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slicers/slicer1.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drawings/drawing5.xml" ContentType="application/vnd.openxmlformats-officedocument.drawing+xml"/>
  <Override PartName="/xl/slicers/slicer2.xml" ContentType="application/vnd.ms-excel.slicer+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tables/table12.xml" ContentType="application/vnd.openxmlformats-officedocument.spreadsheetml.table+xml"/>
  <Override PartName="/xl/drawings/drawing6.xml" ContentType="application/vnd.openxmlformats-officedocument.drawing+xml"/>
  <Override PartName="/xl/slicers/slicer3.xml" ContentType="application/vnd.ms-excel.slicer+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workbookPr codeName="ThisWorkbook"/>
  <mc:AlternateContent xmlns:mc="http://schemas.openxmlformats.org/markup-compatibility/2006">
    <mc:Choice Requires="x15">
      <x15ac:absPath xmlns:x15ac="http://schemas.microsoft.com/office/spreadsheetml/2010/11/ac" url="C:\Users\Jakob\Documents\Arbejde\Statistik\"/>
    </mc:Choice>
  </mc:AlternateContent>
  <xr:revisionPtr revIDLastSave="0" documentId="13_ncr:11_{3F9098F8-5BA8-4A2D-81F1-93C0DBEA8741}" xr6:coauthVersionLast="46" xr6:coauthVersionMax="46" xr10:uidLastSave="{00000000-0000-0000-0000-000000000000}"/>
  <bookViews>
    <workbookView xWindow="-120" yWindow="-120" windowWidth="29040" windowHeight="15840" tabRatio="727" xr2:uid="{00000000-000D-0000-FFFF-FFFF00000000}"/>
  </bookViews>
  <sheets>
    <sheet name="Velkommen" sheetId="43" r:id="rId1"/>
    <sheet name="Data" sheetId="62" r:id="rId2"/>
    <sheet name="DataBeregning" sheetId="64" state="hidden" r:id="rId3"/>
    <sheet name="Lister" sheetId="60" state="hidden" r:id="rId4"/>
    <sheet name="BeskrivendeStatistik" sheetId="40" r:id="rId5"/>
    <sheet name="Sandsynlighed" sheetId="50" r:id="rId6"/>
    <sheet name="Estimation" sheetId="54" r:id="rId7"/>
    <sheet name="Estimation Beregninger" sheetId="56" state="hidden" r:id="rId8"/>
    <sheet name="LineærRegression" sheetId="42" r:id="rId9"/>
    <sheet name="Lineær regression slicer" sheetId="57" state="hidden" r:id="rId10"/>
    <sheet name="Beregningsark" sheetId="58" state="hidden" r:id="rId11"/>
    <sheet name="ANOVA" sheetId="52" r:id="rId12"/>
    <sheet name="ANOVA slicer" sheetId="61" state="hidden" r:id="rId13"/>
    <sheet name="DataGenerator" sheetId="53" r:id="rId14"/>
  </sheets>
  <definedNames>
    <definedName name="AklMs">_xlfn.ANCHORARRAY(ANOVA!$BZ$9)</definedName>
    <definedName name="AksMs">_xlfn.ANCHORARRAY(ANOVA!$CA$9)</definedName>
    <definedName name="AkxMs">_xlfn.ANCHORARRAY(ANOVA!$BX$9)</definedName>
    <definedName name="AkyMs">_xlfn.ANCHORARRAY(ANOVA!$BY$9)</definedName>
    <definedName name="AlG">_xlfn.ANCHORARRAY(ANOVA!$CI$9)</definedName>
    <definedName name="AlMs">_xlfn.ANCHORARRAY(ANOVA!$BM$9)</definedName>
    <definedName name="AlNorm">_xlfn.ANCHORARRAY(ANOVA!$AZ$9)</definedName>
    <definedName name="AlS">_xlfn.ANCHORARRAY(ANOVA!$CP$9)</definedName>
    <definedName name="AlxNorm">_xlfn.ANCHORARRAY(ANOVA!$AX$9)</definedName>
    <definedName name="AlyNorm">_xlfn.ANCHORARRAY(ANOVA!$AY$9)</definedName>
    <definedName name="AsMs">_xlfn.ANCHORARRAY(ANOVA!$BN$9)</definedName>
    <definedName name="AxG">_xlfn.ANCHORARRAY(ANOVA!$CD$9)</definedName>
    <definedName name="AxMs">_xlfn.ANCHORARRAY(ANOVA!$BE$9)</definedName>
    <definedName name="AxNorm">_xlfn.ANCHORARRAY(ANOVA!$AU$9)</definedName>
    <definedName name="AxS">_xlfn.ANCHORARRAY(ANOVA!$CK$9)</definedName>
    <definedName name="AyGa">_xlfn.ANCHORARRAY(ANOVA!$CH$9)</definedName>
    <definedName name="AyGn">_xlfn.ANCHORARRAY(ANOVA!$CG$9)</definedName>
    <definedName name="AyGs">_xlfn.ANCHORARRAY(ANOVA!$CF$9)</definedName>
    <definedName name="AyMs">_xlfn.ANCHORARRAY(ANOVA!$BF$9)</definedName>
    <definedName name="AyNorm">_xlfn.ANCHORARRAY(ANOVA!$AV$9)</definedName>
    <definedName name="AySa">_xlfn.ANCHORARRAY(ANOVA!$CO$9)</definedName>
    <definedName name="AySn">_xlfn.ANCHORARRAY(ANOVA!$CN$9)</definedName>
    <definedName name="AySs">_xlfn.ANCHORARRAY(ANOVA!$CM$9)</definedName>
    <definedName name="Beregningsmetode_liste">Lister!$G$2:$G$10</definedName>
    <definedName name="BfHist">_xlfn.ANCHORARRAY(BeskrivendeStatistik!$BW$6)</definedName>
    <definedName name="BfZ">_xlfn.ANCHORARRAY(BeskrivendeStatistik!$BG$6)</definedName>
    <definedName name="Bk_1">_xlfn.ANCHORARRAY(BeskrivendeStatistik!$CX$6)</definedName>
    <definedName name="Bk_2">_xlfn.ANCHORARRAY(BeskrivendeStatistik!$CY$6)</definedName>
    <definedName name="Bk_3">_xlfn.ANCHORARRAY(BeskrivendeStatistik!$CZ$6)</definedName>
    <definedName name="Bk_4">_xlfn.ANCHORARRAY(BeskrivendeStatistik!$DA$6)</definedName>
    <definedName name="Bo">_xlfn.ANCHORARRAY(BeskrivendeStatistik!$DJ$6)</definedName>
    <definedName name="BoY">_xlfn.ANCHORARRAY(BeskrivendeStatistik!$DK$6)</definedName>
    <definedName name="BsData">_xlfn.ANCHORARRAY(BeskrivendeStatistik!$BE$6)</definedName>
    <definedName name="Buf">_xlfn.ANCHORARRAY(BeskrivendeStatistik!$CI$6)</definedName>
    <definedName name="Bx2Hist">_xlfn.ANCHORARRAY(BeskrivendeStatistik!$BY$6)</definedName>
    <definedName name="BxF">_xlfn.ANCHORARRAY(BeskrivendeStatistik!$EA$6)</definedName>
    <definedName name="BxHist">_xlfn.ANCHORARRAY(BeskrivendeStatistik!$BX$6)</definedName>
    <definedName name="BxK">_xlfn.ANCHORARRAY(BeskrivendeStatistik!$DB$6)</definedName>
    <definedName name="BxS">_xlfn.ANCHORARRAY(BeskrivendeStatistik!$CJ$6)</definedName>
    <definedName name="ByF">_xlfn.ANCHORARRAY(BeskrivendeStatistik!$DZ$6)</definedName>
    <definedName name="BzData">_xlfn.ANCHORARRAY(BeskrivendeStatistik!$BF$6)</definedName>
    <definedName name="BzHist">_xlfn.ANCHORARRAY(BeskrivendeStatistik!$BT$6)</definedName>
    <definedName name="Data">Data!$A$2:INDEX(Data!$A$2:$CV$1048576,DataBeregning!$B$2,DataBeregning!$B$3)</definedName>
    <definedName name="DataHeaders">Data!$A$1:$CV$1</definedName>
    <definedName name="DataTitel_liste">_xlfn.ANCHORARRAY(Lister!$C$2)</definedName>
    <definedName name="DataTitelTest_liste">_xlfn.ANCHORARRAY(Lister!$C$2)</definedName>
    <definedName name="E_a_aktiv">Estimation!$BH$8</definedName>
    <definedName name="E_g_aktiv">Estimation!$BF$8</definedName>
    <definedName name="E_i_aktiv">Estimation!$BI$8</definedName>
    <definedName name="E_k_aktiv">Estimation!$BJ$8</definedName>
    <definedName name="E_s_aktiv">Estimation!$BG$8</definedName>
    <definedName name="Eu_a_a_x">Estimation!$P$7</definedName>
    <definedName name="Eu_a_a_y">Estimation!$Q$7</definedName>
    <definedName name="Eu_a_h0_x">Estimation!$P$8</definedName>
    <definedName name="Eu_a_h0_y">Estimation!$Q$8</definedName>
    <definedName name="Eu_a_konfidensniveau">Estimation!$P$15</definedName>
    <definedName name="Eu_a_n_x">Estimation!$P$9</definedName>
    <definedName name="Eu_a_n_y">Estimation!$Q$9</definedName>
    <definedName name="Eu_a_ønsket_fejlmargin">Estimation!$P$16</definedName>
    <definedName name="Eu_a_t_x">Estimation!$P$6</definedName>
    <definedName name="Eu_a_t_y">Estimation!$Q$6</definedName>
    <definedName name="Eu_g_g_x">Estimation!$B$7</definedName>
    <definedName name="Eu_g_g_y">Estimation!$C$7</definedName>
    <definedName name="Eu_g_h0_x">Estimation!$B$8</definedName>
    <definedName name="Eu_g_h0_y">Estimation!$C$8</definedName>
    <definedName name="Eu_g_konfidensniveau">Estimation!$B$15</definedName>
    <definedName name="Eu_g_n_x">Estimation!$B$11</definedName>
    <definedName name="Eu_g_n_y">Estimation!$C$11</definedName>
    <definedName name="Eu_g_ønsket_fejlmargin">Estimation!$B$16</definedName>
    <definedName name="Eu_g_s_population_x">Estimation!$B$10</definedName>
    <definedName name="Eu_g_s_population_y">Estimation!$C$10</definedName>
    <definedName name="Eu_g_s_x">Estimation!$B$9</definedName>
    <definedName name="Eu_g_s_y">Estimation!$C$9</definedName>
    <definedName name="Eu_g_t_x">Estimation!$B$6</definedName>
    <definedName name="Eu_g_t_y">Estimation!$C$6</definedName>
    <definedName name="Eu_i_h0_x">Estimation!$W$8</definedName>
    <definedName name="Eu_i_h0_y">Estimation!$X$8</definedName>
    <definedName name="Eu_i_i_x">Estimation!$W$7</definedName>
    <definedName name="Eu_i_i_y">Estimation!$X$7</definedName>
    <definedName name="Eu_i_konfidensniveau">Estimation!$W$15</definedName>
    <definedName name="Eu_i_n_x">Estimation!$W$9</definedName>
    <definedName name="Eu_i_n_y">Estimation!$X$9</definedName>
    <definedName name="Eu_i_ønsket_fejlmargin">Estimation!$W$16</definedName>
    <definedName name="Eu_i_t_x">Estimation!$W$6</definedName>
    <definedName name="Eu_i_t_y">Estimation!$X$6</definedName>
    <definedName name="Eu_k_antal_koefficienter">Estimation!$AD$11</definedName>
    <definedName name="Eu_k_h0">Estimation!$AD$8</definedName>
    <definedName name="Eu_k_k">Estimation!$AD$7</definedName>
    <definedName name="Eu_k_konfidensniveau">Estimation!$AD$16</definedName>
    <definedName name="Eu_k_n">Estimation!$AD$10</definedName>
    <definedName name="Eu_k_s">Estimation!$AD$9</definedName>
    <definedName name="Eu_k_t">Estimation!$AD$6</definedName>
    <definedName name="Eu_s_h0_x">Estimation!$I$8</definedName>
    <definedName name="Eu_s_konfidensniveau">Estimation!$I$16</definedName>
    <definedName name="Eu_s_n_x">Estimation!$I$9</definedName>
    <definedName name="Eu_s_n_y">Estimation!$J$9</definedName>
    <definedName name="Eu_s_s_x">Estimation!$I$7</definedName>
    <definedName name="Eu_s_s_y">Estimation!$J$7</definedName>
    <definedName name="Eu_s_t_x">Estimation!$I$6</definedName>
    <definedName name="Eu_s_t_y">Estimation!$J$6</definedName>
    <definedName name="Fordeling_liste">Lister!$E$2:$E$5</definedName>
    <definedName name="HypoteseRetning_liste">Lister!$D$2:$D$5</definedName>
    <definedName name="Hypotesetype_Liste">Lister!$F$2:$F$8</definedName>
    <definedName name="Inkluderet">"Inkluderet"</definedName>
    <definedName name="Inkluderet_Liste">Lister!$A$2:$A$3</definedName>
    <definedName name="Lfm">_xlfn.ANCHORARRAY(LineærRegression!$EP$10)</definedName>
    <definedName name="LfNedre">_xlfn.ANCHORARRAY(LineærRegression!$BK$10)</definedName>
    <definedName name="LfOevre">_xlfn.ANCHORARRAY(LineærRegression!$BJ$10)</definedName>
    <definedName name="Lfs">_xlfn.ANCHORARRAY(LineærRegression!$EO$10)</definedName>
    <definedName name="Lfsy">_xlfn.ANCHORARRAY(LineærRegression!$EQ$10)</definedName>
    <definedName name="LfX">_xlfn.ANCHORARRAY(LineærRegression!$BI$10)</definedName>
    <definedName name="Lfyx">_xlfn.ANCHORARRAY(LineærRegression!$EN$10)</definedName>
    <definedName name="LkNedre">_xlfn.ANCHORARRAY(LineærRegression!$BF$10)</definedName>
    <definedName name="LkOevre">_xlfn.ANCHORARRAY(LineærRegression!$BE$10)</definedName>
    <definedName name="LkX">_xlfn.ANCHORARRAY(LineærRegression!$BD$10)</definedName>
    <definedName name="LmkVxX">_xlfn.ANCHORARRAY(LineærRegression!$CM$10)</definedName>
    <definedName name="LmkVxY">_xlfn.ANCHORARRAY(LineærRegression!$CO$10)</definedName>
    <definedName name="LmkX">_xlfn.ANCHORARRAY(LineærRegression!$CH$10)</definedName>
    <definedName name="LmkY">_xlfn.ANCHORARRAY(LineærRegression!$CI$10)</definedName>
    <definedName name="LpRx">_xlfn.ANCHORARRAY(LineærRegression!$DI$10)</definedName>
    <definedName name="LpRy">_xlfn.ANCHORARRAY(LineærRegression!$DH$10)</definedName>
    <definedName name="LpX">_xlfn.ANCHORARRAY(LineærRegression!$DC$10)</definedName>
    <definedName name="LpXlx">_xlfn.ANCHORARRAY(LineærRegression!$DS$10)</definedName>
    <definedName name="LpXly">_xlfn.ANCHORARRAY(LineærRegression!$DT$10)</definedName>
    <definedName name="LpY">_xlfn.ANCHORARRAY(LineærRegression!$DD$10)</definedName>
    <definedName name="LpYlx">_xlfn.ANCHORARRAY(LineærRegression!$DP$10)</definedName>
    <definedName name="LpYly">_xlfn.ANCHORARRAY(LineærRegression!$DQ$10)</definedName>
    <definedName name="LrfZ">_xlfn.ANCHORARRAY(LineærRegression!$ED$10)</definedName>
    <definedName name="LrfZm">_xlfn.ANCHORARRAY(LineærRegression!$EL$10)</definedName>
    <definedName name="LrS">_xlfn.ANCHORARRAY(LineærRegression!$EB$10)</definedName>
    <definedName name="LrSm">_xlfn.ANCHORARRAY(LineærRegression!$EJ$10)</definedName>
    <definedName name="LrZ">_xlfn.ANCHORARRAY(LineærRegression!$EC$10)</definedName>
    <definedName name="LrZm">_xlfn.ANCHORARRAY(LineærRegression!$EK$10)</definedName>
    <definedName name="Lss">_xlfn.ANCHORARRAY(LineærRegression!$ET$50)</definedName>
    <definedName name="Lssx">_xlfn.ANCHORARRAY(LineærRegression!$BP$10)</definedName>
    <definedName name="Lssy1">_xlfn.ANCHORARRAY(LineærRegression!$BN$10)</definedName>
    <definedName name="Lssy2">_xlfn.ANCHORARRAY(LineærRegression!$BO$10)</definedName>
    <definedName name="LsxSimpel">_xlfn.ANCHORARRAY(LineærRegression!$AV$10)</definedName>
    <definedName name="Lsy2Simpel">_xlfn.ANCHORARRAY(LineærRegression!$AW$10)</definedName>
    <definedName name="LsySimpel">_xlfn.ANCHORARRAY(LineærRegression!$AU$10)</definedName>
    <definedName name="LyData">_xlfn.ANCHORARRAY(LineærRegression!$ET$75)</definedName>
    <definedName name="SandFalsk_liste">Lister!$B$2:$B$3</definedName>
    <definedName name="SlB">_xlfn.ANCHORARRAY(Sandsynlighed!$AF$6)</definedName>
    <definedName name="SlG">_xlfn.ANCHORARRAY(Sandsynlighed!$W$6)</definedName>
    <definedName name="Slicer_Afhængig_variabel1">#N/A</definedName>
    <definedName name="Slicer_Beregningsmetode">#N/A</definedName>
    <definedName name="Slicer_Beregningsmetode1">#N/A</definedName>
    <definedName name="Slicer_Beregningsmetode2">#N/A</definedName>
    <definedName name="Slicer_Beregningsmetode3">#N/A</definedName>
    <definedName name="Slicer_Beregningsmetode4">#N/A</definedName>
    <definedName name="Slicer_Hypotesetype">#N/A</definedName>
    <definedName name="Slicer_Hypotesetype1">#N/A</definedName>
    <definedName name="Slicer_Hypotesetype2">#N/A</definedName>
    <definedName name="Slicer_Hypotesetype3">#N/A</definedName>
    <definedName name="Slicer_Hypotesetype4">#N/A</definedName>
    <definedName name="Slicer_Uafhængige_variable1">#N/A</definedName>
    <definedName name="Slicer_Variabel">#N/A</definedName>
    <definedName name="SlP">_xlfn.ANCHORARRAY(Sandsynlighed!$AO$6)</definedName>
    <definedName name="SxB">_xlfn.ANCHORARRAY(Sandsynlighed!$Z$6)</definedName>
    <definedName name="SxG">_xlfn.ANCHORARRAY(Sandsynlighed!$R$6)</definedName>
    <definedName name="SxP">_xlfn.ANCHORARRAY(Sandsynlighed!$AI$6)</definedName>
    <definedName name="SyBh">_xlfn.ANCHORARRAY(Sandsynlighed!$AE$6)</definedName>
    <definedName name="SyBp">_xlfn.ANCHORARRAY(Sandsynlighed!$AD$6)</definedName>
    <definedName name="SyBv">_xlfn.ANCHORARRAY(Sandsynlighed!$AC$6)</definedName>
    <definedName name="SyGh">_xlfn.ANCHORARRAY(Sandsynlighed!$V$6)</definedName>
    <definedName name="SyGs">_xlfn.ANCHORARRAY(Sandsynlighed!$T$6)</definedName>
    <definedName name="SyGv">_xlfn.ANCHORARRAY(Sandsynlighed!$U$6)</definedName>
    <definedName name="SyPh">_xlfn.ANCHORARRAY(Sandsynlighed!$AN$6)</definedName>
    <definedName name="SyPp">_xlfn.ANCHORARRAY(Sandsynlighed!$AM$6)</definedName>
    <definedName name="SyPv">_xlfn.ANCHORARRAY(Sandsynlighed!$AL$6)</definedName>
    <definedName name="Udeladt">"Udeladt"</definedName>
    <definedName name="V_Manual_Beskrivende_Statistik">Velkommen!$A$69</definedName>
    <definedName name="V_Manual_Data">Velkommen!$A$27</definedName>
    <definedName name="V_Manual_DataGenerator">Velkommen!$A$559</definedName>
    <definedName name="V_Manual_Konfidens_og_Hypoteser">Velkommen!$A$176</definedName>
    <definedName name="V_Manual_Lineær_Regression">Velkommen!$A$281</definedName>
    <definedName name="V_Manual_Sandsynlighed">Velkommen!$A$503</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5"/>
        <x14:slicerCache r:id="rId16"/>
        <x14:slicerCache r:id="rId17"/>
        <x14:slicerCache r:id="rId18"/>
        <x14:slicerCache r:id="rId19"/>
        <x14:slicerCache r:id="rId20"/>
        <x14:slicerCache r:id="rId21"/>
        <x14:slicerCache r:id="rId22"/>
        <x14:slicerCache r:id="rId23"/>
        <x14:slicerCache r:id="rId24"/>
        <x14:slicerCache r:id="rId25"/>
        <x14:slicerCache r:id="rId26"/>
        <x14:slicerCache r:id="rId27"/>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5" i="64" l="1"/>
  <c r="D5" i="64"/>
  <c r="E5" i="64"/>
  <c r="F5" i="64"/>
  <c r="G5" i="64"/>
  <c r="H5" i="64"/>
  <c r="I5" i="64"/>
  <c r="J5" i="64"/>
  <c r="K5" i="64"/>
  <c r="L5" i="64"/>
  <c r="M5" i="64"/>
  <c r="N5" i="64"/>
  <c r="O5" i="64"/>
  <c r="P5" i="64"/>
  <c r="Q5" i="64"/>
  <c r="R5" i="64"/>
  <c r="S5" i="64"/>
  <c r="T5" i="64"/>
  <c r="U5" i="64"/>
  <c r="V5" i="64"/>
  <c r="W5" i="64"/>
  <c r="X5" i="64"/>
  <c r="Y5" i="64"/>
  <c r="Z5" i="64"/>
  <c r="AA5" i="64"/>
  <c r="AB5" i="64"/>
  <c r="AC5" i="64"/>
  <c r="AD5" i="64"/>
  <c r="AE5" i="64"/>
  <c r="AF5" i="64"/>
  <c r="AG5" i="64"/>
  <c r="AH5" i="64"/>
  <c r="AI5" i="64"/>
  <c r="AJ5" i="64"/>
  <c r="AK5" i="64"/>
  <c r="AL5" i="64"/>
  <c r="AM5" i="64"/>
  <c r="AN5" i="64"/>
  <c r="AO5" i="64"/>
  <c r="AP5" i="64"/>
  <c r="AQ5" i="64"/>
  <c r="AR5" i="64"/>
  <c r="AS5" i="64"/>
  <c r="AT5" i="64"/>
  <c r="AU5" i="64"/>
  <c r="AV5" i="64"/>
  <c r="AW5" i="64"/>
  <c r="AX5" i="64"/>
  <c r="AY5" i="64"/>
  <c r="AZ5" i="64"/>
  <c r="BA5" i="64"/>
  <c r="BB5" i="64"/>
  <c r="BC5" i="64"/>
  <c r="BD5" i="64"/>
  <c r="BE5" i="64"/>
  <c r="BF5" i="64"/>
  <c r="BG5" i="64"/>
  <c r="BH5" i="64"/>
  <c r="BI5" i="64"/>
  <c r="BJ5" i="64"/>
  <c r="BK5" i="64"/>
  <c r="BL5" i="64"/>
  <c r="BM5" i="64"/>
  <c r="BN5" i="64"/>
  <c r="BO5" i="64"/>
  <c r="BP5" i="64"/>
  <c r="BQ5" i="64"/>
  <c r="BR5" i="64"/>
  <c r="BS5" i="64"/>
  <c r="BT5" i="64"/>
  <c r="BU5" i="64"/>
  <c r="BV5" i="64"/>
  <c r="BW5" i="64"/>
  <c r="BX5" i="64"/>
  <c r="BY5" i="64"/>
  <c r="BZ5" i="64"/>
  <c r="CA5" i="64"/>
  <c r="CB5" i="64"/>
  <c r="CC5" i="64"/>
  <c r="CD5" i="64"/>
  <c r="CE5" i="64"/>
  <c r="CF5" i="64"/>
  <c r="CG5" i="64"/>
  <c r="CH5" i="64"/>
  <c r="CI5" i="64"/>
  <c r="CJ5" i="64"/>
  <c r="CK5" i="64"/>
  <c r="CL5" i="64"/>
  <c r="CM5" i="64"/>
  <c r="CN5" i="64"/>
  <c r="CO5" i="64"/>
  <c r="CP5" i="64"/>
  <c r="CQ5" i="64"/>
  <c r="CR5" i="64"/>
  <c r="CS5" i="64"/>
  <c r="CT5" i="64"/>
  <c r="CU5" i="64"/>
  <c r="CV5" i="64"/>
  <c r="CW5" i="64"/>
  <c r="B5" i="64"/>
  <c r="B6" i="64" a="1"/>
  <c r="B6" i="64" s="1"/>
  <c r="BM8" i="54"/>
  <c r="AH20" i="50"/>
  <c r="AH14" i="50"/>
  <c r="Y20" i="50"/>
  <c r="Y18" i="50"/>
  <c r="E32" i="50" s="1"/>
  <c r="Y16" i="50"/>
  <c r="Y32" i="50" s="1"/>
  <c r="Y14" i="50"/>
  <c r="Y22" i="50" s="1"/>
  <c r="Z6" i="50" s="1" a="1"/>
  <c r="Z6" i="50" s="1"/>
  <c r="R6" i="50" a="1"/>
  <c r="R6" i="50" s="1"/>
  <c r="Q20" i="50"/>
  <c r="B33" i="50" s="1"/>
  <c r="B34" i="50" s="1"/>
  <c r="Q16" i="50"/>
  <c r="Q14" i="50"/>
  <c r="AO60" i="56"/>
  <c r="AO59" i="56"/>
  <c r="AO58" i="56"/>
  <c r="B39" i="42"/>
  <c r="D39" i="42"/>
  <c r="C39" i="42"/>
  <c r="BG28" i="42"/>
  <c r="BH10" i="42" s="1" a="1"/>
  <c r="BH10" i="42" s="1"/>
  <c r="BL24" i="42"/>
  <c r="BL16" i="42" s="1"/>
  <c r="BG18" i="42"/>
  <c r="AX18" i="42"/>
  <c r="AQ18" i="42"/>
  <c r="EE10" i="42"/>
  <c r="BG10" i="42"/>
  <c r="AX10" i="42"/>
  <c r="CK9" i="52" a="1"/>
  <c r="CK9" i="52" s="1"/>
  <c r="CD9" i="52" a="1"/>
  <c r="CD9" i="52" s="1"/>
  <c r="BI34" i="40"/>
  <c r="CL29" i="40"/>
  <c r="BI26" i="40"/>
  <c r="BI28" i="40" s="1"/>
  <c r="BR6" i="40" s="1" a="1"/>
  <c r="BR6" i="40" s="1"/>
  <c r="DN22" i="40"/>
  <c r="BB18" i="40"/>
  <c r="DN10" i="40"/>
  <c r="DN12" i="40" s="1"/>
  <c r="DW6" i="40" a="1"/>
  <c r="DW6" i="40" s="1"/>
  <c r="DT6" i="40" a="1"/>
  <c r="DT6" i="40" s="1"/>
  <c r="DO6" i="40" a="1"/>
  <c r="DO6" i="40" s="1"/>
  <c r="DP6" i="40" s="1" a="1"/>
  <c r="DP6" i="40" s="1"/>
  <c r="DN6" i="40"/>
  <c r="DD6" i="40"/>
  <c r="CU6" i="40" a="1"/>
  <c r="CU6" i="40" s="1"/>
  <c r="CT6" i="40" a="1"/>
  <c r="CT6" i="40" s="1"/>
  <c r="CQ6" i="40" a="1"/>
  <c r="CQ6" i="40" s="1"/>
  <c r="CM6" i="40" a="1"/>
  <c r="CM6" i="40" s="1"/>
  <c r="CL6" i="40"/>
  <c r="BJ6" i="40" a="1"/>
  <c r="BJ6" i="40" s="1"/>
  <c r="BI6" i="40"/>
  <c r="BB6" i="40"/>
  <c r="BJ40" i="54"/>
  <c r="BI40" i="54"/>
  <c r="BH40" i="54"/>
  <c r="BG40" i="54"/>
  <c r="BF40" i="54"/>
  <c r="C2" i="60" a="1"/>
  <c r="C2" i="60" s="1"/>
  <c r="B4" i="64" a="1"/>
  <c r="B4" i="64" s="1"/>
  <c r="B3" i="64" s="1"/>
  <c r="EG10" i="54"/>
  <c r="EG11" i="54"/>
  <c r="EG12" i="54"/>
  <c r="EG13" i="54"/>
  <c r="EG14" i="54"/>
  <c r="EG15" i="54"/>
  <c r="EG16" i="54"/>
  <c r="EG17" i="54"/>
  <c r="EG18" i="54"/>
  <c r="EG19" i="54"/>
  <c r="EG20" i="54"/>
  <c r="EG21" i="54"/>
  <c r="EG22" i="54"/>
  <c r="EG23" i="54"/>
  <c r="EG24" i="54"/>
  <c r="EG25" i="54"/>
  <c r="EG26" i="54"/>
  <c r="EG27" i="54"/>
  <c r="EG28" i="54"/>
  <c r="EG29" i="54"/>
  <c r="EG30" i="54"/>
  <c r="EG31" i="54"/>
  <c r="EG32" i="54"/>
  <c r="EG33" i="54"/>
  <c r="EG34" i="54"/>
  <c r="EG35" i="54"/>
  <c r="EG36" i="54"/>
  <c r="EG37" i="54"/>
  <c r="EG38" i="54"/>
  <c r="EG39" i="54"/>
  <c r="EG40" i="54"/>
  <c r="EG41" i="54"/>
  <c r="EG42" i="54"/>
  <c r="EG43" i="54"/>
  <c r="EG44" i="54"/>
  <c r="EG45" i="54"/>
  <c r="EG46" i="54"/>
  <c r="EG47" i="54"/>
  <c r="EG48" i="54"/>
  <c r="EG49" i="54"/>
  <c r="EG50" i="54"/>
  <c r="EG51" i="54"/>
  <c r="EG52" i="54"/>
  <c r="EG53" i="54"/>
  <c r="EG54" i="54"/>
  <c r="EG55" i="54"/>
  <c r="EG56" i="54"/>
  <c r="EG57" i="54"/>
  <c r="EG58" i="54"/>
  <c r="EG59" i="54"/>
  <c r="EG60" i="54"/>
  <c r="EG61" i="54"/>
  <c r="EG62" i="54"/>
  <c r="EG63" i="54"/>
  <c r="EG64" i="54"/>
  <c r="EG65" i="54"/>
  <c r="EG66" i="54"/>
  <c r="EG67" i="54"/>
  <c r="EG68" i="54"/>
  <c r="EG69" i="54"/>
  <c r="EG70" i="54"/>
  <c r="EG71" i="54"/>
  <c r="EG72" i="54"/>
  <c r="EG73" i="54"/>
  <c r="EG74" i="54"/>
  <c r="EG75" i="54"/>
  <c r="EG76" i="54"/>
  <c r="EG77" i="54"/>
  <c r="EG78" i="54"/>
  <c r="EG79" i="54"/>
  <c r="EG80" i="54"/>
  <c r="EG81" i="54"/>
  <c r="EG82" i="54"/>
  <c r="EG83" i="54"/>
  <c r="EG84" i="54"/>
  <c r="EG85" i="54"/>
  <c r="EG86" i="54"/>
  <c r="EG87" i="54"/>
  <c r="EG88" i="54"/>
  <c r="EG89" i="54"/>
  <c r="EG90" i="54"/>
  <c r="EG91" i="54"/>
  <c r="EG92" i="54"/>
  <c r="EG93" i="54"/>
  <c r="EG94" i="54"/>
  <c r="EG95" i="54"/>
  <c r="EG96" i="54"/>
  <c r="EG97" i="54"/>
  <c r="EG98" i="54"/>
  <c r="EG99" i="54"/>
  <c r="EG100" i="54"/>
  <c r="EG101" i="54"/>
  <c r="EG102" i="54"/>
  <c r="EG103" i="54"/>
  <c r="EG104" i="54"/>
  <c r="EG105" i="54"/>
  <c r="EG106" i="54"/>
  <c r="EG107" i="54"/>
  <c r="EG108" i="54"/>
  <c r="EG109" i="54"/>
  <c r="EG110" i="54"/>
  <c r="EG111" i="54"/>
  <c r="EG112" i="54"/>
  <c r="EG113" i="54"/>
  <c r="EG114" i="54"/>
  <c r="EG115" i="54"/>
  <c r="EG116" i="54"/>
  <c r="EG117" i="54"/>
  <c r="EG118" i="54"/>
  <c r="EG119" i="54"/>
  <c r="EG120" i="54"/>
  <c r="EG121" i="54"/>
  <c r="EG122" i="54"/>
  <c r="EG123" i="54"/>
  <c r="EG124" i="54"/>
  <c r="EG125" i="54"/>
  <c r="EG126" i="54"/>
  <c r="EG127" i="54"/>
  <c r="EG128" i="54"/>
  <c r="EG129" i="54"/>
  <c r="EG130" i="54"/>
  <c r="EG131" i="54"/>
  <c r="EG132" i="54"/>
  <c r="EG133" i="54"/>
  <c r="EG134" i="54"/>
  <c r="EG135" i="54"/>
  <c r="EG136" i="54"/>
  <c r="EG137" i="54"/>
  <c r="EG138" i="54"/>
  <c r="EG139" i="54"/>
  <c r="EG140" i="54"/>
  <c r="EG141" i="54"/>
  <c r="EG142" i="54"/>
  <c r="EG143" i="54"/>
  <c r="EG144" i="54"/>
  <c r="EG145" i="54"/>
  <c r="EG146" i="54"/>
  <c r="EG147" i="54"/>
  <c r="EG148" i="54"/>
  <c r="EG149" i="54"/>
  <c r="EG150" i="54"/>
  <c r="EG151" i="54"/>
  <c r="EG152" i="54"/>
  <c r="EG153" i="54"/>
  <c r="EG154" i="54"/>
  <c r="EG155" i="54"/>
  <c r="EG156" i="54"/>
  <c r="EG157" i="54"/>
  <c r="EG158" i="54"/>
  <c r="EG159" i="54"/>
  <c r="EG160" i="54"/>
  <c r="EG161" i="54"/>
  <c r="EG162" i="54"/>
  <c r="EG163" i="54"/>
  <c r="EG164" i="54"/>
  <c r="EG165" i="54"/>
  <c r="EG166" i="54"/>
  <c r="EG167" i="54"/>
  <c r="EG168" i="54"/>
  <c r="EG169" i="54"/>
  <c r="EG170" i="54"/>
  <c r="EG171" i="54"/>
  <c r="EG172" i="54"/>
  <c r="EG173" i="54"/>
  <c r="EG174" i="54"/>
  <c r="EG175" i="54"/>
  <c r="EG176" i="54"/>
  <c r="EG177" i="54"/>
  <c r="EG178" i="54"/>
  <c r="EG179" i="54"/>
  <c r="EG180" i="54"/>
  <c r="EG181" i="54"/>
  <c r="EG182" i="54"/>
  <c r="EG183" i="54"/>
  <c r="EG184" i="54"/>
  <c r="EG185" i="54"/>
  <c r="EG186" i="54"/>
  <c r="EG187" i="54"/>
  <c r="EG188" i="54"/>
  <c r="EG189" i="54"/>
  <c r="EG190" i="54"/>
  <c r="EG191" i="54"/>
  <c r="EG192" i="54"/>
  <c r="EG193" i="54"/>
  <c r="EG194" i="54"/>
  <c r="EG195" i="54"/>
  <c r="EG196" i="54"/>
  <c r="EG197" i="54"/>
  <c r="EG198" i="54"/>
  <c r="EG199" i="54"/>
  <c r="EG200" i="54"/>
  <c r="EG201" i="54"/>
  <c r="EG202" i="54"/>
  <c r="EG203" i="54"/>
  <c r="EG204" i="54"/>
  <c r="EG205" i="54"/>
  <c r="EG206" i="54"/>
  <c r="EG207" i="54"/>
  <c r="EG208" i="54"/>
  <c r="EG209" i="54"/>
  <c r="EG210" i="54"/>
  <c r="EG211" i="54"/>
  <c r="EG212" i="54"/>
  <c r="EG213" i="54"/>
  <c r="EG214" i="54"/>
  <c r="EG215" i="54"/>
  <c r="EG216" i="54"/>
  <c r="EG217" i="54"/>
  <c r="EG218" i="54"/>
  <c r="EG219" i="54"/>
  <c r="EG220" i="54"/>
  <c r="EG221" i="54"/>
  <c r="EG222" i="54"/>
  <c r="EG223" i="54"/>
  <c r="EG224" i="54"/>
  <c r="EG225" i="54"/>
  <c r="EG226" i="54"/>
  <c r="EG227" i="54"/>
  <c r="EG228" i="54"/>
  <c r="EG229" i="54"/>
  <c r="EG230" i="54"/>
  <c r="EG231" i="54"/>
  <c r="EG232" i="54"/>
  <c r="EG233" i="54"/>
  <c r="EG234" i="54"/>
  <c r="EG235" i="54"/>
  <c r="EG236" i="54"/>
  <c r="EG237" i="54"/>
  <c r="EG238" i="54"/>
  <c r="EG239" i="54"/>
  <c r="EG240" i="54"/>
  <c r="EG241" i="54"/>
  <c r="EG242" i="54"/>
  <c r="EG243" i="54"/>
  <c r="EG244" i="54"/>
  <c r="EG245" i="54"/>
  <c r="EG246" i="54"/>
  <c r="EG247" i="54"/>
  <c r="EG248" i="54"/>
  <c r="EG249" i="54"/>
  <c r="EG250" i="54"/>
  <c r="EG251" i="54"/>
  <c r="EG252" i="54"/>
  <c r="EG253" i="54"/>
  <c r="EG254" i="54"/>
  <c r="EG255" i="54"/>
  <c r="EG256" i="54"/>
  <c r="EG257" i="54"/>
  <c r="EG258" i="54"/>
  <c r="EG259" i="54"/>
  <c r="EG260" i="54"/>
  <c r="EG261" i="54"/>
  <c r="EG262" i="54"/>
  <c r="EG263" i="54"/>
  <c r="EG264" i="54"/>
  <c r="EG265" i="54"/>
  <c r="EG266" i="54"/>
  <c r="EG267" i="54"/>
  <c r="EG268" i="54"/>
  <c r="DN10" i="54"/>
  <c r="DN11" i="54"/>
  <c r="DN12" i="54"/>
  <c r="DN13" i="54"/>
  <c r="DN14" i="54"/>
  <c r="DN15" i="54"/>
  <c r="DN16" i="54"/>
  <c r="DN17" i="54"/>
  <c r="DN18" i="54"/>
  <c r="DN19" i="54"/>
  <c r="DN20" i="54"/>
  <c r="DN21" i="54"/>
  <c r="DN22" i="54"/>
  <c r="DN23" i="54"/>
  <c r="DN24" i="54"/>
  <c r="DN25" i="54"/>
  <c r="DN26" i="54"/>
  <c r="DN27" i="54"/>
  <c r="DN28" i="54"/>
  <c r="DN29" i="54"/>
  <c r="DN30" i="54"/>
  <c r="DN31" i="54"/>
  <c r="DN32" i="54"/>
  <c r="DN33" i="54"/>
  <c r="DN34" i="54"/>
  <c r="DN35" i="54"/>
  <c r="DN36" i="54"/>
  <c r="DN37" i="54"/>
  <c r="DN38" i="54"/>
  <c r="DN39" i="54"/>
  <c r="DN40" i="54"/>
  <c r="DN41" i="54"/>
  <c r="DN42" i="54"/>
  <c r="DN43" i="54"/>
  <c r="DN44" i="54"/>
  <c r="DN45" i="54"/>
  <c r="DN46" i="54"/>
  <c r="DN47" i="54"/>
  <c r="DN48" i="54"/>
  <c r="DN49" i="54"/>
  <c r="DN50" i="54"/>
  <c r="DN51" i="54"/>
  <c r="DN52" i="54"/>
  <c r="DN53" i="54"/>
  <c r="DN54" i="54"/>
  <c r="DN55" i="54"/>
  <c r="DN56" i="54"/>
  <c r="DN57" i="54"/>
  <c r="DN58" i="54"/>
  <c r="DN59" i="54"/>
  <c r="DN60" i="54"/>
  <c r="DN61" i="54"/>
  <c r="DN62" i="54"/>
  <c r="DN63" i="54"/>
  <c r="DN64" i="54"/>
  <c r="DN65" i="54"/>
  <c r="DN66" i="54"/>
  <c r="DN67" i="54"/>
  <c r="DN68" i="54"/>
  <c r="DN69" i="54"/>
  <c r="DN70" i="54"/>
  <c r="DN71" i="54"/>
  <c r="DN72" i="54"/>
  <c r="DN73" i="54"/>
  <c r="DN74" i="54"/>
  <c r="DN75" i="54"/>
  <c r="DN76" i="54"/>
  <c r="DN77" i="54"/>
  <c r="DN78" i="54"/>
  <c r="DN79" i="54"/>
  <c r="DN80" i="54"/>
  <c r="DN81" i="54"/>
  <c r="DN82" i="54"/>
  <c r="DN83" i="54"/>
  <c r="DN84" i="54"/>
  <c r="DN85" i="54"/>
  <c r="DN86" i="54"/>
  <c r="DN87" i="54"/>
  <c r="DN88" i="54"/>
  <c r="DN89" i="54"/>
  <c r="DN90" i="54"/>
  <c r="DN91" i="54"/>
  <c r="DN92" i="54"/>
  <c r="DN93" i="54"/>
  <c r="DN94" i="54"/>
  <c r="DN95" i="54"/>
  <c r="DN96" i="54"/>
  <c r="DN97" i="54"/>
  <c r="DN98" i="54"/>
  <c r="DN99" i="54"/>
  <c r="DN100" i="54"/>
  <c r="DN101" i="54"/>
  <c r="DN102" i="54"/>
  <c r="DN103" i="54"/>
  <c r="DN104" i="54"/>
  <c r="DN105" i="54"/>
  <c r="DN106" i="54"/>
  <c r="DN107" i="54"/>
  <c r="DN108" i="54"/>
  <c r="DN109" i="54"/>
  <c r="DN110" i="54"/>
  <c r="DN111" i="54"/>
  <c r="DN112" i="54"/>
  <c r="DN113" i="54"/>
  <c r="DN114" i="54"/>
  <c r="DN115" i="54"/>
  <c r="DN116" i="54"/>
  <c r="DN117" i="54"/>
  <c r="DN118" i="54"/>
  <c r="DN119" i="54"/>
  <c r="DN120" i="54"/>
  <c r="DN121" i="54"/>
  <c r="DN122" i="54"/>
  <c r="DN123" i="54"/>
  <c r="DN124" i="54"/>
  <c r="DN125" i="54"/>
  <c r="DN126" i="54"/>
  <c r="DN127" i="54"/>
  <c r="DN128" i="54"/>
  <c r="DN129" i="54"/>
  <c r="DN130" i="54"/>
  <c r="DN131" i="54"/>
  <c r="DN132" i="54"/>
  <c r="DN133" i="54"/>
  <c r="DN134" i="54"/>
  <c r="DN135" i="54"/>
  <c r="DN136" i="54"/>
  <c r="DN137" i="54"/>
  <c r="DN138" i="54"/>
  <c r="DN139" i="54"/>
  <c r="DN140" i="54"/>
  <c r="DN141" i="54"/>
  <c r="DN142" i="54"/>
  <c r="DN143" i="54"/>
  <c r="DN144" i="54"/>
  <c r="DN145" i="54"/>
  <c r="DN146" i="54"/>
  <c r="DN147" i="54"/>
  <c r="DN148" i="54"/>
  <c r="DN149" i="54"/>
  <c r="DN150" i="54"/>
  <c r="DN151" i="54"/>
  <c r="DN152" i="54"/>
  <c r="DN153" i="54"/>
  <c r="DN154" i="54"/>
  <c r="DN155" i="54"/>
  <c r="DN156" i="54"/>
  <c r="DN157" i="54"/>
  <c r="DN158" i="54"/>
  <c r="DN159" i="54"/>
  <c r="DN160" i="54"/>
  <c r="DN161" i="54"/>
  <c r="DN162" i="54"/>
  <c r="DN163" i="54"/>
  <c r="DN164" i="54"/>
  <c r="DN165" i="54"/>
  <c r="DN166" i="54"/>
  <c r="DN167" i="54"/>
  <c r="DN168" i="54"/>
  <c r="DN169" i="54"/>
  <c r="DN170" i="54"/>
  <c r="DN171" i="54"/>
  <c r="DN172" i="54"/>
  <c r="DN173" i="54"/>
  <c r="DN174" i="54"/>
  <c r="DN175" i="54"/>
  <c r="DN176" i="54"/>
  <c r="DN177" i="54"/>
  <c r="DN178" i="54"/>
  <c r="DN179" i="54"/>
  <c r="DN180" i="54"/>
  <c r="DN181" i="54"/>
  <c r="DN182" i="54"/>
  <c r="DN183" i="54"/>
  <c r="DN184" i="54"/>
  <c r="DN185" i="54"/>
  <c r="DN186" i="54"/>
  <c r="DN187" i="54"/>
  <c r="DN188" i="54"/>
  <c r="DN189" i="54"/>
  <c r="DN190" i="54"/>
  <c r="DN191" i="54"/>
  <c r="DN192" i="54"/>
  <c r="DN193" i="54"/>
  <c r="DN194" i="54"/>
  <c r="DN195" i="54"/>
  <c r="DN196" i="54"/>
  <c r="DN197" i="54"/>
  <c r="DN198" i="54"/>
  <c r="DN199" i="54"/>
  <c r="DN200" i="54"/>
  <c r="DN201" i="54"/>
  <c r="DN202" i="54"/>
  <c r="DN203" i="54"/>
  <c r="DN204" i="54"/>
  <c r="DN205" i="54"/>
  <c r="DN206" i="54"/>
  <c r="DN207" i="54"/>
  <c r="DN208" i="54"/>
  <c r="DN209" i="54"/>
  <c r="DN210" i="54"/>
  <c r="DN211" i="54"/>
  <c r="DN212" i="54"/>
  <c r="DN213" i="54"/>
  <c r="DN214" i="54"/>
  <c r="DN215" i="54"/>
  <c r="DN216" i="54"/>
  <c r="DN217" i="54"/>
  <c r="DN218" i="54"/>
  <c r="DN219" i="54"/>
  <c r="DN220" i="54"/>
  <c r="DN221" i="54"/>
  <c r="DN222" i="54"/>
  <c r="DN223" i="54"/>
  <c r="DN224" i="54"/>
  <c r="DN225" i="54"/>
  <c r="DN226" i="54"/>
  <c r="DN227" i="54"/>
  <c r="DN228" i="54"/>
  <c r="DN229" i="54"/>
  <c r="DN230" i="54"/>
  <c r="DN231" i="54"/>
  <c r="DN232" i="54"/>
  <c r="DN233" i="54"/>
  <c r="DN234" i="54"/>
  <c r="DN235" i="54"/>
  <c r="DN236" i="54"/>
  <c r="DN237" i="54"/>
  <c r="DN238" i="54"/>
  <c r="DN239" i="54"/>
  <c r="DN240" i="54"/>
  <c r="DN241" i="54"/>
  <c r="DN242" i="54"/>
  <c r="DN243" i="54"/>
  <c r="DN244" i="54"/>
  <c r="DN245" i="54"/>
  <c r="DN246" i="54"/>
  <c r="DN247" i="54"/>
  <c r="DN248" i="54"/>
  <c r="DN249" i="54"/>
  <c r="DN250" i="54"/>
  <c r="DN251" i="54"/>
  <c r="DN252" i="54"/>
  <c r="DN253" i="54"/>
  <c r="DN254" i="54"/>
  <c r="DN255" i="54"/>
  <c r="DN256" i="54"/>
  <c r="DN257" i="54"/>
  <c r="DN258" i="54"/>
  <c r="DN259" i="54"/>
  <c r="DN260" i="54"/>
  <c r="DN261" i="54"/>
  <c r="DN262" i="54"/>
  <c r="DN263" i="54"/>
  <c r="DN264" i="54"/>
  <c r="DN265" i="54"/>
  <c r="DN266" i="54"/>
  <c r="DN267" i="54"/>
  <c r="DN268" i="54"/>
  <c r="BZ10" i="54"/>
  <c r="BZ11" i="54"/>
  <c r="BZ12" i="54"/>
  <c r="BZ13" i="54"/>
  <c r="BZ14" i="54"/>
  <c r="BZ15" i="54"/>
  <c r="BZ16" i="54"/>
  <c r="BZ17" i="54"/>
  <c r="BZ18" i="54"/>
  <c r="BZ19" i="54"/>
  <c r="BZ20" i="54"/>
  <c r="BZ21" i="54"/>
  <c r="BZ22" i="54"/>
  <c r="BZ23" i="54"/>
  <c r="BZ24" i="54"/>
  <c r="BZ25" i="54"/>
  <c r="BZ26" i="54"/>
  <c r="BZ27" i="54"/>
  <c r="BZ28" i="54"/>
  <c r="BZ29" i="54"/>
  <c r="BZ30" i="54"/>
  <c r="BZ31" i="54"/>
  <c r="BZ32" i="54"/>
  <c r="BZ33" i="54"/>
  <c r="BZ34" i="54"/>
  <c r="BZ35" i="54"/>
  <c r="BZ36" i="54"/>
  <c r="BZ37" i="54"/>
  <c r="BZ38" i="54"/>
  <c r="BZ39" i="54"/>
  <c r="BZ40" i="54"/>
  <c r="BZ41" i="54"/>
  <c r="BZ42" i="54"/>
  <c r="BZ43" i="54"/>
  <c r="BZ44" i="54"/>
  <c r="BZ45" i="54"/>
  <c r="BZ46" i="54"/>
  <c r="BZ47" i="54"/>
  <c r="BZ48" i="54"/>
  <c r="BZ49" i="54"/>
  <c r="BZ50" i="54"/>
  <c r="BZ51" i="54"/>
  <c r="BZ52" i="54"/>
  <c r="BZ53" i="54"/>
  <c r="BZ54" i="54"/>
  <c r="BZ55" i="54"/>
  <c r="BZ56" i="54"/>
  <c r="BZ57" i="54"/>
  <c r="BZ58" i="54"/>
  <c r="BZ59" i="54"/>
  <c r="BZ60" i="54"/>
  <c r="BZ61" i="54"/>
  <c r="BZ62" i="54"/>
  <c r="BZ63" i="54"/>
  <c r="BZ64" i="54"/>
  <c r="BZ65" i="54"/>
  <c r="BZ66" i="54"/>
  <c r="BZ67" i="54"/>
  <c r="BZ68" i="54"/>
  <c r="BZ69" i="54"/>
  <c r="BZ70" i="54"/>
  <c r="BZ71" i="54"/>
  <c r="BZ72" i="54"/>
  <c r="BZ73" i="54"/>
  <c r="BZ74" i="54"/>
  <c r="BZ75" i="54"/>
  <c r="BZ76" i="54"/>
  <c r="BZ77" i="54"/>
  <c r="BZ78" i="54"/>
  <c r="BZ79" i="54"/>
  <c r="BZ80" i="54"/>
  <c r="BZ81" i="54"/>
  <c r="BZ82" i="54"/>
  <c r="BZ83" i="54"/>
  <c r="BZ84" i="54"/>
  <c r="BZ85" i="54"/>
  <c r="BZ86" i="54"/>
  <c r="BZ87" i="54"/>
  <c r="BZ88" i="54"/>
  <c r="BZ89" i="54"/>
  <c r="BZ90" i="54"/>
  <c r="BZ91" i="54"/>
  <c r="BZ92" i="54"/>
  <c r="BZ93" i="54"/>
  <c r="BZ94" i="54"/>
  <c r="BZ95" i="54"/>
  <c r="BZ96" i="54"/>
  <c r="BZ97" i="54"/>
  <c r="BZ98" i="54"/>
  <c r="BZ99" i="54"/>
  <c r="BZ100" i="54"/>
  <c r="BZ101" i="54"/>
  <c r="BZ102" i="54"/>
  <c r="BZ103" i="54"/>
  <c r="BZ104" i="54"/>
  <c r="BZ105" i="54"/>
  <c r="BZ106" i="54"/>
  <c r="BZ107" i="54"/>
  <c r="BZ108" i="54"/>
  <c r="BZ109" i="54"/>
  <c r="BZ110" i="54"/>
  <c r="BZ111" i="54"/>
  <c r="BZ112" i="54"/>
  <c r="BZ113" i="54"/>
  <c r="BZ114" i="54"/>
  <c r="BZ115" i="54"/>
  <c r="BZ116" i="54"/>
  <c r="BZ117" i="54"/>
  <c r="BZ118" i="54"/>
  <c r="BZ119" i="54"/>
  <c r="BZ120" i="54"/>
  <c r="BZ121" i="54"/>
  <c r="BZ122" i="54"/>
  <c r="BZ123" i="54"/>
  <c r="BZ124" i="54"/>
  <c r="BZ125" i="54"/>
  <c r="BZ126" i="54"/>
  <c r="BZ127" i="54"/>
  <c r="BZ128" i="54"/>
  <c r="BZ129" i="54"/>
  <c r="BZ130" i="54"/>
  <c r="BZ131" i="54"/>
  <c r="BZ132" i="54"/>
  <c r="BZ133" i="54"/>
  <c r="BZ134" i="54"/>
  <c r="BZ135" i="54"/>
  <c r="BZ136" i="54"/>
  <c r="BZ137" i="54"/>
  <c r="BZ138" i="54"/>
  <c r="BZ139" i="54"/>
  <c r="BZ140" i="54"/>
  <c r="BZ141" i="54"/>
  <c r="BZ142" i="54"/>
  <c r="BZ143" i="54"/>
  <c r="BZ144" i="54"/>
  <c r="BZ145" i="54"/>
  <c r="BZ146" i="54"/>
  <c r="BZ147" i="54"/>
  <c r="BZ148" i="54"/>
  <c r="BZ149" i="54"/>
  <c r="BZ150" i="54"/>
  <c r="BZ151" i="54"/>
  <c r="BZ152" i="54"/>
  <c r="BZ153" i="54"/>
  <c r="BZ154" i="54"/>
  <c r="BZ155" i="54"/>
  <c r="BZ156" i="54"/>
  <c r="BZ157" i="54"/>
  <c r="BZ158" i="54"/>
  <c r="BZ159" i="54"/>
  <c r="BZ160" i="54"/>
  <c r="BZ161" i="54"/>
  <c r="BZ162" i="54"/>
  <c r="BZ163" i="54"/>
  <c r="BZ164" i="54"/>
  <c r="BZ165" i="54"/>
  <c r="BZ166" i="54"/>
  <c r="BZ167" i="54"/>
  <c r="BZ168" i="54"/>
  <c r="BZ169" i="54"/>
  <c r="BZ170" i="54"/>
  <c r="BZ171" i="54"/>
  <c r="BZ172" i="54"/>
  <c r="BZ173" i="54"/>
  <c r="BZ174" i="54"/>
  <c r="BZ175" i="54"/>
  <c r="BZ176" i="54"/>
  <c r="BZ177" i="54"/>
  <c r="BZ178" i="54"/>
  <c r="BZ179" i="54"/>
  <c r="BZ180" i="54"/>
  <c r="BZ181" i="54"/>
  <c r="BZ182" i="54"/>
  <c r="BZ183" i="54"/>
  <c r="BZ184" i="54"/>
  <c r="BZ185" i="54"/>
  <c r="BZ186" i="54"/>
  <c r="BZ187" i="54"/>
  <c r="BZ188" i="54"/>
  <c r="BZ189" i="54"/>
  <c r="BZ190" i="54"/>
  <c r="BZ191" i="54"/>
  <c r="BZ192" i="54"/>
  <c r="BZ193" i="54"/>
  <c r="BZ194" i="54"/>
  <c r="BZ195" i="54"/>
  <c r="BZ196" i="54"/>
  <c r="BZ197" i="54"/>
  <c r="BZ198" i="54"/>
  <c r="BZ199" i="54"/>
  <c r="BZ200" i="54"/>
  <c r="BZ201" i="54"/>
  <c r="BZ202" i="54"/>
  <c r="BZ203" i="54"/>
  <c r="BZ204" i="54"/>
  <c r="BZ205" i="54"/>
  <c r="BZ206" i="54"/>
  <c r="BZ207" i="54"/>
  <c r="BZ208" i="54"/>
  <c r="BZ209" i="54"/>
  <c r="BZ210" i="54"/>
  <c r="BZ211" i="54"/>
  <c r="BZ212" i="54"/>
  <c r="BZ213" i="54"/>
  <c r="BZ214" i="54"/>
  <c r="BZ215" i="54"/>
  <c r="BZ216" i="54"/>
  <c r="BZ217" i="54"/>
  <c r="BZ218" i="54"/>
  <c r="BZ219" i="54"/>
  <c r="BZ220" i="54"/>
  <c r="BZ221" i="54"/>
  <c r="BZ222" i="54"/>
  <c r="BZ223" i="54"/>
  <c r="BZ224" i="54"/>
  <c r="BZ225" i="54"/>
  <c r="BZ226" i="54"/>
  <c r="BZ227" i="54"/>
  <c r="BZ228" i="54"/>
  <c r="BZ229" i="54"/>
  <c r="BZ230" i="54"/>
  <c r="BZ231" i="54"/>
  <c r="BZ232" i="54"/>
  <c r="BZ233" i="54"/>
  <c r="BZ234" i="54"/>
  <c r="BZ235" i="54"/>
  <c r="BZ236" i="54"/>
  <c r="BZ237" i="54"/>
  <c r="BZ238" i="54"/>
  <c r="BZ239" i="54"/>
  <c r="BZ240" i="54"/>
  <c r="BZ241" i="54"/>
  <c r="BZ242" i="54"/>
  <c r="BZ243" i="54"/>
  <c r="BZ244" i="54"/>
  <c r="BZ245" i="54"/>
  <c r="BZ246" i="54"/>
  <c r="BZ247" i="54"/>
  <c r="BZ248" i="54"/>
  <c r="BZ249" i="54"/>
  <c r="BZ250" i="54"/>
  <c r="BZ251" i="54"/>
  <c r="BZ252" i="54"/>
  <c r="BZ253" i="54"/>
  <c r="BZ254" i="54"/>
  <c r="BZ255" i="54"/>
  <c r="BZ256" i="54"/>
  <c r="BZ257" i="54"/>
  <c r="BZ258" i="54"/>
  <c r="BZ259" i="54"/>
  <c r="BZ260" i="54"/>
  <c r="BZ261" i="54"/>
  <c r="BZ262" i="54"/>
  <c r="BZ263" i="54"/>
  <c r="BZ264" i="54"/>
  <c r="BZ265" i="54"/>
  <c r="BZ266" i="54"/>
  <c r="BZ267" i="54"/>
  <c r="BZ268" i="54"/>
  <c r="HJ10" i="54"/>
  <c r="HJ11" i="54"/>
  <c r="HJ12" i="54"/>
  <c r="HJ13" i="54"/>
  <c r="HJ14" i="54"/>
  <c r="HJ15" i="54"/>
  <c r="HJ16" i="54"/>
  <c r="HJ17" i="54"/>
  <c r="HJ18" i="54"/>
  <c r="HJ19" i="54"/>
  <c r="HJ20" i="54"/>
  <c r="HJ21" i="54"/>
  <c r="HJ22" i="54"/>
  <c r="HJ23" i="54"/>
  <c r="HJ24" i="54"/>
  <c r="HJ25" i="54"/>
  <c r="HJ26" i="54"/>
  <c r="HJ27" i="54"/>
  <c r="HJ28" i="54"/>
  <c r="HJ29" i="54"/>
  <c r="HJ30" i="54"/>
  <c r="HJ31" i="54"/>
  <c r="HJ32" i="54"/>
  <c r="HJ33" i="54"/>
  <c r="HJ34" i="54"/>
  <c r="HJ35" i="54"/>
  <c r="HJ36" i="54"/>
  <c r="HJ37" i="54"/>
  <c r="HJ38" i="54"/>
  <c r="HJ39" i="54"/>
  <c r="HJ40" i="54"/>
  <c r="HJ41" i="54"/>
  <c r="HJ42" i="54"/>
  <c r="HJ43" i="54"/>
  <c r="HJ44" i="54"/>
  <c r="HJ45" i="54"/>
  <c r="HJ46" i="54"/>
  <c r="HJ47" i="54"/>
  <c r="HJ48" i="54"/>
  <c r="HJ49" i="54"/>
  <c r="HJ50" i="54"/>
  <c r="HJ51" i="54"/>
  <c r="HJ52" i="54"/>
  <c r="HJ53" i="54"/>
  <c r="HJ54" i="54"/>
  <c r="HJ55" i="54"/>
  <c r="HJ56" i="54"/>
  <c r="HJ57" i="54"/>
  <c r="HJ58" i="54"/>
  <c r="HJ59" i="54"/>
  <c r="HJ60" i="54"/>
  <c r="HJ61" i="54"/>
  <c r="HJ62" i="54"/>
  <c r="HJ63" i="54"/>
  <c r="HJ64" i="54"/>
  <c r="HJ65" i="54"/>
  <c r="HJ66" i="54"/>
  <c r="HJ67" i="54"/>
  <c r="HJ68" i="54"/>
  <c r="HJ69" i="54"/>
  <c r="HJ70" i="54"/>
  <c r="HJ71" i="54"/>
  <c r="HJ72" i="54"/>
  <c r="HJ73" i="54"/>
  <c r="HJ74" i="54"/>
  <c r="HJ75" i="54"/>
  <c r="HJ76" i="54"/>
  <c r="HJ77" i="54"/>
  <c r="HJ78" i="54"/>
  <c r="HJ79" i="54"/>
  <c r="HJ80" i="54"/>
  <c r="HJ81" i="54"/>
  <c r="HJ82" i="54"/>
  <c r="HJ83" i="54"/>
  <c r="HJ84" i="54"/>
  <c r="HJ85" i="54"/>
  <c r="HJ86" i="54"/>
  <c r="HJ87" i="54"/>
  <c r="HJ88" i="54"/>
  <c r="HJ89" i="54"/>
  <c r="HJ90" i="54"/>
  <c r="HJ91" i="54"/>
  <c r="HJ92" i="54"/>
  <c r="HJ93" i="54"/>
  <c r="HJ94" i="54"/>
  <c r="HJ95" i="54"/>
  <c r="HJ96" i="54"/>
  <c r="HJ97" i="54"/>
  <c r="HJ98" i="54"/>
  <c r="HJ99" i="54"/>
  <c r="HJ100" i="54"/>
  <c r="HJ101" i="54"/>
  <c r="HJ102" i="54"/>
  <c r="HJ103" i="54"/>
  <c r="HJ104" i="54"/>
  <c r="HJ105" i="54"/>
  <c r="HJ106" i="54"/>
  <c r="HJ107" i="54"/>
  <c r="HJ108" i="54"/>
  <c r="HJ109" i="54"/>
  <c r="HJ110" i="54"/>
  <c r="HJ111" i="54"/>
  <c r="HJ112" i="54"/>
  <c r="HJ113" i="54"/>
  <c r="HJ114" i="54"/>
  <c r="HJ115" i="54"/>
  <c r="HJ116" i="54"/>
  <c r="HJ117" i="54"/>
  <c r="HJ118" i="54"/>
  <c r="HJ119" i="54"/>
  <c r="HJ120" i="54"/>
  <c r="HJ121" i="54"/>
  <c r="HJ122" i="54"/>
  <c r="HJ123" i="54"/>
  <c r="HJ124" i="54"/>
  <c r="HJ125" i="54"/>
  <c r="HJ126" i="54"/>
  <c r="HJ127" i="54"/>
  <c r="HJ128" i="54"/>
  <c r="HJ129" i="54"/>
  <c r="HJ130" i="54"/>
  <c r="HJ131" i="54"/>
  <c r="HJ132" i="54"/>
  <c r="HJ133" i="54"/>
  <c r="HJ134" i="54"/>
  <c r="HJ135" i="54"/>
  <c r="HJ136" i="54"/>
  <c r="HJ137" i="54"/>
  <c r="HJ138" i="54"/>
  <c r="HJ139" i="54"/>
  <c r="HJ140" i="54"/>
  <c r="HJ141" i="54"/>
  <c r="HJ142" i="54"/>
  <c r="HJ143" i="54"/>
  <c r="HJ144" i="54"/>
  <c r="HJ145" i="54"/>
  <c r="HJ146" i="54"/>
  <c r="HJ147" i="54"/>
  <c r="HJ148" i="54"/>
  <c r="HJ149" i="54"/>
  <c r="HJ150" i="54"/>
  <c r="HJ151" i="54"/>
  <c r="HJ152" i="54"/>
  <c r="HJ153" i="54"/>
  <c r="HJ154" i="54"/>
  <c r="HJ155" i="54"/>
  <c r="HJ156" i="54"/>
  <c r="HJ157" i="54"/>
  <c r="HJ158" i="54"/>
  <c r="HJ159" i="54"/>
  <c r="HJ160" i="54"/>
  <c r="HJ161" i="54"/>
  <c r="HJ162" i="54"/>
  <c r="HJ163" i="54"/>
  <c r="HJ164" i="54"/>
  <c r="HJ165" i="54"/>
  <c r="HJ166" i="54"/>
  <c r="HJ167" i="54"/>
  <c r="HJ168" i="54"/>
  <c r="HJ169" i="54"/>
  <c r="HJ170" i="54"/>
  <c r="HJ171" i="54"/>
  <c r="HJ172" i="54"/>
  <c r="HJ173" i="54"/>
  <c r="HJ174" i="54"/>
  <c r="HJ175" i="54"/>
  <c r="HJ176" i="54"/>
  <c r="HJ177" i="54"/>
  <c r="HJ178" i="54"/>
  <c r="HJ179" i="54"/>
  <c r="HJ180" i="54"/>
  <c r="HJ181" i="54"/>
  <c r="HJ182" i="54"/>
  <c r="HJ183" i="54"/>
  <c r="HJ184" i="54"/>
  <c r="HJ185" i="54"/>
  <c r="HJ186" i="54"/>
  <c r="HJ187" i="54"/>
  <c r="HJ188" i="54"/>
  <c r="HJ189" i="54"/>
  <c r="HJ190" i="54"/>
  <c r="HJ191" i="54"/>
  <c r="HJ192" i="54"/>
  <c r="HJ193" i="54"/>
  <c r="HJ194" i="54"/>
  <c r="HJ195" i="54"/>
  <c r="HJ196" i="54"/>
  <c r="HJ197" i="54"/>
  <c r="HJ198" i="54"/>
  <c r="HJ199" i="54"/>
  <c r="HJ200" i="54"/>
  <c r="HJ201" i="54"/>
  <c r="HJ202" i="54"/>
  <c r="HJ203" i="54"/>
  <c r="HJ204" i="54"/>
  <c r="HJ205" i="54"/>
  <c r="HJ206" i="54"/>
  <c r="HJ207" i="54"/>
  <c r="HJ208" i="54"/>
  <c r="HJ209" i="54"/>
  <c r="HJ210" i="54"/>
  <c r="HJ211" i="54"/>
  <c r="HJ212" i="54"/>
  <c r="HJ213" i="54"/>
  <c r="HJ214" i="54"/>
  <c r="HJ215" i="54"/>
  <c r="HJ216" i="54"/>
  <c r="HJ217" i="54"/>
  <c r="HJ218" i="54"/>
  <c r="HJ219" i="54"/>
  <c r="HJ220" i="54"/>
  <c r="HJ221" i="54"/>
  <c r="HJ222" i="54"/>
  <c r="HJ223" i="54"/>
  <c r="HJ224" i="54"/>
  <c r="HJ225" i="54"/>
  <c r="HJ226" i="54"/>
  <c r="HJ227" i="54"/>
  <c r="HJ228" i="54"/>
  <c r="HJ229" i="54"/>
  <c r="HJ230" i="54"/>
  <c r="HJ231" i="54"/>
  <c r="HJ232" i="54"/>
  <c r="HJ233" i="54"/>
  <c r="HJ234" i="54"/>
  <c r="HJ235" i="54"/>
  <c r="HJ236" i="54"/>
  <c r="HJ237" i="54"/>
  <c r="HJ238" i="54"/>
  <c r="HJ239" i="54"/>
  <c r="HJ240" i="54"/>
  <c r="HJ241" i="54"/>
  <c r="HJ242" i="54"/>
  <c r="HJ243" i="54"/>
  <c r="HJ244" i="54"/>
  <c r="HJ245" i="54"/>
  <c r="HJ246" i="54"/>
  <c r="HJ247" i="54"/>
  <c r="HJ248" i="54"/>
  <c r="HJ249" i="54"/>
  <c r="HJ250" i="54"/>
  <c r="HJ251" i="54"/>
  <c r="HJ252" i="54"/>
  <c r="HJ253" i="54"/>
  <c r="HJ254" i="54"/>
  <c r="HJ255" i="54"/>
  <c r="HJ256" i="54"/>
  <c r="HJ257" i="54"/>
  <c r="HJ258" i="54"/>
  <c r="HJ259" i="54"/>
  <c r="HJ260" i="54"/>
  <c r="HJ261" i="54"/>
  <c r="HJ262" i="54"/>
  <c r="HJ263" i="54"/>
  <c r="HJ264" i="54"/>
  <c r="HJ265" i="54"/>
  <c r="HJ266" i="54"/>
  <c r="HJ267" i="54"/>
  <c r="HJ268" i="54"/>
  <c r="GP10" i="54"/>
  <c r="GP11" i="54"/>
  <c r="GP12" i="54"/>
  <c r="GP13" i="54"/>
  <c r="GP14" i="54"/>
  <c r="GP15" i="54"/>
  <c r="GP16" i="54"/>
  <c r="GP17" i="54"/>
  <c r="GP18" i="54"/>
  <c r="GP19" i="54"/>
  <c r="GP20" i="54"/>
  <c r="GP21" i="54"/>
  <c r="GP22" i="54"/>
  <c r="GP23" i="54"/>
  <c r="GP24" i="54"/>
  <c r="GP25" i="54"/>
  <c r="GP26" i="54"/>
  <c r="GP27" i="54"/>
  <c r="GP28" i="54"/>
  <c r="GP29" i="54"/>
  <c r="GP30" i="54"/>
  <c r="GP31" i="54"/>
  <c r="GP32" i="54"/>
  <c r="GP33" i="54"/>
  <c r="GP34" i="54"/>
  <c r="GP35" i="54"/>
  <c r="GP36" i="54"/>
  <c r="GP37" i="54"/>
  <c r="GP38" i="54"/>
  <c r="GP39" i="54"/>
  <c r="GP40" i="54"/>
  <c r="GP41" i="54"/>
  <c r="GP42" i="54"/>
  <c r="GP43" i="54"/>
  <c r="GP44" i="54"/>
  <c r="GP45" i="54"/>
  <c r="GP46" i="54"/>
  <c r="GP47" i="54"/>
  <c r="GP48" i="54"/>
  <c r="GP49" i="54"/>
  <c r="GP50" i="54"/>
  <c r="GP51" i="54"/>
  <c r="GP52" i="54"/>
  <c r="GP53" i="54"/>
  <c r="GP54" i="54"/>
  <c r="GP55" i="54"/>
  <c r="GP56" i="54"/>
  <c r="GP57" i="54"/>
  <c r="GP58" i="54"/>
  <c r="GP59" i="54"/>
  <c r="GP60" i="54"/>
  <c r="GP61" i="54"/>
  <c r="GP62" i="54"/>
  <c r="GP63" i="54"/>
  <c r="GP64" i="54"/>
  <c r="GP65" i="54"/>
  <c r="GP66" i="54"/>
  <c r="GP67" i="54"/>
  <c r="GP68" i="54"/>
  <c r="GP69" i="54"/>
  <c r="GP70" i="54"/>
  <c r="GP71" i="54"/>
  <c r="GP72" i="54"/>
  <c r="GP73" i="54"/>
  <c r="GP74" i="54"/>
  <c r="GP75" i="54"/>
  <c r="GP76" i="54"/>
  <c r="GP77" i="54"/>
  <c r="GP78" i="54"/>
  <c r="GP79" i="54"/>
  <c r="GP80" i="54"/>
  <c r="GP81" i="54"/>
  <c r="GP82" i="54"/>
  <c r="GP83" i="54"/>
  <c r="GP84" i="54"/>
  <c r="GP85" i="54"/>
  <c r="GP86" i="54"/>
  <c r="GP87" i="54"/>
  <c r="GP88" i="54"/>
  <c r="GP89" i="54"/>
  <c r="GP90" i="54"/>
  <c r="GP91" i="54"/>
  <c r="GP92" i="54"/>
  <c r="GP93" i="54"/>
  <c r="GP94" i="54"/>
  <c r="GP95" i="54"/>
  <c r="GP96" i="54"/>
  <c r="GP97" i="54"/>
  <c r="GP98" i="54"/>
  <c r="GP99" i="54"/>
  <c r="GP100" i="54"/>
  <c r="GP101" i="54"/>
  <c r="GP102" i="54"/>
  <c r="GP103" i="54"/>
  <c r="GP104" i="54"/>
  <c r="GP105" i="54"/>
  <c r="GP106" i="54"/>
  <c r="GP107" i="54"/>
  <c r="GP108" i="54"/>
  <c r="GP109" i="54"/>
  <c r="GP110" i="54"/>
  <c r="GP111" i="54"/>
  <c r="GP112" i="54"/>
  <c r="GP113" i="54"/>
  <c r="GP114" i="54"/>
  <c r="GP115" i="54"/>
  <c r="GP116" i="54"/>
  <c r="GP117" i="54"/>
  <c r="GP118" i="54"/>
  <c r="GP119" i="54"/>
  <c r="GP120" i="54"/>
  <c r="GP121" i="54"/>
  <c r="GP122" i="54"/>
  <c r="GP123" i="54"/>
  <c r="GP124" i="54"/>
  <c r="GP125" i="54"/>
  <c r="GP126" i="54"/>
  <c r="GP127" i="54"/>
  <c r="GP128" i="54"/>
  <c r="GP129" i="54"/>
  <c r="GP130" i="54"/>
  <c r="GP131" i="54"/>
  <c r="GP132" i="54"/>
  <c r="GP133" i="54"/>
  <c r="GP134" i="54"/>
  <c r="GP135" i="54"/>
  <c r="GP136" i="54"/>
  <c r="GP137" i="54"/>
  <c r="GP138" i="54"/>
  <c r="GP139" i="54"/>
  <c r="GP140" i="54"/>
  <c r="GP141" i="54"/>
  <c r="GP142" i="54"/>
  <c r="GP143" i="54"/>
  <c r="GP144" i="54"/>
  <c r="GP145" i="54"/>
  <c r="GP146" i="54"/>
  <c r="GP147" i="54"/>
  <c r="GP148" i="54"/>
  <c r="GP149" i="54"/>
  <c r="GP150" i="54"/>
  <c r="GP151" i="54"/>
  <c r="GP152" i="54"/>
  <c r="GP153" i="54"/>
  <c r="GP154" i="54"/>
  <c r="GP155" i="54"/>
  <c r="GP156" i="54"/>
  <c r="GP157" i="54"/>
  <c r="GP158" i="54"/>
  <c r="GP159" i="54"/>
  <c r="GP160" i="54"/>
  <c r="GP161" i="54"/>
  <c r="GP162" i="54"/>
  <c r="GP163" i="54"/>
  <c r="GP164" i="54"/>
  <c r="GP165" i="54"/>
  <c r="GP166" i="54"/>
  <c r="GP167" i="54"/>
  <c r="GP168" i="54"/>
  <c r="GP169" i="54"/>
  <c r="GP170" i="54"/>
  <c r="GP171" i="54"/>
  <c r="GP172" i="54"/>
  <c r="GP173" i="54"/>
  <c r="GP174" i="54"/>
  <c r="GP175" i="54"/>
  <c r="GP176" i="54"/>
  <c r="GP177" i="54"/>
  <c r="GP178" i="54"/>
  <c r="GP179" i="54"/>
  <c r="GP180" i="54"/>
  <c r="GP181" i="54"/>
  <c r="GP182" i="54"/>
  <c r="GP183" i="54"/>
  <c r="GP184" i="54"/>
  <c r="GP185" i="54"/>
  <c r="GP186" i="54"/>
  <c r="GP187" i="54"/>
  <c r="GP188" i="54"/>
  <c r="GP189" i="54"/>
  <c r="GP190" i="54"/>
  <c r="GP191" i="54"/>
  <c r="GP192" i="54"/>
  <c r="GP193" i="54"/>
  <c r="GP194" i="54"/>
  <c r="GP195" i="54"/>
  <c r="GP196" i="54"/>
  <c r="GP197" i="54"/>
  <c r="GP198" i="54"/>
  <c r="GP199" i="54"/>
  <c r="GP200" i="54"/>
  <c r="GP201" i="54"/>
  <c r="GP202" i="54"/>
  <c r="GP203" i="54"/>
  <c r="GP204" i="54"/>
  <c r="GP205" i="54"/>
  <c r="GP206" i="54"/>
  <c r="GP207" i="54"/>
  <c r="GP208" i="54"/>
  <c r="GP209" i="54"/>
  <c r="GP210" i="54"/>
  <c r="GP211" i="54"/>
  <c r="GP212" i="54"/>
  <c r="GP213" i="54"/>
  <c r="GP214" i="54"/>
  <c r="GP215" i="54"/>
  <c r="GP216" i="54"/>
  <c r="GP217" i="54"/>
  <c r="GP218" i="54"/>
  <c r="GP219" i="54"/>
  <c r="GP220" i="54"/>
  <c r="GP221" i="54"/>
  <c r="GP222" i="54"/>
  <c r="GP223" i="54"/>
  <c r="GP224" i="54"/>
  <c r="GP225" i="54"/>
  <c r="GP226" i="54"/>
  <c r="GP227" i="54"/>
  <c r="GP228" i="54"/>
  <c r="GP229" i="54"/>
  <c r="GP230" i="54"/>
  <c r="GP231" i="54"/>
  <c r="GP232" i="54"/>
  <c r="GP233" i="54"/>
  <c r="GP234" i="54"/>
  <c r="GP235" i="54"/>
  <c r="GP236" i="54"/>
  <c r="GP237" i="54"/>
  <c r="GP238" i="54"/>
  <c r="GP239" i="54"/>
  <c r="GP240" i="54"/>
  <c r="GP241" i="54"/>
  <c r="GP242" i="54"/>
  <c r="GP243" i="54"/>
  <c r="GP244" i="54"/>
  <c r="GP245" i="54"/>
  <c r="GP246" i="54"/>
  <c r="GP247" i="54"/>
  <c r="GP248" i="54"/>
  <c r="GP249" i="54"/>
  <c r="GP250" i="54"/>
  <c r="GP251" i="54"/>
  <c r="GP252" i="54"/>
  <c r="GP253" i="54"/>
  <c r="GP254" i="54"/>
  <c r="GP255" i="54"/>
  <c r="GP256" i="54"/>
  <c r="GP257" i="54"/>
  <c r="GP258" i="54"/>
  <c r="GP259" i="54"/>
  <c r="GP260" i="54"/>
  <c r="GP261" i="54"/>
  <c r="GP262" i="54"/>
  <c r="GP263" i="54"/>
  <c r="GP264" i="54"/>
  <c r="GP265" i="54"/>
  <c r="GP266" i="54"/>
  <c r="GP267" i="54"/>
  <c r="GP268" i="54"/>
  <c r="BM60" i="54"/>
  <c r="BM47" i="54"/>
  <c r="BM34" i="54"/>
  <c r="BM21" i="54"/>
  <c r="AP6" i="50" l="1"/>
  <c r="AS6" i="50" s="1"/>
  <c r="Y24" i="50"/>
  <c r="Y44" i="50" s="1"/>
  <c r="Y28" i="50"/>
  <c r="H33" i="50" s="1"/>
  <c r="Y30" i="50"/>
  <c r="H34" i="50" s="1"/>
  <c r="Q18" i="50"/>
  <c r="B32" i="50" s="1"/>
  <c r="Y26" i="50"/>
  <c r="H32" i="50" s="1"/>
  <c r="Q26" i="50"/>
  <c r="Q28" i="50"/>
  <c r="B5" i="61"/>
  <c r="B45" i="61" s="1"/>
  <c r="C45" i="61" s="1" a="1"/>
  <c r="C45" i="61" s="1"/>
  <c r="B5" i="57"/>
  <c r="BF41" i="54" a="1"/>
  <c r="BF41" i="54" s="1"/>
  <c r="DX6" i="40" a="1"/>
  <c r="DX6" i="40" s="1"/>
  <c r="BU6" i="40" a="1"/>
  <c r="BU6" i="40" s="1"/>
  <c r="B1" i="64" a="1"/>
  <c r="B1" i="64" s="1"/>
  <c r="D15" i="61"/>
  <c r="CA267" i="54"/>
  <c r="CA261" i="54"/>
  <c r="CA255" i="54"/>
  <c r="CA249" i="54"/>
  <c r="CA243" i="54"/>
  <c r="CA237" i="54"/>
  <c r="CA231" i="54"/>
  <c r="CA225" i="54"/>
  <c r="CA219" i="54"/>
  <c r="CA213" i="54"/>
  <c r="CA207" i="54"/>
  <c r="CA201" i="54"/>
  <c r="CA195" i="54"/>
  <c r="CA189" i="54"/>
  <c r="CA183" i="54"/>
  <c r="CA177" i="54"/>
  <c r="CA171" i="54"/>
  <c r="CA165" i="54"/>
  <c r="CA159" i="54"/>
  <c r="CA153" i="54"/>
  <c r="CA147" i="54"/>
  <c r="CA141" i="54"/>
  <c r="CA135" i="54"/>
  <c r="CA129" i="54"/>
  <c r="CA123" i="54"/>
  <c r="CA117" i="54"/>
  <c r="CA111" i="54"/>
  <c r="CA105" i="54"/>
  <c r="CA99" i="54"/>
  <c r="CA93" i="54"/>
  <c r="CA87" i="54"/>
  <c r="CA81" i="54"/>
  <c r="CA75" i="54"/>
  <c r="CA69" i="54"/>
  <c r="CA63" i="54"/>
  <c r="CA57" i="54"/>
  <c r="CA51" i="54"/>
  <c r="CA45" i="54"/>
  <c r="CA39" i="54"/>
  <c r="CA33" i="54"/>
  <c r="CA27" i="54"/>
  <c r="CA21" i="54"/>
  <c r="CA15" i="54"/>
  <c r="CA266" i="54"/>
  <c r="CA260" i="54"/>
  <c r="CA254" i="54"/>
  <c r="CA248" i="54"/>
  <c r="CA242" i="54"/>
  <c r="CA236" i="54"/>
  <c r="CA230" i="54"/>
  <c r="CA224" i="54"/>
  <c r="CA218" i="54"/>
  <c r="CA212" i="54"/>
  <c r="CA206" i="54"/>
  <c r="CA200" i="54"/>
  <c r="CA194" i="54"/>
  <c r="CA188" i="54"/>
  <c r="CA182" i="54"/>
  <c r="CA176" i="54"/>
  <c r="CA170" i="54"/>
  <c r="CA164" i="54"/>
  <c r="CA158" i="54"/>
  <c r="CA152" i="54"/>
  <c r="CA146" i="54"/>
  <c r="CA140" i="54"/>
  <c r="CA134" i="54"/>
  <c r="CA128" i="54"/>
  <c r="CA122" i="54"/>
  <c r="CA116" i="54"/>
  <c r="CA110" i="54"/>
  <c r="CA104" i="54"/>
  <c r="CA98" i="54"/>
  <c r="CA92" i="54"/>
  <c r="CA86" i="54"/>
  <c r="CA80" i="54"/>
  <c r="CA74" i="54"/>
  <c r="CA68" i="54"/>
  <c r="CA62" i="54"/>
  <c r="CA56" i="54"/>
  <c r="CA50" i="54"/>
  <c r="CA44" i="54"/>
  <c r="CA38" i="54"/>
  <c r="CA32" i="54"/>
  <c r="CA26" i="54"/>
  <c r="CA20" i="54"/>
  <c r="CA14" i="54"/>
  <c r="CA265" i="54"/>
  <c r="CA259" i="54"/>
  <c r="CA253" i="54"/>
  <c r="CA247" i="54"/>
  <c r="CA241" i="54"/>
  <c r="CA235" i="54"/>
  <c r="CA229" i="54"/>
  <c r="CA223" i="54"/>
  <c r="CA217" i="54"/>
  <c r="CA211" i="54"/>
  <c r="CA205" i="54"/>
  <c r="CA199" i="54"/>
  <c r="CA193" i="54"/>
  <c r="CA187" i="54"/>
  <c r="CA181" i="54"/>
  <c r="CA175" i="54"/>
  <c r="CA169" i="54"/>
  <c r="CA163" i="54"/>
  <c r="CA157" i="54"/>
  <c r="CA151" i="54"/>
  <c r="CA145" i="54"/>
  <c r="CA139" i="54"/>
  <c r="CA133" i="54"/>
  <c r="CA127" i="54"/>
  <c r="CA121" i="54"/>
  <c r="CA115" i="54"/>
  <c r="CA109" i="54"/>
  <c r="CA103" i="54"/>
  <c r="CA97" i="54"/>
  <c r="CA91" i="54"/>
  <c r="CA85" i="54"/>
  <c r="CA79" i="54"/>
  <c r="CA73" i="54"/>
  <c r="CA67" i="54"/>
  <c r="CA61" i="54"/>
  <c r="CA55" i="54"/>
  <c r="CA49" i="54"/>
  <c r="CA43" i="54"/>
  <c r="CA37" i="54"/>
  <c r="CA31" i="54"/>
  <c r="CA25" i="54"/>
  <c r="CA19" i="54"/>
  <c r="CA13" i="54"/>
  <c r="CA264" i="54"/>
  <c r="CA258" i="54"/>
  <c r="CA252" i="54"/>
  <c r="CA246" i="54"/>
  <c r="CA240" i="54"/>
  <c r="CA234" i="54"/>
  <c r="CA228" i="54"/>
  <c r="CA222" i="54"/>
  <c r="CA216" i="54"/>
  <c r="CA210" i="54"/>
  <c r="CA204" i="54"/>
  <c r="CA198" i="54"/>
  <c r="CA192" i="54"/>
  <c r="CA186" i="54"/>
  <c r="CA180" i="54"/>
  <c r="CA174" i="54"/>
  <c r="CA168" i="54"/>
  <c r="CA162" i="54"/>
  <c r="CA156" i="54"/>
  <c r="CA150" i="54"/>
  <c r="CA144" i="54"/>
  <c r="CA138" i="54"/>
  <c r="CA132" i="54"/>
  <c r="CA126" i="54"/>
  <c r="CA120" i="54"/>
  <c r="CA114" i="54"/>
  <c r="CA108" i="54"/>
  <c r="CA102" i="54"/>
  <c r="CA96" i="54"/>
  <c r="CA90" i="54"/>
  <c r="CA84" i="54"/>
  <c r="CA78" i="54"/>
  <c r="CA72" i="54"/>
  <c r="CA66" i="54"/>
  <c r="CA60" i="54"/>
  <c r="CA54" i="54"/>
  <c r="CA48" i="54"/>
  <c r="CA42" i="54"/>
  <c r="CA36" i="54"/>
  <c r="CA30" i="54"/>
  <c r="CA24" i="54"/>
  <c r="CA18" i="54"/>
  <c r="CA12" i="54"/>
  <c r="CA263" i="54"/>
  <c r="CA257" i="54"/>
  <c r="CA251" i="54"/>
  <c r="CA245" i="54"/>
  <c r="CA239" i="54"/>
  <c r="CA233" i="54"/>
  <c r="CA227" i="54"/>
  <c r="CA221" i="54"/>
  <c r="CA215" i="54"/>
  <c r="CA209" i="54"/>
  <c r="CA203" i="54"/>
  <c r="CA197" i="54"/>
  <c r="CA191" i="54"/>
  <c r="CA185" i="54"/>
  <c r="CA179" i="54"/>
  <c r="CA173" i="54"/>
  <c r="CA167" i="54"/>
  <c r="CA161" i="54"/>
  <c r="CA155" i="54"/>
  <c r="CA149" i="54"/>
  <c r="CA143" i="54"/>
  <c r="CA137" i="54"/>
  <c r="CA131" i="54"/>
  <c r="CA125" i="54"/>
  <c r="CA119" i="54"/>
  <c r="CA113" i="54"/>
  <c r="CA107" i="54"/>
  <c r="CA101" i="54"/>
  <c r="CA95" i="54"/>
  <c r="CA89" i="54"/>
  <c r="CA83" i="54"/>
  <c r="CA77" i="54"/>
  <c r="CA71" i="54"/>
  <c r="CA65" i="54"/>
  <c r="CA59" i="54"/>
  <c r="CA53" i="54"/>
  <c r="CA47" i="54"/>
  <c r="CA41" i="54"/>
  <c r="CA35" i="54"/>
  <c r="CA29" i="54"/>
  <c r="CA23" i="54"/>
  <c r="CA17" i="54"/>
  <c r="CA11" i="54"/>
  <c r="CA268" i="54"/>
  <c r="CA262" i="54"/>
  <c r="CA256" i="54"/>
  <c r="CA250" i="54"/>
  <c r="CA244" i="54"/>
  <c r="CA238" i="54"/>
  <c r="CA232" i="54"/>
  <c r="CA226" i="54"/>
  <c r="CA220" i="54"/>
  <c r="CA214" i="54"/>
  <c r="CA208" i="54"/>
  <c r="CA202" i="54"/>
  <c r="CA196" i="54"/>
  <c r="CA190" i="54"/>
  <c r="CA184" i="54"/>
  <c r="CA178" i="54"/>
  <c r="CA172" i="54"/>
  <c r="CA166" i="54"/>
  <c r="CA160" i="54"/>
  <c r="CA154" i="54"/>
  <c r="CA148" i="54"/>
  <c r="CA142" i="54"/>
  <c r="CA136" i="54"/>
  <c r="CA130" i="54"/>
  <c r="CA124" i="54"/>
  <c r="CA118" i="54"/>
  <c r="CA112" i="54"/>
  <c r="CA106" i="54"/>
  <c r="CA100" i="54"/>
  <c r="CA94" i="54"/>
  <c r="CA88" i="54"/>
  <c r="CA82" i="54"/>
  <c r="CA76" i="54"/>
  <c r="CA70" i="54"/>
  <c r="CA64" i="54"/>
  <c r="CA58" i="54"/>
  <c r="CA52" i="54"/>
  <c r="CA46" i="54"/>
  <c r="CA40" i="54"/>
  <c r="CA34" i="54"/>
  <c r="CA28" i="54"/>
  <c r="CA22" i="54"/>
  <c r="CA16" i="54"/>
  <c r="CA10" i="54"/>
  <c r="DB7" i="54"/>
  <c r="DA7" i="54" s="1"/>
  <c r="FB6" i="54"/>
  <c r="CU6" i="54"/>
  <c r="HL3" i="54"/>
  <c r="GR3" i="54"/>
  <c r="FF3" i="54"/>
  <c r="FF4" i="54"/>
  <c r="FF5" i="54"/>
  <c r="EI3" i="54"/>
  <c r="DP3" i="54"/>
  <c r="FH3" i="54"/>
  <c r="FG4" i="54"/>
  <c r="DC3" i="54"/>
  <c r="DB4" i="54"/>
  <c r="DA3" i="54"/>
  <c r="DB3" i="54" s="1"/>
  <c r="DA4" i="54"/>
  <c r="DC4" i="54" s="1"/>
  <c r="HV5" i="54"/>
  <c r="HB5" i="54"/>
  <c r="ES5" i="54"/>
  <c r="DZ5" i="54"/>
  <c r="CL5" i="54"/>
  <c r="HU6" i="54"/>
  <c r="HV6" i="54"/>
  <c r="HA6" i="54"/>
  <c r="HB6" i="54"/>
  <c r="ER6" i="54"/>
  <c r="ES6" i="54"/>
  <c r="DY6" i="54"/>
  <c r="DZ6" i="54"/>
  <c r="CK6" i="54"/>
  <c r="CL6" i="54"/>
  <c r="HU5" i="54"/>
  <c r="HA5" i="54"/>
  <c r="ER5" i="54"/>
  <c r="DY5" i="54"/>
  <c r="CK5" i="54"/>
  <c r="HU4" i="54"/>
  <c r="HV4" i="54"/>
  <c r="HA4" i="54"/>
  <c r="HB4" i="54"/>
  <c r="ER4" i="54"/>
  <c r="ES4" i="54"/>
  <c r="DY4" i="54"/>
  <c r="DZ4" i="54"/>
  <c r="CK4" i="54"/>
  <c r="CL4" i="54"/>
  <c r="HU3" i="54"/>
  <c r="HV3" i="54"/>
  <c r="HA3" i="54"/>
  <c r="HB3" i="54"/>
  <c r="ER3" i="54"/>
  <c r="ES3" i="54"/>
  <c r="DY3" i="54"/>
  <c r="DZ3" i="54"/>
  <c r="CK3" i="54"/>
  <c r="CL3" i="54"/>
  <c r="CB3" i="54"/>
  <c r="EH10" i="54"/>
  <c r="EH11" i="54"/>
  <c r="EH12" i="54"/>
  <c r="EH13" i="54"/>
  <c r="EH14" i="54"/>
  <c r="EH15" i="54"/>
  <c r="EH16" i="54"/>
  <c r="EH17" i="54"/>
  <c r="EH18" i="54"/>
  <c r="EH19" i="54"/>
  <c r="EH20" i="54"/>
  <c r="EH21" i="54"/>
  <c r="EH22" i="54"/>
  <c r="EH23" i="54"/>
  <c r="EH24" i="54"/>
  <c r="EH25" i="54"/>
  <c r="EH26" i="54"/>
  <c r="EH27" i="54"/>
  <c r="EH28" i="54"/>
  <c r="EH29" i="54"/>
  <c r="EH30" i="54"/>
  <c r="EH31" i="54"/>
  <c r="EH32" i="54"/>
  <c r="EH33" i="54"/>
  <c r="EH34" i="54"/>
  <c r="EH35" i="54"/>
  <c r="EH36" i="54"/>
  <c r="EH37" i="54"/>
  <c r="EH38" i="54"/>
  <c r="EH39" i="54"/>
  <c r="EH40" i="54"/>
  <c r="EH41" i="54"/>
  <c r="EH42" i="54"/>
  <c r="EH43" i="54"/>
  <c r="EH44" i="54"/>
  <c r="EH45" i="54"/>
  <c r="EH46" i="54"/>
  <c r="EH47" i="54"/>
  <c r="EH48" i="54"/>
  <c r="EH49" i="54"/>
  <c r="EH50" i="54"/>
  <c r="EH51" i="54"/>
  <c r="EH52" i="54"/>
  <c r="EH53" i="54"/>
  <c r="EH54" i="54"/>
  <c r="EH55" i="54"/>
  <c r="EH56" i="54"/>
  <c r="EH57" i="54"/>
  <c r="EH58" i="54"/>
  <c r="EH59" i="54"/>
  <c r="EH60" i="54"/>
  <c r="EH61" i="54"/>
  <c r="EH62" i="54"/>
  <c r="EH63" i="54"/>
  <c r="EH64" i="54"/>
  <c r="EH65" i="54"/>
  <c r="EH66" i="54"/>
  <c r="EH67" i="54"/>
  <c r="EH68" i="54"/>
  <c r="EH69" i="54"/>
  <c r="EH70" i="54"/>
  <c r="EH71" i="54"/>
  <c r="EH72" i="54"/>
  <c r="EH73" i="54"/>
  <c r="EH74" i="54"/>
  <c r="EH75" i="54"/>
  <c r="EH76" i="54"/>
  <c r="EH77" i="54"/>
  <c r="EH78" i="54"/>
  <c r="EH79" i="54"/>
  <c r="EH80" i="54"/>
  <c r="EH81" i="54"/>
  <c r="EH82" i="54"/>
  <c r="EH83" i="54"/>
  <c r="EH84" i="54"/>
  <c r="EH85" i="54"/>
  <c r="EH86" i="54"/>
  <c r="EH87" i="54"/>
  <c r="EH88" i="54"/>
  <c r="EH89" i="54"/>
  <c r="EH90" i="54"/>
  <c r="EH91" i="54"/>
  <c r="EH92" i="54"/>
  <c r="EH93" i="54"/>
  <c r="EH94" i="54"/>
  <c r="EH95" i="54"/>
  <c r="EH96" i="54"/>
  <c r="EH97" i="54"/>
  <c r="EH98" i="54"/>
  <c r="EH99" i="54"/>
  <c r="EH100" i="54"/>
  <c r="EH101" i="54"/>
  <c r="EH102" i="54"/>
  <c r="EH103" i="54"/>
  <c r="EH104" i="54"/>
  <c r="EH105" i="54"/>
  <c r="EH106" i="54"/>
  <c r="EH107" i="54"/>
  <c r="EH108" i="54"/>
  <c r="EH109" i="54"/>
  <c r="EH110" i="54"/>
  <c r="EH111" i="54"/>
  <c r="EH112" i="54"/>
  <c r="EH113" i="54"/>
  <c r="EH114" i="54"/>
  <c r="EH115" i="54"/>
  <c r="EH116" i="54"/>
  <c r="EH117" i="54"/>
  <c r="EH118" i="54"/>
  <c r="EH119" i="54"/>
  <c r="EH120" i="54"/>
  <c r="EH121" i="54"/>
  <c r="EH122" i="54"/>
  <c r="EH123" i="54"/>
  <c r="EH124" i="54"/>
  <c r="EH125" i="54"/>
  <c r="EH126" i="54"/>
  <c r="EH127" i="54"/>
  <c r="EH128" i="54"/>
  <c r="EH129" i="54"/>
  <c r="EH130" i="54"/>
  <c r="EH131" i="54"/>
  <c r="EH132" i="54"/>
  <c r="EH133" i="54"/>
  <c r="EH134" i="54"/>
  <c r="EH135" i="54"/>
  <c r="EH136" i="54"/>
  <c r="EH137" i="54"/>
  <c r="EH138" i="54"/>
  <c r="EH139" i="54"/>
  <c r="EH140" i="54"/>
  <c r="EH141" i="54"/>
  <c r="EH142" i="54"/>
  <c r="EH143" i="54"/>
  <c r="EH144" i="54"/>
  <c r="EH145" i="54"/>
  <c r="EH146" i="54"/>
  <c r="EH147" i="54"/>
  <c r="EH148" i="54"/>
  <c r="EH149" i="54"/>
  <c r="EH150" i="54"/>
  <c r="EH151" i="54"/>
  <c r="EH152" i="54"/>
  <c r="EH153" i="54"/>
  <c r="EH154" i="54"/>
  <c r="EH155" i="54"/>
  <c r="EH156" i="54"/>
  <c r="EH157" i="54"/>
  <c r="EH158" i="54"/>
  <c r="EH159" i="54"/>
  <c r="EH160" i="54"/>
  <c r="EH161" i="54"/>
  <c r="EH162" i="54"/>
  <c r="EH163" i="54"/>
  <c r="EH164" i="54"/>
  <c r="EH165" i="54"/>
  <c r="EH166" i="54"/>
  <c r="EH167" i="54"/>
  <c r="EH168" i="54"/>
  <c r="EH169" i="54"/>
  <c r="EH170" i="54"/>
  <c r="EH171" i="54"/>
  <c r="EH172" i="54"/>
  <c r="EH173" i="54"/>
  <c r="EH174" i="54"/>
  <c r="EH175" i="54"/>
  <c r="EH176" i="54"/>
  <c r="EH177" i="54"/>
  <c r="EH178" i="54"/>
  <c r="EH179" i="54"/>
  <c r="EH180" i="54"/>
  <c r="EH181" i="54"/>
  <c r="EH182" i="54"/>
  <c r="EH183" i="54"/>
  <c r="EH184" i="54"/>
  <c r="EH185" i="54"/>
  <c r="EH186" i="54"/>
  <c r="EH187" i="54"/>
  <c r="EH188" i="54"/>
  <c r="EH189" i="54"/>
  <c r="EH190" i="54"/>
  <c r="EH191" i="54"/>
  <c r="EH192" i="54"/>
  <c r="EH193" i="54"/>
  <c r="EH194" i="54"/>
  <c r="EH195" i="54"/>
  <c r="EH196" i="54"/>
  <c r="EH197" i="54"/>
  <c r="EH198" i="54"/>
  <c r="EH199" i="54"/>
  <c r="EH200" i="54"/>
  <c r="EH201" i="54"/>
  <c r="EH202" i="54"/>
  <c r="EH203" i="54"/>
  <c r="EH204" i="54"/>
  <c r="EH205" i="54"/>
  <c r="EH206" i="54"/>
  <c r="EH207" i="54"/>
  <c r="EH208" i="54"/>
  <c r="EH209" i="54"/>
  <c r="EH210" i="54"/>
  <c r="EH211" i="54"/>
  <c r="EH212" i="54"/>
  <c r="EH213" i="54"/>
  <c r="EH214" i="54"/>
  <c r="EH215" i="54"/>
  <c r="EH216" i="54"/>
  <c r="EH217" i="54"/>
  <c r="EH218" i="54"/>
  <c r="EH219" i="54"/>
  <c r="EH220" i="54"/>
  <c r="EH221" i="54"/>
  <c r="EH222" i="54"/>
  <c r="EH223" i="54"/>
  <c r="EH224" i="54"/>
  <c r="EH225" i="54"/>
  <c r="EH226" i="54"/>
  <c r="EH227" i="54"/>
  <c r="EH228" i="54"/>
  <c r="EH229" i="54"/>
  <c r="EH230" i="54"/>
  <c r="EH231" i="54"/>
  <c r="EH232" i="54"/>
  <c r="EH233" i="54"/>
  <c r="EH234" i="54"/>
  <c r="EH235" i="54"/>
  <c r="EH236" i="54"/>
  <c r="EH237" i="54"/>
  <c r="EH238" i="54"/>
  <c r="EH239" i="54"/>
  <c r="EH240" i="54"/>
  <c r="EH241" i="54"/>
  <c r="EH242" i="54"/>
  <c r="EH243" i="54"/>
  <c r="EH244" i="54"/>
  <c r="EH245" i="54"/>
  <c r="EH246" i="54"/>
  <c r="EH247" i="54"/>
  <c r="EH248" i="54"/>
  <c r="EH249" i="54"/>
  <c r="EH250" i="54"/>
  <c r="EH251" i="54"/>
  <c r="EH252" i="54"/>
  <c r="EH253" i="54"/>
  <c r="EH254" i="54"/>
  <c r="EH255" i="54"/>
  <c r="EH256" i="54"/>
  <c r="EH257" i="54"/>
  <c r="EH258" i="54"/>
  <c r="EH259" i="54"/>
  <c r="EH260" i="54"/>
  <c r="EH261" i="54"/>
  <c r="EH262" i="54"/>
  <c r="EH263" i="54"/>
  <c r="EH264" i="54"/>
  <c r="EH265" i="54"/>
  <c r="EH266" i="54"/>
  <c r="EH267" i="54"/>
  <c r="EH268" i="54"/>
  <c r="DO10" i="54"/>
  <c r="DO11" i="54"/>
  <c r="DO12" i="54"/>
  <c r="DO13" i="54"/>
  <c r="DO14" i="54"/>
  <c r="DO15" i="54"/>
  <c r="DO16" i="54"/>
  <c r="DO17" i="54"/>
  <c r="DO18" i="54"/>
  <c r="DO19" i="54"/>
  <c r="DO20" i="54"/>
  <c r="DO21" i="54"/>
  <c r="DO22" i="54"/>
  <c r="DO23" i="54"/>
  <c r="DO24" i="54"/>
  <c r="DO25" i="54"/>
  <c r="DO26" i="54"/>
  <c r="DO27" i="54"/>
  <c r="DO28" i="54"/>
  <c r="DO29" i="54"/>
  <c r="DO30" i="54"/>
  <c r="DO31" i="54"/>
  <c r="DO32" i="54"/>
  <c r="DO33" i="54"/>
  <c r="DO34" i="54"/>
  <c r="DO35" i="54"/>
  <c r="DO36" i="54"/>
  <c r="DO37" i="54"/>
  <c r="DO38" i="54"/>
  <c r="DO39" i="54"/>
  <c r="DO40" i="54"/>
  <c r="DO41" i="54"/>
  <c r="DO42" i="54"/>
  <c r="DO43" i="54"/>
  <c r="DO44" i="54"/>
  <c r="DO45" i="54"/>
  <c r="DO46" i="54"/>
  <c r="DO47" i="54"/>
  <c r="DO48" i="54"/>
  <c r="DO49" i="54"/>
  <c r="DO50" i="54"/>
  <c r="DO51" i="54"/>
  <c r="DO52" i="54"/>
  <c r="DO53" i="54"/>
  <c r="DO54" i="54"/>
  <c r="DO55" i="54"/>
  <c r="DO56" i="54"/>
  <c r="DO57" i="54"/>
  <c r="DO58" i="54"/>
  <c r="DO59" i="54"/>
  <c r="DO60" i="54"/>
  <c r="DO61" i="54"/>
  <c r="DO62" i="54"/>
  <c r="DO63" i="54"/>
  <c r="DO64" i="54"/>
  <c r="DO65" i="54"/>
  <c r="DO66" i="54"/>
  <c r="DO67" i="54"/>
  <c r="DO68" i="54"/>
  <c r="DO69" i="54"/>
  <c r="DO70" i="54"/>
  <c r="DO71" i="54"/>
  <c r="DO72" i="54"/>
  <c r="DO73" i="54"/>
  <c r="DO74" i="54"/>
  <c r="DO75" i="54"/>
  <c r="DO76" i="54"/>
  <c r="DO77" i="54"/>
  <c r="DO78" i="54"/>
  <c r="DO79" i="54"/>
  <c r="DO80" i="54"/>
  <c r="DO81" i="54"/>
  <c r="DO82" i="54"/>
  <c r="DO83" i="54"/>
  <c r="DO84" i="54"/>
  <c r="DO85" i="54"/>
  <c r="DO86" i="54"/>
  <c r="DO87" i="54"/>
  <c r="DO88" i="54"/>
  <c r="DO89" i="54"/>
  <c r="DO90" i="54"/>
  <c r="DO91" i="54"/>
  <c r="DO92" i="54"/>
  <c r="DO93" i="54"/>
  <c r="DO94" i="54"/>
  <c r="DO95" i="54"/>
  <c r="DO96" i="54"/>
  <c r="DO97" i="54"/>
  <c r="DO98" i="54"/>
  <c r="DO99" i="54"/>
  <c r="DO100" i="54"/>
  <c r="DO101" i="54"/>
  <c r="DO102" i="54"/>
  <c r="DO103" i="54"/>
  <c r="DO104" i="54"/>
  <c r="DO105" i="54"/>
  <c r="DO106" i="54"/>
  <c r="DO107" i="54"/>
  <c r="DO108" i="54"/>
  <c r="DO109" i="54"/>
  <c r="DO110" i="54"/>
  <c r="DO111" i="54"/>
  <c r="DO112" i="54"/>
  <c r="DO113" i="54"/>
  <c r="DO114" i="54"/>
  <c r="DO115" i="54"/>
  <c r="DO116" i="54"/>
  <c r="DO117" i="54"/>
  <c r="DO118" i="54"/>
  <c r="DO119" i="54"/>
  <c r="DO120" i="54"/>
  <c r="DO121" i="54"/>
  <c r="DO122" i="54"/>
  <c r="DO123" i="54"/>
  <c r="DO124" i="54"/>
  <c r="DO125" i="54"/>
  <c r="DO126" i="54"/>
  <c r="DO127" i="54"/>
  <c r="DO128" i="54"/>
  <c r="DO129" i="54"/>
  <c r="DO130" i="54"/>
  <c r="DO131" i="54"/>
  <c r="DO132" i="54"/>
  <c r="DO133" i="54"/>
  <c r="DO134" i="54"/>
  <c r="DO135" i="54"/>
  <c r="DO136" i="54"/>
  <c r="DO137" i="54"/>
  <c r="DO138" i="54"/>
  <c r="DO139" i="54"/>
  <c r="DO140" i="54"/>
  <c r="DO141" i="54"/>
  <c r="DO142" i="54"/>
  <c r="DO143" i="54"/>
  <c r="DO144" i="54"/>
  <c r="DO145" i="54"/>
  <c r="DO146" i="54"/>
  <c r="DO147" i="54"/>
  <c r="DO148" i="54"/>
  <c r="DO149" i="54"/>
  <c r="DO150" i="54"/>
  <c r="DO151" i="54"/>
  <c r="DO152" i="54"/>
  <c r="DO153" i="54"/>
  <c r="DO154" i="54"/>
  <c r="DO155" i="54"/>
  <c r="DO156" i="54"/>
  <c r="DO157" i="54"/>
  <c r="DO158" i="54"/>
  <c r="DO159" i="54"/>
  <c r="DO160" i="54"/>
  <c r="DO161" i="54"/>
  <c r="DO162" i="54"/>
  <c r="DO163" i="54"/>
  <c r="DO164" i="54"/>
  <c r="DO165" i="54"/>
  <c r="DO166" i="54"/>
  <c r="DO167" i="54"/>
  <c r="DO168" i="54"/>
  <c r="DO169" i="54"/>
  <c r="DO170" i="54"/>
  <c r="DO171" i="54"/>
  <c r="DO172" i="54"/>
  <c r="DO173" i="54"/>
  <c r="DO174" i="54"/>
  <c r="DO175" i="54"/>
  <c r="DO176" i="54"/>
  <c r="DO177" i="54"/>
  <c r="DO178" i="54"/>
  <c r="DO179" i="54"/>
  <c r="DO180" i="54"/>
  <c r="DO181" i="54"/>
  <c r="DO182" i="54"/>
  <c r="DO183" i="54"/>
  <c r="DO184" i="54"/>
  <c r="DO185" i="54"/>
  <c r="DO186" i="54"/>
  <c r="DO187" i="54"/>
  <c r="DO188" i="54"/>
  <c r="DO189" i="54"/>
  <c r="DO190" i="54"/>
  <c r="DO191" i="54"/>
  <c r="DO192" i="54"/>
  <c r="DO193" i="54"/>
  <c r="DO194" i="54"/>
  <c r="DO195" i="54"/>
  <c r="DO196" i="54"/>
  <c r="DO197" i="54"/>
  <c r="DO198" i="54"/>
  <c r="DO199" i="54"/>
  <c r="DO200" i="54"/>
  <c r="DO201" i="54"/>
  <c r="DO202" i="54"/>
  <c r="DO203" i="54"/>
  <c r="DO204" i="54"/>
  <c r="DO205" i="54"/>
  <c r="DO206" i="54"/>
  <c r="DO207" i="54"/>
  <c r="DO208" i="54"/>
  <c r="DO209" i="54"/>
  <c r="DO210" i="54"/>
  <c r="DO211" i="54"/>
  <c r="DO212" i="54"/>
  <c r="DO213" i="54"/>
  <c r="DO214" i="54"/>
  <c r="DO215" i="54"/>
  <c r="DO216" i="54"/>
  <c r="DO217" i="54"/>
  <c r="DO218" i="54"/>
  <c r="DO219" i="54"/>
  <c r="DO220" i="54"/>
  <c r="DO221" i="54"/>
  <c r="DO222" i="54"/>
  <c r="DO223" i="54"/>
  <c r="DO224" i="54"/>
  <c r="DO225" i="54"/>
  <c r="DO226" i="54"/>
  <c r="DO227" i="54"/>
  <c r="DO228" i="54"/>
  <c r="DO229" i="54"/>
  <c r="DO230" i="54"/>
  <c r="DO231" i="54"/>
  <c r="DO232" i="54"/>
  <c r="DO233" i="54"/>
  <c r="DO234" i="54"/>
  <c r="DO235" i="54"/>
  <c r="DO236" i="54"/>
  <c r="DO237" i="54"/>
  <c r="DO238" i="54"/>
  <c r="DO239" i="54"/>
  <c r="DO240" i="54"/>
  <c r="DO241" i="54"/>
  <c r="DO242" i="54"/>
  <c r="DO243" i="54"/>
  <c r="DO244" i="54"/>
  <c r="DO245" i="54"/>
  <c r="DO246" i="54"/>
  <c r="DO247" i="54"/>
  <c r="DO248" i="54"/>
  <c r="DO249" i="54"/>
  <c r="DO250" i="54"/>
  <c r="DO251" i="54"/>
  <c r="DO252" i="54"/>
  <c r="DO253" i="54"/>
  <c r="DO254" i="54"/>
  <c r="DO255" i="54"/>
  <c r="DO256" i="54"/>
  <c r="DO257" i="54"/>
  <c r="DO258" i="54"/>
  <c r="DO259" i="54"/>
  <c r="DO260" i="54"/>
  <c r="DO261" i="54"/>
  <c r="DO262" i="54"/>
  <c r="DO263" i="54"/>
  <c r="DO264" i="54"/>
  <c r="DO265" i="54"/>
  <c r="DO266" i="54"/>
  <c r="DO267" i="54"/>
  <c r="DO268" i="54"/>
  <c r="HK10" i="54"/>
  <c r="HK11" i="54"/>
  <c r="HK12" i="54"/>
  <c r="HK13" i="54"/>
  <c r="HK14" i="54"/>
  <c r="HK15" i="54"/>
  <c r="HK16" i="54"/>
  <c r="HK17" i="54"/>
  <c r="HK18" i="54"/>
  <c r="HK19" i="54"/>
  <c r="HK20" i="54"/>
  <c r="HK21" i="54"/>
  <c r="HK22" i="54"/>
  <c r="HK23" i="54"/>
  <c r="HK24" i="54"/>
  <c r="HK25" i="54"/>
  <c r="HK26" i="54"/>
  <c r="HK27" i="54"/>
  <c r="HK28" i="54"/>
  <c r="HK29" i="54"/>
  <c r="HK30" i="54"/>
  <c r="HK31" i="54"/>
  <c r="HK32" i="54"/>
  <c r="HK33" i="54"/>
  <c r="HK34" i="54"/>
  <c r="HK35" i="54"/>
  <c r="HK36" i="54"/>
  <c r="HK37" i="54"/>
  <c r="HK38" i="54"/>
  <c r="HK39" i="54"/>
  <c r="HK40" i="54"/>
  <c r="HK41" i="54"/>
  <c r="HK42" i="54"/>
  <c r="HK43" i="54"/>
  <c r="HK44" i="54"/>
  <c r="HK45" i="54"/>
  <c r="HK46" i="54"/>
  <c r="HK47" i="54"/>
  <c r="HK48" i="54"/>
  <c r="HK49" i="54"/>
  <c r="HK50" i="54"/>
  <c r="HK51" i="54"/>
  <c r="HK52" i="54"/>
  <c r="HK53" i="54"/>
  <c r="HK54" i="54"/>
  <c r="HK55" i="54"/>
  <c r="HK56" i="54"/>
  <c r="HK57" i="54"/>
  <c r="HK58" i="54"/>
  <c r="HK59" i="54"/>
  <c r="HK60" i="54"/>
  <c r="HK61" i="54"/>
  <c r="HK62" i="54"/>
  <c r="HK63" i="54"/>
  <c r="HK64" i="54"/>
  <c r="HK65" i="54"/>
  <c r="HK66" i="54"/>
  <c r="HK67" i="54"/>
  <c r="HK68" i="54"/>
  <c r="HK69" i="54"/>
  <c r="HK70" i="54"/>
  <c r="HK71" i="54"/>
  <c r="HK72" i="54"/>
  <c r="HK73" i="54"/>
  <c r="HK74" i="54"/>
  <c r="HK75" i="54"/>
  <c r="HK76" i="54"/>
  <c r="HK77" i="54"/>
  <c r="HK78" i="54"/>
  <c r="HK79" i="54"/>
  <c r="HK80" i="54"/>
  <c r="HK81" i="54"/>
  <c r="HK82" i="54"/>
  <c r="HK83" i="54"/>
  <c r="HK84" i="54"/>
  <c r="HK85" i="54"/>
  <c r="HK86" i="54"/>
  <c r="HK87" i="54"/>
  <c r="HK88" i="54"/>
  <c r="HK89" i="54"/>
  <c r="HK90" i="54"/>
  <c r="HK91" i="54"/>
  <c r="HK92" i="54"/>
  <c r="HK93" i="54"/>
  <c r="HK94" i="54"/>
  <c r="HK95" i="54"/>
  <c r="HK96" i="54"/>
  <c r="HK97" i="54"/>
  <c r="HK98" i="54"/>
  <c r="HK99" i="54"/>
  <c r="HK100" i="54"/>
  <c r="HK101" i="54"/>
  <c r="HK102" i="54"/>
  <c r="HK103" i="54"/>
  <c r="HK104" i="54"/>
  <c r="HK105" i="54"/>
  <c r="HK106" i="54"/>
  <c r="HK107" i="54"/>
  <c r="HK108" i="54"/>
  <c r="HK109" i="54"/>
  <c r="HK110" i="54"/>
  <c r="HK111" i="54"/>
  <c r="HK112" i="54"/>
  <c r="HK113" i="54"/>
  <c r="HK114" i="54"/>
  <c r="HK115" i="54"/>
  <c r="HK116" i="54"/>
  <c r="HK117" i="54"/>
  <c r="HK118" i="54"/>
  <c r="HK119" i="54"/>
  <c r="HK120" i="54"/>
  <c r="HK121" i="54"/>
  <c r="HK122" i="54"/>
  <c r="HK123" i="54"/>
  <c r="HK124" i="54"/>
  <c r="HK125" i="54"/>
  <c r="HK126" i="54"/>
  <c r="HK127" i="54"/>
  <c r="HK128" i="54"/>
  <c r="HK129" i="54"/>
  <c r="HK130" i="54"/>
  <c r="HK131" i="54"/>
  <c r="HK132" i="54"/>
  <c r="HK133" i="54"/>
  <c r="HK134" i="54"/>
  <c r="HK135" i="54"/>
  <c r="HK136" i="54"/>
  <c r="HK137" i="54"/>
  <c r="HK138" i="54"/>
  <c r="HK139" i="54"/>
  <c r="HK140" i="54"/>
  <c r="HK141" i="54"/>
  <c r="HK142" i="54"/>
  <c r="HK143" i="54"/>
  <c r="HK144" i="54"/>
  <c r="HK145" i="54"/>
  <c r="HK146" i="54"/>
  <c r="HK147" i="54"/>
  <c r="HK148" i="54"/>
  <c r="HK149" i="54"/>
  <c r="HK150" i="54"/>
  <c r="HK151" i="54"/>
  <c r="HK152" i="54"/>
  <c r="HK153" i="54"/>
  <c r="HK154" i="54"/>
  <c r="HK155" i="54"/>
  <c r="HK156" i="54"/>
  <c r="HK157" i="54"/>
  <c r="HK158" i="54"/>
  <c r="HK159" i="54"/>
  <c r="HK160" i="54"/>
  <c r="HK161" i="54"/>
  <c r="HK162" i="54"/>
  <c r="HK163" i="54"/>
  <c r="HK164" i="54"/>
  <c r="HK165" i="54"/>
  <c r="HK166" i="54"/>
  <c r="HK167" i="54"/>
  <c r="HK168" i="54"/>
  <c r="HK169" i="54"/>
  <c r="HK170" i="54"/>
  <c r="HK171" i="54"/>
  <c r="HK172" i="54"/>
  <c r="HK173" i="54"/>
  <c r="HK174" i="54"/>
  <c r="HK175" i="54"/>
  <c r="HK176" i="54"/>
  <c r="HK177" i="54"/>
  <c r="HK178" i="54"/>
  <c r="HK179" i="54"/>
  <c r="HK180" i="54"/>
  <c r="HK181" i="54"/>
  <c r="HK182" i="54"/>
  <c r="HK183" i="54"/>
  <c r="HK184" i="54"/>
  <c r="HK185" i="54"/>
  <c r="HK186" i="54"/>
  <c r="HK187" i="54"/>
  <c r="HK188" i="54"/>
  <c r="HK189" i="54"/>
  <c r="HK190" i="54"/>
  <c r="HK191" i="54"/>
  <c r="HK192" i="54"/>
  <c r="HK193" i="54"/>
  <c r="HK194" i="54"/>
  <c r="HK195" i="54"/>
  <c r="HK196" i="54"/>
  <c r="HK197" i="54"/>
  <c r="HK198" i="54"/>
  <c r="HK199" i="54"/>
  <c r="HK200" i="54"/>
  <c r="HK201" i="54"/>
  <c r="HK202" i="54"/>
  <c r="HK203" i="54"/>
  <c r="HK204" i="54"/>
  <c r="HK205" i="54"/>
  <c r="HK206" i="54"/>
  <c r="HK207" i="54"/>
  <c r="HK208" i="54"/>
  <c r="HK209" i="54"/>
  <c r="HK210" i="54"/>
  <c r="HK211" i="54"/>
  <c r="HK212" i="54"/>
  <c r="HK213" i="54"/>
  <c r="HK214" i="54"/>
  <c r="HK215" i="54"/>
  <c r="HK216" i="54"/>
  <c r="HK217" i="54"/>
  <c r="HK218" i="54"/>
  <c r="HK219" i="54"/>
  <c r="HK220" i="54"/>
  <c r="HK221" i="54"/>
  <c r="HK222" i="54"/>
  <c r="HK223" i="54"/>
  <c r="HK224" i="54"/>
  <c r="HK225" i="54"/>
  <c r="HK226" i="54"/>
  <c r="HK227" i="54"/>
  <c r="HK228" i="54"/>
  <c r="HK229" i="54"/>
  <c r="HK230" i="54"/>
  <c r="HK231" i="54"/>
  <c r="HK232" i="54"/>
  <c r="HK233" i="54"/>
  <c r="HK234" i="54"/>
  <c r="HK235" i="54"/>
  <c r="HK236" i="54"/>
  <c r="HK237" i="54"/>
  <c r="HK238" i="54"/>
  <c r="HK239" i="54"/>
  <c r="HK240" i="54"/>
  <c r="HK241" i="54"/>
  <c r="HK242" i="54"/>
  <c r="HK243" i="54"/>
  <c r="HK244" i="54"/>
  <c r="HK245" i="54"/>
  <c r="HK246" i="54"/>
  <c r="HK247" i="54"/>
  <c r="HK248" i="54"/>
  <c r="HK249" i="54"/>
  <c r="HK250" i="54"/>
  <c r="HK251" i="54"/>
  <c r="HK252" i="54"/>
  <c r="HK253" i="54"/>
  <c r="HK254" i="54"/>
  <c r="HK255" i="54"/>
  <c r="HK256" i="54"/>
  <c r="HK257" i="54"/>
  <c r="HK258" i="54"/>
  <c r="HK259" i="54"/>
  <c r="HK260" i="54"/>
  <c r="HK261" i="54"/>
  <c r="HK262" i="54"/>
  <c r="HK263" i="54"/>
  <c r="HK264" i="54"/>
  <c r="HK265" i="54"/>
  <c r="HK266" i="54"/>
  <c r="HK267" i="54"/>
  <c r="HK268" i="54"/>
  <c r="GQ10" i="54"/>
  <c r="GQ11" i="54"/>
  <c r="GQ12" i="54"/>
  <c r="GQ13" i="54"/>
  <c r="GQ14" i="54"/>
  <c r="GQ15" i="54"/>
  <c r="GQ16" i="54"/>
  <c r="GQ17" i="54"/>
  <c r="GQ18" i="54"/>
  <c r="GQ19" i="54"/>
  <c r="GQ20" i="54"/>
  <c r="GQ21" i="54"/>
  <c r="GQ22" i="54"/>
  <c r="GQ23" i="54"/>
  <c r="GQ24" i="54"/>
  <c r="GQ25" i="54"/>
  <c r="GQ26" i="54"/>
  <c r="GQ27" i="54"/>
  <c r="GQ28" i="54"/>
  <c r="GQ29" i="54"/>
  <c r="GQ30" i="54"/>
  <c r="GQ31" i="54"/>
  <c r="GQ32" i="54"/>
  <c r="GQ33" i="54"/>
  <c r="GQ34" i="54"/>
  <c r="GQ35" i="54"/>
  <c r="GQ36" i="54"/>
  <c r="GQ37" i="54"/>
  <c r="GQ38" i="54"/>
  <c r="GQ39" i="54"/>
  <c r="GQ40" i="54"/>
  <c r="GQ41" i="54"/>
  <c r="GQ42" i="54"/>
  <c r="GQ43" i="54"/>
  <c r="GQ44" i="54"/>
  <c r="GQ45" i="54"/>
  <c r="GQ46" i="54"/>
  <c r="GQ47" i="54"/>
  <c r="GQ48" i="54"/>
  <c r="GQ49" i="54"/>
  <c r="GQ50" i="54"/>
  <c r="GQ51" i="54"/>
  <c r="GQ52" i="54"/>
  <c r="GQ53" i="54"/>
  <c r="GQ54" i="54"/>
  <c r="GQ55" i="54"/>
  <c r="GQ56" i="54"/>
  <c r="GQ57" i="54"/>
  <c r="GQ58" i="54"/>
  <c r="GQ59" i="54"/>
  <c r="GQ60" i="54"/>
  <c r="GQ61" i="54"/>
  <c r="GQ62" i="54"/>
  <c r="GQ63" i="54"/>
  <c r="GQ64" i="54"/>
  <c r="GQ65" i="54"/>
  <c r="GQ66" i="54"/>
  <c r="GQ67" i="54"/>
  <c r="GQ68" i="54"/>
  <c r="GQ69" i="54"/>
  <c r="GQ70" i="54"/>
  <c r="GQ71" i="54"/>
  <c r="GQ72" i="54"/>
  <c r="GQ73" i="54"/>
  <c r="GQ74" i="54"/>
  <c r="GQ75" i="54"/>
  <c r="GQ76" i="54"/>
  <c r="GQ77" i="54"/>
  <c r="GQ78" i="54"/>
  <c r="GQ79" i="54"/>
  <c r="GQ80" i="54"/>
  <c r="GQ81" i="54"/>
  <c r="GQ82" i="54"/>
  <c r="GQ83" i="54"/>
  <c r="GQ84" i="54"/>
  <c r="GQ85" i="54"/>
  <c r="GQ86" i="54"/>
  <c r="GQ87" i="54"/>
  <c r="GQ88" i="54"/>
  <c r="GQ89" i="54"/>
  <c r="GQ90" i="54"/>
  <c r="GQ91" i="54"/>
  <c r="GQ92" i="54"/>
  <c r="GQ93" i="54"/>
  <c r="GQ94" i="54"/>
  <c r="GQ95" i="54"/>
  <c r="GQ96" i="54"/>
  <c r="GQ97" i="54"/>
  <c r="GQ98" i="54"/>
  <c r="GQ99" i="54"/>
  <c r="GQ100" i="54"/>
  <c r="GQ101" i="54"/>
  <c r="GQ102" i="54"/>
  <c r="GQ103" i="54"/>
  <c r="GQ104" i="54"/>
  <c r="GQ105" i="54"/>
  <c r="GQ106" i="54"/>
  <c r="GQ107" i="54"/>
  <c r="GQ108" i="54"/>
  <c r="GQ109" i="54"/>
  <c r="GQ110" i="54"/>
  <c r="GQ111" i="54"/>
  <c r="GQ112" i="54"/>
  <c r="GQ113" i="54"/>
  <c r="GQ114" i="54"/>
  <c r="GQ115" i="54"/>
  <c r="GQ116" i="54"/>
  <c r="GQ117" i="54"/>
  <c r="GQ118" i="54"/>
  <c r="GQ119" i="54"/>
  <c r="GQ120" i="54"/>
  <c r="GQ121" i="54"/>
  <c r="GQ122" i="54"/>
  <c r="GQ123" i="54"/>
  <c r="GQ124" i="54"/>
  <c r="GQ125" i="54"/>
  <c r="GQ126" i="54"/>
  <c r="GQ127" i="54"/>
  <c r="GQ128" i="54"/>
  <c r="GQ129" i="54"/>
  <c r="GQ130" i="54"/>
  <c r="GQ131" i="54"/>
  <c r="GQ132" i="54"/>
  <c r="GQ133" i="54"/>
  <c r="GQ134" i="54"/>
  <c r="GQ135" i="54"/>
  <c r="GQ136" i="54"/>
  <c r="GQ137" i="54"/>
  <c r="GQ138" i="54"/>
  <c r="GQ139" i="54"/>
  <c r="GQ140" i="54"/>
  <c r="GQ141" i="54"/>
  <c r="GQ142" i="54"/>
  <c r="GQ143" i="54"/>
  <c r="GQ144" i="54"/>
  <c r="GQ145" i="54"/>
  <c r="GQ146" i="54"/>
  <c r="GQ147" i="54"/>
  <c r="GQ148" i="54"/>
  <c r="GQ149" i="54"/>
  <c r="GQ150" i="54"/>
  <c r="GQ151" i="54"/>
  <c r="GQ152" i="54"/>
  <c r="GQ153" i="54"/>
  <c r="GQ154" i="54"/>
  <c r="GQ155" i="54"/>
  <c r="GQ156" i="54"/>
  <c r="GQ157" i="54"/>
  <c r="GQ158" i="54"/>
  <c r="GQ159" i="54"/>
  <c r="GQ160" i="54"/>
  <c r="GQ161" i="54"/>
  <c r="GQ162" i="54"/>
  <c r="GQ163" i="54"/>
  <c r="GQ164" i="54"/>
  <c r="GQ165" i="54"/>
  <c r="GQ166" i="54"/>
  <c r="GQ167" i="54"/>
  <c r="GQ168" i="54"/>
  <c r="GQ169" i="54"/>
  <c r="GQ170" i="54"/>
  <c r="GQ171" i="54"/>
  <c r="GQ172" i="54"/>
  <c r="GQ173" i="54"/>
  <c r="GQ174" i="54"/>
  <c r="GQ175" i="54"/>
  <c r="GQ176" i="54"/>
  <c r="GQ177" i="54"/>
  <c r="GQ178" i="54"/>
  <c r="GQ179" i="54"/>
  <c r="GQ180" i="54"/>
  <c r="GQ181" i="54"/>
  <c r="GQ182" i="54"/>
  <c r="GQ183" i="54"/>
  <c r="GQ184" i="54"/>
  <c r="GQ185" i="54"/>
  <c r="GQ186" i="54"/>
  <c r="GQ187" i="54"/>
  <c r="GQ188" i="54"/>
  <c r="GQ189" i="54"/>
  <c r="GQ190" i="54"/>
  <c r="GQ191" i="54"/>
  <c r="GQ192" i="54"/>
  <c r="GQ193" i="54"/>
  <c r="GQ194" i="54"/>
  <c r="GQ195" i="54"/>
  <c r="GQ196" i="54"/>
  <c r="GQ197" i="54"/>
  <c r="GQ198" i="54"/>
  <c r="GQ199" i="54"/>
  <c r="GQ200" i="54"/>
  <c r="GQ201" i="54"/>
  <c r="GQ202" i="54"/>
  <c r="GQ203" i="54"/>
  <c r="GQ204" i="54"/>
  <c r="GQ205" i="54"/>
  <c r="GQ206" i="54"/>
  <c r="GQ207" i="54"/>
  <c r="GQ208" i="54"/>
  <c r="GQ209" i="54"/>
  <c r="GQ210" i="54"/>
  <c r="GQ211" i="54"/>
  <c r="GQ212" i="54"/>
  <c r="GQ213" i="54"/>
  <c r="GQ214" i="54"/>
  <c r="GQ215" i="54"/>
  <c r="GQ216" i="54"/>
  <c r="GQ217" i="54"/>
  <c r="GQ218" i="54"/>
  <c r="GQ219" i="54"/>
  <c r="GQ220" i="54"/>
  <c r="GQ221" i="54"/>
  <c r="GQ222" i="54"/>
  <c r="GQ223" i="54"/>
  <c r="GQ224" i="54"/>
  <c r="GQ225" i="54"/>
  <c r="GQ226" i="54"/>
  <c r="GQ227" i="54"/>
  <c r="GQ228" i="54"/>
  <c r="GQ229" i="54"/>
  <c r="GQ230" i="54"/>
  <c r="GQ231" i="54"/>
  <c r="GQ232" i="54"/>
  <c r="GQ233" i="54"/>
  <c r="GQ234" i="54"/>
  <c r="GQ235" i="54"/>
  <c r="GQ236" i="54"/>
  <c r="GQ237" i="54"/>
  <c r="GQ238" i="54"/>
  <c r="GQ239" i="54"/>
  <c r="GQ240" i="54"/>
  <c r="GQ241" i="54"/>
  <c r="GQ242" i="54"/>
  <c r="GQ243" i="54"/>
  <c r="GQ244" i="54"/>
  <c r="GQ245" i="54"/>
  <c r="GQ246" i="54"/>
  <c r="GQ247" i="54"/>
  <c r="GQ248" i="54"/>
  <c r="GQ249" i="54"/>
  <c r="GQ250" i="54"/>
  <c r="GQ251" i="54"/>
  <c r="GQ252" i="54"/>
  <c r="GQ253" i="54"/>
  <c r="GQ254" i="54"/>
  <c r="GQ255" i="54"/>
  <c r="GQ256" i="54"/>
  <c r="GQ257" i="54"/>
  <c r="GQ258" i="54"/>
  <c r="GQ259" i="54"/>
  <c r="GQ260" i="54"/>
  <c r="GQ261" i="54"/>
  <c r="GQ262" i="54"/>
  <c r="GQ263" i="54"/>
  <c r="GQ264" i="54"/>
  <c r="GQ265" i="54"/>
  <c r="GQ266" i="54"/>
  <c r="GQ267" i="54"/>
  <c r="GQ268" i="54"/>
  <c r="A15" i="57"/>
  <c r="B3" i="60"/>
  <c r="B2" i="60"/>
  <c r="A2495" i="57"/>
  <c r="A2496" i="57"/>
  <c r="A2497" i="57"/>
  <c r="C2497" i="57" s="1"/>
  <c r="A2498" i="57"/>
  <c r="A2499" i="57"/>
  <c r="C2499" i="57" s="1"/>
  <c r="A2500" i="57"/>
  <c r="C2500" i="57" s="1"/>
  <c r="A2501" i="57"/>
  <c r="A2502" i="57"/>
  <c r="A2503" i="57"/>
  <c r="C2503" i="57" s="1"/>
  <c r="A2504" i="57"/>
  <c r="A2505" i="57"/>
  <c r="C2505" i="57" s="1"/>
  <c r="A2506" i="57"/>
  <c r="C2506" i="57" s="1"/>
  <c r="A2507" i="57"/>
  <c r="A2508" i="57"/>
  <c r="A2509" i="57"/>
  <c r="C2509" i="57" s="1"/>
  <c r="A2510" i="57"/>
  <c r="A2482" i="57"/>
  <c r="C2482" i="57" s="1"/>
  <c r="A2483" i="57"/>
  <c r="C2483" i="57" s="1"/>
  <c r="A2484" i="57"/>
  <c r="A2485" i="57"/>
  <c r="A2486" i="57"/>
  <c r="A2487" i="57"/>
  <c r="C2487" i="57" s="1"/>
  <c r="A2488" i="57"/>
  <c r="C2488" i="57" s="1"/>
  <c r="A2489" i="57"/>
  <c r="C2489" i="57" s="1"/>
  <c r="A2490" i="57"/>
  <c r="A2491" i="57"/>
  <c r="A2492" i="57"/>
  <c r="A2493" i="57"/>
  <c r="C2493" i="57" s="1"/>
  <c r="A2494" i="57"/>
  <c r="C2494" i="57" s="1"/>
  <c r="A1456" i="57"/>
  <c r="C1456" i="57" s="1"/>
  <c r="A1457" i="57"/>
  <c r="A1458" i="57"/>
  <c r="A1459" i="57"/>
  <c r="A1460" i="57"/>
  <c r="C1460" i="57" s="1"/>
  <c r="A1461" i="57"/>
  <c r="C1461" i="57" s="1"/>
  <c r="A1462" i="57"/>
  <c r="C1462" i="57" s="1"/>
  <c r="A1463" i="57"/>
  <c r="A1464" i="57"/>
  <c r="A1465" i="57"/>
  <c r="A1466" i="57"/>
  <c r="C1466" i="57" s="1"/>
  <c r="A1467" i="57"/>
  <c r="C1467" i="57" s="1"/>
  <c r="A1468" i="57"/>
  <c r="C1468" i="57" s="1"/>
  <c r="A1469" i="57"/>
  <c r="A1470" i="57"/>
  <c r="A1471" i="57"/>
  <c r="A1472" i="57"/>
  <c r="C1472" i="57" s="1"/>
  <c r="A1473" i="57"/>
  <c r="C1473" i="57" s="1"/>
  <c r="A1474" i="57"/>
  <c r="C1474" i="57" s="1"/>
  <c r="A1475" i="57"/>
  <c r="A1476" i="57"/>
  <c r="A1477" i="57"/>
  <c r="A1478" i="57"/>
  <c r="C1478" i="57" s="1"/>
  <c r="A1479" i="57"/>
  <c r="C1479" i="57" s="1"/>
  <c r="A1480" i="57"/>
  <c r="C1480" i="57" s="1"/>
  <c r="A1481" i="57"/>
  <c r="A1482" i="57"/>
  <c r="A1483" i="57"/>
  <c r="A1484" i="57"/>
  <c r="C1484" i="57" s="1"/>
  <c r="A1485" i="57"/>
  <c r="C1485" i="57" s="1"/>
  <c r="A1486" i="57"/>
  <c r="C1486" i="57" s="1"/>
  <c r="A1487" i="57"/>
  <c r="A1488" i="57"/>
  <c r="A1489" i="57"/>
  <c r="A1490" i="57"/>
  <c r="C1490" i="57" s="1"/>
  <c r="A1491" i="57"/>
  <c r="C1491" i="57" s="1"/>
  <c r="A1492" i="57"/>
  <c r="C1492" i="57" s="1"/>
  <c r="A1493" i="57"/>
  <c r="A1494" i="57"/>
  <c r="A1495" i="57"/>
  <c r="A1496" i="57"/>
  <c r="C1496" i="57" s="1"/>
  <c r="A1497" i="57"/>
  <c r="C1497" i="57" s="1"/>
  <c r="A1498" i="57"/>
  <c r="C1498" i="57" s="1"/>
  <c r="A1499" i="57"/>
  <c r="A1500" i="57"/>
  <c r="A1501" i="57"/>
  <c r="A1502" i="57"/>
  <c r="C1502" i="57" s="1"/>
  <c r="A1503" i="57"/>
  <c r="C1503" i="57" s="1"/>
  <c r="A1504" i="57"/>
  <c r="C1504" i="57" s="1"/>
  <c r="A1505" i="57"/>
  <c r="A1506" i="57"/>
  <c r="A1507" i="57"/>
  <c r="A1508" i="57"/>
  <c r="C1508" i="57" s="1"/>
  <c r="A1509" i="57"/>
  <c r="C1509" i="57" s="1"/>
  <c r="A1510" i="57"/>
  <c r="C1510" i="57" s="1"/>
  <c r="A1511" i="57"/>
  <c r="A1512" i="57"/>
  <c r="A1513" i="57"/>
  <c r="A1514" i="57"/>
  <c r="C1514" i="57" s="1"/>
  <c r="A1515" i="57"/>
  <c r="C1515" i="57" s="1"/>
  <c r="A1516" i="57"/>
  <c r="C1516" i="57" s="1"/>
  <c r="A1517" i="57"/>
  <c r="A1518" i="57"/>
  <c r="A1519" i="57"/>
  <c r="A1520" i="57"/>
  <c r="C1520" i="57" s="1"/>
  <c r="A1521" i="57"/>
  <c r="C1521" i="57" s="1"/>
  <c r="A1522" i="57"/>
  <c r="C1522" i="57" s="1"/>
  <c r="A1523" i="57"/>
  <c r="A1524" i="57"/>
  <c r="A1525" i="57"/>
  <c r="A1526" i="57"/>
  <c r="C1526" i="57" s="1"/>
  <c r="A1527" i="57"/>
  <c r="C1527" i="57" s="1"/>
  <c r="A1528" i="57"/>
  <c r="C1528" i="57" s="1"/>
  <c r="A1529" i="57"/>
  <c r="A1530" i="57"/>
  <c r="A1531" i="57"/>
  <c r="A1532" i="57"/>
  <c r="C1532" i="57" s="1"/>
  <c r="A1533" i="57"/>
  <c r="C1533" i="57" s="1"/>
  <c r="A1534" i="57"/>
  <c r="C1534" i="57" s="1"/>
  <c r="A1535" i="57"/>
  <c r="A1536" i="57"/>
  <c r="A1537" i="57"/>
  <c r="A1538" i="57"/>
  <c r="C1538" i="57" s="1"/>
  <c r="A1539" i="57"/>
  <c r="C1539" i="57" s="1"/>
  <c r="A1540" i="57"/>
  <c r="C1540" i="57" s="1"/>
  <c r="A1541" i="57"/>
  <c r="A1542" i="57"/>
  <c r="A1543" i="57"/>
  <c r="A1544" i="57"/>
  <c r="C1544" i="57" s="1"/>
  <c r="A1545" i="57"/>
  <c r="C1545" i="57" s="1"/>
  <c r="A1546" i="57"/>
  <c r="C1546" i="57" s="1"/>
  <c r="A1547" i="57"/>
  <c r="A1548" i="57"/>
  <c r="A1549" i="57"/>
  <c r="A1550" i="57"/>
  <c r="C1550" i="57" s="1"/>
  <c r="A1551" i="57"/>
  <c r="C1551" i="57" s="1"/>
  <c r="A1552" i="57"/>
  <c r="C1552" i="57" s="1"/>
  <c r="A1553" i="57"/>
  <c r="A1554" i="57"/>
  <c r="A1555" i="57"/>
  <c r="A1556" i="57"/>
  <c r="C1556" i="57" s="1"/>
  <c r="A1557" i="57"/>
  <c r="C1557" i="57" s="1"/>
  <c r="A1558" i="57"/>
  <c r="C1558" i="57" s="1"/>
  <c r="A1559" i="57"/>
  <c r="A1560" i="57"/>
  <c r="A1561" i="57"/>
  <c r="A1562" i="57"/>
  <c r="C1562" i="57" s="1"/>
  <c r="A1563" i="57"/>
  <c r="C1563" i="57" s="1"/>
  <c r="A1564" i="57"/>
  <c r="C1564" i="57" s="1"/>
  <c r="A1565" i="57"/>
  <c r="A1566" i="57"/>
  <c r="A1567" i="57"/>
  <c r="A1568" i="57"/>
  <c r="C1568" i="57" s="1"/>
  <c r="A1569" i="57"/>
  <c r="C1569" i="57" s="1"/>
  <c r="A1570" i="57"/>
  <c r="C1570" i="57" s="1"/>
  <c r="A1571" i="57"/>
  <c r="A1572" i="57"/>
  <c r="A1573" i="57"/>
  <c r="A1574" i="57"/>
  <c r="C1574" i="57" s="1"/>
  <c r="A1575" i="57"/>
  <c r="C1575" i="57" s="1"/>
  <c r="A1576" i="57"/>
  <c r="C1576" i="57" s="1"/>
  <c r="A1577" i="57"/>
  <c r="A1578" i="57"/>
  <c r="A1579" i="57"/>
  <c r="A1580" i="57"/>
  <c r="C1580" i="57" s="1"/>
  <c r="A1581" i="57"/>
  <c r="C1581" i="57" s="1"/>
  <c r="A1582" i="57"/>
  <c r="C1582" i="57" s="1"/>
  <c r="A1583" i="57"/>
  <c r="A1584" i="57"/>
  <c r="A1585" i="57"/>
  <c r="A1586" i="57"/>
  <c r="C1586" i="57" s="1"/>
  <c r="A1587" i="57"/>
  <c r="C1587" i="57" s="1"/>
  <c r="A1588" i="57"/>
  <c r="C1588" i="57" s="1"/>
  <c r="A1589" i="57"/>
  <c r="A1590" i="57"/>
  <c r="A1591" i="57"/>
  <c r="A1592" i="57"/>
  <c r="C1592" i="57" s="1"/>
  <c r="A1593" i="57"/>
  <c r="C1593" i="57" s="1"/>
  <c r="A1594" i="57"/>
  <c r="C1594" i="57" s="1"/>
  <c r="A1595" i="57"/>
  <c r="A1596" i="57"/>
  <c r="A1597" i="57"/>
  <c r="A1598" i="57"/>
  <c r="C1598" i="57" s="1"/>
  <c r="A1599" i="57"/>
  <c r="C1599" i="57" s="1"/>
  <c r="A1600" i="57"/>
  <c r="C1600" i="57" s="1"/>
  <c r="A1601" i="57"/>
  <c r="A1602" i="57"/>
  <c r="A1603" i="57"/>
  <c r="A1604" i="57"/>
  <c r="C1604" i="57" s="1"/>
  <c r="A1605" i="57"/>
  <c r="C1605" i="57" s="1"/>
  <c r="A1606" i="57"/>
  <c r="C1606" i="57" s="1"/>
  <c r="A1607" i="57"/>
  <c r="A1608" i="57"/>
  <c r="A1609" i="57"/>
  <c r="A1610" i="57"/>
  <c r="C1610" i="57" s="1"/>
  <c r="A1611" i="57"/>
  <c r="C1611" i="57" s="1"/>
  <c r="A1612" i="57"/>
  <c r="C1612" i="57" s="1"/>
  <c r="A1613" i="57"/>
  <c r="A1614" i="57"/>
  <c r="A1615" i="57"/>
  <c r="A1616" i="57"/>
  <c r="C1616" i="57" s="1"/>
  <c r="A1617" i="57"/>
  <c r="C1617" i="57" s="1"/>
  <c r="A1618" i="57"/>
  <c r="C1618" i="57" s="1"/>
  <c r="A1619" i="57"/>
  <c r="A1620" i="57"/>
  <c r="A1621" i="57"/>
  <c r="A1622" i="57"/>
  <c r="C1622" i="57" s="1"/>
  <c r="A1623" i="57"/>
  <c r="C1623" i="57" s="1"/>
  <c r="A1624" i="57"/>
  <c r="C1624" i="57" s="1"/>
  <c r="A1625" i="57"/>
  <c r="A1626" i="57"/>
  <c r="A1627" i="57"/>
  <c r="A1628" i="57"/>
  <c r="C1628" i="57" s="1"/>
  <c r="A1629" i="57"/>
  <c r="C1629" i="57" s="1"/>
  <c r="A1630" i="57"/>
  <c r="C1630" i="57" s="1"/>
  <c r="A1631" i="57"/>
  <c r="A1632" i="57"/>
  <c r="A1633" i="57"/>
  <c r="A1634" i="57"/>
  <c r="C1634" i="57" s="1"/>
  <c r="A1635" i="57"/>
  <c r="C1635" i="57" s="1"/>
  <c r="A1636" i="57"/>
  <c r="C1636" i="57" s="1"/>
  <c r="A1637" i="57"/>
  <c r="A1638" i="57"/>
  <c r="A1639" i="57"/>
  <c r="A1640" i="57"/>
  <c r="C1640" i="57" s="1"/>
  <c r="A1641" i="57"/>
  <c r="C1641" i="57" s="1"/>
  <c r="A1642" i="57"/>
  <c r="C1642" i="57" s="1"/>
  <c r="A1643" i="57"/>
  <c r="A1644" i="57"/>
  <c r="A1645" i="57"/>
  <c r="A1646" i="57"/>
  <c r="C1646" i="57" s="1"/>
  <c r="A1647" i="57"/>
  <c r="C1647" i="57" s="1"/>
  <c r="A1648" i="57"/>
  <c r="C1648" i="57" s="1"/>
  <c r="A1649" i="57"/>
  <c r="A1650" i="57"/>
  <c r="A1651" i="57"/>
  <c r="A1652" i="57"/>
  <c r="C1652" i="57" s="1"/>
  <c r="A1653" i="57"/>
  <c r="C1653" i="57" s="1"/>
  <c r="A1654" i="57"/>
  <c r="C1654" i="57" s="1"/>
  <c r="A1655" i="57"/>
  <c r="A1656" i="57"/>
  <c r="A1657" i="57"/>
  <c r="A1658" i="57"/>
  <c r="C1658" i="57" s="1"/>
  <c r="A1659" i="57"/>
  <c r="C1659" i="57" s="1"/>
  <c r="A1660" i="57"/>
  <c r="C1660" i="57" s="1"/>
  <c r="A1661" i="57"/>
  <c r="A1662" i="57"/>
  <c r="A1663" i="57"/>
  <c r="A1664" i="57"/>
  <c r="C1664" i="57" s="1"/>
  <c r="A1665" i="57"/>
  <c r="C1665" i="57" s="1"/>
  <c r="A1666" i="57"/>
  <c r="C1666" i="57" s="1"/>
  <c r="A1667" i="57"/>
  <c r="A1668" i="57"/>
  <c r="A1669" i="57"/>
  <c r="A1670" i="57"/>
  <c r="C1670" i="57" s="1"/>
  <c r="A1671" i="57"/>
  <c r="C1671" i="57" s="1"/>
  <c r="A1672" i="57"/>
  <c r="C1672" i="57" s="1"/>
  <c r="A1673" i="57"/>
  <c r="A1674" i="57"/>
  <c r="A1675" i="57"/>
  <c r="A1676" i="57"/>
  <c r="C1676" i="57" s="1"/>
  <c r="A1677" i="57"/>
  <c r="C1677" i="57" s="1"/>
  <c r="A1678" i="57"/>
  <c r="C1678" i="57" s="1"/>
  <c r="A1679" i="57"/>
  <c r="A1680" i="57"/>
  <c r="A1681" i="57"/>
  <c r="A1682" i="57"/>
  <c r="C1682" i="57" s="1"/>
  <c r="A1683" i="57"/>
  <c r="C1683" i="57" s="1"/>
  <c r="A1684" i="57"/>
  <c r="C1684" i="57" s="1"/>
  <c r="A1685" i="57"/>
  <c r="A1686" i="57"/>
  <c r="A1687" i="57"/>
  <c r="A1688" i="57"/>
  <c r="C1688" i="57" s="1"/>
  <c r="A1689" i="57"/>
  <c r="C1689" i="57" s="1"/>
  <c r="A1690" i="57"/>
  <c r="C1690" i="57" s="1"/>
  <c r="A1691" i="57"/>
  <c r="H1691" i="57" s="1"/>
  <c r="A1692" i="57"/>
  <c r="H1692" i="57" s="1"/>
  <c r="A1693" i="57"/>
  <c r="H1693" i="57" s="1"/>
  <c r="A1694" i="57"/>
  <c r="A1695" i="57"/>
  <c r="C1695" i="57" s="1"/>
  <c r="A1696" i="57"/>
  <c r="C1696" i="57" s="1"/>
  <c r="A1697" i="57"/>
  <c r="H1697" i="57" s="1"/>
  <c r="A1698" i="57"/>
  <c r="H1698" i="57" s="1"/>
  <c r="A1699" i="57"/>
  <c r="H1699" i="57" s="1"/>
  <c r="A1700" i="57"/>
  <c r="A1701" i="57"/>
  <c r="C1701" i="57" s="1"/>
  <c r="A1702" i="57"/>
  <c r="C1702" i="57" s="1"/>
  <c r="A1703" i="57"/>
  <c r="H1703" i="57" s="1"/>
  <c r="A1704" i="57"/>
  <c r="H1704" i="57" s="1"/>
  <c r="A1705" i="57"/>
  <c r="H1705" i="57" s="1"/>
  <c r="A1706" i="57"/>
  <c r="A1707" i="57"/>
  <c r="C1707" i="57" s="1"/>
  <c r="A1708" i="57"/>
  <c r="C1708" i="57" s="1"/>
  <c r="A1709" i="57"/>
  <c r="H1709" i="57" s="1"/>
  <c r="A1710" i="57"/>
  <c r="H1710" i="57" s="1"/>
  <c r="A1711" i="57"/>
  <c r="H1711" i="57" s="1"/>
  <c r="A1712" i="57"/>
  <c r="A1713" i="57"/>
  <c r="C1713" i="57" s="1"/>
  <c r="A1714" i="57"/>
  <c r="C1714" i="57" s="1"/>
  <c r="A1715" i="57"/>
  <c r="H1715" i="57" s="1"/>
  <c r="A1716" i="57"/>
  <c r="H1716" i="57" s="1"/>
  <c r="A1717" i="57"/>
  <c r="H1717" i="57" s="1"/>
  <c r="A1718" i="57"/>
  <c r="A1719" i="57"/>
  <c r="C1719" i="57" s="1"/>
  <c r="A1720" i="57"/>
  <c r="C1720" i="57" s="1"/>
  <c r="A1721" i="57"/>
  <c r="H1721" i="57" s="1"/>
  <c r="A1722" i="57"/>
  <c r="H1722" i="57" s="1"/>
  <c r="A1723" i="57"/>
  <c r="H1723" i="57" s="1"/>
  <c r="A1724" i="57"/>
  <c r="A1725" i="57"/>
  <c r="C1725" i="57" s="1"/>
  <c r="A1726" i="57"/>
  <c r="C1726" i="57" s="1"/>
  <c r="A1727" i="57"/>
  <c r="H1727" i="57" s="1"/>
  <c r="A1728" i="57"/>
  <c r="H1728" i="57" s="1"/>
  <c r="A1729" i="57"/>
  <c r="H1729" i="57" s="1"/>
  <c r="A1730" i="57"/>
  <c r="A1731" i="57"/>
  <c r="C1731" i="57" s="1"/>
  <c r="A1732" i="57"/>
  <c r="C1732" i="57" s="1"/>
  <c r="A1733" i="57"/>
  <c r="H1733" i="57" s="1"/>
  <c r="A1734" i="57"/>
  <c r="H1734" i="57" s="1"/>
  <c r="A1735" i="57"/>
  <c r="H1735" i="57" s="1"/>
  <c r="A1736" i="57"/>
  <c r="A1737" i="57"/>
  <c r="C1737" i="57" s="1"/>
  <c r="A1738" i="57"/>
  <c r="C1738" i="57" s="1"/>
  <c r="A1739" i="57"/>
  <c r="H1739" i="57" s="1"/>
  <c r="A1740" i="57"/>
  <c r="H1740" i="57" s="1"/>
  <c r="A1741" i="57"/>
  <c r="H1741" i="57" s="1"/>
  <c r="A1742" i="57"/>
  <c r="A1743" i="57"/>
  <c r="C1743" i="57" s="1"/>
  <c r="A1744" i="57"/>
  <c r="C1744" i="57" s="1"/>
  <c r="A1745" i="57"/>
  <c r="H1745" i="57" s="1"/>
  <c r="A1746" i="57"/>
  <c r="H1746" i="57" s="1"/>
  <c r="A1747" i="57"/>
  <c r="H1747" i="57" s="1"/>
  <c r="A1748" i="57"/>
  <c r="A1749" i="57"/>
  <c r="C1749" i="57" s="1"/>
  <c r="A1750" i="57"/>
  <c r="C1750" i="57" s="1"/>
  <c r="A1751" i="57"/>
  <c r="H1751" i="57" s="1"/>
  <c r="A1752" i="57"/>
  <c r="H1752" i="57" s="1"/>
  <c r="A1753" i="57"/>
  <c r="H1753" i="57" s="1"/>
  <c r="A1754" i="57"/>
  <c r="A1755" i="57"/>
  <c r="C1755" i="57" s="1"/>
  <c r="A1756" i="57"/>
  <c r="C1756" i="57" s="1"/>
  <c r="A1757" i="57"/>
  <c r="H1757" i="57" s="1"/>
  <c r="A1758" i="57"/>
  <c r="H1758" i="57" s="1"/>
  <c r="A1759" i="57"/>
  <c r="H1759" i="57" s="1"/>
  <c r="A1760" i="57"/>
  <c r="A1761" i="57"/>
  <c r="C1761" i="57" s="1"/>
  <c r="A1762" i="57"/>
  <c r="C1762" i="57" s="1"/>
  <c r="A1763" i="57"/>
  <c r="H1763" i="57" s="1"/>
  <c r="A1764" i="57"/>
  <c r="H1764" i="57" s="1"/>
  <c r="A1765" i="57"/>
  <c r="H1765" i="57" s="1"/>
  <c r="A1766" i="57"/>
  <c r="A1767" i="57"/>
  <c r="C1767" i="57" s="1"/>
  <c r="A1768" i="57"/>
  <c r="C1768" i="57" s="1"/>
  <c r="A1769" i="57"/>
  <c r="H1769" i="57" s="1"/>
  <c r="A1770" i="57"/>
  <c r="H1770" i="57" s="1"/>
  <c r="A1771" i="57"/>
  <c r="H1771" i="57" s="1"/>
  <c r="A1772" i="57"/>
  <c r="A1773" i="57"/>
  <c r="C1773" i="57" s="1"/>
  <c r="A1774" i="57"/>
  <c r="C1774" i="57" s="1"/>
  <c r="A1775" i="57"/>
  <c r="H1775" i="57" s="1"/>
  <c r="A1776" i="57"/>
  <c r="H1776" i="57" s="1"/>
  <c r="A1777" i="57"/>
  <c r="H1777" i="57" s="1"/>
  <c r="A1778" i="57"/>
  <c r="A1779" i="57"/>
  <c r="C1779" i="57" s="1"/>
  <c r="A1780" i="57"/>
  <c r="C1780" i="57" s="1"/>
  <c r="A1781" i="57"/>
  <c r="H1781" i="57" s="1"/>
  <c r="A1782" i="57"/>
  <c r="H1782" i="57" s="1"/>
  <c r="A1783" i="57"/>
  <c r="H1783" i="57" s="1"/>
  <c r="A1784" i="57"/>
  <c r="A1785" i="57"/>
  <c r="C1785" i="57" s="1"/>
  <c r="A1786" i="57"/>
  <c r="C1786" i="57" s="1"/>
  <c r="A1787" i="57"/>
  <c r="H1787" i="57" s="1"/>
  <c r="A1788" i="57"/>
  <c r="H1788" i="57" s="1"/>
  <c r="A1789" i="57"/>
  <c r="H1789" i="57" s="1"/>
  <c r="A1790" i="57"/>
  <c r="A1791" i="57"/>
  <c r="C1791" i="57" s="1"/>
  <c r="A1792" i="57"/>
  <c r="C1792" i="57" s="1"/>
  <c r="A1793" i="57"/>
  <c r="H1793" i="57" s="1"/>
  <c r="A1794" i="57"/>
  <c r="H1794" i="57" s="1"/>
  <c r="A1795" i="57"/>
  <c r="H1795" i="57" s="1"/>
  <c r="A1796" i="57"/>
  <c r="A1797" i="57"/>
  <c r="C1797" i="57" s="1"/>
  <c r="A1798" i="57"/>
  <c r="C1798" i="57" s="1"/>
  <c r="A1799" i="57"/>
  <c r="H1799" i="57" s="1"/>
  <c r="A1800" i="57"/>
  <c r="H1800" i="57" s="1"/>
  <c r="A1801" i="57"/>
  <c r="H1801" i="57" s="1"/>
  <c r="A1802" i="57"/>
  <c r="A1803" i="57"/>
  <c r="C1803" i="57" s="1"/>
  <c r="A1804" i="57"/>
  <c r="C1804" i="57" s="1"/>
  <c r="A1805" i="57"/>
  <c r="H1805" i="57" s="1"/>
  <c r="A1806" i="57"/>
  <c r="H1806" i="57" s="1"/>
  <c r="A1807" i="57"/>
  <c r="H1807" i="57" s="1"/>
  <c r="A1808" i="57"/>
  <c r="A1809" i="57"/>
  <c r="C1809" i="57" s="1"/>
  <c r="A1810" i="57"/>
  <c r="C1810" i="57" s="1"/>
  <c r="A1811" i="57"/>
  <c r="H1811" i="57" s="1"/>
  <c r="A1812" i="57"/>
  <c r="H1812" i="57" s="1"/>
  <c r="A1813" i="57"/>
  <c r="H1813" i="57" s="1"/>
  <c r="A1814" i="57"/>
  <c r="A1815" i="57"/>
  <c r="C1815" i="57" s="1"/>
  <c r="A1816" i="57"/>
  <c r="C1816" i="57" s="1"/>
  <c r="A1817" i="57"/>
  <c r="H1817" i="57" s="1"/>
  <c r="A1818" i="57"/>
  <c r="H1818" i="57" s="1"/>
  <c r="A1819" i="57"/>
  <c r="H1819" i="57" s="1"/>
  <c r="A1820" i="57"/>
  <c r="A1821" i="57"/>
  <c r="C1821" i="57" s="1"/>
  <c r="A1822" i="57"/>
  <c r="C1822" i="57" s="1"/>
  <c r="A1823" i="57"/>
  <c r="H1823" i="57" s="1"/>
  <c r="A1824" i="57"/>
  <c r="H1824" i="57" s="1"/>
  <c r="A1825" i="57"/>
  <c r="H1825" i="57" s="1"/>
  <c r="A1826" i="57"/>
  <c r="A1827" i="57"/>
  <c r="C1827" i="57" s="1"/>
  <c r="A1828" i="57"/>
  <c r="C1828" i="57" s="1"/>
  <c r="A1829" i="57"/>
  <c r="H1829" i="57" s="1"/>
  <c r="A1830" i="57"/>
  <c r="H1830" i="57" s="1"/>
  <c r="A1831" i="57"/>
  <c r="H1831" i="57" s="1"/>
  <c r="A1832" i="57"/>
  <c r="A1833" i="57"/>
  <c r="C1833" i="57" s="1"/>
  <c r="A1834" i="57"/>
  <c r="C1834" i="57" s="1"/>
  <c r="A1835" i="57"/>
  <c r="H1835" i="57" s="1"/>
  <c r="A1836" i="57"/>
  <c r="H1836" i="57" s="1"/>
  <c r="A1837" i="57"/>
  <c r="H1837" i="57" s="1"/>
  <c r="A1838" i="57"/>
  <c r="A1839" i="57"/>
  <c r="C1839" i="57" s="1"/>
  <c r="A1840" i="57"/>
  <c r="C1840" i="57" s="1"/>
  <c r="A1841" i="57"/>
  <c r="H1841" i="57" s="1"/>
  <c r="A1842" i="57"/>
  <c r="H1842" i="57" s="1"/>
  <c r="A1843" i="57"/>
  <c r="H1843" i="57" s="1"/>
  <c r="A1844" i="57"/>
  <c r="A1845" i="57"/>
  <c r="C1845" i="57" s="1"/>
  <c r="A1846" i="57"/>
  <c r="C1846" i="57" s="1"/>
  <c r="A1847" i="57"/>
  <c r="H1847" i="57" s="1"/>
  <c r="A1848" i="57"/>
  <c r="H1848" i="57" s="1"/>
  <c r="A1849" i="57"/>
  <c r="H1849" i="57" s="1"/>
  <c r="A1850" i="57"/>
  <c r="A1851" i="57"/>
  <c r="C1851" i="57" s="1"/>
  <c r="A1852" i="57"/>
  <c r="C1852" i="57" s="1"/>
  <c r="A1853" i="57"/>
  <c r="H1853" i="57" s="1"/>
  <c r="A1854" i="57"/>
  <c r="H1854" i="57" s="1"/>
  <c r="A1855" i="57"/>
  <c r="H1855" i="57" s="1"/>
  <c r="A1856" i="57"/>
  <c r="A1857" i="57"/>
  <c r="C1857" i="57" s="1"/>
  <c r="A1858" i="57"/>
  <c r="C1858" i="57" s="1"/>
  <c r="A1859" i="57"/>
  <c r="H1859" i="57" s="1"/>
  <c r="A1860" i="57"/>
  <c r="H1860" i="57" s="1"/>
  <c r="A1861" i="57"/>
  <c r="H1861" i="57" s="1"/>
  <c r="A1862" i="57"/>
  <c r="A1863" i="57"/>
  <c r="C1863" i="57" s="1"/>
  <c r="A1864" i="57"/>
  <c r="C1864" i="57" s="1"/>
  <c r="A1865" i="57"/>
  <c r="H1865" i="57" s="1"/>
  <c r="A1866" i="57"/>
  <c r="H1866" i="57" s="1"/>
  <c r="A1867" i="57"/>
  <c r="H1867" i="57" s="1"/>
  <c r="A1868" i="57"/>
  <c r="A1869" i="57"/>
  <c r="C1869" i="57" s="1"/>
  <c r="A1870" i="57"/>
  <c r="C1870" i="57" s="1"/>
  <c r="A1871" i="57"/>
  <c r="H1871" i="57" s="1"/>
  <c r="A1872" i="57"/>
  <c r="H1872" i="57" s="1"/>
  <c r="A1873" i="57"/>
  <c r="H1873" i="57" s="1"/>
  <c r="A1874" i="57"/>
  <c r="A1875" i="57"/>
  <c r="C1875" i="57" s="1"/>
  <c r="A1876" i="57"/>
  <c r="C1876" i="57" s="1"/>
  <c r="A1877" i="57"/>
  <c r="H1877" i="57" s="1"/>
  <c r="A1878" i="57"/>
  <c r="H1878" i="57" s="1"/>
  <c r="A1879" i="57"/>
  <c r="H1879" i="57" s="1"/>
  <c r="A1880" i="57"/>
  <c r="A1881" i="57"/>
  <c r="C1881" i="57" s="1"/>
  <c r="A1882" i="57"/>
  <c r="C1882" i="57" s="1"/>
  <c r="A1883" i="57"/>
  <c r="H1883" i="57" s="1"/>
  <c r="A1884" i="57"/>
  <c r="H1884" i="57" s="1"/>
  <c r="A1885" i="57"/>
  <c r="H1885" i="57" s="1"/>
  <c r="A1886" i="57"/>
  <c r="A1887" i="57"/>
  <c r="C1887" i="57" s="1"/>
  <c r="A1888" i="57"/>
  <c r="C1888" i="57" s="1"/>
  <c r="A1889" i="57"/>
  <c r="H1889" i="57" s="1"/>
  <c r="A1890" i="57"/>
  <c r="H1890" i="57" s="1"/>
  <c r="A1891" i="57"/>
  <c r="H1891" i="57" s="1"/>
  <c r="A1892" i="57"/>
  <c r="A1893" i="57"/>
  <c r="C1893" i="57" s="1"/>
  <c r="A1894" i="57"/>
  <c r="C1894" i="57" s="1"/>
  <c r="A1895" i="57"/>
  <c r="H1895" i="57" s="1"/>
  <c r="A1896" i="57"/>
  <c r="H1896" i="57" s="1"/>
  <c r="A1897" i="57"/>
  <c r="H1897" i="57" s="1"/>
  <c r="A1898" i="57"/>
  <c r="A1899" i="57"/>
  <c r="C1899" i="57" s="1"/>
  <c r="A1900" i="57"/>
  <c r="C1900" i="57" s="1"/>
  <c r="A1901" i="57"/>
  <c r="H1901" i="57" s="1"/>
  <c r="A1902" i="57"/>
  <c r="H1902" i="57" s="1"/>
  <c r="A1903" i="57"/>
  <c r="H1903" i="57" s="1"/>
  <c r="A1904" i="57"/>
  <c r="A1905" i="57"/>
  <c r="C1905" i="57" s="1"/>
  <c r="A1906" i="57"/>
  <c r="C1906" i="57" s="1"/>
  <c r="A1907" i="57"/>
  <c r="H1907" i="57" s="1"/>
  <c r="A1908" i="57"/>
  <c r="H1908" i="57" s="1"/>
  <c r="A1909" i="57"/>
  <c r="H1909" i="57" s="1"/>
  <c r="A1910" i="57"/>
  <c r="A1911" i="57"/>
  <c r="C1911" i="57" s="1"/>
  <c r="A1912" i="57"/>
  <c r="C1912" i="57" s="1"/>
  <c r="A1913" i="57"/>
  <c r="H1913" i="57" s="1"/>
  <c r="A1914" i="57"/>
  <c r="H1914" i="57" s="1"/>
  <c r="A1915" i="57"/>
  <c r="C1915" i="57" s="1"/>
  <c r="A1916" i="57"/>
  <c r="A1917" i="57"/>
  <c r="C1917" i="57" s="1"/>
  <c r="A1918" i="57"/>
  <c r="C1918" i="57" s="1"/>
  <c r="A1919" i="57"/>
  <c r="H1919" i="57" s="1"/>
  <c r="A1920" i="57"/>
  <c r="H1920" i="57" s="1"/>
  <c r="A1921" i="57"/>
  <c r="C1921" i="57" s="1"/>
  <c r="A1922" i="57"/>
  <c r="A1923" i="57"/>
  <c r="C1923" i="57" s="1"/>
  <c r="A1924" i="57"/>
  <c r="C1924" i="57" s="1"/>
  <c r="A1925" i="57"/>
  <c r="H1925" i="57" s="1"/>
  <c r="A1926" i="57"/>
  <c r="H1926" i="57" s="1"/>
  <c r="A1927" i="57"/>
  <c r="C1927" i="57" s="1"/>
  <c r="A1928" i="57"/>
  <c r="A1929" i="57"/>
  <c r="C1929" i="57" s="1"/>
  <c r="A1930" i="57"/>
  <c r="C1930" i="57" s="1"/>
  <c r="A1931" i="57"/>
  <c r="H1931" i="57" s="1"/>
  <c r="A1932" i="57"/>
  <c r="H1932" i="57" s="1"/>
  <c r="A1933" i="57"/>
  <c r="C1933" i="57" s="1"/>
  <c r="A1934" i="57"/>
  <c r="A1935" i="57"/>
  <c r="C1935" i="57" s="1"/>
  <c r="A1936" i="57"/>
  <c r="C1936" i="57" s="1"/>
  <c r="A1937" i="57"/>
  <c r="H1937" i="57" s="1"/>
  <c r="A1938" i="57"/>
  <c r="H1938" i="57" s="1"/>
  <c r="A1939" i="57"/>
  <c r="C1939" i="57" s="1"/>
  <c r="A1940" i="57"/>
  <c r="A1941" i="57"/>
  <c r="C1941" i="57" s="1"/>
  <c r="A1942" i="57"/>
  <c r="C1942" i="57" s="1"/>
  <c r="A1943" i="57"/>
  <c r="H1943" i="57" s="1"/>
  <c r="A1944" i="57"/>
  <c r="H1944" i="57" s="1"/>
  <c r="A1945" i="57"/>
  <c r="C1945" i="57" s="1"/>
  <c r="A1946" i="57"/>
  <c r="A1947" i="57"/>
  <c r="C1947" i="57" s="1"/>
  <c r="A1948" i="57"/>
  <c r="C1948" i="57" s="1"/>
  <c r="A1949" i="57"/>
  <c r="H1949" i="57" s="1"/>
  <c r="A1950" i="57"/>
  <c r="H1950" i="57" s="1"/>
  <c r="A1951" i="57"/>
  <c r="C1951" i="57" s="1"/>
  <c r="A1952" i="57"/>
  <c r="A1953" i="57"/>
  <c r="C1953" i="57" s="1"/>
  <c r="A1954" i="57"/>
  <c r="C1954" i="57" s="1"/>
  <c r="A1955" i="57"/>
  <c r="H1955" i="57" s="1"/>
  <c r="A1956" i="57"/>
  <c r="H1956" i="57" s="1"/>
  <c r="A1957" i="57"/>
  <c r="C1957" i="57" s="1"/>
  <c r="A1958" i="57"/>
  <c r="A1959" i="57"/>
  <c r="C1959" i="57" s="1"/>
  <c r="A1960" i="57"/>
  <c r="C1960" i="57" s="1"/>
  <c r="A1961" i="57"/>
  <c r="H1961" i="57" s="1"/>
  <c r="A1962" i="57"/>
  <c r="H1962" i="57" s="1"/>
  <c r="A1963" i="57"/>
  <c r="C1963" i="57" s="1"/>
  <c r="A1964" i="57"/>
  <c r="A1965" i="57"/>
  <c r="C1965" i="57" s="1"/>
  <c r="A1966" i="57"/>
  <c r="C1966" i="57" s="1"/>
  <c r="A1967" i="57"/>
  <c r="H1967" i="57" s="1"/>
  <c r="A1968" i="57"/>
  <c r="H1968" i="57" s="1"/>
  <c r="A1969" i="57"/>
  <c r="C1969" i="57" s="1"/>
  <c r="A1970" i="57"/>
  <c r="A1971" i="57"/>
  <c r="C1971" i="57" s="1"/>
  <c r="A1972" i="57"/>
  <c r="C1972" i="57" s="1"/>
  <c r="A1973" i="57"/>
  <c r="H1973" i="57" s="1"/>
  <c r="A1974" i="57"/>
  <c r="H1974" i="57" s="1"/>
  <c r="A1975" i="57"/>
  <c r="C1975" i="57" s="1"/>
  <c r="A1976" i="57"/>
  <c r="A1977" i="57"/>
  <c r="C1977" i="57" s="1"/>
  <c r="A1978" i="57"/>
  <c r="C1978" i="57" s="1"/>
  <c r="A1979" i="57"/>
  <c r="H1979" i="57" s="1"/>
  <c r="A1980" i="57"/>
  <c r="H1980" i="57" s="1"/>
  <c r="A1981" i="57"/>
  <c r="C1981" i="57" s="1"/>
  <c r="A1982" i="57"/>
  <c r="A1983" i="57"/>
  <c r="C1983" i="57" s="1"/>
  <c r="A1984" i="57"/>
  <c r="C1984" i="57" s="1"/>
  <c r="A1985" i="57"/>
  <c r="H1985" i="57" s="1"/>
  <c r="A1986" i="57"/>
  <c r="H1986" i="57" s="1"/>
  <c r="A1987" i="57"/>
  <c r="C1987" i="57" s="1"/>
  <c r="A1988" i="57"/>
  <c r="A1989" i="57"/>
  <c r="C1989" i="57" s="1"/>
  <c r="A1990" i="57"/>
  <c r="C1990" i="57" s="1"/>
  <c r="A1991" i="57"/>
  <c r="H1991" i="57" s="1"/>
  <c r="A1992" i="57"/>
  <c r="H1992" i="57" s="1"/>
  <c r="A1993" i="57"/>
  <c r="C1993" i="57" s="1"/>
  <c r="A1994" i="57"/>
  <c r="A1995" i="57"/>
  <c r="C1995" i="57" s="1"/>
  <c r="A1996" i="57"/>
  <c r="C1996" i="57" s="1"/>
  <c r="A1997" i="57"/>
  <c r="H1997" i="57" s="1"/>
  <c r="A1998" i="57"/>
  <c r="H1998" i="57" s="1"/>
  <c r="A1999" i="57"/>
  <c r="C1999" i="57" s="1"/>
  <c r="A2000" i="57"/>
  <c r="A2001" i="57"/>
  <c r="C2001" i="57" s="1"/>
  <c r="A2002" i="57"/>
  <c r="C2002" i="57" s="1"/>
  <c r="A2003" i="57"/>
  <c r="H2003" i="57" s="1"/>
  <c r="A2004" i="57"/>
  <c r="H2004" i="57" s="1"/>
  <c r="A2005" i="57"/>
  <c r="C2005" i="57" s="1"/>
  <c r="A2006" i="57"/>
  <c r="A2007" i="57"/>
  <c r="C2007" i="57" s="1"/>
  <c r="A2008" i="57"/>
  <c r="C2008" i="57" s="1"/>
  <c r="A2009" i="57"/>
  <c r="H2009" i="57" s="1"/>
  <c r="A2010" i="57"/>
  <c r="H2010" i="57" s="1"/>
  <c r="A2011" i="57"/>
  <c r="C2011" i="57" s="1"/>
  <c r="A2012" i="57"/>
  <c r="A2013" i="57"/>
  <c r="C2013" i="57" s="1"/>
  <c r="A2014" i="57"/>
  <c r="C2014" i="57" s="1"/>
  <c r="A2015" i="57"/>
  <c r="H2015" i="57" s="1"/>
  <c r="A2016" i="57"/>
  <c r="H2016" i="57" s="1"/>
  <c r="A2017" i="57"/>
  <c r="C2017" i="57" s="1"/>
  <c r="A2018" i="57"/>
  <c r="A2019" i="57"/>
  <c r="C2019" i="57" s="1"/>
  <c r="A2020" i="57"/>
  <c r="C2020" i="57" s="1"/>
  <c r="A2021" i="57"/>
  <c r="H2021" i="57" s="1"/>
  <c r="A2022" i="57"/>
  <c r="H2022" i="57" s="1"/>
  <c r="A2023" i="57"/>
  <c r="C2023" i="57" s="1"/>
  <c r="A2024" i="57"/>
  <c r="A2025" i="57"/>
  <c r="C2025" i="57" s="1"/>
  <c r="A2026" i="57"/>
  <c r="C2026" i="57" s="1"/>
  <c r="A2027" i="57"/>
  <c r="H2027" i="57" s="1"/>
  <c r="A2028" i="57"/>
  <c r="H2028" i="57" s="1"/>
  <c r="A2029" i="57"/>
  <c r="C2029" i="57" s="1"/>
  <c r="A2030" i="57"/>
  <c r="A2031" i="57"/>
  <c r="C2031" i="57" s="1"/>
  <c r="A2032" i="57"/>
  <c r="C2032" i="57" s="1"/>
  <c r="A2033" i="57"/>
  <c r="H2033" i="57" s="1"/>
  <c r="A2034" i="57"/>
  <c r="H2034" i="57" s="1"/>
  <c r="A2035" i="57"/>
  <c r="C2035" i="57" s="1"/>
  <c r="A2036" i="57"/>
  <c r="A2037" i="57"/>
  <c r="C2037" i="57" s="1"/>
  <c r="A2038" i="57"/>
  <c r="C2038" i="57" s="1"/>
  <c r="A2039" i="57"/>
  <c r="H2039" i="57" s="1"/>
  <c r="A2040" i="57"/>
  <c r="H2040" i="57" s="1"/>
  <c r="A2041" i="57"/>
  <c r="C2041" i="57" s="1"/>
  <c r="A2042" i="57"/>
  <c r="A2043" i="57"/>
  <c r="C2043" i="57" s="1"/>
  <c r="A2044" i="57"/>
  <c r="C2044" i="57" s="1"/>
  <c r="A2045" i="57"/>
  <c r="H2045" i="57" s="1"/>
  <c r="A2046" i="57"/>
  <c r="H2046" i="57" s="1"/>
  <c r="A2047" i="57"/>
  <c r="C2047" i="57" s="1"/>
  <c r="A2048" i="57"/>
  <c r="A2049" i="57"/>
  <c r="C2049" i="57" s="1"/>
  <c r="A2050" i="57"/>
  <c r="C2050" i="57" s="1"/>
  <c r="A2051" i="57"/>
  <c r="H2051" i="57" s="1"/>
  <c r="A2052" i="57"/>
  <c r="H2052" i="57" s="1"/>
  <c r="A2053" i="57"/>
  <c r="C2053" i="57" s="1"/>
  <c r="A2054" i="57"/>
  <c r="A2055" i="57"/>
  <c r="C2055" i="57" s="1"/>
  <c r="A2056" i="57"/>
  <c r="C2056" i="57" s="1"/>
  <c r="A2057" i="57"/>
  <c r="H2057" i="57" s="1"/>
  <c r="A2058" i="57"/>
  <c r="H2058" i="57" s="1"/>
  <c r="A2059" i="57"/>
  <c r="C2059" i="57" s="1"/>
  <c r="A2060" i="57"/>
  <c r="A2061" i="57"/>
  <c r="C2061" i="57" s="1"/>
  <c r="A2062" i="57"/>
  <c r="C2062" i="57" s="1"/>
  <c r="A2063" i="57"/>
  <c r="H2063" i="57" s="1"/>
  <c r="A2064" i="57"/>
  <c r="H2064" i="57" s="1"/>
  <c r="A2065" i="57"/>
  <c r="C2065" i="57" s="1"/>
  <c r="A2066" i="57"/>
  <c r="A2067" i="57"/>
  <c r="C2067" i="57" s="1"/>
  <c r="A2068" i="57"/>
  <c r="C2068" i="57" s="1"/>
  <c r="A2069" i="57"/>
  <c r="H2069" i="57" s="1"/>
  <c r="A2070" i="57"/>
  <c r="H2070" i="57" s="1"/>
  <c r="A2071" i="57"/>
  <c r="C2071" i="57" s="1"/>
  <c r="A2072" i="57"/>
  <c r="A2073" i="57"/>
  <c r="C2073" i="57" s="1"/>
  <c r="A2074" i="57"/>
  <c r="C2074" i="57" s="1"/>
  <c r="A2075" i="57"/>
  <c r="H2075" i="57" s="1"/>
  <c r="A2076" i="57"/>
  <c r="H2076" i="57" s="1"/>
  <c r="A2077" i="57"/>
  <c r="C2077" i="57" s="1"/>
  <c r="A2078" i="57"/>
  <c r="A2079" i="57"/>
  <c r="C2079" i="57" s="1"/>
  <c r="A2080" i="57"/>
  <c r="C2080" i="57" s="1"/>
  <c r="A2081" i="57"/>
  <c r="H2081" i="57" s="1"/>
  <c r="A2082" i="57"/>
  <c r="H2082" i="57" s="1"/>
  <c r="A2083" i="57"/>
  <c r="C2083" i="57" s="1"/>
  <c r="A2084" i="57"/>
  <c r="A2085" i="57"/>
  <c r="C2085" i="57" s="1"/>
  <c r="A2086" i="57"/>
  <c r="C2086" i="57" s="1"/>
  <c r="A2087" i="57"/>
  <c r="H2087" i="57" s="1"/>
  <c r="A2088" i="57"/>
  <c r="H2088" i="57" s="1"/>
  <c r="A2089" i="57"/>
  <c r="C2089" i="57" s="1"/>
  <c r="A2090" i="57"/>
  <c r="A2091" i="57"/>
  <c r="C2091" i="57" s="1"/>
  <c r="A2092" i="57"/>
  <c r="C2092" i="57" s="1"/>
  <c r="A2093" i="57"/>
  <c r="H2093" i="57" s="1"/>
  <c r="A2094" i="57"/>
  <c r="H2094" i="57" s="1"/>
  <c r="A2095" i="57"/>
  <c r="C2095" i="57" s="1"/>
  <c r="A2096" i="57"/>
  <c r="A2097" i="57"/>
  <c r="C2097" i="57" s="1"/>
  <c r="A2098" i="57"/>
  <c r="C2098" i="57" s="1"/>
  <c r="A2099" i="57"/>
  <c r="H2099" i="57" s="1"/>
  <c r="A2100" i="57"/>
  <c r="H2100" i="57" s="1"/>
  <c r="A2101" i="57"/>
  <c r="C2101" i="57" s="1"/>
  <c r="A2102" i="57"/>
  <c r="A2103" i="57"/>
  <c r="C2103" i="57" s="1"/>
  <c r="A2104" i="57"/>
  <c r="C2104" i="57" s="1"/>
  <c r="A2105" i="57"/>
  <c r="H2105" i="57" s="1"/>
  <c r="A2106" i="57"/>
  <c r="H2106" i="57" s="1"/>
  <c r="A2107" i="57"/>
  <c r="C2107" i="57" s="1"/>
  <c r="A2108" i="57"/>
  <c r="A2109" i="57"/>
  <c r="C2109" i="57" s="1"/>
  <c r="A2110" i="57"/>
  <c r="C2110" i="57" s="1"/>
  <c r="A2111" i="57"/>
  <c r="H2111" i="57" s="1"/>
  <c r="A2112" i="57"/>
  <c r="H2112" i="57" s="1"/>
  <c r="A2113" i="57"/>
  <c r="C2113" i="57" s="1"/>
  <c r="A2114" i="57"/>
  <c r="A2115" i="57"/>
  <c r="C2115" i="57" s="1"/>
  <c r="A2116" i="57"/>
  <c r="C2116" i="57" s="1"/>
  <c r="A2117" i="57"/>
  <c r="H2117" i="57" s="1"/>
  <c r="A2118" i="57"/>
  <c r="H2118" i="57" s="1"/>
  <c r="A2119" i="57"/>
  <c r="C2119" i="57" s="1"/>
  <c r="A2120" i="57"/>
  <c r="C2120" i="57" s="1"/>
  <c r="A2121" i="57"/>
  <c r="C2121" i="57" s="1"/>
  <c r="A2122" i="57"/>
  <c r="C2122" i="57" s="1"/>
  <c r="A2123" i="57"/>
  <c r="H2123" i="57" s="1"/>
  <c r="A2124" i="57"/>
  <c r="H2124" i="57" s="1"/>
  <c r="A2125" i="57"/>
  <c r="C2125" i="57" s="1"/>
  <c r="A2126" i="57"/>
  <c r="C2126" i="57" s="1"/>
  <c r="A2127" i="57"/>
  <c r="C2127" i="57" s="1"/>
  <c r="A2128" i="57"/>
  <c r="C2128" i="57" s="1"/>
  <c r="A2129" i="57"/>
  <c r="H2129" i="57" s="1"/>
  <c r="A2130" i="57"/>
  <c r="H2130" i="57" s="1"/>
  <c r="A2131" i="57"/>
  <c r="C2131" i="57" s="1"/>
  <c r="A2132" i="57"/>
  <c r="C2132" i="57" s="1"/>
  <c r="A2133" i="57"/>
  <c r="C2133" i="57" s="1"/>
  <c r="A2134" i="57"/>
  <c r="C2134" i="57" s="1"/>
  <c r="A2135" i="57"/>
  <c r="H2135" i="57" s="1"/>
  <c r="A2136" i="57"/>
  <c r="H2136" i="57" s="1"/>
  <c r="A2137" i="57"/>
  <c r="C2137" i="57" s="1"/>
  <c r="A2138" i="57"/>
  <c r="C2138" i="57" s="1"/>
  <c r="A2139" i="57"/>
  <c r="C2139" i="57" s="1"/>
  <c r="A2140" i="57"/>
  <c r="C2140" i="57" s="1"/>
  <c r="A2141" i="57"/>
  <c r="H2141" i="57" s="1"/>
  <c r="A2142" i="57"/>
  <c r="H2142" i="57" s="1"/>
  <c r="A2143" i="57"/>
  <c r="C2143" i="57" s="1"/>
  <c r="A2144" i="57"/>
  <c r="C2144" i="57" s="1"/>
  <c r="A2145" i="57"/>
  <c r="C2145" i="57" s="1"/>
  <c r="A2146" i="57"/>
  <c r="C2146" i="57" s="1"/>
  <c r="A2147" i="57"/>
  <c r="H2147" i="57" s="1"/>
  <c r="A2148" i="57"/>
  <c r="H2148" i="57" s="1"/>
  <c r="A2149" i="57"/>
  <c r="C2149" i="57" s="1"/>
  <c r="A2150" i="57"/>
  <c r="C2150" i="57" s="1"/>
  <c r="A2151" i="57"/>
  <c r="C2151" i="57" s="1"/>
  <c r="A2152" i="57"/>
  <c r="C2152" i="57" s="1"/>
  <c r="A2153" i="57"/>
  <c r="A2154" i="57"/>
  <c r="H2154" i="57" s="1"/>
  <c r="A2155" i="57"/>
  <c r="C2155" i="57" s="1"/>
  <c r="A2156" i="57"/>
  <c r="A2157" i="57"/>
  <c r="C2157" i="57" s="1"/>
  <c r="A2158" i="57"/>
  <c r="C2158" i="57" s="1"/>
  <c r="A2159" i="57"/>
  <c r="H2159" i="57" s="1"/>
  <c r="A2160" i="57"/>
  <c r="H2160" i="57" s="1"/>
  <c r="A2161" i="57"/>
  <c r="C2161" i="57" s="1"/>
  <c r="A2162" i="57"/>
  <c r="A2163" i="57"/>
  <c r="C2163" i="57" s="1"/>
  <c r="A2164" i="57"/>
  <c r="C2164" i="57" s="1"/>
  <c r="A2165" i="57"/>
  <c r="H2165" i="57" s="1"/>
  <c r="A2166" i="57"/>
  <c r="H2166" i="57" s="1"/>
  <c r="A2167" i="57"/>
  <c r="C2167" i="57" s="1"/>
  <c r="A2168" i="57"/>
  <c r="C2168" i="57" s="1"/>
  <c r="A2169" i="57"/>
  <c r="C2169" i="57" s="1"/>
  <c r="A2170" i="57"/>
  <c r="C2170" i="57" s="1"/>
  <c r="A2171" i="57"/>
  <c r="H2171" i="57" s="1"/>
  <c r="A2172" i="57"/>
  <c r="H2172" i="57" s="1"/>
  <c r="A2173" i="57"/>
  <c r="C2173" i="57" s="1"/>
  <c r="A2174" i="57"/>
  <c r="A2175" i="57"/>
  <c r="C2175" i="57" s="1"/>
  <c r="A2176" i="57"/>
  <c r="C2176" i="57" s="1"/>
  <c r="A2177" i="57"/>
  <c r="H2177" i="57" s="1"/>
  <c r="A2178" i="57"/>
  <c r="H2178" i="57" s="1"/>
  <c r="A2179" i="57"/>
  <c r="C2179" i="57" s="1"/>
  <c r="A2180" i="57"/>
  <c r="C2180" i="57" s="1"/>
  <c r="A2181" i="57"/>
  <c r="C2181" i="57" s="1"/>
  <c r="A2182" i="57"/>
  <c r="C2182" i="57" s="1"/>
  <c r="A2183" i="57"/>
  <c r="H2183" i="57" s="1"/>
  <c r="A2184" i="57"/>
  <c r="H2184" i="57" s="1"/>
  <c r="A2185" i="57"/>
  <c r="C2185" i="57" s="1"/>
  <c r="A2186" i="57"/>
  <c r="C2186" i="57" s="1"/>
  <c r="A2187" i="57"/>
  <c r="C2187" i="57" s="1"/>
  <c r="A2188" i="57"/>
  <c r="C2188" i="57" s="1"/>
  <c r="A2189" i="57"/>
  <c r="H2189" i="57" s="1"/>
  <c r="A2190" i="57"/>
  <c r="H2190" i="57" s="1"/>
  <c r="A2191" i="57"/>
  <c r="C2191" i="57" s="1"/>
  <c r="A2192" i="57"/>
  <c r="A2193" i="57"/>
  <c r="C2193" i="57" s="1"/>
  <c r="A2194" i="57"/>
  <c r="C2194" i="57" s="1"/>
  <c r="A2195" i="57"/>
  <c r="H2195" i="57" s="1"/>
  <c r="A2196" i="57"/>
  <c r="H2196" i="57" s="1"/>
  <c r="A2197" i="57"/>
  <c r="C2197" i="57" s="1"/>
  <c r="A2198" i="57"/>
  <c r="A2199" i="57"/>
  <c r="C2199" i="57" s="1"/>
  <c r="A2200" i="57"/>
  <c r="C2200" i="57" s="1"/>
  <c r="A2201" i="57"/>
  <c r="H2201" i="57" s="1"/>
  <c r="A2202" i="57"/>
  <c r="H2202" i="57" s="1"/>
  <c r="A2203" i="57"/>
  <c r="C2203" i="57" s="1"/>
  <c r="A2204" i="57"/>
  <c r="C2204" i="57" s="1"/>
  <c r="A2205" i="57"/>
  <c r="C2205" i="57" s="1"/>
  <c r="A2206" i="57"/>
  <c r="C2206" i="57" s="1"/>
  <c r="A2207" i="57"/>
  <c r="H2207" i="57" s="1"/>
  <c r="A2208" i="57"/>
  <c r="H2208" i="57" s="1"/>
  <c r="A2209" i="57"/>
  <c r="C2209" i="57" s="1"/>
  <c r="A2210" i="57"/>
  <c r="A2211" i="57"/>
  <c r="C2211" i="57" s="1"/>
  <c r="A2212" i="57"/>
  <c r="C2212" i="57" s="1"/>
  <c r="A2213" i="57"/>
  <c r="H2213" i="57" s="1"/>
  <c r="A2214" i="57"/>
  <c r="H2214" i="57" s="1"/>
  <c r="A2215" i="57"/>
  <c r="C2215" i="57" s="1"/>
  <c r="A2216" i="57"/>
  <c r="C2216" i="57" s="1"/>
  <c r="A2217" i="57"/>
  <c r="C2217" i="57" s="1"/>
  <c r="A2218" i="57"/>
  <c r="C2218" i="57" s="1"/>
  <c r="A2219" i="57"/>
  <c r="H2219" i="57" s="1"/>
  <c r="A2220" i="57"/>
  <c r="H2220" i="57" s="1"/>
  <c r="A2221" i="57"/>
  <c r="C2221" i="57" s="1"/>
  <c r="A2222" i="57"/>
  <c r="C2222" i="57" s="1"/>
  <c r="A2223" i="57"/>
  <c r="C2223" i="57" s="1"/>
  <c r="A2224" i="57"/>
  <c r="C2224" i="57" s="1"/>
  <c r="A2225" i="57"/>
  <c r="A2226" i="57"/>
  <c r="H2226" i="57" s="1"/>
  <c r="A2227" i="57"/>
  <c r="C2227" i="57" s="1"/>
  <c r="A2228" i="57"/>
  <c r="A2229" i="57"/>
  <c r="C2229" i="57" s="1"/>
  <c r="A2230" i="57"/>
  <c r="C2230" i="57" s="1"/>
  <c r="A2231" i="57"/>
  <c r="H2231" i="57" s="1"/>
  <c r="A2232" i="57"/>
  <c r="H2232" i="57" s="1"/>
  <c r="A2233" i="57"/>
  <c r="C2233" i="57" s="1"/>
  <c r="A2234" i="57"/>
  <c r="A2235" i="57"/>
  <c r="C2235" i="57" s="1"/>
  <c r="A2236" i="57"/>
  <c r="C2236" i="57" s="1"/>
  <c r="A2237" i="57"/>
  <c r="H2237" i="57" s="1"/>
  <c r="A2238" i="57"/>
  <c r="H2238" i="57" s="1"/>
  <c r="A2239" i="57"/>
  <c r="C2239" i="57" s="1"/>
  <c r="A2240" i="57"/>
  <c r="C2240" i="57" s="1"/>
  <c r="A2241" i="57"/>
  <c r="C2241" i="57" s="1"/>
  <c r="A2242" i="57"/>
  <c r="C2242" i="57" s="1"/>
  <c r="A2243" i="57"/>
  <c r="H2243" i="57" s="1"/>
  <c r="A2244" i="57"/>
  <c r="H2244" i="57" s="1"/>
  <c r="A2245" i="57"/>
  <c r="C2245" i="57" s="1"/>
  <c r="A2246" i="57"/>
  <c r="A2247" i="57"/>
  <c r="C2247" i="57" s="1"/>
  <c r="A2248" i="57"/>
  <c r="C2248" i="57" s="1"/>
  <c r="A2249" i="57"/>
  <c r="H2249" i="57" s="1"/>
  <c r="A2250" i="57"/>
  <c r="H2250" i="57" s="1"/>
  <c r="A2251" i="57"/>
  <c r="C2251" i="57" s="1"/>
  <c r="A2252" i="57"/>
  <c r="C2252" i="57" s="1"/>
  <c r="A2253" i="57"/>
  <c r="C2253" i="57" s="1"/>
  <c r="A2254" i="57"/>
  <c r="C2254" i="57" s="1"/>
  <c r="A2255" i="57"/>
  <c r="H2255" i="57" s="1"/>
  <c r="A2256" i="57"/>
  <c r="H2256" i="57" s="1"/>
  <c r="A2257" i="57"/>
  <c r="C2257" i="57" s="1"/>
  <c r="A2258" i="57"/>
  <c r="C2258" i="57" s="1"/>
  <c r="A2259" i="57"/>
  <c r="C2259" i="57" s="1"/>
  <c r="A2260" i="57"/>
  <c r="C2260" i="57" s="1"/>
  <c r="A2261" i="57"/>
  <c r="H2261" i="57" s="1"/>
  <c r="A2262" i="57"/>
  <c r="H2262" i="57" s="1"/>
  <c r="A2263" i="57"/>
  <c r="C2263" i="57" s="1"/>
  <c r="A2264" i="57"/>
  <c r="C2264" i="57" s="1"/>
  <c r="A2265" i="57"/>
  <c r="C2265" i="57" s="1"/>
  <c r="A2266" i="57"/>
  <c r="C2266" i="57" s="1"/>
  <c r="A2267" i="57"/>
  <c r="H2267" i="57" s="1"/>
  <c r="A2268" i="57"/>
  <c r="H2268" i="57" s="1"/>
  <c r="A2269" i="57"/>
  <c r="C2269" i="57" s="1"/>
  <c r="A2270" i="57"/>
  <c r="C2270" i="57" s="1"/>
  <c r="A2271" i="57"/>
  <c r="C2271" i="57" s="1"/>
  <c r="A2272" i="57"/>
  <c r="C2272" i="57" s="1"/>
  <c r="A2273" i="57"/>
  <c r="H2273" i="57" s="1"/>
  <c r="A2274" i="57"/>
  <c r="H2274" i="57" s="1"/>
  <c r="A2275" i="57"/>
  <c r="C2275" i="57" s="1"/>
  <c r="A2276" i="57"/>
  <c r="C2276" i="57" s="1"/>
  <c r="A2277" i="57"/>
  <c r="C2277" i="57" s="1"/>
  <c r="A2278" i="57"/>
  <c r="C2278" i="57" s="1"/>
  <c r="A2279" i="57"/>
  <c r="H2279" i="57" s="1"/>
  <c r="A2280" i="57"/>
  <c r="H2280" i="57" s="1"/>
  <c r="A2281" i="57"/>
  <c r="C2281" i="57" s="1"/>
  <c r="A2282" i="57"/>
  <c r="C2282" i="57" s="1"/>
  <c r="A2283" i="57"/>
  <c r="C2283" i="57" s="1"/>
  <c r="A2284" i="57"/>
  <c r="C2284" i="57" s="1"/>
  <c r="A2285" i="57"/>
  <c r="H2285" i="57" s="1"/>
  <c r="A2286" i="57"/>
  <c r="C2286" i="57" s="1"/>
  <c r="A2287" i="57"/>
  <c r="C2287" i="57" s="1"/>
  <c r="A2288" i="57"/>
  <c r="C2288" i="57" s="1"/>
  <c r="A2289" i="57"/>
  <c r="C2289" i="57" s="1"/>
  <c r="A2290" i="57"/>
  <c r="C2290" i="57" s="1"/>
  <c r="A2291" i="57"/>
  <c r="C2291" i="57" s="1"/>
  <c r="A2292" i="57"/>
  <c r="C2292" i="57" s="1"/>
  <c r="A2293" i="57"/>
  <c r="C2293" i="57" s="1"/>
  <c r="A2294" i="57"/>
  <c r="C2294" i="57" s="1"/>
  <c r="A2295" i="57"/>
  <c r="C2295" i="57" s="1"/>
  <c r="A2296" i="57"/>
  <c r="C2296" i="57" s="1"/>
  <c r="A2297" i="57"/>
  <c r="C2297" i="57" s="1"/>
  <c r="A2298" i="57"/>
  <c r="C2298" i="57" s="1"/>
  <c r="A2299" i="57"/>
  <c r="C2299" i="57" s="1"/>
  <c r="A2300" i="57"/>
  <c r="C2300" i="57" s="1"/>
  <c r="A2301" i="57"/>
  <c r="C2301" i="57" s="1"/>
  <c r="A2302" i="57"/>
  <c r="C2302" i="57" s="1"/>
  <c r="A2303" i="57"/>
  <c r="C2303" i="57" s="1"/>
  <c r="A2304" i="57"/>
  <c r="C2304" i="57" s="1"/>
  <c r="A2305" i="57"/>
  <c r="C2305" i="57" s="1"/>
  <c r="A2306" i="57"/>
  <c r="C2306" i="57" s="1"/>
  <c r="A2307" i="57"/>
  <c r="C2307" i="57" s="1"/>
  <c r="A2308" i="57"/>
  <c r="C2308" i="57" s="1"/>
  <c r="A2309" i="57"/>
  <c r="C2309" i="57" s="1"/>
  <c r="A2310" i="57"/>
  <c r="C2310" i="57" s="1"/>
  <c r="A2311" i="57"/>
  <c r="C2311" i="57" s="1"/>
  <c r="A2312" i="57"/>
  <c r="C2312" i="57" s="1"/>
  <c r="A2313" i="57"/>
  <c r="C2313" i="57" s="1"/>
  <c r="A2314" i="57"/>
  <c r="C2314" i="57" s="1"/>
  <c r="A2315" i="57"/>
  <c r="C2315" i="57" s="1"/>
  <c r="A2316" i="57"/>
  <c r="C2316" i="57" s="1"/>
  <c r="A2317" i="57"/>
  <c r="C2317" i="57" s="1"/>
  <c r="A2318" i="57"/>
  <c r="C2318" i="57" s="1"/>
  <c r="A2319" i="57"/>
  <c r="C2319" i="57" s="1"/>
  <c r="A2320" i="57"/>
  <c r="C2320" i="57" s="1"/>
  <c r="A2321" i="57"/>
  <c r="C2321" i="57" s="1"/>
  <c r="A2322" i="57"/>
  <c r="C2322" i="57" s="1"/>
  <c r="A2323" i="57"/>
  <c r="C2323" i="57" s="1"/>
  <c r="A2324" i="57"/>
  <c r="C2324" i="57" s="1"/>
  <c r="A2325" i="57"/>
  <c r="C2325" i="57" s="1"/>
  <c r="A2326" i="57"/>
  <c r="C2326" i="57" s="1"/>
  <c r="A2327" i="57"/>
  <c r="C2327" i="57" s="1"/>
  <c r="A2328" i="57"/>
  <c r="C2328" i="57" s="1"/>
  <c r="A2329" i="57"/>
  <c r="C2329" i="57" s="1"/>
  <c r="A2330" i="57"/>
  <c r="C2330" i="57" s="1"/>
  <c r="A2331" i="57"/>
  <c r="C2331" i="57" s="1"/>
  <c r="A2332" i="57"/>
  <c r="C2332" i="57" s="1"/>
  <c r="A2333" i="57"/>
  <c r="C2333" i="57" s="1"/>
  <c r="A2334" i="57"/>
  <c r="C2334" i="57" s="1"/>
  <c r="A2335" i="57"/>
  <c r="C2335" i="57" s="1"/>
  <c r="A2336" i="57"/>
  <c r="C2336" i="57" s="1"/>
  <c r="A2337" i="57"/>
  <c r="C2337" i="57" s="1"/>
  <c r="A2338" i="57"/>
  <c r="C2338" i="57" s="1"/>
  <c r="A2339" i="57"/>
  <c r="C2339" i="57" s="1"/>
  <c r="A2340" i="57"/>
  <c r="C2340" i="57" s="1"/>
  <c r="A2341" i="57"/>
  <c r="C2341" i="57" s="1"/>
  <c r="A2342" i="57"/>
  <c r="C2342" i="57" s="1"/>
  <c r="A2343" i="57"/>
  <c r="C2343" i="57" s="1"/>
  <c r="A2344" i="57"/>
  <c r="C2344" i="57" s="1"/>
  <c r="A2345" i="57"/>
  <c r="C2345" i="57" s="1"/>
  <c r="A2346" i="57"/>
  <c r="C2346" i="57" s="1"/>
  <c r="A2347" i="57"/>
  <c r="C2347" i="57" s="1"/>
  <c r="A2348" i="57"/>
  <c r="C2348" i="57" s="1"/>
  <c r="A2349" i="57"/>
  <c r="C2349" i="57" s="1"/>
  <c r="A2350" i="57"/>
  <c r="C2350" i="57" s="1"/>
  <c r="A2351" i="57"/>
  <c r="C2351" i="57" s="1"/>
  <c r="A2352" i="57"/>
  <c r="C2352" i="57" s="1"/>
  <c r="A2353" i="57"/>
  <c r="C2353" i="57" s="1"/>
  <c r="A2354" i="57"/>
  <c r="C2354" i="57" s="1"/>
  <c r="A2355" i="57"/>
  <c r="C2355" i="57" s="1"/>
  <c r="A2356" i="57"/>
  <c r="C2356" i="57" s="1"/>
  <c r="A2357" i="57"/>
  <c r="C2357" i="57" s="1"/>
  <c r="A2358" i="57"/>
  <c r="C2358" i="57" s="1"/>
  <c r="A2359" i="57"/>
  <c r="C2359" i="57" s="1"/>
  <c r="A2360" i="57"/>
  <c r="C2360" i="57" s="1"/>
  <c r="A2361" i="57"/>
  <c r="C2361" i="57" s="1"/>
  <c r="A2362" i="57"/>
  <c r="C2362" i="57" s="1"/>
  <c r="A2363" i="57"/>
  <c r="C2363" i="57" s="1"/>
  <c r="A2364" i="57"/>
  <c r="C2364" i="57" s="1"/>
  <c r="A2365" i="57"/>
  <c r="C2365" i="57" s="1"/>
  <c r="A2366" i="57"/>
  <c r="C2366" i="57" s="1"/>
  <c r="A2367" i="57"/>
  <c r="C2367" i="57" s="1"/>
  <c r="A2368" i="57"/>
  <c r="C2368" i="57" s="1"/>
  <c r="A2369" i="57"/>
  <c r="C2369" i="57" s="1"/>
  <c r="A2370" i="57"/>
  <c r="C2370" i="57" s="1"/>
  <c r="A2371" i="57"/>
  <c r="C2371" i="57" s="1"/>
  <c r="A2372" i="57"/>
  <c r="C2372" i="57" s="1"/>
  <c r="A2373" i="57"/>
  <c r="C2373" i="57" s="1"/>
  <c r="A2374" i="57"/>
  <c r="C2374" i="57" s="1"/>
  <c r="A2375" i="57"/>
  <c r="C2375" i="57" s="1"/>
  <c r="A2376" i="57"/>
  <c r="C2376" i="57" s="1"/>
  <c r="A2377" i="57"/>
  <c r="C2377" i="57" s="1"/>
  <c r="A2378" i="57"/>
  <c r="C2378" i="57" s="1"/>
  <c r="A2379" i="57"/>
  <c r="C2379" i="57" s="1"/>
  <c r="A2380" i="57"/>
  <c r="C2380" i="57" s="1"/>
  <c r="A2381" i="57"/>
  <c r="C2381" i="57" s="1"/>
  <c r="A2382" i="57"/>
  <c r="C2382" i="57" s="1"/>
  <c r="A2383" i="57"/>
  <c r="C2383" i="57" s="1"/>
  <c r="A2384" i="57"/>
  <c r="C2384" i="57" s="1"/>
  <c r="A2385" i="57"/>
  <c r="C2385" i="57" s="1"/>
  <c r="A2386" i="57"/>
  <c r="C2386" i="57" s="1"/>
  <c r="A2387" i="57"/>
  <c r="C2387" i="57" s="1"/>
  <c r="A2388" i="57"/>
  <c r="C2388" i="57" s="1"/>
  <c r="A2389" i="57"/>
  <c r="C2389" i="57" s="1"/>
  <c r="A2390" i="57"/>
  <c r="C2390" i="57" s="1"/>
  <c r="A2391" i="57"/>
  <c r="C2391" i="57" s="1"/>
  <c r="A2392" i="57"/>
  <c r="C2392" i="57" s="1"/>
  <c r="A2393" i="57"/>
  <c r="C2393" i="57" s="1"/>
  <c r="A2394" i="57"/>
  <c r="C2394" i="57" s="1"/>
  <c r="A2395" i="57"/>
  <c r="C2395" i="57" s="1"/>
  <c r="A2396" i="57"/>
  <c r="C2396" i="57" s="1"/>
  <c r="A2397" i="57"/>
  <c r="C2397" i="57" s="1"/>
  <c r="A2398" i="57"/>
  <c r="C2398" i="57" s="1"/>
  <c r="A2399" i="57"/>
  <c r="C2399" i="57" s="1"/>
  <c r="A2400" i="57"/>
  <c r="C2400" i="57" s="1"/>
  <c r="A2401" i="57"/>
  <c r="C2401" i="57" s="1"/>
  <c r="A2402" i="57"/>
  <c r="C2402" i="57" s="1"/>
  <c r="A2403" i="57"/>
  <c r="C2403" i="57" s="1"/>
  <c r="A2404" i="57"/>
  <c r="C2404" i="57" s="1"/>
  <c r="A2405" i="57"/>
  <c r="C2405" i="57" s="1"/>
  <c r="A2406" i="57"/>
  <c r="C2406" i="57" s="1"/>
  <c r="A2407" i="57"/>
  <c r="C2407" i="57" s="1"/>
  <c r="A2408" i="57"/>
  <c r="C2408" i="57" s="1"/>
  <c r="A2409" i="57"/>
  <c r="C2409" i="57" s="1"/>
  <c r="A2410" i="57"/>
  <c r="C2410" i="57" s="1"/>
  <c r="A2411" i="57"/>
  <c r="C2411" i="57" s="1"/>
  <c r="A2412" i="57"/>
  <c r="C2412" i="57" s="1"/>
  <c r="A2413" i="57"/>
  <c r="C2413" i="57" s="1"/>
  <c r="A2414" i="57"/>
  <c r="C2414" i="57" s="1"/>
  <c r="A2415" i="57"/>
  <c r="C2415" i="57" s="1"/>
  <c r="A2416" i="57"/>
  <c r="C2416" i="57" s="1"/>
  <c r="A2417" i="57"/>
  <c r="C2417" i="57" s="1"/>
  <c r="A2418" i="57"/>
  <c r="C2418" i="57" s="1"/>
  <c r="A2419" i="57"/>
  <c r="C2419" i="57" s="1"/>
  <c r="A2420" i="57"/>
  <c r="C2420" i="57" s="1"/>
  <c r="A2421" i="57"/>
  <c r="C2421" i="57" s="1"/>
  <c r="A2422" i="57"/>
  <c r="C2422" i="57" s="1"/>
  <c r="A2423" i="57"/>
  <c r="C2423" i="57" s="1"/>
  <c r="A2424" i="57"/>
  <c r="C2424" i="57" s="1"/>
  <c r="A2425" i="57"/>
  <c r="C2425" i="57" s="1"/>
  <c r="A2426" i="57"/>
  <c r="C2426" i="57" s="1"/>
  <c r="A2427" i="57"/>
  <c r="C2427" i="57" s="1"/>
  <c r="A2428" i="57"/>
  <c r="C2428" i="57" s="1"/>
  <c r="A2429" i="57"/>
  <c r="C2429" i="57" s="1"/>
  <c r="A2430" i="57"/>
  <c r="C2430" i="57" s="1"/>
  <c r="A2431" i="57"/>
  <c r="C2431" i="57" s="1"/>
  <c r="A2432" i="57"/>
  <c r="C2432" i="57" s="1"/>
  <c r="A2433" i="57"/>
  <c r="C2433" i="57" s="1"/>
  <c r="A2434" i="57"/>
  <c r="C2434" i="57" s="1"/>
  <c r="A2435" i="57"/>
  <c r="C2435" i="57" s="1"/>
  <c r="A2436" i="57"/>
  <c r="C2436" i="57" s="1"/>
  <c r="A2437" i="57"/>
  <c r="C2437" i="57" s="1"/>
  <c r="A2438" i="57"/>
  <c r="C2438" i="57" s="1"/>
  <c r="A2439" i="57"/>
  <c r="C2439" i="57" s="1"/>
  <c r="A2440" i="57"/>
  <c r="C2440" i="57" s="1"/>
  <c r="A2441" i="57"/>
  <c r="C2441" i="57" s="1"/>
  <c r="A2442" i="57"/>
  <c r="C2442" i="57" s="1"/>
  <c r="A2443" i="57"/>
  <c r="C2443" i="57" s="1"/>
  <c r="A2444" i="57"/>
  <c r="C2444" i="57" s="1"/>
  <c r="A2445" i="57"/>
  <c r="C2445" i="57" s="1"/>
  <c r="A2446" i="57"/>
  <c r="C2446" i="57" s="1"/>
  <c r="A2447" i="57"/>
  <c r="C2447" i="57" s="1"/>
  <c r="A2448" i="57"/>
  <c r="C2448" i="57" s="1"/>
  <c r="A2449" i="57"/>
  <c r="C2449" i="57" s="1"/>
  <c r="A2450" i="57"/>
  <c r="C2450" i="57" s="1"/>
  <c r="A2451" i="57"/>
  <c r="C2451" i="57" s="1"/>
  <c r="A2452" i="57"/>
  <c r="C2452" i="57" s="1"/>
  <c r="A2453" i="57"/>
  <c r="C2453" i="57" s="1"/>
  <c r="A2454" i="57"/>
  <c r="C2454" i="57" s="1"/>
  <c r="A2455" i="57"/>
  <c r="C2455" i="57" s="1"/>
  <c r="A2456" i="57"/>
  <c r="C2456" i="57" s="1"/>
  <c r="A2457" i="57"/>
  <c r="C2457" i="57" s="1"/>
  <c r="A2458" i="57"/>
  <c r="C2458" i="57" s="1"/>
  <c r="A2459" i="57"/>
  <c r="C2459" i="57" s="1"/>
  <c r="A2460" i="57"/>
  <c r="C2460" i="57" s="1"/>
  <c r="A2461" i="57"/>
  <c r="C2461" i="57" s="1"/>
  <c r="A2462" i="57"/>
  <c r="C2462" i="57" s="1"/>
  <c r="A2463" i="57"/>
  <c r="C2463" i="57" s="1"/>
  <c r="A2464" i="57"/>
  <c r="C2464" i="57" s="1"/>
  <c r="A2465" i="57"/>
  <c r="C2465" i="57" s="1"/>
  <c r="A2466" i="57"/>
  <c r="C2466" i="57" s="1"/>
  <c r="A2467" i="57"/>
  <c r="C2467" i="57" s="1"/>
  <c r="A2468" i="57"/>
  <c r="C2468" i="57" s="1"/>
  <c r="A2469" i="57"/>
  <c r="C2469" i="57" s="1"/>
  <c r="A2470" i="57"/>
  <c r="C2470" i="57" s="1"/>
  <c r="A2471" i="57"/>
  <c r="C2471" i="57" s="1"/>
  <c r="A2472" i="57"/>
  <c r="C2472" i="57" s="1"/>
  <c r="A2473" i="57"/>
  <c r="C2473" i="57" s="1"/>
  <c r="A2474" i="57"/>
  <c r="C2474" i="57" s="1"/>
  <c r="A2475" i="57"/>
  <c r="C2475" i="57" s="1"/>
  <c r="A2476" i="57"/>
  <c r="C2476" i="57" s="1"/>
  <c r="A2477" i="57"/>
  <c r="C2477" i="57" s="1"/>
  <c r="A2478" i="57"/>
  <c r="C2478" i="57" s="1"/>
  <c r="A2479" i="57"/>
  <c r="C2479" i="57" s="1"/>
  <c r="A2480" i="57"/>
  <c r="C2480" i="57" s="1"/>
  <c r="A2481" i="57"/>
  <c r="C2481" i="57" s="1"/>
  <c r="H1456" i="57"/>
  <c r="H1457" i="57"/>
  <c r="H1458" i="57"/>
  <c r="H1459" i="57"/>
  <c r="H1460" i="57"/>
  <c r="H1461" i="57"/>
  <c r="H1462" i="57"/>
  <c r="H1463" i="57"/>
  <c r="H1464" i="57"/>
  <c r="H1465" i="57"/>
  <c r="H1466" i="57"/>
  <c r="H1467" i="57"/>
  <c r="H1468" i="57"/>
  <c r="H1469" i="57"/>
  <c r="H1470" i="57"/>
  <c r="H1471" i="57"/>
  <c r="H1472" i="57"/>
  <c r="H1473" i="57"/>
  <c r="H1474" i="57"/>
  <c r="H1475" i="57"/>
  <c r="H1476" i="57"/>
  <c r="H1477" i="57"/>
  <c r="H1478" i="57"/>
  <c r="H1479" i="57"/>
  <c r="H1480" i="57"/>
  <c r="H1481" i="57"/>
  <c r="H1482" i="57"/>
  <c r="H1483" i="57"/>
  <c r="H1484" i="57"/>
  <c r="H1485" i="57"/>
  <c r="H1486" i="57"/>
  <c r="H1487" i="57"/>
  <c r="H1488" i="57"/>
  <c r="H1489" i="57"/>
  <c r="H1490" i="57"/>
  <c r="H1491" i="57"/>
  <c r="H1492" i="57"/>
  <c r="H1493" i="57"/>
  <c r="H1494" i="57"/>
  <c r="H1495" i="57"/>
  <c r="H1496" i="57"/>
  <c r="H1497" i="57"/>
  <c r="H1498" i="57"/>
  <c r="H1499" i="57"/>
  <c r="H1500" i="57"/>
  <c r="H1501" i="57"/>
  <c r="H1502" i="57"/>
  <c r="H1503" i="57"/>
  <c r="H1504" i="57"/>
  <c r="H1505" i="57"/>
  <c r="H1506" i="57"/>
  <c r="H1507" i="57"/>
  <c r="H1508" i="57"/>
  <c r="H1509" i="57"/>
  <c r="H1510" i="57"/>
  <c r="H1511" i="57"/>
  <c r="H1512" i="57"/>
  <c r="H1513" i="57"/>
  <c r="H1514" i="57"/>
  <c r="H1515" i="57"/>
  <c r="H1516" i="57"/>
  <c r="H1517" i="57"/>
  <c r="H1518" i="57"/>
  <c r="H1519" i="57"/>
  <c r="H1520" i="57"/>
  <c r="H1521" i="57"/>
  <c r="H1522" i="57"/>
  <c r="H1523" i="57"/>
  <c r="H1524" i="57"/>
  <c r="H1525" i="57"/>
  <c r="H1526" i="57"/>
  <c r="H1527" i="57"/>
  <c r="H1528" i="57"/>
  <c r="H1529" i="57"/>
  <c r="H1530" i="57"/>
  <c r="H1531" i="57"/>
  <c r="H1532" i="57"/>
  <c r="H1533" i="57"/>
  <c r="H1534" i="57"/>
  <c r="H1535" i="57"/>
  <c r="H1536" i="57"/>
  <c r="H1537" i="57"/>
  <c r="H1538" i="57"/>
  <c r="H1539" i="57"/>
  <c r="H1540" i="57"/>
  <c r="H1541" i="57"/>
  <c r="H1542" i="57"/>
  <c r="H1543" i="57"/>
  <c r="H1544" i="57"/>
  <c r="H1545" i="57"/>
  <c r="H1546" i="57"/>
  <c r="H1547" i="57"/>
  <c r="H1548" i="57"/>
  <c r="H1549" i="57"/>
  <c r="H1550" i="57"/>
  <c r="H1551" i="57"/>
  <c r="H1552" i="57"/>
  <c r="H1553" i="57"/>
  <c r="H1554" i="57"/>
  <c r="H1555" i="57"/>
  <c r="H1556" i="57"/>
  <c r="H1557" i="57"/>
  <c r="H1558" i="57"/>
  <c r="H1559" i="57"/>
  <c r="H1560" i="57"/>
  <c r="H1561" i="57"/>
  <c r="H1562" i="57"/>
  <c r="H1563" i="57"/>
  <c r="H1564" i="57"/>
  <c r="H1565" i="57"/>
  <c r="H1566" i="57"/>
  <c r="H1567" i="57"/>
  <c r="H1568" i="57"/>
  <c r="H1569" i="57"/>
  <c r="H1570" i="57"/>
  <c r="H1571" i="57"/>
  <c r="H1572" i="57"/>
  <c r="H1573" i="57"/>
  <c r="H1574" i="57"/>
  <c r="H1575" i="57"/>
  <c r="H1576" i="57"/>
  <c r="H1577" i="57"/>
  <c r="H1578" i="57"/>
  <c r="H1579" i="57"/>
  <c r="H1580" i="57"/>
  <c r="H1581" i="57"/>
  <c r="H1582" i="57"/>
  <c r="H1583" i="57"/>
  <c r="H1584" i="57"/>
  <c r="H1585" i="57"/>
  <c r="H1586" i="57"/>
  <c r="H1587" i="57"/>
  <c r="H1588" i="57"/>
  <c r="H1589" i="57"/>
  <c r="H1590" i="57"/>
  <c r="H1591" i="57"/>
  <c r="H1592" i="57"/>
  <c r="H1593" i="57"/>
  <c r="H1594" i="57"/>
  <c r="H1595" i="57"/>
  <c r="H1596" i="57"/>
  <c r="H1597" i="57"/>
  <c r="H1598" i="57"/>
  <c r="H1599" i="57"/>
  <c r="H1600" i="57"/>
  <c r="H1601" i="57"/>
  <c r="H1602" i="57"/>
  <c r="H1603" i="57"/>
  <c r="H1604" i="57"/>
  <c r="H1605" i="57"/>
  <c r="H1606" i="57"/>
  <c r="H1607" i="57"/>
  <c r="H1608" i="57"/>
  <c r="H1609" i="57"/>
  <c r="H1610" i="57"/>
  <c r="H1611" i="57"/>
  <c r="H1612" i="57"/>
  <c r="H1613" i="57"/>
  <c r="H1614" i="57"/>
  <c r="H1615" i="57"/>
  <c r="H1616" i="57"/>
  <c r="H1617" i="57"/>
  <c r="H1618" i="57"/>
  <c r="H1619" i="57"/>
  <c r="H1620" i="57"/>
  <c r="H1621" i="57"/>
  <c r="H1622" i="57"/>
  <c r="H1623" i="57"/>
  <c r="H1624" i="57"/>
  <c r="H1625" i="57"/>
  <c r="H1626" i="57"/>
  <c r="H1627" i="57"/>
  <c r="H1628" i="57"/>
  <c r="H1629" i="57"/>
  <c r="H1630" i="57"/>
  <c r="H1631" i="57"/>
  <c r="H1632" i="57"/>
  <c r="H1633" i="57"/>
  <c r="H1634" i="57"/>
  <c r="H1635" i="57"/>
  <c r="H1636" i="57"/>
  <c r="H1637" i="57"/>
  <c r="H1638" i="57"/>
  <c r="H1639" i="57"/>
  <c r="H1640" i="57"/>
  <c r="H1641" i="57"/>
  <c r="H1642" i="57"/>
  <c r="H1643" i="57"/>
  <c r="H1644" i="57"/>
  <c r="H1645" i="57"/>
  <c r="H1646" i="57"/>
  <c r="H1647" i="57"/>
  <c r="H1648" i="57"/>
  <c r="H1649" i="57"/>
  <c r="H1650" i="57"/>
  <c r="H1651" i="57"/>
  <c r="H1652" i="57"/>
  <c r="H1653" i="57"/>
  <c r="H1654" i="57"/>
  <c r="H1655" i="57"/>
  <c r="H1656" i="57"/>
  <c r="H1657" i="57"/>
  <c r="H1658" i="57"/>
  <c r="H1659" i="57"/>
  <c r="H1660" i="57"/>
  <c r="H1661" i="57"/>
  <c r="H1662" i="57"/>
  <c r="H1663" i="57"/>
  <c r="H1664" i="57"/>
  <c r="H1665" i="57"/>
  <c r="H1666" i="57"/>
  <c r="H1667" i="57"/>
  <c r="H1668" i="57"/>
  <c r="H1669" i="57"/>
  <c r="H1670" i="57"/>
  <c r="H1671" i="57"/>
  <c r="H1672" i="57"/>
  <c r="H1673" i="57"/>
  <c r="H1674" i="57"/>
  <c r="H1675" i="57"/>
  <c r="H1676" i="57"/>
  <c r="H1677" i="57"/>
  <c r="H1678" i="57"/>
  <c r="H1679" i="57"/>
  <c r="H1680" i="57"/>
  <c r="H1681" i="57"/>
  <c r="H1682" i="57"/>
  <c r="H1683" i="57"/>
  <c r="H1684" i="57"/>
  <c r="H1685" i="57"/>
  <c r="H1686" i="57"/>
  <c r="H1687" i="57"/>
  <c r="H1688" i="57"/>
  <c r="H1689" i="57"/>
  <c r="H1690" i="57"/>
  <c r="H1695" i="57"/>
  <c r="H1701" i="57"/>
  <c r="H1707" i="57"/>
  <c r="H1713" i="57"/>
  <c r="H1719" i="57"/>
  <c r="H1725" i="57"/>
  <c r="H1731" i="57"/>
  <c r="H1737" i="57"/>
  <c r="H1743" i="57"/>
  <c r="H1749" i="57"/>
  <c r="H1755" i="57"/>
  <c r="H1761" i="57"/>
  <c r="H1767" i="57"/>
  <c r="H1773" i="57"/>
  <c r="H1779" i="57"/>
  <c r="H1785" i="57"/>
  <c r="H1791" i="57"/>
  <c r="H1797" i="57"/>
  <c r="H1803" i="57"/>
  <c r="H1809" i="57"/>
  <c r="H1815" i="57"/>
  <c r="H1821" i="57"/>
  <c r="H1827" i="57"/>
  <c r="H1833" i="57"/>
  <c r="H1839" i="57"/>
  <c r="H1845" i="57"/>
  <c r="H1851" i="57"/>
  <c r="H1852" i="57"/>
  <c r="H1857" i="57"/>
  <c r="H1863" i="57"/>
  <c r="H1869" i="57"/>
  <c r="H1875" i="57"/>
  <c r="H1881" i="57"/>
  <c r="H1887" i="57"/>
  <c r="H1893" i="57"/>
  <c r="H1899" i="57"/>
  <c r="H1905" i="57"/>
  <c r="H1911" i="57"/>
  <c r="H1917" i="57"/>
  <c r="H1923" i="57"/>
  <c r="H1929" i="57"/>
  <c r="H1935" i="57"/>
  <c r="H1941" i="57"/>
  <c r="H1947" i="57"/>
  <c r="H1953" i="57"/>
  <c r="H1959" i="57"/>
  <c r="H1965" i="57"/>
  <c r="H1971" i="57"/>
  <c r="H1977" i="57"/>
  <c r="H1983" i="57"/>
  <c r="H1995" i="57"/>
  <c r="H2001" i="57"/>
  <c r="H2007" i="57"/>
  <c r="H2013" i="57"/>
  <c r="H2014" i="57"/>
  <c r="H2019" i="57"/>
  <c r="H2025" i="57"/>
  <c r="H2031" i="57"/>
  <c r="H2037" i="57"/>
  <c r="H2043" i="57"/>
  <c r="H2049" i="57"/>
  <c r="H2055" i="57"/>
  <c r="H2061" i="57"/>
  <c r="H2067" i="57"/>
  <c r="H2073" i="57"/>
  <c r="H2079" i="57"/>
  <c r="H2097" i="57"/>
  <c r="H2109" i="57"/>
  <c r="H2115" i="57"/>
  <c r="H2145" i="57"/>
  <c r="H2151" i="57"/>
  <c r="H2153" i="57"/>
  <c r="H2175" i="57"/>
  <c r="H2181" i="57"/>
  <c r="H2211" i="57"/>
  <c r="H2217" i="57"/>
  <c r="H2225" i="57"/>
  <c r="H2241" i="57"/>
  <c r="H2247" i="57"/>
  <c r="H2277" i="57"/>
  <c r="H2283" i="57"/>
  <c r="H2288" i="57"/>
  <c r="H2307" i="57"/>
  <c r="H2313" i="57"/>
  <c r="H2343" i="57"/>
  <c r="H2351" i="57"/>
  <c r="H2397" i="57"/>
  <c r="H2409" i="57"/>
  <c r="H2423" i="57"/>
  <c r="H2438" i="57"/>
  <c r="H2456" i="57"/>
  <c r="H2457" i="57"/>
  <c r="A1446" i="57"/>
  <c r="C1446" i="57" s="1"/>
  <c r="A1447" i="57"/>
  <c r="C1447" i="57" s="1"/>
  <c r="A1448" i="57"/>
  <c r="C1448" i="57" s="1"/>
  <c r="A1449" i="57"/>
  <c r="C1449" i="57" s="1"/>
  <c r="A1450" i="57"/>
  <c r="C1450" i="57" s="1"/>
  <c r="A1451" i="57"/>
  <c r="C1451" i="57" s="1"/>
  <c r="A1452" i="57"/>
  <c r="A1453" i="57"/>
  <c r="C1453" i="57" s="1"/>
  <c r="A1454" i="57"/>
  <c r="C1454" i="57" s="1"/>
  <c r="A1455" i="57"/>
  <c r="C1455" i="57" s="1"/>
  <c r="A12" i="57"/>
  <c r="C12" i="57" s="1"/>
  <c r="A13" i="57"/>
  <c r="C13" i="57" s="1"/>
  <c r="A14" i="57"/>
  <c r="C14" i="57" s="1"/>
  <c r="A16" i="57"/>
  <c r="C16" i="57" s="1"/>
  <c r="A17" i="57"/>
  <c r="C17" i="57" s="1"/>
  <c r="A18" i="57"/>
  <c r="C18" i="57" s="1"/>
  <c r="A19" i="57"/>
  <c r="C19" i="57" s="1"/>
  <c r="A20" i="57"/>
  <c r="C20" i="57" s="1"/>
  <c r="A21" i="57"/>
  <c r="C21" i="57" s="1"/>
  <c r="A22" i="57"/>
  <c r="C22" i="57" s="1"/>
  <c r="A23" i="57"/>
  <c r="C23" i="57" s="1"/>
  <c r="A24" i="57"/>
  <c r="C24" i="57" s="1"/>
  <c r="A25" i="57"/>
  <c r="C25" i="57" s="1"/>
  <c r="A26" i="57"/>
  <c r="C26" i="57" s="1"/>
  <c r="A27" i="57"/>
  <c r="C27" i="57" s="1"/>
  <c r="A28" i="57"/>
  <c r="C28" i="57" s="1"/>
  <c r="A29" i="57"/>
  <c r="C29" i="57" s="1"/>
  <c r="A30" i="57"/>
  <c r="C30" i="57" s="1"/>
  <c r="A31" i="57"/>
  <c r="A32" i="57"/>
  <c r="C32" i="57" s="1"/>
  <c r="A33" i="57"/>
  <c r="C33" i="57" s="1"/>
  <c r="A34" i="57"/>
  <c r="C34" i="57" s="1"/>
  <c r="A35" i="57"/>
  <c r="C35" i="57" s="1"/>
  <c r="A36" i="57"/>
  <c r="C36" i="57" s="1"/>
  <c r="A37" i="57"/>
  <c r="C37" i="57" s="1"/>
  <c r="A38" i="57"/>
  <c r="C38" i="57" s="1"/>
  <c r="A39" i="57"/>
  <c r="C39" i="57" s="1"/>
  <c r="A40" i="57"/>
  <c r="C40" i="57" s="1"/>
  <c r="A41" i="57"/>
  <c r="C41" i="57" s="1"/>
  <c r="A42" i="57"/>
  <c r="C42" i="57" s="1"/>
  <c r="A43" i="57"/>
  <c r="A44" i="57"/>
  <c r="C44" i="57" s="1"/>
  <c r="A45" i="57"/>
  <c r="C45" i="57" s="1"/>
  <c r="A46" i="57"/>
  <c r="C46" i="57" s="1"/>
  <c r="A47" i="57"/>
  <c r="C47" i="57" s="1"/>
  <c r="A48" i="57"/>
  <c r="C48" i="57" s="1"/>
  <c r="A49" i="57"/>
  <c r="C49" i="57" s="1"/>
  <c r="A50" i="57"/>
  <c r="C50" i="57" s="1"/>
  <c r="A51" i="57"/>
  <c r="C51" i="57" s="1"/>
  <c r="A52" i="57"/>
  <c r="C52" i="57" s="1"/>
  <c r="A53" i="57"/>
  <c r="C53" i="57" s="1"/>
  <c r="A54" i="57"/>
  <c r="C54" i="57" s="1"/>
  <c r="A55" i="57"/>
  <c r="A56" i="57"/>
  <c r="C56" i="57" s="1"/>
  <c r="A57" i="57"/>
  <c r="C57" i="57" s="1"/>
  <c r="A58" i="57"/>
  <c r="C58" i="57" s="1"/>
  <c r="A59" i="57"/>
  <c r="C59" i="57" s="1"/>
  <c r="A60" i="57"/>
  <c r="C60" i="57" s="1"/>
  <c r="A61" i="57"/>
  <c r="A62" i="57"/>
  <c r="C62" i="57" s="1"/>
  <c r="A63" i="57"/>
  <c r="C63" i="57" s="1"/>
  <c r="A64" i="57"/>
  <c r="C64" i="57" s="1"/>
  <c r="A65" i="57"/>
  <c r="C65" i="57" s="1"/>
  <c r="A66" i="57"/>
  <c r="C66" i="57" s="1"/>
  <c r="A67" i="57"/>
  <c r="C67" i="57" s="1"/>
  <c r="A68" i="57"/>
  <c r="C68" i="57" s="1"/>
  <c r="A69" i="57"/>
  <c r="C69" i="57" s="1"/>
  <c r="A70" i="57"/>
  <c r="C70" i="57" s="1"/>
  <c r="A71" i="57"/>
  <c r="C71" i="57" s="1"/>
  <c r="A72" i="57"/>
  <c r="C72" i="57" s="1"/>
  <c r="A73" i="57"/>
  <c r="A74" i="57"/>
  <c r="C74" i="57" s="1"/>
  <c r="A75" i="57"/>
  <c r="C75" i="57" s="1"/>
  <c r="A76" i="57"/>
  <c r="C76" i="57" s="1"/>
  <c r="A77" i="57"/>
  <c r="C77" i="57" s="1"/>
  <c r="A78" i="57"/>
  <c r="C78" i="57" s="1"/>
  <c r="A79" i="57"/>
  <c r="A80" i="57"/>
  <c r="C80" i="57" s="1"/>
  <c r="A81" i="57"/>
  <c r="C81" i="57" s="1"/>
  <c r="A82" i="57"/>
  <c r="C82" i="57" s="1"/>
  <c r="A83" i="57"/>
  <c r="C83" i="57" s="1"/>
  <c r="A84" i="57"/>
  <c r="C84" i="57" s="1"/>
  <c r="A85" i="57"/>
  <c r="A86" i="57"/>
  <c r="C86" i="57" s="1"/>
  <c r="A87" i="57"/>
  <c r="C87" i="57" s="1"/>
  <c r="A88" i="57"/>
  <c r="C88" i="57" s="1"/>
  <c r="A89" i="57"/>
  <c r="C89" i="57" s="1"/>
  <c r="A90" i="57"/>
  <c r="C90" i="57" s="1"/>
  <c r="A91" i="57"/>
  <c r="A92" i="57"/>
  <c r="C92" i="57" s="1"/>
  <c r="A93" i="57"/>
  <c r="C93" i="57" s="1"/>
  <c r="A94" i="57"/>
  <c r="C94" i="57" s="1"/>
  <c r="A95" i="57"/>
  <c r="C95" i="57" s="1"/>
  <c r="A96" i="57"/>
  <c r="A97" i="57"/>
  <c r="A98" i="57"/>
  <c r="C98" i="57" s="1"/>
  <c r="A99" i="57"/>
  <c r="C99" i="57" s="1"/>
  <c r="A100" i="57"/>
  <c r="C100" i="57" s="1"/>
  <c r="A101" i="57"/>
  <c r="C101" i="57" s="1"/>
  <c r="A102" i="57"/>
  <c r="C102" i="57" s="1"/>
  <c r="A103" i="57"/>
  <c r="A104" i="57"/>
  <c r="C104" i="57" s="1"/>
  <c r="A105" i="57"/>
  <c r="C105" i="57" s="1"/>
  <c r="A106" i="57"/>
  <c r="C106" i="57" s="1"/>
  <c r="A107" i="57"/>
  <c r="C107" i="57" s="1"/>
  <c r="A108" i="57"/>
  <c r="C108" i="57" s="1"/>
  <c r="A109" i="57"/>
  <c r="A110" i="57"/>
  <c r="C110" i="57" s="1"/>
  <c r="A111" i="57"/>
  <c r="C111" i="57" s="1"/>
  <c r="A112" i="57"/>
  <c r="C112" i="57" s="1"/>
  <c r="A113" i="57"/>
  <c r="C113" i="57" s="1"/>
  <c r="A114" i="57"/>
  <c r="C114" i="57" s="1"/>
  <c r="A115" i="57"/>
  <c r="C115" i="57" s="1"/>
  <c r="A116" i="57"/>
  <c r="C116" i="57" s="1"/>
  <c r="A117" i="57"/>
  <c r="C117" i="57" s="1"/>
  <c r="A118" i="57"/>
  <c r="C118" i="57" s="1"/>
  <c r="A119" i="57"/>
  <c r="C119" i="57" s="1"/>
  <c r="A120" i="57"/>
  <c r="C120" i="57" s="1"/>
  <c r="A121" i="57"/>
  <c r="A122" i="57"/>
  <c r="C122" i="57" s="1"/>
  <c r="A123" i="57"/>
  <c r="C123" i="57" s="1"/>
  <c r="A124" i="57"/>
  <c r="C124" i="57" s="1"/>
  <c r="A125" i="57"/>
  <c r="C125" i="57" s="1"/>
  <c r="A126" i="57"/>
  <c r="C126" i="57" s="1"/>
  <c r="A127" i="57"/>
  <c r="A128" i="57"/>
  <c r="C128" i="57" s="1"/>
  <c r="A129" i="57"/>
  <c r="C129" i="57" s="1"/>
  <c r="A130" i="57"/>
  <c r="C130" i="57" s="1"/>
  <c r="A131" i="57"/>
  <c r="C131" i="57" s="1"/>
  <c r="A132" i="57"/>
  <c r="C132" i="57" s="1"/>
  <c r="A133" i="57"/>
  <c r="C133" i="57" s="1"/>
  <c r="A134" i="57"/>
  <c r="C134" i="57" s="1"/>
  <c r="A135" i="57"/>
  <c r="C135" i="57" s="1"/>
  <c r="A136" i="57"/>
  <c r="C136" i="57" s="1"/>
  <c r="A137" i="57"/>
  <c r="C137" i="57" s="1"/>
  <c r="A138" i="57"/>
  <c r="C138" i="57" s="1"/>
  <c r="A139" i="57"/>
  <c r="A140" i="57"/>
  <c r="C140" i="57" s="1"/>
  <c r="A141" i="57"/>
  <c r="C141" i="57" s="1"/>
  <c r="A142" i="57"/>
  <c r="C142" i="57" s="1"/>
  <c r="A143" i="57"/>
  <c r="C143" i="57" s="1"/>
  <c r="A144" i="57"/>
  <c r="C144" i="57" s="1"/>
  <c r="A145" i="57"/>
  <c r="A146" i="57"/>
  <c r="C146" i="57" s="1"/>
  <c r="A147" i="57"/>
  <c r="C147" i="57" s="1"/>
  <c r="A148" i="57"/>
  <c r="C148" i="57" s="1"/>
  <c r="A149" i="57"/>
  <c r="C149" i="57" s="1"/>
  <c r="A150" i="57"/>
  <c r="C150" i="57" s="1"/>
  <c r="A151" i="57"/>
  <c r="A152" i="57"/>
  <c r="C152" i="57" s="1"/>
  <c r="A153" i="57"/>
  <c r="C153" i="57" s="1"/>
  <c r="A154" i="57"/>
  <c r="C154" i="57" s="1"/>
  <c r="A155" i="57"/>
  <c r="C155" i="57" s="1"/>
  <c r="A156" i="57"/>
  <c r="C156" i="57" s="1"/>
  <c r="A157" i="57"/>
  <c r="A158" i="57"/>
  <c r="C158" i="57" s="1"/>
  <c r="A159" i="57"/>
  <c r="C159" i="57" s="1"/>
  <c r="A160" i="57"/>
  <c r="C160" i="57" s="1"/>
  <c r="A161" i="57"/>
  <c r="C161" i="57" s="1"/>
  <c r="A162" i="57"/>
  <c r="C162" i="57" s="1"/>
  <c r="A163" i="57"/>
  <c r="A164" i="57"/>
  <c r="C164" i="57" s="1"/>
  <c r="A165" i="57"/>
  <c r="C165" i="57" s="1"/>
  <c r="A166" i="57"/>
  <c r="C166" i="57" s="1"/>
  <c r="A167" i="57"/>
  <c r="C167" i="57" s="1"/>
  <c r="A168" i="57"/>
  <c r="C168" i="57" s="1"/>
  <c r="A169" i="57"/>
  <c r="A170" i="57"/>
  <c r="C170" i="57" s="1"/>
  <c r="A171" i="57"/>
  <c r="C171" i="57" s="1"/>
  <c r="A172" i="57"/>
  <c r="C172" i="57" s="1"/>
  <c r="A173" i="57"/>
  <c r="C173" i="57" s="1"/>
  <c r="A174" i="57"/>
  <c r="C174" i="57" s="1"/>
  <c r="A175" i="57"/>
  <c r="A176" i="57"/>
  <c r="C176" i="57" s="1"/>
  <c r="A177" i="57"/>
  <c r="C177" i="57" s="1"/>
  <c r="A178" i="57"/>
  <c r="C178" i="57" s="1"/>
  <c r="A179" i="57"/>
  <c r="C179" i="57" s="1"/>
  <c r="A180" i="57"/>
  <c r="C180" i="57" s="1"/>
  <c r="A181" i="57"/>
  <c r="C181" i="57" s="1"/>
  <c r="A182" i="57"/>
  <c r="C182" i="57" s="1"/>
  <c r="A183" i="57"/>
  <c r="C183" i="57" s="1"/>
  <c r="A184" i="57"/>
  <c r="C184" i="57" s="1"/>
  <c r="A185" i="57"/>
  <c r="C185" i="57" s="1"/>
  <c r="A186" i="57"/>
  <c r="A187" i="57"/>
  <c r="A188" i="57"/>
  <c r="C188" i="57" s="1"/>
  <c r="A189" i="57"/>
  <c r="C189" i="57" s="1"/>
  <c r="A190" i="57"/>
  <c r="C190" i="57" s="1"/>
  <c r="A191" i="57"/>
  <c r="C191" i="57" s="1"/>
  <c r="A192" i="57"/>
  <c r="C192" i="57" s="1"/>
  <c r="A193" i="57"/>
  <c r="A194" i="57"/>
  <c r="C194" i="57" s="1"/>
  <c r="A195" i="57"/>
  <c r="C195" i="57" s="1"/>
  <c r="A196" i="57"/>
  <c r="C196" i="57" s="1"/>
  <c r="A197" i="57"/>
  <c r="C197" i="57" s="1"/>
  <c r="A198" i="57"/>
  <c r="A199" i="57"/>
  <c r="A200" i="57"/>
  <c r="C200" i="57" s="1"/>
  <c r="A201" i="57"/>
  <c r="C201" i="57" s="1"/>
  <c r="A202" i="57"/>
  <c r="C202" i="57" s="1"/>
  <c r="A203" i="57"/>
  <c r="C203" i="57" s="1"/>
  <c r="A204" i="57"/>
  <c r="C204" i="57" s="1"/>
  <c r="A205" i="57"/>
  <c r="C205" i="57" s="1"/>
  <c r="A206" i="57"/>
  <c r="C206" i="57" s="1"/>
  <c r="A207" i="57"/>
  <c r="C207" i="57" s="1"/>
  <c r="A208" i="57"/>
  <c r="C208" i="57" s="1"/>
  <c r="A209" i="57"/>
  <c r="C209" i="57" s="1"/>
  <c r="A210" i="57"/>
  <c r="C210" i="57" s="1"/>
  <c r="A211" i="57"/>
  <c r="A212" i="57"/>
  <c r="C212" i="57" s="1"/>
  <c r="A213" i="57"/>
  <c r="C213" i="57" s="1"/>
  <c r="A214" i="57"/>
  <c r="C214" i="57" s="1"/>
  <c r="A215" i="57"/>
  <c r="C215" i="57" s="1"/>
  <c r="A216" i="57"/>
  <c r="C216" i="57" s="1"/>
  <c r="A217" i="57"/>
  <c r="A218" i="57"/>
  <c r="C218" i="57" s="1"/>
  <c r="A219" i="57"/>
  <c r="C219" i="57" s="1"/>
  <c r="A220" i="57"/>
  <c r="C220" i="57" s="1"/>
  <c r="A221" i="57"/>
  <c r="C221" i="57" s="1"/>
  <c r="A222" i="57"/>
  <c r="C222" i="57" s="1"/>
  <c r="A223" i="57"/>
  <c r="A224" i="57"/>
  <c r="C224" i="57" s="1"/>
  <c r="A225" i="57"/>
  <c r="C225" i="57" s="1"/>
  <c r="A226" i="57"/>
  <c r="C226" i="57" s="1"/>
  <c r="A227" i="57"/>
  <c r="C227" i="57" s="1"/>
  <c r="A228" i="57"/>
  <c r="A229" i="57"/>
  <c r="C229" i="57" s="1"/>
  <c r="A230" i="57"/>
  <c r="C230" i="57" s="1"/>
  <c r="A231" i="57"/>
  <c r="C231" i="57" s="1"/>
  <c r="A232" i="57"/>
  <c r="C232" i="57" s="1"/>
  <c r="A233" i="57"/>
  <c r="C233" i="57" s="1"/>
  <c r="A234" i="57"/>
  <c r="C234" i="57" s="1"/>
  <c r="A235" i="57"/>
  <c r="A236" i="57"/>
  <c r="C236" i="57" s="1"/>
  <c r="A237" i="57"/>
  <c r="C237" i="57" s="1"/>
  <c r="A238" i="57"/>
  <c r="C238" i="57" s="1"/>
  <c r="A239" i="57"/>
  <c r="C239" i="57" s="1"/>
  <c r="A240" i="57"/>
  <c r="C240" i="57" s="1"/>
  <c r="A241" i="57"/>
  <c r="A242" i="57"/>
  <c r="C242" i="57" s="1"/>
  <c r="A243" i="57"/>
  <c r="C243" i="57" s="1"/>
  <c r="A244" i="57"/>
  <c r="C244" i="57" s="1"/>
  <c r="A245" i="57"/>
  <c r="C245" i="57" s="1"/>
  <c r="A246" i="57"/>
  <c r="C246" i="57" s="1"/>
  <c r="A247" i="57"/>
  <c r="A248" i="57"/>
  <c r="C248" i="57" s="1"/>
  <c r="A249" i="57"/>
  <c r="C249" i="57" s="1"/>
  <c r="A250" i="57"/>
  <c r="C250" i="57" s="1"/>
  <c r="A251" i="57"/>
  <c r="C251" i="57" s="1"/>
  <c r="A252" i="57"/>
  <c r="C252" i="57" s="1"/>
  <c r="A253" i="57"/>
  <c r="A254" i="57"/>
  <c r="C254" i="57" s="1"/>
  <c r="A255" i="57"/>
  <c r="C255" i="57" s="1"/>
  <c r="A256" i="57"/>
  <c r="C256" i="57" s="1"/>
  <c r="A257" i="57"/>
  <c r="C257" i="57" s="1"/>
  <c r="A258" i="57"/>
  <c r="C258" i="57" s="1"/>
  <c r="A259" i="57"/>
  <c r="A260" i="57"/>
  <c r="C260" i="57" s="1"/>
  <c r="A261" i="57"/>
  <c r="C261" i="57" s="1"/>
  <c r="A262" i="57"/>
  <c r="C262" i="57" s="1"/>
  <c r="A263" i="57"/>
  <c r="C263" i="57" s="1"/>
  <c r="A264" i="57"/>
  <c r="C264" i="57" s="1"/>
  <c r="A265" i="57"/>
  <c r="A266" i="57"/>
  <c r="C266" i="57" s="1"/>
  <c r="A267" i="57"/>
  <c r="C267" i="57" s="1"/>
  <c r="A268" i="57"/>
  <c r="C268" i="57" s="1"/>
  <c r="A269" i="57"/>
  <c r="C269" i="57" s="1"/>
  <c r="A270" i="57"/>
  <c r="C270" i="57" s="1"/>
  <c r="A271" i="57"/>
  <c r="C271" i="57" s="1"/>
  <c r="A272" i="57"/>
  <c r="C272" i="57" s="1"/>
  <c r="A273" i="57"/>
  <c r="C273" i="57" s="1"/>
  <c r="A274" i="57"/>
  <c r="C274" i="57" s="1"/>
  <c r="A275" i="57"/>
  <c r="C275" i="57" s="1"/>
  <c r="A276" i="57"/>
  <c r="C276" i="57" s="1"/>
  <c r="A277" i="57"/>
  <c r="A278" i="57"/>
  <c r="C278" i="57" s="1"/>
  <c r="A279" i="57"/>
  <c r="C279" i="57" s="1"/>
  <c r="A280" i="57"/>
  <c r="C280" i="57" s="1"/>
  <c r="A281" i="57"/>
  <c r="C281" i="57" s="1"/>
  <c r="A282" i="57"/>
  <c r="C282" i="57" s="1"/>
  <c r="A283" i="57"/>
  <c r="A284" i="57"/>
  <c r="C284" i="57" s="1"/>
  <c r="A285" i="57"/>
  <c r="C285" i="57" s="1"/>
  <c r="A286" i="57"/>
  <c r="C286" i="57" s="1"/>
  <c r="A287" i="57"/>
  <c r="C287" i="57" s="1"/>
  <c r="A288" i="57"/>
  <c r="C288" i="57" s="1"/>
  <c r="A289" i="57"/>
  <c r="A290" i="57"/>
  <c r="C290" i="57" s="1"/>
  <c r="A291" i="57"/>
  <c r="C291" i="57" s="1"/>
  <c r="A292" i="57"/>
  <c r="C292" i="57" s="1"/>
  <c r="A293" i="57"/>
  <c r="C293" i="57" s="1"/>
  <c r="A294" i="57"/>
  <c r="C294" i="57" s="1"/>
  <c r="A295" i="57"/>
  <c r="A296" i="57"/>
  <c r="C296" i="57" s="1"/>
  <c r="A297" i="57"/>
  <c r="C297" i="57" s="1"/>
  <c r="A298" i="57"/>
  <c r="C298" i="57" s="1"/>
  <c r="A299" i="57"/>
  <c r="C299" i="57" s="1"/>
  <c r="A300" i="57"/>
  <c r="C300" i="57" s="1"/>
  <c r="A301" i="57"/>
  <c r="C301" i="57" s="1"/>
  <c r="A302" i="57"/>
  <c r="C302" i="57" s="1"/>
  <c r="A303" i="57"/>
  <c r="C303" i="57" s="1"/>
  <c r="A304" i="57"/>
  <c r="C304" i="57" s="1"/>
  <c r="A305" i="57"/>
  <c r="C305" i="57" s="1"/>
  <c r="A306" i="57"/>
  <c r="C306" i="57" s="1"/>
  <c r="A307" i="57"/>
  <c r="A308" i="57"/>
  <c r="C308" i="57" s="1"/>
  <c r="A309" i="57"/>
  <c r="C309" i="57" s="1"/>
  <c r="A310" i="57"/>
  <c r="C310" i="57" s="1"/>
  <c r="A311" i="57"/>
  <c r="C311" i="57" s="1"/>
  <c r="A312" i="57"/>
  <c r="C312" i="57" s="1"/>
  <c r="A313" i="57"/>
  <c r="A314" i="57"/>
  <c r="C314" i="57" s="1"/>
  <c r="A315" i="57"/>
  <c r="C315" i="57" s="1"/>
  <c r="A316" i="57"/>
  <c r="C316" i="57" s="1"/>
  <c r="A317" i="57"/>
  <c r="C317" i="57" s="1"/>
  <c r="A318" i="57"/>
  <c r="C318" i="57" s="1"/>
  <c r="A319" i="57"/>
  <c r="A320" i="57"/>
  <c r="C320" i="57" s="1"/>
  <c r="A321" i="57"/>
  <c r="C321" i="57" s="1"/>
  <c r="A322" i="57"/>
  <c r="C322" i="57" s="1"/>
  <c r="A323" i="57"/>
  <c r="C323" i="57" s="1"/>
  <c r="A324" i="57"/>
  <c r="C324" i="57" s="1"/>
  <c r="A325" i="57"/>
  <c r="A326" i="57"/>
  <c r="C326" i="57" s="1"/>
  <c r="A327" i="57"/>
  <c r="C327" i="57" s="1"/>
  <c r="A328" i="57"/>
  <c r="C328" i="57" s="1"/>
  <c r="A329" i="57"/>
  <c r="C329" i="57" s="1"/>
  <c r="A330" i="57"/>
  <c r="C330" i="57" s="1"/>
  <c r="A331" i="57"/>
  <c r="A332" i="57"/>
  <c r="C332" i="57" s="1"/>
  <c r="A333" i="57"/>
  <c r="C333" i="57" s="1"/>
  <c r="A334" i="57"/>
  <c r="C334" i="57" s="1"/>
  <c r="A335" i="57"/>
  <c r="C335" i="57" s="1"/>
  <c r="A336" i="57"/>
  <c r="C336" i="57" s="1"/>
  <c r="A337" i="57"/>
  <c r="A338" i="57"/>
  <c r="C338" i="57" s="1"/>
  <c r="A339" i="57"/>
  <c r="C339" i="57" s="1"/>
  <c r="A340" i="57"/>
  <c r="C340" i="57" s="1"/>
  <c r="A341" i="57"/>
  <c r="C341" i="57" s="1"/>
  <c r="A342" i="57"/>
  <c r="C342" i="57" s="1"/>
  <c r="A343" i="57"/>
  <c r="A344" i="57"/>
  <c r="C344" i="57" s="1"/>
  <c r="A345" i="57"/>
  <c r="C345" i="57" s="1"/>
  <c r="A346" i="57"/>
  <c r="C346" i="57" s="1"/>
  <c r="A347" i="57"/>
  <c r="C347" i="57" s="1"/>
  <c r="A348" i="57"/>
  <c r="A349" i="57"/>
  <c r="A350" i="57"/>
  <c r="C350" i="57" s="1"/>
  <c r="A351" i="57"/>
  <c r="C351" i="57" s="1"/>
  <c r="A352" i="57"/>
  <c r="C352" i="57" s="1"/>
  <c r="A353" i="57"/>
  <c r="C353" i="57" s="1"/>
  <c r="A354" i="57"/>
  <c r="C354" i="57" s="1"/>
  <c r="A355" i="57"/>
  <c r="A356" i="57"/>
  <c r="C356" i="57" s="1"/>
  <c r="A357" i="57"/>
  <c r="C357" i="57" s="1"/>
  <c r="A358" i="57"/>
  <c r="C358" i="57" s="1"/>
  <c r="A359" i="57"/>
  <c r="C359" i="57" s="1"/>
  <c r="A360" i="57"/>
  <c r="C360" i="57" s="1"/>
  <c r="A361" i="57"/>
  <c r="A362" i="57"/>
  <c r="C362" i="57" s="1"/>
  <c r="A363" i="57"/>
  <c r="C363" i="57" s="1"/>
  <c r="A364" i="57"/>
  <c r="C364" i="57" s="1"/>
  <c r="A365" i="57"/>
  <c r="C365" i="57" s="1"/>
  <c r="A366" i="57"/>
  <c r="C366" i="57" s="1"/>
  <c r="A367" i="57"/>
  <c r="A368" i="57"/>
  <c r="C368" i="57" s="1"/>
  <c r="A369" i="57"/>
  <c r="C369" i="57" s="1"/>
  <c r="A370" i="57"/>
  <c r="C370" i="57" s="1"/>
  <c r="A371" i="57"/>
  <c r="C371" i="57" s="1"/>
  <c r="A372" i="57"/>
  <c r="C372" i="57" s="1"/>
  <c r="A373" i="57"/>
  <c r="C373" i="57" s="1"/>
  <c r="A374" i="57"/>
  <c r="C374" i="57" s="1"/>
  <c r="A375" i="57"/>
  <c r="C375" i="57" s="1"/>
  <c r="A376" i="57"/>
  <c r="C376" i="57" s="1"/>
  <c r="A377" i="57"/>
  <c r="C377" i="57" s="1"/>
  <c r="A378" i="57"/>
  <c r="C378" i="57" s="1"/>
  <c r="A379" i="57"/>
  <c r="A380" i="57"/>
  <c r="C380" i="57" s="1"/>
  <c r="A381" i="57"/>
  <c r="C381" i="57" s="1"/>
  <c r="A382" i="57"/>
  <c r="C382" i="57" s="1"/>
  <c r="A383" i="57"/>
  <c r="C383" i="57" s="1"/>
  <c r="A384" i="57"/>
  <c r="C384" i="57" s="1"/>
  <c r="A385" i="57"/>
  <c r="A386" i="57"/>
  <c r="C386" i="57" s="1"/>
  <c r="A387" i="57"/>
  <c r="C387" i="57" s="1"/>
  <c r="A388" i="57"/>
  <c r="C388" i="57" s="1"/>
  <c r="A389" i="57"/>
  <c r="C389" i="57" s="1"/>
  <c r="A390" i="57"/>
  <c r="A391" i="57"/>
  <c r="A392" i="57"/>
  <c r="C392" i="57" s="1"/>
  <c r="A393" i="57"/>
  <c r="C393" i="57" s="1"/>
  <c r="A394" i="57"/>
  <c r="C394" i="57" s="1"/>
  <c r="A395" i="57"/>
  <c r="C395" i="57" s="1"/>
  <c r="A396" i="57"/>
  <c r="C396" i="57" s="1"/>
  <c r="A397" i="57"/>
  <c r="A398" i="57"/>
  <c r="C398" i="57" s="1"/>
  <c r="A399" i="57"/>
  <c r="C399" i="57" s="1"/>
  <c r="A400" i="57"/>
  <c r="C400" i="57" s="1"/>
  <c r="A401" i="57"/>
  <c r="C401" i="57" s="1"/>
  <c r="A402" i="57"/>
  <c r="C402" i="57" s="1"/>
  <c r="A403" i="57"/>
  <c r="C403" i="57" s="1"/>
  <c r="A404" i="57"/>
  <c r="C404" i="57" s="1"/>
  <c r="A405" i="57"/>
  <c r="C405" i="57" s="1"/>
  <c r="A406" i="57"/>
  <c r="C406" i="57" s="1"/>
  <c r="A407" i="57"/>
  <c r="C407" i="57" s="1"/>
  <c r="A408" i="57"/>
  <c r="C408" i="57" s="1"/>
  <c r="A409" i="57"/>
  <c r="A410" i="57"/>
  <c r="C410" i="57" s="1"/>
  <c r="A411" i="57"/>
  <c r="C411" i="57" s="1"/>
  <c r="A412" i="57"/>
  <c r="C412" i="57" s="1"/>
  <c r="A413" i="57"/>
  <c r="C413" i="57" s="1"/>
  <c r="A414" i="57"/>
  <c r="A415" i="57"/>
  <c r="A416" i="57"/>
  <c r="C416" i="57" s="1"/>
  <c r="A417" i="57"/>
  <c r="C417" i="57" s="1"/>
  <c r="A418" i="57"/>
  <c r="C418" i="57" s="1"/>
  <c r="A419" i="57"/>
  <c r="C419" i="57" s="1"/>
  <c r="A420" i="57"/>
  <c r="C420" i="57" s="1"/>
  <c r="A421" i="57"/>
  <c r="A422" i="57"/>
  <c r="C422" i="57" s="1"/>
  <c r="A423" i="57"/>
  <c r="C423" i="57" s="1"/>
  <c r="A424" i="57"/>
  <c r="C424" i="57" s="1"/>
  <c r="A425" i="57"/>
  <c r="C425" i="57" s="1"/>
  <c r="A426" i="57"/>
  <c r="C426" i="57" s="1"/>
  <c r="A427" i="57"/>
  <c r="C427" i="57" s="1"/>
  <c r="A428" i="57"/>
  <c r="C428" i="57" s="1"/>
  <c r="A429" i="57"/>
  <c r="C429" i="57" s="1"/>
  <c r="A430" i="57"/>
  <c r="C430" i="57" s="1"/>
  <c r="A431" i="57"/>
  <c r="C431" i="57" s="1"/>
  <c r="A432" i="57"/>
  <c r="A433" i="57"/>
  <c r="A434" i="57"/>
  <c r="C434" i="57" s="1"/>
  <c r="A435" i="57"/>
  <c r="C435" i="57" s="1"/>
  <c r="A436" i="57"/>
  <c r="C436" i="57" s="1"/>
  <c r="A437" i="57"/>
  <c r="C437" i="57" s="1"/>
  <c r="A438" i="57"/>
  <c r="C438" i="57" s="1"/>
  <c r="A439" i="57"/>
  <c r="A440" i="57"/>
  <c r="C440" i="57" s="1"/>
  <c r="A441" i="57"/>
  <c r="C441" i="57" s="1"/>
  <c r="A442" i="57"/>
  <c r="C442" i="57" s="1"/>
  <c r="A443" i="57"/>
  <c r="C443" i="57" s="1"/>
  <c r="A444" i="57"/>
  <c r="C444" i="57" s="1"/>
  <c r="A445" i="57"/>
  <c r="A446" i="57"/>
  <c r="C446" i="57" s="1"/>
  <c r="A447" i="57"/>
  <c r="C447" i="57" s="1"/>
  <c r="A448" i="57"/>
  <c r="C448" i="57" s="1"/>
  <c r="A449" i="57"/>
  <c r="C449" i="57" s="1"/>
  <c r="A450" i="57"/>
  <c r="C450" i="57" s="1"/>
  <c r="A451" i="57"/>
  <c r="C451" i="57" s="1"/>
  <c r="A452" i="57"/>
  <c r="C452" i="57" s="1"/>
  <c r="A453" i="57"/>
  <c r="C453" i="57" s="1"/>
  <c r="A454" i="57"/>
  <c r="C454" i="57" s="1"/>
  <c r="A455" i="57"/>
  <c r="C455" i="57" s="1"/>
  <c r="A456" i="57"/>
  <c r="C456" i="57" s="1"/>
  <c r="A457" i="57"/>
  <c r="A458" i="57"/>
  <c r="C458" i="57" s="1"/>
  <c r="A459" i="57"/>
  <c r="C459" i="57" s="1"/>
  <c r="A460" i="57"/>
  <c r="C460" i="57" s="1"/>
  <c r="A461" i="57"/>
  <c r="C461" i="57" s="1"/>
  <c r="A462" i="57"/>
  <c r="A463" i="57"/>
  <c r="A464" i="57"/>
  <c r="C464" i="57" s="1"/>
  <c r="A465" i="57"/>
  <c r="C465" i="57" s="1"/>
  <c r="A466" i="57"/>
  <c r="C466" i="57" s="1"/>
  <c r="A467" i="57"/>
  <c r="C467" i="57" s="1"/>
  <c r="A468" i="57"/>
  <c r="C468" i="57" s="1"/>
  <c r="A469" i="57"/>
  <c r="A470" i="57"/>
  <c r="C470" i="57" s="1"/>
  <c r="A471" i="57"/>
  <c r="C471" i="57" s="1"/>
  <c r="A472" i="57"/>
  <c r="C472" i="57" s="1"/>
  <c r="A473" i="57"/>
  <c r="C473" i="57" s="1"/>
  <c r="A474" i="57"/>
  <c r="A475" i="57"/>
  <c r="A476" i="57"/>
  <c r="C476" i="57" s="1"/>
  <c r="A477" i="57"/>
  <c r="C477" i="57" s="1"/>
  <c r="A478" i="57"/>
  <c r="C478" i="57" s="1"/>
  <c r="A479" i="57"/>
  <c r="C479" i="57" s="1"/>
  <c r="A480" i="57"/>
  <c r="C480" i="57" s="1"/>
  <c r="A481" i="57"/>
  <c r="C481" i="57" s="1"/>
  <c r="A482" i="57"/>
  <c r="C482" i="57" s="1"/>
  <c r="A483" i="57"/>
  <c r="C483" i="57" s="1"/>
  <c r="A484" i="57"/>
  <c r="C484" i="57" s="1"/>
  <c r="A485" i="57"/>
  <c r="C485" i="57" s="1"/>
  <c r="A486" i="57"/>
  <c r="C486" i="57" s="1"/>
  <c r="A487" i="57"/>
  <c r="A488" i="57"/>
  <c r="C488" i="57" s="1"/>
  <c r="A489" i="57"/>
  <c r="C489" i="57" s="1"/>
  <c r="A490" i="57"/>
  <c r="C490" i="57" s="1"/>
  <c r="A491" i="57"/>
  <c r="C491" i="57" s="1"/>
  <c r="A492" i="57"/>
  <c r="C492" i="57" s="1"/>
  <c r="A493" i="57"/>
  <c r="A494" i="57"/>
  <c r="C494" i="57" s="1"/>
  <c r="A495" i="57"/>
  <c r="C495" i="57" s="1"/>
  <c r="A496" i="57"/>
  <c r="C496" i="57" s="1"/>
  <c r="A497" i="57"/>
  <c r="C497" i="57" s="1"/>
  <c r="A498" i="57"/>
  <c r="C498" i="57" s="1"/>
  <c r="A499" i="57"/>
  <c r="A500" i="57"/>
  <c r="C500" i="57" s="1"/>
  <c r="A501" i="57"/>
  <c r="C501" i="57" s="1"/>
  <c r="A502" i="57"/>
  <c r="C502" i="57" s="1"/>
  <c r="A503" i="57"/>
  <c r="C503" i="57" s="1"/>
  <c r="A504" i="57"/>
  <c r="C504" i="57" s="1"/>
  <c r="A505" i="57"/>
  <c r="C505" i="57" s="1"/>
  <c r="A506" i="57"/>
  <c r="C506" i="57" s="1"/>
  <c r="A507" i="57"/>
  <c r="C507" i="57" s="1"/>
  <c r="A508" i="57"/>
  <c r="C508" i="57" s="1"/>
  <c r="A509" i="57"/>
  <c r="C509" i="57" s="1"/>
  <c r="A510" i="57"/>
  <c r="C510" i="57" s="1"/>
  <c r="A511" i="57"/>
  <c r="A512" i="57"/>
  <c r="C512" i="57" s="1"/>
  <c r="A513" i="57"/>
  <c r="C513" i="57" s="1"/>
  <c r="A514" i="57"/>
  <c r="C514" i="57" s="1"/>
  <c r="A515" i="57"/>
  <c r="C515" i="57" s="1"/>
  <c r="A516" i="57"/>
  <c r="C516" i="57" s="1"/>
  <c r="A517" i="57"/>
  <c r="A518" i="57"/>
  <c r="C518" i="57" s="1"/>
  <c r="A519" i="57"/>
  <c r="C519" i="57" s="1"/>
  <c r="A520" i="57"/>
  <c r="C520" i="57" s="1"/>
  <c r="A521" i="57"/>
  <c r="C521" i="57" s="1"/>
  <c r="A522" i="57"/>
  <c r="C522" i="57" s="1"/>
  <c r="A523" i="57"/>
  <c r="A524" i="57"/>
  <c r="C524" i="57" s="1"/>
  <c r="A525" i="57"/>
  <c r="C525" i="57" s="1"/>
  <c r="A526" i="57"/>
  <c r="C526" i="57" s="1"/>
  <c r="A527" i="57"/>
  <c r="C527" i="57" s="1"/>
  <c r="A528" i="57"/>
  <c r="C528" i="57" s="1"/>
  <c r="A529" i="57"/>
  <c r="A530" i="57"/>
  <c r="C530" i="57" s="1"/>
  <c r="A531" i="57"/>
  <c r="C531" i="57" s="1"/>
  <c r="A532" i="57"/>
  <c r="C532" i="57" s="1"/>
  <c r="A533" i="57"/>
  <c r="C533" i="57" s="1"/>
  <c r="A534" i="57"/>
  <c r="C534" i="57" s="1"/>
  <c r="A535" i="57"/>
  <c r="A536" i="57"/>
  <c r="C536" i="57" s="1"/>
  <c r="A537" i="57"/>
  <c r="C537" i="57" s="1"/>
  <c r="A538" i="57"/>
  <c r="C538" i="57" s="1"/>
  <c r="A539" i="57"/>
  <c r="C539" i="57" s="1"/>
  <c r="A540" i="57"/>
  <c r="C540" i="57" s="1"/>
  <c r="A541" i="57"/>
  <c r="A542" i="57"/>
  <c r="C542" i="57" s="1"/>
  <c r="A543" i="57"/>
  <c r="C543" i="57" s="1"/>
  <c r="A544" i="57"/>
  <c r="C544" i="57" s="1"/>
  <c r="A545" i="57"/>
  <c r="C545" i="57" s="1"/>
  <c r="A546" i="57"/>
  <c r="C546" i="57" s="1"/>
  <c r="A547" i="57"/>
  <c r="A548" i="57"/>
  <c r="C548" i="57" s="1"/>
  <c r="A549" i="57"/>
  <c r="C549" i="57" s="1"/>
  <c r="A550" i="57"/>
  <c r="C550" i="57" s="1"/>
  <c r="A551" i="57"/>
  <c r="C551" i="57" s="1"/>
  <c r="A552" i="57"/>
  <c r="C552" i="57" s="1"/>
  <c r="A553" i="57"/>
  <c r="A554" i="57"/>
  <c r="C554" i="57" s="1"/>
  <c r="A555" i="57"/>
  <c r="C555" i="57" s="1"/>
  <c r="A556" i="57"/>
  <c r="C556" i="57" s="1"/>
  <c r="A557" i="57"/>
  <c r="C557" i="57" s="1"/>
  <c r="A558" i="57"/>
  <c r="A559" i="57"/>
  <c r="A560" i="57"/>
  <c r="C560" i="57" s="1"/>
  <c r="A561" i="57"/>
  <c r="C561" i="57" s="1"/>
  <c r="A562" i="57"/>
  <c r="C562" i="57" s="1"/>
  <c r="A563" i="57"/>
  <c r="C563" i="57" s="1"/>
  <c r="A564" i="57"/>
  <c r="C564" i="57" s="1"/>
  <c r="A565" i="57"/>
  <c r="A566" i="57"/>
  <c r="C566" i="57" s="1"/>
  <c r="A567" i="57"/>
  <c r="C567" i="57" s="1"/>
  <c r="A568" i="57"/>
  <c r="C568" i="57" s="1"/>
  <c r="A569" i="57"/>
  <c r="C569" i="57" s="1"/>
  <c r="A570" i="57"/>
  <c r="C570" i="57" s="1"/>
  <c r="A571" i="57"/>
  <c r="A572" i="57"/>
  <c r="C572" i="57" s="1"/>
  <c r="A573" i="57"/>
  <c r="C573" i="57" s="1"/>
  <c r="A574" i="57"/>
  <c r="C574" i="57" s="1"/>
  <c r="A575" i="57"/>
  <c r="C575" i="57" s="1"/>
  <c r="A576" i="57"/>
  <c r="C576" i="57" s="1"/>
  <c r="A577" i="57"/>
  <c r="A578" i="57"/>
  <c r="C578" i="57" s="1"/>
  <c r="A579" i="57"/>
  <c r="C579" i="57" s="1"/>
  <c r="A580" i="57"/>
  <c r="C580" i="57" s="1"/>
  <c r="A581" i="57"/>
  <c r="C581" i="57" s="1"/>
  <c r="A582" i="57"/>
  <c r="C582" i="57" s="1"/>
  <c r="A583" i="57"/>
  <c r="C583" i="57" s="1"/>
  <c r="A584" i="57"/>
  <c r="C584" i="57" s="1"/>
  <c r="A585" i="57"/>
  <c r="C585" i="57" s="1"/>
  <c r="A586" i="57"/>
  <c r="C586" i="57" s="1"/>
  <c r="A587" i="57"/>
  <c r="C587" i="57" s="1"/>
  <c r="A588" i="57"/>
  <c r="C588" i="57" s="1"/>
  <c r="A589" i="57"/>
  <c r="A590" i="57"/>
  <c r="C590" i="57" s="1"/>
  <c r="A591" i="57"/>
  <c r="C591" i="57" s="1"/>
  <c r="A592" i="57"/>
  <c r="C592" i="57" s="1"/>
  <c r="A593" i="57"/>
  <c r="C593" i="57" s="1"/>
  <c r="A594" i="57"/>
  <c r="C594" i="57" s="1"/>
  <c r="A595" i="57"/>
  <c r="A596" i="57"/>
  <c r="C596" i="57" s="1"/>
  <c r="A597" i="57"/>
  <c r="C597" i="57" s="1"/>
  <c r="A598" i="57"/>
  <c r="C598" i="57" s="1"/>
  <c r="A599" i="57"/>
  <c r="C599" i="57" s="1"/>
  <c r="A600" i="57"/>
  <c r="A601" i="57"/>
  <c r="A602" i="57"/>
  <c r="C602" i="57" s="1"/>
  <c r="A603" i="57"/>
  <c r="C603" i="57" s="1"/>
  <c r="A604" i="57"/>
  <c r="C604" i="57" s="1"/>
  <c r="A605" i="57"/>
  <c r="C605" i="57" s="1"/>
  <c r="A606" i="57"/>
  <c r="C606" i="57" s="1"/>
  <c r="A607" i="57"/>
  <c r="A608" i="57"/>
  <c r="C608" i="57" s="1"/>
  <c r="A609" i="57"/>
  <c r="C609" i="57" s="1"/>
  <c r="A610" i="57"/>
  <c r="C610" i="57" s="1"/>
  <c r="A611" i="57"/>
  <c r="C611" i="57" s="1"/>
  <c r="A612" i="57"/>
  <c r="C612" i="57" s="1"/>
  <c r="A613" i="57"/>
  <c r="A614" i="57"/>
  <c r="C614" i="57" s="1"/>
  <c r="A615" i="57"/>
  <c r="C615" i="57" s="1"/>
  <c r="A616" i="57"/>
  <c r="C616" i="57" s="1"/>
  <c r="A617" i="57"/>
  <c r="C617" i="57" s="1"/>
  <c r="A618" i="57"/>
  <c r="C618" i="57" s="1"/>
  <c r="A619" i="57"/>
  <c r="A620" i="57"/>
  <c r="C620" i="57" s="1"/>
  <c r="A621" i="57"/>
  <c r="C621" i="57" s="1"/>
  <c r="A622" i="57"/>
  <c r="C622" i="57" s="1"/>
  <c r="A623" i="57"/>
  <c r="C623" i="57" s="1"/>
  <c r="A624" i="57"/>
  <c r="C624" i="57" s="1"/>
  <c r="A625" i="57"/>
  <c r="A626" i="57"/>
  <c r="C626" i="57" s="1"/>
  <c r="A627" i="57"/>
  <c r="C627" i="57" s="1"/>
  <c r="A628" i="57"/>
  <c r="C628" i="57" s="1"/>
  <c r="A629" i="57"/>
  <c r="C629" i="57" s="1"/>
  <c r="A630" i="57"/>
  <c r="C630" i="57" s="1"/>
  <c r="A631" i="57"/>
  <c r="A632" i="57"/>
  <c r="C632" i="57" s="1"/>
  <c r="A633" i="57"/>
  <c r="C633" i="57" s="1"/>
  <c r="A634" i="57"/>
  <c r="C634" i="57" s="1"/>
  <c r="A635" i="57"/>
  <c r="C635" i="57" s="1"/>
  <c r="A636" i="57"/>
  <c r="C636" i="57" s="1"/>
  <c r="A637" i="57"/>
  <c r="A638" i="57"/>
  <c r="C638" i="57" s="1"/>
  <c r="A639" i="57"/>
  <c r="C639" i="57" s="1"/>
  <c r="A640" i="57"/>
  <c r="C640" i="57" s="1"/>
  <c r="A641" i="57"/>
  <c r="C641" i="57" s="1"/>
  <c r="A642" i="57"/>
  <c r="C642" i="57" s="1"/>
  <c r="A643" i="57"/>
  <c r="A644" i="57"/>
  <c r="C644" i="57" s="1"/>
  <c r="A645" i="57"/>
  <c r="C645" i="57" s="1"/>
  <c r="A646" i="57"/>
  <c r="C646" i="57" s="1"/>
  <c r="A647" i="57"/>
  <c r="C647" i="57" s="1"/>
  <c r="A648" i="57"/>
  <c r="C648" i="57" s="1"/>
  <c r="A649" i="57"/>
  <c r="A650" i="57"/>
  <c r="C650" i="57" s="1"/>
  <c r="A651" i="57"/>
  <c r="C651" i="57" s="1"/>
  <c r="A652" i="57"/>
  <c r="C652" i="57" s="1"/>
  <c r="A653" i="57"/>
  <c r="C653" i="57" s="1"/>
  <c r="A654" i="57"/>
  <c r="C654" i="57" s="1"/>
  <c r="A655" i="57"/>
  <c r="A656" i="57"/>
  <c r="C656" i="57" s="1"/>
  <c r="A657" i="57"/>
  <c r="C657" i="57" s="1"/>
  <c r="A658" i="57"/>
  <c r="C658" i="57" s="1"/>
  <c r="A659" i="57"/>
  <c r="C659" i="57" s="1"/>
  <c r="A660" i="57"/>
  <c r="C660" i="57" s="1"/>
  <c r="A661" i="57"/>
  <c r="C661" i="57" s="1"/>
  <c r="A662" i="57"/>
  <c r="C662" i="57" s="1"/>
  <c r="A663" i="57"/>
  <c r="C663" i="57" s="1"/>
  <c r="A664" i="57"/>
  <c r="C664" i="57" s="1"/>
  <c r="A665" i="57"/>
  <c r="C665" i="57" s="1"/>
  <c r="A666" i="57"/>
  <c r="C666" i="57" s="1"/>
  <c r="A667" i="57"/>
  <c r="A668" i="57"/>
  <c r="C668" i="57" s="1"/>
  <c r="A669" i="57"/>
  <c r="C669" i="57" s="1"/>
  <c r="A670" i="57"/>
  <c r="C670" i="57" s="1"/>
  <c r="A671" i="57"/>
  <c r="C671" i="57" s="1"/>
  <c r="A672" i="57"/>
  <c r="A673" i="57"/>
  <c r="A674" i="57"/>
  <c r="C674" i="57" s="1"/>
  <c r="A675" i="57"/>
  <c r="C675" i="57" s="1"/>
  <c r="A676" i="57"/>
  <c r="C676" i="57" s="1"/>
  <c r="A677" i="57"/>
  <c r="C677" i="57" s="1"/>
  <c r="A678" i="57"/>
  <c r="C678" i="57" s="1"/>
  <c r="A679" i="57"/>
  <c r="A680" i="57"/>
  <c r="C680" i="57" s="1"/>
  <c r="A681" i="57"/>
  <c r="C681" i="57" s="1"/>
  <c r="A682" i="57"/>
  <c r="C682" i="57" s="1"/>
  <c r="A683" i="57"/>
  <c r="C683" i="57" s="1"/>
  <c r="A684" i="57"/>
  <c r="C684" i="57" s="1"/>
  <c r="A685" i="57"/>
  <c r="A686" i="57"/>
  <c r="C686" i="57" s="1"/>
  <c r="A687" i="57"/>
  <c r="C687" i="57" s="1"/>
  <c r="A688" i="57"/>
  <c r="C688" i="57" s="1"/>
  <c r="A689" i="57"/>
  <c r="C689" i="57" s="1"/>
  <c r="A690" i="57"/>
  <c r="C690" i="57" s="1"/>
  <c r="A691" i="57"/>
  <c r="C691" i="57" s="1"/>
  <c r="A692" i="57"/>
  <c r="C692" i="57" s="1"/>
  <c r="A693" i="57"/>
  <c r="C693" i="57" s="1"/>
  <c r="A694" i="57"/>
  <c r="C694" i="57" s="1"/>
  <c r="A695" i="57"/>
  <c r="C695" i="57" s="1"/>
  <c r="A696" i="57"/>
  <c r="C696" i="57" s="1"/>
  <c r="A697" i="57"/>
  <c r="A698" i="57"/>
  <c r="C698" i="57" s="1"/>
  <c r="A699" i="57"/>
  <c r="C699" i="57" s="1"/>
  <c r="A700" i="57"/>
  <c r="C700" i="57" s="1"/>
  <c r="A701" i="57"/>
  <c r="C701" i="57" s="1"/>
  <c r="A702" i="57"/>
  <c r="C702" i="57" s="1"/>
  <c r="A703" i="57"/>
  <c r="A704" i="57"/>
  <c r="C704" i="57" s="1"/>
  <c r="A705" i="57"/>
  <c r="C705" i="57" s="1"/>
  <c r="A706" i="57"/>
  <c r="C706" i="57" s="1"/>
  <c r="A707" i="57"/>
  <c r="C707" i="57" s="1"/>
  <c r="A708" i="57"/>
  <c r="C708" i="57" s="1"/>
  <c r="A709" i="57"/>
  <c r="A710" i="57"/>
  <c r="C710" i="57" s="1"/>
  <c r="A711" i="57"/>
  <c r="C711" i="57" s="1"/>
  <c r="A712" i="57"/>
  <c r="C712" i="57" s="1"/>
  <c r="A713" i="57"/>
  <c r="C713" i="57" s="1"/>
  <c r="A714" i="57"/>
  <c r="A715" i="57"/>
  <c r="A716" i="57"/>
  <c r="C716" i="57" s="1"/>
  <c r="A717" i="57"/>
  <c r="C717" i="57" s="1"/>
  <c r="A718" i="57"/>
  <c r="C718" i="57" s="1"/>
  <c r="A719" i="57"/>
  <c r="C719" i="57" s="1"/>
  <c r="A720" i="57"/>
  <c r="C720" i="57" s="1"/>
  <c r="A721" i="57"/>
  <c r="C721" i="57" s="1"/>
  <c r="A722" i="57"/>
  <c r="C722" i="57" s="1"/>
  <c r="A723" i="57"/>
  <c r="C723" i="57" s="1"/>
  <c r="A724" i="57"/>
  <c r="C724" i="57" s="1"/>
  <c r="A725" i="57"/>
  <c r="C725" i="57" s="1"/>
  <c r="A726" i="57"/>
  <c r="A727" i="57"/>
  <c r="A728" i="57"/>
  <c r="C728" i="57" s="1"/>
  <c r="A729" i="57"/>
  <c r="C729" i="57" s="1"/>
  <c r="A730" i="57"/>
  <c r="C730" i="57" s="1"/>
  <c r="A731" i="57"/>
  <c r="C731" i="57" s="1"/>
  <c r="A732" i="57"/>
  <c r="C732" i="57" s="1"/>
  <c r="A733" i="57"/>
  <c r="A734" i="57"/>
  <c r="C734" i="57" s="1"/>
  <c r="A735" i="57"/>
  <c r="C735" i="57" s="1"/>
  <c r="A736" i="57"/>
  <c r="C736" i="57" s="1"/>
  <c r="A737" i="57"/>
  <c r="C737" i="57" s="1"/>
  <c r="A738" i="57"/>
  <c r="A739" i="57"/>
  <c r="A740" i="57"/>
  <c r="C740" i="57" s="1"/>
  <c r="A741" i="57"/>
  <c r="C741" i="57" s="1"/>
  <c r="A742" i="57"/>
  <c r="C742" i="57" s="1"/>
  <c r="A743" i="57"/>
  <c r="C743" i="57" s="1"/>
  <c r="A744" i="57"/>
  <c r="C744" i="57" s="1"/>
  <c r="A745" i="57"/>
  <c r="C745" i="57" s="1"/>
  <c r="A746" i="57"/>
  <c r="C746" i="57" s="1"/>
  <c r="A747" i="57"/>
  <c r="C747" i="57" s="1"/>
  <c r="A748" i="57"/>
  <c r="C748" i="57" s="1"/>
  <c r="A749" i="57"/>
  <c r="C749" i="57" s="1"/>
  <c r="A750" i="57"/>
  <c r="C750" i="57" s="1"/>
  <c r="A751" i="57"/>
  <c r="A752" i="57"/>
  <c r="C752" i="57" s="1"/>
  <c r="A753" i="57"/>
  <c r="C753" i="57" s="1"/>
  <c r="A754" i="57"/>
  <c r="C754" i="57" s="1"/>
  <c r="A755" i="57"/>
  <c r="C755" i="57" s="1"/>
  <c r="A756" i="57"/>
  <c r="A757" i="57"/>
  <c r="A758" i="57"/>
  <c r="C758" i="57" s="1"/>
  <c r="A759" i="57"/>
  <c r="C759" i="57" s="1"/>
  <c r="A760" i="57"/>
  <c r="C760" i="57" s="1"/>
  <c r="A761" i="57"/>
  <c r="C761" i="57" s="1"/>
  <c r="A762" i="57"/>
  <c r="C762" i="57" s="1"/>
  <c r="A763" i="57"/>
  <c r="A764" i="57"/>
  <c r="C764" i="57" s="1"/>
  <c r="A765" i="57"/>
  <c r="C765" i="57" s="1"/>
  <c r="A766" i="57"/>
  <c r="C766" i="57" s="1"/>
  <c r="A767" i="57"/>
  <c r="C767" i="57" s="1"/>
  <c r="A768" i="57"/>
  <c r="A769" i="57"/>
  <c r="A770" i="57"/>
  <c r="C770" i="57" s="1"/>
  <c r="A771" i="57"/>
  <c r="C771" i="57" s="1"/>
  <c r="A772" i="57"/>
  <c r="C772" i="57" s="1"/>
  <c r="A773" i="57"/>
  <c r="C773" i="57" s="1"/>
  <c r="A774" i="57"/>
  <c r="C774" i="57" s="1"/>
  <c r="A775" i="57"/>
  <c r="A776" i="57"/>
  <c r="C776" i="57" s="1"/>
  <c r="A777" i="57"/>
  <c r="C777" i="57" s="1"/>
  <c r="A778" i="57"/>
  <c r="C778" i="57" s="1"/>
  <c r="A779" i="57"/>
  <c r="C779" i="57" s="1"/>
  <c r="A780" i="57"/>
  <c r="C780" i="57" s="1"/>
  <c r="A781" i="57"/>
  <c r="A782" i="57"/>
  <c r="C782" i="57" s="1"/>
  <c r="A783" i="57"/>
  <c r="C783" i="57" s="1"/>
  <c r="A784" i="57"/>
  <c r="C784" i="57" s="1"/>
  <c r="A785" i="57"/>
  <c r="C785" i="57" s="1"/>
  <c r="A786" i="57"/>
  <c r="A787" i="57"/>
  <c r="C787" i="57" s="1"/>
  <c r="A788" i="57"/>
  <c r="C788" i="57" s="1"/>
  <c r="A789" i="57"/>
  <c r="C789" i="57" s="1"/>
  <c r="A790" i="57"/>
  <c r="C790" i="57" s="1"/>
  <c r="A791" i="57"/>
  <c r="C791" i="57" s="1"/>
  <c r="A792" i="57"/>
  <c r="C792" i="57" s="1"/>
  <c r="A793" i="57"/>
  <c r="A794" i="57"/>
  <c r="C794" i="57" s="1"/>
  <c r="A795" i="57"/>
  <c r="C795" i="57" s="1"/>
  <c r="A796" i="57"/>
  <c r="C796" i="57" s="1"/>
  <c r="A797" i="57"/>
  <c r="C797" i="57" s="1"/>
  <c r="A798" i="57"/>
  <c r="A799" i="57"/>
  <c r="A800" i="57"/>
  <c r="C800" i="57" s="1"/>
  <c r="A801" i="57"/>
  <c r="C801" i="57" s="1"/>
  <c r="A802" i="57"/>
  <c r="C802" i="57" s="1"/>
  <c r="A803" i="57"/>
  <c r="C803" i="57" s="1"/>
  <c r="A804" i="57"/>
  <c r="C804" i="57" s="1"/>
  <c r="A805" i="57"/>
  <c r="A806" i="57"/>
  <c r="C806" i="57" s="1"/>
  <c r="A807" i="57"/>
  <c r="C807" i="57" s="1"/>
  <c r="A808" i="57"/>
  <c r="C808" i="57" s="1"/>
  <c r="A809" i="57"/>
  <c r="C809" i="57" s="1"/>
  <c r="A810" i="57"/>
  <c r="A811" i="57"/>
  <c r="A812" i="57"/>
  <c r="C812" i="57" s="1"/>
  <c r="A813" i="57"/>
  <c r="C813" i="57" s="1"/>
  <c r="A814" i="57"/>
  <c r="C814" i="57" s="1"/>
  <c r="A815" i="57"/>
  <c r="C815" i="57" s="1"/>
  <c r="A816" i="57"/>
  <c r="C816" i="57" s="1"/>
  <c r="A817" i="57"/>
  <c r="C817" i="57" s="1"/>
  <c r="A818" i="57"/>
  <c r="C818" i="57" s="1"/>
  <c r="A819" i="57"/>
  <c r="C819" i="57" s="1"/>
  <c r="A820" i="57"/>
  <c r="C820" i="57" s="1"/>
  <c r="A821" i="57"/>
  <c r="C821" i="57" s="1"/>
  <c r="A822" i="57"/>
  <c r="C822" i="57" s="1"/>
  <c r="A823" i="57"/>
  <c r="A824" i="57"/>
  <c r="C824" i="57" s="1"/>
  <c r="A825" i="57"/>
  <c r="C825" i="57" s="1"/>
  <c r="A826" i="57"/>
  <c r="C826" i="57" s="1"/>
  <c r="A827" i="57"/>
  <c r="C827" i="57" s="1"/>
  <c r="A828" i="57"/>
  <c r="C828" i="57" s="1"/>
  <c r="A829" i="57"/>
  <c r="A830" i="57"/>
  <c r="C830" i="57" s="1"/>
  <c r="A831" i="57"/>
  <c r="C831" i="57" s="1"/>
  <c r="A832" i="57"/>
  <c r="C832" i="57" s="1"/>
  <c r="A833" i="57"/>
  <c r="C833" i="57" s="1"/>
  <c r="A834" i="57"/>
  <c r="C834" i="57" s="1"/>
  <c r="A835" i="57"/>
  <c r="A836" i="57"/>
  <c r="C836" i="57" s="1"/>
  <c r="A837" i="57"/>
  <c r="C837" i="57" s="1"/>
  <c r="A838" i="57"/>
  <c r="C838" i="57" s="1"/>
  <c r="A839" i="57"/>
  <c r="C839" i="57" s="1"/>
  <c r="A840" i="57"/>
  <c r="C840" i="57" s="1"/>
  <c r="A841" i="57"/>
  <c r="A842" i="57"/>
  <c r="C842" i="57" s="1"/>
  <c r="A843" i="57"/>
  <c r="C843" i="57" s="1"/>
  <c r="A844" i="57"/>
  <c r="C844" i="57" s="1"/>
  <c r="A845" i="57"/>
  <c r="C845" i="57" s="1"/>
  <c r="A846" i="57"/>
  <c r="C846" i="57" s="1"/>
  <c r="A847" i="57"/>
  <c r="A848" i="57"/>
  <c r="C848" i="57" s="1"/>
  <c r="A849" i="57"/>
  <c r="C849" i="57" s="1"/>
  <c r="A850" i="57"/>
  <c r="C850" i="57" s="1"/>
  <c r="A851" i="57"/>
  <c r="C851" i="57" s="1"/>
  <c r="A852" i="57"/>
  <c r="C852" i="57" s="1"/>
  <c r="A853" i="57"/>
  <c r="A854" i="57"/>
  <c r="C854" i="57" s="1"/>
  <c r="A855" i="57"/>
  <c r="C855" i="57" s="1"/>
  <c r="A856" i="57"/>
  <c r="C856" i="57" s="1"/>
  <c r="A857" i="57"/>
  <c r="C857" i="57" s="1"/>
  <c r="A858" i="57"/>
  <c r="C858" i="57" s="1"/>
  <c r="A859" i="57"/>
  <c r="A860" i="57"/>
  <c r="C860" i="57" s="1"/>
  <c r="A861" i="57"/>
  <c r="C861" i="57" s="1"/>
  <c r="A862" i="57"/>
  <c r="C862" i="57" s="1"/>
  <c r="A863" i="57"/>
  <c r="C863" i="57" s="1"/>
  <c r="A864" i="57"/>
  <c r="C864" i="57" s="1"/>
  <c r="A865" i="57"/>
  <c r="A866" i="57"/>
  <c r="C866" i="57" s="1"/>
  <c r="A867" i="57"/>
  <c r="C867" i="57" s="1"/>
  <c r="A868" i="57"/>
  <c r="C868" i="57" s="1"/>
  <c r="A869" i="57"/>
  <c r="C869" i="57" s="1"/>
  <c r="A870" i="57"/>
  <c r="A871" i="57"/>
  <c r="A872" i="57"/>
  <c r="C872" i="57" s="1"/>
  <c r="A873" i="57"/>
  <c r="C873" i="57" s="1"/>
  <c r="A874" i="57"/>
  <c r="C874" i="57" s="1"/>
  <c r="A875" i="57"/>
  <c r="C875" i="57" s="1"/>
  <c r="A876" i="57"/>
  <c r="C876" i="57" s="1"/>
  <c r="A877" i="57"/>
  <c r="C877" i="57" s="1"/>
  <c r="A878" i="57"/>
  <c r="C878" i="57" s="1"/>
  <c r="A879" i="57"/>
  <c r="C879" i="57" s="1"/>
  <c r="A880" i="57"/>
  <c r="C880" i="57" s="1"/>
  <c r="A881" i="57"/>
  <c r="C881" i="57" s="1"/>
  <c r="A882" i="57"/>
  <c r="A883" i="57"/>
  <c r="A884" i="57"/>
  <c r="C884" i="57" s="1"/>
  <c r="A885" i="57"/>
  <c r="C885" i="57" s="1"/>
  <c r="A886" i="57"/>
  <c r="C886" i="57" s="1"/>
  <c r="A887" i="57"/>
  <c r="C887" i="57" s="1"/>
  <c r="A888" i="57"/>
  <c r="C888" i="57" s="1"/>
  <c r="A889" i="57"/>
  <c r="A890" i="57"/>
  <c r="C890" i="57" s="1"/>
  <c r="A891" i="57"/>
  <c r="C891" i="57" s="1"/>
  <c r="A892" i="57"/>
  <c r="C892" i="57" s="1"/>
  <c r="A893" i="57"/>
  <c r="C893" i="57" s="1"/>
  <c r="A894" i="57"/>
  <c r="C894" i="57" s="1"/>
  <c r="A895" i="57"/>
  <c r="C895" i="57" s="1"/>
  <c r="A896" i="57"/>
  <c r="C896" i="57" s="1"/>
  <c r="A897" i="57"/>
  <c r="C897" i="57" s="1"/>
  <c r="A898" i="57"/>
  <c r="C898" i="57" s="1"/>
  <c r="A899" i="57"/>
  <c r="C899" i="57" s="1"/>
  <c r="A900" i="57"/>
  <c r="A901" i="57"/>
  <c r="A902" i="57"/>
  <c r="C902" i="57" s="1"/>
  <c r="A903" i="57"/>
  <c r="C903" i="57" s="1"/>
  <c r="A904" i="57"/>
  <c r="C904" i="57" s="1"/>
  <c r="A905" i="57"/>
  <c r="C905" i="57" s="1"/>
  <c r="A906" i="57"/>
  <c r="C906" i="57" s="1"/>
  <c r="A907" i="57"/>
  <c r="A908" i="57"/>
  <c r="C908" i="57" s="1"/>
  <c r="A909" i="57"/>
  <c r="C909" i="57" s="1"/>
  <c r="A910" i="57"/>
  <c r="C910" i="57" s="1"/>
  <c r="A911" i="57"/>
  <c r="C911" i="57" s="1"/>
  <c r="A912" i="57"/>
  <c r="C912" i="57" s="1"/>
  <c r="A913" i="57"/>
  <c r="A914" i="57"/>
  <c r="C914" i="57" s="1"/>
  <c r="A915" i="57"/>
  <c r="C915" i="57" s="1"/>
  <c r="A916" i="57"/>
  <c r="C916" i="57" s="1"/>
  <c r="A917" i="57"/>
  <c r="C917" i="57" s="1"/>
  <c r="A918" i="57"/>
  <c r="C918" i="57" s="1"/>
  <c r="A919" i="57"/>
  <c r="C919" i="57" s="1"/>
  <c r="A920" i="57"/>
  <c r="C920" i="57" s="1"/>
  <c r="A921" i="57"/>
  <c r="C921" i="57" s="1"/>
  <c r="A922" i="57"/>
  <c r="C922" i="57" s="1"/>
  <c r="A923" i="57"/>
  <c r="C923" i="57" s="1"/>
  <c r="A924" i="57"/>
  <c r="C924" i="57" s="1"/>
  <c r="A925" i="57"/>
  <c r="A926" i="57"/>
  <c r="C926" i="57" s="1"/>
  <c r="A927" i="57"/>
  <c r="C927" i="57" s="1"/>
  <c r="A928" i="57"/>
  <c r="C928" i="57" s="1"/>
  <c r="A929" i="57"/>
  <c r="C929" i="57" s="1"/>
  <c r="A930" i="57"/>
  <c r="C930" i="57" s="1"/>
  <c r="A931" i="57"/>
  <c r="A932" i="57"/>
  <c r="C932" i="57" s="1"/>
  <c r="A933" i="57"/>
  <c r="C933" i="57" s="1"/>
  <c r="A934" i="57"/>
  <c r="C934" i="57" s="1"/>
  <c r="A935" i="57"/>
  <c r="C935" i="57" s="1"/>
  <c r="A936" i="57"/>
  <c r="C936" i="57" s="1"/>
  <c r="A937" i="57"/>
  <c r="A938" i="57"/>
  <c r="C938" i="57" s="1"/>
  <c r="A939" i="57"/>
  <c r="C939" i="57" s="1"/>
  <c r="A940" i="57"/>
  <c r="C940" i="57" s="1"/>
  <c r="A941" i="57"/>
  <c r="C941" i="57" s="1"/>
  <c r="A942" i="57"/>
  <c r="C942" i="57" s="1"/>
  <c r="A943" i="57"/>
  <c r="A944" i="57"/>
  <c r="C944" i="57" s="1"/>
  <c r="A945" i="57"/>
  <c r="C945" i="57" s="1"/>
  <c r="A946" i="57"/>
  <c r="C946" i="57" s="1"/>
  <c r="A947" i="57"/>
  <c r="C947" i="57" s="1"/>
  <c r="A948" i="57"/>
  <c r="C948" i="57" s="1"/>
  <c r="A949" i="57"/>
  <c r="A950" i="57"/>
  <c r="C950" i="57" s="1"/>
  <c r="A951" i="57"/>
  <c r="C951" i="57" s="1"/>
  <c r="A952" i="57"/>
  <c r="C952" i="57" s="1"/>
  <c r="A953" i="57"/>
  <c r="C953" i="57" s="1"/>
  <c r="A954" i="57"/>
  <c r="C954" i="57" s="1"/>
  <c r="A955" i="57"/>
  <c r="A956" i="57"/>
  <c r="C956" i="57" s="1"/>
  <c r="A957" i="57"/>
  <c r="C957" i="57" s="1"/>
  <c r="A958" i="57"/>
  <c r="C958" i="57" s="1"/>
  <c r="A959" i="57"/>
  <c r="C959" i="57" s="1"/>
  <c r="A960" i="57"/>
  <c r="C960" i="57" s="1"/>
  <c r="A961" i="57"/>
  <c r="C961" i="57" s="1"/>
  <c r="A962" i="57"/>
  <c r="C962" i="57" s="1"/>
  <c r="A963" i="57"/>
  <c r="C963" i="57" s="1"/>
  <c r="A964" i="57"/>
  <c r="C964" i="57" s="1"/>
  <c r="A965" i="57"/>
  <c r="C965" i="57" s="1"/>
  <c r="A966" i="57"/>
  <c r="C966" i="57" s="1"/>
  <c r="A967" i="57"/>
  <c r="A968" i="57"/>
  <c r="C968" i="57" s="1"/>
  <c r="A969" i="57"/>
  <c r="C969" i="57" s="1"/>
  <c r="A970" i="57"/>
  <c r="C970" i="57" s="1"/>
  <c r="A971" i="57"/>
  <c r="C971" i="57" s="1"/>
  <c r="A972" i="57"/>
  <c r="C972" i="57" s="1"/>
  <c r="A973" i="57"/>
  <c r="A974" i="57"/>
  <c r="C974" i="57" s="1"/>
  <c r="A975" i="57"/>
  <c r="C975" i="57" s="1"/>
  <c r="A976" i="57"/>
  <c r="C976" i="57" s="1"/>
  <c r="A977" i="57"/>
  <c r="C977" i="57" s="1"/>
  <c r="A978" i="57"/>
  <c r="A979" i="57"/>
  <c r="A980" i="57"/>
  <c r="C980" i="57" s="1"/>
  <c r="A981" i="57"/>
  <c r="C981" i="57" s="1"/>
  <c r="A982" i="57"/>
  <c r="C982" i="57" s="1"/>
  <c r="A983" i="57"/>
  <c r="C983" i="57" s="1"/>
  <c r="A984" i="57"/>
  <c r="C984" i="57" s="1"/>
  <c r="A985" i="57"/>
  <c r="A986" i="57"/>
  <c r="C986" i="57" s="1"/>
  <c r="A987" i="57"/>
  <c r="C987" i="57" s="1"/>
  <c r="A988" i="57"/>
  <c r="C988" i="57" s="1"/>
  <c r="A989" i="57"/>
  <c r="C989" i="57" s="1"/>
  <c r="A990" i="57"/>
  <c r="A991" i="57"/>
  <c r="C991" i="57" s="1"/>
  <c r="A992" i="57"/>
  <c r="C992" i="57" s="1"/>
  <c r="A993" i="57"/>
  <c r="C993" i="57" s="1"/>
  <c r="A994" i="57"/>
  <c r="C994" i="57" s="1"/>
  <c r="A995" i="57"/>
  <c r="C995" i="57" s="1"/>
  <c r="A996" i="57"/>
  <c r="C996" i="57" s="1"/>
  <c r="A997" i="57"/>
  <c r="A998" i="57"/>
  <c r="C998" i="57" s="1"/>
  <c r="A999" i="57"/>
  <c r="C999" i="57" s="1"/>
  <c r="A1000" i="57"/>
  <c r="C1000" i="57" s="1"/>
  <c r="A1001" i="57"/>
  <c r="C1001" i="57" s="1"/>
  <c r="A1002" i="57"/>
  <c r="C1002" i="57" s="1"/>
  <c r="A1003" i="57"/>
  <c r="A1004" i="57"/>
  <c r="C1004" i="57" s="1"/>
  <c r="A1005" i="57"/>
  <c r="C1005" i="57" s="1"/>
  <c r="A1006" i="57"/>
  <c r="C1006" i="57" s="1"/>
  <c r="A1007" i="57"/>
  <c r="C1007" i="57" s="1"/>
  <c r="A1008" i="57"/>
  <c r="A1009" i="57"/>
  <c r="A1010" i="57"/>
  <c r="C1010" i="57" s="1"/>
  <c r="A1011" i="57"/>
  <c r="C1011" i="57" s="1"/>
  <c r="A1012" i="57"/>
  <c r="C1012" i="57" s="1"/>
  <c r="A1013" i="57"/>
  <c r="C1013" i="57" s="1"/>
  <c r="A1014" i="57"/>
  <c r="C1014" i="57" s="1"/>
  <c r="A1015" i="57"/>
  <c r="C1015" i="57" s="1"/>
  <c r="A1016" i="57"/>
  <c r="C1016" i="57" s="1"/>
  <c r="A1017" i="57"/>
  <c r="C1017" i="57" s="1"/>
  <c r="A1018" i="57"/>
  <c r="C1018" i="57" s="1"/>
  <c r="A1019" i="57"/>
  <c r="C1019" i="57" s="1"/>
  <c r="A1020" i="57"/>
  <c r="C1020" i="57" s="1"/>
  <c r="A1021" i="57"/>
  <c r="A1022" i="57"/>
  <c r="C1022" i="57" s="1"/>
  <c r="A1023" i="57"/>
  <c r="C1023" i="57" s="1"/>
  <c r="A1024" i="57"/>
  <c r="C1024" i="57" s="1"/>
  <c r="A1025" i="57"/>
  <c r="C1025" i="57" s="1"/>
  <c r="A1026" i="57"/>
  <c r="C1026" i="57" s="1"/>
  <c r="A1027" i="57"/>
  <c r="A1028" i="57"/>
  <c r="C1028" i="57" s="1"/>
  <c r="A1029" i="57"/>
  <c r="C1029" i="57" s="1"/>
  <c r="A1030" i="57"/>
  <c r="C1030" i="57" s="1"/>
  <c r="A1031" i="57"/>
  <c r="C1031" i="57" s="1"/>
  <c r="A1032" i="57"/>
  <c r="C1032" i="57" s="1"/>
  <c r="A1033" i="57"/>
  <c r="A1034" i="57"/>
  <c r="C1034" i="57" s="1"/>
  <c r="A1035" i="57"/>
  <c r="C1035" i="57" s="1"/>
  <c r="A1036" i="57"/>
  <c r="C1036" i="57" s="1"/>
  <c r="A1037" i="57"/>
  <c r="C1037" i="57" s="1"/>
  <c r="A1038" i="57"/>
  <c r="C1038" i="57" s="1"/>
  <c r="A1039" i="57"/>
  <c r="A1040" i="57"/>
  <c r="C1040" i="57" s="1"/>
  <c r="A1041" i="57"/>
  <c r="C1041" i="57" s="1"/>
  <c r="A1042" i="57"/>
  <c r="C1042" i="57" s="1"/>
  <c r="A1043" i="57"/>
  <c r="C1043" i="57" s="1"/>
  <c r="A1044" i="57"/>
  <c r="C1044" i="57" s="1"/>
  <c r="A1045" i="57"/>
  <c r="A1046" i="57"/>
  <c r="C1046" i="57" s="1"/>
  <c r="A1047" i="57"/>
  <c r="C1047" i="57" s="1"/>
  <c r="A1048" i="57"/>
  <c r="C1048" i="57" s="1"/>
  <c r="A1049" i="57"/>
  <c r="C1049" i="57" s="1"/>
  <c r="A1050" i="57"/>
  <c r="C1050" i="57" s="1"/>
  <c r="A1051" i="57"/>
  <c r="A1052" i="57"/>
  <c r="C1052" i="57" s="1"/>
  <c r="A1053" i="57"/>
  <c r="C1053" i="57" s="1"/>
  <c r="A1054" i="57"/>
  <c r="C1054" i="57" s="1"/>
  <c r="A1055" i="57"/>
  <c r="C1055" i="57" s="1"/>
  <c r="A1056" i="57"/>
  <c r="C1056" i="57" s="1"/>
  <c r="A1057" i="57"/>
  <c r="A1058" i="57"/>
  <c r="C1058" i="57" s="1"/>
  <c r="A1059" i="57"/>
  <c r="C1059" i="57" s="1"/>
  <c r="A1060" i="57"/>
  <c r="C1060" i="57" s="1"/>
  <c r="A1061" i="57"/>
  <c r="C1061" i="57" s="1"/>
  <c r="A1062" i="57"/>
  <c r="C1062" i="57" s="1"/>
  <c r="A1063" i="57"/>
  <c r="A1064" i="57"/>
  <c r="C1064" i="57" s="1"/>
  <c r="A1065" i="57"/>
  <c r="C1065" i="57" s="1"/>
  <c r="A1066" i="57"/>
  <c r="C1066" i="57" s="1"/>
  <c r="A1067" i="57"/>
  <c r="C1067" i="57" s="1"/>
  <c r="A1068" i="57"/>
  <c r="C1068" i="57" s="1"/>
  <c r="A1069" i="57"/>
  <c r="A1070" i="57"/>
  <c r="C1070" i="57" s="1"/>
  <c r="A1071" i="57"/>
  <c r="C1071" i="57" s="1"/>
  <c r="A1072" i="57"/>
  <c r="C1072" i="57" s="1"/>
  <c r="A1073" i="57"/>
  <c r="C1073" i="57" s="1"/>
  <c r="A1074" i="57"/>
  <c r="C1074" i="57" s="1"/>
  <c r="A1075" i="57"/>
  <c r="A1076" i="57"/>
  <c r="C1076" i="57" s="1"/>
  <c r="A1077" i="57"/>
  <c r="C1077" i="57" s="1"/>
  <c r="A1078" i="57"/>
  <c r="C1078" i="57" s="1"/>
  <c r="A1079" i="57"/>
  <c r="C1079" i="57" s="1"/>
  <c r="A1080" i="57"/>
  <c r="C1080" i="57" s="1"/>
  <c r="A1081" i="57"/>
  <c r="A1082" i="57"/>
  <c r="C1082" i="57" s="1"/>
  <c r="A1083" i="57"/>
  <c r="C1083" i="57" s="1"/>
  <c r="A1084" i="57"/>
  <c r="C1084" i="57" s="1"/>
  <c r="A1085" i="57"/>
  <c r="C1085" i="57" s="1"/>
  <c r="A1086" i="57"/>
  <c r="A1087" i="57"/>
  <c r="A1088" i="57"/>
  <c r="C1088" i="57" s="1"/>
  <c r="A1089" i="57"/>
  <c r="C1089" i="57" s="1"/>
  <c r="A1090" i="57"/>
  <c r="C1090" i="57" s="1"/>
  <c r="A1091" i="57"/>
  <c r="C1091" i="57" s="1"/>
  <c r="A1092" i="57"/>
  <c r="C1092" i="57" s="1"/>
  <c r="A1093" i="57"/>
  <c r="C1093" i="57" s="1"/>
  <c r="A1094" i="57"/>
  <c r="C1094" i="57" s="1"/>
  <c r="A1095" i="57"/>
  <c r="C1095" i="57" s="1"/>
  <c r="A1096" i="57"/>
  <c r="C1096" i="57" s="1"/>
  <c r="A1097" i="57"/>
  <c r="C1097" i="57" s="1"/>
  <c r="A1098" i="57"/>
  <c r="A1099" i="57"/>
  <c r="A1100" i="57"/>
  <c r="C1100" i="57" s="1"/>
  <c r="A1101" i="57"/>
  <c r="C1101" i="57" s="1"/>
  <c r="A1102" i="57"/>
  <c r="C1102" i="57" s="1"/>
  <c r="A1103" i="57"/>
  <c r="C1103" i="57" s="1"/>
  <c r="A1104" i="57"/>
  <c r="C1104" i="57" s="1"/>
  <c r="A1105" i="57"/>
  <c r="A1106" i="57"/>
  <c r="C1106" i="57" s="1"/>
  <c r="A1107" i="57"/>
  <c r="C1107" i="57" s="1"/>
  <c r="A1108" i="57"/>
  <c r="C1108" i="57" s="1"/>
  <c r="A1109" i="57"/>
  <c r="C1109" i="57" s="1"/>
  <c r="A1110" i="57"/>
  <c r="C1110" i="57" s="1"/>
  <c r="A1111" i="57"/>
  <c r="A1112" i="57"/>
  <c r="C1112" i="57" s="1"/>
  <c r="A1113" i="57"/>
  <c r="C1113" i="57" s="1"/>
  <c r="A1114" i="57"/>
  <c r="C1114" i="57" s="1"/>
  <c r="A1115" i="57"/>
  <c r="C1115" i="57" s="1"/>
  <c r="A1116" i="57"/>
  <c r="C1116" i="57" s="1"/>
  <c r="A1117" i="57"/>
  <c r="A1118" i="57"/>
  <c r="C1118" i="57" s="1"/>
  <c r="A1119" i="57"/>
  <c r="C1119" i="57" s="1"/>
  <c r="A1120" i="57"/>
  <c r="C1120" i="57" s="1"/>
  <c r="A1121" i="57"/>
  <c r="C1121" i="57" s="1"/>
  <c r="A1122" i="57"/>
  <c r="C1122" i="57" s="1"/>
  <c r="A1123" i="57"/>
  <c r="A1124" i="57"/>
  <c r="C1124" i="57" s="1"/>
  <c r="A1125" i="57"/>
  <c r="C1125" i="57" s="1"/>
  <c r="A1126" i="57"/>
  <c r="C1126" i="57" s="1"/>
  <c r="A1127" i="57"/>
  <c r="C1127" i="57" s="1"/>
  <c r="A1128" i="57"/>
  <c r="C1128" i="57" s="1"/>
  <c r="A1129" i="57"/>
  <c r="A1130" i="57"/>
  <c r="C1130" i="57" s="1"/>
  <c r="A1131" i="57"/>
  <c r="C1131" i="57" s="1"/>
  <c r="A1132" i="57"/>
  <c r="C1132" i="57" s="1"/>
  <c r="A1133" i="57"/>
  <c r="C1133" i="57" s="1"/>
  <c r="A1134" i="57"/>
  <c r="C1134" i="57" s="1"/>
  <c r="A1135" i="57"/>
  <c r="C1135" i="57" s="1"/>
  <c r="A1136" i="57"/>
  <c r="C1136" i="57" s="1"/>
  <c r="A1137" i="57"/>
  <c r="C1137" i="57" s="1"/>
  <c r="A1138" i="57"/>
  <c r="C1138" i="57" s="1"/>
  <c r="A1139" i="57"/>
  <c r="C1139" i="57" s="1"/>
  <c r="A1140" i="57"/>
  <c r="C1140" i="57" s="1"/>
  <c r="A1141" i="57"/>
  <c r="A1142" i="57"/>
  <c r="C1142" i="57" s="1"/>
  <c r="A1143" i="57"/>
  <c r="C1143" i="57" s="1"/>
  <c r="A1144" i="57"/>
  <c r="C1144" i="57" s="1"/>
  <c r="A1145" i="57"/>
  <c r="C1145" i="57" s="1"/>
  <c r="A1146" i="57"/>
  <c r="C1146" i="57" s="1"/>
  <c r="A1147" i="57"/>
  <c r="A1148" i="57"/>
  <c r="C1148" i="57" s="1"/>
  <c r="A1149" i="57"/>
  <c r="C1149" i="57" s="1"/>
  <c r="A1150" i="57"/>
  <c r="C1150" i="57" s="1"/>
  <c r="A1151" i="57"/>
  <c r="C1151" i="57" s="1"/>
  <c r="A1152" i="57"/>
  <c r="C1152" i="57" s="1"/>
  <c r="A1153" i="57"/>
  <c r="A1154" i="57"/>
  <c r="C1154" i="57" s="1"/>
  <c r="A1155" i="57"/>
  <c r="C1155" i="57" s="1"/>
  <c r="A1156" i="57"/>
  <c r="C1156" i="57" s="1"/>
  <c r="A1157" i="57"/>
  <c r="C1157" i="57" s="1"/>
  <c r="A1158" i="57"/>
  <c r="C1158" i="57" s="1"/>
  <c r="A1159" i="57"/>
  <c r="A1160" i="57"/>
  <c r="C1160" i="57" s="1"/>
  <c r="A1161" i="57"/>
  <c r="C1161" i="57" s="1"/>
  <c r="A1162" i="57"/>
  <c r="C1162" i="57" s="1"/>
  <c r="A1163" i="57"/>
  <c r="C1163" i="57" s="1"/>
  <c r="A1164" i="57"/>
  <c r="C1164" i="57" s="1"/>
  <c r="A1165" i="57"/>
  <c r="A1166" i="57"/>
  <c r="C1166" i="57" s="1"/>
  <c r="A1167" i="57"/>
  <c r="C1167" i="57" s="1"/>
  <c r="A1168" i="57"/>
  <c r="C1168" i="57" s="1"/>
  <c r="A1169" i="57"/>
  <c r="C1169" i="57" s="1"/>
  <c r="A1170" i="57"/>
  <c r="C1170" i="57" s="1"/>
  <c r="A1171" i="57"/>
  <c r="A1172" i="57"/>
  <c r="C1172" i="57" s="1"/>
  <c r="A1173" i="57"/>
  <c r="C1173" i="57" s="1"/>
  <c r="A1174" i="57"/>
  <c r="C1174" i="57" s="1"/>
  <c r="A1175" i="57"/>
  <c r="C1175" i="57" s="1"/>
  <c r="A1176" i="57"/>
  <c r="C1176" i="57" s="1"/>
  <c r="A1177" i="57"/>
  <c r="C1177" i="57" s="1"/>
  <c r="A1178" i="57"/>
  <c r="C1178" i="57" s="1"/>
  <c r="A1179" i="57"/>
  <c r="C1179" i="57" s="1"/>
  <c r="A1180" i="57"/>
  <c r="C1180" i="57" s="1"/>
  <c r="A1181" i="57"/>
  <c r="C1181" i="57" s="1"/>
  <c r="A1182" i="57"/>
  <c r="C1182" i="57" s="1"/>
  <c r="A1183" i="57"/>
  <c r="C1183" i="57" s="1"/>
  <c r="A1184" i="57"/>
  <c r="C1184" i="57" s="1"/>
  <c r="A1185" i="57"/>
  <c r="C1185" i="57" s="1"/>
  <c r="A1186" i="57"/>
  <c r="C1186" i="57" s="1"/>
  <c r="A1187" i="57"/>
  <c r="C1187" i="57" s="1"/>
  <c r="A1188" i="57"/>
  <c r="C1188" i="57" s="1"/>
  <c r="A1189" i="57"/>
  <c r="A1190" i="57"/>
  <c r="C1190" i="57" s="1"/>
  <c r="A1191" i="57"/>
  <c r="C1191" i="57" s="1"/>
  <c r="A1192" i="57"/>
  <c r="C1192" i="57" s="1"/>
  <c r="A1193" i="57"/>
  <c r="C1193" i="57" s="1"/>
  <c r="A1194" i="57"/>
  <c r="A1195" i="57"/>
  <c r="A1196" i="57"/>
  <c r="C1196" i="57" s="1"/>
  <c r="A1197" i="57"/>
  <c r="C1197" i="57" s="1"/>
  <c r="A1198" i="57"/>
  <c r="C1198" i="57" s="1"/>
  <c r="A1199" i="57"/>
  <c r="C1199" i="57" s="1"/>
  <c r="A1200" i="57"/>
  <c r="C1200" i="57" s="1"/>
  <c r="A1201" i="57"/>
  <c r="A1202" i="57"/>
  <c r="C1202" i="57" s="1"/>
  <c r="A1203" i="57"/>
  <c r="C1203" i="57" s="1"/>
  <c r="A1204" i="57"/>
  <c r="C1204" i="57" s="1"/>
  <c r="A1205" i="57"/>
  <c r="C1205" i="57" s="1"/>
  <c r="A1206" i="57"/>
  <c r="C1206" i="57" s="1"/>
  <c r="A1207" i="57"/>
  <c r="C1207" i="57" s="1"/>
  <c r="A1208" i="57"/>
  <c r="C1208" i="57" s="1"/>
  <c r="A1209" i="57"/>
  <c r="C1209" i="57" s="1"/>
  <c r="A1210" i="57"/>
  <c r="C1210" i="57" s="1"/>
  <c r="A1211" i="57"/>
  <c r="C1211" i="57" s="1"/>
  <c r="A1212" i="57"/>
  <c r="C1212" i="57" s="1"/>
  <c r="A1213" i="57"/>
  <c r="A1214" i="57"/>
  <c r="C1214" i="57" s="1"/>
  <c r="A1215" i="57"/>
  <c r="C1215" i="57" s="1"/>
  <c r="A1216" i="57"/>
  <c r="C1216" i="57" s="1"/>
  <c r="A1217" i="57"/>
  <c r="C1217" i="57" s="1"/>
  <c r="A1218" i="57"/>
  <c r="C1218" i="57" s="1"/>
  <c r="A1219" i="57"/>
  <c r="A1220" i="57"/>
  <c r="C1220" i="57" s="1"/>
  <c r="A1221" i="57"/>
  <c r="C1221" i="57" s="1"/>
  <c r="A1222" i="57"/>
  <c r="C1222" i="57" s="1"/>
  <c r="A1223" i="57"/>
  <c r="C1223" i="57" s="1"/>
  <c r="A1224" i="57"/>
  <c r="A1225" i="57"/>
  <c r="A1226" i="57"/>
  <c r="C1226" i="57" s="1"/>
  <c r="A1227" i="57"/>
  <c r="C1227" i="57" s="1"/>
  <c r="A1228" i="57"/>
  <c r="C1228" i="57" s="1"/>
  <c r="A1229" i="57"/>
  <c r="C1229" i="57" s="1"/>
  <c r="A1230" i="57"/>
  <c r="C1230" i="57" s="1"/>
  <c r="A1231" i="57"/>
  <c r="C1231" i="57" s="1"/>
  <c r="A1232" i="57"/>
  <c r="C1232" i="57" s="1"/>
  <c r="A1233" i="57"/>
  <c r="C1233" i="57" s="1"/>
  <c r="A1234" i="57"/>
  <c r="C1234" i="57" s="1"/>
  <c r="A1235" i="57"/>
  <c r="C1235" i="57" s="1"/>
  <c r="A1236" i="57"/>
  <c r="C1236" i="57" s="1"/>
  <c r="A1237" i="57"/>
  <c r="A1238" i="57"/>
  <c r="C1238" i="57" s="1"/>
  <c r="A1239" i="57"/>
  <c r="C1239" i="57" s="1"/>
  <c r="A1240" i="57"/>
  <c r="C1240" i="57" s="1"/>
  <c r="A1241" i="57"/>
  <c r="C1241" i="57" s="1"/>
  <c r="A1242" i="57"/>
  <c r="C1242" i="57" s="1"/>
  <c r="A1243" i="57"/>
  <c r="A1244" i="57"/>
  <c r="C1244" i="57" s="1"/>
  <c r="A1245" i="57"/>
  <c r="C1245" i="57" s="1"/>
  <c r="A1246" i="57"/>
  <c r="C1246" i="57" s="1"/>
  <c r="A1247" i="57"/>
  <c r="C1247" i="57" s="1"/>
  <c r="A1248" i="57"/>
  <c r="C1248" i="57" s="1"/>
  <c r="A1249" i="57"/>
  <c r="C1249" i="57" s="1"/>
  <c r="A1250" i="57"/>
  <c r="C1250" i="57" s="1"/>
  <c r="A1251" i="57"/>
  <c r="C1251" i="57" s="1"/>
  <c r="A1252" i="57"/>
  <c r="C1252" i="57" s="1"/>
  <c r="A1253" i="57"/>
  <c r="C1253" i="57" s="1"/>
  <c r="A1254" i="57"/>
  <c r="C1254" i="57" s="1"/>
  <c r="A1255" i="57"/>
  <c r="C1255" i="57" s="1"/>
  <c r="A1256" i="57"/>
  <c r="C1256" i="57" s="1"/>
  <c r="A1257" i="57"/>
  <c r="C1257" i="57" s="1"/>
  <c r="A1258" i="57"/>
  <c r="C1258" i="57" s="1"/>
  <c r="A1259" i="57"/>
  <c r="C1259" i="57" s="1"/>
  <c r="A1260" i="57"/>
  <c r="C1260" i="57" s="1"/>
  <c r="A1261" i="57"/>
  <c r="A1262" i="57"/>
  <c r="C1262" i="57" s="1"/>
  <c r="A1263" i="57"/>
  <c r="C1263" i="57" s="1"/>
  <c r="A1264" i="57"/>
  <c r="C1264" i="57" s="1"/>
  <c r="A1265" i="57"/>
  <c r="C1265" i="57" s="1"/>
  <c r="A1266" i="57"/>
  <c r="C1266" i="57" s="1"/>
  <c r="A1267" i="57"/>
  <c r="A1268" i="57"/>
  <c r="C1268" i="57" s="1"/>
  <c r="A1269" i="57"/>
  <c r="C1269" i="57" s="1"/>
  <c r="A1270" i="57"/>
  <c r="C1270" i="57" s="1"/>
  <c r="A1271" i="57"/>
  <c r="C1271" i="57" s="1"/>
  <c r="A1272" i="57"/>
  <c r="C1272" i="57" s="1"/>
  <c r="A1273" i="57"/>
  <c r="C1273" i="57" s="1"/>
  <c r="A1274" i="57"/>
  <c r="C1274" i="57" s="1"/>
  <c r="A1275" i="57"/>
  <c r="C1275" i="57" s="1"/>
  <c r="A1276" i="57"/>
  <c r="C1276" i="57" s="1"/>
  <c r="A1277" i="57"/>
  <c r="C1277" i="57" s="1"/>
  <c r="A1278" i="57"/>
  <c r="C1278" i="57" s="1"/>
  <c r="A1279" i="57"/>
  <c r="C1279" i="57" s="1"/>
  <c r="A1280" i="57"/>
  <c r="C1280" i="57" s="1"/>
  <c r="A1281" i="57"/>
  <c r="C1281" i="57" s="1"/>
  <c r="A1282" i="57"/>
  <c r="C1282" i="57" s="1"/>
  <c r="A1283" i="57"/>
  <c r="C1283" i="57" s="1"/>
  <c r="A1284" i="57"/>
  <c r="C1284" i="57" s="1"/>
  <c r="A1285" i="57"/>
  <c r="A1286" i="57"/>
  <c r="C1286" i="57" s="1"/>
  <c r="A1287" i="57"/>
  <c r="C1287" i="57" s="1"/>
  <c r="A1288" i="57"/>
  <c r="C1288" i="57" s="1"/>
  <c r="A1289" i="57"/>
  <c r="C1289" i="57" s="1"/>
  <c r="A1290" i="57"/>
  <c r="C1290" i="57" s="1"/>
  <c r="A1291" i="57"/>
  <c r="A1292" i="57"/>
  <c r="C1292" i="57" s="1"/>
  <c r="A1293" i="57"/>
  <c r="C1293" i="57" s="1"/>
  <c r="A1294" i="57"/>
  <c r="C1294" i="57" s="1"/>
  <c r="A1295" i="57"/>
  <c r="C1295" i="57" s="1"/>
  <c r="A1296" i="57"/>
  <c r="C1296" i="57" s="1"/>
  <c r="A1297" i="57"/>
  <c r="A1298" i="57"/>
  <c r="C1298" i="57" s="1"/>
  <c r="A1299" i="57"/>
  <c r="C1299" i="57" s="1"/>
  <c r="A1300" i="57"/>
  <c r="C1300" i="57" s="1"/>
  <c r="A1301" i="57"/>
  <c r="C1301" i="57" s="1"/>
  <c r="A1302" i="57"/>
  <c r="A1303" i="57"/>
  <c r="C1303" i="57" s="1"/>
  <c r="A1304" i="57"/>
  <c r="C1304" i="57" s="1"/>
  <c r="A1305" i="57"/>
  <c r="C1305" i="57" s="1"/>
  <c r="A1306" i="57"/>
  <c r="C1306" i="57" s="1"/>
  <c r="A1307" i="57"/>
  <c r="C1307" i="57" s="1"/>
  <c r="A1308" i="57"/>
  <c r="C1308" i="57" s="1"/>
  <c r="A1309" i="57"/>
  <c r="A1310" i="57"/>
  <c r="C1310" i="57" s="1"/>
  <c r="A1311" i="57"/>
  <c r="C1311" i="57" s="1"/>
  <c r="A1312" i="57"/>
  <c r="C1312" i="57" s="1"/>
  <c r="A1313" i="57"/>
  <c r="C1313" i="57" s="1"/>
  <c r="A1314" i="57"/>
  <c r="C1314" i="57" s="1"/>
  <c r="A1315" i="57"/>
  <c r="A1316" i="57"/>
  <c r="C1316" i="57" s="1"/>
  <c r="A1317" i="57"/>
  <c r="C1317" i="57" s="1"/>
  <c r="A1318" i="57"/>
  <c r="C1318" i="57" s="1"/>
  <c r="A1319" i="57"/>
  <c r="C1319" i="57" s="1"/>
  <c r="A1320" i="57"/>
  <c r="C1320" i="57" s="1"/>
  <c r="A1321" i="57"/>
  <c r="A1322" i="57"/>
  <c r="C1322" i="57" s="1"/>
  <c r="A1323" i="57"/>
  <c r="C1323" i="57" s="1"/>
  <c r="A1324" i="57"/>
  <c r="C1324" i="57" s="1"/>
  <c r="A1325" i="57"/>
  <c r="C1325" i="57" s="1"/>
  <c r="A1326" i="57"/>
  <c r="C1326" i="57" s="1"/>
  <c r="A1327" i="57"/>
  <c r="A1328" i="57"/>
  <c r="C1328" i="57" s="1"/>
  <c r="A1329" i="57"/>
  <c r="C1329" i="57" s="1"/>
  <c r="A1330" i="57"/>
  <c r="C1330" i="57" s="1"/>
  <c r="A1331" i="57"/>
  <c r="C1331" i="57" s="1"/>
  <c r="A1332" i="57"/>
  <c r="C1332" i="57" s="1"/>
  <c r="A1333" i="57"/>
  <c r="A1334" i="57"/>
  <c r="C1334" i="57" s="1"/>
  <c r="A1335" i="57"/>
  <c r="C1335" i="57" s="1"/>
  <c r="A1336" i="57"/>
  <c r="C1336" i="57" s="1"/>
  <c r="A1337" i="57"/>
  <c r="C1337" i="57" s="1"/>
  <c r="A1338" i="57"/>
  <c r="C1338" i="57" s="1"/>
  <c r="A1339" i="57"/>
  <c r="C1339" i="57" s="1"/>
  <c r="A1340" i="57"/>
  <c r="C1340" i="57" s="1"/>
  <c r="A1341" i="57"/>
  <c r="C1341" i="57" s="1"/>
  <c r="A1342" i="57"/>
  <c r="C1342" i="57" s="1"/>
  <c r="A1343" i="57"/>
  <c r="C1343" i="57" s="1"/>
  <c r="A1344" i="57"/>
  <c r="C1344" i="57" s="1"/>
  <c r="A1345" i="57"/>
  <c r="A1346" i="57"/>
  <c r="C1346" i="57" s="1"/>
  <c r="A1347" i="57"/>
  <c r="C1347" i="57" s="1"/>
  <c r="A1348" i="57"/>
  <c r="C1348" i="57" s="1"/>
  <c r="A1349" i="57"/>
  <c r="C1349" i="57" s="1"/>
  <c r="A1350" i="57"/>
  <c r="C1350" i="57" s="1"/>
  <c r="A1351" i="57"/>
  <c r="A1352" i="57"/>
  <c r="C1352" i="57" s="1"/>
  <c r="A1353" i="57"/>
  <c r="C1353" i="57" s="1"/>
  <c r="A1354" i="57"/>
  <c r="C1354" i="57" s="1"/>
  <c r="A1355" i="57"/>
  <c r="C1355" i="57" s="1"/>
  <c r="A1356" i="57"/>
  <c r="C1356" i="57" s="1"/>
  <c r="A1357" i="57"/>
  <c r="C1357" i="57" s="1"/>
  <c r="A1358" i="57"/>
  <c r="C1358" i="57" s="1"/>
  <c r="A1359" i="57"/>
  <c r="C1359" i="57" s="1"/>
  <c r="A1360" i="57"/>
  <c r="C1360" i="57" s="1"/>
  <c r="A1361" i="57"/>
  <c r="C1361" i="57" s="1"/>
  <c r="A1362" i="57"/>
  <c r="C1362" i="57" s="1"/>
  <c r="A1363" i="57"/>
  <c r="A1364" i="57"/>
  <c r="C1364" i="57" s="1"/>
  <c r="A1365" i="57"/>
  <c r="C1365" i="57" s="1"/>
  <c r="A1366" i="57"/>
  <c r="C1366" i="57" s="1"/>
  <c r="A1367" i="57"/>
  <c r="C1367" i="57" s="1"/>
  <c r="A1368" i="57"/>
  <c r="C1368" i="57" s="1"/>
  <c r="A1369" i="57"/>
  <c r="A1370" i="57"/>
  <c r="C1370" i="57" s="1"/>
  <c r="A1371" i="57"/>
  <c r="C1371" i="57" s="1"/>
  <c r="A1372" i="57"/>
  <c r="C1372" i="57" s="1"/>
  <c r="A1373" i="57"/>
  <c r="C1373" i="57" s="1"/>
  <c r="A1374" i="57"/>
  <c r="C1374" i="57" s="1"/>
  <c r="A1375" i="57"/>
  <c r="C1375" i="57" s="1"/>
  <c r="A1376" i="57"/>
  <c r="C1376" i="57" s="1"/>
  <c r="A1377" i="57"/>
  <c r="C1377" i="57" s="1"/>
  <c r="A1378" i="57"/>
  <c r="C1378" i="57" s="1"/>
  <c r="A1379" i="57"/>
  <c r="C1379" i="57" s="1"/>
  <c r="A1380" i="57"/>
  <c r="C1380" i="57" s="1"/>
  <c r="A1381" i="57"/>
  <c r="C1381" i="57" s="1"/>
  <c r="A1382" i="57"/>
  <c r="C1382" i="57" s="1"/>
  <c r="A1383" i="57"/>
  <c r="C1383" i="57" s="1"/>
  <c r="A1384" i="57"/>
  <c r="C1384" i="57" s="1"/>
  <c r="A1385" i="57"/>
  <c r="C1385" i="57" s="1"/>
  <c r="A1386" i="57"/>
  <c r="C1386" i="57" s="1"/>
  <c r="A1387" i="57"/>
  <c r="A1388" i="57"/>
  <c r="C1388" i="57" s="1"/>
  <c r="A1389" i="57"/>
  <c r="C1389" i="57" s="1"/>
  <c r="A1390" i="57"/>
  <c r="C1390" i="57" s="1"/>
  <c r="A1391" i="57"/>
  <c r="C1391" i="57" s="1"/>
  <c r="A1392" i="57"/>
  <c r="C1392" i="57" s="1"/>
  <c r="A1393" i="57"/>
  <c r="A1394" i="57"/>
  <c r="C1394" i="57" s="1"/>
  <c r="A1395" i="57"/>
  <c r="C1395" i="57" s="1"/>
  <c r="A1396" i="57"/>
  <c r="C1396" i="57" s="1"/>
  <c r="A1397" i="57"/>
  <c r="C1397" i="57" s="1"/>
  <c r="A1398" i="57"/>
  <c r="C1398" i="57" s="1"/>
  <c r="A1399" i="57"/>
  <c r="A1400" i="57"/>
  <c r="C1400" i="57" s="1"/>
  <c r="A1401" i="57"/>
  <c r="C1401" i="57" s="1"/>
  <c r="A1402" i="57"/>
  <c r="C1402" i="57" s="1"/>
  <c r="A1403" i="57"/>
  <c r="C1403" i="57" s="1"/>
  <c r="A1404" i="57"/>
  <c r="C1404" i="57" s="1"/>
  <c r="A1405" i="57"/>
  <c r="C1405" i="57" s="1"/>
  <c r="A1406" i="57"/>
  <c r="C1406" i="57" s="1"/>
  <c r="A1407" i="57"/>
  <c r="C1407" i="57" s="1"/>
  <c r="A1408" i="57"/>
  <c r="C1408" i="57" s="1"/>
  <c r="A1409" i="57"/>
  <c r="C1409" i="57" s="1"/>
  <c r="A1410" i="57"/>
  <c r="A1411" i="57"/>
  <c r="A1412" i="57"/>
  <c r="C1412" i="57" s="1"/>
  <c r="A1413" i="57"/>
  <c r="C1413" i="57" s="1"/>
  <c r="A1414" i="57"/>
  <c r="C1414" i="57" s="1"/>
  <c r="A1415" i="57"/>
  <c r="C1415" i="57" s="1"/>
  <c r="A1416" i="57"/>
  <c r="C1416" i="57" s="1"/>
  <c r="A1417" i="57"/>
  <c r="A1418" i="57"/>
  <c r="C1418" i="57" s="1"/>
  <c r="A1419" i="57"/>
  <c r="C1419" i="57" s="1"/>
  <c r="A1420" i="57"/>
  <c r="C1420" i="57" s="1"/>
  <c r="A1421" i="57"/>
  <c r="C1421" i="57" s="1"/>
  <c r="A1422" i="57"/>
  <c r="A1423" i="57"/>
  <c r="A1424" i="57"/>
  <c r="C1424" i="57" s="1"/>
  <c r="A1425" i="57"/>
  <c r="C1425" i="57" s="1"/>
  <c r="A1426" i="57"/>
  <c r="C1426" i="57" s="1"/>
  <c r="A1427" i="57"/>
  <c r="C1427" i="57" s="1"/>
  <c r="A1428" i="57"/>
  <c r="C1428" i="57" s="1"/>
  <c r="A1429" i="57"/>
  <c r="C1429" i="57" s="1"/>
  <c r="A1430" i="57"/>
  <c r="C1430" i="57" s="1"/>
  <c r="A1431" i="57"/>
  <c r="C1431" i="57" s="1"/>
  <c r="A1432" i="57"/>
  <c r="C1432" i="57" s="1"/>
  <c r="A1433" i="57"/>
  <c r="C1433" i="57" s="1"/>
  <c r="A1434" i="57"/>
  <c r="C1434" i="57" s="1"/>
  <c r="A1435" i="57"/>
  <c r="C1435" i="57" s="1"/>
  <c r="A1436" i="57"/>
  <c r="C1436" i="57" s="1"/>
  <c r="A1437" i="57"/>
  <c r="C1437" i="57" s="1"/>
  <c r="A1438" i="57"/>
  <c r="C1438" i="57" s="1"/>
  <c r="A1439" i="57"/>
  <c r="C1439" i="57" s="1"/>
  <c r="A1440" i="57"/>
  <c r="C1440" i="57" s="1"/>
  <c r="A1441" i="57"/>
  <c r="A1442" i="57"/>
  <c r="C1442" i="57" s="1"/>
  <c r="A1443" i="57"/>
  <c r="C1443" i="57" s="1"/>
  <c r="A1444" i="57"/>
  <c r="C1444" i="57" s="1"/>
  <c r="A1445" i="57"/>
  <c r="C1445" i="57" s="1"/>
  <c r="A11" i="57"/>
  <c r="C11" i="57" s="1"/>
  <c r="H12" i="57"/>
  <c r="H13" i="57"/>
  <c r="H14" i="57"/>
  <c r="H16" i="57"/>
  <c r="H2451" i="57" l="1"/>
  <c r="H2391" i="57"/>
  <c r="H2337" i="57"/>
  <c r="H2301" i="57"/>
  <c r="H2271" i="57"/>
  <c r="H2235" i="57"/>
  <c r="H2205" i="57"/>
  <c r="H2169" i="57"/>
  <c r="H2139" i="57"/>
  <c r="H2103" i="57"/>
  <c r="H2068" i="57"/>
  <c r="H1906" i="57"/>
  <c r="H1744" i="57"/>
  <c r="H2445" i="57"/>
  <c r="H2379" i="57"/>
  <c r="H2331" i="57"/>
  <c r="H2295" i="57"/>
  <c r="H2265" i="57"/>
  <c r="H2229" i="57"/>
  <c r="H2199" i="57"/>
  <c r="H2163" i="57"/>
  <c r="H2133" i="57"/>
  <c r="H2367" i="57"/>
  <c r="H2325" i="57"/>
  <c r="H2289" i="57"/>
  <c r="H2259" i="57"/>
  <c r="H2193" i="57"/>
  <c r="H2157" i="57"/>
  <c r="H2127" i="57"/>
  <c r="H2091" i="57"/>
  <c r="H1960" i="57"/>
  <c r="H1798" i="57"/>
  <c r="H2469" i="57"/>
  <c r="H2355" i="57"/>
  <c r="H2319" i="57"/>
  <c r="H2253" i="57"/>
  <c r="H2223" i="57"/>
  <c r="H2187" i="57"/>
  <c r="H2121" i="57"/>
  <c r="H2085" i="57"/>
  <c r="H1989" i="57"/>
  <c r="H2453" i="57"/>
  <c r="H2398" i="57"/>
  <c r="H2152" i="57"/>
  <c r="H2086" i="57"/>
  <c r="H2032" i="57"/>
  <c r="H1978" i="57"/>
  <c r="H1924" i="57"/>
  <c r="H1870" i="57"/>
  <c r="H1816" i="57"/>
  <c r="H1762" i="57"/>
  <c r="H1708" i="57"/>
  <c r="H2050" i="57"/>
  <c r="H1996" i="57"/>
  <c r="H1942" i="57"/>
  <c r="H1888" i="57"/>
  <c r="H1834" i="57"/>
  <c r="H1780" i="57"/>
  <c r="H1726" i="57"/>
  <c r="H2134" i="57"/>
  <c r="H2368" i="57"/>
  <c r="H2176" i="57"/>
  <c r="H2200" i="57"/>
  <c r="H2446" i="57"/>
  <c r="H2458" i="57"/>
  <c r="H2350" i="57"/>
  <c r="H2242" i="57"/>
  <c r="H2224" i="57"/>
  <c r="H2104" i="57"/>
  <c r="H2476" i="57"/>
  <c r="H2362" i="57"/>
  <c r="H2338" i="57"/>
  <c r="H2308" i="57"/>
  <c r="H2260" i="57"/>
  <c r="H2146" i="57"/>
  <c r="H2080" i="57"/>
  <c r="H2062" i="57"/>
  <c r="H2044" i="57"/>
  <c r="H2026" i="57"/>
  <c r="H2008" i="57"/>
  <c r="H1990" i="57"/>
  <c r="H1972" i="57"/>
  <c r="H1954" i="57"/>
  <c r="H1936" i="57"/>
  <c r="H1918" i="57"/>
  <c r="H1900" i="57"/>
  <c r="H1882" i="57"/>
  <c r="H1864" i="57"/>
  <c r="H1846" i="57"/>
  <c r="H1828" i="57"/>
  <c r="H1810" i="57"/>
  <c r="H1792" i="57"/>
  <c r="H1774" i="57"/>
  <c r="H1756" i="57"/>
  <c r="H1738" i="57"/>
  <c r="H1720" i="57"/>
  <c r="H1702" i="57"/>
  <c r="H2470" i="57"/>
  <c r="H2386" i="57"/>
  <c r="H2356" i="57"/>
  <c r="H2284" i="57"/>
  <c r="H2452" i="57"/>
  <c r="H2416" i="57"/>
  <c r="H2254" i="57"/>
  <c r="H2230" i="57"/>
  <c r="H2182" i="57"/>
  <c r="H2140" i="57"/>
  <c r="H2092" i="57"/>
  <c r="H2074" i="57"/>
  <c r="H2056" i="57"/>
  <c r="H2038" i="57"/>
  <c r="H2020" i="57"/>
  <c r="H2002" i="57"/>
  <c r="H1984" i="57"/>
  <c r="H1966" i="57"/>
  <c r="H1948" i="57"/>
  <c r="H1930" i="57"/>
  <c r="H1912" i="57"/>
  <c r="H1894" i="57"/>
  <c r="H1876" i="57"/>
  <c r="H1858" i="57"/>
  <c r="H1840" i="57"/>
  <c r="H1822" i="57"/>
  <c r="H1804" i="57"/>
  <c r="H1786" i="57"/>
  <c r="H1768" i="57"/>
  <c r="H1750" i="57"/>
  <c r="H1732" i="57"/>
  <c r="H1714" i="57"/>
  <c r="H1696" i="57"/>
  <c r="H58" i="57"/>
  <c r="H2464" i="57"/>
  <c r="H2374" i="57"/>
  <c r="H2296" i="57"/>
  <c r="H2110" i="57"/>
  <c r="H2417" i="57"/>
  <c r="H2387" i="57"/>
  <c r="H2345" i="57"/>
  <c r="H2459" i="57"/>
  <c r="H2315" i="57"/>
  <c r="H2381" i="57"/>
  <c r="H2309" i="57"/>
  <c r="H2384" i="57"/>
  <c r="H2366" i="57"/>
  <c r="H2186" i="57"/>
  <c r="H2420" i="57"/>
  <c r="H2348" i="57"/>
  <c r="H2330" i="57"/>
  <c r="H2312" i="57"/>
  <c r="H2474" i="57"/>
  <c r="H2396" i="57"/>
  <c r="H2360" i="57"/>
  <c r="H2294" i="57"/>
  <c r="H2144" i="57"/>
  <c r="H2324" i="57"/>
  <c r="H2276" i="57"/>
  <c r="H2258" i="57"/>
  <c r="H2126" i="57"/>
  <c r="H2468" i="57"/>
  <c r="H2432" i="57"/>
  <c r="H2402" i="57"/>
  <c r="H2216" i="57"/>
  <c r="H2138" i="57"/>
  <c r="H2120" i="57"/>
  <c r="H93" i="57"/>
  <c r="H2481" i="57"/>
  <c r="H2439" i="57"/>
  <c r="H2421" i="57"/>
  <c r="H2403" i="57"/>
  <c r="H2361" i="57"/>
  <c r="H2349" i="57"/>
  <c r="H2373" i="57"/>
  <c r="H2475" i="57"/>
  <c r="H2463" i="57"/>
  <c r="H2433" i="57"/>
  <c r="H2385" i="57"/>
  <c r="H2427" i="57"/>
  <c r="H2415" i="57"/>
  <c r="H2434" i="57"/>
  <c r="H2422" i="57"/>
  <c r="H2410" i="57"/>
  <c r="H2332" i="57"/>
  <c r="H2320" i="57"/>
  <c r="H2272" i="57"/>
  <c r="H2212" i="57"/>
  <c r="H2194" i="57"/>
  <c r="H2164" i="57"/>
  <c r="H2122" i="57"/>
  <c r="H2404" i="57"/>
  <c r="H2392" i="57"/>
  <c r="H2344" i="57"/>
  <c r="H2290" i="57"/>
  <c r="H2278" i="57"/>
  <c r="H2266" i="57"/>
  <c r="H2236" i="57"/>
  <c r="H2206" i="57"/>
  <c r="H2188" i="57"/>
  <c r="H2158" i="57"/>
  <c r="H2440" i="57"/>
  <c r="H2428" i="57"/>
  <c r="H2380" i="57"/>
  <c r="H2326" i="57"/>
  <c r="H2314" i="57"/>
  <c r="H2302" i="57"/>
  <c r="H2248" i="57"/>
  <c r="H2218" i="57"/>
  <c r="H2170" i="57"/>
  <c r="H2128" i="57"/>
  <c r="H2116" i="57"/>
  <c r="H2098" i="57"/>
  <c r="H628" i="57"/>
  <c r="H1206" i="57"/>
  <c r="H2137" i="57"/>
  <c r="H2125" i="57"/>
  <c r="H2113" i="57"/>
  <c r="H2101" i="57"/>
  <c r="H2089" i="57"/>
  <c r="H2077" i="57"/>
  <c r="H2065" i="57"/>
  <c r="H2053" i="57"/>
  <c r="H2041" i="57"/>
  <c r="H2029" i="57"/>
  <c r="H2017" i="57"/>
  <c r="H2005" i="57"/>
  <c r="H1993" i="57"/>
  <c r="H1981" i="57"/>
  <c r="H1969" i="57"/>
  <c r="H1957" i="57"/>
  <c r="H1945" i="57"/>
  <c r="H1933" i="57"/>
  <c r="H1921" i="57"/>
  <c r="H2143" i="57"/>
  <c r="H2131" i="57"/>
  <c r="H2107" i="57"/>
  <c r="H2095" i="57"/>
  <c r="H2083" i="57"/>
  <c r="H2071" i="57"/>
  <c r="H2059" i="57"/>
  <c r="H2047" i="57"/>
  <c r="H2035" i="57"/>
  <c r="H2023" i="57"/>
  <c r="H2011" i="57"/>
  <c r="H1999" i="57"/>
  <c r="H1987" i="57"/>
  <c r="H1975" i="57"/>
  <c r="H1963" i="57"/>
  <c r="H1951" i="57"/>
  <c r="H1939" i="57"/>
  <c r="H1927" i="57"/>
  <c r="H1915" i="57"/>
  <c r="H2460" i="57"/>
  <c r="H2424" i="57"/>
  <c r="H2388" i="57"/>
  <c r="H2352" i="57"/>
  <c r="H2316" i="57"/>
  <c r="H1226" i="57"/>
  <c r="H2394" i="57"/>
  <c r="H2466" i="57"/>
  <c r="H2358" i="57"/>
  <c r="H2322" i="57"/>
  <c r="H891" i="57"/>
  <c r="H63" i="57"/>
  <c r="H2480" i="57"/>
  <c r="H2472" i="57"/>
  <c r="H2465" i="57"/>
  <c r="H2444" i="57"/>
  <c r="H2436" i="57"/>
  <c r="H2429" i="57"/>
  <c r="H2408" i="57"/>
  <c r="H2400" i="57"/>
  <c r="H2393" i="57"/>
  <c r="H2372" i="57"/>
  <c r="H2364" i="57"/>
  <c r="H2357" i="57"/>
  <c r="H2336" i="57"/>
  <c r="H2328" i="57"/>
  <c r="H2321" i="57"/>
  <c r="H2300" i="57"/>
  <c r="H2292" i="57"/>
  <c r="H2264" i="57"/>
  <c r="H2204" i="57"/>
  <c r="H2132" i="57"/>
  <c r="H2430" i="57"/>
  <c r="H2286" i="57"/>
  <c r="H2478" i="57"/>
  <c r="H2471" i="57"/>
  <c r="H2450" i="57"/>
  <c r="H2442" i="57"/>
  <c r="H2435" i="57"/>
  <c r="H2414" i="57"/>
  <c r="H2406" i="57"/>
  <c r="H2399" i="57"/>
  <c r="H2378" i="57"/>
  <c r="H2370" i="57"/>
  <c r="H2363" i="57"/>
  <c r="H2342" i="57"/>
  <c r="H2334" i="57"/>
  <c r="H2327" i="57"/>
  <c r="H2306" i="57"/>
  <c r="H2298" i="57"/>
  <c r="H2291" i="57"/>
  <c r="H2270" i="57"/>
  <c r="H2252" i="57"/>
  <c r="H2222" i="57"/>
  <c r="H2180" i="57"/>
  <c r="H2150" i="57"/>
  <c r="H69" i="57"/>
  <c r="H45" i="57"/>
  <c r="H2477" i="57"/>
  <c r="H2448" i="57"/>
  <c r="H2441" i="57"/>
  <c r="H2412" i="57"/>
  <c r="H2405" i="57"/>
  <c r="H2376" i="57"/>
  <c r="H2369" i="57"/>
  <c r="H2340" i="57"/>
  <c r="H2333" i="57"/>
  <c r="H2304" i="57"/>
  <c r="H2297" i="57"/>
  <c r="C2246" i="57"/>
  <c r="H2246" i="57"/>
  <c r="C2234" i="57"/>
  <c r="H2234" i="57"/>
  <c r="C2228" i="57"/>
  <c r="H2228" i="57"/>
  <c r="C2210" i="57"/>
  <c r="H2210" i="57"/>
  <c r="C2198" i="57"/>
  <c r="H2198" i="57"/>
  <c r="C2192" i="57"/>
  <c r="H2192" i="57"/>
  <c r="C2174" i="57"/>
  <c r="H2174" i="57"/>
  <c r="C2162" i="57"/>
  <c r="H2162" i="57"/>
  <c r="C2156" i="57"/>
  <c r="H2156" i="57"/>
  <c r="C2114" i="57"/>
  <c r="H2114" i="57"/>
  <c r="C2108" i="57"/>
  <c r="H2108" i="57"/>
  <c r="C2102" i="57"/>
  <c r="H2102" i="57"/>
  <c r="C2096" i="57"/>
  <c r="H2096" i="57"/>
  <c r="C2090" i="57"/>
  <c r="H2090" i="57"/>
  <c r="C2084" i="57"/>
  <c r="H2084" i="57"/>
  <c r="C2078" i="57"/>
  <c r="H2078" i="57"/>
  <c r="C2072" i="57"/>
  <c r="H2072" i="57"/>
  <c r="C2066" i="57"/>
  <c r="H2066" i="57"/>
  <c r="C2060" i="57"/>
  <c r="H2060" i="57"/>
  <c r="C2054" i="57"/>
  <c r="H2054" i="57"/>
  <c r="C2048" i="57"/>
  <c r="H2048" i="57"/>
  <c r="C2042" i="57"/>
  <c r="H2042" i="57"/>
  <c r="C2036" i="57"/>
  <c r="H2036" i="57"/>
  <c r="C2030" i="57"/>
  <c r="H2030" i="57"/>
  <c r="C2024" i="57"/>
  <c r="H2024" i="57"/>
  <c r="C2018" i="57"/>
  <c r="H2018" i="57"/>
  <c r="C2012" i="57"/>
  <c r="H2012" i="57"/>
  <c r="C2006" i="57"/>
  <c r="H2006" i="57"/>
  <c r="C2000" i="57"/>
  <c r="H2000" i="57"/>
  <c r="C1994" i="57"/>
  <c r="H1994" i="57"/>
  <c r="C1988" i="57"/>
  <c r="H1988" i="57"/>
  <c r="C1982" i="57"/>
  <c r="H1982" i="57"/>
  <c r="C1976" i="57"/>
  <c r="H1976" i="57"/>
  <c r="C1970" i="57"/>
  <c r="H1970" i="57"/>
  <c r="C1964" i="57"/>
  <c r="H1964" i="57"/>
  <c r="C1958" i="57"/>
  <c r="H1958" i="57"/>
  <c r="C1952" i="57"/>
  <c r="H1952" i="57"/>
  <c r="C1946" i="57"/>
  <c r="H1946" i="57"/>
  <c r="C1940" i="57"/>
  <c r="H1940" i="57"/>
  <c r="C1934" i="57"/>
  <c r="H1934" i="57"/>
  <c r="C1928" i="57"/>
  <c r="H1928" i="57"/>
  <c r="C1922" i="57"/>
  <c r="H1922" i="57"/>
  <c r="C1916" i="57"/>
  <c r="H1916" i="57"/>
  <c r="C1910" i="57"/>
  <c r="H1910" i="57"/>
  <c r="C1904" i="57"/>
  <c r="H1904" i="57"/>
  <c r="C1898" i="57"/>
  <c r="H1898" i="57"/>
  <c r="C1892" i="57"/>
  <c r="H1892" i="57"/>
  <c r="C1886" i="57"/>
  <c r="H1886" i="57"/>
  <c r="C1880" i="57"/>
  <c r="H1880" i="57"/>
  <c r="C1874" i="57"/>
  <c r="H1874" i="57"/>
  <c r="C1868" i="57"/>
  <c r="H1868" i="57"/>
  <c r="C1862" i="57"/>
  <c r="H1862" i="57"/>
  <c r="C1856" i="57"/>
  <c r="H1856" i="57"/>
  <c r="C1850" i="57"/>
  <c r="H1850" i="57"/>
  <c r="C1844" i="57"/>
  <c r="H1844" i="57"/>
  <c r="C1838" i="57"/>
  <c r="H1838" i="57"/>
  <c r="C1832" i="57"/>
  <c r="H1832" i="57"/>
  <c r="C1826" i="57"/>
  <c r="H1826" i="57"/>
  <c r="C1820" i="57"/>
  <c r="H1820" i="57"/>
  <c r="C1814" i="57"/>
  <c r="H1814" i="57"/>
  <c r="C1808" i="57"/>
  <c r="H1808" i="57"/>
  <c r="C1802" i="57"/>
  <c r="H1802" i="57"/>
  <c r="C1796" i="57"/>
  <c r="H1796" i="57"/>
  <c r="C1790" i="57"/>
  <c r="H1790" i="57"/>
  <c r="C1784" i="57"/>
  <c r="H1784" i="57"/>
  <c r="C1778" i="57"/>
  <c r="H1778" i="57"/>
  <c r="C1772" i="57"/>
  <c r="H1772" i="57"/>
  <c r="C1766" i="57"/>
  <c r="H1766" i="57"/>
  <c r="C1760" i="57"/>
  <c r="H1760" i="57"/>
  <c r="C1754" i="57"/>
  <c r="H1754" i="57"/>
  <c r="C1748" i="57"/>
  <c r="H1748" i="57"/>
  <c r="C1742" i="57"/>
  <c r="H1742" i="57"/>
  <c r="C1736" i="57"/>
  <c r="H1736" i="57"/>
  <c r="C1730" i="57"/>
  <c r="H1730" i="57"/>
  <c r="C1724" i="57"/>
  <c r="H1724" i="57"/>
  <c r="C1718" i="57"/>
  <c r="H1718" i="57"/>
  <c r="C1712" i="57"/>
  <c r="H1712" i="57"/>
  <c r="C1706" i="57"/>
  <c r="H1706" i="57"/>
  <c r="C1700" i="57"/>
  <c r="H1700" i="57"/>
  <c r="C1694" i="57"/>
  <c r="H1694" i="57"/>
  <c r="H351" i="57"/>
  <c r="H1245" i="57"/>
  <c r="H243" i="57"/>
  <c r="H2462" i="57"/>
  <c r="H2454" i="57"/>
  <c r="H2447" i="57"/>
  <c r="H2426" i="57"/>
  <c r="H2418" i="57"/>
  <c r="H2411" i="57"/>
  <c r="H2390" i="57"/>
  <c r="H2382" i="57"/>
  <c r="H2375" i="57"/>
  <c r="H2354" i="57"/>
  <c r="H2346" i="57"/>
  <c r="H2339" i="57"/>
  <c r="H2318" i="57"/>
  <c r="H2310" i="57"/>
  <c r="H2303" i="57"/>
  <c r="H2282" i="57"/>
  <c r="H2240" i="57"/>
  <c r="H2168" i="57"/>
  <c r="H2479" i="57"/>
  <c r="H2473" i="57"/>
  <c r="H2467" i="57"/>
  <c r="H2461" i="57"/>
  <c r="H2455" i="57"/>
  <c r="H2449" i="57"/>
  <c r="H2443" i="57"/>
  <c r="H2437" i="57"/>
  <c r="H2431" i="57"/>
  <c r="H2425" i="57"/>
  <c r="H2419" i="57"/>
  <c r="H2413" i="57"/>
  <c r="H2407" i="57"/>
  <c r="H2401" i="57"/>
  <c r="H2395" i="57"/>
  <c r="H2389" i="57"/>
  <c r="H2383" i="57"/>
  <c r="H2377" i="57"/>
  <c r="H2371" i="57"/>
  <c r="H2365" i="57"/>
  <c r="H2359" i="57"/>
  <c r="H2353" i="57"/>
  <c r="H2347" i="57"/>
  <c r="H2341" i="57"/>
  <c r="H2335" i="57"/>
  <c r="H2329" i="57"/>
  <c r="H2323" i="57"/>
  <c r="H2317" i="57"/>
  <c r="H2311" i="57"/>
  <c r="H2305" i="57"/>
  <c r="H2299" i="57"/>
  <c r="H2293" i="57"/>
  <c r="H2287" i="57"/>
  <c r="H2281" i="57"/>
  <c r="H2275" i="57"/>
  <c r="H2269" i="57"/>
  <c r="H2263" i="57"/>
  <c r="H2257" i="57"/>
  <c r="H2251" i="57"/>
  <c r="H2245" i="57"/>
  <c r="H2239" i="57"/>
  <c r="H2233" i="57"/>
  <c r="H2227" i="57"/>
  <c r="H2221" i="57"/>
  <c r="H2215" i="57"/>
  <c r="H2209" i="57"/>
  <c r="H2203" i="57"/>
  <c r="H2197" i="57"/>
  <c r="H2191" i="57"/>
  <c r="H2185" i="57"/>
  <c r="H2179" i="57"/>
  <c r="H2173" i="57"/>
  <c r="H2167" i="57"/>
  <c r="H2161" i="57"/>
  <c r="H2155" i="57"/>
  <c r="H2149" i="57"/>
  <c r="H2119" i="57"/>
  <c r="H130" i="57"/>
  <c r="H496" i="57"/>
  <c r="H82" i="57"/>
  <c r="H328" i="57"/>
  <c r="H610" i="57"/>
  <c r="H472" i="57"/>
  <c r="H52" i="57"/>
  <c r="H784" i="57"/>
  <c r="H598" i="57"/>
  <c r="H412" i="57"/>
  <c r="H232" i="57"/>
  <c r="H100" i="57"/>
  <c r="H70" i="57"/>
  <c r="H46" i="57"/>
  <c r="H1156" i="57"/>
  <c r="H772" i="57"/>
  <c r="H556" i="57"/>
  <c r="H370" i="57"/>
  <c r="H220" i="57"/>
  <c r="H94" i="57"/>
  <c r="H880" i="57"/>
  <c r="H76" i="57"/>
  <c r="H940" i="57"/>
  <c r="H760" i="57"/>
  <c r="H526" i="57"/>
  <c r="H352" i="57"/>
  <c r="H184" i="57"/>
  <c r="H64" i="57"/>
  <c r="H40" i="57"/>
  <c r="H106" i="57"/>
  <c r="H1312" i="57"/>
  <c r="H916" i="57"/>
  <c r="H724" i="57"/>
  <c r="H514" i="57"/>
  <c r="H160" i="57"/>
  <c r="H88" i="57"/>
  <c r="H34" i="57"/>
  <c r="AQ6" i="50"/>
  <c r="AP7" i="50" s="1"/>
  <c r="AQ7" i="50" s="1"/>
  <c r="B18" i="61"/>
  <c r="C18" i="61" s="1" a="1"/>
  <c r="C18" i="61" s="1"/>
  <c r="B40" i="61"/>
  <c r="C40" i="61" s="1" a="1"/>
  <c r="C40" i="61" s="1"/>
  <c r="B39" i="61"/>
  <c r="C39" i="61" s="1" a="1"/>
  <c r="C39" i="61" s="1"/>
  <c r="B53" i="61"/>
  <c r="C53" i="61" s="1" a="1"/>
  <c r="C53" i="61" s="1"/>
  <c r="B58" i="61"/>
  <c r="C58" i="61" s="1" a="1"/>
  <c r="C58" i="61" s="1"/>
  <c r="C2280" i="57"/>
  <c r="C2274" i="57"/>
  <c r="C2268" i="57"/>
  <c r="C2262" i="57"/>
  <c r="C2256" i="57"/>
  <c r="C2250" i="57"/>
  <c r="C2244" i="57"/>
  <c r="C2238" i="57"/>
  <c r="C2232" i="57"/>
  <c r="C2226" i="57"/>
  <c r="C2220" i="57"/>
  <c r="C2214" i="57"/>
  <c r="C2208" i="57"/>
  <c r="C2202" i="57"/>
  <c r="C2196" i="57"/>
  <c r="C2190" i="57"/>
  <c r="C2184" i="57"/>
  <c r="C2178" i="57"/>
  <c r="C2172" i="57"/>
  <c r="C2166" i="57"/>
  <c r="C2160" i="57"/>
  <c r="C2154" i="57"/>
  <c r="C2148" i="57"/>
  <c r="C2142" i="57"/>
  <c r="C2136" i="57"/>
  <c r="C2130" i="57"/>
  <c r="C2124" i="57"/>
  <c r="C2118" i="57"/>
  <c r="C2112" i="57"/>
  <c r="C2106" i="57"/>
  <c r="C2100" i="57"/>
  <c r="C2094" i="57"/>
  <c r="C2088" i="57"/>
  <c r="C2082" i="57"/>
  <c r="C2076" i="57"/>
  <c r="C2070" i="57"/>
  <c r="C2064" i="57"/>
  <c r="C2058" i="57"/>
  <c r="C2052" i="57"/>
  <c r="C2046" i="57"/>
  <c r="C2040" i="57"/>
  <c r="C2034" i="57"/>
  <c r="C2028" i="57"/>
  <c r="C2022" i="57"/>
  <c r="C2016" i="57"/>
  <c r="C2010" i="57"/>
  <c r="C2004" i="57"/>
  <c r="C1998" i="57"/>
  <c r="C1992" i="57"/>
  <c r="C1986" i="57"/>
  <c r="C1980" i="57"/>
  <c r="C1974" i="57"/>
  <c r="C1968" i="57"/>
  <c r="C1962" i="57"/>
  <c r="C1956" i="57"/>
  <c r="C1950" i="57"/>
  <c r="C1944" i="57"/>
  <c r="C1938" i="57"/>
  <c r="C1932" i="57"/>
  <c r="C1926" i="57"/>
  <c r="C1920" i="57"/>
  <c r="C1914" i="57"/>
  <c r="C1908" i="57"/>
  <c r="C1902" i="57"/>
  <c r="C1896" i="57"/>
  <c r="C1890" i="57"/>
  <c r="C1884" i="57"/>
  <c r="C1878" i="57"/>
  <c r="C1872" i="57"/>
  <c r="C1866" i="57"/>
  <c r="C1860" i="57"/>
  <c r="C1854" i="57"/>
  <c r="C1848" i="57"/>
  <c r="C1842" i="57"/>
  <c r="C1836" i="57"/>
  <c r="C1830" i="57"/>
  <c r="C1824" i="57"/>
  <c r="C1818" i="57"/>
  <c r="C1812" i="57"/>
  <c r="C1806" i="57"/>
  <c r="C1800" i="57"/>
  <c r="C1794" i="57"/>
  <c r="C1788" i="57"/>
  <c r="C1782" i="57"/>
  <c r="C1776" i="57"/>
  <c r="C1770" i="57"/>
  <c r="C1764" i="57"/>
  <c r="C1758" i="57"/>
  <c r="C1752" i="57"/>
  <c r="C1746" i="57"/>
  <c r="C1740" i="57"/>
  <c r="C1734" i="57"/>
  <c r="C1728" i="57"/>
  <c r="C1722" i="57"/>
  <c r="C1716" i="57"/>
  <c r="C1710" i="57"/>
  <c r="C1704" i="57"/>
  <c r="C1698" i="57"/>
  <c r="C1692" i="57"/>
  <c r="C1686" i="57"/>
  <c r="C1680" i="57"/>
  <c r="C1674" i="57"/>
  <c r="C1668" i="57"/>
  <c r="C1662" i="57"/>
  <c r="C1656" i="57"/>
  <c r="C1650" i="57"/>
  <c r="C1644" i="57"/>
  <c r="C1638" i="57"/>
  <c r="C1632" i="57"/>
  <c r="C1626" i="57"/>
  <c r="C1620" i="57"/>
  <c r="C1614" i="57"/>
  <c r="C1608" i="57"/>
  <c r="C1602" i="57"/>
  <c r="C1596" i="57"/>
  <c r="C1590" i="57"/>
  <c r="C1584" i="57"/>
  <c r="C1578" i="57"/>
  <c r="C1572" i="57"/>
  <c r="C1566" i="57"/>
  <c r="C1560" i="57"/>
  <c r="C1554" i="57"/>
  <c r="C1548" i="57"/>
  <c r="C1542" i="57"/>
  <c r="C1536" i="57"/>
  <c r="C1530" i="57"/>
  <c r="C1524" i="57"/>
  <c r="C1518" i="57"/>
  <c r="C1512" i="57"/>
  <c r="C1506" i="57"/>
  <c r="C1500" i="57"/>
  <c r="C1494" i="57"/>
  <c r="C1488" i="57"/>
  <c r="C1482" i="57"/>
  <c r="C1476" i="57"/>
  <c r="C1470" i="57"/>
  <c r="C1464" i="57"/>
  <c r="C1458" i="57"/>
  <c r="C2491" i="57"/>
  <c r="C2485" i="57"/>
  <c r="C2508" i="57"/>
  <c r="C2502" i="57"/>
  <c r="C2496" i="57"/>
  <c r="C2285" i="57"/>
  <c r="C2279" i="57"/>
  <c r="C2273" i="57"/>
  <c r="C2267" i="57"/>
  <c r="C2261" i="57"/>
  <c r="C2255" i="57"/>
  <c r="C2249" i="57"/>
  <c r="C2243" i="57"/>
  <c r="C2237" i="57"/>
  <c r="C2231" i="57"/>
  <c r="C2225" i="57"/>
  <c r="C2219" i="57"/>
  <c r="C2213" i="57"/>
  <c r="C2207" i="57"/>
  <c r="C2201" i="57"/>
  <c r="C2195" i="57"/>
  <c r="C2189" i="57"/>
  <c r="C2183" i="57"/>
  <c r="C2177" i="57"/>
  <c r="C2171" i="57"/>
  <c r="C2165" i="57"/>
  <c r="C2159" i="57"/>
  <c r="C2153" i="57"/>
  <c r="C2147" i="57"/>
  <c r="C2141" i="57"/>
  <c r="C2135" i="57"/>
  <c r="C2129" i="57"/>
  <c r="C2123" i="57"/>
  <c r="C2117" i="57"/>
  <c r="C2111" i="57"/>
  <c r="C2105" i="57"/>
  <c r="C2099" i="57"/>
  <c r="C2093" i="57"/>
  <c r="C2087" i="57"/>
  <c r="C2081" i="57"/>
  <c r="C2075" i="57"/>
  <c r="C2069" i="57"/>
  <c r="C2063" i="57"/>
  <c r="C2057" i="57"/>
  <c r="C2051" i="57"/>
  <c r="C2045" i="57"/>
  <c r="C2039" i="57"/>
  <c r="C2033" i="57"/>
  <c r="C2027" i="57"/>
  <c r="C2021" i="57"/>
  <c r="C2015" i="57"/>
  <c r="C2009" i="57"/>
  <c r="C2003" i="57"/>
  <c r="C1997" i="57"/>
  <c r="C1991" i="57"/>
  <c r="C1985" i="57"/>
  <c r="C1979" i="57"/>
  <c r="C1973" i="57"/>
  <c r="C1967" i="57"/>
  <c r="C1961" i="57"/>
  <c r="C1955" i="57"/>
  <c r="C1949" i="57"/>
  <c r="C1943" i="57"/>
  <c r="C1937" i="57"/>
  <c r="C1931" i="57"/>
  <c r="C1925" i="57"/>
  <c r="C1919" i="57"/>
  <c r="C1913" i="57"/>
  <c r="C1907" i="57"/>
  <c r="C1901" i="57"/>
  <c r="C1895" i="57"/>
  <c r="C1889" i="57"/>
  <c r="C1883" i="57"/>
  <c r="C1877" i="57"/>
  <c r="C1871" i="57"/>
  <c r="C1865" i="57"/>
  <c r="C1859" i="57"/>
  <c r="C1853" i="57"/>
  <c r="C1847" i="57"/>
  <c r="C1841" i="57"/>
  <c r="C1835" i="57"/>
  <c r="C1829" i="57"/>
  <c r="C1823" i="57"/>
  <c r="C1817" i="57"/>
  <c r="C1811" i="57"/>
  <c r="C1805" i="57"/>
  <c r="C1799" i="57"/>
  <c r="C1793" i="57"/>
  <c r="C1787" i="57"/>
  <c r="C1781" i="57"/>
  <c r="C1775" i="57"/>
  <c r="C1769" i="57"/>
  <c r="C1763" i="57"/>
  <c r="C1757" i="57"/>
  <c r="C1751" i="57"/>
  <c r="C1745" i="57"/>
  <c r="C1739" i="57"/>
  <c r="C1733" i="57"/>
  <c r="C1727" i="57"/>
  <c r="C1721" i="57"/>
  <c r="C1715" i="57"/>
  <c r="C1709" i="57"/>
  <c r="C1703" i="57"/>
  <c r="C1697" i="57"/>
  <c r="C1691" i="57"/>
  <c r="C1685" i="57"/>
  <c r="C1679" i="57"/>
  <c r="C1673" i="57"/>
  <c r="C1667" i="57"/>
  <c r="C1661" i="57"/>
  <c r="C1655" i="57"/>
  <c r="C1649" i="57"/>
  <c r="C1643" i="57"/>
  <c r="C1637" i="57"/>
  <c r="C1631" i="57"/>
  <c r="C1625" i="57"/>
  <c r="C1619" i="57"/>
  <c r="C1613" i="57"/>
  <c r="C1607" i="57"/>
  <c r="C1601" i="57"/>
  <c r="C1595" i="57"/>
  <c r="C1589" i="57"/>
  <c r="C1583" i="57"/>
  <c r="C1577" i="57"/>
  <c r="C1571" i="57"/>
  <c r="C1565" i="57"/>
  <c r="C1559" i="57"/>
  <c r="C1553" i="57"/>
  <c r="C1547" i="57"/>
  <c r="C1541" i="57"/>
  <c r="C1535" i="57"/>
  <c r="C1529" i="57"/>
  <c r="C1523" i="57"/>
  <c r="C1517" i="57"/>
  <c r="C1511" i="57"/>
  <c r="C1505" i="57"/>
  <c r="C1499" i="57"/>
  <c r="C1493" i="57"/>
  <c r="C1487" i="57"/>
  <c r="C1481" i="57"/>
  <c r="C1475" i="57"/>
  <c r="C1469" i="57"/>
  <c r="C1463" i="57"/>
  <c r="C1457" i="57"/>
  <c r="C2490" i="57"/>
  <c r="C2484" i="57"/>
  <c r="C2507" i="57"/>
  <c r="C2501" i="57"/>
  <c r="C2495" i="57"/>
  <c r="Y38" i="50"/>
  <c r="Y12" i="50" s="1"/>
  <c r="E35" i="50"/>
  <c r="Y36" i="50"/>
  <c r="Y10" i="50" s="1"/>
  <c r="E34" i="50"/>
  <c r="S6" i="50" a="1"/>
  <c r="S6" i="50" s="1"/>
  <c r="Q30" i="50" s="1" a="1"/>
  <c r="Q30" i="50" s="1"/>
  <c r="Q32" i="50" s="1"/>
  <c r="Y34" i="50"/>
  <c r="E33" i="50"/>
  <c r="AA6" i="50" a="1"/>
  <c r="AA6" i="50" s="1"/>
  <c r="AB6" i="50" s="1" a="1"/>
  <c r="AB6" i="50" s="1"/>
  <c r="Y50" i="50" s="1" a="1"/>
  <c r="Y50" i="50" s="1"/>
  <c r="Y40" i="50"/>
  <c r="Y42" i="50"/>
  <c r="H2499" i="57"/>
  <c r="H927" i="57"/>
  <c r="H777" i="57"/>
  <c r="BB8" i="40" a="1"/>
  <c r="BB8" i="40" s="1"/>
  <c r="CA8" i="40" s="1"/>
  <c r="H813" i="57"/>
  <c r="H711" i="57"/>
  <c r="H1353" i="57"/>
  <c r="H639" i="57"/>
  <c r="C1909" i="57"/>
  <c r="C1903" i="57"/>
  <c r="C1897" i="57"/>
  <c r="C1891" i="57"/>
  <c r="C1885" i="57"/>
  <c r="C1879" i="57"/>
  <c r="C1873" i="57"/>
  <c r="C1867" i="57"/>
  <c r="C1861" i="57"/>
  <c r="C1855" i="57"/>
  <c r="C1849" i="57"/>
  <c r="C1843" i="57"/>
  <c r="C1837" i="57"/>
  <c r="C1831" i="57"/>
  <c r="C1825" i="57"/>
  <c r="C1819" i="57"/>
  <c r="C1813" i="57"/>
  <c r="C1807" i="57"/>
  <c r="C1801" i="57"/>
  <c r="C1795" i="57"/>
  <c r="C1789" i="57"/>
  <c r="C1783" i="57"/>
  <c r="C1777" i="57"/>
  <c r="C1771" i="57"/>
  <c r="C1765" i="57"/>
  <c r="C1759" i="57"/>
  <c r="C1753" i="57"/>
  <c r="C1747" i="57"/>
  <c r="C1741" i="57"/>
  <c r="C1735" i="57"/>
  <c r="C1729" i="57"/>
  <c r="C1723" i="57"/>
  <c r="C1717" i="57"/>
  <c r="C1711" i="57"/>
  <c r="C1705" i="57"/>
  <c r="C1699" i="57"/>
  <c r="C1693" i="57"/>
  <c r="C1687" i="57"/>
  <c r="C1681" i="57"/>
  <c r="C1675" i="57"/>
  <c r="C1669" i="57"/>
  <c r="C1663" i="57"/>
  <c r="C1657" i="57"/>
  <c r="C1651" i="57"/>
  <c r="C1645" i="57"/>
  <c r="C1639" i="57"/>
  <c r="C1633" i="57"/>
  <c r="C1627" i="57"/>
  <c r="C1621" i="57"/>
  <c r="C1615" i="57"/>
  <c r="C1609" i="57"/>
  <c r="C1603" i="57"/>
  <c r="C1597" i="57"/>
  <c r="C1591" i="57"/>
  <c r="C1585" i="57"/>
  <c r="C1579" i="57"/>
  <c r="C1573" i="57"/>
  <c r="C1567" i="57"/>
  <c r="C1561" i="57"/>
  <c r="C1555" i="57"/>
  <c r="C1549" i="57"/>
  <c r="C1543" i="57"/>
  <c r="C1537" i="57"/>
  <c r="C1531" i="57"/>
  <c r="C1525" i="57"/>
  <c r="C1519" i="57"/>
  <c r="C1513" i="57"/>
  <c r="C1507" i="57"/>
  <c r="C1501" i="57"/>
  <c r="C1495" i="57"/>
  <c r="C1489" i="57"/>
  <c r="C1483" i="57"/>
  <c r="C1477" i="57"/>
  <c r="C1471" i="57"/>
  <c r="C1465" i="57"/>
  <c r="C1459" i="57"/>
  <c r="C2492" i="57"/>
  <c r="C2486" i="57"/>
  <c r="C2510" i="57"/>
  <c r="C2504" i="57"/>
  <c r="C2498" i="57"/>
  <c r="C15" i="57"/>
  <c r="B46" i="61"/>
  <c r="C46" i="61" s="1" a="1"/>
  <c r="C46" i="61" s="1"/>
  <c r="B36" i="61"/>
  <c r="C36" i="61" s="1" a="1"/>
  <c r="C36" i="61" s="1"/>
  <c r="H524" i="57"/>
  <c r="H902" i="57"/>
  <c r="B30" i="61"/>
  <c r="C30" i="61" s="1" a="1"/>
  <c r="C30" i="61" s="1"/>
  <c r="H1046" i="57"/>
  <c r="H740" i="57"/>
  <c r="H308" i="57"/>
  <c r="B32" i="61"/>
  <c r="C32" i="61" s="1" a="1"/>
  <c r="C32" i="61" s="1"/>
  <c r="H1136" i="57"/>
  <c r="H956" i="57"/>
  <c r="H1298" i="57"/>
  <c r="H1208" i="57"/>
  <c r="H1132" i="57"/>
  <c r="H1042" i="57"/>
  <c r="H266" i="57"/>
  <c r="H200" i="57"/>
  <c r="H128" i="57"/>
  <c r="H92" i="57"/>
  <c r="H1280" i="57"/>
  <c r="H1100" i="57"/>
  <c r="H1028" i="57"/>
  <c r="H938" i="57"/>
  <c r="H884" i="57"/>
  <c r="H122" i="57"/>
  <c r="H1352" i="57"/>
  <c r="H1262" i="57"/>
  <c r="H1172" i="57"/>
  <c r="H1096" i="57"/>
  <c r="H1010" i="57"/>
  <c r="H662" i="57"/>
  <c r="H236" i="57"/>
  <c r="H164" i="57"/>
  <c r="H62" i="57"/>
  <c r="H1334" i="57"/>
  <c r="H992" i="57"/>
  <c r="H770" i="57"/>
  <c r="H446" i="57"/>
  <c r="H1082" i="57"/>
  <c r="H920" i="57"/>
  <c r="H866" i="57"/>
  <c r="H554" i="57"/>
  <c r="H338" i="57"/>
  <c r="H1316" i="57"/>
  <c r="H1244" i="57"/>
  <c r="H1154" i="57"/>
  <c r="H1064" i="57"/>
  <c r="H974" i="57"/>
  <c r="H848" i="57"/>
  <c r="H632" i="57"/>
  <c r="H416" i="57"/>
  <c r="H230" i="57"/>
  <c r="H158" i="57"/>
  <c r="H1372" i="57"/>
  <c r="H1370" i="57"/>
  <c r="H1442" i="57"/>
  <c r="H1317" i="57"/>
  <c r="H1258" i="57"/>
  <c r="H1190" i="57"/>
  <c r="H1118" i="57"/>
  <c r="H1388" i="57"/>
  <c r="H1116" i="57"/>
  <c r="H817" i="57"/>
  <c r="H402" i="57"/>
  <c r="H66" i="57"/>
  <c r="H1424" i="57"/>
  <c r="H1348" i="57"/>
  <c r="H1406" i="57"/>
  <c r="H403" i="57"/>
  <c r="H1207" i="57"/>
  <c r="H1249" i="57"/>
  <c r="H991" i="57"/>
  <c r="H205" i="57"/>
  <c r="C1441" i="57"/>
  <c r="H1441" i="57"/>
  <c r="C1417" i="57"/>
  <c r="H1417" i="57"/>
  <c r="C1393" i="57"/>
  <c r="H1393" i="57"/>
  <c r="C1369" i="57"/>
  <c r="H1369" i="57"/>
  <c r="C1285" i="57"/>
  <c r="H1285" i="57"/>
  <c r="C1213" i="57"/>
  <c r="H1213" i="57"/>
  <c r="C1171" i="57"/>
  <c r="H1171" i="57"/>
  <c r="C1147" i="57"/>
  <c r="H1147" i="57"/>
  <c r="C1123" i="57"/>
  <c r="H1123" i="57"/>
  <c r="C1105" i="57"/>
  <c r="H1105" i="57"/>
  <c r="C1075" i="57"/>
  <c r="H1075" i="57"/>
  <c r="C1045" i="57"/>
  <c r="H1045" i="57"/>
  <c r="C997" i="57"/>
  <c r="H997" i="57"/>
  <c r="C973" i="57"/>
  <c r="H973" i="57"/>
  <c r="C955" i="57"/>
  <c r="H955" i="57"/>
  <c r="C925" i="57"/>
  <c r="H925" i="57"/>
  <c r="C883" i="57"/>
  <c r="H883" i="57"/>
  <c r="C871" i="57"/>
  <c r="H871" i="57"/>
  <c r="C853" i="57"/>
  <c r="H853" i="57"/>
  <c r="C835" i="57"/>
  <c r="H835" i="57"/>
  <c r="C823" i="57"/>
  <c r="H823" i="57"/>
  <c r="C805" i="57"/>
  <c r="H805" i="57"/>
  <c r="C793" i="57"/>
  <c r="H793" i="57"/>
  <c r="C775" i="57"/>
  <c r="H775" i="57"/>
  <c r="C757" i="57"/>
  <c r="H757" i="57"/>
  <c r="C739" i="57"/>
  <c r="H739" i="57"/>
  <c r="C727" i="57"/>
  <c r="H727" i="57"/>
  <c r="C703" i="57"/>
  <c r="H703" i="57"/>
  <c r="C685" i="57"/>
  <c r="H685" i="57"/>
  <c r="C649" i="57"/>
  <c r="H649" i="57"/>
  <c r="C547" i="57"/>
  <c r="H547" i="57"/>
  <c r="C529" i="57"/>
  <c r="H529" i="57"/>
  <c r="C511" i="57"/>
  <c r="H511" i="57"/>
  <c r="C379" i="57"/>
  <c r="H379" i="57"/>
  <c r="C361" i="57"/>
  <c r="H361" i="57"/>
  <c r="C343" i="57"/>
  <c r="H343" i="57"/>
  <c r="C325" i="57"/>
  <c r="H325" i="57"/>
  <c r="C253" i="57"/>
  <c r="H253" i="57"/>
  <c r="C217" i="57"/>
  <c r="H217" i="57"/>
  <c r="C199" i="57"/>
  <c r="H199" i="57"/>
  <c r="C187" i="57"/>
  <c r="H187" i="57"/>
  <c r="C163" i="57"/>
  <c r="H163" i="57"/>
  <c r="C121" i="57"/>
  <c r="H121" i="57"/>
  <c r="C97" i="57"/>
  <c r="H97" i="57"/>
  <c r="C55" i="57"/>
  <c r="H55" i="57"/>
  <c r="C43" i="57"/>
  <c r="H43" i="57"/>
  <c r="C31" i="57"/>
  <c r="H31" i="57"/>
  <c r="H1405" i="57"/>
  <c r="H1279" i="57"/>
  <c r="H919" i="57"/>
  <c r="C1411" i="57"/>
  <c r="H1411" i="57"/>
  <c r="C1363" i="57"/>
  <c r="H1363" i="57"/>
  <c r="C1345" i="57"/>
  <c r="H1345" i="57"/>
  <c r="C1321" i="57"/>
  <c r="H1321" i="57"/>
  <c r="C1297" i="57"/>
  <c r="H1297" i="57"/>
  <c r="C1291" i="57"/>
  <c r="H1291" i="57"/>
  <c r="C1267" i="57"/>
  <c r="H1267" i="57"/>
  <c r="C1243" i="57"/>
  <c r="H1243" i="57"/>
  <c r="C1219" i="57"/>
  <c r="H1219" i="57"/>
  <c r="C1195" i="57"/>
  <c r="H1195" i="57"/>
  <c r="C1153" i="57"/>
  <c r="H1153" i="57"/>
  <c r="C1069" i="57"/>
  <c r="H1069" i="57"/>
  <c r="C1051" i="57"/>
  <c r="H1051" i="57"/>
  <c r="C1033" i="57"/>
  <c r="H1033" i="57"/>
  <c r="C1009" i="57"/>
  <c r="H1009" i="57"/>
  <c r="C979" i="57"/>
  <c r="H979" i="57"/>
  <c r="C937" i="57"/>
  <c r="H937" i="57"/>
  <c r="C859" i="57"/>
  <c r="H859" i="57"/>
  <c r="C637" i="57"/>
  <c r="H637" i="57"/>
  <c r="H1357" i="57"/>
  <c r="H691" i="57"/>
  <c r="H1273" i="57"/>
  <c r="H745" i="57"/>
  <c r="H1435" i="57"/>
  <c r="H1381" i="57"/>
  <c r="H1231" i="57"/>
  <c r="H1183" i="57"/>
  <c r="H1135" i="57"/>
  <c r="H1093" i="57"/>
  <c r="H1015" i="57"/>
  <c r="H877" i="57"/>
  <c r="H661" i="57"/>
  <c r="H583" i="57"/>
  <c r="H505" i="57"/>
  <c r="H427" i="57"/>
  <c r="H301" i="57"/>
  <c r="H181" i="57"/>
  <c r="C1387" i="57"/>
  <c r="H1387" i="57"/>
  <c r="C1333" i="57"/>
  <c r="H1333" i="57"/>
  <c r="C1315" i="57"/>
  <c r="H1315" i="57"/>
  <c r="C1261" i="57"/>
  <c r="H1261" i="57"/>
  <c r="C1237" i="57"/>
  <c r="H1237" i="57"/>
  <c r="C1159" i="57"/>
  <c r="H1159" i="57"/>
  <c r="C1141" i="57"/>
  <c r="H1141" i="57"/>
  <c r="C1129" i="57"/>
  <c r="H1129" i="57"/>
  <c r="C1111" i="57"/>
  <c r="H1111" i="57"/>
  <c r="C1087" i="57"/>
  <c r="H1087" i="57"/>
  <c r="C1063" i="57"/>
  <c r="H1063" i="57"/>
  <c r="C1039" i="57"/>
  <c r="H1039" i="57"/>
  <c r="C1021" i="57"/>
  <c r="H1021" i="57"/>
  <c r="C1003" i="57"/>
  <c r="H1003" i="57"/>
  <c r="C985" i="57"/>
  <c r="H985" i="57"/>
  <c r="C967" i="57"/>
  <c r="H967" i="57"/>
  <c r="C949" i="57"/>
  <c r="H949" i="57"/>
  <c r="C931" i="57"/>
  <c r="H931" i="57"/>
  <c r="C913" i="57"/>
  <c r="H913" i="57"/>
  <c r="C907" i="57"/>
  <c r="H907" i="57"/>
  <c r="C889" i="57"/>
  <c r="H889" i="57"/>
  <c r="C865" i="57"/>
  <c r="H865" i="57"/>
  <c r="C847" i="57"/>
  <c r="H847" i="57"/>
  <c r="C829" i="57"/>
  <c r="H829" i="57"/>
  <c r="C811" i="57"/>
  <c r="H811" i="57"/>
  <c r="C769" i="57"/>
  <c r="H769" i="57"/>
  <c r="C733" i="57"/>
  <c r="H733" i="57"/>
  <c r="C715" i="57"/>
  <c r="H715" i="57"/>
  <c r="C673" i="57"/>
  <c r="H673" i="57"/>
  <c r="C667" i="57"/>
  <c r="H667" i="57"/>
  <c r="C655" i="57"/>
  <c r="H655" i="57"/>
  <c r="C631" i="57"/>
  <c r="H631" i="57"/>
  <c r="C619" i="57"/>
  <c r="H619" i="57"/>
  <c r="C607" i="57"/>
  <c r="H607" i="57"/>
  <c r="C595" i="57"/>
  <c r="H595" i="57"/>
  <c r="C589" i="57"/>
  <c r="H589" i="57"/>
  <c r="C577" i="57"/>
  <c r="H577" i="57"/>
  <c r="C565" i="57"/>
  <c r="H565" i="57"/>
  <c r="C553" i="57"/>
  <c r="H553" i="57"/>
  <c r="C541" i="57"/>
  <c r="H541" i="57"/>
  <c r="C523" i="57"/>
  <c r="H523" i="57"/>
  <c r="C517" i="57"/>
  <c r="H517" i="57"/>
  <c r="C499" i="57"/>
  <c r="H499" i="57"/>
  <c r="C487" i="57"/>
  <c r="H487" i="57"/>
  <c r="C469" i="57"/>
  <c r="H469" i="57"/>
  <c r="C457" i="57"/>
  <c r="H457" i="57"/>
  <c r="C445" i="57"/>
  <c r="H445" i="57"/>
  <c r="C433" i="57"/>
  <c r="H433" i="57"/>
  <c r="C415" i="57"/>
  <c r="H415" i="57"/>
  <c r="C391" i="57"/>
  <c r="H391" i="57"/>
  <c r="C355" i="57"/>
  <c r="H355" i="57"/>
  <c r="C337" i="57"/>
  <c r="H337" i="57"/>
  <c r="C319" i="57"/>
  <c r="H319" i="57"/>
  <c r="C307" i="57"/>
  <c r="H307" i="57"/>
  <c r="C295" i="57"/>
  <c r="H295" i="57"/>
  <c r="C283" i="57"/>
  <c r="H283" i="57"/>
  <c r="C265" i="57"/>
  <c r="H265" i="57"/>
  <c r="C247" i="57"/>
  <c r="H247" i="57"/>
  <c r="C235" i="57"/>
  <c r="H235" i="57"/>
  <c r="C169" i="57"/>
  <c r="H169" i="57"/>
  <c r="C151" i="57"/>
  <c r="H151" i="57"/>
  <c r="C139" i="57"/>
  <c r="H139" i="57"/>
  <c r="C103" i="57"/>
  <c r="H103" i="57"/>
  <c r="C85" i="57"/>
  <c r="H85" i="57"/>
  <c r="C73" i="57"/>
  <c r="H73" i="57"/>
  <c r="H961" i="57"/>
  <c r="H787" i="57"/>
  <c r="H373" i="57"/>
  <c r="H1429" i="57"/>
  <c r="H1375" i="57"/>
  <c r="H1303" i="57"/>
  <c r="H1177" i="57"/>
  <c r="H271" i="57"/>
  <c r="H229" i="57"/>
  <c r="H67" i="57"/>
  <c r="C1423" i="57"/>
  <c r="H1423" i="57"/>
  <c r="C1399" i="57"/>
  <c r="H1399" i="57"/>
  <c r="C1351" i="57"/>
  <c r="H1351" i="57"/>
  <c r="C1327" i="57"/>
  <c r="H1327" i="57"/>
  <c r="C1309" i="57"/>
  <c r="H1309" i="57"/>
  <c r="C1225" i="57"/>
  <c r="H1225" i="57"/>
  <c r="C1201" i="57"/>
  <c r="H1201" i="57"/>
  <c r="C1189" i="57"/>
  <c r="H1189" i="57"/>
  <c r="C1165" i="57"/>
  <c r="H1165" i="57"/>
  <c r="C1117" i="57"/>
  <c r="H1117" i="57"/>
  <c r="C1099" i="57"/>
  <c r="H1099" i="57"/>
  <c r="C1081" i="57"/>
  <c r="H1081" i="57"/>
  <c r="C1057" i="57"/>
  <c r="H1057" i="57"/>
  <c r="C1027" i="57"/>
  <c r="H1027" i="57"/>
  <c r="C943" i="57"/>
  <c r="H943" i="57"/>
  <c r="C901" i="57"/>
  <c r="H901" i="57"/>
  <c r="C841" i="57"/>
  <c r="H841" i="57"/>
  <c r="C799" i="57"/>
  <c r="H799" i="57"/>
  <c r="C781" i="57"/>
  <c r="H781" i="57"/>
  <c r="C763" i="57"/>
  <c r="H763" i="57"/>
  <c r="C751" i="57"/>
  <c r="H751" i="57"/>
  <c r="C709" i="57"/>
  <c r="H709" i="57"/>
  <c r="C697" i="57"/>
  <c r="H697" i="57"/>
  <c r="C679" i="57"/>
  <c r="H679" i="57"/>
  <c r="C643" i="57"/>
  <c r="H643" i="57"/>
  <c r="C625" i="57"/>
  <c r="H625" i="57"/>
  <c r="C613" i="57"/>
  <c r="H613" i="57"/>
  <c r="C601" i="57"/>
  <c r="H601" i="57"/>
  <c r="C571" i="57"/>
  <c r="H571" i="57"/>
  <c r="C559" i="57"/>
  <c r="H559" i="57"/>
  <c r="C535" i="57"/>
  <c r="H535" i="57"/>
  <c r="C493" i="57"/>
  <c r="H493" i="57"/>
  <c r="C475" i="57"/>
  <c r="H475" i="57"/>
  <c r="C463" i="57"/>
  <c r="H463" i="57"/>
  <c r="C439" i="57"/>
  <c r="H439" i="57"/>
  <c r="C421" i="57"/>
  <c r="H421" i="57"/>
  <c r="C409" i="57"/>
  <c r="H409" i="57"/>
  <c r="C397" i="57"/>
  <c r="H397" i="57"/>
  <c r="C385" i="57"/>
  <c r="H385" i="57"/>
  <c r="C367" i="57"/>
  <c r="H367" i="57"/>
  <c r="C349" i="57"/>
  <c r="H349" i="57"/>
  <c r="C331" i="57"/>
  <c r="H331" i="57"/>
  <c r="C313" i="57"/>
  <c r="H313" i="57"/>
  <c r="C289" i="57"/>
  <c r="H289" i="57"/>
  <c r="C277" i="57"/>
  <c r="H277" i="57"/>
  <c r="C259" i="57"/>
  <c r="H259" i="57"/>
  <c r="C241" i="57"/>
  <c r="H241" i="57"/>
  <c r="C223" i="57"/>
  <c r="H223" i="57"/>
  <c r="C211" i="57"/>
  <c r="H211" i="57"/>
  <c r="C193" i="57"/>
  <c r="H193" i="57"/>
  <c r="C175" i="57"/>
  <c r="H175" i="57"/>
  <c r="C157" i="57"/>
  <c r="H157" i="57"/>
  <c r="C145" i="57"/>
  <c r="H145" i="57"/>
  <c r="C127" i="57"/>
  <c r="H127" i="57"/>
  <c r="C109" i="57"/>
  <c r="H109" i="57"/>
  <c r="C91" i="57"/>
  <c r="H91" i="57"/>
  <c r="C79" i="57"/>
  <c r="H79" i="57"/>
  <c r="C61" i="57"/>
  <c r="H61" i="57"/>
  <c r="H451" i="57"/>
  <c r="H133" i="57"/>
  <c r="H1339" i="57"/>
  <c r="H1255" i="57"/>
  <c r="H895" i="57"/>
  <c r="H721" i="57"/>
  <c r="H481" i="57"/>
  <c r="H115" i="57"/>
  <c r="H174" i="57"/>
  <c r="H1332" i="57"/>
  <c r="H1314" i="57"/>
  <c r="H444" i="57"/>
  <c r="H216" i="57"/>
  <c r="H1440" i="57"/>
  <c r="H486" i="57"/>
  <c r="H276" i="57"/>
  <c r="B57" i="61"/>
  <c r="C57" i="61" s="1" a="1"/>
  <c r="C57" i="61" s="1"/>
  <c r="B35" i="61"/>
  <c r="C35" i="61" s="1" a="1"/>
  <c r="C35" i="61" s="1"/>
  <c r="B26" i="61"/>
  <c r="C26" i="61" s="1" a="1"/>
  <c r="C26" i="61" s="1"/>
  <c r="B56" i="61"/>
  <c r="C56" i="61" s="1" a="1"/>
  <c r="C56" i="61" s="1"/>
  <c r="B41" i="61"/>
  <c r="C41" i="61" s="1" a="1"/>
  <c r="C41" i="61" s="1"/>
  <c r="B55" i="61"/>
  <c r="C55" i="61" s="1" a="1"/>
  <c r="C55" i="61" s="1"/>
  <c r="B21" i="61"/>
  <c r="C21" i="61" s="1" a="1"/>
  <c r="C21" i="61" s="1"/>
  <c r="B22" i="61"/>
  <c r="C22" i="61" s="1" a="1"/>
  <c r="C22" i="61" s="1"/>
  <c r="B17" i="61"/>
  <c r="C17" i="61" s="1" a="1"/>
  <c r="C17" i="61" s="1"/>
  <c r="B19" i="61"/>
  <c r="C19" i="61" s="1" a="1"/>
  <c r="C19" i="61" s="1"/>
  <c r="B27" i="61"/>
  <c r="C27" i="61" s="1" a="1"/>
  <c r="C27" i="61" s="1"/>
  <c r="B28" i="61"/>
  <c r="C28" i="61" s="1" a="1"/>
  <c r="C28" i="61" s="1"/>
  <c r="B23" i="61"/>
  <c r="C23" i="61" s="1" a="1"/>
  <c r="C23" i="61" s="1"/>
  <c r="B12" i="61"/>
  <c r="C12" i="61" s="1" a="1"/>
  <c r="C12" i="61" s="1"/>
  <c r="B43" i="61"/>
  <c r="C43" i="61" s="1" a="1"/>
  <c r="C43" i="61" s="1"/>
  <c r="B59" i="61"/>
  <c r="C59" i="61" s="1" a="1"/>
  <c r="C59" i="61" s="1"/>
  <c r="B48" i="61"/>
  <c r="C48" i="61" s="1" a="1"/>
  <c r="C48" i="61" s="1"/>
  <c r="B33" i="61"/>
  <c r="C33" i="61" s="1" a="1"/>
  <c r="C33" i="61" s="1"/>
  <c r="B16" i="61"/>
  <c r="C16" i="61" s="1" a="1"/>
  <c r="C16" i="61" s="1"/>
  <c r="B52" i="61"/>
  <c r="C52" i="61" s="1" a="1"/>
  <c r="C52" i="61" s="1"/>
  <c r="B29" i="61"/>
  <c r="C29" i="61" s="1" a="1"/>
  <c r="C29" i="61" s="1"/>
  <c r="B42" i="61"/>
  <c r="C42" i="61" s="1" a="1"/>
  <c r="C42" i="61" s="1"/>
  <c r="B49" i="61"/>
  <c r="C49" i="61" s="1" a="1"/>
  <c r="C49" i="61" s="1"/>
  <c r="B38" i="61"/>
  <c r="C38" i="61" s="1" a="1"/>
  <c r="C38" i="61" s="1"/>
  <c r="B44" i="61"/>
  <c r="C44" i="61" s="1" a="1"/>
  <c r="C44" i="61" s="1"/>
  <c r="B54" i="61"/>
  <c r="C54" i="61" s="1" a="1"/>
  <c r="C54" i="61" s="1"/>
  <c r="B14" i="61"/>
  <c r="C14" i="61" s="1" a="1"/>
  <c r="C14" i="61" s="1"/>
  <c r="B50" i="61"/>
  <c r="C50" i="61" s="1" a="1"/>
  <c r="C50" i="61" s="1"/>
  <c r="B51" i="61"/>
  <c r="C51" i="61" s="1" a="1"/>
  <c r="C51" i="61" s="1"/>
  <c r="B34" i="61"/>
  <c r="C34" i="61" s="1" a="1"/>
  <c r="C34" i="61" s="1"/>
  <c r="B11" i="61"/>
  <c r="C11" i="61" s="1" a="1"/>
  <c r="C11" i="61" s="1"/>
  <c r="B47" i="61"/>
  <c r="C47" i="61" s="1" a="1"/>
  <c r="C47" i="61" s="1"/>
  <c r="B24" i="61"/>
  <c r="C24" i="61" s="1" a="1"/>
  <c r="C24" i="61" s="1"/>
  <c r="B60" i="61"/>
  <c r="C60" i="61" s="1" a="1"/>
  <c r="C60" i="61" s="1"/>
  <c r="B20" i="61"/>
  <c r="C20" i="61" s="1" a="1"/>
  <c r="C20" i="61" s="1"/>
  <c r="B15" i="61"/>
  <c r="C15" i="61" s="1" a="1"/>
  <c r="C15" i="61" s="1"/>
  <c r="B13" i="61"/>
  <c r="C13" i="61" s="1" a="1"/>
  <c r="C13" i="61" s="1"/>
  <c r="B31" i="61"/>
  <c r="C31" i="61" s="1" a="1"/>
  <c r="C31" i="61" s="1"/>
  <c r="B25" i="61"/>
  <c r="C25" i="61" s="1" a="1"/>
  <c r="C25" i="61" s="1"/>
  <c r="B37" i="61"/>
  <c r="C37" i="61" s="1" a="1"/>
  <c r="C37" i="61" s="1"/>
  <c r="H1422" i="57"/>
  <c r="C1422" i="57"/>
  <c r="H1410" i="57"/>
  <c r="C1410" i="57"/>
  <c r="H1302" i="57"/>
  <c r="C1302" i="57"/>
  <c r="H1224" i="57"/>
  <c r="C1224" i="57"/>
  <c r="H1194" i="57"/>
  <c r="C1194" i="57"/>
  <c r="H1098" i="57"/>
  <c r="C1098" i="57"/>
  <c r="H1086" i="57"/>
  <c r="C1086" i="57"/>
  <c r="H1008" i="57"/>
  <c r="C1008" i="57"/>
  <c r="H990" i="57"/>
  <c r="C990" i="57"/>
  <c r="H978" i="57"/>
  <c r="C978" i="57"/>
  <c r="H900" i="57"/>
  <c r="C900" i="57"/>
  <c r="H882" i="57"/>
  <c r="C882" i="57"/>
  <c r="H870" i="57"/>
  <c r="C870" i="57"/>
  <c r="H810" i="57"/>
  <c r="C810" i="57"/>
  <c r="H798" i="57"/>
  <c r="C798" i="57"/>
  <c r="H786" i="57"/>
  <c r="C786" i="57"/>
  <c r="H768" i="57"/>
  <c r="C768" i="57"/>
  <c r="H756" i="57"/>
  <c r="C756" i="57"/>
  <c r="H738" i="57"/>
  <c r="C738" i="57"/>
  <c r="H726" i="57"/>
  <c r="C726" i="57"/>
  <c r="H714" i="57"/>
  <c r="C714" i="57"/>
  <c r="H672" i="57"/>
  <c r="C672" i="57"/>
  <c r="H600" i="57"/>
  <c r="C600" i="57"/>
  <c r="H558" i="57"/>
  <c r="C558" i="57"/>
  <c r="H474" i="57"/>
  <c r="C474" i="57"/>
  <c r="H462" i="57"/>
  <c r="C462" i="57"/>
  <c r="H432" i="57"/>
  <c r="C432" i="57"/>
  <c r="H414" i="57"/>
  <c r="C414" i="57"/>
  <c r="H390" i="57"/>
  <c r="C390" i="57"/>
  <c r="H348" i="57"/>
  <c r="C348" i="57"/>
  <c r="H228" i="57"/>
  <c r="C228" i="57"/>
  <c r="H198" i="57"/>
  <c r="C198" i="57"/>
  <c r="H186" i="57"/>
  <c r="C186" i="57"/>
  <c r="H96" i="57"/>
  <c r="C96" i="57"/>
  <c r="H1452" i="57"/>
  <c r="C1452" i="57"/>
  <c r="H11" i="57"/>
  <c r="H1434" i="57"/>
  <c r="H1416" i="57"/>
  <c r="H1356" i="57"/>
  <c r="H1445" i="57"/>
  <c r="H1439" i="57"/>
  <c r="H1427" i="57"/>
  <c r="H1421" i="57"/>
  <c r="H1409" i="57"/>
  <c r="H1403" i="57"/>
  <c r="H1391" i="57"/>
  <c r="H1379" i="57"/>
  <c r="H1367" i="57"/>
  <c r="H1355" i="57"/>
  <c r="H1307" i="57"/>
  <c r="H1444" i="57"/>
  <c r="H1438" i="57"/>
  <c r="H1432" i="57"/>
  <c r="H1426" i="57"/>
  <c r="H1420" i="57"/>
  <c r="H1414" i="57"/>
  <c r="H1408" i="57"/>
  <c r="H1402" i="57"/>
  <c r="H1396" i="57"/>
  <c r="H1390" i="57"/>
  <c r="H1384" i="57"/>
  <c r="H1378" i="57"/>
  <c r="H1366" i="57"/>
  <c r="H1360" i="57"/>
  <c r="H1354" i="57"/>
  <c r="H1342" i="57"/>
  <c r="H1336" i="57"/>
  <c r="H1330" i="57"/>
  <c r="H1324" i="57"/>
  <c r="H1318" i="57"/>
  <c r="H1306" i="57"/>
  <c r="H1300" i="57"/>
  <c r="H1294" i="57"/>
  <c r="H1288" i="57"/>
  <c r="H1282" i="57"/>
  <c r="H1276" i="57"/>
  <c r="H1270" i="57"/>
  <c r="H1264" i="57"/>
  <c r="H1252" i="57"/>
  <c r="H1246" i="57"/>
  <c r="H1240" i="57"/>
  <c r="H1234" i="57"/>
  <c r="H1228" i="57"/>
  <c r="H1222" i="57"/>
  <c r="H1216" i="57"/>
  <c r="H1210" i="57"/>
  <c r="H1204" i="57"/>
  <c r="H1198" i="57"/>
  <c r="H1192" i="57"/>
  <c r="H1186" i="57"/>
  <c r="H1180" i="57"/>
  <c r="H1174" i="57"/>
  <c r="H1168" i="57"/>
  <c r="H1162" i="57"/>
  <c r="H1150" i="57"/>
  <c r="H1144" i="57"/>
  <c r="H1138" i="57"/>
  <c r="H1126" i="57"/>
  <c r="H1120" i="57"/>
  <c r="H1114" i="57"/>
  <c r="H1108" i="57"/>
  <c r="H1102" i="57"/>
  <c r="H1090" i="57"/>
  <c r="H1084" i="57"/>
  <c r="H1078" i="57"/>
  <c r="H1072" i="57"/>
  <c r="H1066" i="57"/>
  <c r="H1060" i="57"/>
  <c r="H1054" i="57"/>
  <c r="H1048" i="57"/>
  <c r="H1036" i="57"/>
  <c r="H1030" i="57"/>
  <c r="H1024" i="57"/>
  <c r="H1018" i="57"/>
  <c r="H1012" i="57"/>
  <c r="H1006" i="57"/>
  <c r="H1000" i="57"/>
  <c r="H994" i="57"/>
  <c r="H988" i="57"/>
  <c r="H982" i="57"/>
  <c r="H976" i="57"/>
  <c r="H970" i="57"/>
  <c r="H964" i="57"/>
  <c r="H958" i="57"/>
  <c r="H952" i="57"/>
  <c r="H946" i="57"/>
  <c r="H934" i="57"/>
  <c r="H928" i="57"/>
  <c r="H922" i="57"/>
  <c r="H910" i="57"/>
  <c r="H904" i="57"/>
  <c r="H898" i="57"/>
  <c r="H892" i="57"/>
  <c r="H886" i="57"/>
  <c r="H874" i="57"/>
  <c r="H868" i="57"/>
  <c r="H862" i="57"/>
  <c r="H856" i="57"/>
  <c r="H850" i="57"/>
  <c r="H844" i="57"/>
  <c r="H838" i="57"/>
  <c r="H832" i="57"/>
  <c r="H826" i="57"/>
  <c r="H820" i="57"/>
  <c r="H814" i="57"/>
  <c r="H808" i="57"/>
  <c r="H802" i="57"/>
  <c r="H796" i="57"/>
  <c r="H790" i="57"/>
  <c r="H778" i="57"/>
  <c r="H766" i="57"/>
  <c r="H754" i="57"/>
  <c r="H748" i="57"/>
  <c r="H742" i="57"/>
  <c r="H736" i="57"/>
  <c r="H730" i="57"/>
  <c r="H718" i="57"/>
  <c r="H712" i="57"/>
  <c r="H706" i="57"/>
  <c r="H700" i="57"/>
  <c r="H694" i="57"/>
  <c r="H688" i="57"/>
  <c r="H682" i="57"/>
  <c r="H676" i="57"/>
  <c r="H670" i="57"/>
  <c r="H664" i="57"/>
  <c r="H658" i="57"/>
  <c r="H652" i="57"/>
  <c r="H646" i="57"/>
  <c r="H640" i="57"/>
  <c r="H634" i="57"/>
  <c r="H622" i="57"/>
  <c r="H616" i="57"/>
  <c r="H604" i="57"/>
  <c r="H592" i="57"/>
  <c r="H586" i="57"/>
  <c r="H580" i="57"/>
  <c r="H574" i="57"/>
  <c r="H568" i="57"/>
  <c r="H562" i="57"/>
  <c r="H1443" i="57"/>
  <c r="H1437" i="57"/>
  <c r="H1431" i="57"/>
  <c r="H1425" i="57"/>
  <c r="H1419" i="57"/>
  <c r="H1413" i="57"/>
  <c r="H1407" i="57"/>
  <c r="H1401" i="57"/>
  <c r="H1395" i="57"/>
  <c r="H1389" i="57"/>
  <c r="H1383" i="57"/>
  <c r="H1377" i="57"/>
  <c r="H1371" i="57"/>
  <c r="H1365" i="57"/>
  <c r="H1359" i="57"/>
  <c r="H1347" i="57"/>
  <c r="H1341" i="57"/>
  <c r="H1335" i="57"/>
  <c r="H1329" i="57"/>
  <c r="H1323" i="57"/>
  <c r="H1311" i="57"/>
  <c r="H1305" i="57"/>
  <c r="H1299" i="57"/>
  <c r="H1293" i="57"/>
  <c r="H1287" i="57"/>
  <c r="H1281" i="57"/>
  <c r="H1275" i="57"/>
  <c r="H1269" i="57"/>
  <c r="H1263" i="57"/>
  <c r="H1257" i="57"/>
  <c r="H1251" i="57"/>
  <c r="H1239" i="57"/>
  <c r="H1233" i="57"/>
  <c r="H1227" i="57"/>
  <c r="H1221" i="57"/>
  <c r="H1215" i="57"/>
  <c r="H1209" i="57"/>
  <c r="H1203" i="57"/>
  <c r="H1197" i="57"/>
  <c r="H1191" i="57"/>
  <c r="H1185" i="57"/>
  <c r="H1179" i="57"/>
  <c r="H1173" i="57"/>
  <c r="H1167" i="57"/>
  <c r="H1161" i="57"/>
  <c r="H1155" i="57"/>
  <c r="H1149" i="57"/>
  <c r="H1143" i="57"/>
  <c r="H1137" i="57"/>
  <c r="H1131" i="57"/>
  <c r="H1125" i="57"/>
  <c r="H1119" i="57"/>
  <c r="H1113" i="57"/>
  <c r="H1107" i="57"/>
  <c r="H1101" i="57"/>
  <c r="H1095" i="57"/>
  <c r="H1089" i="57"/>
  <c r="H1083" i="57"/>
  <c r="H1077" i="57"/>
  <c r="H1071" i="57"/>
  <c r="H1065" i="57"/>
  <c r="H1059" i="57"/>
  <c r="H1053" i="57"/>
  <c r="H1047" i="57"/>
  <c r="H1041" i="57"/>
  <c r="H1035" i="57"/>
  <c r="H1029" i="57"/>
  <c r="H1023" i="57"/>
  <c r="H1017" i="57"/>
  <c r="H1011" i="57"/>
  <c r="H1005" i="57"/>
  <c r="H999" i="57"/>
  <c r="H993" i="57"/>
  <c r="H987" i="57"/>
  <c r="H981" i="57"/>
  <c r="H975" i="57"/>
  <c r="H969" i="57"/>
  <c r="H963" i="57"/>
  <c r="H957" i="57"/>
  <c r="H951" i="57"/>
  <c r="H945" i="57"/>
  <c r="H939" i="57"/>
  <c r="H933" i="57"/>
  <c r="H921" i="57"/>
  <c r="H915" i="57"/>
  <c r="H909" i="57"/>
  <c r="H903" i="57"/>
  <c r="H897" i="57"/>
  <c r="H885" i="57"/>
  <c r="H879" i="57"/>
  <c r="H873" i="57"/>
  <c r="H867" i="57"/>
  <c r="H861" i="57"/>
  <c r="H855" i="57"/>
  <c r="H849" i="57"/>
  <c r="H843" i="57"/>
  <c r="H837" i="57"/>
  <c r="H831" i="57"/>
  <c r="H825" i="57"/>
  <c r="H819" i="57"/>
  <c r="H807" i="57"/>
  <c r="H801" i="57"/>
  <c r="H795" i="57"/>
  <c r="H789" i="57"/>
  <c r="H783" i="57"/>
  <c r="H771" i="57"/>
  <c r="H765" i="57"/>
  <c r="H759" i="57"/>
  <c r="H753" i="57"/>
  <c r="H747" i="57"/>
  <c r="H741" i="57"/>
  <c r="H735" i="57"/>
  <c r="H729" i="57"/>
  <c r="H723" i="57"/>
  <c r="H717" i="57"/>
  <c r="H705" i="57"/>
  <c r="H699" i="57"/>
  <c r="H693" i="57"/>
  <c r="H687" i="57"/>
  <c r="H681" i="57"/>
  <c r="H675" i="57"/>
  <c r="H669" i="57"/>
  <c r="H663" i="57"/>
  <c r="H657" i="57"/>
  <c r="H651" i="57"/>
  <c r="H645" i="57"/>
  <c r="H1436" i="57"/>
  <c r="H1430" i="57"/>
  <c r="H1418" i="57"/>
  <c r="H1412" i="57"/>
  <c r="H1400" i="57"/>
  <c r="H1394" i="57"/>
  <c r="H1382" i="57"/>
  <c r="H1376" i="57"/>
  <c r="H1364" i="57"/>
  <c r="H1358" i="57"/>
  <c r="H1346" i="57"/>
  <c r="H1340" i="57"/>
  <c r="H1328" i="57"/>
  <c r="H1322" i="57"/>
  <c r="H1310" i="57"/>
  <c r="H1304" i="57"/>
  <c r="H1292" i="57"/>
  <c r="H1286" i="57"/>
  <c r="H1274" i="57"/>
  <c r="H1268" i="57"/>
  <c r="H1256" i="57"/>
  <c r="H1250" i="57"/>
  <c r="H1238" i="57"/>
  <c r="H1232" i="57"/>
  <c r="H1220" i="57"/>
  <c r="H1214" i="57"/>
  <c r="H1202" i="57"/>
  <c r="H1196" i="57"/>
  <c r="H1184" i="57"/>
  <c r="H1178" i="57"/>
  <c r="H1166" i="57"/>
  <c r="H1160" i="57"/>
  <c r="H1148" i="57"/>
  <c r="H1142" i="57"/>
  <c r="H1130" i="57"/>
  <c r="H1124" i="57"/>
  <c r="H1112" i="57"/>
  <c r="H1106" i="57"/>
  <c r="H1094" i="57"/>
  <c r="H1088" i="57"/>
  <c r="H1076" i="57"/>
  <c r="H1070" i="57"/>
  <c r="H1058" i="57"/>
  <c r="H1052" i="57"/>
  <c r="H1040" i="57"/>
  <c r="H1034" i="57"/>
  <c r="H1022" i="57"/>
  <c r="H1016" i="57"/>
  <c r="H1004" i="57"/>
  <c r="H998" i="57"/>
  <c r="H986" i="57"/>
  <c r="H980" i="57"/>
  <c r="H968" i="57"/>
  <c r="H962" i="57"/>
  <c r="H950" i="57"/>
  <c r="H944" i="57"/>
  <c r="H932" i="57"/>
  <c r="H926" i="57"/>
  <c r="H914" i="57"/>
  <c r="H908" i="57"/>
  <c r="H896" i="57"/>
  <c r="H890" i="57"/>
  <c r="H878" i="57"/>
  <c r="H872" i="57"/>
  <c r="H860" i="57"/>
  <c r="H854" i="57"/>
  <c r="H842" i="57"/>
  <c r="H836" i="57"/>
  <c r="H830" i="57"/>
  <c r="H824" i="57"/>
  <c r="H818" i="57"/>
  <c r="H812" i="57"/>
  <c r="H806" i="57"/>
  <c r="H800" i="57"/>
  <c r="H794" i="57"/>
  <c r="H788" i="57"/>
  <c r="H782" i="57"/>
  <c r="H776" i="57"/>
  <c r="H764" i="57"/>
  <c r="H758" i="57"/>
  <c r="H752" i="57"/>
  <c r="H746" i="57"/>
  <c r="H734" i="57"/>
  <c r="H728" i="57"/>
  <c r="H722" i="57"/>
  <c r="H716" i="57"/>
  <c r="H710" i="57"/>
  <c r="H704" i="57"/>
  <c r="H698" i="57"/>
  <c r="H692" i="57"/>
  <c r="H686" i="57"/>
  <c r="H680" i="57"/>
  <c r="H674" i="57"/>
  <c r="H668" i="57"/>
  <c r="H656" i="57"/>
  <c r="H650" i="57"/>
  <c r="H644" i="57"/>
  <c r="H638" i="57"/>
  <c r="H626" i="57"/>
  <c r="H620" i="57"/>
  <c r="H614" i="57"/>
  <c r="H608" i="57"/>
  <c r="H602" i="57"/>
  <c r="H1428" i="57"/>
  <c r="H1404" i="57"/>
  <c r="H1398" i="57"/>
  <c r="H1392" i="57"/>
  <c r="H1386" i="57"/>
  <c r="H1374" i="57"/>
  <c r="H1368" i="57"/>
  <c r="H1362" i="57"/>
  <c r="H1350" i="57"/>
  <c r="H1344" i="57"/>
  <c r="H1338" i="57"/>
  <c r="H1326" i="57"/>
  <c r="H1320" i="57"/>
  <c r="H1308" i="57"/>
  <c r="H1296" i="57"/>
  <c r="H1290" i="57"/>
  <c r="H1284" i="57"/>
  <c r="H1278" i="57"/>
  <c r="H1272" i="57"/>
  <c r="H1266" i="57"/>
  <c r="H1260" i="57"/>
  <c r="H1254" i="57"/>
  <c r="H1248" i="57"/>
  <c r="H1242" i="57"/>
  <c r="H1236" i="57"/>
  <c r="H1230" i="57"/>
  <c r="H1218" i="57"/>
  <c r="H1212" i="57"/>
  <c r="H1200" i="57"/>
  <c r="H1188" i="57"/>
  <c r="H1182" i="57"/>
  <c r="H1176" i="57"/>
  <c r="H1170" i="57"/>
  <c r="H1164" i="57"/>
  <c r="H1158" i="57"/>
  <c r="H1152" i="57"/>
  <c r="H1146" i="57"/>
  <c r="H1140" i="57"/>
  <c r="H1134" i="57"/>
  <c r="H1128" i="57"/>
  <c r="H1122" i="57"/>
  <c r="H1110" i="57"/>
  <c r="H1104" i="57"/>
  <c r="H1092" i="57"/>
  <c r="H1080" i="57"/>
  <c r="H1074" i="57"/>
  <c r="H1068" i="57"/>
  <c r="H1062" i="57"/>
  <c r="H1056" i="57"/>
  <c r="H1050" i="57"/>
  <c r="H1044" i="57"/>
  <c r="H1038" i="57"/>
  <c r="H1032" i="57"/>
  <c r="H1026" i="57"/>
  <c r="H1020" i="57"/>
  <c r="H1014" i="57"/>
  <c r="H1002" i="57"/>
  <c r="H996" i="57"/>
  <c r="H984" i="57"/>
  <c r="H972" i="57"/>
  <c r="H966" i="57"/>
  <c r="H960" i="57"/>
  <c r="H954" i="57"/>
  <c r="H948" i="57"/>
  <c r="H942" i="57"/>
  <c r="H936" i="57"/>
  <c r="H930" i="57"/>
  <c r="H924" i="57"/>
  <c r="H918" i="57"/>
  <c r="H912" i="57"/>
  <c r="H906" i="57"/>
  <c r="H894" i="57"/>
  <c r="H888" i="57"/>
  <c r="H876" i="57"/>
  <c r="H864" i="57"/>
  <c r="H858" i="57"/>
  <c r="H852" i="57"/>
  <c r="H846" i="57"/>
  <c r="H840" i="57"/>
  <c r="H834" i="57"/>
  <c r="H828" i="57"/>
  <c r="H822" i="57"/>
  <c r="H816" i="57"/>
  <c r="H804" i="57"/>
  <c r="H792" i="57"/>
  <c r="H780" i="57"/>
  <c r="H774" i="57"/>
  <c r="H762" i="57"/>
  <c r="H750" i="57"/>
  <c r="H744" i="57"/>
  <c r="H732" i="57"/>
  <c r="H720" i="57"/>
  <c r="H708" i="57"/>
  <c r="H702" i="57"/>
  <c r="H696" i="57"/>
  <c r="H690" i="57"/>
  <c r="H684" i="57"/>
  <c r="H678" i="57"/>
  <c r="H666" i="57"/>
  <c r="H660" i="57"/>
  <c r="H654" i="57"/>
  <c r="H1380" i="57"/>
  <c r="H1433" i="57"/>
  <c r="H1415" i="57"/>
  <c r="H1397" i="57"/>
  <c r="H1385" i="57"/>
  <c r="H1373" i="57"/>
  <c r="H1361" i="57"/>
  <c r="H1349" i="57"/>
  <c r="H1343" i="57"/>
  <c r="H1337" i="57"/>
  <c r="H1331" i="57"/>
  <c r="H1325" i="57"/>
  <c r="H1319" i="57"/>
  <c r="H1313" i="57"/>
  <c r="H1301" i="57"/>
  <c r="H1295" i="57"/>
  <c r="H1289" i="57"/>
  <c r="H1283" i="57"/>
  <c r="H1277" i="57"/>
  <c r="H1271" i="57"/>
  <c r="H1265" i="57"/>
  <c r="H1259" i="57"/>
  <c r="H1253" i="57"/>
  <c r="H1247" i="57"/>
  <c r="H1241" i="57"/>
  <c r="H1235" i="57"/>
  <c r="H1229" i="57"/>
  <c r="H1223" i="57"/>
  <c r="H1217" i="57"/>
  <c r="H1211" i="57"/>
  <c r="H1205" i="57"/>
  <c r="H1199" i="57"/>
  <c r="H1193" i="57"/>
  <c r="H1187" i="57"/>
  <c r="H1181" i="57"/>
  <c r="H1175" i="57"/>
  <c r="H1169" i="57"/>
  <c r="H1163" i="57"/>
  <c r="H1157" i="57"/>
  <c r="H1151" i="57"/>
  <c r="H1145" i="57"/>
  <c r="H1139" i="57"/>
  <c r="H1133" i="57"/>
  <c r="H1127" i="57"/>
  <c r="H1121" i="57"/>
  <c r="H1115" i="57"/>
  <c r="H1109" i="57"/>
  <c r="H1103" i="57"/>
  <c r="H1097" i="57"/>
  <c r="H1091" i="57"/>
  <c r="H1085" i="57"/>
  <c r="H1079" i="57"/>
  <c r="H1073" i="57"/>
  <c r="H1067" i="57"/>
  <c r="H1061" i="57"/>
  <c r="H1055" i="57"/>
  <c r="H1049" i="57"/>
  <c r="H1043" i="57"/>
  <c r="H1037" i="57"/>
  <c r="H1031" i="57"/>
  <c r="H1025" i="57"/>
  <c r="H1019" i="57"/>
  <c r="H1013" i="57"/>
  <c r="H1007" i="57"/>
  <c r="H1001" i="57"/>
  <c r="H995" i="57"/>
  <c r="H989" i="57"/>
  <c r="H983" i="57"/>
  <c r="H977" i="57"/>
  <c r="H971" i="57"/>
  <c r="H965" i="57"/>
  <c r="H959" i="57"/>
  <c r="H953" i="57"/>
  <c r="H947" i="57"/>
  <c r="H941" i="57"/>
  <c r="H935" i="57"/>
  <c r="H929" i="57"/>
  <c r="H923" i="57"/>
  <c r="H917" i="57"/>
  <c r="H911" i="57"/>
  <c r="H905" i="57"/>
  <c r="H899" i="57"/>
  <c r="H893" i="57"/>
  <c r="H887" i="57"/>
  <c r="H881" i="57"/>
  <c r="H875" i="57"/>
  <c r="H648" i="57"/>
  <c r="H642" i="57"/>
  <c r="H636" i="57"/>
  <c r="H630" i="57"/>
  <c r="H624" i="57"/>
  <c r="H618" i="57"/>
  <c r="H612" i="57"/>
  <c r="H606" i="57"/>
  <c r="H594" i="57"/>
  <c r="H588" i="57"/>
  <c r="H582" i="57"/>
  <c r="H576" i="57"/>
  <c r="H570" i="57"/>
  <c r="H564" i="57"/>
  <c r="H552" i="57"/>
  <c r="H546" i="57"/>
  <c r="H540" i="57"/>
  <c r="H534" i="57"/>
  <c r="H528" i="57"/>
  <c r="H522" i="57"/>
  <c r="H516" i="57"/>
  <c r="H510" i="57"/>
  <c r="H504" i="57"/>
  <c r="H498" i="57"/>
  <c r="H492" i="57"/>
  <c r="H480" i="57"/>
  <c r="H468" i="57"/>
  <c r="H456" i="57"/>
  <c r="H450" i="57"/>
  <c r="H438" i="57"/>
  <c r="H426" i="57"/>
  <c r="H420" i="57"/>
  <c r="H408" i="57"/>
  <c r="H396" i="57"/>
  <c r="H384" i="57"/>
  <c r="H378" i="57"/>
  <c r="H372" i="57"/>
  <c r="H366" i="57"/>
  <c r="H360" i="57"/>
  <c r="H354" i="57"/>
  <c r="H342" i="57"/>
  <c r="H336" i="57"/>
  <c r="H330" i="57"/>
  <c r="H324" i="57"/>
  <c r="H318" i="57"/>
  <c r="H312" i="57"/>
  <c r="H306" i="57"/>
  <c r="H300" i="57"/>
  <c r="H294" i="57"/>
  <c r="H288" i="57"/>
  <c r="H282" i="57"/>
  <c r="H270" i="57"/>
  <c r="H264" i="57"/>
  <c r="H258" i="57"/>
  <c r="H252" i="57"/>
  <c r="H246" i="57"/>
  <c r="H240" i="57"/>
  <c r="H234" i="57"/>
  <c r="H222" i="57"/>
  <c r="H210" i="57"/>
  <c r="H204" i="57"/>
  <c r="H192" i="57"/>
  <c r="H180" i="57"/>
  <c r="H168" i="57"/>
  <c r="H162" i="57"/>
  <c r="H156" i="57"/>
  <c r="H150" i="57"/>
  <c r="H144" i="57"/>
  <c r="H138" i="57"/>
  <c r="H132" i="57"/>
  <c r="H126" i="57"/>
  <c r="H120" i="57"/>
  <c r="H114" i="57"/>
  <c r="H108" i="57"/>
  <c r="H102" i="57"/>
  <c r="H90" i="57"/>
  <c r="H84" i="57"/>
  <c r="H78" i="57"/>
  <c r="H72" i="57"/>
  <c r="H60" i="57"/>
  <c r="H54" i="57"/>
  <c r="H48" i="57"/>
  <c r="H42" i="57"/>
  <c r="H36" i="57"/>
  <c r="H30" i="57"/>
  <c r="H24" i="57"/>
  <c r="H18" i="57"/>
  <c r="H1450" i="57"/>
  <c r="H2493" i="57"/>
  <c r="H2487" i="57"/>
  <c r="H2505" i="57"/>
  <c r="H869" i="57"/>
  <c r="H863" i="57"/>
  <c r="H857" i="57"/>
  <c r="H851" i="57"/>
  <c r="H845" i="57"/>
  <c r="H839" i="57"/>
  <c r="H833" i="57"/>
  <c r="H827" i="57"/>
  <c r="H821" i="57"/>
  <c r="H815" i="57"/>
  <c r="H809" i="57"/>
  <c r="H803" i="57"/>
  <c r="H797" i="57"/>
  <c r="H791" i="57"/>
  <c r="H785" i="57"/>
  <c r="H779" i="57"/>
  <c r="H773" i="57"/>
  <c r="H767" i="57"/>
  <c r="H761" i="57"/>
  <c r="H755" i="57"/>
  <c r="H749" i="57"/>
  <c r="H743" i="57"/>
  <c r="H737" i="57"/>
  <c r="H731" i="57"/>
  <c r="H725" i="57"/>
  <c r="H719" i="57"/>
  <c r="H713" i="57"/>
  <c r="H707" i="57"/>
  <c r="H701" i="57"/>
  <c r="H695" i="57"/>
  <c r="H689" i="57"/>
  <c r="H683" i="57"/>
  <c r="H677" i="57"/>
  <c r="H671" i="57"/>
  <c r="H665" i="57"/>
  <c r="H659" i="57"/>
  <c r="H653" i="57"/>
  <c r="H647" i="57"/>
  <c r="H641" i="57"/>
  <c r="H635" i="57"/>
  <c r="H629" i="57"/>
  <c r="H623" i="57"/>
  <c r="H617" i="57"/>
  <c r="H611" i="57"/>
  <c r="H605" i="57"/>
  <c r="H599" i="57"/>
  <c r="H593" i="57"/>
  <c r="H587" i="57"/>
  <c r="H581" i="57"/>
  <c r="H575" i="57"/>
  <c r="H569" i="57"/>
  <c r="H563" i="57"/>
  <c r="H557" i="57"/>
  <c r="H551" i="57"/>
  <c r="H545" i="57"/>
  <c r="H539" i="57"/>
  <c r="H533" i="57"/>
  <c r="H527" i="57"/>
  <c r="H521" i="57"/>
  <c r="H515" i="57"/>
  <c r="H509" i="57"/>
  <c r="H503" i="57"/>
  <c r="H497" i="57"/>
  <c r="H491" i="57"/>
  <c r="H485" i="57"/>
  <c r="H479" i="57"/>
  <c r="H473" i="57"/>
  <c r="H467" i="57"/>
  <c r="H461" i="57"/>
  <c r="H455" i="57"/>
  <c r="H449" i="57"/>
  <c r="H443" i="57"/>
  <c r="H437" i="57"/>
  <c r="H431" i="57"/>
  <c r="H425" i="57"/>
  <c r="H419" i="57"/>
  <c r="H413" i="57"/>
  <c r="H407" i="57"/>
  <c r="H401" i="57"/>
  <c r="H395" i="57"/>
  <c r="H389" i="57"/>
  <c r="H383" i="57"/>
  <c r="H377" i="57"/>
  <c r="H371" i="57"/>
  <c r="H365" i="57"/>
  <c r="H359" i="57"/>
  <c r="H353" i="57"/>
  <c r="H347" i="57"/>
  <c r="H341" i="57"/>
  <c r="H335" i="57"/>
  <c r="H329" i="57"/>
  <c r="H323" i="57"/>
  <c r="H317" i="57"/>
  <c r="H311" i="57"/>
  <c r="H305" i="57"/>
  <c r="H299" i="57"/>
  <c r="H293" i="57"/>
  <c r="H287" i="57"/>
  <c r="H281" i="57"/>
  <c r="H275" i="57"/>
  <c r="H269" i="57"/>
  <c r="H263" i="57"/>
  <c r="H257" i="57"/>
  <c r="H251" i="57"/>
  <c r="H245" i="57"/>
  <c r="H239" i="57"/>
  <c r="H233" i="57"/>
  <c r="H227" i="57"/>
  <c r="H221" i="57"/>
  <c r="H215" i="57"/>
  <c r="H209" i="57"/>
  <c r="H203" i="57"/>
  <c r="H197" i="57"/>
  <c r="H191" i="57"/>
  <c r="H185" i="57"/>
  <c r="H179" i="57"/>
  <c r="H173" i="57"/>
  <c r="H167" i="57"/>
  <c r="H161" i="57"/>
  <c r="H155" i="57"/>
  <c r="H149" i="57"/>
  <c r="H143" i="57"/>
  <c r="H137" i="57"/>
  <c r="H131" i="57"/>
  <c r="H125" i="57"/>
  <c r="H119" i="57"/>
  <c r="H113" i="57"/>
  <c r="H107" i="57"/>
  <c r="H101" i="57"/>
  <c r="H95" i="57"/>
  <c r="H89" i="57"/>
  <c r="H83" i="57"/>
  <c r="H77" i="57"/>
  <c r="H71" i="57"/>
  <c r="H65" i="57"/>
  <c r="H59" i="57"/>
  <c r="H53" i="57"/>
  <c r="H47" i="57"/>
  <c r="H41" i="57"/>
  <c r="H35" i="57"/>
  <c r="H29" i="57"/>
  <c r="H23" i="57"/>
  <c r="H17" i="57"/>
  <c r="H1455" i="57"/>
  <c r="H1449" i="57"/>
  <c r="H2492" i="57"/>
  <c r="H2486" i="57"/>
  <c r="H2510" i="57"/>
  <c r="H2504" i="57"/>
  <c r="H2498" i="57"/>
  <c r="H15" i="57"/>
  <c r="H550" i="57"/>
  <c r="H544" i="57"/>
  <c r="H538" i="57"/>
  <c r="H532" i="57"/>
  <c r="H520" i="57"/>
  <c r="H508" i="57"/>
  <c r="H502" i="57"/>
  <c r="H490" i="57"/>
  <c r="H484" i="57"/>
  <c r="H478" i="57"/>
  <c r="H466" i="57"/>
  <c r="H460" i="57"/>
  <c r="H454" i="57"/>
  <c r="H448" i="57"/>
  <c r="H442" i="57"/>
  <c r="H436" i="57"/>
  <c r="H430" i="57"/>
  <c r="H424" i="57"/>
  <c r="H418" i="57"/>
  <c r="H406" i="57"/>
  <c r="H400" i="57"/>
  <c r="H394" i="57"/>
  <c r="H388" i="57"/>
  <c r="H382" i="57"/>
  <c r="H376" i="57"/>
  <c r="H364" i="57"/>
  <c r="H358" i="57"/>
  <c r="H346" i="57"/>
  <c r="H340" i="57"/>
  <c r="H334" i="57"/>
  <c r="H322" i="57"/>
  <c r="H316" i="57"/>
  <c r="H310" i="57"/>
  <c r="H304" i="57"/>
  <c r="H298" i="57"/>
  <c r="H292" i="57"/>
  <c r="H286" i="57"/>
  <c r="H280" i="57"/>
  <c r="H274" i="57"/>
  <c r="H268" i="57"/>
  <c r="H262" i="57"/>
  <c r="H256" i="57"/>
  <c r="H250" i="57"/>
  <c r="H244" i="57"/>
  <c r="H238" i="57"/>
  <c r="H226" i="57"/>
  <c r="H214" i="57"/>
  <c r="H208" i="57"/>
  <c r="H202" i="57"/>
  <c r="H196" i="57"/>
  <c r="H190" i="57"/>
  <c r="H178" i="57"/>
  <c r="H172" i="57"/>
  <c r="H166" i="57"/>
  <c r="H154" i="57"/>
  <c r="H148" i="57"/>
  <c r="H142" i="57"/>
  <c r="H136" i="57"/>
  <c r="H124" i="57"/>
  <c r="H118" i="57"/>
  <c r="H112" i="57"/>
  <c r="H28" i="57"/>
  <c r="H22" i="57"/>
  <c r="H1454" i="57"/>
  <c r="H1448" i="57"/>
  <c r="H2491" i="57"/>
  <c r="H2485" i="57"/>
  <c r="H633" i="57"/>
  <c r="H627" i="57"/>
  <c r="H621" i="57"/>
  <c r="H615" i="57"/>
  <c r="H609" i="57"/>
  <c r="H603" i="57"/>
  <c r="H597" i="57"/>
  <c r="H591" i="57"/>
  <c r="H585" i="57"/>
  <c r="H579" i="57"/>
  <c r="H573" i="57"/>
  <c r="H567" i="57"/>
  <c r="H561" i="57"/>
  <c r="H555" i="57"/>
  <c r="H549" i="57"/>
  <c r="H543" i="57"/>
  <c r="H537" i="57"/>
  <c r="H531" i="57"/>
  <c r="H525" i="57"/>
  <c r="H519" i="57"/>
  <c r="H513" i="57"/>
  <c r="H507" i="57"/>
  <c r="H501" i="57"/>
  <c r="H495" i="57"/>
  <c r="H489" i="57"/>
  <c r="H483" i="57"/>
  <c r="H477" i="57"/>
  <c r="H471" i="57"/>
  <c r="H465" i="57"/>
  <c r="H459" i="57"/>
  <c r="H453" i="57"/>
  <c r="H447" i="57"/>
  <c r="H441" i="57"/>
  <c r="H435" i="57"/>
  <c r="H429" i="57"/>
  <c r="H423" i="57"/>
  <c r="H417" i="57"/>
  <c r="H411" i="57"/>
  <c r="H405" i="57"/>
  <c r="H399" i="57"/>
  <c r="H393" i="57"/>
  <c r="H387" i="57"/>
  <c r="H381" i="57"/>
  <c r="H375" i="57"/>
  <c r="H369" i="57"/>
  <c r="H363" i="57"/>
  <c r="H357" i="57"/>
  <c r="H345" i="57"/>
  <c r="H339" i="57"/>
  <c r="H333" i="57"/>
  <c r="H327" i="57"/>
  <c r="H321" i="57"/>
  <c r="H315" i="57"/>
  <c r="H309" i="57"/>
  <c r="H303" i="57"/>
  <c r="H297" i="57"/>
  <c r="H291" i="57"/>
  <c r="H285" i="57"/>
  <c r="H279" i="57"/>
  <c r="H273" i="57"/>
  <c r="H267" i="57"/>
  <c r="H261" i="57"/>
  <c r="H255" i="57"/>
  <c r="H249" i="57"/>
  <c r="H237" i="57"/>
  <c r="H231" i="57"/>
  <c r="H225" i="57"/>
  <c r="H219" i="57"/>
  <c r="H213" i="57"/>
  <c r="H207" i="57"/>
  <c r="H201" i="57"/>
  <c r="H195" i="57"/>
  <c r="H189" i="57"/>
  <c r="H183" i="57"/>
  <c r="H177" i="57"/>
  <c r="H171" i="57"/>
  <c r="H165" i="57"/>
  <c r="H159" i="57"/>
  <c r="H153" i="57"/>
  <c r="H147" i="57"/>
  <c r="H141" i="57"/>
  <c r="H135" i="57"/>
  <c r="H129" i="57"/>
  <c r="H123" i="57"/>
  <c r="H117" i="57"/>
  <c r="H111" i="57"/>
  <c r="H105" i="57"/>
  <c r="H99" i="57"/>
  <c r="H87" i="57"/>
  <c r="H81" i="57"/>
  <c r="H75" i="57"/>
  <c r="H57" i="57"/>
  <c r="H51" i="57"/>
  <c r="H39" i="57"/>
  <c r="H33" i="57"/>
  <c r="H27" i="57"/>
  <c r="H21" i="57"/>
  <c r="H1453" i="57"/>
  <c r="H1447" i="57"/>
  <c r="H2508" i="57"/>
  <c r="H2502" i="57"/>
  <c r="H2496" i="57"/>
  <c r="H596" i="57"/>
  <c r="H590" i="57"/>
  <c r="H584" i="57"/>
  <c r="H578" i="57"/>
  <c r="H572" i="57"/>
  <c r="H566" i="57"/>
  <c r="H560" i="57"/>
  <c r="H548" i="57"/>
  <c r="H542" i="57"/>
  <c r="H536" i="57"/>
  <c r="H530" i="57"/>
  <c r="H518" i="57"/>
  <c r="H512" i="57"/>
  <c r="H506" i="57"/>
  <c r="H500" i="57"/>
  <c r="H494" i="57"/>
  <c r="H488" i="57"/>
  <c r="H482" i="57"/>
  <c r="H476" i="57"/>
  <c r="H470" i="57"/>
  <c r="H464" i="57"/>
  <c r="H458" i="57"/>
  <c r="H452" i="57"/>
  <c r="H440" i="57"/>
  <c r="H434" i="57"/>
  <c r="H428" i="57"/>
  <c r="H422" i="57"/>
  <c r="H410" i="57"/>
  <c r="H404" i="57"/>
  <c r="H398" i="57"/>
  <c r="H392" i="57"/>
  <c r="H386" i="57"/>
  <c r="H380" i="57"/>
  <c r="H374" i="57"/>
  <c r="H368" i="57"/>
  <c r="H362" i="57"/>
  <c r="H356" i="57"/>
  <c r="H350" i="57"/>
  <c r="H344" i="57"/>
  <c r="H332" i="57"/>
  <c r="H326" i="57"/>
  <c r="H320" i="57"/>
  <c r="H314" i="57"/>
  <c r="H302" i="57"/>
  <c r="H296" i="57"/>
  <c r="H290" i="57"/>
  <c r="H284" i="57"/>
  <c r="H278" i="57"/>
  <c r="H272" i="57"/>
  <c r="H260" i="57"/>
  <c r="H254" i="57"/>
  <c r="H248" i="57"/>
  <c r="H242" i="57"/>
  <c r="H224" i="57"/>
  <c r="H218" i="57"/>
  <c r="H212" i="57"/>
  <c r="H206" i="57"/>
  <c r="H194" i="57"/>
  <c r="H188" i="57"/>
  <c r="H182" i="57"/>
  <c r="H176" i="57"/>
  <c r="H170" i="57"/>
  <c r="H152" i="57"/>
  <c r="H146" i="57"/>
  <c r="H140" i="57"/>
  <c r="H134" i="57"/>
  <c r="H116" i="57"/>
  <c r="H110" i="57"/>
  <c r="H104" i="57"/>
  <c r="H98" i="57"/>
  <c r="H86" i="57"/>
  <c r="H80" i="57"/>
  <c r="H74" i="57"/>
  <c r="H68" i="57"/>
  <c r="H56" i="57"/>
  <c r="H50" i="57"/>
  <c r="H44" i="57"/>
  <c r="H38" i="57"/>
  <c r="H32" i="57"/>
  <c r="H26" i="57"/>
  <c r="H20" i="57"/>
  <c r="H1446" i="57"/>
  <c r="H2489" i="57"/>
  <c r="H2483" i="57"/>
  <c r="H2507" i="57"/>
  <c r="H2501" i="57"/>
  <c r="H2495" i="57"/>
  <c r="H49" i="57"/>
  <c r="H37" i="57"/>
  <c r="H25" i="57"/>
  <c r="H19" i="57"/>
  <c r="H1451" i="57"/>
  <c r="H2494" i="57"/>
  <c r="H2488" i="57"/>
  <c r="H2482" i="57"/>
  <c r="H2506" i="57"/>
  <c r="H2500" i="57"/>
  <c r="BF42" i="54" a="1"/>
  <c r="BF42" i="54" s="1"/>
  <c r="B2" i="64"/>
  <c r="B4" i="61"/>
  <c r="D45" i="61"/>
  <c r="D34" i="61"/>
  <c r="D17" i="61"/>
  <c r="D53" i="61"/>
  <c r="D36" i="61"/>
  <c r="D19" i="61"/>
  <c r="D55" i="61"/>
  <c r="D44" i="61"/>
  <c r="D51" i="61"/>
  <c r="D40" i="61"/>
  <c r="D23" i="61"/>
  <c r="D59" i="61"/>
  <c r="D42" i="61"/>
  <c r="D25" i="61"/>
  <c r="D14" i="61"/>
  <c r="D50" i="61"/>
  <c r="D21" i="61"/>
  <c r="D57" i="61"/>
  <c r="D46" i="61"/>
  <c r="D29" i="61"/>
  <c r="D12" i="61"/>
  <c r="D48" i="61"/>
  <c r="D31" i="61"/>
  <c r="D20" i="61"/>
  <c r="D56" i="61"/>
  <c r="D27" i="61"/>
  <c r="D16" i="61"/>
  <c r="D52" i="61"/>
  <c r="D35" i="61"/>
  <c r="D18" i="61"/>
  <c r="D54" i="61"/>
  <c r="D37" i="61"/>
  <c r="D26" i="61"/>
  <c r="D33" i="61"/>
  <c r="D22" i="61"/>
  <c r="D58" i="61"/>
  <c r="D41" i="61"/>
  <c r="D24" i="61"/>
  <c r="D60" i="61"/>
  <c r="D43" i="61"/>
  <c r="D32" i="61"/>
  <c r="D39" i="61"/>
  <c r="D28" i="61"/>
  <c r="D11" i="61"/>
  <c r="D47" i="61"/>
  <c r="D30" i="61"/>
  <c r="D13" i="61"/>
  <c r="D49" i="61"/>
  <c r="D38" i="61"/>
  <c r="DB10" i="54"/>
  <c r="DC7" i="54"/>
  <c r="B4" i="57"/>
  <c r="H2509" i="57"/>
  <c r="H2503" i="57"/>
  <c r="H2497" i="57"/>
  <c r="H2490" i="57"/>
  <c r="H2484" i="57"/>
  <c r="BB20" i="40" l="1"/>
  <c r="BI8" i="40"/>
  <c r="BC6" i="40" a="1"/>
  <c r="BC6" i="40" s="1"/>
  <c r="DG6" i="40" a="1"/>
  <c r="DG6" i="40" s="1"/>
  <c r="BQ6" i="40" a="1"/>
  <c r="BQ6" i="40" s="1"/>
  <c r="Y8" i="50"/>
  <c r="Y6" i="50"/>
  <c r="T6" i="50" a="1"/>
  <c r="T6" i="50" s="1"/>
  <c r="U6" i="50" s="1" a="1"/>
  <c r="U6" i="50" s="1"/>
  <c r="Q44" i="50" s="1" a="1"/>
  <c r="Q44" i="50" s="1"/>
  <c r="Q48" i="50" s="1" a="1"/>
  <c r="Q48" i="50" s="1"/>
  <c r="AS7" i="50"/>
  <c r="AR7" i="50"/>
  <c r="W6" i="50" a="1"/>
  <c r="W6" i="50" s="1"/>
  <c r="Q40" i="50"/>
  <c r="Q36" i="50"/>
  <c r="Q38" i="50"/>
  <c r="Q34" i="50"/>
  <c r="AD6" i="50" a="1"/>
  <c r="AD6" i="50" s="1"/>
  <c r="AC6" i="50" a="1"/>
  <c r="AC6" i="50" s="1"/>
  <c r="AE6" i="50" a="1"/>
  <c r="AE6" i="50" s="1"/>
  <c r="AF6" i="50" a="1"/>
  <c r="AF6" i="50" s="1"/>
  <c r="Y46" i="50" a="1"/>
  <c r="Y46" i="50" s="1"/>
  <c r="Y48" i="50" a="1"/>
  <c r="Y48" i="50" s="1"/>
  <c r="B7" i="57" a="1"/>
  <c r="B7" i="57" s="1"/>
  <c r="CS9" i="52" a="1"/>
  <c r="CS9" i="52" s="1"/>
  <c r="CQ11" i="52"/>
  <c r="BD6" i="40" a="1"/>
  <c r="BD6" i="40" s="1"/>
  <c r="BG43" i="54" a="1"/>
  <c r="BG43" i="54" s="1"/>
  <c r="BF43" i="54" a="1"/>
  <c r="BF43" i="54" s="1"/>
  <c r="BH43" i="54" a="1"/>
  <c r="BH43" i="54" s="1"/>
  <c r="BI43" i="54" a="1"/>
  <c r="BI43" i="54" s="1"/>
  <c r="BJ43" i="54" a="1"/>
  <c r="BJ43" i="54" s="1"/>
  <c r="DC10" i="54"/>
  <c r="DA10" i="54"/>
  <c r="DB11" i="54" s="1"/>
  <c r="Q6" i="50" l="1"/>
  <c r="Q8" i="50"/>
  <c r="V6" i="50" a="1"/>
  <c r="V6" i="50" s="1"/>
  <c r="Q42" i="50" a="1"/>
  <c r="Q42" i="50" s="1"/>
  <c r="Q46" i="50" s="1" a="1"/>
  <c r="Q46" i="50" s="1"/>
  <c r="Q10" i="50"/>
  <c r="AP8" i="50"/>
  <c r="AQ8" i="50" s="1"/>
  <c r="AS8" i="50" s="1"/>
  <c r="Q12" i="50"/>
  <c r="CS10" i="52" a="1"/>
  <c r="CS10" i="52" s="1"/>
  <c r="CQ9" i="52"/>
  <c r="CA10" i="40"/>
  <c r="CA12" i="40" s="1"/>
  <c r="CA6" i="40" s="1"/>
  <c r="B33" i="40"/>
  <c r="B32" i="40"/>
  <c r="B37" i="40"/>
  <c r="B46" i="40"/>
  <c r="CL19" i="40"/>
  <c r="CL17" i="40"/>
  <c r="B31" i="40"/>
  <c r="B34" i="40"/>
  <c r="DD14" i="40"/>
  <c r="DQ6" i="40" a="1"/>
  <c r="DQ6" i="40" s="1"/>
  <c r="DN16" i="40"/>
  <c r="B47" i="40"/>
  <c r="DN14" i="40"/>
  <c r="DD16" i="40"/>
  <c r="B30" i="40"/>
  <c r="BE6" i="40" a="1"/>
  <c r="BE6" i="40" s="1"/>
  <c r="B41" i="40"/>
  <c r="B45" i="40"/>
  <c r="B44" i="40"/>
  <c r="DD18" i="40"/>
  <c r="B42" i="40"/>
  <c r="B35" i="40"/>
  <c r="B39" i="40"/>
  <c r="B38" i="40"/>
  <c r="B43" i="40"/>
  <c r="P44" i="54"/>
  <c r="P42" i="54"/>
  <c r="I44" i="54"/>
  <c r="I42" i="54"/>
  <c r="W44" i="54"/>
  <c r="W42" i="54"/>
  <c r="B44" i="54"/>
  <c r="B46" i="54"/>
  <c r="B42" i="54"/>
  <c r="DC11" i="54"/>
  <c r="DA11" i="54"/>
  <c r="DB12" i="54" s="1"/>
  <c r="Z14" i="53" a="1"/>
  <c r="Z14" i="53" s="1"/>
  <c r="AA14" i="53" a="1"/>
  <c r="AA14" i="53" s="1"/>
  <c r="AD14" i="53" a="1"/>
  <c r="AD14" i="53" s="1"/>
  <c r="Q6" i="53"/>
  <c r="W14" i="53" s="1" a="1"/>
  <c r="W14" i="53" s="1"/>
  <c r="U14" i="53" a="1"/>
  <c r="U14" i="53" s="1"/>
  <c r="S14" i="53" a="1"/>
  <c r="S14" i="53" s="1"/>
  <c r="T14" i="53" s="1" a="1"/>
  <c r="T14" i="53" s="1"/>
  <c r="AR8" i="50" l="1"/>
  <c r="AP9" i="50" s="1"/>
  <c r="AQ9" i="50" s="1"/>
  <c r="AS9" i="50" s="1"/>
  <c r="CS11" i="52" a="1"/>
  <c r="CS11" i="52" s="1"/>
  <c r="BS9" i="52" a="1"/>
  <c r="BS9" i="52" s="1"/>
  <c r="BO9" i="52" a="1"/>
  <c r="BO9" i="52" s="1"/>
  <c r="AW9" i="52" a="1"/>
  <c r="AW9" i="52" s="1"/>
  <c r="BB9" i="52" a="1"/>
  <c r="BB9" i="52" s="1"/>
  <c r="BC9" i="52" s="1" a="1"/>
  <c r="BC9" i="52" s="1"/>
  <c r="CA9" i="52" a="1"/>
  <c r="CA9" i="52" s="1"/>
  <c r="BA15" i="52"/>
  <c r="BU9" i="52" a="1"/>
  <c r="BU9" i="52" s="1"/>
  <c r="BP9" i="52" a="1"/>
  <c r="BP9" i="52" s="1"/>
  <c r="BQ9" i="52" s="1" a="1"/>
  <c r="BQ9" i="52" s="1"/>
  <c r="B59" i="52"/>
  <c r="CJ19" i="52" s="1"/>
  <c r="BR9" i="52" a="1"/>
  <c r="BR9" i="52" s="1"/>
  <c r="BT9" i="52" s="1" a="1"/>
  <c r="BT9" i="52" s="1"/>
  <c r="BA25" i="52"/>
  <c r="DN18" i="40"/>
  <c r="DS6" i="40" s="1" a="1"/>
  <c r="DS6" i="40" s="1"/>
  <c r="CL21" i="40"/>
  <c r="CN6" i="40" a="1"/>
  <c r="CN6" i="40" s="1"/>
  <c r="CA18" i="40"/>
  <c r="CA14" i="40"/>
  <c r="CF6" i="40" s="1" a="1"/>
  <c r="CF6" i="40" s="1"/>
  <c r="CA22" i="40"/>
  <c r="BB12" i="40"/>
  <c r="BB16" i="40" s="1"/>
  <c r="DH6" i="40" a="1"/>
  <c r="DH6" i="40" s="1"/>
  <c r="CB6" i="40" a="1"/>
  <c r="CB6" i="40" s="1"/>
  <c r="BB10" i="40"/>
  <c r="DN20" i="40"/>
  <c r="DN24" i="40" s="1"/>
  <c r="DR6" i="40" s="1" a="1"/>
  <c r="DR6" i="40" s="1"/>
  <c r="DE12" i="40"/>
  <c r="DE15" i="40"/>
  <c r="DD24" i="40"/>
  <c r="DD28" i="40" s="1"/>
  <c r="DE16" i="40"/>
  <c r="DE11" i="40"/>
  <c r="DE21" i="40"/>
  <c r="DE22" i="40"/>
  <c r="DE14" i="40"/>
  <c r="DE9" i="40"/>
  <c r="DE13" i="40"/>
  <c r="DE10" i="40"/>
  <c r="B40" i="40"/>
  <c r="B36" i="40"/>
  <c r="DC12" i="54"/>
  <c r="DA12" i="54"/>
  <c r="DB13" i="54" s="1"/>
  <c r="V14" i="53" a="1"/>
  <c r="V14" i="53" s="1"/>
  <c r="X14" i="53" s="1" a="1"/>
  <c r="X14" i="53" s="1"/>
  <c r="M14" i="53" a="1"/>
  <c r="M14" i="53" s="1"/>
  <c r="K14" i="53" a="1"/>
  <c r="K14" i="53" s="1"/>
  <c r="L14" i="53" s="1" a="1"/>
  <c r="L14" i="53" s="1"/>
  <c r="C14" i="53" a="1"/>
  <c r="C14" i="53" s="1"/>
  <c r="A14" i="53" a="1"/>
  <c r="A14" i="53" s="1"/>
  <c r="B14" i="53" s="1" a="1"/>
  <c r="B14" i="53" s="1"/>
  <c r="AR9" i="50" l="1"/>
  <c r="AP10" i="50" s="1"/>
  <c r="AQ10" i="50" s="1"/>
  <c r="AS10" i="50" s="1"/>
  <c r="BV9" i="52" a="1"/>
  <c r="BV9" i="52" s="1"/>
  <c r="BW9" i="52" a="1"/>
  <c r="BW9" i="52" s="1"/>
  <c r="H54" i="52" a="1"/>
  <c r="H54" i="52" s="1"/>
  <c r="CS15" i="52" a="1"/>
  <c r="CS15" i="52" s="1"/>
  <c r="CQ13" i="52"/>
  <c r="CS12" i="52" a="1"/>
  <c r="CS12" i="52" s="1"/>
  <c r="BD9" i="52" a="1"/>
  <c r="BD9" i="52" s="1"/>
  <c r="BA21" i="52"/>
  <c r="BA17" i="52"/>
  <c r="CJ15" i="52"/>
  <c r="CJ21" i="52"/>
  <c r="CL9" i="52" s="1" a="1"/>
  <c r="CL9" i="52" s="1"/>
  <c r="DU6" i="40" a="1"/>
  <c r="DU6" i="40" s="1"/>
  <c r="DV6" i="40" s="1" a="1"/>
  <c r="DV6" i="40" s="1"/>
  <c r="DY6" i="40" a="1"/>
  <c r="DY6" i="40" s="1"/>
  <c r="EA6" i="40" s="1" a="1"/>
  <c r="EA6" i="40" s="1"/>
  <c r="BB14" i="40"/>
  <c r="BF6" i="40" a="1"/>
  <c r="BF6" i="40" s="1"/>
  <c r="CG6" i="40" a="1"/>
  <c r="CG6" i="40" s="1"/>
  <c r="CH6" i="40" a="1"/>
  <c r="CH6" i="40" s="1"/>
  <c r="DD30" i="40"/>
  <c r="DI6" i="40" s="1" a="1"/>
  <c r="DI6" i="40" s="1"/>
  <c r="CA20" i="40"/>
  <c r="CA24" i="40" s="1"/>
  <c r="CC6" i="40" s="1" a="1"/>
  <c r="CC6" i="40" s="1"/>
  <c r="CD6" i="40" a="1"/>
  <c r="CD6" i="40" s="1"/>
  <c r="CE6" i="40" s="1" a="1"/>
  <c r="CE6" i="40" s="1"/>
  <c r="CL27" i="40"/>
  <c r="CL31" i="40" s="1"/>
  <c r="CO6" i="40" s="1" a="1"/>
  <c r="CO6" i="40" s="1"/>
  <c r="CP6" i="40" a="1"/>
  <c r="CP6" i="40" s="1"/>
  <c r="DC13" i="54"/>
  <c r="DA13" i="54"/>
  <c r="DB14" i="54" s="1"/>
  <c r="N14" i="53" a="1"/>
  <c r="N14" i="53" s="1"/>
  <c r="N6" i="53" s="1"/>
  <c r="M6" i="53"/>
  <c r="M7" i="53"/>
  <c r="AR10" i="50" l="1"/>
  <c r="AP11" i="50" s="1"/>
  <c r="AQ11" i="50" s="1"/>
  <c r="AX9" i="52" a="1"/>
  <c r="AX9" i="52" s="1"/>
  <c r="CS14" i="52" a="1"/>
  <c r="CS14" i="52" s="1"/>
  <c r="CS20" i="52" a="1"/>
  <c r="CS20" i="52" s="1"/>
  <c r="CQ15" i="52"/>
  <c r="CS13" i="52" s="1" a="1"/>
  <c r="CS13" i="52" s="1"/>
  <c r="CQ17" i="52" s="1"/>
  <c r="BE9" i="52" a="1"/>
  <c r="BE9" i="52" s="1"/>
  <c r="BY9" i="52" a="1"/>
  <c r="BY9" i="52" s="1"/>
  <c r="BX9" i="52" a="1"/>
  <c r="BX9" i="52" s="1"/>
  <c r="BZ9" i="52" a="1"/>
  <c r="BZ9" i="52" s="1"/>
  <c r="CP9" i="52" a="1"/>
  <c r="CP9" i="52" s="1"/>
  <c r="CM9" i="52" a="1"/>
  <c r="CM9" i="52" s="1"/>
  <c r="B60" i="52"/>
  <c r="CJ23" i="52"/>
  <c r="CJ6" i="40" a="1"/>
  <c r="CJ6" i="40" s="1"/>
  <c r="CR6" i="40" a="1"/>
  <c r="CR6" i="40" s="1"/>
  <c r="CS6" i="40" s="1" a="1"/>
  <c r="CS6" i="40" s="1"/>
  <c r="CV6" i="40" a="1"/>
  <c r="CV6" i="40" s="1"/>
  <c r="DB6" i="40" s="1" a="1"/>
  <c r="DB6" i="40" s="1"/>
  <c r="CI6" i="40" a="1"/>
  <c r="CI6" i="40" s="1"/>
  <c r="BI12" i="40" a="1"/>
  <c r="BI12" i="40" s="1"/>
  <c r="BG6" i="40" a="1"/>
  <c r="BG6" i="40" s="1"/>
  <c r="DK6" i="40" a="1"/>
  <c r="DK6" i="40" s="1"/>
  <c r="DL6" i="40" a="1"/>
  <c r="DL6" i="40" s="1"/>
  <c r="DJ6" i="40" a="1"/>
  <c r="DJ6" i="40" s="1"/>
  <c r="BI10" i="40"/>
  <c r="BB22" i="40"/>
  <c r="DZ6" i="40" a="1"/>
  <c r="DZ6" i="40" s="1"/>
  <c r="DC14" i="54"/>
  <c r="DA14" i="54"/>
  <c r="DB15" i="54" s="1"/>
  <c r="N7" i="53"/>
  <c r="AS11" i="50" l="1"/>
  <c r="BG9" i="52" a="1"/>
  <c r="BG9" i="52" s="1"/>
  <c r="BF9" i="52" a="1"/>
  <c r="BF9" i="52" s="1"/>
  <c r="CQ21" i="52"/>
  <c r="D59" i="52" s="1"/>
  <c r="C59" i="52"/>
  <c r="CS16" i="52" a="1"/>
  <c r="CS16" i="52" s="1"/>
  <c r="CS17" i="52" s="1" a="1"/>
  <c r="CS17" i="52" s="1"/>
  <c r="CQ19" i="52"/>
  <c r="CC19" i="52"/>
  <c r="CE9" i="52" s="1" a="1"/>
  <c r="CE9" i="52" s="1"/>
  <c r="CC15" i="52"/>
  <c r="B61" i="52"/>
  <c r="BI16" i="40"/>
  <c r="BI38" i="40"/>
  <c r="BI42" i="40" s="1"/>
  <c r="BI44" i="40" s="1"/>
  <c r="BI14" i="40"/>
  <c r="BI18" i="40" s="1"/>
  <c r="DD34" i="40"/>
  <c r="DD32" i="40"/>
  <c r="CW6" i="40" a="1"/>
  <c r="CW6" i="40" s="1"/>
  <c r="CX6" i="40" s="1" a="1"/>
  <c r="CX6" i="40" s="1"/>
  <c r="DC15" i="54"/>
  <c r="DA15" i="54"/>
  <c r="DB16" i="54" s="1"/>
  <c r="AR11" i="50" l="1"/>
  <c r="AP12" i="50" s="1"/>
  <c r="AQ12" i="50" s="1"/>
  <c r="CS21" i="52" a="1"/>
  <c r="CS21" i="52" s="1"/>
  <c r="AZ9" i="52" s="1" a="1"/>
  <c r="AZ9" i="52" s="1"/>
  <c r="AQ21" i="52"/>
  <c r="CS19" i="52" a="1"/>
  <c r="CS19" i="52" s="1"/>
  <c r="AQ17" i="52" s="1"/>
  <c r="CS18" i="52" a="1"/>
  <c r="CS18" i="52" s="1"/>
  <c r="AQ15" i="52" s="1"/>
  <c r="BH9" i="52" a="1"/>
  <c r="BH9" i="52" s="1"/>
  <c r="BI9" i="52" a="1"/>
  <c r="BI9" i="52" s="1"/>
  <c r="CJ25" i="52" a="1"/>
  <c r="CJ25" i="52" s="1"/>
  <c r="CQ23" i="52"/>
  <c r="D60" i="52" s="1"/>
  <c r="E59" i="52" s="1"/>
  <c r="C60" i="52"/>
  <c r="C61" i="52" s="1"/>
  <c r="CI9" i="52" a="1"/>
  <c r="CI9" i="52" s="1"/>
  <c r="CF9" i="52" a="1"/>
  <c r="CF9" i="52" s="1"/>
  <c r="CY6" i="40" a="1"/>
  <c r="CY6" i="40" s="1"/>
  <c r="BI20" i="40"/>
  <c r="BI30" i="40"/>
  <c r="BS6" i="40" s="1" a="1"/>
  <c r="BS6" i="40" s="1"/>
  <c r="BT6" i="40" s="1" a="1"/>
  <c r="BT6" i="40" s="1"/>
  <c r="DE8" i="40"/>
  <c r="DE6" i="40"/>
  <c r="DE7" i="40"/>
  <c r="DE17" i="40"/>
  <c r="DE18" i="40"/>
  <c r="DE19" i="40"/>
  <c r="BI46" i="40"/>
  <c r="BN6" i="40" a="1"/>
  <c r="BN6" i="40" s="1"/>
  <c r="CZ6" i="40" a="1"/>
  <c r="CZ6" i="40" s="1"/>
  <c r="DA6" i="40" a="1"/>
  <c r="DA6" i="40" s="1"/>
  <c r="DC16" i="54"/>
  <c r="DA16" i="54"/>
  <c r="DB17" i="54" s="1"/>
  <c r="AR12" i="50" l="1"/>
  <c r="CG9" i="52" a="1"/>
  <c r="CG9" i="52" s="1"/>
  <c r="CB9" i="52" a="1"/>
  <c r="CB9" i="52" s="1"/>
  <c r="BA19" i="52" a="1"/>
  <c r="BA19" i="52" s="1"/>
  <c r="BA23" i="52" s="1"/>
  <c r="AQ19" i="52"/>
  <c r="AQ23" i="52" s="1"/>
  <c r="AQ25" i="52" s="1"/>
  <c r="AQ27" i="52" s="1"/>
  <c r="AQ29" i="52" s="1"/>
  <c r="AR9" i="52" s="1" a="1"/>
  <c r="AR9" i="52" s="1"/>
  <c r="AS9" i="52" s="1" a="1"/>
  <c r="AS9" i="52" s="1"/>
  <c r="BJ9" i="52" a="1"/>
  <c r="BJ9" i="52" s="1"/>
  <c r="BK9" i="52" s="1" a="1"/>
  <c r="BK9" i="52" s="1"/>
  <c r="BL9" i="52" s="1" a="1"/>
  <c r="BL9" i="52" s="1"/>
  <c r="CJ35" i="52"/>
  <c r="K54" i="52"/>
  <c r="CO9" i="52" a="1"/>
  <c r="CO9" i="52" s="1"/>
  <c r="CJ31" i="52" s="1" a="1"/>
  <c r="CJ31" i="52" s="1"/>
  <c r="CJ33" i="52" s="1" a="1"/>
  <c r="CJ33" i="52" s="1"/>
  <c r="CJ41" i="52"/>
  <c r="CN9" i="52" a="1"/>
  <c r="CN9" i="52" s="1"/>
  <c r="CH9" i="52" a="1"/>
  <c r="CH9" i="52" s="1"/>
  <c r="CC25" i="52" s="1" a="1"/>
  <c r="CC25" i="52" s="1"/>
  <c r="CC27" i="52" s="1" a="1"/>
  <c r="CC27" i="52" s="1"/>
  <c r="CC37" i="52"/>
  <c r="CC9" i="52" s="1"/>
  <c r="E54" i="52"/>
  <c r="E55" i="52" s="1"/>
  <c r="CC35" i="52"/>
  <c r="CC21" i="52"/>
  <c r="CC29" i="52"/>
  <c r="BO6" i="40" a="1"/>
  <c r="BO6" i="40" s="1"/>
  <c r="BP6" i="40" s="1" a="1"/>
  <c r="BP6" i="40" s="1"/>
  <c r="BY6" i="40" s="1" a="1"/>
  <c r="BY6" i="40" s="1"/>
  <c r="BI22" i="40"/>
  <c r="BI32" i="40"/>
  <c r="BI36" i="40" s="1"/>
  <c r="DC17" i="54"/>
  <c r="DA17" i="54"/>
  <c r="DB18" i="54" s="1"/>
  <c r="AS12" i="50" l="1"/>
  <c r="AP13" i="50" s="1"/>
  <c r="AQ13" i="50" s="1"/>
  <c r="CJ37" i="52" a="1"/>
  <c r="CJ37" i="52" s="1"/>
  <c r="CJ39" i="52" s="1" a="1"/>
  <c r="CJ39" i="52" s="1"/>
  <c r="BA27" i="52"/>
  <c r="BA9" i="52" s="1"/>
  <c r="BN9" i="52" a="1"/>
  <c r="BN9" i="52" s="1"/>
  <c r="C91" i="52" a="1"/>
  <c r="C91" i="52" s="1"/>
  <c r="AT9" i="52" a="1"/>
  <c r="AT9" i="52" s="1"/>
  <c r="AU9" i="52" a="1"/>
  <c r="AU9" i="52" s="1"/>
  <c r="BM9" i="52" a="1"/>
  <c r="BM9" i="52" s="1"/>
  <c r="B91" i="52" a="1"/>
  <c r="B91" i="52" s="1"/>
  <c r="D91" i="52" a="1"/>
  <c r="D91" i="52" s="1"/>
  <c r="E91" i="52" a="1"/>
  <c r="E91" i="52" s="1"/>
  <c r="A91" i="52" a="1"/>
  <c r="A91" i="52" s="1"/>
  <c r="K55" i="52"/>
  <c r="CJ27" i="52"/>
  <c r="CJ9" i="52" s="1"/>
  <c r="CC31" i="52" a="1"/>
  <c r="CC31" i="52" s="1"/>
  <c r="CC33" i="52" s="1" a="1"/>
  <c r="CC33" i="52" s="1"/>
  <c r="BL6" i="40" a="1"/>
  <c r="BL6" i="40" s="1"/>
  <c r="BK6" i="40" a="1"/>
  <c r="BK6" i="40" s="1"/>
  <c r="DC18" i="54"/>
  <c r="DA18" i="54"/>
  <c r="DB19" i="54" s="1"/>
  <c r="AS13" i="50" l="1"/>
  <c r="AV9" i="52" a="1"/>
  <c r="AV9" i="52" s="1"/>
  <c r="AY9" i="52" s="1" a="1"/>
  <c r="AY9" i="52" s="1"/>
  <c r="BX6" i="40" a="1"/>
  <c r="BX6" i="40" s="1"/>
  <c r="BM6" i="40" a="1"/>
  <c r="BM6" i="40" s="1"/>
  <c r="BV6" i="40" s="1" a="1"/>
  <c r="BV6" i="40" s="1"/>
  <c r="BW6" i="40" s="1" a="1"/>
  <c r="BW6" i="40" s="1"/>
  <c r="DC19" i="54"/>
  <c r="DA19" i="54"/>
  <c r="DB20" i="54" s="1"/>
  <c r="AR13" i="50" l="1"/>
  <c r="AP14" i="50" s="1"/>
  <c r="DC20" i="54"/>
  <c r="DA20" i="54"/>
  <c r="DB21" i="54" s="1"/>
  <c r="J31" i="56"/>
  <c r="J30" i="56"/>
  <c r="J29" i="56"/>
  <c r="J28" i="56"/>
  <c r="AQ14" i="50" l="1"/>
  <c r="AS14" i="50" s="1"/>
  <c r="DC21" i="54"/>
  <c r="DA21" i="54"/>
  <c r="DB22" i="54" s="1"/>
  <c r="AR14" i="50" l="1"/>
  <c r="AP15" i="50" s="1"/>
  <c r="AQ15" i="50" s="1"/>
  <c r="AR15" i="50" s="1"/>
  <c r="DC22" i="54"/>
  <c r="DA22" i="54"/>
  <c r="DB23" i="54" s="1"/>
  <c r="S59" i="56"/>
  <c r="S60" i="56"/>
  <c r="S58" i="56"/>
  <c r="S50" i="56"/>
  <c r="T50" i="56" s="1"/>
  <c r="S51" i="56"/>
  <c r="T51" i="56" s="1"/>
  <c r="S52" i="56"/>
  <c r="T52" i="56" s="1"/>
  <c r="S53" i="56"/>
  <c r="U53" i="56" s="1"/>
  <c r="S54" i="56"/>
  <c r="T54" i="56" s="1"/>
  <c r="S55" i="56"/>
  <c r="T55" i="56" s="1"/>
  <c r="S49" i="56"/>
  <c r="T49" i="56" s="1"/>
  <c r="S38" i="56"/>
  <c r="T38" i="56" s="1"/>
  <c r="S39" i="56"/>
  <c r="U39" i="56" s="1"/>
  <c r="S40" i="56"/>
  <c r="U40" i="56" s="1"/>
  <c r="S41" i="56"/>
  <c r="T41" i="56" s="1"/>
  <c r="S42" i="56"/>
  <c r="T42" i="56" s="1"/>
  <c r="S43" i="56"/>
  <c r="U43" i="56" s="1"/>
  <c r="S44" i="56"/>
  <c r="U44" i="56" s="1"/>
  <c r="S45" i="56"/>
  <c r="T45" i="56" s="1"/>
  <c r="S46" i="56"/>
  <c r="T46" i="56" s="1"/>
  <c r="S37" i="56"/>
  <c r="U37" i="56" s="1"/>
  <c r="S29" i="56"/>
  <c r="S30" i="56"/>
  <c r="S31" i="56"/>
  <c r="S32" i="56"/>
  <c r="S33" i="56"/>
  <c r="S34" i="56"/>
  <c r="S28" i="56"/>
  <c r="S3" i="56"/>
  <c r="S4" i="56"/>
  <c r="U4" i="56" s="1"/>
  <c r="S5" i="56"/>
  <c r="U5" i="56" s="1"/>
  <c r="S6" i="56"/>
  <c r="S7" i="56"/>
  <c r="U7" i="56" s="1"/>
  <c r="S8" i="56"/>
  <c r="U8" i="56" s="1"/>
  <c r="S9" i="56"/>
  <c r="S10" i="56"/>
  <c r="U10" i="56" s="1"/>
  <c r="S11" i="56"/>
  <c r="U11" i="56" s="1"/>
  <c r="S12" i="56"/>
  <c r="S13" i="56"/>
  <c r="U13" i="56" s="1"/>
  <c r="S14" i="56"/>
  <c r="U14" i="56" s="1"/>
  <c r="S15" i="56"/>
  <c r="S16" i="56"/>
  <c r="S17" i="56"/>
  <c r="U17" i="56" s="1"/>
  <c r="S18" i="56"/>
  <c r="U18" i="56" s="1"/>
  <c r="S19" i="56"/>
  <c r="S20" i="56"/>
  <c r="S21" i="56"/>
  <c r="U21" i="56" s="1"/>
  <c r="S22" i="56"/>
  <c r="U22" i="56" s="1"/>
  <c r="S23" i="56"/>
  <c r="S24" i="56"/>
  <c r="S25" i="56"/>
  <c r="U25" i="56" s="1"/>
  <c r="S2" i="56"/>
  <c r="U2" i="56" s="1"/>
  <c r="AS15" i="50" l="1"/>
  <c r="AP16" i="50" s="1"/>
  <c r="AQ16" i="50" s="1"/>
  <c r="AS16" i="50" s="1"/>
  <c r="DC23" i="54"/>
  <c r="DA23" i="54"/>
  <c r="DB24" i="54" s="1"/>
  <c r="T2" i="56"/>
  <c r="T18" i="56"/>
  <c r="T13" i="56"/>
  <c r="T5" i="56"/>
  <c r="T44" i="56"/>
  <c r="T40" i="56"/>
  <c r="U46" i="56"/>
  <c r="U42" i="56"/>
  <c r="U38" i="56"/>
  <c r="T53" i="56"/>
  <c r="U49" i="56"/>
  <c r="U52" i="56"/>
  <c r="T22" i="56"/>
  <c r="T17" i="56"/>
  <c r="T8" i="56"/>
  <c r="T4" i="56"/>
  <c r="T37" i="56"/>
  <c r="T43" i="56"/>
  <c r="T39" i="56"/>
  <c r="U45" i="56"/>
  <c r="U41" i="56"/>
  <c r="U55" i="56"/>
  <c r="U51" i="56"/>
  <c r="T21" i="56"/>
  <c r="T11" i="56"/>
  <c r="T7" i="56"/>
  <c r="U54" i="56"/>
  <c r="U50" i="56"/>
  <c r="T25" i="56"/>
  <c r="T14" i="56"/>
  <c r="T10" i="56"/>
  <c r="AR16" i="50" l="1"/>
  <c r="AP17" i="50" s="1"/>
  <c r="AQ17" i="50" s="1"/>
  <c r="DC24" i="54"/>
  <c r="DA24" i="54"/>
  <c r="DB25" i="54" s="1"/>
  <c r="G13" i="56"/>
  <c r="G12" i="56"/>
  <c r="G11" i="56"/>
  <c r="G10" i="56"/>
  <c r="G9" i="56"/>
  <c r="G8" i="56"/>
  <c r="G7" i="56"/>
  <c r="G6" i="56"/>
  <c r="G5" i="56"/>
  <c r="AS17" i="50" l="1"/>
  <c r="DC25" i="54"/>
  <c r="DA25" i="54"/>
  <c r="DB26" i="54" s="1"/>
  <c r="AR17" i="50" l="1"/>
  <c r="AP18" i="50" s="1"/>
  <c r="AQ18" i="50" s="1"/>
  <c r="DC26" i="54"/>
  <c r="DA26" i="54"/>
  <c r="DB27" i="54" s="1"/>
  <c r="H30" i="50"/>
  <c r="AS18" i="50" l="1"/>
  <c r="DC27" i="54"/>
  <c r="DA27" i="54"/>
  <c r="DB28" i="54" s="1"/>
  <c r="AO28" i="56"/>
  <c r="AR18" i="50" l="1"/>
  <c r="AP19" i="50" s="1"/>
  <c r="AQ19" i="50" s="1"/>
  <c r="DC28" i="54"/>
  <c r="DA28" i="54"/>
  <c r="DB29" i="54" s="1"/>
  <c r="AR19" i="50" l="1"/>
  <c r="AS19" i="50"/>
  <c r="DC29" i="54"/>
  <c r="DA29" i="54"/>
  <c r="DB30" i="54" s="1"/>
  <c r="AK60" i="56"/>
  <c r="P60" i="56"/>
  <c r="AK59" i="56"/>
  <c r="AE59" i="56"/>
  <c r="P59" i="56"/>
  <c r="AK58" i="56"/>
  <c r="AE58" i="56"/>
  <c r="P58" i="56"/>
  <c r="G58" i="56"/>
  <c r="G59" i="56"/>
  <c r="H59" i="56" s="1"/>
  <c r="V59" i="56" s="1"/>
  <c r="I59" i="56" s="1"/>
  <c r="G60" i="56"/>
  <c r="H60" i="56" s="1"/>
  <c r="E58" i="56"/>
  <c r="E59" i="56"/>
  <c r="E60" i="56"/>
  <c r="BJ8" i="54" l="1"/>
  <c r="HR3" i="54" s="1" a="1"/>
  <c r="HR3" i="54" s="1"/>
  <c r="AP20" i="50"/>
  <c r="AQ20" i="50" s="1"/>
  <c r="DC30" i="54"/>
  <c r="DA30" i="54"/>
  <c r="DB31" i="54" s="1"/>
  <c r="W58" i="56"/>
  <c r="J58" i="56" s="1"/>
  <c r="T58" i="56"/>
  <c r="U58" i="56"/>
  <c r="W60" i="56"/>
  <c r="J60" i="56" s="1"/>
  <c r="T60" i="56"/>
  <c r="U60" i="56"/>
  <c r="W59" i="56"/>
  <c r="J59" i="56" s="1"/>
  <c r="T59" i="56"/>
  <c r="U59" i="56"/>
  <c r="V60" i="56"/>
  <c r="Y60" i="56" s="1"/>
  <c r="AB60" i="56" s="1"/>
  <c r="H58" i="56"/>
  <c r="Y59" i="56"/>
  <c r="AB59" i="56" s="1"/>
  <c r="O59" i="56"/>
  <c r="X59" i="56"/>
  <c r="X60" i="56"/>
  <c r="G55" i="56"/>
  <c r="G54" i="56"/>
  <c r="G53" i="56"/>
  <c r="AX49" i="56"/>
  <c r="AU55" i="56"/>
  <c r="AO55" i="56"/>
  <c r="AU54" i="56"/>
  <c r="AO54" i="56"/>
  <c r="AU53" i="56"/>
  <c r="AO53" i="56"/>
  <c r="AU52" i="56"/>
  <c r="AO52" i="56"/>
  <c r="G52" i="56"/>
  <c r="AU51" i="56"/>
  <c r="AO51" i="56"/>
  <c r="G51" i="56"/>
  <c r="AU50" i="56"/>
  <c r="AO50" i="56"/>
  <c r="G50" i="56"/>
  <c r="AU49" i="56"/>
  <c r="AO49" i="56"/>
  <c r="K49" i="56"/>
  <c r="J49" i="56"/>
  <c r="I49" i="56"/>
  <c r="AQ55" i="56"/>
  <c r="K55" i="56"/>
  <c r="I55" i="56"/>
  <c r="AQ54" i="56"/>
  <c r="K54" i="56"/>
  <c r="I54" i="56"/>
  <c r="AQ53" i="56"/>
  <c r="K53" i="56"/>
  <c r="I53" i="56"/>
  <c r="AQ52" i="56"/>
  <c r="AQ51" i="56"/>
  <c r="AQ50" i="56"/>
  <c r="AQ49" i="56"/>
  <c r="AN49" i="56" s="1"/>
  <c r="G49" i="56"/>
  <c r="AS52" i="56"/>
  <c r="AS51" i="56"/>
  <c r="AS50" i="56"/>
  <c r="AK55" i="56"/>
  <c r="W55" i="56"/>
  <c r="P55" i="56"/>
  <c r="M55" i="56"/>
  <c r="AK54" i="56"/>
  <c r="AE54" i="56"/>
  <c r="W54" i="56"/>
  <c r="P54" i="56"/>
  <c r="M54" i="56"/>
  <c r="AK53" i="56"/>
  <c r="AE53" i="56"/>
  <c r="W53" i="56"/>
  <c r="P53" i="56"/>
  <c r="M53" i="56"/>
  <c r="AK52" i="56"/>
  <c r="W52" i="56"/>
  <c r="J52" i="56" s="1"/>
  <c r="P52" i="56"/>
  <c r="AK51" i="56"/>
  <c r="AE51" i="56"/>
  <c r="W51" i="56"/>
  <c r="J51" i="56" s="1"/>
  <c r="P51" i="56"/>
  <c r="AK50" i="56"/>
  <c r="AE50" i="56"/>
  <c r="W50" i="56"/>
  <c r="J50" i="56" s="1"/>
  <c r="P50" i="56"/>
  <c r="AK49" i="56"/>
  <c r="W49" i="56"/>
  <c r="Q49" i="56"/>
  <c r="R49" i="56" s="1"/>
  <c r="P49" i="56"/>
  <c r="AX37" i="56"/>
  <c r="AX4" i="56"/>
  <c r="AX3" i="56"/>
  <c r="AX2" i="56"/>
  <c r="AU46" i="56"/>
  <c r="AO46" i="56"/>
  <c r="G46" i="56"/>
  <c r="AU45" i="56"/>
  <c r="AO45" i="56"/>
  <c r="G45" i="56"/>
  <c r="AU44" i="56"/>
  <c r="AO44" i="56"/>
  <c r="G44" i="56"/>
  <c r="AU43" i="56"/>
  <c r="AO43" i="56"/>
  <c r="G43" i="56"/>
  <c r="AU42" i="56"/>
  <c r="AO42" i="56"/>
  <c r="G42" i="56"/>
  <c r="AU41" i="56"/>
  <c r="AO41" i="56"/>
  <c r="G41" i="56"/>
  <c r="AU40" i="56"/>
  <c r="AO40" i="56"/>
  <c r="G40" i="56"/>
  <c r="AU39" i="56"/>
  <c r="AO39" i="56"/>
  <c r="G39" i="56"/>
  <c r="AU38" i="56"/>
  <c r="AO38" i="56"/>
  <c r="G38" i="56"/>
  <c r="AU37" i="56"/>
  <c r="AO37" i="56"/>
  <c r="K37" i="56"/>
  <c r="J37" i="56"/>
  <c r="I37" i="56"/>
  <c r="AQ46" i="56"/>
  <c r="K46" i="56"/>
  <c r="I46" i="56"/>
  <c r="AQ45" i="56"/>
  <c r="AQ44" i="56"/>
  <c r="K44" i="56"/>
  <c r="I44" i="56"/>
  <c r="AQ43" i="56"/>
  <c r="AQ42" i="56"/>
  <c r="K42" i="56"/>
  <c r="I42" i="56"/>
  <c r="AQ41" i="56"/>
  <c r="AQ40" i="56"/>
  <c r="AQ39" i="56"/>
  <c r="AQ38" i="56"/>
  <c r="AQ37" i="56"/>
  <c r="AN37" i="56" s="1"/>
  <c r="G37" i="56"/>
  <c r="AS46" i="56"/>
  <c r="AS45" i="56"/>
  <c r="AS44" i="56"/>
  <c r="AS43" i="56"/>
  <c r="AS42" i="56"/>
  <c r="AS41" i="56"/>
  <c r="AS40" i="56"/>
  <c r="AS39" i="56"/>
  <c r="AS38" i="56"/>
  <c r="AK46" i="56"/>
  <c r="W46" i="56"/>
  <c r="P46" i="56"/>
  <c r="M46" i="56"/>
  <c r="AK45" i="56"/>
  <c r="W45" i="56"/>
  <c r="J45" i="56" s="1"/>
  <c r="P45" i="56"/>
  <c r="AK44" i="56"/>
  <c r="AE44" i="56"/>
  <c r="W44" i="56"/>
  <c r="P44" i="56"/>
  <c r="M44" i="56"/>
  <c r="AK43" i="56"/>
  <c r="AE43" i="56"/>
  <c r="W43" i="56"/>
  <c r="J43" i="56" s="1"/>
  <c r="P43" i="56"/>
  <c r="AK42" i="56"/>
  <c r="AE42" i="56"/>
  <c r="W42" i="56"/>
  <c r="P42" i="56"/>
  <c r="M42" i="56"/>
  <c r="AK41" i="56"/>
  <c r="AE41" i="56"/>
  <c r="W41" i="56"/>
  <c r="J41" i="56" s="1"/>
  <c r="P41" i="56"/>
  <c r="AK40" i="56"/>
  <c r="W40" i="56"/>
  <c r="J40" i="56" s="1"/>
  <c r="P40" i="56"/>
  <c r="AK39" i="56"/>
  <c r="AE39" i="56"/>
  <c r="W39" i="56"/>
  <c r="J39" i="56" s="1"/>
  <c r="P39" i="56"/>
  <c r="AK38" i="56"/>
  <c r="AE38" i="56"/>
  <c r="W38" i="56"/>
  <c r="J38" i="56" s="1"/>
  <c r="P38" i="56"/>
  <c r="AK37" i="56"/>
  <c r="W37" i="56"/>
  <c r="Q37" i="56"/>
  <c r="R37" i="56" s="1"/>
  <c r="P37" i="56"/>
  <c r="AP46" i="56"/>
  <c r="AP45" i="56"/>
  <c r="AP44" i="56"/>
  <c r="AP43" i="56"/>
  <c r="AP42" i="56"/>
  <c r="AP41" i="56"/>
  <c r="AP40" i="56"/>
  <c r="AP39" i="56"/>
  <c r="AP38" i="56"/>
  <c r="AP37" i="56"/>
  <c r="AS31" i="56"/>
  <c r="AO31" i="56"/>
  <c r="G31" i="56"/>
  <c r="AS30" i="56"/>
  <c r="AO30" i="56"/>
  <c r="G30" i="56"/>
  <c r="AS29" i="56"/>
  <c r="AO29" i="56"/>
  <c r="G29" i="56"/>
  <c r="AK34" i="56"/>
  <c r="P34" i="56"/>
  <c r="AK33" i="56"/>
  <c r="AE33" i="56"/>
  <c r="P33" i="56"/>
  <c r="AK32" i="56"/>
  <c r="AE32" i="56"/>
  <c r="P32" i="56"/>
  <c r="AK31" i="56"/>
  <c r="P31" i="56"/>
  <c r="AK30" i="56"/>
  <c r="AE30" i="56"/>
  <c r="P30" i="56"/>
  <c r="AK29" i="56"/>
  <c r="AE29" i="56"/>
  <c r="P29" i="56"/>
  <c r="AK28" i="56"/>
  <c r="Q28" i="56"/>
  <c r="R28" i="56" s="1"/>
  <c r="P28" i="56"/>
  <c r="K28" i="56"/>
  <c r="I28" i="56"/>
  <c r="AQ34" i="56"/>
  <c r="G34" i="56"/>
  <c r="AQ33" i="56"/>
  <c r="G33" i="56"/>
  <c r="AQ32" i="56"/>
  <c r="G32" i="56"/>
  <c r="AQ31" i="56"/>
  <c r="AQ30" i="56"/>
  <c r="AQ29" i="56"/>
  <c r="AQ28" i="56"/>
  <c r="AN28" i="56" s="1"/>
  <c r="M28" i="56"/>
  <c r="AO34" i="56"/>
  <c r="E34" i="56"/>
  <c r="AO33" i="56"/>
  <c r="E33" i="56"/>
  <c r="AO32" i="56"/>
  <c r="E32" i="56"/>
  <c r="E31" i="56"/>
  <c r="E30" i="56"/>
  <c r="E29" i="56"/>
  <c r="E28" i="56"/>
  <c r="F34" i="56"/>
  <c r="F33" i="56"/>
  <c r="F32" i="56"/>
  <c r="BM58" i="54" l="1" a="1"/>
  <c r="BM58" i="54" s="1"/>
  <c r="HP7" i="54" a="1"/>
  <c r="HP7" i="54" s="1"/>
  <c r="BJ19" i="54"/>
  <c r="BJ21" i="54"/>
  <c r="HN5" i="54" a="1"/>
  <c r="HN5" i="54" s="1"/>
  <c r="HO5" i="54" a="1"/>
  <c r="HO5" i="54" s="1"/>
  <c r="HO3" i="54" a="1"/>
  <c r="HO3" i="54" s="1"/>
  <c r="HO191" i="54" s="1"/>
  <c r="BJ13" i="54"/>
  <c r="BJ9" i="54" a="1"/>
  <c r="BJ9" i="54" s="1"/>
  <c r="BJ20" i="54"/>
  <c r="HN3" i="54" a="1"/>
  <c r="HN3" i="54" s="1"/>
  <c r="BJ16" i="54"/>
  <c r="HM5" i="54" a="1"/>
  <c r="HM5" i="54" s="1"/>
  <c r="BJ15" i="54"/>
  <c r="HM3" i="54" a="1"/>
  <c r="HM3" i="54" s="1"/>
  <c r="HM12" i="54" s="1"/>
  <c r="HM7" i="54" a="1"/>
  <c r="HM7" i="54" s="1"/>
  <c r="HP5" i="54" a="1"/>
  <c r="HP5" i="54" s="1"/>
  <c r="BM59" i="54" a="1"/>
  <c r="BM59" i="54" s="1"/>
  <c r="HQ3" i="54" a="1"/>
  <c r="HQ3" i="54" s="1"/>
  <c r="BM57" i="54" a="1"/>
  <c r="BM57" i="54" s="1"/>
  <c r="BJ14" i="54"/>
  <c r="HP3" i="54" a="1"/>
  <c r="HP3" i="54" s="1"/>
  <c r="HP62" i="54" s="1"/>
  <c r="HL7" i="54" a="1"/>
  <c r="HL7" i="54" s="1"/>
  <c r="HL5" i="54" a="1"/>
  <c r="HL5" i="54" s="1"/>
  <c r="HL264" i="54" s="1"/>
  <c r="HN264" i="54" s="1"/>
  <c r="BI8" i="54"/>
  <c r="GW3" i="54" s="1"/>
  <c r="BH8" i="54"/>
  <c r="EL3" i="54" s="1"/>
  <c r="BG8" i="54"/>
  <c r="DQ5" i="54" s="1"/>
  <c r="AS20" i="50"/>
  <c r="HO174" i="54"/>
  <c r="HO209" i="54"/>
  <c r="HM156" i="54"/>
  <c r="HM192" i="54"/>
  <c r="HM187" i="54"/>
  <c r="HM259" i="54"/>
  <c r="HM146" i="54"/>
  <c r="HM218" i="54"/>
  <c r="HM254" i="54"/>
  <c r="HM213" i="54"/>
  <c r="HM249" i="54"/>
  <c r="HM166" i="54"/>
  <c r="HM202" i="54"/>
  <c r="HM238" i="54"/>
  <c r="HM191" i="54"/>
  <c r="HM42" i="54"/>
  <c r="HM258" i="54"/>
  <c r="HM49" i="54"/>
  <c r="HM133" i="54"/>
  <c r="HM50" i="54"/>
  <c r="HM134" i="54"/>
  <c r="HM176" i="54"/>
  <c r="HM135" i="54"/>
  <c r="HM183" i="54"/>
  <c r="HM225" i="54"/>
  <c r="HM178" i="54"/>
  <c r="HM220" i="54"/>
  <c r="HM262" i="54"/>
  <c r="HM215" i="54"/>
  <c r="HM251" i="54"/>
  <c r="HM54" i="54"/>
  <c r="HM13" i="54"/>
  <c r="HM55" i="54"/>
  <c r="HM139" i="54"/>
  <c r="HM56" i="54"/>
  <c r="HM140" i="54"/>
  <c r="HM188" i="54"/>
  <c r="HM147" i="54"/>
  <c r="HM189" i="54"/>
  <c r="HM231" i="54"/>
  <c r="HM184" i="54"/>
  <c r="HM226" i="54"/>
  <c r="HM268" i="54"/>
  <c r="HM221" i="54"/>
  <c r="HM257" i="54"/>
  <c r="HM18" i="54"/>
  <c r="HM234" i="54"/>
  <c r="HM19" i="54"/>
  <c r="HM103" i="54"/>
  <c r="HM20" i="54"/>
  <c r="HM104" i="54"/>
  <c r="HM152" i="54"/>
  <c r="HM111" i="54"/>
  <c r="HM153" i="54"/>
  <c r="HM195" i="54"/>
  <c r="HM148" i="54"/>
  <c r="HM190" i="54"/>
  <c r="HM232" i="54"/>
  <c r="HM143" i="54"/>
  <c r="HM185" i="54"/>
  <c r="HM227" i="54"/>
  <c r="HM108" i="54"/>
  <c r="HM150" i="54"/>
  <c r="HM198" i="54"/>
  <c r="HM109" i="54"/>
  <c r="HM157" i="54"/>
  <c r="HM199" i="54"/>
  <c r="HM116" i="54"/>
  <c r="HM158" i="54"/>
  <c r="HM200" i="54"/>
  <c r="HM117" i="54"/>
  <c r="HM159" i="54"/>
  <c r="HM201" i="54"/>
  <c r="HM112" i="54"/>
  <c r="HM154" i="54"/>
  <c r="HM196" i="54"/>
  <c r="HM107" i="54"/>
  <c r="HM149" i="54"/>
  <c r="HM197" i="54"/>
  <c r="HM72" i="54"/>
  <c r="HM114" i="54"/>
  <c r="HM162" i="54"/>
  <c r="HM73" i="54"/>
  <c r="HM121" i="54"/>
  <c r="HM163" i="54"/>
  <c r="HM80" i="54"/>
  <c r="HM122" i="54"/>
  <c r="HM164" i="54"/>
  <c r="HM81" i="54"/>
  <c r="HM123" i="54"/>
  <c r="HM165" i="54"/>
  <c r="HM76" i="54"/>
  <c r="HM118" i="54"/>
  <c r="HM160" i="54"/>
  <c r="HM71" i="54"/>
  <c r="HM113" i="54"/>
  <c r="HM161" i="54"/>
  <c r="HM78" i="54"/>
  <c r="HM126" i="54"/>
  <c r="HM168" i="54"/>
  <c r="HM85" i="54"/>
  <c r="HM127" i="54"/>
  <c r="HM169" i="54"/>
  <c r="HM86" i="54"/>
  <c r="HM128" i="54"/>
  <c r="HM170" i="54"/>
  <c r="HM87" i="54"/>
  <c r="HM129" i="54"/>
  <c r="HM171" i="54"/>
  <c r="HM82" i="54"/>
  <c r="HM124" i="54"/>
  <c r="HM172" i="54"/>
  <c r="HM77" i="54"/>
  <c r="HM125" i="54"/>
  <c r="HM167" i="54"/>
  <c r="DQ3" i="54"/>
  <c r="DT3" i="54"/>
  <c r="BG15" i="54"/>
  <c r="BG13" i="54"/>
  <c r="HP26" i="54"/>
  <c r="HP134" i="54"/>
  <c r="HP206" i="54"/>
  <c r="HP242" i="54"/>
  <c r="HP93" i="54"/>
  <c r="HP165" i="54"/>
  <c r="HP201" i="54"/>
  <c r="HP46" i="54"/>
  <c r="HP32" i="54"/>
  <c r="HP74" i="54"/>
  <c r="HP200" i="54"/>
  <c r="HP33" i="54"/>
  <c r="HP75" i="54"/>
  <c r="HP207" i="54"/>
  <c r="HP28" i="54"/>
  <c r="HP70" i="54"/>
  <c r="HP184" i="54"/>
  <c r="HP256" i="54"/>
  <c r="HP29" i="54"/>
  <c r="HP137" i="54"/>
  <c r="HP209" i="54"/>
  <c r="HP245" i="54"/>
  <c r="HP96" i="54"/>
  <c r="HP168" i="54"/>
  <c r="HP204" i="54"/>
  <c r="HP55" i="54"/>
  <c r="HP127" i="54"/>
  <c r="HP44" i="54"/>
  <c r="HP176" i="54"/>
  <c r="HP260" i="54"/>
  <c r="HP45" i="54"/>
  <c r="HP177" i="54"/>
  <c r="HP261" i="54"/>
  <c r="HP40" i="54"/>
  <c r="HP124" i="54"/>
  <c r="HP160" i="54"/>
  <c r="HP232" i="54"/>
  <c r="HP268" i="54"/>
  <c r="HP77" i="54"/>
  <c r="HP113" i="54"/>
  <c r="HP185" i="54"/>
  <c r="HP221" i="54"/>
  <c r="HP36" i="54"/>
  <c r="HP72" i="54"/>
  <c r="HP144" i="54"/>
  <c r="HP180" i="54"/>
  <c r="HP252" i="54"/>
  <c r="HP31" i="54"/>
  <c r="HP103" i="54"/>
  <c r="HP50" i="54"/>
  <c r="HP140" i="54"/>
  <c r="HP182" i="54"/>
  <c r="HP266" i="54"/>
  <c r="HP51" i="54"/>
  <c r="HP141" i="54"/>
  <c r="HP14" i="54"/>
  <c r="HP104" i="54"/>
  <c r="HP146" i="54"/>
  <c r="HP230" i="54"/>
  <c r="HP15" i="54"/>
  <c r="HP105" i="54"/>
  <c r="HP147" i="54"/>
  <c r="HP68" i="54"/>
  <c r="HP110" i="54"/>
  <c r="HP194" i="54"/>
  <c r="HP236" i="54"/>
  <c r="HP69" i="54"/>
  <c r="HP111" i="54"/>
  <c r="HP195" i="54"/>
  <c r="HP243" i="54"/>
  <c r="HP64" i="54"/>
  <c r="HP106" i="54"/>
  <c r="HP178" i="54"/>
  <c r="HP214" i="54"/>
  <c r="HP23" i="54"/>
  <c r="HP59" i="54"/>
  <c r="HP131" i="54"/>
  <c r="HP167" i="54"/>
  <c r="HP239" i="54"/>
  <c r="HP18" i="54"/>
  <c r="HP90" i="54"/>
  <c r="HP126" i="54"/>
  <c r="HP198" i="54"/>
  <c r="HP234" i="54"/>
  <c r="HP49" i="54"/>
  <c r="HP85" i="54"/>
  <c r="HP157" i="54"/>
  <c r="HP193" i="54"/>
  <c r="HP265" i="54"/>
  <c r="HP38" i="54"/>
  <c r="HP213" i="54"/>
  <c r="HP34" i="54"/>
  <c r="HP190" i="54"/>
  <c r="HP262" i="54"/>
  <c r="HP143" i="54"/>
  <c r="HP215" i="54"/>
  <c r="HP102" i="54"/>
  <c r="HP174" i="54"/>
  <c r="HP61" i="54"/>
  <c r="HP133" i="54"/>
  <c r="HP217" i="54"/>
  <c r="HP259" i="54"/>
  <c r="HP81" i="54"/>
  <c r="HP225" i="54"/>
  <c r="HP130" i="54"/>
  <c r="HP202" i="54"/>
  <c r="HP83" i="54"/>
  <c r="HP155" i="54"/>
  <c r="HP227" i="54"/>
  <c r="HP42" i="54"/>
  <c r="HP114" i="54"/>
  <c r="HP186" i="54"/>
  <c r="HP258" i="54"/>
  <c r="HP73" i="54"/>
  <c r="HP139" i="54"/>
  <c r="HP181" i="54"/>
  <c r="HP223" i="54"/>
  <c r="HP122" i="54"/>
  <c r="HP123" i="54"/>
  <c r="HP231" i="54"/>
  <c r="HP58" i="54"/>
  <c r="HP136" i="54"/>
  <c r="HP208" i="54"/>
  <c r="HP17" i="54"/>
  <c r="HP89" i="54"/>
  <c r="HP161" i="54"/>
  <c r="HP233" i="54"/>
  <c r="HP48" i="54"/>
  <c r="HP120" i="54"/>
  <c r="HP192" i="54"/>
  <c r="HP264" i="54"/>
  <c r="HP79" i="54"/>
  <c r="HP145" i="54"/>
  <c r="HP187" i="54"/>
  <c r="HP235" i="54"/>
  <c r="HP164" i="54"/>
  <c r="HP171" i="54"/>
  <c r="HP255" i="54"/>
  <c r="HP76" i="54"/>
  <c r="HP154" i="54"/>
  <c r="HP226" i="54"/>
  <c r="HP35" i="54"/>
  <c r="HP107" i="54"/>
  <c r="HP179" i="54"/>
  <c r="HP251" i="54"/>
  <c r="HP66" i="54"/>
  <c r="HP138" i="54"/>
  <c r="HP210" i="54"/>
  <c r="HP25" i="54"/>
  <c r="HP97" i="54"/>
  <c r="HP151" i="54"/>
  <c r="HP199" i="54"/>
  <c r="HP241" i="54"/>
  <c r="HP212" i="54"/>
  <c r="HP183" i="54"/>
  <c r="HP267" i="54"/>
  <c r="HP94" i="54"/>
  <c r="HP166" i="54"/>
  <c r="HP238" i="54"/>
  <c r="HP47" i="54"/>
  <c r="HP119" i="54"/>
  <c r="HP191" i="54"/>
  <c r="HP263" i="54"/>
  <c r="HP78" i="54"/>
  <c r="HP150" i="54"/>
  <c r="HP222" i="54"/>
  <c r="HP37" i="54"/>
  <c r="HP109" i="54"/>
  <c r="HP163" i="54"/>
  <c r="HP205" i="54"/>
  <c r="HP247" i="54"/>
  <c r="HP254" i="54"/>
  <c r="HP189" i="54"/>
  <c r="HP16" i="54"/>
  <c r="HP100" i="54"/>
  <c r="HP172" i="54"/>
  <c r="HP244" i="54"/>
  <c r="HP53" i="54"/>
  <c r="HP125" i="54"/>
  <c r="HP197" i="54"/>
  <c r="HP12" i="54"/>
  <c r="HP84" i="54"/>
  <c r="HP156" i="54"/>
  <c r="HP228" i="54"/>
  <c r="HP43" i="54"/>
  <c r="HP115" i="54"/>
  <c r="HP169" i="54"/>
  <c r="HP211" i="54"/>
  <c r="HP253" i="54"/>
  <c r="BJ2" i="54"/>
  <c r="BJ4" i="54"/>
  <c r="HU7" i="54"/>
  <c r="HV7" i="54"/>
  <c r="EO3" i="54"/>
  <c r="EN3" i="54"/>
  <c r="EI7" i="54"/>
  <c r="EZ5" i="54"/>
  <c r="EI5" i="54"/>
  <c r="BH15" i="54"/>
  <c r="EJ7" i="54"/>
  <c r="BH11" i="54"/>
  <c r="BH18" i="54"/>
  <c r="BH20" i="54"/>
  <c r="GT3" i="54"/>
  <c r="BM44" i="54" a="1"/>
  <c r="BM44" i="54" s="1"/>
  <c r="BI21" i="54"/>
  <c r="DC31" i="54"/>
  <c r="DA31" i="54"/>
  <c r="DB32" i="54" s="1"/>
  <c r="W31" i="56"/>
  <c r="M31" i="56" s="1"/>
  <c r="T31" i="56"/>
  <c r="U31" i="56"/>
  <c r="W28" i="56"/>
  <c r="T28" i="56"/>
  <c r="U28" i="56"/>
  <c r="T32" i="56"/>
  <c r="U32" i="56"/>
  <c r="U34" i="56"/>
  <c r="T34" i="56"/>
  <c r="W29" i="56"/>
  <c r="U29" i="56"/>
  <c r="T29" i="56"/>
  <c r="U30" i="56"/>
  <c r="T30" i="56"/>
  <c r="U33" i="56"/>
  <c r="T33" i="56"/>
  <c r="O60" i="56"/>
  <c r="AH60" i="56"/>
  <c r="I60" i="56"/>
  <c r="V58" i="56"/>
  <c r="X58" i="56"/>
  <c r="Z60" i="56"/>
  <c r="AA60" i="56" s="1"/>
  <c r="K60" i="56"/>
  <c r="Z59" i="56"/>
  <c r="AC59" i="56" s="1"/>
  <c r="Q59" i="56" s="1"/>
  <c r="R59" i="56" s="1"/>
  <c r="K59" i="56"/>
  <c r="AH59" i="56"/>
  <c r="AG59" i="56"/>
  <c r="AI59" i="56"/>
  <c r="H30" i="56"/>
  <c r="W32" i="56"/>
  <c r="M32" i="56" s="1"/>
  <c r="H33" i="56"/>
  <c r="W34" i="56"/>
  <c r="M34" i="56" s="1"/>
  <c r="H31" i="56"/>
  <c r="G28" i="56"/>
  <c r="H28" i="56" s="1"/>
  <c r="W33" i="56"/>
  <c r="M33" i="56" s="1"/>
  <c r="H34" i="56"/>
  <c r="W30" i="56"/>
  <c r="M30" i="56" s="1"/>
  <c r="H32" i="56"/>
  <c r="V32" i="56" s="1"/>
  <c r="H29" i="56"/>
  <c r="V29" i="56" s="1"/>
  <c r="M29" i="56"/>
  <c r="HM155" i="54" l="1"/>
  <c r="HM177" i="54"/>
  <c r="HM228" i="54"/>
  <c r="HM151" i="54"/>
  <c r="HO62" i="54"/>
  <c r="HO41" i="54"/>
  <c r="HO18" i="54"/>
  <c r="BM33" i="54" a="1"/>
  <c r="BM33" i="54" s="1"/>
  <c r="EL5" i="54"/>
  <c r="HO126" i="54"/>
  <c r="HL51" i="54"/>
  <c r="HO251" i="54"/>
  <c r="HO146" i="54"/>
  <c r="HL236" i="54"/>
  <c r="HO60" i="54"/>
  <c r="HO125" i="54"/>
  <c r="HO119" i="54"/>
  <c r="HL175" i="54"/>
  <c r="HN175" i="54" s="1"/>
  <c r="HL33" i="54"/>
  <c r="HN33" i="54" s="1"/>
  <c r="HO137" i="54"/>
  <c r="HO203" i="54"/>
  <c r="HO179" i="54"/>
  <c r="HO173" i="54"/>
  <c r="HO54" i="54"/>
  <c r="HU54" i="54" s="1"/>
  <c r="HO102" i="54"/>
  <c r="HO26" i="54"/>
  <c r="HO268" i="54"/>
  <c r="HO74" i="54"/>
  <c r="HO89" i="54"/>
  <c r="HO11" i="54"/>
  <c r="GT5" i="54"/>
  <c r="HP52" i="54"/>
  <c r="HP175" i="54"/>
  <c r="HP30" i="54"/>
  <c r="HP118" i="54"/>
  <c r="HP229" i="54"/>
  <c r="HP13" i="54"/>
  <c r="HP54" i="54"/>
  <c r="HP95" i="54"/>
  <c r="HP142" i="54"/>
  <c r="HP153" i="54"/>
  <c r="HP152" i="54"/>
  <c r="HP63" i="54"/>
  <c r="HP56" i="54"/>
  <c r="HP224" i="54"/>
  <c r="HP67" i="54"/>
  <c r="HP108" i="54"/>
  <c r="HP149" i="54"/>
  <c r="HP196" i="54"/>
  <c r="HP219" i="54"/>
  <c r="HP218" i="54"/>
  <c r="HP91" i="54"/>
  <c r="HP132" i="54"/>
  <c r="HP173" i="54"/>
  <c r="HP220" i="54"/>
  <c r="HP249" i="54"/>
  <c r="HP248" i="54"/>
  <c r="HP82" i="54"/>
  <c r="HP129" i="54"/>
  <c r="HP170" i="54"/>
  <c r="HO195" i="54"/>
  <c r="HO123" i="54"/>
  <c r="HO57" i="54"/>
  <c r="HO21" i="54"/>
  <c r="HO237" i="54"/>
  <c r="HO112" i="54"/>
  <c r="HO190" i="54"/>
  <c r="HO67" i="54"/>
  <c r="HO52" i="54"/>
  <c r="HO115" i="54"/>
  <c r="HO28" i="54"/>
  <c r="HL210" i="54"/>
  <c r="HN210" i="54" s="1"/>
  <c r="HL227" i="54"/>
  <c r="HL15" i="54"/>
  <c r="BI13" i="54"/>
  <c r="HO189" i="54"/>
  <c r="HO153" i="54"/>
  <c r="HO117" i="54"/>
  <c r="HO51" i="54"/>
  <c r="HO267" i="54"/>
  <c r="HO207" i="54"/>
  <c r="HO76" i="54"/>
  <c r="HO252" i="54"/>
  <c r="HO16" i="54"/>
  <c r="HO79" i="54"/>
  <c r="HO212" i="54"/>
  <c r="HL68" i="54"/>
  <c r="HN68" i="54" s="1"/>
  <c r="HL258" i="54"/>
  <c r="HN258" i="54" s="1"/>
  <c r="HP135" i="54"/>
  <c r="HP128" i="54"/>
  <c r="HP19" i="54"/>
  <c r="HP60" i="54"/>
  <c r="HP101" i="54"/>
  <c r="HP148" i="54"/>
  <c r="HP159" i="54"/>
  <c r="HP158" i="54"/>
  <c r="HP10" i="54"/>
  <c r="HP57" i="54"/>
  <c r="HP98" i="54"/>
  <c r="HO14" i="54"/>
  <c r="HO265" i="54"/>
  <c r="HO241" i="54"/>
  <c r="HO50" i="54"/>
  <c r="HO116" i="54"/>
  <c r="HO236" i="54"/>
  <c r="HO39" i="54"/>
  <c r="HO36" i="54"/>
  <c r="HO142" i="54"/>
  <c r="HO120" i="54"/>
  <c r="HO37" i="54"/>
  <c r="HL232" i="54"/>
  <c r="HN232" i="54" s="1"/>
  <c r="HL106" i="54"/>
  <c r="HN106" i="54" s="1"/>
  <c r="GX3" i="54"/>
  <c r="HB7" i="54" s="1"/>
  <c r="HP11" i="54"/>
  <c r="HP80" i="54"/>
  <c r="HP246" i="54"/>
  <c r="HP71" i="54"/>
  <c r="HP39" i="54"/>
  <c r="HP121" i="54"/>
  <c r="HP162" i="54"/>
  <c r="HU162" i="54" s="1"/>
  <c r="HP203" i="54"/>
  <c r="HP250" i="54"/>
  <c r="HP22" i="54"/>
  <c r="HP27" i="54"/>
  <c r="HP20" i="54"/>
  <c r="HP188" i="54"/>
  <c r="HP99" i="54"/>
  <c r="HP92" i="54"/>
  <c r="HP216" i="54"/>
  <c r="HP257" i="54"/>
  <c r="HP41" i="54"/>
  <c r="HP88" i="54"/>
  <c r="HP87" i="54"/>
  <c r="HP86" i="54"/>
  <c r="HP240" i="54"/>
  <c r="HP24" i="54"/>
  <c r="HP65" i="54"/>
  <c r="HP112" i="54"/>
  <c r="HP117" i="54"/>
  <c r="HP116" i="54"/>
  <c r="HP237" i="54"/>
  <c r="HP21" i="54"/>
  <c r="HO127" i="54"/>
  <c r="HO193" i="54"/>
  <c r="HO169" i="54"/>
  <c r="HO235" i="54"/>
  <c r="HO44" i="54"/>
  <c r="HO92" i="54"/>
  <c r="HO69" i="54"/>
  <c r="HO257" i="54"/>
  <c r="HU257" i="54" s="1"/>
  <c r="HO106" i="54"/>
  <c r="HO84" i="54"/>
  <c r="HO222" i="54"/>
  <c r="HL180" i="54"/>
  <c r="HN180" i="54" s="1"/>
  <c r="HL50" i="54"/>
  <c r="HN50" i="54" s="1"/>
  <c r="BI19" i="54"/>
  <c r="BI23" i="54" s="1" a="1"/>
  <c r="BI23" i="54" s="1"/>
  <c r="GR7" i="54"/>
  <c r="GV5" i="54"/>
  <c r="HO177" i="54"/>
  <c r="HO55" i="54"/>
  <c r="HO65" i="54"/>
  <c r="HO147" i="54"/>
  <c r="HO121" i="54"/>
  <c r="HO59" i="54"/>
  <c r="HO111" i="54"/>
  <c r="HO97" i="54"/>
  <c r="HO107" i="54"/>
  <c r="HO81" i="54"/>
  <c r="HO91" i="54"/>
  <c r="HO101" i="54"/>
  <c r="HO15" i="54"/>
  <c r="HO229" i="54"/>
  <c r="HO239" i="54"/>
  <c r="HO231" i="54"/>
  <c r="HO20" i="54"/>
  <c r="HO30" i="54"/>
  <c r="HO63" i="54"/>
  <c r="HO242" i="54"/>
  <c r="HO211" i="54"/>
  <c r="HO216" i="54"/>
  <c r="HO221" i="54"/>
  <c r="HO232" i="54"/>
  <c r="HO118" i="54"/>
  <c r="HO34" i="54"/>
  <c r="HO38" i="54"/>
  <c r="HO43" i="54"/>
  <c r="HO48" i="54"/>
  <c r="HO53" i="54"/>
  <c r="HO104" i="54"/>
  <c r="HO186" i="54"/>
  <c r="HO166" i="54"/>
  <c r="HL32" i="54"/>
  <c r="HN32" i="54" s="1"/>
  <c r="HL149" i="54"/>
  <c r="HL185" i="54"/>
  <c r="HN185" i="54" s="1"/>
  <c r="HL57" i="54"/>
  <c r="HN57" i="54" s="1"/>
  <c r="HL46" i="54"/>
  <c r="HN46" i="54" s="1"/>
  <c r="HL114" i="54"/>
  <c r="HN114" i="54" s="1"/>
  <c r="HL186" i="54"/>
  <c r="HN186" i="54" s="1"/>
  <c r="HL254" i="54"/>
  <c r="HL18" i="54"/>
  <c r="HN18" i="54" s="1"/>
  <c r="HL90" i="54"/>
  <c r="HN90" i="54" s="1"/>
  <c r="HL122" i="54"/>
  <c r="HN122" i="54" s="1"/>
  <c r="HL195" i="54"/>
  <c r="HN195" i="54" s="1"/>
  <c r="HL240" i="54"/>
  <c r="HN240" i="54" s="1"/>
  <c r="GV7" i="54"/>
  <c r="BM45" i="54" a="1"/>
  <c r="BM45" i="54" s="1"/>
  <c r="GV3" i="54"/>
  <c r="HO230" i="54"/>
  <c r="HO240" i="54"/>
  <c r="HO256" i="54"/>
  <c r="HO141" i="54"/>
  <c r="HO234" i="54"/>
  <c r="HO250" i="54"/>
  <c r="HO33" i="54"/>
  <c r="HO25" i="54"/>
  <c r="HO35" i="54"/>
  <c r="HU35" i="54" s="1"/>
  <c r="HO266" i="54"/>
  <c r="HO19" i="54"/>
  <c r="HO29" i="54"/>
  <c r="HO45" i="54"/>
  <c r="HO157" i="54"/>
  <c r="HO95" i="54"/>
  <c r="HO261" i="54"/>
  <c r="HO205" i="54"/>
  <c r="HO215" i="54"/>
  <c r="HO93" i="54"/>
  <c r="HO170" i="54"/>
  <c r="HO175" i="54"/>
  <c r="HO180" i="54"/>
  <c r="HO185" i="54"/>
  <c r="HO196" i="54"/>
  <c r="HO46" i="54"/>
  <c r="HO254" i="54"/>
  <c r="HO259" i="54"/>
  <c r="HU259" i="54" s="1"/>
  <c r="HO264" i="54"/>
  <c r="HO12" i="54"/>
  <c r="HO244" i="54"/>
  <c r="HO68" i="54"/>
  <c r="HO78" i="54"/>
  <c r="HO94" i="54"/>
  <c r="HL113" i="54"/>
  <c r="HN113" i="54" s="1"/>
  <c r="HL108" i="54"/>
  <c r="HN108" i="54" s="1"/>
  <c r="HL21" i="54"/>
  <c r="HN21" i="54" s="1"/>
  <c r="HL179" i="54"/>
  <c r="HN179" i="54" s="1"/>
  <c r="HL174" i="54"/>
  <c r="HN174" i="54" s="1"/>
  <c r="HL151" i="54"/>
  <c r="HN151" i="54" s="1"/>
  <c r="HU151" i="54" s="1"/>
  <c r="HL94" i="54"/>
  <c r="HR94" i="54" s="1"/>
  <c r="HL119" i="54"/>
  <c r="HN119" i="54" s="1"/>
  <c r="HL244" i="54"/>
  <c r="HN244" i="54" s="1"/>
  <c r="HL100" i="54"/>
  <c r="HN100" i="54" s="1"/>
  <c r="HL85" i="54"/>
  <c r="HN85" i="54" s="1"/>
  <c r="HL148" i="54"/>
  <c r="HN148" i="54" s="1"/>
  <c r="GR5" i="54"/>
  <c r="GR138" i="54" s="1"/>
  <c r="GS5" i="54"/>
  <c r="BI11" i="54"/>
  <c r="GU3" i="54"/>
  <c r="HO171" i="54"/>
  <c r="HO158" i="54"/>
  <c r="HO168" i="54"/>
  <c r="HO184" i="54"/>
  <c r="HO152" i="54"/>
  <c r="HO162" i="54"/>
  <c r="HO178" i="54"/>
  <c r="HO200" i="54"/>
  <c r="HO210" i="54"/>
  <c r="HO154" i="54"/>
  <c r="HO194" i="54"/>
  <c r="HO204" i="54"/>
  <c r="HO220" i="54"/>
  <c r="HO249" i="54"/>
  <c r="HU249" i="54" s="1"/>
  <c r="HO13" i="54"/>
  <c r="HO23" i="54"/>
  <c r="HO219" i="54"/>
  <c r="HO133" i="54"/>
  <c r="HO143" i="54"/>
  <c r="HO225" i="54"/>
  <c r="HO134" i="54"/>
  <c r="HO139" i="54"/>
  <c r="HO144" i="54"/>
  <c r="HO149" i="54"/>
  <c r="HO124" i="54"/>
  <c r="HO10" i="54"/>
  <c r="HO218" i="54"/>
  <c r="HO223" i="54"/>
  <c r="HO228" i="54"/>
  <c r="HO197" i="54"/>
  <c r="HO136" i="54"/>
  <c r="HO253" i="54"/>
  <c r="HU253" i="54" s="1"/>
  <c r="HO227" i="54"/>
  <c r="HO58" i="54"/>
  <c r="HL206" i="54"/>
  <c r="HN206" i="54" s="1"/>
  <c r="HL242" i="54"/>
  <c r="HN242" i="54" s="1"/>
  <c r="HL102" i="54"/>
  <c r="HN102" i="54" s="1"/>
  <c r="HL138" i="54"/>
  <c r="HN138" i="54" s="1"/>
  <c r="HL171" i="54"/>
  <c r="HL69" i="54"/>
  <c r="HN69" i="54" s="1"/>
  <c r="HL222" i="54"/>
  <c r="HN222" i="54" s="1"/>
  <c r="HL78" i="54"/>
  <c r="HN78" i="54" s="1"/>
  <c r="HL230" i="54"/>
  <c r="HN230" i="54" s="1"/>
  <c r="HL12" i="54"/>
  <c r="HN12" i="54" s="1"/>
  <c r="HU12" i="54" s="1"/>
  <c r="HL125" i="54"/>
  <c r="HL128" i="54"/>
  <c r="BI15" i="54"/>
  <c r="BI18" i="54"/>
  <c r="BI14" i="54"/>
  <c r="HO165" i="54"/>
  <c r="HU165" i="54" s="1"/>
  <c r="HO86" i="54"/>
  <c r="HO96" i="54"/>
  <c r="HO129" i="54"/>
  <c r="HO80" i="54"/>
  <c r="HO90" i="54"/>
  <c r="HO99" i="54"/>
  <c r="HO128" i="54"/>
  <c r="HO66" i="54"/>
  <c r="HO27" i="54"/>
  <c r="HO122" i="54"/>
  <c r="HO132" i="54"/>
  <c r="HO148" i="54"/>
  <c r="HO188" i="54"/>
  <c r="HO198" i="54"/>
  <c r="HO214" i="54"/>
  <c r="HO213" i="54"/>
  <c r="HO61" i="54"/>
  <c r="HO262" i="54"/>
  <c r="HO255" i="54"/>
  <c r="HO98" i="54"/>
  <c r="HO103" i="54"/>
  <c r="HO108" i="54"/>
  <c r="HO77" i="54"/>
  <c r="HO88" i="54"/>
  <c r="HO40" i="54"/>
  <c r="HO182" i="54"/>
  <c r="HO187" i="54"/>
  <c r="HO156" i="54"/>
  <c r="HO161" i="54"/>
  <c r="HO64" i="54"/>
  <c r="HO145" i="54"/>
  <c r="HL170" i="54"/>
  <c r="HN170" i="54" s="1"/>
  <c r="HL71" i="54"/>
  <c r="HN71" i="54" s="1"/>
  <c r="HL107" i="54"/>
  <c r="HN107" i="54" s="1"/>
  <c r="HL181" i="54"/>
  <c r="HN181" i="54" s="1"/>
  <c r="HL88" i="54"/>
  <c r="HN88" i="54" s="1"/>
  <c r="HL77" i="54"/>
  <c r="HQ77" i="54" s="1"/>
  <c r="HL150" i="54"/>
  <c r="HN150" i="54" s="1"/>
  <c r="HL259" i="54"/>
  <c r="HN259" i="54" s="1"/>
  <c r="HL39" i="54"/>
  <c r="HN39" i="54" s="1"/>
  <c r="HL193" i="54"/>
  <c r="HN193" i="54" s="1"/>
  <c r="HL214" i="54"/>
  <c r="HN214" i="54" s="1"/>
  <c r="HU214" i="54" s="1"/>
  <c r="HL70" i="54"/>
  <c r="HL92" i="54"/>
  <c r="BJ28" i="54" a="1"/>
  <c r="BJ28" i="54" s="1"/>
  <c r="AC35" i="54" s="1" a="1"/>
  <c r="AC35" i="54" s="1"/>
  <c r="HL35" i="54"/>
  <c r="HN35" i="54" s="1"/>
  <c r="HL30" i="54"/>
  <c r="HN30" i="54" s="1"/>
  <c r="HL63" i="54"/>
  <c r="HN63" i="54" s="1"/>
  <c r="HL99" i="54"/>
  <c r="HL216" i="54"/>
  <c r="HN216" i="54" s="1"/>
  <c r="HL252" i="54"/>
  <c r="HN252" i="54" s="1"/>
  <c r="HL58" i="54"/>
  <c r="HN58" i="54" s="1"/>
  <c r="HL177" i="54"/>
  <c r="HN177" i="54" s="1"/>
  <c r="HU177" i="54" s="1"/>
  <c r="HL120" i="54"/>
  <c r="HN120" i="54" s="1"/>
  <c r="HL111" i="54"/>
  <c r="HL224" i="54"/>
  <c r="HN224" i="54" s="1"/>
  <c r="HL239" i="54"/>
  <c r="HN239" i="54" s="1"/>
  <c r="BH14" i="54"/>
  <c r="BH13" i="54"/>
  <c r="BH19" i="54"/>
  <c r="BH24" i="54" s="1" a="1"/>
  <c r="BH24" i="54" s="1"/>
  <c r="EJ3" i="54"/>
  <c r="EO5" i="54" s="1"/>
  <c r="EY3" i="54" s="1"/>
  <c r="EK5" i="54"/>
  <c r="HM35" i="54"/>
  <c r="HM40" i="54"/>
  <c r="HM45" i="54"/>
  <c r="HM44" i="54"/>
  <c r="HM37" i="54"/>
  <c r="HM36" i="54"/>
  <c r="HM29" i="54"/>
  <c r="HM34" i="54"/>
  <c r="HM39" i="54"/>
  <c r="HM32" i="54"/>
  <c r="HU32" i="54" s="1"/>
  <c r="HM31" i="54"/>
  <c r="HM30" i="54"/>
  <c r="HM65" i="54"/>
  <c r="HM70" i="54"/>
  <c r="HM75" i="54"/>
  <c r="HM68" i="54"/>
  <c r="HU68" i="54" s="1"/>
  <c r="HM67" i="54"/>
  <c r="HM66" i="54"/>
  <c r="HM101" i="54"/>
  <c r="HM106" i="54"/>
  <c r="HM21" i="54"/>
  <c r="HU21" i="54" s="1"/>
  <c r="HM235" i="54"/>
  <c r="HU235" i="54" s="1"/>
  <c r="HM186" i="54"/>
  <c r="HM179" i="54"/>
  <c r="HM142" i="54"/>
  <c r="HM57" i="54"/>
  <c r="HM14" i="54"/>
  <c r="HM222" i="54"/>
  <c r="HU222" i="54" s="1"/>
  <c r="HM173" i="54"/>
  <c r="HM136" i="54"/>
  <c r="HM51" i="54"/>
  <c r="HM265" i="54"/>
  <c r="HM216" i="54"/>
  <c r="HM119" i="54"/>
  <c r="HM130" i="54"/>
  <c r="HM105" i="54"/>
  <c r="HM110" i="54"/>
  <c r="HM115" i="54"/>
  <c r="HM120" i="54"/>
  <c r="HO202" i="54"/>
  <c r="HO238" i="54"/>
  <c r="HO263" i="54"/>
  <c r="HO109" i="54"/>
  <c r="HO140" i="54"/>
  <c r="HO208" i="54"/>
  <c r="HO22" i="54"/>
  <c r="HO47" i="54"/>
  <c r="HO150" i="54"/>
  <c r="HO181" i="54"/>
  <c r="HO105" i="54"/>
  <c r="HO17" i="54"/>
  <c r="HO233" i="54"/>
  <c r="HO192" i="54"/>
  <c r="HO151" i="54"/>
  <c r="HO110" i="54"/>
  <c r="HO70" i="54"/>
  <c r="HO82" i="54"/>
  <c r="HO160" i="54"/>
  <c r="HO113" i="54"/>
  <c r="HO72" i="54"/>
  <c r="HO31" i="54"/>
  <c r="HO247" i="54"/>
  <c r="HO206" i="54"/>
  <c r="HO159" i="54"/>
  <c r="HU159" i="54" s="1"/>
  <c r="HO71" i="54"/>
  <c r="HO246" i="54"/>
  <c r="HO164" i="54"/>
  <c r="HO201" i="54"/>
  <c r="HO167" i="54"/>
  <c r="HO85" i="54"/>
  <c r="HO260" i="54"/>
  <c r="HO243" i="54"/>
  <c r="HO245" i="54"/>
  <c r="HO163" i="54"/>
  <c r="HO75" i="54"/>
  <c r="HO226" i="54"/>
  <c r="HU226" i="54" s="1"/>
  <c r="HO138" i="54"/>
  <c r="HO56" i="54"/>
  <c r="HO87" i="54"/>
  <c r="HO131" i="54"/>
  <c r="HO49" i="54"/>
  <c r="HO224" i="54"/>
  <c r="HU224" i="54" s="1"/>
  <c r="HO135" i="54"/>
  <c r="HO24" i="54"/>
  <c r="HO199" i="54"/>
  <c r="HO183" i="54"/>
  <c r="BH21" i="54"/>
  <c r="BH16" i="54"/>
  <c r="EM7" i="54"/>
  <c r="EM5" i="54"/>
  <c r="EM3" i="54"/>
  <c r="HM245" i="54"/>
  <c r="HM256" i="54"/>
  <c r="HM261" i="54"/>
  <c r="HM260" i="54"/>
  <c r="HM253" i="54"/>
  <c r="HM252" i="54"/>
  <c r="HM239" i="54"/>
  <c r="HM250" i="54"/>
  <c r="HM255" i="54"/>
  <c r="HM248" i="54"/>
  <c r="HM247" i="54"/>
  <c r="HM246" i="54"/>
  <c r="HR5" i="54"/>
  <c r="HM23" i="54"/>
  <c r="HM28" i="54"/>
  <c r="HM27" i="54"/>
  <c r="HM26" i="54"/>
  <c r="HM25" i="54"/>
  <c r="HM24" i="54"/>
  <c r="HM59" i="54"/>
  <c r="HM16" i="54"/>
  <c r="HM236" i="54"/>
  <c r="HM193" i="54"/>
  <c r="HM144" i="54"/>
  <c r="HM137" i="54"/>
  <c r="HM52" i="54"/>
  <c r="HM15" i="54"/>
  <c r="HM229" i="54"/>
  <c r="HM180" i="54"/>
  <c r="HM131" i="54"/>
  <c r="HM46" i="54"/>
  <c r="HM266" i="54"/>
  <c r="HM217" i="54"/>
  <c r="HM174" i="54"/>
  <c r="HM83" i="54"/>
  <c r="HM58" i="54"/>
  <c r="HM69" i="54"/>
  <c r="HM74" i="54"/>
  <c r="HM79" i="54"/>
  <c r="HM84" i="54"/>
  <c r="BM31" i="54" a="1"/>
  <c r="BM31" i="54" s="1"/>
  <c r="BH9" i="54" a="1"/>
  <c r="BH9" i="54" s="1"/>
  <c r="EK3" i="54"/>
  <c r="BM32" i="54" a="1"/>
  <c r="BM32" i="54" s="1"/>
  <c r="EJ5" i="54"/>
  <c r="HM209" i="54"/>
  <c r="HM214" i="54"/>
  <c r="HM219" i="54"/>
  <c r="HM212" i="54"/>
  <c r="HM211" i="54"/>
  <c r="HM210" i="54"/>
  <c r="HM203" i="54"/>
  <c r="HM208" i="54"/>
  <c r="HM207" i="54"/>
  <c r="HM206" i="54"/>
  <c r="HM205" i="54"/>
  <c r="HM204" i="54"/>
  <c r="HM233" i="54"/>
  <c r="HM244" i="54"/>
  <c r="HM243" i="54"/>
  <c r="HM242" i="54"/>
  <c r="HM241" i="54"/>
  <c r="HM240" i="54"/>
  <c r="HM263" i="54"/>
  <c r="HM17" i="54"/>
  <c r="HM237" i="54"/>
  <c r="HM194" i="54"/>
  <c r="HM145" i="54"/>
  <c r="HM102" i="54"/>
  <c r="HM53" i="54"/>
  <c r="HM10" i="54"/>
  <c r="HM230" i="54"/>
  <c r="HM181" i="54"/>
  <c r="HM138" i="54"/>
  <c r="HM41" i="54"/>
  <c r="HM267" i="54"/>
  <c r="HM224" i="54"/>
  <c r="HM175" i="54"/>
  <c r="HM132" i="54"/>
  <c r="HM11" i="54"/>
  <c r="HM22" i="54"/>
  <c r="HM33" i="54"/>
  <c r="HU33" i="54" s="1"/>
  <c r="HM38" i="54"/>
  <c r="HM43" i="54"/>
  <c r="HL40" i="54"/>
  <c r="HL184" i="54"/>
  <c r="HN184" i="54" s="1"/>
  <c r="HU184" i="54" s="1"/>
  <c r="HL172" i="54"/>
  <c r="HN172" i="54" s="1"/>
  <c r="HL265" i="54"/>
  <c r="HL131" i="54"/>
  <c r="HN131" i="54" s="1"/>
  <c r="HL14" i="54"/>
  <c r="HN14" i="54" s="1"/>
  <c r="HL161" i="54"/>
  <c r="HN161" i="54" s="1"/>
  <c r="HL79" i="54"/>
  <c r="HN79" i="54" s="1"/>
  <c r="HL263" i="54"/>
  <c r="HN263" i="54" s="1"/>
  <c r="HL187" i="54"/>
  <c r="HL155" i="54"/>
  <c r="HN155" i="54" s="1"/>
  <c r="HL253" i="54"/>
  <c r="HN253" i="54" s="1"/>
  <c r="HL257" i="54"/>
  <c r="HN257" i="54" s="1"/>
  <c r="HL139" i="54"/>
  <c r="HN139" i="54" s="1"/>
  <c r="HU139" i="54" s="1"/>
  <c r="HL190" i="54"/>
  <c r="HN190" i="54" s="1"/>
  <c r="HL66" i="54"/>
  <c r="HR66" i="54" s="1"/>
  <c r="HL196" i="54"/>
  <c r="HN196" i="54" s="1"/>
  <c r="HL72" i="54"/>
  <c r="HN72" i="54" s="1"/>
  <c r="HL82" i="54"/>
  <c r="HN82" i="54" s="1"/>
  <c r="HL241" i="54"/>
  <c r="HN241" i="54" s="1"/>
  <c r="HL101" i="54"/>
  <c r="HN101" i="54" s="1"/>
  <c r="HU101" i="54" s="1"/>
  <c r="HL209" i="54"/>
  <c r="HR209" i="54" s="1"/>
  <c r="HL250" i="54"/>
  <c r="HN250" i="54" s="1"/>
  <c r="HL86" i="54"/>
  <c r="HN86" i="54" s="1"/>
  <c r="HL233" i="54"/>
  <c r="HN233" i="54" s="1"/>
  <c r="HL116" i="54"/>
  <c r="HN116" i="54" s="1"/>
  <c r="HU116" i="54" s="1"/>
  <c r="HL121" i="54"/>
  <c r="HR121" i="54" s="1"/>
  <c r="HL83" i="54"/>
  <c r="HQ83" i="54" s="1"/>
  <c r="HL223" i="54"/>
  <c r="HN223" i="54" s="1"/>
  <c r="HL191" i="54"/>
  <c r="HN191" i="54" s="1"/>
  <c r="HL115" i="54"/>
  <c r="HN115" i="54" s="1"/>
  <c r="HL215" i="54"/>
  <c r="HN215" i="54" s="1"/>
  <c r="HU215" i="54" s="1"/>
  <c r="HL217" i="54"/>
  <c r="HL221" i="54"/>
  <c r="HN221" i="54" s="1"/>
  <c r="HU221" i="54" s="1"/>
  <c r="HL103" i="54"/>
  <c r="HN103" i="54" s="1"/>
  <c r="HL154" i="54"/>
  <c r="HN154" i="54" s="1"/>
  <c r="HL246" i="54"/>
  <c r="HN246" i="54" s="1"/>
  <c r="HL207" i="54"/>
  <c r="HN207" i="54" s="1"/>
  <c r="HU207" i="54" s="1"/>
  <c r="HM48" i="54"/>
  <c r="HM264" i="54"/>
  <c r="HU264" i="54" s="1"/>
  <c r="HM223" i="54"/>
  <c r="HM182" i="54"/>
  <c r="HM141" i="54"/>
  <c r="HM94" i="54"/>
  <c r="HM47" i="54"/>
  <c r="HM90" i="54"/>
  <c r="HM91" i="54"/>
  <c r="HM92" i="54"/>
  <c r="HM93" i="54"/>
  <c r="HM88" i="54"/>
  <c r="HM89" i="54"/>
  <c r="HM96" i="54"/>
  <c r="HM97" i="54"/>
  <c r="HM98" i="54"/>
  <c r="HM99" i="54"/>
  <c r="HM100" i="54"/>
  <c r="HM95" i="54"/>
  <c r="HM60" i="54"/>
  <c r="HM61" i="54"/>
  <c r="HM62" i="54"/>
  <c r="HM63" i="54"/>
  <c r="HM64" i="54"/>
  <c r="HL24" i="54"/>
  <c r="HO100" i="54"/>
  <c r="HO176" i="54"/>
  <c r="HO217" i="54"/>
  <c r="HO258" i="54"/>
  <c r="HU258" i="54" s="1"/>
  <c r="HO42" i="54"/>
  <c r="HO83" i="54"/>
  <c r="HO130" i="54"/>
  <c r="HL129" i="54"/>
  <c r="HN129" i="54" s="1"/>
  <c r="HL248" i="54"/>
  <c r="HN248" i="54" s="1"/>
  <c r="HL165" i="54"/>
  <c r="HN165" i="54" s="1"/>
  <c r="HL243" i="54"/>
  <c r="HN243" i="54" s="1"/>
  <c r="HU243" i="54" s="1"/>
  <c r="HL201" i="54"/>
  <c r="HL16" i="54"/>
  <c r="HL237" i="54"/>
  <c r="HN237" i="54" s="1"/>
  <c r="HL52" i="54"/>
  <c r="HN52" i="54" s="1"/>
  <c r="HL226" i="54"/>
  <c r="HN226" i="54" s="1"/>
  <c r="HL41" i="54"/>
  <c r="HN41" i="54" s="1"/>
  <c r="HL262" i="54"/>
  <c r="HL124" i="54"/>
  <c r="HL249" i="54"/>
  <c r="HN249" i="54" s="1"/>
  <c r="HL238" i="54"/>
  <c r="HN238" i="54" s="1"/>
  <c r="HL11" i="54"/>
  <c r="HN11" i="54" s="1"/>
  <c r="HL47" i="54"/>
  <c r="HN47" i="54" s="1"/>
  <c r="HL130" i="54"/>
  <c r="HL213" i="54"/>
  <c r="HN213" i="54" s="1"/>
  <c r="HU213" i="54" s="1"/>
  <c r="HL208" i="54"/>
  <c r="HN208" i="54" s="1"/>
  <c r="HL59" i="54"/>
  <c r="HN59" i="54" s="1"/>
  <c r="HL55" i="54"/>
  <c r="HN55" i="54" s="1"/>
  <c r="HL152" i="54"/>
  <c r="HN152" i="54" s="1"/>
  <c r="HL178" i="54"/>
  <c r="HN178" i="54" s="1"/>
  <c r="HL53" i="54"/>
  <c r="HQ53" i="54" s="1"/>
  <c r="HL49" i="54"/>
  <c r="HN49" i="54" s="1"/>
  <c r="HL163" i="54"/>
  <c r="HN163" i="54" s="1"/>
  <c r="HL219" i="54"/>
  <c r="HN219" i="54" s="1"/>
  <c r="HL23" i="54"/>
  <c r="HN23" i="54" s="1"/>
  <c r="HL173" i="54"/>
  <c r="HN173" i="54" s="1"/>
  <c r="HL123" i="54"/>
  <c r="HL29" i="54"/>
  <c r="HN29" i="54" s="1"/>
  <c r="HL20" i="54"/>
  <c r="HL19" i="54"/>
  <c r="HN19" i="54" s="1"/>
  <c r="HL75" i="54"/>
  <c r="HN75" i="54" s="1"/>
  <c r="HL189" i="54"/>
  <c r="HL192" i="54"/>
  <c r="HL13" i="54"/>
  <c r="HN13" i="54" s="1"/>
  <c r="HL45" i="54"/>
  <c r="HN45" i="54" s="1"/>
  <c r="HL183" i="54"/>
  <c r="HN183" i="54" s="1"/>
  <c r="HU183" i="54" s="1"/>
  <c r="HL203" i="54"/>
  <c r="HN203" i="54" s="1"/>
  <c r="HL84" i="54"/>
  <c r="HR84" i="54" s="1"/>
  <c r="HL220" i="54"/>
  <c r="HL164" i="54"/>
  <c r="HL76" i="54"/>
  <c r="HR76" i="54" s="1"/>
  <c r="HL56" i="54"/>
  <c r="HN56" i="54" s="1"/>
  <c r="HL31" i="54"/>
  <c r="HN31" i="54" s="1"/>
  <c r="HO172" i="54"/>
  <c r="HU172" i="54" s="1"/>
  <c r="HO248" i="54"/>
  <c r="HO32" i="54"/>
  <c r="HO73" i="54"/>
  <c r="HO114" i="54"/>
  <c r="HO155" i="54"/>
  <c r="HU155" i="54" s="1"/>
  <c r="HL211" i="54"/>
  <c r="HN211" i="54" s="1"/>
  <c r="HL73" i="54"/>
  <c r="HL247" i="54"/>
  <c r="HN247" i="54" s="1"/>
  <c r="HU247" i="54" s="1"/>
  <c r="HL109" i="54"/>
  <c r="HN109" i="54" s="1"/>
  <c r="HU109" i="54" s="1"/>
  <c r="HL67" i="54"/>
  <c r="HN67" i="54" s="1"/>
  <c r="HL104" i="54"/>
  <c r="HN104" i="54" s="1"/>
  <c r="HU104" i="54" s="1"/>
  <c r="HL62" i="54"/>
  <c r="HL140" i="54"/>
  <c r="HL98" i="54"/>
  <c r="HN98" i="54" s="1"/>
  <c r="HL176" i="54"/>
  <c r="HN176" i="54" s="1"/>
  <c r="HU176" i="54" s="1"/>
  <c r="HL93" i="54"/>
  <c r="HN93" i="54" s="1"/>
  <c r="HU93" i="54" s="1"/>
  <c r="HL212" i="54"/>
  <c r="HN212" i="54" s="1"/>
  <c r="HU212" i="54" s="1"/>
  <c r="HL74" i="54"/>
  <c r="HL110" i="54"/>
  <c r="HR110" i="54" s="1"/>
  <c r="HL146" i="54"/>
  <c r="HN146" i="54" s="1"/>
  <c r="HU146" i="54" s="1"/>
  <c r="HL141" i="54"/>
  <c r="HN141" i="54" s="1"/>
  <c r="HL218" i="54"/>
  <c r="HN218" i="54" s="1"/>
  <c r="HL38" i="54"/>
  <c r="HN38" i="54" s="1"/>
  <c r="HU38" i="54" s="1"/>
  <c r="HL80" i="54"/>
  <c r="HL153" i="54"/>
  <c r="HN153" i="54" s="1"/>
  <c r="HL28" i="54"/>
  <c r="HN28" i="54" s="1"/>
  <c r="HL54" i="54"/>
  <c r="HN54" i="54" s="1"/>
  <c r="HL91" i="54"/>
  <c r="HN91" i="54" s="1"/>
  <c r="HL147" i="54"/>
  <c r="HN147" i="54" s="1"/>
  <c r="HL261" i="54"/>
  <c r="HR261" i="54" s="1"/>
  <c r="HL48" i="54"/>
  <c r="HN48" i="54" s="1"/>
  <c r="HL162" i="54"/>
  <c r="HN162" i="54" s="1"/>
  <c r="HL117" i="54"/>
  <c r="HN117" i="54" s="1"/>
  <c r="HL231" i="54"/>
  <c r="HL137" i="54"/>
  <c r="HL87" i="54"/>
  <c r="HL267" i="54"/>
  <c r="HQ267" i="54" s="1"/>
  <c r="HL251" i="54"/>
  <c r="HN251" i="54" s="1"/>
  <c r="HL160" i="54"/>
  <c r="HN160" i="54" s="1"/>
  <c r="HL118" i="54"/>
  <c r="HN118" i="54" s="1"/>
  <c r="HL27" i="54"/>
  <c r="HN27" i="54" s="1"/>
  <c r="HL26" i="54"/>
  <c r="HL145" i="54"/>
  <c r="HN145" i="54" s="1"/>
  <c r="HL144" i="54"/>
  <c r="HN144" i="54" s="1"/>
  <c r="HU144" i="54" s="1"/>
  <c r="HL143" i="54"/>
  <c r="HN143" i="54" s="1"/>
  <c r="HL268" i="54"/>
  <c r="HN268" i="54" s="1"/>
  <c r="HU268" i="54" s="1"/>
  <c r="HL10" i="54"/>
  <c r="HN10" i="54" s="1"/>
  <c r="HL135" i="54"/>
  <c r="HL134" i="54"/>
  <c r="HQ134" i="54" s="1"/>
  <c r="HL37" i="54"/>
  <c r="HN37" i="54" s="1"/>
  <c r="HL36" i="54"/>
  <c r="HN36" i="54" s="1"/>
  <c r="HL202" i="54"/>
  <c r="HN202" i="54" s="1"/>
  <c r="HL22" i="54"/>
  <c r="HN22" i="54" s="1"/>
  <c r="HL105" i="54"/>
  <c r="HN105" i="54" s="1"/>
  <c r="HU105" i="54" s="1"/>
  <c r="HL182" i="54"/>
  <c r="HL43" i="54"/>
  <c r="HN43" i="54" s="1"/>
  <c r="HL42" i="54"/>
  <c r="HN42" i="54" s="1"/>
  <c r="HL166" i="54"/>
  <c r="HN166" i="54" s="1"/>
  <c r="HL255" i="54"/>
  <c r="HN255" i="54" s="1"/>
  <c r="HL194" i="54"/>
  <c r="HL157" i="54"/>
  <c r="HN157" i="54" s="1"/>
  <c r="HL156" i="54"/>
  <c r="HN156" i="54" s="1"/>
  <c r="HU156" i="54" s="1"/>
  <c r="HL95" i="54"/>
  <c r="HN95" i="54" s="1"/>
  <c r="HL17" i="54"/>
  <c r="HN17" i="54" s="1"/>
  <c r="HL225" i="54"/>
  <c r="HN225" i="54" s="1"/>
  <c r="HL188" i="54"/>
  <c r="HL127" i="54"/>
  <c r="HL126" i="54"/>
  <c r="HN126" i="54" s="1"/>
  <c r="HU126" i="54" s="1"/>
  <c r="HL89" i="54"/>
  <c r="HN89" i="54" s="1"/>
  <c r="HL34" i="54"/>
  <c r="HN34" i="54" s="1"/>
  <c r="HU34" i="54" s="1"/>
  <c r="HL260" i="54"/>
  <c r="HN260" i="54" s="1"/>
  <c r="HL158" i="54"/>
  <c r="HN158" i="54" s="1"/>
  <c r="HU158" i="54" s="1"/>
  <c r="HL204" i="54"/>
  <c r="HL168" i="54"/>
  <c r="HL132" i="54"/>
  <c r="HL96" i="54"/>
  <c r="HL60" i="54"/>
  <c r="HN60" i="54" s="1"/>
  <c r="HL256" i="54"/>
  <c r="HL65" i="54"/>
  <c r="HQ65" i="54" s="1"/>
  <c r="HL235" i="54"/>
  <c r="HN235" i="54" s="1"/>
  <c r="HL234" i="54"/>
  <c r="HN234" i="54" s="1"/>
  <c r="HU234" i="54" s="1"/>
  <c r="HL197" i="54"/>
  <c r="HN197" i="54" s="1"/>
  <c r="HU197" i="54" s="1"/>
  <c r="HL142" i="54"/>
  <c r="HN142" i="54" s="1"/>
  <c r="HL64" i="54"/>
  <c r="HL266" i="54"/>
  <c r="HN266" i="54" s="1"/>
  <c r="HL229" i="54"/>
  <c r="HN229" i="54" s="1"/>
  <c r="HL228" i="54"/>
  <c r="HN228" i="54" s="1"/>
  <c r="HU228" i="54" s="1"/>
  <c r="HL167" i="54"/>
  <c r="HN167" i="54" s="1"/>
  <c r="HL136" i="54"/>
  <c r="HN136" i="54" s="1"/>
  <c r="HU136" i="54" s="1"/>
  <c r="HL81" i="54"/>
  <c r="HL44" i="54"/>
  <c r="HL199" i="54"/>
  <c r="HN199" i="54" s="1"/>
  <c r="HU199" i="54" s="1"/>
  <c r="HL198" i="54"/>
  <c r="HN198" i="54" s="1"/>
  <c r="HU198" i="54" s="1"/>
  <c r="HL205" i="54"/>
  <c r="HL169" i="54"/>
  <c r="HN169" i="54" s="1"/>
  <c r="HL133" i="54"/>
  <c r="HL61" i="54"/>
  <c r="HL245" i="54"/>
  <c r="HN245" i="54" s="1"/>
  <c r="HL159" i="54"/>
  <c r="HN159" i="54" s="1"/>
  <c r="HL97" i="54"/>
  <c r="HL200" i="54"/>
  <c r="HN200" i="54" s="1"/>
  <c r="HL25" i="54"/>
  <c r="HQ25" i="54" s="1"/>
  <c r="HL112" i="54"/>
  <c r="HN112" i="54" s="1"/>
  <c r="BI20" i="54"/>
  <c r="BM46" i="54" a="1"/>
  <c r="BM46" i="54" s="1"/>
  <c r="BI9" i="54" a="1"/>
  <c r="BI9" i="54" s="1"/>
  <c r="BI2" i="54" s="1"/>
  <c r="GS3" i="54"/>
  <c r="GX5" i="54" s="1"/>
  <c r="GS7" i="54"/>
  <c r="BI16" i="54"/>
  <c r="GU5" i="54"/>
  <c r="BM20" i="54" a="1"/>
  <c r="BM20" i="54" s="1"/>
  <c r="BG14" i="54"/>
  <c r="BM18" i="54" a="1"/>
  <c r="BM18" i="54" s="1"/>
  <c r="DS5" i="54"/>
  <c r="BG19" i="54"/>
  <c r="BG9" i="54" a="1"/>
  <c r="BG9" i="54" s="1"/>
  <c r="DT7" i="54"/>
  <c r="DS3" i="54"/>
  <c r="DQ7" i="54"/>
  <c r="BG11" i="54"/>
  <c r="BM19" i="54" a="1"/>
  <c r="BM19" i="54" s="1"/>
  <c r="DR5" i="54"/>
  <c r="BG18" i="54"/>
  <c r="BG21" i="54"/>
  <c r="DV3" i="54"/>
  <c r="DZ7" i="54" s="1"/>
  <c r="DR3" i="54"/>
  <c r="DR88" i="54" s="1"/>
  <c r="BG16" i="54"/>
  <c r="BG20" i="54"/>
  <c r="DT5" i="54"/>
  <c r="EB6" i="54"/>
  <c r="DP7" i="54"/>
  <c r="DP5" i="54"/>
  <c r="HU103" i="54"/>
  <c r="AR20" i="50"/>
  <c r="AP21" i="50" s="1"/>
  <c r="AQ21" i="50" s="1"/>
  <c r="HU232" i="54"/>
  <c r="HU122" i="54"/>
  <c r="HU150" i="54"/>
  <c r="HU185" i="54"/>
  <c r="HU163" i="54"/>
  <c r="HU18" i="54"/>
  <c r="HU72" i="54"/>
  <c r="HU36" i="54"/>
  <c r="HU242" i="54"/>
  <c r="HU179" i="54"/>
  <c r="HU57" i="54"/>
  <c r="HU69" i="54"/>
  <c r="HU223" i="54"/>
  <c r="HU58" i="54"/>
  <c r="HU115" i="54"/>
  <c r="HU154" i="54"/>
  <c r="HU131" i="54"/>
  <c r="HU78" i="54"/>
  <c r="HU244" i="54"/>
  <c r="HU55" i="54"/>
  <c r="HU191" i="54"/>
  <c r="HU46" i="54"/>
  <c r="Y58" i="56"/>
  <c r="AB58" i="56" s="1"/>
  <c r="HS3" i="54" a="1"/>
  <c r="HS3" i="54" s="1"/>
  <c r="BH2" i="54"/>
  <c r="BH4" i="54"/>
  <c r="HR170" i="54"/>
  <c r="HQ170" i="54"/>
  <c r="HQ72" i="54"/>
  <c r="HR72" i="54"/>
  <c r="HR196" i="54"/>
  <c r="HQ196" i="54"/>
  <c r="HR180" i="54"/>
  <c r="HQ180" i="54"/>
  <c r="HR179" i="54"/>
  <c r="HQ179" i="54"/>
  <c r="HR46" i="54"/>
  <c r="HQ46" i="54"/>
  <c r="HR115" i="54"/>
  <c r="HQ115" i="54"/>
  <c r="HR191" i="54"/>
  <c r="HQ191" i="54"/>
  <c r="HR11" i="54"/>
  <c r="HQ11" i="54"/>
  <c r="HQ218" i="54"/>
  <c r="HR218" i="54"/>
  <c r="HR78" i="54"/>
  <c r="HQ78" i="54"/>
  <c r="HR161" i="54"/>
  <c r="HQ161" i="54"/>
  <c r="HQ106" i="54"/>
  <c r="HR106" i="54"/>
  <c r="HR14" i="54"/>
  <c r="HQ14" i="54"/>
  <c r="HR131" i="54"/>
  <c r="HQ131" i="54"/>
  <c r="HR100" i="54"/>
  <c r="HQ100" i="54"/>
  <c r="HQ45" i="54"/>
  <c r="HR45" i="54"/>
  <c r="HQ264" i="54"/>
  <c r="HR264" i="54"/>
  <c r="HN76" i="54"/>
  <c r="HU76" i="54" s="1"/>
  <c r="HQ76" i="54"/>
  <c r="HN40" i="54"/>
  <c r="HR40" i="54"/>
  <c r="HQ40" i="54"/>
  <c r="HN15" i="54"/>
  <c r="HR15" i="54"/>
  <c r="HQ15" i="54"/>
  <c r="EL36" i="54"/>
  <c r="EL72" i="54"/>
  <c r="EL108" i="54"/>
  <c r="EL144" i="54"/>
  <c r="EL180" i="54"/>
  <c r="EL216" i="54"/>
  <c r="EL252" i="54"/>
  <c r="EL31" i="54"/>
  <c r="EL67" i="54"/>
  <c r="EL103" i="54"/>
  <c r="EL139" i="54"/>
  <c r="EL175" i="54"/>
  <c r="EL211" i="54"/>
  <c r="EL247" i="54"/>
  <c r="EL26" i="54"/>
  <c r="EL62" i="54"/>
  <c r="EL98" i="54"/>
  <c r="EL134" i="54"/>
  <c r="EL170" i="54"/>
  <c r="EL206" i="54"/>
  <c r="EL242" i="54"/>
  <c r="EL21" i="54"/>
  <c r="EL57" i="54"/>
  <c r="EL93" i="54"/>
  <c r="EL129" i="54"/>
  <c r="EL165" i="54"/>
  <c r="EL201" i="54"/>
  <c r="EL237" i="54"/>
  <c r="EL10" i="54"/>
  <c r="EL46" i="54"/>
  <c r="EL82" i="54"/>
  <c r="EL118" i="54"/>
  <c r="EL154" i="54"/>
  <c r="EL190" i="54"/>
  <c r="EL226" i="54"/>
  <c r="EL262" i="54"/>
  <c r="EL35" i="54"/>
  <c r="EL71" i="54"/>
  <c r="EL107" i="54"/>
  <c r="EL143" i="54"/>
  <c r="EL179" i="54"/>
  <c r="EL215" i="54"/>
  <c r="EL251" i="54"/>
  <c r="EL42" i="54"/>
  <c r="EL78" i="54"/>
  <c r="EL114" i="54"/>
  <c r="EL150" i="54"/>
  <c r="EL186" i="54"/>
  <c r="EL222" i="54"/>
  <c r="EL258" i="54"/>
  <c r="EL37" i="54"/>
  <c r="EL73" i="54"/>
  <c r="EL109" i="54"/>
  <c r="EL145" i="54"/>
  <c r="EL181" i="54"/>
  <c r="EL217" i="54"/>
  <c r="EL253" i="54"/>
  <c r="EL32" i="54"/>
  <c r="EL68" i="54"/>
  <c r="EL104" i="54"/>
  <c r="EL140" i="54"/>
  <c r="EL176" i="54"/>
  <c r="EL212" i="54"/>
  <c r="EL248" i="54"/>
  <c r="EL27" i="54"/>
  <c r="EL63" i="54"/>
  <c r="EL99" i="54"/>
  <c r="EL135" i="54"/>
  <c r="EL171" i="54"/>
  <c r="EL207" i="54"/>
  <c r="EL243" i="54"/>
  <c r="EL16" i="54"/>
  <c r="EL52" i="54"/>
  <c r="EL88" i="54"/>
  <c r="EL124" i="54"/>
  <c r="EL160" i="54"/>
  <c r="EL196" i="54"/>
  <c r="EL232" i="54"/>
  <c r="EL268" i="54"/>
  <c r="EL41" i="54"/>
  <c r="EL77" i="54"/>
  <c r="EL113" i="54"/>
  <c r="EL149" i="54"/>
  <c r="EL185" i="54"/>
  <c r="EL221" i="54"/>
  <c r="EL257" i="54"/>
  <c r="EL12" i="54"/>
  <c r="EL48" i="54"/>
  <c r="EL84" i="54"/>
  <c r="EL120" i="54"/>
  <c r="EL156" i="54"/>
  <c r="EL192" i="54"/>
  <c r="EL228" i="54"/>
  <c r="EL264" i="54"/>
  <c r="EL43" i="54"/>
  <c r="EL79" i="54"/>
  <c r="EL115" i="54"/>
  <c r="EL151" i="54"/>
  <c r="EL187" i="54"/>
  <c r="EL223" i="54"/>
  <c r="EL259" i="54"/>
  <c r="EL38" i="54"/>
  <c r="EL74" i="54"/>
  <c r="EL110" i="54"/>
  <c r="EL146" i="54"/>
  <c r="EL182" i="54"/>
  <c r="EL218" i="54"/>
  <c r="EL254" i="54"/>
  <c r="EL33" i="54"/>
  <c r="EL69" i="54"/>
  <c r="EL105" i="54"/>
  <c r="EL141" i="54"/>
  <c r="EL177" i="54"/>
  <c r="EL213" i="54"/>
  <c r="EL249" i="54"/>
  <c r="EL22" i="54"/>
  <c r="EL58" i="54"/>
  <c r="EL94" i="54"/>
  <c r="EL130" i="54"/>
  <c r="EL166" i="54"/>
  <c r="EL202" i="54"/>
  <c r="EL238" i="54"/>
  <c r="EL11" i="54"/>
  <c r="EL47" i="54"/>
  <c r="EL83" i="54"/>
  <c r="EL119" i="54"/>
  <c r="EL155" i="54"/>
  <c r="EL191" i="54"/>
  <c r="EL227" i="54"/>
  <c r="EL263" i="54"/>
  <c r="EL18" i="54"/>
  <c r="EL54" i="54"/>
  <c r="EL90" i="54"/>
  <c r="EL126" i="54"/>
  <c r="EL162" i="54"/>
  <c r="EL198" i="54"/>
  <c r="EL234" i="54"/>
  <c r="EL13" i="54"/>
  <c r="EL49" i="54"/>
  <c r="EL85" i="54"/>
  <c r="EL121" i="54"/>
  <c r="EL157" i="54"/>
  <c r="EL193" i="54"/>
  <c r="EL229" i="54"/>
  <c r="EL265" i="54"/>
  <c r="EL44" i="54"/>
  <c r="EL80" i="54"/>
  <c r="EL116" i="54"/>
  <c r="EL152" i="54"/>
  <c r="EL188" i="54"/>
  <c r="EL224" i="54"/>
  <c r="EL260" i="54"/>
  <c r="EL39" i="54"/>
  <c r="EL75" i="54"/>
  <c r="EL111" i="54"/>
  <c r="EL147" i="54"/>
  <c r="EL183" i="54"/>
  <c r="EL219" i="54"/>
  <c r="EL255" i="54"/>
  <c r="EL28" i="54"/>
  <c r="EL64" i="54"/>
  <c r="EL100" i="54"/>
  <c r="EL136" i="54"/>
  <c r="EL172" i="54"/>
  <c r="EL208" i="54"/>
  <c r="EL244" i="54"/>
  <c r="EL17" i="54"/>
  <c r="EL53" i="54"/>
  <c r="EL89" i="54"/>
  <c r="EL125" i="54"/>
  <c r="EL161" i="54"/>
  <c r="EL197" i="54"/>
  <c r="EL233" i="54"/>
  <c r="EL24" i="54"/>
  <c r="EL60" i="54"/>
  <c r="EL96" i="54"/>
  <c r="EL132" i="54"/>
  <c r="EL168" i="54"/>
  <c r="EL204" i="54"/>
  <c r="EL240" i="54"/>
  <c r="EL19" i="54"/>
  <c r="EL55" i="54"/>
  <c r="EL91" i="54"/>
  <c r="EL127" i="54"/>
  <c r="EL163" i="54"/>
  <c r="EL199" i="54"/>
  <c r="EL235" i="54"/>
  <c r="EL14" i="54"/>
  <c r="EL50" i="54"/>
  <c r="EL86" i="54"/>
  <c r="EL122" i="54"/>
  <c r="EL158" i="54"/>
  <c r="EL194" i="54"/>
  <c r="EL230" i="54"/>
  <c r="EL266" i="54"/>
  <c r="EL45" i="54"/>
  <c r="EL81" i="54"/>
  <c r="EL117" i="54"/>
  <c r="EL153" i="54"/>
  <c r="EL189" i="54"/>
  <c r="EL225" i="54"/>
  <c r="EL261" i="54"/>
  <c r="EL34" i="54"/>
  <c r="EL70" i="54"/>
  <c r="EL106" i="54"/>
  <c r="EL142" i="54"/>
  <c r="EL178" i="54"/>
  <c r="EL214" i="54"/>
  <c r="EL250" i="54"/>
  <c r="EL23" i="54"/>
  <c r="EL59" i="54"/>
  <c r="EL95" i="54"/>
  <c r="EL131" i="54"/>
  <c r="EL167" i="54"/>
  <c r="EL203" i="54"/>
  <c r="EL239" i="54"/>
  <c r="EL30" i="54"/>
  <c r="EL66" i="54"/>
  <c r="EL102" i="54"/>
  <c r="EL138" i="54"/>
  <c r="EL174" i="54"/>
  <c r="EL210" i="54"/>
  <c r="EL246" i="54"/>
  <c r="EL25" i="54"/>
  <c r="EL61" i="54"/>
  <c r="EL97" i="54"/>
  <c r="EL133" i="54"/>
  <c r="EL169" i="54"/>
  <c r="EL205" i="54"/>
  <c r="EL241" i="54"/>
  <c r="EL20" i="54"/>
  <c r="EL56" i="54"/>
  <c r="EL92" i="54"/>
  <c r="EL128" i="54"/>
  <c r="EL164" i="54"/>
  <c r="EL200" i="54"/>
  <c r="EL236" i="54"/>
  <c r="EL15" i="54"/>
  <c r="EL51" i="54"/>
  <c r="EL87" i="54"/>
  <c r="EL123" i="54"/>
  <c r="EL159" i="54"/>
  <c r="EL195" i="54"/>
  <c r="EL231" i="54"/>
  <c r="EL267" i="54"/>
  <c r="EL40" i="54"/>
  <c r="EL76" i="54"/>
  <c r="EL112" i="54"/>
  <c r="EL148" i="54"/>
  <c r="EL184" i="54"/>
  <c r="EL220" i="54"/>
  <c r="EL256" i="54"/>
  <c r="EL29" i="54"/>
  <c r="EL65" i="54"/>
  <c r="EL101" i="54"/>
  <c r="EL137" i="54"/>
  <c r="EL173" i="54"/>
  <c r="EL209" i="54"/>
  <c r="EL245" i="54"/>
  <c r="BJ3" i="54"/>
  <c r="HU29" i="54"/>
  <c r="HQ129" i="54"/>
  <c r="HR129" i="54"/>
  <c r="HR247" i="54"/>
  <c r="HQ247" i="54"/>
  <c r="HQ246" i="54"/>
  <c r="HR246" i="54"/>
  <c r="HR154" i="54"/>
  <c r="HQ154" i="54"/>
  <c r="HR21" i="54"/>
  <c r="HQ21" i="54"/>
  <c r="HR257" i="54"/>
  <c r="HQ257" i="54"/>
  <c r="HR150" i="54"/>
  <c r="HQ150" i="54"/>
  <c r="HR59" i="54"/>
  <c r="HQ59" i="54"/>
  <c r="HR28" i="54"/>
  <c r="HQ28" i="54"/>
  <c r="HQ91" i="54"/>
  <c r="HR91" i="54"/>
  <c r="HQ90" i="54"/>
  <c r="HR90" i="54"/>
  <c r="HR224" i="54"/>
  <c r="HQ224" i="54"/>
  <c r="HR163" i="54"/>
  <c r="HQ163" i="54"/>
  <c r="HQ162" i="54"/>
  <c r="HR162" i="54"/>
  <c r="HN231" i="54"/>
  <c r="HQ231" i="54"/>
  <c r="HR231" i="54"/>
  <c r="HN51" i="54"/>
  <c r="HQ51" i="54"/>
  <c r="HR51" i="54"/>
  <c r="HN20" i="54"/>
  <c r="HR20" i="54"/>
  <c r="HQ20" i="54"/>
  <c r="GT28" i="54"/>
  <c r="GT64" i="54"/>
  <c r="GT100" i="54"/>
  <c r="GT136" i="54"/>
  <c r="GT172" i="54"/>
  <c r="GT208" i="54"/>
  <c r="GT244" i="54"/>
  <c r="GT17" i="54"/>
  <c r="GT53" i="54"/>
  <c r="GT89" i="54"/>
  <c r="GT125" i="54"/>
  <c r="GT161" i="54"/>
  <c r="GT197" i="54"/>
  <c r="GT233" i="54"/>
  <c r="GT12" i="54"/>
  <c r="GT48" i="54"/>
  <c r="GT84" i="54"/>
  <c r="GT120" i="54"/>
  <c r="GT156" i="54"/>
  <c r="GT192" i="54"/>
  <c r="GT228" i="54"/>
  <c r="GT264" i="54"/>
  <c r="GT43" i="54"/>
  <c r="GT79" i="54"/>
  <c r="GT115" i="54"/>
  <c r="GT151" i="54"/>
  <c r="GT187" i="54"/>
  <c r="GT223" i="54"/>
  <c r="GT259" i="54"/>
  <c r="GT38" i="54"/>
  <c r="GT74" i="54"/>
  <c r="GT110" i="54"/>
  <c r="GT146" i="54"/>
  <c r="GT182" i="54"/>
  <c r="GT218" i="54"/>
  <c r="GT254" i="54"/>
  <c r="GT33" i="54"/>
  <c r="GT69" i="54"/>
  <c r="GT105" i="54"/>
  <c r="GT141" i="54"/>
  <c r="GT177" i="54"/>
  <c r="GT213" i="54"/>
  <c r="GT249" i="54"/>
  <c r="GT34" i="54"/>
  <c r="GT70" i="54"/>
  <c r="GT106" i="54"/>
  <c r="GT142" i="54"/>
  <c r="GT178" i="54"/>
  <c r="GT214" i="54"/>
  <c r="GT250" i="54"/>
  <c r="GT23" i="54"/>
  <c r="GT59" i="54"/>
  <c r="GT95" i="54"/>
  <c r="GT131" i="54"/>
  <c r="GT167" i="54"/>
  <c r="GT203" i="54"/>
  <c r="GT239" i="54"/>
  <c r="GT18" i="54"/>
  <c r="GT54" i="54"/>
  <c r="GT90" i="54"/>
  <c r="GT126" i="54"/>
  <c r="GT162" i="54"/>
  <c r="GT198" i="54"/>
  <c r="GT234" i="54"/>
  <c r="GT13" i="54"/>
  <c r="GT49" i="54"/>
  <c r="GT85" i="54"/>
  <c r="GT121" i="54"/>
  <c r="GT157" i="54"/>
  <c r="GT193" i="54"/>
  <c r="GT229" i="54"/>
  <c r="GT265" i="54"/>
  <c r="GT44" i="54"/>
  <c r="GT80" i="54"/>
  <c r="GT116" i="54"/>
  <c r="GT152" i="54"/>
  <c r="GT188" i="54"/>
  <c r="GT224" i="54"/>
  <c r="GT260" i="54"/>
  <c r="GT39" i="54"/>
  <c r="GT75" i="54"/>
  <c r="GT111" i="54"/>
  <c r="GT147" i="54"/>
  <c r="GT183" i="54"/>
  <c r="GT219" i="54"/>
  <c r="GT255" i="54"/>
  <c r="GT40" i="54"/>
  <c r="GT76" i="54"/>
  <c r="GT112" i="54"/>
  <c r="GT148" i="54"/>
  <c r="GT184" i="54"/>
  <c r="GT220" i="54"/>
  <c r="GT256" i="54"/>
  <c r="GT29" i="54"/>
  <c r="GT65" i="54"/>
  <c r="GT101" i="54"/>
  <c r="GT137" i="54"/>
  <c r="GT173" i="54"/>
  <c r="GT209" i="54"/>
  <c r="GT245" i="54"/>
  <c r="GT24" i="54"/>
  <c r="GT60" i="54"/>
  <c r="GT96" i="54"/>
  <c r="GT132" i="54"/>
  <c r="GT168" i="54"/>
  <c r="GT204" i="54"/>
  <c r="GT240" i="54"/>
  <c r="GT19" i="54"/>
  <c r="GT55" i="54"/>
  <c r="GT91" i="54"/>
  <c r="GT127" i="54"/>
  <c r="GT163" i="54"/>
  <c r="GT199" i="54"/>
  <c r="GT235" i="54"/>
  <c r="GT14" i="54"/>
  <c r="GT50" i="54"/>
  <c r="GT86" i="54"/>
  <c r="GT122" i="54"/>
  <c r="GT158" i="54"/>
  <c r="GT194" i="54"/>
  <c r="GT230" i="54"/>
  <c r="GT266" i="54"/>
  <c r="GT45" i="54"/>
  <c r="GT81" i="54"/>
  <c r="GT117" i="54"/>
  <c r="GT153" i="54"/>
  <c r="GT189" i="54"/>
  <c r="GT225" i="54"/>
  <c r="GT261" i="54"/>
  <c r="GT10" i="54"/>
  <c r="GT46" i="54"/>
  <c r="GT82" i="54"/>
  <c r="GT118" i="54"/>
  <c r="GT154" i="54"/>
  <c r="GT190" i="54"/>
  <c r="GT226" i="54"/>
  <c r="GT262" i="54"/>
  <c r="GT35" i="54"/>
  <c r="GT71" i="54"/>
  <c r="GT107" i="54"/>
  <c r="GT143" i="54"/>
  <c r="GT179" i="54"/>
  <c r="GT215" i="54"/>
  <c r="GT251" i="54"/>
  <c r="GT30" i="54"/>
  <c r="GT66" i="54"/>
  <c r="GT102" i="54"/>
  <c r="GT138" i="54"/>
  <c r="GT174" i="54"/>
  <c r="GT210" i="54"/>
  <c r="GT246" i="54"/>
  <c r="GT25" i="54"/>
  <c r="GT61" i="54"/>
  <c r="GT97" i="54"/>
  <c r="GT133" i="54"/>
  <c r="GT169" i="54"/>
  <c r="GT205" i="54"/>
  <c r="GT241" i="54"/>
  <c r="GT20" i="54"/>
  <c r="GT56" i="54"/>
  <c r="GT92" i="54"/>
  <c r="GT128" i="54"/>
  <c r="GT164" i="54"/>
  <c r="GT200" i="54"/>
  <c r="GT236" i="54"/>
  <c r="GT15" i="54"/>
  <c r="GT51" i="54"/>
  <c r="GT87" i="54"/>
  <c r="GT123" i="54"/>
  <c r="GT159" i="54"/>
  <c r="GT195" i="54"/>
  <c r="GT231" i="54"/>
  <c r="GT267" i="54"/>
  <c r="GT16" i="54"/>
  <c r="GT52" i="54"/>
  <c r="GT88" i="54"/>
  <c r="GT124" i="54"/>
  <c r="GT160" i="54"/>
  <c r="GT196" i="54"/>
  <c r="GT232" i="54"/>
  <c r="GT268" i="54"/>
  <c r="GT41" i="54"/>
  <c r="GT77" i="54"/>
  <c r="GT113" i="54"/>
  <c r="GT149" i="54"/>
  <c r="GT185" i="54"/>
  <c r="GT221" i="54"/>
  <c r="GT257" i="54"/>
  <c r="GT36" i="54"/>
  <c r="GT72" i="54"/>
  <c r="GT108" i="54"/>
  <c r="GT144" i="54"/>
  <c r="GT180" i="54"/>
  <c r="GT216" i="54"/>
  <c r="GT252" i="54"/>
  <c r="GT31" i="54"/>
  <c r="GT67" i="54"/>
  <c r="GT103" i="54"/>
  <c r="GT139" i="54"/>
  <c r="GT175" i="54"/>
  <c r="GT211" i="54"/>
  <c r="GT247" i="54"/>
  <c r="GT26" i="54"/>
  <c r="GT62" i="54"/>
  <c r="GT98" i="54"/>
  <c r="GT134" i="54"/>
  <c r="GT170" i="54"/>
  <c r="GT206" i="54"/>
  <c r="GT242" i="54"/>
  <c r="GT21" i="54"/>
  <c r="GT57" i="54"/>
  <c r="GT93" i="54"/>
  <c r="GT129" i="54"/>
  <c r="GT165" i="54"/>
  <c r="GT201" i="54"/>
  <c r="GT237" i="54"/>
  <c r="GT22" i="54"/>
  <c r="GT58" i="54"/>
  <c r="GT94" i="54"/>
  <c r="GT130" i="54"/>
  <c r="GT166" i="54"/>
  <c r="GT202" i="54"/>
  <c r="GT238" i="54"/>
  <c r="GT11" i="54"/>
  <c r="GT47" i="54"/>
  <c r="GT83" i="54"/>
  <c r="GT119" i="54"/>
  <c r="GT155" i="54"/>
  <c r="GT191" i="54"/>
  <c r="GT227" i="54"/>
  <c r="GT263" i="54"/>
  <c r="GT42" i="54"/>
  <c r="GT78" i="54"/>
  <c r="GT114" i="54"/>
  <c r="GT150" i="54"/>
  <c r="GT186" i="54"/>
  <c r="GT222" i="54"/>
  <c r="GT258" i="54"/>
  <c r="GT37" i="54"/>
  <c r="GT73" i="54"/>
  <c r="GT109" i="54"/>
  <c r="GT145" i="54"/>
  <c r="GT181" i="54"/>
  <c r="GT217" i="54"/>
  <c r="GT253" i="54"/>
  <c r="GT32" i="54"/>
  <c r="GT68" i="54"/>
  <c r="GT104" i="54"/>
  <c r="GT140" i="54"/>
  <c r="GT176" i="54"/>
  <c r="GT212" i="54"/>
  <c r="GT248" i="54"/>
  <c r="GT27" i="54"/>
  <c r="GT63" i="54"/>
  <c r="GT99" i="54"/>
  <c r="GT135" i="54"/>
  <c r="GT171" i="54"/>
  <c r="GT207" i="54"/>
  <c r="GT243" i="54"/>
  <c r="HA7" i="54"/>
  <c r="BM65" i="54" a="1"/>
  <c r="BM65" i="54" s="1"/>
  <c r="BM62" i="54" a="1"/>
  <c r="BM62" i="54" s="1"/>
  <c r="BM66" i="54" a="1"/>
  <c r="BM66" i="54" s="1"/>
  <c r="BM64" i="54" a="1"/>
  <c r="BM64" i="54" s="1"/>
  <c r="BM63" i="54" a="1"/>
  <c r="BM63" i="54" s="1"/>
  <c r="BM61" i="54" a="1"/>
  <c r="BM61" i="54" s="1"/>
  <c r="HU245" i="54"/>
  <c r="HR82" i="54"/>
  <c r="HQ82" i="54"/>
  <c r="HR248" i="54"/>
  <c r="HQ248" i="54"/>
  <c r="HQ206" i="54"/>
  <c r="HR206" i="54"/>
  <c r="HR109" i="54"/>
  <c r="HQ109" i="54"/>
  <c r="HR108" i="54"/>
  <c r="HQ108" i="54"/>
  <c r="HR107" i="54"/>
  <c r="HQ107" i="54"/>
  <c r="HR232" i="54"/>
  <c r="HQ232" i="54"/>
  <c r="HQ237" i="54"/>
  <c r="HR237" i="54"/>
  <c r="HR98" i="54"/>
  <c r="HQ98" i="54"/>
  <c r="HR216" i="54"/>
  <c r="HQ216" i="54"/>
  <c r="HQ33" i="54"/>
  <c r="HR33" i="54"/>
  <c r="HR19" i="54"/>
  <c r="HQ19" i="54"/>
  <c r="HR18" i="54"/>
  <c r="HQ18" i="54"/>
  <c r="HR244" i="54"/>
  <c r="HQ244" i="54"/>
  <c r="HQ50" i="54"/>
  <c r="HR13" i="54"/>
  <c r="HQ13" i="54"/>
  <c r="HR183" i="54"/>
  <c r="HQ183" i="54"/>
  <c r="HQ122" i="54"/>
  <c r="HR122" i="54"/>
  <c r="HR239" i="54"/>
  <c r="HQ239" i="54"/>
  <c r="HN236" i="54"/>
  <c r="HR236" i="54"/>
  <c r="HQ236" i="54"/>
  <c r="HN164" i="54"/>
  <c r="HU164" i="54" s="1"/>
  <c r="HR164" i="54"/>
  <c r="HQ164" i="54"/>
  <c r="HN128" i="54"/>
  <c r="HR128" i="54"/>
  <c r="HQ128" i="54"/>
  <c r="HN92" i="54"/>
  <c r="HU92" i="54" s="1"/>
  <c r="HR92" i="54"/>
  <c r="HQ92" i="54"/>
  <c r="HR56" i="54"/>
  <c r="HQ56" i="54"/>
  <c r="GU27" i="54"/>
  <c r="GU63" i="54"/>
  <c r="GU99" i="54"/>
  <c r="GU135" i="54"/>
  <c r="GU171" i="54"/>
  <c r="GU207" i="54"/>
  <c r="GU39" i="54"/>
  <c r="GU75" i="54"/>
  <c r="GU111" i="54"/>
  <c r="GU147" i="54"/>
  <c r="GU183" i="54"/>
  <c r="GU219" i="54"/>
  <c r="GU255" i="54"/>
  <c r="GU45" i="54"/>
  <c r="GU81" i="54"/>
  <c r="GU117" i="54"/>
  <c r="GU153" i="54"/>
  <c r="GU189" i="54"/>
  <c r="GU225" i="54"/>
  <c r="GU261" i="54"/>
  <c r="GU34" i="54"/>
  <c r="GU70" i="54"/>
  <c r="GU106" i="54"/>
  <c r="GU142" i="54"/>
  <c r="GU15" i="54"/>
  <c r="GU51" i="54"/>
  <c r="GU87" i="54"/>
  <c r="GU123" i="54"/>
  <c r="GU159" i="54"/>
  <c r="GU195" i="54"/>
  <c r="GU231" i="54"/>
  <c r="GU267" i="54"/>
  <c r="GU40" i="54"/>
  <c r="GU76" i="54"/>
  <c r="GU112" i="54"/>
  <c r="GU148" i="54"/>
  <c r="GU21" i="54"/>
  <c r="GU57" i="54"/>
  <c r="GU93" i="54"/>
  <c r="GU129" i="54"/>
  <c r="GU165" i="54"/>
  <c r="GU201" i="54"/>
  <c r="GU237" i="54"/>
  <c r="GU10" i="54"/>
  <c r="GU46" i="54"/>
  <c r="GU82" i="54"/>
  <c r="GU118" i="54"/>
  <c r="GU154" i="54"/>
  <c r="GU190" i="54"/>
  <c r="GU226" i="54"/>
  <c r="GU262" i="54"/>
  <c r="GU35" i="54"/>
  <c r="GU71" i="54"/>
  <c r="GU107" i="54"/>
  <c r="GU143" i="54"/>
  <c r="GU179" i="54"/>
  <c r="GU215" i="54"/>
  <c r="GU251" i="54"/>
  <c r="GU30" i="54"/>
  <c r="GU66" i="54"/>
  <c r="GU102" i="54"/>
  <c r="GU138" i="54"/>
  <c r="GU174" i="54"/>
  <c r="GU210" i="54"/>
  <c r="GU246" i="54"/>
  <c r="GU25" i="54"/>
  <c r="GU61" i="54"/>
  <c r="GU97" i="54"/>
  <c r="GU133" i="54"/>
  <c r="GU169" i="54"/>
  <c r="GU205" i="54"/>
  <c r="GU241" i="54"/>
  <c r="GU62" i="54"/>
  <c r="GU32" i="54"/>
  <c r="GU248" i="54"/>
  <c r="GU218" i="54"/>
  <c r="GU188" i="54"/>
  <c r="GU122" i="54"/>
  <c r="GU56" i="54"/>
  <c r="GU33" i="54"/>
  <c r="GU243" i="54"/>
  <c r="GU58" i="54"/>
  <c r="GU130" i="54"/>
  <c r="GU184" i="54"/>
  <c r="GU232" i="54"/>
  <c r="GU11" i="54"/>
  <c r="GU53" i="54"/>
  <c r="GU95" i="54"/>
  <c r="GU137" i="54"/>
  <c r="GU185" i="54"/>
  <c r="GU227" i="54"/>
  <c r="GU12" i="54"/>
  <c r="GU54" i="54"/>
  <c r="GU96" i="54"/>
  <c r="GU144" i="54"/>
  <c r="GU186" i="54"/>
  <c r="GU228" i="54"/>
  <c r="GU13" i="54"/>
  <c r="GU55" i="54"/>
  <c r="GU103" i="54"/>
  <c r="GU145" i="54"/>
  <c r="GU187" i="54"/>
  <c r="GU229" i="54"/>
  <c r="GU26" i="54"/>
  <c r="GU68" i="54"/>
  <c r="GU74" i="54"/>
  <c r="GU80" i="54"/>
  <c r="GU50" i="54"/>
  <c r="GU20" i="54"/>
  <c r="GU69" i="54"/>
  <c r="GU249" i="54"/>
  <c r="GU64" i="54"/>
  <c r="GU136" i="54"/>
  <c r="GU196" i="54"/>
  <c r="GU238" i="54"/>
  <c r="GU17" i="54"/>
  <c r="GU59" i="54"/>
  <c r="GU101" i="54"/>
  <c r="GU149" i="54"/>
  <c r="GU191" i="54"/>
  <c r="GU233" i="54"/>
  <c r="GU18" i="54"/>
  <c r="GU60" i="54"/>
  <c r="GU108" i="54"/>
  <c r="GU150" i="54"/>
  <c r="GU192" i="54"/>
  <c r="GU234" i="54"/>
  <c r="GU19" i="54"/>
  <c r="GU67" i="54"/>
  <c r="GU109" i="54"/>
  <c r="GU151" i="54"/>
  <c r="GU193" i="54"/>
  <c r="GU235" i="54"/>
  <c r="GU98" i="54"/>
  <c r="GU104" i="54"/>
  <c r="GU110" i="54"/>
  <c r="GU116" i="54"/>
  <c r="GU86" i="54"/>
  <c r="GU92" i="54"/>
  <c r="GU105" i="54"/>
  <c r="GU16" i="54"/>
  <c r="GU88" i="54"/>
  <c r="GU160" i="54"/>
  <c r="GU202" i="54"/>
  <c r="GU244" i="54"/>
  <c r="GU23" i="54"/>
  <c r="GU65" i="54"/>
  <c r="GU113" i="54"/>
  <c r="GU155" i="54"/>
  <c r="GU197" i="54"/>
  <c r="GU239" i="54"/>
  <c r="GU24" i="54"/>
  <c r="GU72" i="54"/>
  <c r="GU114" i="54"/>
  <c r="GU156" i="54"/>
  <c r="GU198" i="54"/>
  <c r="GU240" i="54"/>
  <c r="GU31" i="54"/>
  <c r="GU73" i="54"/>
  <c r="GU115" i="54"/>
  <c r="GU157" i="54"/>
  <c r="GU199" i="54"/>
  <c r="GU247" i="54"/>
  <c r="GU134" i="54"/>
  <c r="GU140" i="54"/>
  <c r="GU146" i="54"/>
  <c r="GU152" i="54"/>
  <c r="GU158" i="54"/>
  <c r="GU128" i="54"/>
  <c r="GU141" i="54"/>
  <c r="GU22" i="54"/>
  <c r="GU94" i="54"/>
  <c r="GU166" i="54"/>
  <c r="GU208" i="54"/>
  <c r="GU250" i="54"/>
  <c r="GU29" i="54"/>
  <c r="GU77" i="54"/>
  <c r="GU119" i="54"/>
  <c r="GU161" i="54"/>
  <c r="GU203" i="54"/>
  <c r="GU245" i="54"/>
  <c r="GU36" i="54"/>
  <c r="GU78" i="54"/>
  <c r="GU120" i="54"/>
  <c r="GU162" i="54"/>
  <c r="GU204" i="54"/>
  <c r="GU252" i="54"/>
  <c r="GU37" i="54"/>
  <c r="GU79" i="54"/>
  <c r="GU121" i="54"/>
  <c r="GU163" i="54"/>
  <c r="GU211" i="54"/>
  <c r="GU253" i="54"/>
  <c r="GU170" i="54"/>
  <c r="GU176" i="54"/>
  <c r="GU182" i="54"/>
  <c r="GU224" i="54"/>
  <c r="GU194" i="54"/>
  <c r="GU164" i="54"/>
  <c r="GU177" i="54"/>
  <c r="GU28" i="54"/>
  <c r="GU100" i="54"/>
  <c r="GU172" i="54"/>
  <c r="GU214" i="54"/>
  <c r="GU256" i="54"/>
  <c r="GU41" i="54"/>
  <c r="GU83" i="54"/>
  <c r="GU125" i="54"/>
  <c r="GU167" i="54"/>
  <c r="GU209" i="54"/>
  <c r="GU257" i="54"/>
  <c r="GU42" i="54"/>
  <c r="GU84" i="54"/>
  <c r="GU126" i="54"/>
  <c r="GU168" i="54"/>
  <c r="GU216" i="54"/>
  <c r="GU258" i="54"/>
  <c r="GU43" i="54"/>
  <c r="GU85" i="54"/>
  <c r="GU127" i="54"/>
  <c r="GU175" i="54"/>
  <c r="GU217" i="54"/>
  <c r="GU259" i="54"/>
  <c r="GU206" i="54"/>
  <c r="GU212" i="54"/>
  <c r="GU254" i="54"/>
  <c r="GU260" i="54"/>
  <c r="GU230" i="54"/>
  <c r="GU200" i="54"/>
  <c r="GU213" i="54"/>
  <c r="GU52" i="54"/>
  <c r="GU124" i="54"/>
  <c r="GU178" i="54"/>
  <c r="GU220" i="54"/>
  <c r="GU268" i="54"/>
  <c r="GU47" i="54"/>
  <c r="GU89" i="54"/>
  <c r="GU131" i="54"/>
  <c r="GU173" i="54"/>
  <c r="GU221" i="54"/>
  <c r="GU263" i="54"/>
  <c r="GU48" i="54"/>
  <c r="GU90" i="54"/>
  <c r="GU132" i="54"/>
  <c r="GU180" i="54"/>
  <c r="GU222" i="54"/>
  <c r="GU264" i="54"/>
  <c r="GU49" i="54"/>
  <c r="GU91" i="54"/>
  <c r="GU139" i="54"/>
  <c r="GU181" i="54"/>
  <c r="GU223" i="54"/>
  <c r="GU265" i="54"/>
  <c r="GU242" i="54"/>
  <c r="GU38" i="54"/>
  <c r="GU44" i="54"/>
  <c r="GU14" i="54"/>
  <c r="GU266" i="54"/>
  <c r="GU236" i="54"/>
  <c r="EM11" i="54"/>
  <c r="EM23" i="54"/>
  <c r="EM59" i="54"/>
  <c r="EM95" i="54"/>
  <c r="EM131" i="54"/>
  <c r="EM167" i="54"/>
  <c r="EM203" i="54"/>
  <c r="EM239" i="54"/>
  <c r="EM18" i="54"/>
  <c r="EM54" i="54"/>
  <c r="EM90" i="54"/>
  <c r="EM126" i="54"/>
  <c r="EM162" i="54"/>
  <c r="EM198" i="54"/>
  <c r="EM234" i="54"/>
  <c r="EM13" i="54"/>
  <c r="EM49" i="54"/>
  <c r="EM85" i="54"/>
  <c r="EM121" i="54"/>
  <c r="EM157" i="54"/>
  <c r="EM193" i="54"/>
  <c r="EM229" i="54"/>
  <c r="EM265" i="54"/>
  <c r="EM44" i="54"/>
  <c r="EM80" i="54"/>
  <c r="EM116" i="54"/>
  <c r="EM152" i="54"/>
  <c r="EM188" i="54"/>
  <c r="EM224" i="54"/>
  <c r="EM260" i="54"/>
  <c r="EM39" i="54"/>
  <c r="EM75" i="54"/>
  <c r="EM111" i="54"/>
  <c r="EM147" i="54"/>
  <c r="EM183" i="54"/>
  <c r="EM219" i="54"/>
  <c r="EM255" i="54"/>
  <c r="EM28" i="54"/>
  <c r="EM64" i="54"/>
  <c r="EM100" i="54"/>
  <c r="EM136" i="54"/>
  <c r="EM172" i="54"/>
  <c r="EM208" i="54"/>
  <c r="EM244" i="54"/>
  <c r="EM41" i="54"/>
  <c r="EM83" i="54"/>
  <c r="EM125" i="54"/>
  <c r="EM173" i="54"/>
  <c r="EM215" i="54"/>
  <c r="EM257" i="54"/>
  <c r="EM42" i="54"/>
  <c r="EM84" i="54"/>
  <c r="EM132" i="54"/>
  <c r="EM174" i="54"/>
  <c r="EM216" i="54"/>
  <c r="EM258" i="54"/>
  <c r="EM43" i="54"/>
  <c r="EM91" i="54"/>
  <c r="EM133" i="54"/>
  <c r="EM175" i="54"/>
  <c r="EM217" i="54"/>
  <c r="EM259" i="54"/>
  <c r="EM50" i="54"/>
  <c r="EM92" i="54"/>
  <c r="EM134" i="54"/>
  <c r="EM176" i="54"/>
  <c r="EM218" i="54"/>
  <c r="EM266" i="54"/>
  <c r="EM51" i="54"/>
  <c r="EM93" i="54"/>
  <c r="EM135" i="54"/>
  <c r="EM177" i="54"/>
  <c r="EM225" i="54"/>
  <c r="EM267" i="54"/>
  <c r="EM46" i="54"/>
  <c r="EM88" i="54"/>
  <c r="EM130" i="54"/>
  <c r="EM178" i="54"/>
  <c r="EM220" i="54"/>
  <c r="EM262" i="54"/>
  <c r="EM47" i="54"/>
  <c r="EM89" i="54"/>
  <c r="EM137" i="54"/>
  <c r="EM179" i="54"/>
  <c r="EM221" i="54"/>
  <c r="EM263" i="54"/>
  <c r="EM48" i="54"/>
  <c r="EM96" i="54"/>
  <c r="EM138" i="54"/>
  <c r="EM180" i="54"/>
  <c r="EM222" i="54"/>
  <c r="EM264" i="54"/>
  <c r="EM55" i="54"/>
  <c r="EM97" i="54"/>
  <c r="EM139" i="54"/>
  <c r="EM181" i="54"/>
  <c r="EM223" i="54"/>
  <c r="EM14" i="54"/>
  <c r="EM56" i="54"/>
  <c r="EM98" i="54"/>
  <c r="EM140" i="54"/>
  <c r="EM182" i="54"/>
  <c r="EM230" i="54"/>
  <c r="EM15" i="54"/>
  <c r="EM57" i="54"/>
  <c r="EM99" i="54"/>
  <c r="EM141" i="54"/>
  <c r="EM189" i="54"/>
  <c r="EM231" i="54"/>
  <c r="EM10" i="54"/>
  <c r="EM52" i="54"/>
  <c r="EM94" i="54"/>
  <c r="EM142" i="54"/>
  <c r="EM184" i="54"/>
  <c r="EM226" i="54"/>
  <c r="EM268" i="54"/>
  <c r="EM53" i="54"/>
  <c r="EM101" i="54"/>
  <c r="EM143" i="54"/>
  <c r="EM185" i="54"/>
  <c r="EM227" i="54"/>
  <c r="EM12" i="54"/>
  <c r="EM60" i="54"/>
  <c r="EM102" i="54"/>
  <c r="EM144" i="54"/>
  <c r="EM186" i="54"/>
  <c r="EM228" i="54"/>
  <c r="EM19" i="54"/>
  <c r="EM61" i="54"/>
  <c r="EM103" i="54"/>
  <c r="EM145" i="54"/>
  <c r="EM187" i="54"/>
  <c r="EM235" i="54"/>
  <c r="EM20" i="54"/>
  <c r="EM62" i="54"/>
  <c r="EM104" i="54"/>
  <c r="EM146" i="54"/>
  <c r="EM194" i="54"/>
  <c r="EM236" i="54"/>
  <c r="EM21" i="54"/>
  <c r="EM63" i="54"/>
  <c r="EM105" i="54"/>
  <c r="EM153" i="54"/>
  <c r="EM195" i="54"/>
  <c r="EM237" i="54"/>
  <c r="EM16" i="54"/>
  <c r="EM58" i="54"/>
  <c r="EM106" i="54"/>
  <c r="EM148" i="54"/>
  <c r="EM190" i="54"/>
  <c r="EM232" i="54"/>
  <c r="EM17" i="54"/>
  <c r="EM65" i="54"/>
  <c r="EM107" i="54"/>
  <c r="EM149" i="54"/>
  <c r="EM191" i="54"/>
  <c r="EM233" i="54"/>
  <c r="EM24" i="54"/>
  <c r="EM66" i="54"/>
  <c r="EM108" i="54"/>
  <c r="EM150" i="54"/>
  <c r="EM192" i="54"/>
  <c r="EM240" i="54"/>
  <c r="EM25" i="54"/>
  <c r="EM67" i="54"/>
  <c r="EM109" i="54"/>
  <c r="EM151" i="54"/>
  <c r="EM199" i="54"/>
  <c r="EM241" i="54"/>
  <c r="EM26" i="54"/>
  <c r="EM68" i="54"/>
  <c r="EM110" i="54"/>
  <c r="EM158" i="54"/>
  <c r="EM200" i="54"/>
  <c r="EM242" i="54"/>
  <c r="EM27" i="54"/>
  <c r="EM69" i="54"/>
  <c r="EM117" i="54"/>
  <c r="EM159" i="54"/>
  <c r="EM201" i="54"/>
  <c r="EM243" i="54"/>
  <c r="EM22" i="54"/>
  <c r="EM70" i="54"/>
  <c r="EM112" i="54"/>
  <c r="EM154" i="54"/>
  <c r="EM196" i="54"/>
  <c r="EM238" i="54"/>
  <c r="EM29" i="54"/>
  <c r="EM71" i="54"/>
  <c r="EM113" i="54"/>
  <c r="EM155" i="54"/>
  <c r="EM197" i="54"/>
  <c r="EM245" i="54"/>
  <c r="EM30" i="54"/>
  <c r="EM72" i="54"/>
  <c r="EM114" i="54"/>
  <c r="EM156" i="54"/>
  <c r="EM204" i="54"/>
  <c r="EM246" i="54"/>
  <c r="EM31" i="54"/>
  <c r="EM73" i="54"/>
  <c r="EM115" i="54"/>
  <c r="EM163" i="54"/>
  <c r="EM205" i="54"/>
  <c r="EM247" i="54"/>
  <c r="EM32" i="54"/>
  <c r="EM74" i="54"/>
  <c r="EM122" i="54"/>
  <c r="EM164" i="54"/>
  <c r="EM206" i="54"/>
  <c r="EM248" i="54"/>
  <c r="EM33" i="54"/>
  <c r="EM81" i="54"/>
  <c r="EM123" i="54"/>
  <c r="EM165" i="54"/>
  <c r="EM207" i="54"/>
  <c r="EM249" i="54"/>
  <c r="EM34" i="54"/>
  <c r="EM76" i="54"/>
  <c r="EM118" i="54"/>
  <c r="EM160" i="54"/>
  <c r="EM202" i="54"/>
  <c r="EM250" i="54"/>
  <c r="EM35" i="54"/>
  <c r="EM77" i="54"/>
  <c r="EM119" i="54"/>
  <c r="EM161" i="54"/>
  <c r="EM209" i="54"/>
  <c r="EM251" i="54"/>
  <c r="EM36" i="54"/>
  <c r="EM78" i="54"/>
  <c r="EM120" i="54"/>
  <c r="EM168" i="54"/>
  <c r="EM210" i="54"/>
  <c r="EM252" i="54"/>
  <c r="EM37" i="54"/>
  <c r="EM79" i="54"/>
  <c r="EM127" i="54"/>
  <c r="EM169" i="54"/>
  <c r="EM211" i="54"/>
  <c r="EM253" i="54"/>
  <c r="EM38" i="54"/>
  <c r="EM86" i="54"/>
  <c r="EM128" i="54"/>
  <c r="EM170" i="54"/>
  <c r="EM212" i="54"/>
  <c r="EM254" i="54"/>
  <c r="EM45" i="54"/>
  <c r="EM87" i="54"/>
  <c r="EM129" i="54"/>
  <c r="EM171" i="54"/>
  <c r="EM213" i="54"/>
  <c r="EM261" i="54"/>
  <c r="EM40" i="54"/>
  <c r="EM82" i="54"/>
  <c r="EM124" i="54"/>
  <c r="EM166" i="54"/>
  <c r="EM214" i="54"/>
  <c r="EM256" i="54"/>
  <c r="DU3" i="54"/>
  <c r="HU56" i="54"/>
  <c r="HR35" i="54"/>
  <c r="HQ35" i="54"/>
  <c r="HQ207" i="54"/>
  <c r="HR165" i="54"/>
  <c r="HQ165" i="54"/>
  <c r="HR68" i="54"/>
  <c r="HQ68" i="54"/>
  <c r="HR67" i="54"/>
  <c r="HQ67" i="54"/>
  <c r="HQ185" i="54"/>
  <c r="HR185" i="54"/>
  <c r="HR52" i="54"/>
  <c r="HQ52" i="54"/>
  <c r="HR57" i="54"/>
  <c r="HQ57" i="54"/>
  <c r="HR176" i="54"/>
  <c r="HQ176" i="54"/>
  <c r="HQ174" i="54"/>
  <c r="HR249" i="54"/>
  <c r="HQ249" i="54"/>
  <c r="HR69" i="54"/>
  <c r="HQ69" i="54"/>
  <c r="HQ146" i="54"/>
  <c r="HR146" i="54"/>
  <c r="HR223" i="54"/>
  <c r="HQ223" i="54"/>
  <c r="HR222" i="54"/>
  <c r="HQ222" i="54"/>
  <c r="HR213" i="54"/>
  <c r="HR39" i="54"/>
  <c r="HQ39" i="54"/>
  <c r="HR235" i="54"/>
  <c r="HQ235" i="54"/>
  <c r="HR234" i="54"/>
  <c r="HQ234" i="54"/>
  <c r="HR197" i="54"/>
  <c r="HQ197" i="54"/>
  <c r="HR229" i="54"/>
  <c r="HQ229" i="54"/>
  <c r="HQ228" i="54"/>
  <c r="HR228" i="54"/>
  <c r="HR167" i="54"/>
  <c r="HQ167" i="54"/>
  <c r="HQ44" i="54"/>
  <c r="HR199" i="54"/>
  <c r="HQ199" i="54"/>
  <c r="HQ198" i="54"/>
  <c r="HR198" i="54"/>
  <c r="HN205" i="54"/>
  <c r="HR205" i="54"/>
  <c r="HQ205" i="54"/>
  <c r="HR245" i="54"/>
  <c r="HQ245" i="54"/>
  <c r="GR97" i="54"/>
  <c r="GR15" i="54"/>
  <c r="GR211" i="54"/>
  <c r="GR189" i="54"/>
  <c r="GR95" i="54"/>
  <c r="GR85" i="54"/>
  <c r="GR87" i="54"/>
  <c r="GR256" i="54"/>
  <c r="GR222" i="54"/>
  <c r="GR224" i="54"/>
  <c r="GR154" i="54"/>
  <c r="GR54" i="54"/>
  <c r="GR62" i="54"/>
  <c r="GR16" i="54"/>
  <c r="GR185" i="54"/>
  <c r="GR151" i="54"/>
  <c r="GR141" i="54"/>
  <c r="GR47" i="54"/>
  <c r="GR240" i="54"/>
  <c r="GR248" i="54"/>
  <c r="GR172" i="54"/>
  <c r="EK38" i="54"/>
  <c r="EK74" i="54"/>
  <c r="EK110" i="54"/>
  <c r="EK146" i="54"/>
  <c r="EK182" i="54"/>
  <c r="EK218" i="54"/>
  <c r="EK254" i="54"/>
  <c r="EK33" i="54"/>
  <c r="EK69" i="54"/>
  <c r="EK105" i="54"/>
  <c r="EK141" i="54"/>
  <c r="EK177" i="54"/>
  <c r="EK213" i="54"/>
  <c r="EK249" i="54"/>
  <c r="EK22" i="54"/>
  <c r="EK58" i="54"/>
  <c r="EK94" i="54"/>
  <c r="EK130" i="54"/>
  <c r="EK166" i="54"/>
  <c r="EK202" i="54"/>
  <c r="EK238" i="54"/>
  <c r="EK11" i="54"/>
  <c r="EK47" i="54"/>
  <c r="EK83" i="54"/>
  <c r="EK119" i="54"/>
  <c r="EK155" i="54"/>
  <c r="EK191" i="54"/>
  <c r="EK227" i="54"/>
  <c r="EK263" i="54"/>
  <c r="EK42" i="54"/>
  <c r="EK78" i="54"/>
  <c r="EK114" i="54"/>
  <c r="EK150" i="54"/>
  <c r="EK186" i="54"/>
  <c r="EK222" i="54"/>
  <c r="EK258" i="54"/>
  <c r="EK163" i="54"/>
  <c r="EK133" i="54"/>
  <c r="EK103" i="54"/>
  <c r="EK73" i="54"/>
  <c r="EK43" i="54"/>
  <c r="EK259" i="54"/>
  <c r="EK193" i="54"/>
  <c r="EK44" i="54"/>
  <c r="EK80" i="54"/>
  <c r="EK116" i="54"/>
  <c r="EK152" i="54"/>
  <c r="EK188" i="54"/>
  <c r="EK224" i="54"/>
  <c r="EK260" i="54"/>
  <c r="EK39" i="54"/>
  <c r="EK75" i="54"/>
  <c r="EK111" i="54"/>
  <c r="EK147" i="54"/>
  <c r="EK183" i="54"/>
  <c r="EK219" i="54"/>
  <c r="EK255" i="54"/>
  <c r="EK28" i="54"/>
  <c r="EK64" i="54"/>
  <c r="EK100" i="54"/>
  <c r="EK136" i="54"/>
  <c r="EK172" i="54"/>
  <c r="EK208" i="54"/>
  <c r="EK244" i="54"/>
  <c r="EK17" i="54"/>
  <c r="EK53" i="54"/>
  <c r="EK89" i="54"/>
  <c r="EK125" i="54"/>
  <c r="EK161" i="54"/>
  <c r="EK197" i="54"/>
  <c r="EK233" i="54"/>
  <c r="EK12" i="54"/>
  <c r="EK48" i="54"/>
  <c r="EK84" i="54"/>
  <c r="EK120" i="54"/>
  <c r="EK156" i="54"/>
  <c r="EK192" i="54"/>
  <c r="EK228" i="54"/>
  <c r="EK264" i="54"/>
  <c r="EK199" i="54"/>
  <c r="EK169" i="54"/>
  <c r="EK139" i="54"/>
  <c r="EK109" i="54"/>
  <c r="EK79" i="54"/>
  <c r="EK13" i="54"/>
  <c r="EK229" i="54"/>
  <c r="EK14" i="54"/>
  <c r="EK50" i="54"/>
  <c r="EK86" i="54"/>
  <c r="EK122" i="54"/>
  <c r="EK158" i="54"/>
  <c r="EK194" i="54"/>
  <c r="EK230" i="54"/>
  <c r="EK266" i="54"/>
  <c r="EK45" i="54"/>
  <c r="EK81" i="54"/>
  <c r="EK117" i="54"/>
  <c r="EK153" i="54"/>
  <c r="EK189" i="54"/>
  <c r="EK225" i="54"/>
  <c r="EK261" i="54"/>
  <c r="EK34" i="54"/>
  <c r="EK70" i="54"/>
  <c r="EK106" i="54"/>
  <c r="EK142" i="54"/>
  <c r="EK178" i="54"/>
  <c r="EK214" i="54"/>
  <c r="EK250" i="54"/>
  <c r="EK23" i="54"/>
  <c r="EK59" i="54"/>
  <c r="EK95" i="54"/>
  <c r="EK131" i="54"/>
  <c r="EK167" i="54"/>
  <c r="EK203" i="54"/>
  <c r="EK239" i="54"/>
  <c r="EK18" i="54"/>
  <c r="EK54" i="54"/>
  <c r="EK90" i="54"/>
  <c r="EK126" i="54"/>
  <c r="EK162" i="54"/>
  <c r="EK198" i="54"/>
  <c r="EK234" i="54"/>
  <c r="EK19" i="54"/>
  <c r="EK235" i="54"/>
  <c r="EK205" i="54"/>
  <c r="EK175" i="54"/>
  <c r="EK145" i="54"/>
  <c r="EK115" i="54"/>
  <c r="EK49" i="54"/>
  <c r="EK265" i="54"/>
  <c r="EK20" i="54"/>
  <c r="EK56" i="54"/>
  <c r="EK92" i="54"/>
  <c r="EK128" i="54"/>
  <c r="EK164" i="54"/>
  <c r="EK200" i="54"/>
  <c r="EK236" i="54"/>
  <c r="EK15" i="54"/>
  <c r="EK51" i="54"/>
  <c r="EK87" i="54"/>
  <c r="EK123" i="54"/>
  <c r="EK159" i="54"/>
  <c r="EK195" i="54"/>
  <c r="EK231" i="54"/>
  <c r="EK267" i="54"/>
  <c r="EK40" i="54"/>
  <c r="EK76" i="54"/>
  <c r="EK112" i="54"/>
  <c r="EK148" i="54"/>
  <c r="EK184" i="54"/>
  <c r="EK220" i="54"/>
  <c r="EK256" i="54"/>
  <c r="EK29" i="54"/>
  <c r="EK65" i="54"/>
  <c r="EK101" i="54"/>
  <c r="EK137" i="54"/>
  <c r="EK173" i="54"/>
  <c r="EK209" i="54"/>
  <c r="EK245" i="54"/>
  <c r="EK24" i="54"/>
  <c r="EK60" i="54"/>
  <c r="EK96" i="54"/>
  <c r="EK132" i="54"/>
  <c r="EK168" i="54"/>
  <c r="EK204" i="54"/>
  <c r="EK240" i="54"/>
  <c r="EK55" i="54"/>
  <c r="EK25" i="54"/>
  <c r="EK241" i="54"/>
  <c r="EK211" i="54"/>
  <c r="EK181" i="54"/>
  <c r="EK151" i="54"/>
  <c r="EK85" i="54"/>
  <c r="EK26" i="54"/>
  <c r="EK62" i="54"/>
  <c r="EK98" i="54"/>
  <c r="EK134" i="54"/>
  <c r="EK170" i="54"/>
  <c r="EK206" i="54"/>
  <c r="EK242" i="54"/>
  <c r="EK21" i="54"/>
  <c r="EK57" i="54"/>
  <c r="EK93" i="54"/>
  <c r="EK129" i="54"/>
  <c r="EK165" i="54"/>
  <c r="EK201" i="54"/>
  <c r="EK237" i="54"/>
  <c r="EK10" i="54"/>
  <c r="EK46" i="54"/>
  <c r="EK82" i="54"/>
  <c r="EK118" i="54"/>
  <c r="EK154" i="54"/>
  <c r="EK190" i="54"/>
  <c r="EK226" i="54"/>
  <c r="EK262" i="54"/>
  <c r="EK35" i="54"/>
  <c r="EK71" i="54"/>
  <c r="EK107" i="54"/>
  <c r="EK143" i="54"/>
  <c r="EK179" i="54"/>
  <c r="EK215" i="54"/>
  <c r="EK251" i="54"/>
  <c r="EK30" i="54"/>
  <c r="EK66" i="54"/>
  <c r="EK102" i="54"/>
  <c r="EK138" i="54"/>
  <c r="EK174" i="54"/>
  <c r="EK210" i="54"/>
  <c r="EK246" i="54"/>
  <c r="EK91" i="54"/>
  <c r="EK61" i="54"/>
  <c r="EK31" i="54"/>
  <c r="EK247" i="54"/>
  <c r="EK217" i="54"/>
  <c r="EK187" i="54"/>
  <c r="EK121" i="54"/>
  <c r="EK32" i="54"/>
  <c r="EK68" i="54"/>
  <c r="EK104" i="54"/>
  <c r="EK140" i="54"/>
  <c r="EK176" i="54"/>
  <c r="EK212" i="54"/>
  <c r="EK248" i="54"/>
  <c r="EK27" i="54"/>
  <c r="EK63" i="54"/>
  <c r="EK99" i="54"/>
  <c r="EK135" i="54"/>
  <c r="EK171" i="54"/>
  <c r="EK207" i="54"/>
  <c r="EK243" i="54"/>
  <c r="EK16" i="54"/>
  <c r="EK52" i="54"/>
  <c r="EK88" i="54"/>
  <c r="EK124" i="54"/>
  <c r="EK160" i="54"/>
  <c r="EK196" i="54"/>
  <c r="EK232" i="54"/>
  <c r="EK268" i="54"/>
  <c r="EK41" i="54"/>
  <c r="EK77" i="54"/>
  <c r="EK113" i="54"/>
  <c r="EK149" i="54"/>
  <c r="EK185" i="54"/>
  <c r="EK221" i="54"/>
  <c r="EK257" i="54"/>
  <c r="EK36" i="54"/>
  <c r="EK72" i="54"/>
  <c r="EK108" i="54"/>
  <c r="EK144" i="54"/>
  <c r="EK180" i="54"/>
  <c r="EK216" i="54"/>
  <c r="EK252" i="54"/>
  <c r="EK127" i="54"/>
  <c r="EK97" i="54"/>
  <c r="EK67" i="54"/>
  <c r="EK37" i="54"/>
  <c r="EK253" i="54"/>
  <c r="EK223" i="54"/>
  <c r="EK157" i="54"/>
  <c r="HR251" i="54"/>
  <c r="HQ251" i="54"/>
  <c r="HR160" i="54"/>
  <c r="HQ160" i="54"/>
  <c r="HR118" i="54"/>
  <c r="HQ118" i="54"/>
  <c r="HQ144" i="54"/>
  <c r="HR144" i="54"/>
  <c r="HR143" i="54"/>
  <c r="HQ143" i="54"/>
  <c r="HR268" i="54"/>
  <c r="HQ268" i="54"/>
  <c r="HR37" i="54"/>
  <c r="HQ37" i="54"/>
  <c r="HR36" i="54"/>
  <c r="HQ36" i="54"/>
  <c r="HR202" i="54"/>
  <c r="HQ202" i="54"/>
  <c r="HR43" i="54"/>
  <c r="HQ43" i="54"/>
  <c r="HR42" i="54"/>
  <c r="HQ42" i="54"/>
  <c r="HR166" i="54"/>
  <c r="HQ166" i="54"/>
  <c r="HR156" i="54"/>
  <c r="HQ156" i="54"/>
  <c r="HR95" i="54"/>
  <c r="HQ95" i="54"/>
  <c r="HR17" i="54"/>
  <c r="HQ17" i="54"/>
  <c r="HR126" i="54"/>
  <c r="HQ126" i="54"/>
  <c r="HR89" i="54"/>
  <c r="HQ89" i="54"/>
  <c r="HQ34" i="54"/>
  <c r="HR34" i="54"/>
  <c r="HN168" i="54"/>
  <c r="HQ168" i="54"/>
  <c r="HR168" i="54"/>
  <c r="HN132" i="54"/>
  <c r="HR132" i="54"/>
  <c r="HQ132" i="54"/>
  <c r="HN96" i="54"/>
  <c r="HR96" i="54"/>
  <c r="HQ96" i="54"/>
  <c r="HR60" i="54"/>
  <c r="HR65" i="54"/>
  <c r="HN97" i="54"/>
  <c r="HU97" i="54" s="1"/>
  <c r="HQ97" i="54"/>
  <c r="HR97" i="54"/>
  <c r="Z58" i="56"/>
  <c r="AC58" i="56" s="1"/>
  <c r="HS5" i="54" a="1"/>
  <c r="HS5" i="54" s="1"/>
  <c r="GV19" i="54"/>
  <c r="GV55" i="54"/>
  <c r="GV91" i="54"/>
  <c r="GV127" i="54"/>
  <c r="GV163" i="54"/>
  <c r="GV43" i="54"/>
  <c r="GV85" i="54"/>
  <c r="GV133" i="54"/>
  <c r="GV175" i="54"/>
  <c r="GV211" i="54"/>
  <c r="GV247" i="54"/>
  <c r="GV26" i="54"/>
  <c r="GV62" i="54"/>
  <c r="GV98" i="54"/>
  <c r="GV134" i="54"/>
  <c r="GV170" i="54"/>
  <c r="GV206" i="54"/>
  <c r="GV242" i="54"/>
  <c r="GV21" i="54"/>
  <c r="GV57" i="54"/>
  <c r="GV93" i="54"/>
  <c r="GV129" i="54"/>
  <c r="GV165" i="54"/>
  <c r="GV201" i="54"/>
  <c r="GV237" i="54"/>
  <c r="GV10" i="54"/>
  <c r="GV46" i="54"/>
  <c r="GV82" i="54"/>
  <c r="GV118" i="54"/>
  <c r="GV154" i="54"/>
  <c r="GV190" i="54"/>
  <c r="GV226" i="54"/>
  <c r="GV262" i="54"/>
  <c r="GV35" i="54"/>
  <c r="GV71" i="54"/>
  <c r="GV107" i="54"/>
  <c r="GV143" i="54"/>
  <c r="GV179" i="54"/>
  <c r="GV215" i="54"/>
  <c r="GV251" i="54"/>
  <c r="GV30" i="54"/>
  <c r="GV66" i="54"/>
  <c r="GV49" i="54"/>
  <c r="GV97" i="54"/>
  <c r="GV139" i="54"/>
  <c r="GV181" i="54"/>
  <c r="GV217" i="54"/>
  <c r="GV253" i="54"/>
  <c r="GV32" i="54"/>
  <c r="GV68" i="54"/>
  <c r="GV104" i="54"/>
  <c r="GV140" i="54"/>
  <c r="GV176" i="54"/>
  <c r="GV212" i="54"/>
  <c r="GV248" i="54"/>
  <c r="GV27" i="54"/>
  <c r="GV63" i="54"/>
  <c r="GV99" i="54"/>
  <c r="GV135" i="54"/>
  <c r="GV171" i="54"/>
  <c r="GV207" i="54"/>
  <c r="GV243" i="54"/>
  <c r="GV16" i="54"/>
  <c r="GV52" i="54"/>
  <c r="GV88" i="54"/>
  <c r="GV124" i="54"/>
  <c r="GV160" i="54"/>
  <c r="GV196" i="54"/>
  <c r="GV232" i="54"/>
  <c r="GV268" i="54"/>
  <c r="GV41" i="54"/>
  <c r="GV77" i="54"/>
  <c r="GV113" i="54"/>
  <c r="GV149" i="54"/>
  <c r="GV185" i="54"/>
  <c r="GV221" i="54"/>
  <c r="GV257" i="54"/>
  <c r="GV36" i="54"/>
  <c r="GV13" i="54"/>
  <c r="GV61" i="54"/>
  <c r="GV103" i="54"/>
  <c r="GV145" i="54"/>
  <c r="GV187" i="54"/>
  <c r="GV223" i="54"/>
  <c r="GV259" i="54"/>
  <c r="GV38" i="54"/>
  <c r="GV74" i="54"/>
  <c r="GV110" i="54"/>
  <c r="GV146" i="54"/>
  <c r="GV182" i="54"/>
  <c r="GV218" i="54"/>
  <c r="GV254" i="54"/>
  <c r="GV33" i="54"/>
  <c r="GV69" i="54"/>
  <c r="GV105" i="54"/>
  <c r="GV141" i="54"/>
  <c r="GV177" i="54"/>
  <c r="GV213" i="54"/>
  <c r="GV249" i="54"/>
  <c r="GV22" i="54"/>
  <c r="GV58" i="54"/>
  <c r="GV94" i="54"/>
  <c r="GV130" i="54"/>
  <c r="GV166" i="54"/>
  <c r="GV202" i="54"/>
  <c r="GV238" i="54"/>
  <c r="GV11" i="54"/>
  <c r="GV47" i="54"/>
  <c r="GV83" i="54"/>
  <c r="GV119" i="54"/>
  <c r="GV155" i="54"/>
  <c r="GV191" i="54"/>
  <c r="GV227" i="54"/>
  <c r="GV263" i="54"/>
  <c r="GV42" i="54"/>
  <c r="GV78" i="54"/>
  <c r="GV114" i="54"/>
  <c r="GV25" i="54"/>
  <c r="GV67" i="54"/>
  <c r="GV109" i="54"/>
  <c r="GV151" i="54"/>
  <c r="GV193" i="54"/>
  <c r="GV229" i="54"/>
  <c r="GV265" i="54"/>
  <c r="GV44" i="54"/>
  <c r="GV80" i="54"/>
  <c r="GV116" i="54"/>
  <c r="GV152" i="54"/>
  <c r="GV188" i="54"/>
  <c r="GV224" i="54"/>
  <c r="GV260" i="54"/>
  <c r="GV39" i="54"/>
  <c r="GV75" i="54"/>
  <c r="GV111" i="54"/>
  <c r="GV147" i="54"/>
  <c r="GV183" i="54"/>
  <c r="GV219" i="54"/>
  <c r="GV255" i="54"/>
  <c r="GV28" i="54"/>
  <c r="GV64" i="54"/>
  <c r="GV100" i="54"/>
  <c r="GV136" i="54"/>
  <c r="GV172" i="54"/>
  <c r="GV208" i="54"/>
  <c r="GV244" i="54"/>
  <c r="GV17" i="54"/>
  <c r="GV53" i="54"/>
  <c r="GV89" i="54"/>
  <c r="GV125" i="54"/>
  <c r="GV161" i="54"/>
  <c r="GV197" i="54"/>
  <c r="GV233" i="54"/>
  <c r="GV12" i="54"/>
  <c r="GV48" i="54"/>
  <c r="GV84" i="54"/>
  <c r="GV120" i="54"/>
  <c r="GV156" i="54"/>
  <c r="GV192" i="54"/>
  <c r="GV228" i="54"/>
  <c r="GV264" i="54"/>
  <c r="GV31" i="54"/>
  <c r="GV73" i="54"/>
  <c r="GV115" i="54"/>
  <c r="GV157" i="54"/>
  <c r="GV199" i="54"/>
  <c r="GV235" i="54"/>
  <c r="GV14" i="54"/>
  <c r="GV50" i="54"/>
  <c r="GV86" i="54"/>
  <c r="GV122" i="54"/>
  <c r="GV158" i="54"/>
  <c r="GV194" i="54"/>
  <c r="GV230" i="54"/>
  <c r="GV266" i="54"/>
  <c r="GV45" i="54"/>
  <c r="GV81" i="54"/>
  <c r="GV117" i="54"/>
  <c r="GV153" i="54"/>
  <c r="GV189" i="54"/>
  <c r="GV225" i="54"/>
  <c r="GV261" i="54"/>
  <c r="GV34" i="54"/>
  <c r="GV70" i="54"/>
  <c r="GV106" i="54"/>
  <c r="GV142" i="54"/>
  <c r="GV178" i="54"/>
  <c r="GV214" i="54"/>
  <c r="GV250" i="54"/>
  <c r="GV23" i="54"/>
  <c r="GV59" i="54"/>
  <c r="GV95" i="54"/>
  <c r="GV131" i="54"/>
  <c r="GV167" i="54"/>
  <c r="GV203" i="54"/>
  <c r="GV239" i="54"/>
  <c r="GV18" i="54"/>
  <c r="GV54" i="54"/>
  <c r="GV90" i="54"/>
  <c r="GV37" i="54"/>
  <c r="GV79" i="54"/>
  <c r="GV121" i="54"/>
  <c r="GV169" i="54"/>
  <c r="GV205" i="54"/>
  <c r="GV241" i="54"/>
  <c r="GV20" i="54"/>
  <c r="GV56" i="54"/>
  <c r="GV92" i="54"/>
  <c r="GV128" i="54"/>
  <c r="GV164" i="54"/>
  <c r="GV200" i="54"/>
  <c r="GV236" i="54"/>
  <c r="GV15" i="54"/>
  <c r="GV51" i="54"/>
  <c r="GV87" i="54"/>
  <c r="GV123" i="54"/>
  <c r="GV159" i="54"/>
  <c r="GV195" i="54"/>
  <c r="GV231" i="54"/>
  <c r="GV267" i="54"/>
  <c r="GV40" i="54"/>
  <c r="GV76" i="54"/>
  <c r="GV112" i="54"/>
  <c r="GV148" i="54"/>
  <c r="GV184" i="54"/>
  <c r="GV220" i="54"/>
  <c r="GV256" i="54"/>
  <c r="GV29" i="54"/>
  <c r="GV65" i="54"/>
  <c r="GV101" i="54"/>
  <c r="GV137" i="54"/>
  <c r="GV173" i="54"/>
  <c r="GV209" i="54"/>
  <c r="GV245" i="54"/>
  <c r="GV24" i="54"/>
  <c r="GV60" i="54"/>
  <c r="GV96" i="54"/>
  <c r="GV132" i="54"/>
  <c r="GV168" i="54"/>
  <c r="GV204" i="54"/>
  <c r="GV240" i="54"/>
  <c r="GV72" i="54"/>
  <c r="GV150" i="54"/>
  <c r="GV210" i="54"/>
  <c r="GV258" i="54"/>
  <c r="GV102" i="54"/>
  <c r="GV162" i="54"/>
  <c r="GV216" i="54"/>
  <c r="GV108" i="54"/>
  <c r="GV174" i="54"/>
  <c r="GV222" i="54"/>
  <c r="GV126" i="54"/>
  <c r="GV180" i="54"/>
  <c r="GV234" i="54"/>
  <c r="GV138" i="54"/>
  <c r="GV186" i="54"/>
  <c r="GV246" i="54"/>
  <c r="GV144" i="54"/>
  <c r="GV198" i="54"/>
  <c r="GV252" i="54"/>
  <c r="EI34" i="54"/>
  <c r="EI70" i="54"/>
  <c r="EI106" i="54"/>
  <c r="EI142" i="54"/>
  <c r="EI178" i="54"/>
  <c r="EI214" i="54"/>
  <c r="EI250" i="54"/>
  <c r="EI23" i="54"/>
  <c r="EI10" i="54"/>
  <c r="EI46" i="54"/>
  <c r="EI82" i="54"/>
  <c r="EI118" i="54"/>
  <c r="EI154" i="54"/>
  <c r="EI190" i="54"/>
  <c r="EI226" i="54"/>
  <c r="EI262" i="54"/>
  <c r="EI35" i="54"/>
  <c r="EI71" i="54"/>
  <c r="EI107" i="54"/>
  <c r="EI143" i="54"/>
  <c r="EI179" i="54"/>
  <c r="EI215" i="54"/>
  <c r="EI251" i="54"/>
  <c r="EI30" i="54"/>
  <c r="EI66" i="54"/>
  <c r="EI102" i="54"/>
  <c r="EI138" i="54"/>
  <c r="EI174" i="54"/>
  <c r="EI210" i="54"/>
  <c r="EI246" i="54"/>
  <c r="EI25" i="54"/>
  <c r="EI61" i="54"/>
  <c r="EI97" i="54"/>
  <c r="EI133" i="54"/>
  <c r="EI169" i="54"/>
  <c r="EI205" i="54"/>
  <c r="EI241" i="54"/>
  <c r="EI20" i="54"/>
  <c r="EI56" i="54"/>
  <c r="EI92" i="54"/>
  <c r="EI128" i="54"/>
  <c r="EI164" i="54"/>
  <c r="EI200" i="54"/>
  <c r="EI236" i="54"/>
  <c r="EI15" i="54"/>
  <c r="EI51" i="54"/>
  <c r="EI87" i="54"/>
  <c r="EI123" i="54"/>
  <c r="EI159" i="54"/>
  <c r="EI195" i="54"/>
  <c r="EI231" i="54"/>
  <c r="EI267" i="54"/>
  <c r="EI52" i="54"/>
  <c r="EI100" i="54"/>
  <c r="EI160" i="54"/>
  <c r="EI208" i="54"/>
  <c r="EI268" i="54"/>
  <c r="EI53" i="54"/>
  <c r="EI95" i="54"/>
  <c r="EI137" i="54"/>
  <c r="EI185" i="54"/>
  <c r="EI227" i="54"/>
  <c r="EI12" i="54"/>
  <c r="EI54" i="54"/>
  <c r="EI96" i="54"/>
  <c r="EI144" i="54"/>
  <c r="EI186" i="54"/>
  <c r="EI228" i="54"/>
  <c r="EI13" i="54"/>
  <c r="EI55" i="54"/>
  <c r="EI103" i="54"/>
  <c r="EI145" i="54"/>
  <c r="EI187" i="54"/>
  <c r="EI229" i="54"/>
  <c r="EI14" i="54"/>
  <c r="EI62" i="54"/>
  <c r="EI104" i="54"/>
  <c r="EI146" i="54"/>
  <c r="EI188" i="54"/>
  <c r="EI230" i="54"/>
  <c r="EI21" i="54"/>
  <c r="EI63" i="54"/>
  <c r="EI105" i="54"/>
  <c r="EI147" i="54"/>
  <c r="EI189" i="54"/>
  <c r="EI237" i="54"/>
  <c r="EI58" i="54"/>
  <c r="EI112" i="54"/>
  <c r="EI166" i="54"/>
  <c r="EI220" i="54"/>
  <c r="EI11" i="54"/>
  <c r="EI59" i="54"/>
  <c r="EI101" i="54"/>
  <c r="EI149" i="54"/>
  <c r="EI191" i="54"/>
  <c r="EI233" i="54"/>
  <c r="EI18" i="54"/>
  <c r="EI60" i="54"/>
  <c r="EI108" i="54"/>
  <c r="EI150" i="54"/>
  <c r="EI192" i="54"/>
  <c r="EI234" i="54"/>
  <c r="EI19" i="54"/>
  <c r="EI67" i="54"/>
  <c r="EI109" i="54"/>
  <c r="EI151" i="54"/>
  <c r="EI193" i="54"/>
  <c r="EI235" i="54"/>
  <c r="EI26" i="54"/>
  <c r="EI68" i="54"/>
  <c r="EI110" i="54"/>
  <c r="EI152" i="54"/>
  <c r="EI194" i="54"/>
  <c r="EI242" i="54"/>
  <c r="EI27" i="54"/>
  <c r="EI69" i="54"/>
  <c r="EI111" i="54"/>
  <c r="EI153" i="54"/>
  <c r="EI201" i="54"/>
  <c r="EI243" i="54"/>
  <c r="EI16" i="54"/>
  <c r="EI64" i="54"/>
  <c r="EI124" i="54"/>
  <c r="EI172" i="54"/>
  <c r="EI232" i="54"/>
  <c r="EI17" i="54"/>
  <c r="EI65" i="54"/>
  <c r="EI113" i="54"/>
  <c r="EI155" i="54"/>
  <c r="EI197" i="54"/>
  <c r="EI239" i="54"/>
  <c r="EI24" i="54"/>
  <c r="EI72" i="54"/>
  <c r="EI114" i="54"/>
  <c r="EI156" i="54"/>
  <c r="EI198" i="54"/>
  <c r="EI240" i="54"/>
  <c r="EI31" i="54"/>
  <c r="EI73" i="54"/>
  <c r="EI115" i="54"/>
  <c r="EI157" i="54"/>
  <c r="EI199" i="54"/>
  <c r="EI247" i="54"/>
  <c r="EI32" i="54"/>
  <c r="EI74" i="54"/>
  <c r="EI116" i="54"/>
  <c r="EI158" i="54"/>
  <c r="EI206" i="54"/>
  <c r="EI248" i="54"/>
  <c r="EI33" i="54"/>
  <c r="EI75" i="54"/>
  <c r="EI117" i="54"/>
  <c r="EI165" i="54"/>
  <c r="EI207" i="54"/>
  <c r="EI249" i="54"/>
  <c r="EI22" i="54"/>
  <c r="EI76" i="54"/>
  <c r="EI130" i="54"/>
  <c r="EI184" i="54"/>
  <c r="EI238" i="54"/>
  <c r="EI29" i="54"/>
  <c r="EI77" i="54"/>
  <c r="EI119" i="54"/>
  <c r="EI161" i="54"/>
  <c r="EI203" i="54"/>
  <c r="EI245" i="54"/>
  <c r="EI36" i="54"/>
  <c r="EI78" i="54"/>
  <c r="EI120" i="54"/>
  <c r="EI162" i="54"/>
  <c r="EI204" i="54"/>
  <c r="EI252" i="54"/>
  <c r="EI37" i="54"/>
  <c r="EI79" i="54"/>
  <c r="EI121" i="54"/>
  <c r="EI163" i="54"/>
  <c r="EI211" i="54"/>
  <c r="EI253" i="54"/>
  <c r="EI38" i="54"/>
  <c r="EI80" i="54"/>
  <c r="EI122" i="54"/>
  <c r="EI170" i="54"/>
  <c r="EI212" i="54"/>
  <c r="EI254" i="54"/>
  <c r="EI39" i="54"/>
  <c r="EI81" i="54"/>
  <c r="EI129" i="54"/>
  <c r="EI171" i="54"/>
  <c r="EI213" i="54"/>
  <c r="EI255" i="54"/>
  <c r="EI28" i="54"/>
  <c r="EI88" i="54"/>
  <c r="EI136" i="54"/>
  <c r="EI196" i="54"/>
  <c r="EI244" i="54"/>
  <c r="EI41" i="54"/>
  <c r="EI83" i="54"/>
  <c r="EI125" i="54"/>
  <c r="EI167" i="54"/>
  <c r="EI209" i="54"/>
  <c r="EI257" i="54"/>
  <c r="EI42" i="54"/>
  <c r="EI84" i="54"/>
  <c r="EI126" i="54"/>
  <c r="EI168" i="54"/>
  <c r="EI216" i="54"/>
  <c r="EI258" i="54"/>
  <c r="EI43" i="54"/>
  <c r="EI85" i="54"/>
  <c r="EI127" i="54"/>
  <c r="EI175" i="54"/>
  <c r="EI217" i="54"/>
  <c r="EI259" i="54"/>
  <c r="EI44" i="54"/>
  <c r="EI86" i="54"/>
  <c r="EI134" i="54"/>
  <c r="EI176" i="54"/>
  <c r="EI218" i="54"/>
  <c r="EI260" i="54"/>
  <c r="EI45" i="54"/>
  <c r="EI93" i="54"/>
  <c r="EI135" i="54"/>
  <c r="EI177" i="54"/>
  <c r="EI219" i="54"/>
  <c r="EI261" i="54"/>
  <c r="EI40" i="54"/>
  <c r="EI94" i="54"/>
  <c r="EI148" i="54"/>
  <c r="EI202" i="54"/>
  <c r="EI256" i="54"/>
  <c r="EI47" i="54"/>
  <c r="EI89" i="54"/>
  <c r="EI131" i="54"/>
  <c r="EI173" i="54"/>
  <c r="EI221" i="54"/>
  <c r="EI263" i="54"/>
  <c r="EI48" i="54"/>
  <c r="EI90" i="54"/>
  <c r="EI132" i="54"/>
  <c r="EI180" i="54"/>
  <c r="EI222" i="54"/>
  <c r="EI264" i="54"/>
  <c r="EI49" i="54"/>
  <c r="EI91" i="54"/>
  <c r="EI139" i="54"/>
  <c r="EI181" i="54"/>
  <c r="EI223" i="54"/>
  <c r="EI265" i="54"/>
  <c r="EI50" i="54"/>
  <c r="EI98" i="54"/>
  <c r="EI140" i="54"/>
  <c r="EI182" i="54"/>
  <c r="EI224" i="54"/>
  <c r="EI266" i="54"/>
  <c r="EI57" i="54"/>
  <c r="EI99" i="54"/>
  <c r="EI141" i="54"/>
  <c r="EI183" i="54"/>
  <c r="EI225" i="54"/>
  <c r="EY7" i="54"/>
  <c r="ES7" i="54"/>
  <c r="ER7" i="54"/>
  <c r="BG2" i="54"/>
  <c r="BG4" i="54"/>
  <c r="DT16" i="54"/>
  <c r="DT52" i="54"/>
  <c r="DT88" i="54"/>
  <c r="DT124" i="54"/>
  <c r="DT160" i="54"/>
  <c r="DT196" i="54"/>
  <c r="DT232" i="54"/>
  <c r="DT41" i="54"/>
  <c r="DT77" i="54"/>
  <c r="DT113" i="54"/>
  <c r="DT149" i="54"/>
  <c r="DT185" i="54"/>
  <c r="DT221" i="54"/>
  <c r="DT257" i="54"/>
  <c r="DT36" i="54"/>
  <c r="DT72" i="54"/>
  <c r="DT108" i="54"/>
  <c r="DT144" i="54"/>
  <c r="DT180" i="54"/>
  <c r="DT216" i="54"/>
  <c r="DT252" i="54"/>
  <c r="DT31" i="54"/>
  <c r="DT67" i="54"/>
  <c r="DT103" i="54"/>
  <c r="DT139" i="54"/>
  <c r="DT175" i="54"/>
  <c r="DT211" i="54"/>
  <c r="DT26" i="54"/>
  <c r="DT62" i="54"/>
  <c r="DT98" i="54"/>
  <c r="DT22" i="54"/>
  <c r="DT58" i="54"/>
  <c r="DT94" i="54"/>
  <c r="DT130" i="54"/>
  <c r="DT166" i="54"/>
  <c r="DT202" i="54"/>
  <c r="DT238" i="54"/>
  <c r="DT11" i="54"/>
  <c r="DT47" i="54"/>
  <c r="DT83" i="54"/>
  <c r="DT119" i="54"/>
  <c r="DT155" i="54"/>
  <c r="DT191" i="54"/>
  <c r="DT227" i="54"/>
  <c r="DT263" i="54"/>
  <c r="DT42" i="54"/>
  <c r="DT78" i="54"/>
  <c r="DT114" i="54"/>
  <c r="DT150" i="54"/>
  <c r="DT186" i="54"/>
  <c r="DT222" i="54"/>
  <c r="DT258" i="54"/>
  <c r="DT37" i="54"/>
  <c r="DT73" i="54"/>
  <c r="DT109" i="54"/>
  <c r="DT145" i="54"/>
  <c r="DT181" i="54"/>
  <c r="DT217" i="54"/>
  <c r="DT253" i="54"/>
  <c r="DT32" i="54"/>
  <c r="DT68" i="54"/>
  <c r="DT104" i="54"/>
  <c r="DT140" i="54"/>
  <c r="DT176" i="54"/>
  <c r="DT212" i="54"/>
  <c r="DT248" i="54"/>
  <c r="DT27" i="54"/>
  <c r="DT63" i="54"/>
  <c r="DT99" i="54"/>
  <c r="DT135" i="54"/>
  <c r="DT171" i="54"/>
  <c r="DT207" i="54"/>
  <c r="DT243" i="54"/>
  <c r="DT34" i="54"/>
  <c r="DT70" i="54"/>
  <c r="DT106" i="54"/>
  <c r="DT142" i="54"/>
  <c r="DT178" i="54"/>
  <c r="DT214" i="54"/>
  <c r="DT250" i="54"/>
  <c r="DT23" i="54"/>
  <c r="DT59" i="54"/>
  <c r="DT95" i="54"/>
  <c r="DT40" i="54"/>
  <c r="DT76" i="54"/>
  <c r="DT10" i="54"/>
  <c r="DT46" i="54"/>
  <c r="DT82" i="54"/>
  <c r="DT118" i="54"/>
  <c r="DT154" i="54"/>
  <c r="DT190" i="54"/>
  <c r="DT226" i="54"/>
  <c r="DT262" i="54"/>
  <c r="DT35" i="54"/>
  <c r="DT71" i="54"/>
  <c r="DT107" i="54"/>
  <c r="DT143" i="54"/>
  <c r="DT179" i="54"/>
  <c r="DT215" i="54"/>
  <c r="DT251" i="54"/>
  <c r="DT30" i="54"/>
  <c r="DT66" i="54"/>
  <c r="DT102" i="54"/>
  <c r="DT138" i="54"/>
  <c r="DT174" i="54"/>
  <c r="DT210" i="54"/>
  <c r="DT246" i="54"/>
  <c r="DT25" i="54"/>
  <c r="DT61" i="54"/>
  <c r="DT97" i="54"/>
  <c r="DT133" i="54"/>
  <c r="DT169" i="54"/>
  <c r="DT205" i="54"/>
  <c r="DT241" i="54"/>
  <c r="DT20" i="54"/>
  <c r="DT56" i="54"/>
  <c r="DT92" i="54"/>
  <c r="DT128" i="54"/>
  <c r="DT164" i="54"/>
  <c r="DT200" i="54"/>
  <c r="DT236" i="54"/>
  <c r="DT15" i="54"/>
  <c r="DT51" i="54"/>
  <c r="DT87" i="54"/>
  <c r="DT123" i="54"/>
  <c r="DT159" i="54"/>
  <c r="DT195" i="54"/>
  <c r="DT231" i="54"/>
  <c r="DT267" i="54"/>
  <c r="DT268" i="54"/>
  <c r="DT247" i="54"/>
  <c r="DT100" i="54"/>
  <c r="DT208" i="54"/>
  <c r="DT53" i="54"/>
  <c r="DT137" i="54"/>
  <c r="DT209" i="54"/>
  <c r="DT24" i="54"/>
  <c r="DT96" i="54"/>
  <c r="DT168" i="54"/>
  <c r="DT240" i="54"/>
  <c r="DT55" i="54"/>
  <c r="DT127" i="54"/>
  <c r="DT199" i="54"/>
  <c r="DT14" i="54"/>
  <c r="DT86" i="54"/>
  <c r="DT152" i="54"/>
  <c r="DT206" i="54"/>
  <c r="DT260" i="54"/>
  <c r="DT57" i="54"/>
  <c r="DT111" i="54"/>
  <c r="DT165" i="54"/>
  <c r="DT219" i="54"/>
  <c r="DT120" i="54"/>
  <c r="DT79" i="54"/>
  <c r="DT151" i="54"/>
  <c r="DT38" i="54"/>
  <c r="DT110" i="54"/>
  <c r="DT158" i="54"/>
  <c r="DT218" i="54"/>
  <c r="DT266" i="54"/>
  <c r="DT117" i="54"/>
  <c r="DT177" i="54"/>
  <c r="DT225" i="54"/>
  <c r="DT244" i="54"/>
  <c r="DT126" i="54"/>
  <c r="DT13" i="54"/>
  <c r="DT85" i="54"/>
  <c r="DT229" i="54"/>
  <c r="DT44" i="54"/>
  <c r="DT116" i="54"/>
  <c r="DT170" i="54"/>
  <c r="DT224" i="54"/>
  <c r="DT75" i="54"/>
  <c r="DT129" i="54"/>
  <c r="DT183" i="54"/>
  <c r="DT237" i="54"/>
  <c r="DT112" i="54"/>
  <c r="DT220" i="54"/>
  <c r="DT65" i="54"/>
  <c r="DT161" i="54"/>
  <c r="DT233" i="54"/>
  <c r="DT48" i="54"/>
  <c r="DT192" i="54"/>
  <c r="DT264" i="54"/>
  <c r="DT223" i="54"/>
  <c r="DT69" i="54"/>
  <c r="DT136" i="54"/>
  <c r="DT89" i="54"/>
  <c r="DT167" i="54"/>
  <c r="DT239" i="54"/>
  <c r="DT54" i="54"/>
  <c r="DT198" i="54"/>
  <c r="DT157" i="54"/>
  <c r="DT21" i="54"/>
  <c r="DT148" i="54"/>
  <c r="DT256" i="54"/>
  <c r="DT101" i="54"/>
  <c r="DT173" i="54"/>
  <c r="DT245" i="54"/>
  <c r="DT60" i="54"/>
  <c r="DT132" i="54"/>
  <c r="DT204" i="54"/>
  <c r="DT19" i="54"/>
  <c r="DT91" i="54"/>
  <c r="DT163" i="54"/>
  <c r="DT235" i="54"/>
  <c r="DT50" i="54"/>
  <c r="DT122" i="54"/>
  <c r="DT182" i="54"/>
  <c r="DT230" i="54"/>
  <c r="DT33" i="54"/>
  <c r="DT81" i="54"/>
  <c r="DT141" i="54"/>
  <c r="DT189" i="54"/>
  <c r="DT249" i="54"/>
  <c r="DT28" i="54"/>
  <c r="DT172" i="54"/>
  <c r="DT17" i="54"/>
  <c r="DT125" i="54"/>
  <c r="DT197" i="54"/>
  <c r="DT12" i="54"/>
  <c r="DT84" i="54"/>
  <c r="DT156" i="54"/>
  <c r="DT228" i="54"/>
  <c r="DT43" i="54"/>
  <c r="DT115" i="54"/>
  <c r="DT187" i="54"/>
  <c r="DT259" i="54"/>
  <c r="DT74" i="54"/>
  <c r="DT134" i="54"/>
  <c r="DT188" i="54"/>
  <c r="DT242" i="54"/>
  <c r="DT39" i="54"/>
  <c r="DT93" i="54"/>
  <c r="DT147" i="54"/>
  <c r="DT201" i="54"/>
  <c r="DT255" i="54"/>
  <c r="DT64" i="54"/>
  <c r="DT184" i="54"/>
  <c r="DT29" i="54"/>
  <c r="DT131" i="54"/>
  <c r="DT203" i="54"/>
  <c r="DT18" i="54"/>
  <c r="DT90" i="54"/>
  <c r="DT162" i="54"/>
  <c r="DT234" i="54"/>
  <c r="DT49" i="54"/>
  <c r="DT121" i="54"/>
  <c r="DT193" i="54"/>
  <c r="DT265" i="54"/>
  <c r="DT80" i="54"/>
  <c r="DT146" i="54"/>
  <c r="DT194" i="54"/>
  <c r="DT254" i="54"/>
  <c r="DT45" i="54"/>
  <c r="DT105" i="54"/>
  <c r="DT153" i="54"/>
  <c r="DT213" i="54"/>
  <c r="DT261" i="54"/>
  <c r="DQ38" i="54"/>
  <c r="DQ74" i="54"/>
  <c r="DQ110" i="54"/>
  <c r="DQ146" i="54"/>
  <c r="DQ182" i="54"/>
  <c r="DQ218" i="54"/>
  <c r="DQ254" i="54"/>
  <c r="DQ33" i="54"/>
  <c r="DQ69" i="54"/>
  <c r="DQ105" i="54"/>
  <c r="DQ20" i="54"/>
  <c r="DQ62" i="54"/>
  <c r="DQ104" i="54"/>
  <c r="DQ152" i="54"/>
  <c r="DQ194" i="54"/>
  <c r="DQ236" i="54"/>
  <c r="DQ21" i="54"/>
  <c r="DQ63" i="54"/>
  <c r="DQ111" i="54"/>
  <c r="DQ147" i="54"/>
  <c r="DQ183" i="54"/>
  <c r="DQ219" i="54"/>
  <c r="DQ255" i="54"/>
  <c r="DQ28" i="54"/>
  <c r="DQ64" i="54"/>
  <c r="DQ100" i="54"/>
  <c r="DQ136" i="54"/>
  <c r="DQ172" i="54"/>
  <c r="DQ208" i="54"/>
  <c r="DQ244" i="54"/>
  <c r="DQ17" i="54"/>
  <c r="DQ53" i="54"/>
  <c r="DQ89" i="54"/>
  <c r="DQ125" i="54"/>
  <c r="DQ161" i="54"/>
  <c r="DQ197" i="54"/>
  <c r="DQ233" i="54"/>
  <c r="DQ12" i="54"/>
  <c r="DQ48" i="54"/>
  <c r="DQ84" i="54"/>
  <c r="DQ120" i="54"/>
  <c r="DQ156" i="54"/>
  <c r="DQ192" i="54"/>
  <c r="DQ228" i="54"/>
  <c r="DQ264" i="54"/>
  <c r="DQ43" i="54"/>
  <c r="DQ79" i="54"/>
  <c r="DQ115" i="54"/>
  <c r="DQ151" i="54"/>
  <c r="DQ187" i="54"/>
  <c r="DQ223" i="54"/>
  <c r="DQ259" i="54"/>
  <c r="DQ26" i="54"/>
  <c r="DQ68" i="54"/>
  <c r="DQ116" i="54"/>
  <c r="DQ158" i="54"/>
  <c r="DQ200" i="54"/>
  <c r="DQ242" i="54"/>
  <c r="DQ27" i="54"/>
  <c r="DQ75" i="54"/>
  <c r="DQ117" i="54"/>
  <c r="DQ153" i="54"/>
  <c r="DQ189" i="54"/>
  <c r="DQ225" i="54"/>
  <c r="DQ261" i="54"/>
  <c r="DQ34" i="54"/>
  <c r="DQ70" i="54"/>
  <c r="DQ106" i="54"/>
  <c r="DQ142" i="54"/>
  <c r="DQ178" i="54"/>
  <c r="DQ214" i="54"/>
  <c r="DQ250" i="54"/>
  <c r="DQ23" i="54"/>
  <c r="DQ59" i="54"/>
  <c r="DQ95" i="54"/>
  <c r="DQ131" i="54"/>
  <c r="DQ167" i="54"/>
  <c r="DQ203" i="54"/>
  <c r="DQ239" i="54"/>
  <c r="DQ18" i="54"/>
  <c r="DQ54" i="54"/>
  <c r="DQ90" i="54"/>
  <c r="DQ126" i="54"/>
  <c r="DQ162" i="54"/>
  <c r="DQ198" i="54"/>
  <c r="DQ234" i="54"/>
  <c r="DQ13" i="54"/>
  <c r="DQ49" i="54"/>
  <c r="DQ85" i="54"/>
  <c r="DQ121" i="54"/>
  <c r="DQ157" i="54"/>
  <c r="DQ193" i="54"/>
  <c r="DQ229" i="54"/>
  <c r="DQ265" i="54"/>
  <c r="DQ32" i="54"/>
  <c r="DQ80" i="54"/>
  <c r="DQ122" i="54"/>
  <c r="DQ164" i="54"/>
  <c r="DQ206" i="54"/>
  <c r="DQ248" i="54"/>
  <c r="DQ39" i="54"/>
  <c r="DQ81" i="54"/>
  <c r="DQ123" i="54"/>
  <c r="DQ159" i="54"/>
  <c r="DQ195" i="54"/>
  <c r="DQ231" i="54"/>
  <c r="DQ267" i="54"/>
  <c r="DQ40" i="54"/>
  <c r="DQ76" i="54"/>
  <c r="DQ112" i="54"/>
  <c r="DQ148" i="54"/>
  <c r="DQ184" i="54"/>
  <c r="DQ220" i="54"/>
  <c r="DQ256" i="54"/>
  <c r="DQ29" i="54"/>
  <c r="DQ65" i="54"/>
  <c r="DQ101" i="54"/>
  <c r="DQ137" i="54"/>
  <c r="DQ173" i="54"/>
  <c r="DQ209" i="54"/>
  <c r="DQ245" i="54"/>
  <c r="DQ24" i="54"/>
  <c r="DQ60" i="54"/>
  <c r="DQ96" i="54"/>
  <c r="DQ132" i="54"/>
  <c r="DQ168" i="54"/>
  <c r="DQ204" i="54"/>
  <c r="DQ240" i="54"/>
  <c r="DQ19" i="54"/>
  <c r="DQ55" i="54"/>
  <c r="DQ91" i="54"/>
  <c r="DQ127" i="54"/>
  <c r="DQ163" i="54"/>
  <c r="DQ199" i="54"/>
  <c r="DQ235" i="54"/>
  <c r="DQ44" i="54"/>
  <c r="DQ86" i="54"/>
  <c r="DQ128" i="54"/>
  <c r="DQ170" i="54"/>
  <c r="DQ212" i="54"/>
  <c r="DQ260" i="54"/>
  <c r="DQ45" i="54"/>
  <c r="DQ87" i="54"/>
  <c r="DQ129" i="54"/>
  <c r="DQ165" i="54"/>
  <c r="DQ201" i="54"/>
  <c r="DQ237" i="54"/>
  <c r="DQ10" i="54"/>
  <c r="DQ46" i="54"/>
  <c r="DQ82" i="54"/>
  <c r="DQ118" i="54"/>
  <c r="DQ154" i="54"/>
  <c r="DQ190" i="54"/>
  <c r="DQ226" i="54"/>
  <c r="DQ262" i="54"/>
  <c r="DQ35" i="54"/>
  <c r="DQ71" i="54"/>
  <c r="DQ107" i="54"/>
  <c r="DQ143" i="54"/>
  <c r="DQ179" i="54"/>
  <c r="DQ215" i="54"/>
  <c r="DQ251" i="54"/>
  <c r="DQ30" i="54"/>
  <c r="DQ66" i="54"/>
  <c r="DQ102" i="54"/>
  <c r="DQ138" i="54"/>
  <c r="DQ174" i="54"/>
  <c r="DQ210" i="54"/>
  <c r="DQ246" i="54"/>
  <c r="DQ25" i="54"/>
  <c r="DQ61" i="54"/>
  <c r="DQ97" i="54"/>
  <c r="DQ133" i="54"/>
  <c r="DQ169" i="54"/>
  <c r="DQ205" i="54"/>
  <c r="DQ241" i="54"/>
  <c r="DQ50" i="54"/>
  <c r="DQ92" i="54"/>
  <c r="DQ134" i="54"/>
  <c r="DQ176" i="54"/>
  <c r="DQ224" i="54"/>
  <c r="DQ266" i="54"/>
  <c r="DQ51" i="54"/>
  <c r="DQ93" i="54"/>
  <c r="DQ135" i="54"/>
  <c r="DQ171" i="54"/>
  <c r="DQ207" i="54"/>
  <c r="DQ243" i="54"/>
  <c r="DQ16" i="54"/>
  <c r="DQ52" i="54"/>
  <c r="DQ88" i="54"/>
  <c r="DQ124" i="54"/>
  <c r="DQ160" i="54"/>
  <c r="DQ196" i="54"/>
  <c r="DQ232" i="54"/>
  <c r="DQ268" i="54"/>
  <c r="DQ41" i="54"/>
  <c r="DQ77" i="54"/>
  <c r="DQ113" i="54"/>
  <c r="DQ149" i="54"/>
  <c r="DQ185" i="54"/>
  <c r="DQ221" i="54"/>
  <c r="DQ257" i="54"/>
  <c r="DQ36" i="54"/>
  <c r="DQ72" i="54"/>
  <c r="DQ108" i="54"/>
  <c r="DQ144" i="54"/>
  <c r="DQ180" i="54"/>
  <c r="DQ216" i="54"/>
  <c r="DQ252" i="54"/>
  <c r="DQ31" i="54"/>
  <c r="DQ67" i="54"/>
  <c r="DQ103" i="54"/>
  <c r="DQ139" i="54"/>
  <c r="DQ175" i="54"/>
  <c r="DQ211" i="54"/>
  <c r="DQ247" i="54"/>
  <c r="DQ14" i="54"/>
  <c r="DQ56" i="54"/>
  <c r="DQ98" i="54"/>
  <c r="DQ140" i="54"/>
  <c r="DQ188" i="54"/>
  <c r="DQ230" i="54"/>
  <c r="DQ15" i="54"/>
  <c r="DQ57" i="54"/>
  <c r="DQ99" i="54"/>
  <c r="DQ141" i="54"/>
  <c r="DQ177" i="54"/>
  <c r="DQ213" i="54"/>
  <c r="DQ249" i="54"/>
  <c r="DQ22" i="54"/>
  <c r="DQ58" i="54"/>
  <c r="DQ94" i="54"/>
  <c r="DQ130" i="54"/>
  <c r="DQ166" i="54"/>
  <c r="DQ202" i="54"/>
  <c r="DQ238" i="54"/>
  <c r="DQ11" i="54"/>
  <c r="DQ47" i="54"/>
  <c r="DQ83" i="54"/>
  <c r="DQ119" i="54"/>
  <c r="DQ155" i="54"/>
  <c r="DQ191" i="54"/>
  <c r="DQ227" i="54"/>
  <c r="DQ263" i="54"/>
  <c r="DQ42" i="54"/>
  <c r="DQ78" i="54"/>
  <c r="DQ114" i="54"/>
  <c r="DQ150" i="54"/>
  <c r="DQ186" i="54"/>
  <c r="DQ222" i="54"/>
  <c r="DQ258" i="54"/>
  <c r="DQ37" i="54"/>
  <c r="DQ73" i="54"/>
  <c r="DQ109" i="54"/>
  <c r="DQ145" i="54"/>
  <c r="DQ181" i="54"/>
  <c r="DQ217" i="54"/>
  <c r="DQ253" i="54"/>
  <c r="HR71" i="54"/>
  <c r="HQ71" i="54"/>
  <c r="HR243" i="54"/>
  <c r="HQ243" i="54"/>
  <c r="HR242" i="54"/>
  <c r="HQ242" i="54"/>
  <c r="HR104" i="54"/>
  <c r="HQ104" i="54"/>
  <c r="HR103" i="54"/>
  <c r="HQ103" i="54"/>
  <c r="HR102" i="54"/>
  <c r="HQ102" i="54"/>
  <c r="HQ221" i="54"/>
  <c r="HQ226" i="54"/>
  <c r="HR226" i="54"/>
  <c r="HR93" i="54"/>
  <c r="HQ93" i="54"/>
  <c r="HR253" i="54"/>
  <c r="HQ253" i="54"/>
  <c r="HR252" i="54"/>
  <c r="HQ252" i="54"/>
  <c r="HR155" i="54"/>
  <c r="HQ155" i="54"/>
  <c r="HQ238" i="54"/>
  <c r="HR238" i="54"/>
  <c r="HR58" i="54"/>
  <c r="HQ58" i="54"/>
  <c r="HQ141" i="54"/>
  <c r="HR141" i="54"/>
  <c r="HR259" i="54"/>
  <c r="HQ259" i="54"/>
  <c r="HQ258" i="54"/>
  <c r="HR258" i="54"/>
  <c r="HR119" i="54"/>
  <c r="HQ119" i="54"/>
  <c r="HR208" i="54"/>
  <c r="HQ208" i="54"/>
  <c r="HR116" i="54"/>
  <c r="HQ116" i="54"/>
  <c r="HR55" i="54"/>
  <c r="HQ55" i="54"/>
  <c r="HR54" i="54"/>
  <c r="HQ54" i="54"/>
  <c r="HQ233" i="54"/>
  <c r="HR233" i="54"/>
  <c r="HQ147" i="54"/>
  <c r="HR147" i="54"/>
  <c r="HR86" i="54"/>
  <c r="HQ86" i="54"/>
  <c r="HR49" i="54"/>
  <c r="HQ49" i="54"/>
  <c r="HR250" i="54"/>
  <c r="HQ250" i="54"/>
  <c r="HR219" i="54"/>
  <c r="HQ219" i="54"/>
  <c r="HR117" i="54"/>
  <c r="HQ117" i="54"/>
  <c r="HQ209" i="54"/>
  <c r="HN137" i="54"/>
  <c r="HU137" i="54" s="1"/>
  <c r="HR137" i="54"/>
  <c r="HQ137" i="54"/>
  <c r="HR29" i="54"/>
  <c r="HQ29" i="54"/>
  <c r="HN267" i="54"/>
  <c r="HU267" i="54" s="1"/>
  <c r="HR31" i="54"/>
  <c r="HQ31" i="54"/>
  <c r="DC32" i="54"/>
  <c r="DA32" i="54"/>
  <c r="DB33" i="54" s="1"/>
  <c r="V30" i="56"/>
  <c r="AH30" i="56" s="1"/>
  <c r="AI60" i="56"/>
  <c r="AG60" i="56"/>
  <c r="AC60" i="56"/>
  <c r="AA59" i="56"/>
  <c r="O58" i="56"/>
  <c r="K58" i="56"/>
  <c r="I58" i="56"/>
  <c r="Q60" i="56"/>
  <c r="R60" i="56" s="1"/>
  <c r="X33" i="56"/>
  <c r="K33" i="56" s="1"/>
  <c r="X30" i="56"/>
  <c r="Z30" i="56" s="1"/>
  <c r="AC30" i="56" s="1"/>
  <c r="V33" i="56"/>
  <c r="I33" i="56" s="1"/>
  <c r="X34" i="56"/>
  <c r="K34" i="56" s="1"/>
  <c r="V34" i="56"/>
  <c r="V31" i="56"/>
  <c r="O31" i="56" s="1"/>
  <c r="X31" i="56"/>
  <c r="K31" i="56" s="1"/>
  <c r="O32" i="56"/>
  <c r="AH32" i="56"/>
  <c r="Y32" i="56"/>
  <c r="AB32" i="56" s="1"/>
  <c r="I32" i="56"/>
  <c r="X32" i="56"/>
  <c r="Y29" i="56"/>
  <c r="AB29" i="56" s="1"/>
  <c r="I29" i="56"/>
  <c r="O29" i="56"/>
  <c r="X29" i="56"/>
  <c r="X28" i="56"/>
  <c r="V28" i="56"/>
  <c r="AK25" i="56"/>
  <c r="W25" i="56"/>
  <c r="J25" i="56" s="1"/>
  <c r="M25" i="56" s="1"/>
  <c r="P25" i="56"/>
  <c r="AK24" i="56"/>
  <c r="P24" i="56"/>
  <c r="AK23" i="56"/>
  <c r="P23" i="56"/>
  <c r="AK22" i="56"/>
  <c r="W22" i="56"/>
  <c r="J22" i="56" s="1"/>
  <c r="M22" i="56" s="1"/>
  <c r="P22" i="56"/>
  <c r="AK21" i="56"/>
  <c r="AE21" i="56"/>
  <c r="W21" i="56"/>
  <c r="J21" i="56" s="1"/>
  <c r="M21" i="56" s="1"/>
  <c r="P21" i="56"/>
  <c r="AK20" i="56"/>
  <c r="AE20" i="56"/>
  <c r="P20" i="56"/>
  <c r="AK19" i="56"/>
  <c r="AE19" i="56"/>
  <c r="P19" i="56"/>
  <c r="AK18" i="56"/>
  <c r="AE18" i="56"/>
  <c r="W18" i="56"/>
  <c r="J18" i="56" s="1"/>
  <c r="M18" i="56" s="1"/>
  <c r="P18" i="56"/>
  <c r="AK17" i="56"/>
  <c r="AE17" i="56"/>
  <c r="W17" i="56"/>
  <c r="J17" i="56" s="1"/>
  <c r="M17" i="56" s="1"/>
  <c r="P17" i="56"/>
  <c r="AK16" i="56"/>
  <c r="AE16" i="56"/>
  <c r="P16" i="56"/>
  <c r="AK15" i="56"/>
  <c r="AE15" i="56"/>
  <c r="P15" i="56"/>
  <c r="AK14" i="56"/>
  <c r="AE14" i="56"/>
  <c r="W14" i="56"/>
  <c r="J14" i="56" s="1"/>
  <c r="M14" i="56" s="1"/>
  <c r="P14" i="56"/>
  <c r="AK13" i="56"/>
  <c r="W13" i="56"/>
  <c r="P13" i="56"/>
  <c r="AK12" i="56"/>
  <c r="P12" i="56"/>
  <c r="AK11" i="56"/>
  <c r="W11" i="56"/>
  <c r="P11" i="56"/>
  <c r="AK10" i="56"/>
  <c r="AE10" i="56"/>
  <c r="W10" i="56"/>
  <c r="P10" i="56"/>
  <c r="AK9" i="56"/>
  <c r="AE9" i="56"/>
  <c r="P9" i="56"/>
  <c r="AK8" i="56"/>
  <c r="AE8" i="56"/>
  <c r="W8" i="56"/>
  <c r="P8" i="56"/>
  <c r="AK7" i="56"/>
  <c r="AE7" i="56"/>
  <c r="W7" i="56"/>
  <c r="P7" i="56"/>
  <c r="AK6" i="56"/>
  <c r="AE6" i="56"/>
  <c r="P6" i="56"/>
  <c r="AK5" i="56"/>
  <c r="AE5" i="56"/>
  <c r="W5" i="56"/>
  <c r="P5" i="56"/>
  <c r="AK4" i="56"/>
  <c r="W4" i="56"/>
  <c r="J4" i="56" s="1"/>
  <c r="M4" i="56" s="1"/>
  <c r="Q4" i="56"/>
  <c r="R4" i="56" s="1"/>
  <c r="P4" i="56"/>
  <c r="AK3" i="56"/>
  <c r="Q3" i="56"/>
  <c r="R3" i="56" s="1"/>
  <c r="P3" i="56"/>
  <c r="AK2" i="56"/>
  <c r="W2" i="56"/>
  <c r="J2" i="56" s="1"/>
  <c r="M2" i="56" s="1"/>
  <c r="Q2" i="56"/>
  <c r="R2" i="56" s="1"/>
  <c r="P2" i="56"/>
  <c r="AO24" i="56"/>
  <c r="AO23" i="56"/>
  <c r="AO22" i="56"/>
  <c r="AO20" i="56"/>
  <c r="AO19" i="56"/>
  <c r="AO18" i="56"/>
  <c r="AO16" i="56"/>
  <c r="AO15" i="56"/>
  <c r="AO14" i="56"/>
  <c r="AO12" i="56"/>
  <c r="AO11" i="56"/>
  <c r="AO9" i="56"/>
  <c r="AO8" i="56"/>
  <c r="AO6" i="56"/>
  <c r="AO5" i="56"/>
  <c r="AO3" i="56"/>
  <c r="AO2" i="56"/>
  <c r="AO25" i="56"/>
  <c r="AU24" i="56"/>
  <c r="AU23" i="56"/>
  <c r="AU22" i="56"/>
  <c r="AO21" i="56"/>
  <c r="AU20" i="56"/>
  <c r="AU19" i="56"/>
  <c r="AU18" i="56"/>
  <c r="AO17" i="56"/>
  <c r="AU16" i="56"/>
  <c r="AU15" i="56"/>
  <c r="AU14" i="56"/>
  <c r="AO13" i="56"/>
  <c r="AU12" i="56"/>
  <c r="AU11" i="56"/>
  <c r="AO10" i="56"/>
  <c r="AU9" i="56"/>
  <c r="AU8" i="56"/>
  <c r="AO7" i="56"/>
  <c r="AU6" i="56"/>
  <c r="AU5" i="56"/>
  <c r="AO4" i="56"/>
  <c r="AU3" i="56"/>
  <c r="AU2" i="56"/>
  <c r="AU25" i="56"/>
  <c r="AU21" i="56"/>
  <c r="AU17" i="56"/>
  <c r="AU13" i="56"/>
  <c r="AU10" i="56"/>
  <c r="AU7" i="56"/>
  <c r="AU4" i="56"/>
  <c r="AQ25" i="56"/>
  <c r="AQ24" i="56"/>
  <c r="AQ23" i="56"/>
  <c r="AQ22" i="56"/>
  <c r="AQ21" i="56"/>
  <c r="AQ20" i="56"/>
  <c r="AQ19" i="56"/>
  <c r="AQ18" i="56"/>
  <c r="AQ17" i="56"/>
  <c r="AQ16" i="56"/>
  <c r="AQ15" i="56"/>
  <c r="AQ14" i="56"/>
  <c r="AQ13" i="56"/>
  <c r="AQ12" i="56"/>
  <c r="AQ11" i="56"/>
  <c r="AQ10" i="56"/>
  <c r="AQ9" i="56"/>
  <c r="AQ8" i="56"/>
  <c r="AQ7" i="56"/>
  <c r="AQ6" i="56"/>
  <c r="AQ5" i="56"/>
  <c r="AQ4" i="56"/>
  <c r="AN4" i="56" s="1"/>
  <c r="AQ3" i="56"/>
  <c r="AN3" i="56" s="1"/>
  <c r="AQ2" i="56"/>
  <c r="AN2" i="56" s="1"/>
  <c r="AS25" i="56"/>
  <c r="AS24" i="56"/>
  <c r="AS23" i="56"/>
  <c r="AS22" i="56"/>
  <c r="AS21" i="56"/>
  <c r="AS20" i="56"/>
  <c r="AS19" i="56"/>
  <c r="AS18" i="56"/>
  <c r="AS17" i="56"/>
  <c r="AS16" i="56"/>
  <c r="AS15" i="56"/>
  <c r="AS14" i="56"/>
  <c r="AS13" i="56"/>
  <c r="AS12" i="56"/>
  <c r="AS11" i="56"/>
  <c r="AS10" i="56"/>
  <c r="AS9" i="56"/>
  <c r="AS8" i="56"/>
  <c r="AS7" i="56"/>
  <c r="AS6" i="56"/>
  <c r="AS5" i="56"/>
  <c r="G25" i="56"/>
  <c r="H25" i="56" s="1"/>
  <c r="V25" i="56" s="1"/>
  <c r="G24" i="56"/>
  <c r="H24" i="56" s="1"/>
  <c r="X24" i="56" s="1"/>
  <c r="G23" i="56"/>
  <c r="H23" i="56" s="1"/>
  <c r="V23" i="56" s="1"/>
  <c r="G22" i="56"/>
  <c r="H22" i="56" s="1"/>
  <c r="V22" i="56" s="1"/>
  <c r="G21" i="56"/>
  <c r="H21" i="56" s="1"/>
  <c r="G20" i="56"/>
  <c r="H20" i="56" s="1"/>
  <c r="V20" i="56" s="1"/>
  <c r="G19" i="56"/>
  <c r="H19" i="56" s="1"/>
  <c r="V19" i="56" s="1"/>
  <c r="G18" i="56"/>
  <c r="H18" i="56" s="1"/>
  <c r="V18" i="56" s="1"/>
  <c r="G17" i="56"/>
  <c r="H17" i="56" s="1"/>
  <c r="G16" i="56"/>
  <c r="H16" i="56" s="1"/>
  <c r="V16" i="56" s="1"/>
  <c r="G15" i="56"/>
  <c r="H15" i="56" s="1"/>
  <c r="V15" i="56" s="1"/>
  <c r="G14" i="56"/>
  <c r="H14" i="56" s="1"/>
  <c r="X14" i="56" s="1"/>
  <c r="Z14" i="56" s="1"/>
  <c r="AC14" i="56" s="1"/>
  <c r="H13" i="56"/>
  <c r="H10" i="56"/>
  <c r="X10" i="56" s="1"/>
  <c r="K10" i="56" s="1"/>
  <c r="H7" i="56"/>
  <c r="V7" i="56" s="1"/>
  <c r="I7" i="56" s="1"/>
  <c r="H12" i="56"/>
  <c r="V12" i="56" s="1"/>
  <c r="I12" i="56" s="1"/>
  <c r="H11" i="56"/>
  <c r="V11" i="56" s="1"/>
  <c r="I11" i="56" s="1"/>
  <c r="H9" i="56"/>
  <c r="X9" i="56" s="1"/>
  <c r="K9" i="56" s="1"/>
  <c r="H8" i="56"/>
  <c r="H6" i="56"/>
  <c r="V6" i="56" s="1"/>
  <c r="I6" i="56" s="1"/>
  <c r="H5" i="56"/>
  <c r="X5" i="56" s="1"/>
  <c r="K5" i="56" s="1"/>
  <c r="G4" i="56"/>
  <c r="H4" i="56" s="1"/>
  <c r="G3" i="56"/>
  <c r="H3" i="56" s="1"/>
  <c r="V3" i="56" s="1"/>
  <c r="G2" i="56"/>
  <c r="H2" i="56" s="1"/>
  <c r="E23" i="56"/>
  <c r="E19" i="56"/>
  <c r="E24" i="56"/>
  <c r="E20" i="56"/>
  <c r="E16" i="56"/>
  <c r="E15" i="56"/>
  <c r="E12" i="56"/>
  <c r="E9" i="56"/>
  <c r="E6" i="56"/>
  <c r="E3" i="56"/>
  <c r="HQ151" i="54" l="1"/>
  <c r="HU148" i="54"/>
  <c r="HQ105" i="54"/>
  <c r="HU175" i="54"/>
  <c r="HR88" i="54"/>
  <c r="HR47" i="54"/>
  <c r="EJ139" i="54"/>
  <c r="EJ192" i="54"/>
  <c r="EJ191" i="54"/>
  <c r="EJ87" i="54"/>
  <c r="EJ128" i="54"/>
  <c r="HR120" i="54"/>
  <c r="HU15" i="54"/>
  <c r="HQ63" i="54"/>
  <c r="DR231" i="54"/>
  <c r="HU98" i="54"/>
  <c r="HQ211" i="54"/>
  <c r="HU251" i="54"/>
  <c r="HN25" i="54"/>
  <c r="HR211" i="54"/>
  <c r="HR105" i="54"/>
  <c r="HQ175" i="54"/>
  <c r="HQ240" i="54"/>
  <c r="HQ214" i="54"/>
  <c r="HQ120" i="54"/>
  <c r="HR151" i="54"/>
  <c r="DR230" i="54"/>
  <c r="HQ148" i="54"/>
  <c r="HR63" i="54"/>
  <c r="HU200" i="54"/>
  <c r="HU142" i="54"/>
  <c r="HU225" i="54"/>
  <c r="HU147" i="54"/>
  <c r="HU152" i="54"/>
  <c r="HU216" i="54"/>
  <c r="HR175" i="54"/>
  <c r="HR240" i="54"/>
  <c r="HR214" i="54"/>
  <c r="HQ263" i="54"/>
  <c r="BI26" i="54" a="1"/>
  <c r="BI26" i="54" s="1"/>
  <c r="HU231" i="54"/>
  <c r="HQ32" i="54"/>
  <c r="DR197" i="54"/>
  <c r="HR148" i="54"/>
  <c r="HR190" i="54"/>
  <c r="HQ12" i="54"/>
  <c r="HR263" i="54"/>
  <c r="BI25" i="54" a="1"/>
  <c r="BI25" i="54" s="1"/>
  <c r="HR32" i="54"/>
  <c r="DR150" i="54"/>
  <c r="HU95" i="54"/>
  <c r="HQ210" i="54"/>
  <c r="HR158" i="54"/>
  <c r="HR12" i="54"/>
  <c r="HR186" i="54"/>
  <c r="BI24" i="54" a="1"/>
  <c r="BI24" i="54" s="1"/>
  <c r="HQ138" i="54"/>
  <c r="DR89" i="54"/>
  <c r="HR172" i="54"/>
  <c r="BI33" i="54" a="1"/>
  <c r="BI33" i="54" s="1"/>
  <c r="X35" i="54" s="1" a="1"/>
  <c r="X35" i="54" s="1"/>
  <c r="HU43" i="54"/>
  <c r="HQ88" i="54"/>
  <c r="HR210" i="54"/>
  <c r="HQ158" i="54"/>
  <c r="HQ186" i="54"/>
  <c r="HR138" i="54"/>
  <c r="HQ172" i="54"/>
  <c r="HU112" i="54"/>
  <c r="HU71" i="54"/>
  <c r="HU186" i="54"/>
  <c r="BI4" i="54"/>
  <c r="HR159" i="54"/>
  <c r="HU39" i="54"/>
  <c r="HU250" i="54"/>
  <c r="HU75" i="54"/>
  <c r="HU252" i="54"/>
  <c r="HU237" i="54"/>
  <c r="HU129" i="54"/>
  <c r="HU108" i="54"/>
  <c r="HU118" i="54"/>
  <c r="HU119" i="54"/>
  <c r="HR50" i="54"/>
  <c r="HR200" i="54"/>
  <c r="HQ212" i="54"/>
  <c r="HR139" i="54"/>
  <c r="HQ159" i="54"/>
  <c r="HU145" i="54"/>
  <c r="HU153" i="54"/>
  <c r="HU263" i="54"/>
  <c r="HU229" i="54"/>
  <c r="HU260" i="54"/>
  <c r="HU238" i="54"/>
  <c r="HU67" i="54"/>
  <c r="HU37" i="54"/>
  <c r="HU86" i="54"/>
  <c r="HU13" i="54"/>
  <c r="HU113" i="54"/>
  <c r="HU180" i="54"/>
  <c r="HU141" i="54"/>
  <c r="HU91" i="54"/>
  <c r="HU106" i="54"/>
  <c r="HU117" i="54"/>
  <c r="HV117" i="54" s="1"/>
  <c r="HU50" i="54"/>
  <c r="HU19" i="54"/>
  <c r="HU196" i="54"/>
  <c r="HU173" i="54"/>
  <c r="HU89" i="54"/>
  <c r="HU47" i="54"/>
  <c r="HU41" i="54"/>
  <c r="HU28" i="54"/>
  <c r="HN61" i="54"/>
  <c r="HU61" i="54" s="1"/>
  <c r="HR61" i="54"/>
  <c r="HN140" i="54"/>
  <c r="HU140" i="54" s="1"/>
  <c r="HQ140" i="54"/>
  <c r="HR140" i="54"/>
  <c r="HN220" i="54"/>
  <c r="HR220" i="54"/>
  <c r="HQ123" i="54"/>
  <c r="HR123" i="54"/>
  <c r="HN16" i="54"/>
  <c r="HU16" i="54" s="1"/>
  <c r="HR16" i="54"/>
  <c r="HN99" i="54"/>
  <c r="HU99" i="54" s="1"/>
  <c r="HR99" i="54"/>
  <c r="HN171" i="54"/>
  <c r="HQ171" i="54"/>
  <c r="HR171" i="54"/>
  <c r="HN209" i="54"/>
  <c r="HU209" i="54" s="1"/>
  <c r="EJ89" i="54"/>
  <c r="EJ262" i="54"/>
  <c r="GR176" i="54"/>
  <c r="DR103" i="54"/>
  <c r="DR31" i="54"/>
  <c r="DR206" i="54"/>
  <c r="DR130" i="54"/>
  <c r="DR97" i="54"/>
  <c r="DR105" i="54"/>
  <c r="DR193" i="54"/>
  <c r="DR195" i="54"/>
  <c r="DR199" i="54"/>
  <c r="DR207" i="54"/>
  <c r="DR212" i="54"/>
  <c r="DR220" i="54"/>
  <c r="DR138" i="54"/>
  <c r="DR176" i="54"/>
  <c r="DR181" i="54"/>
  <c r="DR183" i="54"/>
  <c r="DR185" i="54"/>
  <c r="DR256" i="54"/>
  <c r="DR268" i="54"/>
  <c r="DR23" i="54"/>
  <c r="DR29" i="54"/>
  <c r="DR107" i="54"/>
  <c r="DR179" i="54"/>
  <c r="DR67" i="54"/>
  <c r="DR242" i="54"/>
  <c r="DR166" i="54"/>
  <c r="DR145" i="54"/>
  <c r="DR147" i="54"/>
  <c r="DR235" i="54"/>
  <c r="DR243" i="54"/>
  <c r="DR241" i="54"/>
  <c r="DR249" i="54"/>
  <c r="DR254" i="54"/>
  <c r="DR262" i="54"/>
  <c r="DR108" i="54"/>
  <c r="DR218" i="54"/>
  <c r="DR223" i="54"/>
  <c r="DR225" i="54"/>
  <c r="DR227" i="54"/>
  <c r="DR65" i="54"/>
  <c r="DR71" i="54"/>
  <c r="DR77" i="54"/>
  <c r="DR95" i="54"/>
  <c r="DR167" i="54"/>
  <c r="DR239" i="54"/>
  <c r="DR247" i="54"/>
  <c r="DR165" i="54"/>
  <c r="DR83" i="54"/>
  <c r="DR104" i="54"/>
  <c r="DR112" i="54"/>
  <c r="DR194" i="54"/>
  <c r="DR208" i="54"/>
  <c r="DR200" i="54"/>
  <c r="DR205" i="54"/>
  <c r="DR213" i="54"/>
  <c r="DR215" i="54"/>
  <c r="DR169" i="54"/>
  <c r="DR177" i="54"/>
  <c r="DR182" i="54"/>
  <c r="DR190" i="54"/>
  <c r="DR267" i="54"/>
  <c r="DR234" i="54"/>
  <c r="DR24" i="54"/>
  <c r="DR96" i="54"/>
  <c r="DR132" i="54"/>
  <c r="DR246" i="54"/>
  <c r="DR114" i="54"/>
  <c r="DR26" i="54"/>
  <c r="DR119" i="54"/>
  <c r="DR154" i="54"/>
  <c r="DR250" i="54"/>
  <c r="DR253" i="54"/>
  <c r="DR251" i="54"/>
  <c r="DR219" i="54"/>
  <c r="DR232" i="54"/>
  <c r="DR30" i="54"/>
  <c r="DR102" i="54"/>
  <c r="DR42" i="54"/>
  <c r="DR98" i="54"/>
  <c r="DR191" i="54"/>
  <c r="DR61" i="54"/>
  <c r="DR73" i="54"/>
  <c r="DR80" i="54"/>
  <c r="DR54" i="54"/>
  <c r="DR49" i="54"/>
  <c r="DR59" i="54"/>
  <c r="DR186" i="54"/>
  <c r="DR258" i="54"/>
  <c r="DR244" i="54"/>
  <c r="DR57" i="54"/>
  <c r="DR229" i="54"/>
  <c r="DR68" i="54"/>
  <c r="DR74" i="54"/>
  <c r="DR81" i="54"/>
  <c r="DR43" i="54"/>
  <c r="DR50" i="54"/>
  <c r="DR192" i="54"/>
  <c r="DR203" i="54"/>
  <c r="DR221" i="54"/>
  <c r="DR198" i="54"/>
  <c r="DR201" i="54"/>
  <c r="DR146" i="54"/>
  <c r="DR236" i="54"/>
  <c r="DR248" i="54"/>
  <c r="DR255" i="54"/>
  <c r="DR217" i="54"/>
  <c r="DR224" i="54"/>
  <c r="DR210" i="54"/>
  <c r="DR66" i="54"/>
  <c r="DR174" i="54"/>
  <c r="HN133" i="54"/>
  <c r="HU133" i="54" s="1"/>
  <c r="HQ133" i="54"/>
  <c r="HN81" i="54"/>
  <c r="HU81" i="54" s="1"/>
  <c r="HR81" i="54"/>
  <c r="HQ81" i="54"/>
  <c r="HN64" i="54"/>
  <c r="HU64" i="54" s="1"/>
  <c r="HR64" i="54"/>
  <c r="HN256" i="54"/>
  <c r="HR256" i="54"/>
  <c r="HQ256" i="54"/>
  <c r="HN188" i="54"/>
  <c r="HU188" i="54" s="1"/>
  <c r="HR188" i="54"/>
  <c r="HQ188" i="54"/>
  <c r="HN194" i="54"/>
  <c r="HU194" i="54" s="1"/>
  <c r="HR194" i="54"/>
  <c r="HN135" i="54"/>
  <c r="HU135" i="54" s="1"/>
  <c r="HR135" i="54"/>
  <c r="HQ135" i="54"/>
  <c r="HN26" i="54"/>
  <c r="HU26" i="54" s="1"/>
  <c r="HR26" i="54"/>
  <c r="HN87" i="54"/>
  <c r="HU87" i="54" s="1"/>
  <c r="HR87" i="54"/>
  <c r="HQ87" i="54"/>
  <c r="HN261" i="54"/>
  <c r="HU261" i="54" s="1"/>
  <c r="HQ261" i="54"/>
  <c r="HN80" i="54"/>
  <c r="HU80" i="54" s="1"/>
  <c r="HQ80" i="54"/>
  <c r="HN74" i="54"/>
  <c r="HU74" i="54" s="1"/>
  <c r="HR74" i="54"/>
  <c r="HQ74" i="54"/>
  <c r="HN62" i="54"/>
  <c r="HU62" i="54" s="1"/>
  <c r="HR62" i="54"/>
  <c r="HQ62" i="54"/>
  <c r="HN84" i="54"/>
  <c r="HU84" i="54" s="1"/>
  <c r="HQ84" i="54"/>
  <c r="HN189" i="54"/>
  <c r="HU189" i="54" s="1"/>
  <c r="HQ189" i="54"/>
  <c r="HR189" i="54"/>
  <c r="HN130" i="54"/>
  <c r="HU130" i="54" s="1"/>
  <c r="HR130" i="54"/>
  <c r="HQ130" i="54"/>
  <c r="HN262" i="54"/>
  <c r="HU262" i="54" s="1"/>
  <c r="HR262" i="54"/>
  <c r="HQ262" i="54"/>
  <c r="HN201" i="54"/>
  <c r="HU201" i="54" s="1"/>
  <c r="HQ201" i="54"/>
  <c r="HR201" i="54"/>
  <c r="HN24" i="54"/>
  <c r="HU24" i="54" s="1"/>
  <c r="HQ24" i="54"/>
  <c r="HR24" i="54"/>
  <c r="HU48" i="54"/>
  <c r="HN217" i="54"/>
  <c r="HU217" i="54" s="1"/>
  <c r="HR217" i="54"/>
  <c r="HN121" i="54"/>
  <c r="HU121" i="54" s="1"/>
  <c r="HQ121" i="54"/>
  <c r="HU190" i="54"/>
  <c r="HU210" i="54"/>
  <c r="HU63" i="54"/>
  <c r="HN44" i="54"/>
  <c r="HU44" i="54" s="1"/>
  <c r="HR44" i="54"/>
  <c r="HN127" i="54"/>
  <c r="HU127" i="54" s="1"/>
  <c r="HR127" i="54"/>
  <c r="HN73" i="54"/>
  <c r="HU73" i="54" s="1"/>
  <c r="HQ73" i="54"/>
  <c r="HR73" i="54"/>
  <c r="HN192" i="54"/>
  <c r="HU192" i="54" s="1"/>
  <c r="HQ192" i="54"/>
  <c r="HN124" i="54"/>
  <c r="HU124" i="54" s="1"/>
  <c r="HR124" i="54"/>
  <c r="HQ124" i="54"/>
  <c r="HU248" i="54"/>
  <c r="HN111" i="54"/>
  <c r="HU111" i="54" s="1"/>
  <c r="HR111" i="54"/>
  <c r="EJ207" i="54"/>
  <c r="EJ153" i="54"/>
  <c r="ER153" i="54" s="1"/>
  <c r="EJ53" i="54"/>
  <c r="HN65" i="54"/>
  <c r="HU65" i="54" s="1"/>
  <c r="GR28" i="54"/>
  <c r="GS28" i="54" s="1"/>
  <c r="HA28" i="54" s="1"/>
  <c r="GR166" i="54"/>
  <c r="GS166" i="54" s="1"/>
  <c r="GR234" i="54"/>
  <c r="GR41" i="54"/>
  <c r="GS41" i="54" s="1"/>
  <c r="HA41" i="54" s="1"/>
  <c r="GR145" i="54"/>
  <c r="GS145" i="54" s="1"/>
  <c r="HA145" i="54" s="1"/>
  <c r="GR10" i="54"/>
  <c r="GR50" i="54"/>
  <c r="GW50" i="54" s="1"/>
  <c r="GR112" i="54"/>
  <c r="GS112" i="54" s="1"/>
  <c r="GR168" i="54"/>
  <c r="GR39" i="54"/>
  <c r="GX39" i="54" s="1"/>
  <c r="GR128" i="54"/>
  <c r="GR210" i="54"/>
  <c r="GS210" i="54" s="1"/>
  <c r="HA210" i="54" s="1"/>
  <c r="HQ112" i="54"/>
  <c r="HQ173" i="54"/>
  <c r="HQ48" i="54"/>
  <c r="HQ153" i="54"/>
  <c r="HV153" i="54" s="1"/>
  <c r="HQ113" i="54"/>
  <c r="EJ57" i="54"/>
  <c r="ER57" i="54" s="1"/>
  <c r="EJ50" i="54"/>
  <c r="ER50" i="54" s="1"/>
  <c r="EJ48" i="54"/>
  <c r="EJ47" i="54"/>
  <c r="EJ257" i="54"/>
  <c r="EJ213" i="54"/>
  <c r="EJ212" i="54"/>
  <c r="ER212" i="54" s="1"/>
  <c r="EJ204" i="54"/>
  <c r="EJ184" i="54"/>
  <c r="EJ165" i="54"/>
  <c r="EJ158" i="54"/>
  <c r="EJ110" i="54"/>
  <c r="EJ109" i="54"/>
  <c r="ER109" i="54" s="1"/>
  <c r="EJ108" i="54"/>
  <c r="ER108" i="54" s="1"/>
  <c r="EJ101" i="54"/>
  <c r="EJ14" i="54"/>
  <c r="EJ12" i="54"/>
  <c r="ER12" i="54" s="1"/>
  <c r="HQ127" i="54"/>
  <c r="GR161" i="54"/>
  <c r="GS161" i="54" s="1"/>
  <c r="GR255" i="54"/>
  <c r="GX255" i="54" s="1"/>
  <c r="GR32" i="54"/>
  <c r="GR24" i="54"/>
  <c r="GR130" i="54"/>
  <c r="GS130" i="54" s="1"/>
  <c r="HA130" i="54" s="1"/>
  <c r="GR194" i="54"/>
  <c r="GR192" i="54"/>
  <c r="GS192" i="54" s="1"/>
  <c r="HA192" i="54" s="1"/>
  <c r="GR268" i="54"/>
  <c r="GW268" i="54" s="1"/>
  <c r="GR99" i="54"/>
  <c r="GR103" i="54"/>
  <c r="GR143" i="54"/>
  <c r="GS143" i="54" s="1"/>
  <c r="HA143" i="54" s="1"/>
  <c r="GR237" i="54"/>
  <c r="GR265" i="54"/>
  <c r="GS265" i="54" s="1"/>
  <c r="GR245" i="54"/>
  <c r="GX245" i="54" s="1"/>
  <c r="GR76" i="54"/>
  <c r="GR134" i="54"/>
  <c r="GR126" i="54"/>
  <c r="GS126" i="54" s="1"/>
  <c r="HA126" i="54" s="1"/>
  <c r="GR178" i="54"/>
  <c r="GR254" i="54"/>
  <c r="GS254" i="54" s="1"/>
  <c r="GR252" i="54"/>
  <c r="GS252" i="54" s="1"/>
  <c r="HA252" i="54" s="1"/>
  <c r="GR92" i="54"/>
  <c r="GR174" i="54"/>
  <c r="HR266" i="54"/>
  <c r="HQ111" i="54"/>
  <c r="HQ217" i="54"/>
  <c r="HN123" i="54"/>
  <c r="HU123" i="54" s="1"/>
  <c r="DR84" i="54"/>
  <c r="DR64" i="54"/>
  <c r="DR79" i="54"/>
  <c r="DR238" i="54"/>
  <c r="HN265" i="54"/>
  <c r="HU265" i="54" s="1"/>
  <c r="HQ265" i="54"/>
  <c r="HR265" i="54"/>
  <c r="HN77" i="54"/>
  <c r="HU77" i="54" s="1"/>
  <c r="HR77" i="54"/>
  <c r="HN149" i="54"/>
  <c r="HU149" i="54" s="1"/>
  <c r="HR149" i="54"/>
  <c r="HQ149" i="54"/>
  <c r="HN227" i="54"/>
  <c r="HU227" i="54" s="1"/>
  <c r="HR227" i="54"/>
  <c r="HQ227" i="54"/>
  <c r="EJ98" i="54"/>
  <c r="EJ245" i="54"/>
  <c r="GR197" i="54"/>
  <c r="GS197" i="54" s="1"/>
  <c r="HA197" i="54" s="1"/>
  <c r="GR74" i="54"/>
  <c r="GR242" i="54"/>
  <c r="GS242" i="54" s="1"/>
  <c r="HA242" i="54" s="1"/>
  <c r="GR135" i="54"/>
  <c r="GR179" i="54"/>
  <c r="GR48" i="54"/>
  <c r="GS48" i="54" s="1"/>
  <c r="GR214" i="54"/>
  <c r="GS214" i="54" s="1"/>
  <c r="HA214" i="54" s="1"/>
  <c r="GR37" i="54"/>
  <c r="HQ266" i="54"/>
  <c r="HQ213" i="54"/>
  <c r="HQ16" i="54"/>
  <c r="HR112" i="54"/>
  <c r="HQ101" i="54"/>
  <c r="HR173" i="54"/>
  <c r="HR48" i="54"/>
  <c r="HR153" i="54"/>
  <c r="HR113" i="54"/>
  <c r="EJ266" i="54"/>
  <c r="EJ264" i="54"/>
  <c r="ER264" i="54" s="1"/>
  <c r="EJ263" i="54"/>
  <c r="EJ216" i="54"/>
  <c r="ER216" i="54" s="1"/>
  <c r="EJ161" i="54"/>
  <c r="EJ130" i="54"/>
  <c r="EJ115" i="54"/>
  <c r="EJ113" i="54"/>
  <c r="ER113" i="54" s="1"/>
  <c r="EJ64" i="54"/>
  <c r="EJ69" i="54"/>
  <c r="ER69" i="54" s="1"/>
  <c r="EJ68" i="54"/>
  <c r="EJ67" i="54"/>
  <c r="EJ60" i="54"/>
  <c r="EJ230" i="54"/>
  <c r="EJ228" i="54"/>
  <c r="EJ227" i="54"/>
  <c r="ER227" i="54" s="1"/>
  <c r="HQ157" i="54"/>
  <c r="HR145" i="54"/>
  <c r="GR125" i="54"/>
  <c r="GS125" i="54" s="1"/>
  <c r="HA125" i="54" s="1"/>
  <c r="GR219" i="54"/>
  <c r="GS219" i="54" s="1"/>
  <c r="HA219" i="54" s="1"/>
  <c r="GR247" i="54"/>
  <c r="GR263" i="54"/>
  <c r="GS263" i="54" s="1"/>
  <c r="HA263" i="54" s="1"/>
  <c r="GR94" i="54"/>
  <c r="GR152" i="54"/>
  <c r="GR150" i="54"/>
  <c r="GS150" i="54" s="1"/>
  <c r="HA150" i="54" s="1"/>
  <c r="GR232" i="54"/>
  <c r="GS232" i="54" s="1"/>
  <c r="GR63" i="54"/>
  <c r="GR55" i="54"/>
  <c r="GS55" i="54" s="1"/>
  <c r="HA55" i="54" s="1"/>
  <c r="GR107" i="54"/>
  <c r="GS107" i="54" s="1"/>
  <c r="HA107" i="54" s="1"/>
  <c r="GR201" i="54"/>
  <c r="GR223" i="54"/>
  <c r="GS223" i="54" s="1"/>
  <c r="HA223" i="54" s="1"/>
  <c r="GR209" i="54"/>
  <c r="GS209" i="54" s="1"/>
  <c r="HA209" i="54" s="1"/>
  <c r="GR40" i="54"/>
  <c r="GR86" i="54"/>
  <c r="GS86" i="54" s="1"/>
  <c r="HA86" i="54" s="1"/>
  <c r="GR84" i="54"/>
  <c r="GR142" i="54"/>
  <c r="GR212" i="54"/>
  <c r="GS212" i="54" s="1"/>
  <c r="HA212" i="54" s="1"/>
  <c r="GR204" i="54"/>
  <c r="GS204" i="54" s="1"/>
  <c r="HA204" i="54" s="1"/>
  <c r="GR56" i="54"/>
  <c r="HQ61" i="54"/>
  <c r="HQ64" i="54"/>
  <c r="HR80" i="54"/>
  <c r="DR124" i="54"/>
  <c r="DR51" i="54"/>
  <c r="DR75" i="54"/>
  <c r="DR22" i="54"/>
  <c r="HN204" i="54"/>
  <c r="HU204" i="54" s="1"/>
  <c r="HR204" i="54"/>
  <c r="HQ204" i="54"/>
  <c r="HN182" i="54"/>
  <c r="HU182" i="54" s="1"/>
  <c r="HR182" i="54"/>
  <c r="HQ182" i="54"/>
  <c r="HN66" i="54"/>
  <c r="HU66" i="54" s="1"/>
  <c r="HQ66" i="54"/>
  <c r="GR30" i="54"/>
  <c r="GS30" i="54" s="1"/>
  <c r="GR246" i="54"/>
  <c r="GS246" i="54" s="1"/>
  <c r="HA246" i="54" s="1"/>
  <c r="GR205" i="54"/>
  <c r="GS205" i="54" s="1"/>
  <c r="GR164" i="54"/>
  <c r="GS164" i="54" s="1"/>
  <c r="HA164" i="54" s="1"/>
  <c r="GR78" i="54"/>
  <c r="GS78" i="54" s="1"/>
  <c r="GR79" i="54"/>
  <c r="GS79" i="54" s="1"/>
  <c r="GR80" i="54"/>
  <c r="GS80" i="54" s="1"/>
  <c r="GR81" i="54"/>
  <c r="GS81" i="54" s="1"/>
  <c r="HA81" i="54" s="1"/>
  <c r="GR34" i="54"/>
  <c r="GS34" i="54" s="1"/>
  <c r="GR250" i="54"/>
  <c r="GS250" i="54" s="1"/>
  <c r="HA250" i="54" s="1"/>
  <c r="GR203" i="54"/>
  <c r="GS203" i="54" s="1"/>
  <c r="GR216" i="54"/>
  <c r="GS216" i="54" s="1"/>
  <c r="GR217" i="54"/>
  <c r="GS217" i="54" s="1"/>
  <c r="GR218" i="54"/>
  <c r="GS218" i="54" s="1"/>
  <c r="HA218" i="54" s="1"/>
  <c r="GR195" i="54"/>
  <c r="GS195" i="54" s="1"/>
  <c r="GR148" i="54"/>
  <c r="GS148" i="54" s="1"/>
  <c r="HA148" i="54" s="1"/>
  <c r="GR101" i="54"/>
  <c r="GS101" i="54" s="1"/>
  <c r="GR90" i="54"/>
  <c r="GS90" i="54" s="1"/>
  <c r="GR91" i="54"/>
  <c r="GS91" i="54" s="1"/>
  <c r="GR98" i="54"/>
  <c r="GS98" i="54" s="1"/>
  <c r="GR93" i="54"/>
  <c r="GS93" i="54" s="1"/>
  <c r="GR46" i="54"/>
  <c r="GS46" i="54" s="1"/>
  <c r="HA46" i="54" s="1"/>
  <c r="GR262" i="54"/>
  <c r="GS262" i="54" s="1"/>
  <c r="GR215" i="54"/>
  <c r="GS215" i="54" s="1"/>
  <c r="GR186" i="54"/>
  <c r="GS186" i="54" s="1"/>
  <c r="GR187" i="54"/>
  <c r="GS187" i="54" s="1"/>
  <c r="HA187" i="54" s="1"/>
  <c r="GR188" i="54"/>
  <c r="GS188" i="54" s="1"/>
  <c r="GR171" i="54"/>
  <c r="GS171" i="54" s="1"/>
  <c r="HA171" i="54" s="1"/>
  <c r="GR124" i="54"/>
  <c r="GS124" i="54" s="1"/>
  <c r="GR77" i="54"/>
  <c r="GS77" i="54" s="1"/>
  <c r="GR18" i="54"/>
  <c r="GS18" i="54" s="1"/>
  <c r="GR19" i="54"/>
  <c r="GS19" i="54" s="1"/>
  <c r="HA19" i="54" s="1"/>
  <c r="GR26" i="54"/>
  <c r="GS26" i="54" s="1"/>
  <c r="GR27" i="54"/>
  <c r="GS27" i="54" s="1"/>
  <c r="HA27" i="54" s="1"/>
  <c r="GR249" i="54"/>
  <c r="GS249" i="54" s="1"/>
  <c r="GR202" i="54"/>
  <c r="GS202" i="54" s="1"/>
  <c r="GR155" i="54"/>
  <c r="GS155" i="54" s="1"/>
  <c r="GR114" i="54"/>
  <c r="GS114" i="54" s="1"/>
  <c r="GR115" i="54"/>
  <c r="GS115" i="54" s="1"/>
  <c r="GR116" i="54"/>
  <c r="GS116" i="54" s="1"/>
  <c r="HA116" i="54" s="1"/>
  <c r="GR111" i="54"/>
  <c r="GS111" i="54" s="1"/>
  <c r="GR64" i="54"/>
  <c r="GS64" i="54" s="1"/>
  <c r="GR17" i="54"/>
  <c r="GS17" i="54" s="1"/>
  <c r="GR233" i="54"/>
  <c r="GS233" i="54" s="1"/>
  <c r="HA233" i="54" s="1"/>
  <c r="GR66" i="54"/>
  <c r="GR25" i="54"/>
  <c r="GS25" i="54" s="1"/>
  <c r="HA25" i="54" s="1"/>
  <c r="GR241" i="54"/>
  <c r="GR200" i="54"/>
  <c r="GS200" i="54" s="1"/>
  <c r="HA200" i="54" s="1"/>
  <c r="GR120" i="54"/>
  <c r="GS120" i="54" s="1"/>
  <c r="HA120" i="54" s="1"/>
  <c r="GR121" i="54"/>
  <c r="GX121" i="54" s="1"/>
  <c r="GR122" i="54"/>
  <c r="GR117" i="54"/>
  <c r="GS117" i="54" s="1"/>
  <c r="GR70" i="54"/>
  <c r="GR23" i="54"/>
  <c r="GS23" i="54" s="1"/>
  <c r="HA23" i="54" s="1"/>
  <c r="GR239" i="54"/>
  <c r="GR258" i="54"/>
  <c r="GS258" i="54" s="1"/>
  <c r="HA258" i="54" s="1"/>
  <c r="GR259" i="54"/>
  <c r="GR260" i="54"/>
  <c r="GS260" i="54" s="1"/>
  <c r="GR231" i="54"/>
  <c r="GR184" i="54"/>
  <c r="GS184" i="54" s="1"/>
  <c r="GR137" i="54"/>
  <c r="GR132" i="54"/>
  <c r="GX132" i="54" s="1"/>
  <c r="GR139" i="54"/>
  <c r="GR140" i="54"/>
  <c r="GS140" i="54" s="1"/>
  <c r="HA140" i="54" s="1"/>
  <c r="GR129" i="54"/>
  <c r="GR82" i="54"/>
  <c r="GS82" i="54" s="1"/>
  <c r="GR35" i="54"/>
  <c r="GS35" i="54" s="1"/>
  <c r="HA35" i="54" s="1"/>
  <c r="GR251" i="54"/>
  <c r="GX251" i="54" s="1"/>
  <c r="GR228" i="54"/>
  <c r="GR229" i="54"/>
  <c r="GS229" i="54" s="1"/>
  <c r="GR230" i="54"/>
  <c r="GR207" i="54"/>
  <c r="GS207" i="54" s="1"/>
  <c r="GR160" i="54"/>
  <c r="GR113" i="54"/>
  <c r="GW113" i="54" s="1"/>
  <c r="GR60" i="54"/>
  <c r="GR67" i="54"/>
  <c r="GS67" i="54" s="1"/>
  <c r="HA67" i="54" s="1"/>
  <c r="GR68" i="54"/>
  <c r="GR69" i="54"/>
  <c r="GS69" i="54" s="1"/>
  <c r="GR22" i="54"/>
  <c r="GR238" i="54"/>
  <c r="GX238" i="54" s="1"/>
  <c r="GR191" i="54"/>
  <c r="GR156" i="54"/>
  <c r="GS156" i="54" s="1"/>
  <c r="HA156" i="54" s="1"/>
  <c r="GR157" i="54"/>
  <c r="GR158" i="54"/>
  <c r="GS158" i="54" s="1"/>
  <c r="GR147" i="54"/>
  <c r="GS147" i="54" s="1"/>
  <c r="HA147" i="54" s="1"/>
  <c r="GR100" i="54"/>
  <c r="GS100" i="54" s="1"/>
  <c r="HA100" i="54" s="1"/>
  <c r="GR53" i="54"/>
  <c r="GR102" i="54"/>
  <c r="GW102" i="54" s="1"/>
  <c r="GR61" i="54"/>
  <c r="GR20" i="54"/>
  <c r="GS20" i="54" s="1"/>
  <c r="GR236" i="54"/>
  <c r="GR162" i="54"/>
  <c r="GX162" i="54" s="1"/>
  <c r="GR163" i="54"/>
  <c r="GR170" i="54"/>
  <c r="GX170" i="54" s="1"/>
  <c r="GR153" i="54"/>
  <c r="GR106" i="54"/>
  <c r="GS106" i="54" s="1"/>
  <c r="GR59" i="54"/>
  <c r="GR42" i="54"/>
  <c r="GS42" i="54" s="1"/>
  <c r="HA42" i="54" s="1"/>
  <c r="GR43" i="54"/>
  <c r="GR44" i="54"/>
  <c r="GS44" i="54" s="1"/>
  <c r="HA44" i="54" s="1"/>
  <c r="GR45" i="54"/>
  <c r="GS45" i="54" s="1"/>
  <c r="HA45" i="54" s="1"/>
  <c r="GR267" i="54"/>
  <c r="GS267" i="54" s="1"/>
  <c r="GR220" i="54"/>
  <c r="GR173" i="54"/>
  <c r="GS173" i="54" s="1"/>
  <c r="HA173" i="54" s="1"/>
  <c r="GR180" i="54"/>
  <c r="GR181" i="54"/>
  <c r="GS181" i="54" s="1"/>
  <c r="HA181" i="54" s="1"/>
  <c r="GR182" i="54"/>
  <c r="GR165" i="54"/>
  <c r="GS165" i="54" s="1"/>
  <c r="GR118" i="54"/>
  <c r="GR71" i="54"/>
  <c r="GW71" i="54" s="1"/>
  <c r="GR12" i="54"/>
  <c r="GR13" i="54"/>
  <c r="GS13" i="54" s="1"/>
  <c r="HA13" i="54" s="1"/>
  <c r="GR14" i="54"/>
  <c r="GR21" i="54"/>
  <c r="GS21" i="54" s="1"/>
  <c r="GR243" i="54"/>
  <c r="GR196" i="54"/>
  <c r="GW196" i="54" s="1"/>
  <c r="GR149" i="54"/>
  <c r="GR108" i="54"/>
  <c r="GS108" i="54" s="1"/>
  <c r="HA108" i="54" s="1"/>
  <c r="GR109" i="54"/>
  <c r="GS109" i="54" s="1"/>
  <c r="HA109" i="54" s="1"/>
  <c r="GR110" i="54"/>
  <c r="GS110" i="54" s="1"/>
  <c r="GR105" i="54"/>
  <c r="GR58" i="54"/>
  <c r="GW58" i="54" s="1"/>
  <c r="GR11" i="54"/>
  <c r="GR227" i="54"/>
  <c r="GX227" i="54" s="1"/>
  <c r="GR198" i="54"/>
  <c r="GR199" i="54"/>
  <c r="GS199" i="54" s="1"/>
  <c r="HA199" i="54" s="1"/>
  <c r="GR206" i="54"/>
  <c r="GS206" i="54" s="1"/>
  <c r="HA206" i="54" s="1"/>
  <c r="GR183" i="54"/>
  <c r="GW183" i="54" s="1"/>
  <c r="GR136" i="54"/>
  <c r="GR89" i="54"/>
  <c r="GX89" i="54" s="1"/>
  <c r="HN254" i="54"/>
  <c r="HU254" i="54" s="1"/>
  <c r="HR254" i="54"/>
  <c r="EJ254" i="54"/>
  <c r="EJ199" i="54"/>
  <c r="ER199" i="54" s="1"/>
  <c r="EJ150" i="54"/>
  <c r="EJ215" i="54"/>
  <c r="ER215" i="54" s="1"/>
  <c r="HR267" i="54"/>
  <c r="HR101" i="54"/>
  <c r="HQ178" i="54"/>
  <c r="EJ225" i="54"/>
  <c r="ER225" i="54" s="1"/>
  <c r="EJ223" i="54"/>
  <c r="EJ222" i="54"/>
  <c r="ER222" i="54" s="1"/>
  <c r="EJ221" i="54"/>
  <c r="EJ202" i="54"/>
  <c r="EJ175" i="54"/>
  <c r="EJ168" i="54"/>
  <c r="ER168" i="54" s="1"/>
  <c r="EJ129" i="54"/>
  <c r="EJ120" i="54"/>
  <c r="ER120" i="54" s="1"/>
  <c r="EJ119" i="54"/>
  <c r="EJ76" i="54"/>
  <c r="ER76" i="54" s="1"/>
  <c r="EJ74" i="54"/>
  <c r="EJ73" i="54"/>
  <c r="ER73" i="54" s="1"/>
  <c r="EJ72" i="54"/>
  <c r="EJ65" i="54"/>
  <c r="ER65" i="54" s="1"/>
  <c r="EJ16" i="54"/>
  <c r="EJ27" i="54"/>
  <c r="ER27" i="54" s="1"/>
  <c r="EJ26" i="54"/>
  <c r="ER26" i="54" s="1"/>
  <c r="EJ11" i="54"/>
  <c r="ER11" i="54" s="1"/>
  <c r="EJ189" i="54"/>
  <c r="EJ187" i="54"/>
  <c r="EJ186" i="54"/>
  <c r="EJ185" i="54"/>
  <c r="ER185" i="54" s="1"/>
  <c r="HR157" i="54"/>
  <c r="HQ145" i="54"/>
  <c r="GR244" i="54"/>
  <c r="GR75" i="54"/>
  <c r="GW75" i="54" s="1"/>
  <c r="GR73" i="54"/>
  <c r="GS73" i="54" s="1"/>
  <c r="HA73" i="54" s="1"/>
  <c r="GR119" i="54"/>
  <c r="GR213" i="54"/>
  <c r="GS213" i="54" s="1"/>
  <c r="GR235" i="54"/>
  <c r="GS235" i="54" s="1"/>
  <c r="HA235" i="54" s="1"/>
  <c r="GR257" i="54"/>
  <c r="GS257" i="54" s="1"/>
  <c r="HA257" i="54" s="1"/>
  <c r="GR88" i="54"/>
  <c r="GX88" i="54" s="1"/>
  <c r="GR146" i="54"/>
  <c r="GS146" i="54" s="1"/>
  <c r="HA146" i="54" s="1"/>
  <c r="GR144" i="54"/>
  <c r="GR226" i="54"/>
  <c r="GS226" i="54" s="1"/>
  <c r="GR57" i="54"/>
  <c r="GX57" i="54" s="1"/>
  <c r="GR49" i="54"/>
  <c r="GR65" i="54"/>
  <c r="GS65" i="54" s="1"/>
  <c r="HA65" i="54" s="1"/>
  <c r="GR159" i="54"/>
  <c r="GR175" i="54"/>
  <c r="GR167" i="54"/>
  <c r="GS167" i="54" s="1"/>
  <c r="GR261" i="54"/>
  <c r="GX261" i="54" s="1"/>
  <c r="GR38" i="54"/>
  <c r="GR36" i="54"/>
  <c r="GX36" i="54" s="1"/>
  <c r="GR169" i="54"/>
  <c r="GS169" i="54" s="1"/>
  <c r="HA169" i="54" s="1"/>
  <c r="HR25" i="54"/>
  <c r="HR133" i="54"/>
  <c r="HU128" i="54"/>
  <c r="HQ254" i="54"/>
  <c r="DR209" i="54"/>
  <c r="DR45" i="54"/>
  <c r="DR76" i="54"/>
  <c r="DR139" i="54"/>
  <c r="HR192" i="54"/>
  <c r="HN134" i="54"/>
  <c r="HU134" i="54" s="1"/>
  <c r="HR134" i="54"/>
  <c r="HN110" i="54"/>
  <c r="HU110" i="54" s="1"/>
  <c r="HQ110" i="54"/>
  <c r="HN53" i="54"/>
  <c r="HU53" i="54" s="1"/>
  <c r="HR53" i="54"/>
  <c r="HN83" i="54"/>
  <c r="HU83" i="54" s="1"/>
  <c r="HR83" i="54"/>
  <c r="HN187" i="54"/>
  <c r="HU187" i="54" s="1"/>
  <c r="HR187" i="54"/>
  <c r="HQ187" i="54"/>
  <c r="HN70" i="54"/>
  <c r="HU70" i="54" s="1"/>
  <c r="HQ70" i="54"/>
  <c r="HR70" i="54"/>
  <c r="HN125" i="54"/>
  <c r="HU125" i="54" s="1"/>
  <c r="HQ125" i="54"/>
  <c r="HR125" i="54"/>
  <c r="HN94" i="54"/>
  <c r="HQ94" i="54"/>
  <c r="HR221" i="54"/>
  <c r="EJ99" i="54"/>
  <c r="EJ206" i="54"/>
  <c r="EJ172" i="54"/>
  <c r="EJ151" i="54"/>
  <c r="ER151" i="54" s="1"/>
  <c r="EJ54" i="54"/>
  <c r="GR72" i="54"/>
  <c r="GX72" i="54" s="1"/>
  <c r="HR178" i="54"/>
  <c r="HQ194" i="54"/>
  <c r="HQ26" i="54"/>
  <c r="GR208" i="54"/>
  <c r="GS208" i="54" s="1"/>
  <c r="HA208" i="54" s="1"/>
  <c r="GR33" i="54"/>
  <c r="GR31" i="54"/>
  <c r="GS31" i="54" s="1"/>
  <c r="HA31" i="54" s="1"/>
  <c r="GR83" i="54"/>
  <c r="GS83" i="54" s="1"/>
  <c r="HA83" i="54" s="1"/>
  <c r="GR177" i="54"/>
  <c r="GS177" i="54" s="1"/>
  <c r="GR193" i="54"/>
  <c r="GS193" i="54" s="1"/>
  <c r="GR221" i="54"/>
  <c r="GS221" i="54" s="1"/>
  <c r="HA221" i="54" s="1"/>
  <c r="GR52" i="54"/>
  <c r="GR104" i="54"/>
  <c r="GS104" i="54" s="1"/>
  <c r="HA104" i="54" s="1"/>
  <c r="GR96" i="54"/>
  <c r="GS96" i="54" s="1"/>
  <c r="HA96" i="54" s="1"/>
  <c r="GR190" i="54"/>
  <c r="GS190" i="54" s="1"/>
  <c r="GR266" i="54"/>
  <c r="GS266" i="54" s="1"/>
  <c r="GR264" i="54"/>
  <c r="GS264" i="54" s="1"/>
  <c r="HA264" i="54" s="1"/>
  <c r="GR29" i="54"/>
  <c r="GR123" i="54"/>
  <c r="GS123" i="54" s="1"/>
  <c r="HA123" i="54" s="1"/>
  <c r="GR127" i="54"/>
  <c r="GS127" i="54" s="1"/>
  <c r="HA127" i="54" s="1"/>
  <c r="GR131" i="54"/>
  <c r="GS131" i="54" s="1"/>
  <c r="GR225" i="54"/>
  <c r="GS225" i="54" s="1"/>
  <c r="GR253" i="54"/>
  <c r="GS253" i="54" s="1"/>
  <c r="HA253" i="54" s="1"/>
  <c r="GR51" i="54"/>
  <c r="GS51" i="54" s="1"/>
  <c r="HA51" i="54" s="1"/>
  <c r="GR133" i="54"/>
  <c r="GS133" i="54" s="1"/>
  <c r="HA133" i="54" s="1"/>
  <c r="HQ190" i="54"/>
  <c r="HQ99" i="54"/>
  <c r="DR222" i="54"/>
  <c r="DR44" i="54"/>
  <c r="DR69" i="54"/>
  <c r="HQ220" i="54"/>
  <c r="HU236" i="54"/>
  <c r="HU51" i="54"/>
  <c r="EJ231" i="54"/>
  <c r="EJ15" i="54"/>
  <c r="EJ56" i="54"/>
  <c r="EJ97" i="54"/>
  <c r="ER97" i="54" s="1"/>
  <c r="EJ10" i="54"/>
  <c r="HU96" i="54"/>
  <c r="HU168" i="54"/>
  <c r="EJ208" i="54"/>
  <c r="ER208" i="54" s="1"/>
  <c r="EJ195" i="54"/>
  <c r="EJ61" i="54"/>
  <c r="ER61" i="54" s="1"/>
  <c r="EJ102" i="54"/>
  <c r="EJ143" i="54"/>
  <c r="ER143" i="54" s="1"/>
  <c r="EJ190" i="54"/>
  <c r="ER190" i="54" s="1"/>
  <c r="EJ160" i="54"/>
  <c r="ER160" i="54" s="1"/>
  <c r="EJ159" i="54"/>
  <c r="EJ200" i="54"/>
  <c r="ER200" i="54" s="1"/>
  <c r="EJ241" i="54"/>
  <c r="EJ25" i="54"/>
  <c r="EJ66" i="54"/>
  <c r="EJ154" i="54"/>
  <c r="HU169" i="54"/>
  <c r="HU60" i="54"/>
  <c r="HU255" i="54"/>
  <c r="HU22" i="54"/>
  <c r="HU10" i="54"/>
  <c r="HU27" i="54"/>
  <c r="HU31" i="54"/>
  <c r="HU203" i="54"/>
  <c r="HU42" i="54"/>
  <c r="HU100" i="54"/>
  <c r="HU88" i="54"/>
  <c r="HU94" i="54"/>
  <c r="HU241" i="54"/>
  <c r="HU79" i="54"/>
  <c r="HU138" i="54"/>
  <c r="HU211" i="54"/>
  <c r="HU266" i="54"/>
  <c r="HU52" i="54"/>
  <c r="HU59" i="54"/>
  <c r="HU23" i="54"/>
  <c r="BH25" i="54" a="1"/>
  <c r="BH25" i="54" s="1"/>
  <c r="HU49" i="54"/>
  <c r="HU206" i="54"/>
  <c r="HU82" i="54"/>
  <c r="HU208" i="54"/>
  <c r="HU120" i="54"/>
  <c r="HU14" i="54"/>
  <c r="HU45" i="54"/>
  <c r="BH28" i="54" a="1"/>
  <c r="BH28" i="54" s="1"/>
  <c r="O35" i="54" s="1" a="1"/>
  <c r="O35" i="54" s="1"/>
  <c r="HU30" i="54"/>
  <c r="HU193" i="54"/>
  <c r="HU181" i="54"/>
  <c r="HU161" i="54"/>
  <c r="HU90" i="54"/>
  <c r="HU230" i="54"/>
  <c r="HU102" i="54"/>
  <c r="HU143" i="54"/>
  <c r="HU178" i="54"/>
  <c r="HU171" i="54"/>
  <c r="HU85" i="54"/>
  <c r="HU174" i="54"/>
  <c r="HU170" i="54"/>
  <c r="HU157" i="54"/>
  <c r="HU195" i="54"/>
  <c r="HU239" i="54"/>
  <c r="HU107" i="54"/>
  <c r="HU202" i="54"/>
  <c r="HU218" i="54"/>
  <c r="HU20" i="54"/>
  <c r="HU160" i="54"/>
  <c r="HU40" i="54"/>
  <c r="HR260" i="54"/>
  <c r="HQ225" i="54"/>
  <c r="HQ255" i="54"/>
  <c r="HQ22" i="54"/>
  <c r="HQ10" i="54"/>
  <c r="HR27" i="54"/>
  <c r="GS244" i="54"/>
  <c r="GS74" i="54"/>
  <c r="HA74" i="54" s="1"/>
  <c r="GS234" i="54"/>
  <c r="GS135" i="54"/>
  <c r="GS50" i="54"/>
  <c r="GS49" i="54"/>
  <c r="HA49" i="54" s="1"/>
  <c r="GS159" i="54"/>
  <c r="HA159" i="54" s="1"/>
  <c r="GS176" i="54"/>
  <c r="GS168" i="54"/>
  <c r="GS39" i="54"/>
  <c r="HA39" i="54" s="1"/>
  <c r="GS38" i="54"/>
  <c r="GS37" i="54"/>
  <c r="GS128" i="54"/>
  <c r="HU205" i="54"/>
  <c r="HR174" i="54"/>
  <c r="HU240" i="54"/>
  <c r="BH23" i="54" a="1"/>
  <c r="BH23" i="54" s="1"/>
  <c r="HR195" i="54"/>
  <c r="HQ23" i="54"/>
  <c r="HQ152" i="54"/>
  <c r="HQ38" i="54"/>
  <c r="HQ203" i="54"/>
  <c r="HR75" i="54"/>
  <c r="HQ114" i="54"/>
  <c r="HQ30" i="54"/>
  <c r="HU167" i="54"/>
  <c r="HU17" i="54"/>
  <c r="HU166" i="54"/>
  <c r="HU114" i="54"/>
  <c r="HU219" i="54"/>
  <c r="HU11" i="54"/>
  <c r="HU246" i="54"/>
  <c r="HU233" i="54"/>
  <c r="HQ260" i="54"/>
  <c r="HR225" i="54"/>
  <c r="HR255" i="54"/>
  <c r="HR22" i="54"/>
  <c r="HR10" i="54"/>
  <c r="HQ27" i="54"/>
  <c r="GS255" i="54"/>
  <c r="HA255" i="54" s="1"/>
  <c r="GS33" i="54"/>
  <c r="GS32" i="54"/>
  <c r="HA32" i="54" s="1"/>
  <c r="GS24" i="54"/>
  <c r="GS194" i="54"/>
  <c r="GS52" i="54"/>
  <c r="HA52" i="54" s="1"/>
  <c r="GS99" i="54"/>
  <c r="GS103" i="54"/>
  <c r="GS237" i="54"/>
  <c r="GS29" i="54"/>
  <c r="GS76" i="54"/>
  <c r="HA76" i="54" s="1"/>
  <c r="GS134" i="54"/>
  <c r="GS178" i="54"/>
  <c r="GS92" i="54"/>
  <c r="GS174" i="54"/>
  <c r="HA174" i="54" s="1"/>
  <c r="HR169" i="54"/>
  <c r="HQ241" i="54"/>
  <c r="HQ85" i="54"/>
  <c r="HR215" i="54"/>
  <c r="BH26" i="54" a="1"/>
  <c r="BH26" i="54" s="1"/>
  <c r="HQ195" i="54"/>
  <c r="HR23" i="54"/>
  <c r="HR152" i="54"/>
  <c r="HR38" i="54"/>
  <c r="HU220" i="54"/>
  <c r="HR203" i="54"/>
  <c r="HQ75" i="54"/>
  <c r="HR114" i="54"/>
  <c r="HR30" i="54"/>
  <c r="BH33" i="54" a="1"/>
  <c r="BH33" i="54" s="1"/>
  <c r="Q35" i="54" s="1" a="1"/>
  <c r="Q35" i="54" s="1"/>
  <c r="HU256" i="54"/>
  <c r="GS172" i="54"/>
  <c r="GS248" i="54"/>
  <c r="HA248" i="54" s="1"/>
  <c r="GS247" i="54"/>
  <c r="GS240" i="54"/>
  <c r="HA240" i="54" s="1"/>
  <c r="GS47" i="54"/>
  <c r="GS94" i="54"/>
  <c r="HA94" i="54" s="1"/>
  <c r="GS141" i="54"/>
  <c r="GS151" i="54"/>
  <c r="GS185" i="54"/>
  <c r="GS16" i="54"/>
  <c r="HA16" i="54" s="1"/>
  <c r="GS63" i="54"/>
  <c r="GS62" i="54"/>
  <c r="HA62" i="54" s="1"/>
  <c r="GS54" i="54"/>
  <c r="GS154" i="54"/>
  <c r="HA154" i="54" s="1"/>
  <c r="GS224" i="54"/>
  <c r="GS222" i="54"/>
  <c r="GS256" i="54"/>
  <c r="HA256" i="54" s="1"/>
  <c r="GS40" i="54"/>
  <c r="GS87" i="54"/>
  <c r="GS85" i="54"/>
  <c r="HA85" i="54" s="1"/>
  <c r="GS84" i="54"/>
  <c r="GS95" i="54"/>
  <c r="HA95" i="54" s="1"/>
  <c r="GS189" i="54"/>
  <c r="HA189" i="54" s="1"/>
  <c r="GS211" i="54"/>
  <c r="GS15" i="54"/>
  <c r="GS56" i="54"/>
  <c r="HA56" i="54" s="1"/>
  <c r="GS97" i="54"/>
  <c r="GS138" i="54"/>
  <c r="HU25" i="54"/>
  <c r="HV25" i="54" s="1"/>
  <c r="HQ169" i="54"/>
  <c r="HR241" i="54"/>
  <c r="HR85" i="54"/>
  <c r="HQ215" i="54"/>
  <c r="HQ230" i="54"/>
  <c r="HQ177" i="54"/>
  <c r="HQ184" i="54"/>
  <c r="HQ193" i="54"/>
  <c r="HQ79" i="54"/>
  <c r="HR41" i="54"/>
  <c r="HQ181" i="54"/>
  <c r="GS89" i="54"/>
  <c r="HA89" i="54" s="1"/>
  <c r="GS136" i="54"/>
  <c r="GS198" i="54"/>
  <c r="HA198" i="54" s="1"/>
  <c r="GS11" i="54"/>
  <c r="GS105" i="54"/>
  <c r="GS149" i="54"/>
  <c r="GS243" i="54"/>
  <c r="HA243" i="54" s="1"/>
  <c r="GS14" i="54"/>
  <c r="GS12" i="54"/>
  <c r="GS118" i="54"/>
  <c r="HA118" i="54" s="1"/>
  <c r="GS182" i="54"/>
  <c r="GS180" i="54"/>
  <c r="HA180" i="54" s="1"/>
  <c r="GS220" i="54"/>
  <c r="GS43" i="54"/>
  <c r="GS59" i="54"/>
  <c r="GS153" i="54"/>
  <c r="HA153" i="54" s="1"/>
  <c r="GS170" i="54"/>
  <c r="HA170" i="54" s="1"/>
  <c r="GS163" i="54"/>
  <c r="GS236" i="54"/>
  <c r="GS61" i="54"/>
  <c r="HQ136" i="54"/>
  <c r="HQ142" i="54"/>
  <c r="HR230" i="54"/>
  <c r="HR177" i="54"/>
  <c r="HR184" i="54"/>
  <c r="HR193" i="54"/>
  <c r="HR79" i="54"/>
  <c r="HQ41" i="54"/>
  <c r="HR181" i="54"/>
  <c r="BI28" i="54" a="1"/>
  <c r="BI28" i="54" s="1"/>
  <c r="V35" i="54" s="1" a="1"/>
  <c r="V35" i="54" s="1"/>
  <c r="HQ60" i="54"/>
  <c r="HU132" i="54"/>
  <c r="GS53" i="54"/>
  <c r="HA53" i="54" s="1"/>
  <c r="GS157" i="54"/>
  <c r="GS191" i="54"/>
  <c r="GS22" i="54"/>
  <c r="HA22" i="54" s="1"/>
  <c r="GS68" i="54"/>
  <c r="HA68" i="54" s="1"/>
  <c r="GS60" i="54"/>
  <c r="GS160" i="54"/>
  <c r="GS230" i="54"/>
  <c r="GS228" i="54"/>
  <c r="HA228" i="54" s="1"/>
  <c r="GS251" i="54"/>
  <c r="GS129" i="54"/>
  <c r="GS139" i="54"/>
  <c r="GS137" i="54"/>
  <c r="HA137" i="54" s="1"/>
  <c r="GS231" i="54"/>
  <c r="GS259" i="54"/>
  <c r="HA259" i="54" s="1"/>
  <c r="GS239" i="54"/>
  <c r="HA239" i="54" s="1"/>
  <c r="GS70" i="54"/>
  <c r="GS122" i="54"/>
  <c r="HA122" i="54" s="1"/>
  <c r="GS241" i="54"/>
  <c r="HA241" i="54" s="1"/>
  <c r="GS66" i="54"/>
  <c r="HR136" i="54"/>
  <c r="HR142" i="54"/>
  <c r="HR207" i="54"/>
  <c r="HQ200" i="54"/>
  <c r="HQ47" i="54"/>
  <c r="HQ139" i="54"/>
  <c r="HR212" i="54"/>
  <c r="DP235" i="54"/>
  <c r="DP262" i="54"/>
  <c r="DP257" i="54"/>
  <c r="DP29" i="54"/>
  <c r="DS29" i="54" s="1"/>
  <c r="DY29" i="54" s="1"/>
  <c r="DY7" i="54"/>
  <c r="DP167" i="54"/>
  <c r="DS167" i="54" s="1"/>
  <c r="BG26" i="54" a="1"/>
  <c r="BG26" i="54" s="1"/>
  <c r="DP162" i="54"/>
  <c r="DP168" i="54"/>
  <c r="DV168" i="54" s="1"/>
  <c r="DP247" i="54"/>
  <c r="DS247" i="54" s="1"/>
  <c r="DY247" i="54" s="1"/>
  <c r="DP96" i="54"/>
  <c r="DV96" i="54" s="1"/>
  <c r="DP30" i="54"/>
  <c r="DS30" i="54" s="1"/>
  <c r="DP222" i="54"/>
  <c r="DS222" i="54" s="1"/>
  <c r="DP14" i="54"/>
  <c r="DS14" i="54" s="1"/>
  <c r="DP88" i="54"/>
  <c r="DS88" i="54" s="1"/>
  <c r="DY88" i="54" s="1"/>
  <c r="DP103" i="54"/>
  <c r="DS103" i="54" s="1"/>
  <c r="DY103" i="54" s="1"/>
  <c r="DP51" i="54"/>
  <c r="DS51" i="54" s="1"/>
  <c r="DP33" i="54"/>
  <c r="DS33" i="54" s="1"/>
  <c r="DR36" i="54"/>
  <c r="DR113" i="54"/>
  <c r="DR168" i="54"/>
  <c r="DR35" i="54"/>
  <c r="DR90" i="54"/>
  <c r="DR214" i="54"/>
  <c r="DR18" i="54"/>
  <c r="DR196" i="54"/>
  <c r="DR261" i="54"/>
  <c r="DR184" i="54"/>
  <c r="DR228" i="54"/>
  <c r="DR172" i="54"/>
  <c r="DR60" i="54"/>
  <c r="DR143" i="54"/>
  <c r="DR148" i="54"/>
  <c r="DR141" i="54"/>
  <c r="DR140" i="54"/>
  <c r="DR133" i="54"/>
  <c r="DR135" i="54"/>
  <c r="DR128" i="54"/>
  <c r="DR127" i="54"/>
  <c r="DR204" i="54"/>
  <c r="DR173" i="54"/>
  <c r="DR178" i="54"/>
  <c r="DR171" i="54"/>
  <c r="DR164" i="54"/>
  <c r="DR163" i="54"/>
  <c r="DR159" i="54"/>
  <c r="DR158" i="54"/>
  <c r="DR157" i="54"/>
  <c r="DR160" i="54"/>
  <c r="DR153" i="54"/>
  <c r="DR152" i="54"/>
  <c r="DR151" i="54"/>
  <c r="DR70" i="54"/>
  <c r="DR63" i="54"/>
  <c r="DR56" i="54"/>
  <c r="DR55" i="54"/>
  <c r="DR47" i="54"/>
  <c r="DR94" i="54"/>
  <c r="DR129" i="54"/>
  <c r="DR170" i="54"/>
  <c r="DR211" i="54"/>
  <c r="DP97" i="54"/>
  <c r="DS97" i="54" s="1"/>
  <c r="DP142" i="54"/>
  <c r="DS142" i="54" s="1"/>
  <c r="DP24" i="54"/>
  <c r="DV24" i="54" s="1"/>
  <c r="DP252" i="54"/>
  <c r="DS252" i="54" s="1"/>
  <c r="DP37" i="54"/>
  <c r="DS37" i="54" s="1"/>
  <c r="DV5" i="54"/>
  <c r="DR240" i="54"/>
  <c r="DR53" i="54"/>
  <c r="DR162" i="54"/>
  <c r="DR226" i="54"/>
  <c r="DR48" i="54"/>
  <c r="DR100" i="54"/>
  <c r="DR12" i="54"/>
  <c r="DR82" i="54"/>
  <c r="DR257" i="54"/>
  <c r="DR52" i="54"/>
  <c r="DR245" i="54"/>
  <c r="DR40" i="54"/>
  <c r="DR126" i="54"/>
  <c r="DR101" i="54"/>
  <c r="DR106" i="54"/>
  <c r="DR99" i="54"/>
  <c r="DR92" i="54"/>
  <c r="DR91" i="54"/>
  <c r="DR87" i="54"/>
  <c r="DR86" i="54"/>
  <c r="DR85" i="54"/>
  <c r="DR264" i="54"/>
  <c r="DR131" i="54"/>
  <c r="DR136" i="54"/>
  <c r="DR123" i="54"/>
  <c r="DR122" i="54"/>
  <c r="DR121" i="54"/>
  <c r="DR117" i="54"/>
  <c r="DR116" i="54"/>
  <c r="DR115" i="54"/>
  <c r="DR118" i="54"/>
  <c r="DR111" i="54"/>
  <c r="DR110" i="54"/>
  <c r="DR109" i="54"/>
  <c r="DR28" i="54"/>
  <c r="DR15" i="54"/>
  <c r="DR14" i="54"/>
  <c r="DR13" i="54"/>
  <c r="DR11" i="54"/>
  <c r="DR58" i="54"/>
  <c r="DR93" i="54"/>
  <c r="DR134" i="54"/>
  <c r="DR175" i="54"/>
  <c r="DP18" i="54"/>
  <c r="DP54" i="54"/>
  <c r="DS54" i="54" s="1"/>
  <c r="DY54" i="54" s="1"/>
  <c r="DP25" i="54"/>
  <c r="DS25" i="54" s="1"/>
  <c r="DP69" i="54"/>
  <c r="DS69" i="54" s="1"/>
  <c r="DY69" i="54" s="1"/>
  <c r="DP111" i="54"/>
  <c r="DS111" i="54" s="1"/>
  <c r="DR156" i="54"/>
  <c r="DR142" i="54"/>
  <c r="DR233" i="54"/>
  <c r="DR252" i="54"/>
  <c r="DR161" i="54"/>
  <c r="DR216" i="54"/>
  <c r="DR149" i="54"/>
  <c r="DR144" i="54"/>
  <c r="DR137" i="54"/>
  <c r="DR72" i="54"/>
  <c r="DR125" i="54"/>
  <c r="DR180" i="54"/>
  <c r="DR263" i="54"/>
  <c r="DR17" i="54"/>
  <c r="DR16" i="54"/>
  <c r="DR266" i="54"/>
  <c r="DR265" i="54"/>
  <c r="DR10" i="54"/>
  <c r="DR260" i="54"/>
  <c r="DR259" i="54"/>
  <c r="DR78" i="54"/>
  <c r="DR120" i="54"/>
  <c r="DR41" i="54"/>
  <c r="DR46" i="54"/>
  <c r="DR39" i="54"/>
  <c r="DR38" i="54"/>
  <c r="DR37" i="54"/>
  <c r="DR33" i="54"/>
  <c r="DR32" i="54"/>
  <c r="DR25" i="54"/>
  <c r="DR34" i="54"/>
  <c r="DR27" i="54"/>
  <c r="DR20" i="54"/>
  <c r="DR19" i="54"/>
  <c r="DR189" i="54"/>
  <c r="DR188" i="54"/>
  <c r="DR187" i="54"/>
  <c r="DR155" i="54"/>
  <c r="DR202" i="54"/>
  <c r="DR237" i="54"/>
  <c r="DR21" i="54"/>
  <c r="DR62" i="54"/>
  <c r="DP116" i="54"/>
  <c r="DP173" i="54"/>
  <c r="DP169" i="54"/>
  <c r="DS169" i="54" s="1"/>
  <c r="DY169" i="54" s="1"/>
  <c r="DP85" i="54"/>
  <c r="DU85" i="54" s="1"/>
  <c r="DP141" i="54"/>
  <c r="DS141" i="54" s="1"/>
  <c r="DP126" i="54"/>
  <c r="DS126" i="54" s="1"/>
  <c r="DP179" i="54"/>
  <c r="DS179" i="54" s="1"/>
  <c r="DP93" i="54"/>
  <c r="DS93" i="54" s="1"/>
  <c r="DP40" i="54"/>
  <c r="DS40" i="54" s="1"/>
  <c r="DP44" i="54"/>
  <c r="DS44" i="54" s="1"/>
  <c r="DP60" i="54"/>
  <c r="DV60" i="54" s="1"/>
  <c r="DP113" i="54"/>
  <c r="DS113" i="54" s="1"/>
  <c r="DP180" i="54"/>
  <c r="DS180" i="54" s="1"/>
  <c r="DP198" i="54"/>
  <c r="DS198" i="54" s="1"/>
  <c r="DY198" i="54" s="1"/>
  <c r="DP153" i="54"/>
  <c r="DS153" i="54" s="1"/>
  <c r="DP225" i="54"/>
  <c r="DS225" i="54" s="1"/>
  <c r="DP251" i="54"/>
  <c r="DS251" i="54" s="1"/>
  <c r="DY251" i="54" s="1"/>
  <c r="DP107" i="54"/>
  <c r="DS107" i="54" s="1"/>
  <c r="DY107" i="54" s="1"/>
  <c r="DP102" i="54"/>
  <c r="DS102" i="54" s="1"/>
  <c r="DP196" i="54"/>
  <c r="DV196" i="54" s="1"/>
  <c r="DP227" i="54"/>
  <c r="DS227" i="54" s="1"/>
  <c r="DP27" i="54"/>
  <c r="DS27" i="54" s="1"/>
  <c r="DP208" i="54"/>
  <c r="DU208" i="54" s="1"/>
  <c r="DP157" i="54"/>
  <c r="DS157" i="54" s="1"/>
  <c r="DP138" i="54"/>
  <c r="DS138" i="54" s="1"/>
  <c r="DY138" i="54" s="1"/>
  <c r="DP220" i="54"/>
  <c r="DS220" i="54" s="1"/>
  <c r="DY220" i="54" s="1"/>
  <c r="DP204" i="54"/>
  <c r="DS204" i="54" s="1"/>
  <c r="DY204" i="54" s="1"/>
  <c r="DP256" i="54"/>
  <c r="DS256" i="54" s="1"/>
  <c r="DY256" i="54" s="1"/>
  <c r="DP246" i="54"/>
  <c r="DU246" i="54" s="1"/>
  <c r="DP66" i="54"/>
  <c r="DS66" i="54" s="1"/>
  <c r="DY66" i="54" s="1"/>
  <c r="DP19" i="54"/>
  <c r="DS19" i="54" s="1"/>
  <c r="DP170" i="54"/>
  <c r="DS170" i="54" s="1"/>
  <c r="DP243" i="54"/>
  <c r="DS243" i="54" s="1"/>
  <c r="DY243" i="54" s="1"/>
  <c r="DP99" i="54"/>
  <c r="DS99" i="54" s="1"/>
  <c r="DP259" i="54"/>
  <c r="DS259" i="54" s="1"/>
  <c r="DP81" i="54"/>
  <c r="DP55" i="54"/>
  <c r="DS55" i="54" s="1"/>
  <c r="DP106" i="54"/>
  <c r="DS106" i="54" s="1"/>
  <c r="DP46" i="54"/>
  <c r="DS46" i="54" s="1"/>
  <c r="DY46" i="54" s="1"/>
  <c r="DP95" i="54"/>
  <c r="DS95" i="54" s="1"/>
  <c r="DY95" i="54" s="1"/>
  <c r="DP210" i="54"/>
  <c r="DV210" i="54" s="1"/>
  <c r="DP65" i="54"/>
  <c r="DS65" i="54" s="1"/>
  <c r="DY65" i="54" s="1"/>
  <c r="DP261" i="54"/>
  <c r="DS261" i="54" s="1"/>
  <c r="DP61" i="54"/>
  <c r="DS61" i="54" s="1"/>
  <c r="DY61" i="54" s="1"/>
  <c r="DP72" i="54"/>
  <c r="DS72" i="54" s="1"/>
  <c r="DP130" i="54"/>
  <c r="DS130" i="54" s="1"/>
  <c r="DY130" i="54" s="1"/>
  <c r="DP119" i="54"/>
  <c r="DS119" i="54" s="1"/>
  <c r="DP110" i="54"/>
  <c r="DS110" i="54" s="1"/>
  <c r="DP191" i="54"/>
  <c r="DS191" i="54" s="1"/>
  <c r="DP224" i="54"/>
  <c r="DU224" i="54" s="1"/>
  <c r="DP70" i="54"/>
  <c r="DS70" i="54" s="1"/>
  <c r="DP231" i="54"/>
  <c r="DS231" i="54" s="1"/>
  <c r="DY231" i="54" s="1"/>
  <c r="DP10" i="54"/>
  <c r="DU10" i="54" s="1"/>
  <c r="DP123" i="54"/>
  <c r="DS123" i="54" s="1"/>
  <c r="DP193" i="54"/>
  <c r="DS193" i="54" s="1"/>
  <c r="DY193" i="54" s="1"/>
  <c r="DP91" i="54"/>
  <c r="DV91" i="54" s="1"/>
  <c r="DP174" i="54"/>
  <c r="DS174" i="54" s="1"/>
  <c r="DP80" i="54"/>
  <c r="DS80" i="54" s="1"/>
  <c r="DP188" i="54"/>
  <c r="DU188" i="54" s="1"/>
  <c r="DP129" i="54"/>
  <c r="DS129" i="54" s="1"/>
  <c r="DP118" i="54"/>
  <c r="DS118" i="54" s="1"/>
  <c r="DP76" i="54"/>
  <c r="DU76" i="54" s="1"/>
  <c r="DP199" i="54"/>
  <c r="DS199" i="54" s="1"/>
  <c r="DY199" i="54" s="1"/>
  <c r="DP41" i="54"/>
  <c r="DS41" i="54" s="1"/>
  <c r="DP195" i="54"/>
  <c r="DS195" i="54" s="1"/>
  <c r="DP190" i="54"/>
  <c r="DS190" i="54" s="1"/>
  <c r="DY190" i="54" s="1"/>
  <c r="DP124" i="54"/>
  <c r="DS124" i="54" s="1"/>
  <c r="DP140" i="54"/>
  <c r="DS140" i="54" s="1"/>
  <c r="DP105" i="54"/>
  <c r="DS105" i="54" s="1"/>
  <c r="DY105" i="54" s="1"/>
  <c r="DP26" i="54"/>
  <c r="DS26" i="54" s="1"/>
  <c r="DP185" i="54"/>
  <c r="DU185" i="54" s="1"/>
  <c r="DP249" i="54"/>
  <c r="DS249" i="54" s="1"/>
  <c r="DP228" i="54"/>
  <c r="DS228" i="54" s="1"/>
  <c r="DP79" i="54"/>
  <c r="DU79" i="54" s="1"/>
  <c r="DP214" i="54"/>
  <c r="DS214" i="54" s="1"/>
  <c r="DP23" i="54"/>
  <c r="DS23" i="54" s="1"/>
  <c r="DP137" i="54"/>
  <c r="DV137" i="54" s="1"/>
  <c r="DP226" i="54"/>
  <c r="DP163" i="54"/>
  <c r="DS163" i="54" s="1"/>
  <c r="DP152" i="54"/>
  <c r="DS152" i="54" s="1"/>
  <c r="DP50" i="54"/>
  <c r="DS50" i="54" s="1"/>
  <c r="DY50" i="54" s="1"/>
  <c r="DP92" i="54"/>
  <c r="DS92" i="54" s="1"/>
  <c r="DP189" i="54"/>
  <c r="DS189" i="54" s="1"/>
  <c r="DP87" i="54"/>
  <c r="DS87" i="54" s="1"/>
  <c r="DP82" i="54"/>
  <c r="DS82" i="54" s="1"/>
  <c r="DP71" i="54"/>
  <c r="DV71" i="54" s="1"/>
  <c r="DP245" i="54"/>
  <c r="DS245" i="54" s="1"/>
  <c r="DP201" i="54"/>
  <c r="DP49" i="54"/>
  <c r="DU49" i="54" s="1"/>
  <c r="DP101" i="54"/>
  <c r="DP143" i="54"/>
  <c r="DS143" i="54" s="1"/>
  <c r="DP77" i="54"/>
  <c r="DS77" i="54" s="1"/>
  <c r="DY77" i="54" s="1"/>
  <c r="DP207" i="54"/>
  <c r="DS207" i="54" s="1"/>
  <c r="DY207" i="54" s="1"/>
  <c r="DP114" i="54"/>
  <c r="DS114" i="54" s="1"/>
  <c r="DP242" i="54"/>
  <c r="DU242" i="54" s="1"/>
  <c r="DP144" i="54"/>
  <c r="DS144" i="54" s="1"/>
  <c r="DP134" i="54"/>
  <c r="DS134" i="54" s="1"/>
  <c r="DP89" i="54"/>
  <c r="DS89" i="54" s="1"/>
  <c r="DY89" i="54" s="1"/>
  <c r="DP258" i="54"/>
  <c r="DS258" i="54" s="1"/>
  <c r="DY258" i="54" s="1"/>
  <c r="DP131" i="54"/>
  <c r="DP117" i="54"/>
  <c r="DU117" i="54" s="1"/>
  <c r="DP15" i="54"/>
  <c r="DS15" i="54" s="1"/>
  <c r="DP230" i="54"/>
  <c r="DS230" i="54" s="1"/>
  <c r="DP90" i="54"/>
  <c r="DS90" i="54" s="1"/>
  <c r="DP234" i="54"/>
  <c r="DS234" i="54" s="1"/>
  <c r="DY234" i="54" s="1"/>
  <c r="DP132" i="54"/>
  <c r="DS132" i="54" s="1"/>
  <c r="DP215" i="54"/>
  <c r="DS215" i="54" s="1"/>
  <c r="DP34" i="54"/>
  <c r="DS34" i="54" s="1"/>
  <c r="DP229" i="54"/>
  <c r="DS229" i="54" s="1"/>
  <c r="DY229" i="54" s="1"/>
  <c r="DP127" i="54"/>
  <c r="DS127" i="54" s="1"/>
  <c r="DP135" i="54"/>
  <c r="DS135" i="54" s="1"/>
  <c r="DP265" i="54"/>
  <c r="DP240" i="54"/>
  <c r="DV240" i="54" s="1"/>
  <c r="DP200" i="54"/>
  <c r="DP250" i="54"/>
  <c r="DS250" i="54" s="1"/>
  <c r="DP237" i="54"/>
  <c r="DU237" i="54" s="1"/>
  <c r="DP171" i="54"/>
  <c r="DS171" i="54" s="1"/>
  <c r="DP58" i="54"/>
  <c r="DS58" i="54" s="1"/>
  <c r="DP206" i="54"/>
  <c r="DS206" i="54" s="1"/>
  <c r="DP149" i="54"/>
  <c r="DS149" i="54" s="1"/>
  <c r="DY149" i="54" s="1"/>
  <c r="DP232" i="54"/>
  <c r="DS232" i="54" s="1"/>
  <c r="DP98" i="54"/>
  <c r="DU98" i="54" s="1"/>
  <c r="DP12" i="54"/>
  <c r="DS12" i="54" s="1"/>
  <c r="DP75" i="54"/>
  <c r="DS75" i="54" s="1"/>
  <c r="DP86" i="54"/>
  <c r="DS86" i="54" s="1"/>
  <c r="DP128" i="54"/>
  <c r="DS128" i="54" s="1"/>
  <c r="DP205" i="54"/>
  <c r="DS205" i="54" s="1"/>
  <c r="DP112" i="54"/>
  <c r="DS112" i="54" s="1"/>
  <c r="DP154" i="54"/>
  <c r="DS154" i="54" s="1"/>
  <c r="DY154" i="54" s="1"/>
  <c r="DP178" i="54"/>
  <c r="DS178" i="54" s="1"/>
  <c r="DP121" i="54"/>
  <c r="DS121" i="54" s="1"/>
  <c r="DP194" i="54"/>
  <c r="DS194" i="54" s="1"/>
  <c r="DP236" i="54"/>
  <c r="DS236" i="54" s="1"/>
  <c r="DY236" i="54" s="1"/>
  <c r="DP211" i="54"/>
  <c r="DS211" i="54" s="1"/>
  <c r="DP160" i="54"/>
  <c r="DS160" i="54" s="1"/>
  <c r="DP94" i="54"/>
  <c r="DS94" i="54" s="1"/>
  <c r="DP108" i="54"/>
  <c r="DS108" i="54" s="1"/>
  <c r="DY108" i="54" s="1"/>
  <c r="DP16" i="54"/>
  <c r="DP52" i="54"/>
  <c r="DS52" i="54" s="1"/>
  <c r="DP213" i="54"/>
  <c r="DS213" i="54" s="1"/>
  <c r="DY213" i="54" s="1"/>
  <c r="DP223" i="54"/>
  <c r="DS223" i="54" s="1"/>
  <c r="DY223" i="54" s="1"/>
  <c r="DP74" i="54"/>
  <c r="DP260" i="54"/>
  <c r="DU260" i="54" s="1"/>
  <c r="DP239" i="54"/>
  <c r="DS239" i="54" s="1"/>
  <c r="DY239" i="54" s="1"/>
  <c r="DP184" i="54"/>
  <c r="DS184" i="54" s="1"/>
  <c r="DP57" i="54"/>
  <c r="DS57" i="54" s="1"/>
  <c r="DY57" i="54" s="1"/>
  <c r="DP56" i="54"/>
  <c r="DS56" i="54" s="1"/>
  <c r="DP59" i="54"/>
  <c r="DS59" i="54" s="1"/>
  <c r="DP267" i="54"/>
  <c r="DU267" i="54" s="1"/>
  <c r="DP266" i="54"/>
  <c r="DP133" i="54"/>
  <c r="DS133" i="54" s="1"/>
  <c r="DP203" i="54"/>
  <c r="DS203" i="54" s="1"/>
  <c r="DP13" i="54"/>
  <c r="DS13" i="54" s="1"/>
  <c r="DP209" i="54"/>
  <c r="DS209" i="54" s="1"/>
  <c r="DP35" i="54"/>
  <c r="DS35" i="54" s="1"/>
  <c r="DP165" i="54"/>
  <c r="DP164" i="54"/>
  <c r="DS164" i="54" s="1"/>
  <c r="DP159" i="54"/>
  <c r="DS159" i="54" s="1"/>
  <c r="DP158" i="54"/>
  <c r="DS158" i="54" s="1"/>
  <c r="DP241" i="54"/>
  <c r="DS241" i="54" s="1"/>
  <c r="DY241" i="54" s="1"/>
  <c r="DP122" i="54"/>
  <c r="DS122" i="54" s="1"/>
  <c r="DP148" i="54"/>
  <c r="DP21" i="54"/>
  <c r="DS21" i="54" s="1"/>
  <c r="DP20" i="54"/>
  <c r="DS20" i="54" s="1"/>
  <c r="DP36" i="54"/>
  <c r="DS36" i="54" s="1"/>
  <c r="DP263" i="54"/>
  <c r="DP31" i="54"/>
  <c r="DU31" i="54" s="1"/>
  <c r="DP248" i="54"/>
  <c r="DP67" i="54"/>
  <c r="DS67" i="54" s="1"/>
  <c r="DY67" i="54" s="1"/>
  <c r="DP63" i="54"/>
  <c r="DS63" i="54" s="1"/>
  <c r="DP202" i="54"/>
  <c r="DS202" i="54" s="1"/>
  <c r="DP216" i="54"/>
  <c r="DP147" i="54"/>
  <c r="DS147" i="54" s="1"/>
  <c r="DP125" i="54"/>
  <c r="DS125" i="54" s="1"/>
  <c r="DP42" i="54"/>
  <c r="DS42" i="54" s="1"/>
  <c r="DP62" i="54"/>
  <c r="DS62" i="54" s="1"/>
  <c r="DP268" i="54"/>
  <c r="DS268" i="54" s="1"/>
  <c r="DY268" i="54" s="1"/>
  <c r="DP47" i="54"/>
  <c r="DS47" i="54" s="1"/>
  <c r="DP155" i="54"/>
  <c r="DS155" i="54" s="1"/>
  <c r="DP253" i="54"/>
  <c r="DS253" i="54" s="1"/>
  <c r="DY253" i="54" s="1"/>
  <c r="DP187" i="54"/>
  <c r="DS187" i="54" s="1"/>
  <c r="DP109" i="54"/>
  <c r="DS109" i="54" s="1"/>
  <c r="DP145" i="54"/>
  <c r="DS145" i="54" s="1"/>
  <c r="DY145" i="54" s="1"/>
  <c r="DP244" i="54"/>
  <c r="DS244" i="54" s="1"/>
  <c r="DP17" i="54"/>
  <c r="DS17" i="54" s="1"/>
  <c r="DS81" i="54"/>
  <c r="DY81" i="54" s="1"/>
  <c r="DP177" i="54"/>
  <c r="DS177" i="54" s="1"/>
  <c r="DY177" i="54" s="1"/>
  <c r="DP221" i="54"/>
  <c r="DS221" i="54" s="1"/>
  <c r="DY221" i="54" s="1"/>
  <c r="DP181" i="54"/>
  <c r="DS181" i="54" s="1"/>
  <c r="DY181" i="54" s="1"/>
  <c r="DP32" i="54"/>
  <c r="DP212" i="54"/>
  <c r="DS212" i="54" s="1"/>
  <c r="DY212" i="54" s="1"/>
  <c r="DP146" i="54"/>
  <c r="DS146" i="54" s="1"/>
  <c r="DP68" i="54"/>
  <c r="DS68" i="54" s="1"/>
  <c r="DP104" i="54"/>
  <c r="DS104" i="54" s="1"/>
  <c r="DY104" i="54" s="1"/>
  <c r="DP197" i="54"/>
  <c r="DS197" i="54" s="1"/>
  <c r="DY197" i="54" s="1"/>
  <c r="DP233" i="54"/>
  <c r="DS233" i="54" s="1"/>
  <c r="DS162" i="54"/>
  <c r="DS116" i="54"/>
  <c r="DS262" i="54"/>
  <c r="DY262" i="54" s="1"/>
  <c r="DS24" i="54"/>
  <c r="DY24" i="54" s="1"/>
  <c r="DP73" i="54"/>
  <c r="DS73" i="54" s="1"/>
  <c r="DP139" i="54"/>
  <c r="DS139" i="54" s="1"/>
  <c r="DY139" i="54" s="1"/>
  <c r="DP175" i="54"/>
  <c r="DS175" i="54" s="1"/>
  <c r="DP166" i="54"/>
  <c r="DS166" i="54" s="1"/>
  <c r="DP100" i="54"/>
  <c r="DS100" i="54" s="1"/>
  <c r="DP264" i="54"/>
  <c r="DS264" i="54" s="1"/>
  <c r="DP43" i="54"/>
  <c r="DS43" i="54" s="1"/>
  <c r="DP120" i="54"/>
  <c r="DS120" i="54" s="1"/>
  <c r="DP45" i="54"/>
  <c r="DS45" i="54" s="1"/>
  <c r="DY45" i="54" s="1"/>
  <c r="DS235" i="54"/>
  <c r="DP183" i="54"/>
  <c r="DS183" i="54" s="1"/>
  <c r="DP182" i="54"/>
  <c r="DS182" i="54" s="1"/>
  <c r="DP219" i="54"/>
  <c r="DS219" i="54" s="1"/>
  <c r="DP218" i="54"/>
  <c r="DS218" i="54" s="1"/>
  <c r="DY218" i="54" s="1"/>
  <c r="DP39" i="54"/>
  <c r="DS39" i="54" s="1"/>
  <c r="DP38" i="54"/>
  <c r="DS38" i="54" s="1"/>
  <c r="DP156" i="54"/>
  <c r="DS156" i="54" s="1"/>
  <c r="DY156" i="54" s="1"/>
  <c r="DP217" i="54"/>
  <c r="DS217" i="54" s="1"/>
  <c r="DP192" i="54"/>
  <c r="DS192" i="54" s="1"/>
  <c r="BG28" i="54" a="1"/>
  <c r="BG28" i="54" s="1"/>
  <c r="H35" i="54" s="1" a="1"/>
  <c r="H35" i="54" s="1"/>
  <c r="DP22" i="54"/>
  <c r="DS22" i="54" s="1"/>
  <c r="DP78" i="54"/>
  <c r="DS78" i="54" s="1"/>
  <c r="DP53" i="54"/>
  <c r="DP136" i="54"/>
  <c r="DS136" i="54" s="1"/>
  <c r="DP238" i="54"/>
  <c r="DP172" i="54"/>
  <c r="DS172" i="54" s="1"/>
  <c r="DP11" i="54"/>
  <c r="DS11" i="54" s="1"/>
  <c r="DP255" i="54"/>
  <c r="DS255" i="54" s="1"/>
  <c r="DY255" i="54" s="1"/>
  <c r="DP254" i="54"/>
  <c r="DP115" i="54"/>
  <c r="DS115" i="54" s="1"/>
  <c r="DP176" i="54"/>
  <c r="DP151" i="54"/>
  <c r="DS151" i="54" s="1"/>
  <c r="BG33" i="54" a="1"/>
  <c r="BG33" i="54" s="1"/>
  <c r="J35" i="54" s="1" a="1"/>
  <c r="J35" i="54" s="1"/>
  <c r="DP48" i="54"/>
  <c r="DS48" i="54" s="1"/>
  <c r="DP150" i="54"/>
  <c r="DP84" i="54"/>
  <c r="DS84" i="54" s="1"/>
  <c r="DP186" i="54"/>
  <c r="DS186" i="54" s="1"/>
  <c r="DP161" i="54"/>
  <c r="DS161" i="54" s="1"/>
  <c r="DP28" i="54"/>
  <c r="DP83" i="54"/>
  <c r="DS83" i="54" s="1"/>
  <c r="DY83" i="54" s="1"/>
  <c r="DP64" i="54"/>
  <c r="BG24" i="54" a="1"/>
  <c r="BG24" i="54" s="1"/>
  <c r="BG23" i="54" a="1"/>
  <c r="BG23" i="54" s="1"/>
  <c r="BG25" i="54" a="1"/>
  <c r="BG25" i="54" s="1"/>
  <c r="ER263" i="54"/>
  <c r="HS242" i="54"/>
  <c r="HV242" i="54" s="1"/>
  <c r="HS137" i="54"/>
  <c r="HS210" i="54"/>
  <c r="HV210" i="54" s="1"/>
  <c r="AS21" i="50"/>
  <c r="ER115" i="54"/>
  <c r="Q58" i="56"/>
  <c r="BM67" i="54" s="1" a="1"/>
  <c r="BM67" i="54" s="1"/>
  <c r="ER128" i="54"/>
  <c r="ER257" i="54"/>
  <c r="HS243" i="54"/>
  <c r="HV243" i="54" s="1"/>
  <c r="HT226" i="54"/>
  <c r="HW226" i="54" s="1"/>
  <c r="ER87" i="54"/>
  <c r="HS73" i="54"/>
  <c r="HT55" i="54"/>
  <c r="HW55" i="54" s="1"/>
  <c r="HS252" i="54"/>
  <c r="HV252" i="54" s="1"/>
  <c r="HS113" i="54"/>
  <c r="HV113" i="54" s="1"/>
  <c r="ER98" i="54"/>
  <c r="HT48" i="54"/>
  <c r="HS208" i="54"/>
  <c r="HV208" i="54" s="1"/>
  <c r="HS88" i="54"/>
  <c r="HV88" i="54" s="1"/>
  <c r="HS103" i="54"/>
  <c r="HV103" i="54" s="1"/>
  <c r="ER47" i="54"/>
  <c r="ER10" i="54"/>
  <c r="HT238" i="54"/>
  <c r="HW238" i="54" s="1"/>
  <c r="ER130" i="54"/>
  <c r="ER64" i="54"/>
  <c r="ER68" i="54"/>
  <c r="ER60" i="54"/>
  <c r="HS219" i="54"/>
  <c r="HV219" i="54" s="1"/>
  <c r="HT153" i="54"/>
  <c r="HW153" i="54" s="1"/>
  <c r="ER165" i="54"/>
  <c r="ER15" i="54"/>
  <c r="ER56" i="54"/>
  <c r="ER129" i="54"/>
  <c r="ER74" i="54"/>
  <c r="ER159" i="54"/>
  <c r="ER25" i="54"/>
  <c r="ER66" i="54"/>
  <c r="ER139" i="54"/>
  <c r="ER99" i="54"/>
  <c r="ER53" i="54"/>
  <c r="HS101" i="54"/>
  <c r="HS48" i="54"/>
  <c r="HS178" i="54"/>
  <c r="HV178" i="54" s="1"/>
  <c r="HS55" i="54"/>
  <c r="HV55" i="54" s="1"/>
  <c r="HS153" i="54"/>
  <c r="HT258" i="54"/>
  <c r="HW258" i="54" s="1"/>
  <c r="HT252" i="54"/>
  <c r="HW252" i="54" s="1"/>
  <c r="HT88" i="54"/>
  <c r="HW88" i="54" s="1"/>
  <c r="HT103" i="54"/>
  <c r="HW103" i="54" s="1"/>
  <c r="HT242" i="54"/>
  <c r="HW242" i="54" s="1"/>
  <c r="HT243" i="54"/>
  <c r="HW243" i="54" s="1"/>
  <c r="HT113" i="54"/>
  <c r="ER245" i="54"/>
  <c r="ER150" i="54"/>
  <c r="ER54" i="54"/>
  <c r="ER262" i="54"/>
  <c r="HT31" i="54"/>
  <c r="HW31" i="54" s="1"/>
  <c r="HT101" i="54"/>
  <c r="HT209" i="54"/>
  <c r="HT117" i="54"/>
  <c r="HW117" i="54" s="1"/>
  <c r="HS86" i="54"/>
  <c r="HV86" i="54" s="1"/>
  <c r="HT147" i="54"/>
  <c r="HW147" i="54" s="1"/>
  <c r="HS233" i="54"/>
  <c r="HV233" i="54" s="1"/>
  <c r="HT54" i="54"/>
  <c r="HW54" i="54" s="1"/>
  <c r="HS116" i="54"/>
  <c r="HV116" i="54" s="1"/>
  <c r="HS58" i="54"/>
  <c r="HV58" i="54" s="1"/>
  <c r="HS102" i="54"/>
  <c r="HT211" i="54"/>
  <c r="ER110" i="54"/>
  <c r="ER14" i="54"/>
  <c r="ER231" i="54"/>
  <c r="HS31" i="54"/>
  <c r="HV31" i="54" s="1"/>
  <c r="HT267" i="54"/>
  <c r="HT29" i="54"/>
  <c r="HW29" i="54" s="1"/>
  <c r="HS117" i="54"/>
  <c r="HT86" i="54"/>
  <c r="HW86" i="54" s="1"/>
  <c r="HS147" i="54"/>
  <c r="HV147" i="54" s="1"/>
  <c r="HS54" i="54"/>
  <c r="HV54" i="54" s="1"/>
  <c r="HT116" i="54"/>
  <c r="HW116" i="54" s="1"/>
  <c r="HS258" i="54"/>
  <c r="HV258" i="54" s="1"/>
  <c r="HT141" i="54"/>
  <c r="HW141" i="54" s="1"/>
  <c r="HT58" i="54"/>
  <c r="HW58" i="54" s="1"/>
  <c r="HS221" i="54"/>
  <c r="HV221" i="54" s="1"/>
  <c r="HT102" i="54"/>
  <c r="HW102" i="54" s="1"/>
  <c r="ER266" i="54"/>
  <c r="ER161" i="54"/>
  <c r="ER67" i="54"/>
  <c r="ER230" i="54"/>
  <c r="ER228" i="54"/>
  <c r="ER195" i="54"/>
  <c r="ER102" i="54"/>
  <c r="HS112" i="54"/>
  <c r="HS267" i="54"/>
  <c r="HV267" i="54" s="1"/>
  <c r="HS29" i="54"/>
  <c r="HV29" i="54" s="1"/>
  <c r="HT173" i="54"/>
  <c r="HW173" i="54" s="1"/>
  <c r="HS209" i="54"/>
  <c r="HV209" i="54" s="1"/>
  <c r="HS250" i="54"/>
  <c r="HV250" i="54" s="1"/>
  <c r="HT49" i="54"/>
  <c r="HW49" i="54" s="1"/>
  <c r="HT178" i="54"/>
  <c r="HW178" i="54" s="1"/>
  <c r="HT233" i="54"/>
  <c r="HW233" i="54" s="1"/>
  <c r="HT208" i="54"/>
  <c r="HW208" i="54" s="1"/>
  <c r="HS119" i="54"/>
  <c r="HV119" i="54" s="1"/>
  <c r="HS259" i="54"/>
  <c r="HV259" i="54" s="1"/>
  <c r="HS141" i="54"/>
  <c r="HV141" i="54" s="1"/>
  <c r="HS155" i="54"/>
  <c r="HV155" i="54" s="1"/>
  <c r="HS253" i="54"/>
  <c r="HV253" i="54" s="1"/>
  <c r="HT93" i="54"/>
  <c r="HW93" i="54" s="1"/>
  <c r="HS104" i="54"/>
  <c r="HV104" i="54" s="1"/>
  <c r="HS71" i="54"/>
  <c r="HV71" i="54" s="1"/>
  <c r="HT210" i="54"/>
  <c r="HW210" i="54" s="1"/>
  <c r="ER223" i="54"/>
  <c r="ER221" i="54"/>
  <c r="ER16" i="54"/>
  <c r="HT112" i="54"/>
  <c r="HW112" i="54" s="1"/>
  <c r="HT137" i="54"/>
  <c r="HW137" i="54" s="1"/>
  <c r="HS173" i="54"/>
  <c r="HT219" i="54"/>
  <c r="HT250" i="54"/>
  <c r="HW250" i="54" s="1"/>
  <c r="HS49" i="54"/>
  <c r="HT119" i="54"/>
  <c r="HW119" i="54" s="1"/>
  <c r="HT259" i="54"/>
  <c r="HW259" i="54" s="1"/>
  <c r="HS238" i="54"/>
  <c r="HV238" i="54" s="1"/>
  <c r="HT155" i="54"/>
  <c r="HW155" i="54" s="1"/>
  <c r="HT253" i="54"/>
  <c r="HW253" i="54" s="1"/>
  <c r="HS93" i="54"/>
  <c r="HV93" i="54" s="1"/>
  <c r="HS226" i="54"/>
  <c r="HV226" i="54" s="1"/>
  <c r="HT221" i="54"/>
  <c r="HT104" i="54"/>
  <c r="HW104" i="54" s="1"/>
  <c r="HT71" i="54"/>
  <c r="HW71" i="54" s="1"/>
  <c r="HS211" i="54"/>
  <c r="HV211" i="54" s="1"/>
  <c r="ER202" i="54"/>
  <c r="ER175" i="54"/>
  <c r="ER119" i="54"/>
  <c r="ER72" i="54"/>
  <c r="ER189" i="54"/>
  <c r="ER187" i="54"/>
  <c r="ER186" i="54"/>
  <c r="ER241" i="54"/>
  <c r="ER154" i="54"/>
  <c r="ER192" i="54"/>
  <c r="ER191" i="54"/>
  <c r="ER89" i="54"/>
  <c r="ER254" i="54"/>
  <c r="ER207" i="54"/>
  <c r="ER206" i="54"/>
  <c r="ER172" i="54"/>
  <c r="AA58" i="56"/>
  <c r="ER48" i="54"/>
  <c r="ER213" i="54"/>
  <c r="ER204" i="54"/>
  <c r="ER184" i="54"/>
  <c r="ER158" i="54"/>
  <c r="ER101" i="54"/>
  <c r="HA17" i="54"/>
  <c r="HA24" i="54"/>
  <c r="BF8" i="54"/>
  <c r="HW209" i="54"/>
  <c r="EJ183" i="54"/>
  <c r="ER183" i="54" s="1"/>
  <c r="EO183" i="54"/>
  <c r="EN183" i="54"/>
  <c r="FE183" i="54"/>
  <c r="FE182" i="54"/>
  <c r="EN182" i="54"/>
  <c r="EO182" i="54"/>
  <c r="FE181" i="54"/>
  <c r="EO181" i="54"/>
  <c r="EN181" i="54"/>
  <c r="EN180" i="54"/>
  <c r="EO180" i="54"/>
  <c r="FE180" i="54"/>
  <c r="EO173" i="54"/>
  <c r="EN173" i="54"/>
  <c r="FE173" i="54"/>
  <c r="EO148" i="54"/>
  <c r="EN148" i="54"/>
  <c r="FE148" i="54"/>
  <c r="EO135" i="54"/>
  <c r="FE135" i="54"/>
  <c r="EN135" i="54"/>
  <c r="FE134" i="54"/>
  <c r="EN134" i="54"/>
  <c r="EO134" i="54"/>
  <c r="EN127" i="54"/>
  <c r="EO127" i="54"/>
  <c r="FE127" i="54"/>
  <c r="EJ126" i="54"/>
  <c r="ER126" i="54" s="1"/>
  <c r="FE126" i="54"/>
  <c r="EO126" i="54"/>
  <c r="EN126" i="54"/>
  <c r="FE125" i="54"/>
  <c r="EO125" i="54"/>
  <c r="EN125" i="54"/>
  <c r="FE88" i="54"/>
  <c r="EO88" i="54"/>
  <c r="EN88" i="54"/>
  <c r="FE81" i="54"/>
  <c r="EO81" i="54"/>
  <c r="EN81" i="54"/>
  <c r="EJ80" i="54"/>
  <c r="ER80" i="54" s="1"/>
  <c r="FE80" i="54"/>
  <c r="EO80" i="54"/>
  <c r="EN80" i="54"/>
  <c r="EN79" i="54"/>
  <c r="FE79" i="54"/>
  <c r="EO79" i="54"/>
  <c r="EO78" i="54"/>
  <c r="FE78" i="54"/>
  <c r="EN78" i="54"/>
  <c r="FE77" i="54"/>
  <c r="EO77" i="54"/>
  <c r="EN77" i="54"/>
  <c r="EN22" i="54"/>
  <c r="EO22" i="54"/>
  <c r="FE22" i="54"/>
  <c r="EN33" i="54"/>
  <c r="EO33" i="54"/>
  <c r="FE33" i="54"/>
  <c r="EN32" i="54"/>
  <c r="EO32" i="54"/>
  <c r="FE32" i="54"/>
  <c r="EN31" i="54"/>
  <c r="FE31" i="54"/>
  <c r="EO31" i="54"/>
  <c r="FE24" i="54"/>
  <c r="EO24" i="54"/>
  <c r="EN24" i="54"/>
  <c r="EO17" i="54"/>
  <c r="EN17" i="54"/>
  <c r="FE17" i="54"/>
  <c r="EN243" i="54"/>
  <c r="EO243" i="54"/>
  <c r="FE243" i="54"/>
  <c r="EN242" i="54"/>
  <c r="EO242" i="54"/>
  <c r="FE242" i="54"/>
  <c r="EN235" i="54"/>
  <c r="FE235" i="54"/>
  <c r="EO235" i="54"/>
  <c r="EJ234" i="54"/>
  <c r="ER234" i="54" s="1"/>
  <c r="EN234" i="54"/>
  <c r="EO234" i="54"/>
  <c r="FE234" i="54"/>
  <c r="EN233" i="54"/>
  <c r="EO233" i="54"/>
  <c r="FE233" i="54"/>
  <c r="EN220" i="54"/>
  <c r="EO220" i="54"/>
  <c r="FE220" i="54"/>
  <c r="EJ147" i="54"/>
  <c r="ER147" i="54" s="1"/>
  <c r="EO147" i="54"/>
  <c r="EN147" i="54"/>
  <c r="FE147" i="54"/>
  <c r="EN146" i="54"/>
  <c r="EO146" i="54"/>
  <c r="FE146" i="54"/>
  <c r="FE145" i="54"/>
  <c r="EO145" i="54"/>
  <c r="EN145" i="54"/>
  <c r="EN144" i="54"/>
  <c r="EO144" i="54"/>
  <c r="FE144" i="54"/>
  <c r="EN137" i="54"/>
  <c r="EO137" i="54"/>
  <c r="FE137" i="54"/>
  <c r="EN100" i="54"/>
  <c r="EO100" i="54"/>
  <c r="FE100" i="54"/>
  <c r="EN123" i="54"/>
  <c r="EO123" i="54"/>
  <c r="FE123" i="54"/>
  <c r="EN164" i="54"/>
  <c r="EO164" i="54"/>
  <c r="FE164" i="54"/>
  <c r="EO205" i="54"/>
  <c r="EN205" i="54"/>
  <c r="FE205" i="54"/>
  <c r="EN246" i="54"/>
  <c r="EO246" i="54"/>
  <c r="FE246" i="54"/>
  <c r="EO30" i="54"/>
  <c r="EN30" i="54"/>
  <c r="FE30" i="54"/>
  <c r="EO71" i="54"/>
  <c r="EN71" i="54"/>
  <c r="FE71" i="54"/>
  <c r="EO118" i="54"/>
  <c r="EN118" i="54"/>
  <c r="FE118" i="54"/>
  <c r="EJ214" i="54"/>
  <c r="ER214" i="54" s="1"/>
  <c r="FE214" i="54"/>
  <c r="EN214" i="54"/>
  <c r="EO214" i="54"/>
  <c r="HS96" i="54"/>
  <c r="HT132" i="54"/>
  <c r="HW132" i="54" s="1"/>
  <c r="HT158" i="54"/>
  <c r="HW158" i="54" s="1"/>
  <c r="HS260" i="54"/>
  <c r="HS126" i="54"/>
  <c r="HV126" i="54" s="1"/>
  <c r="HS188" i="54"/>
  <c r="HV188" i="54" s="1"/>
  <c r="HS225" i="54"/>
  <c r="HS255" i="54"/>
  <c r="HT43" i="54"/>
  <c r="HW43" i="54" s="1"/>
  <c r="HT37" i="54"/>
  <c r="HW37" i="54" s="1"/>
  <c r="HT251" i="54"/>
  <c r="HA93" i="54"/>
  <c r="HA98" i="54"/>
  <c r="HA103" i="54"/>
  <c r="HA129" i="54"/>
  <c r="HA222" i="54"/>
  <c r="HA110" i="54"/>
  <c r="HA151" i="54"/>
  <c r="HA47" i="54"/>
  <c r="HA260" i="54"/>
  <c r="HA34" i="54"/>
  <c r="HA18" i="54"/>
  <c r="HA205" i="54"/>
  <c r="HA131" i="54"/>
  <c r="HA97" i="54"/>
  <c r="HA195" i="54"/>
  <c r="GW197" i="54"/>
  <c r="GX244" i="54"/>
  <c r="GW244" i="54"/>
  <c r="GX75" i="54"/>
  <c r="GW74" i="54"/>
  <c r="GX74" i="54"/>
  <c r="GX73" i="54"/>
  <c r="GW73" i="54"/>
  <c r="GW72" i="54"/>
  <c r="GW119" i="54"/>
  <c r="GW166" i="54"/>
  <c r="GX166" i="54"/>
  <c r="GW213" i="54"/>
  <c r="GX213" i="54"/>
  <c r="GX234" i="54"/>
  <c r="GW234" i="54"/>
  <c r="GX257" i="54"/>
  <c r="GW257" i="54"/>
  <c r="GW88" i="54"/>
  <c r="GX135" i="54"/>
  <c r="GW135" i="54"/>
  <c r="GX146" i="54"/>
  <c r="GW146" i="54"/>
  <c r="GX145" i="54"/>
  <c r="GW145" i="54"/>
  <c r="GX144" i="54"/>
  <c r="GX179" i="54"/>
  <c r="GX226" i="54"/>
  <c r="GW226" i="54"/>
  <c r="GX10" i="54"/>
  <c r="GX50" i="54"/>
  <c r="GX49" i="54"/>
  <c r="GW49" i="54"/>
  <c r="GX48" i="54"/>
  <c r="GW48" i="54"/>
  <c r="GX112" i="54"/>
  <c r="GW112" i="54"/>
  <c r="GX159" i="54"/>
  <c r="GW159" i="54"/>
  <c r="GX176" i="54"/>
  <c r="GW176" i="54"/>
  <c r="GX175" i="54"/>
  <c r="GX168" i="54"/>
  <c r="GW168" i="54"/>
  <c r="GX167" i="54"/>
  <c r="GW167" i="54"/>
  <c r="GW214" i="54"/>
  <c r="GX38" i="54"/>
  <c r="GW38" i="54"/>
  <c r="GX37" i="54"/>
  <c r="GW37" i="54"/>
  <c r="GX128" i="54"/>
  <c r="GW128" i="54"/>
  <c r="GX169" i="54"/>
  <c r="GW169" i="54"/>
  <c r="GX210" i="54"/>
  <c r="GW210" i="54"/>
  <c r="HS25" i="54"/>
  <c r="HT24" i="54"/>
  <c r="HW24" i="54" s="1"/>
  <c r="HS169" i="54"/>
  <c r="HV169" i="54" s="1"/>
  <c r="HS205" i="54"/>
  <c r="HV205" i="54" s="1"/>
  <c r="HS198" i="54"/>
  <c r="HV198" i="54" s="1"/>
  <c r="HS64" i="54"/>
  <c r="HV64" i="54" s="1"/>
  <c r="HS197" i="54"/>
  <c r="HV197" i="54" s="1"/>
  <c r="HT234" i="54"/>
  <c r="HW234" i="54" s="1"/>
  <c r="HS223" i="54"/>
  <c r="HV223" i="54" s="1"/>
  <c r="HS249" i="54"/>
  <c r="HV249" i="54" s="1"/>
  <c r="HS174" i="54"/>
  <c r="HV174" i="54" s="1"/>
  <c r="HT175" i="54"/>
  <c r="HW175" i="54" s="1"/>
  <c r="HT52" i="54"/>
  <c r="HW52" i="54" s="1"/>
  <c r="HT185" i="54"/>
  <c r="HW185" i="54" s="1"/>
  <c r="HS66" i="54"/>
  <c r="HV66" i="54" s="1"/>
  <c r="HS68" i="54"/>
  <c r="HV68" i="54" s="1"/>
  <c r="HS165" i="54"/>
  <c r="HV165" i="54" s="1"/>
  <c r="DY11" i="54"/>
  <c r="DY186" i="54"/>
  <c r="DY230" i="54"/>
  <c r="EJ77" i="54"/>
  <c r="ER77" i="54" s="1"/>
  <c r="EJ246" i="54"/>
  <c r="ER246" i="54" s="1"/>
  <c r="HT241" i="54"/>
  <c r="HT128" i="54"/>
  <c r="HW128" i="54" s="1"/>
  <c r="HT236" i="54"/>
  <c r="HW236" i="54" s="1"/>
  <c r="HS239" i="54"/>
  <c r="HV239" i="54" s="1"/>
  <c r="HS122" i="54"/>
  <c r="HV122" i="54" s="1"/>
  <c r="HS111" i="54"/>
  <c r="HS244" i="54"/>
  <c r="HV244" i="54" s="1"/>
  <c r="HS18" i="54"/>
  <c r="HV18" i="54" s="1"/>
  <c r="HS186" i="54"/>
  <c r="HV186" i="54" s="1"/>
  <c r="HS215" i="54"/>
  <c r="HV215" i="54" s="1"/>
  <c r="HT216" i="54"/>
  <c r="HW216" i="54" s="1"/>
  <c r="HT107" i="54"/>
  <c r="HW107" i="54" s="1"/>
  <c r="HT20" i="54"/>
  <c r="HW20" i="54" s="1"/>
  <c r="HS51" i="54"/>
  <c r="HS87" i="54"/>
  <c r="HT125" i="54"/>
  <c r="HW125" i="54" s="1"/>
  <c r="HT224" i="54"/>
  <c r="HW224" i="54" s="1"/>
  <c r="HS53" i="54"/>
  <c r="HV53" i="54" s="1"/>
  <c r="HS177" i="54"/>
  <c r="HT150" i="54"/>
  <c r="HW150" i="54" s="1"/>
  <c r="HT74" i="54"/>
  <c r="HW74" i="54" s="1"/>
  <c r="HT171" i="54"/>
  <c r="HS257" i="54"/>
  <c r="HV257" i="54" s="1"/>
  <c r="HT138" i="54"/>
  <c r="HT140" i="54"/>
  <c r="HW140" i="54" s="1"/>
  <c r="HT149" i="54"/>
  <c r="HW149" i="54" s="1"/>
  <c r="HT247" i="54"/>
  <c r="HW247" i="54" s="1"/>
  <c r="HS32" i="54"/>
  <c r="BI3" i="54"/>
  <c r="HS148" i="54"/>
  <c r="HV148" i="54" s="1"/>
  <c r="HT172" i="54"/>
  <c r="HW172" i="54" s="1"/>
  <c r="HT265" i="54"/>
  <c r="HW265" i="54" s="1"/>
  <c r="HT218" i="54"/>
  <c r="HS191" i="54"/>
  <c r="HV191" i="54" s="1"/>
  <c r="HT115" i="54"/>
  <c r="HW115" i="54" s="1"/>
  <c r="HT212" i="54"/>
  <c r="HS179" i="54"/>
  <c r="HV179" i="54" s="1"/>
  <c r="HT181" i="54"/>
  <c r="HW181" i="54" s="1"/>
  <c r="HT73" i="54"/>
  <c r="HW73" i="54" s="1"/>
  <c r="DV239" i="54"/>
  <c r="DU239" i="54"/>
  <c r="DU266" i="54"/>
  <c r="DU165" i="54"/>
  <c r="DU164" i="54"/>
  <c r="DV148" i="54"/>
  <c r="DU21" i="54"/>
  <c r="DV21" i="54"/>
  <c r="DU248" i="54"/>
  <c r="DV67" i="54"/>
  <c r="DV53" i="54"/>
  <c r="DV11" i="54"/>
  <c r="DU254" i="54"/>
  <c r="FE141" i="54"/>
  <c r="EN141" i="54"/>
  <c r="EO141" i="54"/>
  <c r="FE140" i="54"/>
  <c r="EN140" i="54"/>
  <c r="EO140" i="54"/>
  <c r="EO139" i="54"/>
  <c r="EN139" i="54"/>
  <c r="FE139" i="54"/>
  <c r="EO132" i="54"/>
  <c r="FE132" i="54"/>
  <c r="EN132" i="54"/>
  <c r="EJ131" i="54"/>
  <c r="ER131" i="54" s="1"/>
  <c r="FE131" i="54"/>
  <c r="EN131" i="54"/>
  <c r="EO131" i="54"/>
  <c r="EO94" i="54"/>
  <c r="EN94" i="54"/>
  <c r="FE94" i="54"/>
  <c r="FE93" i="54"/>
  <c r="EN93" i="54"/>
  <c r="EO93" i="54"/>
  <c r="EO86" i="54"/>
  <c r="FE86" i="54"/>
  <c r="EN86" i="54"/>
  <c r="EJ85" i="54"/>
  <c r="ER85" i="54" s="1"/>
  <c r="FE85" i="54"/>
  <c r="EO85" i="54"/>
  <c r="EN85" i="54"/>
  <c r="FE84" i="54"/>
  <c r="EO84" i="54"/>
  <c r="EN84" i="54"/>
  <c r="EN83" i="54"/>
  <c r="FE83" i="54"/>
  <c r="EO83" i="54"/>
  <c r="EO28" i="54"/>
  <c r="EN28" i="54"/>
  <c r="FE28" i="54"/>
  <c r="EJ39" i="54"/>
  <c r="ER39" i="54" s="1"/>
  <c r="FE39" i="54"/>
  <c r="EN39" i="54"/>
  <c r="EO39" i="54"/>
  <c r="EO38" i="54"/>
  <c r="FE38" i="54"/>
  <c r="EN38" i="54"/>
  <c r="EO37" i="54"/>
  <c r="FE37" i="54"/>
  <c r="EN37" i="54"/>
  <c r="FE36" i="54"/>
  <c r="EO36" i="54"/>
  <c r="EN36" i="54"/>
  <c r="FE29" i="54"/>
  <c r="EO29" i="54"/>
  <c r="EN29" i="54"/>
  <c r="EN249" i="54"/>
  <c r="EO249" i="54"/>
  <c r="FE249" i="54"/>
  <c r="EN248" i="54"/>
  <c r="EO248" i="54"/>
  <c r="FE248" i="54"/>
  <c r="EN247" i="54"/>
  <c r="FE247" i="54"/>
  <c r="EO247" i="54"/>
  <c r="FE240" i="54"/>
  <c r="EN240" i="54"/>
  <c r="EO240" i="54"/>
  <c r="EJ239" i="54"/>
  <c r="ER239" i="54" s="1"/>
  <c r="EN239" i="54"/>
  <c r="EO239" i="54"/>
  <c r="FE239" i="54"/>
  <c r="EN232" i="54"/>
  <c r="EO232" i="54"/>
  <c r="FE232" i="54"/>
  <c r="EN201" i="54"/>
  <c r="EO201" i="54"/>
  <c r="FE201" i="54"/>
  <c r="EO194" i="54"/>
  <c r="FE194" i="54"/>
  <c r="EN194" i="54"/>
  <c r="EJ193" i="54"/>
  <c r="ER193" i="54" s="1"/>
  <c r="EO193" i="54"/>
  <c r="EN193" i="54"/>
  <c r="FE193" i="54"/>
  <c r="EN192" i="54"/>
  <c r="EO192" i="54"/>
  <c r="FE192" i="54"/>
  <c r="EN191" i="54"/>
  <c r="EO191" i="54"/>
  <c r="FE191" i="54"/>
  <c r="EN166" i="54"/>
  <c r="FE166" i="54"/>
  <c r="EO166" i="54"/>
  <c r="EO105" i="54"/>
  <c r="EN105" i="54"/>
  <c r="FE105" i="54"/>
  <c r="FE104" i="54"/>
  <c r="EO104" i="54"/>
  <c r="EN104" i="54"/>
  <c r="EO103" i="54"/>
  <c r="EN103" i="54"/>
  <c r="FE103" i="54"/>
  <c r="EO96" i="54"/>
  <c r="EN96" i="54"/>
  <c r="FE96" i="54"/>
  <c r="EJ95" i="54"/>
  <c r="ER95" i="54" s="1"/>
  <c r="EO95" i="54"/>
  <c r="EN95" i="54"/>
  <c r="FE95" i="54"/>
  <c r="EO52" i="54"/>
  <c r="EN52" i="54"/>
  <c r="FE52" i="54"/>
  <c r="EN87" i="54"/>
  <c r="EO87" i="54"/>
  <c r="FE87" i="54"/>
  <c r="EN128" i="54"/>
  <c r="EO128" i="54"/>
  <c r="FE128" i="54"/>
  <c r="EO169" i="54"/>
  <c r="EN169" i="54"/>
  <c r="FE169" i="54"/>
  <c r="EN210" i="54"/>
  <c r="EO210" i="54"/>
  <c r="FE210" i="54"/>
  <c r="EN251" i="54"/>
  <c r="EO251" i="54"/>
  <c r="FE251" i="54"/>
  <c r="EO35" i="54"/>
  <c r="EN35" i="54"/>
  <c r="FE35" i="54"/>
  <c r="EO82" i="54"/>
  <c r="EN82" i="54"/>
  <c r="FE82" i="54"/>
  <c r="EJ178" i="54"/>
  <c r="ER178" i="54" s="1"/>
  <c r="FE178" i="54"/>
  <c r="EN178" i="54"/>
  <c r="EO178" i="54"/>
  <c r="HT60" i="54"/>
  <c r="HW60" i="54" s="1"/>
  <c r="HT96" i="54"/>
  <c r="HW96" i="54" s="1"/>
  <c r="HS204" i="54"/>
  <c r="HV204" i="54" s="1"/>
  <c r="HS158" i="54"/>
  <c r="HV158" i="54" s="1"/>
  <c r="HT127" i="54"/>
  <c r="HW127" i="54" s="1"/>
  <c r="HT17" i="54"/>
  <c r="HW17" i="54" s="1"/>
  <c r="HS95" i="54"/>
  <c r="HV95" i="54" s="1"/>
  <c r="HT157" i="54"/>
  <c r="HW157" i="54" s="1"/>
  <c r="HS182" i="54"/>
  <c r="HT105" i="54"/>
  <c r="HW105" i="54" s="1"/>
  <c r="HS143" i="54"/>
  <c r="HV143" i="54" s="1"/>
  <c r="HA82" i="54"/>
  <c r="HA12" i="54"/>
  <c r="HA63" i="54"/>
  <c r="HA149" i="54"/>
  <c r="HA244" i="54"/>
  <c r="HA105" i="54"/>
  <c r="HA80" i="54"/>
  <c r="HA203" i="54"/>
  <c r="HA33" i="54"/>
  <c r="HA265" i="54"/>
  <c r="HA79" i="54"/>
  <c r="HA54" i="54"/>
  <c r="HA234" i="54"/>
  <c r="HA91" i="54"/>
  <c r="HA267" i="54"/>
  <c r="HA194" i="54"/>
  <c r="GX161" i="54"/>
  <c r="GW161" i="54"/>
  <c r="GW33" i="54"/>
  <c r="GX33" i="54"/>
  <c r="GX32" i="54"/>
  <c r="GW32" i="54"/>
  <c r="GX24" i="54"/>
  <c r="GW24" i="54"/>
  <c r="GX83" i="54"/>
  <c r="GW83" i="54"/>
  <c r="GX177" i="54"/>
  <c r="GW177" i="54"/>
  <c r="GW194" i="54"/>
  <c r="GX194" i="54"/>
  <c r="GX193" i="54"/>
  <c r="GW193" i="54"/>
  <c r="GX192" i="54"/>
  <c r="GW192" i="54"/>
  <c r="GX268" i="54"/>
  <c r="GX52" i="54"/>
  <c r="GW52" i="54"/>
  <c r="GX99" i="54"/>
  <c r="GW99" i="54"/>
  <c r="GX103" i="54"/>
  <c r="GW103" i="54"/>
  <c r="GX96" i="54"/>
  <c r="GW96" i="54"/>
  <c r="GX190" i="54"/>
  <c r="GW190" i="54"/>
  <c r="GX237" i="54"/>
  <c r="GW237" i="54"/>
  <c r="GX266" i="54"/>
  <c r="GW266" i="54"/>
  <c r="GX265" i="54"/>
  <c r="GW265" i="54"/>
  <c r="GW264" i="54"/>
  <c r="GX29" i="54"/>
  <c r="GW29" i="54"/>
  <c r="GX76" i="54"/>
  <c r="GW76" i="54"/>
  <c r="GX134" i="54"/>
  <c r="GW134" i="54"/>
  <c r="GX127" i="54"/>
  <c r="GW127" i="54"/>
  <c r="GX131" i="54"/>
  <c r="GW131" i="54"/>
  <c r="GX178" i="54"/>
  <c r="GW178" i="54"/>
  <c r="GX225" i="54"/>
  <c r="GW225" i="54"/>
  <c r="GX254" i="54"/>
  <c r="GW254" i="54"/>
  <c r="GX51" i="54"/>
  <c r="GW51" i="54"/>
  <c r="GX92" i="54"/>
  <c r="GW92" i="54"/>
  <c r="GX174" i="54"/>
  <c r="GW174" i="54"/>
  <c r="HS24" i="54"/>
  <c r="HV24" i="54" s="1"/>
  <c r="HT245" i="54"/>
  <c r="HW245" i="54" s="1"/>
  <c r="HT169" i="54"/>
  <c r="HW169" i="54" s="1"/>
  <c r="HT205" i="54"/>
  <c r="HS167" i="54"/>
  <c r="HT229" i="54"/>
  <c r="HS266" i="54"/>
  <c r="HT39" i="54"/>
  <c r="HW39" i="54" s="1"/>
  <c r="HS222" i="54"/>
  <c r="HV222" i="54" s="1"/>
  <c r="HT35" i="54"/>
  <c r="HW35" i="54" s="1"/>
  <c r="DY52" i="54"/>
  <c r="DY187" i="54"/>
  <c r="DY40" i="54"/>
  <c r="DY34" i="54"/>
  <c r="EJ36" i="54"/>
  <c r="ER36" i="54" s="1"/>
  <c r="EJ232" i="54"/>
  <c r="ER232" i="54" s="1"/>
  <c r="EJ82" i="54"/>
  <c r="ER82" i="54" s="1"/>
  <c r="EJ205" i="54"/>
  <c r="ER205" i="54" s="1"/>
  <c r="EJ83" i="54"/>
  <c r="ER83" i="54" s="1"/>
  <c r="EJ166" i="54"/>
  <c r="ER166" i="54" s="1"/>
  <c r="EJ33" i="54"/>
  <c r="ER33" i="54" s="1"/>
  <c r="EJ32" i="54"/>
  <c r="ER32" i="54" s="1"/>
  <c r="EJ125" i="54"/>
  <c r="ER125" i="54" s="1"/>
  <c r="EJ29" i="54"/>
  <c r="ER29" i="54" s="1"/>
  <c r="HS240" i="54"/>
  <c r="HV240" i="54" s="1"/>
  <c r="HT92" i="54"/>
  <c r="HW92" i="54" s="1"/>
  <c r="HS164" i="54"/>
  <c r="HV164" i="54" s="1"/>
  <c r="HT84" i="54"/>
  <c r="HW84" i="54" s="1"/>
  <c r="HS85" i="54"/>
  <c r="HV85" i="54" s="1"/>
  <c r="HS214" i="54"/>
  <c r="HT13" i="54"/>
  <c r="HW13" i="54" s="1"/>
  <c r="HT50" i="54"/>
  <c r="HW50" i="54" s="1"/>
  <c r="HS80" i="54"/>
  <c r="HS263" i="54"/>
  <c r="HV263" i="54" s="1"/>
  <c r="HS187" i="54"/>
  <c r="HV187" i="54" s="1"/>
  <c r="HS110" i="54"/>
  <c r="HV110" i="54" s="1"/>
  <c r="HT215" i="54"/>
  <c r="HS98" i="54"/>
  <c r="HV98" i="54" s="1"/>
  <c r="HS232" i="54"/>
  <c r="HV232" i="54" s="1"/>
  <c r="HT108" i="54"/>
  <c r="HW108" i="54" s="1"/>
  <c r="HS82" i="54"/>
  <c r="HV51" i="54"/>
  <c r="HT231" i="54"/>
  <c r="HW231" i="54" s="1"/>
  <c r="HT23" i="54"/>
  <c r="HW23" i="54" s="1"/>
  <c r="HS152" i="54"/>
  <c r="HT59" i="54"/>
  <c r="HW59" i="54" s="1"/>
  <c r="HS262" i="54"/>
  <c r="HV262" i="54" s="1"/>
  <c r="HS154" i="54"/>
  <c r="HV154" i="54" s="1"/>
  <c r="BM52" i="54" a="1"/>
  <c r="BM52" i="54" s="1"/>
  <c r="X16" i="54" a="1"/>
  <c r="X16" i="54" s="1"/>
  <c r="BM51" i="54" a="1"/>
  <c r="BM51" i="54" s="1"/>
  <c r="BM48" i="54" a="1"/>
  <c r="BM48" i="54" s="1"/>
  <c r="BM53" i="54" a="1"/>
  <c r="BM53" i="54" s="1"/>
  <c r="BM49" i="54" a="1"/>
  <c r="BM49" i="54" s="1"/>
  <c r="BM50" i="54" a="1"/>
  <c r="BM50" i="54" s="1"/>
  <c r="HS40" i="54"/>
  <c r="HV40" i="54" s="1"/>
  <c r="HS76" i="54"/>
  <c r="HS70" i="54"/>
  <c r="HS264" i="54"/>
  <c r="HV264" i="54" s="1"/>
  <c r="HT14" i="54"/>
  <c r="HW14" i="54" s="1"/>
  <c r="HS106" i="54"/>
  <c r="HV106" i="54" s="1"/>
  <c r="HT191" i="54"/>
  <c r="HW191" i="54" s="1"/>
  <c r="HT41" i="54"/>
  <c r="HW41" i="54" s="1"/>
  <c r="HT179" i="54"/>
  <c r="HW179" i="54" s="1"/>
  <c r="HT62" i="54"/>
  <c r="HW62" i="54" s="1"/>
  <c r="HT201" i="54"/>
  <c r="HW201" i="54" s="1"/>
  <c r="HT196" i="54"/>
  <c r="HS72" i="54"/>
  <c r="HV72" i="54" s="1"/>
  <c r="DU81" i="54"/>
  <c r="DV81" i="54"/>
  <c r="DU92" i="54"/>
  <c r="DV229" i="54"/>
  <c r="DU229" i="54"/>
  <c r="DU118" i="54"/>
  <c r="DV118" i="54"/>
  <c r="DV201" i="54"/>
  <c r="DV200" i="54"/>
  <c r="DU261" i="54"/>
  <c r="DV261" i="54"/>
  <c r="DV101" i="54"/>
  <c r="DU236" i="54"/>
  <c r="DV236" i="54"/>
  <c r="DU16" i="54"/>
  <c r="DU177" i="54"/>
  <c r="DU191" i="54"/>
  <c r="DV191" i="54"/>
  <c r="DU125" i="54"/>
  <c r="DV125" i="54"/>
  <c r="DU75" i="54"/>
  <c r="DU110" i="54"/>
  <c r="DV110" i="54"/>
  <c r="FE99" i="54"/>
  <c r="EN99" i="54"/>
  <c r="EO99" i="54"/>
  <c r="EN98" i="54"/>
  <c r="EO98" i="54"/>
  <c r="FE98" i="54"/>
  <c r="EN91" i="54"/>
  <c r="EO91" i="54"/>
  <c r="FE91" i="54"/>
  <c r="EJ90" i="54"/>
  <c r="ER90" i="54" s="1"/>
  <c r="EN90" i="54"/>
  <c r="FE90" i="54"/>
  <c r="EO90" i="54"/>
  <c r="FE89" i="54"/>
  <c r="EO89" i="54"/>
  <c r="EN89" i="54"/>
  <c r="EN40" i="54"/>
  <c r="EO40" i="54"/>
  <c r="FE40" i="54"/>
  <c r="EO45" i="54"/>
  <c r="EN45" i="54"/>
  <c r="FE45" i="54"/>
  <c r="EJ44" i="54"/>
  <c r="ER44" i="54" s="1"/>
  <c r="FE44" i="54"/>
  <c r="EO44" i="54"/>
  <c r="EN44" i="54"/>
  <c r="FE43" i="54"/>
  <c r="EO43" i="54"/>
  <c r="EN43" i="54"/>
  <c r="EN42" i="54"/>
  <c r="FE42" i="54"/>
  <c r="EO42" i="54"/>
  <c r="FE41" i="54"/>
  <c r="EO41" i="54"/>
  <c r="EN41" i="54"/>
  <c r="EJ255" i="54"/>
  <c r="ER255" i="54" s="1"/>
  <c r="FE255" i="54"/>
  <c r="EN255" i="54"/>
  <c r="EO255" i="54"/>
  <c r="EO254" i="54"/>
  <c r="FE254" i="54"/>
  <c r="EN254" i="54"/>
  <c r="EO253" i="54"/>
  <c r="EN253" i="54"/>
  <c r="FE253" i="54"/>
  <c r="FE252" i="54"/>
  <c r="EN252" i="54"/>
  <c r="EO252" i="54"/>
  <c r="FE245" i="54"/>
  <c r="EN245" i="54"/>
  <c r="EO245" i="54"/>
  <c r="EN238" i="54"/>
  <c r="EO238" i="54"/>
  <c r="FE238" i="54"/>
  <c r="EN207" i="54"/>
  <c r="EO207" i="54"/>
  <c r="FE207" i="54"/>
  <c r="EO206" i="54"/>
  <c r="FE206" i="54"/>
  <c r="EN206" i="54"/>
  <c r="FE199" i="54"/>
  <c r="EO199" i="54"/>
  <c r="EN199" i="54"/>
  <c r="EJ198" i="54"/>
  <c r="ER198" i="54" s="1"/>
  <c r="EO198" i="54"/>
  <c r="FE198" i="54"/>
  <c r="EN198" i="54"/>
  <c r="EN197" i="54"/>
  <c r="EO197" i="54"/>
  <c r="FE197" i="54"/>
  <c r="FE172" i="54"/>
  <c r="EN172" i="54"/>
  <c r="EO172" i="54"/>
  <c r="EO153" i="54"/>
  <c r="FE153" i="54"/>
  <c r="EN153" i="54"/>
  <c r="EJ152" i="54"/>
  <c r="ER152" i="54" s="1"/>
  <c r="EN152" i="54"/>
  <c r="EO152" i="54"/>
  <c r="FE152" i="54"/>
  <c r="EO151" i="54"/>
  <c r="EN151" i="54"/>
  <c r="FE151" i="54"/>
  <c r="EN150" i="54"/>
  <c r="EO150" i="54"/>
  <c r="FE150" i="54"/>
  <c r="EN149" i="54"/>
  <c r="EO149" i="54"/>
  <c r="FE149" i="54"/>
  <c r="FE112" i="54"/>
  <c r="EO112" i="54"/>
  <c r="EN112" i="54"/>
  <c r="FE63" i="54"/>
  <c r="EO63" i="54"/>
  <c r="EN63" i="54"/>
  <c r="EO62" i="54"/>
  <c r="EN62" i="54"/>
  <c r="FE62" i="54"/>
  <c r="EO55" i="54"/>
  <c r="EN55" i="54"/>
  <c r="FE55" i="54"/>
  <c r="EN54" i="54"/>
  <c r="FE54" i="54"/>
  <c r="EO54" i="54"/>
  <c r="EO53" i="54"/>
  <c r="EN53" i="54"/>
  <c r="FE53" i="54"/>
  <c r="EO267" i="54"/>
  <c r="FE267" i="54"/>
  <c r="EN267" i="54"/>
  <c r="EO51" i="54"/>
  <c r="FE51" i="54"/>
  <c r="EN51" i="54"/>
  <c r="EO92" i="54"/>
  <c r="FE92" i="54"/>
  <c r="EN92" i="54"/>
  <c r="EN133" i="54"/>
  <c r="FE133" i="54"/>
  <c r="EO133" i="54"/>
  <c r="EO174" i="54"/>
  <c r="FE174" i="54"/>
  <c r="EN174" i="54"/>
  <c r="EO215" i="54"/>
  <c r="FE215" i="54"/>
  <c r="EN215" i="54"/>
  <c r="EO262" i="54"/>
  <c r="FE262" i="54"/>
  <c r="EN262" i="54"/>
  <c r="EN46" i="54"/>
  <c r="FE46" i="54"/>
  <c r="EO46" i="54"/>
  <c r="EJ142" i="54"/>
  <c r="ER142" i="54" s="1"/>
  <c r="EO142" i="54"/>
  <c r="FE142" i="54"/>
  <c r="EN142" i="54"/>
  <c r="HS256" i="54"/>
  <c r="HV256" i="54" s="1"/>
  <c r="HS60" i="54"/>
  <c r="HT204" i="54"/>
  <c r="HS34" i="54"/>
  <c r="HV34" i="54" s="1"/>
  <c r="HS89" i="54"/>
  <c r="HV89" i="54" s="1"/>
  <c r="HT188" i="54"/>
  <c r="HS17" i="54"/>
  <c r="HV17" i="54" s="1"/>
  <c r="HT95" i="54"/>
  <c r="HW95" i="54" s="1"/>
  <c r="HS194" i="54"/>
  <c r="HV194" i="54" s="1"/>
  <c r="HT42" i="54"/>
  <c r="HW42" i="54" s="1"/>
  <c r="HT182" i="54"/>
  <c r="HW182" i="54" s="1"/>
  <c r="HS105" i="54"/>
  <c r="HV105" i="54" s="1"/>
  <c r="HT36" i="54"/>
  <c r="HW36" i="54" s="1"/>
  <c r="HS135" i="54"/>
  <c r="HS268" i="54"/>
  <c r="HV268" i="54" s="1"/>
  <c r="HT143" i="54"/>
  <c r="HW143" i="54" s="1"/>
  <c r="HS145" i="54"/>
  <c r="HT26" i="54"/>
  <c r="HW26" i="54" s="1"/>
  <c r="HS160" i="54"/>
  <c r="HV160" i="54" s="1"/>
  <c r="HA262" i="54"/>
  <c r="HA21" i="54"/>
  <c r="HA26" i="54"/>
  <c r="HA207" i="54"/>
  <c r="HA191" i="54"/>
  <c r="HA172" i="54"/>
  <c r="HA249" i="54"/>
  <c r="HA224" i="54"/>
  <c r="HA38" i="54"/>
  <c r="HA193" i="54"/>
  <c r="HA50" i="54"/>
  <c r="HA220" i="54"/>
  <c r="HA15" i="54"/>
  <c r="HA101" i="54"/>
  <c r="HA112" i="54"/>
  <c r="GX125" i="54"/>
  <c r="GW125" i="54"/>
  <c r="GX172" i="54"/>
  <c r="GW172" i="54"/>
  <c r="GX248" i="54"/>
  <c r="GW248" i="54"/>
  <c r="GW247" i="54"/>
  <c r="GX247" i="54"/>
  <c r="GX240" i="54"/>
  <c r="GW240" i="54"/>
  <c r="GX47" i="54"/>
  <c r="GW47" i="54"/>
  <c r="GX94" i="54"/>
  <c r="GW94" i="54"/>
  <c r="GW141" i="54"/>
  <c r="GX141" i="54"/>
  <c r="GW152" i="54"/>
  <c r="GX151" i="54"/>
  <c r="GW151" i="54"/>
  <c r="GW150" i="54"/>
  <c r="GX150" i="54"/>
  <c r="GX185" i="54"/>
  <c r="GW185" i="54"/>
  <c r="GX16" i="54"/>
  <c r="GW16" i="54"/>
  <c r="GW63" i="54"/>
  <c r="GX63" i="54"/>
  <c r="GX62" i="54"/>
  <c r="GW62" i="54"/>
  <c r="GW54" i="54"/>
  <c r="GX54" i="54"/>
  <c r="GX107" i="54"/>
  <c r="GW107" i="54"/>
  <c r="GW154" i="54"/>
  <c r="GX154" i="54"/>
  <c r="GX201" i="54"/>
  <c r="GX224" i="54"/>
  <c r="GW224" i="54"/>
  <c r="GW223" i="54"/>
  <c r="GX223" i="54"/>
  <c r="GX222" i="54"/>
  <c r="GW222" i="54"/>
  <c r="GX256" i="54"/>
  <c r="GW256" i="54"/>
  <c r="GX40" i="54"/>
  <c r="GW40" i="54"/>
  <c r="GX87" i="54"/>
  <c r="GW87" i="54"/>
  <c r="GX85" i="54"/>
  <c r="GW85" i="54"/>
  <c r="GX84" i="54"/>
  <c r="GW84" i="54"/>
  <c r="GX95" i="54"/>
  <c r="GW95" i="54"/>
  <c r="GW142" i="54"/>
  <c r="GW189" i="54"/>
  <c r="GX189" i="54"/>
  <c r="GX212" i="54"/>
  <c r="GW212" i="54"/>
  <c r="GX211" i="54"/>
  <c r="GW211" i="54"/>
  <c r="GX15" i="54"/>
  <c r="GW15" i="54"/>
  <c r="GX56" i="54"/>
  <c r="GW56" i="54"/>
  <c r="GX97" i="54"/>
  <c r="GW97" i="54"/>
  <c r="GX138" i="54"/>
  <c r="GW138" i="54"/>
  <c r="HS44" i="54"/>
  <c r="HV44" i="54" s="1"/>
  <c r="HT167" i="54"/>
  <c r="HW167" i="54" s="1"/>
  <c r="HT266" i="54"/>
  <c r="HT197" i="54"/>
  <c r="HW197" i="54" s="1"/>
  <c r="HS39" i="54"/>
  <c r="HV39" i="54" s="1"/>
  <c r="HS146" i="54"/>
  <c r="HV146" i="54" s="1"/>
  <c r="HT69" i="54"/>
  <c r="HW69" i="54" s="1"/>
  <c r="HT174" i="54"/>
  <c r="HW174" i="54" s="1"/>
  <c r="HT57" i="54"/>
  <c r="HW57" i="54" s="1"/>
  <c r="HS185" i="54"/>
  <c r="HV185" i="54" s="1"/>
  <c r="HS35" i="54"/>
  <c r="HV35" i="54" s="1"/>
  <c r="DY227" i="54"/>
  <c r="EJ252" i="54"/>
  <c r="ER252" i="54" s="1"/>
  <c r="EJ174" i="54"/>
  <c r="ER174" i="54" s="1"/>
  <c r="EJ35" i="54"/>
  <c r="ER35" i="54" s="1"/>
  <c r="EJ52" i="54"/>
  <c r="ER52" i="54" s="1"/>
  <c r="EJ164" i="54"/>
  <c r="ER164" i="54" s="1"/>
  <c r="EJ42" i="54"/>
  <c r="ER42" i="54" s="1"/>
  <c r="EJ249" i="54"/>
  <c r="ER249" i="54" s="1"/>
  <c r="EJ248" i="54"/>
  <c r="ER248" i="54" s="1"/>
  <c r="EJ84" i="54"/>
  <c r="ER84" i="54" s="1"/>
  <c r="EJ28" i="54"/>
  <c r="ER28" i="54" s="1"/>
  <c r="EJ91" i="54"/>
  <c r="ER91" i="54" s="1"/>
  <c r="EJ123" i="54"/>
  <c r="ER123" i="54" s="1"/>
  <c r="EJ132" i="54"/>
  <c r="ER132" i="54" s="1"/>
  <c r="EZ28" i="54"/>
  <c r="EZ64" i="54"/>
  <c r="EZ17" i="54"/>
  <c r="EZ53" i="54"/>
  <c r="EZ89" i="54"/>
  <c r="EZ26" i="54"/>
  <c r="EZ80" i="54"/>
  <c r="EZ119" i="54"/>
  <c r="EZ155" i="54"/>
  <c r="EZ191" i="54"/>
  <c r="EZ227" i="54"/>
  <c r="EZ263" i="54"/>
  <c r="EZ27" i="54"/>
  <c r="EZ81" i="54"/>
  <c r="EZ120" i="54"/>
  <c r="EZ156" i="54"/>
  <c r="EZ192" i="54"/>
  <c r="EZ228" i="54"/>
  <c r="EZ264" i="54"/>
  <c r="EZ30" i="54"/>
  <c r="EZ84" i="54"/>
  <c r="EZ121" i="54"/>
  <c r="EZ157" i="54"/>
  <c r="EZ193" i="54"/>
  <c r="EZ229" i="54"/>
  <c r="EZ265" i="54"/>
  <c r="EZ31" i="54"/>
  <c r="EZ85" i="54"/>
  <c r="EZ122" i="54"/>
  <c r="EZ158" i="54"/>
  <c r="EZ194" i="54"/>
  <c r="EZ230" i="54"/>
  <c r="EZ24" i="54"/>
  <c r="EZ153" i="54"/>
  <c r="EZ250" i="54"/>
  <c r="EZ136" i="54"/>
  <c r="EZ242" i="54"/>
  <c r="EZ106" i="54"/>
  <c r="EZ214" i="54"/>
  <c r="EZ68" i="54"/>
  <c r="EZ183" i="54"/>
  <c r="EZ255" i="54"/>
  <c r="EZ220" i="54"/>
  <c r="EZ177" i="54"/>
  <c r="EZ130" i="54"/>
  <c r="EZ34" i="54"/>
  <c r="EZ70" i="54"/>
  <c r="EZ23" i="54"/>
  <c r="EZ59" i="54"/>
  <c r="EZ36" i="54"/>
  <c r="EZ88" i="54"/>
  <c r="EZ125" i="54"/>
  <c r="EZ161" i="54"/>
  <c r="EZ197" i="54"/>
  <c r="EZ233" i="54"/>
  <c r="EZ37" i="54"/>
  <c r="EZ90" i="54"/>
  <c r="EZ126" i="54"/>
  <c r="EZ162" i="54"/>
  <c r="EZ198" i="54"/>
  <c r="EZ234" i="54"/>
  <c r="EZ38" i="54"/>
  <c r="EZ91" i="54"/>
  <c r="EZ127" i="54"/>
  <c r="EZ163" i="54"/>
  <c r="EZ199" i="54"/>
  <c r="EZ235" i="54"/>
  <c r="EZ39" i="54"/>
  <c r="EZ92" i="54"/>
  <c r="EZ128" i="54"/>
  <c r="EZ164" i="54"/>
  <c r="EZ200" i="54"/>
  <c r="EZ50" i="54"/>
  <c r="EZ171" i="54"/>
  <c r="EZ262" i="54"/>
  <c r="EZ25" i="54"/>
  <c r="EZ154" i="54"/>
  <c r="EZ254" i="54"/>
  <c r="EZ124" i="54"/>
  <c r="EZ232" i="54"/>
  <c r="EZ93" i="54"/>
  <c r="EZ201" i="54"/>
  <c r="EZ15" i="54"/>
  <c r="EZ261" i="54"/>
  <c r="EZ231" i="54"/>
  <c r="EZ184" i="54"/>
  <c r="EZ40" i="54"/>
  <c r="EZ76" i="54"/>
  <c r="EZ29" i="54"/>
  <c r="EZ65" i="54"/>
  <c r="EZ44" i="54"/>
  <c r="EZ95" i="54"/>
  <c r="EZ131" i="54"/>
  <c r="EZ167" i="54"/>
  <c r="EZ203" i="54"/>
  <c r="EZ239" i="54"/>
  <c r="EZ45" i="54"/>
  <c r="EZ96" i="54"/>
  <c r="EZ132" i="54"/>
  <c r="EZ168" i="54"/>
  <c r="EZ204" i="54"/>
  <c r="EZ240" i="54"/>
  <c r="EZ48" i="54"/>
  <c r="EZ97" i="54"/>
  <c r="EZ133" i="54"/>
  <c r="EZ169" i="54"/>
  <c r="EZ205" i="54"/>
  <c r="EZ241" i="54"/>
  <c r="EZ49" i="54"/>
  <c r="EZ98" i="54"/>
  <c r="EZ134" i="54"/>
  <c r="EZ170" i="54"/>
  <c r="EZ206" i="54"/>
  <c r="EZ78" i="54"/>
  <c r="EZ189" i="54"/>
  <c r="EZ51" i="54"/>
  <c r="EZ172" i="54"/>
  <c r="EZ266" i="54"/>
  <c r="EZ142" i="54"/>
  <c r="EZ244" i="54"/>
  <c r="EZ111" i="54"/>
  <c r="EZ219" i="54"/>
  <c r="EZ86" i="54"/>
  <c r="EZ94" i="54"/>
  <c r="EZ32" i="54"/>
  <c r="EZ267" i="54"/>
  <c r="EZ237" i="54"/>
  <c r="EZ10" i="54"/>
  <c r="EZ46" i="54"/>
  <c r="EZ82" i="54"/>
  <c r="EZ35" i="54"/>
  <c r="EZ71" i="54"/>
  <c r="EZ54" i="54"/>
  <c r="EZ101" i="54"/>
  <c r="EZ137" i="54"/>
  <c r="EZ173" i="54"/>
  <c r="EZ209" i="54"/>
  <c r="EZ245" i="54"/>
  <c r="EZ55" i="54"/>
  <c r="EZ102" i="54"/>
  <c r="EZ138" i="54"/>
  <c r="EZ174" i="54"/>
  <c r="EZ210" i="54"/>
  <c r="EZ246" i="54"/>
  <c r="EZ56" i="54"/>
  <c r="EZ103" i="54"/>
  <c r="EZ139" i="54"/>
  <c r="EZ175" i="54"/>
  <c r="EZ211" i="54"/>
  <c r="EZ247" i="54"/>
  <c r="EZ57" i="54"/>
  <c r="EZ104" i="54"/>
  <c r="EZ140" i="54"/>
  <c r="EZ176" i="54"/>
  <c r="EZ212" i="54"/>
  <c r="EZ99" i="54"/>
  <c r="EZ207" i="54"/>
  <c r="EZ79" i="54"/>
  <c r="EZ190" i="54"/>
  <c r="EZ33" i="54"/>
  <c r="EZ160" i="54"/>
  <c r="EZ256" i="54"/>
  <c r="EZ129" i="54"/>
  <c r="EZ236" i="54"/>
  <c r="EZ141" i="54"/>
  <c r="EZ148" i="54"/>
  <c r="EZ105" i="54"/>
  <c r="EZ43" i="54"/>
  <c r="EZ16" i="54"/>
  <c r="EZ52" i="54"/>
  <c r="EZ41" i="54"/>
  <c r="EZ77" i="54"/>
  <c r="EZ62" i="54"/>
  <c r="EZ107" i="54"/>
  <c r="EZ143" i="54"/>
  <c r="EZ179" i="54"/>
  <c r="EZ215" i="54"/>
  <c r="EZ251" i="54"/>
  <c r="EZ63" i="54"/>
  <c r="EZ108" i="54"/>
  <c r="EZ144" i="54"/>
  <c r="EZ180" i="54"/>
  <c r="EZ216" i="54"/>
  <c r="EZ252" i="54"/>
  <c r="EZ12" i="54"/>
  <c r="EZ66" i="54"/>
  <c r="EZ109" i="54"/>
  <c r="EZ145" i="54"/>
  <c r="EZ181" i="54"/>
  <c r="EZ217" i="54"/>
  <c r="EZ253" i="54"/>
  <c r="EZ13" i="54"/>
  <c r="EZ67" i="54"/>
  <c r="EZ110" i="54"/>
  <c r="EZ146" i="54"/>
  <c r="EZ182" i="54"/>
  <c r="EZ218" i="54"/>
  <c r="EZ117" i="54"/>
  <c r="EZ225" i="54"/>
  <c r="EZ100" i="54"/>
  <c r="EZ208" i="54"/>
  <c r="EZ61" i="54"/>
  <c r="EZ178" i="54"/>
  <c r="EZ268" i="54"/>
  <c r="EZ14" i="54"/>
  <c r="EZ147" i="54"/>
  <c r="EZ248" i="54"/>
  <c r="EZ195" i="54"/>
  <c r="EZ202" i="54"/>
  <c r="EZ159" i="54"/>
  <c r="EZ112" i="54"/>
  <c r="EZ60" i="54"/>
  <c r="EZ22" i="54"/>
  <c r="EZ58" i="54"/>
  <c r="EZ11" i="54"/>
  <c r="EZ47" i="54"/>
  <c r="EZ83" i="54"/>
  <c r="EZ18" i="54"/>
  <c r="EZ72" i="54"/>
  <c r="EZ113" i="54"/>
  <c r="EZ149" i="54"/>
  <c r="EZ185" i="54"/>
  <c r="EZ221" i="54"/>
  <c r="EZ257" i="54"/>
  <c r="EZ19" i="54"/>
  <c r="EZ73" i="54"/>
  <c r="EZ114" i="54"/>
  <c r="EZ150" i="54"/>
  <c r="EZ186" i="54"/>
  <c r="EZ222" i="54"/>
  <c r="EZ258" i="54"/>
  <c r="EZ20" i="54"/>
  <c r="EZ74" i="54"/>
  <c r="EZ115" i="54"/>
  <c r="EZ151" i="54"/>
  <c r="EZ187" i="54"/>
  <c r="EZ223" i="54"/>
  <c r="EZ259" i="54"/>
  <c r="EZ21" i="54"/>
  <c r="EZ75" i="54"/>
  <c r="EZ116" i="54"/>
  <c r="EZ152" i="54"/>
  <c r="EZ188" i="54"/>
  <c r="EZ224" i="54"/>
  <c r="EZ135" i="54"/>
  <c r="EZ238" i="54"/>
  <c r="EZ118" i="54"/>
  <c r="EZ226" i="54"/>
  <c r="EZ87" i="54"/>
  <c r="EZ196" i="54"/>
  <c r="EZ42" i="54"/>
  <c r="EZ165" i="54"/>
  <c r="EZ260" i="54"/>
  <c r="EZ243" i="54"/>
  <c r="EZ249" i="54"/>
  <c r="EZ213" i="54"/>
  <c r="EZ166" i="54"/>
  <c r="EZ123" i="54"/>
  <c r="EZ69" i="54"/>
  <c r="EJ240" i="54"/>
  <c r="ER240" i="54" s="1"/>
  <c r="EJ148" i="54"/>
  <c r="ER148" i="54" s="1"/>
  <c r="HT164" i="54"/>
  <c r="HW164" i="54" s="1"/>
  <c r="HT85" i="54"/>
  <c r="HW85" i="54" s="1"/>
  <c r="HT214" i="54"/>
  <c r="HW214" i="54" s="1"/>
  <c r="HS13" i="54"/>
  <c r="HS50" i="54"/>
  <c r="HV50" i="54" s="1"/>
  <c r="HT189" i="54"/>
  <c r="HT244" i="54"/>
  <c r="HW244" i="54" s="1"/>
  <c r="HT80" i="54"/>
  <c r="HT263" i="54"/>
  <c r="HW263" i="54" s="1"/>
  <c r="HT187" i="54"/>
  <c r="HW187" i="54" s="1"/>
  <c r="HT110" i="54"/>
  <c r="HW110" i="54" s="1"/>
  <c r="HT98" i="54"/>
  <c r="HW98" i="54" s="1"/>
  <c r="HT237" i="54"/>
  <c r="HW237" i="54" s="1"/>
  <c r="HS109" i="54"/>
  <c r="HV109" i="54" s="1"/>
  <c r="HT82" i="54"/>
  <c r="HW82" i="54" s="1"/>
  <c r="HS20" i="54"/>
  <c r="HS123" i="54"/>
  <c r="HT195" i="54"/>
  <c r="HS23" i="54"/>
  <c r="HT162" i="54"/>
  <c r="HW162" i="54" s="1"/>
  <c r="HT163" i="54"/>
  <c r="HW163" i="54" s="1"/>
  <c r="HT53" i="54"/>
  <c r="HS91" i="54"/>
  <c r="HV91" i="54" s="1"/>
  <c r="HT152" i="54"/>
  <c r="HS59" i="54"/>
  <c r="HV59" i="54" s="1"/>
  <c r="HS121" i="54"/>
  <c r="HT38" i="54"/>
  <c r="HW38" i="54" s="1"/>
  <c r="HS227" i="54"/>
  <c r="HV227" i="54" s="1"/>
  <c r="HT262" i="54"/>
  <c r="HT257" i="54"/>
  <c r="HW257" i="54" s="1"/>
  <c r="HT154" i="54"/>
  <c r="HW154" i="54" s="1"/>
  <c r="HT246" i="54"/>
  <c r="HT129" i="54"/>
  <c r="HW129" i="54" s="1"/>
  <c r="HT15" i="54"/>
  <c r="HW15" i="54" s="1"/>
  <c r="HT40" i="54"/>
  <c r="HW40" i="54" s="1"/>
  <c r="HT184" i="54"/>
  <c r="HW184" i="54" s="1"/>
  <c r="HS220" i="54"/>
  <c r="HT70" i="54"/>
  <c r="HT203" i="54"/>
  <c r="HW203" i="54" s="1"/>
  <c r="HT264" i="54"/>
  <c r="HW264" i="54" s="1"/>
  <c r="HS100" i="54"/>
  <c r="HV100" i="54" s="1"/>
  <c r="HS193" i="54"/>
  <c r="HT106" i="54"/>
  <c r="HW106" i="54" s="1"/>
  <c r="HT78" i="54"/>
  <c r="HW78" i="54" s="1"/>
  <c r="HS79" i="54"/>
  <c r="HT11" i="54"/>
  <c r="HW11" i="54" s="1"/>
  <c r="HT114" i="54"/>
  <c r="HW114" i="54" s="1"/>
  <c r="HT46" i="54"/>
  <c r="HW46" i="54" s="1"/>
  <c r="HS41" i="54"/>
  <c r="HV41" i="54" s="1"/>
  <c r="HT180" i="54"/>
  <c r="HW180" i="54" s="1"/>
  <c r="HS201" i="54"/>
  <c r="HV201" i="54" s="1"/>
  <c r="HS30" i="54"/>
  <c r="HT72" i="54"/>
  <c r="HW72" i="54" s="1"/>
  <c r="HS170" i="54"/>
  <c r="DU131" i="54"/>
  <c r="DV162" i="54"/>
  <c r="DU162" i="54"/>
  <c r="DU157" i="54"/>
  <c r="DU226" i="54"/>
  <c r="DU123" i="54"/>
  <c r="DV123" i="54"/>
  <c r="DV234" i="54"/>
  <c r="DU173" i="54"/>
  <c r="DU225" i="54"/>
  <c r="DV265" i="54"/>
  <c r="DU65" i="54"/>
  <c r="DV65" i="54"/>
  <c r="DV41" i="54"/>
  <c r="DU190" i="54"/>
  <c r="DV190" i="54"/>
  <c r="DU257" i="54"/>
  <c r="DV243" i="54"/>
  <c r="DV242" i="54"/>
  <c r="DU232" i="54"/>
  <c r="DV232" i="54"/>
  <c r="DV180" i="54"/>
  <c r="DU180" i="54"/>
  <c r="DU216" i="54"/>
  <c r="DV32" i="54"/>
  <c r="DV228" i="54"/>
  <c r="DU228" i="54"/>
  <c r="DV150" i="54"/>
  <c r="DV186" i="54"/>
  <c r="DU186" i="54"/>
  <c r="DV28" i="54"/>
  <c r="DU64" i="54"/>
  <c r="HW267" i="54"/>
  <c r="EN57" i="54"/>
  <c r="EO57" i="54"/>
  <c r="FE57" i="54"/>
  <c r="EN50" i="54"/>
  <c r="EO50" i="54"/>
  <c r="FE50" i="54"/>
  <c r="EJ49" i="54"/>
  <c r="ER49" i="54" s="1"/>
  <c r="EO49" i="54"/>
  <c r="EN49" i="54"/>
  <c r="FE49" i="54"/>
  <c r="FE48" i="54"/>
  <c r="EO48" i="54"/>
  <c r="EN48" i="54"/>
  <c r="EN47" i="54"/>
  <c r="FE47" i="54"/>
  <c r="EO47" i="54"/>
  <c r="EN261" i="54"/>
  <c r="EO261" i="54"/>
  <c r="FE261" i="54"/>
  <c r="EJ260" i="54"/>
  <c r="ER260" i="54" s="1"/>
  <c r="FE260" i="54"/>
  <c r="EN260" i="54"/>
  <c r="EO260" i="54"/>
  <c r="FE259" i="54"/>
  <c r="EO259" i="54"/>
  <c r="EN259" i="54"/>
  <c r="EO258" i="54"/>
  <c r="FE258" i="54"/>
  <c r="EN258" i="54"/>
  <c r="FE257" i="54"/>
  <c r="EN257" i="54"/>
  <c r="EO257" i="54"/>
  <c r="EN244" i="54"/>
  <c r="EO244" i="54"/>
  <c r="FE244" i="54"/>
  <c r="EO213" i="54"/>
  <c r="FE213" i="54"/>
  <c r="EN213" i="54"/>
  <c r="EN212" i="54"/>
  <c r="EO212" i="54"/>
  <c r="FE212" i="54"/>
  <c r="FE211" i="54"/>
  <c r="EO211" i="54"/>
  <c r="EN211" i="54"/>
  <c r="FE204" i="54"/>
  <c r="EN204" i="54"/>
  <c r="EO204" i="54"/>
  <c r="EJ203" i="54"/>
  <c r="ER203" i="54" s="1"/>
  <c r="EO203" i="54"/>
  <c r="FE203" i="54"/>
  <c r="EN203" i="54"/>
  <c r="EN184" i="54"/>
  <c r="EO184" i="54"/>
  <c r="FE184" i="54"/>
  <c r="EO165" i="54"/>
  <c r="FE165" i="54"/>
  <c r="EN165" i="54"/>
  <c r="FE158" i="54"/>
  <c r="EN158" i="54"/>
  <c r="EO158" i="54"/>
  <c r="EJ157" i="54"/>
  <c r="ER157" i="54" s="1"/>
  <c r="EN157" i="54"/>
  <c r="FE157" i="54"/>
  <c r="EO157" i="54"/>
  <c r="EN156" i="54"/>
  <c r="EO156" i="54"/>
  <c r="FE156" i="54"/>
  <c r="EO155" i="54"/>
  <c r="FE155" i="54"/>
  <c r="EN155" i="54"/>
  <c r="FE124" i="54"/>
  <c r="EN124" i="54"/>
  <c r="EO124" i="54"/>
  <c r="EJ111" i="54"/>
  <c r="ER111" i="54" s="1"/>
  <c r="EO111" i="54"/>
  <c r="EN111" i="54"/>
  <c r="FE111" i="54"/>
  <c r="EN110" i="54"/>
  <c r="EO110" i="54"/>
  <c r="FE110" i="54"/>
  <c r="EO109" i="54"/>
  <c r="EN109" i="54"/>
  <c r="FE109" i="54"/>
  <c r="EO108" i="54"/>
  <c r="EN108" i="54"/>
  <c r="FE108" i="54"/>
  <c r="EO101" i="54"/>
  <c r="FE101" i="54"/>
  <c r="EN101" i="54"/>
  <c r="FE58" i="54"/>
  <c r="EN58" i="54"/>
  <c r="EO58" i="54"/>
  <c r="EN21" i="54"/>
  <c r="EO21" i="54"/>
  <c r="FE21" i="54"/>
  <c r="EN14" i="54"/>
  <c r="EO14" i="54"/>
  <c r="FE14" i="54"/>
  <c r="EJ13" i="54"/>
  <c r="ER13" i="54" s="1"/>
  <c r="EO13" i="54"/>
  <c r="FE13" i="54"/>
  <c r="EN13" i="54"/>
  <c r="EO12" i="54"/>
  <c r="EN12" i="54"/>
  <c r="FE12" i="54"/>
  <c r="EN268" i="54"/>
  <c r="EO268" i="54"/>
  <c r="FE268" i="54"/>
  <c r="FE231" i="54"/>
  <c r="EN231" i="54"/>
  <c r="EO231" i="54"/>
  <c r="FE15" i="54"/>
  <c r="EN15" i="54"/>
  <c r="EO15" i="54"/>
  <c r="FE56" i="54"/>
  <c r="EN56" i="54"/>
  <c r="EO56" i="54"/>
  <c r="FE97" i="54"/>
  <c r="EO97" i="54"/>
  <c r="EN97" i="54"/>
  <c r="FE138" i="54"/>
  <c r="EN138" i="54"/>
  <c r="EO138" i="54"/>
  <c r="FE179" i="54"/>
  <c r="EN179" i="54"/>
  <c r="EO179" i="54"/>
  <c r="FE226" i="54"/>
  <c r="EN226" i="54"/>
  <c r="EO226" i="54"/>
  <c r="FE10" i="54"/>
  <c r="EO10" i="54"/>
  <c r="EN10" i="54"/>
  <c r="EJ106" i="54"/>
  <c r="ER106" i="54" s="1"/>
  <c r="EN106" i="54"/>
  <c r="EO106" i="54"/>
  <c r="FE106" i="54"/>
  <c r="HS168" i="54"/>
  <c r="HT34" i="54"/>
  <c r="HW34" i="54" s="1"/>
  <c r="HT126" i="54"/>
  <c r="HW126" i="54" s="1"/>
  <c r="HT156" i="54"/>
  <c r="HW156" i="54" s="1"/>
  <c r="HS166" i="54"/>
  <c r="HS43" i="54"/>
  <c r="HV43" i="54" s="1"/>
  <c r="HS22" i="54"/>
  <c r="HS202" i="54"/>
  <c r="HV202" i="54" s="1"/>
  <c r="HS37" i="54"/>
  <c r="HV37" i="54" s="1"/>
  <c r="HS134" i="54"/>
  <c r="HV134" i="54" s="1"/>
  <c r="HS10" i="54"/>
  <c r="HV10" i="54" s="1"/>
  <c r="HT145" i="54"/>
  <c r="HW145" i="54" s="1"/>
  <c r="HS118" i="54"/>
  <c r="HV118" i="54" s="1"/>
  <c r="HA216" i="54"/>
  <c r="HA215" i="54"/>
  <c r="HA226" i="54"/>
  <c r="HA237" i="54"/>
  <c r="HA247" i="54"/>
  <c r="HA251" i="54"/>
  <c r="HA124" i="54"/>
  <c r="HA217" i="54"/>
  <c r="HA48" i="54"/>
  <c r="HA99" i="54"/>
  <c r="HA232" i="54"/>
  <c r="HA160" i="54"/>
  <c r="HA182" i="54"/>
  <c r="HA157" i="54"/>
  <c r="HA163" i="54"/>
  <c r="HA11" i="54"/>
  <c r="HA202" i="54"/>
  <c r="HA254" i="54"/>
  <c r="HA229" i="54"/>
  <c r="HA177" i="54"/>
  <c r="HA168" i="54"/>
  <c r="HA167" i="54"/>
  <c r="HA266" i="54"/>
  <c r="HA128" i="54"/>
  <c r="HA106" i="54"/>
  <c r="HA231" i="54"/>
  <c r="HA158" i="54"/>
  <c r="HA61" i="54"/>
  <c r="HA66" i="54"/>
  <c r="GW136" i="54"/>
  <c r="GX136" i="54"/>
  <c r="GW206" i="54"/>
  <c r="GX206" i="54"/>
  <c r="GX199" i="54"/>
  <c r="GW199" i="54"/>
  <c r="GX198" i="54"/>
  <c r="GW198" i="54"/>
  <c r="GX11" i="54"/>
  <c r="GW11" i="54"/>
  <c r="GX58" i="54"/>
  <c r="GX105" i="54"/>
  <c r="GW105" i="54"/>
  <c r="GX110" i="54"/>
  <c r="GW110" i="54"/>
  <c r="GW109" i="54"/>
  <c r="GX109" i="54"/>
  <c r="GW149" i="54"/>
  <c r="GX149" i="54"/>
  <c r="GW243" i="54"/>
  <c r="GX243" i="54"/>
  <c r="GX21" i="54"/>
  <c r="GW21" i="54"/>
  <c r="GX14" i="54"/>
  <c r="GW14" i="54"/>
  <c r="GX12" i="54"/>
  <c r="GW12" i="54"/>
  <c r="GW118" i="54"/>
  <c r="GX118" i="54"/>
  <c r="GW165" i="54"/>
  <c r="GX165" i="54"/>
  <c r="GW182" i="54"/>
  <c r="GX182" i="54"/>
  <c r="GX180" i="54"/>
  <c r="GW180" i="54"/>
  <c r="GX173" i="54"/>
  <c r="GX220" i="54"/>
  <c r="GW220" i="54"/>
  <c r="GX267" i="54"/>
  <c r="GW267" i="54"/>
  <c r="GX45" i="54"/>
  <c r="GW45" i="54"/>
  <c r="GX43" i="54"/>
  <c r="GW43" i="54"/>
  <c r="GW59" i="54"/>
  <c r="GX59" i="54"/>
  <c r="GW106" i="54"/>
  <c r="GX106" i="54"/>
  <c r="GW153" i="54"/>
  <c r="GX153" i="54"/>
  <c r="GX163" i="54"/>
  <c r="GW163" i="54"/>
  <c r="GW236" i="54"/>
  <c r="GX236" i="54"/>
  <c r="GW20" i="54"/>
  <c r="GX20" i="54"/>
  <c r="GW61" i="54"/>
  <c r="GX61" i="54"/>
  <c r="HT25" i="54"/>
  <c r="HW25" i="54" s="1"/>
  <c r="HS133" i="54"/>
  <c r="HV133" i="54" s="1"/>
  <c r="HS199" i="54"/>
  <c r="HV199" i="54" s="1"/>
  <c r="HS136" i="54"/>
  <c r="HT228" i="54"/>
  <c r="HW228" i="54" s="1"/>
  <c r="HT64" i="54"/>
  <c r="HW64" i="54" s="1"/>
  <c r="HS142" i="54"/>
  <c r="HV142" i="54" s="1"/>
  <c r="HS235" i="54"/>
  <c r="HV235" i="54" s="1"/>
  <c r="HS83" i="54"/>
  <c r="HV83" i="54" s="1"/>
  <c r="HT223" i="54"/>
  <c r="HW223" i="54" s="1"/>
  <c r="HT146" i="54"/>
  <c r="HW146" i="54" s="1"/>
  <c r="HS77" i="54"/>
  <c r="HS176" i="54"/>
  <c r="HV176" i="54" s="1"/>
  <c r="HS190" i="54"/>
  <c r="HV190" i="54" s="1"/>
  <c r="HT67" i="54"/>
  <c r="HW67" i="54" s="1"/>
  <c r="HS207" i="54"/>
  <c r="HV207" i="54" s="1"/>
  <c r="DY194" i="54"/>
  <c r="DY75" i="54"/>
  <c r="DY82" i="54"/>
  <c r="EJ201" i="54"/>
  <c r="ER201" i="54" s="1"/>
  <c r="EJ211" i="54"/>
  <c r="ER211" i="54" s="1"/>
  <c r="EJ226" i="54"/>
  <c r="ER226" i="54" s="1"/>
  <c r="EJ243" i="54"/>
  <c r="ER243" i="54" s="1"/>
  <c r="EJ242" i="54"/>
  <c r="ER242" i="54" s="1"/>
  <c r="EJ133" i="54"/>
  <c r="ER133" i="54" s="1"/>
  <c r="EJ144" i="54"/>
  <c r="ER144" i="54" s="1"/>
  <c r="EJ251" i="54"/>
  <c r="ER251" i="54" s="1"/>
  <c r="EJ268" i="54"/>
  <c r="ER268" i="54" s="1"/>
  <c r="EJ118" i="54"/>
  <c r="ER118" i="54" s="1"/>
  <c r="EJ135" i="54"/>
  <c r="ER135" i="54" s="1"/>
  <c r="EJ134" i="54"/>
  <c r="ER134" i="54" s="1"/>
  <c r="EJ181" i="54"/>
  <c r="ER181" i="54" s="1"/>
  <c r="EJ258" i="54"/>
  <c r="ER258" i="54" s="1"/>
  <c r="EJ78" i="54"/>
  <c r="ER78" i="54" s="1"/>
  <c r="EJ145" i="54"/>
  <c r="ER145" i="54" s="1"/>
  <c r="EJ43" i="54"/>
  <c r="ER43" i="54" s="1"/>
  <c r="EJ244" i="54"/>
  <c r="ER244" i="54" s="1"/>
  <c r="EJ45" i="54"/>
  <c r="ER45" i="54" s="1"/>
  <c r="EJ173" i="54"/>
  <c r="ER173" i="54" s="1"/>
  <c r="EJ86" i="54"/>
  <c r="ER86" i="54" s="1"/>
  <c r="EJ220" i="54"/>
  <c r="ER220" i="54" s="1"/>
  <c r="EJ127" i="54"/>
  <c r="ER127" i="54" s="1"/>
  <c r="EJ24" i="54"/>
  <c r="ER24" i="54" s="1"/>
  <c r="EJ55" i="54"/>
  <c r="ER55" i="54" s="1"/>
  <c r="EJ194" i="54"/>
  <c r="ER194" i="54" s="1"/>
  <c r="HT56" i="54"/>
  <c r="HW56" i="54" s="1"/>
  <c r="HS128" i="54"/>
  <c r="HT239" i="54"/>
  <c r="HW239" i="54" s="1"/>
  <c r="HT183" i="54"/>
  <c r="HW183" i="54" s="1"/>
  <c r="HT12" i="54"/>
  <c r="HW12" i="54" s="1"/>
  <c r="HS189" i="54"/>
  <c r="HV189" i="54" s="1"/>
  <c r="HT19" i="54"/>
  <c r="HW19" i="54" s="1"/>
  <c r="HS254" i="54"/>
  <c r="HV254" i="54" s="1"/>
  <c r="HS130" i="54"/>
  <c r="HS124" i="54"/>
  <c r="HV124" i="54" s="1"/>
  <c r="HS217" i="54"/>
  <c r="HV217" i="54" s="1"/>
  <c r="HS237" i="54"/>
  <c r="HV237" i="54" s="1"/>
  <c r="HS248" i="54"/>
  <c r="HV248" i="54" s="1"/>
  <c r="HS200" i="54"/>
  <c r="HV200" i="54" s="1"/>
  <c r="HT123" i="54"/>
  <c r="HW123" i="54" s="1"/>
  <c r="HS195" i="54"/>
  <c r="HS231" i="54"/>
  <c r="HV231" i="54" s="1"/>
  <c r="HT261" i="54"/>
  <c r="HT91" i="54"/>
  <c r="HW91" i="54" s="1"/>
  <c r="HS230" i="54"/>
  <c r="HV230" i="54" s="1"/>
  <c r="HS28" i="54"/>
  <c r="HV28" i="54" s="1"/>
  <c r="HT121" i="54"/>
  <c r="HW121" i="54" s="1"/>
  <c r="HT47" i="54"/>
  <c r="HW47" i="54" s="1"/>
  <c r="HS151" i="54"/>
  <c r="HV151" i="54" s="1"/>
  <c r="HS139" i="54"/>
  <c r="HV139" i="54" s="1"/>
  <c r="HT21" i="54"/>
  <c r="HW21" i="54" s="1"/>
  <c r="HS16" i="54"/>
  <c r="HS129" i="54"/>
  <c r="HS15" i="54"/>
  <c r="HV15" i="54" s="1"/>
  <c r="HT148" i="54"/>
  <c r="HW148" i="54" s="1"/>
  <c r="HT45" i="54"/>
  <c r="HW45" i="54" s="1"/>
  <c r="HT100" i="54"/>
  <c r="HW100" i="54" s="1"/>
  <c r="HT193" i="54"/>
  <c r="HW193" i="54" s="1"/>
  <c r="HT75" i="54"/>
  <c r="HW75" i="54" s="1"/>
  <c r="HT79" i="54"/>
  <c r="HS11" i="54"/>
  <c r="HV11" i="54" s="1"/>
  <c r="HS115" i="54"/>
  <c r="HV115" i="54" s="1"/>
  <c r="HS181" i="54"/>
  <c r="HT170" i="54"/>
  <c r="HW170" i="54" s="1"/>
  <c r="DU116" i="54"/>
  <c r="DV116" i="54"/>
  <c r="DV55" i="54"/>
  <c r="DU55" i="54"/>
  <c r="DU179" i="54"/>
  <c r="DV179" i="54"/>
  <c r="DV163" i="54"/>
  <c r="DU163" i="54"/>
  <c r="DU193" i="54"/>
  <c r="DV193" i="54"/>
  <c r="DV132" i="54"/>
  <c r="DU132" i="54"/>
  <c r="DU262" i="54"/>
  <c r="DV262" i="54"/>
  <c r="DU142" i="54"/>
  <c r="DV142" i="54"/>
  <c r="DU87" i="54"/>
  <c r="DV87" i="54"/>
  <c r="DV86" i="54"/>
  <c r="DV107" i="54"/>
  <c r="DU107" i="54"/>
  <c r="DU178" i="54"/>
  <c r="DV178" i="54"/>
  <c r="DU250" i="54"/>
  <c r="DV250" i="54"/>
  <c r="DU19" i="54"/>
  <c r="DV19" i="54"/>
  <c r="DU143" i="54"/>
  <c r="DV143" i="54"/>
  <c r="DU170" i="54"/>
  <c r="DU141" i="54"/>
  <c r="DV73" i="54"/>
  <c r="DU73" i="54"/>
  <c r="DV212" i="54"/>
  <c r="DV187" i="54"/>
  <c r="DU187" i="54"/>
  <c r="DU43" i="54"/>
  <c r="DV43" i="54"/>
  <c r="DU244" i="54"/>
  <c r="DV244" i="54"/>
  <c r="DV42" i="54"/>
  <c r="DU42" i="54"/>
  <c r="O28" i="56"/>
  <c r="L28" i="56" s="1"/>
  <c r="DW3" i="54"/>
  <c r="HV137" i="54"/>
  <c r="BG3" i="54"/>
  <c r="EN266" i="54"/>
  <c r="EO266" i="54"/>
  <c r="FE266" i="54"/>
  <c r="EJ265" i="54"/>
  <c r="ER265" i="54" s="1"/>
  <c r="EN265" i="54"/>
  <c r="EO265" i="54"/>
  <c r="FE265" i="54"/>
  <c r="FE264" i="54"/>
  <c r="EN264" i="54"/>
  <c r="EO264" i="54"/>
  <c r="EO263" i="54"/>
  <c r="FE263" i="54"/>
  <c r="EN263" i="54"/>
  <c r="EO256" i="54"/>
  <c r="EN256" i="54"/>
  <c r="FE256" i="54"/>
  <c r="EJ219" i="54"/>
  <c r="ER219" i="54" s="1"/>
  <c r="FE219" i="54"/>
  <c r="EN219" i="54"/>
  <c r="EO219" i="54"/>
  <c r="FE218" i="54"/>
  <c r="EN218" i="54"/>
  <c r="EO218" i="54"/>
  <c r="EN217" i="54"/>
  <c r="FE217" i="54"/>
  <c r="EO217" i="54"/>
  <c r="FE216" i="54"/>
  <c r="EN216" i="54"/>
  <c r="EO216" i="54"/>
  <c r="EN209" i="54"/>
  <c r="EO209" i="54"/>
  <c r="FE209" i="54"/>
  <c r="EN196" i="54"/>
  <c r="EO196" i="54"/>
  <c r="FE196" i="54"/>
  <c r="EN171" i="54"/>
  <c r="EO171" i="54"/>
  <c r="FE171" i="54"/>
  <c r="FE170" i="54"/>
  <c r="EN170" i="54"/>
  <c r="EO170" i="54"/>
  <c r="FE163" i="54"/>
  <c r="EO163" i="54"/>
  <c r="EN163" i="54"/>
  <c r="EJ162" i="54"/>
  <c r="ER162" i="54" s="1"/>
  <c r="FE162" i="54"/>
  <c r="EN162" i="54"/>
  <c r="EO162" i="54"/>
  <c r="EO161" i="54"/>
  <c r="FE161" i="54"/>
  <c r="EN161" i="54"/>
  <c r="EO130" i="54"/>
  <c r="FE130" i="54"/>
  <c r="EN130" i="54"/>
  <c r="FE117" i="54"/>
  <c r="EN117" i="54"/>
  <c r="EO117" i="54"/>
  <c r="EJ116" i="54"/>
  <c r="ER116" i="54" s="1"/>
  <c r="EO116" i="54"/>
  <c r="FE116" i="54"/>
  <c r="EN116" i="54"/>
  <c r="EO115" i="54"/>
  <c r="EN115" i="54"/>
  <c r="FE115" i="54"/>
  <c r="EN114" i="54"/>
  <c r="FE114" i="54"/>
  <c r="EO114" i="54"/>
  <c r="EN113" i="54"/>
  <c r="FE113" i="54"/>
  <c r="EO113" i="54"/>
  <c r="EO64" i="54"/>
  <c r="EN64" i="54"/>
  <c r="FE64" i="54"/>
  <c r="EN69" i="54"/>
  <c r="EO69" i="54"/>
  <c r="FE69" i="54"/>
  <c r="EN68" i="54"/>
  <c r="EO68" i="54"/>
  <c r="FE68" i="54"/>
  <c r="EO67" i="54"/>
  <c r="EN67" i="54"/>
  <c r="FE67" i="54"/>
  <c r="EN60" i="54"/>
  <c r="FE60" i="54"/>
  <c r="EO60" i="54"/>
  <c r="EJ59" i="54"/>
  <c r="ER59" i="54" s="1"/>
  <c r="EO59" i="54"/>
  <c r="FE59" i="54"/>
  <c r="EN59" i="54"/>
  <c r="EN237" i="54"/>
  <c r="EO237" i="54"/>
  <c r="FE237" i="54"/>
  <c r="EN230" i="54"/>
  <c r="EO230" i="54"/>
  <c r="FE230" i="54"/>
  <c r="EJ229" i="54"/>
  <c r="ER229" i="54" s="1"/>
  <c r="EN229" i="54"/>
  <c r="EO229" i="54"/>
  <c r="FE229" i="54"/>
  <c r="EN228" i="54"/>
  <c r="EO228" i="54"/>
  <c r="FE228" i="54"/>
  <c r="FE227" i="54"/>
  <c r="EN227" i="54"/>
  <c r="EO227" i="54"/>
  <c r="EO208" i="54"/>
  <c r="FE208" i="54"/>
  <c r="EN208" i="54"/>
  <c r="FE195" i="54"/>
  <c r="EN195" i="54"/>
  <c r="EO195" i="54"/>
  <c r="FE236" i="54"/>
  <c r="EN236" i="54"/>
  <c r="EO236" i="54"/>
  <c r="FE20" i="54"/>
  <c r="EN20" i="54"/>
  <c r="EO20" i="54"/>
  <c r="FE61" i="54"/>
  <c r="EO61" i="54"/>
  <c r="EN61" i="54"/>
  <c r="FE102" i="54"/>
  <c r="EO102" i="54"/>
  <c r="EN102" i="54"/>
  <c r="FE143" i="54"/>
  <c r="EN143" i="54"/>
  <c r="EO143" i="54"/>
  <c r="FE190" i="54"/>
  <c r="EN190" i="54"/>
  <c r="EO190" i="54"/>
  <c r="EJ23" i="54"/>
  <c r="ER23" i="54" s="1"/>
  <c r="EO23" i="54"/>
  <c r="EN23" i="54"/>
  <c r="FE23" i="54"/>
  <c r="EJ70" i="54"/>
  <c r="ER70" i="54" s="1"/>
  <c r="EO70" i="54"/>
  <c r="EN70" i="54"/>
  <c r="FE70" i="54"/>
  <c r="HS97" i="54"/>
  <c r="HV97" i="54" s="1"/>
  <c r="HT65" i="54"/>
  <c r="HW65" i="54" s="1"/>
  <c r="HT256" i="54"/>
  <c r="HT168" i="54"/>
  <c r="HW168" i="54" s="1"/>
  <c r="HT260" i="54"/>
  <c r="HW260" i="54" s="1"/>
  <c r="HS127" i="54"/>
  <c r="HV127" i="54" s="1"/>
  <c r="HS157" i="54"/>
  <c r="HT166" i="54"/>
  <c r="HW166" i="54" s="1"/>
  <c r="HT22" i="54"/>
  <c r="HW22" i="54" s="1"/>
  <c r="HT202" i="54"/>
  <c r="HW202" i="54" s="1"/>
  <c r="HT134" i="54"/>
  <c r="HT10" i="54"/>
  <c r="HW10" i="54" s="1"/>
  <c r="HT268" i="54"/>
  <c r="HW268" i="54" s="1"/>
  <c r="HS144" i="54"/>
  <c r="HV144" i="54" s="1"/>
  <c r="HT27" i="54"/>
  <c r="HW27" i="54" s="1"/>
  <c r="HT118" i="54"/>
  <c r="HW118" i="54" s="1"/>
  <c r="HA190" i="54"/>
  <c r="HA211" i="54"/>
  <c r="HA78" i="54"/>
  <c r="HA77" i="54"/>
  <c r="HA176" i="54"/>
  <c r="HA186" i="54"/>
  <c r="HA185" i="54"/>
  <c r="HA114" i="54"/>
  <c r="HA141" i="54"/>
  <c r="HA155" i="54"/>
  <c r="HA136" i="54"/>
  <c r="HA213" i="54"/>
  <c r="HA188" i="54"/>
  <c r="HA111" i="54"/>
  <c r="HA30" i="54"/>
  <c r="HA29" i="54"/>
  <c r="HA225" i="54"/>
  <c r="HA87" i="54"/>
  <c r="HA14" i="54"/>
  <c r="HA60" i="54"/>
  <c r="HA59" i="54"/>
  <c r="HA184" i="54"/>
  <c r="HA117" i="54"/>
  <c r="HA20" i="54"/>
  <c r="GW53" i="54"/>
  <c r="GX53" i="54"/>
  <c r="GW147" i="54"/>
  <c r="GX147" i="54"/>
  <c r="GX158" i="54"/>
  <c r="GW158" i="54"/>
  <c r="GX157" i="54"/>
  <c r="GW157" i="54"/>
  <c r="GX191" i="54"/>
  <c r="GW191" i="54"/>
  <c r="GX22" i="54"/>
  <c r="GW22" i="54"/>
  <c r="GX69" i="54"/>
  <c r="GW69" i="54"/>
  <c r="GW68" i="54"/>
  <c r="GX68" i="54"/>
  <c r="GW60" i="54"/>
  <c r="GX60" i="54"/>
  <c r="GX113" i="54"/>
  <c r="GX160" i="54"/>
  <c r="GW160" i="54"/>
  <c r="GX207" i="54"/>
  <c r="GW207" i="54"/>
  <c r="GX230" i="54"/>
  <c r="GW230" i="54"/>
  <c r="GX228" i="54"/>
  <c r="GW228" i="54"/>
  <c r="GX35" i="54"/>
  <c r="GW35" i="54"/>
  <c r="GX82" i="54"/>
  <c r="GW82" i="54"/>
  <c r="GX129" i="54"/>
  <c r="GW129" i="54"/>
  <c r="GX139" i="54"/>
  <c r="GW139" i="54"/>
  <c r="GW137" i="54"/>
  <c r="GX137" i="54"/>
  <c r="GW184" i="54"/>
  <c r="GX184" i="54"/>
  <c r="GX231" i="54"/>
  <c r="GW231" i="54"/>
  <c r="GX259" i="54"/>
  <c r="GW259" i="54"/>
  <c r="GX258" i="54"/>
  <c r="GX239" i="54"/>
  <c r="GW239" i="54"/>
  <c r="GX23" i="54"/>
  <c r="GW23" i="54"/>
  <c r="GX70" i="54"/>
  <c r="GW70" i="54"/>
  <c r="GX122" i="54"/>
  <c r="GW122" i="54"/>
  <c r="GX120" i="54"/>
  <c r="GW120" i="54"/>
  <c r="GX200" i="54"/>
  <c r="GW200" i="54"/>
  <c r="GX241" i="54"/>
  <c r="GW241" i="54"/>
  <c r="GX66" i="54"/>
  <c r="GW66" i="54"/>
  <c r="HT61" i="54"/>
  <c r="HW61" i="54" s="1"/>
  <c r="HT133" i="54"/>
  <c r="HW133" i="54" s="1"/>
  <c r="HT198" i="54"/>
  <c r="HW198" i="54" s="1"/>
  <c r="HT199" i="54"/>
  <c r="HW199" i="54" s="1"/>
  <c r="HT81" i="54"/>
  <c r="HW81" i="54" s="1"/>
  <c r="HT136" i="54"/>
  <c r="HS229" i="54"/>
  <c r="HV229" i="54" s="1"/>
  <c r="HT142" i="54"/>
  <c r="HW142" i="54" s="1"/>
  <c r="HS234" i="54"/>
  <c r="HV234" i="54" s="1"/>
  <c r="HT235" i="54"/>
  <c r="HW235" i="54" s="1"/>
  <c r="HT213" i="54"/>
  <c r="HW213" i="54" s="1"/>
  <c r="HT83" i="54"/>
  <c r="HT77" i="54"/>
  <c r="HW77" i="54" s="1"/>
  <c r="HT176" i="54"/>
  <c r="HW176" i="54" s="1"/>
  <c r="HT190" i="54"/>
  <c r="HW190" i="54" s="1"/>
  <c r="HS67" i="54"/>
  <c r="HT207" i="54"/>
  <c r="HW207" i="54" s="1"/>
  <c r="DY47" i="54"/>
  <c r="DY146" i="54"/>
  <c r="DY114" i="54"/>
  <c r="DY73" i="54"/>
  <c r="DY205" i="54"/>
  <c r="EJ171" i="54"/>
  <c r="ER171" i="54" s="1"/>
  <c r="EJ170" i="54"/>
  <c r="ER170" i="54" s="1"/>
  <c r="EJ20" i="54"/>
  <c r="ER20" i="54" s="1"/>
  <c r="EJ31" i="54"/>
  <c r="ER31" i="54" s="1"/>
  <c r="EJ179" i="54"/>
  <c r="ER179" i="54" s="1"/>
  <c r="EJ196" i="54"/>
  <c r="ER196" i="54" s="1"/>
  <c r="EJ93" i="54"/>
  <c r="ER93" i="54" s="1"/>
  <c r="EJ92" i="54"/>
  <c r="ER92" i="54" s="1"/>
  <c r="EJ103" i="54"/>
  <c r="ER103" i="54" s="1"/>
  <c r="EJ210" i="54"/>
  <c r="ER210" i="54" s="1"/>
  <c r="EJ71" i="54"/>
  <c r="ER71" i="54" s="1"/>
  <c r="EJ88" i="54"/>
  <c r="ER88" i="54" s="1"/>
  <c r="EJ141" i="54"/>
  <c r="ER141" i="54" s="1"/>
  <c r="EJ140" i="54"/>
  <c r="ER140" i="54" s="1"/>
  <c r="EJ217" i="54"/>
  <c r="ER217" i="54" s="1"/>
  <c r="EJ37" i="54"/>
  <c r="ER37" i="54" s="1"/>
  <c r="EJ155" i="54"/>
  <c r="ER155" i="54" s="1"/>
  <c r="EJ22" i="54"/>
  <c r="ER22" i="54" s="1"/>
  <c r="EJ105" i="54"/>
  <c r="ER105" i="54" s="1"/>
  <c r="EJ104" i="54"/>
  <c r="ER104" i="54" s="1"/>
  <c r="EJ182" i="54"/>
  <c r="ER182" i="54" s="1"/>
  <c r="EJ259" i="54"/>
  <c r="ER259" i="54" s="1"/>
  <c r="EJ79" i="54"/>
  <c r="ER79" i="54" s="1"/>
  <c r="EJ197" i="54"/>
  <c r="ER197" i="54" s="1"/>
  <c r="EJ17" i="54"/>
  <c r="ER17" i="54" s="1"/>
  <c r="EJ261" i="54"/>
  <c r="ER261" i="54" s="1"/>
  <c r="EJ146" i="54"/>
  <c r="ER146" i="54" s="1"/>
  <c r="EJ267" i="54"/>
  <c r="ER267" i="54" s="1"/>
  <c r="EJ51" i="54"/>
  <c r="ER51" i="54" s="1"/>
  <c r="EJ209" i="54"/>
  <c r="ER209" i="54" s="1"/>
  <c r="EJ96" i="54"/>
  <c r="ER96" i="54" s="1"/>
  <c r="EJ235" i="54"/>
  <c r="ER235" i="54" s="1"/>
  <c r="HT240" i="54"/>
  <c r="HS56" i="54"/>
  <c r="HV56" i="54" s="1"/>
  <c r="HS92" i="54"/>
  <c r="HV92" i="54" s="1"/>
  <c r="HS84" i="54"/>
  <c r="HV84" i="54" s="1"/>
  <c r="HT122" i="54"/>
  <c r="HW122" i="54" s="1"/>
  <c r="HS183" i="54"/>
  <c r="HV183" i="54" s="1"/>
  <c r="HS12" i="54"/>
  <c r="HV12" i="54" s="1"/>
  <c r="HS19" i="54"/>
  <c r="HV19" i="54" s="1"/>
  <c r="HT254" i="54"/>
  <c r="HW254" i="54" s="1"/>
  <c r="HT130" i="54"/>
  <c r="HW130" i="54" s="1"/>
  <c r="HT186" i="54"/>
  <c r="HW186" i="54" s="1"/>
  <c r="HT33" i="54"/>
  <c r="HW33" i="54" s="1"/>
  <c r="HT124" i="54"/>
  <c r="HT217" i="54"/>
  <c r="HW217" i="54" s="1"/>
  <c r="HS99" i="54"/>
  <c r="HV99" i="54" s="1"/>
  <c r="HS108" i="54"/>
  <c r="HV108" i="54" s="1"/>
  <c r="HS206" i="54"/>
  <c r="HV206" i="54" s="1"/>
  <c r="HT248" i="54"/>
  <c r="HW248" i="54" s="1"/>
  <c r="HT200" i="54"/>
  <c r="HS162" i="54"/>
  <c r="HV162" i="54" s="1"/>
  <c r="HS261" i="54"/>
  <c r="HV261" i="54" s="1"/>
  <c r="HS90" i="54"/>
  <c r="HV90" i="54" s="1"/>
  <c r="HT230" i="54"/>
  <c r="HW230" i="54" s="1"/>
  <c r="HT28" i="54"/>
  <c r="HW28" i="54" s="1"/>
  <c r="HS120" i="54"/>
  <c r="HS47" i="54"/>
  <c r="HV47" i="54" s="1"/>
  <c r="HS150" i="54"/>
  <c r="HV150" i="54" s="1"/>
  <c r="HT151" i="54"/>
  <c r="HW151" i="54" s="1"/>
  <c r="HT139" i="54"/>
  <c r="HW139" i="54" s="1"/>
  <c r="HS21" i="54"/>
  <c r="HV21" i="54" s="1"/>
  <c r="HT16" i="54"/>
  <c r="HW16" i="54" s="1"/>
  <c r="HS246" i="54"/>
  <c r="HV246" i="54" s="1"/>
  <c r="HT159" i="54"/>
  <c r="HT76" i="54"/>
  <c r="HW76" i="54" s="1"/>
  <c r="HS184" i="54"/>
  <c r="HV184" i="54" s="1"/>
  <c r="HT220" i="54"/>
  <c r="HS172" i="54"/>
  <c r="HV172" i="54" s="1"/>
  <c r="HS45" i="54"/>
  <c r="HV45" i="54" s="1"/>
  <c r="HS131" i="54"/>
  <c r="HV131" i="54" s="1"/>
  <c r="HS192" i="54"/>
  <c r="HV192" i="54" s="1"/>
  <c r="HS14" i="54"/>
  <c r="HV14" i="54" s="1"/>
  <c r="HS75" i="54"/>
  <c r="HS161" i="54"/>
  <c r="HV161" i="54" s="1"/>
  <c r="HS94" i="54"/>
  <c r="HV94" i="54" s="1"/>
  <c r="HS62" i="54"/>
  <c r="HT63" i="54"/>
  <c r="HW63" i="54" s="1"/>
  <c r="BH3" i="54"/>
  <c r="DU70" i="54"/>
  <c r="DU15" i="54"/>
  <c r="DV15" i="54"/>
  <c r="DV14" i="54"/>
  <c r="DU138" i="54"/>
  <c r="DV138" i="54"/>
  <c r="DU95" i="54"/>
  <c r="DV95" i="54"/>
  <c r="DU40" i="54"/>
  <c r="DU129" i="54"/>
  <c r="DV129" i="54"/>
  <c r="DU128" i="54"/>
  <c r="DV128" i="54"/>
  <c r="DV245" i="54"/>
  <c r="DV66" i="54"/>
  <c r="DU66" i="54"/>
  <c r="DU235" i="54"/>
  <c r="DV235" i="54"/>
  <c r="DU102" i="54"/>
  <c r="DV102" i="54"/>
  <c r="DU124" i="54"/>
  <c r="DV124" i="54"/>
  <c r="DU113" i="54"/>
  <c r="DV113" i="54"/>
  <c r="DU94" i="54"/>
  <c r="DV94" i="54"/>
  <c r="DV149" i="54"/>
  <c r="DU149" i="54"/>
  <c r="DU130" i="54"/>
  <c r="DV130" i="54"/>
  <c r="DV144" i="54"/>
  <c r="DU144" i="54"/>
  <c r="DU99" i="54"/>
  <c r="DV99" i="54"/>
  <c r="DU134" i="54"/>
  <c r="DV134" i="54"/>
  <c r="DU166" i="54"/>
  <c r="DU146" i="54"/>
  <c r="DV146" i="54"/>
  <c r="DU233" i="54"/>
  <c r="DV233" i="54"/>
  <c r="Z28" i="56"/>
  <c r="AC28" i="56" s="1"/>
  <c r="DW5" i="54"/>
  <c r="BM23" i="54" a="1"/>
  <c r="BM23" i="54" s="1"/>
  <c r="BM24" i="54" a="1"/>
  <c r="BM24" i="54" s="1"/>
  <c r="BM25" i="54" a="1"/>
  <c r="BM25" i="54" s="1"/>
  <c r="BM27" i="54" a="1"/>
  <c r="BM27" i="54" s="1"/>
  <c r="BM22" i="54" a="1"/>
  <c r="BM22" i="54" s="1"/>
  <c r="BM26" i="54" a="1"/>
  <c r="BM26" i="54" s="1"/>
  <c r="EN225" i="54"/>
  <c r="EO225" i="54"/>
  <c r="FE225" i="54"/>
  <c r="EJ224" i="54"/>
  <c r="ER224" i="54" s="1"/>
  <c r="EO224" i="54"/>
  <c r="EN224" i="54"/>
  <c r="FE224" i="54"/>
  <c r="FE223" i="54"/>
  <c r="EO223" i="54"/>
  <c r="EN223" i="54"/>
  <c r="EO222" i="54"/>
  <c r="EN222" i="54"/>
  <c r="FE222" i="54"/>
  <c r="EN221" i="54"/>
  <c r="EO221" i="54"/>
  <c r="FE221" i="54"/>
  <c r="EO202" i="54"/>
  <c r="FE202" i="54"/>
  <c r="EN202" i="54"/>
  <c r="FE177" i="54"/>
  <c r="EN177" i="54"/>
  <c r="EO177" i="54"/>
  <c r="EO176" i="54"/>
  <c r="FE176" i="54"/>
  <c r="EN176" i="54"/>
  <c r="FE175" i="54"/>
  <c r="EO175" i="54"/>
  <c r="EN175" i="54"/>
  <c r="EN168" i="54"/>
  <c r="EO168" i="54"/>
  <c r="FE168" i="54"/>
  <c r="EJ167" i="54"/>
  <c r="ER167" i="54" s="1"/>
  <c r="FE167" i="54"/>
  <c r="EN167" i="54"/>
  <c r="EO167" i="54"/>
  <c r="FE136" i="54"/>
  <c r="EN136" i="54"/>
  <c r="EO136" i="54"/>
  <c r="FE129" i="54"/>
  <c r="EN129" i="54"/>
  <c r="EO129" i="54"/>
  <c r="FE122" i="54"/>
  <c r="EN122" i="54"/>
  <c r="EO122" i="54"/>
  <c r="EJ121" i="54"/>
  <c r="ER121" i="54" s="1"/>
  <c r="FE121" i="54"/>
  <c r="EO121" i="54"/>
  <c r="EN121" i="54"/>
  <c r="EN120" i="54"/>
  <c r="FE120" i="54"/>
  <c r="EO120" i="54"/>
  <c r="EO119" i="54"/>
  <c r="FE119" i="54"/>
  <c r="EN119" i="54"/>
  <c r="FE76" i="54"/>
  <c r="EN76" i="54"/>
  <c r="EO76" i="54"/>
  <c r="EJ75" i="54"/>
  <c r="ER75" i="54" s="1"/>
  <c r="EO75" i="54"/>
  <c r="EN75" i="54"/>
  <c r="FE75" i="54"/>
  <c r="EN74" i="54"/>
  <c r="EO74" i="54"/>
  <c r="FE74" i="54"/>
  <c r="EO73" i="54"/>
  <c r="EN73" i="54"/>
  <c r="FE73" i="54"/>
  <c r="EN72" i="54"/>
  <c r="FE72" i="54"/>
  <c r="EO72" i="54"/>
  <c r="FE65" i="54"/>
  <c r="EO65" i="54"/>
  <c r="EN65" i="54"/>
  <c r="EO16" i="54"/>
  <c r="EN16" i="54"/>
  <c r="FE16" i="54"/>
  <c r="EO27" i="54"/>
  <c r="EN27" i="54"/>
  <c r="FE27" i="54"/>
  <c r="EO26" i="54"/>
  <c r="EN26" i="54"/>
  <c r="FE26" i="54"/>
  <c r="EN19" i="54"/>
  <c r="FE19" i="54"/>
  <c r="EO19" i="54"/>
  <c r="EJ18" i="54"/>
  <c r="ER18" i="54" s="1"/>
  <c r="EO18" i="54"/>
  <c r="FE18" i="54"/>
  <c r="EN18" i="54"/>
  <c r="FE11" i="54"/>
  <c r="EO11" i="54"/>
  <c r="EN11" i="54"/>
  <c r="EN189" i="54"/>
  <c r="EO189" i="54"/>
  <c r="FE189" i="54"/>
  <c r="EJ188" i="54"/>
  <c r="ER188" i="54" s="1"/>
  <c r="EO188" i="54"/>
  <c r="EN188" i="54"/>
  <c r="FE188" i="54"/>
  <c r="EO187" i="54"/>
  <c r="EN187" i="54"/>
  <c r="FE187" i="54"/>
  <c r="FE186" i="54"/>
  <c r="EN186" i="54"/>
  <c r="EO186" i="54"/>
  <c r="EN185" i="54"/>
  <c r="EO185" i="54"/>
  <c r="FE185" i="54"/>
  <c r="EO160" i="54"/>
  <c r="FE160" i="54"/>
  <c r="EN160" i="54"/>
  <c r="EN159" i="54"/>
  <c r="EO159" i="54"/>
  <c r="FE159" i="54"/>
  <c r="EN200" i="54"/>
  <c r="EO200" i="54"/>
  <c r="FE200" i="54"/>
  <c r="EO241" i="54"/>
  <c r="EN241" i="54"/>
  <c r="FE241" i="54"/>
  <c r="EO25" i="54"/>
  <c r="EN25" i="54"/>
  <c r="FE25" i="54"/>
  <c r="EO66" i="54"/>
  <c r="EN66" i="54"/>
  <c r="FE66" i="54"/>
  <c r="EO107" i="54"/>
  <c r="EN107" i="54"/>
  <c r="FE107" i="54"/>
  <c r="EN154" i="54"/>
  <c r="EO154" i="54"/>
  <c r="FE154" i="54"/>
  <c r="EJ250" i="54"/>
  <c r="ER250" i="54" s="1"/>
  <c r="EO250" i="54"/>
  <c r="FE250" i="54"/>
  <c r="EN250" i="54"/>
  <c r="EJ34" i="54"/>
  <c r="ER34" i="54" s="1"/>
  <c r="EN34" i="54"/>
  <c r="FE34" i="54"/>
  <c r="EO34" i="54"/>
  <c r="HT97" i="54"/>
  <c r="HW97" i="54" s="1"/>
  <c r="HS65" i="54"/>
  <c r="HV65" i="54" s="1"/>
  <c r="HS132" i="54"/>
  <c r="HV132" i="54" s="1"/>
  <c r="HV168" i="54"/>
  <c r="HT89" i="54"/>
  <c r="HW89" i="54" s="1"/>
  <c r="HT225" i="54"/>
  <c r="HW225" i="54" s="1"/>
  <c r="HS156" i="54"/>
  <c r="HV156" i="54" s="1"/>
  <c r="HT194" i="54"/>
  <c r="HT255" i="54"/>
  <c r="HW255" i="54" s="1"/>
  <c r="HS42" i="54"/>
  <c r="HV42" i="54" s="1"/>
  <c r="HS36" i="54"/>
  <c r="HV36" i="54" s="1"/>
  <c r="HT135" i="54"/>
  <c r="HW135" i="54" s="1"/>
  <c r="HT144" i="54"/>
  <c r="HW144" i="54" s="1"/>
  <c r="HS26" i="54"/>
  <c r="HV26" i="54" s="1"/>
  <c r="HS27" i="54"/>
  <c r="HT160" i="54"/>
  <c r="HW160" i="54" s="1"/>
  <c r="HS251" i="54"/>
  <c r="HV251" i="54" s="1"/>
  <c r="HA134" i="54"/>
  <c r="HA139" i="54"/>
  <c r="HA165" i="54"/>
  <c r="HA37" i="54"/>
  <c r="HA84" i="54"/>
  <c r="HA135" i="54"/>
  <c r="HA69" i="54"/>
  <c r="HA43" i="54"/>
  <c r="HA161" i="54"/>
  <c r="HA115" i="54"/>
  <c r="HA90" i="54"/>
  <c r="HA166" i="54"/>
  <c r="HA64" i="54"/>
  <c r="HA178" i="54"/>
  <c r="HA40" i="54"/>
  <c r="HA230" i="54"/>
  <c r="HA92" i="54"/>
  <c r="HA138" i="54"/>
  <c r="HA70" i="54"/>
  <c r="HA236" i="54"/>
  <c r="GX17" i="54"/>
  <c r="GW17" i="54"/>
  <c r="GX64" i="54"/>
  <c r="GW64" i="54"/>
  <c r="GX111" i="54"/>
  <c r="GW111" i="54"/>
  <c r="GW116" i="54"/>
  <c r="GW115" i="54"/>
  <c r="GX115" i="54"/>
  <c r="GW155" i="54"/>
  <c r="GX155" i="54"/>
  <c r="GW202" i="54"/>
  <c r="GX202" i="54"/>
  <c r="GX249" i="54"/>
  <c r="GW249" i="54"/>
  <c r="GX27" i="54"/>
  <c r="GX26" i="54"/>
  <c r="GW26" i="54"/>
  <c r="GX18" i="54"/>
  <c r="GW18" i="54"/>
  <c r="GX77" i="54"/>
  <c r="GW77" i="54"/>
  <c r="GX124" i="54"/>
  <c r="GW124" i="54"/>
  <c r="GW171" i="54"/>
  <c r="GW188" i="54"/>
  <c r="GX188" i="54"/>
  <c r="GX186" i="54"/>
  <c r="GW186" i="54"/>
  <c r="GX215" i="54"/>
  <c r="GW215" i="54"/>
  <c r="GX262" i="54"/>
  <c r="GW262" i="54"/>
  <c r="GW46" i="54"/>
  <c r="GX93" i="54"/>
  <c r="GW93" i="54"/>
  <c r="GX98" i="54"/>
  <c r="GX91" i="54"/>
  <c r="GW91" i="54"/>
  <c r="GX90" i="54"/>
  <c r="GW90" i="54"/>
  <c r="GW101" i="54"/>
  <c r="GX101" i="54"/>
  <c r="GX148" i="54"/>
  <c r="GW195" i="54"/>
  <c r="GX195" i="54"/>
  <c r="GW218" i="54"/>
  <c r="GX217" i="54"/>
  <c r="GW217" i="54"/>
  <c r="GX216" i="54"/>
  <c r="GW216" i="54"/>
  <c r="GX203" i="54"/>
  <c r="GW203" i="54"/>
  <c r="GW250" i="54"/>
  <c r="GX34" i="54"/>
  <c r="GW34" i="54"/>
  <c r="GX80" i="54"/>
  <c r="GW80" i="54"/>
  <c r="GX79" i="54"/>
  <c r="GW79" i="54"/>
  <c r="GX78" i="54"/>
  <c r="GW78" i="54"/>
  <c r="GW164" i="54"/>
  <c r="GX205" i="54"/>
  <c r="GW205" i="54"/>
  <c r="GX30" i="54"/>
  <c r="GW30" i="54"/>
  <c r="HS245" i="54"/>
  <c r="HV245" i="54" s="1"/>
  <c r="HS61" i="54"/>
  <c r="HT44" i="54"/>
  <c r="HS81" i="54"/>
  <c r="HS228" i="54"/>
  <c r="HV228" i="54" s="1"/>
  <c r="HS213" i="54"/>
  <c r="HV213" i="54" s="1"/>
  <c r="HT222" i="54"/>
  <c r="HW222" i="54" s="1"/>
  <c r="HS69" i="54"/>
  <c r="HV69" i="54" s="1"/>
  <c r="HT249" i="54"/>
  <c r="HW249" i="54" s="1"/>
  <c r="HS175" i="54"/>
  <c r="HV175" i="54" s="1"/>
  <c r="HS57" i="54"/>
  <c r="HV57" i="54" s="1"/>
  <c r="HS52" i="54"/>
  <c r="HV52" i="54" s="1"/>
  <c r="HT66" i="54"/>
  <c r="HW66" i="54" s="1"/>
  <c r="HT68" i="54"/>
  <c r="HW68" i="54" s="1"/>
  <c r="HT165" i="54"/>
  <c r="HW165" i="54" s="1"/>
  <c r="DY183" i="54"/>
  <c r="DY222" i="54"/>
  <c r="DY192" i="54"/>
  <c r="DY228" i="54"/>
  <c r="DY42" i="54"/>
  <c r="EJ107" i="54"/>
  <c r="ER107" i="54" s="1"/>
  <c r="EJ124" i="54"/>
  <c r="ER124" i="54" s="1"/>
  <c r="EJ237" i="54"/>
  <c r="ER237" i="54" s="1"/>
  <c r="EJ236" i="54"/>
  <c r="ER236" i="54" s="1"/>
  <c r="EJ247" i="54"/>
  <c r="ER247" i="54" s="1"/>
  <c r="EJ138" i="54"/>
  <c r="ER138" i="54" s="1"/>
  <c r="EJ149" i="54"/>
  <c r="ER149" i="54" s="1"/>
  <c r="EJ46" i="54"/>
  <c r="ER46" i="54" s="1"/>
  <c r="EJ63" i="54"/>
  <c r="ER63" i="54" s="1"/>
  <c r="EJ62" i="54"/>
  <c r="ER62" i="54" s="1"/>
  <c r="EJ169" i="54"/>
  <c r="ER169" i="54" s="1"/>
  <c r="EJ180" i="54"/>
  <c r="ER180" i="54" s="1"/>
  <c r="EJ30" i="54"/>
  <c r="ER30" i="54" s="1"/>
  <c r="EJ41" i="54"/>
  <c r="ER41" i="54" s="1"/>
  <c r="EJ94" i="54"/>
  <c r="ER94" i="54" s="1"/>
  <c r="EJ177" i="54"/>
  <c r="ER177" i="54" s="1"/>
  <c r="EJ176" i="54"/>
  <c r="ER176" i="54" s="1"/>
  <c r="EJ253" i="54"/>
  <c r="ER253" i="54" s="1"/>
  <c r="EJ114" i="54"/>
  <c r="ER114" i="54" s="1"/>
  <c r="EJ238" i="54"/>
  <c r="ER238" i="54" s="1"/>
  <c r="EJ58" i="54"/>
  <c r="ER58" i="54" s="1"/>
  <c r="EJ136" i="54"/>
  <c r="ER136" i="54" s="1"/>
  <c r="EJ117" i="54"/>
  <c r="ER117" i="54" s="1"/>
  <c r="EJ218" i="54"/>
  <c r="ER218" i="54" s="1"/>
  <c r="EJ38" i="54"/>
  <c r="ER38" i="54" s="1"/>
  <c r="EJ156" i="54"/>
  <c r="ER156" i="54" s="1"/>
  <c r="EJ233" i="54"/>
  <c r="ER233" i="54" s="1"/>
  <c r="EJ100" i="54"/>
  <c r="ER100" i="54" s="1"/>
  <c r="EJ81" i="54"/>
  <c r="ER81" i="54" s="1"/>
  <c r="EJ122" i="54"/>
  <c r="ER122" i="54" s="1"/>
  <c r="EJ256" i="54"/>
  <c r="ER256" i="54" s="1"/>
  <c r="EJ163" i="54"/>
  <c r="ER163" i="54" s="1"/>
  <c r="EJ40" i="54"/>
  <c r="ER40" i="54" s="1"/>
  <c r="EJ112" i="54"/>
  <c r="ER112" i="54" s="1"/>
  <c r="EJ137" i="54"/>
  <c r="ER137" i="54" s="1"/>
  <c r="EJ19" i="54"/>
  <c r="ER19" i="54" s="1"/>
  <c r="HS241" i="54"/>
  <c r="HV241" i="54" s="1"/>
  <c r="HS236" i="54"/>
  <c r="HV236" i="54" s="1"/>
  <c r="HT111" i="54"/>
  <c r="HW111" i="54" s="1"/>
  <c r="HT18" i="54"/>
  <c r="HW18" i="54" s="1"/>
  <c r="HS33" i="54"/>
  <c r="HV33" i="54" s="1"/>
  <c r="HS216" i="54"/>
  <c r="HV216" i="54" s="1"/>
  <c r="HT99" i="54"/>
  <c r="HT232" i="54"/>
  <c r="HW232" i="54" s="1"/>
  <c r="HS107" i="54"/>
  <c r="HV107" i="54" s="1"/>
  <c r="HT109" i="54"/>
  <c r="HW109" i="54" s="1"/>
  <c r="HT206" i="54"/>
  <c r="HW206" i="54" s="1"/>
  <c r="HV20" i="54"/>
  <c r="HT51" i="54"/>
  <c r="HW51" i="54" s="1"/>
  <c r="HT87" i="54"/>
  <c r="HW87" i="54" s="1"/>
  <c r="HS125" i="54"/>
  <c r="HV125" i="54" s="1"/>
  <c r="HS163" i="54"/>
  <c r="HV163" i="54" s="1"/>
  <c r="HS224" i="54"/>
  <c r="HV224" i="54" s="1"/>
  <c r="HT90" i="54"/>
  <c r="HW90" i="54" s="1"/>
  <c r="HT120" i="54"/>
  <c r="HW120" i="54" s="1"/>
  <c r="HS38" i="54"/>
  <c r="HV38" i="54" s="1"/>
  <c r="HT177" i="54"/>
  <c r="HW177" i="54" s="1"/>
  <c r="HT227" i="54"/>
  <c r="HS74" i="54"/>
  <c r="HS171" i="54"/>
  <c r="HV171" i="54" s="1"/>
  <c r="HS138" i="54"/>
  <c r="HV138" i="54" s="1"/>
  <c r="HS140" i="54"/>
  <c r="HS149" i="54"/>
  <c r="HS247" i="54"/>
  <c r="HV247" i="54" s="1"/>
  <c r="HT32" i="54"/>
  <c r="HW32" i="54" s="1"/>
  <c r="EJ21" i="54"/>
  <c r="ER21" i="54" s="1"/>
  <c r="HS159" i="54"/>
  <c r="HV159" i="54" s="1"/>
  <c r="HV76" i="54"/>
  <c r="HS203" i="54"/>
  <c r="HS265" i="54"/>
  <c r="HT131" i="54"/>
  <c r="HW131" i="54" s="1"/>
  <c r="HT192" i="54"/>
  <c r="HT161" i="54"/>
  <c r="HW161" i="54" s="1"/>
  <c r="HS78" i="54"/>
  <c r="HV78" i="54" s="1"/>
  <c r="HS218" i="54"/>
  <c r="HV218" i="54" s="1"/>
  <c r="HT94" i="54"/>
  <c r="HW94" i="54" s="1"/>
  <c r="HS114" i="54"/>
  <c r="HV114" i="54" s="1"/>
  <c r="HS212" i="54"/>
  <c r="HS46" i="54"/>
  <c r="HV46" i="54" s="1"/>
  <c r="HS180" i="54"/>
  <c r="HV180" i="54" s="1"/>
  <c r="HS63" i="54"/>
  <c r="HV63" i="54" s="1"/>
  <c r="HS196" i="54"/>
  <c r="HV196" i="54" s="1"/>
  <c r="HT30" i="54"/>
  <c r="HW30" i="54" s="1"/>
  <c r="BM38" i="54" a="1"/>
  <c r="BM38" i="54" s="1"/>
  <c r="BM35" i="54" a="1"/>
  <c r="BM35" i="54" s="1"/>
  <c r="BM40" i="54" a="1"/>
  <c r="BM40" i="54" s="1"/>
  <c r="BM39" i="54" a="1"/>
  <c r="BM39" i="54" s="1"/>
  <c r="BM37" i="54" a="1"/>
  <c r="BM37" i="54" s="1"/>
  <c r="BM36" i="54" a="1"/>
  <c r="BM36" i="54" s="1"/>
  <c r="Q16" i="54" a="1"/>
  <c r="Q16" i="54" s="1"/>
  <c r="DU126" i="54"/>
  <c r="DV126" i="54"/>
  <c r="DU23" i="54"/>
  <c r="DV23" i="54"/>
  <c r="DU231" i="54"/>
  <c r="DV231" i="54"/>
  <c r="DU230" i="54"/>
  <c r="DV230" i="54"/>
  <c r="DU51" i="54"/>
  <c r="DV51" i="54"/>
  <c r="DU174" i="54"/>
  <c r="DU34" i="54"/>
  <c r="DV34" i="54"/>
  <c r="DU256" i="54"/>
  <c r="DV256" i="54"/>
  <c r="DU82" i="54"/>
  <c r="DV82" i="54"/>
  <c r="DU205" i="54"/>
  <c r="DV205" i="54"/>
  <c r="DU44" i="54"/>
  <c r="DV44" i="54"/>
  <c r="DU25" i="54"/>
  <c r="DV25" i="54"/>
  <c r="DV194" i="54"/>
  <c r="DU194" i="54"/>
  <c r="DU58" i="54"/>
  <c r="DV58" i="54"/>
  <c r="DV114" i="54"/>
  <c r="DU114" i="54"/>
  <c r="DV222" i="54"/>
  <c r="DU222" i="54"/>
  <c r="DU52" i="54"/>
  <c r="DV52" i="54"/>
  <c r="DU249" i="54"/>
  <c r="DV249" i="54"/>
  <c r="DU100" i="54"/>
  <c r="DV100" i="54"/>
  <c r="DU183" i="54"/>
  <c r="DV183" i="54"/>
  <c r="DU219" i="54"/>
  <c r="DV219" i="54"/>
  <c r="DU39" i="54"/>
  <c r="DV39" i="54"/>
  <c r="DV156" i="54"/>
  <c r="DU156" i="54"/>
  <c r="DV192" i="54"/>
  <c r="DU192" i="54"/>
  <c r="DC33" i="54"/>
  <c r="DA33" i="54"/>
  <c r="DB34" i="54" s="1"/>
  <c r="J10" i="56"/>
  <c r="M10" i="56" s="1"/>
  <c r="J11" i="56"/>
  <c r="M11" i="56" s="1"/>
  <c r="J7" i="56"/>
  <c r="M7" i="56" s="1"/>
  <c r="J8" i="56"/>
  <c r="M8" i="56" s="1"/>
  <c r="J13" i="56"/>
  <c r="M13" i="56" s="1"/>
  <c r="J5" i="56"/>
  <c r="M5" i="56" s="1"/>
  <c r="W6" i="56"/>
  <c r="U6" i="56"/>
  <c r="T6" i="56"/>
  <c r="W23" i="56"/>
  <c r="J23" i="56" s="1"/>
  <c r="M23" i="56" s="1"/>
  <c r="U23" i="56"/>
  <c r="T23" i="56"/>
  <c r="W9" i="56"/>
  <c r="U9" i="56"/>
  <c r="T9" i="56"/>
  <c r="W12" i="56"/>
  <c r="U12" i="56"/>
  <c r="T12" i="56"/>
  <c r="W3" i="56"/>
  <c r="J3" i="56" s="1"/>
  <c r="M3" i="56" s="1"/>
  <c r="T3" i="56"/>
  <c r="U3" i="56"/>
  <c r="W15" i="56"/>
  <c r="J15" i="56" s="1"/>
  <c r="M15" i="56" s="1"/>
  <c r="U15" i="56"/>
  <c r="T15" i="56"/>
  <c r="W19" i="56"/>
  <c r="J19" i="56" s="1"/>
  <c r="M19" i="56" s="1"/>
  <c r="T19" i="56"/>
  <c r="U19" i="56"/>
  <c r="W20" i="56"/>
  <c r="J20" i="56" s="1"/>
  <c r="M20" i="56" s="1"/>
  <c r="U20" i="56"/>
  <c r="T20" i="56"/>
  <c r="W16" i="56"/>
  <c r="J16" i="56" s="1"/>
  <c r="M16" i="56" s="1"/>
  <c r="T16" i="56"/>
  <c r="U16" i="56"/>
  <c r="W24" i="56"/>
  <c r="J24" i="56" s="1"/>
  <c r="M24" i="56" s="1"/>
  <c r="T24" i="56"/>
  <c r="U24" i="56"/>
  <c r="I30" i="56"/>
  <c r="Y30" i="56"/>
  <c r="AB30" i="56" s="1"/>
  <c r="O30" i="56"/>
  <c r="AG30" i="56" s="1"/>
  <c r="Z33" i="56"/>
  <c r="AC33" i="56" s="1"/>
  <c r="AG58" i="56"/>
  <c r="AI58" i="56"/>
  <c r="AH58" i="56"/>
  <c r="K30" i="56"/>
  <c r="O33" i="56"/>
  <c r="L33" i="56" s="1"/>
  <c r="Y33" i="56"/>
  <c r="AB33" i="56" s="1"/>
  <c r="AH33" i="56"/>
  <c r="Z34" i="56"/>
  <c r="AC34" i="56" s="1"/>
  <c r="Z31" i="56"/>
  <c r="AC31" i="56" s="1"/>
  <c r="I31" i="56"/>
  <c r="L31" i="56" s="1"/>
  <c r="Y31" i="56"/>
  <c r="AB31" i="56" s="1"/>
  <c r="Y28" i="56"/>
  <c r="N31" i="56"/>
  <c r="AG32" i="56"/>
  <c r="AH28" i="56"/>
  <c r="Y34" i="56"/>
  <c r="AB34" i="56" s="1"/>
  <c r="I34" i="56"/>
  <c r="O34" i="56"/>
  <c r="AH34" i="56"/>
  <c r="AH29" i="56"/>
  <c r="Z32" i="56"/>
  <c r="K32" i="56"/>
  <c r="AI32" i="56"/>
  <c r="K29" i="56"/>
  <c r="L29" i="56" s="1"/>
  <c r="Z29" i="56"/>
  <c r="Q29" i="56" s="1"/>
  <c r="R29" i="56" s="1"/>
  <c r="AN29" i="56" s="1"/>
  <c r="AI29" i="56"/>
  <c r="AG29" i="56"/>
  <c r="Y12" i="56"/>
  <c r="AB12" i="56" s="1"/>
  <c r="V13" i="56"/>
  <c r="Y13" i="56" s="1"/>
  <c r="X3" i="56"/>
  <c r="Z3" i="56" s="1"/>
  <c r="AC3" i="56" s="1"/>
  <c r="X7" i="56"/>
  <c r="V2" i="56"/>
  <c r="X11" i="56"/>
  <c r="X22" i="56"/>
  <c r="Z22" i="56" s="1"/>
  <c r="AC22" i="56" s="1"/>
  <c r="X23" i="56"/>
  <c r="Z23" i="56" s="1"/>
  <c r="AC23" i="56" s="1"/>
  <c r="X6" i="56"/>
  <c r="K6" i="56" s="1"/>
  <c r="X18" i="56"/>
  <c r="Z18" i="56" s="1"/>
  <c r="AC18" i="56" s="1"/>
  <c r="Y22" i="56"/>
  <c r="AB22" i="56" s="1"/>
  <c r="O22" i="56"/>
  <c r="O18" i="56"/>
  <c r="Z10" i="56"/>
  <c r="AC10" i="56" s="1"/>
  <c r="Y6" i="56"/>
  <c r="AB6" i="56" s="1"/>
  <c r="O6" i="56"/>
  <c r="Z9" i="56"/>
  <c r="AC9" i="56" s="1"/>
  <c r="Z5" i="56"/>
  <c r="AC5" i="56" s="1"/>
  <c r="Z24" i="56"/>
  <c r="AC24" i="56" s="1"/>
  <c r="K24" i="56"/>
  <c r="Y23" i="56"/>
  <c r="AB23" i="56" s="1"/>
  <c r="O23" i="56"/>
  <c r="Y19" i="56"/>
  <c r="AB19" i="56" s="1"/>
  <c r="O19" i="56"/>
  <c r="Y15" i="56"/>
  <c r="AB15" i="56" s="1"/>
  <c r="O15" i="56"/>
  <c r="Y11" i="56"/>
  <c r="AB11" i="56" s="1"/>
  <c r="O11" i="56"/>
  <c r="O7" i="56"/>
  <c r="Y7" i="56"/>
  <c r="AB7" i="56" s="1"/>
  <c r="Y3" i="56"/>
  <c r="AB3" i="56" s="1"/>
  <c r="O3" i="56"/>
  <c r="X12" i="56"/>
  <c r="K12" i="56" s="1"/>
  <c r="X20" i="56"/>
  <c r="X2" i="56"/>
  <c r="V5" i="56"/>
  <c r="V9" i="56"/>
  <c r="V10" i="56"/>
  <c r="V14" i="56"/>
  <c r="Y14" i="56" s="1"/>
  <c r="AB14" i="56" s="1"/>
  <c r="X15" i="56"/>
  <c r="X19" i="56"/>
  <c r="V24" i="56"/>
  <c r="Y24" i="56" s="1"/>
  <c r="X16" i="56"/>
  <c r="V17" i="56"/>
  <c r="O17" i="56" s="1"/>
  <c r="V21" i="56"/>
  <c r="X25" i="56"/>
  <c r="X4" i="56"/>
  <c r="X8" i="56"/>
  <c r="K8" i="56" s="1"/>
  <c r="X13" i="56"/>
  <c r="K13" i="56" s="1"/>
  <c r="X17" i="56"/>
  <c r="X21" i="56"/>
  <c r="V4" i="56"/>
  <c r="Y4" i="56" s="1"/>
  <c r="AB4" i="56" s="1"/>
  <c r="V8" i="56"/>
  <c r="O20" i="56"/>
  <c r="O16" i="56"/>
  <c r="O12" i="56"/>
  <c r="Y25" i="56"/>
  <c r="O25" i="56"/>
  <c r="K14" i="56"/>
  <c r="Y16" i="56"/>
  <c r="AB16" i="56" s="1"/>
  <c r="Y20" i="56"/>
  <c r="AB20" i="56" s="1"/>
  <c r="Y18" i="56"/>
  <c r="AB18" i="56" s="1"/>
  <c r="DY44" i="54" l="1"/>
  <c r="DY174" i="54"/>
  <c r="DY191" i="54"/>
  <c r="DY219" i="54"/>
  <c r="DY249" i="54"/>
  <c r="DY113" i="54"/>
  <c r="DU199" i="54"/>
  <c r="DV135" i="54"/>
  <c r="DU54" i="54"/>
  <c r="DV50" i="54"/>
  <c r="HV212" i="54"/>
  <c r="HW192" i="54"/>
  <c r="GW81" i="54"/>
  <c r="GX218" i="54"/>
  <c r="GW233" i="54"/>
  <c r="DU258" i="54"/>
  <c r="DU245" i="54"/>
  <c r="DV40" i="54"/>
  <c r="DV214" i="54"/>
  <c r="HW200" i="54"/>
  <c r="HW240" i="54"/>
  <c r="GW121" i="54"/>
  <c r="GW251" i="54"/>
  <c r="GX100" i="54"/>
  <c r="DV171" i="54"/>
  <c r="DU24" i="54"/>
  <c r="HV129" i="54"/>
  <c r="HV195" i="54"/>
  <c r="GW42" i="54"/>
  <c r="GX196" i="54"/>
  <c r="DV202" i="54"/>
  <c r="DU243" i="54"/>
  <c r="GW209" i="54"/>
  <c r="GW219" i="54"/>
  <c r="DV247" i="54"/>
  <c r="HV214" i="54"/>
  <c r="HW229" i="54"/>
  <c r="GW252" i="54"/>
  <c r="GW221" i="54"/>
  <c r="GW255" i="54"/>
  <c r="DV158" i="54"/>
  <c r="DU56" i="54"/>
  <c r="HW138" i="54"/>
  <c r="HV111" i="54"/>
  <c r="GX214" i="54"/>
  <c r="GW57" i="54"/>
  <c r="GX235" i="54"/>
  <c r="GX197" i="54"/>
  <c r="HV112" i="54"/>
  <c r="DY203" i="54"/>
  <c r="DY112" i="54"/>
  <c r="GS121" i="54"/>
  <c r="HA121" i="54" s="1"/>
  <c r="GS196" i="54"/>
  <c r="HA196" i="54" s="1"/>
  <c r="GS183" i="54"/>
  <c r="HA183" i="54" s="1"/>
  <c r="GS268" i="54"/>
  <c r="HA268" i="54" s="1"/>
  <c r="GS261" i="54"/>
  <c r="HA261" i="54" s="1"/>
  <c r="GS57" i="54"/>
  <c r="HA57" i="54" s="1"/>
  <c r="DV199" i="54"/>
  <c r="DU135" i="54"/>
  <c r="DV54" i="54"/>
  <c r="DU50" i="54"/>
  <c r="HV74" i="54"/>
  <c r="GW246" i="54"/>
  <c r="GX81" i="54"/>
  <c r="GW114" i="54"/>
  <c r="GX233" i="54"/>
  <c r="DV258" i="54"/>
  <c r="DU214" i="54"/>
  <c r="HV75" i="54"/>
  <c r="GW100" i="54"/>
  <c r="DV105" i="54"/>
  <c r="DU171" i="54"/>
  <c r="HV16" i="54"/>
  <c r="GX42" i="54"/>
  <c r="DU202" i="54"/>
  <c r="DV207" i="54"/>
  <c r="DV154" i="54"/>
  <c r="DV46" i="54"/>
  <c r="HV170" i="54"/>
  <c r="GX209" i="54"/>
  <c r="GX219" i="54"/>
  <c r="HV135" i="54"/>
  <c r="DU247" i="54"/>
  <c r="HV82" i="54"/>
  <c r="GX252" i="54"/>
  <c r="GX221" i="54"/>
  <c r="DV36" i="54"/>
  <c r="GW235" i="54"/>
  <c r="GW28" i="54"/>
  <c r="HW251" i="54"/>
  <c r="DY166" i="54"/>
  <c r="GS238" i="54"/>
  <c r="HA238" i="54" s="1"/>
  <c r="GS245" i="54"/>
  <c r="HA245" i="54" s="1"/>
  <c r="DV72" i="54"/>
  <c r="DV29" i="54"/>
  <c r="HV265" i="54"/>
  <c r="HW44" i="54"/>
  <c r="GX246" i="54"/>
  <c r="GX19" i="54"/>
  <c r="GX114" i="54"/>
  <c r="DV223" i="54"/>
  <c r="GW132" i="54"/>
  <c r="GW238" i="54"/>
  <c r="DU105" i="54"/>
  <c r="DV169" i="54"/>
  <c r="HV128" i="54"/>
  <c r="GW162" i="54"/>
  <c r="GX71" i="54"/>
  <c r="GX183" i="54"/>
  <c r="HV166" i="54"/>
  <c r="DU207" i="54"/>
  <c r="DU154" i="54"/>
  <c r="DU46" i="54"/>
  <c r="HW262" i="54"/>
  <c r="HV123" i="54"/>
  <c r="DV12" i="54"/>
  <c r="HV70" i="54"/>
  <c r="GW253" i="54"/>
  <c r="GW245" i="54"/>
  <c r="GW208" i="54"/>
  <c r="DU36" i="54"/>
  <c r="HV32" i="54"/>
  <c r="HW171" i="54"/>
  <c r="GX28" i="54"/>
  <c r="HV260" i="54"/>
  <c r="HV102" i="54"/>
  <c r="GS132" i="54"/>
  <c r="HA132" i="54" s="1"/>
  <c r="GS162" i="54"/>
  <c r="HA162" i="54" s="1"/>
  <c r="GS71" i="54"/>
  <c r="HA71" i="54" s="1"/>
  <c r="GS88" i="54"/>
  <c r="HA88" i="54" s="1"/>
  <c r="DV103" i="54"/>
  <c r="DU72" i="54"/>
  <c r="DU29" i="54"/>
  <c r="HV203" i="54"/>
  <c r="HV149" i="54"/>
  <c r="GW187" i="54"/>
  <c r="GW19" i="54"/>
  <c r="HV27" i="54"/>
  <c r="DU223" i="54"/>
  <c r="DV153" i="54"/>
  <c r="DV145" i="54"/>
  <c r="DV160" i="54"/>
  <c r="DU169" i="54"/>
  <c r="DU204" i="54"/>
  <c r="HV30" i="54"/>
  <c r="HW53" i="54"/>
  <c r="HV13" i="54"/>
  <c r="GW204" i="54"/>
  <c r="GW232" i="54"/>
  <c r="HW188" i="54"/>
  <c r="DV227" i="54"/>
  <c r="DV181" i="54"/>
  <c r="GX253" i="54"/>
  <c r="GX208" i="54"/>
  <c r="DV268" i="54"/>
  <c r="DV13" i="54"/>
  <c r="HW218" i="54"/>
  <c r="GW261" i="54"/>
  <c r="DY162" i="54"/>
  <c r="GS113" i="54"/>
  <c r="HA113" i="54" s="1"/>
  <c r="GS58" i="54"/>
  <c r="HA58" i="54" s="1"/>
  <c r="DV174" i="54"/>
  <c r="HV140" i="54"/>
  <c r="GW98" i="54"/>
  <c r="GX187" i="54"/>
  <c r="DU153" i="54"/>
  <c r="DV70" i="54"/>
  <c r="HW159" i="54"/>
  <c r="GW258" i="54"/>
  <c r="DU145" i="54"/>
  <c r="DU160" i="54"/>
  <c r="DV204" i="54"/>
  <c r="HW261" i="54"/>
  <c r="GW173" i="54"/>
  <c r="DV84" i="54"/>
  <c r="DU234" i="54"/>
  <c r="HV79" i="54"/>
  <c r="GX204" i="54"/>
  <c r="GX232" i="54"/>
  <c r="GX264" i="54"/>
  <c r="DU268" i="54"/>
  <c r="DU13" i="54"/>
  <c r="HV255" i="54"/>
  <c r="HV101" i="54"/>
  <c r="DY59" i="54"/>
  <c r="DY23" i="54"/>
  <c r="DY26" i="54"/>
  <c r="DY225" i="54"/>
  <c r="DY51" i="54"/>
  <c r="DU11" i="54"/>
  <c r="HV73" i="54"/>
  <c r="DY116" i="54"/>
  <c r="DY37" i="54"/>
  <c r="HW204" i="54"/>
  <c r="DY43" i="54"/>
  <c r="DY244" i="54"/>
  <c r="DU195" i="54"/>
  <c r="GX164" i="54"/>
  <c r="GX250" i="54"/>
  <c r="GW148" i="54"/>
  <c r="GX46" i="54"/>
  <c r="GX171" i="54"/>
  <c r="GW27" i="54"/>
  <c r="GX116" i="54"/>
  <c r="HW194" i="54"/>
  <c r="DV69" i="54"/>
  <c r="HV62" i="54"/>
  <c r="HW134" i="54"/>
  <c r="DU139" i="54"/>
  <c r="HW79" i="54"/>
  <c r="HV77" i="54"/>
  <c r="GX102" i="54"/>
  <c r="GW170" i="54"/>
  <c r="GW44" i="54"/>
  <c r="GW181" i="54"/>
  <c r="GX13" i="54"/>
  <c r="GW108" i="54"/>
  <c r="GW227" i="54"/>
  <c r="GW89" i="54"/>
  <c r="HW70" i="54"/>
  <c r="HW246" i="54"/>
  <c r="HW266" i="54"/>
  <c r="HV60" i="54"/>
  <c r="HV167" i="54"/>
  <c r="DY209" i="54"/>
  <c r="DY132" i="54"/>
  <c r="DY80" i="54"/>
  <c r="GS102" i="54"/>
  <c r="HA102" i="54" s="1"/>
  <c r="GS227" i="54"/>
  <c r="HA227" i="54" s="1"/>
  <c r="GS75" i="54"/>
  <c r="HA75" i="54" s="1"/>
  <c r="HW227" i="54"/>
  <c r="HV81" i="54"/>
  <c r="DU69" i="54"/>
  <c r="HW83" i="54"/>
  <c r="HW136" i="54"/>
  <c r="DV139" i="54"/>
  <c r="DU30" i="54"/>
  <c r="GX44" i="54"/>
  <c r="GX181" i="54"/>
  <c r="GW13" i="54"/>
  <c r="GX108" i="54"/>
  <c r="HV220" i="54"/>
  <c r="HV23" i="54"/>
  <c r="GW263" i="54"/>
  <c r="HW205" i="54"/>
  <c r="GW133" i="54"/>
  <c r="GW126" i="54"/>
  <c r="GW123" i="54"/>
  <c r="GW143" i="54"/>
  <c r="GW104" i="54"/>
  <c r="GX130" i="54"/>
  <c r="GX31" i="54"/>
  <c r="HV182" i="54"/>
  <c r="HV87" i="54"/>
  <c r="GW41" i="54"/>
  <c r="DY182" i="54"/>
  <c r="DU147" i="54"/>
  <c r="DV167" i="54"/>
  <c r="HV120" i="54"/>
  <c r="HW124" i="54"/>
  <c r="HW256" i="54"/>
  <c r="DU17" i="54"/>
  <c r="DU120" i="54"/>
  <c r="DV30" i="54"/>
  <c r="HV130" i="54"/>
  <c r="HV136" i="54"/>
  <c r="GW55" i="54"/>
  <c r="GX263" i="54"/>
  <c r="HV152" i="54"/>
  <c r="HV80" i="54"/>
  <c r="GX133" i="54"/>
  <c r="GX126" i="54"/>
  <c r="GX123" i="54"/>
  <c r="GX143" i="54"/>
  <c r="GX104" i="54"/>
  <c r="GW130" i="54"/>
  <c r="GW31" i="54"/>
  <c r="GW65" i="54"/>
  <c r="GX41" i="54"/>
  <c r="HV48" i="54"/>
  <c r="HW48" i="54"/>
  <c r="GS36" i="54"/>
  <c r="HA36" i="54" s="1"/>
  <c r="HV61" i="54"/>
  <c r="DU167" i="54"/>
  <c r="HW220" i="54"/>
  <c r="HV67" i="54"/>
  <c r="GW25" i="54"/>
  <c r="GW117" i="54"/>
  <c r="GW260" i="54"/>
  <c r="GW140" i="54"/>
  <c r="GX229" i="54"/>
  <c r="GW67" i="54"/>
  <c r="GX156" i="54"/>
  <c r="DV17" i="54"/>
  <c r="DV120" i="54"/>
  <c r="HV181" i="54"/>
  <c r="GW86" i="54"/>
  <c r="GX55" i="54"/>
  <c r="HV145" i="54"/>
  <c r="DV122" i="54"/>
  <c r="HV177" i="54"/>
  <c r="GW36" i="54"/>
  <c r="GW39" i="54"/>
  <c r="GX65" i="54"/>
  <c r="GW242" i="54"/>
  <c r="DY235" i="54"/>
  <c r="DY250" i="54"/>
  <c r="DY102" i="54"/>
  <c r="DY179" i="54"/>
  <c r="DY97" i="54"/>
  <c r="GS72" i="54"/>
  <c r="HA72" i="54" s="1"/>
  <c r="HW99" i="54"/>
  <c r="DV215" i="54"/>
  <c r="GX25" i="54"/>
  <c r="GX117" i="54"/>
  <c r="GX260" i="54"/>
  <c r="GX140" i="54"/>
  <c r="GW229" i="54"/>
  <c r="GX67" i="54"/>
  <c r="GW156" i="54"/>
  <c r="HV157" i="54"/>
  <c r="DU212" i="54"/>
  <c r="DV141" i="54"/>
  <c r="GX86" i="54"/>
  <c r="HW196" i="54"/>
  <c r="HW215" i="54"/>
  <c r="HV266" i="54"/>
  <c r="HW212" i="54"/>
  <c r="GX242" i="54"/>
  <c r="HW221" i="54"/>
  <c r="DY22" i="54"/>
  <c r="DS176" i="54"/>
  <c r="DY176" i="54" s="1"/>
  <c r="DV176" i="54"/>
  <c r="DS238" i="54"/>
  <c r="DY238" i="54" s="1"/>
  <c r="DU238" i="54"/>
  <c r="DS32" i="54"/>
  <c r="DY32" i="54" s="1"/>
  <c r="DU32" i="54"/>
  <c r="DS216" i="54"/>
  <c r="DV216" i="54"/>
  <c r="DS263" i="54"/>
  <c r="DY263" i="54" s="1"/>
  <c r="DU263" i="54"/>
  <c r="DS74" i="54"/>
  <c r="DY74" i="54" s="1"/>
  <c r="DU74" i="54"/>
  <c r="DS265" i="54"/>
  <c r="DY265" i="54" s="1"/>
  <c r="DU265" i="54"/>
  <c r="DS131" i="54"/>
  <c r="DY131" i="54" s="1"/>
  <c r="DV131" i="54"/>
  <c r="DS201" i="54"/>
  <c r="DY201" i="54" s="1"/>
  <c r="DU201" i="54"/>
  <c r="DU176" i="54"/>
  <c r="HW101" i="54"/>
  <c r="DS64" i="54"/>
  <c r="DY64" i="54" s="1"/>
  <c r="DV64" i="54"/>
  <c r="DS150" i="54"/>
  <c r="DY150" i="54" s="1"/>
  <c r="DU150" i="54"/>
  <c r="DS254" i="54"/>
  <c r="DY254" i="54" s="1"/>
  <c r="DV254" i="54"/>
  <c r="DS53" i="54"/>
  <c r="DY53" i="54" s="1"/>
  <c r="DU53" i="54"/>
  <c r="DS173" i="54"/>
  <c r="DY173" i="54" s="1"/>
  <c r="DV173" i="54"/>
  <c r="DS18" i="54"/>
  <c r="DY18" i="54" s="1"/>
  <c r="DU18" i="54"/>
  <c r="DS257" i="54"/>
  <c r="DY257" i="54" s="1"/>
  <c r="DV257" i="54"/>
  <c r="GS175" i="54"/>
  <c r="HA175" i="54" s="1"/>
  <c r="GW175" i="54"/>
  <c r="GS144" i="54"/>
  <c r="HA144" i="54" s="1"/>
  <c r="GW144" i="54"/>
  <c r="GS119" i="54"/>
  <c r="HA119" i="54" s="1"/>
  <c r="GX119" i="54"/>
  <c r="GX142" i="54"/>
  <c r="GS142" i="54"/>
  <c r="HA142" i="54" s="1"/>
  <c r="GW201" i="54"/>
  <c r="GS201" i="54"/>
  <c r="HA201" i="54" s="1"/>
  <c r="GX152" i="54"/>
  <c r="GS152" i="54"/>
  <c r="HA152" i="54" s="1"/>
  <c r="GS179" i="54"/>
  <c r="HA179" i="54" s="1"/>
  <c r="GW179" i="54"/>
  <c r="GW10" i="54"/>
  <c r="GS10" i="54"/>
  <c r="HA10" i="54" s="1"/>
  <c r="HV49" i="54"/>
  <c r="DS28" i="54"/>
  <c r="DY28" i="54" s="1"/>
  <c r="DU28" i="54"/>
  <c r="DS248" i="54"/>
  <c r="DY248" i="54" s="1"/>
  <c r="DV248" i="54"/>
  <c r="DS148" i="54"/>
  <c r="DY148" i="54" s="1"/>
  <c r="DU148" i="54"/>
  <c r="DS165" i="54"/>
  <c r="DY165" i="54" s="1"/>
  <c r="DV165" i="54"/>
  <c r="DS266" i="54"/>
  <c r="DY266" i="54" s="1"/>
  <c r="DV266" i="54"/>
  <c r="DS16" i="54"/>
  <c r="DY16" i="54" s="1"/>
  <c r="DV16" i="54"/>
  <c r="DS200" i="54"/>
  <c r="DY200" i="54" s="1"/>
  <c r="DU200" i="54"/>
  <c r="DS101" i="54"/>
  <c r="DY101" i="54" s="1"/>
  <c r="DU101" i="54"/>
  <c r="DS226" i="54"/>
  <c r="DY226" i="54" s="1"/>
  <c r="DV226" i="54"/>
  <c r="DV238" i="54"/>
  <c r="DV241" i="54"/>
  <c r="HW211" i="54"/>
  <c r="HW113" i="54"/>
  <c r="HV22" i="54"/>
  <c r="DU41" i="54"/>
  <c r="HV121" i="54"/>
  <c r="HW80" i="54"/>
  <c r="DU158" i="54"/>
  <c r="HV225" i="54"/>
  <c r="HV96" i="54"/>
  <c r="DY151" i="54"/>
  <c r="DY68" i="54"/>
  <c r="DY232" i="54"/>
  <c r="DY124" i="54"/>
  <c r="DV225" i="54"/>
  <c r="DV157" i="54"/>
  <c r="HV193" i="54"/>
  <c r="HW152" i="54"/>
  <c r="HW195" i="54"/>
  <c r="HW189" i="54"/>
  <c r="DU227" i="54"/>
  <c r="DU12" i="54"/>
  <c r="DU27" i="54"/>
  <c r="DV56" i="54"/>
  <c r="HV173" i="54"/>
  <c r="DY84" i="54"/>
  <c r="DY217" i="54"/>
  <c r="DY147" i="54"/>
  <c r="DY206" i="54"/>
  <c r="DY215" i="54"/>
  <c r="DY195" i="54"/>
  <c r="DY119" i="54"/>
  <c r="DY30" i="54"/>
  <c r="DY167" i="54"/>
  <c r="DY25" i="54"/>
  <c r="DY58" i="54"/>
  <c r="DY70" i="54"/>
  <c r="DV26" i="54"/>
  <c r="DU252" i="54"/>
  <c r="DV88" i="54"/>
  <c r="DV80" i="54"/>
  <c r="DU241" i="54"/>
  <c r="DV209" i="54"/>
  <c r="DV59" i="54"/>
  <c r="HW219" i="54"/>
  <c r="DU26" i="54"/>
  <c r="DV252" i="54"/>
  <c r="DU88" i="54"/>
  <c r="DU80" i="54"/>
  <c r="DV47" i="54"/>
  <c r="DU209" i="54"/>
  <c r="DU59" i="54"/>
  <c r="DY144" i="54"/>
  <c r="DV74" i="54"/>
  <c r="DV27" i="54"/>
  <c r="DV92" i="54"/>
  <c r="DU47" i="54"/>
  <c r="DV263" i="54"/>
  <c r="HW241" i="54"/>
  <c r="DY38" i="54"/>
  <c r="DV75" i="54"/>
  <c r="DV18" i="54"/>
  <c r="DY17" i="54"/>
  <c r="DY155" i="54"/>
  <c r="DY35" i="54"/>
  <c r="DY121" i="54"/>
  <c r="DY141" i="54"/>
  <c r="DY216" i="54"/>
  <c r="DY94" i="54"/>
  <c r="DV37" i="54"/>
  <c r="DY178" i="54"/>
  <c r="DU37" i="54"/>
  <c r="DV35" i="54"/>
  <c r="DY48" i="54"/>
  <c r="DV155" i="54"/>
  <c r="DU137" i="54"/>
  <c r="DV31" i="54"/>
  <c r="DV267" i="54"/>
  <c r="DV208" i="54"/>
  <c r="DU155" i="54"/>
  <c r="DV115" i="54"/>
  <c r="DV260" i="54"/>
  <c r="DY172" i="54"/>
  <c r="DY133" i="54"/>
  <c r="DV136" i="54"/>
  <c r="DS85" i="54"/>
  <c r="DY85" i="54" s="1"/>
  <c r="DY245" i="54"/>
  <c r="DY115" i="54"/>
  <c r="DY100" i="54"/>
  <c r="DY135" i="54"/>
  <c r="DU77" i="54"/>
  <c r="DV152" i="54"/>
  <c r="DU14" i="54"/>
  <c r="DU196" i="54"/>
  <c r="DV177" i="54"/>
  <c r="DY39" i="54"/>
  <c r="DS168" i="54"/>
  <c r="DY168" i="54" s="1"/>
  <c r="DV61" i="54"/>
  <c r="DV45" i="54"/>
  <c r="DU168" i="54"/>
  <c r="DU198" i="54"/>
  <c r="DV63" i="54"/>
  <c r="DU48" i="54"/>
  <c r="DU71" i="54"/>
  <c r="DS224" i="54"/>
  <c r="DY224" i="54" s="1"/>
  <c r="DV33" i="54"/>
  <c r="DV68" i="54"/>
  <c r="DV224" i="54"/>
  <c r="DV111" i="54"/>
  <c r="DU220" i="54"/>
  <c r="DU33" i="54"/>
  <c r="DU68" i="54"/>
  <c r="DU111" i="54"/>
  <c r="DY159" i="54"/>
  <c r="DS79" i="54"/>
  <c r="DY79" i="54" s="1"/>
  <c r="DY15" i="54"/>
  <c r="DY123" i="54"/>
  <c r="DY110" i="54"/>
  <c r="DY157" i="54"/>
  <c r="DY99" i="54"/>
  <c r="DY109" i="54"/>
  <c r="DY62" i="54"/>
  <c r="DY184" i="54"/>
  <c r="DY261" i="54"/>
  <c r="DY63" i="54"/>
  <c r="DY214" i="54"/>
  <c r="DY127" i="54"/>
  <c r="DY106" i="54"/>
  <c r="DY170" i="54"/>
  <c r="DY27" i="54"/>
  <c r="DY158" i="54"/>
  <c r="DY13" i="54"/>
  <c r="DY180" i="54"/>
  <c r="DS237" i="54"/>
  <c r="DY237" i="54" s="1"/>
  <c r="DY122" i="54"/>
  <c r="DY259" i="54"/>
  <c r="DY142" i="54"/>
  <c r="DY152" i="54"/>
  <c r="DY93" i="54"/>
  <c r="DY19" i="54"/>
  <c r="DY120" i="54"/>
  <c r="DY72" i="54"/>
  <c r="DY252" i="54"/>
  <c r="DY175" i="54"/>
  <c r="DY126" i="54"/>
  <c r="DY163" i="54"/>
  <c r="DY78" i="54"/>
  <c r="DY233" i="54"/>
  <c r="DY111" i="54"/>
  <c r="DY92" i="54"/>
  <c r="DU152" i="54"/>
  <c r="DV109" i="54"/>
  <c r="DU213" i="54"/>
  <c r="DV48" i="54"/>
  <c r="DV211" i="54"/>
  <c r="DV85" i="54"/>
  <c r="DV127" i="54"/>
  <c r="DU89" i="54"/>
  <c r="DV112" i="54"/>
  <c r="DV198" i="54"/>
  <c r="DU78" i="54"/>
  <c r="DV57" i="54"/>
  <c r="DS98" i="54"/>
  <c r="DY98" i="54" s="1"/>
  <c r="DS91" i="54"/>
  <c r="DY91" i="54" s="1"/>
  <c r="DS96" i="54"/>
  <c r="DY96" i="54" s="1"/>
  <c r="DY164" i="54"/>
  <c r="DY143" i="54"/>
  <c r="DY118" i="54"/>
  <c r="DY55" i="54"/>
  <c r="DU103" i="54"/>
  <c r="DU61" i="54"/>
  <c r="DV106" i="54"/>
  <c r="DU109" i="54"/>
  <c r="DV213" i="54"/>
  <c r="DU211" i="54"/>
  <c r="DU127" i="54"/>
  <c r="DV89" i="54"/>
  <c r="DU112" i="54"/>
  <c r="DV78" i="54"/>
  <c r="DU67" i="54"/>
  <c r="DV203" i="54"/>
  <c r="DU57" i="54"/>
  <c r="DS71" i="54"/>
  <c r="DY71" i="54" s="1"/>
  <c r="DY128" i="54"/>
  <c r="DY87" i="54"/>
  <c r="DV38" i="54"/>
  <c r="DU106" i="54"/>
  <c r="DV79" i="54"/>
  <c r="DV98" i="54"/>
  <c r="DV175" i="54"/>
  <c r="DV76" i="54"/>
  <c r="DV83" i="54"/>
  <c r="DU96" i="54"/>
  <c r="DV140" i="54"/>
  <c r="DV237" i="54"/>
  <c r="DV93" i="54"/>
  <c r="DV90" i="54"/>
  <c r="DV22" i="54"/>
  <c r="DU62" i="54"/>
  <c r="DV159" i="54"/>
  <c r="DU203" i="54"/>
  <c r="DV184" i="54"/>
  <c r="DU45" i="54"/>
  <c r="DS76" i="54"/>
  <c r="DY76" i="54" s="1"/>
  <c r="DU38" i="54"/>
  <c r="DV97" i="54"/>
  <c r="DU91" i="54"/>
  <c r="DU175" i="54"/>
  <c r="DU83" i="54"/>
  <c r="DU221" i="54"/>
  <c r="DU140" i="54"/>
  <c r="DU93" i="54"/>
  <c r="DU90" i="54"/>
  <c r="DV255" i="54"/>
  <c r="DU22" i="54"/>
  <c r="DV62" i="54"/>
  <c r="DV20" i="54"/>
  <c r="DU159" i="54"/>
  <c r="DU133" i="54"/>
  <c r="DU184" i="54"/>
  <c r="DY136" i="54"/>
  <c r="DY14" i="54"/>
  <c r="DS196" i="54"/>
  <c r="DY196" i="54" s="1"/>
  <c r="DV77" i="54"/>
  <c r="DU97" i="54"/>
  <c r="DV170" i="54"/>
  <c r="DV220" i="54"/>
  <c r="DU255" i="54"/>
  <c r="DU63" i="54"/>
  <c r="DU20" i="54"/>
  <c r="DV164" i="54"/>
  <c r="DV133" i="54"/>
  <c r="DY202" i="54"/>
  <c r="DY36" i="54"/>
  <c r="DY12" i="54"/>
  <c r="DY153" i="54"/>
  <c r="DY86" i="54"/>
  <c r="DY33" i="54"/>
  <c r="DY161" i="54"/>
  <c r="DY264" i="54"/>
  <c r="DS185" i="54"/>
  <c r="DY185" i="54" s="1"/>
  <c r="DS117" i="54"/>
  <c r="DY117" i="54" s="1"/>
  <c r="DY20" i="54"/>
  <c r="DY90" i="54"/>
  <c r="DY140" i="54"/>
  <c r="DY21" i="54"/>
  <c r="DY125" i="54"/>
  <c r="DY129" i="54"/>
  <c r="DY189" i="54"/>
  <c r="DY41" i="54"/>
  <c r="DS188" i="54"/>
  <c r="DY188" i="54" s="1"/>
  <c r="DY56" i="54"/>
  <c r="DY160" i="54"/>
  <c r="DY171" i="54"/>
  <c r="DS49" i="54"/>
  <c r="DY49" i="54" s="1"/>
  <c r="DS60" i="54"/>
  <c r="DY60" i="54" s="1"/>
  <c r="DY211" i="54"/>
  <c r="DY134" i="54"/>
  <c r="DU104" i="54"/>
  <c r="DU121" i="54"/>
  <c r="DU240" i="54"/>
  <c r="DU264" i="54"/>
  <c r="DU60" i="54"/>
  <c r="DV188" i="54"/>
  <c r="DV151" i="54"/>
  <c r="DU172" i="54"/>
  <c r="DS240" i="54"/>
  <c r="DY240" i="54" s="1"/>
  <c r="DS242" i="54"/>
  <c r="DY242" i="54" s="1"/>
  <c r="DS267" i="54"/>
  <c r="DY267" i="54" s="1"/>
  <c r="DV246" i="54"/>
  <c r="DV218" i="54"/>
  <c r="DU218" i="54"/>
  <c r="DV259" i="54"/>
  <c r="DV121" i="54"/>
  <c r="DV264" i="54"/>
  <c r="DV161" i="54"/>
  <c r="DU251" i="54"/>
  <c r="DV10" i="54"/>
  <c r="DU151" i="54"/>
  <c r="DS208" i="54"/>
  <c r="DY208" i="54" s="1"/>
  <c r="DS10" i="54"/>
  <c r="DY10" i="54" s="1"/>
  <c r="DS260" i="54"/>
  <c r="DY260" i="54" s="1"/>
  <c r="DV119" i="54"/>
  <c r="DU108" i="54"/>
  <c r="DU259" i="54"/>
  <c r="DV49" i="54"/>
  <c r="DV185" i="54"/>
  <c r="DV117" i="54"/>
  <c r="DU161" i="54"/>
  <c r="DV206" i="54"/>
  <c r="DU210" i="54"/>
  <c r="DV189" i="54"/>
  <c r="DV251" i="54"/>
  <c r="DS246" i="54"/>
  <c r="DY246" i="54" s="1"/>
  <c r="DS210" i="54"/>
  <c r="DY210" i="54" s="1"/>
  <c r="DS137" i="54"/>
  <c r="DY137" i="54" s="1"/>
  <c r="DU119" i="54"/>
  <c r="DV108" i="54"/>
  <c r="DV147" i="54"/>
  <c r="DU206" i="54"/>
  <c r="DU189" i="54"/>
  <c r="DV221" i="54"/>
  <c r="DS31" i="54"/>
  <c r="DY31" i="54" s="1"/>
  <c r="DV195" i="54"/>
  <c r="DV104" i="54"/>
  <c r="DU215" i="54"/>
  <c r="DU86" i="54"/>
  <c r="DV172" i="54"/>
  <c r="DU122" i="54"/>
  <c r="DU35" i="54"/>
  <c r="DV166" i="54"/>
  <c r="DU84" i="54"/>
  <c r="DU181" i="54"/>
  <c r="DV217" i="54"/>
  <c r="DU182" i="54"/>
  <c r="DV197" i="54"/>
  <c r="DU253" i="54"/>
  <c r="DU115" i="54"/>
  <c r="DU136" i="54"/>
  <c r="R58" i="56"/>
  <c r="BM68" i="54" s="1" a="1"/>
  <c r="BM68" i="54" s="1"/>
  <c r="AG35" i="54" s="1" a="1"/>
  <c r="AG35" i="54" s="1"/>
  <c r="DU217" i="54"/>
  <c r="DV182" i="54"/>
  <c r="DU197" i="54"/>
  <c r="DV253" i="54"/>
  <c r="BM7" i="54" a="1"/>
  <c r="BM7" i="54" s="1"/>
  <c r="BM6" i="54" a="1"/>
  <c r="BM6" i="54" s="1"/>
  <c r="BM5" i="54" a="1"/>
  <c r="BM5" i="54" s="1"/>
  <c r="DW50" i="54"/>
  <c r="DZ50" i="54" s="1"/>
  <c r="DW33" i="54"/>
  <c r="DZ33" i="54" s="1"/>
  <c r="N28" i="56"/>
  <c r="AF28" i="56" s="1"/>
  <c r="DW97" i="54"/>
  <c r="DZ97" i="54" s="1"/>
  <c r="DW174" i="54"/>
  <c r="DZ174" i="54" s="1"/>
  <c r="AD28" i="56"/>
  <c r="DX135" i="54"/>
  <c r="DX182" i="54"/>
  <c r="DX156" i="54"/>
  <c r="EA156" i="54" s="1"/>
  <c r="DW54" i="54"/>
  <c r="DZ54" i="54" s="1"/>
  <c r="DW23" i="54"/>
  <c r="DW217" i="54"/>
  <c r="DW218" i="54"/>
  <c r="DZ218" i="54" s="1"/>
  <c r="DX194" i="54"/>
  <c r="EA194" i="54" s="1"/>
  <c r="AR21" i="50"/>
  <c r="AP22" i="50" s="1"/>
  <c r="DX23" i="54"/>
  <c r="EA23" i="54" s="1"/>
  <c r="DX38" i="54"/>
  <c r="DX39" i="54"/>
  <c r="DX119" i="54"/>
  <c r="DX52" i="54"/>
  <c r="EA52" i="54" s="1"/>
  <c r="DW222" i="54"/>
  <c r="DZ222" i="54" s="1"/>
  <c r="DW108" i="54"/>
  <c r="DZ108" i="54" s="1"/>
  <c r="DW194" i="54"/>
  <c r="DZ194" i="54" s="1"/>
  <c r="DX25" i="54"/>
  <c r="EA25" i="54" s="1"/>
  <c r="DX205" i="54"/>
  <c r="EA205" i="54" s="1"/>
  <c r="DW82" i="54"/>
  <c r="DZ82" i="54" s="1"/>
  <c r="DX256" i="54"/>
  <c r="EA256" i="54" s="1"/>
  <c r="DX34" i="54"/>
  <c r="EA34" i="54" s="1"/>
  <c r="DX174" i="54"/>
  <c r="EA174" i="54" s="1"/>
  <c r="DX231" i="54"/>
  <c r="EA231" i="54" s="1"/>
  <c r="DX138" i="54"/>
  <c r="EA138" i="54" s="1"/>
  <c r="DW38" i="54"/>
  <c r="DZ38" i="54" s="1"/>
  <c r="DW39" i="54"/>
  <c r="DZ39" i="54" s="1"/>
  <c r="DW119" i="54"/>
  <c r="DZ119" i="54" s="1"/>
  <c r="DW52" i="54"/>
  <c r="DZ52" i="54" s="1"/>
  <c r="DX222" i="54"/>
  <c r="EA222" i="54" s="1"/>
  <c r="DX108" i="54"/>
  <c r="EA108" i="54" s="1"/>
  <c r="DW72" i="54"/>
  <c r="DZ72" i="54" s="1"/>
  <c r="DX58" i="54"/>
  <c r="EA58" i="54" s="1"/>
  <c r="DW25" i="54"/>
  <c r="DW205" i="54"/>
  <c r="DZ205" i="54" s="1"/>
  <c r="DW256" i="54"/>
  <c r="DZ256" i="54" s="1"/>
  <c r="DW34" i="54"/>
  <c r="DZ34" i="54" s="1"/>
  <c r="DX106" i="54"/>
  <c r="DW231" i="54"/>
  <c r="DZ231" i="54" s="1"/>
  <c r="DW126" i="54"/>
  <c r="DZ126" i="54" s="1"/>
  <c r="DW192" i="54"/>
  <c r="DZ192" i="54" s="1"/>
  <c r="DX219" i="54"/>
  <c r="EA219" i="54" s="1"/>
  <c r="DW183" i="54"/>
  <c r="DZ183" i="54" s="1"/>
  <c r="DX100" i="54"/>
  <c r="DX249" i="54"/>
  <c r="EA249" i="54" s="1"/>
  <c r="DX103" i="54"/>
  <c r="EA103" i="54" s="1"/>
  <c r="DW114" i="54"/>
  <c r="DZ114" i="54" s="1"/>
  <c r="DX72" i="54"/>
  <c r="DX77" i="54"/>
  <c r="EA77" i="54" s="1"/>
  <c r="DX61" i="54"/>
  <c r="EA61" i="54" s="1"/>
  <c r="DX29" i="54"/>
  <c r="EA29" i="54" s="1"/>
  <c r="DX44" i="54"/>
  <c r="EA44" i="54" s="1"/>
  <c r="DW135" i="54"/>
  <c r="DZ135" i="54" s="1"/>
  <c r="DX54" i="54"/>
  <c r="EA54" i="54" s="1"/>
  <c r="DX51" i="54"/>
  <c r="EA51" i="54" s="1"/>
  <c r="DX230" i="54"/>
  <c r="EA230" i="54" s="1"/>
  <c r="DX126" i="54"/>
  <c r="DX192" i="54"/>
  <c r="EA192" i="54" s="1"/>
  <c r="DW219" i="54"/>
  <c r="DZ219" i="54" s="1"/>
  <c r="DX183" i="54"/>
  <c r="EA183" i="54" s="1"/>
  <c r="DW100" i="54"/>
  <c r="DZ100" i="54" s="1"/>
  <c r="DW249" i="54"/>
  <c r="DZ249" i="54" s="1"/>
  <c r="DW103" i="54"/>
  <c r="DZ103" i="54" s="1"/>
  <c r="DX114" i="54"/>
  <c r="EA114" i="54" s="1"/>
  <c r="DW77" i="54"/>
  <c r="DZ77" i="54" s="1"/>
  <c r="DW61" i="54"/>
  <c r="DZ61" i="54" s="1"/>
  <c r="DX195" i="54"/>
  <c r="EA195" i="54" s="1"/>
  <c r="DW29" i="54"/>
  <c r="DZ29" i="54" s="1"/>
  <c r="DX199" i="54"/>
  <c r="EA199" i="54" s="1"/>
  <c r="DW44" i="54"/>
  <c r="DZ44" i="54" s="1"/>
  <c r="DX82" i="54"/>
  <c r="EA82" i="54" s="1"/>
  <c r="DW51" i="54"/>
  <c r="DZ51" i="54" s="1"/>
  <c r="DW230" i="54"/>
  <c r="DZ230" i="54" s="1"/>
  <c r="DX217" i="54"/>
  <c r="EA217" i="54" s="1"/>
  <c r="DW156" i="54"/>
  <c r="DZ156" i="54" s="1"/>
  <c r="DX218" i="54"/>
  <c r="EA218" i="54" s="1"/>
  <c r="DW182" i="54"/>
  <c r="DZ182" i="54" s="1"/>
  <c r="DX33" i="54"/>
  <c r="DW58" i="54"/>
  <c r="DZ58" i="54" s="1"/>
  <c r="DW195" i="54"/>
  <c r="DW199" i="54"/>
  <c r="DZ199" i="54" s="1"/>
  <c r="DX50" i="54"/>
  <c r="EA50" i="54" s="1"/>
  <c r="DW106" i="54"/>
  <c r="DZ106" i="54" s="1"/>
  <c r="DX97" i="54"/>
  <c r="DX134" i="54"/>
  <c r="DW223" i="54"/>
  <c r="DZ223" i="54" s="1"/>
  <c r="CE3" i="54"/>
  <c r="CG3" i="54"/>
  <c r="CB7" i="54"/>
  <c r="CB5" i="54"/>
  <c r="DW104" i="54"/>
  <c r="DZ104" i="54" s="1"/>
  <c r="DW144" i="54"/>
  <c r="DZ144" i="54" s="1"/>
  <c r="DW235" i="54"/>
  <c r="DW128" i="54"/>
  <c r="DZ128" i="54" s="1"/>
  <c r="CC3" i="54"/>
  <c r="DW197" i="54"/>
  <c r="DZ197" i="54" s="1"/>
  <c r="DW239" i="54"/>
  <c r="DZ239" i="54" s="1"/>
  <c r="DW94" i="54"/>
  <c r="DZ94" i="54" s="1"/>
  <c r="DW246" i="54"/>
  <c r="DZ246" i="54" s="1"/>
  <c r="DW95" i="54"/>
  <c r="DZ95" i="54" s="1"/>
  <c r="DX124" i="54"/>
  <c r="EA124" i="54" s="1"/>
  <c r="DW258" i="54"/>
  <c r="DZ258" i="54" s="1"/>
  <c r="DW146" i="54"/>
  <c r="DZ146" i="54" s="1"/>
  <c r="DX149" i="54"/>
  <c r="EA149" i="54" s="1"/>
  <c r="DX40" i="54"/>
  <c r="EA40" i="54" s="1"/>
  <c r="DW215" i="54"/>
  <c r="DZ215" i="54" s="1"/>
  <c r="BF21" i="54"/>
  <c r="BF14" i="54"/>
  <c r="CC5" i="54"/>
  <c r="CF5" i="54"/>
  <c r="CD5" i="54"/>
  <c r="CS7" i="54"/>
  <c r="DE3" i="54" s="1"/>
  <c r="BF20" i="54"/>
  <c r="CH3" i="54"/>
  <c r="CL7" i="54" s="1"/>
  <c r="CC7" i="54"/>
  <c r="BF18" i="54"/>
  <c r="BF11" i="54"/>
  <c r="BF16" i="54"/>
  <c r="BF5" i="54" a="1"/>
  <c r="BF5" i="54" s="1"/>
  <c r="CD3" i="54"/>
  <c r="BF9" i="54" a="1"/>
  <c r="BF9" i="54" s="1"/>
  <c r="BF4" i="54" s="1"/>
  <c r="BF15" i="54"/>
  <c r="CF3" i="54"/>
  <c r="CF59" i="54" s="1"/>
  <c r="CE5" i="54"/>
  <c r="BF13" i="54"/>
  <c r="BF19" i="54"/>
  <c r="CF7" i="54"/>
  <c r="CS5" i="54"/>
  <c r="CI5" i="54"/>
  <c r="EV34" i="54"/>
  <c r="EW34" i="54"/>
  <c r="EX34" i="54"/>
  <c r="EW241" i="54"/>
  <c r="EV241" i="54"/>
  <c r="EX241" i="54"/>
  <c r="EX160" i="54"/>
  <c r="EV160" i="54"/>
  <c r="EW160" i="54"/>
  <c r="EX187" i="54"/>
  <c r="EW187" i="54"/>
  <c r="EV187" i="54"/>
  <c r="EX188" i="54"/>
  <c r="EW188" i="54"/>
  <c r="EV188" i="54"/>
  <c r="EV27" i="54"/>
  <c r="EW27" i="54"/>
  <c r="EX27" i="54"/>
  <c r="EW73" i="54"/>
  <c r="EV73" i="54"/>
  <c r="EX73" i="54"/>
  <c r="EX119" i="54"/>
  <c r="EV119" i="54"/>
  <c r="EW119" i="54"/>
  <c r="EW168" i="54"/>
  <c r="EV168" i="54"/>
  <c r="EX168" i="54"/>
  <c r="EX25" i="54"/>
  <c r="EW25" i="54"/>
  <c r="EV25" i="54"/>
  <c r="EX189" i="54"/>
  <c r="EV189" i="54"/>
  <c r="EW189" i="54"/>
  <c r="EW65" i="54"/>
  <c r="EV65" i="54"/>
  <c r="EX65" i="54"/>
  <c r="EW74" i="54"/>
  <c r="EV74" i="54"/>
  <c r="EX74" i="54"/>
  <c r="EX66" i="54"/>
  <c r="EW66" i="54"/>
  <c r="EV66" i="54"/>
  <c r="EV11" i="54"/>
  <c r="EW11" i="54"/>
  <c r="EX11" i="54"/>
  <c r="Y2" i="56"/>
  <c r="AB2" i="56" s="1"/>
  <c r="CI3" i="54"/>
  <c r="HY3" i="54" a="1"/>
  <c r="HY3" i="54" s="1"/>
  <c r="HZ3" i="54" s="1"/>
  <c r="IA3" i="54" s="1"/>
  <c r="HX3" i="54" a="1"/>
  <c r="HX3" i="54" s="1"/>
  <c r="HX4" i="54" a="1"/>
  <c r="HX4" i="54" s="1"/>
  <c r="HY4" i="54" a="1"/>
  <c r="HY4" i="54" s="1"/>
  <c r="HZ4" i="54" s="1"/>
  <c r="IA4" i="54" s="1"/>
  <c r="EX107" i="54"/>
  <c r="EV107" i="54"/>
  <c r="EW107" i="54"/>
  <c r="EV185" i="54"/>
  <c r="EX185" i="54"/>
  <c r="EW185" i="54"/>
  <c r="EX26" i="54"/>
  <c r="EW26" i="54"/>
  <c r="EV26" i="54"/>
  <c r="EX129" i="54"/>
  <c r="EV129" i="54"/>
  <c r="EW129" i="54"/>
  <c r="EX154" i="54"/>
  <c r="EV154" i="54"/>
  <c r="EW154" i="54"/>
  <c r="EX159" i="54"/>
  <c r="EW159" i="54"/>
  <c r="EV159" i="54"/>
  <c r="EV72" i="54"/>
  <c r="EX72" i="54"/>
  <c r="EW72" i="54"/>
  <c r="EW75" i="54"/>
  <c r="EV75" i="54"/>
  <c r="EX75" i="54"/>
  <c r="HY2" i="54" a="1"/>
  <c r="HY2" i="54" s="1"/>
  <c r="HZ2" i="54" s="1"/>
  <c r="IA2" i="54" s="1"/>
  <c r="HX2" i="54" a="1"/>
  <c r="HX2" i="54" s="1"/>
  <c r="EX250" i="54"/>
  <c r="EV250" i="54"/>
  <c r="EW250" i="54"/>
  <c r="EX200" i="54"/>
  <c r="EW200" i="54"/>
  <c r="EV200" i="54"/>
  <c r="EX186" i="54"/>
  <c r="EW186" i="54"/>
  <c r="EV186" i="54"/>
  <c r="EW18" i="54"/>
  <c r="EV18" i="54"/>
  <c r="EX18" i="54"/>
  <c r="EV19" i="54"/>
  <c r="EX19" i="54"/>
  <c r="EW19" i="54"/>
  <c r="EV16" i="54"/>
  <c r="EW16" i="54"/>
  <c r="EX16" i="54"/>
  <c r="EV120" i="54"/>
  <c r="EX120" i="54"/>
  <c r="EW120" i="54"/>
  <c r="EW222" i="54"/>
  <c r="EX222" i="54"/>
  <c r="EV222" i="54"/>
  <c r="EX121" i="54"/>
  <c r="EW121" i="54"/>
  <c r="EV121" i="54"/>
  <c r="EW122" i="54"/>
  <c r="EV122" i="54"/>
  <c r="EX122" i="54"/>
  <c r="EX176" i="54"/>
  <c r="EW176" i="54"/>
  <c r="EV176" i="54"/>
  <c r="EX177" i="54"/>
  <c r="EV177" i="54"/>
  <c r="EW177" i="54"/>
  <c r="EW221" i="54"/>
  <c r="EX221" i="54"/>
  <c r="EV221" i="54"/>
  <c r="DW79" i="54"/>
  <c r="DZ79" i="54" s="1"/>
  <c r="DX104" i="54"/>
  <c r="EA104" i="54" s="1"/>
  <c r="DX166" i="54"/>
  <c r="EA166" i="54" s="1"/>
  <c r="DX99" i="54"/>
  <c r="EA99" i="54" s="1"/>
  <c r="DW149" i="54"/>
  <c r="DZ149" i="54" s="1"/>
  <c r="DX113" i="54"/>
  <c r="EA113" i="54" s="1"/>
  <c r="DX69" i="54"/>
  <c r="EA69" i="54" s="1"/>
  <c r="DW66" i="54"/>
  <c r="DZ66" i="54" s="1"/>
  <c r="DW245" i="54"/>
  <c r="DZ245" i="54" s="1"/>
  <c r="DX246" i="54"/>
  <c r="EA246" i="54" s="1"/>
  <c r="DW40" i="54"/>
  <c r="DZ40" i="54" s="1"/>
  <c r="DX167" i="54"/>
  <c r="EA167" i="54" s="1"/>
  <c r="DX153" i="54"/>
  <c r="DX15" i="54"/>
  <c r="EA15" i="54" s="1"/>
  <c r="DW214" i="54"/>
  <c r="DZ214" i="54" s="1"/>
  <c r="EX190" i="54"/>
  <c r="EV190" i="54"/>
  <c r="EW190" i="54"/>
  <c r="EX195" i="54"/>
  <c r="EW195" i="54"/>
  <c r="EV195" i="54"/>
  <c r="EX230" i="54"/>
  <c r="EW230" i="54"/>
  <c r="EV230" i="54"/>
  <c r="EW68" i="54"/>
  <c r="EV68" i="54"/>
  <c r="EX68" i="54"/>
  <c r="EW69" i="54"/>
  <c r="EV69" i="54"/>
  <c r="EX69" i="54"/>
  <c r="EV113" i="54"/>
  <c r="EW113" i="54"/>
  <c r="EX113" i="54"/>
  <c r="EX170" i="54"/>
  <c r="EW170" i="54"/>
  <c r="EV170" i="54"/>
  <c r="EW217" i="54"/>
  <c r="EV217" i="54"/>
  <c r="EX217" i="54"/>
  <c r="EV218" i="54"/>
  <c r="EX218" i="54"/>
  <c r="EW218" i="54"/>
  <c r="DX244" i="54"/>
  <c r="EA244" i="54" s="1"/>
  <c r="DX264" i="54"/>
  <c r="EA264" i="54" s="1"/>
  <c r="DW187" i="54"/>
  <c r="DZ187" i="54" s="1"/>
  <c r="DX175" i="54"/>
  <c r="DX185" i="54"/>
  <c r="DX196" i="54"/>
  <c r="EA196" i="54" s="1"/>
  <c r="DX105" i="54"/>
  <c r="EA105" i="54" s="1"/>
  <c r="DX171" i="54"/>
  <c r="EA171" i="54" s="1"/>
  <c r="DW19" i="54"/>
  <c r="DZ19" i="54" s="1"/>
  <c r="DX250" i="54"/>
  <c r="EA250" i="54" s="1"/>
  <c r="DW30" i="54"/>
  <c r="DZ30" i="54" s="1"/>
  <c r="DX169" i="54"/>
  <c r="EA169" i="54" s="1"/>
  <c r="DX87" i="54"/>
  <c r="DX142" i="54"/>
  <c r="EA142" i="54" s="1"/>
  <c r="DW262" i="54"/>
  <c r="DZ262" i="54" s="1"/>
  <c r="DX117" i="54"/>
  <c r="EV106" i="54"/>
  <c r="EW106" i="54"/>
  <c r="EX106" i="54"/>
  <c r="EX138" i="54"/>
  <c r="EW138" i="54"/>
  <c r="EV138" i="54"/>
  <c r="EW101" i="54"/>
  <c r="EV101" i="54"/>
  <c r="EX101" i="54"/>
  <c r="EW155" i="54"/>
  <c r="EX155" i="54"/>
  <c r="EV155" i="54"/>
  <c r="EX156" i="54"/>
  <c r="EW156" i="54"/>
  <c r="EV156" i="54"/>
  <c r="EX212" i="54"/>
  <c r="EW212" i="54"/>
  <c r="EV212" i="54"/>
  <c r="EX213" i="54"/>
  <c r="EV213" i="54"/>
  <c r="EW213" i="54"/>
  <c r="EX48" i="54"/>
  <c r="EW48" i="54"/>
  <c r="EV48" i="54"/>
  <c r="EV57" i="54"/>
  <c r="EW57" i="54"/>
  <c r="EX57" i="54"/>
  <c r="DX28" i="54"/>
  <c r="EA28" i="54" s="1"/>
  <c r="DW161" i="54"/>
  <c r="DZ161" i="54" s="1"/>
  <c r="DX228" i="54"/>
  <c r="EA228" i="54" s="1"/>
  <c r="DX242" i="54"/>
  <c r="EA242" i="54" s="1"/>
  <c r="DW207" i="54"/>
  <c r="DZ207" i="54" s="1"/>
  <c r="DX190" i="54"/>
  <c r="EA190" i="54" s="1"/>
  <c r="DW265" i="54"/>
  <c r="DX127" i="54"/>
  <c r="DW225" i="54"/>
  <c r="DZ225" i="54" s="1"/>
  <c r="DX234" i="54"/>
  <c r="EA234" i="54" s="1"/>
  <c r="EX133" i="54"/>
  <c r="EW133" i="54"/>
  <c r="EV133" i="54"/>
  <c r="EX45" i="54"/>
  <c r="EV45" i="54"/>
  <c r="EW45" i="54"/>
  <c r="DW110" i="54"/>
  <c r="DZ110" i="54" s="1"/>
  <c r="DX75" i="54"/>
  <c r="EA75" i="54" s="1"/>
  <c r="DX12" i="54"/>
  <c r="EA12" i="54" s="1"/>
  <c r="DX26" i="54"/>
  <c r="EA26" i="54" s="1"/>
  <c r="DX140" i="54"/>
  <c r="DX237" i="54"/>
  <c r="EA237" i="54" s="1"/>
  <c r="DW168" i="54"/>
  <c r="DZ168" i="54" s="1"/>
  <c r="DX92" i="54"/>
  <c r="DX18" i="54"/>
  <c r="EA18" i="54" s="1"/>
  <c r="EW251" i="54"/>
  <c r="EX251" i="54"/>
  <c r="EV251" i="54"/>
  <c r="EX96" i="54"/>
  <c r="EW96" i="54"/>
  <c r="EV96" i="54"/>
  <c r="EW104" i="54"/>
  <c r="EV104" i="54"/>
  <c r="EX104" i="54"/>
  <c r="EW191" i="54"/>
  <c r="EV191" i="54"/>
  <c r="EX191" i="54"/>
  <c r="EX29" i="54"/>
  <c r="EW29" i="54"/>
  <c r="EV29" i="54"/>
  <c r="EX28" i="54"/>
  <c r="EV28" i="54"/>
  <c r="EW28" i="54"/>
  <c r="EX83" i="54"/>
  <c r="EV83" i="54"/>
  <c r="EW83" i="54"/>
  <c r="EW84" i="54"/>
  <c r="EV84" i="54"/>
  <c r="EX84" i="54"/>
  <c r="EX132" i="54"/>
  <c r="EW132" i="54"/>
  <c r="EV132" i="54"/>
  <c r="EV140" i="54"/>
  <c r="EX140" i="54"/>
  <c r="EW140" i="54"/>
  <c r="DW176" i="54"/>
  <c r="DZ176" i="54" s="1"/>
  <c r="DW255" i="54"/>
  <c r="DZ255" i="54" s="1"/>
  <c r="DW78" i="54"/>
  <c r="DZ78" i="54" s="1"/>
  <c r="DX268" i="54"/>
  <c r="EA268" i="54" s="1"/>
  <c r="DX67" i="54"/>
  <c r="EA67" i="54" s="1"/>
  <c r="DX21" i="54"/>
  <c r="EA21" i="54" s="1"/>
  <c r="DX241" i="54"/>
  <c r="EA241" i="54" s="1"/>
  <c r="DX164" i="54"/>
  <c r="DX35" i="54"/>
  <c r="EA35" i="54" s="1"/>
  <c r="DX209" i="54"/>
  <c r="EA209" i="54" s="1"/>
  <c r="DX133" i="54"/>
  <c r="EA133" i="54" s="1"/>
  <c r="DX184" i="54"/>
  <c r="EA184" i="54" s="1"/>
  <c r="EX164" i="54"/>
  <c r="EW164" i="54"/>
  <c r="EV164" i="54"/>
  <c r="EX243" i="54"/>
  <c r="EW243" i="54"/>
  <c r="EV243" i="54"/>
  <c r="EW17" i="54"/>
  <c r="EV17" i="54"/>
  <c r="EX17" i="54"/>
  <c r="EX31" i="54"/>
  <c r="EW31" i="54"/>
  <c r="EV31" i="54"/>
  <c r="EX79" i="54"/>
  <c r="EW79" i="54"/>
  <c r="EV79" i="54"/>
  <c r="EW80" i="54"/>
  <c r="EV80" i="54"/>
  <c r="EX80" i="54"/>
  <c r="EX81" i="54"/>
  <c r="EV81" i="54"/>
  <c r="EW81" i="54"/>
  <c r="EX135" i="54"/>
  <c r="EW135" i="54"/>
  <c r="EV135" i="54"/>
  <c r="EW180" i="54"/>
  <c r="EV180" i="54"/>
  <c r="EX180" i="54"/>
  <c r="DW166" i="54"/>
  <c r="DZ166" i="54" s="1"/>
  <c r="DW99" i="54"/>
  <c r="DZ99" i="54" s="1"/>
  <c r="DW113" i="54"/>
  <c r="DZ113" i="54" s="1"/>
  <c r="DW69" i="54"/>
  <c r="DZ69" i="54" s="1"/>
  <c r="DW102" i="54"/>
  <c r="DZ102" i="54" s="1"/>
  <c r="DX66" i="54"/>
  <c r="EA66" i="54" s="1"/>
  <c r="DW167" i="54"/>
  <c r="DZ167" i="54" s="1"/>
  <c r="DW153" i="54"/>
  <c r="DZ153" i="54" s="1"/>
  <c r="DW15" i="54"/>
  <c r="EW236" i="54"/>
  <c r="EV236" i="54"/>
  <c r="EX236" i="54"/>
  <c r="EV161" i="54"/>
  <c r="EX161" i="54"/>
  <c r="EW161" i="54"/>
  <c r="EW162" i="54"/>
  <c r="EV162" i="54"/>
  <c r="EX162" i="54"/>
  <c r="EX163" i="54"/>
  <c r="EW163" i="54"/>
  <c r="EV163" i="54"/>
  <c r="EW256" i="54"/>
  <c r="EV256" i="54"/>
  <c r="EX256" i="54"/>
  <c r="EV263" i="54"/>
  <c r="EW263" i="54"/>
  <c r="EX263" i="54"/>
  <c r="DW244" i="54"/>
  <c r="DZ244" i="54" s="1"/>
  <c r="DX213" i="54"/>
  <c r="EA213" i="54" s="1"/>
  <c r="DW175" i="54"/>
  <c r="DZ175" i="54" s="1"/>
  <c r="DX73" i="54"/>
  <c r="EA73" i="54" s="1"/>
  <c r="DW185" i="54"/>
  <c r="DZ185" i="54" s="1"/>
  <c r="DW196" i="54"/>
  <c r="DW105" i="54"/>
  <c r="DZ105" i="54" s="1"/>
  <c r="DW171" i="54"/>
  <c r="DZ171" i="54" s="1"/>
  <c r="DW250" i="54"/>
  <c r="DZ250" i="54" s="1"/>
  <c r="DX107" i="54"/>
  <c r="EA107" i="54" s="1"/>
  <c r="DW24" i="54"/>
  <c r="DZ24" i="54" s="1"/>
  <c r="DX30" i="54"/>
  <c r="EA30" i="54" s="1"/>
  <c r="DW169" i="54"/>
  <c r="DZ169" i="54" s="1"/>
  <c r="DW87" i="54"/>
  <c r="DZ87" i="54" s="1"/>
  <c r="DW142" i="54"/>
  <c r="DZ142" i="54" s="1"/>
  <c r="DX163" i="54"/>
  <c r="EA163" i="54" s="1"/>
  <c r="DW117" i="54"/>
  <c r="DZ117" i="54" s="1"/>
  <c r="EV179" i="54"/>
  <c r="EW179" i="54"/>
  <c r="EX179" i="54"/>
  <c r="EX21" i="54"/>
  <c r="EV21" i="54"/>
  <c r="EW21" i="54"/>
  <c r="EV158" i="54"/>
  <c r="EX158" i="54"/>
  <c r="EW158" i="54"/>
  <c r="EX49" i="54"/>
  <c r="EW49" i="54"/>
  <c r="EV49" i="54"/>
  <c r="DW28" i="54"/>
  <c r="DZ28" i="54" s="1"/>
  <c r="DW216" i="54"/>
  <c r="DZ216" i="54" s="1"/>
  <c r="DX232" i="54"/>
  <c r="EA232" i="54" s="1"/>
  <c r="DW243" i="54"/>
  <c r="DZ243" i="54" s="1"/>
  <c r="DX206" i="54"/>
  <c r="EA206" i="54" s="1"/>
  <c r="DX257" i="54"/>
  <c r="EA257" i="54" s="1"/>
  <c r="DX85" i="54"/>
  <c r="DX154" i="54"/>
  <c r="EA154" i="54" s="1"/>
  <c r="DX65" i="54"/>
  <c r="EA65" i="54" s="1"/>
  <c r="DW71" i="54"/>
  <c r="DZ71" i="54" s="1"/>
  <c r="DW210" i="54"/>
  <c r="DX189" i="54"/>
  <c r="EA189" i="54" s="1"/>
  <c r="EW174" i="54"/>
  <c r="EV174" i="54"/>
  <c r="EX174" i="54"/>
  <c r="EX54" i="54"/>
  <c r="EW54" i="54"/>
  <c r="EV54" i="54"/>
  <c r="EV149" i="54"/>
  <c r="EW149" i="54"/>
  <c r="EX149" i="54"/>
  <c r="EW206" i="54"/>
  <c r="EV206" i="54"/>
  <c r="EX206" i="54"/>
  <c r="EV253" i="54"/>
  <c r="EX253" i="54"/>
  <c r="EW253" i="54"/>
  <c r="EX254" i="54"/>
  <c r="EW254" i="54"/>
  <c r="EV254" i="54"/>
  <c r="EW255" i="54"/>
  <c r="EV255" i="54"/>
  <c r="EX255" i="54"/>
  <c r="EV41" i="54"/>
  <c r="EW41" i="54"/>
  <c r="EX41" i="54"/>
  <c r="DX111" i="54"/>
  <c r="EA111" i="54" s="1"/>
  <c r="DW75" i="54"/>
  <c r="DZ75" i="54" s="1"/>
  <c r="DW208" i="54"/>
  <c r="DX37" i="54"/>
  <c r="EA37" i="54" s="1"/>
  <c r="DX181" i="54"/>
  <c r="EA181" i="54" s="1"/>
  <c r="DX221" i="54"/>
  <c r="EA221" i="54" s="1"/>
  <c r="DW26" i="54"/>
  <c r="DZ26" i="54" s="1"/>
  <c r="DW140" i="54"/>
  <c r="DZ140" i="54" s="1"/>
  <c r="DW237" i="54"/>
  <c r="DZ237" i="54" s="1"/>
  <c r="DX200" i="54"/>
  <c r="EA200" i="54" s="1"/>
  <c r="DX251" i="54"/>
  <c r="EA251" i="54" s="1"/>
  <c r="DX168" i="54"/>
  <c r="DW92" i="54"/>
  <c r="DZ92" i="54" s="1"/>
  <c r="DX137" i="54"/>
  <c r="EA137" i="54" s="1"/>
  <c r="EX35" i="54"/>
  <c r="EV35" i="54"/>
  <c r="EW35" i="54"/>
  <c r="EX105" i="54"/>
  <c r="EV105" i="54"/>
  <c r="EW105" i="54"/>
  <c r="DX254" i="54"/>
  <c r="EA254" i="54" s="1"/>
  <c r="DX255" i="54"/>
  <c r="EA255" i="54" s="1"/>
  <c r="DX238" i="54"/>
  <c r="EA238" i="54" s="1"/>
  <c r="DX78" i="54"/>
  <c r="EA78" i="54" s="1"/>
  <c r="DW268" i="54"/>
  <c r="DZ268" i="54" s="1"/>
  <c r="DX63" i="54"/>
  <c r="EA63" i="54" s="1"/>
  <c r="DW67" i="54"/>
  <c r="DZ67" i="54" s="1"/>
  <c r="DX263" i="54"/>
  <c r="EA263" i="54" s="1"/>
  <c r="DW21" i="54"/>
  <c r="DZ21" i="54" s="1"/>
  <c r="DW241" i="54"/>
  <c r="DZ241" i="54" s="1"/>
  <c r="DW164" i="54"/>
  <c r="DZ164" i="54" s="1"/>
  <c r="DW35" i="54"/>
  <c r="DZ35" i="54" s="1"/>
  <c r="DW209" i="54"/>
  <c r="DZ209" i="54" s="1"/>
  <c r="DW133" i="54"/>
  <c r="DZ133" i="54" s="1"/>
  <c r="DW184" i="54"/>
  <c r="DZ184" i="54" s="1"/>
  <c r="EW205" i="54"/>
  <c r="EV205" i="54"/>
  <c r="EX205" i="54"/>
  <c r="EX22" i="54"/>
  <c r="EV22" i="54"/>
  <c r="EW22" i="54"/>
  <c r="EX78" i="54"/>
  <c r="EW78" i="54"/>
  <c r="EV78" i="54"/>
  <c r="EV175" i="54"/>
  <c r="EX175" i="54"/>
  <c r="EW175" i="54"/>
  <c r="EX202" i="54"/>
  <c r="EV202" i="54"/>
  <c r="EW202" i="54"/>
  <c r="EV223" i="54"/>
  <c r="EX223" i="54"/>
  <c r="EW223" i="54"/>
  <c r="DX233" i="54"/>
  <c r="EA233" i="54" s="1"/>
  <c r="DX68" i="54"/>
  <c r="EA68" i="54" s="1"/>
  <c r="DX147" i="54"/>
  <c r="EA147" i="54" s="1"/>
  <c r="DW134" i="54"/>
  <c r="DZ134" i="54" s="1"/>
  <c r="DX98" i="54"/>
  <c r="EA98" i="54" s="1"/>
  <c r="DX144" i="54"/>
  <c r="EA144" i="54" s="1"/>
  <c r="DX130" i="54"/>
  <c r="EA130" i="54" s="1"/>
  <c r="DW124" i="54"/>
  <c r="DZ124" i="54" s="1"/>
  <c r="DX102" i="54"/>
  <c r="EA102" i="54" s="1"/>
  <c r="DX49" i="54"/>
  <c r="EA49" i="54" s="1"/>
  <c r="DW240" i="54"/>
  <c r="DZ240" i="54" s="1"/>
  <c r="DX129" i="54"/>
  <c r="DX152" i="54"/>
  <c r="EA152" i="54" s="1"/>
  <c r="DX14" i="54"/>
  <c r="EA14" i="54" s="1"/>
  <c r="DX70" i="54"/>
  <c r="EX20" i="54"/>
  <c r="EW20" i="54"/>
  <c r="EV20" i="54"/>
  <c r="EX130" i="54"/>
  <c r="EV130" i="54"/>
  <c r="EW130" i="54"/>
  <c r="EW196" i="54"/>
  <c r="EV196" i="54"/>
  <c r="EX196" i="54"/>
  <c r="EW216" i="54"/>
  <c r="EX216" i="54"/>
  <c r="EV216" i="54"/>
  <c r="DW42" i="54"/>
  <c r="DZ42" i="54" s="1"/>
  <c r="DX145" i="54"/>
  <c r="EA145" i="54" s="1"/>
  <c r="DW213" i="54"/>
  <c r="DZ213" i="54" s="1"/>
  <c r="DW73" i="54"/>
  <c r="DZ73" i="54" s="1"/>
  <c r="DW160" i="54"/>
  <c r="DZ160" i="54" s="1"/>
  <c r="DX170" i="54"/>
  <c r="EA170" i="54" s="1"/>
  <c r="DX143" i="54"/>
  <c r="EA143" i="54" s="1"/>
  <c r="DW178" i="54"/>
  <c r="DZ178" i="54" s="1"/>
  <c r="DW107" i="54"/>
  <c r="DZ107" i="54" s="1"/>
  <c r="DX86" i="54"/>
  <c r="EA86" i="54" s="1"/>
  <c r="DW204" i="54"/>
  <c r="DZ204" i="54" s="1"/>
  <c r="DW163" i="54"/>
  <c r="DZ163" i="54" s="1"/>
  <c r="DX116" i="54"/>
  <c r="EW226" i="54"/>
  <c r="EX226" i="54"/>
  <c r="EV226" i="54"/>
  <c r="EX231" i="54"/>
  <c r="EW231" i="54"/>
  <c r="EV231" i="54"/>
  <c r="EV12" i="54"/>
  <c r="EX12" i="54"/>
  <c r="EW12" i="54"/>
  <c r="EX109" i="54"/>
  <c r="EW109" i="54"/>
  <c r="EV109" i="54"/>
  <c r="EW110" i="54"/>
  <c r="EV110" i="54"/>
  <c r="EX110" i="54"/>
  <c r="EX111" i="54"/>
  <c r="EW111" i="54"/>
  <c r="EV111" i="54"/>
  <c r="EX260" i="54"/>
  <c r="EW260" i="54"/>
  <c r="EV260" i="54"/>
  <c r="EX50" i="54"/>
  <c r="EW50" i="54"/>
  <c r="EV50" i="54"/>
  <c r="DW84" i="54"/>
  <c r="DZ84" i="54" s="1"/>
  <c r="DX216" i="54"/>
  <c r="EA216" i="54" s="1"/>
  <c r="DW232" i="54"/>
  <c r="DW206" i="54"/>
  <c r="DZ206" i="54" s="1"/>
  <c r="DW257" i="54"/>
  <c r="DW85" i="54"/>
  <c r="DZ85" i="54" s="1"/>
  <c r="DW154" i="54"/>
  <c r="DZ154" i="54" s="1"/>
  <c r="DW65" i="54"/>
  <c r="DZ65" i="54" s="1"/>
  <c r="DX210" i="54"/>
  <c r="EA210" i="54" s="1"/>
  <c r="DW189" i="54"/>
  <c r="DX173" i="54"/>
  <c r="DX226" i="54"/>
  <c r="EA226" i="54" s="1"/>
  <c r="DW162" i="54"/>
  <c r="DZ162" i="54" s="1"/>
  <c r="EV215" i="54"/>
  <c r="EW215" i="54"/>
  <c r="EX215" i="54"/>
  <c r="EW197" i="54"/>
  <c r="EV197" i="54"/>
  <c r="EX197" i="54"/>
  <c r="EW198" i="54"/>
  <c r="EX198" i="54"/>
  <c r="EV198" i="54"/>
  <c r="EX199" i="54"/>
  <c r="EW199" i="54"/>
  <c r="EV199" i="54"/>
  <c r="EV89" i="54"/>
  <c r="EX89" i="54"/>
  <c r="EW89" i="54"/>
  <c r="EX98" i="54"/>
  <c r="EW98" i="54"/>
  <c r="EV98" i="54"/>
  <c r="DX74" i="54"/>
  <c r="DX125" i="54"/>
  <c r="DW155" i="54"/>
  <c r="DZ155" i="54" s="1"/>
  <c r="DW181" i="54"/>
  <c r="DZ181" i="54" s="1"/>
  <c r="DX16" i="54"/>
  <c r="EA16" i="54" s="1"/>
  <c r="DX247" i="54"/>
  <c r="EA247" i="54" s="1"/>
  <c r="DX236" i="54"/>
  <c r="EA236" i="54" s="1"/>
  <c r="DX261" i="54"/>
  <c r="EA261" i="54" s="1"/>
  <c r="DW201" i="54"/>
  <c r="DX112" i="54"/>
  <c r="EA112" i="54" s="1"/>
  <c r="DW251" i="54"/>
  <c r="DZ251" i="54" s="1"/>
  <c r="DX80" i="54"/>
  <c r="EA80" i="54" s="1"/>
  <c r="DX220" i="54"/>
  <c r="EA220" i="54" s="1"/>
  <c r="DX10" i="54"/>
  <c r="EA10" i="54" s="1"/>
  <c r="DX81" i="54"/>
  <c r="EA81" i="54" s="1"/>
  <c r="EX82" i="54"/>
  <c r="EV82" i="54"/>
  <c r="EW82" i="54"/>
  <c r="EV87" i="54"/>
  <c r="EX87" i="54"/>
  <c r="EW87" i="54"/>
  <c r="EW232" i="54"/>
  <c r="EV232" i="54"/>
  <c r="EX232" i="54"/>
  <c r="EW239" i="54"/>
  <c r="EX239" i="54"/>
  <c r="EV239" i="54"/>
  <c r="EX247" i="54"/>
  <c r="EW247" i="54"/>
  <c r="EV247" i="54"/>
  <c r="EW38" i="54"/>
  <c r="EV38" i="54"/>
  <c r="EX38" i="54"/>
  <c r="EX39" i="54"/>
  <c r="EW39" i="54"/>
  <c r="EV39" i="54"/>
  <c r="EX86" i="54"/>
  <c r="EW86" i="54"/>
  <c r="EV86" i="54"/>
  <c r="EV131" i="54"/>
  <c r="EW131" i="54"/>
  <c r="EX131" i="54"/>
  <c r="DX151" i="54"/>
  <c r="DW115" i="54"/>
  <c r="DZ115" i="54" s="1"/>
  <c r="DW254" i="54"/>
  <c r="DZ254" i="54" s="1"/>
  <c r="DX11" i="54"/>
  <c r="EA11" i="54" s="1"/>
  <c r="DX172" i="54"/>
  <c r="EA172" i="54" s="1"/>
  <c r="DX53" i="54"/>
  <c r="DX47" i="54"/>
  <c r="EA47" i="54" s="1"/>
  <c r="DW63" i="54"/>
  <c r="DZ63" i="54" s="1"/>
  <c r="DX31" i="54"/>
  <c r="EA31" i="54" s="1"/>
  <c r="DX20" i="54"/>
  <c r="EA20" i="54" s="1"/>
  <c r="DX122" i="54"/>
  <c r="EA122" i="54" s="1"/>
  <c r="DX159" i="54"/>
  <c r="EA159" i="54" s="1"/>
  <c r="DX13" i="54"/>
  <c r="EA13" i="54" s="1"/>
  <c r="DX203" i="54"/>
  <c r="EA203" i="54" s="1"/>
  <c r="DX267" i="54"/>
  <c r="EA267" i="54" s="1"/>
  <c r="DX57" i="54"/>
  <c r="EA57" i="54" s="1"/>
  <c r="DX260" i="54"/>
  <c r="EA260" i="54" s="1"/>
  <c r="EV214" i="54"/>
  <c r="EW214" i="54"/>
  <c r="EX214" i="54"/>
  <c r="EW246" i="54"/>
  <c r="EX246" i="54"/>
  <c r="EV246" i="54"/>
  <c r="EW144" i="54"/>
  <c r="EV144" i="54"/>
  <c r="EX144" i="54"/>
  <c r="EX24" i="54"/>
  <c r="EW24" i="54"/>
  <c r="EV24" i="54"/>
  <c r="EX134" i="54"/>
  <c r="EW134" i="54"/>
  <c r="EV134" i="54"/>
  <c r="EX148" i="54"/>
  <c r="EV148" i="54"/>
  <c r="EW148" i="54"/>
  <c r="EV173" i="54"/>
  <c r="EX173" i="54"/>
  <c r="EW173" i="54"/>
  <c r="EX182" i="54"/>
  <c r="EW182" i="54"/>
  <c r="EV182" i="54"/>
  <c r="EX76" i="54"/>
  <c r="EV76" i="54"/>
  <c r="EW76" i="54"/>
  <c r="EV167" i="54"/>
  <c r="EW167" i="54"/>
  <c r="EX167" i="54"/>
  <c r="EX224" i="54"/>
  <c r="EW224" i="54"/>
  <c r="EV224" i="54"/>
  <c r="DW233" i="54"/>
  <c r="DZ233" i="54" s="1"/>
  <c r="DX79" i="54"/>
  <c r="DX259" i="54"/>
  <c r="EA259" i="54" s="1"/>
  <c r="DW68" i="54"/>
  <c r="DZ68" i="54" s="1"/>
  <c r="DW147" i="54"/>
  <c r="DZ147" i="54" s="1"/>
  <c r="DW98" i="54"/>
  <c r="DZ98" i="54" s="1"/>
  <c r="DW130" i="54"/>
  <c r="DZ130" i="54" s="1"/>
  <c r="DX121" i="54"/>
  <c r="EA121" i="54" s="1"/>
  <c r="DW49" i="54"/>
  <c r="DZ49" i="54" s="1"/>
  <c r="DX240" i="54"/>
  <c r="EA240" i="54" s="1"/>
  <c r="DX245" i="54"/>
  <c r="EA245" i="54" s="1"/>
  <c r="DW129" i="54"/>
  <c r="DZ129" i="54" s="1"/>
  <c r="DX91" i="54"/>
  <c r="EA91" i="54" s="1"/>
  <c r="DW152" i="54"/>
  <c r="DZ152" i="54" s="1"/>
  <c r="DW138" i="54"/>
  <c r="DZ138" i="54" s="1"/>
  <c r="DW14" i="54"/>
  <c r="DZ14" i="54" s="1"/>
  <c r="DW70" i="54"/>
  <c r="DZ70" i="54" s="1"/>
  <c r="DX214" i="54"/>
  <c r="EA214" i="54" s="1"/>
  <c r="EV61" i="54"/>
  <c r="EX61" i="54"/>
  <c r="EW61" i="54"/>
  <c r="EX67" i="54"/>
  <c r="EW67" i="54"/>
  <c r="EV67" i="54"/>
  <c r="EX114" i="54"/>
  <c r="EW114" i="54"/>
  <c r="EV114" i="54"/>
  <c r="EX115" i="54"/>
  <c r="EW115" i="54"/>
  <c r="EV115" i="54"/>
  <c r="EX116" i="54"/>
  <c r="EW116" i="54"/>
  <c r="EV116" i="54"/>
  <c r="EX171" i="54"/>
  <c r="EW171" i="54"/>
  <c r="EV171" i="54"/>
  <c r="EW264" i="54"/>
  <c r="EX264" i="54"/>
  <c r="EV264" i="54"/>
  <c r="DX17" i="54"/>
  <c r="EA17" i="54" s="1"/>
  <c r="DX42" i="54"/>
  <c r="EA42" i="54" s="1"/>
  <c r="DW145" i="54"/>
  <c r="DZ145" i="54" s="1"/>
  <c r="DW264" i="54"/>
  <c r="DZ264" i="54" s="1"/>
  <c r="DX212" i="54"/>
  <c r="EA212" i="54" s="1"/>
  <c r="DX139" i="54"/>
  <c r="EA139" i="54" s="1"/>
  <c r="DW170" i="54"/>
  <c r="DZ170" i="54" s="1"/>
  <c r="DW143" i="54"/>
  <c r="DZ143" i="54" s="1"/>
  <c r="DX19" i="54"/>
  <c r="EA19" i="54" s="1"/>
  <c r="DW86" i="54"/>
  <c r="DZ86" i="54" s="1"/>
  <c r="DX204" i="54"/>
  <c r="EA204" i="54" s="1"/>
  <c r="DX262" i="54"/>
  <c r="EA262" i="54" s="1"/>
  <c r="DX55" i="54"/>
  <c r="EA55" i="54" s="1"/>
  <c r="DW116" i="54"/>
  <c r="DZ116" i="54" s="1"/>
  <c r="EW10" i="54"/>
  <c r="EX10" i="54"/>
  <c r="EV10" i="54"/>
  <c r="EX15" i="54"/>
  <c r="EW15" i="54"/>
  <c r="EV15" i="54"/>
  <c r="EV268" i="54"/>
  <c r="EX268" i="54"/>
  <c r="EW268" i="54"/>
  <c r="EX13" i="54"/>
  <c r="EW13" i="54"/>
  <c r="EV13" i="54"/>
  <c r="EX14" i="54"/>
  <c r="EW14" i="54"/>
  <c r="EV14" i="54"/>
  <c r="EX58" i="54"/>
  <c r="EV58" i="54"/>
  <c r="EW58" i="54"/>
  <c r="EX184" i="54"/>
  <c r="EV184" i="54"/>
  <c r="EW184" i="54"/>
  <c r="EX203" i="54"/>
  <c r="EV203" i="54"/>
  <c r="EW203" i="54"/>
  <c r="EW211" i="54"/>
  <c r="EV211" i="54"/>
  <c r="EX211" i="54"/>
  <c r="EW258" i="54"/>
  <c r="EX258" i="54"/>
  <c r="EV258" i="54"/>
  <c r="EX259" i="54"/>
  <c r="EW259" i="54"/>
  <c r="EV259" i="54"/>
  <c r="DX64" i="54"/>
  <c r="DX83" i="54"/>
  <c r="EA83" i="54" s="1"/>
  <c r="DW186" i="54"/>
  <c r="DZ186" i="54" s="1"/>
  <c r="DW48" i="54"/>
  <c r="DZ48" i="54" s="1"/>
  <c r="DX253" i="54"/>
  <c r="EA253" i="54" s="1"/>
  <c r="DX32" i="54"/>
  <c r="DW180" i="54"/>
  <c r="DZ180" i="54" s="1"/>
  <c r="DX202" i="54"/>
  <c r="EA202" i="54" s="1"/>
  <c r="DW242" i="54"/>
  <c r="DX211" i="54"/>
  <c r="EA211" i="54" s="1"/>
  <c r="DW190" i="54"/>
  <c r="DZ190" i="54" s="1"/>
  <c r="DW60" i="54"/>
  <c r="DZ60" i="54" s="1"/>
  <c r="DW127" i="54"/>
  <c r="DZ127" i="54" s="1"/>
  <c r="DX188" i="54"/>
  <c r="EA188" i="54" s="1"/>
  <c r="DX46" i="54"/>
  <c r="EA46" i="54" s="1"/>
  <c r="DX123" i="54"/>
  <c r="EA123" i="54" s="1"/>
  <c r="DW96" i="54"/>
  <c r="DZ96" i="54" s="1"/>
  <c r="DX157" i="54"/>
  <c r="EA157" i="54" s="1"/>
  <c r="DX131" i="54"/>
  <c r="EV142" i="54"/>
  <c r="EW142" i="54"/>
  <c r="EX142" i="54"/>
  <c r="EX262" i="54"/>
  <c r="EV262" i="54"/>
  <c r="EW262" i="54"/>
  <c r="EV267" i="54"/>
  <c r="EX267" i="54"/>
  <c r="EW267" i="54"/>
  <c r="EX62" i="54"/>
  <c r="EW62" i="54"/>
  <c r="EV62" i="54"/>
  <c r="EX112" i="54"/>
  <c r="EV112" i="54"/>
  <c r="EW112" i="54"/>
  <c r="EV238" i="54"/>
  <c r="EW238" i="54"/>
  <c r="EX238" i="54"/>
  <c r="DX110" i="54"/>
  <c r="DW74" i="54"/>
  <c r="DZ74" i="54" s="1"/>
  <c r="DX227" i="54"/>
  <c r="EA227" i="54" s="1"/>
  <c r="DW125" i="54"/>
  <c r="DZ125" i="54" s="1"/>
  <c r="DW12" i="54"/>
  <c r="DX177" i="54"/>
  <c r="EA177" i="54" s="1"/>
  <c r="DW16" i="54"/>
  <c r="DW247" i="54"/>
  <c r="DZ247" i="54" s="1"/>
  <c r="DW236" i="54"/>
  <c r="DZ236" i="54" s="1"/>
  <c r="DW261" i="54"/>
  <c r="DZ261" i="54" s="1"/>
  <c r="DW112" i="54"/>
  <c r="DZ112" i="54" s="1"/>
  <c r="DX229" i="54"/>
  <c r="EA229" i="54" s="1"/>
  <c r="DW80" i="54"/>
  <c r="DZ80" i="54" s="1"/>
  <c r="DW220" i="54"/>
  <c r="DZ220" i="54" s="1"/>
  <c r="DW90" i="54"/>
  <c r="DZ90" i="54" s="1"/>
  <c r="DW10" i="54"/>
  <c r="DZ10" i="54" s="1"/>
  <c r="DW81" i="54"/>
  <c r="DZ81" i="54" s="1"/>
  <c r="EX128" i="54"/>
  <c r="EW128" i="54"/>
  <c r="EV128" i="54"/>
  <c r="EX166" i="54"/>
  <c r="EV166" i="54"/>
  <c r="EW166" i="54"/>
  <c r="EX37" i="54"/>
  <c r="EW37" i="54"/>
  <c r="EV37" i="54"/>
  <c r="EW139" i="54"/>
  <c r="EV139" i="54"/>
  <c r="EX139" i="54"/>
  <c r="DW151" i="54"/>
  <c r="DZ151" i="54" s="1"/>
  <c r="DW11" i="54"/>
  <c r="DZ11" i="54" s="1"/>
  <c r="DW172" i="54"/>
  <c r="DZ172" i="54" s="1"/>
  <c r="DX136" i="54"/>
  <c r="DW53" i="54"/>
  <c r="DZ53" i="54" s="1"/>
  <c r="DW47" i="54"/>
  <c r="DZ47" i="54" s="1"/>
  <c r="DX62" i="54"/>
  <c r="EA62" i="54" s="1"/>
  <c r="DW31" i="54"/>
  <c r="DZ31" i="54" s="1"/>
  <c r="DW36" i="54"/>
  <c r="DZ36" i="54" s="1"/>
  <c r="DW20" i="54"/>
  <c r="DZ20" i="54" s="1"/>
  <c r="DW122" i="54"/>
  <c r="DZ122" i="54" s="1"/>
  <c r="DW159" i="54"/>
  <c r="DZ159" i="54" s="1"/>
  <c r="DW13" i="54"/>
  <c r="DW203" i="54"/>
  <c r="DZ203" i="54" s="1"/>
  <c r="DW267" i="54"/>
  <c r="DZ267" i="54" s="1"/>
  <c r="DW57" i="54"/>
  <c r="DZ57" i="54" s="1"/>
  <c r="DX239" i="54"/>
  <c r="EA239" i="54" s="1"/>
  <c r="DW260" i="54"/>
  <c r="DZ260" i="54" s="1"/>
  <c r="EX30" i="54"/>
  <c r="EV30" i="54"/>
  <c r="EW30" i="54"/>
  <c r="EX100" i="54"/>
  <c r="EV100" i="54"/>
  <c r="EW100" i="54"/>
  <c r="EV242" i="54"/>
  <c r="EX242" i="54"/>
  <c r="EW242" i="54"/>
  <c r="EX32" i="54"/>
  <c r="EW32" i="54"/>
  <c r="EV32" i="54"/>
  <c r="EW33" i="54"/>
  <c r="EX33" i="54"/>
  <c r="EV33" i="54"/>
  <c r="EW77" i="54"/>
  <c r="EX77" i="54"/>
  <c r="EV77" i="54"/>
  <c r="EX126" i="54"/>
  <c r="EW126" i="54"/>
  <c r="EV126" i="54"/>
  <c r="EX181" i="54"/>
  <c r="EV181" i="54"/>
  <c r="EW181" i="54"/>
  <c r="EW183" i="54"/>
  <c r="EV183" i="54"/>
  <c r="EX183" i="54"/>
  <c r="EV136" i="54"/>
  <c r="EW136" i="54"/>
  <c r="EX136" i="54"/>
  <c r="EX225" i="54"/>
  <c r="EV225" i="54"/>
  <c r="EW225" i="54"/>
  <c r="DX258" i="54"/>
  <c r="EA258" i="54" s="1"/>
  <c r="DX197" i="54"/>
  <c r="EA197" i="54" s="1"/>
  <c r="DW259" i="54"/>
  <c r="DX223" i="54"/>
  <c r="EA223" i="54" s="1"/>
  <c r="DX146" i="54"/>
  <c r="EA146" i="54" s="1"/>
  <c r="DX94" i="54"/>
  <c r="EA94" i="54" s="1"/>
  <c r="DX235" i="54"/>
  <c r="EA235" i="54" s="1"/>
  <c r="DW121" i="54"/>
  <c r="DZ121" i="54" s="1"/>
  <c r="DX128" i="54"/>
  <c r="EA128" i="54" s="1"/>
  <c r="DX95" i="54"/>
  <c r="EA95" i="54" s="1"/>
  <c r="DX215" i="54"/>
  <c r="EA215" i="54" s="1"/>
  <c r="DW91" i="54"/>
  <c r="DZ91" i="54" s="1"/>
  <c r="EX70" i="54"/>
  <c r="EV70" i="54"/>
  <c r="EW70" i="54"/>
  <c r="EX23" i="54"/>
  <c r="EV23" i="54"/>
  <c r="EW23" i="54"/>
  <c r="EX102" i="54"/>
  <c r="EW102" i="54"/>
  <c r="EV102" i="54"/>
  <c r="EW208" i="54"/>
  <c r="EV208" i="54"/>
  <c r="EX208" i="54"/>
  <c r="EW227" i="54"/>
  <c r="EX227" i="54"/>
  <c r="EV227" i="54"/>
  <c r="EX237" i="54"/>
  <c r="EV237" i="54"/>
  <c r="EW237" i="54"/>
  <c r="EV59" i="54"/>
  <c r="EW59" i="54"/>
  <c r="EX59" i="54"/>
  <c r="EX117" i="54"/>
  <c r="EV117" i="54"/>
  <c r="EW117" i="54"/>
  <c r="EW265" i="54"/>
  <c r="EV265" i="54"/>
  <c r="EX265" i="54"/>
  <c r="DW17" i="54"/>
  <c r="DZ17" i="54" s="1"/>
  <c r="DW120" i="54"/>
  <c r="DZ120" i="54" s="1"/>
  <c r="DX43" i="54"/>
  <c r="EA43" i="54" s="1"/>
  <c r="DX109" i="54"/>
  <c r="DW212" i="54"/>
  <c r="DZ212" i="54" s="1"/>
  <c r="DW139" i="54"/>
  <c r="DZ139" i="54" s="1"/>
  <c r="DX141" i="54"/>
  <c r="DX24" i="54"/>
  <c r="EA24" i="54" s="1"/>
  <c r="DX76" i="54"/>
  <c r="EA76" i="54" s="1"/>
  <c r="DW132" i="54"/>
  <c r="DZ132" i="54" s="1"/>
  <c r="DX193" i="54"/>
  <c r="EA193" i="54" s="1"/>
  <c r="DX179" i="54"/>
  <c r="EA179" i="54" s="1"/>
  <c r="DW55" i="54"/>
  <c r="DZ55" i="54" s="1"/>
  <c r="DX224" i="54"/>
  <c r="EA224" i="54" s="1"/>
  <c r="EV56" i="54"/>
  <c r="EX56" i="54"/>
  <c r="EW56" i="54"/>
  <c r="EX124" i="54"/>
  <c r="EV124" i="54"/>
  <c r="EW124" i="54"/>
  <c r="EX204" i="54"/>
  <c r="EV204" i="54"/>
  <c r="EW204" i="54"/>
  <c r="EV244" i="54"/>
  <c r="EX244" i="54"/>
  <c r="EW244" i="54"/>
  <c r="EX261" i="54"/>
  <c r="EV261" i="54"/>
  <c r="EW261" i="54"/>
  <c r="EW47" i="54"/>
  <c r="EX47" i="54"/>
  <c r="EV47" i="54"/>
  <c r="DW64" i="54"/>
  <c r="DZ64" i="54" s="1"/>
  <c r="DW83" i="54"/>
  <c r="DZ83" i="54" s="1"/>
  <c r="DX186" i="54"/>
  <c r="EA186" i="54" s="1"/>
  <c r="DW150" i="54"/>
  <c r="DZ150" i="54" s="1"/>
  <c r="DX48" i="54"/>
  <c r="DW253" i="54"/>
  <c r="DZ253" i="54" s="1"/>
  <c r="DW32" i="54"/>
  <c r="DZ32" i="54" s="1"/>
  <c r="DX180" i="54"/>
  <c r="DW202" i="54"/>
  <c r="DX243" i="54"/>
  <c r="EA243" i="54" s="1"/>
  <c r="DW211" i="54"/>
  <c r="DZ211" i="54" s="1"/>
  <c r="DX60" i="54"/>
  <c r="DX41" i="54"/>
  <c r="DX71" i="54"/>
  <c r="EA71" i="54" s="1"/>
  <c r="DW188" i="54"/>
  <c r="DZ188" i="54" s="1"/>
  <c r="DW46" i="54"/>
  <c r="DZ46" i="54" s="1"/>
  <c r="DW123" i="54"/>
  <c r="DZ123" i="54" s="1"/>
  <c r="DX96" i="54"/>
  <c r="EA96" i="54" s="1"/>
  <c r="DW157" i="54"/>
  <c r="DZ157" i="54" s="1"/>
  <c r="DW131" i="54"/>
  <c r="DZ131" i="54" s="1"/>
  <c r="EX46" i="54"/>
  <c r="EV46" i="54"/>
  <c r="EW46" i="54"/>
  <c r="EX51" i="54"/>
  <c r="EW51" i="54"/>
  <c r="EV51" i="54"/>
  <c r="EX151" i="54"/>
  <c r="EW151" i="54"/>
  <c r="EV151" i="54"/>
  <c r="EV152" i="54"/>
  <c r="EX152" i="54"/>
  <c r="EW152" i="54"/>
  <c r="EV207" i="54"/>
  <c r="EX207" i="54"/>
  <c r="EW207" i="54"/>
  <c r="EW252" i="54"/>
  <c r="EX252" i="54"/>
  <c r="EV252" i="54"/>
  <c r="EX44" i="54"/>
  <c r="EW44" i="54"/>
  <c r="EV44" i="54"/>
  <c r="EW90" i="54"/>
  <c r="EV90" i="54"/>
  <c r="EX90" i="54"/>
  <c r="EX91" i="54"/>
  <c r="EW91" i="54"/>
  <c r="EV91" i="54"/>
  <c r="DW111" i="54"/>
  <c r="DZ111" i="54" s="1"/>
  <c r="DW227" i="54"/>
  <c r="DZ227" i="54" s="1"/>
  <c r="DX191" i="54"/>
  <c r="EA191" i="54" s="1"/>
  <c r="DX89" i="54"/>
  <c r="EA89" i="54" s="1"/>
  <c r="DW37" i="54"/>
  <c r="DZ37" i="54" s="1"/>
  <c r="DW221" i="54"/>
  <c r="DZ221" i="54" s="1"/>
  <c r="DW177" i="54"/>
  <c r="DZ177" i="54" s="1"/>
  <c r="DX27" i="54"/>
  <c r="EA27" i="54" s="1"/>
  <c r="DW252" i="54"/>
  <c r="DZ252" i="54" s="1"/>
  <c r="DX101" i="54"/>
  <c r="DW200" i="54"/>
  <c r="DZ200" i="54" s="1"/>
  <c r="DX88" i="54"/>
  <c r="EA88" i="54" s="1"/>
  <c r="DX118" i="54"/>
  <c r="EA118" i="54" s="1"/>
  <c r="DW229" i="54"/>
  <c r="DZ229" i="54" s="1"/>
  <c r="DX93" i="54"/>
  <c r="DX90" i="54"/>
  <c r="EA90" i="54" s="1"/>
  <c r="DW137" i="54"/>
  <c r="DZ137" i="54" s="1"/>
  <c r="DW198" i="54"/>
  <c r="DZ198" i="54" s="1"/>
  <c r="EX178" i="54"/>
  <c r="EV178" i="54"/>
  <c r="EW178" i="54"/>
  <c r="EV169" i="54"/>
  <c r="EX169" i="54"/>
  <c r="EW169" i="54"/>
  <c r="EV95" i="54"/>
  <c r="EW95" i="54"/>
  <c r="EX95" i="54"/>
  <c r="EV103" i="54"/>
  <c r="EX103" i="54"/>
  <c r="EW103" i="54"/>
  <c r="EV194" i="54"/>
  <c r="EX194" i="54"/>
  <c r="EW194" i="54"/>
  <c r="EX201" i="54"/>
  <c r="EV201" i="54"/>
  <c r="EW201" i="54"/>
  <c r="EV240" i="54"/>
  <c r="EW240" i="54"/>
  <c r="EX240" i="54"/>
  <c r="EX93" i="54"/>
  <c r="EV93" i="54"/>
  <c r="EW93" i="54"/>
  <c r="DW238" i="54"/>
  <c r="DW136" i="54"/>
  <c r="DZ136" i="54" s="1"/>
  <c r="DX22" i="54"/>
  <c r="EA22" i="54" s="1"/>
  <c r="DW62" i="54"/>
  <c r="DZ62" i="54" s="1"/>
  <c r="DX248" i="54"/>
  <c r="EA248" i="54" s="1"/>
  <c r="DW263" i="54"/>
  <c r="DX36" i="54"/>
  <c r="EA36" i="54" s="1"/>
  <c r="DX148" i="54"/>
  <c r="DX158" i="54"/>
  <c r="EA158" i="54" s="1"/>
  <c r="DX165" i="54"/>
  <c r="EA165" i="54" s="1"/>
  <c r="DX266" i="54"/>
  <c r="EA266" i="54" s="1"/>
  <c r="DX59" i="54"/>
  <c r="EA59" i="54" s="1"/>
  <c r="DX56" i="54"/>
  <c r="EA56" i="54" s="1"/>
  <c r="EX71" i="54"/>
  <c r="EV71" i="54"/>
  <c r="EW71" i="54"/>
  <c r="EV137" i="54"/>
  <c r="EX137" i="54"/>
  <c r="EW137" i="54"/>
  <c r="EX145" i="54"/>
  <c r="EW145" i="54"/>
  <c r="EV145" i="54"/>
  <c r="EW233" i="54"/>
  <c r="EV233" i="54"/>
  <c r="EX233" i="54"/>
  <c r="EV234" i="54"/>
  <c r="EW234" i="54"/>
  <c r="EX234" i="54"/>
  <c r="EV125" i="54"/>
  <c r="EX125" i="54"/>
  <c r="EW125" i="54"/>
  <c r="EX143" i="54"/>
  <c r="EV143" i="54"/>
  <c r="EW143" i="54"/>
  <c r="EW228" i="54"/>
  <c r="EX228" i="54"/>
  <c r="EV228" i="54"/>
  <c r="EW229" i="54"/>
  <c r="EV229" i="54"/>
  <c r="EX229" i="54"/>
  <c r="EX60" i="54"/>
  <c r="EW60" i="54"/>
  <c r="EV60" i="54"/>
  <c r="EV64" i="54"/>
  <c r="EX64" i="54"/>
  <c r="EW64" i="54"/>
  <c r="EW209" i="54"/>
  <c r="EX209" i="54"/>
  <c r="EV209" i="54"/>
  <c r="EX219" i="54"/>
  <c r="EW219" i="54"/>
  <c r="EV219" i="54"/>
  <c r="EX266" i="54"/>
  <c r="EW266" i="54"/>
  <c r="EV266" i="54"/>
  <c r="DX45" i="54"/>
  <c r="EA45" i="54" s="1"/>
  <c r="DW45" i="54"/>
  <c r="DZ45" i="54" s="1"/>
  <c r="DX120" i="54"/>
  <c r="EA120" i="54" s="1"/>
  <c r="DW43" i="54"/>
  <c r="DZ43" i="54" s="1"/>
  <c r="DW109" i="54"/>
  <c r="DZ109" i="54" s="1"/>
  <c r="DX187" i="54"/>
  <c r="EA187" i="54" s="1"/>
  <c r="DW141" i="54"/>
  <c r="DZ141" i="54" s="1"/>
  <c r="DX160" i="54"/>
  <c r="DX178" i="54"/>
  <c r="EA178" i="54" s="1"/>
  <c r="DW76" i="54"/>
  <c r="DZ76" i="54" s="1"/>
  <c r="DX132" i="54"/>
  <c r="DW193" i="54"/>
  <c r="DZ193" i="54" s="1"/>
  <c r="DW179" i="54"/>
  <c r="DZ179" i="54" s="1"/>
  <c r="DW224" i="54"/>
  <c r="DZ224" i="54" s="1"/>
  <c r="EW97" i="54"/>
  <c r="EV97" i="54"/>
  <c r="EX97" i="54"/>
  <c r="EX108" i="54"/>
  <c r="EW108" i="54"/>
  <c r="EV108" i="54"/>
  <c r="EW157" i="54"/>
  <c r="EV157" i="54"/>
  <c r="EX157" i="54"/>
  <c r="EX165" i="54"/>
  <c r="EV165" i="54"/>
  <c r="EW165" i="54"/>
  <c r="EW257" i="54"/>
  <c r="EX257" i="54"/>
  <c r="EV257" i="54"/>
  <c r="DX161" i="54"/>
  <c r="EA161" i="54" s="1"/>
  <c r="DX84" i="54"/>
  <c r="EA84" i="54" s="1"/>
  <c r="DX150" i="54"/>
  <c r="DW228" i="54"/>
  <c r="DZ228" i="54" s="1"/>
  <c r="DX207" i="54"/>
  <c r="EA207" i="54" s="1"/>
  <c r="DW41" i="54"/>
  <c r="DZ41" i="54" s="1"/>
  <c r="DX265" i="54"/>
  <c r="EA265" i="54" s="1"/>
  <c r="DX225" i="54"/>
  <c r="EA225" i="54" s="1"/>
  <c r="DW173" i="54"/>
  <c r="DZ173" i="54" s="1"/>
  <c r="DW234" i="54"/>
  <c r="DZ234" i="54" s="1"/>
  <c r="DW226" i="54"/>
  <c r="DX162" i="54"/>
  <c r="EA162" i="54" s="1"/>
  <c r="EV92" i="54"/>
  <c r="EX92" i="54"/>
  <c r="EW92" i="54"/>
  <c r="EX53" i="54"/>
  <c r="EW53" i="54"/>
  <c r="EV53" i="54"/>
  <c r="EX55" i="54"/>
  <c r="EW55" i="54"/>
  <c r="EV55" i="54"/>
  <c r="EX63" i="54"/>
  <c r="EW63" i="54"/>
  <c r="EV63" i="54"/>
  <c r="EX150" i="54"/>
  <c r="EW150" i="54"/>
  <c r="EV150" i="54"/>
  <c r="EX153" i="54"/>
  <c r="EV153" i="54"/>
  <c r="EW153" i="54"/>
  <c r="EW172" i="54"/>
  <c r="EX172" i="54"/>
  <c r="EV172" i="54"/>
  <c r="EW245" i="54"/>
  <c r="EX245" i="54"/>
  <c r="EV245" i="54"/>
  <c r="EX42" i="54"/>
  <c r="EW42" i="54"/>
  <c r="EV42" i="54"/>
  <c r="EX43" i="54"/>
  <c r="EW43" i="54"/>
  <c r="EV43" i="54"/>
  <c r="EX40" i="54"/>
  <c r="EV40" i="54"/>
  <c r="EW40" i="54"/>
  <c r="EW99" i="54"/>
  <c r="EV99" i="54"/>
  <c r="EX99" i="54"/>
  <c r="DX208" i="54"/>
  <c r="EA208" i="54" s="1"/>
  <c r="DW191" i="54"/>
  <c r="DZ191" i="54" s="1"/>
  <c r="DW89" i="54"/>
  <c r="DZ89" i="54" s="1"/>
  <c r="DX155" i="54"/>
  <c r="EA155" i="54" s="1"/>
  <c r="DW27" i="54"/>
  <c r="DX252" i="54"/>
  <c r="EA252" i="54" s="1"/>
  <c r="DW101" i="54"/>
  <c r="DZ101" i="54" s="1"/>
  <c r="DX201" i="54"/>
  <c r="EA201" i="54" s="1"/>
  <c r="DW88" i="54"/>
  <c r="DZ88" i="54" s="1"/>
  <c r="DW118" i="54"/>
  <c r="DZ118" i="54" s="1"/>
  <c r="DW93" i="54"/>
  <c r="DZ93" i="54" s="1"/>
  <c r="DW18" i="54"/>
  <c r="DX198" i="54"/>
  <c r="EA198" i="54" s="1"/>
  <c r="EW210" i="54"/>
  <c r="EX210" i="54"/>
  <c r="EV210" i="54"/>
  <c r="EX52" i="54"/>
  <c r="EV52" i="54"/>
  <c r="EW52" i="54"/>
  <c r="EX192" i="54"/>
  <c r="EW192" i="54"/>
  <c r="EV192" i="54"/>
  <c r="EX193" i="54"/>
  <c r="EW193" i="54"/>
  <c r="EV193" i="54"/>
  <c r="EX248" i="54"/>
  <c r="EW248" i="54"/>
  <c r="EV248" i="54"/>
  <c r="EX249" i="54"/>
  <c r="EV249" i="54"/>
  <c r="EW249" i="54"/>
  <c r="EX36" i="54"/>
  <c r="EW36" i="54"/>
  <c r="EV36" i="54"/>
  <c r="EX85" i="54"/>
  <c r="EW85" i="54"/>
  <c r="EV85" i="54"/>
  <c r="EX94" i="54"/>
  <c r="EV94" i="54"/>
  <c r="EW94" i="54"/>
  <c r="EX141" i="54"/>
  <c r="EV141" i="54"/>
  <c r="EW141" i="54"/>
  <c r="DX176" i="54"/>
  <c r="EA176" i="54" s="1"/>
  <c r="DX115" i="54"/>
  <c r="DW22" i="54"/>
  <c r="DZ22" i="54" s="1"/>
  <c r="DW248" i="54"/>
  <c r="DZ248" i="54" s="1"/>
  <c r="DW148" i="54"/>
  <c r="DZ148" i="54" s="1"/>
  <c r="DW158" i="54"/>
  <c r="DZ158" i="54" s="1"/>
  <c r="DW165" i="54"/>
  <c r="DZ165" i="54" s="1"/>
  <c r="DW266" i="54"/>
  <c r="DW59" i="54"/>
  <c r="DZ59" i="54" s="1"/>
  <c r="DW56" i="54"/>
  <c r="DZ56" i="54" s="1"/>
  <c r="EX118" i="54"/>
  <c r="EV118" i="54"/>
  <c r="EW118" i="54"/>
  <c r="EX123" i="54"/>
  <c r="EW123" i="54"/>
  <c r="EV123" i="54"/>
  <c r="EV146" i="54"/>
  <c r="EX146" i="54"/>
  <c r="EW146" i="54"/>
  <c r="EW147" i="54"/>
  <c r="EV147" i="54"/>
  <c r="EX147" i="54"/>
  <c r="EW220" i="54"/>
  <c r="EV220" i="54"/>
  <c r="EX220" i="54"/>
  <c r="EX235" i="54"/>
  <c r="EW235" i="54"/>
  <c r="EV235" i="54"/>
  <c r="EV88" i="54"/>
  <c r="EW88" i="54"/>
  <c r="EX88" i="54"/>
  <c r="EX127" i="54"/>
  <c r="EW127" i="54"/>
  <c r="EV127" i="54"/>
  <c r="CF106" i="54"/>
  <c r="CF121" i="54"/>
  <c r="CF220" i="54"/>
  <c r="CF92" i="54"/>
  <c r="CF221" i="54"/>
  <c r="CF63" i="54"/>
  <c r="CF60" i="54"/>
  <c r="CF69" i="54"/>
  <c r="CF66" i="54"/>
  <c r="CF75" i="54"/>
  <c r="CF72" i="54"/>
  <c r="CF87" i="54"/>
  <c r="CF78" i="54"/>
  <c r="CE41" i="54"/>
  <c r="CE77" i="54"/>
  <c r="CE113" i="54"/>
  <c r="CE149" i="54"/>
  <c r="CE185" i="54"/>
  <c r="CE221" i="54"/>
  <c r="CE257" i="54"/>
  <c r="CE36" i="54"/>
  <c r="CE72" i="54"/>
  <c r="CE108" i="54"/>
  <c r="CE144" i="54"/>
  <c r="CE180" i="54"/>
  <c r="CE216" i="54"/>
  <c r="CE252" i="54"/>
  <c r="CE31" i="54"/>
  <c r="CE67" i="54"/>
  <c r="CE103" i="54"/>
  <c r="CE139" i="54"/>
  <c r="CE175" i="54"/>
  <c r="CE211" i="54"/>
  <c r="CE247" i="54"/>
  <c r="CE26" i="54"/>
  <c r="CE62" i="54"/>
  <c r="CE98" i="54"/>
  <c r="CE134" i="54"/>
  <c r="CE170" i="54"/>
  <c r="CE206" i="54"/>
  <c r="CE242" i="54"/>
  <c r="CE21" i="54"/>
  <c r="CE57" i="54"/>
  <c r="CE93" i="54"/>
  <c r="CE129" i="54"/>
  <c r="CE165" i="54"/>
  <c r="CE201" i="54"/>
  <c r="CE237" i="54"/>
  <c r="CE40" i="54"/>
  <c r="CE256" i="54"/>
  <c r="CE190" i="54"/>
  <c r="CE124" i="54"/>
  <c r="CE58" i="54"/>
  <c r="CE28" i="54"/>
  <c r="CE244" i="54"/>
  <c r="CE214" i="54"/>
  <c r="CE17" i="54"/>
  <c r="CE59" i="54"/>
  <c r="CE101" i="54"/>
  <c r="CE143" i="54"/>
  <c r="CE191" i="54"/>
  <c r="CE233" i="54"/>
  <c r="CE18" i="54"/>
  <c r="CE60" i="54"/>
  <c r="CE102" i="54"/>
  <c r="CE150" i="54"/>
  <c r="CE192" i="54"/>
  <c r="CE234" i="54"/>
  <c r="CE19" i="54"/>
  <c r="CE61" i="54"/>
  <c r="CE109" i="54"/>
  <c r="CE151" i="54"/>
  <c r="CE193" i="54"/>
  <c r="CE235" i="54"/>
  <c r="CE20" i="54"/>
  <c r="CE68" i="54"/>
  <c r="CE110" i="54"/>
  <c r="CE152" i="54"/>
  <c r="CE194" i="54"/>
  <c r="CE236" i="54"/>
  <c r="CE27" i="54"/>
  <c r="CE69" i="54"/>
  <c r="CE111" i="54"/>
  <c r="CE153" i="54"/>
  <c r="CE195" i="54"/>
  <c r="CE243" i="54"/>
  <c r="CE112" i="54"/>
  <c r="CE82" i="54"/>
  <c r="CE52" i="54"/>
  <c r="CE22" i="54"/>
  <c r="CE64" i="54"/>
  <c r="CE70" i="54"/>
  <c r="CE23" i="54"/>
  <c r="CE65" i="54"/>
  <c r="CE107" i="54"/>
  <c r="CE155" i="54"/>
  <c r="CE197" i="54"/>
  <c r="CE239" i="54"/>
  <c r="CE24" i="54"/>
  <c r="CE66" i="54"/>
  <c r="CE114" i="54"/>
  <c r="CE156" i="54"/>
  <c r="CE198" i="54"/>
  <c r="CE240" i="54"/>
  <c r="CE25" i="54"/>
  <c r="CE73" i="54"/>
  <c r="CE115" i="54"/>
  <c r="CE157" i="54"/>
  <c r="CE199" i="54"/>
  <c r="CE241" i="54"/>
  <c r="CE32" i="54"/>
  <c r="CE74" i="54"/>
  <c r="CE116" i="54"/>
  <c r="CE158" i="54"/>
  <c r="CE200" i="54"/>
  <c r="CE248" i="54"/>
  <c r="CE33" i="54"/>
  <c r="CE75" i="54"/>
  <c r="CE117" i="54"/>
  <c r="CE159" i="54"/>
  <c r="CE207" i="54"/>
  <c r="CE249" i="54"/>
  <c r="CE148" i="54"/>
  <c r="CE118" i="54"/>
  <c r="CE88" i="54"/>
  <c r="CE94" i="54"/>
  <c r="CE100" i="54"/>
  <c r="CE106" i="54"/>
  <c r="CE29" i="54"/>
  <c r="CE71" i="54"/>
  <c r="CE119" i="54"/>
  <c r="CE161" i="54"/>
  <c r="CE203" i="54"/>
  <c r="CE245" i="54"/>
  <c r="CE30" i="54"/>
  <c r="CE78" i="54"/>
  <c r="CE120" i="54"/>
  <c r="CE162" i="54"/>
  <c r="CE204" i="54"/>
  <c r="CE246" i="54"/>
  <c r="CE37" i="54"/>
  <c r="CE79" i="54"/>
  <c r="CE121" i="54"/>
  <c r="CE163" i="54"/>
  <c r="CE205" i="54"/>
  <c r="CE253" i="54"/>
  <c r="CE38" i="54"/>
  <c r="CE80" i="54"/>
  <c r="CE122" i="54"/>
  <c r="CE164" i="54"/>
  <c r="CE212" i="54"/>
  <c r="CE254" i="54"/>
  <c r="CE39" i="54"/>
  <c r="CE81" i="54"/>
  <c r="CE123" i="54"/>
  <c r="CE171" i="54"/>
  <c r="CE213" i="54"/>
  <c r="CE255" i="54"/>
  <c r="CE184" i="54"/>
  <c r="CE154" i="54"/>
  <c r="CE160" i="54"/>
  <c r="CE130" i="54"/>
  <c r="CE136" i="54"/>
  <c r="CE142" i="54"/>
  <c r="CE35" i="54"/>
  <c r="CE83" i="54"/>
  <c r="CE125" i="54"/>
  <c r="CE167" i="54"/>
  <c r="CE209" i="54"/>
  <c r="CE251" i="54"/>
  <c r="CE42" i="54"/>
  <c r="CE84" i="54"/>
  <c r="CE126" i="54"/>
  <c r="CE168" i="54"/>
  <c r="CE210" i="54"/>
  <c r="CE258" i="54"/>
  <c r="CE43" i="54"/>
  <c r="CE85" i="54"/>
  <c r="CE127" i="54"/>
  <c r="CE169" i="54"/>
  <c r="CE217" i="54"/>
  <c r="CE259" i="54"/>
  <c r="CE44" i="54"/>
  <c r="CE86" i="54"/>
  <c r="CE128" i="54"/>
  <c r="CE176" i="54"/>
  <c r="CE218" i="54"/>
  <c r="CE260" i="54"/>
  <c r="CE45" i="54"/>
  <c r="CE87" i="54"/>
  <c r="CE135" i="54"/>
  <c r="CE177" i="54"/>
  <c r="CE219" i="54"/>
  <c r="CE261" i="54"/>
  <c r="CE220" i="54"/>
  <c r="CE226" i="54"/>
  <c r="CE196" i="54"/>
  <c r="CE166" i="54"/>
  <c r="CE172" i="54"/>
  <c r="CE178" i="54"/>
  <c r="CE47" i="54"/>
  <c r="CE89" i="54"/>
  <c r="CE131" i="54"/>
  <c r="CE173" i="54"/>
  <c r="CE215" i="54"/>
  <c r="CE263" i="54"/>
  <c r="CE48" i="54"/>
  <c r="CE90" i="54"/>
  <c r="CE132" i="54"/>
  <c r="CE174" i="54"/>
  <c r="CE222" i="54"/>
  <c r="CE264" i="54"/>
  <c r="CE49" i="54"/>
  <c r="CE91" i="54"/>
  <c r="CE133" i="54"/>
  <c r="CE181" i="54"/>
  <c r="CE223" i="54"/>
  <c r="CE265" i="54"/>
  <c r="CE50" i="54"/>
  <c r="CE92" i="54"/>
  <c r="CE140" i="54"/>
  <c r="CE182" i="54"/>
  <c r="CE224" i="54"/>
  <c r="CE266" i="54"/>
  <c r="CE51" i="54"/>
  <c r="CE99" i="54"/>
  <c r="CE141" i="54"/>
  <c r="CE183" i="54"/>
  <c r="CE225" i="54"/>
  <c r="CE267" i="54"/>
  <c r="CE10" i="54"/>
  <c r="CE262" i="54"/>
  <c r="CE232" i="54"/>
  <c r="CE202" i="54"/>
  <c r="CE208" i="54"/>
  <c r="CE250" i="54"/>
  <c r="CE11" i="54"/>
  <c r="CE53" i="54"/>
  <c r="CE95" i="54"/>
  <c r="CE137" i="54"/>
  <c r="CE179" i="54"/>
  <c r="CE227" i="54"/>
  <c r="CE12" i="54"/>
  <c r="CE54" i="54"/>
  <c r="CE96" i="54"/>
  <c r="CE138" i="54"/>
  <c r="CE186" i="54"/>
  <c r="CE228" i="54"/>
  <c r="CE13" i="54"/>
  <c r="CE55" i="54"/>
  <c r="CE97" i="54"/>
  <c r="CE145" i="54"/>
  <c r="CE187" i="54"/>
  <c r="CE229" i="54"/>
  <c r="CE14" i="54"/>
  <c r="CE56" i="54"/>
  <c r="CE104" i="54"/>
  <c r="CE146" i="54"/>
  <c r="CE188" i="54"/>
  <c r="CE230" i="54"/>
  <c r="CE15" i="54"/>
  <c r="CE63" i="54"/>
  <c r="CE105" i="54"/>
  <c r="CE147" i="54"/>
  <c r="CE189" i="54"/>
  <c r="CE231" i="54"/>
  <c r="CE76" i="54"/>
  <c r="CE46" i="54"/>
  <c r="CE16" i="54"/>
  <c r="CE268" i="54"/>
  <c r="CE238" i="54"/>
  <c r="CE34" i="54"/>
  <c r="DC34" i="54"/>
  <c r="DA34" i="54"/>
  <c r="DB35" i="54" s="1"/>
  <c r="O5" i="56"/>
  <c r="I5" i="56"/>
  <c r="Y10" i="56"/>
  <c r="AA10" i="56" s="1"/>
  <c r="I10" i="56"/>
  <c r="AH8" i="56"/>
  <c r="I8" i="56"/>
  <c r="Y9" i="56"/>
  <c r="AB9" i="56" s="1"/>
  <c r="I9" i="56"/>
  <c r="J9" i="56"/>
  <c r="M9" i="56" s="1"/>
  <c r="J12" i="56"/>
  <c r="M12" i="56" s="1"/>
  <c r="Z7" i="56"/>
  <c r="AC7" i="56" s="1"/>
  <c r="K7" i="56"/>
  <c r="Z11" i="56"/>
  <c r="AC11" i="56" s="1"/>
  <c r="K11" i="56"/>
  <c r="N11" i="56" s="1"/>
  <c r="O13" i="56"/>
  <c r="N13" i="56" s="1"/>
  <c r="I13" i="56"/>
  <c r="J6" i="56"/>
  <c r="M6" i="56" s="1"/>
  <c r="CN6" i="54" s="1"/>
  <c r="AA30" i="56"/>
  <c r="AI30" i="56"/>
  <c r="N30" i="56"/>
  <c r="N33" i="56"/>
  <c r="AD33" i="56" s="1"/>
  <c r="Q30" i="56"/>
  <c r="R30" i="56" s="1"/>
  <c r="AN30" i="56" s="1"/>
  <c r="L30" i="56"/>
  <c r="AA31" i="56"/>
  <c r="Q31" i="56" s="1"/>
  <c r="R31" i="56" s="1"/>
  <c r="AN31" i="56" s="1"/>
  <c r="AA33" i="56"/>
  <c r="AD31" i="56"/>
  <c r="AH31" i="56"/>
  <c r="EC3" i="54" s="1"/>
  <c r="ED3" i="54" s="1"/>
  <c r="EE3" i="54" s="1"/>
  <c r="AI33" i="56"/>
  <c r="AI28" i="56"/>
  <c r="AF31" i="56"/>
  <c r="AG31" i="56"/>
  <c r="AI31" i="56"/>
  <c r="AB28" i="56"/>
  <c r="AG33" i="56"/>
  <c r="AA28" i="56"/>
  <c r="AE28" i="56" s="1"/>
  <c r="AA34" i="56"/>
  <c r="Q34" i="56" s="1"/>
  <c r="R34" i="56" s="1"/>
  <c r="AN34" i="56" s="1"/>
  <c r="AG28" i="56"/>
  <c r="AG34" i="56"/>
  <c r="L34" i="56"/>
  <c r="AD34" i="56" s="1"/>
  <c r="AI34" i="56"/>
  <c r="N34" i="56"/>
  <c r="AF34" i="56" s="1"/>
  <c r="N29" i="56"/>
  <c r="AC32" i="56"/>
  <c r="AA32" i="56"/>
  <c r="Q32" i="56"/>
  <c r="L32" i="56"/>
  <c r="N32" i="56"/>
  <c r="AA29" i="56"/>
  <c r="AC29" i="56"/>
  <c r="Q33" i="56"/>
  <c r="AH21" i="56"/>
  <c r="AH13" i="56"/>
  <c r="K3" i="56"/>
  <c r="N3" i="56" s="1"/>
  <c r="AF3" i="56" s="1"/>
  <c r="Q18" i="56"/>
  <c r="R18" i="56" s="1"/>
  <c r="AN18" i="56" s="1"/>
  <c r="K18" i="56"/>
  <c r="AH6" i="56"/>
  <c r="AH25" i="56"/>
  <c r="AH4" i="56"/>
  <c r="AH11" i="56"/>
  <c r="K23" i="56"/>
  <c r="N23" i="56" s="1"/>
  <c r="AF23" i="56" s="1"/>
  <c r="AA24" i="56"/>
  <c r="Q24" i="56" s="1"/>
  <c r="R24" i="56" s="1"/>
  <c r="AN24" i="56" s="1"/>
  <c r="AG22" i="56"/>
  <c r="AG6" i="56"/>
  <c r="AH20" i="56"/>
  <c r="Y17" i="56"/>
  <c r="AB17" i="56" s="1"/>
  <c r="AA3" i="56"/>
  <c r="AI19" i="56"/>
  <c r="AH9" i="56"/>
  <c r="AH18" i="56"/>
  <c r="O8" i="56"/>
  <c r="AG8" i="56" s="1"/>
  <c r="AI22" i="56"/>
  <c r="AA22" i="56"/>
  <c r="Q22" i="56" s="1"/>
  <c r="R22" i="56" s="1"/>
  <c r="AN22" i="56" s="1"/>
  <c r="Y5" i="56"/>
  <c r="AB5" i="56" s="1"/>
  <c r="K22" i="56"/>
  <c r="N22" i="56" s="1"/>
  <c r="AF22" i="56" s="1"/>
  <c r="AH22" i="56"/>
  <c r="Y8" i="56"/>
  <c r="AB8" i="56" s="1"/>
  <c r="AI3" i="56"/>
  <c r="AG7" i="56"/>
  <c r="AG19" i="56"/>
  <c r="AI6" i="56"/>
  <c r="AH16" i="56"/>
  <c r="O21" i="56"/>
  <c r="AG21" i="56" s="1"/>
  <c r="AI18" i="56"/>
  <c r="AG23" i="56"/>
  <c r="AH15" i="56"/>
  <c r="AH19" i="56"/>
  <c r="AI15" i="56"/>
  <c r="O24" i="56"/>
  <c r="N24" i="56" s="1"/>
  <c r="AF24" i="56" s="1"/>
  <c r="O9" i="56"/>
  <c r="AG18" i="56"/>
  <c r="Q7" i="56"/>
  <c r="R7" i="56" s="1"/>
  <c r="AN7" i="56" s="1"/>
  <c r="AG11" i="56"/>
  <c r="AH24" i="56"/>
  <c r="AI7" i="56"/>
  <c r="Y21" i="56"/>
  <c r="AB21" i="56" s="1"/>
  <c r="AB24" i="56"/>
  <c r="AG3" i="56"/>
  <c r="O2" i="56"/>
  <c r="AH3" i="56"/>
  <c r="AI23" i="56"/>
  <c r="AG15" i="56"/>
  <c r="AH23" i="56"/>
  <c r="AH7" i="56"/>
  <c r="O4" i="56"/>
  <c r="AH12" i="56"/>
  <c r="AH2" i="56"/>
  <c r="AI11" i="56"/>
  <c r="AA23" i="56"/>
  <c r="Q23" i="56" s="1"/>
  <c r="R23" i="56" s="1"/>
  <c r="AN23" i="56" s="1"/>
  <c r="Z6" i="56"/>
  <c r="AH17" i="56"/>
  <c r="Z21" i="56"/>
  <c r="AC21" i="56" s="1"/>
  <c r="K21" i="56"/>
  <c r="Z13" i="56"/>
  <c r="AC13" i="56" s="1"/>
  <c r="AH14" i="56"/>
  <c r="O14" i="56"/>
  <c r="K20" i="56"/>
  <c r="Z20" i="56"/>
  <c r="AC20" i="56" s="1"/>
  <c r="Q20" i="56" s="1"/>
  <c r="R20" i="56" s="1"/>
  <c r="AN20" i="56" s="1"/>
  <c r="Z8" i="56"/>
  <c r="K25" i="56"/>
  <c r="N25" i="56" s="1"/>
  <c r="Z25" i="56"/>
  <c r="AC25" i="56" s="1"/>
  <c r="Z12" i="56"/>
  <c r="N12" i="56"/>
  <c r="Z17" i="56"/>
  <c r="AC17" i="56" s="1"/>
  <c r="K17" i="56"/>
  <c r="Z4" i="56"/>
  <c r="K4" i="56"/>
  <c r="K16" i="56"/>
  <c r="Z16" i="56"/>
  <c r="AC16" i="56" s="1"/>
  <c r="Z15" i="56"/>
  <c r="K15" i="56"/>
  <c r="AH10" i="56"/>
  <c r="O10" i="56"/>
  <c r="Z2" i="56"/>
  <c r="K2" i="56"/>
  <c r="Z19" i="56"/>
  <c r="K19" i="56"/>
  <c r="AB25" i="56"/>
  <c r="AA18" i="56"/>
  <c r="AB13" i="56"/>
  <c r="AI20" i="56"/>
  <c r="AG20" i="56"/>
  <c r="AG25" i="56"/>
  <c r="AI25" i="56"/>
  <c r="AA14" i="56"/>
  <c r="AI12" i="56"/>
  <c r="AG12" i="56"/>
  <c r="AI16" i="56"/>
  <c r="AG16" i="56"/>
  <c r="EA141" i="54" l="1"/>
  <c r="EA116" i="54"/>
  <c r="DZ235" i="54"/>
  <c r="DZ12" i="54"/>
  <c r="EA32" i="54"/>
  <c r="EA79" i="54"/>
  <c r="EA173" i="54"/>
  <c r="EA70" i="54"/>
  <c r="DZ201" i="54"/>
  <c r="DZ196" i="54"/>
  <c r="EA150" i="54"/>
  <c r="EA125" i="54"/>
  <c r="DZ232" i="54"/>
  <c r="EA168" i="54"/>
  <c r="EA39" i="54"/>
  <c r="EA74" i="54"/>
  <c r="DZ23" i="54"/>
  <c r="DZ217" i="54"/>
  <c r="DZ195" i="54"/>
  <c r="DZ265" i="54"/>
  <c r="EA119" i="54"/>
  <c r="DZ226" i="54"/>
  <c r="EA101" i="54"/>
  <c r="DZ16" i="54"/>
  <c r="EA153" i="54"/>
  <c r="EA97" i="54"/>
  <c r="EA148" i="54"/>
  <c r="EA41" i="54"/>
  <c r="DZ242" i="54"/>
  <c r="EA151" i="54"/>
  <c r="EA115" i="54"/>
  <c r="DZ238" i="54"/>
  <c r="EA60" i="54"/>
  <c r="EA110" i="54"/>
  <c r="EA53" i="54"/>
  <c r="DZ25" i="54"/>
  <c r="DZ266" i="54"/>
  <c r="EA132" i="54"/>
  <c r="DZ263" i="54"/>
  <c r="EA64" i="54"/>
  <c r="DZ208" i="54"/>
  <c r="DZ27" i="54"/>
  <c r="DZ259" i="54"/>
  <c r="DZ257" i="54"/>
  <c r="EA182" i="54"/>
  <c r="DZ18" i="54"/>
  <c r="EA131" i="54"/>
  <c r="EA38" i="54"/>
  <c r="EA185" i="54"/>
  <c r="EA164" i="54"/>
  <c r="EA117" i="54"/>
  <c r="EA48" i="54"/>
  <c r="EA85" i="54"/>
  <c r="DZ15" i="54"/>
  <c r="EA100" i="54"/>
  <c r="EA135" i="54"/>
  <c r="EA140" i="54"/>
  <c r="EA127" i="54"/>
  <c r="DZ202" i="54"/>
  <c r="DZ189" i="54"/>
  <c r="EA160" i="54"/>
  <c r="EA93" i="54"/>
  <c r="EA180" i="54"/>
  <c r="EA109" i="54"/>
  <c r="EA136" i="54"/>
  <c r="EA87" i="54"/>
  <c r="DZ210" i="54"/>
  <c r="EA106" i="54"/>
  <c r="EA129" i="54"/>
  <c r="EA92" i="54"/>
  <c r="DZ13" i="54"/>
  <c r="EA175" i="54"/>
  <c r="EA126" i="54"/>
  <c r="EA72" i="54"/>
  <c r="EA33" i="54"/>
  <c r="EA134" i="54"/>
  <c r="EB3" i="54"/>
  <c r="EB5" i="54"/>
  <c r="EB7" i="54"/>
  <c r="R33" i="56"/>
  <c r="BM28" i="54" a="1"/>
  <c r="BM28" i="54" s="1"/>
  <c r="CF36" i="54"/>
  <c r="CF39" i="54"/>
  <c r="CF30" i="54"/>
  <c r="CF33" i="54"/>
  <c r="CF24" i="54"/>
  <c r="CF27" i="54"/>
  <c r="CF12" i="54"/>
  <c r="CF21" i="54"/>
  <c r="CF179" i="54"/>
  <c r="CF50" i="54"/>
  <c r="CF130" i="54"/>
  <c r="CF85" i="54"/>
  <c r="CF70" i="54"/>
  <c r="CF86" i="54"/>
  <c r="CF77" i="54"/>
  <c r="CF74" i="54"/>
  <c r="CF71" i="54"/>
  <c r="CF68" i="54"/>
  <c r="CF65" i="54"/>
  <c r="CF62" i="54"/>
  <c r="CF53" i="54"/>
  <c r="CF56" i="54"/>
  <c r="CF184" i="54"/>
  <c r="CF43" i="54"/>
  <c r="CF135" i="54"/>
  <c r="CF126" i="54"/>
  <c r="CF117" i="54"/>
  <c r="CF38" i="54"/>
  <c r="CF35" i="54"/>
  <c r="CF32" i="54"/>
  <c r="CF29" i="54"/>
  <c r="CF26" i="54"/>
  <c r="CF17" i="54"/>
  <c r="CF20" i="54"/>
  <c r="CF11" i="54"/>
  <c r="CF14" i="54"/>
  <c r="CF94" i="54"/>
  <c r="CF258" i="54"/>
  <c r="CF93" i="54"/>
  <c r="CF90" i="54"/>
  <c r="CF81" i="54"/>
  <c r="CF79" i="54"/>
  <c r="CF82" i="54"/>
  <c r="CF73" i="54"/>
  <c r="CF76" i="54"/>
  <c r="CF67" i="54"/>
  <c r="CF64" i="54"/>
  <c r="CF61" i="54"/>
  <c r="CF58" i="54"/>
  <c r="CF264" i="54"/>
  <c r="CF99" i="54"/>
  <c r="CF257" i="54"/>
  <c r="CF116" i="54"/>
  <c r="CF131" i="54"/>
  <c r="CF37" i="54"/>
  <c r="CF40" i="54"/>
  <c r="CF31" i="54"/>
  <c r="CF28" i="54"/>
  <c r="CF25" i="54"/>
  <c r="CF22" i="54"/>
  <c r="CF19" i="54"/>
  <c r="CF16" i="54"/>
  <c r="CF222" i="54"/>
  <c r="CF57" i="54"/>
  <c r="CF215" i="54"/>
  <c r="CF80" i="54"/>
  <c r="CR7" i="54"/>
  <c r="C67" i="54" s="1"/>
  <c r="BF33" i="54" a="1"/>
  <c r="BF33" i="54" s="1"/>
  <c r="C35" i="54" s="1" a="1"/>
  <c r="C35" i="54" s="1"/>
  <c r="BF28" i="54" a="1"/>
  <c r="BF28" i="54" s="1"/>
  <c r="A35" i="54" s="1" a="1"/>
  <c r="A35" i="54" s="1"/>
  <c r="CB133" i="54"/>
  <c r="CC133" i="54" s="1"/>
  <c r="CB233" i="54"/>
  <c r="CP233" i="54" s="1"/>
  <c r="CB210" i="54"/>
  <c r="CH210" i="54" s="1"/>
  <c r="CD131" i="54"/>
  <c r="CD184" i="54"/>
  <c r="CD57" i="54"/>
  <c r="CB68" i="54"/>
  <c r="CQ68" i="54" s="1"/>
  <c r="CD210" i="54"/>
  <c r="CD107" i="54"/>
  <c r="CB89" i="54"/>
  <c r="CG89" i="54" s="1"/>
  <c r="CB100" i="54"/>
  <c r="CC100" i="54" s="1"/>
  <c r="CB71" i="54"/>
  <c r="CG71" i="54" s="1"/>
  <c r="CB155" i="54"/>
  <c r="CC155" i="54" s="1"/>
  <c r="CB44" i="54"/>
  <c r="CC44" i="54" s="1"/>
  <c r="CB164" i="54"/>
  <c r="CP164" i="54" s="1"/>
  <c r="CB242" i="54"/>
  <c r="CG242" i="54" s="1"/>
  <c r="CB182" i="54"/>
  <c r="CC182" i="54" s="1"/>
  <c r="CB131" i="54"/>
  <c r="CI131" i="54" s="1"/>
  <c r="CB240" i="54"/>
  <c r="CG240" i="54" s="1"/>
  <c r="CB252" i="54"/>
  <c r="CB45" i="54"/>
  <c r="CI45" i="54" s="1"/>
  <c r="CB231" i="54"/>
  <c r="CQ231" i="54" s="1"/>
  <c r="CB160" i="54"/>
  <c r="CC160" i="54" s="1"/>
  <c r="CB115" i="54"/>
  <c r="CG115" i="54" s="1"/>
  <c r="CB128" i="54"/>
  <c r="CI128" i="54" s="1"/>
  <c r="CB105" i="54"/>
  <c r="CD105" i="54" s="1"/>
  <c r="CB189" i="54"/>
  <c r="CP189" i="54" s="1"/>
  <c r="CB43" i="54"/>
  <c r="CH43" i="54" s="1"/>
  <c r="CB255" i="54"/>
  <c r="CQ255" i="54" s="1"/>
  <c r="CB116" i="54"/>
  <c r="CO116" i="54" s="1"/>
  <c r="CB162" i="54"/>
  <c r="CC162" i="54" s="1"/>
  <c r="CB23" i="54"/>
  <c r="CB153" i="54"/>
  <c r="CQ153" i="54" s="1"/>
  <c r="CB163" i="54"/>
  <c r="CI163" i="54" s="1"/>
  <c r="CB101" i="54"/>
  <c r="CP101" i="54" s="1"/>
  <c r="CB51" i="54"/>
  <c r="CC51" i="54" s="1"/>
  <c r="CB127" i="54"/>
  <c r="CC127" i="54" s="1"/>
  <c r="CB221" i="54"/>
  <c r="CD221" i="54" s="1"/>
  <c r="CB88" i="54"/>
  <c r="CJ88" i="54" s="1"/>
  <c r="CB241" i="54"/>
  <c r="CQ241" i="54" s="1"/>
  <c r="CB143" i="54"/>
  <c r="CI143" i="54" s="1"/>
  <c r="CB57" i="54"/>
  <c r="CC57" i="54" s="1"/>
  <c r="CB67" i="54"/>
  <c r="CC67" i="54" s="1"/>
  <c r="CB42" i="54"/>
  <c r="CQ42" i="54" s="1"/>
  <c r="CB38" i="54"/>
  <c r="CP38" i="54" s="1"/>
  <c r="CB238" i="54"/>
  <c r="CQ238" i="54" s="1"/>
  <c r="CB142" i="54"/>
  <c r="CO142" i="54" s="1"/>
  <c r="CB259" i="54"/>
  <c r="CC259" i="54" s="1"/>
  <c r="CB208" i="54"/>
  <c r="CC208" i="54" s="1"/>
  <c r="CB75" i="54"/>
  <c r="CD75" i="54" s="1"/>
  <c r="CB121" i="54"/>
  <c r="CH121" i="54" s="1"/>
  <c r="CB239" i="54"/>
  <c r="CH239" i="54" s="1"/>
  <c r="CB106" i="54"/>
  <c r="CI106" i="54" s="1"/>
  <c r="CB200" i="54"/>
  <c r="CC200" i="54" s="1"/>
  <c r="CB60" i="54"/>
  <c r="CC60" i="54" s="1"/>
  <c r="CB267" i="54"/>
  <c r="CQ267" i="54" s="1"/>
  <c r="CB170" i="54"/>
  <c r="CI170" i="54" s="1"/>
  <c r="CB180" i="54"/>
  <c r="CI180" i="54" s="1"/>
  <c r="CB41" i="54"/>
  <c r="CQ41" i="54" s="1"/>
  <c r="CB212" i="54"/>
  <c r="CC212" i="54" s="1"/>
  <c r="CB102" i="54"/>
  <c r="CC102" i="54" s="1"/>
  <c r="CB10" i="54"/>
  <c r="CH10" i="54" s="1"/>
  <c r="CB134" i="54"/>
  <c r="CC134" i="54" s="1"/>
  <c r="CB253" i="54"/>
  <c r="CC253" i="54" s="1"/>
  <c r="CB83" i="54"/>
  <c r="CH83" i="54" s="1"/>
  <c r="CB22" i="54"/>
  <c r="CH22" i="54" s="1"/>
  <c r="CB224" i="54"/>
  <c r="CC224" i="54" s="1"/>
  <c r="CB54" i="54"/>
  <c r="CD54" i="54" s="1"/>
  <c r="CB266" i="54"/>
  <c r="CQ266" i="54" s="1"/>
  <c r="CB120" i="54"/>
  <c r="CC120" i="54" s="1"/>
  <c r="CB244" i="54"/>
  <c r="CI244" i="54" s="1"/>
  <c r="CB111" i="54"/>
  <c r="CC111" i="54" s="1"/>
  <c r="CB157" i="54"/>
  <c r="CP157" i="54" s="1"/>
  <c r="CB18" i="54"/>
  <c r="CB112" i="54"/>
  <c r="CG112" i="54" s="1"/>
  <c r="CB235" i="54"/>
  <c r="CC235" i="54" s="1"/>
  <c r="CB173" i="54"/>
  <c r="CC173" i="54" s="1"/>
  <c r="CB82" i="54"/>
  <c r="CC82" i="54" s="1"/>
  <c r="CB206" i="54"/>
  <c r="CG206" i="54" s="1"/>
  <c r="CB216" i="54"/>
  <c r="CB124" i="54"/>
  <c r="CC124" i="54" s="1"/>
  <c r="CB32" i="54"/>
  <c r="CC32" i="54" s="1"/>
  <c r="CB179" i="54"/>
  <c r="CC179" i="54" s="1"/>
  <c r="CB174" i="54"/>
  <c r="CC174" i="54" s="1"/>
  <c r="CB114" i="54"/>
  <c r="CI114" i="54" s="1"/>
  <c r="CB141" i="54"/>
  <c r="CG141" i="54" s="1"/>
  <c r="CB48" i="54"/>
  <c r="CI48" i="54" s="1"/>
  <c r="CB260" i="54"/>
  <c r="CJ260" i="54" s="1"/>
  <c r="CB90" i="54"/>
  <c r="CC90" i="54" s="1"/>
  <c r="CB261" i="54"/>
  <c r="CC261" i="54" s="1"/>
  <c r="CB122" i="54"/>
  <c r="CC122" i="54" s="1"/>
  <c r="CB192" i="54"/>
  <c r="CB53" i="54"/>
  <c r="CC53" i="54" s="1"/>
  <c r="CB123" i="54"/>
  <c r="CH123" i="54" s="1"/>
  <c r="CB199" i="54"/>
  <c r="CC199" i="54" s="1"/>
  <c r="CB184" i="54"/>
  <c r="CO184" i="54" s="1"/>
  <c r="CB87" i="54"/>
  <c r="CC87" i="54" s="1"/>
  <c r="CB169" i="54"/>
  <c r="CD169" i="54" s="1"/>
  <c r="CB30" i="54"/>
  <c r="CI30" i="54" s="1"/>
  <c r="CB201" i="54"/>
  <c r="CG201" i="54" s="1"/>
  <c r="CB211" i="54"/>
  <c r="CJ211" i="54" s="1"/>
  <c r="CB113" i="54"/>
  <c r="CC113" i="54" s="1"/>
  <c r="CB27" i="54"/>
  <c r="CC27" i="54" s="1"/>
  <c r="CB185" i="54"/>
  <c r="CB37" i="54"/>
  <c r="CJ37" i="54" s="1"/>
  <c r="CB58" i="54"/>
  <c r="CH58" i="54" s="1"/>
  <c r="CB223" i="54"/>
  <c r="CH223" i="54" s="1"/>
  <c r="CB172" i="54"/>
  <c r="CI172" i="54" s="1"/>
  <c r="CB265" i="54"/>
  <c r="CH265" i="54" s="1"/>
  <c r="CB167" i="54"/>
  <c r="CD167" i="54" s="1"/>
  <c r="CB34" i="54"/>
  <c r="CC34" i="54" s="1"/>
  <c r="CB158" i="54"/>
  <c r="CI158" i="54" s="1"/>
  <c r="CB228" i="54"/>
  <c r="CJ228" i="54" s="1"/>
  <c r="CB29" i="54"/>
  <c r="CC29" i="54" s="1"/>
  <c r="CB236" i="54"/>
  <c r="CO236" i="54" s="1"/>
  <c r="CB96" i="54"/>
  <c r="CD96" i="54" s="1"/>
  <c r="CB256" i="54"/>
  <c r="CQ256" i="54" s="1"/>
  <c r="CB99" i="54"/>
  <c r="CQ99" i="54" s="1"/>
  <c r="CB205" i="54"/>
  <c r="CH205" i="54" s="1"/>
  <c r="CB107" i="54"/>
  <c r="CC107" i="54" s="1"/>
  <c r="CB21" i="54"/>
  <c r="CC21" i="54" s="1"/>
  <c r="CB31" i="54"/>
  <c r="CB196" i="54"/>
  <c r="CJ196" i="54" s="1"/>
  <c r="CB144" i="54"/>
  <c r="CQ144" i="54" s="1"/>
  <c r="CB78" i="54"/>
  <c r="CQ78" i="54" s="1"/>
  <c r="AQ22" i="50"/>
  <c r="AS22" i="50" s="1"/>
  <c r="BF23" i="54" a="1"/>
  <c r="BF23" i="54" s="1"/>
  <c r="CD252" i="54"/>
  <c r="CD192" i="54"/>
  <c r="CD45" i="54"/>
  <c r="CD48" i="54"/>
  <c r="CD240" i="54"/>
  <c r="CD160" i="54"/>
  <c r="CD170" i="54"/>
  <c r="CD233" i="54"/>
  <c r="CD41" i="54"/>
  <c r="CD30" i="54"/>
  <c r="CD163" i="54"/>
  <c r="CD23" i="54"/>
  <c r="CD142" i="54"/>
  <c r="CD18" i="54"/>
  <c r="CD228" i="54"/>
  <c r="CD155" i="54"/>
  <c r="CD259" i="54"/>
  <c r="CD180" i="54"/>
  <c r="CD112" i="54"/>
  <c r="CD78" i="54"/>
  <c r="CD153" i="54"/>
  <c r="CD88" i="54"/>
  <c r="CD122" i="54"/>
  <c r="CD124" i="54"/>
  <c r="CD133" i="54"/>
  <c r="CD189" i="54"/>
  <c r="CD121" i="54"/>
  <c r="CD182" i="54"/>
  <c r="CD106" i="54"/>
  <c r="CD115" i="54"/>
  <c r="CD236" i="54"/>
  <c r="CD68" i="54"/>
  <c r="CD216" i="54"/>
  <c r="CD100" i="54"/>
  <c r="CD185" i="54"/>
  <c r="CD128" i="54"/>
  <c r="CD127" i="54"/>
  <c r="CD42" i="54"/>
  <c r="BF26" i="54" a="1"/>
  <c r="BF26" i="54" s="1"/>
  <c r="CD164" i="54"/>
  <c r="CD44" i="54"/>
  <c r="CD46" i="54"/>
  <c r="CD267" i="54"/>
  <c r="CD82" i="54"/>
  <c r="CD200" i="54"/>
  <c r="CD261" i="54"/>
  <c r="CD134" i="54"/>
  <c r="CD255" i="54"/>
  <c r="CD116" i="54"/>
  <c r="CD173" i="54"/>
  <c r="CD58" i="54"/>
  <c r="CD67" i="54"/>
  <c r="CD179" i="54"/>
  <c r="CD234" i="54"/>
  <c r="CD158" i="54"/>
  <c r="CD140" i="54"/>
  <c r="CD174" i="54"/>
  <c r="CD71" i="54"/>
  <c r="CD231" i="54"/>
  <c r="CD38" i="54"/>
  <c r="CD157" i="54"/>
  <c r="CD144" i="54"/>
  <c r="CD34" i="54"/>
  <c r="CD43" i="54"/>
  <c r="CD212" i="54"/>
  <c r="CD265" i="54"/>
  <c r="CD28" i="54"/>
  <c r="CD37" i="54"/>
  <c r="CD143" i="54"/>
  <c r="CD205" i="54"/>
  <c r="CD253" i="54"/>
  <c r="CD22" i="54"/>
  <c r="CD31" i="54"/>
  <c r="CD89" i="54"/>
  <c r="CD239" i="54"/>
  <c r="CD10" i="54"/>
  <c r="CD171" i="54"/>
  <c r="CD32" i="54"/>
  <c r="CD211" i="54"/>
  <c r="CD113" i="54"/>
  <c r="CD220" i="54"/>
  <c r="CD141" i="54"/>
  <c r="BF25" i="54" a="1"/>
  <c r="BF25" i="54" s="1"/>
  <c r="BF2" i="54"/>
  <c r="BF24" i="54" a="1"/>
  <c r="BF24" i="54" s="1"/>
  <c r="CB191" i="54"/>
  <c r="CC191" i="54" s="1"/>
  <c r="CB264" i="54"/>
  <c r="CC264" i="54" s="1"/>
  <c r="CB95" i="54"/>
  <c r="CC95" i="54" s="1"/>
  <c r="CB219" i="54"/>
  <c r="CC219" i="54" s="1"/>
  <c r="CB50" i="54"/>
  <c r="CD50" i="54" s="1"/>
  <c r="CB49" i="54"/>
  <c r="CI49" i="54" s="1"/>
  <c r="CB161" i="54"/>
  <c r="CJ161" i="54" s="1"/>
  <c r="CB214" i="54"/>
  <c r="CO214" i="54" s="1"/>
  <c r="CB28" i="54"/>
  <c r="CC28" i="54" s="1"/>
  <c r="CB81" i="54"/>
  <c r="CC81" i="54" s="1"/>
  <c r="CB152" i="54"/>
  <c r="CD152" i="54" s="1"/>
  <c r="CB151" i="54"/>
  <c r="CH151" i="54" s="1"/>
  <c r="CB198" i="54"/>
  <c r="CG198" i="54" s="1"/>
  <c r="CB12" i="54"/>
  <c r="CC12" i="54" s="1"/>
  <c r="CB59" i="54"/>
  <c r="CC59" i="54" s="1"/>
  <c r="CB76" i="54"/>
  <c r="CC76" i="54" s="1"/>
  <c r="CB159" i="54"/>
  <c r="CD159" i="54" s="1"/>
  <c r="CB20" i="54"/>
  <c r="CC20" i="54" s="1"/>
  <c r="CB19" i="54"/>
  <c r="CI19" i="54" s="1"/>
  <c r="CB137" i="54"/>
  <c r="CI137" i="54" s="1"/>
  <c r="CB220" i="54"/>
  <c r="CC220" i="54" s="1"/>
  <c r="CB40" i="54"/>
  <c r="CC40" i="54" s="1"/>
  <c r="CB129" i="54"/>
  <c r="CD129" i="54" s="1"/>
  <c r="CB140" i="54"/>
  <c r="CP140" i="54" s="1"/>
  <c r="CB139" i="54"/>
  <c r="CG139" i="54" s="1"/>
  <c r="CB246" i="54"/>
  <c r="CC246" i="54" s="1"/>
  <c r="CB257" i="54"/>
  <c r="CC257" i="54" s="1"/>
  <c r="CB154" i="54"/>
  <c r="CC154" i="54" s="1"/>
  <c r="CB171" i="54"/>
  <c r="CG171" i="54" s="1"/>
  <c r="CB62" i="54"/>
  <c r="CG62" i="54" s="1"/>
  <c r="CB61" i="54"/>
  <c r="CQ61" i="54" s="1"/>
  <c r="CB72" i="54"/>
  <c r="CQ72" i="54" s="1"/>
  <c r="CB226" i="54"/>
  <c r="CC226" i="54" s="1"/>
  <c r="CB243" i="54"/>
  <c r="CC243" i="54" s="1"/>
  <c r="CB93" i="54"/>
  <c r="CD93" i="54" s="1"/>
  <c r="CB104" i="54"/>
  <c r="CG104" i="54" s="1"/>
  <c r="CB103" i="54"/>
  <c r="CG103" i="54" s="1"/>
  <c r="CB263" i="54"/>
  <c r="CH263" i="54" s="1"/>
  <c r="CB202" i="54"/>
  <c r="CC202" i="54" s="1"/>
  <c r="CB119" i="54"/>
  <c r="CC119" i="54" s="1"/>
  <c r="CB130" i="54"/>
  <c r="CD130" i="54" s="1"/>
  <c r="CB145" i="54"/>
  <c r="CI145" i="54" s="1"/>
  <c r="CB146" i="54"/>
  <c r="CC146" i="54" s="1"/>
  <c r="CB69" i="54"/>
  <c r="CQ69" i="54" s="1"/>
  <c r="CB46" i="54"/>
  <c r="CO46" i="54" s="1"/>
  <c r="CB63" i="54"/>
  <c r="CC63" i="54" s="1"/>
  <c r="CB181" i="54"/>
  <c r="CD181" i="54" s="1"/>
  <c r="CB217" i="54"/>
  <c r="CG217" i="54" s="1"/>
  <c r="CB249" i="54"/>
  <c r="CJ249" i="54" s="1"/>
  <c r="CB166" i="54"/>
  <c r="CC166" i="54" s="1"/>
  <c r="CB177" i="54"/>
  <c r="CI177" i="54" s="1"/>
  <c r="CB186" i="54"/>
  <c r="CG186" i="54" s="1"/>
  <c r="CB109" i="54"/>
  <c r="CJ109" i="54" s="1"/>
  <c r="CB110" i="54"/>
  <c r="CC110" i="54" s="1"/>
  <c r="CB183" i="54"/>
  <c r="CP183" i="54" s="1"/>
  <c r="CB14" i="54"/>
  <c r="CG14" i="54" s="1"/>
  <c r="CB13" i="54"/>
  <c r="CP13" i="54" s="1"/>
  <c r="CB125" i="54"/>
  <c r="CC125" i="54" s="1"/>
  <c r="CB225" i="54"/>
  <c r="CH225" i="54" s="1"/>
  <c r="CB80" i="54"/>
  <c r="CQ80" i="54" s="1"/>
  <c r="CB79" i="54"/>
  <c r="CI79" i="54" s="1"/>
  <c r="CB126" i="54"/>
  <c r="CO126" i="54" s="1"/>
  <c r="CB197" i="54"/>
  <c r="CQ197" i="54" s="1"/>
  <c r="CB250" i="54"/>
  <c r="CC250" i="54" s="1"/>
  <c r="CB64" i="54"/>
  <c r="CD64" i="54" s="1"/>
  <c r="CB117" i="54"/>
  <c r="CG117" i="54" s="1"/>
  <c r="CB188" i="54"/>
  <c r="CC188" i="54" s="1"/>
  <c r="CB187" i="54"/>
  <c r="CQ187" i="54" s="1"/>
  <c r="CB234" i="54"/>
  <c r="CI234" i="54" s="1"/>
  <c r="CB245" i="54"/>
  <c r="CC245" i="54" s="1"/>
  <c r="CB65" i="54"/>
  <c r="CQ65" i="54" s="1"/>
  <c r="CB195" i="54"/>
  <c r="CI195" i="54" s="1"/>
  <c r="CB56" i="54"/>
  <c r="CJ56" i="54" s="1"/>
  <c r="CB55" i="54"/>
  <c r="CC55" i="54" s="1"/>
  <c r="CB132" i="54"/>
  <c r="CC132" i="54" s="1"/>
  <c r="CB209" i="54"/>
  <c r="CC209" i="54" s="1"/>
  <c r="CB35" i="54"/>
  <c r="CD35" i="54" s="1"/>
  <c r="CB52" i="54"/>
  <c r="CC52" i="54" s="1"/>
  <c r="CB165" i="54"/>
  <c r="CP165" i="54" s="1"/>
  <c r="CB176" i="54"/>
  <c r="CH176" i="54" s="1"/>
  <c r="CB175" i="54"/>
  <c r="CI175" i="54" s="1"/>
  <c r="CB66" i="54"/>
  <c r="CC66" i="54" s="1"/>
  <c r="CB77" i="54"/>
  <c r="CJ77" i="54" s="1"/>
  <c r="CB237" i="54"/>
  <c r="CC237" i="54" s="1"/>
  <c r="CB248" i="54"/>
  <c r="CC248" i="54" s="1"/>
  <c r="CB247" i="54"/>
  <c r="CP247" i="54" s="1"/>
  <c r="CB138" i="54"/>
  <c r="CG138" i="54" s="1"/>
  <c r="CB149" i="54"/>
  <c r="CC149" i="54" s="1"/>
  <c r="CB262" i="54"/>
  <c r="CP262" i="54" s="1"/>
  <c r="CB16" i="54"/>
  <c r="CC16" i="54" s="1"/>
  <c r="CB258" i="54"/>
  <c r="CG258" i="54" s="1"/>
  <c r="CB47" i="54"/>
  <c r="CC47" i="54" s="1"/>
  <c r="CB33" i="54"/>
  <c r="CO33" i="54" s="1"/>
  <c r="CB213" i="54"/>
  <c r="CC213" i="54" s="1"/>
  <c r="CB218" i="54"/>
  <c r="CD218" i="54" s="1"/>
  <c r="CB227" i="54"/>
  <c r="CG227" i="54" s="1"/>
  <c r="CB150" i="54"/>
  <c r="CC150" i="54" s="1"/>
  <c r="CK7" i="54"/>
  <c r="CB136" i="54"/>
  <c r="CC136" i="54" s="1"/>
  <c r="CB230" i="54"/>
  <c r="CC230" i="54" s="1"/>
  <c r="CB229" i="54"/>
  <c r="CD229" i="54" s="1"/>
  <c r="CB84" i="54"/>
  <c r="CI84" i="54" s="1"/>
  <c r="CB178" i="54"/>
  <c r="CI178" i="54" s="1"/>
  <c r="CB39" i="54"/>
  <c r="CJ39" i="54" s="1"/>
  <c r="CB86" i="54"/>
  <c r="CC86" i="54" s="1"/>
  <c r="CB85" i="54"/>
  <c r="CC85" i="54" s="1"/>
  <c r="CB156" i="54"/>
  <c r="CQ156" i="54" s="1"/>
  <c r="CB203" i="54"/>
  <c r="CC203" i="54" s="1"/>
  <c r="CB17" i="54"/>
  <c r="CC17" i="54" s="1"/>
  <c r="CB70" i="54"/>
  <c r="CC70" i="54" s="1"/>
  <c r="CB147" i="54"/>
  <c r="CQ147" i="54" s="1"/>
  <c r="CB194" i="54"/>
  <c r="CC194" i="54" s="1"/>
  <c r="CB193" i="54"/>
  <c r="CP193" i="54" s="1"/>
  <c r="CB204" i="54"/>
  <c r="CQ204" i="54" s="1"/>
  <c r="CB24" i="54"/>
  <c r="CI24" i="54" s="1"/>
  <c r="CB148" i="54"/>
  <c r="CC148" i="54" s="1"/>
  <c r="CB15" i="54"/>
  <c r="CC15" i="54" s="1"/>
  <c r="CB92" i="54"/>
  <c r="CC92" i="54" s="1"/>
  <c r="CB91" i="54"/>
  <c r="CD91" i="54" s="1"/>
  <c r="CB168" i="54"/>
  <c r="CC168" i="54" s="1"/>
  <c r="CB251" i="54"/>
  <c r="CP251" i="54" s="1"/>
  <c r="CB268" i="54"/>
  <c r="CC268" i="54" s="1"/>
  <c r="CB118" i="54"/>
  <c r="CC118" i="54" s="1"/>
  <c r="CB135" i="54"/>
  <c r="CC135" i="54" s="1"/>
  <c r="CB26" i="54"/>
  <c r="CD26" i="54" s="1"/>
  <c r="CB25" i="54"/>
  <c r="CI25" i="54" s="1"/>
  <c r="CB36" i="54"/>
  <c r="CJ36" i="54" s="1"/>
  <c r="CB190" i="54"/>
  <c r="CO190" i="54" s="1"/>
  <c r="CB207" i="54"/>
  <c r="CC207" i="54" s="1"/>
  <c r="CB98" i="54"/>
  <c r="CC98" i="54" s="1"/>
  <c r="CB97" i="54"/>
  <c r="CD97" i="54" s="1"/>
  <c r="CB108" i="54"/>
  <c r="CQ108" i="54" s="1"/>
  <c r="CB215" i="54"/>
  <c r="CC215" i="54" s="1"/>
  <c r="CB232" i="54"/>
  <c r="CC232" i="54" s="1"/>
  <c r="CB222" i="54"/>
  <c r="CC222" i="54" s="1"/>
  <c r="CB73" i="54"/>
  <c r="CC73" i="54" s="1"/>
  <c r="CB74" i="54"/>
  <c r="CD74" i="54" s="1"/>
  <c r="CB254" i="54"/>
  <c r="CH254" i="54" s="1"/>
  <c r="CB94" i="54"/>
  <c r="CJ94" i="54" s="1"/>
  <c r="CB11" i="54"/>
  <c r="CC11" i="54" s="1"/>
  <c r="CF189" i="54"/>
  <c r="CF142" i="54"/>
  <c r="CF95" i="54"/>
  <c r="CF54" i="54"/>
  <c r="CF13" i="54"/>
  <c r="CF229" i="54"/>
  <c r="CF188" i="54"/>
  <c r="CF177" i="54"/>
  <c r="CF172" i="54"/>
  <c r="CF173" i="54"/>
  <c r="CF174" i="54"/>
  <c r="CF175" i="54"/>
  <c r="CF176" i="54"/>
  <c r="CF141" i="54"/>
  <c r="CF136" i="54"/>
  <c r="CF137" i="54"/>
  <c r="CF138" i="54"/>
  <c r="CF139" i="54"/>
  <c r="CH5" i="54"/>
  <c r="CR3" i="54" s="1"/>
  <c r="EY48" i="54" s="1" a="1"/>
  <c r="EY48" i="54" s="1"/>
  <c r="CF254" i="54"/>
  <c r="CF253" i="54"/>
  <c r="CF252" i="54"/>
  <c r="CF251" i="54"/>
  <c r="CF256" i="54"/>
  <c r="CF255" i="54"/>
  <c r="CF248" i="54"/>
  <c r="CF247" i="54"/>
  <c r="CF246" i="54"/>
  <c r="CF245" i="54"/>
  <c r="CF244" i="54"/>
  <c r="CF249" i="54"/>
  <c r="CF242" i="54"/>
  <c r="CF241" i="54"/>
  <c r="CF240" i="54"/>
  <c r="CF233" i="54"/>
  <c r="CF238" i="54"/>
  <c r="CF243" i="54"/>
  <c r="CF236" i="54"/>
  <c r="CF235" i="54"/>
  <c r="CF228" i="54"/>
  <c r="CF227" i="54"/>
  <c r="CF232" i="54"/>
  <c r="CF237" i="54"/>
  <c r="CF230" i="54"/>
  <c r="CF223" i="54"/>
  <c r="CF180" i="54"/>
  <c r="CF89" i="54"/>
  <c r="CF52" i="54"/>
  <c r="CF15" i="54"/>
  <c r="CF259" i="54"/>
  <c r="CF216" i="54"/>
  <c r="CF125" i="54"/>
  <c r="CF88" i="54"/>
  <c r="CF51" i="54"/>
  <c r="CF44" i="54"/>
  <c r="CF49" i="54"/>
  <c r="CF18" i="54"/>
  <c r="CF23" i="54"/>
  <c r="CF34" i="54"/>
  <c r="CF45" i="54"/>
  <c r="CF212" i="54"/>
  <c r="CF211" i="54"/>
  <c r="CF210" i="54"/>
  <c r="CF209" i="54"/>
  <c r="CF208" i="54"/>
  <c r="CF213" i="54"/>
  <c r="CF206" i="54"/>
  <c r="CF205" i="54"/>
  <c r="CF204" i="54"/>
  <c r="CF197" i="54"/>
  <c r="CF202" i="54"/>
  <c r="CF207" i="54"/>
  <c r="CF200" i="54"/>
  <c r="CF199" i="54"/>
  <c r="CF192" i="54"/>
  <c r="CF191" i="54"/>
  <c r="CF196" i="54"/>
  <c r="CF201" i="54"/>
  <c r="CF194" i="54"/>
  <c r="CF187" i="54"/>
  <c r="CF186" i="54"/>
  <c r="CF185" i="54"/>
  <c r="CF190" i="54"/>
  <c r="CF195" i="54"/>
  <c r="CF182" i="54"/>
  <c r="CF181" i="54"/>
  <c r="CF96" i="54"/>
  <c r="CF47" i="54"/>
  <c r="CF10" i="54"/>
  <c r="CF266" i="54"/>
  <c r="CF217" i="54"/>
  <c r="CF132" i="54"/>
  <c r="CF83" i="54"/>
  <c r="CF46" i="54"/>
  <c r="CF260" i="54"/>
  <c r="CF265" i="54"/>
  <c r="CF234" i="54"/>
  <c r="CF239" i="54"/>
  <c r="CF250" i="54"/>
  <c r="CF261" i="54"/>
  <c r="CF170" i="54"/>
  <c r="CF169" i="54"/>
  <c r="CF168" i="54"/>
  <c r="CF161" i="54"/>
  <c r="CF166" i="54"/>
  <c r="CF171" i="54"/>
  <c r="CF164" i="54"/>
  <c r="CF163" i="54"/>
  <c r="CF156" i="54"/>
  <c r="CF155" i="54"/>
  <c r="CF160" i="54"/>
  <c r="CF165" i="54"/>
  <c r="CF158" i="54"/>
  <c r="CF151" i="54"/>
  <c r="CF150" i="54"/>
  <c r="CF149" i="54"/>
  <c r="CF154" i="54"/>
  <c r="CF159" i="54"/>
  <c r="CF146" i="54"/>
  <c r="CF145" i="54"/>
  <c r="CF144" i="54"/>
  <c r="CF143" i="54"/>
  <c r="CF148" i="54"/>
  <c r="CF147" i="54"/>
  <c r="CF140" i="54"/>
  <c r="CF97" i="54"/>
  <c r="CF48" i="54"/>
  <c r="CF268" i="54"/>
  <c r="CF231" i="54"/>
  <c r="CF218" i="54"/>
  <c r="CF133" i="54"/>
  <c r="CF84" i="54"/>
  <c r="CF41" i="54"/>
  <c r="CF267" i="54"/>
  <c r="CF224" i="54"/>
  <c r="CF193" i="54"/>
  <c r="CF198" i="54"/>
  <c r="CF203" i="54"/>
  <c r="CF214" i="54"/>
  <c r="CF225" i="54"/>
  <c r="CF128" i="54"/>
  <c r="CF127" i="54"/>
  <c r="CF120" i="54"/>
  <c r="CF119" i="54"/>
  <c r="CF124" i="54"/>
  <c r="CF129" i="54"/>
  <c r="CF122" i="54"/>
  <c r="CF115" i="54"/>
  <c r="CF114" i="54"/>
  <c r="CF113" i="54"/>
  <c r="CF118" i="54"/>
  <c r="CF123" i="54"/>
  <c r="CF110" i="54"/>
  <c r="CF109" i="54"/>
  <c r="CF108" i="54"/>
  <c r="CF107" i="54"/>
  <c r="CF112" i="54"/>
  <c r="CF111" i="54"/>
  <c r="CF104" i="54"/>
  <c r="CF103" i="54"/>
  <c r="CF102" i="54"/>
  <c r="CF101" i="54"/>
  <c r="CF100" i="54"/>
  <c r="CF105" i="54"/>
  <c r="CF98" i="54"/>
  <c r="CF55" i="54"/>
  <c r="CF263" i="54"/>
  <c r="CF226" i="54"/>
  <c r="CF183" i="54"/>
  <c r="CF134" i="54"/>
  <c r="CF91" i="54"/>
  <c r="CF42" i="54"/>
  <c r="CF262" i="54"/>
  <c r="CF219" i="54"/>
  <c r="CF152" i="54"/>
  <c r="CF157" i="54"/>
  <c r="CF162" i="54"/>
  <c r="CF167" i="54"/>
  <c r="CF178" i="54"/>
  <c r="CF153" i="54"/>
  <c r="FR3" i="54"/>
  <c r="EB2" i="54"/>
  <c r="EC2" i="54"/>
  <c r="ED2" i="54" s="1"/>
  <c r="EE2" i="54" s="1"/>
  <c r="HX263" i="54"/>
  <c r="HX249" i="54"/>
  <c r="HX134" i="54"/>
  <c r="HX169" i="54"/>
  <c r="HX132" i="54"/>
  <c r="HX83" i="54"/>
  <c r="HX34" i="54"/>
  <c r="HX264" i="54"/>
  <c r="HX250" i="54"/>
  <c r="HX200" i="54"/>
  <c r="HX235" i="54"/>
  <c r="HX19" i="54"/>
  <c r="HX149" i="54"/>
  <c r="HX100" i="54"/>
  <c r="HX51" i="54"/>
  <c r="HX215" i="54"/>
  <c r="HX266" i="54"/>
  <c r="HX50" i="54"/>
  <c r="HX121" i="54"/>
  <c r="HX84" i="54"/>
  <c r="HX35" i="54"/>
  <c r="HX153" i="54"/>
  <c r="HX180" i="54"/>
  <c r="HX231" i="54"/>
  <c r="HX116" i="54"/>
  <c r="HX151" i="54"/>
  <c r="HX227" i="54"/>
  <c r="HX213" i="54"/>
  <c r="HX98" i="54"/>
  <c r="HX133" i="54"/>
  <c r="HX96" i="54"/>
  <c r="HX47" i="54"/>
  <c r="HX165" i="54"/>
  <c r="HX228" i="54"/>
  <c r="HX214" i="54"/>
  <c r="HX164" i="54"/>
  <c r="HX199" i="54"/>
  <c r="HX162" i="54"/>
  <c r="HX113" i="54"/>
  <c r="HX64" i="54"/>
  <c r="HX15" i="54"/>
  <c r="HX179" i="54"/>
  <c r="HX230" i="54"/>
  <c r="HX14" i="54"/>
  <c r="HX85" i="54"/>
  <c r="HX48" i="54"/>
  <c r="HX166" i="54"/>
  <c r="HX117" i="54"/>
  <c r="HX245" i="54"/>
  <c r="HX195" i="54"/>
  <c r="HX80" i="54"/>
  <c r="HX115" i="54"/>
  <c r="HX191" i="54"/>
  <c r="HX177" i="54"/>
  <c r="HX62" i="54"/>
  <c r="HX97" i="54"/>
  <c r="HX60" i="54"/>
  <c r="HX11" i="54"/>
  <c r="HX129" i="54"/>
  <c r="HX192" i="54"/>
  <c r="HX178" i="54"/>
  <c r="HX128" i="54"/>
  <c r="HX163" i="54"/>
  <c r="HX126" i="54"/>
  <c r="HX77" i="54"/>
  <c r="HX28" i="54"/>
  <c r="HX258" i="54"/>
  <c r="HX244" i="54"/>
  <c r="HX194" i="54"/>
  <c r="HX265" i="54"/>
  <c r="HX49" i="54"/>
  <c r="HX12" i="54"/>
  <c r="HX130" i="54"/>
  <c r="HX81" i="54"/>
  <c r="HX209" i="54"/>
  <c r="HX260" i="54"/>
  <c r="HX44" i="54"/>
  <c r="HX79" i="54"/>
  <c r="HX256" i="54"/>
  <c r="HX242" i="54"/>
  <c r="HX26" i="54"/>
  <c r="HX61" i="54"/>
  <c r="HX24" i="54"/>
  <c r="HX142" i="54"/>
  <c r="HX257" i="54"/>
  <c r="HX243" i="54"/>
  <c r="HX92" i="54"/>
  <c r="HX127" i="54"/>
  <c r="HX90" i="54"/>
  <c r="HX41" i="54"/>
  <c r="HX159" i="54"/>
  <c r="HX222" i="54"/>
  <c r="HX208" i="54"/>
  <c r="HX158" i="54"/>
  <c r="HX229" i="54"/>
  <c r="HX13" i="54"/>
  <c r="HX143" i="54"/>
  <c r="HX94" i="54"/>
  <c r="HX45" i="54"/>
  <c r="HX238" i="54"/>
  <c r="HX224" i="54"/>
  <c r="HX259" i="54"/>
  <c r="HX43" i="54"/>
  <c r="HX234" i="54"/>
  <c r="HX220" i="54"/>
  <c r="HX206" i="54"/>
  <c r="HX241" i="54"/>
  <c r="HX25" i="54"/>
  <c r="HX155" i="54"/>
  <c r="HX106" i="54"/>
  <c r="HX57" i="54"/>
  <c r="HX221" i="54"/>
  <c r="HX207" i="54"/>
  <c r="HX56" i="54"/>
  <c r="HX91" i="54"/>
  <c r="HX54" i="54"/>
  <c r="HX172" i="54"/>
  <c r="HX123" i="54"/>
  <c r="HX186" i="54"/>
  <c r="HX237" i="54"/>
  <c r="HX122" i="54"/>
  <c r="HX193" i="54"/>
  <c r="HX156" i="54"/>
  <c r="HX107" i="54"/>
  <c r="HX58" i="54"/>
  <c r="HX252" i="54"/>
  <c r="HX202" i="54"/>
  <c r="HX188" i="54"/>
  <c r="HX223" i="54"/>
  <c r="HX150" i="54"/>
  <c r="HX198" i="54"/>
  <c r="HX184" i="54"/>
  <c r="HX170" i="54"/>
  <c r="HX205" i="54"/>
  <c r="HX168" i="54"/>
  <c r="HX119" i="54"/>
  <c r="HX70" i="54"/>
  <c r="HX21" i="54"/>
  <c r="HX236" i="54"/>
  <c r="HX20" i="54"/>
  <c r="HX55" i="54"/>
  <c r="HX18" i="54"/>
  <c r="HX136" i="54"/>
  <c r="HX87" i="54"/>
  <c r="HX251" i="54"/>
  <c r="HX201" i="54"/>
  <c r="HX86" i="54"/>
  <c r="HX157" i="54"/>
  <c r="HX120" i="54"/>
  <c r="HX71" i="54"/>
  <c r="HX22" i="54"/>
  <c r="HX216" i="54"/>
  <c r="HX267" i="54"/>
  <c r="HX152" i="54"/>
  <c r="HX187" i="54"/>
  <c r="HX114" i="54"/>
  <c r="HX65" i="54"/>
  <c r="HX16" i="54"/>
  <c r="HX210" i="54"/>
  <c r="HX261" i="54"/>
  <c r="HX146" i="54"/>
  <c r="HX181" i="54"/>
  <c r="HX108" i="54"/>
  <c r="HX59" i="54"/>
  <c r="HX10" i="54"/>
  <c r="HX204" i="54"/>
  <c r="HX255" i="54"/>
  <c r="HX140" i="54"/>
  <c r="HX175" i="54"/>
  <c r="HX102" i="54"/>
  <c r="HX53" i="54"/>
  <c r="HX171" i="54"/>
  <c r="HX78" i="54"/>
  <c r="HX160" i="54"/>
  <c r="HX75" i="54"/>
  <c r="HX232" i="54"/>
  <c r="HX182" i="54"/>
  <c r="HX145" i="54"/>
  <c r="HX36" i="54"/>
  <c r="HX118" i="54"/>
  <c r="HX33" i="54"/>
  <c r="HX190" i="54"/>
  <c r="HX104" i="54"/>
  <c r="HX67" i="54"/>
  <c r="HX161" i="54"/>
  <c r="HX76" i="54"/>
  <c r="HX42" i="54"/>
  <c r="HX124" i="54"/>
  <c r="HX39" i="54"/>
  <c r="HX196" i="54"/>
  <c r="HX110" i="54"/>
  <c r="HX109" i="54"/>
  <c r="HX167" i="54"/>
  <c r="HX82" i="54"/>
  <c r="HX240" i="54"/>
  <c r="HX219" i="54"/>
  <c r="HX68" i="54"/>
  <c r="HX31" i="54"/>
  <c r="HX125" i="54"/>
  <c r="HX40" i="54"/>
  <c r="HX173" i="54"/>
  <c r="HX88" i="54"/>
  <c r="HX246" i="54"/>
  <c r="HX225" i="54"/>
  <c r="HX74" i="54"/>
  <c r="HX73" i="54"/>
  <c r="HX131" i="54"/>
  <c r="HX46" i="54"/>
  <c r="HX233" i="54"/>
  <c r="HX183" i="54"/>
  <c r="HX32" i="54"/>
  <c r="HX174" i="54"/>
  <c r="HX89" i="54"/>
  <c r="HX135" i="54"/>
  <c r="HX137" i="54"/>
  <c r="HX52" i="54"/>
  <c r="HX239" i="54"/>
  <c r="HX189" i="54"/>
  <c r="HX38" i="54"/>
  <c r="HX37" i="54"/>
  <c r="HX95" i="54"/>
  <c r="HX141" i="54"/>
  <c r="HX197" i="54"/>
  <c r="HX248" i="54"/>
  <c r="HX247" i="54"/>
  <c r="HX138" i="54"/>
  <c r="HX17" i="54"/>
  <c r="HX99" i="54"/>
  <c r="HX101" i="54"/>
  <c r="HX147" i="54"/>
  <c r="HX203" i="54"/>
  <c r="HX254" i="54"/>
  <c r="HX253" i="54"/>
  <c r="HX144" i="54"/>
  <c r="HX23" i="54"/>
  <c r="HX105" i="54"/>
  <c r="HX262" i="54"/>
  <c r="HX212" i="54"/>
  <c r="HX211" i="54"/>
  <c r="HX66" i="54"/>
  <c r="HX148" i="54"/>
  <c r="HX63" i="54"/>
  <c r="HX29" i="54"/>
  <c r="HX111" i="54"/>
  <c r="HX268" i="54"/>
  <c r="HX218" i="54"/>
  <c r="HX217" i="54"/>
  <c r="HX72" i="54"/>
  <c r="HX154" i="54"/>
  <c r="HX69" i="54"/>
  <c r="HX226" i="54"/>
  <c r="HX176" i="54"/>
  <c r="HX103" i="54"/>
  <c r="HX30" i="54"/>
  <c r="HX112" i="54"/>
  <c r="HX27" i="54"/>
  <c r="CP23" i="54"/>
  <c r="EC4" i="54"/>
  <c r="ED4" i="54" s="1"/>
  <c r="EE4" i="54" s="1"/>
  <c r="EB4" i="54"/>
  <c r="CJ121" i="54"/>
  <c r="CG155" i="54"/>
  <c r="CG83" i="54"/>
  <c r="FK3" i="54"/>
  <c r="CQ171" i="54"/>
  <c r="DC35" i="54"/>
  <c r="DA35" i="54"/>
  <c r="DB36" i="54" s="1"/>
  <c r="AB10" i="56"/>
  <c r="AA11" i="56"/>
  <c r="Q11" i="56" s="1"/>
  <c r="R11" i="56" s="1"/>
  <c r="AN11" i="56" s="1"/>
  <c r="AF11" i="56"/>
  <c r="AA9" i="56"/>
  <c r="AA7" i="56"/>
  <c r="AD30" i="56"/>
  <c r="AF30" i="56"/>
  <c r="AF33" i="56"/>
  <c r="R32" i="56"/>
  <c r="AD32" i="56"/>
  <c r="Q5" i="56"/>
  <c r="R5" i="56" s="1"/>
  <c r="AN5" i="56" s="1"/>
  <c r="AE31" i="56"/>
  <c r="AD29" i="56"/>
  <c r="AF29" i="56"/>
  <c r="AE34" i="56"/>
  <c r="EC6" i="54" s="1"/>
  <c r="AF32" i="56"/>
  <c r="AI13" i="56"/>
  <c r="AG13" i="56"/>
  <c r="AI4" i="56"/>
  <c r="AA5" i="56"/>
  <c r="AI8" i="56"/>
  <c r="AH5" i="56"/>
  <c r="CN3" i="54" s="1"/>
  <c r="CT3" i="54" s="1"/>
  <c r="CU3" i="54" s="1"/>
  <c r="AG5" i="56"/>
  <c r="AI5" i="56"/>
  <c r="AA16" i="56"/>
  <c r="AG17" i="56"/>
  <c r="AI17" i="56"/>
  <c r="AI9" i="56"/>
  <c r="Q17" i="56"/>
  <c r="R17" i="56" s="1"/>
  <c r="AN17" i="56" s="1"/>
  <c r="AF13" i="56"/>
  <c r="N2" i="56"/>
  <c r="AG9" i="56"/>
  <c r="AA17" i="56"/>
  <c r="AG4" i="56"/>
  <c r="AI21" i="56"/>
  <c r="Q21" i="56"/>
  <c r="R21" i="56" s="1"/>
  <c r="AN21" i="56" s="1"/>
  <c r="N4" i="56"/>
  <c r="AI24" i="56"/>
  <c r="AA20" i="56"/>
  <c r="AA21" i="56"/>
  <c r="Q9" i="56"/>
  <c r="R9" i="56" s="1"/>
  <c r="AN9" i="56" s="1"/>
  <c r="Q16" i="56"/>
  <c r="R16" i="56" s="1"/>
  <c r="AN16" i="56" s="1"/>
  <c r="AA25" i="56"/>
  <c r="Q25" i="56" s="1"/>
  <c r="R25" i="56" s="1"/>
  <c r="AN25" i="56" s="1"/>
  <c r="AA13" i="56"/>
  <c r="Q13" i="56" s="1"/>
  <c r="R13" i="56" s="1"/>
  <c r="AN13" i="56" s="1"/>
  <c r="AF25" i="56"/>
  <c r="AG24" i="56"/>
  <c r="AG2" i="56"/>
  <c r="AI2" i="56"/>
  <c r="AC6" i="56"/>
  <c r="AA6" i="56"/>
  <c r="Q6" i="56"/>
  <c r="R6" i="56" s="1"/>
  <c r="AN6" i="56" s="1"/>
  <c r="Q14" i="56"/>
  <c r="R14" i="56" s="1"/>
  <c r="AN14" i="56" s="1"/>
  <c r="AG14" i="56"/>
  <c r="AI14" i="56"/>
  <c r="AA19" i="56"/>
  <c r="AC19" i="56"/>
  <c r="AC2" i="56"/>
  <c r="AA2" i="56"/>
  <c r="AA15" i="56"/>
  <c r="AC15" i="56"/>
  <c r="Q15" i="56"/>
  <c r="R15" i="56" s="1"/>
  <c r="AN15" i="56" s="1"/>
  <c r="AC4" i="56"/>
  <c r="AA4" i="56"/>
  <c r="AA12" i="56"/>
  <c r="Q12" i="56" s="1"/>
  <c r="R12" i="56" s="1"/>
  <c r="AN12" i="56" s="1"/>
  <c r="AC12" i="56"/>
  <c r="AF12" i="56" s="1"/>
  <c r="AC8" i="56"/>
  <c r="Q8" i="56" s="1"/>
  <c r="R8" i="56" s="1"/>
  <c r="AN8" i="56" s="1"/>
  <c r="AA8" i="56"/>
  <c r="AI10" i="56"/>
  <c r="AG10" i="56"/>
  <c r="Q10" i="56"/>
  <c r="R10" i="56" s="1"/>
  <c r="AN10" i="56" s="1"/>
  <c r="CP106" i="54" l="1"/>
  <c r="CI182" i="54"/>
  <c r="CI210" i="54"/>
  <c r="CQ76" i="54"/>
  <c r="CI40" i="54"/>
  <c r="CO219" i="54"/>
  <c r="CG133" i="54"/>
  <c r="CP50" i="54"/>
  <c r="CQ40" i="54"/>
  <c r="CH133" i="54"/>
  <c r="CI155" i="54"/>
  <c r="CJ93" i="54"/>
  <c r="CQ159" i="54"/>
  <c r="CP133" i="54"/>
  <c r="CO128" i="54"/>
  <c r="CI243" i="54"/>
  <c r="CG159" i="54"/>
  <c r="CQ240" i="54"/>
  <c r="CJ105" i="54"/>
  <c r="CG44" i="54"/>
  <c r="CG169" i="54"/>
  <c r="CJ44" i="54"/>
  <c r="CG129" i="54"/>
  <c r="CO50" i="54"/>
  <c r="CO10" i="54"/>
  <c r="CJ75" i="54"/>
  <c r="CG233" i="54"/>
  <c r="FA48" i="54"/>
  <c r="FB48" i="54"/>
  <c r="FC48" i="54" s="1"/>
  <c r="CO76" i="54"/>
  <c r="CJ130" i="54"/>
  <c r="CG246" i="54"/>
  <c r="CH155" i="54"/>
  <c r="CI133" i="54"/>
  <c r="CL133" i="54" s="1"/>
  <c r="CO30" i="54"/>
  <c r="EY165" i="54" a="1"/>
  <c r="EY165" i="54" s="1"/>
  <c r="CH68" i="54"/>
  <c r="CH240" i="54"/>
  <c r="CQ89" i="54"/>
  <c r="CI88" i="54"/>
  <c r="CL88" i="54" s="1"/>
  <c r="CP163" i="54"/>
  <c r="CP93" i="54"/>
  <c r="CQ152" i="54"/>
  <c r="CJ155" i="54"/>
  <c r="CO134" i="54"/>
  <c r="CC240" i="54"/>
  <c r="CK240" i="54" s="1"/>
  <c r="CO152" i="54"/>
  <c r="CJ144" i="54"/>
  <c r="CH27" i="54"/>
  <c r="C68" i="54" a="1"/>
  <c r="C68" i="54" s="1"/>
  <c r="CP128" i="54"/>
  <c r="CC128" i="54"/>
  <c r="CK128" i="54" s="1"/>
  <c r="EC5" i="54"/>
  <c r="EC7" i="54"/>
  <c r="AN33" i="56"/>
  <c r="BM29" i="54" a="1"/>
  <c r="BM29" i="54" s="1"/>
  <c r="L35" i="54" s="1" a="1"/>
  <c r="L35" i="54" s="1"/>
  <c r="CO260" i="54"/>
  <c r="CU5" i="54" a="1"/>
  <c r="CU5" i="54" s="1"/>
  <c r="CV5" i="54" s="1"/>
  <c r="CO158" i="54"/>
  <c r="CC58" i="54"/>
  <c r="CK58" i="54" s="1"/>
  <c r="CJ123" i="54"/>
  <c r="C69" i="54" a="1"/>
  <c r="C69" i="54" s="1"/>
  <c r="CQ12" i="54"/>
  <c r="CO201" i="54"/>
  <c r="CT2" i="54" a="1"/>
  <c r="CT2" i="54" s="1"/>
  <c r="CU2" i="54" s="1"/>
  <c r="CH242" i="54"/>
  <c r="CG231" i="54"/>
  <c r="CG43" i="54"/>
  <c r="CJ137" i="54"/>
  <c r="CJ239" i="54"/>
  <c r="CT4" i="54" a="1"/>
  <c r="CT4" i="54" s="1"/>
  <c r="CU4" i="54" s="1"/>
  <c r="CQ242" i="54"/>
  <c r="CG253" i="54"/>
  <c r="CO180" i="54"/>
  <c r="CU7" i="54" a="1"/>
  <c r="CU7" i="54" s="1"/>
  <c r="CV7" i="54" s="1"/>
  <c r="CD16" i="54"/>
  <c r="CD135" i="54"/>
  <c r="CD40" i="54"/>
  <c r="CK40" i="54" s="1"/>
  <c r="CD61" i="54"/>
  <c r="CD73" i="54"/>
  <c r="CK73" i="54" s="1"/>
  <c r="CD79" i="54"/>
  <c r="CD85" i="54"/>
  <c r="CK85" i="54" s="1"/>
  <c r="CD49" i="54"/>
  <c r="CD65" i="54"/>
  <c r="CD161" i="54"/>
  <c r="CD175" i="54"/>
  <c r="CD197" i="54"/>
  <c r="CD136" i="54"/>
  <c r="CD154" i="54"/>
  <c r="CK154" i="54" s="1"/>
  <c r="CD166" i="54"/>
  <c r="CK166" i="54" s="1"/>
  <c r="CD256" i="54"/>
  <c r="CD168" i="54"/>
  <c r="CK168" i="54" s="1"/>
  <c r="CD203" i="54"/>
  <c r="CD63" i="54"/>
  <c r="CK63" i="54" s="1"/>
  <c r="CD87" i="54"/>
  <c r="CK87" i="54" s="1"/>
  <c r="CD99" i="54"/>
  <c r="CD123" i="54"/>
  <c r="CD69" i="54"/>
  <c r="CD206" i="54"/>
  <c r="CD268" i="54"/>
  <c r="CK268" i="54" s="1"/>
  <c r="CD178" i="54"/>
  <c r="CD56" i="54"/>
  <c r="CD92" i="54"/>
  <c r="CD110" i="54"/>
  <c r="CK110" i="54" s="1"/>
  <c r="CD20" i="54"/>
  <c r="CK20" i="54" s="1"/>
  <c r="CD52" i="54"/>
  <c r="CD70" i="54"/>
  <c r="CK70" i="54" s="1"/>
  <c r="CD86" i="54"/>
  <c r="CK86" i="54" s="1"/>
  <c r="CD104" i="54"/>
  <c r="CD14" i="54"/>
  <c r="CD258" i="54"/>
  <c r="CD59" i="54"/>
  <c r="CK59" i="54" s="1"/>
  <c r="CD77" i="54"/>
  <c r="CD232" i="54"/>
  <c r="CK232" i="54" s="1"/>
  <c r="CD250" i="54"/>
  <c r="CD102" i="54"/>
  <c r="CK102" i="54" s="1"/>
  <c r="CD126" i="54"/>
  <c r="CD11" i="54"/>
  <c r="CK11" i="54" s="1"/>
  <c r="CD83" i="54"/>
  <c r="CD119" i="54"/>
  <c r="CK119" i="54" s="1"/>
  <c r="CD162" i="54"/>
  <c r="CD196" i="54"/>
  <c r="CD90" i="54"/>
  <c r="CK90" i="54" s="1"/>
  <c r="CD190" i="54"/>
  <c r="CD246" i="54"/>
  <c r="CK246" i="54" s="1"/>
  <c r="CD165" i="54"/>
  <c r="CD187" i="54"/>
  <c r="CD194" i="54"/>
  <c r="CD151" i="54"/>
  <c r="CD257" i="54"/>
  <c r="CK257" i="54" s="1"/>
  <c r="CD243" i="54"/>
  <c r="CD251" i="54"/>
  <c r="CD263" i="54"/>
  <c r="CD222" i="54"/>
  <c r="CK222" i="54" s="1"/>
  <c r="CD225" i="54"/>
  <c r="CD247" i="54"/>
  <c r="CD204" i="54"/>
  <c r="CD19" i="54"/>
  <c r="CD262" i="54"/>
  <c r="CD53" i="54"/>
  <c r="CK53" i="54" s="1"/>
  <c r="CD188" i="54"/>
  <c r="CD148" i="54"/>
  <c r="CD51" i="54"/>
  <c r="CD111" i="54"/>
  <c r="CK111" i="54" s="1"/>
  <c r="CD72" i="54"/>
  <c r="CD235" i="54"/>
  <c r="CK235" i="54" s="1"/>
  <c r="CD95" i="54"/>
  <c r="CD202" i="54"/>
  <c r="CD183" i="54"/>
  <c r="CD191" i="54"/>
  <c r="CK191" i="54" s="1"/>
  <c r="CD219" i="54"/>
  <c r="CD176" i="54"/>
  <c r="CD254" i="54"/>
  <c r="CD62" i="54"/>
  <c r="CD80" i="54"/>
  <c r="CD146" i="54"/>
  <c r="CK146" i="54" s="1"/>
  <c r="CD76" i="54"/>
  <c r="CD103" i="54"/>
  <c r="CD109" i="54"/>
  <c r="CD156" i="54"/>
  <c r="CD177" i="54"/>
  <c r="CD149" i="54"/>
  <c r="CK149" i="54" s="1"/>
  <c r="CD264" i="54"/>
  <c r="CD238" i="54"/>
  <c r="CD214" i="54"/>
  <c r="CD108" i="54"/>
  <c r="CD132" i="54"/>
  <c r="CD198" i="54"/>
  <c r="CD29" i="54"/>
  <c r="CD260" i="54"/>
  <c r="CD137" i="54"/>
  <c r="CD172" i="54"/>
  <c r="CD145" i="54"/>
  <c r="CD208" i="54"/>
  <c r="CK208" i="54" s="1"/>
  <c r="CD213" i="54"/>
  <c r="CD125" i="54"/>
  <c r="CK125" i="54" s="1"/>
  <c r="CD150" i="54"/>
  <c r="CD248" i="54"/>
  <c r="CK248" i="54" s="1"/>
  <c r="CD227" i="54"/>
  <c r="CD94" i="54"/>
  <c r="CD118" i="54"/>
  <c r="CD33" i="54"/>
  <c r="CD24" i="54"/>
  <c r="CD36" i="54"/>
  <c r="CD12" i="54"/>
  <c r="CK12" i="54" s="1"/>
  <c r="CD17" i="54"/>
  <c r="CK17" i="54" s="1"/>
  <c r="CD249" i="54"/>
  <c r="CD195" i="54"/>
  <c r="CD224" i="54"/>
  <c r="CD81" i="54"/>
  <c r="CK81" i="54" s="1"/>
  <c r="CD117" i="54"/>
  <c r="CD98" i="54"/>
  <c r="CK98" i="54" s="1"/>
  <c r="CD84" i="54"/>
  <c r="CD199" i="54"/>
  <c r="CK199" i="54" s="1"/>
  <c r="CD242" i="54"/>
  <c r="CD13" i="54"/>
  <c r="CD25" i="54"/>
  <c r="CD138" i="54"/>
  <c r="CD215" i="54"/>
  <c r="CD186" i="54"/>
  <c r="CD193" i="54"/>
  <c r="CD207" i="54"/>
  <c r="CK207" i="54" s="1"/>
  <c r="CD217" i="54"/>
  <c r="CD209" i="54"/>
  <c r="CK209" i="54" s="1"/>
  <c r="CD230" i="54"/>
  <c r="CD237" i="54"/>
  <c r="CK237" i="54" s="1"/>
  <c r="CD245" i="54"/>
  <c r="CK245" i="54" s="1"/>
  <c r="CD201" i="54"/>
  <c r="CD15" i="54"/>
  <c r="CK15" i="54" s="1"/>
  <c r="CD21" i="54"/>
  <c r="CK21" i="54" s="1"/>
  <c r="CD27" i="54"/>
  <c r="CD39" i="54"/>
  <c r="CD139" i="54"/>
  <c r="CD226" i="54"/>
  <c r="CK226" i="54" s="1"/>
  <c r="CD244" i="54"/>
  <c r="CD120" i="54"/>
  <c r="CK120" i="54" s="1"/>
  <c r="CD266" i="54"/>
  <c r="CD47" i="54"/>
  <c r="CK47" i="54" s="1"/>
  <c r="CD241" i="54"/>
  <c r="CD147" i="54"/>
  <c r="CD101" i="54"/>
  <c r="CD223" i="54"/>
  <c r="CD66" i="54"/>
  <c r="CK66" i="54" s="1"/>
  <c r="CD60" i="54"/>
  <c r="CK60" i="54" s="1"/>
  <c r="CD114" i="54"/>
  <c r="CD55" i="54"/>
  <c r="CK55" i="54" s="1"/>
  <c r="CO3" i="54"/>
  <c r="CP3" i="54" s="1"/>
  <c r="EY140" i="54" a="1"/>
  <c r="EY140" i="54" s="1"/>
  <c r="CQ92" i="54"/>
  <c r="CQ66" i="54"/>
  <c r="CG230" i="54"/>
  <c r="CQ245" i="54"/>
  <c r="CI119" i="54"/>
  <c r="CL119" i="54" s="1"/>
  <c r="CP81" i="54"/>
  <c r="BF10" i="54" a="1"/>
  <c r="BF10" i="54" s="1"/>
  <c r="CK57" i="54"/>
  <c r="CH154" i="54"/>
  <c r="CJ40" i="54"/>
  <c r="CQ133" i="54"/>
  <c r="CG98" i="54"/>
  <c r="CI250" i="54"/>
  <c r="CJ243" i="54"/>
  <c r="CM243" i="54" s="1"/>
  <c r="CJ154" i="54"/>
  <c r="CG219" i="54"/>
  <c r="CP155" i="54"/>
  <c r="CO155" i="54"/>
  <c r="CJ133" i="54"/>
  <c r="CH208" i="54"/>
  <c r="CH57" i="54"/>
  <c r="CG128" i="54"/>
  <c r="CJ135" i="54"/>
  <c r="CP125" i="54"/>
  <c r="CH119" i="54"/>
  <c r="CH243" i="54"/>
  <c r="CI81" i="54"/>
  <c r="CQ155" i="54"/>
  <c r="CO133" i="54"/>
  <c r="CO48" i="54"/>
  <c r="CO194" i="54"/>
  <c r="CQ149" i="54"/>
  <c r="CG58" i="54"/>
  <c r="CQ43" i="54"/>
  <c r="CH144" i="54"/>
  <c r="CI238" i="54"/>
  <c r="CJ241" i="54"/>
  <c r="CO32" i="54"/>
  <c r="CJ115" i="54"/>
  <c r="CJ187" i="54"/>
  <c r="CC231" i="54"/>
  <c r="CQ220" i="54"/>
  <c r="CP59" i="54"/>
  <c r="CG214" i="54"/>
  <c r="CQ212" i="54"/>
  <c r="CJ210" i="54"/>
  <c r="CQ268" i="54"/>
  <c r="CO259" i="54"/>
  <c r="CI57" i="54"/>
  <c r="CG116" i="54"/>
  <c r="CJ263" i="54"/>
  <c r="CH72" i="54"/>
  <c r="CP22" i="54"/>
  <c r="CH184" i="54"/>
  <c r="CH259" i="54"/>
  <c r="CQ160" i="54"/>
  <c r="CI71" i="54"/>
  <c r="CO210" i="54"/>
  <c r="CI51" i="54"/>
  <c r="CH100" i="54"/>
  <c r="CH116" i="54"/>
  <c r="CC210" i="54"/>
  <c r="CK210" i="54" s="1"/>
  <c r="CG184" i="54"/>
  <c r="CC22" i="54"/>
  <c r="CK22" i="54" s="1"/>
  <c r="CQ200" i="54"/>
  <c r="CP174" i="54"/>
  <c r="CG210" i="54"/>
  <c r="CP210" i="54"/>
  <c r="CQ51" i="54"/>
  <c r="CO131" i="54"/>
  <c r="CG247" i="54"/>
  <c r="CG126" i="54"/>
  <c r="CJ212" i="54"/>
  <c r="CG69" i="54"/>
  <c r="CP113" i="54"/>
  <c r="CJ200" i="54"/>
  <c r="CO261" i="54"/>
  <c r="CJ174" i="54"/>
  <c r="CQ210" i="54"/>
  <c r="CG131" i="54"/>
  <c r="CI22" i="54"/>
  <c r="CQ71" i="54"/>
  <c r="CG51" i="54"/>
  <c r="CG264" i="54"/>
  <c r="CQ113" i="54"/>
  <c r="CJ261" i="54"/>
  <c r="CQ115" i="54"/>
  <c r="CJ131" i="54"/>
  <c r="CH55" i="54"/>
  <c r="CJ82" i="54"/>
  <c r="CG29" i="54"/>
  <c r="CI39" i="54"/>
  <c r="CJ111" i="54"/>
  <c r="CH111" i="54"/>
  <c r="CC115" i="54"/>
  <c r="CP107" i="54"/>
  <c r="CC71" i="54"/>
  <c r="CJ22" i="54"/>
  <c r="CG22" i="54"/>
  <c r="CG113" i="54"/>
  <c r="CH212" i="54"/>
  <c r="CP184" i="54"/>
  <c r="CH200" i="54"/>
  <c r="CH261" i="54"/>
  <c r="CI259" i="54"/>
  <c r="CJ259" i="54"/>
  <c r="EY123" i="54" a="1"/>
  <c r="EY123" i="54" s="1"/>
  <c r="EY222" i="54" a="1"/>
  <c r="EY222" i="54" s="1"/>
  <c r="EY12" i="54" a="1"/>
  <c r="EY12" i="54" s="1"/>
  <c r="CO174" i="54"/>
  <c r="CI174" i="54"/>
  <c r="CJ57" i="54"/>
  <c r="CH71" i="54"/>
  <c r="CP51" i="54"/>
  <c r="CH115" i="54"/>
  <c r="CQ116" i="54"/>
  <c r="CP131" i="54"/>
  <c r="CG107" i="54"/>
  <c r="CI82" i="54"/>
  <c r="CQ29" i="54"/>
  <c r="CI111" i="54"/>
  <c r="CQ172" i="54"/>
  <c r="CC131" i="54"/>
  <c r="CK131" i="54" s="1"/>
  <c r="CH29" i="54"/>
  <c r="CC184" i="54"/>
  <c r="CK184" i="54" s="1"/>
  <c r="CH107" i="54"/>
  <c r="CQ22" i="54"/>
  <c r="CI113" i="54"/>
  <c r="CH113" i="54"/>
  <c r="CI212" i="54"/>
  <c r="CJ184" i="54"/>
  <c r="CM184" i="54" s="1"/>
  <c r="CI200" i="54"/>
  <c r="CI261" i="54"/>
  <c r="CP259" i="54"/>
  <c r="EY168" i="54" a="1"/>
  <c r="EY168" i="54" s="1"/>
  <c r="CG174" i="54"/>
  <c r="CQ57" i="54"/>
  <c r="CP57" i="54"/>
  <c r="CO71" i="54"/>
  <c r="CJ71" i="54"/>
  <c r="CO51" i="54"/>
  <c r="CI115" i="54"/>
  <c r="CJ116" i="54"/>
  <c r="CQ131" i="54"/>
  <c r="CI107" i="54"/>
  <c r="CG82" i="54"/>
  <c r="CO82" i="54"/>
  <c r="CI29" i="54"/>
  <c r="CQ111" i="54"/>
  <c r="CG172" i="54"/>
  <c r="CQ107" i="54"/>
  <c r="CO172" i="54"/>
  <c r="CO22" i="54"/>
  <c r="CJ113" i="54"/>
  <c r="CP212" i="54"/>
  <c r="CO212" i="54"/>
  <c r="CQ184" i="54"/>
  <c r="CI184" i="54"/>
  <c r="CL184" i="54" s="1"/>
  <c r="CO200" i="54"/>
  <c r="CP261" i="54"/>
  <c r="CG259" i="54"/>
  <c r="EY158" i="54" a="1"/>
  <c r="EY158" i="54" s="1"/>
  <c r="CQ174" i="54"/>
  <c r="CG57" i="54"/>
  <c r="CP71" i="54"/>
  <c r="CH51" i="54"/>
  <c r="CP115" i="54"/>
  <c r="CO115" i="54"/>
  <c r="CI116" i="54"/>
  <c r="CH131" i="54"/>
  <c r="CG85" i="54"/>
  <c r="CJ107" i="54"/>
  <c r="CP82" i="54"/>
  <c r="CO29" i="54"/>
  <c r="CJ29" i="54"/>
  <c r="CG111" i="54"/>
  <c r="CP172" i="54"/>
  <c r="CC116" i="54"/>
  <c r="CK116" i="54" s="1"/>
  <c r="CQ82" i="54"/>
  <c r="CP111" i="54"/>
  <c r="CO113" i="54"/>
  <c r="CG212" i="54"/>
  <c r="CG200" i="54"/>
  <c r="CP200" i="54"/>
  <c r="CG261" i="54"/>
  <c r="CQ261" i="54"/>
  <c r="CQ259" i="54"/>
  <c r="EY35" i="54" a="1"/>
  <c r="EY35" i="54" s="1"/>
  <c r="EY209" i="54" a="1"/>
  <c r="EY209" i="54" s="1"/>
  <c r="CH174" i="54"/>
  <c r="CO57" i="54"/>
  <c r="CJ51" i="54"/>
  <c r="CM51" i="54" s="1"/>
  <c r="CP116" i="54"/>
  <c r="CO107" i="54"/>
  <c r="CH82" i="54"/>
  <c r="CP29" i="54"/>
  <c r="CO111" i="54"/>
  <c r="CC89" i="54"/>
  <c r="CK89" i="54" s="1"/>
  <c r="BM11" i="54" a="1"/>
  <c r="BM11" i="54" s="1"/>
  <c r="BM16" i="54" a="1"/>
  <c r="BM16" i="54" s="1"/>
  <c r="BM10" i="54" a="1"/>
  <c r="BM10" i="54" s="1"/>
  <c r="BM15" i="54" a="1"/>
  <c r="BM15" i="54" s="1"/>
  <c r="BM14" i="54" a="1"/>
  <c r="BM14" i="54" s="1"/>
  <c r="BM13" i="54" a="1"/>
  <c r="BM13" i="54" s="1"/>
  <c r="BM12" i="54" a="1"/>
  <c r="BM12" i="54" s="1"/>
  <c r="CO99" i="54"/>
  <c r="CG120" i="54"/>
  <c r="CO235" i="54"/>
  <c r="CO231" i="54"/>
  <c r="CH32" i="54"/>
  <c r="CP32" i="54"/>
  <c r="CJ99" i="54"/>
  <c r="CP235" i="54"/>
  <c r="CG158" i="54"/>
  <c r="CP158" i="54"/>
  <c r="CQ120" i="54"/>
  <c r="CC180" i="54"/>
  <c r="CK180" i="54" s="1"/>
  <c r="CC233" i="54"/>
  <c r="CK233" i="54" s="1"/>
  <c r="CH253" i="54"/>
  <c r="CI123" i="54"/>
  <c r="CG238" i="54"/>
  <c r="CJ58" i="54"/>
  <c r="CJ68" i="54"/>
  <c r="CQ233" i="54"/>
  <c r="CJ253" i="54"/>
  <c r="CO144" i="54"/>
  <c r="CI201" i="54"/>
  <c r="CJ201" i="54"/>
  <c r="CG180" i="54"/>
  <c r="CP123" i="54"/>
  <c r="CP239" i="54"/>
  <c r="CG260" i="54"/>
  <c r="CP238" i="54"/>
  <c r="CC238" i="54"/>
  <c r="CI58" i="54"/>
  <c r="CO68" i="54"/>
  <c r="CI68" i="54"/>
  <c r="CO241" i="54"/>
  <c r="CI242" i="54"/>
  <c r="CJ231" i="54"/>
  <c r="CH231" i="54"/>
  <c r="CQ163" i="54"/>
  <c r="CI233" i="54"/>
  <c r="CH233" i="54"/>
  <c r="CI43" i="54"/>
  <c r="CI89" i="54"/>
  <c r="CQ32" i="54"/>
  <c r="CI99" i="54"/>
  <c r="CL99" i="54" s="1"/>
  <c r="CG235" i="54"/>
  <c r="CQ158" i="54"/>
  <c r="CH120" i="54"/>
  <c r="CC144" i="54"/>
  <c r="CK144" i="54" s="1"/>
  <c r="CM144" i="54" s="1"/>
  <c r="CC68" i="54"/>
  <c r="CK68" i="54" s="1"/>
  <c r="CP180" i="54"/>
  <c r="CI241" i="54"/>
  <c r="CJ242" i="54"/>
  <c r="CG163" i="54"/>
  <c r="CI253" i="54"/>
  <c r="CP144" i="54"/>
  <c r="CP201" i="54"/>
  <c r="CQ180" i="54"/>
  <c r="CG123" i="54"/>
  <c r="CQ123" i="54"/>
  <c r="CG239" i="54"/>
  <c r="CQ260" i="54"/>
  <c r="CH238" i="54"/>
  <c r="CQ58" i="54"/>
  <c r="CO58" i="54"/>
  <c r="CP68" i="54"/>
  <c r="CP241" i="54"/>
  <c r="CO242" i="54"/>
  <c r="CI231" i="54"/>
  <c r="CH163" i="54"/>
  <c r="CJ233" i="54"/>
  <c r="CO43" i="54"/>
  <c r="CO89" i="54"/>
  <c r="CJ89" i="54"/>
  <c r="CO191" i="54"/>
  <c r="CG32" i="54"/>
  <c r="CG99" i="54"/>
  <c r="CP99" i="54"/>
  <c r="CQ235" i="54"/>
  <c r="CH158" i="54"/>
  <c r="CI120" i="54"/>
  <c r="CJ120" i="54"/>
  <c r="CC123" i="54"/>
  <c r="CC239" i="54"/>
  <c r="CK239" i="54" s="1"/>
  <c r="CC242" i="54"/>
  <c r="CC201" i="54"/>
  <c r="CI144" i="54"/>
  <c r="CL144" i="54" s="1"/>
  <c r="CH201" i="54"/>
  <c r="CO239" i="54"/>
  <c r="CJ43" i="54"/>
  <c r="CH89" i="54"/>
  <c r="CP253" i="54"/>
  <c r="CG144" i="54"/>
  <c r="CQ201" i="54"/>
  <c r="CH180" i="54"/>
  <c r="CJ180" i="54"/>
  <c r="CO123" i="54"/>
  <c r="CQ239" i="54"/>
  <c r="CH260" i="54"/>
  <c r="CJ238" i="54"/>
  <c r="CP58" i="54"/>
  <c r="CG68" i="54"/>
  <c r="CG241" i="54"/>
  <c r="CP242" i="54"/>
  <c r="CP231" i="54"/>
  <c r="CR231" i="54" s="1" a="1"/>
  <c r="CR231" i="54" s="1"/>
  <c r="CJ163" i="54"/>
  <c r="CO233" i="54"/>
  <c r="CP43" i="54"/>
  <c r="CP89" i="54"/>
  <c r="CR89" i="54" s="1" a="1"/>
  <c r="CR89" i="54" s="1"/>
  <c r="CH188" i="54"/>
  <c r="CJ32" i="54"/>
  <c r="CH99" i="54"/>
  <c r="CH235" i="54"/>
  <c r="CJ158" i="54"/>
  <c r="CO120" i="54"/>
  <c r="CC99" i="54"/>
  <c r="CC241" i="54"/>
  <c r="CC43" i="54"/>
  <c r="CK43" i="54" s="1"/>
  <c r="CC260" i="54"/>
  <c r="CC163" i="54"/>
  <c r="CK163" i="54" s="1"/>
  <c r="CC158" i="54"/>
  <c r="CK158" i="54" s="1"/>
  <c r="CP260" i="54"/>
  <c r="CO238" i="54"/>
  <c r="CQ253" i="54"/>
  <c r="CO253" i="54"/>
  <c r="CI239" i="54"/>
  <c r="CI260" i="54"/>
  <c r="CG38" i="54"/>
  <c r="CH241" i="54"/>
  <c r="CO163" i="54"/>
  <c r="CI32" i="54"/>
  <c r="CI235" i="54"/>
  <c r="CJ235" i="54"/>
  <c r="CP120" i="54"/>
  <c r="CQ73" i="54"/>
  <c r="CP85" i="54"/>
  <c r="CG149" i="54"/>
  <c r="CP209" i="54"/>
  <c r="CH250" i="54"/>
  <c r="CQ98" i="54"/>
  <c r="CH92" i="54"/>
  <c r="CG245" i="54"/>
  <c r="CH73" i="54"/>
  <c r="CI135" i="54"/>
  <c r="CP194" i="54"/>
  <c r="CH230" i="54"/>
  <c r="CJ213" i="54"/>
  <c r="CJ66" i="54"/>
  <c r="CQ125" i="54"/>
  <c r="CG63" i="54"/>
  <c r="CJ73" i="54"/>
  <c r="CH135" i="54"/>
  <c r="CI194" i="54"/>
  <c r="CP230" i="54"/>
  <c r="CI213" i="54"/>
  <c r="CL213" i="54" s="1"/>
  <c r="CO209" i="54"/>
  <c r="CH11" i="54"/>
  <c r="CG70" i="54"/>
  <c r="CP126" i="54"/>
  <c r="CH266" i="54"/>
  <c r="CG190" i="54"/>
  <c r="CI47" i="54"/>
  <c r="CJ176" i="54"/>
  <c r="CC153" i="54"/>
  <c r="CK153" i="54" s="1"/>
  <c r="CI148" i="54"/>
  <c r="CG232" i="54"/>
  <c r="CC74" i="54"/>
  <c r="CK74" i="54" s="1"/>
  <c r="CH74" i="54"/>
  <c r="CJ74" i="54"/>
  <c r="CQ74" i="54"/>
  <c r="CG74" i="54"/>
  <c r="CP74" i="54"/>
  <c r="CC97" i="54"/>
  <c r="CK97" i="54" s="1"/>
  <c r="CG97" i="54"/>
  <c r="CP97" i="54"/>
  <c r="CO97" i="54"/>
  <c r="CJ97" i="54"/>
  <c r="CI97" i="54"/>
  <c r="CC26" i="54"/>
  <c r="CK26" i="54" s="1"/>
  <c r="CO26" i="54"/>
  <c r="CP26" i="54"/>
  <c r="CI26" i="54"/>
  <c r="CJ26" i="54"/>
  <c r="CG26" i="54"/>
  <c r="CC91" i="54"/>
  <c r="CK91" i="54" s="1"/>
  <c r="CQ91" i="54"/>
  <c r="CG91" i="54"/>
  <c r="CP91" i="54"/>
  <c r="CI91" i="54"/>
  <c r="CL91" i="54" s="1"/>
  <c r="CO91" i="54"/>
  <c r="CC193" i="54"/>
  <c r="CI193" i="54"/>
  <c r="CO193" i="54"/>
  <c r="CJ193" i="54"/>
  <c r="CH193" i="54"/>
  <c r="CQ193" i="54"/>
  <c r="CG156" i="54"/>
  <c r="CC156" i="54"/>
  <c r="CP156" i="54"/>
  <c r="CO156" i="54"/>
  <c r="CJ156" i="54"/>
  <c r="CI156" i="54"/>
  <c r="CC229" i="54"/>
  <c r="CH229" i="54"/>
  <c r="CJ229" i="54"/>
  <c r="CQ229" i="54"/>
  <c r="CG229" i="54"/>
  <c r="CO229" i="54"/>
  <c r="CP229" i="54"/>
  <c r="CC218" i="54"/>
  <c r="CK218" i="54" s="1"/>
  <c r="CG218" i="54"/>
  <c r="CQ218" i="54"/>
  <c r="CP218" i="54"/>
  <c r="CI218" i="54"/>
  <c r="CH218" i="54"/>
  <c r="CO218" i="54"/>
  <c r="CO262" i="54"/>
  <c r="CH262" i="54"/>
  <c r="CQ262" i="54"/>
  <c r="CI262" i="54"/>
  <c r="CJ262" i="54"/>
  <c r="CG262" i="54"/>
  <c r="CC262" i="54"/>
  <c r="CK262" i="54" s="1"/>
  <c r="CC77" i="54"/>
  <c r="CI77" i="54"/>
  <c r="CL77" i="54" s="1"/>
  <c r="CH77" i="54"/>
  <c r="CQ77" i="54"/>
  <c r="CP77" i="54"/>
  <c r="CG77" i="54"/>
  <c r="CO77" i="54"/>
  <c r="CO35" i="54"/>
  <c r="CJ35" i="54"/>
  <c r="CC35" i="54"/>
  <c r="CK35" i="54" s="1"/>
  <c r="CH35" i="54"/>
  <c r="CI35" i="54"/>
  <c r="CQ35" i="54"/>
  <c r="CG35" i="54"/>
  <c r="CC65" i="54"/>
  <c r="CP65" i="54"/>
  <c r="CG65" i="54"/>
  <c r="CO65" i="54"/>
  <c r="CJ65" i="54"/>
  <c r="CI65" i="54"/>
  <c r="CL65" i="54" s="1"/>
  <c r="CH65" i="54"/>
  <c r="CC64" i="54"/>
  <c r="CK64" i="54" s="1"/>
  <c r="CP64" i="54"/>
  <c r="CG64" i="54"/>
  <c r="CO64" i="54"/>
  <c r="CI64" i="54"/>
  <c r="CQ64" i="54"/>
  <c r="CJ64" i="54"/>
  <c r="CC225" i="54"/>
  <c r="CO225" i="54"/>
  <c r="CQ225" i="54"/>
  <c r="CG225" i="54"/>
  <c r="CJ225" i="54"/>
  <c r="CP225" i="54"/>
  <c r="CI225" i="54"/>
  <c r="CC109" i="54"/>
  <c r="CH109" i="54"/>
  <c r="CG109" i="54"/>
  <c r="CI109" i="54"/>
  <c r="CP109" i="54"/>
  <c r="CQ109" i="54"/>
  <c r="CO109" i="54"/>
  <c r="CC181" i="54"/>
  <c r="CK181" i="54" s="1"/>
  <c r="CI181" i="54"/>
  <c r="CL181" i="54" s="1"/>
  <c r="CJ181" i="54"/>
  <c r="CH181" i="54"/>
  <c r="CQ181" i="54"/>
  <c r="CP181" i="54"/>
  <c r="CC130" i="54"/>
  <c r="CK130" i="54" s="1"/>
  <c r="CH130" i="54"/>
  <c r="CP130" i="54"/>
  <c r="CG130" i="54"/>
  <c r="CQ130" i="54"/>
  <c r="CO130" i="54"/>
  <c r="CH93" i="54"/>
  <c r="CI93" i="54"/>
  <c r="CL93" i="54" s="1"/>
  <c r="CO93" i="54"/>
  <c r="CG93" i="54"/>
  <c r="CQ93" i="54"/>
  <c r="CC93" i="54"/>
  <c r="CK93" i="54" s="1"/>
  <c r="CC171" i="54"/>
  <c r="CK171" i="54" s="1"/>
  <c r="CP171" i="54"/>
  <c r="CI171" i="54"/>
  <c r="CJ171" i="54"/>
  <c r="CO171" i="54"/>
  <c r="CH171" i="54"/>
  <c r="CC129" i="54"/>
  <c r="CK129" i="54" s="1"/>
  <c r="CI129" i="54"/>
  <c r="CP129" i="54"/>
  <c r="CJ129" i="54"/>
  <c r="CH129" i="54"/>
  <c r="CO129" i="54"/>
  <c r="CC159" i="54"/>
  <c r="CK159" i="54" s="1"/>
  <c r="CP159" i="54"/>
  <c r="CI159" i="54"/>
  <c r="CH159" i="54"/>
  <c r="CJ159" i="54"/>
  <c r="CO159" i="54"/>
  <c r="CI152" i="54"/>
  <c r="CJ152" i="54"/>
  <c r="CH152" i="54"/>
  <c r="CC152" i="54"/>
  <c r="CK152" i="54" s="1"/>
  <c r="CG152" i="54"/>
  <c r="CC50" i="54"/>
  <c r="CK50" i="54" s="1"/>
  <c r="CI50" i="54"/>
  <c r="CG50" i="54"/>
  <c r="CJ50" i="54"/>
  <c r="CQ50" i="54"/>
  <c r="CH50" i="54"/>
  <c r="BF3" i="54"/>
  <c r="C16" i="54" a="1"/>
  <c r="C16" i="54" s="1"/>
  <c r="CI31" i="54"/>
  <c r="CO31" i="54"/>
  <c r="CG31" i="54"/>
  <c r="CG96" i="54"/>
  <c r="CQ96" i="54"/>
  <c r="CH167" i="54"/>
  <c r="CI167" i="54"/>
  <c r="CL167" i="54" s="1"/>
  <c r="CG167" i="54"/>
  <c r="CC185" i="54"/>
  <c r="CK185" i="54" s="1"/>
  <c r="CQ185" i="54"/>
  <c r="CP185" i="54"/>
  <c r="CG185" i="54"/>
  <c r="CO185" i="54"/>
  <c r="CJ185" i="54"/>
  <c r="CC169" i="54"/>
  <c r="CK169" i="54" s="1"/>
  <c r="CP169" i="54"/>
  <c r="CO169" i="54"/>
  <c r="CI169" i="54"/>
  <c r="CH169" i="54"/>
  <c r="CJ169" i="54"/>
  <c r="CG192" i="54"/>
  <c r="CP192" i="54"/>
  <c r="CI192" i="54"/>
  <c r="CO192" i="54"/>
  <c r="CJ192" i="54"/>
  <c r="CC192" i="54"/>
  <c r="CK192" i="54" s="1"/>
  <c r="CC141" i="54"/>
  <c r="CK141" i="54" s="1"/>
  <c r="CJ141" i="54"/>
  <c r="CH141" i="54"/>
  <c r="CQ141" i="54"/>
  <c r="CO141" i="54"/>
  <c r="CP141" i="54"/>
  <c r="CJ216" i="54"/>
  <c r="CI216" i="54"/>
  <c r="CQ216" i="54"/>
  <c r="CO216" i="54"/>
  <c r="CO18" i="54"/>
  <c r="CJ18" i="54"/>
  <c r="CG18" i="54"/>
  <c r="CG54" i="54"/>
  <c r="CH54" i="54"/>
  <c r="CC54" i="54"/>
  <c r="CK54" i="54" s="1"/>
  <c r="CQ54" i="54"/>
  <c r="CC10" i="54"/>
  <c r="CK10" i="54" s="1"/>
  <c r="CQ10" i="54"/>
  <c r="CI10" i="54"/>
  <c r="CJ10" i="54"/>
  <c r="CM10" i="54" s="1"/>
  <c r="CP10" i="54"/>
  <c r="CG10" i="54"/>
  <c r="CC267" i="54"/>
  <c r="CK267" i="54" s="1"/>
  <c r="CP267" i="54"/>
  <c r="CI267" i="54"/>
  <c r="CH267" i="54"/>
  <c r="CJ267" i="54"/>
  <c r="CO267" i="54"/>
  <c r="CO75" i="54"/>
  <c r="CH75" i="54"/>
  <c r="CG75" i="54"/>
  <c r="CQ75" i="54"/>
  <c r="CP75" i="54"/>
  <c r="CC75" i="54"/>
  <c r="CK75" i="54" s="1"/>
  <c r="CC42" i="54"/>
  <c r="CK42" i="54" s="1"/>
  <c r="CP42" i="54"/>
  <c r="CI42" i="54"/>
  <c r="CO42" i="54"/>
  <c r="CJ42" i="54"/>
  <c r="CH42" i="54"/>
  <c r="CC221" i="54"/>
  <c r="CK221" i="54" s="1"/>
  <c r="CI221" i="54"/>
  <c r="CH221" i="54"/>
  <c r="CO221" i="54"/>
  <c r="CQ221" i="54"/>
  <c r="CJ221" i="54"/>
  <c r="CM221" i="54" s="1"/>
  <c r="CC23" i="54"/>
  <c r="CK23" i="54" s="1"/>
  <c r="CO23" i="54"/>
  <c r="CJ23" i="54"/>
  <c r="CI23" i="54"/>
  <c r="CH23" i="54"/>
  <c r="CC105" i="54"/>
  <c r="CH105" i="54"/>
  <c r="CQ105" i="54"/>
  <c r="CG105" i="54"/>
  <c r="CP105" i="54"/>
  <c r="CI105" i="54"/>
  <c r="CC252" i="54"/>
  <c r="CO252" i="54"/>
  <c r="CJ252" i="54"/>
  <c r="CI252" i="54"/>
  <c r="CH252" i="54"/>
  <c r="CQ252" i="54"/>
  <c r="CH44" i="54"/>
  <c r="CP44" i="54"/>
  <c r="CO44" i="54"/>
  <c r="CI44" i="54"/>
  <c r="CI130" i="54"/>
  <c r="CL130" i="54" s="1"/>
  <c r="CP152" i="54"/>
  <c r="CR152" i="54" s="1" a="1"/>
  <c r="CR152" i="54" s="1"/>
  <c r="CO105" i="54"/>
  <c r="CQ169" i="54"/>
  <c r="CI75" i="54"/>
  <c r="CG42" i="54"/>
  <c r="CQ44" i="54"/>
  <c r="CI229" i="54"/>
  <c r="CH64" i="54"/>
  <c r="CP18" i="54"/>
  <c r="CG267" i="54"/>
  <c r="CQ192" i="54"/>
  <c r="CH185" i="54"/>
  <c r="CP252" i="54"/>
  <c r="CP221" i="54"/>
  <c r="CG23" i="54"/>
  <c r="CH26" i="54"/>
  <c r="CH91" i="54"/>
  <c r="CG193" i="54"/>
  <c r="CH156" i="54"/>
  <c r="CG181" i="54"/>
  <c r="CQ129" i="54"/>
  <c r="CH192" i="54"/>
  <c r="CI141" i="54"/>
  <c r="CL141" i="54" s="1"/>
  <c r="CI185" i="54"/>
  <c r="CL185" i="54" s="1"/>
  <c r="CG252" i="54"/>
  <c r="CG221" i="54"/>
  <c r="CQ23" i="54"/>
  <c r="CI74" i="54"/>
  <c r="CL74" i="54" s="1"/>
  <c r="CQ97" i="54"/>
  <c r="CQ26" i="54"/>
  <c r="CJ91" i="54"/>
  <c r="CJ218" i="54"/>
  <c r="CP35" i="54"/>
  <c r="CO181" i="54"/>
  <c r="CO96" i="54"/>
  <c r="CO54" i="54"/>
  <c r="CO74" i="54"/>
  <c r="CH97" i="54"/>
  <c r="CK32" i="54"/>
  <c r="CO119" i="54"/>
  <c r="CP243" i="54"/>
  <c r="CI154" i="54"/>
  <c r="CO40" i="54"/>
  <c r="CG76" i="54"/>
  <c r="CG81" i="54"/>
  <c r="CQ81" i="54"/>
  <c r="CH219" i="54"/>
  <c r="CQ128" i="54"/>
  <c r="CJ240" i="54"/>
  <c r="CI73" i="54"/>
  <c r="CH98" i="54"/>
  <c r="CP135" i="54"/>
  <c r="CJ92" i="54"/>
  <c r="CG194" i="54"/>
  <c r="CQ85" i="54"/>
  <c r="CQ230" i="54"/>
  <c r="CP213" i="54"/>
  <c r="CI149" i="54"/>
  <c r="CI66" i="54"/>
  <c r="CG209" i="54"/>
  <c r="CH245" i="54"/>
  <c r="CH125" i="54"/>
  <c r="CO63" i="54"/>
  <c r="CC114" i="54"/>
  <c r="CP119" i="54"/>
  <c r="CJ119" i="54"/>
  <c r="CQ243" i="54"/>
  <c r="CO154" i="54"/>
  <c r="CQ154" i="54"/>
  <c r="CH40" i="54"/>
  <c r="CP76" i="54"/>
  <c r="CO81" i="54"/>
  <c r="CJ219" i="54"/>
  <c r="CH128" i="54"/>
  <c r="CO240" i="54"/>
  <c r="CI240" i="54"/>
  <c r="CO73" i="54"/>
  <c r="CI98" i="54"/>
  <c r="CL98" i="54" s="1"/>
  <c r="CJ98" i="54"/>
  <c r="CQ135" i="54"/>
  <c r="CO92" i="54"/>
  <c r="CI92" i="54"/>
  <c r="CQ194" i="54"/>
  <c r="CJ85" i="54"/>
  <c r="CH85" i="54"/>
  <c r="CJ230" i="54"/>
  <c r="CG213" i="54"/>
  <c r="CQ213" i="54"/>
  <c r="CJ149" i="54"/>
  <c r="CO66" i="54"/>
  <c r="CQ209" i="54"/>
  <c r="CI245" i="54"/>
  <c r="CQ250" i="54"/>
  <c r="CI125" i="54"/>
  <c r="CK264" i="54"/>
  <c r="CQ119" i="54"/>
  <c r="CG243" i="54"/>
  <c r="CG154" i="54"/>
  <c r="CP40" i="54"/>
  <c r="CJ76" i="54"/>
  <c r="CH76" i="54"/>
  <c r="CH81" i="54"/>
  <c r="CI219" i="54"/>
  <c r="CJ128" i="54"/>
  <c r="CP240" i="54"/>
  <c r="CP73" i="54"/>
  <c r="CO98" i="54"/>
  <c r="CG135" i="54"/>
  <c r="CP92" i="54"/>
  <c r="CH194" i="54"/>
  <c r="CI85" i="54"/>
  <c r="CI230" i="54"/>
  <c r="CO213" i="54"/>
  <c r="CO149" i="54"/>
  <c r="CP66" i="54"/>
  <c r="CH209" i="54"/>
  <c r="CJ245" i="54"/>
  <c r="CG250" i="54"/>
  <c r="CP186" i="54"/>
  <c r="CG119" i="54"/>
  <c r="CO243" i="54"/>
  <c r="CP154" i="54"/>
  <c r="CG40" i="54"/>
  <c r="CI76" i="54"/>
  <c r="CJ81" i="54"/>
  <c r="CQ219" i="54"/>
  <c r="CR219" i="54" s="1" a="1"/>
  <c r="CR219" i="54" s="1"/>
  <c r="CT219" i="54" s="1"/>
  <c r="CP219" i="54"/>
  <c r="CP127" i="54"/>
  <c r="CG73" i="54"/>
  <c r="CP98" i="54"/>
  <c r="CO135" i="54"/>
  <c r="CG92" i="54"/>
  <c r="CJ194" i="54"/>
  <c r="CO85" i="54"/>
  <c r="CO230" i="54"/>
  <c r="CH213" i="54"/>
  <c r="CP149" i="54"/>
  <c r="CG66" i="54"/>
  <c r="CI209" i="54"/>
  <c r="CP245" i="54"/>
  <c r="CP250" i="54"/>
  <c r="CJ125" i="54"/>
  <c r="CC186" i="54"/>
  <c r="CH149" i="54"/>
  <c r="CH66" i="54"/>
  <c r="CJ209" i="54"/>
  <c r="CO245" i="54"/>
  <c r="CO250" i="54"/>
  <c r="CG125" i="54"/>
  <c r="CO186" i="54"/>
  <c r="CQ63" i="54"/>
  <c r="CJ250" i="54"/>
  <c r="CO125" i="54"/>
  <c r="CJ186" i="54"/>
  <c r="CH63" i="54"/>
  <c r="CI186" i="54"/>
  <c r="CP63" i="54"/>
  <c r="CI37" i="54"/>
  <c r="CP112" i="54"/>
  <c r="CC164" i="54"/>
  <c r="CK164" i="54" s="1"/>
  <c r="CO124" i="54"/>
  <c r="CQ34" i="54"/>
  <c r="CO170" i="54"/>
  <c r="CJ53" i="54"/>
  <c r="CQ189" i="54"/>
  <c r="CQ196" i="54"/>
  <c r="CG256" i="54"/>
  <c r="CG164" i="54"/>
  <c r="CI196" i="54"/>
  <c r="CH38" i="54"/>
  <c r="CQ88" i="54"/>
  <c r="CO153" i="54"/>
  <c r="CQ45" i="54"/>
  <c r="CH108" i="54"/>
  <c r="CG134" i="54"/>
  <c r="CP134" i="54"/>
  <c r="CG30" i="54"/>
  <c r="CP30" i="54"/>
  <c r="CP170" i="54"/>
  <c r="CO53" i="54"/>
  <c r="CO121" i="54"/>
  <c r="CI121" i="54"/>
  <c r="CG48" i="54"/>
  <c r="CP48" i="54"/>
  <c r="CJ38" i="54"/>
  <c r="CM38" i="54" s="1"/>
  <c r="CC38" i="54"/>
  <c r="CK38" i="54" s="1"/>
  <c r="CO37" i="54"/>
  <c r="CO88" i="54"/>
  <c r="CQ164" i="54"/>
  <c r="CH153" i="54"/>
  <c r="CG45" i="54"/>
  <c r="CG189" i="54"/>
  <c r="CO196" i="54"/>
  <c r="CG124" i="54"/>
  <c r="CP256" i="54"/>
  <c r="CH112" i="54"/>
  <c r="CO34" i="54"/>
  <c r="CJ266" i="54"/>
  <c r="CC48" i="54"/>
  <c r="CK48" i="54" s="1"/>
  <c r="CC189" i="54"/>
  <c r="CK189" i="54" s="1"/>
  <c r="CC256" i="54"/>
  <c r="CK256" i="54" s="1"/>
  <c r="CC88" i="54"/>
  <c r="CK88" i="54" s="1"/>
  <c r="CH134" i="54"/>
  <c r="CQ30" i="54"/>
  <c r="CG170" i="54"/>
  <c r="CP53" i="54"/>
  <c r="CP121" i="54"/>
  <c r="CQ48" i="54"/>
  <c r="CI38" i="54"/>
  <c r="CH37" i="54"/>
  <c r="CP37" i="54"/>
  <c r="CG88" i="54"/>
  <c r="CH164" i="54"/>
  <c r="CJ153" i="54"/>
  <c r="CO45" i="54"/>
  <c r="CO189" i="54"/>
  <c r="CG196" i="54"/>
  <c r="CP124" i="54"/>
  <c r="CH256" i="54"/>
  <c r="CJ112" i="54"/>
  <c r="CH34" i="54"/>
  <c r="CO266" i="54"/>
  <c r="CI266" i="54"/>
  <c r="CC45" i="54"/>
  <c r="CK45" i="54" s="1"/>
  <c r="CC121" i="54"/>
  <c r="CK121" i="54" s="1"/>
  <c r="CM121" i="54" s="1"/>
  <c r="CC170" i="54"/>
  <c r="CK170" i="54" s="1"/>
  <c r="CC196" i="54"/>
  <c r="CQ134" i="54"/>
  <c r="CH30" i="54"/>
  <c r="CQ170" i="54"/>
  <c r="CG53" i="54"/>
  <c r="CG121" i="54"/>
  <c r="CH48" i="54"/>
  <c r="CQ38" i="54"/>
  <c r="CG37" i="54"/>
  <c r="CP88" i="54"/>
  <c r="CJ164" i="54"/>
  <c r="CI153" i="54"/>
  <c r="CH45" i="54"/>
  <c r="CI189" i="54"/>
  <c r="CH189" i="54"/>
  <c r="CP196" i="54"/>
  <c r="CH124" i="54"/>
  <c r="CJ256" i="54"/>
  <c r="CQ112" i="54"/>
  <c r="CI112" i="54"/>
  <c r="CP34" i="54"/>
  <c r="CP266" i="54"/>
  <c r="CC37" i="54"/>
  <c r="CK37" i="54" s="1"/>
  <c r="CC30" i="54"/>
  <c r="CK30" i="54" s="1"/>
  <c r="CJ134" i="54"/>
  <c r="CJ30" i="54"/>
  <c r="CJ170" i="54"/>
  <c r="CH170" i="54"/>
  <c r="CH53" i="54"/>
  <c r="CQ53" i="54"/>
  <c r="CQ121" i="54"/>
  <c r="CJ48" i="54"/>
  <c r="CO38" i="54"/>
  <c r="CQ37" i="54"/>
  <c r="CH88" i="54"/>
  <c r="CO164" i="54"/>
  <c r="CI164" i="54"/>
  <c r="CP153" i="54"/>
  <c r="CJ45" i="54"/>
  <c r="CJ189" i="54"/>
  <c r="CP25" i="54"/>
  <c r="CH196" i="54"/>
  <c r="CI124" i="54"/>
  <c r="CJ124" i="54"/>
  <c r="CI256" i="54"/>
  <c r="CO112" i="54"/>
  <c r="CJ34" i="54"/>
  <c r="CG34" i="54"/>
  <c r="CG266" i="54"/>
  <c r="CC266" i="54"/>
  <c r="CK266" i="54" s="1"/>
  <c r="CC112" i="54"/>
  <c r="CK112" i="54" s="1"/>
  <c r="CI134" i="54"/>
  <c r="CI53" i="54"/>
  <c r="CG153" i="54"/>
  <c r="CP45" i="54"/>
  <c r="CO16" i="54"/>
  <c r="CQ124" i="54"/>
  <c r="CO256" i="54"/>
  <c r="CI34" i="54"/>
  <c r="CK253" i="54"/>
  <c r="CQ103" i="54"/>
  <c r="CQ198" i="54"/>
  <c r="CO182" i="54"/>
  <c r="CJ78" i="54"/>
  <c r="CG160" i="54"/>
  <c r="CO160" i="54"/>
  <c r="CJ100" i="54"/>
  <c r="CG191" i="54"/>
  <c r="CO19" i="54"/>
  <c r="CP182" i="54"/>
  <c r="CC78" i="54"/>
  <c r="CK78" i="54" s="1"/>
  <c r="CO41" i="54"/>
  <c r="CH90" i="54"/>
  <c r="CP160" i="54"/>
  <c r="CH143" i="54"/>
  <c r="CI100" i="54"/>
  <c r="CQ146" i="54"/>
  <c r="CQ139" i="54"/>
  <c r="CG182" i="54"/>
  <c r="CH199" i="54"/>
  <c r="CH160" i="54"/>
  <c r="CQ143" i="54"/>
  <c r="CJ101" i="54"/>
  <c r="CO100" i="54"/>
  <c r="CQ100" i="54"/>
  <c r="CI255" i="54"/>
  <c r="CJ182" i="54"/>
  <c r="CQ182" i="54"/>
  <c r="CJ160" i="54"/>
  <c r="CI101" i="54"/>
  <c r="CG100" i="54"/>
  <c r="CJ255" i="54"/>
  <c r="CI61" i="54"/>
  <c r="CO161" i="54"/>
  <c r="CH182" i="54"/>
  <c r="CQ211" i="54"/>
  <c r="CJ142" i="54"/>
  <c r="CI160" i="54"/>
  <c r="CP100" i="54"/>
  <c r="CP79" i="54"/>
  <c r="CQ191" i="54"/>
  <c r="CG251" i="54"/>
  <c r="CQ178" i="54"/>
  <c r="CO56" i="54"/>
  <c r="CQ188" i="54"/>
  <c r="CO79" i="54"/>
  <c r="CH179" i="54"/>
  <c r="CH191" i="54"/>
  <c r="CI36" i="54"/>
  <c r="CG165" i="54"/>
  <c r="CI56" i="54"/>
  <c r="CI173" i="54"/>
  <c r="CC41" i="54"/>
  <c r="CK41" i="54" s="1"/>
  <c r="CC205" i="54"/>
  <c r="CK205" i="54" s="1"/>
  <c r="CJ191" i="54"/>
  <c r="CI191" i="54"/>
  <c r="CO215" i="54"/>
  <c r="CQ17" i="54"/>
  <c r="CP258" i="54"/>
  <c r="CJ248" i="54"/>
  <c r="CQ165" i="54"/>
  <c r="CH244" i="54"/>
  <c r="CG223" i="54"/>
  <c r="CQ258" i="54"/>
  <c r="CH248" i="54"/>
  <c r="CG183" i="54"/>
  <c r="CG205" i="54"/>
  <c r="CC19" i="54"/>
  <c r="CP191" i="54"/>
  <c r="CI94" i="54"/>
  <c r="CO24" i="54"/>
  <c r="CI150" i="54"/>
  <c r="CQ183" i="54"/>
  <c r="CI249" i="54"/>
  <c r="CQ228" i="54"/>
  <c r="CC25" i="54"/>
  <c r="CK25" i="54" s="1"/>
  <c r="CC117" i="54"/>
  <c r="CK29" i="54"/>
  <c r="CH186" i="54"/>
  <c r="CQ186" i="54"/>
  <c r="CI63" i="54"/>
  <c r="CJ63" i="54"/>
  <c r="CC167" i="54"/>
  <c r="CK167" i="54" s="1"/>
  <c r="CI220" i="54"/>
  <c r="CH87" i="54"/>
  <c r="CQ257" i="54"/>
  <c r="CQ27" i="54"/>
  <c r="CP226" i="54"/>
  <c r="CO87" i="54"/>
  <c r="CO122" i="54"/>
  <c r="CQ162" i="54"/>
  <c r="CO114" i="54"/>
  <c r="CH202" i="54"/>
  <c r="CI122" i="54"/>
  <c r="CO127" i="54"/>
  <c r="CI95" i="54"/>
  <c r="CP102" i="54"/>
  <c r="CG166" i="54"/>
  <c r="CH172" i="54"/>
  <c r="CO28" i="54"/>
  <c r="CH60" i="54"/>
  <c r="CP67" i="54"/>
  <c r="CJ14" i="54"/>
  <c r="CK82" i="54"/>
  <c r="CH138" i="54"/>
  <c r="CH21" i="54"/>
  <c r="CP177" i="54"/>
  <c r="CC96" i="54"/>
  <c r="CK96" i="54" s="1"/>
  <c r="CK243" i="54"/>
  <c r="CH226" i="54"/>
  <c r="CI257" i="54"/>
  <c r="CH257" i="54"/>
  <c r="CO220" i="54"/>
  <c r="CG59" i="54"/>
  <c r="CH28" i="54"/>
  <c r="CJ95" i="54"/>
  <c r="CO27" i="54"/>
  <c r="CG102" i="54"/>
  <c r="CJ87" i="54"/>
  <c r="CJ60" i="54"/>
  <c r="CP122" i="54"/>
  <c r="CJ208" i="54"/>
  <c r="CP114" i="54"/>
  <c r="CH114" i="54"/>
  <c r="CG67" i="54"/>
  <c r="CG127" i="54"/>
  <c r="CJ162" i="54"/>
  <c r="CH162" i="54"/>
  <c r="CQ206" i="54"/>
  <c r="CJ265" i="54"/>
  <c r="CI202" i="54"/>
  <c r="CI226" i="54"/>
  <c r="CJ226" i="54"/>
  <c r="CJ257" i="54"/>
  <c r="CG220" i="54"/>
  <c r="CQ59" i="54"/>
  <c r="CP28" i="54"/>
  <c r="CO95" i="54"/>
  <c r="CG27" i="54"/>
  <c r="CQ102" i="54"/>
  <c r="CI87" i="54"/>
  <c r="CI60" i="54"/>
  <c r="CG122" i="54"/>
  <c r="CI208" i="54"/>
  <c r="CQ114" i="54"/>
  <c r="CR114" i="54" s="1" a="1"/>
  <c r="CR114" i="54" s="1"/>
  <c r="CT114" i="54" s="1"/>
  <c r="CQ67" i="54"/>
  <c r="CQ127" i="54"/>
  <c r="CI162" i="54"/>
  <c r="CH206" i="54"/>
  <c r="CH224" i="54"/>
  <c r="CK133" i="54"/>
  <c r="CM133" i="54" s="1"/>
  <c r="CC214" i="54"/>
  <c r="CK214" i="54" s="1"/>
  <c r="CC126" i="54"/>
  <c r="CK215" i="54"/>
  <c r="CO202" i="54"/>
  <c r="CQ202" i="54"/>
  <c r="CQ226" i="54"/>
  <c r="CO257" i="54"/>
  <c r="CP220" i="54"/>
  <c r="CH59" i="54"/>
  <c r="CG28" i="54"/>
  <c r="CH95" i="54"/>
  <c r="CP95" i="54"/>
  <c r="CJ27" i="54"/>
  <c r="CM27" i="54" s="1"/>
  <c r="CI102" i="54"/>
  <c r="CH102" i="54"/>
  <c r="CP87" i="54"/>
  <c r="CP60" i="54"/>
  <c r="CO60" i="54"/>
  <c r="CQ122" i="54"/>
  <c r="CO208" i="54"/>
  <c r="CQ208" i="54"/>
  <c r="CG114" i="54"/>
  <c r="CH67" i="54"/>
  <c r="CH127" i="54"/>
  <c r="CO162" i="54"/>
  <c r="CP222" i="54"/>
  <c r="CI147" i="54"/>
  <c r="CP197" i="54"/>
  <c r="CC177" i="54"/>
  <c r="CK177" i="54" s="1"/>
  <c r="CC172" i="54"/>
  <c r="CJ202" i="54"/>
  <c r="CP202" i="54"/>
  <c r="CO226" i="54"/>
  <c r="CP257" i="54"/>
  <c r="CH220" i="54"/>
  <c r="CI59" i="54"/>
  <c r="CL59" i="54" s="1"/>
  <c r="CI28" i="54"/>
  <c r="CJ28" i="54"/>
  <c r="CQ95" i="54"/>
  <c r="CI27" i="54"/>
  <c r="CJ102" i="54"/>
  <c r="CQ87" i="54"/>
  <c r="CG60" i="54"/>
  <c r="CH122" i="54"/>
  <c r="CG208" i="54"/>
  <c r="CJ114" i="54"/>
  <c r="CJ67" i="54"/>
  <c r="CJ127" i="54"/>
  <c r="CP162" i="54"/>
  <c r="CQ222" i="54"/>
  <c r="CI207" i="54"/>
  <c r="CQ118" i="54"/>
  <c r="CO15" i="54"/>
  <c r="CP236" i="54"/>
  <c r="CJ172" i="54"/>
  <c r="CG202" i="54"/>
  <c r="CG226" i="54"/>
  <c r="CG257" i="54"/>
  <c r="CJ220" i="54"/>
  <c r="CO59" i="54"/>
  <c r="CJ59" i="54"/>
  <c r="CQ28" i="54"/>
  <c r="CG95" i="54"/>
  <c r="CP27" i="54"/>
  <c r="CO102" i="54"/>
  <c r="CG87" i="54"/>
  <c r="CQ60" i="54"/>
  <c r="CJ122" i="54"/>
  <c r="CP208" i="54"/>
  <c r="CO67" i="54"/>
  <c r="CI67" i="54"/>
  <c r="CI127" i="54"/>
  <c r="CL127" i="54" s="1"/>
  <c r="CG162" i="54"/>
  <c r="CG118" i="54"/>
  <c r="CQ33" i="54"/>
  <c r="CH46" i="54"/>
  <c r="CQ21" i="54"/>
  <c r="CQ157" i="54"/>
  <c r="CK220" i="54"/>
  <c r="CK27" i="54"/>
  <c r="CK122" i="54"/>
  <c r="CK127" i="54"/>
  <c r="CK51" i="54"/>
  <c r="CJ222" i="54"/>
  <c r="CP207" i="54"/>
  <c r="CP118" i="54"/>
  <c r="CI15" i="54"/>
  <c r="CG147" i="54"/>
  <c r="CO86" i="54"/>
  <c r="CI136" i="54"/>
  <c r="CO138" i="54"/>
  <c r="CI13" i="54"/>
  <c r="CO177" i="54"/>
  <c r="CJ46" i="54"/>
  <c r="CG21" i="54"/>
  <c r="CO21" i="54"/>
  <c r="CJ206" i="54"/>
  <c r="CG236" i="54"/>
  <c r="CH157" i="54"/>
  <c r="CO265" i="54"/>
  <c r="CI265" i="54"/>
  <c r="CJ224" i="54"/>
  <c r="CC206" i="54"/>
  <c r="CK206" i="54" s="1"/>
  <c r="CC265" i="54"/>
  <c r="CK265" i="54" s="1"/>
  <c r="CQ207" i="54"/>
  <c r="CJ147" i="54"/>
  <c r="CQ86" i="54"/>
  <c r="CG136" i="54"/>
  <c r="CQ138" i="54"/>
  <c r="CH175" i="54"/>
  <c r="CQ13" i="54"/>
  <c r="CJ21" i="54"/>
  <c r="CM21" i="54" s="1"/>
  <c r="CO206" i="54"/>
  <c r="CI206" i="54"/>
  <c r="CQ236" i="54"/>
  <c r="CJ157" i="54"/>
  <c r="CP265" i="54"/>
  <c r="CO224" i="54"/>
  <c r="CI224" i="54"/>
  <c r="CC157" i="54"/>
  <c r="CK157" i="54" s="1"/>
  <c r="CK179" i="54"/>
  <c r="CI222" i="54"/>
  <c r="CO207" i="54"/>
  <c r="CO175" i="54"/>
  <c r="CI132" i="54"/>
  <c r="CI21" i="54"/>
  <c r="CP206" i="54"/>
  <c r="CH236" i="54"/>
  <c r="CI157" i="54"/>
  <c r="CG265" i="54"/>
  <c r="CP224" i="54"/>
  <c r="CO222" i="54"/>
  <c r="CJ207" i="54"/>
  <c r="CJ33" i="54"/>
  <c r="CG132" i="54"/>
  <c r="CO234" i="54"/>
  <c r="CP21" i="54"/>
  <c r="CI236" i="54"/>
  <c r="CJ236" i="54"/>
  <c r="CO157" i="54"/>
  <c r="CQ265" i="54"/>
  <c r="CG224" i="54"/>
  <c r="CC236" i="54"/>
  <c r="CK236" i="54" s="1"/>
  <c r="CC254" i="54"/>
  <c r="CC138" i="54"/>
  <c r="CQ234" i="54"/>
  <c r="CI197" i="54"/>
  <c r="CG157" i="54"/>
  <c r="CQ224" i="54"/>
  <c r="CI211" i="54"/>
  <c r="CH41" i="54"/>
  <c r="CQ106" i="54"/>
  <c r="CG143" i="54"/>
  <c r="CG101" i="54"/>
  <c r="CG255" i="54"/>
  <c r="CH204" i="54"/>
  <c r="CG203" i="54"/>
  <c r="CQ195" i="54"/>
  <c r="CI110" i="54"/>
  <c r="CP179" i="54"/>
  <c r="CO179" i="54"/>
  <c r="CJ205" i="54"/>
  <c r="CG173" i="54"/>
  <c r="CP173" i="54"/>
  <c r="CI228" i="54"/>
  <c r="CO244" i="54"/>
  <c r="CQ244" i="54"/>
  <c r="CJ223" i="54"/>
  <c r="CC143" i="54"/>
  <c r="CK143" i="54" s="1"/>
  <c r="CC228" i="54"/>
  <c r="CK228" i="54" s="1"/>
  <c r="CC255" i="54"/>
  <c r="CK255" i="54" s="1"/>
  <c r="CI83" i="54"/>
  <c r="CH78" i="54"/>
  <c r="CO199" i="54"/>
  <c r="CG142" i="54"/>
  <c r="CO83" i="54"/>
  <c r="CC83" i="54"/>
  <c r="CK83" i="54" s="1"/>
  <c r="CI78" i="54"/>
  <c r="CP211" i="54"/>
  <c r="CO211" i="54"/>
  <c r="CI41" i="54"/>
  <c r="CG199" i="54"/>
  <c r="CP199" i="54"/>
  <c r="CO106" i="54"/>
  <c r="CG90" i="54"/>
  <c r="CP90" i="54"/>
  <c r="CP142" i="54"/>
  <c r="CJ143" i="54"/>
  <c r="CQ101" i="54"/>
  <c r="CO255" i="54"/>
  <c r="CI254" i="54"/>
  <c r="CJ118" i="54"/>
  <c r="CH118" i="54"/>
  <c r="CP15" i="54"/>
  <c r="CO147" i="54"/>
  <c r="CP203" i="54"/>
  <c r="CP86" i="54"/>
  <c r="CP84" i="54"/>
  <c r="CQ136" i="54"/>
  <c r="CI33" i="54"/>
  <c r="CJ138" i="54"/>
  <c r="CG175" i="54"/>
  <c r="CP175" i="54"/>
  <c r="CQ132" i="54"/>
  <c r="CP195" i="54"/>
  <c r="CP234" i="54"/>
  <c r="CJ197" i="54"/>
  <c r="CH13" i="54"/>
  <c r="CJ13" i="54"/>
  <c r="CQ177" i="54"/>
  <c r="CQ217" i="54"/>
  <c r="CP46" i="54"/>
  <c r="CG179" i="54"/>
  <c r="CH31" i="54"/>
  <c r="CP31" i="54"/>
  <c r="CP216" i="54"/>
  <c r="CO205" i="54"/>
  <c r="CI205" i="54"/>
  <c r="CQ173" i="54"/>
  <c r="CJ96" i="54"/>
  <c r="CH96" i="54"/>
  <c r="CQ18" i="54"/>
  <c r="CP228" i="54"/>
  <c r="CO228" i="54"/>
  <c r="CG244" i="54"/>
  <c r="CO167" i="54"/>
  <c r="CJ167" i="54"/>
  <c r="CJ54" i="54"/>
  <c r="CM54" i="54" s="1"/>
  <c r="CO223" i="54"/>
  <c r="CI223" i="54"/>
  <c r="CK115" i="54"/>
  <c r="CM115" i="54" s="1"/>
  <c r="CK200" i="54"/>
  <c r="CK212" i="54"/>
  <c r="CM212" i="54" s="1"/>
  <c r="CC101" i="54"/>
  <c r="CK101" i="54" s="1"/>
  <c r="CC223" i="54"/>
  <c r="CC13" i="54"/>
  <c r="CC197" i="54"/>
  <c r="CK197" i="54" s="1"/>
  <c r="CC46" i="54"/>
  <c r="CK46" i="54" s="1"/>
  <c r="CJ83" i="54"/>
  <c r="CO90" i="54"/>
  <c r="CP83" i="54"/>
  <c r="CP78" i="54"/>
  <c r="CO78" i="54"/>
  <c r="CG211" i="54"/>
  <c r="CJ41" i="54"/>
  <c r="CQ199" i="54"/>
  <c r="CG106" i="54"/>
  <c r="CL106" i="54" s="1"/>
  <c r="CQ90" i="54"/>
  <c r="CH142" i="54"/>
  <c r="CO143" i="54"/>
  <c r="CH101" i="54"/>
  <c r="CH255" i="54"/>
  <c r="CJ254" i="54"/>
  <c r="CG222" i="54"/>
  <c r="CJ108" i="54"/>
  <c r="CG207" i="54"/>
  <c r="CI118" i="54"/>
  <c r="CH15" i="54"/>
  <c r="CQ15" i="54"/>
  <c r="CH147" i="54"/>
  <c r="CG86" i="54"/>
  <c r="CO84" i="54"/>
  <c r="CO136" i="54"/>
  <c r="CQ227" i="54"/>
  <c r="CP33" i="54"/>
  <c r="CI138" i="54"/>
  <c r="CQ175" i="54"/>
  <c r="CJ132" i="54"/>
  <c r="CH132" i="54"/>
  <c r="CG234" i="54"/>
  <c r="CO117" i="54"/>
  <c r="CO197" i="54"/>
  <c r="CG13" i="54"/>
  <c r="CG177" i="54"/>
  <c r="CG46" i="54"/>
  <c r="CQ179" i="54"/>
  <c r="CQ31" i="54"/>
  <c r="CG216" i="54"/>
  <c r="CP205" i="54"/>
  <c r="CH173" i="54"/>
  <c r="CI96" i="54"/>
  <c r="CL96" i="54" s="1"/>
  <c r="CH18" i="54"/>
  <c r="CG228" i="54"/>
  <c r="CP244" i="54"/>
  <c r="CP167" i="54"/>
  <c r="CI54" i="54"/>
  <c r="CP223" i="54"/>
  <c r="CC33" i="54"/>
  <c r="CK33" i="54" s="1"/>
  <c r="CC142" i="54"/>
  <c r="CK142" i="54" s="1"/>
  <c r="CC234" i="54"/>
  <c r="CK234" i="54" s="1"/>
  <c r="CC106" i="54"/>
  <c r="CK106" i="54" s="1"/>
  <c r="CC175" i="54"/>
  <c r="CC147" i="54"/>
  <c r="CK202" i="54"/>
  <c r="CQ83" i="54"/>
  <c r="CG78" i="54"/>
  <c r="CH211" i="54"/>
  <c r="CG41" i="54"/>
  <c r="CP41" i="54"/>
  <c r="CJ199" i="54"/>
  <c r="CJ106" i="54"/>
  <c r="CH106" i="54"/>
  <c r="CJ90" i="54"/>
  <c r="CQ142" i="54"/>
  <c r="CI142" i="54"/>
  <c r="CP143" i="54"/>
  <c r="CO101" i="54"/>
  <c r="CP255" i="54"/>
  <c r="CH222" i="54"/>
  <c r="CH207" i="54"/>
  <c r="CO25" i="54"/>
  <c r="CO118" i="54"/>
  <c r="CI168" i="54"/>
  <c r="CG15" i="54"/>
  <c r="CP147" i="54"/>
  <c r="CJ86" i="54"/>
  <c r="CH86" i="54"/>
  <c r="CP136" i="54"/>
  <c r="CH33" i="54"/>
  <c r="CP138" i="54"/>
  <c r="CQ237" i="54"/>
  <c r="CJ175" i="54"/>
  <c r="CO132" i="54"/>
  <c r="CJ234" i="54"/>
  <c r="CH234" i="54"/>
  <c r="CG197" i="54"/>
  <c r="CH80" i="54"/>
  <c r="CO13" i="54"/>
  <c r="CJ177" i="54"/>
  <c r="CH177" i="54"/>
  <c r="CQ46" i="54"/>
  <c r="CI46" i="54"/>
  <c r="CI179" i="54"/>
  <c r="CL179" i="54" s="1"/>
  <c r="CJ31" i="54"/>
  <c r="CH216" i="54"/>
  <c r="CQ205" i="54"/>
  <c r="CJ173" i="54"/>
  <c r="CP96" i="54"/>
  <c r="CI18" i="54"/>
  <c r="CH228" i="54"/>
  <c r="CJ244" i="54"/>
  <c r="CQ167" i="54"/>
  <c r="CP54" i="54"/>
  <c r="CQ223" i="54"/>
  <c r="CC211" i="54"/>
  <c r="CK211" i="54" s="1"/>
  <c r="CM211" i="54" s="1"/>
  <c r="CC31" i="54"/>
  <c r="CK31" i="54" s="1"/>
  <c r="CC244" i="54"/>
  <c r="CK244" i="54" s="1"/>
  <c r="CC18" i="54"/>
  <c r="CK18" i="54" s="1"/>
  <c r="CC216" i="54"/>
  <c r="CK216" i="54" s="1"/>
  <c r="CO145" i="54"/>
  <c r="CQ104" i="54"/>
  <c r="CQ62" i="54"/>
  <c r="CG140" i="54"/>
  <c r="CI20" i="54"/>
  <c r="CQ151" i="54"/>
  <c r="CO49" i="54"/>
  <c r="CI199" i="54"/>
  <c r="CL199" i="54" s="1"/>
  <c r="CI90" i="54"/>
  <c r="CL90" i="54" s="1"/>
  <c r="CJ168" i="54"/>
  <c r="CJ15" i="54"/>
  <c r="CJ204" i="54"/>
  <c r="CI86" i="54"/>
  <c r="CJ136" i="54"/>
  <c r="CH136" i="54"/>
  <c r="CG33" i="54"/>
  <c r="CI52" i="54"/>
  <c r="CP132" i="54"/>
  <c r="CH197" i="54"/>
  <c r="CJ179" i="54"/>
  <c r="CO173" i="54"/>
  <c r="CK76" i="54"/>
  <c r="CK71" i="54"/>
  <c r="CL71" i="54" s="1"/>
  <c r="CP145" i="54"/>
  <c r="CH104" i="54"/>
  <c r="CH62" i="54"/>
  <c r="CQ140" i="54"/>
  <c r="CO20" i="54"/>
  <c r="CJ151" i="54"/>
  <c r="CP49" i="54"/>
  <c r="CO254" i="54"/>
  <c r="CI108" i="54"/>
  <c r="CH25" i="54"/>
  <c r="CO168" i="54"/>
  <c r="CI204" i="54"/>
  <c r="CQ203" i="54"/>
  <c r="CG84" i="54"/>
  <c r="CJ227" i="54"/>
  <c r="CH227" i="54"/>
  <c r="CH16" i="54"/>
  <c r="CG237" i="54"/>
  <c r="CQ52" i="54"/>
  <c r="CG195" i="54"/>
  <c r="CJ117" i="54"/>
  <c r="CH117" i="54"/>
  <c r="CJ80" i="54"/>
  <c r="CO110" i="54"/>
  <c r="CJ110" i="54"/>
  <c r="CJ217" i="54"/>
  <c r="CC145" i="54"/>
  <c r="CK145" i="54" s="1"/>
  <c r="CC62" i="54"/>
  <c r="CC108" i="54"/>
  <c r="CK108" i="54" s="1"/>
  <c r="CC204" i="54"/>
  <c r="CK204" i="54" s="1"/>
  <c r="CC84" i="54"/>
  <c r="CK84" i="54" s="1"/>
  <c r="CL84" i="54" s="1"/>
  <c r="CG145" i="54"/>
  <c r="CJ104" i="54"/>
  <c r="CJ62" i="54"/>
  <c r="CH140" i="54"/>
  <c r="CP20" i="54"/>
  <c r="CI151" i="54"/>
  <c r="CH49" i="54"/>
  <c r="CP254" i="54"/>
  <c r="CO108" i="54"/>
  <c r="CQ25" i="54"/>
  <c r="CP168" i="54"/>
  <c r="CO204" i="54"/>
  <c r="CH203" i="54"/>
  <c r="CQ84" i="54"/>
  <c r="CI227" i="54"/>
  <c r="CC227" i="54"/>
  <c r="CK227" i="54" s="1"/>
  <c r="CP16" i="54"/>
  <c r="CO237" i="54"/>
  <c r="CJ52" i="54"/>
  <c r="CO195" i="54"/>
  <c r="CI117" i="54"/>
  <c r="CL117" i="54" s="1"/>
  <c r="CI80" i="54"/>
  <c r="CP110" i="54"/>
  <c r="CH217" i="54"/>
  <c r="CI217" i="54"/>
  <c r="CC140" i="54"/>
  <c r="CK140" i="54" s="1"/>
  <c r="CC151" i="54"/>
  <c r="CK151" i="54" s="1"/>
  <c r="CQ145" i="54"/>
  <c r="CI104" i="54"/>
  <c r="CI62" i="54"/>
  <c r="CJ140" i="54"/>
  <c r="CH20" i="54"/>
  <c r="CO151" i="54"/>
  <c r="CQ49" i="54"/>
  <c r="CG254" i="54"/>
  <c r="CP108" i="54"/>
  <c r="CR108" i="54" s="1" a="1"/>
  <c r="CR108" i="54" s="1"/>
  <c r="CG25" i="54"/>
  <c r="CG168" i="54"/>
  <c r="CP204" i="54"/>
  <c r="CI203" i="54"/>
  <c r="CH84" i="54"/>
  <c r="CO227" i="54"/>
  <c r="CG16" i="54"/>
  <c r="CJ16" i="54"/>
  <c r="CH237" i="54"/>
  <c r="CO52" i="54"/>
  <c r="CH195" i="54"/>
  <c r="CP117" i="54"/>
  <c r="CP80" i="54"/>
  <c r="CO80" i="54"/>
  <c r="CQ110" i="54"/>
  <c r="CO217" i="54"/>
  <c r="CC217" i="54"/>
  <c r="CK217" i="54" s="1"/>
  <c r="CC80" i="54"/>
  <c r="CJ145" i="54"/>
  <c r="CH145" i="54"/>
  <c r="CP104" i="54"/>
  <c r="CO104" i="54"/>
  <c r="CP62" i="54"/>
  <c r="CO62" i="54"/>
  <c r="CI140" i="54"/>
  <c r="CO140" i="54"/>
  <c r="CG20" i="54"/>
  <c r="CQ20" i="54"/>
  <c r="CG151" i="54"/>
  <c r="CP151" i="54"/>
  <c r="CJ49" i="54"/>
  <c r="CG49" i="54"/>
  <c r="CQ254" i="54"/>
  <c r="CG108" i="54"/>
  <c r="CJ25" i="54"/>
  <c r="CQ168" i="54"/>
  <c r="CG204" i="54"/>
  <c r="CJ203" i="54"/>
  <c r="CJ84" i="54"/>
  <c r="CP227" i="54"/>
  <c r="CI16" i="54"/>
  <c r="CI237" i="54"/>
  <c r="CJ237" i="54"/>
  <c r="CH52" i="54"/>
  <c r="CJ195" i="54"/>
  <c r="CQ117" i="54"/>
  <c r="CG80" i="54"/>
  <c r="CG110" i="54"/>
  <c r="CP217" i="54"/>
  <c r="CC104" i="54"/>
  <c r="CK104" i="54" s="1"/>
  <c r="CC49" i="54"/>
  <c r="CC195" i="54"/>
  <c r="CJ20" i="54"/>
  <c r="CH168" i="54"/>
  <c r="CO203" i="54"/>
  <c r="CQ16" i="54"/>
  <c r="CP237" i="54"/>
  <c r="CG52" i="54"/>
  <c r="CP52" i="54"/>
  <c r="CH110" i="54"/>
  <c r="CM262" i="54"/>
  <c r="CK136" i="54"/>
  <c r="CV6" i="54"/>
  <c r="AR22" i="50"/>
  <c r="AP23" i="50" s="1"/>
  <c r="AQ23" i="50" s="1"/>
  <c r="AR23" i="50" s="1"/>
  <c r="CK250" i="54"/>
  <c r="CL250" i="54" s="1"/>
  <c r="CK135" i="54"/>
  <c r="CM135" i="54" s="1"/>
  <c r="CK252" i="54"/>
  <c r="CK28" i="54"/>
  <c r="CK16" i="54"/>
  <c r="CH69" i="54"/>
  <c r="CO69" i="54"/>
  <c r="CO263" i="54"/>
  <c r="CJ72" i="54"/>
  <c r="CQ246" i="54"/>
  <c r="CO137" i="54"/>
  <c r="CH12" i="54"/>
  <c r="CP214" i="54"/>
  <c r="CQ264" i="54"/>
  <c r="CI11" i="54"/>
  <c r="CP232" i="54"/>
  <c r="CP190" i="54"/>
  <c r="CG268" i="54"/>
  <c r="CQ148" i="54"/>
  <c r="CP70" i="54"/>
  <c r="CP39" i="54"/>
  <c r="CO47" i="54"/>
  <c r="CJ47" i="54"/>
  <c r="CQ247" i="54"/>
  <c r="CI176" i="54"/>
  <c r="CQ55" i="54"/>
  <c r="CI187" i="54"/>
  <c r="CQ126" i="54"/>
  <c r="CP14" i="54"/>
  <c r="CI14" i="54"/>
  <c r="CP166" i="54"/>
  <c r="CK44" i="54"/>
  <c r="CC187" i="54"/>
  <c r="CK187" i="54" s="1"/>
  <c r="CC14" i="54"/>
  <c r="CC247" i="54"/>
  <c r="CK247" i="54" s="1"/>
  <c r="CC176" i="54"/>
  <c r="CK174" i="54"/>
  <c r="CJ69" i="54"/>
  <c r="CC69" i="54"/>
  <c r="CK69" i="54" s="1"/>
  <c r="CP263" i="54"/>
  <c r="CI263" i="54"/>
  <c r="CO72" i="54"/>
  <c r="CI72" i="54"/>
  <c r="CJ246" i="54"/>
  <c r="CH246" i="54"/>
  <c r="CG137" i="54"/>
  <c r="CP137" i="54"/>
  <c r="CI12" i="54"/>
  <c r="CJ12" i="54"/>
  <c r="CJ214" i="54"/>
  <c r="CH214" i="54"/>
  <c r="CJ264" i="54"/>
  <c r="CH264" i="54"/>
  <c r="CL210" i="54"/>
  <c r="CJ11" i="54"/>
  <c r="CH232" i="54"/>
  <c r="CH190" i="54"/>
  <c r="CP268" i="54"/>
  <c r="CO148" i="54"/>
  <c r="CH70" i="54"/>
  <c r="CQ39" i="54"/>
  <c r="CP47" i="54"/>
  <c r="CJ247" i="54"/>
  <c r="CH247" i="54"/>
  <c r="CO176" i="54"/>
  <c r="CG55" i="54"/>
  <c r="CO187" i="54"/>
  <c r="CH126" i="54"/>
  <c r="CO14" i="54"/>
  <c r="CH166" i="54"/>
  <c r="CL158" i="54"/>
  <c r="CL172" i="54"/>
  <c r="CC72" i="54"/>
  <c r="CK72" i="54" s="1"/>
  <c r="CC39" i="54"/>
  <c r="CK39" i="54" s="1"/>
  <c r="CI69" i="54"/>
  <c r="CQ263" i="54"/>
  <c r="CP72" i="54"/>
  <c r="CI246" i="54"/>
  <c r="CQ137" i="54"/>
  <c r="CO12" i="54"/>
  <c r="CI214" i="54"/>
  <c r="CI264" i="54"/>
  <c r="CL180" i="54"/>
  <c r="CL131" i="54"/>
  <c r="CO11" i="54"/>
  <c r="CJ232" i="54"/>
  <c r="CJ190" i="54"/>
  <c r="CH268" i="54"/>
  <c r="CG148" i="54"/>
  <c r="CJ70" i="54"/>
  <c r="CG39" i="54"/>
  <c r="CG47" i="54"/>
  <c r="CI247" i="54"/>
  <c r="CG176" i="54"/>
  <c r="CP176" i="54"/>
  <c r="CJ55" i="54"/>
  <c r="CP187" i="54"/>
  <c r="CJ126" i="54"/>
  <c r="CH14" i="54"/>
  <c r="CJ166" i="54"/>
  <c r="CC137" i="54"/>
  <c r="CK137" i="54" s="1"/>
  <c r="CC190" i="54"/>
  <c r="CP69" i="54"/>
  <c r="CG263" i="54"/>
  <c r="CG72" i="54"/>
  <c r="CO246" i="54"/>
  <c r="CH137" i="54"/>
  <c r="CP12" i="54"/>
  <c r="CQ214" i="54"/>
  <c r="CO264" i="54"/>
  <c r="CG11" i="54"/>
  <c r="CP11" i="54"/>
  <c r="CI232" i="54"/>
  <c r="CQ232" i="54"/>
  <c r="CQ190" i="54"/>
  <c r="CI190" i="54"/>
  <c r="CI268" i="54"/>
  <c r="CJ268" i="54"/>
  <c r="CH148" i="54"/>
  <c r="CP148" i="54"/>
  <c r="CQ70" i="54"/>
  <c r="CI70" i="54"/>
  <c r="CH39" i="54"/>
  <c r="CO39" i="54"/>
  <c r="CQ47" i="54"/>
  <c r="CO247" i="54"/>
  <c r="CQ176" i="54"/>
  <c r="CO55" i="54"/>
  <c r="CI55" i="54"/>
  <c r="CG187" i="54"/>
  <c r="CI126" i="54"/>
  <c r="CL126" i="54" s="1"/>
  <c r="CQ14" i="54"/>
  <c r="CL177" i="54"/>
  <c r="CQ166" i="54"/>
  <c r="CI166" i="54"/>
  <c r="CC263" i="54"/>
  <c r="CK263" i="54" s="1"/>
  <c r="CK118" i="54"/>
  <c r="CK67" i="54"/>
  <c r="CK92" i="54"/>
  <c r="CL92" i="54" s="1"/>
  <c r="CL145" i="54"/>
  <c r="CP246" i="54"/>
  <c r="CG12" i="54"/>
  <c r="CP264" i="54"/>
  <c r="CL170" i="54"/>
  <c r="CL114" i="54"/>
  <c r="CL128" i="54"/>
  <c r="CL115" i="54"/>
  <c r="CQ11" i="54"/>
  <c r="CO232" i="54"/>
  <c r="CO268" i="54"/>
  <c r="CJ148" i="54"/>
  <c r="CO70" i="54"/>
  <c r="CH47" i="54"/>
  <c r="CP55" i="54"/>
  <c r="CH187" i="54"/>
  <c r="CO166" i="54"/>
  <c r="CK194" i="54"/>
  <c r="CL194" i="54" s="1"/>
  <c r="CC79" i="54"/>
  <c r="CK79" i="54" s="1"/>
  <c r="CC61" i="54"/>
  <c r="CK61" i="54" s="1"/>
  <c r="CC183" i="54"/>
  <c r="CK160" i="54"/>
  <c r="CK34" i="54"/>
  <c r="CK219" i="54"/>
  <c r="CK213" i="54"/>
  <c r="CK224" i="54"/>
  <c r="CL224" i="54" s="1"/>
  <c r="CK148" i="54"/>
  <c r="CK162" i="54"/>
  <c r="CH146" i="54"/>
  <c r="CH103" i="54"/>
  <c r="CH61" i="54"/>
  <c r="CO139" i="54"/>
  <c r="CP19" i="54"/>
  <c r="CH198" i="54"/>
  <c r="CP161" i="54"/>
  <c r="CQ94" i="54"/>
  <c r="CP215" i="54"/>
  <c r="CO36" i="54"/>
  <c r="CQ251" i="54"/>
  <c r="CP24" i="54"/>
  <c r="CI17" i="54"/>
  <c r="CO178" i="54"/>
  <c r="CO150" i="54"/>
  <c r="CH258" i="54"/>
  <c r="CI248" i="54"/>
  <c r="CO165" i="54"/>
  <c r="CP56" i="54"/>
  <c r="CJ188" i="54"/>
  <c r="CG79" i="54"/>
  <c r="CO183" i="54"/>
  <c r="CO249" i="54"/>
  <c r="CP249" i="54"/>
  <c r="CC139" i="54"/>
  <c r="CK139" i="54" s="1"/>
  <c r="CC56" i="54"/>
  <c r="CK52" i="54"/>
  <c r="CC36" i="54"/>
  <c r="CJ146" i="54"/>
  <c r="CJ103" i="54"/>
  <c r="CJ61" i="54"/>
  <c r="CH139" i="54"/>
  <c r="CH19" i="54"/>
  <c r="CJ198" i="54"/>
  <c r="CG161" i="54"/>
  <c r="CK182" i="54"/>
  <c r="CL182" i="54" s="1"/>
  <c r="CO94" i="54"/>
  <c r="CR94" i="54" s="1" a="1"/>
  <c r="CR94" i="54" s="1"/>
  <c r="CG215" i="54"/>
  <c r="CP36" i="54"/>
  <c r="CH251" i="54"/>
  <c r="CG24" i="54"/>
  <c r="CJ17" i="54"/>
  <c r="CG178" i="54"/>
  <c r="CP150" i="54"/>
  <c r="CJ258" i="54"/>
  <c r="CO248" i="54"/>
  <c r="CH165" i="54"/>
  <c r="CH56" i="54"/>
  <c r="CI188" i="54"/>
  <c r="CQ79" i="54"/>
  <c r="CH183" i="54"/>
  <c r="CG249" i="54"/>
  <c r="CC249" i="54"/>
  <c r="CK249" i="54" s="1"/>
  <c r="CC161" i="54"/>
  <c r="CK161" i="54" s="1"/>
  <c r="CC24" i="54"/>
  <c r="CK24" i="54" s="1"/>
  <c r="CC103" i="54"/>
  <c r="CC251" i="54"/>
  <c r="CC94" i="54"/>
  <c r="CO103" i="54"/>
  <c r="CP61" i="54"/>
  <c r="CO61" i="54"/>
  <c r="CP139" i="54"/>
  <c r="CJ139" i="54"/>
  <c r="CG19" i="54"/>
  <c r="CQ19" i="54"/>
  <c r="CO198" i="54"/>
  <c r="CI198" i="54"/>
  <c r="CH161" i="54"/>
  <c r="CQ161" i="54"/>
  <c r="CR161" i="54" s="1" a="1"/>
  <c r="CR161" i="54" s="1"/>
  <c r="CG94" i="54"/>
  <c r="CQ215" i="54"/>
  <c r="CG36" i="54"/>
  <c r="CI251" i="54"/>
  <c r="CQ24" i="54"/>
  <c r="CO17" i="54"/>
  <c r="CP178" i="54"/>
  <c r="CG150" i="54"/>
  <c r="CI258" i="54"/>
  <c r="CP248" i="54"/>
  <c r="CJ165" i="54"/>
  <c r="CQ56" i="54"/>
  <c r="CO188" i="54"/>
  <c r="CH79" i="54"/>
  <c r="CJ183" i="54"/>
  <c r="CQ249" i="54"/>
  <c r="CC258" i="54"/>
  <c r="CK258" i="54" s="1"/>
  <c r="CO146" i="54"/>
  <c r="CI146" i="54"/>
  <c r="CI103" i="54"/>
  <c r="CP146" i="54"/>
  <c r="CP103" i="54"/>
  <c r="CG61" i="54"/>
  <c r="CI139" i="54"/>
  <c r="CJ19" i="54"/>
  <c r="CP198" i="54"/>
  <c r="CI161" i="54"/>
  <c r="CH94" i="54"/>
  <c r="CP94" i="54"/>
  <c r="CI215" i="54"/>
  <c r="CH215" i="54"/>
  <c r="CH36" i="54"/>
  <c r="CQ36" i="54"/>
  <c r="CO251" i="54"/>
  <c r="CJ251" i="54"/>
  <c r="CJ24" i="54"/>
  <c r="CH24" i="54"/>
  <c r="CG17" i="54"/>
  <c r="CP17" i="54"/>
  <c r="CJ178" i="54"/>
  <c r="CH178" i="54"/>
  <c r="CQ150" i="54"/>
  <c r="CO258" i="54"/>
  <c r="CG248" i="54"/>
  <c r="CI165" i="54"/>
  <c r="CG56" i="54"/>
  <c r="CP188" i="54"/>
  <c r="CJ79" i="54"/>
  <c r="CI183" i="54"/>
  <c r="CH249" i="54"/>
  <c r="CC198" i="54"/>
  <c r="CC165" i="54"/>
  <c r="CC178" i="54"/>
  <c r="CK178" i="54" s="1"/>
  <c r="CG146" i="54"/>
  <c r="CJ215" i="54"/>
  <c r="CH17" i="54"/>
  <c r="CJ150" i="54"/>
  <c r="CH150" i="54"/>
  <c r="CQ248" i="54"/>
  <c r="CG188" i="54"/>
  <c r="CK173" i="54"/>
  <c r="CK231" i="54"/>
  <c r="CK95" i="54"/>
  <c r="CK134" i="54"/>
  <c r="CK230" i="54"/>
  <c r="CK107" i="54"/>
  <c r="CK132" i="54"/>
  <c r="CK259" i="54"/>
  <c r="CL259" i="54" s="1"/>
  <c r="CK100" i="54"/>
  <c r="CK150" i="54"/>
  <c r="CK188" i="54"/>
  <c r="CK113" i="54"/>
  <c r="CK261" i="54"/>
  <c r="CL261" i="54" s="1"/>
  <c r="CK229" i="54"/>
  <c r="CL57" i="54"/>
  <c r="CK203" i="54"/>
  <c r="CK124" i="54"/>
  <c r="CL124" i="54" s="1"/>
  <c r="CR95" i="54" a="1"/>
  <c r="CR95" i="54" s="1"/>
  <c r="CT95" i="54" s="1"/>
  <c r="CR68" i="54" a="1"/>
  <c r="CR68" i="54" s="1"/>
  <c r="CT68" i="54" s="1"/>
  <c r="CR244" i="54" a="1"/>
  <c r="CR244" i="54" s="1"/>
  <c r="CT244" i="54" s="1"/>
  <c r="CR243" i="54" a="1"/>
  <c r="CR243" i="54" s="1"/>
  <c r="CT243" i="54" s="1"/>
  <c r="CR93" i="54" a="1"/>
  <c r="CR93" i="54" s="1"/>
  <c r="CT93" i="54" s="1"/>
  <c r="CR92" i="54" a="1"/>
  <c r="CR92" i="54" s="1"/>
  <c r="CT92" i="54" s="1"/>
  <c r="CR65" i="54" a="1"/>
  <c r="CR65" i="54" s="1"/>
  <c r="CT65" i="54" s="1"/>
  <c r="CR199" i="54" a="1"/>
  <c r="CR199" i="54" s="1"/>
  <c r="CT199" i="54" s="1"/>
  <c r="CR46" i="54" a="1"/>
  <c r="CR46" i="54" s="1"/>
  <c r="CT46" i="54" s="1"/>
  <c r="CR177" i="54" a="1"/>
  <c r="CR177" i="54" s="1"/>
  <c r="CT177" i="54" s="1"/>
  <c r="CR24" i="54" a="1"/>
  <c r="CR24" i="54" s="1"/>
  <c r="CT24" i="54" s="1"/>
  <c r="CR107" i="54" a="1"/>
  <c r="CR107" i="54" s="1"/>
  <c r="CT107" i="54" s="1"/>
  <c r="CR62" i="54" a="1"/>
  <c r="CR62" i="54" s="1"/>
  <c r="CT62" i="54" s="1"/>
  <c r="CR130" i="54" a="1"/>
  <c r="CR130" i="54" s="1"/>
  <c r="CT130" i="54" s="1"/>
  <c r="CR87" i="54" a="1"/>
  <c r="CR87" i="54" s="1"/>
  <c r="CT87" i="54" s="1"/>
  <c r="CR248" i="54" a="1"/>
  <c r="CR248" i="54" s="1"/>
  <c r="CT248" i="54" s="1"/>
  <c r="CR235" i="54" a="1"/>
  <c r="CR235" i="54" s="1"/>
  <c r="CT235" i="54" s="1"/>
  <c r="CR40" i="54" a="1"/>
  <c r="CR40" i="54" s="1"/>
  <c r="CT40" i="54" s="1"/>
  <c r="CR147" i="54" a="1"/>
  <c r="CR147" i="54" s="1"/>
  <c r="CT147" i="54" s="1"/>
  <c r="CR38" i="54" a="1"/>
  <c r="CR38" i="54" s="1"/>
  <c r="CT38" i="54" s="1"/>
  <c r="CR26" i="54" a="1"/>
  <c r="CR26" i="54" s="1"/>
  <c r="CT26" i="54" s="1"/>
  <c r="CR100" i="54" a="1"/>
  <c r="CR100" i="54" s="1"/>
  <c r="CT100" i="54" s="1"/>
  <c r="CR165" i="54" a="1"/>
  <c r="CR165" i="54" s="1"/>
  <c r="CU95" i="54"/>
  <c r="CV95" i="54" s="1"/>
  <c r="CS95" i="54" s="1"/>
  <c r="CR86" i="54" a="1"/>
  <c r="CR86" i="54" s="1"/>
  <c r="CT86" i="54" s="1"/>
  <c r="CR139" i="54" a="1"/>
  <c r="CR139" i="54" s="1"/>
  <c r="CT139" i="54" s="1"/>
  <c r="CR183" i="54" a="1"/>
  <c r="CR183" i="54" s="1"/>
  <c r="CT183" i="54" s="1"/>
  <c r="CR266" i="54" a="1"/>
  <c r="CR266" i="54" s="1"/>
  <c r="CT266" i="54" s="1"/>
  <c r="CR214" i="54" a="1"/>
  <c r="CR214" i="54" s="1"/>
  <c r="CT214" i="54" s="1"/>
  <c r="CR84" i="54" a="1"/>
  <c r="CR84" i="54" s="1"/>
  <c r="CT84" i="54" s="1"/>
  <c r="EY235" i="54" a="1"/>
  <c r="EY235" i="54" s="1"/>
  <c r="EY190" i="54" a="1"/>
  <c r="EY190" i="54" s="1"/>
  <c r="EY163" i="54" a="1"/>
  <c r="EY163" i="54" s="1"/>
  <c r="EY32" i="54" a="1"/>
  <c r="EY32" i="54" s="1"/>
  <c r="EY65" i="54" a="1"/>
  <c r="EY65" i="54" s="1"/>
  <c r="EY24" i="54" a="1"/>
  <c r="EY24" i="54" s="1"/>
  <c r="EY214" i="54" a="1"/>
  <c r="EY214" i="54" s="1"/>
  <c r="EY63" i="54" a="1"/>
  <c r="EY63" i="54" s="1"/>
  <c r="EY184" i="54" a="1"/>
  <c r="EY184" i="54" s="1"/>
  <c r="EY134" i="54" a="1"/>
  <c r="EY134" i="54" s="1"/>
  <c r="EY38" i="54" a="1"/>
  <c r="EY38" i="54" s="1"/>
  <c r="EY102" i="54" a="1"/>
  <c r="EY102" i="54" s="1"/>
  <c r="EY250" i="54" a="1"/>
  <c r="EY250" i="54" s="1"/>
  <c r="EY201" i="54" a="1"/>
  <c r="EY201" i="54" s="1"/>
  <c r="EY127" i="54" a="1"/>
  <c r="EY127" i="54" s="1"/>
  <c r="EY101" i="54" a="1"/>
  <c r="EY101" i="54" s="1"/>
  <c r="EY20" i="54" a="1"/>
  <c r="EY20" i="54" s="1"/>
  <c r="EY120" i="54" a="1"/>
  <c r="EY120" i="54" s="1"/>
  <c r="EY71" i="54" a="1"/>
  <c r="EY71" i="54" s="1"/>
  <c r="EY263" i="54" a="1"/>
  <c r="EY263" i="54" s="1"/>
  <c r="EY37" i="54" a="1"/>
  <c r="EY37" i="54" s="1"/>
  <c r="EY175" i="54" a="1"/>
  <c r="EY175" i="54" s="1"/>
  <c r="EY146" i="54" a="1"/>
  <c r="EY146" i="54" s="1"/>
  <c r="EY36" i="54" a="1"/>
  <c r="EY36" i="54" s="1"/>
  <c r="EY216" i="54" a="1"/>
  <c r="EY216" i="54" s="1"/>
  <c r="EY141" i="54" a="1"/>
  <c r="EY141" i="54" s="1"/>
  <c r="EY52" i="54" a="1"/>
  <c r="EY52" i="54" s="1"/>
  <c r="EY199" i="54" a="1"/>
  <c r="EY199" i="54" s="1"/>
  <c r="EY173" i="54" a="1"/>
  <c r="EY173" i="54" s="1"/>
  <c r="EY237" i="54" a="1"/>
  <c r="EY237" i="54" s="1"/>
  <c r="EY84" i="54" a="1"/>
  <c r="EY84" i="54" s="1"/>
  <c r="EY189" i="54" a="1"/>
  <c r="EY189" i="54" s="1"/>
  <c r="EY22" i="54" a="1"/>
  <c r="EY22" i="54" s="1"/>
  <c r="EY160" i="54" a="1"/>
  <c r="EY160" i="54" s="1"/>
  <c r="EY131" i="54" a="1"/>
  <c r="EY131" i="54" s="1"/>
  <c r="EY79" i="54" a="1"/>
  <c r="EY79" i="54" s="1"/>
  <c r="EY186" i="54" a="1"/>
  <c r="EY186" i="54" s="1"/>
  <c r="EY111" i="54" a="1"/>
  <c r="EY111" i="54" s="1"/>
  <c r="EY70" i="54" a="1"/>
  <c r="EY70" i="54" s="1"/>
  <c r="EY208" i="54" a="1"/>
  <c r="EY208" i="54" s="1"/>
  <c r="EY179" i="54" a="1"/>
  <c r="EY179" i="54" s="1"/>
  <c r="EY243" i="54" a="1"/>
  <c r="EY243" i="54" s="1"/>
  <c r="EY112" i="54" a="1"/>
  <c r="EY112" i="54" s="1"/>
  <c r="EY220" i="54" a="1"/>
  <c r="EY220" i="54" s="1"/>
  <c r="EY170" i="54" a="1"/>
  <c r="EY170" i="54" s="1"/>
  <c r="EY45" i="54" a="1"/>
  <c r="EY45" i="54" s="1"/>
  <c r="EY174" i="54" a="1"/>
  <c r="EY174" i="54" s="1"/>
  <c r="EY85" i="54" a="1"/>
  <c r="EY85" i="54" s="1"/>
  <c r="EY248" i="54" a="1"/>
  <c r="EY248" i="54" s="1"/>
  <c r="EY34" i="54" a="1"/>
  <c r="EY34" i="54" s="1"/>
  <c r="EY172" i="54" a="1"/>
  <c r="EY172" i="54" s="1"/>
  <c r="EY143" i="54" a="1"/>
  <c r="EY143" i="54" s="1"/>
  <c r="EY27" i="54" a="1"/>
  <c r="EY27" i="54" s="1"/>
  <c r="EY204" i="54" a="1"/>
  <c r="EY204" i="54" s="1"/>
  <c r="EY135" i="54" a="1"/>
  <c r="EY135" i="54" s="1"/>
  <c r="EY88" i="54" a="1"/>
  <c r="EY88" i="54" s="1"/>
  <c r="EY217" i="54" a="1"/>
  <c r="EY217" i="54" s="1"/>
  <c r="EY191" i="54" a="1"/>
  <c r="EY191" i="54" s="1"/>
  <c r="EY255" i="54" a="1"/>
  <c r="EY255" i="54" s="1"/>
  <c r="EY241" i="54" a="1"/>
  <c r="EY241" i="54" s="1"/>
  <c r="EY224" i="54" a="1"/>
  <c r="EY224" i="54" s="1"/>
  <c r="EY115" i="54" a="1"/>
  <c r="EY115" i="54" s="1"/>
  <c r="EY86" i="54" a="1"/>
  <c r="EY86" i="54" s="1"/>
  <c r="EY215" i="54" a="1"/>
  <c r="EY215" i="54" s="1"/>
  <c r="EY90" i="54" a="1"/>
  <c r="EY90" i="54" s="1"/>
  <c r="EY265" i="54" a="1"/>
  <c r="EY265" i="54" s="1"/>
  <c r="EY251" i="54" a="1"/>
  <c r="EY251" i="54" s="1"/>
  <c r="EY56" i="54" a="1"/>
  <c r="EY56" i="54" s="1"/>
  <c r="EY205" i="54" a="1"/>
  <c r="EY205" i="54" s="1"/>
  <c r="EY176" i="54" a="1"/>
  <c r="EY176" i="54" s="1"/>
  <c r="EY240" i="54" a="1"/>
  <c r="EY240" i="54" s="1"/>
  <c r="EY226" i="54" a="1"/>
  <c r="EY226" i="54" s="1"/>
  <c r="EY195" i="54" a="1"/>
  <c r="EY195" i="54" s="1"/>
  <c r="EY121" i="54" a="1"/>
  <c r="EY121" i="54" s="1"/>
  <c r="EY92" i="54" a="1"/>
  <c r="EY92" i="54" s="1"/>
  <c r="EY221" i="54" a="1"/>
  <c r="EY221" i="54" s="1"/>
  <c r="EY108" i="54" a="1"/>
  <c r="EY108" i="54" s="1"/>
  <c r="EY41" i="54" a="1"/>
  <c r="EY41" i="54" s="1"/>
  <c r="EY257" i="54" a="1"/>
  <c r="EY257" i="54" s="1"/>
  <c r="EY74" i="54" a="1"/>
  <c r="EY74" i="54" s="1"/>
  <c r="EY211" i="54" a="1"/>
  <c r="EY211" i="54" s="1"/>
  <c r="EY13" i="54" a="1"/>
  <c r="EY13" i="54" s="1"/>
  <c r="EY130" i="54" a="1"/>
  <c r="EY130" i="54" s="1"/>
  <c r="EY75" i="54" a="1"/>
  <c r="EY75" i="54" s="1"/>
  <c r="EY188" i="54" a="1"/>
  <c r="EY188" i="54" s="1"/>
  <c r="EY231" i="54" a="1"/>
  <c r="EY231" i="54" s="1"/>
  <c r="EY210" i="54" a="1"/>
  <c r="EY210" i="54" s="1"/>
  <c r="EY93" i="54" a="1"/>
  <c r="EY93" i="54" s="1"/>
  <c r="EY266" i="54" a="1"/>
  <c r="EY266" i="54" s="1"/>
  <c r="EY21" i="54" a="1"/>
  <c r="EY21" i="54" s="1"/>
  <c r="EY193" i="54" a="1"/>
  <c r="EY193" i="54" s="1"/>
  <c r="EY164" i="54" a="1"/>
  <c r="EY164" i="54" s="1"/>
  <c r="EY228" i="54" a="1"/>
  <c r="EY228" i="54" s="1"/>
  <c r="EY55" i="54" a="1"/>
  <c r="EY55" i="54" s="1"/>
  <c r="EY177" i="54" a="1"/>
  <c r="EY177" i="54" s="1"/>
  <c r="CU93" i="54"/>
  <c r="CV93" i="54" s="1"/>
  <c r="CS93" i="54" s="1"/>
  <c r="EY109" i="54" a="1"/>
  <c r="EY109" i="54" s="1"/>
  <c r="EY82" i="54" a="1"/>
  <c r="EY82" i="54" s="1"/>
  <c r="EY212" i="54" a="1"/>
  <c r="EY212" i="54" s="1"/>
  <c r="EY76" i="54" a="1"/>
  <c r="EY76" i="54" s="1"/>
  <c r="EY262" i="54" a="1"/>
  <c r="EY262" i="54" s="1"/>
  <c r="EY245" i="54" a="1"/>
  <c r="EY245" i="54" s="1"/>
  <c r="EY136" i="54" a="1"/>
  <c r="EY136" i="54" s="1"/>
  <c r="EY107" i="54" a="1"/>
  <c r="EY107" i="54" s="1"/>
  <c r="EY29" i="54" a="1"/>
  <c r="EY29" i="54" s="1"/>
  <c r="EY132" i="54" a="1"/>
  <c r="EY132" i="54" s="1"/>
  <c r="EY23" i="54" a="1"/>
  <c r="EY23" i="54" s="1"/>
  <c r="EY73" i="54" a="1"/>
  <c r="EY73" i="54" s="1"/>
  <c r="CU248" i="54"/>
  <c r="CV248" i="54" s="1"/>
  <c r="CS248" i="54" s="1"/>
  <c r="EY97" i="54" a="1"/>
  <c r="EY97" i="54" s="1"/>
  <c r="EY50" i="54" a="1"/>
  <c r="EY50" i="54" s="1"/>
  <c r="EY197" i="54" a="1"/>
  <c r="EY197" i="54" s="1"/>
  <c r="EY261" i="54" a="1"/>
  <c r="EY261" i="54" s="1"/>
  <c r="EY247" i="54" a="1"/>
  <c r="EY247" i="54" s="1"/>
  <c r="EY233" i="54" a="1"/>
  <c r="EY233" i="54" s="1"/>
  <c r="CU100" i="54"/>
  <c r="CV100" i="54" s="1"/>
  <c r="CS100" i="54" s="1"/>
  <c r="EY142" i="54" a="1"/>
  <c r="EY142" i="54" s="1"/>
  <c r="EY113" i="54" a="1"/>
  <c r="EY113" i="54" s="1"/>
  <c r="EY42" i="54" a="1"/>
  <c r="EY42" i="54" s="1"/>
  <c r="EY150" i="54" a="1"/>
  <c r="EY150" i="54" s="1"/>
  <c r="EY58" i="54" a="1"/>
  <c r="EY58" i="54" s="1"/>
  <c r="EY44" i="54" a="1"/>
  <c r="EY44" i="54" s="1"/>
  <c r="CU266" i="54"/>
  <c r="CV266" i="54" s="1"/>
  <c r="CS266" i="54" s="1"/>
  <c r="EY103" i="54" a="1"/>
  <c r="EY103" i="54" s="1"/>
  <c r="EY166" i="54" a="1"/>
  <c r="EY166" i="54" s="1"/>
  <c r="EY11" i="54" a="1"/>
  <c r="EY11" i="54" s="1"/>
  <c r="EY232" i="54" a="1"/>
  <c r="EY232" i="54" s="1"/>
  <c r="EY68" i="54" a="1"/>
  <c r="EY68" i="54" s="1"/>
  <c r="EY69" i="54" a="1"/>
  <c r="EY69" i="54" s="1"/>
  <c r="EY242" i="54" a="1"/>
  <c r="EY242" i="54" s="1"/>
  <c r="EY154" i="54" a="1"/>
  <c r="EY154" i="54" s="1"/>
  <c r="EY61" i="54" a="1"/>
  <c r="EY61" i="54" s="1"/>
  <c r="EY99" i="54" a="1"/>
  <c r="EY99" i="54" s="1"/>
  <c r="CU26" i="54"/>
  <c r="CV26" i="54" s="1"/>
  <c r="CS26" i="54" s="1"/>
  <c r="CU243" i="54"/>
  <c r="CV243" i="54" s="1"/>
  <c r="CS243" i="54" s="1"/>
  <c r="EY178" i="54" a="1"/>
  <c r="EY178" i="54" s="1"/>
  <c r="EY53" i="54" a="1"/>
  <c r="EY53" i="54" s="1"/>
  <c r="EY147" i="54" a="1"/>
  <c r="EY147" i="54" s="1"/>
  <c r="EY139" i="54" a="1"/>
  <c r="EY139" i="54" s="1"/>
  <c r="EY33" i="54" a="1"/>
  <c r="EY33" i="54" s="1"/>
  <c r="EY51" i="54" a="1"/>
  <c r="EY51" i="54" s="1"/>
  <c r="CU219" i="54"/>
  <c r="CV219" i="54" s="1"/>
  <c r="CS219" i="54" s="1"/>
  <c r="EY187" i="54" a="1"/>
  <c r="EY187" i="54" s="1"/>
  <c r="EY67" i="54" a="1"/>
  <c r="EY67" i="54" s="1"/>
  <c r="EY117" i="54" a="1"/>
  <c r="EY117" i="54" s="1"/>
  <c r="EY28" i="54" a="1"/>
  <c r="EY28" i="54" s="1"/>
  <c r="EY64" i="54" a="1"/>
  <c r="EY64" i="54" s="1"/>
  <c r="EY203" i="54" a="1"/>
  <c r="EY203" i="54" s="1"/>
  <c r="EY62" i="54" a="1"/>
  <c r="EY62" i="54" s="1"/>
  <c r="EY256" i="54" a="1"/>
  <c r="EY256" i="54" s="1"/>
  <c r="EY239" i="54" a="1"/>
  <c r="EY239" i="54" s="1"/>
  <c r="CU65" i="54"/>
  <c r="CV65" i="54" s="1"/>
  <c r="CS65" i="54" s="1"/>
  <c r="EY202" i="54" a="1"/>
  <c r="EY202" i="54" s="1"/>
  <c r="EY72" i="54" a="1"/>
  <c r="EY72" i="54" s="1"/>
  <c r="EY268" i="54" a="1"/>
  <c r="EY268" i="54" s="1"/>
  <c r="FB268" i="54" s="1"/>
  <c r="FC268" i="54" s="1"/>
  <c r="EY10" i="54" a="1"/>
  <c r="EY10" i="54" s="1"/>
  <c r="EY122" i="54" a="1"/>
  <c r="EY122" i="54" s="1"/>
  <c r="EY162" i="54" a="1"/>
  <c r="EY162" i="54" s="1"/>
  <c r="EY196" i="54" a="1"/>
  <c r="EY196" i="54" s="1"/>
  <c r="EY234" i="54" a="1"/>
  <c r="EY234" i="54" s="1"/>
  <c r="EY183" i="54" a="1"/>
  <c r="EY183" i="54" s="1"/>
  <c r="EY223" i="54" a="1"/>
  <c r="EY223" i="54" s="1"/>
  <c r="EY258" i="54" a="1"/>
  <c r="EY258" i="54" s="1"/>
  <c r="EY227" i="54" a="1"/>
  <c r="EY227" i="54" s="1"/>
  <c r="EY181" i="54" a="1"/>
  <c r="EY181" i="54" s="1"/>
  <c r="EY60" i="54" a="1"/>
  <c r="EY60" i="54" s="1"/>
  <c r="EY153" i="54" a="1"/>
  <c r="EY153" i="54" s="1"/>
  <c r="EY57" i="54" a="1"/>
  <c r="EY57" i="54" s="1"/>
  <c r="EY264" i="54" a="1"/>
  <c r="EY264" i="54" s="1"/>
  <c r="EY159" i="54" a="1"/>
  <c r="EY159" i="54" s="1"/>
  <c r="EY17" i="54" a="1"/>
  <c r="EY17" i="54" s="1"/>
  <c r="EY95" i="54" a="1"/>
  <c r="EY95" i="54" s="1"/>
  <c r="EY15" i="54" a="1"/>
  <c r="EY15" i="54" s="1"/>
  <c r="EY114" i="54" a="1"/>
  <c r="EY114" i="54" s="1"/>
  <c r="EY49" i="54" a="1"/>
  <c r="EY49" i="54" s="1"/>
  <c r="EY260" i="54" a="1"/>
  <c r="EY260" i="54" s="1"/>
  <c r="CR102" i="54" a="1"/>
  <c r="CR102" i="54" s="1"/>
  <c r="CT102" i="54" s="1"/>
  <c r="CR210" i="54" a="1"/>
  <c r="CR210" i="54" s="1"/>
  <c r="CT210" i="54" s="1"/>
  <c r="CR16" i="54" a="1"/>
  <c r="CR16" i="54" s="1"/>
  <c r="CT16" i="54" s="1"/>
  <c r="CR124" i="54" a="1"/>
  <c r="CR124" i="54" s="1"/>
  <c r="CT124" i="54" s="1"/>
  <c r="CR232" i="54" a="1"/>
  <c r="CR232" i="54" s="1"/>
  <c r="CR11" i="54" a="1"/>
  <c r="CR11" i="54" s="1"/>
  <c r="CT11" i="54" s="1"/>
  <c r="CR71" i="54" a="1"/>
  <c r="CR71" i="54" s="1"/>
  <c r="CT71" i="54" s="1"/>
  <c r="CR59" i="54" a="1"/>
  <c r="CR59" i="54" s="1"/>
  <c r="CT59" i="54" s="1"/>
  <c r="CR75" i="54" a="1"/>
  <c r="CR75" i="54" s="1"/>
  <c r="CT75" i="54" s="1"/>
  <c r="CR204" i="54" a="1"/>
  <c r="CR204" i="54" s="1"/>
  <c r="CT204" i="54" s="1"/>
  <c r="CR31" i="54" a="1"/>
  <c r="CR31" i="54" s="1"/>
  <c r="CT31" i="54" s="1"/>
  <c r="CR163" i="54" a="1"/>
  <c r="CR163" i="54" s="1"/>
  <c r="CT163" i="54" s="1"/>
  <c r="CR212" i="54" a="1"/>
  <c r="CR212" i="54" s="1"/>
  <c r="CR149" i="54" a="1"/>
  <c r="CR149" i="54" s="1"/>
  <c r="CT149" i="54" s="1"/>
  <c r="CR57" i="54" a="1"/>
  <c r="CR57" i="54" s="1"/>
  <c r="CT57" i="54" s="1"/>
  <c r="CR186" i="54" a="1"/>
  <c r="CR186" i="54" s="1"/>
  <c r="CT186" i="54" s="1"/>
  <c r="CR13" i="54" a="1"/>
  <c r="CR13" i="54" s="1"/>
  <c r="CT13" i="54" s="1"/>
  <c r="CR145" i="54" a="1"/>
  <c r="CR145" i="54" s="1"/>
  <c r="CT145" i="54" s="1"/>
  <c r="CR104" i="54" a="1"/>
  <c r="CR104" i="54" s="1"/>
  <c r="CT104" i="54" s="1"/>
  <c r="CR221" i="54" a="1"/>
  <c r="CR221" i="54" s="1"/>
  <c r="CR60" i="54" a="1"/>
  <c r="CR60" i="54" s="1"/>
  <c r="CT60" i="54" s="1"/>
  <c r="CR189" i="54" a="1"/>
  <c r="CR189" i="54" s="1"/>
  <c r="CR19" i="54" a="1"/>
  <c r="CR19" i="54" s="1"/>
  <c r="CT19" i="54" s="1"/>
  <c r="CR148" i="54" a="1"/>
  <c r="CR148" i="54" s="1"/>
  <c r="CU114" i="54"/>
  <c r="CV114" i="54" s="1"/>
  <c r="CS114" i="54" s="1"/>
  <c r="CR122" i="54" a="1"/>
  <c r="CR122" i="54" s="1"/>
  <c r="CT122" i="54" s="1"/>
  <c r="CR63" i="54" a="1"/>
  <c r="CR63" i="54" s="1"/>
  <c r="CT63" i="54" s="1"/>
  <c r="CR195" i="54" a="1"/>
  <c r="CR195" i="54" s="1"/>
  <c r="CR22" i="54" a="1"/>
  <c r="CR22" i="54" s="1"/>
  <c r="CT22" i="54" s="1"/>
  <c r="CR151" i="54" a="1"/>
  <c r="CR151" i="54" s="1"/>
  <c r="CR140" i="54" a="1"/>
  <c r="CR140" i="54" s="1"/>
  <c r="CR131" i="54" a="1"/>
  <c r="CR131" i="54" s="1"/>
  <c r="CT131" i="54" s="1"/>
  <c r="CR69" i="54" a="1"/>
  <c r="CR69" i="54" s="1"/>
  <c r="CT69" i="54" s="1"/>
  <c r="CR198" i="54" a="1"/>
  <c r="CR198" i="54" s="1"/>
  <c r="CT198" i="54" s="1"/>
  <c r="CR25" i="54" a="1"/>
  <c r="CR25" i="54" s="1"/>
  <c r="CT25" i="54" s="1"/>
  <c r="CR154" i="54" a="1"/>
  <c r="CR154" i="54" s="1"/>
  <c r="CR176" i="54" a="1"/>
  <c r="CR176" i="54" s="1"/>
  <c r="CT176" i="54" s="1"/>
  <c r="CR239" i="54" a="1"/>
  <c r="CR239" i="54" s="1"/>
  <c r="CR72" i="54" a="1"/>
  <c r="CR72" i="54" s="1"/>
  <c r="CT72" i="54" s="1"/>
  <c r="CR201" i="54" a="1"/>
  <c r="CR201" i="54" s="1"/>
  <c r="CR28" i="54" a="1"/>
  <c r="CR28" i="54" s="1"/>
  <c r="CT28" i="54" s="1"/>
  <c r="CR157" i="54" a="1"/>
  <c r="CR157" i="54" s="1"/>
  <c r="CR194" i="54" a="1"/>
  <c r="CR194" i="54" s="1"/>
  <c r="CR41" i="54" a="1"/>
  <c r="CR41" i="54" s="1"/>
  <c r="CT41" i="54" s="1"/>
  <c r="EY31" i="54" a="1"/>
  <c r="EY31" i="54" s="1"/>
  <c r="EY98" i="54" a="1"/>
  <c r="EY98" i="54" s="1"/>
  <c r="EY249" i="54" a="1"/>
  <c r="EY249" i="54" s="1"/>
  <c r="EY129" i="54" a="1"/>
  <c r="EY129" i="54" s="1"/>
  <c r="EY81" i="54" a="1"/>
  <c r="EY81" i="54" s="1"/>
  <c r="EY185" i="54" a="1"/>
  <c r="EY185" i="54" s="1"/>
  <c r="EY238" i="54" a="1"/>
  <c r="EY238" i="54" s="1"/>
  <c r="EY104" i="54" a="1"/>
  <c r="EY104" i="54" s="1"/>
  <c r="EY126" i="54" a="1"/>
  <c r="EY126" i="54" s="1"/>
  <c r="EY66" i="54" a="1"/>
  <c r="EY66" i="54" s="1"/>
  <c r="EY19" i="54" a="1"/>
  <c r="EY19" i="54" s="1"/>
  <c r="EY128" i="54" a="1"/>
  <c r="EY128" i="54" s="1"/>
  <c r="EY180" i="54" a="1"/>
  <c r="EY180" i="54" s="1"/>
  <c r="EY89" i="54" a="1"/>
  <c r="EY89" i="54" s="1"/>
  <c r="EY96" i="54" a="1"/>
  <c r="EY96" i="54" s="1"/>
  <c r="EY254" i="54" a="1"/>
  <c r="EY254" i="54" s="1"/>
  <c r="EY25" i="54" a="1"/>
  <c r="EY25" i="54" s="1"/>
  <c r="EY137" i="54" a="1"/>
  <c r="EY137" i="54" s="1"/>
  <c r="EY192" i="54" a="1"/>
  <c r="EY192" i="54" s="1"/>
  <c r="EY207" i="54" a="1"/>
  <c r="EY207" i="54" s="1"/>
  <c r="EY124" i="54" a="1"/>
  <c r="EY124" i="54" s="1"/>
  <c r="EY119" i="54" a="1"/>
  <c r="EY119" i="54" s="1"/>
  <c r="EY47" i="54" a="1"/>
  <c r="EY47" i="54" s="1"/>
  <c r="EY156" i="54" a="1"/>
  <c r="EY156" i="54" s="1"/>
  <c r="EY80" i="54" a="1"/>
  <c r="EY80" i="54" s="1"/>
  <c r="EY59" i="54" a="1"/>
  <c r="EY59" i="54" s="1"/>
  <c r="CR12" i="54" a="1"/>
  <c r="CR12" i="54" s="1"/>
  <c r="CT12" i="54" s="1"/>
  <c r="CR120" i="54" a="1"/>
  <c r="CR120" i="54" s="1"/>
  <c r="CT120" i="54" s="1"/>
  <c r="CR228" i="54" a="1"/>
  <c r="CR228" i="54" s="1"/>
  <c r="CT228" i="54" s="1"/>
  <c r="CR34" i="54" a="1"/>
  <c r="CR34" i="54" s="1"/>
  <c r="CT34" i="54" s="1"/>
  <c r="CR142" i="54" a="1"/>
  <c r="CR142" i="54" s="1"/>
  <c r="CT142" i="54" s="1"/>
  <c r="CR250" i="54" a="1"/>
  <c r="CR250" i="54" s="1"/>
  <c r="CT250" i="54" s="1"/>
  <c r="CR119" i="54" a="1"/>
  <c r="CR119" i="54" s="1"/>
  <c r="CT119" i="54" s="1"/>
  <c r="CR179" i="54" a="1"/>
  <c r="CR179" i="54" s="1"/>
  <c r="CR96" i="54" a="1"/>
  <c r="CR96" i="54" s="1"/>
  <c r="CT96" i="54" s="1"/>
  <c r="CR225" i="54" a="1"/>
  <c r="CR225" i="54" s="1"/>
  <c r="CR55" i="54" a="1"/>
  <c r="CR55" i="54" s="1"/>
  <c r="CT55" i="54" s="1"/>
  <c r="CR184" i="54" a="1"/>
  <c r="CR184" i="54" s="1"/>
  <c r="CR134" i="54" a="1"/>
  <c r="CR134" i="54" s="1"/>
  <c r="CT134" i="54" s="1"/>
  <c r="CR35" i="54" a="1"/>
  <c r="CR35" i="54" s="1"/>
  <c r="CT35" i="54" s="1"/>
  <c r="CR203" i="54" a="1"/>
  <c r="CR203" i="54" s="1"/>
  <c r="CT203" i="54" s="1"/>
  <c r="CR78" i="54" a="1"/>
  <c r="CR78" i="54" s="1"/>
  <c r="CT78" i="54" s="1"/>
  <c r="CR207" i="54" a="1"/>
  <c r="CR207" i="54" s="1"/>
  <c r="EY94" i="54" a="1"/>
  <c r="EY94" i="54" s="1"/>
  <c r="EY152" i="54" a="1"/>
  <c r="EY152" i="54" s="1"/>
  <c r="EY138" i="54" a="1"/>
  <c r="EY138" i="54" s="1"/>
  <c r="EY230" i="54" a="1"/>
  <c r="EY230" i="54" s="1"/>
  <c r="EY151" i="54" a="1"/>
  <c r="EY151" i="54" s="1"/>
  <c r="EY54" i="54" a="1"/>
  <c r="EY54" i="54" s="1"/>
  <c r="EY87" i="54" a="1"/>
  <c r="EY87" i="54" s="1"/>
  <c r="EY26" i="54" a="1"/>
  <c r="EY26" i="54" s="1"/>
  <c r="EY167" i="54" a="1"/>
  <c r="EY167" i="54" s="1"/>
  <c r="EY77" i="54" a="1"/>
  <c r="EY77" i="54" s="1"/>
  <c r="EY91" i="54" a="1"/>
  <c r="EY91" i="54" s="1"/>
  <c r="EY194" i="54" a="1"/>
  <c r="EY194" i="54" s="1"/>
  <c r="EY244" i="54" a="1"/>
  <c r="EY244" i="54" s="1"/>
  <c r="EY43" i="54" a="1"/>
  <c r="EY43" i="54" s="1"/>
  <c r="EY155" i="54" a="1"/>
  <c r="EY155" i="54" s="1"/>
  <c r="EY18" i="54" a="1"/>
  <c r="EY18" i="54" s="1"/>
  <c r="CU75" i="54"/>
  <c r="CV75" i="54" s="1"/>
  <c r="CS75" i="54" s="1"/>
  <c r="EY100" i="54" a="1"/>
  <c r="EY100" i="54" s="1"/>
  <c r="EY200" i="54" a="1"/>
  <c r="EY200" i="54" s="1"/>
  <c r="EY229" i="54" a="1"/>
  <c r="EY229" i="54" s="1"/>
  <c r="EY169" i="54" a="1"/>
  <c r="EY169" i="54" s="1"/>
  <c r="EY161" i="54" a="1"/>
  <c r="EY161" i="54" s="1"/>
  <c r="EY225" i="54" a="1"/>
  <c r="EY225" i="54" s="1"/>
  <c r="EY39" i="54" a="1"/>
  <c r="EY39" i="54" s="1"/>
  <c r="EY171" i="54" a="1"/>
  <c r="EY171" i="54" s="1"/>
  <c r="CU87" i="54"/>
  <c r="CV87" i="54" s="1"/>
  <c r="CS87" i="54" s="1"/>
  <c r="CU40" i="54"/>
  <c r="CV40" i="54" s="1"/>
  <c r="CS40" i="54" s="1"/>
  <c r="CR48" i="54" a="1"/>
  <c r="CR48" i="54" s="1"/>
  <c r="CT48" i="54" s="1"/>
  <c r="CR156" i="54" a="1"/>
  <c r="CR156" i="54" s="1"/>
  <c r="CT156" i="54" s="1"/>
  <c r="CR264" i="54" a="1"/>
  <c r="CR264" i="54" s="1"/>
  <c r="CR70" i="54" a="1"/>
  <c r="CR70" i="54" s="1"/>
  <c r="CT70" i="54" s="1"/>
  <c r="CR178" i="54" a="1"/>
  <c r="CR178" i="54" s="1"/>
  <c r="CT178" i="54" s="1"/>
  <c r="CR50" i="54" a="1"/>
  <c r="CR50" i="54" s="1"/>
  <c r="CT50" i="54" s="1"/>
  <c r="CR110" i="54" a="1"/>
  <c r="CR110" i="54" s="1"/>
  <c r="CT110" i="54" s="1"/>
  <c r="CR141" i="54" a="1"/>
  <c r="CR141" i="54" s="1"/>
  <c r="CR97" i="54" a="1"/>
  <c r="CR97" i="54" s="1"/>
  <c r="CT97" i="54" s="1"/>
  <c r="CR226" i="54" a="1"/>
  <c r="CR226" i="54" s="1"/>
  <c r="CR101" i="54" a="1"/>
  <c r="CR101" i="54" s="1"/>
  <c r="CT101" i="54" s="1"/>
  <c r="CR20" i="54" a="1"/>
  <c r="CR20" i="54" s="1"/>
  <c r="CT20" i="54" s="1"/>
  <c r="CU214" i="54"/>
  <c r="CV214" i="54" s="1"/>
  <c r="CS214" i="54" s="1"/>
  <c r="CU24" i="54"/>
  <c r="CV24" i="54" s="1"/>
  <c r="CS24" i="54" s="1"/>
  <c r="CR123" i="54" a="1"/>
  <c r="CR123" i="54" s="1"/>
  <c r="CT123" i="54" s="1"/>
  <c r="CR252" i="54" a="1"/>
  <c r="CR252" i="54" s="1"/>
  <c r="CT252" i="54" s="1"/>
  <c r="CR79" i="54" a="1"/>
  <c r="CR79" i="54" s="1"/>
  <c r="CT79" i="54" s="1"/>
  <c r="CR208" i="54" a="1"/>
  <c r="CR208" i="54" s="1"/>
  <c r="CT208" i="54" s="1"/>
  <c r="CR197" i="54" a="1"/>
  <c r="CR197" i="54" s="1"/>
  <c r="CU244" i="54"/>
  <c r="CV244" i="54" s="1"/>
  <c r="CS244" i="54" s="1"/>
  <c r="CR126" i="54" a="1"/>
  <c r="CR126" i="54" s="1"/>
  <c r="CT126" i="54" s="1"/>
  <c r="CR255" i="54" a="1"/>
  <c r="CR255" i="54" s="1"/>
  <c r="CR82" i="54" a="1"/>
  <c r="CR82" i="54" s="1"/>
  <c r="CT82" i="54" s="1"/>
  <c r="CR211" i="54" a="1"/>
  <c r="CR211" i="54" s="1"/>
  <c r="CT211" i="54" s="1"/>
  <c r="CR29" i="54" a="1"/>
  <c r="CR29" i="54" s="1"/>
  <c r="CT29" i="54" s="1"/>
  <c r="CR215" i="54" a="1"/>
  <c r="CR215" i="54" s="1"/>
  <c r="CU250" i="54"/>
  <c r="CV250" i="54" s="1"/>
  <c r="CS250" i="54" s="1"/>
  <c r="CR129" i="54" a="1"/>
  <c r="CR129" i="54" s="1"/>
  <c r="CT129" i="54" s="1"/>
  <c r="CR258" i="54" a="1"/>
  <c r="CR258" i="54" s="1"/>
  <c r="CM93" i="54"/>
  <c r="CR254" i="54" a="1"/>
  <c r="CR254" i="54" s="1"/>
  <c r="CT254" i="54" s="1"/>
  <c r="CR209" i="54" a="1"/>
  <c r="CR209" i="54" s="1"/>
  <c r="CR223" i="54" a="1"/>
  <c r="CR223" i="54" s="1"/>
  <c r="CR73" i="54" a="1"/>
  <c r="CR73" i="54" s="1"/>
  <c r="CT73" i="54" s="1"/>
  <c r="CR222" i="54" a="1"/>
  <c r="CR222" i="54" s="1"/>
  <c r="CR51" i="54" a="1"/>
  <c r="CR51" i="54" s="1"/>
  <c r="CR251" i="54" a="1"/>
  <c r="CR251" i="54" s="1"/>
  <c r="CR224" i="54" a="1"/>
  <c r="CR224" i="54" s="1"/>
  <c r="CR175" i="54" a="1"/>
  <c r="CR175" i="54" s="1"/>
  <c r="CR153" i="54" a="1"/>
  <c r="CR153" i="54" s="1"/>
  <c r="CT153" i="54" s="1"/>
  <c r="CU12" i="54"/>
  <c r="CV12" i="54" s="1"/>
  <c r="CS12" i="54" s="1"/>
  <c r="CR259" i="54" a="1"/>
  <c r="CR259" i="54" s="1"/>
  <c r="CR109" i="54" a="1"/>
  <c r="CR109" i="54" s="1"/>
  <c r="CT109" i="54" s="1"/>
  <c r="CR237" i="54" a="1"/>
  <c r="CR237" i="54" s="1"/>
  <c r="CR42" i="54" a="1"/>
  <c r="CR42" i="54" s="1"/>
  <c r="CT42" i="54" s="1"/>
  <c r="CU142" i="54"/>
  <c r="CV142" i="54" s="1"/>
  <c r="CS142" i="54" s="1"/>
  <c r="CR190" i="54" a="1"/>
  <c r="CR190" i="54" s="1"/>
  <c r="CR105" i="54" a="1"/>
  <c r="CR105" i="54" s="1"/>
  <c r="CT105" i="54" s="1"/>
  <c r="CU107" i="54"/>
  <c r="CV107" i="54" s="1"/>
  <c r="CS107" i="54" s="1"/>
  <c r="CR53" i="54" a="1"/>
  <c r="CR53" i="54" s="1"/>
  <c r="CT53" i="54" s="1"/>
  <c r="CR253" i="54" a="1"/>
  <c r="CR253" i="54" s="1"/>
  <c r="CR58" i="54" a="1"/>
  <c r="CR58" i="54" s="1"/>
  <c r="CT58" i="54" s="1"/>
  <c r="CR144" i="54" a="1"/>
  <c r="CR144" i="54" s="1"/>
  <c r="CR245" i="54" a="1"/>
  <c r="CR245" i="54" s="1"/>
  <c r="CT245" i="54" s="1"/>
  <c r="CR118" i="54" a="1"/>
  <c r="CR118" i="54" s="1"/>
  <c r="CT118" i="54" s="1"/>
  <c r="CR162" i="54" a="1"/>
  <c r="CR162" i="54" s="1"/>
  <c r="CR158" i="54" a="1"/>
  <c r="CR158" i="54" s="1"/>
  <c r="CR196" i="54" a="1"/>
  <c r="CR196" i="54" s="1"/>
  <c r="CR66" i="54" a="1"/>
  <c r="CR66" i="54" s="1"/>
  <c r="CT66" i="54" s="1"/>
  <c r="EY198" i="54" a="1"/>
  <c r="EY198" i="54" s="1"/>
  <c r="EY145" i="54" a="1"/>
  <c r="EY145" i="54" s="1"/>
  <c r="EY236" i="54" a="1"/>
  <c r="EY236" i="54" s="1"/>
  <c r="EY46" i="54" a="1"/>
  <c r="EY46" i="54" s="1"/>
  <c r="EY144" i="54" a="1"/>
  <c r="EY144" i="54" s="1"/>
  <c r="CU69" i="54"/>
  <c r="CV69" i="54" s="1"/>
  <c r="CS69" i="54" s="1"/>
  <c r="EY149" i="54" a="1"/>
  <c r="EY149" i="54" s="1"/>
  <c r="EY125" i="54" a="1"/>
  <c r="EY125" i="54" s="1"/>
  <c r="EY106" i="54" a="1"/>
  <c r="EY106" i="54" s="1"/>
  <c r="EY267" i="54" a="1"/>
  <c r="EY267" i="54" s="1"/>
  <c r="CR128" i="54" a="1"/>
  <c r="CR128" i="54" s="1"/>
  <c r="CT128" i="54" s="1"/>
  <c r="CR83" i="54" a="1"/>
  <c r="CR83" i="54" s="1"/>
  <c r="CT83" i="54" s="1"/>
  <c r="CR202" i="54" a="1"/>
  <c r="CR202" i="54" s="1"/>
  <c r="CR49" i="54" a="1"/>
  <c r="CR49" i="54" s="1"/>
  <c r="CT49" i="54" s="1"/>
  <c r="CR180" i="54" a="1"/>
  <c r="CR180" i="54" s="1"/>
  <c r="CR27" i="54" a="1"/>
  <c r="CR27" i="54" s="1"/>
  <c r="CT27" i="54" s="1"/>
  <c r="CR125" i="54" a="1"/>
  <c r="CR125" i="54" s="1"/>
  <c r="CT125" i="54" s="1"/>
  <c r="CR98" i="54" a="1"/>
  <c r="CR98" i="54" s="1"/>
  <c r="CT98" i="54" s="1"/>
  <c r="CR133" i="54" a="1"/>
  <c r="CR133" i="54" s="1"/>
  <c r="CT133" i="54" s="1"/>
  <c r="CU210" i="54"/>
  <c r="CV210" i="54" s="1"/>
  <c r="CS210" i="54" s="1"/>
  <c r="CR132" i="54" a="1"/>
  <c r="CR132" i="54" s="1"/>
  <c r="CT132" i="54" s="1"/>
  <c r="CU126" i="54"/>
  <c r="CV126" i="54" s="1"/>
  <c r="CS126" i="54" s="1"/>
  <c r="CR77" i="54" a="1"/>
  <c r="CR77" i="54" s="1"/>
  <c r="CT77" i="54" s="1"/>
  <c r="CR14" i="54" a="1"/>
  <c r="CR14" i="54" s="1"/>
  <c r="CT14" i="54" s="1"/>
  <c r="CR238" i="54" a="1"/>
  <c r="CR238" i="54" s="1"/>
  <c r="CR85" i="54" a="1"/>
  <c r="CR85" i="54" s="1"/>
  <c r="CT85" i="54" s="1"/>
  <c r="CR216" i="54" a="1"/>
  <c r="CR216" i="54" s="1"/>
  <c r="CR21" i="54" a="1"/>
  <c r="CR21" i="54" s="1"/>
  <c r="CT21" i="54" s="1"/>
  <c r="CR167" i="54" a="1"/>
  <c r="CR167" i="54" s="1"/>
  <c r="CR155" i="54" a="1"/>
  <c r="CR155" i="54" s="1"/>
  <c r="CR169" i="54" a="1"/>
  <c r="CR169" i="54" s="1"/>
  <c r="CU102" i="54"/>
  <c r="CV102" i="54" s="1"/>
  <c r="CS102" i="54" s="1"/>
  <c r="CR81" i="54" a="1"/>
  <c r="CR81" i="54" s="1"/>
  <c r="CT81" i="54" s="1"/>
  <c r="CU53" i="54"/>
  <c r="CV53" i="54" s="1"/>
  <c r="CS53" i="54" s="1"/>
  <c r="CR230" i="54" a="1"/>
  <c r="CR230" i="54" s="1"/>
  <c r="CR229" i="54" a="1"/>
  <c r="CR229" i="54" s="1"/>
  <c r="CR37" i="54" a="1"/>
  <c r="CR37" i="54" s="1"/>
  <c r="CT37" i="54" s="1"/>
  <c r="CR99" i="54" a="1"/>
  <c r="CR99" i="54" s="1"/>
  <c r="CT99" i="54" s="1"/>
  <c r="CR260" i="54" a="1"/>
  <c r="CR260" i="54" s="1"/>
  <c r="CR76" i="54" a="1"/>
  <c r="CR76" i="54" s="1"/>
  <c r="CT76" i="54" s="1"/>
  <c r="CR117" i="54" a="1"/>
  <c r="CR117" i="54" s="1"/>
  <c r="CT117" i="54" s="1"/>
  <c r="CU208" i="54"/>
  <c r="CV208" i="54" s="1"/>
  <c r="CS208" i="54" s="1"/>
  <c r="CR227" i="54" a="1"/>
  <c r="CR227" i="54" s="1"/>
  <c r="CT227" i="54" s="1"/>
  <c r="CR160" i="54" a="1"/>
  <c r="CR160" i="54" s="1"/>
  <c r="CR246" i="54" a="1"/>
  <c r="CR246" i="54" s="1"/>
  <c r="CT246" i="54" s="1"/>
  <c r="CR30" i="54" a="1"/>
  <c r="CR30" i="54" s="1"/>
  <c r="CT30" i="54" s="1"/>
  <c r="CU139" i="54"/>
  <c r="CV139" i="54" s="1"/>
  <c r="CS139" i="54" s="1"/>
  <c r="EY246" i="54" a="1"/>
  <c r="EY246" i="54" s="1"/>
  <c r="CU34" i="54"/>
  <c r="CV34" i="54" s="1"/>
  <c r="CS34" i="54" s="1"/>
  <c r="EY253" i="54" a="1"/>
  <c r="EY253" i="54" s="1"/>
  <c r="CU183" i="54"/>
  <c r="CV183" i="54" s="1"/>
  <c r="CS183" i="54" s="1"/>
  <c r="EY218" i="54" a="1"/>
  <c r="EY218" i="54" s="1"/>
  <c r="EY157" i="54" a="1"/>
  <c r="EY157" i="54" s="1"/>
  <c r="EY133" i="54" a="1"/>
  <c r="EY133" i="54" s="1"/>
  <c r="EY219" i="54" a="1"/>
  <c r="EY219" i="54" s="1"/>
  <c r="EY206" i="54" a="1"/>
  <c r="EY206" i="54" s="1"/>
  <c r="CK105" i="54"/>
  <c r="CM105" i="54" s="1"/>
  <c r="CR242" i="54" a="1"/>
  <c r="CR242" i="54" s="1"/>
  <c r="CR181" i="54" a="1"/>
  <c r="CR181" i="54" s="1"/>
  <c r="CU252" i="54"/>
  <c r="CV252" i="54" s="1"/>
  <c r="CS252" i="54" s="1"/>
  <c r="CR159" i="54" a="1"/>
  <c r="CR159" i="54" s="1"/>
  <c r="CR262" i="54" a="1"/>
  <c r="CR262" i="54" s="1"/>
  <c r="CR112" i="54" a="1"/>
  <c r="CR112" i="54" s="1"/>
  <c r="CT112" i="54" s="1"/>
  <c r="CR261" i="54" a="1"/>
  <c r="CR261" i="54" s="1"/>
  <c r="CR111" i="54" a="1"/>
  <c r="CR111" i="54" s="1"/>
  <c r="CT111" i="54" s="1"/>
  <c r="CR200" i="54" a="1"/>
  <c r="CR200" i="54" s="1"/>
  <c r="CR173" i="54" a="1"/>
  <c r="CR173" i="54" s="1"/>
  <c r="CR217" i="54" a="1"/>
  <c r="CR217" i="54" s="1"/>
  <c r="CR64" i="54" a="1"/>
  <c r="CR64" i="54" s="1"/>
  <c r="CT64" i="54" s="1"/>
  <c r="CR171" i="54" a="1"/>
  <c r="CR171" i="54" s="1"/>
  <c r="CR182" i="54" a="1"/>
  <c r="CR182" i="54" s="1"/>
  <c r="CR170" i="54" a="1"/>
  <c r="CR170" i="54" s="1"/>
  <c r="CR127" i="54" a="1"/>
  <c r="CR127" i="54" s="1"/>
  <c r="CT127" i="54" s="1"/>
  <c r="CR234" i="54" a="1"/>
  <c r="CR234" i="54" s="1"/>
  <c r="CR39" i="54" a="1"/>
  <c r="CR39" i="54" s="1"/>
  <c r="CT39" i="54" s="1"/>
  <c r="CR263" i="54" a="1"/>
  <c r="CR263" i="54" s="1"/>
  <c r="CR187" i="54" a="1"/>
  <c r="CR187" i="54" s="1"/>
  <c r="CR36" i="54" a="1"/>
  <c r="CR36" i="54" s="1"/>
  <c r="CT36" i="54" s="1"/>
  <c r="CR113" i="54" a="1"/>
  <c r="CR113" i="54" s="1"/>
  <c r="CT113" i="54" s="1"/>
  <c r="CU42" i="54"/>
  <c r="CV42" i="54" s="1"/>
  <c r="CS42" i="54" s="1"/>
  <c r="CR10" i="54" a="1"/>
  <c r="CR10" i="54" s="1"/>
  <c r="CT10" i="54" s="1"/>
  <c r="CR54" i="54" a="1"/>
  <c r="CR54" i="54" s="1"/>
  <c r="CT54" i="54" s="1"/>
  <c r="CR23" i="54" a="1"/>
  <c r="CR23" i="54" s="1"/>
  <c r="CT23" i="54" s="1"/>
  <c r="CR188" i="54" a="1"/>
  <c r="CR188" i="54" s="1"/>
  <c r="CR106" i="54" a="1"/>
  <c r="CR106" i="54" s="1"/>
  <c r="CT106" i="54" s="1"/>
  <c r="CR192" i="54" a="1"/>
  <c r="CR192" i="54" s="1"/>
  <c r="CU55" i="54"/>
  <c r="CV55" i="54" s="1"/>
  <c r="CS55" i="54" s="1"/>
  <c r="EY14" i="54" a="1"/>
  <c r="EY14" i="54" s="1"/>
  <c r="CU153" i="54"/>
  <c r="CV153" i="54" s="1"/>
  <c r="CS153" i="54" s="1"/>
  <c r="EY30" i="54" a="1"/>
  <c r="EY30" i="54" s="1"/>
  <c r="EY110" i="54" a="1"/>
  <c r="EY110" i="54" s="1"/>
  <c r="CU73" i="54"/>
  <c r="CV73" i="54" s="1"/>
  <c r="CS73" i="54" s="1"/>
  <c r="EY40" i="54" a="1"/>
  <c r="EY40" i="54" s="1"/>
  <c r="CU25" i="54"/>
  <c r="CV25" i="54" s="1"/>
  <c r="CS25" i="54" s="1"/>
  <c r="EY16" i="54" a="1"/>
  <c r="EY16" i="54" s="1"/>
  <c r="EY259" i="54" a="1"/>
  <c r="EY259" i="54" s="1"/>
  <c r="EY116" i="54" a="1"/>
  <c r="EY116" i="54" s="1"/>
  <c r="CR143" i="54" a="1"/>
  <c r="CR143" i="54" s="1"/>
  <c r="CR116" i="54" a="1"/>
  <c r="CR116" i="54" s="1"/>
  <c r="CT116" i="54" s="1"/>
  <c r="CR136" i="54" a="1"/>
  <c r="CR136" i="54" s="1"/>
  <c r="CT136" i="54" s="1"/>
  <c r="CU246" i="54"/>
  <c r="CV246" i="54" s="1"/>
  <c r="CS246" i="54" s="1"/>
  <c r="CR135" i="54" a="1"/>
  <c r="CR135" i="54" s="1"/>
  <c r="CT135" i="54" s="1"/>
  <c r="CU198" i="54"/>
  <c r="CV198" i="54" s="1"/>
  <c r="CS198" i="54" s="1"/>
  <c r="CR185" i="54" a="1"/>
  <c r="CR185" i="54" s="1"/>
  <c r="CR32" i="54" a="1"/>
  <c r="CR32" i="54" s="1"/>
  <c r="CT32" i="54" s="1"/>
  <c r="CR241" i="54" a="1"/>
  <c r="CR241" i="54" s="1"/>
  <c r="CR91" i="54" a="1"/>
  <c r="CR91" i="54" s="1"/>
  <c r="CT91" i="54" s="1"/>
  <c r="CR240" i="54" a="1"/>
  <c r="CR240" i="54" s="1"/>
  <c r="CR90" i="54" a="1"/>
  <c r="CR90" i="54" s="1"/>
  <c r="CT90" i="54" s="1"/>
  <c r="CU125" i="54"/>
  <c r="CV125" i="54" s="1"/>
  <c r="CS125" i="54" s="1"/>
  <c r="CR74" i="54" a="1"/>
  <c r="CR74" i="54" s="1"/>
  <c r="CT74" i="54" s="1"/>
  <c r="CR47" i="54" a="1"/>
  <c r="CR47" i="54" s="1"/>
  <c r="CT47" i="54" s="1"/>
  <c r="CR193" i="54" a="1"/>
  <c r="CR193" i="54" s="1"/>
  <c r="CR43" i="54" a="1"/>
  <c r="CR43" i="54" s="1"/>
  <c r="CT43" i="54" s="1"/>
  <c r="CR150" i="54" a="1"/>
  <c r="CR150" i="54" s="1"/>
  <c r="CR56" i="54" a="1"/>
  <c r="CR56" i="54" s="1"/>
  <c r="CT56" i="54" s="1"/>
  <c r="CR44" i="54" a="1"/>
  <c r="CR44" i="54" s="1"/>
  <c r="CT44" i="54" s="1"/>
  <c r="CR103" i="54" a="1"/>
  <c r="CR103" i="54" s="1"/>
  <c r="CT103" i="54" s="1"/>
  <c r="CR213" i="54" a="1"/>
  <c r="CR213" i="54" s="1"/>
  <c r="CR18" i="54" a="1"/>
  <c r="CR18" i="54" s="1"/>
  <c r="CT18" i="54" s="1"/>
  <c r="CR257" i="54" a="1"/>
  <c r="CR257" i="54" s="1"/>
  <c r="CR137" i="54" a="1"/>
  <c r="CR137" i="54" s="1"/>
  <c r="CT137" i="54" s="1"/>
  <c r="CR166" i="54" a="1"/>
  <c r="CR166" i="54" s="1"/>
  <c r="CR15" i="54" a="1"/>
  <c r="CR15" i="54" s="1"/>
  <c r="CT15" i="54" s="1"/>
  <c r="CR146" i="54" a="1"/>
  <c r="CR146" i="54" s="1"/>
  <c r="CR247" i="54" a="1"/>
  <c r="CR247" i="54" s="1"/>
  <c r="CR33" i="54" a="1"/>
  <c r="CR33" i="54" s="1"/>
  <c r="CT33" i="54" s="1"/>
  <c r="CR218" i="54" a="1"/>
  <c r="CR218" i="54" s="1"/>
  <c r="CR80" i="54" a="1"/>
  <c r="CR80" i="54" s="1"/>
  <c r="CT80" i="54" s="1"/>
  <c r="CR88" i="54" a="1"/>
  <c r="CR88" i="54" s="1"/>
  <c r="CT88" i="54" s="1"/>
  <c r="CR174" i="54" a="1"/>
  <c r="CR174" i="54" s="1"/>
  <c r="CU245" i="54"/>
  <c r="CV245" i="54" s="1"/>
  <c r="CS245" i="54" s="1"/>
  <c r="CU123" i="54"/>
  <c r="CV123" i="54" s="1"/>
  <c r="CS123" i="54" s="1"/>
  <c r="EY213" i="54" a="1"/>
  <c r="EY213" i="54" s="1"/>
  <c r="EY182" i="54" a="1"/>
  <c r="EY182" i="54" s="1"/>
  <c r="CU176" i="54"/>
  <c r="CV176" i="54" s="1"/>
  <c r="CS176" i="54" s="1"/>
  <c r="EY83" i="54" a="1"/>
  <c r="EY83" i="54" s="1"/>
  <c r="CU211" i="54"/>
  <c r="CV211" i="54" s="1"/>
  <c r="CS211" i="54" s="1"/>
  <c r="EY118" i="54" a="1"/>
  <c r="EY118" i="54" s="1"/>
  <c r="EY105" i="54" a="1"/>
  <c r="EY105" i="54" s="1"/>
  <c r="EY78" i="54" a="1"/>
  <c r="EY78" i="54" s="1"/>
  <c r="CU82" i="54"/>
  <c r="CV82" i="54" s="1"/>
  <c r="CS82" i="54" s="1"/>
  <c r="EY252" i="54" a="1"/>
  <c r="EY252" i="54" s="1"/>
  <c r="CU13" i="54"/>
  <c r="CV13" i="54" s="1"/>
  <c r="CS13" i="54" s="1"/>
  <c r="EY148" i="54" a="1"/>
  <c r="EY148" i="54" s="1"/>
  <c r="CK155" i="54"/>
  <c r="CM155" i="54" s="1"/>
  <c r="CL64" i="54"/>
  <c r="CN4" i="54"/>
  <c r="CO4" i="54"/>
  <c r="CP4" i="54" s="1"/>
  <c r="CV3" i="54"/>
  <c r="CN2" i="54"/>
  <c r="CO2" i="54"/>
  <c r="CP2" i="54" s="1"/>
  <c r="FK4" i="54" a="1"/>
  <c r="FK4" i="54" s="1"/>
  <c r="FL5" i="54" a="1"/>
  <c r="FL5" i="54" s="1"/>
  <c r="FK5" i="54" a="1"/>
  <c r="FK5" i="54" s="1"/>
  <c r="FL4" i="54" a="1"/>
  <c r="FL4" i="54" s="1"/>
  <c r="FO5" i="54" s="1"/>
  <c r="EB231" i="54"/>
  <c r="EB15" i="54"/>
  <c r="EB86" i="54"/>
  <c r="EB145" i="54"/>
  <c r="EB168" i="54"/>
  <c r="EB203" i="54"/>
  <c r="EB148" i="54"/>
  <c r="EB89" i="54"/>
  <c r="EB262" i="54"/>
  <c r="EB153" i="54"/>
  <c r="EB188" i="54"/>
  <c r="EB211" i="54"/>
  <c r="EB234" i="54"/>
  <c r="EB18" i="54"/>
  <c r="EB256" i="54"/>
  <c r="EB147" i="54"/>
  <c r="EB182" i="54"/>
  <c r="EB205" i="54"/>
  <c r="EB264" i="54"/>
  <c r="EB48" i="54"/>
  <c r="EB119" i="54"/>
  <c r="EB64" i="54"/>
  <c r="EB178" i="54"/>
  <c r="EB69" i="54"/>
  <c r="EB104" i="54"/>
  <c r="EB127" i="54"/>
  <c r="EB186" i="54"/>
  <c r="EB221" i="54"/>
  <c r="EB130" i="54"/>
  <c r="EB243" i="54"/>
  <c r="EB27" i="54"/>
  <c r="EB62" i="54"/>
  <c r="EB121" i="54"/>
  <c r="EB180" i="54"/>
  <c r="EB215" i="54"/>
  <c r="EB268" i="54"/>
  <c r="EB159" i="54"/>
  <c r="EB194" i="54"/>
  <c r="EB217" i="54"/>
  <c r="EB204" i="54"/>
  <c r="EB167" i="54"/>
  <c r="EB76" i="54"/>
  <c r="EB106" i="54"/>
  <c r="EB225" i="54"/>
  <c r="EB224" i="54"/>
  <c r="EB175" i="54"/>
  <c r="EB162" i="54"/>
  <c r="EB17" i="54"/>
  <c r="EB219" i="54"/>
  <c r="EB218" i="54"/>
  <c r="EB169" i="54"/>
  <c r="EB192" i="54"/>
  <c r="EB227" i="54"/>
  <c r="EB136" i="54"/>
  <c r="EB214" i="54"/>
  <c r="EB33" i="54"/>
  <c r="EB32" i="54"/>
  <c r="EB19" i="54"/>
  <c r="EB42" i="54"/>
  <c r="EB41" i="54"/>
  <c r="EB207" i="54"/>
  <c r="EB206" i="54"/>
  <c r="EB229" i="54"/>
  <c r="EB252" i="54"/>
  <c r="EB251" i="54"/>
  <c r="EB124" i="54"/>
  <c r="EB202" i="54"/>
  <c r="EB93" i="54"/>
  <c r="EB128" i="54"/>
  <c r="EB187" i="54"/>
  <c r="EB210" i="54"/>
  <c r="EB245" i="54"/>
  <c r="EB29" i="54"/>
  <c r="EB232" i="54"/>
  <c r="EB123" i="54"/>
  <c r="EB158" i="54"/>
  <c r="EB181" i="54"/>
  <c r="EB132" i="54"/>
  <c r="EB131" i="54"/>
  <c r="EB40" i="54"/>
  <c r="EB34" i="54"/>
  <c r="EB189" i="54"/>
  <c r="EB152" i="54"/>
  <c r="EB139" i="54"/>
  <c r="EB126" i="54"/>
  <c r="EB70" i="54"/>
  <c r="EB183" i="54"/>
  <c r="EB146" i="54"/>
  <c r="EB133" i="54"/>
  <c r="EB156" i="54"/>
  <c r="EB191" i="54"/>
  <c r="EB100" i="54"/>
  <c r="EB249" i="54"/>
  <c r="EB248" i="54"/>
  <c r="EB235" i="54"/>
  <c r="EB258" i="54"/>
  <c r="EB257" i="54"/>
  <c r="EB22" i="54"/>
  <c r="EB171" i="54"/>
  <c r="EB170" i="54"/>
  <c r="EB193" i="54"/>
  <c r="EB216" i="54"/>
  <c r="EB179" i="54"/>
  <c r="EB88" i="54"/>
  <c r="EB166" i="54"/>
  <c r="EB57" i="54"/>
  <c r="EB92" i="54"/>
  <c r="EB151" i="54"/>
  <c r="EB174" i="54"/>
  <c r="EB209" i="54"/>
  <c r="EB118" i="54"/>
  <c r="EB196" i="54"/>
  <c r="EB87" i="54"/>
  <c r="EB122" i="54"/>
  <c r="EB109" i="54"/>
  <c r="EB96" i="54"/>
  <c r="EB95" i="54"/>
  <c r="EB233" i="54"/>
  <c r="EB94" i="54"/>
  <c r="EB117" i="54"/>
  <c r="EB116" i="54"/>
  <c r="EB103" i="54"/>
  <c r="EB90" i="54"/>
  <c r="EB58" i="54"/>
  <c r="EB111" i="54"/>
  <c r="EB110" i="54"/>
  <c r="EB97" i="54"/>
  <c r="EB120" i="54"/>
  <c r="EB155" i="54"/>
  <c r="EB28" i="54"/>
  <c r="EB213" i="54"/>
  <c r="EB212" i="54"/>
  <c r="EB199" i="54"/>
  <c r="EB222" i="54"/>
  <c r="EB185" i="54"/>
  <c r="EB46" i="54"/>
  <c r="EB135" i="54"/>
  <c r="EB134" i="54"/>
  <c r="EB157" i="54"/>
  <c r="EB144" i="54"/>
  <c r="EB143" i="54"/>
  <c r="EB52" i="54"/>
  <c r="EB237" i="54"/>
  <c r="EB21" i="54"/>
  <c r="EB56" i="54"/>
  <c r="EB115" i="54"/>
  <c r="EB138" i="54"/>
  <c r="EB173" i="54"/>
  <c r="EB160" i="54"/>
  <c r="EB51" i="54"/>
  <c r="EB50" i="54"/>
  <c r="EB73" i="54"/>
  <c r="EB60" i="54"/>
  <c r="EB59" i="54"/>
  <c r="EB161" i="54"/>
  <c r="EB226" i="54"/>
  <c r="EB81" i="54"/>
  <c r="EB80" i="54"/>
  <c r="EB67" i="54"/>
  <c r="EB54" i="54"/>
  <c r="EB220" i="54"/>
  <c r="EB75" i="54"/>
  <c r="EB74" i="54"/>
  <c r="EB61" i="54"/>
  <c r="EB84" i="54"/>
  <c r="EB83" i="54"/>
  <c r="EB154" i="54"/>
  <c r="EB177" i="54"/>
  <c r="EB176" i="54"/>
  <c r="EB163" i="54"/>
  <c r="EB150" i="54"/>
  <c r="EB149" i="54"/>
  <c r="EB244" i="54"/>
  <c r="EB99" i="54"/>
  <c r="EB98" i="54"/>
  <c r="EB85" i="54"/>
  <c r="EB108" i="54"/>
  <c r="EB107" i="54"/>
  <c r="EB16" i="54"/>
  <c r="EB201" i="54"/>
  <c r="EB236" i="54"/>
  <c r="EB20" i="54"/>
  <c r="EB79" i="54"/>
  <c r="EB102" i="54"/>
  <c r="EB137" i="54"/>
  <c r="EB267" i="54"/>
  <c r="EB266" i="54"/>
  <c r="EB14" i="54"/>
  <c r="EB37" i="54"/>
  <c r="EB24" i="54"/>
  <c r="EB23" i="54"/>
  <c r="EB53" i="54"/>
  <c r="EB190" i="54"/>
  <c r="EB45" i="54"/>
  <c r="EB44" i="54"/>
  <c r="EB31" i="54"/>
  <c r="EB197" i="54"/>
  <c r="EB184" i="54"/>
  <c r="EB39" i="54"/>
  <c r="EB38" i="54"/>
  <c r="EB25" i="54"/>
  <c r="EB12" i="54"/>
  <c r="EB47" i="54"/>
  <c r="EB10" i="54"/>
  <c r="EB141" i="54"/>
  <c r="EB140" i="54"/>
  <c r="EB91" i="54"/>
  <c r="EB114" i="54"/>
  <c r="EB113" i="54"/>
  <c r="EB208" i="54"/>
  <c r="EB63" i="54"/>
  <c r="EB26" i="54"/>
  <c r="EB49" i="54"/>
  <c r="EB72" i="54"/>
  <c r="EB71" i="54"/>
  <c r="EB82" i="54"/>
  <c r="EB165" i="54"/>
  <c r="EB200" i="54"/>
  <c r="EB259" i="54"/>
  <c r="EB43" i="54"/>
  <c r="EB66" i="54"/>
  <c r="EB101" i="54"/>
  <c r="EB195" i="54"/>
  <c r="EB230" i="54"/>
  <c r="EB253" i="54"/>
  <c r="EB240" i="54"/>
  <c r="EB239" i="54"/>
  <c r="EB112" i="54"/>
  <c r="EB142" i="54"/>
  <c r="EB261" i="54"/>
  <c r="EB260" i="54"/>
  <c r="EB247" i="54"/>
  <c r="EB198" i="54"/>
  <c r="EB125" i="54"/>
  <c r="EB255" i="54"/>
  <c r="EB254" i="54"/>
  <c r="EB241" i="54"/>
  <c r="EB228" i="54"/>
  <c r="EB263" i="54"/>
  <c r="EB11" i="54"/>
  <c r="EB250" i="54"/>
  <c r="EB105" i="54"/>
  <c r="EB68" i="54"/>
  <c r="EB55" i="54"/>
  <c r="EB78" i="54"/>
  <c r="EB77" i="54"/>
  <c r="EB172" i="54"/>
  <c r="EB242" i="54"/>
  <c r="EB265" i="54"/>
  <c r="EB13" i="54"/>
  <c r="EB36" i="54"/>
  <c r="EB35" i="54"/>
  <c r="EB238" i="54"/>
  <c r="EB129" i="54"/>
  <c r="EB164" i="54"/>
  <c r="EB223" i="54"/>
  <c r="EB246" i="54"/>
  <c r="EB30" i="54"/>
  <c r="EB65" i="54"/>
  <c r="CW249" i="54" a="1"/>
  <c r="CW249" i="54" s="1"/>
  <c r="CW177" i="54" a="1"/>
  <c r="CW177" i="54" s="1"/>
  <c r="CW105" i="54" a="1"/>
  <c r="CW105" i="54" s="1"/>
  <c r="CW33" i="54" a="1"/>
  <c r="CW33" i="54" s="1"/>
  <c r="CW212" i="54" a="1"/>
  <c r="CW212" i="54" s="1"/>
  <c r="CW140" i="54" a="1"/>
  <c r="CW140" i="54" s="1"/>
  <c r="CW68" i="54" a="1"/>
  <c r="CW68" i="54" s="1"/>
  <c r="CW235" i="54" a="1"/>
  <c r="CW235" i="54" s="1"/>
  <c r="CW151" i="54" a="1"/>
  <c r="CW151" i="54" s="1"/>
  <c r="CW67" i="54" a="1"/>
  <c r="CW67" i="54" s="1"/>
  <c r="CW115" i="54" a="1"/>
  <c r="CW115" i="54" s="1"/>
  <c r="CW204" i="54" a="1"/>
  <c r="CW204" i="54" s="1"/>
  <c r="CW132" i="54" a="1"/>
  <c r="CW132" i="54" s="1"/>
  <c r="CW60" i="54" a="1"/>
  <c r="CW60" i="54" s="1"/>
  <c r="CW257" i="54" a="1"/>
  <c r="CW257" i="54" s="1"/>
  <c r="CW185" i="54" a="1"/>
  <c r="CW185" i="54" s="1"/>
  <c r="CW113" i="54" a="1"/>
  <c r="CW113" i="54" s="1"/>
  <c r="CW41" i="54" a="1"/>
  <c r="CW41" i="54" s="1"/>
  <c r="CW232" i="54" a="1"/>
  <c r="CW232" i="54" s="1"/>
  <c r="CW160" i="54" a="1"/>
  <c r="CW160" i="54" s="1"/>
  <c r="CW88" i="54" a="1"/>
  <c r="CW88" i="54" s="1"/>
  <c r="CW16" i="54" a="1"/>
  <c r="CW16" i="54" s="1"/>
  <c r="CW207" i="54" a="1"/>
  <c r="CW207" i="54" s="1"/>
  <c r="CW135" i="54" a="1"/>
  <c r="CW135" i="54" s="1"/>
  <c r="CW63" i="54" a="1"/>
  <c r="CW63" i="54" s="1"/>
  <c r="CW254" i="54" a="1"/>
  <c r="CW254" i="54" s="1"/>
  <c r="CW182" i="54" a="1"/>
  <c r="CW182" i="54" s="1"/>
  <c r="CW110" i="54" a="1"/>
  <c r="CW110" i="54" s="1"/>
  <c r="CW38" i="54" a="1"/>
  <c r="CW38" i="54" s="1"/>
  <c r="CW229" i="54" a="1"/>
  <c r="CW229" i="54" s="1"/>
  <c r="CW145" i="54" a="1"/>
  <c r="CW145" i="54" s="1"/>
  <c r="CW73" i="54" a="1"/>
  <c r="CW73" i="54" s="1"/>
  <c r="CW61" i="54" a="1"/>
  <c r="CW61" i="54" s="1"/>
  <c r="CW198" i="54" a="1"/>
  <c r="CW198" i="54" s="1"/>
  <c r="CW126" i="54" a="1"/>
  <c r="CW126" i="54" s="1"/>
  <c r="CW54" i="54" a="1"/>
  <c r="CW54" i="54" s="1"/>
  <c r="CW239" i="54" a="1"/>
  <c r="CW239" i="54" s="1"/>
  <c r="CW167" i="54" a="1"/>
  <c r="CW167" i="54" s="1"/>
  <c r="CW95" i="54" a="1"/>
  <c r="CW95" i="54" s="1"/>
  <c r="CW23" i="54" a="1"/>
  <c r="CW23" i="54" s="1"/>
  <c r="CW214" i="54" a="1"/>
  <c r="CW214" i="54" s="1"/>
  <c r="CW142" i="54" a="1"/>
  <c r="CW142" i="54" s="1"/>
  <c r="CW70" i="54" a="1"/>
  <c r="CW70" i="54" s="1"/>
  <c r="CV2" i="54"/>
  <c r="CW237" i="54" a="1"/>
  <c r="CW237" i="54" s="1"/>
  <c r="CW165" i="54" a="1"/>
  <c r="CW165" i="54" s="1"/>
  <c r="CW93" i="54" a="1"/>
  <c r="CW93" i="54" s="1"/>
  <c r="CW21" i="54" a="1"/>
  <c r="CW21" i="54" s="1"/>
  <c r="CW200" i="54" a="1"/>
  <c r="CW200" i="54" s="1"/>
  <c r="CW128" i="54" a="1"/>
  <c r="CW128" i="54" s="1"/>
  <c r="CW56" i="54" a="1"/>
  <c r="CW56" i="54" s="1"/>
  <c r="CW211" i="54" a="1"/>
  <c r="CW211" i="54" s="1"/>
  <c r="CW139" i="54" a="1"/>
  <c r="CW139" i="54" s="1"/>
  <c r="CW55" i="54" a="1"/>
  <c r="CW55" i="54" s="1"/>
  <c r="CW264" i="54" a="1"/>
  <c r="CW264" i="54" s="1"/>
  <c r="CW192" i="54" a="1"/>
  <c r="CW192" i="54" s="1"/>
  <c r="CW120" i="54" a="1"/>
  <c r="CW120" i="54" s="1"/>
  <c r="CW48" i="54" a="1"/>
  <c r="CW48" i="54" s="1"/>
  <c r="CW245" i="54" a="1"/>
  <c r="CW245" i="54" s="1"/>
  <c r="CW173" i="54" a="1"/>
  <c r="CW173" i="54" s="1"/>
  <c r="CW101" i="54" a="1"/>
  <c r="CW101" i="54" s="1"/>
  <c r="CW29" i="54" a="1"/>
  <c r="CW29" i="54" s="1"/>
  <c r="CW220" i="54" a="1"/>
  <c r="CW220" i="54" s="1"/>
  <c r="CW148" i="54" a="1"/>
  <c r="CW148" i="54" s="1"/>
  <c r="CW76" i="54" a="1"/>
  <c r="CW76" i="54" s="1"/>
  <c r="CW267" i="54" a="1"/>
  <c r="CW267" i="54" s="1"/>
  <c r="CW195" i="54" a="1"/>
  <c r="CW195" i="54" s="1"/>
  <c r="CW123" i="54" a="1"/>
  <c r="CW123" i="54" s="1"/>
  <c r="CW51" i="54" a="1"/>
  <c r="CW51" i="54" s="1"/>
  <c r="CW242" i="54" a="1"/>
  <c r="CW242" i="54" s="1"/>
  <c r="CW170" i="54" a="1"/>
  <c r="CW170" i="54" s="1"/>
  <c r="CW98" i="54" a="1"/>
  <c r="CW98" i="54" s="1"/>
  <c r="CW26" i="54" a="1"/>
  <c r="CW26" i="54" s="1"/>
  <c r="CW217" i="54" a="1"/>
  <c r="CW217" i="54" s="1"/>
  <c r="CW133" i="54" a="1"/>
  <c r="CW133" i="54" s="1"/>
  <c r="CW49" i="54" a="1"/>
  <c r="CW49" i="54" s="1"/>
  <c r="CW258" i="54" a="1"/>
  <c r="CW258" i="54" s="1"/>
  <c r="CW186" i="54" a="1"/>
  <c r="CW186" i="54" s="1"/>
  <c r="CW114" i="54" a="1"/>
  <c r="CW114" i="54" s="1"/>
  <c r="CW42" i="54" a="1"/>
  <c r="CW42" i="54" s="1"/>
  <c r="CW227" i="54" a="1"/>
  <c r="CW227" i="54" s="1"/>
  <c r="CW155" i="54" a="1"/>
  <c r="CW155" i="54" s="1"/>
  <c r="CW83" i="54" a="1"/>
  <c r="CW83" i="54" s="1"/>
  <c r="CW11" i="54" a="1"/>
  <c r="CW11" i="54" s="1"/>
  <c r="CW202" i="54" a="1"/>
  <c r="CW202" i="54" s="1"/>
  <c r="CW130" i="54" a="1"/>
  <c r="CW130" i="54" s="1"/>
  <c r="CW58" i="54" a="1"/>
  <c r="CW58" i="54" s="1"/>
  <c r="CW2" i="54" a="1"/>
  <c r="CW2" i="54" s="1"/>
  <c r="CW225" i="54" a="1"/>
  <c r="CW225" i="54" s="1"/>
  <c r="CW153" i="54" a="1"/>
  <c r="CW153" i="54" s="1"/>
  <c r="CW81" i="54" a="1"/>
  <c r="CW81" i="54" s="1"/>
  <c r="CW260" i="54" a="1"/>
  <c r="CW260" i="54" s="1"/>
  <c r="CW188" i="54" a="1"/>
  <c r="CW188" i="54" s="1"/>
  <c r="CW116" i="54" a="1"/>
  <c r="CW116" i="54" s="1"/>
  <c r="CW44" i="54" a="1"/>
  <c r="CW44" i="54" s="1"/>
  <c r="CW199" i="54" a="1"/>
  <c r="CW199" i="54" s="1"/>
  <c r="CW127" i="54" a="1"/>
  <c r="CW127" i="54" s="1"/>
  <c r="CW43" i="54" a="1"/>
  <c r="CW43" i="54" s="1"/>
  <c r="CW252" i="54" a="1"/>
  <c r="CW252" i="54" s="1"/>
  <c r="CW180" i="54" a="1"/>
  <c r="CW180" i="54" s="1"/>
  <c r="CW108" i="54" a="1"/>
  <c r="CW108" i="54" s="1"/>
  <c r="CW36" i="54" a="1"/>
  <c r="CW36" i="54" s="1"/>
  <c r="CW233" i="54" a="1"/>
  <c r="CW233" i="54" s="1"/>
  <c r="CW161" i="54" a="1"/>
  <c r="CW161" i="54" s="1"/>
  <c r="CW89" i="54" a="1"/>
  <c r="CW89" i="54" s="1"/>
  <c r="CW17" i="54" a="1"/>
  <c r="CW17" i="54" s="1"/>
  <c r="CW208" i="54" a="1"/>
  <c r="CW208" i="54" s="1"/>
  <c r="CW136" i="54" a="1"/>
  <c r="CW136" i="54" s="1"/>
  <c r="CW64" i="54" a="1"/>
  <c r="CW64" i="54" s="1"/>
  <c r="CW255" i="54" a="1"/>
  <c r="CW255" i="54" s="1"/>
  <c r="CW183" i="54" a="1"/>
  <c r="CW183" i="54" s="1"/>
  <c r="CW111" i="54" a="1"/>
  <c r="CW111" i="54" s="1"/>
  <c r="CW39" i="54" a="1"/>
  <c r="CW39" i="54" s="1"/>
  <c r="CW230" i="54" a="1"/>
  <c r="CW230" i="54" s="1"/>
  <c r="CW158" i="54" a="1"/>
  <c r="CW158" i="54" s="1"/>
  <c r="CW86" i="54" a="1"/>
  <c r="CW86" i="54" s="1"/>
  <c r="CW14" i="54" a="1"/>
  <c r="CW14" i="54" s="1"/>
  <c r="CW205" i="54" a="1"/>
  <c r="CW205" i="54" s="1"/>
  <c r="CW121" i="54" a="1"/>
  <c r="CW121" i="54" s="1"/>
  <c r="CW37" i="54" a="1"/>
  <c r="CW37" i="54" s="1"/>
  <c r="CW246" i="54" a="1"/>
  <c r="CW246" i="54" s="1"/>
  <c r="CW174" i="54" a="1"/>
  <c r="CW174" i="54" s="1"/>
  <c r="CW102" i="54" a="1"/>
  <c r="CW102" i="54" s="1"/>
  <c r="CW30" i="54" a="1"/>
  <c r="CW30" i="54" s="1"/>
  <c r="CW215" i="54" a="1"/>
  <c r="CW215" i="54" s="1"/>
  <c r="CW143" i="54" a="1"/>
  <c r="CW143" i="54" s="1"/>
  <c r="CW71" i="54" a="1"/>
  <c r="CW71" i="54" s="1"/>
  <c r="CW262" i="54" a="1"/>
  <c r="CW262" i="54" s="1"/>
  <c r="CW190" i="54" a="1"/>
  <c r="CW190" i="54" s="1"/>
  <c r="CW118" i="54" a="1"/>
  <c r="CW118" i="54" s="1"/>
  <c r="CW46" i="54" a="1"/>
  <c r="CW46" i="54" s="1"/>
  <c r="CW213" i="54" a="1"/>
  <c r="CW213" i="54" s="1"/>
  <c r="CW141" i="54" a="1"/>
  <c r="CW141" i="54" s="1"/>
  <c r="CW69" i="54" a="1"/>
  <c r="CW69" i="54" s="1"/>
  <c r="CW248" i="54" a="1"/>
  <c r="CW248" i="54" s="1"/>
  <c r="CW176" i="54" a="1"/>
  <c r="CW176" i="54" s="1"/>
  <c r="CW104" i="54" a="1"/>
  <c r="CW104" i="54" s="1"/>
  <c r="CW20" i="54" a="1"/>
  <c r="CW20" i="54" s="1"/>
  <c r="CW187" i="54" a="1"/>
  <c r="CW187" i="54" s="1"/>
  <c r="CW103" i="54" a="1"/>
  <c r="CW103" i="54" s="1"/>
  <c r="CW31" i="54" a="1"/>
  <c r="CW31" i="54" s="1"/>
  <c r="CW240" i="54" a="1"/>
  <c r="CW240" i="54" s="1"/>
  <c r="CW168" i="54" a="1"/>
  <c r="CW168" i="54" s="1"/>
  <c r="CW96" i="54" a="1"/>
  <c r="CW96" i="54" s="1"/>
  <c r="CW24" i="54" a="1"/>
  <c r="CW24" i="54" s="1"/>
  <c r="CW221" i="54" a="1"/>
  <c r="CW221" i="54" s="1"/>
  <c r="CW149" i="54" a="1"/>
  <c r="CW149" i="54" s="1"/>
  <c r="CW77" i="54" a="1"/>
  <c r="CW77" i="54" s="1"/>
  <c r="CW268" i="54" a="1"/>
  <c r="CW268" i="54" s="1"/>
  <c r="CW196" i="54" a="1"/>
  <c r="CW196" i="54" s="1"/>
  <c r="CW124" i="54" a="1"/>
  <c r="CW124" i="54" s="1"/>
  <c r="CW52" i="54" a="1"/>
  <c r="CW52" i="54" s="1"/>
  <c r="CW243" i="54" a="1"/>
  <c r="CW243" i="54" s="1"/>
  <c r="CW171" i="54" a="1"/>
  <c r="CW171" i="54" s="1"/>
  <c r="CW99" i="54" a="1"/>
  <c r="CW99" i="54" s="1"/>
  <c r="CW27" i="54" a="1"/>
  <c r="CW27" i="54" s="1"/>
  <c r="CW218" i="54" a="1"/>
  <c r="CW218" i="54" s="1"/>
  <c r="CW146" i="54" a="1"/>
  <c r="CW146" i="54" s="1"/>
  <c r="CW74" i="54" a="1"/>
  <c r="CW74" i="54" s="1"/>
  <c r="CW265" i="54" a="1"/>
  <c r="CW265" i="54" s="1"/>
  <c r="CW193" i="54" a="1"/>
  <c r="CW193" i="54" s="1"/>
  <c r="CW109" i="54" a="1"/>
  <c r="CW109" i="54" s="1"/>
  <c r="CW25" i="54" a="1"/>
  <c r="CW25" i="54" s="1"/>
  <c r="CW234" i="54" a="1"/>
  <c r="CW234" i="54" s="1"/>
  <c r="CW162" i="54" a="1"/>
  <c r="CW162" i="54" s="1"/>
  <c r="CW90" i="54" a="1"/>
  <c r="CW90" i="54" s="1"/>
  <c r="CW18" i="54" a="1"/>
  <c r="CW18" i="54" s="1"/>
  <c r="CW203" i="54" a="1"/>
  <c r="CW203" i="54" s="1"/>
  <c r="CW131" i="54" a="1"/>
  <c r="CW131" i="54" s="1"/>
  <c r="CW59" i="54" a="1"/>
  <c r="CW59" i="54" s="1"/>
  <c r="CW250" i="54" a="1"/>
  <c r="CW250" i="54" s="1"/>
  <c r="CW178" i="54" a="1"/>
  <c r="CW178" i="54" s="1"/>
  <c r="CW106" i="54" a="1"/>
  <c r="CW106" i="54" s="1"/>
  <c r="CW34" i="54" a="1"/>
  <c r="CW34" i="54" s="1"/>
  <c r="CW201" i="54" a="1"/>
  <c r="CW201" i="54" s="1"/>
  <c r="CW129" i="54" a="1"/>
  <c r="CW129" i="54" s="1"/>
  <c r="CW57" i="54" a="1"/>
  <c r="CW57" i="54" s="1"/>
  <c r="CW236" i="54" a="1"/>
  <c r="CW236" i="54" s="1"/>
  <c r="CW164" i="54" a="1"/>
  <c r="CW164" i="54" s="1"/>
  <c r="CW92" i="54" a="1"/>
  <c r="CW92" i="54" s="1"/>
  <c r="CW259" i="54" a="1"/>
  <c r="CW259" i="54" s="1"/>
  <c r="CW175" i="54" a="1"/>
  <c r="CW175" i="54" s="1"/>
  <c r="CW91" i="54" a="1"/>
  <c r="CW91" i="54" s="1"/>
  <c r="CW19" i="54" a="1"/>
  <c r="CW19" i="54" s="1"/>
  <c r="CW228" i="54" a="1"/>
  <c r="CW228" i="54" s="1"/>
  <c r="CW156" i="54" a="1"/>
  <c r="CW156" i="54" s="1"/>
  <c r="CW84" i="54" a="1"/>
  <c r="CW84" i="54" s="1"/>
  <c r="CW12" i="54" a="1"/>
  <c r="CW12" i="54" s="1"/>
  <c r="CW209" i="54" a="1"/>
  <c r="CW209" i="54" s="1"/>
  <c r="CW137" i="54" a="1"/>
  <c r="CW137" i="54" s="1"/>
  <c r="CW65" i="54" a="1"/>
  <c r="CW65" i="54" s="1"/>
  <c r="CW256" i="54" a="1"/>
  <c r="CW256" i="54" s="1"/>
  <c r="CW184" i="54" a="1"/>
  <c r="CW184" i="54" s="1"/>
  <c r="CW112" i="54" a="1"/>
  <c r="CW112" i="54" s="1"/>
  <c r="CW40" i="54" a="1"/>
  <c r="CW40" i="54" s="1"/>
  <c r="CW231" i="54" a="1"/>
  <c r="CW231" i="54" s="1"/>
  <c r="CW159" i="54" a="1"/>
  <c r="CW159" i="54" s="1"/>
  <c r="CW87" i="54" a="1"/>
  <c r="CW87" i="54" s="1"/>
  <c r="CW15" i="54" a="1"/>
  <c r="CW15" i="54" s="1"/>
  <c r="CW206" i="54" a="1"/>
  <c r="CW206" i="54" s="1"/>
  <c r="CW134" i="54" a="1"/>
  <c r="CW134" i="54" s="1"/>
  <c r="CW62" i="54" a="1"/>
  <c r="CW62" i="54" s="1"/>
  <c r="CW253" i="54" a="1"/>
  <c r="CW253" i="54" s="1"/>
  <c r="CW181" i="54" a="1"/>
  <c r="CW181" i="54" s="1"/>
  <c r="CW97" i="54" a="1"/>
  <c r="CW97" i="54" s="1"/>
  <c r="CW13" i="54" a="1"/>
  <c r="CW13" i="54" s="1"/>
  <c r="CW222" i="54" a="1"/>
  <c r="CW222" i="54" s="1"/>
  <c r="CW150" i="54" a="1"/>
  <c r="CW150" i="54" s="1"/>
  <c r="CW78" i="54" a="1"/>
  <c r="CW78" i="54" s="1"/>
  <c r="CW263" i="54" a="1"/>
  <c r="CW263" i="54" s="1"/>
  <c r="CW191" i="54" a="1"/>
  <c r="CW191" i="54" s="1"/>
  <c r="CW119" i="54" a="1"/>
  <c r="CW119" i="54" s="1"/>
  <c r="CW47" i="54" a="1"/>
  <c r="CW47" i="54" s="1"/>
  <c r="CW238" i="54" a="1"/>
  <c r="CW238" i="54" s="1"/>
  <c r="CW166" i="54" a="1"/>
  <c r="CW166" i="54" s="1"/>
  <c r="CW94" i="54" a="1"/>
  <c r="CW94" i="54" s="1"/>
  <c r="CW22" i="54" a="1"/>
  <c r="CW22" i="54" s="1"/>
  <c r="CW261" i="54" a="1"/>
  <c r="CW261" i="54" s="1"/>
  <c r="CW189" i="54" a="1"/>
  <c r="CW189" i="54" s="1"/>
  <c r="CW117" i="54" a="1"/>
  <c r="CW117" i="54" s="1"/>
  <c r="CW45" i="54" a="1"/>
  <c r="CW45" i="54" s="1"/>
  <c r="CW224" i="54" a="1"/>
  <c r="CW224" i="54" s="1"/>
  <c r="CW152" i="54" a="1"/>
  <c r="CW152" i="54" s="1"/>
  <c r="CW80" i="54" a="1"/>
  <c r="CW80" i="54" s="1"/>
  <c r="CW247" i="54" a="1"/>
  <c r="CW247" i="54" s="1"/>
  <c r="CW163" i="54" a="1"/>
  <c r="CW163" i="54" s="1"/>
  <c r="CW79" i="54" a="1"/>
  <c r="CW79" i="54" s="1"/>
  <c r="CW32" i="54" a="1"/>
  <c r="CW32" i="54" s="1"/>
  <c r="CW216" i="54" a="1"/>
  <c r="CW216" i="54" s="1"/>
  <c r="CW144" i="54" a="1"/>
  <c r="CW144" i="54" s="1"/>
  <c r="CW72" i="54" a="1"/>
  <c r="CW72" i="54" s="1"/>
  <c r="CW223" i="54" a="1"/>
  <c r="CW223" i="54" s="1"/>
  <c r="CW197" i="54" a="1"/>
  <c r="CW197" i="54" s="1"/>
  <c r="CW125" i="54" a="1"/>
  <c r="CW125" i="54" s="1"/>
  <c r="CW53" i="54" a="1"/>
  <c r="CW53" i="54" s="1"/>
  <c r="CW244" i="54" a="1"/>
  <c r="CW244" i="54" s="1"/>
  <c r="CW172" i="54" a="1"/>
  <c r="CW172" i="54" s="1"/>
  <c r="CW100" i="54" a="1"/>
  <c r="CW100" i="54" s="1"/>
  <c r="CW28" i="54" a="1"/>
  <c r="CW28" i="54" s="1"/>
  <c r="CW219" i="54" a="1"/>
  <c r="CW219" i="54" s="1"/>
  <c r="CW147" i="54" a="1"/>
  <c r="CW147" i="54" s="1"/>
  <c r="CW75" i="54" a="1"/>
  <c r="CW75" i="54" s="1"/>
  <c r="CW266" i="54" a="1"/>
  <c r="CW266" i="54" s="1"/>
  <c r="CW194" i="54" a="1"/>
  <c r="CW194" i="54" s="1"/>
  <c r="CW122" i="54" a="1"/>
  <c r="CW122" i="54" s="1"/>
  <c r="CW50" i="54" a="1"/>
  <c r="CW50" i="54" s="1"/>
  <c r="CW241" i="54" a="1"/>
  <c r="CW241" i="54" s="1"/>
  <c r="CW157" i="54" a="1"/>
  <c r="CW157" i="54" s="1"/>
  <c r="CW85" i="54" a="1"/>
  <c r="CW85" i="54" s="1"/>
  <c r="CW169" i="54" a="1"/>
  <c r="CW169" i="54" s="1"/>
  <c r="CW210" i="54" a="1"/>
  <c r="CW210" i="54" s="1"/>
  <c r="CW138" i="54" a="1"/>
  <c r="CW138" i="54" s="1"/>
  <c r="CW66" i="54" a="1"/>
  <c r="CW66" i="54" s="1"/>
  <c r="CW251" i="54" a="1"/>
  <c r="CW251" i="54" s="1"/>
  <c r="CW179" i="54" a="1"/>
  <c r="CW179" i="54" s="1"/>
  <c r="CW107" i="54" a="1"/>
  <c r="CW107" i="54" s="1"/>
  <c r="CW35" i="54" a="1"/>
  <c r="CW35" i="54" s="1"/>
  <c r="CW226" i="54" a="1"/>
  <c r="CW226" i="54" s="1"/>
  <c r="CW154" i="54" a="1"/>
  <c r="CW154" i="54" s="1"/>
  <c r="CW82" i="54" a="1"/>
  <c r="CW82" i="54" s="1"/>
  <c r="CW10" i="54" a="1"/>
  <c r="CW10" i="54" s="1"/>
  <c r="CV4" i="54"/>
  <c r="CW4" i="54" a="1"/>
  <c r="CW4" i="54" s="1"/>
  <c r="FS4" i="54" a="1"/>
  <c r="FS4" i="54" s="1"/>
  <c r="FV5" i="54" s="1"/>
  <c r="FR4" i="54" a="1"/>
  <c r="FR4" i="54" s="1"/>
  <c r="FS5" i="54" a="1"/>
  <c r="FS5" i="54" s="1"/>
  <c r="FR5" i="54" a="1"/>
  <c r="FR5" i="54" s="1"/>
  <c r="DC36" i="54"/>
  <c r="DA36" i="54"/>
  <c r="DB37" i="54" s="1"/>
  <c r="AN32" i="56"/>
  <c r="AF2" i="56"/>
  <c r="AF4" i="56"/>
  <c r="Q19" i="56"/>
  <c r="R19" i="56" s="1"/>
  <c r="AN19" i="56" s="1"/>
  <c r="CK109" i="54" l="1"/>
  <c r="CM109" i="54" s="1"/>
  <c r="CM134" i="54"/>
  <c r="CM229" i="54"/>
  <c r="CM97" i="54"/>
  <c r="CL154" i="54"/>
  <c r="CK14" i="54"/>
  <c r="CL14" i="54" s="1"/>
  <c r="CK80" i="54"/>
  <c r="CM80" i="54" s="1"/>
  <c r="CK195" i="54"/>
  <c r="CL195" i="54" s="1"/>
  <c r="CK103" i="54"/>
  <c r="CQ3" i="54"/>
  <c r="CK183" i="54"/>
  <c r="CK49" i="54"/>
  <c r="CL49" i="54" s="1"/>
  <c r="CK175" i="54"/>
  <c r="CM175" i="54" s="1"/>
  <c r="CK117" i="54"/>
  <c r="CM117" i="54" s="1"/>
  <c r="CL231" i="54"/>
  <c r="CK176" i="54"/>
  <c r="CK196" i="54"/>
  <c r="CK186" i="54"/>
  <c r="CM186" i="54" s="1"/>
  <c r="CM213" i="54"/>
  <c r="CK123" i="54"/>
  <c r="CM123" i="54" s="1"/>
  <c r="CM116" i="54"/>
  <c r="CL22" i="54"/>
  <c r="CL240" i="54"/>
  <c r="CM113" i="54"/>
  <c r="CK62" i="54"/>
  <c r="CM62" i="54" s="1"/>
  <c r="CK147" i="54"/>
  <c r="CK190" i="54"/>
  <c r="CM200" i="54"/>
  <c r="CK172" i="54"/>
  <c r="CL243" i="54"/>
  <c r="CK201" i="54"/>
  <c r="CM201" i="54" s="1"/>
  <c r="CM107" i="54"/>
  <c r="CK13" i="54"/>
  <c r="CL13" i="54" s="1"/>
  <c r="CM81" i="54"/>
  <c r="CK156" i="54"/>
  <c r="CL40" i="54"/>
  <c r="CK36" i="54"/>
  <c r="CL36" i="54" s="1"/>
  <c r="CL29" i="54"/>
  <c r="CK242" i="54"/>
  <c r="CL242" i="54" s="1"/>
  <c r="CM111" i="54"/>
  <c r="CK165" i="54"/>
  <c r="CL162" i="54"/>
  <c r="CK241" i="54"/>
  <c r="CL241" i="54" s="1"/>
  <c r="CL73" i="54"/>
  <c r="CK225" i="54"/>
  <c r="CL225" i="54" s="1"/>
  <c r="CL31" i="54"/>
  <c r="CK254" i="54"/>
  <c r="CK126" i="54"/>
  <c r="CM126" i="54" s="1"/>
  <c r="CK114" i="54"/>
  <c r="CM114" i="54" s="1"/>
  <c r="CK193" i="54"/>
  <c r="FA259" i="54"/>
  <c r="FB259" i="54"/>
  <c r="FC259" i="54" s="1"/>
  <c r="FA30" i="54"/>
  <c r="FB30" i="54"/>
  <c r="FC30" i="54" s="1"/>
  <c r="FA133" i="54"/>
  <c r="FB133" i="54"/>
  <c r="FC133" i="54" s="1"/>
  <c r="FA246" i="54"/>
  <c r="FB246" i="54"/>
  <c r="FC246" i="54" s="1"/>
  <c r="FA229" i="54"/>
  <c r="FB229" i="54"/>
  <c r="FC229" i="54" s="1"/>
  <c r="FA43" i="54"/>
  <c r="FB43" i="54"/>
  <c r="FC43" i="54" s="1"/>
  <c r="FA26" i="54"/>
  <c r="FB26" i="54"/>
  <c r="FC26" i="54" s="1"/>
  <c r="FA152" i="54"/>
  <c r="FB152" i="54"/>
  <c r="FC152" i="54" s="1"/>
  <c r="FA124" i="54"/>
  <c r="FB124" i="54"/>
  <c r="FC124" i="54" s="1"/>
  <c r="FA96" i="54"/>
  <c r="FB96" i="54"/>
  <c r="FC96" i="54" s="1"/>
  <c r="FA126" i="54"/>
  <c r="FB126" i="54"/>
  <c r="FC126" i="54" s="1"/>
  <c r="FA249" i="54"/>
  <c r="FB249" i="54"/>
  <c r="FC249" i="54" s="1"/>
  <c r="FA49" i="54"/>
  <c r="FB49" i="54"/>
  <c r="FC49" i="54" s="1"/>
  <c r="FA264" i="54"/>
  <c r="FB264" i="54"/>
  <c r="FC264" i="54" s="1"/>
  <c r="FA258" i="54"/>
  <c r="FB258" i="54"/>
  <c r="FC258" i="54" s="1"/>
  <c r="FA122" i="54"/>
  <c r="FB122" i="54"/>
  <c r="FC122" i="54" s="1"/>
  <c r="FA239" i="54"/>
  <c r="FB239" i="54"/>
  <c r="FC239" i="54" s="1"/>
  <c r="FA117" i="54"/>
  <c r="FB117" i="54"/>
  <c r="FC117" i="54" s="1"/>
  <c r="FA139" i="54"/>
  <c r="FB139" i="54"/>
  <c r="FC139" i="54" s="1"/>
  <c r="FA99" i="54"/>
  <c r="FB99" i="54"/>
  <c r="FC99" i="54" s="1"/>
  <c r="FA232" i="54"/>
  <c r="FB232" i="54"/>
  <c r="FC232" i="54" s="1"/>
  <c r="FA58" i="54"/>
  <c r="FB58" i="54"/>
  <c r="FC58" i="54" s="1"/>
  <c r="FA233" i="54"/>
  <c r="FB233" i="54"/>
  <c r="FC233" i="54" s="1"/>
  <c r="FA136" i="54"/>
  <c r="FB136" i="54"/>
  <c r="FC136" i="54" s="1"/>
  <c r="FA109" i="54"/>
  <c r="FB109" i="54"/>
  <c r="FC109" i="54" s="1"/>
  <c r="FA193" i="54"/>
  <c r="FB193" i="54"/>
  <c r="FC193" i="54" s="1"/>
  <c r="FA188" i="54"/>
  <c r="FB188" i="54"/>
  <c r="FC188" i="54" s="1"/>
  <c r="FA257" i="54"/>
  <c r="FB257" i="54"/>
  <c r="FC257" i="54" s="1"/>
  <c r="FA195" i="54"/>
  <c r="FB195" i="54"/>
  <c r="FC195" i="54" s="1"/>
  <c r="FA251" i="54"/>
  <c r="FB251" i="54"/>
  <c r="FC251" i="54" s="1"/>
  <c r="FA224" i="54"/>
  <c r="FB224" i="54"/>
  <c r="FC224" i="54" s="1"/>
  <c r="FA135" i="54"/>
  <c r="FB135" i="54"/>
  <c r="FC135" i="54" s="1"/>
  <c r="FA248" i="54"/>
  <c r="FB248" i="54"/>
  <c r="FC248" i="54" s="1"/>
  <c r="FA112" i="54"/>
  <c r="FB112" i="54"/>
  <c r="FC112" i="54" s="1"/>
  <c r="FA186" i="54"/>
  <c r="FB186" i="54"/>
  <c r="FC186" i="54" s="1"/>
  <c r="FA84" i="54"/>
  <c r="FB84" i="54"/>
  <c r="FC84" i="54" s="1"/>
  <c r="FA216" i="54"/>
  <c r="FB216" i="54"/>
  <c r="FC216" i="54" s="1"/>
  <c r="FA71" i="54"/>
  <c r="FB71" i="54"/>
  <c r="FC71" i="54" s="1"/>
  <c r="FA250" i="54"/>
  <c r="FB250" i="54"/>
  <c r="FC250" i="54" s="1"/>
  <c r="FA214" i="54"/>
  <c r="FB214" i="54"/>
  <c r="FC214" i="54" s="1"/>
  <c r="FA235" i="54"/>
  <c r="FB235" i="54"/>
  <c r="FC235" i="54" s="1"/>
  <c r="FA209" i="54"/>
  <c r="FB209" i="54"/>
  <c r="FC209" i="54" s="1"/>
  <c r="FA168" i="54"/>
  <c r="FB168" i="54"/>
  <c r="FC168" i="54" s="1"/>
  <c r="FA252" i="54"/>
  <c r="FB252" i="54"/>
  <c r="FC252" i="54" s="1"/>
  <c r="FA83" i="54"/>
  <c r="FB83" i="54"/>
  <c r="FC83" i="54" s="1"/>
  <c r="FA16" i="54"/>
  <c r="FB16" i="54"/>
  <c r="FC16" i="54" s="1"/>
  <c r="FA157" i="54"/>
  <c r="FB157" i="54"/>
  <c r="FC157" i="54" s="1"/>
  <c r="FA144" i="54"/>
  <c r="FB144" i="54"/>
  <c r="FC144" i="54" s="1"/>
  <c r="FA171" i="54"/>
  <c r="FB171" i="54"/>
  <c r="FC171" i="54" s="1"/>
  <c r="FA200" i="54"/>
  <c r="FB200" i="54"/>
  <c r="FC200" i="54" s="1"/>
  <c r="FA244" i="54"/>
  <c r="FB244" i="54"/>
  <c r="FC244" i="54" s="1"/>
  <c r="FA87" i="54"/>
  <c r="FB87" i="54"/>
  <c r="FC87" i="54" s="1"/>
  <c r="FA94" i="54"/>
  <c r="FB94" i="54"/>
  <c r="FC94" i="54" s="1"/>
  <c r="FA59" i="54"/>
  <c r="FB59" i="54"/>
  <c r="FC59" i="54" s="1"/>
  <c r="FA207" i="54"/>
  <c r="FB207" i="54"/>
  <c r="FC207" i="54" s="1"/>
  <c r="FA89" i="54"/>
  <c r="FB89" i="54"/>
  <c r="FC89" i="54" s="1"/>
  <c r="FA104" i="54"/>
  <c r="FB104" i="54"/>
  <c r="FC104" i="54" s="1"/>
  <c r="FA98" i="54"/>
  <c r="FB98" i="54"/>
  <c r="FC98" i="54" s="1"/>
  <c r="FA114" i="54"/>
  <c r="FB114" i="54"/>
  <c r="FC114" i="54" s="1"/>
  <c r="FA57" i="54"/>
  <c r="FB57" i="54"/>
  <c r="FC57" i="54" s="1"/>
  <c r="FA223" i="54"/>
  <c r="FB223" i="54"/>
  <c r="FC223" i="54" s="1"/>
  <c r="FA10" i="54"/>
  <c r="FB10" i="54"/>
  <c r="FC10" i="54" s="1"/>
  <c r="FA256" i="54"/>
  <c r="FB256" i="54"/>
  <c r="FC256" i="54" s="1"/>
  <c r="FA67" i="54"/>
  <c r="FB67" i="54"/>
  <c r="FC67" i="54" s="1"/>
  <c r="FA147" i="54"/>
  <c r="FB147" i="54"/>
  <c r="FC147" i="54" s="1"/>
  <c r="FA61" i="54"/>
  <c r="FB61" i="54"/>
  <c r="FC61" i="54" s="1"/>
  <c r="FA11" i="54"/>
  <c r="FB11" i="54"/>
  <c r="FC11" i="54" s="1"/>
  <c r="FA150" i="54"/>
  <c r="FB150" i="54"/>
  <c r="FC150" i="54" s="1"/>
  <c r="FA247" i="54"/>
  <c r="FB247" i="54"/>
  <c r="FC247" i="54" s="1"/>
  <c r="FA73" i="54"/>
  <c r="FB73" i="54"/>
  <c r="FC73" i="54" s="1"/>
  <c r="FA245" i="54"/>
  <c r="FB245" i="54"/>
  <c r="FC245" i="54" s="1"/>
  <c r="FA21" i="54"/>
  <c r="FB21" i="54"/>
  <c r="FC21" i="54" s="1"/>
  <c r="FA75" i="54"/>
  <c r="FB75" i="54"/>
  <c r="FC75" i="54" s="1"/>
  <c r="FA41" i="54"/>
  <c r="FB41" i="54"/>
  <c r="FC41" i="54" s="1"/>
  <c r="FA226" i="54"/>
  <c r="FB226" i="54"/>
  <c r="FC226" i="54" s="1"/>
  <c r="FA265" i="54"/>
  <c r="FB265" i="54"/>
  <c r="FC265" i="54" s="1"/>
  <c r="FA241" i="54"/>
  <c r="FB241" i="54"/>
  <c r="FC241" i="54" s="1"/>
  <c r="FA204" i="54"/>
  <c r="FB204" i="54"/>
  <c r="FC204" i="54" s="1"/>
  <c r="FA85" i="54"/>
  <c r="FB85" i="54"/>
  <c r="FC85" i="54" s="1"/>
  <c r="FA243" i="54"/>
  <c r="FB243" i="54"/>
  <c r="FC243" i="54" s="1"/>
  <c r="FA79" i="54"/>
  <c r="FB79" i="54"/>
  <c r="FC79" i="54" s="1"/>
  <c r="FA237" i="54"/>
  <c r="FB237" i="54"/>
  <c r="FC237" i="54" s="1"/>
  <c r="FA36" i="54"/>
  <c r="FB36" i="54"/>
  <c r="FC36" i="54" s="1"/>
  <c r="FA120" i="54"/>
  <c r="FB120" i="54"/>
  <c r="FC120" i="54" s="1"/>
  <c r="FA102" i="54"/>
  <c r="FB102" i="54"/>
  <c r="FC102" i="54" s="1"/>
  <c r="FA24" i="54"/>
  <c r="FB24" i="54"/>
  <c r="FC24" i="54" s="1"/>
  <c r="FA35" i="54"/>
  <c r="FB35" i="54"/>
  <c r="FC35" i="54" s="1"/>
  <c r="FA14" i="54"/>
  <c r="FB14" i="54"/>
  <c r="FC14" i="54" s="1"/>
  <c r="FA218" i="54"/>
  <c r="FB218" i="54"/>
  <c r="FC218" i="54" s="1"/>
  <c r="FA267" i="54"/>
  <c r="FB267" i="54"/>
  <c r="FC267" i="54" s="1"/>
  <c r="FA46" i="54"/>
  <c r="FB46" i="54"/>
  <c r="FC46" i="54" s="1"/>
  <c r="FA39" i="54"/>
  <c r="FB39" i="54"/>
  <c r="FC39" i="54" s="1"/>
  <c r="FA100" i="54"/>
  <c r="FB100" i="54"/>
  <c r="FC100" i="54" s="1"/>
  <c r="FA194" i="54"/>
  <c r="FB194" i="54"/>
  <c r="FC194" i="54" s="1"/>
  <c r="FA54" i="54"/>
  <c r="FB54" i="54"/>
  <c r="FC54" i="54" s="1"/>
  <c r="FA80" i="54"/>
  <c r="FB80" i="54"/>
  <c r="FC80" i="54" s="1"/>
  <c r="FA192" i="54"/>
  <c r="FB192" i="54"/>
  <c r="FC192" i="54" s="1"/>
  <c r="FA180" i="54"/>
  <c r="FB180" i="54"/>
  <c r="FC180" i="54" s="1"/>
  <c r="FA238" i="54"/>
  <c r="FB238" i="54"/>
  <c r="FC238" i="54" s="1"/>
  <c r="FA31" i="54"/>
  <c r="FB31" i="54"/>
  <c r="FC31" i="54" s="1"/>
  <c r="FA15" i="54"/>
  <c r="FB15" i="54"/>
  <c r="FC15" i="54" s="1"/>
  <c r="FA153" i="54"/>
  <c r="FB153" i="54"/>
  <c r="FC153" i="54" s="1"/>
  <c r="FA183" i="54"/>
  <c r="FB183" i="54"/>
  <c r="FC183" i="54" s="1"/>
  <c r="FA62" i="54"/>
  <c r="FB62" i="54"/>
  <c r="FC62" i="54" s="1"/>
  <c r="FA187" i="54"/>
  <c r="FB187" i="54"/>
  <c r="FC187" i="54" s="1"/>
  <c r="FA53" i="54"/>
  <c r="FB53" i="54"/>
  <c r="FC53" i="54" s="1"/>
  <c r="FA154" i="54"/>
  <c r="FB154" i="54"/>
  <c r="FC154" i="54" s="1"/>
  <c r="FA166" i="54"/>
  <c r="FB166" i="54"/>
  <c r="FC166" i="54" s="1"/>
  <c r="FA42" i="54"/>
  <c r="FB42" i="54"/>
  <c r="FC42" i="54" s="1"/>
  <c r="FA261" i="54"/>
  <c r="FB261" i="54"/>
  <c r="FC261" i="54" s="1"/>
  <c r="FA23" i="54"/>
  <c r="FB23" i="54"/>
  <c r="FC23" i="54" s="1"/>
  <c r="FA262" i="54"/>
  <c r="FB262" i="54"/>
  <c r="FC262" i="54" s="1"/>
  <c r="FA177" i="54"/>
  <c r="FB177" i="54"/>
  <c r="FC177" i="54" s="1"/>
  <c r="FA266" i="54"/>
  <c r="FB266" i="54"/>
  <c r="FC266" i="54" s="1"/>
  <c r="FA130" i="54"/>
  <c r="FB130" i="54"/>
  <c r="FC130" i="54" s="1"/>
  <c r="FA108" i="54"/>
  <c r="FB108" i="54"/>
  <c r="FC108" i="54" s="1"/>
  <c r="FA240" i="54"/>
  <c r="FB240" i="54"/>
  <c r="FC240" i="54" s="1"/>
  <c r="FA90" i="54"/>
  <c r="FB90" i="54"/>
  <c r="FC90" i="54" s="1"/>
  <c r="FA255" i="54"/>
  <c r="FB255" i="54"/>
  <c r="FC255" i="54" s="1"/>
  <c r="FA27" i="54"/>
  <c r="FB27" i="54"/>
  <c r="FC27" i="54" s="1"/>
  <c r="FA174" i="54"/>
  <c r="FB174" i="54"/>
  <c r="FC174" i="54" s="1"/>
  <c r="FA179" i="54"/>
  <c r="FB179" i="54"/>
  <c r="FC179" i="54" s="1"/>
  <c r="FA131" i="54"/>
  <c r="FB131" i="54"/>
  <c r="FC131" i="54" s="1"/>
  <c r="FA173" i="54"/>
  <c r="FB173" i="54"/>
  <c r="FC173" i="54" s="1"/>
  <c r="FA146" i="54"/>
  <c r="FB146" i="54"/>
  <c r="FC146" i="54" s="1"/>
  <c r="FA20" i="54"/>
  <c r="FB20" i="54"/>
  <c r="FC20" i="54" s="1"/>
  <c r="FA38" i="54"/>
  <c r="FB38" i="54"/>
  <c r="FC38" i="54" s="1"/>
  <c r="FA65" i="54"/>
  <c r="FB65" i="54"/>
  <c r="FC65" i="54" s="1"/>
  <c r="FA12" i="54"/>
  <c r="FB12" i="54"/>
  <c r="FC12" i="54" s="1"/>
  <c r="FA78" i="54"/>
  <c r="FB78" i="54"/>
  <c r="FC78" i="54" s="1"/>
  <c r="FA182" i="54"/>
  <c r="FB182" i="54"/>
  <c r="FC182" i="54" s="1"/>
  <c r="FA40" i="54"/>
  <c r="FB40" i="54"/>
  <c r="FC40" i="54" s="1"/>
  <c r="FA106" i="54"/>
  <c r="FB106" i="54"/>
  <c r="FC106" i="54" s="1"/>
  <c r="FA236" i="54"/>
  <c r="FB236" i="54"/>
  <c r="FC236" i="54" s="1"/>
  <c r="FA225" i="54"/>
  <c r="FB225" i="54"/>
  <c r="FC225" i="54" s="1"/>
  <c r="FA91" i="54"/>
  <c r="FB91" i="54"/>
  <c r="FC91" i="54" s="1"/>
  <c r="FA151" i="54"/>
  <c r="FB151" i="54"/>
  <c r="FC151" i="54" s="1"/>
  <c r="FA156" i="54"/>
  <c r="FB156" i="54"/>
  <c r="FC156" i="54" s="1"/>
  <c r="FA137" i="54"/>
  <c r="FB137" i="54"/>
  <c r="FC137" i="54" s="1"/>
  <c r="FA128" i="54"/>
  <c r="FB128" i="54"/>
  <c r="FC128" i="54" s="1"/>
  <c r="FA185" i="54"/>
  <c r="FB185" i="54"/>
  <c r="FC185" i="54" s="1"/>
  <c r="FA95" i="54"/>
  <c r="FB95" i="54"/>
  <c r="FC95" i="54" s="1"/>
  <c r="FA60" i="54"/>
  <c r="FB60" i="54"/>
  <c r="FC60" i="54" s="1"/>
  <c r="FA234" i="54"/>
  <c r="FB234" i="54"/>
  <c r="FC234" i="54" s="1"/>
  <c r="FA72" i="54"/>
  <c r="FB72" i="54"/>
  <c r="FC72" i="54" s="1"/>
  <c r="FA203" i="54"/>
  <c r="FB203" i="54"/>
  <c r="FC203" i="54" s="1"/>
  <c r="FA178" i="54"/>
  <c r="FB178" i="54"/>
  <c r="FC178" i="54" s="1"/>
  <c r="FA242" i="54"/>
  <c r="FB242" i="54"/>
  <c r="FC242" i="54" s="1"/>
  <c r="FA103" i="54"/>
  <c r="FB103" i="54"/>
  <c r="FC103" i="54" s="1"/>
  <c r="FA113" i="54"/>
  <c r="FB113" i="54"/>
  <c r="FC113" i="54" s="1"/>
  <c r="FA197" i="54"/>
  <c r="FB197" i="54"/>
  <c r="FC197" i="54" s="1"/>
  <c r="FA132" i="54"/>
  <c r="FB132" i="54"/>
  <c r="FC132" i="54" s="1"/>
  <c r="FA76" i="54"/>
  <c r="FB76" i="54"/>
  <c r="FC76" i="54" s="1"/>
  <c r="FA55" i="54"/>
  <c r="FB55" i="54"/>
  <c r="FC55" i="54" s="1"/>
  <c r="FA93" i="54"/>
  <c r="FB93" i="54"/>
  <c r="FC93" i="54" s="1"/>
  <c r="FA13" i="54"/>
  <c r="FB13" i="54"/>
  <c r="FC13" i="54" s="1"/>
  <c r="FA221" i="54"/>
  <c r="FB221" i="54"/>
  <c r="FC221" i="54" s="1"/>
  <c r="FA176" i="54"/>
  <c r="FB176" i="54"/>
  <c r="FC176" i="54" s="1"/>
  <c r="FA215" i="54"/>
  <c r="FB215" i="54"/>
  <c r="FC215" i="54" s="1"/>
  <c r="FA191" i="54"/>
  <c r="FB191" i="54"/>
  <c r="FC191" i="54" s="1"/>
  <c r="FA143" i="54"/>
  <c r="FB143" i="54"/>
  <c r="FC143" i="54" s="1"/>
  <c r="FA45" i="54"/>
  <c r="FB45" i="54"/>
  <c r="FC45" i="54" s="1"/>
  <c r="FA208" i="54"/>
  <c r="FB208" i="54"/>
  <c r="FC208" i="54" s="1"/>
  <c r="FA160" i="54"/>
  <c r="FB160" i="54"/>
  <c r="FC160" i="54" s="1"/>
  <c r="FA199" i="54"/>
  <c r="FB199" i="54"/>
  <c r="FC199" i="54" s="1"/>
  <c r="FA175" i="54"/>
  <c r="FB175" i="54"/>
  <c r="FC175" i="54" s="1"/>
  <c r="FA101" i="54"/>
  <c r="FB101" i="54"/>
  <c r="FC101" i="54" s="1"/>
  <c r="FA134" i="54"/>
  <c r="FB134" i="54"/>
  <c r="FC134" i="54" s="1"/>
  <c r="FA32" i="54"/>
  <c r="FB32" i="54"/>
  <c r="FC32" i="54" s="1"/>
  <c r="FA158" i="54"/>
  <c r="FB158" i="54"/>
  <c r="FC158" i="54" s="1"/>
  <c r="FA222" i="54"/>
  <c r="FB222" i="54"/>
  <c r="FC222" i="54" s="1"/>
  <c r="FA140" i="54"/>
  <c r="FB140" i="54"/>
  <c r="FC140" i="54" s="1"/>
  <c r="FA165" i="54"/>
  <c r="FB165" i="54"/>
  <c r="FC165" i="54" s="1"/>
  <c r="FA105" i="54"/>
  <c r="FB105" i="54"/>
  <c r="FC105" i="54" s="1"/>
  <c r="FA213" i="54"/>
  <c r="FB213" i="54"/>
  <c r="FC213" i="54" s="1"/>
  <c r="FA206" i="54"/>
  <c r="FB206" i="54"/>
  <c r="FC206" i="54" s="1"/>
  <c r="FA253" i="54"/>
  <c r="FB253" i="54"/>
  <c r="FC253" i="54" s="1"/>
  <c r="FA125" i="54"/>
  <c r="FB125" i="54"/>
  <c r="FC125" i="54" s="1"/>
  <c r="FA145" i="54"/>
  <c r="FB145" i="54"/>
  <c r="FC145" i="54" s="1"/>
  <c r="FA161" i="54"/>
  <c r="FB161" i="54"/>
  <c r="FC161" i="54" s="1"/>
  <c r="FA18" i="54"/>
  <c r="FB18" i="54"/>
  <c r="FC18" i="54" s="1"/>
  <c r="FA77" i="54"/>
  <c r="FB77" i="54"/>
  <c r="FC77" i="54" s="1"/>
  <c r="FA230" i="54"/>
  <c r="FB230" i="54"/>
  <c r="FC230" i="54" s="1"/>
  <c r="FA47" i="54"/>
  <c r="FB47" i="54"/>
  <c r="FC47" i="54" s="1"/>
  <c r="FA25" i="54"/>
  <c r="FB25" i="54"/>
  <c r="FC25" i="54" s="1"/>
  <c r="FA19" i="54"/>
  <c r="FB19" i="54"/>
  <c r="FC19" i="54" s="1"/>
  <c r="FA81" i="54"/>
  <c r="FB81" i="54"/>
  <c r="FC81" i="54" s="1"/>
  <c r="FA17" i="54"/>
  <c r="FB17" i="54"/>
  <c r="FC17" i="54" s="1"/>
  <c r="FA181" i="54"/>
  <c r="FB181" i="54"/>
  <c r="FC181" i="54" s="1"/>
  <c r="FA196" i="54"/>
  <c r="FB196" i="54"/>
  <c r="FC196" i="54" s="1"/>
  <c r="FA202" i="54"/>
  <c r="FB202" i="54"/>
  <c r="FC202" i="54" s="1"/>
  <c r="FA64" i="54"/>
  <c r="FB64" i="54"/>
  <c r="FC64" i="54" s="1"/>
  <c r="FA51" i="54"/>
  <c r="FB51" i="54"/>
  <c r="FC51" i="54" s="1"/>
  <c r="FA69" i="54"/>
  <c r="FB69" i="54"/>
  <c r="FC69" i="54" s="1"/>
  <c r="FA142" i="54"/>
  <c r="FB142" i="54"/>
  <c r="FC142" i="54" s="1"/>
  <c r="FA50" i="54"/>
  <c r="FB50" i="54"/>
  <c r="FC50" i="54" s="1"/>
  <c r="FA29" i="54"/>
  <c r="FB29" i="54"/>
  <c r="FC29" i="54" s="1"/>
  <c r="FA212" i="54"/>
  <c r="FB212" i="54"/>
  <c r="FC212" i="54" s="1"/>
  <c r="FA228" i="54"/>
  <c r="FB228" i="54"/>
  <c r="FC228" i="54" s="1"/>
  <c r="FA210" i="54"/>
  <c r="FB210" i="54"/>
  <c r="FC210" i="54" s="1"/>
  <c r="FA211" i="54"/>
  <c r="FB211" i="54"/>
  <c r="FC211" i="54" s="1"/>
  <c r="FA92" i="54"/>
  <c r="FB92" i="54"/>
  <c r="FC92" i="54" s="1"/>
  <c r="FA205" i="54"/>
  <c r="FB205" i="54"/>
  <c r="FC205" i="54" s="1"/>
  <c r="FA86" i="54"/>
  <c r="FB86" i="54"/>
  <c r="FC86" i="54" s="1"/>
  <c r="FA217" i="54"/>
  <c r="FB217" i="54"/>
  <c r="FC217" i="54" s="1"/>
  <c r="FA172" i="54"/>
  <c r="FB172" i="54"/>
  <c r="FC172" i="54" s="1"/>
  <c r="FA170" i="54"/>
  <c r="FB170" i="54"/>
  <c r="FC170" i="54" s="1"/>
  <c r="FA70" i="54"/>
  <c r="FB70" i="54"/>
  <c r="FC70" i="54" s="1"/>
  <c r="FA22" i="54"/>
  <c r="FB22" i="54"/>
  <c r="FC22" i="54" s="1"/>
  <c r="FA52" i="54"/>
  <c r="FB52" i="54"/>
  <c r="FC52" i="54" s="1"/>
  <c r="FA37" i="54"/>
  <c r="FB37" i="54"/>
  <c r="FC37" i="54" s="1"/>
  <c r="FA127" i="54"/>
  <c r="FB127" i="54"/>
  <c r="FC127" i="54" s="1"/>
  <c r="FA184" i="54"/>
  <c r="FB184" i="54"/>
  <c r="FC184" i="54" s="1"/>
  <c r="FA163" i="54"/>
  <c r="FB163" i="54"/>
  <c r="FC163" i="54" s="1"/>
  <c r="FA123" i="54"/>
  <c r="FB123" i="54"/>
  <c r="FC123" i="54" s="1"/>
  <c r="FA148" i="54"/>
  <c r="FB148" i="54"/>
  <c r="FC148" i="54" s="1"/>
  <c r="FA118" i="54"/>
  <c r="FB118" i="54"/>
  <c r="FC118" i="54" s="1"/>
  <c r="FA116" i="54"/>
  <c r="FB116" i="54"/>
  <c r="FC116" i="54" s="1"/>
  <c r="FA110" i="54"/>
  <c r="FB110" i="54"/>
  <c r="FC110" i="54" s="1"/>
  <c r="FA219" i="54"/>
  <c r="FB219" i="54"/>
  <c r="FC219" i="54" s="1"/>
  <c r="FA149" i="54"/>
  <c r="FB149" i="54"/>
  <c r="FC149" i="54" s="1"/>
  <c r="FA198" i="54"/>
  <c r="FB198" i="54"/>
  <c r="FC198" i="54" s="1"/>
  <c r="FA169" i="54"/>
  <c r="FB169" i="54"/>
  <c r="FC169" i="54" s="1"/>
  <c r="FA155" i="54"/>
  <c r="FB155" i="54"/>
  <c r="FC155" i="54" s="1"/>
  <c r="FA167" i="54"/>
  <c r="FB167" i="54"/>
  <c r="FC167" i="54" s="1"/>
  <c r="FA138" i="54"/>
  <c r="FB138" i="54"/>
  <c r="FC138" i="54" s="1"/>
  <c r="FA119" i="54"/>
  <c r="FB119" i="54"/>
  <c r="FC119" i="54" s="1"/>
  <c r="FA254" i="54"/>
  <c r="FB254" i="54"/>
  <c r="FC254" i="54" s="1"/>
  <c r="FA66" i="54"/>
  <c r="FB66" i="54"/>
  <c r="FC66" i="54" s="1"/>
  <c r="FA129" i="54"/>
  <c r="FB129" i="54"/>
  <c r="FC129" i="54" s="1"/>
  <c r="FA260" i="54"/>
  <c r="FB260" i="54"/>
  <c r="FC260" i="54" s="1"/>
  <c r="FA159" i="54"/>
  <c r="FB159" i="54"/>
  <c r="FC159" i="54" s="1"/>
  <c r="FA227" i="54"/>
  <c r="FB227" i="54"/>
  <c r="FC227" i="54" s="1"/>
  <c r="FA162" i="54"/>
  <c r="FB162" i="54"/>
  <c r="FC162" i="54" s="1"/>
  <c r="FA28" i="54"/>
  <c r="FB28" i="54"/>
  <c r="FC28" i="54" s="1"/>
  <c r="FA33" i="54"/>
  <c r="FB33" i="54"/>
  <c r="FC33" i="54" s="1"/>
  <c r="FA68" i="54"/>
  <c r="FB68" i="54"/>
  <c r="FC68" i="54" s="1"/>
  <c r="FA44" i="54"/>
  <c r="FB44" i="54"/>
  <c r="FC44" i="54" s="1"/>
  <c r="FA97" i="54"/>
  <c r="FB97" i="54"/>
  <c r="FC97" i="54" s="1"/>
  <c r="FA107" i="54"/>
  <c r="FB107" i="54"/>
  <c r="FC107" i="54" s="1"/>
  <c r="FA82" i="54"/>
  <c r="FB82" i="54"/>
  <c r="FC82" i="54" s="1"/>
  <c r="FA164" i="54"/>
  <c r="FB164" i="54"/>
  <c r="FC164" i="54" s="1"/>
  <c r="FA231" i="54"/>
  <c r="FB231" i="54"/>
  <c r="FC231" i="54" s="1"/>
  <c r="FA74" i="54"/>
  <c r="FB74" i="54"/>
  <c r="FC74" i="54" s="1"/>
  <c r="FA121" i="54"/>
  <c r="FB121" i="54"/>
  <c r="FC121" i="54" s="1"/>
  <c r="FA56" i="54"/>
  <c r="FB56" i="54"/>
  <c r="FC56" i="54" s="1"/>
  <c r="FA115" i="54"/>
  <c r="FB115" i="54"/>
  <c r="FC115" i="54" s="1"/>
  <c r="FA88" i="54"/>
  <c r="FB88" i="54"/>
  <c r="FC88" i="54" s="1"/>
  <c r="FA34" i="54"/>
  <c r="FB34" i="54"/>
  <c r="FC34" i="54" s="1"/>
  <c r="FA220" i="54"/>
  <c r="FB220" i="54"/>
  <c r="FC220" i="54" s="1"/>
  <c r="FA111" i="54"/>
  <c r="FB111" i="54"/>
  <c r="FC111" i="54" s="1"/>
  <c r="FA189" i="54"/>
  <c r="FB189" i="54"/>
  <c r="FC189" i="54" s="1"/>
  <c r="FA141" i="54"/>
  <c r="FB141" i="54"/>
  <c r="FC141" i="54" s="1"/>
  <c r="FA263" i="54"/>
  <c r="FB263" i="54"/>
  <c r="FC263" i="54" s="1"/>
  <c r="FA201" i="54"/>
  <c r="FB201" i="54"/>
  <c r="FC201" i="54" s="1"/>
  <c r="FA63" i="54"/>
  <c r="FB63" i="54"/>
  <c r="FC63" i="54" s="1"/>
  <c r="FA190" i="54"/>
  <c r="FB190" i="54"/>
  <c r="FC190" i="54" s="1"/>
  <c r="CM239" i="54"/>
  <c r="GM3" i="54"/>
  <c r="GF3" i="54" s="1"/>
  <c r="GG4" i="54" s="1" a="1"/>
  <c r="GG4" i="54" s="1"/>
  <c r="GJ5" i="54" s="1"/>
  <c r="FA268" i="54"/>
  <c r="CM58" i="54"/>
  <c r="CM210" i="54"/>
  <c r="CK198" i="54"/>
  <c r="CM198" i="54" s="1"/>
  <c r="CM174" i="54"/>
  <c r="CK94" i="54"/>
  <c r="CM94" i="54" s="1"/>
  <c r="CK251" i="54"/>
  <c r="CL251" i="54" s="1"/>
  <c r="CK56" i="54"/>
  <c r="CL56" i="54" s="1"/>
  <c r="CL102" i="54"/>
  <c r="CL230" i="54"/>
  <c r="CM76" i="54"/>
  <c r="CK238" i="54"/>
  <c r="CL238" i="54" s="1"/>
  <c r="CM89" i="54"/>
  <c r="CK77" i="54"/>
  <c r="CM77" i="54" s="1"/>
  <c r="CM235" i="54"/>
  <c r="CK260" i="54"/>
  <c r="CL260" i="54" s="1"/>
  <c r="CL253" i="54"/>
  <c r="CM34" i="54"/>
  <c r="CL256" i="54"/>
  <c r="CM66" i="54"/>
  <c r="CM86" i="54"/>
  <c r="CM95" i="54"/>
  <c r="CK223" i="54"/>
  <c r="CM71" i="54"/>
  <c r="CM82" i="54"/>
  <c r="CK138" i="54"/>
  <c r="CM138" i="54" s="1"/>
  <c r="CK65" i="54"/>
  <c r="CM65" i="54" s="1"/>
  <c r="CK99" i="54"/>
  <c r="CM99" i="54" s="1"/>
  <c r="CK19" i="54"/>
  <c r="CL19" i="54" s="1"/>
  <c r="BG10" i="54" a="1"/>
  <c r="BG10" i="54" s="1"/>
  <c r="CU145" i="54"/>
  <c r="CV145" i="54" s="1"/>
  <c r="CS145" i="54" s="1"/>
  <c r="CU177" i="54"/>
  <c r="CV177" i="54" s="1"/>
  <c r="CS177" i="54" s="1"/>
  <c r="CL174" i="54"/>
  <c r="CT94" i="54"/>
  <c r="CU94" i="54"/>
  <c r="CV94" i="54" s="1"/>
  <c r="CS94" i="54" s="1"/>
  <c r="CM19" i="54"/>
  <c r="CU48" i="54"/>
  <c r="CV48" i="54" s="1"/>
  <c r="CS48" i="54" s="1"/>
  <c r="CU178" i="54"/>
  <c r="CV178" i="54" s="1"/>
  <c r="CS178" i="54" s="1"/>
  <c r="CU199" i="54"/>
  <c r="CV199" i="54" s="1"/>
  <c r="CS199" i="54" s="1"/>
  <c r="CU130" i="54"/>
  <c r="CV130" i="54" s="1"/>
  <c r="CS130" i="54" s="1"/>
  <c r="CR205" i="54" a="1"/>
  <c r="CR205" i="54" s="1"/>
  <c r="CM263" i="54"/>
  <c r="CR61" i="54" a="1"/>
  <c r="CR61" i="54" s="1"/>
  <c r="CL81" i="54"/>
  <c r="CM56" i="54"/>
  <c r="CL53" i="54"/>
  <c r="CL215" i="54"/>
  <c r="CU228" i="54"/>
  <c r="CV228" i="54" s="1"/>
  <c r="CS228" i="54" s="1"/>
  <c r="CU84" i="54"/>
  <c r="CV84" i="54" s="1"/>
  <c r="CS84" i="54" s="1"/>
  <c r="CU72" i="54"/>
  <c r="CV72" i="54" s="1"/>
  <c r="CS72" i="54" s="1"/>
  <c r="CR256" i="54" a="1"/>
  <c r="CR256" i="54" s="1"/>
  <c r="CR164" i="54" a="1"/>
  <c r="CR164" i="54" s="1"/>
  <c r="CR267" i="54" a="1"/>
  <c r="CR267" i="54" s="1"/>
  <c r="CM260" i="54"/>
  <c r="CR233" i="54" a="1"/>
  <c r="CR233" i="54" s="1"/>
  <c r="CU66" i="54"/>
  <c r="CV66" i="54" s="1"/>
  <c r="CS66" i="54" s="1"/>
  <c r="CU204" i="54"/>
  <c r="CV204" i="54" s="1"/>
  <c r="CS204" i="54" s="1"/>
  <c r="CU235" i="54"/>
  <c r="CV235" i="54" s="1"/>
  <c r="CS235" i="54" s="1"/>
  <c r="CL166" i="54"/>
  <c r="CU31" i="54"/>
  <c r="CV31" i="54" s="1"/>
  <c r="CS31" i="54" s="1"/>
  <c r="CU60" i="54"/>
  <c r="CV60" i="54" s="1"/>
  <c r="CS60" i="54" s="1"/>
  <c r="CR249" i="54" a="1"/>
  <c r="CR249" i="54" s="1"/>
  <c r="CU249" i="54" s="1"/>
  <c r="CV249" i="54" s="1"/>
  <c r="CS249" i="54" s="1"/>
  <c r="CR168" i="54" a="1"/>
  <c r="CR168" i="54" s="1"/>
  <c r="CL116" i="54"/>
  <c r="CR67" i="54" a="1"/>
  <c r="CR67" i="54" s="1"/>
  <c r="CL112" i="54"/>
  <c r="CL169" i="54"/>
  <c r="CR45" i="54" a="1"/>
  <c r="CR45" i="54" s="1"/>
  <c r="CU45" i="54" s="1"/>
  <c r="CV45" i="54" s="1"/>
  <c r="CS45" i="54" s="1"/>
  <c r="CM249" i="54"/>
  <c r="CM238" i="54"/>
  <c r="CL244" i="54"/>
  <c r="CL86" i="54"/>
  <c r="CL83" i="54"/>
  <c r="CM36" i="54"/>
  <c r="CM264" i="54"/>
  <c r="CU36" i="54"/>
  <c r="CV36" i="54" s="1"/>
  <c r="CS36" i="54" s="1"/>
  <c r="CU227" i="54"/>
  <c r="CV227" i="54" s="1"/>
  <c r="CS227" i="54" s="1"/>
  <c r="CU62" i="54"/>
  <c r="CV62" i="54" s="1"/>
  <c r="CS62" i="54" s="1"/>
  <c r="CU68" i="54"/>
  <c r="CV68" i="54" s="1"/>
  <c r="CS68" i="54" s="1"/>
  <c r="CU90" i="54"/>
  <c r="CV90" i="54" s="1"/>
  <c r="CS90" i="54" s="1"/>
  <c r="CU54" i="54"/>
  <c r="CV54" i="54" s="1"/>
  <c r="CS54" i="54" s="1"/>
  <c r="CU163" i="54"/>
  <c r="CV163" i="54" s="1"/>
  <c r="CS163" i="54" s="1"/>
  <c r="CL75" i="54"/>
  <c r="CU113" i="54"/>
  <c r="CV113" i="54" s="1"/>
  <c r="CS113" i="54" s="1"/>
  <c r="CU254" i="54"/>
  <c r="CV254" i="54" s="1"/>
  <c r="CS254" i="54" s="1"/>
  <c r="CU186" i="54"/>
  <c r="CV186" i="54" s="1"/>
  <c r="CS186" i="54" s="1"/>
  <c r="CU86" i="54"/>
  <c r="CV86" i="54" s="1"/>
  <c r="CS86" i="54" s="1"/>
  <c r="CU147" i="54"/>
  <c r="CV147" i="54" s="1"/>
  <c r="CS147" i="54" s="1"/>
  <c r="CL183" i="54"/>
  <c r="CL80" i="54"/>
  <c r="CT152" i="54"/>
  <c r="CU152" i="54"/>
  <c r="CV152" i="54" s="1"/>
  <c r="CS152" i="54" s="1"/>
  <c r="CT61" i="54"/>
  <c r="CU61" i="54"/>
  <c r="CV61" i="54" s="1"/>
  <c r="CS61" i="54" s="1"/>
  <c r="CT267" i="54"/>
  <c r="CU267" i="54"/>
  <c r="CV267" i="54" s="1"/>
  <c r="CS267" i="54" s="1"/>
  <c r="CT231" i="54"/>
  <c r="CU231" i="54"/>
  <c r="CV231" i="54" s="1"/>
  <c r="CS231" i="54" s="1"/>
  <c r="CT108" i="54"/>
  <c r="CU108" i="54"/>
  <c r="CV108" i="54" s="1"/>
  <c r="CS108" i="54" s="1"/>
  <c r="CT89" i="54"/>
  <c r="CU89" i="54"/>
  <c r="CV89" i="54" s="1"/>
  <c r="CS89" i="54" s="1"/>
  <c r="CU203" i="54"/>
  <c r="CV203" i="54" s="1"/>
  <c r="CS203" i="54" s="1"/>
  <c r="CL139" i="54"/>
  <c r="CM20" i="54"/>
  <c r="CM257" i="54"/>
  <c r="CM37" i="54"/>
  <c r="CL186" i="54"/>
  <c r="CM42" i="54"/>
  <c r="CM130" i="54"/>
  <c r="CR220" i="54" a="1"/>
  <c r="CR220" i="54" s="1"/>
  <c r="CM254" i="54"/>
  <c r="CL136" i="54"/>
  <c r="CM29" i="54"/>
  <c r="CR172" i="54" a="1"/>
  <c r="CR172" i="54" s="1"/>
  <c r="CU172" i="54" s="1"/>
  <c r="CV172" i="54" s="1"/>
  <c r="CS172" i="54" s="1"/>
  <c r="CR268" i="54" a="1"/>
  <c r="CR268" i="54" s="1"/>
  <c r="CU156" i="54"/>
  <c r="CV156" i="54" s="1"/>
  <c r="CS156" i="54" s="1"/>
  <c r="CR265" i="54" a="1"/>
  <c r="CR265" i="54" s="1"/>
  <c r="CM23" i="54"/>
  <c r="CL161" i="54"/>
  <c r="CM46" i="54"/>
  <c r="CR191" i="54" a="1"/>
  <c r="CR191" i="54" s="1"/>
  <c r="CM32" i="54"/>
  <c r="CR115" i="54" a="1"/>
  <c r="CR115" i="54" s="1"/>
  <c r="CU38" i="54"/>
  <c r="CV38" i="54" s="1"/>
  <c r="CS38" i="54" s="1"/>
  <c r="CL103" i="54"/>
  <c r="CL70" i="54"/>
  <c r="CL217" i="54"/>
  <c r="CM228" i="54"/>
  <c r="CR17" i="54" a="1"/>
  <c r="CR17" i="54" s="1"/>
  <c r="CM68" i="54"/>
  <c r="CM22" i="54"/>
  <c r="CU76" i="54"/>
  <c r="CV76" i="54" s="1"/>
  <c r="CS76" i="54" s="1"/>
  <c r="CU96" i="54"/>
  <c r="CV96" i="54" s="1"/>
  <c r="CS96" i="54" s="1"/>
  <c r="CU134" i="54"/>
  <c r="CV134" i="54" s="1"/>
  <c r="CS134" i="54" s="1"/>
  <c r="CU50" i="54"/>
  <c r="CV50" i="54" s="1"/>
  <c r="CS50" i="54" s="1"/>
  <c r="CU149" i="54"/>
  <c r="CV149" i="54" s="1"/>
  <c r="CS149" i="54" s="1"/>
  <c r="CU46" i="54"/>
  <c r="CV46" i="54" s="1"/>
  <c r="CS46" i="54" s="1"/>
  <c r="CR52" i="54" a="1"/>
  <c r="CR52" i="54" s="1"/>
  <c r="CR236" i="54" a="1"/>
  <c r="CR236" i="54" s="1"/>
  <c r="CR138" i="54" a="1"/>
  <c r="CR138" i="54" s="1"/>
  <c r="CW3" i="54" s="1" a="1"/>
  <c r="CW3" i="54" s="1"/>
  <c r="CR206" i="54" a="1"/>
  <c r="CR206" i="54" s="1"/>
  <c r="CR121" i="54" a="1"/>
  <c r="CR121" i="54" s="1"/>
  <c r="CM75" i="54"/>
  <c r="CM57" i="54"/>
  <c r="CU166" i="54"/>
  <c r="CV166" i="54" s="1"/>
  <c r="CS166" i="54" s="1"/>
  <c r="CT166" i="54"/>
  <c r="CU241" i="54"/>
  <c r="CV241" i="54" s="1"/>
  <c r="CS241" i="54" s="1"/>
  <c r="CT241" i="54"/>
  <c r="CU234" i="54"/>
  <c r="CV234" i="54" s="1"/>
  <c r="CS234" i="54" s="1"/>
  <c r="CT234" i="54"/>
  <c r="CU160" i="54"/>
  <c r="CV160" i="54" s="1"/>
  <c r="CS160" i="54" s="1"/>
  <c r="CT160" i="54"/>
  <c r="CU253" i="54"/>
  <c r="CV253" i="54" s="1"/>
  <c r="CS253" i="54" s="1"/>
  <c r="CT253" i="54"/>
  <c r="CU222" i="54"/>
  <c r="CV222" i="54" s="1"/>
  <c r="CS222" i="54" s="1"/>
  <c r="CT222" i="54"/>
  <c r="CU258" i="54"/>
  <c r="CV258" i="54" s="1"/>
  <c r="CS258" i="54" s="1"/>
  <c r="CT258" i="54"/>
  <c r="CU179" i="54"/>
  <c r="CV179" i="54" s="1"/>
  <c r="CS179" i="54" s="1"/>
  <c r="CT179" i="54"/>
  <c r="CU201" i="54"/>
  <c r="CV201" i="54" s="1"/>
  <c r="CS201" i="54" s="1"/>
  <c r="CT201" i="54"/>
  <c r="CU148" i="54"/>
  <c r="CV148" i="54" s="1"/>
  <c r="CS148" i="54" s="1"/>
  <c r="CT148" i="54"/>
  <c r="CM268" i="54"/>
  <c r="CM232" i="54"/>
  <c r="CM242" i="54"/>
  <c r="CM237" i="54"/>
  <c r="CL140" i="54"/>
  <c r="CL78" i="54"/>
  <c r="CM236" i="54"/>
  <c r="CL207" i="54"/>
  <c r="CL147" i="54"/>
  <c r="CL60" i="54"/>
  <c r="CM265" i="54"/>
  <c r="CL121" i="54"/>
  <c r="CM53" i="54"/>
  <c r="CM250" i="54"/>
  <c r="CM245" i="54"/>
  <c r="CM50" i="54"/>
  <c r="CM225" i="54"/>
  <c r="CM35" i="54"/>
  <c r="CL156" i="54"/>
  <c r="CL97" i="54"/>
  <c r="CL135" i="54"/>
  <c r="CM261" i="54"/>
  <c r="CU188" i="54"/>
  <c r="CV188" i="54" s="1"/>
  <c r="CS188" i="54" s="1"/>
  <c r="CT188" i="54"/>
  <c r="CU217" i="54"/>
  <c r="CV217" i="54" s="1"/>
  <c r="CS217" i="54" s="1"/>
  <c r="CT217" i="54"/>
  <c r="CU262" i="54"/>
  <c r="CV262" i="54" s="1"/>
  <c r="CS262" i="54" s="1"/>
  <c r="CT262" i="54"/>
  <c r="CU181" i="54"/>
  <c r="CV181" i="54" s="1"/>
  <c r="CS181" i="54" s="1"/>
  <c r="CT181" i="54"/>
  <c r="CU169" i="54"/>
  <c r="CV169" i="54" s="1"/>
  <c r="CS169" i="54" s="1"/>
  <c r="CT169" i="54"/>
  <c r="CU238" i="54"/>
  <c r="CV238" i="54" s="1"/>
  <c r="CS238" i="54" s="1"/>
  <c r="CT238" i="54"/>
  <c r="CU202" i="54"/>
  <c r="CV202" i="54" s="1"/>
  <c r="CS202" i="54" s="1"/>
  <c r="CT202" i="54"/>
  <c r="CU162" i="54"/>
  <c r="CV162" i="54" s="1"/>
  <c r="CS162" i="54" s="1"/>
  <c r="CT162" i="54"/>
  <c r="CU255" i="54"/>
  <c r="CV255" i="54" s="1"/>
  <c r="CS255" i="54" s="1"/>
  <c r="CT255" i="54"/>
  <c r="CU195" i="54"/>
  <c r="CV195" i="54" s="1"/>
  <c r="CS195" i="54" s="1"/>
  <c r="CT195" i="54"/>
  <c r="CU232" i="54"/>
  <c r="CV232" i="54" s="1"/>
  <c r="CS232" i="54" s="1"/>
  <c r="CT232" i="54"/>
  <c r="CL137" i="54"/>
  <c r="CM39" i="54"/>
  <c r="CL12" i="54"/>
  <c r="CL11" i="54"/>
  <c r="CM259" i="54"/>
  <c r="CM197" i="54"/>
  <c r="CU236" i="54"/>
  <c r="CV236" i="54" s="1"/>
  <c r="CS236" i="54" s="1"/>
  <c r="CT236" i="54"/>
  <c r="CM230" i="54"/>
  <c r="CM26" i="54"/>
  <c r="CM241" i="54"/>
  <c r="CU174" i="54"/>
  <c r="CV174" i="54" s="1"/>
  <c r="CS174" i="54" s="1"/>
  <c r="CT174" i="54"/>
  <c r="CU247" i="54"/>
  <c r="CV247" i="54" s="1"/>
  <c r="CS247" i="54" s="1"/>
  <c r="CT247" i="54"/>
  <c r="CU257" i="54"/>
  <c r="CV257" i="54" s="1"/>
  <c r="CS257" i="54" s="1"/>
  <c r="CT257" i="54"/>
  <c r="CU185" i="54"/>
  <c r="CV185" i="54" s="1"/>
  <c r="CS185" i="54" s="1"/>
  <c r="CT185" i="54"/>
  <c r="CU143" i="54"/>
  <c r="CV143" i="54" s="1"/>
  <c r="CS143" i="54" s="1"/>
  <c r="CT143" i="54"/>
  <c r="CU170" i="54"/>
  <c r="CV170" i="54" s="1"/>
  <c r="CS170" i="54" s="1"/>
  <c r="CT170" i="54"/>
  <c r="CU173" i="54"/>
  <c r="CV173" i="54" s="1"/>
  <c r="CS173" i="54" s="1"/>
  <c r="CT173" i="54"/>
  <c r="CU242" i="54"/>
  <c r="CV242" i="54" s="1"/>
  <c r="CS242" i="54" s="1"/>
  <c r="CT242" i="54"/>
  <c r="CU229" i="54"/>
  <c r="CV229" i="54" s="1"/>
  <c r="CS229" i="54" s="1"/>
  <c r="CT229" i="54"/>
  <c r="CU155" i="54"/>
  <c r="CV155" i="54" s="1"/>
  <c r="CS155" i="54" s="1"/>
  <c r="CT155" i="54"/>
  <c r="CU237" i="54"/>
  <c r="CV237" i="54" s="1"/>
  <c r="CS237" i="54" s="1"/>
  <c r="CT237" i="54"/>
  <c r="CU175" i="54"/>
  <c r="CV175" i="54" s="1"/>
  <c r="CS175" i="54" s="1"/>
  <c r="CT175" i="54"/>
  <c r="CU223" i="54"/>
  <c r="CV223" i="54" s="1"/>
  <c r="CS223" i="54" s="1"/>
  <c r="CT223" i="54"/>
  <c r="CU207" i="54"/>
  <c r="CV207" i="54" s="1"/>
  <c r="CS207" i="54" s="1"/>
  <c r="CT207" i="54"/>
  <c r="CU184" i="54"/>
  <c r="CV184" i="54" s="1"/>
  <c r="CS184" i="54" s="1"/>
  <c r="CT184" i="54"/>
  <c r="CU239" i="54"/>
  <c r="CV239" i="54" s="1"/>
  <c r="CS239" i="54" s="1"/>
  <c r="CT239" i="54"/>
  <c r="CU189" i="54"/>
  <c r="CV189" i="54" s="1"/>
  <c r="CS189" i="54" s="1"/>
  <c r="CT189" i="54"/>
  <c r="CM248" i="54"/>
  <c r="CL79" i="54"/>
  <c r="CM137" i="54"/>
  <c r="CM247" i="54"/>
  <c r="CL234" i="54"/>
  <c r="CL228" i="54"/>
  <c r="CL110" i="54"/>
  <c r="CL122" i="54"/>
  <c r="CM255" i="54"/>
  <c r="CM266" i="54"/>
  <c r="CM240" i="54"/>
  <c r="CM267" i="54"/>
  <c r="CL152" i="54"/>
  <c r="CM131" i="54"/>
  <c r="CU146" i="54"/>
  <c r="CV146" i="54" s="1"/>
  <c r="CS146" i="54" s="1"/>
  <c r="CT146" i="54"/>
  <c r="CU150" i="54"/>
  <c r="CV150" i="54" s="1"/>
  <c r="CS150" i="54" s="1"/>
  <c r="CT150" i="54"/>
  <c r="CU187" i="54"/>
  <c r="CV187" i="54" s="1"/>
  <c r="CS187" i="54" s="1"/>
  <c r="CT187" i="54"/>
  <c r="CU182" i="54"/>
  <c r="CV182" i="54" s="1"/>
  <c r="CS182" i="54" s="1"/>
  <c r="CT182" i="54"/>
  <c r="CU200" i="54"/>
  <c r="CV200" i="54" s="1"/>
  <c r="CS200" i="54" s="1"/>
  <c r="CT200" i="54"/>
  <c r="CU230" i="54"/>
  <c r="CV230" i="54" s="1"/>
  <c r="CS230" i="54" s="1"/>
  <c r="CT230" i="54"/>
  <c r="CU167" i="54"/>
  <c r="CV167" i="54" s="1"/>
  <c r="CS167" i="54" s="1"/>
  <c r="CT167" i="54"/>
  <c r="CU224" i="54"/>
  <c r="CV224" i="54" s="1"/>
  <c r="CS224" i="54" s="1"/>
  <c r="CT224" i="54"/>
  <c r="CU209" i="54"/>
  <c r="CV209" i="54" s="1"/>
  <c r="CS209" i="54" s="1"/>
  <c r="CT209" i="54"/>
  <c r="CU215" i="54"/>
  <c r="CV215" i="54" s="1"/>
  <c r="CS215" i="54" s="1"/>
  <c r="CT215" i="54"/>
  <c r="CU226" i="54"/>
  <c r="CV226" i="54" s="1"/>
  <c r="CS226" i="54" s="1"/>
  <c r="CT226" i="54"/>
  <c r="CU194" i="54"/>
  <c r="CV194" i="54" s="1"/>
  <c r="CS194" i="54" s="1"/>
  <c r="CT194" i="54"/>
  <c r="CU165" i="54"/>
  <c r="CV165" i="54" s="1"/>
  <c r="CS165" i="54" s="1"/>
  <c r="CT165" i="54"/>
  <c r="CM224" i="54"/>
  <c r="CM222" i="54"/>
  <c r="CM226" i="54"/>
  <c r="CM233" i="54"/>
  <c r="CU213" i="54"/>
  <c r="CV213" i="54" s="1"/>
  <c r="CS213" i="54" s="1"/>
  <c r="CT213" i="54"/>
  <c r="CU240" i="54"/>
  <c r="CV240" i="54" s="1"/>
  <c r="CS240" i="54" s="1"/>
  <c r="CT240" i="54"/>
  <c r="CU263" i="54"/>
  <c r="CV263" i="54" s="1"/>
  <c r="CS263" i="54" s="1"/>
  <c r="CT263" i="54"/>
  <c r="CU196" i="54"/>
  <c r="CV196" i="54" s="1"/>
  <c r="CS196" i="54" s="1"/>
  <c r="CT196" i="54"/>
  <c r="CU144" i="54"/>
  <c r="CV144" i="54" s="1"/>
  <c r="CS144" i="54" s="1"/>
  <c r="CT144" i="54"/>
  <c r="CU259" i="54"/>
  <c r="CV259" i="54" s="1"/>
  <c r="CS259" i="54" s="1"/>
  <c r="CT259" i="54"/>
  <c r="CU251" i="54"/>
  <c r="CV251" i="54" s="1"/>
  <c r="CS251" i="54" s="1"/>
  <c r="CT251" i="54"/>
  <c r="CU264" i="54"/>
  <c r="CV264" i="54" s="1"/>
  <c r="CS264" i="54" s="1"/>
  <c r="CT264" i="54"/>
  <c r="CU225" i="54"/>
  <c r="CV225" i="54" s="1"/>
  <c r="CS225" i="54" s="1"/>
  <c r="CT225" i="54"/>
  <c r="CU157" i="54"/>
  <c r="CV157" i="54" s="1"/>
  <c r="CS157" i="54" s="1"/>
  <c r="CT157" i="54"/>
  <c r="CU140" i="54"/>
  <c r="CV140" i="54" s="1"/>
  <c r="CS140" i="54" s="1"/>
  <c r="CT140" i="54"/>
  <c r="CU221" i="54"/>
  <c r="CV221" i="54" s="1"/>
  <c r="CS221" i="54" s="1"/>
  <c r="CT221" i="54"/>
  <c r="CM24" i="54"/>
  <c r="CU161" i="54"/>
  <c r="CV161" i="54" s="1"/>
  <c r="CS161" i="54" s="1"/>
  <c r="CT161" i="54"/>
  <c r="CM258" i="54"/>
  <c r="CM187" i="54"/>
  <c r="CM231" i="54"/>
  <c r="CU205" i="54"/>
  <c r="CV205" i="54" s="1"/>
  <c r="CS205" i="54" s="1"/>
  <c r="CT205" i="54"/>
  <c r="CM234" i="54"/>
  <c r="CL197" i="54"/>
  <c r="CU265" i="54"/>
  <c r="CV265" i="54" s="1"/>
  <c r="CS265" i="54" s="1"/>
  <c r="CT265" i="54"/>
  <c r="CL25" i="54"/>
  <c r="CM256" i="54"/>
  <c r="CM88" i="54"/>
  <c r="CL66" i="54"/>
  <c r="CM156" i="54"/>
  <c r="CM253" i="54"/>
  <c r="CM40" i="54"/>
  <c r="CU218" i="54"/>
  <c r="CV218" i="54" s="1"/>
  <c r="CS218" i="54" s="1"/>
  <c r="CT218" i="54"/>
  <c r="CU193" i="54"/>
  <c r="CV193" i="54" s="1"/>
  <c r="CS193" i="54" s="1"/>
  <c r="CT193" i="54"/>
  <c r="CU192" i="54"/>
  <c r="CV192" i="54" s="1"/>
  <c r="CS192" i="54" s="1"/>
  <c r="CT192" i="54"/>
  <c r="CU171" i="54"/>
  <c r="CV171" i="54" s="1"/>
  <c r="CS171" i="54" s="1"/>
  <c r="CT171" i="54"/>
  <c r="CU261" i="54"/>
  <c r="CV261" i="54" s="1"/>
  <c r="CS261" i="54" s="1"/>
  <c r="CT261" i="54"/>
  <c r="CU159" i="54"/>
  <c r="CV159" i="54" s="1"/>
  <c r="CS159" i="54" s="1"/>
  <c r="CT159" i="54"/>
  <c r="CU260" i="54"/>
  <c r="CV260" i="54" s="1"/>
  <c r="CS260" i="54" s="1"/>
  <c r="CT260" i="54"/>
  <c r="CU216" i="54"/>
  <c r="CV216" i="54" s="1"/>
  <c r="CS216" i="54" s="1"/>
  <c r="CT216" i="54"/>
  <c r="CU180" i="54"/>
  <c r="CV180" i="54" s="1"/>
  <c r="CS180" i="54" s="1"/>
  <c r="CT180" i="54"/>
  <c r="CU158" i="54"/>
  <c r="CV158" i="54" s="1"/>
  <c r="CS158" i="54" s="1"/>
  <c r="CT158" i="54"/>
  <c r="CU190" i="54"/>
  <c r="CV190" i="54" s="1"/>
  <c r="CS190" i="54" s="1"/>
  <c r="CT190" i="54"/>
  <c r="CU197" i="54"/>
  <c r="CV197" i="54" s="1"/>
  <c r="CS197" i="54" s="1"/>
  <c r="CT197" i="54"/>
  <c r="CU141" i="54"/>
  <c r="CV141" i="54" s="1"/>
  <c r="CS141" i="54" s="1"/>
  <c r="CT141" i="54"/>
  <c r="CU154" i="54"/>
  <c r="CV154" i="54" s="1"/>
  <c r="CS154" i="54" s="1"/>
  <c r="CT154" i="54"/>
  <c r="CU151" i="54"/>
  <c r="CV151" i="54" s="1"/>
  <c r="CS151" i="54" s="1"/>
  <c r="CT151" i="54"/>
  <c r="CU212" i="54"/>
  <c r="CV212" i="54" s="1"/>
  <c r="CS212" i="54" s="1"/>
  <c r="CT212" i="54"/>
  <c r="CM251" i="54"/>
  <c r="CL148" i="54"/>
  <c r="CM246" i="54"/>
  <c r="CM227" i="54"/>
  <c r="CM244" i="54"/>
  <c r="CL142" i="54"/>
  <c r="CM223" i="54"/>
  <c r="CM33" i="54"/>
  <c r="CU191" i="54"/>
  <c r="CV191" i="54" s="1"/>
  <c r="CS191" i="54" s="1"/>
  <c r="CT191" i="54"/>
  <c r="CU164" i="54"/>
  <c r="CV164" i="54" s="1"/>
  <c r="CS164" i="54" s="1"/>
  <c r="CT164" i="54"/>
  <c r="CM252" i="54"/>
  <c r="CU233" i="54"/>
  <c r="CV233" i="54" s="1"/>
  <c r="CS233" i="54" s="1"/>
  <c r="CT233" i="54"/>
  <c r="CT52" i="54"/>
  <c r="CU52" i="54"/>
  <c r="CV52" i="54" s="1"/>
  <c r="CS52" i="54" s="1"/>
  <c r="CT138" i="54"/>
  <c r="CU138" i="54"/>
  <c r="CV138" i="54" s="1"/>
  <c r="CS138" i="54" s="1"/>
  <c r="CT67" i="54"/>
  <c r="CU67" i="54"/>
  <c r="CV67" i="54" s="1"/>
  <c r="CS67" i="54" s="1"/>
  <c r="CT45" i="54"/>
  <c r="CT17" i="54"/>
  <c r="CU17" i="54"/>
  <c r="CV17" i="54" s="1"/>
  <c r="CS17" i="54" s="1"/>
  <c r="CU132" i="54"/>
  <c r="CV132" i="54" s="1"/>
  <c r="CS132" i="54" s="1"/>
  <c r="CU80" i="54"/>
  <c r="CV80" i="54" s="1"/>
  <c r="CS80" i="54" s="1"/>
  <c r="CU117" i="54"/>
  <c r="CV117" i="54" s="1"/>
  <c r="CS117" i="54" s="1"/>
  <c r="CU78" i="54"/>
  <c r="CV78" i="54" s="1"/>
  <c r="CS78" i="54" s="1"/>
  <c r="CU112" i="54"/>
  <c r="CV112" i="54" s="1"/>
  <c r="CS112" i="54" s="1"/>
  <c r="CU77" i="54"/>
  <c r="CV77" i="54" s="1"/>
  <c r="CS77" i="54" s="1"/>
  <c r="CU135" i="54"/>
  <c r="CV135" i="54" s="1"/>
  <c r="CS135" i="54" s="1"/>
  <c r="CU37" i="54"/>
  <c r="CV37" i="54" s="1"/>
  <c r="CS37" i="54" s="1"/>
  <c r="CU32" i="54"/>
  <c r="CV32" i="54" s="1"/>
  <c r="CS32" i="54" s="1"/>
  <c r="CU23" i="54"/>
  <c r="CV23" i="54" s="1"/>
  <c r="CS23" i="54" s="1"/>
  <c r="CU137" i="54"/>
  <c r="CV137" i="54" s="1"/>
  <c r="CS137" i="54" s="1"/>
  <c r="CU118" i="54"/>
  <c r="CV118" i="54" s="1"/>
  <c r="CS118" i="54" s="1"/>
  <c r="CU49" i="54"/>
  <c r="CV49" i="54" s="1"/>
  <c r="CS49" i="54" s="1"/>
  <c r="CU124" i="54"/>
  <c r="CV124" i="54" s="1"/>
  <c r="CS124" i="54" s="1"/>
  <c r="CU64" i="54"/>
  <c r="CV64" i="54" s="1"/>
  <c r="CS64" i="54" s="1"/>
  <c r="CU58" i="54"/>
  <c r="CV58" i="54" s="1"/>
  <c r="CS58" i="54" s="1"/>
  <c r="CU16" i="54"/>
  <c r="CV16" i="54" s="1"/>
  <c r="CS16" i="54" s="1"/>
  <c r="CU29" i="54"/>
  <c r="CV29" i="54" s="1"/>
  <c r="CS29" i="54" s="1"/>
  <c r="CU18" i="54"/>
  <c r="CV18" i="54" s="1"/>
  <c r="CS18" i="54" s="1"/>
  <c r="CU83" i="54"/>
  <c r="CV83" i="54" s="1"/>
  <c r="CS83" i="54" s="1"/>
  <c r="CU98" i="54"/>
  <c r="CV98" i="54" s="1"/>
  <c r="CS98" i="54" s="1"/>
  <c r="CU99" i="54"/>
  <c r="CV99" i="54" s="1"/>
  <c r="CS99" i="54" s="1"/>
  <c r="CU20" i="54"/>
  <c r="CV20" i="54" s="1"/>
  <c r="CS20" i="54" s="1"/>
  <c r="CU120" i="54"/>
  <c r="CV120" i="54" s="1"/>
  <c r="CS120" i="54" s="1"/>
  <c r="CU21" i="54"/>
  <c r="CV21" i="54" s="1"/>
  <c r="CS21" i="54" s="1"/>
  <c r="CU22" i="54"/>
  <c r="CV22" i="54" s="1"/>
  <c r="CS22" i="54" s="1"/>
  <c r="CU104" i="54"/>
  <c r="CV104" i="54" s="1"/>
  <c r="CS104" i="54" s="1"/>
  <c r="CU111" i="54"/>
  <c r="CV111" i="54" s="1"/>
  <c r="CS111" i="54" s="1"/>
  <c r="CU116" i="54"/>
  <c r="CV116" i="54" s="1"/>
  <c r="CS116" i="54" s="1"/>
  <c r="CU105" i="54"/>
  <c r="CV105" i="54" s="1"/>
  <c r="CS105" i="54" s="1"/>
  <c r="CU63" i="54"/>
  <c r="CV63" i="54" s="1"/>
  <c r="CS63" i="54" s="1"/>
  <c r="CU59" i="54"/>
  <c r="CV59" i="54" s="1"/>
  <c r="CS59" i="54" s="1"/>
  <c r="CU11" i="54"/>
  <c r="CV11" i="54" s="1"/>
  <c r="CS11" i="54" s="1"/>
  <c r="CL69" i="54"/>
  <c r="CU27" i="54"/>
  <c r="CV27" i="54" s="1"/>
  <c r="CS27" i="54" s="1"/>
  <c r="CU47" i="54"/>
  <c r="CV47" i="54" s="1"/>
  <c r="CS47" i="54" s="1"/>
  <c r="CT51" i="54"/>
  <c r="CU51" i="54"/>
  <c r="CV51" i="54" s="1"/>
  <c r="CS51" i="54" s="1"/>
  <c r="CU97" i="54"/>
  <c r="CV97" i="54" s="1"/>
  <c r="CS97" i="54" s="1"/>
  <c r="CU109" i="54"/>
  <c r="CV109" i="54" s="1"/>
  <c r="CS109" i="54" s="1"/>
  <c r="CU35" i="54"/>
  <c r="CV35" i="54" s="1"/>
  <c r="CS35" i="54" s="1"/>
  <c r="CU28" i="54"/>
  <c r="CV28" i="54" s="1"/>
  <c r="CS28" i="54" s="1"/>
  <c r="CU110" i="54"/>
  <c r="CV110" i="54" s="1"/>
  <c r="CS110" i="54" s="1"/>
  <c r="CU19" i="54"/>
  <c r="CV19" i="54" s="1"/>
  <c r="CS19" i="54" s="1"/>
  <c r="CU74" i="54"/>
  <c r="CV74" i="54" s="1"/>
  <c r="CS74" i="54" s="1"/>
  <c r="CU103" i="54"/>
  <c r="CV103" i="54" s="1"/>
  <c r="CS103" i="54" s="1"/>
  <c r="CU128" i="54"/>
  <c r="CV128" i="54" s="1"/>
  <c r="CS128" i="54" s="1"/>
  <c r="CU122" i="54"/>
  <c r="CV122" i="54" s="1"/>
  <c r="CS122" i="54" s="1"/>
  <c r="CU91" i="54"/>
  <c r="CV91" i="54" s="1"/>
  <c r="CS91" i="54" s="1"/>
  <c r="CU131" i="54"/>
  <c r="CV131" i="54" s="1"/>
  <c r="CS131" i="54" s="1"/>
  <c r="CU119" i="54"/>
  <c r="CV119" i="54" s="1"/>
  <c r="CS119" i="54" s="1"/>
  <c r="CU30" i="54"/>
  <c r="CV30" i="54" s="1"/>
  <c r="CS30" i="54" s="1"/>
  <c r="CU79" i="54"/>
  <c r="CV79" i="54" s="1"/>
  <c r="CS79" i="54" s="1"/>
  <c r="CU70" i="54"/>
  <c r="CV70" i="54" s="1"/>
  <c r="CS70" i="54" s="1"/>
  <c r="CU15" i="54"/>
  <c r="CV15" i="54" s="1"/>
  <c r="CS15" i="54" s="1"/>
  <c r="CU129" i="54"/>
  <c r="CV129" i="54" s="1"/>
  <c r="CS129" i="54" s="1"/>
  <c r="CU81" i="54"/>
  <c r="CV81" i="54" s="1"/>
  <c r="CS81" i="54" s="1"/>
  <c r="CU127" i="54"/>
  <c r="CV127" i="54" s="1"/>
  <c r="CS127" i="54" s="1"/>
  <c r="CU41" i="54"/>
  <c r="CV41" i="54" s="1"/>
  <c r="CS41" i="54" s="1"/>
  <c r="CU10" i="54"/>
  <c r="CV10" i="54" s="1"/>
  <c r="CS10" i="54" s="1"/>
  <c r="CU39" i="54"/>
  <c r="CV39" i="54" s="1"/>
  <c r="CS39" i="54" s="1"/>
  <c r="CU44" i="54"/>
  <c r="CV44" i="54" s="1"/>
  <c r="CS44" i="54" s="1"/>
  <c r="CU71" i="54"/>
  <c r="CV71" i="54" s="1"/>
  <c r="CS71" i="54" s="1"/>
  <c r="CU92" i="54"/>
  <c r="CV92" i="54" s="1"/>
  <c r="CS92" i="54" s="1"/>
  <c r="CU136" i="54"/>
  <c r="CV136" i="54" s="1"/>
  <c r="CS136" i="54" s="1"/>
  <c r="CU106" i="54"/>
  <c r="CV106" i="54" s="1"/>
  <c r="CS106" i="54" s="1"/>
  <c r="CU56" i="54"/>
  <c r="CV56" i="54" s="1"/>
  <c r="CS56" i="54" s="1"/>
  <c r="CU43" i="54"/>
  <c r="CV43" i="54" s="1"/>
  <c r="CS43" i="54" s="1"/>
  <c r="CU14" i="54"/>
  <c r="CV14" i="54" s="1"/>
  <c r="CS14" i="54" s="1"/>
  <c r="CU33" i="54"/>
  <c r="CV33" i="54" s="1"/>
  <c r="CS33" i="54" s="1"/>
  <c r="CU101" i="54"/>
  <c r="CV101" i="54" s="1"/>
  <c r="CS101" i="54" s="1"/>
  <c r="CU133" i="54"/>
  <c r="CV133" i="54" s="1"/>
  <c r="CS133" i="54" s="1"/>
  <c r="CU88" i="54"/>
  <c r="CV88" i="54" s="1"/>
  <c r="CS88" i="54" s="1"/>
  <c r="CU57" i="54"/>
  <c r="CV57" i="54" s="1"/>
  <c r="CS57" i="54" s="1"/>
  <c r="CU85" i="54"/>
  <c r="CV85" i="54" s="1"/>
  <c r="CS85" i="54" s="1"/>
  <c r="CL164" i="54"/>
  <c r="CL202" i="54"/>
  <c r="CL63" i="54"/>
  <c r="CL89" i="54"/>
  <c r="CL95" i="54"/>
  <c r="CL100" i="54"/>
  <c r="CL85" i="54"/>
  <c r="CL58" i="54"/>
  <c r="CL200" i="54"/>
  <c r="CL178" i="54"/>
  <c r="CL62" i="54"/>
  <c r="CL87" i="54"/>
  <c r="CL220" i="54"/>
  <c r="CL82" i="54"/>
  <c r="CL219" i="54"/>
  <c r="CL201" i="54"/>
  <c r="CL212" i="54"/>
  <c r="CL192" i="54"/>
  <c r="CL72" i="54"/>
  <c r="CL67" i="54"/>
  <c r="CL101" i="54"/>
  <c r="CL76" i="54"/>
  <c r="CL216" i="54"/>
  <c r="CL68" i="54"/>
  <c r="CL52" i="54"/>
  <c r="CL132" i="54"/>
  <c r="CM170" i="54"/>
  <c r="CM218" i="54"/>
  <c r="CM153" i="54"/>
  <c r="CL233" i="54"/>
  <c r="CM125" i="54"/>
  <c r="CL252" i="54"/>
  <c r="CL264" i="54"/>
  <c r="CM120" i="54"/>
  <c r="CL94" i="54"/>
  <c r="CM92" i="54"/>
  <c r="CM70" i="54"/>
  <c r="CL44" i="54"/>
  <c r="CL38" i="54"/>
  <c r="CM149" i="54"/>
  <c r="CM159" i="54"/>
  <c r="CM163" i="54"/>
  <c r="CL55" i="54"/>
  <c r="CM167" i="54"/>
  <c r="CL150" i="54"/>
  <c r="CL17" i="54"/>
  <c r="CL191" i="54"/>
  <c r="CM129" i="54"/>
  <c r="CM158" i="54"/>
  <c r="CL239" i="54"/>
  <c r="CM98" i="54"/>
  <c r="CL229" i="54"/>
  <c r="CM219" i="54"/>
  <c r="CL235" i="54"/>
  <c r="CM193" i="54"/>
  <c r="CL26" i="54"/>
  <c r="CM43" i="54"/>
  <c r="CL51" i="54"/>
  <c r="CL208" i="54"/>
  <c r="CM136" i="54"/>
  <c r="CM157" i="54"/>
  <c r="CL27" i="54"/>
  <c r="CL267" i="54"/>
  <c r="CL10" i="54"/>
  <c r="CM192" i="54"/>
  <c r="CM180" i="54"/>
  <c r="CL15" i="54"/>
  <c r="CL50" i="54"/>
  <c r="CM90" i="54"/>
  <c r="CM140" i="54"/>
  <c r="CL47" i="54"/>
  <c r="CL160" i="54"/>
  <c r="CL262" i="54"/>
  <c r="CL20" i="54"/>
  <c r="CL255" i="54"/>
  <c r="CM152" i="54"/>
  <c r="CM141" i="54"/>
  <c r="CM64" i="54"/>
  <c r="CL35" i="54"/>
  <c r="CM91" i="54"/>
  <c r="CM74" i="54"/>
  <c r="CL32" i="54"/>
  <c r="CM172" i="54"/>
  <c r="CM45" i="54"/>
  <c r="CL45" i="54"/>
  <c r="CL157" i="54"/>
  <c r="CL28" i="54"/>
  <c r="CM216" i="54"/>
  <c r="CM209" i="54"/>
  <c r="CM73" i="54"/>
  <c r="CL221" i="54"/>
  <c r="CM145" i="54"/>
  <c r="CM101" i="54"/>
  <c r="CL245" i="54"/>
  <c r="CL42" i="54"/>
  <c r="CM207" i="54"/>
  <c r="CM182" i="54"/>
  <c r="CL254" i="54"/>
  <c r="CL21" i="54"/>
  <c r="CM48" i="54"/>
  <c r="CM194" i="54"/>
  <c r="CL23" i="54"/>
  <c r="CM185" i="54"/>
  <c r="CM181" i="54"/>
  <c r="CM78" i="54"/>
  <c r="CL257" i="54"/>
  <c r="CM30" i="54"/>
  <c r="CL30" i="54"/>
  <c r="CM142" i="54"/>
  <c r="CM119" i="54"/>
  <c r="CM59" i="54"/>
  <c r="CQ2" i="54"/>
  <c r="CL236" i="54"/>
  <c r="CM168" i="54"/>
  <c r="CL61" i="54"/>
  <c r="CM112" i="54"/>
  <c r="CL37" i="54"/>
  <c r="CM85" i="54"/>
  <c r="CL189" i="54"/>
  <c r="CM100" i="54"/>
  <c r="CL171" i="54"/>
  <c r="CM128" i="54"/>
  <c r="CL266" i="54"/>
  <c r="CM14" i="54"/>
  <c r="CM169" i="54"/>
  <c r="CM171" i="54"/>
  <c r="CM127" i="54"/>
  <c r="CL16" i="54"/>
  <c r="CL222" i="54"/>
  <c r="CM87" i="54"/>
  <c r="CM205" i="54"/>
  <c r="CM60" i="54"/>
  <c r="CL196" i="54"/>
  <c r="CM196" i="54"/>
  <c r="CL249" i="54"/>
  <c r="CL226" i="54"/>
  <c r="CM63" i="54"/>
  <c r="CL46" i="54"/>
  <c r="CM206" i="54"/>
  <c r="CL265" i="54"/>
  <c r="CM124" i="54"/>
  <c r="CL43" i="54"/>
  <c r="CL18" i="54"/>
  <c r="CL48" i="54"/>
  <c r="CM102" i="54"/>
  <c r="CM199" i="54"/>
  <c r="CL54" i="54"/>
  <c r="CM202" i="54"/>
  <c r="CL232" i="54"/>
  <c r="CM217" i="54"/>
  <c r="CM147" i="54"/>
  <c r="CM188" i="54"/>
  <c r="CM215" i="54"/>
  <c r="CM41" i="54"/>
  <c r="CL118" i="54"/>
  <c r="CL268" i="54"/>
  <c r="CM166" i="54"/>
  <c r="CM28" i="54"/>
  <c r="CL104" i="54"/>
  <c r="CM122" i="54"/>
  <c r="CM220" i="54"/>
  <c r="CM67" i="54"/>
  <c r="CM177" i="54"/>
  <c r="CM150" i="54"/>
  <c r="CM164" i="54"/>
  <c r="CM25" i="54"/>
  <c r="CL151" i="54"/>
  <c r="CL223" i="54"/>
  <c r="CM191" i="54"/>
  <c r="CM160" i="54"/>
  <c r="CM178" i="54"/>
  <c r="CM79" i="54"/>
  <c r="CM173" i="54"/>
  <c r="CL237" i="54"/>
  <c r="CM190" i="54"/>
  <c r="CL227" i="54"/>
  <c r="CM106" i="54"/>
  <c r="CM83" i="54"/>
  <c r="CL33" i="54"/>
  <c r="CM118" i="54"/>
  <c r="CM179" i="54"/>
  <c r="CM110" i="54"/>
  <c r="CM208" i="54"/>
  <c r="CM195" i="54"/>
  <c r="CM84" i="54"/>
  <c r="CM108" i="54"/>
  <c r="CM96" i="54"/>
  <c r="CM13" i="54"/>
  <c r="CL204" i="54"/>
  <c r="CM204" i="54"/>
  <c r="CM143" i="54"/>
  <c r="CM154" i="54"/>
  <c r="CM151" i="54"/>
  <c r="CQ4" i="54"/>
  <c r="CL41" i="54"/>
  <c r="CM162" i="54"/>
  <c r="CM203" i="54"/>
  <c r="CM148" i="54"/>
  <c r="CM132" i="54"/>
  <c r="CM189" i="54"/>
  <c r="CL246" i="54"/>
  <c r="CL34" i="54"/>
  <c r="CM104" i="54"/>
  <c r="CL143" i="54"/>
  <c r="CL129" i="54"/>
  <c r="CL109" i="54"/>
  <c r="CL123" i="54"/>
  <c r="CM47" i="54"/>
  <c r="CL193" i="54"/>
  <c r="CL111" i="54"/>
  <c r="CL125" i="54"/>
  <c r="CL206" i="54"/>
  <c r="CL138" i="54"/>
  <c r="CL105" i="54"/>
  <c r="CM12" i="54"/>
  <c r="CL108" i="54"/>
  <c r="CL113" i="54"/>
  <c r="CM18" i="54"/>
  <c r="CM44" i="54"/>
  <c r="CL153" i="54"/>
  <c r="CL173" i="54"/>
  <c r="CM55" i="54"/>
  <c r="CL149" i="54"/>
  <c r="CL203" i="54"/>
  <c r="CL211" i="54"/>
  <c r="CL187" i="54"/>
  <c r="CM15" i="54"/>
  <c r="CM49" i="54"/>
  <c r="CM52" i="54"/>
  <c r="CL198" i="54"/>
  <c r="CL120" i="54"/>
  <c r="CL209" i="54"/>
  <c r="CL205" i="54"/>
  <c r="CM11" i="54"/>
  <c r="CL107" i="54"/>
  <c r="CL168" i="54"/>
  <c r="CL159" i="54"/>
  <c r="CL24" i="54"/>
  <c r="CL188" i="54"/>
  <c r="CL163" i="54"/>
  <c r="CL155" i="54"/>
  <c r="CL218" i="54"/>
  <c r="CL214" i="54"/>
  <c r="CL134" i="54"/>
  <c r="CL176" i="54"/>
  <c r="CL165" i="54"/>
  <c r="CL146" i="54"/>
  <c r="CM161" i="54"/>
  <c r="CM17" i="54"/>
  <c r="CL190" i="54"/>
  <c r="CL39" i="54"/>
  <c r="CM176" i="54"/>
  <c r="CM31" i="54"/>
  <c r="CL175" i="54"/>
  <c r="CM16" i="54"/>
  <c r="AS23" i="50"/>
  <c r="AP24" i="50" s="1"/>
  <c r="AQ24" i="50" s="1"/>
  <c r="CM146" i="54"/>
  <c r="CL263" i="54"/>
  <c r="CL258" i="54"/>
  <c r="CM214" i="54"/>
  <c r="CM69" i="54"/>
  <c r="CM165" i="54"/>
  <c r="CM183" i="54"/>
  <c r="CM61" i="54"/>
  <c r="CM72" i="54"/>
  <c r="CL247" i="54"/>
  <c r="CL248" i="54"/>
  <c r="CM103" i="54"/>
  <c r="GF4" i="54" a="1"/>
  <c r="GF4" i="54" s="1"/>
  <c r="CM139" i="54"/>
  <c r="GM4" i="54"/>
  <c r="GL3" i="54"/>
  <c r="FY3" i="54" s="1"/>
  <c r="FZ5" i="54" s="1" a="1"/>
  <c r="FZ5" i="54" s="1"/>
  <c r="GL4" i="54" a="1"/>
  <c r="GL4" i="54" s="1"/>
  <c r="FM5" i="54"/>
  <c r="FV6" i="54"/>
  <c r="FU5" i="54"/>
  <c r="FO6" i="54"/>
  <c r="FN5" i="54"/>
  <c r="FT5" i="54"/>
  <c r="CN222" i="54"/>
  <c r="CN150" i="54"/>
  <c r="CN78" i="54"/>
  <c r="CN238" i="54"/>
  <c r="CN213" i="54"/>
  <c r="CN141" i="54"/>
  <c r="CN248" i="54"/>
  <c r="CN104" i="54"/>
  <c r="CN235" i="54"/>
  <c r="CN151" i="54"/>
  <c r="CN67" i="54"/>
  <c r="CN239" i="54"/>
  <c r="CN167" i="54"/>
  <c r="CN95" i="54"/>
  <c r="CN23" i="54"/>
  <c r="CN202" i="54"/>
  <c r="CN130" i="54"/>
  <c r="CN58" i="54"/>
  <c r="CN32" i="54"/>
  <c r="CN252" i="54"/>
  <c r="CN180" i="54"/>
  <c r="CN108" i="54"/>
  <c r="CN36" i="54"/>
  <c r="CN231" i="54"/>
  <c r="CN159" i="54"/>
  <c r="CN87" i="54"/>
  <c r="CN206" i="54"/>
  <c r="CN134" i="54"/>
  <c r="CN265" i="54"/>
  <c r="CN193" i="54"/>
  <c r="CN109" i="54"/>
  <c r="CN257" i="54"/>
  <c r="CN185" i="54"/>
  <c r="CN113" i="54"/>
  <c r="CN41" i="54"/>
  <c r="CN232" i="54"/>
  <c r="CN160" i="54"/>
  <c r="CN88" i="54"/>
  <c r="CN16" i="54"/>
  <c r="CN15" i="54"/>
  <c r="CN49" i="54"/>
  <c r="CN223" i="54"/>
  <c r="CN198" i="54"/>
  <c r="CN114" i="54"/>
  <c r="CN30" i="54"/>
  <c r="CN225" i="54"/>
  <c r="CN129" i="54"/>
  <c r="CN224" i="54"/>
  <c r="CN140" i="54"/>
  <c r="CN259" i="54"/>
  <c r="CN163" i="54"/>
  <c r="CN55" i="54"/>
  <c r="CN215" i="54"/>
  <c r="CN131" i="54"/>
  <c r="CN47" i="54"/>
  <c r="CN214" i="54"/>
  <c r="CN118" i="54"/>
  <c r="CN22" i="54"/>
  <c r="CN21" i="54"/>
  <c r="CN61" i="54"/>
  <c r="CN192" i="54"/>
  <c r="CN96" i="54"/>
  <c r="CN12" i="54"/>
  <c r="CN195" i="54"/>
  <c r="CN111" i="54"/>
  <c r="CN218" i="54"/>
  <c r="CN122" i="54"/>
  <c r="CN241" i="54"/>
  <c r="CN145" i="54"/>
  <c r="CN37" i="54"/>
  <c r="CN197" i="54"/>
  <c r="CN101" i="54"/>
  <c r="CN17" i="54"/>
  <c r="CN196" i="54"/>
  <c r="CN112" i="54"/>
  <c r="CN28" i="54"/>
  <c r="CN62" i="54"/>
  <c r="CN115" i="54"/>
  <c r="CN186" i="54"/>
  <c r="CN18" i="54"/>
  <c r="CN117" i="54"/>
  <c r="CN212" i="54"/>
  <c r="CN128" i="54"/>
  <c r="CN247" i="54"/>
  <c r="CN139" i="54"/>
  <c r="CN31" i="54"/>
  <c r="CN203" i="54"/>
  <c r="CN119" i="54"/>
  <c r="CN35" i="54"/>
  <c r="CN190" i="54"/>
  <c r="CN106" i="54"/>
  <c r="CN10" i="54"/>
  <c r="CN56" i="54"/>
  <c r="CN264" i="54"/>
  <c r="CN168" i="54"/>
  <c r="CN84" i="54"/>
  <c r="CN267" i="54"/>
  <c r="CN183" i="54"/>
  <c r="CN99" i="54"/>
  <c r="CN194" i="54"/>
  <c r="CN110" i="54"/>
  <c r="CN229" i="54"/>
  <c r="CN133" i="54"/>
  <c r="CN25" i="54"/>
  <c r="CN173" i="54"/>
  <c r="CN89" i="54"/>
  <c r="CN268" i="54"/>
  <c r="CN184" i="54"/>
  <c r="CN100" i="54"/>
  <c r="CN75" i="54"/>
  <c r="CN50" i="54"/>
  <c r="CN258" i="54"/>
  <c r="CN174" i="54"/>
  <c r="CN90" i="54"/>
  <c r="CN46" i="54"/>
  <c r="CN189" i="54"/>
  <c r="CN105" i="54"/>
  <c r="CN200" i="54"/>
  <c r="CN116" i="54"/>
  <c r="CN211" i="54"/>
  <c r="CN127" i="54"/>
  <c r="CN19" i="54"/>
  <c r="CN191" i="54"/>
  <c r="CN107" i="54"/>
  <c r="CN11" i="54"/>
  <c r="CN178" i="54"/>
  <c r="CN94" i="54"/>
  <c r="CN81" i="54"/>
  <c r="CN44" i="54"/>
  <c r="CN240" i="54"/>
  <c r="CN156" i="54"/>
  <c r="CN72" i="54"/>
  <c r="CN255" i="54"/>
  <c r="CN171" i="54"/>
  <c r="CN266" i="54"/>
  <c r="CN182" i="54"/>
  <c r="CN98" i="54"/>
  <c r="CN217" i="54"/>
  <c r="CN121" i="54"/>
  <c r="CN245" i="54"/>
  <c r="CN161" i="54"/>
  <c r="CN256" i="54"/>
  <c r="CN172" i="54"/>
  <c r="CN76" i="54"/>
  <c r="CN63" i="54"/>
  <c r="CN38" i="54"/>
  <c r="CN246" i="54"/>
  <c r="CN162" i="54"/>
  <c r="CN66" i="54"/>
  <c r="CN261" i="54"/>
  <c r="CN177" i="54"/>
  <c r="CN93" i="54"/>
  <c r="CN188" i="54"/>
  <c r="CN92" i="54"/>
  <c r="CN199" i="54"/>
  <c r="CN103" i="54"/>
  <c r="CN263" i="54"/>
  <c r="CN179" i="54"/>
  <c r="CN83" i="54"/>
  <c r="CN262" i="54"/>
  <c r="CN166" i="54"/>
  <c r="CN82" i="54"/>
  <c r="CN69" i="54"/>
  <c r="CN20" i="54"/>
  <c r="CN228" i="54"/>
  <c r="CN144" i="54"/>
  <c r="CN60" i="54"/>
  <c r="CN243" i="54"/>
  <c r="CN147" i="54"/>
  <c r="CN254" i="54"/>
  <c r="CN170" i="54"/>
  <c r="CN86" i="54"/>
  <c r="CN205" i="54"/>
  <c r="CN97" i="54"/>
  <c r="CN233" i="54"/>
  <c r="CN149" i="54"/>
  <c r="CN65" i="54"/>
  <c r="CN244" i="54"/>
  <c r="CN148" i="54"/>
  <c r="CN64" i="54"/>
  <c r="CN51" i="54"/>
  <c r="CN26" i="54"/>
  <c r="CN234" i="54"/>
  <c r="CN138" i="54"/>
  <c r="CN54" i="54"/>
  <c r="CN249" i="54"/>
  <c r="CN165" i="54"/>
  <c r="CN260" i="54"/>
  <c r="CN164" i="54"/>
  <c r="CN80" i="54"/>
  <c r="CN91" i="54"/>
  <c r="CN251" i="54"/>
  <c r="CN155" i="54"/>
  <c r="CN71" i="54"/>
  <c r="CN250" i="54"/>
  <c r="CN154" i="54"/>
  <c r="CN70" i="54"/>
  <c r="CN45" i="54"/>
  <c r="CN43" i="54"/>
  <c r="CN216" i="54"/>
  <c r="CN132" i="54"/>
  <c r="CN48" i="54"/>
  <c r="CN219" i="54"/>
  <c r="CN135" i="54"/>
  <c r="CN242" i="54"/>
  <c r="CN158" i="54"/>
  <c r="CN74" i="54"/>
  <c r="CN181" i="54"/>
  <c r="CN85" i="54"/>
  <c r="CN137" i="54"/>
  <c r="CN53" i="54"/>
  <c r="CN220" i="54"/>
  <c r="CN136" i="54"/>
  <c r="CN52" i="54"/>
  <c r="CN39" i="54"/>
  <c r="CN14" i="54"/>
  <c r="CN210" i="54"/>
  <c r="CN126" i="54"/>
  <c r="CN42" i="54"/>
  <c r="CN237" i="54"/>
  <c r="CN153" i="54"/>
  <c r="CN236" i="54"/>
  <c r="CN152" i="54"/>
  <c r="CN175" i="54"/>
  <c r="CN79" i="54"/>
  <c r="CN227" i="54"/>
  <c r="CN143" i="54"/>
  <c r="CN59" i="54"/>
  <c r="CN226" i="54"/>
  <c r="CN142" i="54"/>
  <c r="CN34" i="54"/>
  <c r="CN33" i="54"/>
  <c r="CN169" i="54"/>
  <c r="CN204" i="54"/>
  <c r="CN120" i="54"/>
  <c r="CN24" i="54"/>
  <c r="CN207" i="54"/>
  <c r="CN123" i="54"/>
  <c r="CN230" i="54"/>
  <c r="CN146" i="54"/>
  <c r="CN253" i="54"/>
  <c r="CN157" i="54"/>
  <c r="CN73" i="54"/>
  <c r="CN209" i="54"/>
  <c r="CN125" i="54"/>
  <c r="CN29" i="54"/>
  <c r="CN208" i="54"/>
  <c r="CN124" i="54"/>
  <c r="CN40" i="54"/>
  <c r="CN27" i="54"/>
  <c r="CN13" i="54"/>
  <c r="DC37" i="54"/>
  <c r="DA37" i="54"/>
  <c r="DB38" i="54" s="1"/>
  <c r="B30" i="50"/>
  <c r="E31" i="50"/>
  <c r="E30" i="50"/>
  <c r="B31" i="50"/>
  <c r="GF5" i="54" l="1" a="1"/>
  <c r="GF5" i="54" s="1"/>
  <c r="GH5" i="54" s="1"/>
  <c r="GG5" i="54" a="1"/>
  <c r="GG5" i="54" s="1"/>
  <c r="GI5" i="54" s="1"/>
  <c r="CT249" i="54"/>
  <c r="CT172" i="54"/>
  <c r="CT168" i="54"/>
  <c r="CU168" i="54"/>
  <c r="CV168" i="54" s="1"/>
  <c r="CS168" i="54" s="1"/>
  <c r="CT256" i="54"/>
  <c r="CU256" i="54"/>
  <c r="CV256" i="54" s="1"/>
  <c r="CS256" i="54" s="1"/>
  <c r="CT206" i="54"/>
  <c r="CU206" i="54"/>
  <c r="CV206" i="54" s="1"/>
  <c r="CS206" i="54" s="1"/>
  <c r="CT115" i="54"/>
  <c r="CU115" i="54"/>
  <c r="CV115" i="54" s="1"/>
  <c r="CS115" i="54" s="1"/>
  <c r="CT220" i="54"/>
  <c r="CU220" i="54"/>
  <c r="CV220" i="54" s="1"/>
  <c r="CS220" i="54" s="1"/>
  <c r="CT268" i="54"/>
  <c r="CU268" i="54"/>
  <c r="CV268" i="54" s="1"/>
  <c r="CS268" i="54" s="1"/>
  <c r="CT121" i="54"/>
  <c r="CU121" i="54"/>
  <c r="CV121" i="54" s="1"/>
  <c r="CS121" i="54" s="1"/>
  <c r="FZ4" i="54" a="1"/>
  <c r="FZ4" i="54" s="1"/>
  <c r="GC5" i="54" s="1"/>
  <c r="FY4" i="54" a="1"/>
  <c r="FY4" i="54" s="1"/>
  <c r="FY5" i="54" a="1"/>
  <c r="FY5" i="54" s="1"/>
  <c r="AR24" i="50"/>
  <c r="AS24" i="50"/>
  <c r="FP5" i="54"/>
  <c r="FK6" i="54" s="1"/>
  <c r="FJ6" i="54" s="1"/>
  <c r="FW5" i="54"/>
  <c r="FR6" i="54" s="1"/>
  <c r="GC6" i="54"/>
  <c r="DC38" i="54"/>
  <c r="DA38" i="54"/>
  <c r="DB39" i="54" s="1"/>
  <c r="G7" i="53"/>
  <c r="H8" i="53" s="1"/>
  <c r="H14" i="53" s="1" a="1"/>
  <c r="H14" i="53" s="1"/>
  <c r="GK5" i="54" l="1"/>
  <c r="GF6" i="54" s="1"/>
  <c r="GH6" i="54" s="1"/>
  <c r="GJ6" i="54"/>
  <c r="GA5" i="54"/>
  <c r="GB5" i="54"/>
  <c r="AP25" i="50"/>
  <c r="AQ25" i="50" s="1"/>
  <c r="FL6" i="54"/>
  <c r="FN6" i="54" s="1"/>
  <c r="FM6" i="54"/>
  <c r="FS6" i="54"/>
  <c r="FQ6" i="54"/>
  <c r="FT6" i="54"/>
  <c r="DC39" i="54"/>
  <c r="DA39" i="54"/>
  <c r="DB40" i="54" s="1"/>
  <c r="F14" i="53" a="1"/>
  <c r="F14" i="53" s="1"/>
  <c r="G14" i="53" s="1" a="1"/>
  <c r="G14" i="53" s="1"/>
  <c r="GE6" i="54" l="1"/>
  <c r="GG6" i="54"/>
  <c r="GJ7" i="54" s="1"/>
  <c r="GD5" i="54"/>
  <c r="FY6" i="54" s="1"/>
  <c r="FZ6" i="54" s="1"/>
  <c r="GC7" i="54" s="1"/>
  <c r="AR25" i="50"/>
  <c r="AS25" i="50"/>
  <c r="FP6" i="54"/>
  <c r="FK7" i="54" s="1"/>
  <c r="FJ7" i="54" s="1"/>
  <c r="FO7" i="54"/>
  <c r="FV7" i="54"/>
  <c r="FU6" i="54"/>
  <c r="FW6" i="54" s="1"/>
  <c r="FR7" i="54" s="1"/>
  <c r="DC40" i="54"/>
  <c r="DA40" i="54"/>
  <c r="DB41" i="54" s="1"/>
  <c r="I14" i="53" a="1"/>
  <c r="I14" i="53" s="1"/>
  <c r="I6" i="53" s="1"/>
  <c r="H6" i="53"/>
  <c r="C8" i="53"/>
  <c r="GI6" i="54" l="1"/>
  <c r="GK6" i="54" s="1"/>
  <c r="GF7" i="54" s="1"/>
  <c r="GG7" i="54" s="1"/>
  <c r="GJ8" i="54" s="1"/>
  <c r="GB6" i="54"/>
  <c r="GA6" i="54"/>
  <c r="FX6" i="54"/>
  <c r="AP26" i="50"/>
  <c r="AQ26" i="50" s="1"/>
  <c r="AR26" i="50" s="1"/>
  <c r="FL7" i="54"/>
  <c r="FN7" i="54" s="1"/>
  <c r="FM7" i="54"/>
  <c r="FQ7" i="54"/>
  <c r="FS7" i="54"/>
  <c r="FT7" i="54"/>
  <c r="DC41" i="54"/>
  <c r="DA41" i="54"/>
  <c r="DB42" i="54" s="1"/>
  <c r="D14" i="53" a="1"/>
  <c r="D14" i="53" s="1"/>
  <c r="C7" i="53"/>
  <c r="C6" i="53"/>
  <c r="GI7" i="54" l="1"/>
  <c r="GE7" i="54"/>
  <c r="GH7" i="54"/>
  <c r="GD6" i="54"/>
  <c r="FY7" i="54" s="1"/>
  <c r="GA7" i="54" s="1"/>
  <c r="FO8" i="54"/>
  <c r="AS26" i="50"/>
  <c r="AP27" i="50" s="1"/>
  <c r="AQ27" i="50" s="1"/>
  <c r="AS27" i="50" s="1"/>
  <c r="FP7" i="54"/>
  <c r="FK8" i="54" s="1"/>
  <c r="FM8" i="54" s="1"/>
  <c r="FV8" i="54"/>
  <c r="FU7" i="54"/>
  <c r="FW7" i="54" s="1"/>
  <c r="FR8" i="54" s="1"/>
  <c r="DC42" i="54"/>
  <c r="DA42" i="54"/>
  <c r="DB43" i="54" s="1"/>
  <c r="D7" i="53"/>
  <c r="D6" i="53"/>
  <c r="GK7" i="54" l="1"/>
  <c r="GF8" i="54" s="1"/>
  <c r="GH8" i="54" s="1"/>
  <c r="FZ7" i="54"/>
  <c r="GB7" i="54" s="1"/>
  <c r="GD7" i="54" s="1"/>
  <c r="FY8" i="54" s="1"/>
  <c r="FX8" i="54" s="1"/>
  <c r="FX7" i="54"/>
  <c r="FL8" i="54"/>
  <c r="FO9" i="54" s="1"/>
  <c r="FJ8" i="54"/>
  <c r="AR27" i="50"/>
  <c r="AP28" i="50" s="1"/>
  <c r="AQ28" i="50" s="1"/>
  <c r="AS28" i="50" s="1"/>
  <c r="GG8" i="54"/>
  <c r="GJ9" i="54" s="1"/>
  <c r="FQ8" i="54"/>
  <c r="FS8" i="54"/>
  <c r="FT8" i="54"/>
  <c r="DC43" i="54"/>
  <c r="DA43" i="54"/>
  <c r="DB44" i="54" s="1"/>
  <c r="GE8" i="54" l="1"/>
  <c r="GA8" i="54"/>
  <c r="GC8" i="54"/>
  <c r="FZ8" i="54"/>
  <c r="GC9" i="54" s="1"/>
  <c r="FN8" i="54"/>
  <c r="FP8" i="54" s="1"/>
  <c r="FK9" i="54" s="1"/>
  <c r="FL9" i="54" s="1"/>
  <c r="AR28" i="50"/>
  <c r="AP29" i="50" s="1"/>
  <c r="AQ29" i="50" s="1"/>
  <c r="AR29" i="50" s="1"/>
  <c r="GI8" i="54"/>
  <c r="GK8" i="54" s="1"/>
  <c r="GF9" i="54" s="1"/>
  <c r="GG9" i="54" s="1"/>
  <c r="FU8" i="54"/>
  <c r="FW8" i="54" s="1"/>
  <c r="FR9" i="54" s="1"/>
  <c r="FV9" i="54"/>
  <c r="DC44" i="54"/>
  <c r="DA44" i="54"/>
  <c r="DB45" i="54" s="1"/>
  <c r="GB8" i="54" l="1"/>
  <c r="GD8" i="54" s="1"/>
  <c r="FY9" i="54" s="1"/>
  <c r="FX9" i="54" s="1"/>
  <c r="FM9" i="54"/>
  <c r="FJ9" i="54"/>
  <c r="GH9" i="54"/>
  <c r="AS29" i="50"/>
  <c r="AP30" i="50" s="1"/>
  <c r="AQ30" i="50" s="1"/>
  <c r="AS30" i="50" s="1"/>
  <c r="GE9" i="54"/>
  <c r="FS9" i="54"/>
  <c r="FQ9" i="54"/>
  <c r="FT9" i="54"/>
  <c r="GJ10" i="54"/>
  <c r="GI9" i="54"/>
  <c r="FO10" i="54"/>
  <c r="FN9" i="54"/>
  <c r="DC45" i="54"/>
  <c r="DA45" i="54"/>
  <c r="DB46" i="54" s="1"/>
  <c r="FP9" i="54" l="1"/>
  <c r="FK10" i="54" s="1"/>
  <c r="FM10" i="54" s="1"/>
  <c r="GA9" i="54"/>
  <c r="FZ9" i="54"/>
  <c r="GC10" i="54" s="1"/>
  <c r="GK9" i="54"/>
  <c r="GF10" i="54" s="1"/>
  <c r="GH10" i="54" s="1"/>
  <c r="AR30" i="50"/>
  <c r="AP31" i="50" s="1"/>
  <c r="AQ31" i="50" s="1"/>
  <c r="FV10" i="54"/>
  <c r="FU9" i="54"/>
  <c r="FW9" i="54" s="1"/>
  <c r="FR10" i="54" s="1"/>
  <c r="DC46" i="54"/>
  <c r="DA46" i="54"/>
  <c r="DB47" i="54" s="1"/>
  <c r="FJ10" i="54" l="1"/>
  <c r="FL10" i="54"/>
  <c r="FO11" i="54" s="1"/>
  <c r="GE10" i="54"/>
  <c r="GB9" i="54"/>
  <c r="GD9" i="54" s="1"/>
  <c r="FY10" i="54" s="1"/>
  <c r="FX10" i="54" s="1"/>
  <c r="GG10" i="54"/>
  <c r="GI10" i="54" s="1"/>
  <c r="GK10" i="54" s="1"/>
  <c r="GF11" i="54" s="1"/>
  <c r="AS31" i="50"/>
  <c r="AR31" i="50"/>
  <c r="AP32" i="50" s="1"/>
  <c r="AQ32" i="50" s="1"/>
  <c r="FS10" i="54"/>
  <c r="FQ10" i="54"/>
  <c r="FT10" i="54"/>
  <c r="DC47" i="54"/>
  <c r="DA47" i="54"/>
  <c r="DB48" i="54" s="1"/>
  <c r="FZ10" i="54" l="1"/>
  <c r="GB10" i="54" s="1"/>
  <c r="GA10" i="54"/>
  <c r="FN10" i="54"/>
  <c r="FP10" i="54" s="1"/>
  <c r="FK11" i="54" s="1"/>
  <c r="FL11" i="54" s="1"/>
  <c r="GJ11" i="54"/>
  <c r="AS32" i="50"/>
  <c r="AR32" i="50"/>
  <c r="AP33" i="50" s="1"/>
  <c r="AQ33" i="50" s="1"/>
  <c r="GE11" i="54"/>
  <c r="GG11" i="54"/>
  <c r="GH11" i="54"/>
  <c r="FV11" i="54"/>
  <c r="FU10" i="54"/>
  <c r="FW10" i="54" s="1"/>
  <c r="FR11" i="54" s="1"/>
  <c r="DC48" i="54"/>
  <c r="DA48" i="54"/>
  <c r="DB49" i="54" s="1"/>
  <c r="GC11" i="54" l="1"/>
  <c r="GD10" i="54"/>
  <c r="FY11" i="54" s="1"/>
  <c r="FZ11" i="54" s="1"/>
  <c r="FM11" i="54"/>
  <c r="FJ11" i="54"/>
  <c r="FS11" i="54"/>
  <c r="FQ11" i="54"/>
  <c r="FT11" i="54"/>
  <c r="FO12" i="54"/>
  <c r="FN11" i="54"/>
  <c r="GJ12" i="54"/>
  <c r="GI11" i="54"/>
  <c r="GK11" i="54" s="1"/>
  <c r="GF12" i="54" s="1"/>
  <c r="DC49" i="54"/>
  <c r="DA49" i="54"/>
  <c r="DB50" i="54" s="1"/>
  <c r="GA11" i="54" l="1"/>
  <c r="FP11" i="54"/>
  <c r="FK12" i="54" s="1"/>
  <c r="FL12" i="54" s="1"/>
  <c r="FX11" i="54"/>
  <c r="AS33" i="50"/>
  <c r="AR33" i="50"/>
  <c r="GE12" i="54"/>
  <c r="GG12" i="54"/>
  <c r="GH12" i="54"/>
  <c r="FV12" i="54"/>
  <c r="FU11" i="54"/>
  <c r="FW11" i="54" s="1"/>
  <c r="FR12" i="54" s="1"/>
  <c r="GC12" i="54"/>
  <c r="GB11" i="54"/>
  <c r="DC50" i="54"/>
  <c r="DA50" i="54"/>
  <c r="DB51" i="54" s="1"/>
  <c r="FM12" i="54" l="1"/>
  <c r="FJ12" i="54"/>
  <c r="GD11" i="54"/>
  <c r="FY12" i="54" s="1"/>
  <c r="FX12" i="54" s="1"/>
  <c r="AP34" i="50"/>
  <c r="AQ34" i="50" s="1"/>
  <c r="AR34" i="50" s="1"/>
  <c r="AS34" i="50" s="1"/>
  <c r="FN12" i="54"/>
  <c r="FO13" i="54"/>
  <c r="FQ12" i="54"/>
  <c r="FS12" i="54"/>
  <c r="FT12" i="54"/>
  <c r="GJ13" i="54"/>
  <c r="GI12" i="54"/>
  <c r="GK12" i="54" s="1"/>
  <c r="GF13" i="54" s="1"/>
  <c r="DC51" i="54"/>
  <c r="DA51" i="54"/>
  <c r="DB52" i="54" s="1"/>
  <c r="FP12" i="54" l="1"/>
  <c r="FK13" i="54" s="1"/>
  <c r="FJ13" i="54" s="1"/>
  <c r="GA12" i="54"/>
  <c r="FZ12" i="54"/>
  <c r="GC13" i="54" s="1"/>
  <c r="AH18" i="50"/>
  <c r="GH13" i="54"/>
  <c r="GG13" i="54"/>
  <c r="GE13" i="54"/>
  <c r="FV13" i="54"/>
  <c r="FU12" i="54"/>
  <c r="FW12" i="54" s="1"/>
  <c r="FR13" i="54" s="1"/>
  <c r="DC52" i="54"/>
  <c r="DA52" i="54"/>
  <c r="DB53" i="54" s="1"/>
  <c r="AQ60" i="56"/>
  <c r="AN60" i="56" s="1"/>
  <c r="AQ59" i="56"/>
  <c r="AN59" i="56" s="1"/>
  <c r="AQ58" i="56"/>
  <c r="FM13" i="54" l="1"/>
  <c r="FL13" i="54"/>
  <c r="FO14" i="54" s="1"/>
  <c r="GB12" i="54"/>
  <c r="GD12" i="54" s="1"/>
  <c r="FY13" i="54" s="1"/>
  <c r="GA13" i="54" s="1"/>
  <c r="AH16" i="50"/>
  <c r="AH22" i="50" s="1"/>
  <c r="H31" i="50"/>
  <c r="AH26" i="50"/>
  <c r="AH32" i="50" s="1"/>
  <c r="AH8" i="50" s="1"/>
  <c r="AH28" i="50"/>
  <c r="AH34" i="50" s="1"/>
  <c r="AH10" i="50" s="1"/>
  <c r="AH30" i="50"/>
  <c r="AH36" i="50" s="1"/>
  <c r="AH12" i="50" s="1"/>
  <c r="FQ13" i="54"/>
  <c r="FS13" i="54"/>
  <c r="FT13" i="54"/>
  <c r="AN58" i="56"/>
  <c r="BJ10" i="54" s="1" a="1"/>
  <c r="BJ10" i="54" s="1"/>
  <c r="BJ18" i="54"/>
  <c r="BJ33" i="54" s="1" a="1"/>
  <c r="BJ33" i="54" s="1"/>
  <c r="AE35" i="54" s="1" a="1"/>
  <c r="AE35" i="54" s="1"/>
  <c r="GI13" i="54"/>
  <c r="GK13" i="54" s="1"/>
  <c r="GF14" i="54" s="1"/>
  <c r="GJ14" i="54"/>
  <c r="DC53" i="54"/>
  <c r="DA53" i="54"/>
  <c r="DB54" i="54" s="1"/>
  <c r="I4" i="56"/>
  <c r="L4" i="56" s="1"/>
  <c r="I2" i="56"/>
  <c r="BM9" i="54" s="1" a="1"/>
  <c r="BM9" i="54" s="1"/>
  <c r="E35" i="54" l="1" a="1"/>
  <c r="E35" i="54" s="1"/>
  <c r="FX13" i="54"/>
  <c r="FN13" i="54"/>
  <c r="FP13" i="54" s="1"/>
  <c r="FK14" i="54" s="1"/>
  <c r="FM14" i="54" s="1"/>
  <c r="FZ13" i="54"/>
  <c r="GC14" i="54" s="1"/>
  <c r="AH6" i="50"/>
  <c r="AH24" i="50"/>
  <c r="AI6" i="50" a="1"/>
  <c r="AI6" i="50" s="1"/>
  <c r="GE14" i="54"/>
  <c r="GG14" i="54"/>
  <c r="GH14" i="54"/>
  <c r="BJ23" i="54" a="1"/>
  <c r="BJ23" i="54" s="1"/>
  <c r="BJ24" i="54" a="1"/>
  <c r="BJ24" i="54" s="1"/>
  <c r="BJ25" i="54" a="1"/>
  <c r="BJ25" i="54" s="1"/>
  <c r="BJ26" i="54" a="1"/>
  <c r="BJ26" i="54" s="1"/>
  <c r="L2" i="56"/>
  <c r="AD2" i="56" s="1"/>
  <c r="FV14" i="54"/>
  <c r="FU13" i="54"/>
  <c r="FW13" i="54" s="1"/>
  <c r="FR14" i="54" s="1"/>
  <c r="DC54" i="54"/>
  <c r="DA54" i="54"/>
  <c r="DB55" i="54" s="1"/>
  <c r="AD4" i="56"/>
  <c r="AE4" i="56"/>
  <c r="GB13" i="54" l="1"/>
  <c r="GD13" i="54" s="1"/>
  <c r="FY14" i="54" s="1"/>
  <c r="FZ14" i="54" s="1"/>
  <c r="FL14" i="54"/>
  <c r="FO15" i="54" s="1"/>
  <c r="FJ14" i="54"/>
  <c r="AJ6" i="50" a="1"/>
  <c r="AJ6" i="50" s="1"/>
  <c r="AH42" i="50"/>
  <c r="AH40" i="50"/>
  <c r="AH38" i="50"/>
  <c r="AE2" i="56"/>
  <c r="FS14" i="54"/>
  <c r="FT14" i="54"/>
  <c r="FQ14" i="54"/>
  <c r="GI14" i="54"/>
  <c r="GK14" i="54" s="1"/>
  <c r="GF15" i="54" s="1"/>
  <c r="GJ15" i="54"/>
  <c r="DC55" i="54"/>
  <c r="DA55" i="54"/>
  <c r="DB56" i="54" s="1"/>
  <c r="BJ11" i="54"/>
  <c r="M50" i="56"/>
  <c r="M52" i="56"/>
  <c r="M51" i="56"/>
  <c r="M49" i="56"/>
  <c r="M38" i="56"/>
  <c r="M39" i="56"/>
  <c r="M40" i="56"/>
  <c r="HD6" i="54" l="1"/>
  <c r="FX14" i="54"/>
  <c r="GA14" i="54"/>
  <c r="FN14" i="54"/>
  <c r="FP14" i="54" s="1"/>
  <c r="FK15" i="54" s="1"/>
  <c r="FM15" i="54" s="1"/>
  <c r="AK6" i="50" a="1"/>
  <c r="AK6" i="50" s="1"/>
  <c r="AO6" i="50" a="1"/>
  <c r="AO6" i="50" s="1"/>
  <c r="GE15" i="54"/>
  <c r="GH15" i="54"/>
  <c r="GG15" i="54"/>
  <c r="GC15" i="54"/>
  <c r="GB14" i="54"/>
  <c r="FU14" i="54"/>
  <c r="FW14" i="54" s="1"/>
  <c r="FR15" i="54" s="1"/>
  <c r="FV15" i="54"/>
  <c r="DC56" i="54"/>
  <c r="DA56" i="54"/>
  <c r="DB57" i="54" s="1"/>
  <c r="H53" i="56"/>
  <c r="X53" i="56" s="1"/>
  <c r="Z53" i="56" s="1"/>
  <c r="H50" i="56"/>
  <c r="H54" i="56"/>
  <c r="X54" i="56" s="1"/>
  <c r="Z54" i="56" s="1"/>
  <c r="H55" i="56"/>
  <c r="H49" i="56"/>
  <c r="X49" i="56" s="1"/>
  <c r="H51" i="56"/>
  <c r="X51" i="56" s="1"/>
  <c r="K51" i="56" s="1"/>
  <c r="H52" i="56"/>
  <c r="V52" i="56" s="1"/>
  <c r="I52" i="56" s="1"/>
  <c r="L12" i="56"/>
  <c r="I15" i="56"/>
  <c r="FJ15" i="54" l="1"/>
  <c r="GD14" i="54"/>
  <c r="FY15" i="54" s="1"/>
  <c r="FX15" i="54" s="1"/>
  <c r="FL15" i="54"/>
  <c r="FO16" i="54" s="1"/>
  <c r="AH48" i="50" a="1"/>
  <c r="AH48" i="50" s="1"/>
  <c r="AN6" i="50" a="1"/>
  <c r="AN6" i="50" s="1"/>
  <c r="AM6" i="50" a="1"/>
  <c r="AM6" i="50" s="1"/>
  <c r="AL6" i="50" a="1"/>
  <c r="AL6" i="50" s="1"/>
  <c r="AH44" i="50" a="1"/>
  <c r="AH44" i="50" s="1"/>
  <c r="AH46" i="50" a="1"/>
  <c r="AH46" i="50" s="1"/>
  <c r="FS15" i="54"/>
  <c r="FQ15" i="54"/>
  <c r="FT15" i="54"/>
  <c r="GJ16" i="54"/>
  <c r="GI15" i="54"/>
  <c r="GK15" i="54" s="1"/>
  <c r="GF16" i="54" s="1"/>
  <c r="DC57" i="54"/>
  <c r="DA57" i="54"/>
  <c r="DB58" i="54" s="1"/>
  <c r="L15" i="56"/>
  <c r="N15" i="56"/>
  <c r="Z49" i="56"/>
  <c r="AC49" i="56" s="1"/>
  <c r="V54" i="56"/>
  <c r="O54" i="56" s="1"/>
  <c r="L54" i="56" s="1"/>
  <c r="O52" i="56"/>
  <c r="V49" i="56"/>
  <c r="GY3" i="54" s="1"/>
  <c r="X52" i="56"/>
  <c r="K52" i="56" s="1"/>
  <c r="V51" i="56"/>
  <c r="O51" i="56" s="1"/>
  <c r="V53" i="56"/>
  <c r="AC54" i="56"/>
  <c r="Z51" i="56"/>
  <c r="AC53" i="56"/>
  <c r="Y52" i="56"/>
  <c r="V50" i="56"/>
  <c r="I50" i="56" s="1"/>
  <c r="X50" i="56"/>
  <c r="K50" i="56" s="1"/>
  <c r="V55" i="56"/>
  <c r="X55" i="56"/>
  <c r="Z55" i="56" s="1"/>
  <c r="AD12" i="56"/>
  <c r="AE12" i="56"/>
  <c r="I23" i="56"/>
  <c r="L23" i="56" s="1"/>
  <c r="L11" i="56"/>
  <c r="I3" i="56"/>
  <c r="I20" i="56"/>
  <c r="I19" i="56"/>
  <c r="I14" i="56"/>
  <c r="I21" i="56"/>
  <c r="I24" i="56"/>
  <c r="L24" i="56" s="1"/>
  <c r="I16" i="56"/>
  <c r="I17" i="56"/>
  <c r="I22" i="56"/>
  <c r="L22" i="56" s="1"/>
  <c r="L13" i="56"/>
  <c r="I18" i="56"/>
  <c r="I25" i="56"/>
  <c r="L25" i="56" s="1"/>
  <c r="GA15" i="54" l="1"/>
  <c r="FZ15" i="54"/>
  <c r="GY5" i="54"/>
  <c r="GZ197" i="54" s="1"/>
  <c r="HC197" i="54" s="1"/>
  <c r="FN15" i="54"/>
  <c r="FP15" i="54" s="1"/>
  <c r="FK16" i="54" s="1"/>
  <c r="FJ16" i="54" s="1"/>
  <c r="L3" i="56"/>
  <c r="GY52" i="54"/>
  <c r="HB52" i="54" s="1"/>
  <c r="GZ54" i="54"/>
  <c r="HC54" i="54" s="1"/>
  <c r="GY107" i="54"/>
  <c r="HB107" i="54" s="1"/>
  <c r="GY236" i="54"/>
  <c r="HB236" i="54" s="1"/>
  <c r="GY242" i="54"/>
  <c r="HB242" i="54" s="1"/>
  <c r="GZ99" i="54"/>
  <c r="HC99" i="54" s="1"/>
  <c r="GY29" i="54"/>
  <c r="HB29" i="54" s="1"/>
  <c r="GY47" i="54"/>
  <c r="HB47" i="54" s="1"/>
  <c r="GY54" i="54"/>
  <c r="HB54" i="54" s="1"/>
  <c r="GZ56" i="54"/>
  <c r="HC56" i="54" s="1"/>
  <c r="GY118" i="54"/>
  <c r="HB118" i="54" s="1"/>
  <c r="GY182" i="54"/>
  <c r="HB182" i="54" s="1"/>
  <c r="GY42" i="54"/>
  <c r="HB42" i="54" s="1"/>
  <c r="GZ153" i="54"/>
  <c r="HC153" i="54" s="1"/>
  <c r="GZ67" i="54"/>
  <c r="HC67" i="54" s="1"/>
  <c r="GY132" i="54"/>
  <c r="HB132" i="54" s="1"/>
  <c r="GZ137" i="54"/>
  <c r="HC137" i="54" s="1"/>
  <c r="GZ241" i="54"/>
  <c r="HC241" i="54" s="1"/>
  <c r="GZ28" i="54"/>
  <c r="HC28" i="54" s="1"/>
  <c r="GY146" i="54"/>
  <c r="HB146" i="54" s="1"/>
  <c r="GZ145" i="54"/>
  <c r="HC145" i="54" s="1"/>
  <c r="GY65" i="54"/>
  <c r="HB65" i="54" s="1"/>
  <c r="GZ159" i="54"/>
  <c r="HC159" i="54" s="1"/>
  <c r="GZ255" i="54"/>
  <c r="HC255" i="54" s="1"/>
  <c r="GZ130" i="54"/>
  <c r="HC130" i="54" s="1"/>
  <c r="GY266" i="54"/>
  <c r="HB266" i="54" s="1"/>
  <c r="GZ265" i="54"/>
  <c r="HC265" i="54" s="1"/>
  <c r="GZ252" i="54"/>
  <c r="HC252" i="54" s="1"/>
  <c r="GY133" i="54"/>
  <c r="HB133" i="54" s="1"/>
  <c r="GY185" i="54"/>
  <c r="HB185" i="54" s="1"/>
  <c r="GY223" i="54"/>
  <c r="HB223" i="54" s="1"/>
  <c r="GY212" i="54"/>
  <c r="HB212" i="54" s="1"/>
  <c r="GY56" i="54"/>
  <c r="HB56" i="54" s="1"/>
  <c r="GY58" i="54"/>
  <c r="HB58" i="54" s="1"/>
  <c r="GY109" i="54"/>
  <c r="HB109" i="54" s="1"/>
  <c r="GZ180" i="54"/>
  <c r="HC180" i="54" s="1"/>
  <c r="GY267" i="54"/>
  <c r="HB267" i="54" s="1"/>
  <c r="GZ100" i="54"/>
  <c r="HC100" i="54" s="1"/>
  <c r="GY147" i="54"/>
  <c r="HB147" i="54" s="1"/>
  <c r="GY67" i="54"/>
  <c r="HB67" i="54" s="1"/>
  <c r="GY113" i="54"/>
  <c r="HB113" i="54" s="1"/>
  <c r="GY70" i="54"/>
  <c r="HB70" i="54" s="1"/>
  <c r="GY121" i="54"/>
  <c r="HB121" i="54" s="1"/>
  <c r="GZ235" i="54"/>
  <c r="HC235" i="54" s="1"/>
  <c r="GY41" i="54"/>
  <c r="HB41" i="54" s="1"/>
  <c r="GY159" i="54"/>
  <c r="HB159" i="54" s="1"/>
  <c r="GY168" i="54"/>
  <c r="HB168" i="54" s="1"/>
  <c r="GY130" i="54"/>
  <c r="HB130" i="54" s="1"/>
  <c r="GY177" i="54"/>
  <c r="HB177" i="54" s="1"/>
  <c r="GZ190" i="54"/>
  <c r="HC190" i="54" s="1"/>
  <c r="GY265" i="54"/>
  <c r="HB265" i="54" s="1"/>
  <c r="GZ51" i="54"/>
  <c r="HC51" i="54" s="1"/>
  <c r="GZ174" i="54"/>
  <c r="HC174" i="54" s="1"/>
  <c r="GZ16" i="54"/>
  <c r="HC16" i="54" s="1"/>
  <c r="GY62" i="54"/>
  <c r="HB62" i="54" s="1"/>
  <c r="GZ87" i="54"/>
  <c r="HC87" i="54" s="1"/>
  <c r="GZ84" i="54"/>
  <c r="HC84" i="54" s="1"/>
  <c r="GZ138" i="54"/>
  <c r="HC138" i="54" s="1"/>
  <c r="GY199" i="54"/>
  <c r="HB199" i="54" s="1"/>
  <c r="GY180" i="54"/>
  <c r="HB180" i="54" s="1"/>
  <c r="GZ173" i="54"/>
  <c r="HC173" i="54" s="1"/>
  <c r="GZ158" i="54"/>
  <c r="HC158" i="54" s="1"/>
  <c r="GY69" i="54"/>
  <c r="HB69" i="54" s="1"/>
  <c r="GZ82" i="54"/>
  <c r="HC82" i="54" s="1"/>
  <c r="GY129" i="54"/>
  <c r="HB129" i="54" s="1"/>
  <c r="GZ23" i="54"/>
  <c r="HC23" i="54" s="1"/>
  <c r="GZ122" i="54"/>
  <c r="HC122" i="54" s="1"/>
  <c r="GY235" i="54"/>
  <c r="HB235" i="54" s="1"/>
  <c r="GZ257" i="54"/>
  <c r="HC257" i="54" s="1"/>
  <c r="GZ112" i="54"/>
  <c r="HC112" i="54" s="1"/>
  <c r="GZ175" i="54"/>
  <c r="HC175" i="54" s="1"/>
  <c r="GZ208" i="54"/>
  <c r="HC208" i="54" s="1"/>
  <c r="GY255" i="54"/>
  <c r="HB255" i="54" s="1"/>
  <c r="GZ104" i="54"/>
  <c r="HC104" i="54" s="1"/>
  <c r="GZ264" i="54"/>
  <c r="HC264" i="54" s="1"/>
  <c r="GZ253" i="54"/>
  <c r="HC253" i="54" s="1"/>
  <c r="GY92" i="54"/>
  <c r="HB92" i="54" s="1"/>
  <c r="GY55" i="54"/>
  <c r="HB55" i="54" s="1"/>
  <c r="GY87" i="54"/>
  <c r="HB87" i="54" s="1"/>
  <c r="GY138" i="54"/>
  <c r="HB138" i="54" s="1"/>
  <c r="GZ136" i="54"/>
  <c r="HC136" i="54" s="1"/>
  <c r="GY149" i="54"/>
  <c r="HB149" i="54" s="1"/>
  <c r="GY181" i="54"/>
  <c r="HB181" i="54" s="1"/>
  <c r="GY20" i="54"/>
  <c r="HB20" i="54" s="1"/>
  <c r="GZ53" i="54"/>
  <c r="HC53" i="54" s="1"/>
  <c r="GZ60" i="54"/>
  <c r="HC60" i="54" s="1"/>
  <c r="GY230" i="54"/>
  <c r="HB230" i="54" s="1"/>
  <c r="GY200" i="54"/>
  <c r="HB200" i="54" s="1"/>
  <c r="GY66" i="54"/>
  <c r="HB66" i="54" s="1"/>
  <c r="GZ146" i="54"/>
  <c r="HC146" i="54" s="1"/>
  <c r="GY175" i="54"/>
  <c r="HB175" i="54" s="1"/>
  <c r="GZ268" i="54"/>
  <c r="HC268" i="54" s="1"/>
  <c r="GY99" i="54"/>
  <c r="HB99" i="54" s="1"/>
  <c r="GY264" i="54"/>
  <c r="HB264" i="54" s="1"/>
  <c r="GY127" i="54"/>
  <c r="HB127" i="54" s="1"/>
  <c r="GZ47" i="54"/>
  <c r="HC47" i="54" s="1"/>
  <c r="GZ152" i="54"/>
  <c r="HC152" i="54" s="1"/>
  <c r="GY201" i="54"/>
  <c r="HB201" i="54" s="1"/>
  <c r="GZ224" i="54"/>
  <c r="HC224" i="54" s="1"/>
  <c r="GZ189" i="54"/>
  <c r="HC189" i="54" s="1"/>
  <c r="GZ211" i="54"/>
  <c r="HC211" i="54" s="1"/>
  <c r="GZ243" i="54"/>
  <c r="HC243" i="54" s="1"/>
  <c r="GZ21" i="54"/>
  <c r="HC21" i="54" s="1"/>
  <c r="GY220" i="54"/>
  <c r="HB220" i="54" s="1"/>
  <c r="GZ267" i="54"/>
  <c r="HC267" i="54" s="1"/>
  <c r="GY53" i="54"/>
  <c r="HB53" i="54" s="1"/>
  <c r="GZ156" i="54"/>
  <c r="HC156" i="54" s="1"/>
  <c r="GY82" i="54"/>
  <c r="HB82" i="54" s="1"/>
  <c r="GY140" i="54"/>
  <c r="HB140" i="54" s="1"/>
  <c r="GY23" i="54"/>
  <c r="HB23" i="54" s="1"/>
  <c r="GZ117" i="54"/>
  <c r="HC117" i="54" s="1"/>
  <c r="GZ116" i="54"/>
  <c r="HC116" i="54" s="1"/>
  <c r="GY115" i="54"/>
  <c r="HB115" i="54" s="1"/>
  <c r="GZ171" i="54"/>
  <c r="HC171" i="54" s="1"/>
  <c r="GY188" i="54"/>
  <c r="HB188" i="54" s="1"/>
  <c r="GY195" i="54"/>
  <c r="HB195" i="54" s="1"/>
  <c r="GZ217" i="54"/>
  <c r="HC217" i="54" s="1"/>
  <c r="GZ250" i="54"/>
  <c r="HC250" i="54" s="1"/>
  <c r="GY34" i="54"/>
  <c r="HB34" i="54" s="1"/>
  <c r="GZ80" i="54"/>
  <c r="HC80" i="54" s="1"/>
  <c r="GZ164" i="54"/>
  <c r="HC164" i="54" s="1"/>
  <c r="GZ30" i="54"/>
  <c r="HC30" i="54" s="1"/>
  <c r="GY17" i="54"/>
  <c r="HB17" i="54" s="1"/>
  <c r="GY116" i="54"/>
  <c r="HB116" i="54" s="1"/>
  <c r="GZ27" i="54"/>
  <c r="HC27" i="54" s="1"/>
  <c r="GZ26" i="54"/>
  <c r="HC26" i="54" s="1"/>
  <c r="GY18" i="54"/>
  <c r="HB18" i="54" s="1"/>
  <c r="GY90" i="54"/>
  <c r="HB90" i="54" s="1"/>
  <c r="GZ148" i="54"/>
  <c r="HC148" i="54" s="1"/>
  <c r="GY217" i="54"/>
  <c r="HB217" i="54" s="1"/>
  <c r="GY250" i="54"/>
  <c r="HB250" i="54" s="1"/>
  <c r="GY80" i="54"/>
  <c r="HB80" i="54" s="1"/>
  <c r="GY164" i="54"/>
  <c r="HB164" i="54" s="1"/>
  <c r="GY30" i="54"/>
  <c r="HB30" i="54" s="1"/>
  <c r="GZ233" i="54"/>
  <c r="HC233" i="54" s="1"/>
  <c r="GZ111" i="54"/>
  <c r="HC111" i="54" s="1"/>
  <c r="GZ114" i="54"/>
  <c r="HC114" i="54" s="1"/>
  <c r="GZ155" i="54"/>
  <c r="HC155" i="54" s="1"/>
  <c r="GY27" i="54"/>
  <c r="HB27" i="54" s="1"/>
  <c r="GZ124" i="54"/>
  <c r="HC124" i="54" s="1"/>
  <c r="GY171" i="54"/>
  <c r="HB171" i="54" s="1"/>
  <c r="GY187" i="54"/>
  <c r="HB187" i="54" s="1"/>
  <c r="GZ186" i="54"/>
  <c r="HC186" i="54" s="1"/>
  <c r="GZ262" i="54"/>
  <c r="HC262" i="54" s="1"/>
  <c r="GY46" i="54"/>
  <c r="HB46" i="54" s="1"/>
  <c r="GZ98" i="54"/>
  <c r="HC98" i="54" s="1"/>
  <c r="GZ218" i="54"/>
  <c r="HC218" i="54" s="1"/>
  <c r="GZ203" i="54"/>
  <c r="HC203" i="54" s="1"/>
  <c r="GZ81" i="54"/>
  <c r="HC81" i="54" s="1"/>
  <c r="GZ78" i="54"/>
  <c r="HC78" i="54" s="1"/>
  <c r="GZ246" i="54"/>
  <c r="HC246" i="54" s="1"/>
  <c r="GY233" i="54"/>
  <c r="HB233" i="54" s="1"/>
  <c r="GY114" i="54"/>
  <c r="HB114" i="54" s="1"/>
  <c r="GZ19" i="54"/>
  <c r="HC19" i="54" s="1"/>
  <c r="GY124" i="54"/>
  <c r="HB124" i="54" s="1"/>
  <c r="GY186" i="54"/>
  <c r="HB186" i="54" s="1"/>
  <c r="GY98" i="54"/>
  <c r="HB98" i="54" s="1"/>
  <c r="GZ91" i="54"/>
  <c r="HC91" i="54" s="1"/>
  <c r="GZ101" i="54"/>
  <c r="HC101" i="54" s="1"/>
  <c r="GY148" i="54"/>
  <c r="HB148" i="54" s="1"/>
  <c r="GY203" i="54"/>
  <c r="HB203" i="54" s="1"/>
  <c r="GY78" i="54"/>
  <c r="HB78" i="54" s="1"/>
  <c r="GY246" i="54"/>
  <c r="HB246" i="54" s="1"/>
  <c r="GZ64" i="54"/>
  <c r="HC64" i="54" s="1"/>
  <c r="GY111" i="54"/>
  <c r="HB111" i="54" s="1"/>
  <c r="GY202" i="54"/>
  <c r="HB202" i="54" s="1"/>
  <c r="GZ249" i="54"/>
  <c r="HC249" i="54" s="1"/>
  <c r="GY19" i="54"/>
  <c r="HB19" i="54" s="1"/>
  <c r="GZ77" i="54"/>
  <c r="HC77" i="54" s="1"/>
  <c r="GZ187" i="54"/>
  <c r="HC187" i="54" s="1"/>
  <c r="GZ215" i="54"/>
  <c r="HC215" i="54" s="1"/>
  <c r="GY262" i="54"/>
  <c r="HB262" i="54" s="1"/>
  <c r="GZ93" i="54"/>
  <c r="HC93" i="54" s="1"/>
  <c r="GZ216" i="54"/>
  <c r="HC216" i="54" s="1"/>
  <c r="GZ34" i="54"/>
  <c r="HC34" i="54" s="1"/>
  <c r="GY81" i="54"/>
  <c r="HB81" i="54" s="1"/>
  <c r="GY79" i="54"/>
  <c r="HB79" i="54" s="1"/>
  <c r="GZ205" i="54"/>
  <c r="HC205" i="54" s="1"/>
  <c r="GZ115" i="54"/>
  <c r="HC115" i="54" s="1"/>
  <c r="GY249" i="54"/>
  <c r="HB249" i="54" s="1"/>
  <c r="GY77" i="54"/>
  <c r="HB77" i="54" s="1"/>
  <c r="GZ188" i="54"/>
  <c r="HC188" i="54" s="1"/>
  <c r="GY215" i="54"/>
  <c r="HB215" i="54" s="1"/>
  <c r="GY101" i="54"/>
  <c r="HB101" i="54" s="1"/>
  <c r="GZ195" i="54"/>
  <c r="HC195" i="54" s="1"/>
  <c r="GY218" i="54"/>
  <c r="HB218" i="54" s="1"/>
  <c r="GY216" i="54"/>
  <c r="HB216" i="54" s="1"/>
  <c r="GZ79" i="54"/>
  <c r="HC79" i="54" s="1"/>
  <c r="GY205" i="54"/>
  <c r="HB205" i="54" s="1"/>
  <c r="FV16" i="54"/>
  <c r="FU15" i="54"/>
  <c r="FW15" i="54" s="1"/>
  <c r="FR16" i="54" s="1"/>
  <c r="GC16" i="54"/>
  <c r="GB15" i="54"/>
  <c r="GD15" i="54" s="1"/>
  <c r="FY16" i="54" s="1"/>
  <c r="GG16" i="54"/>
  <c r="GE16" i="54"/>
  <c r="GH16" i="54"/>
  <c r="DC58" i="54"/>
  <c r="DA58" i="54"/>
  <c r="DB59" i="54" s="1"/>
  <c r="AF15" i="56"/>
  <c r="AD15" i="56"/>
  <c r="L21" i="56"/>
  <c r="N21" i="56"/>
  <c r="N17" i="56"/>
  <c r="L17" i="56"/>
  <c r="N14" i="56"/>
  <c r="L14" i="56"/>
  <c r="L18" i="56"/>
  <c r="N18" i="56"/>
  <c r="N16" i="56"/>
  <c r="L16" i="56"/>
  <c r="N19" i="56"/>
  <c r="L19" i="56"/>
  <c r="N20" i="56"/>
  <c r="L20" i="56"/>
  <c r="L7" i="56"/>
  <c r="N7" i="56"/>
  <c r="N10" i="56"/>
  <c r="L10" i="56"/>
  <c r="O49" i="56"/>
  <c r="L49" i="56" s="1"/>
  <c r="N5" i="56"/>
  <c r="L5" i="56"/>
  <c r="N9" i="56"/>
  <c r="L9" i="56"/>
  <c r="L8" i="56"/>
  <c r="N8" i="56"/>
  <c r="L6" i="56"/>
  <c r="N6" i="56"/>
  <c r="N52" i="56"/>
  <c r="AH54" i="56"/>
  <c r="Y54" i="56"/>
  <c r="AB54" i="56" s="1"/>
  <c r="Q54" i="56" s="1"/>
  <c r="R54" i="56" s="1"/>
  <c r="AN54" i="56" s="1"/>
  <c r="AH52" i="56"/>
  <c r="N54" i="56"/>
  <c r="AH49" i="56"/>
  <c r="Y49" i="56"/>
  <c r="AA49" i="56" s="1"/>
  <c r="AI51" i="56"/>
  <c r="I51" i="56"/>
  <c r="N51" i="56" s="1"/>
  <c r="O53" i="56"/>
  <c r="AI53" i="56" s="1"/>
  <c r="Z52" i="56"/>
  <c r="AC52" i="56" s="1"/>
  <c r="Y53" i="56"/>
  <c r="AB53" i="56" s="1"/>
  <c r="L52" i="56"/>
  <c r="AD52" i="56" s="1"/>
  <c r="Y51" i="56"/>
  <c r="AB51" i="56" s="1"/>
  <c r="AH53" i="56"/>
  <c r="AC55" i="56"/>
  <c r="AB52" i="56"/>
  <c r="AI52" i="56"/>
  <c r="AH55" i="56"/>
  <c r="Y55" i="56"/>
  <c r="O55" i="56"/>
  <c r="Z50" i="56"/>
  <c r="AG52" i="56"/>
  <c r="AH50" i="56"/>
  <c r="Y50" i="56"/>
  <c r="AB50" i="56" s="1"/>
  <c r="O50" i="56"/>
  <c r="AC51" i="56"/>
  <c r="AD25" i="56"/>
  <c r="AE25" i="56"/>
  <c r="AD13" i="56"/>
  <c r="AE13" i="56"/>
  <c r="AD24" i="56"/>
  <c r="AE24" i="56"/>
  <c r="AE23" i="56"/>
  <c r="AD23" i="56"/>
  <c r="AD22" i="56"/>
  <c r="AE22" i="56"/>
  <c r="AD3" i="56"/>
  <c r="AE3" i="56"/>
  <c r="CO6" i="54" s="1"/>
  <c r="AD11" i="56"/>
  <c r="AE11" i="56"/>
  <c r="GZ162" i="54" l="1"/>
  <c r="HC162" i="54" s="1"/>
  <c r="GZ113" i="54"/>
  <c r="HC113" i="54" s="1"/>
  <c r="GZ109" i="54"/>
  <c r="HC109" i="54" s="1"/>
  <c r="GY234" i="54"/>
  <c r="HB234" i="54" s="1"/>
  <c r="GY103" i="54"/>
  <c r="HB103" i="54" s="1"/>
  <c r="GZ90" i="54"/>
  <c r="HC90" i="54" s="1"/>
  <c r="GZ18" i="54"/>
  <c r="HC18" i="54" s="1"/>
  <c r="GY64" i="54"/>
  <c r="HB64" i="54" s="1"/>
  <c r="GZ239" i="54"/>
  <c r="HC239" i="54" s="1"/>
  <c r="GZ35" i="54"/>
  <c r="HC35" i="54" s="1"/>
  <c r="GZ102" i="54"/>
  <c r="HC102" i="54" s="1"/>
  <c r="GY165" i="54"/>
  <c r="HB165" i="54" s="1"/>
  <c r="GY110" i="54"/>
  <c r="HB110" i="54" s="1"/>
  <c r="GY85" i="54"/>
  <c r="HB85" i="54" s="1"/>
  <c r="GZ107" i="54"/>
  <c r="HC107" i="54" s="1"/>
  <c r="GZ133" i="54"/>
  <c r="HC133" i="54" s="1"/>
  <c r="GZ266" i="54"/>
  <c r="HC266" i="54" s="1"/>
  <c r="GZ194" i="54"/>
  <c r="HC194" i="54" s="1"/>
  <c r="GY257" i="54"/>
  <c r="HB257" i="54" s="1"/>
  <c r="GY122" i="54"/>
  <c r="HB122" i="54" s="1"/>
  <c r="GZ238" i="54"/>
  <c r="HC238" i="54" s="1"/>
  <c r="GZ170" i="54"/>
  <c r="HC170" i="54" s="1"/>
  <c r="GZ110" i="54"/>
  <c r="HC110" i="54" s="1"/>
  <c r="GY15" i="54"/>
  <c r="HB15" i="54" s="1"/>
  <c r="GY16" i="54"/>
  <c r="HB16" i="54" s="1"/>
  <c r="GY178" i="54"/>
  <c r="HB178" i="54" s="1"/>
  <c r="GY221" i="54"/>
  <c r="HB221" i="54" s="1"/>
  <c r="GZ128" i="54"/>
  <c r="HC128" i="54" s="1"/>
  <c r="GY57" i="54"/>
  <c r="HB57" i="54" s="1"/>
  <c r="GY166" i="54"/>
  <c r="HB166" i="54" s="1"/>
  <c r="GZ259" i="54"/>
  <c r="HC259" i="54" s="1"/>
  <c r="GY228" i="54"/>
  <c r="HB228" i="54" s="1"/>
  <c r="GZ20" i="54"/>
  <c r="HC20" i="54" s="1"/>
  <c r="GZ165" i="54"/>
  <c r="HC165" i="54" s="1"/>
  <c r="GZ15" i="54"/>
  <c r="HC15" i="54" s="1"/>
  <c r="GY256" i="54"/>
  <c r="HB256" i="54" s="1"/>
  <c r="GY150" i="54"/>
  <c r="HB150" i="54" s="1"/>
  <c r="GY252" i="54"/>
  <c r="HB252" i="54" s="1"/>
  <c r="GZ103" i="54"/>
  <c r="HC103" i="54" s="1"/>
  <c r="GZ31" i="54"/>
  <c r="HC31" i="54" s="1"/>
  <c r="GY48" i="54"/>
  <c r="HB48" i="54" s="1"/>
  <c r="GZ213" i="54"/>
  <c r="HC213" i="54" s="1"/>
  <c r="GY258" i="54"/>
  <c r="HB258" i="54" s="1"/>
  <c r="GZ68" i="54"/>
  <c r="HC68" i="54" s="1"/>
  <c r="GY61" i="54"/>
  <c r="HB61" i="54" s="1"/>
  <c r="GY71" i="54"/>
  <c r="HB71" i="54" s="1"/>
  <c r="GZ11" i="54"/>
  <c r="HC11" i="54" s="1"/>
  <c r="GY142" i="54"/>
  <c r="HB142" i="54" s="1"/>
  <c r="GZ150" i="54"/>
  <c r="HC150" i="54" s="1"/>
  <c r="GZ254" i="54"/>
  <c r="HC254" i="54" s="1"/>
  <c r="GY143" i="54"/>
  <c r="HB143" i="54" s="1"/>
  <c r="GZ169" i="54"/>
  <c r="HC169" i="54" s="1"/>
  <c r="GZ48" i="54"/>
  <c r="HC48" i="54" s="1"/>
  <c r="GZ41" i="54"/>
  <c r="HC41" i="54" s="1"/>
  <c r="GZ121" i="54"/>
  <c r="HC121" i="54" s="1"/>
  <c r="GZ129" i="54"/>
  <c r="HC129" i="54" s="1"/>
  <c r="GY156" i="54"/>
  <c r="HB156" i="54" s="1"/>
  <c r="GY44" i="54"/>
  <c r="HB44" i="54" s="1"/>
  <c r="GZ71" i="54"/>
  <c r="HC71" i="54" s="1"/>
  <c r="GZ212" i="54"/>
  <c r="HC212" i="54" s="1"/>
  <c r="GZ263" i="54"/>
  <c r="HC263" i="54" s="1"/>
  <c r="GZ221" i="54"/>
  <c r="HC221" i="54" s="1"/>
  <c r="GY25" i="54"/>
  <c r="HB25" i="54" s="1"/>
  <c r="GY13" i="54"/>
  <c r="HB13" i="54" s="1"/>
  <c r="GY94" i="54"/>
  <c r="HB94" i="54" s="1"/>
  <c r="GY208" i="54"/>
  <c r="HB208" i="54" s="1"/>
  <c r="GY91" i="54"/>
  <c r="HB91" i="54" s="1"/>
  <c r="GY26" i="54"/>
  <c r="HB26" i="54" s="1"/>
  <c r="GZ17" i="54"/>
  <c r="HC17" i="54" s="1"/>
  <c r="GY260" i="54"/>
  <c r="HB260" i="54" s="1"/>
  <c r="GY207" i="54"/>
  <c r="HB207" i="54" s="1"/>
  <c r="GZ236" i="54"/>
  <c r="HC236" i="54" s="1"/>
  <c r="GZ118" i="54"/>
  <c r="HC118" i="54" s="1"/>
  <c r="GY105" i="54"/>
  <c r="HB105" i="54" s="1"/>
  <c r="GZ40" i="54"/>
  <c r="HC40" i="54" s="1"/>
  <c r="GY63" i="54"/>
  <c r="HB63" i="54" s="1"/>
  <c r="GY253" i="54"/>
  <c r="HB253" i="54" s="1"/>
  <c r="GY237" i="54"/>
  <c r="HB237" i="54" s="1"/>
  <c r="GZ32" i="54"/>
  <c r="HC32" i="54" s="1"/>
  <c r="GZ166" i="54"/>
  <c r="HC166" i="54" s="1"/>
  <c r="GY231" i="54"/>
  <c r="HB231" i="54" s="1"/>
  <c r="GY191" i="54"/>
  <c r="HB191" i="54" s="1"/>
  <c r="GY106" i="54"/>
  <c r="HB106" i="54" s="1"/>
  <c r="GZ105" i="54"/>
  <c r="HC105" i="54" s="1"/>
  <c r="GY204" i="54"/>
  <c r="HB204" i="54" s="1"/>
  <c r="GY240" i="54"/>
  <c r="HB240" i="54" s="1"/>
  <c r="GZ127" i="54"/>
  <c r="HC127" i="54" s="1"/>
  <c r="GZ83" i="54"/>
  <c r="HC83" i="54" s="1"/>
  <c r="GZ38" i="54"/>
  <c r="HC38" i="54" s="1"/>
  <c r="GZ10" i="54"/>
  <c r="HC10" i="54" s="1"/>
  <c r="GZ244" i="54"/>
  <c r="HC244" i="54" s="1"/>
  <c r="GZ231" i="54"/>
  <c r="HC231" i="54" s="1"/>
  <c r="GZ230" i="54"/>
  <c r="HC230" i="54" s="1"/>
  <c r="GY163" i="54"/>
  <c r="HB163" i="54" s="1"/>
  <c r="GZ14" i="54"/>
  <c r="HC14" i="54" s="1"/>
  <c r="GZ204" i="54"/>
  <c r="HC204" i="54" s="1"/>
  <c r="GZ209" i="54"/>
  <c r="HC209" i="54" s="1"/>
  <c r="GZ94" i="54"/>
  <c r="HC94" i="54" s="1"/>
  <c r="GY225" i="54"/>
  <c r="HB225" i="54" s="1"/>
  <c r="GZ52" i="54"/>
  <c r="HC52" i="54" s="1"/>
  <c r="GY33" i="54"/>
  <c r="HB33" i="54" s="1"/>
  <c r="GY50" i="54"/>
  <c r="HB50" i="54" s="1"/>
  <c r="GY73" i="54"/>
  <c r="HB73" i="54" s="1"/>
  <c r="GZ260" i="54"/>
  <c r="HC260" i="54" s="1"/>
  <c r="GZ22" i="54"/>
  <c r="HC22" i="54" s="1"/>
  <c r="GZ163" i="54"/>
  <c r="HC163" i="54" s="1"/>
  <c r="GY12" i="54"/>
  <c r="HB12" i="54" s="1"/>
  <c r="GZ199" i="54"/>
  <c r="HC199" i="54" s="1"/>
  <c r="GZ85" i="54"/>
  <c r="HC85" i="54" s="1"/>
  <c r="GY141" i="54"/>
  <c r="HB141" i="54" s="1"/>
  <c r="GY126" i="54"/>
  <c r="HB126" i="54" s="1"/>
  <c r="GY268" i="54"/>
  <c r="HB268" i="54" s="1"/>
  <c r="GZ37" i="54"/>
  <c r="HC37" i="54" s="1"/>
  <c r="GZ57" i="54"/>
  <c r="HC57" i="54" s="1"/>
  <c r="GY72" i="54"/>
  <c r="HB72" i="54" s="1"/>
  <c r="GY117" i="54"/>
  <c r="HB117" i="54" s="1"/>
  <c r="GY35" i="54"/>
  <c r="HB35" i="54" s="1"/>
  <c r="GZ157" i="54"/>
  <c r="HC157" i="54" s="1"/>
  <c r="GZ220" i="54"/>
  <c r="HC220" i="54" s="1"/>
  <c r="GY243" i="54"/>
  <c r="HB243" i="54" s="1"/>
  <c r="GZ142" i="54"/>
  <c r="HC142" i="54" s="1"/>
  <c r="GY247" i="54"/>
  <c r="HB247" i="54" s="1"/>
  <c r="GY24" i="54"/>
  <c r="HB24" i="54" s="1"/>
  <c r="GY120" i="54"/>
  <c r="HB120" i="54" s="1"/>
  <c r="GZ108" i="54"/>
  <c r="HC108" i="54" s="1"/>
  <c r="GZ247" i="54"/>
  <c r="HC247" i="54" s="1"/>
  <c r="GZ161" i="54"/>
  <c r="HC161" i="54" s="1"/>
  <c r="GY93" i="54"/>
  <c r="HB93" i="54" s="1"/>
  <c r="GZ202" i="54"/>
  <c r="HC202" i="54" s="1"/>
  <c r="GZ25" i="54"/>
  <c r="HC25" i="54" s="1"/>
  <c r="GZ184" i="54"/>
  <c r="HC184" i="54" s="1"/>
  <c r="GZ160" i="54"/>
  <c r="HC160" i="54" s="1"/>
  <c r="GY170" i="54"/>
  <c r="HB170" i="54" s="1"/>
  <c r="GZ12" i="54"/>
  <c r="HC12" i="54" s="1"/>
  <c r="GZ206" i="54"/>
  <c r="HC206" i="54" s="1"/>
  <c r="GY209" i="54"/>
  <c r="HB209" i="54" s="1"/>
  <c r="GZ232" i="54"/>
  <c r="HC232" i="54" s="1"/>
  <c r="GZ225" i="54"/>
  <c r="HC225" i="54" s="1"/>
  <c r="GZ143" i="54"/>
  <c r="HC143" i="54" s="1"/>
  <c r="GY128" i="54"/>
  <c r="HB128" i="54" s="1"/>
  <c r="GZ119" i="54"/>
  <c r="HC119" i="54" s="1"/>
  <c r="GZ132" i="54"/>
  <c r="HC132" i="54" s="1"/>
  <c r="GY158" i="54"/>
  <c r="HB158" i="54" s="1"/>
  <c r="GY43" i="54"/>
  <c r="HB43" i="54" s="1"/>
  <c r="GY11" i="54"/>
  <c r="HB11" i="54" s="1"/>
  <c r="GY95" i="54"/>
  <c r="HB95" i="54" s="1"/>
  <c r="GY219" i="54"/>
  <c r="HB219" i="54" s="1"/>
  <c r="GZ76" i="54"/>
  <c r="HC76" i="54" s="1"/>
  <c r="GY31" i="54"/>
  <c r="HB31" i="54" s="1"/>
  <c r="GY261" i="54"/>
  <c r="HB261" i="54" s="1"/>
  <c r="GY144" i="54"/>
  <c r="HB144" i="54" s="1"/>
  <c r="GZ66" i="54"/>
  <c r="HC66" i="54" s="1"/>
  <c r="GY184" i="54"/>
  <c r="HB184" i="54" s="1"/>
  <c r="GZ207" i="54"/>
  <c r="HC207" i="54" s="1"/>
  <c r="GY153" i="54"/>
  <c r="HB153" i="54" s="1"/>
  <c r="GY21" i="54"/>
  <c r="HB21" i="54" s="1"/>
  <c r="GY189" i="54"/>
  <c r="HB189" i="54" s="1"/>
  <c r="GZ154" i="54"/>
  <c r="HC154" i="54" s="1"/>
  <c r="GY263" i="54"/>
  <c r="HB263" i="54" s="1"/>
  <c r="GZ131" i="54"/>
  <c r="HC131" i="54" s="1"/>
  <c r="GY192" i="54"/>
  <c r="HB192" i="54" s="1"/>
  <c r="GY169" i="54"/>
  <c r="HB169" i="54" s="1"/>
  <c r="GY179" i="54"/>
  <c r="HB179" i="54" s="1"/>
  <c r="GY28" i="54"/>
  <c r="HB28" i="54" s="1"/>
  <c r="GZ140" i="54"/>
  <c r="HC140" i="54" s="1"/>
  <c r="GY238" i="54"/>
  <c r="HB238" i="54" s="1"/>
  <c r="GZ43" i="54"/>
  <c r="HC43" i="54" s="1"/>
  <c r="GY14" i="54"/>
  <c r="HB14" i="54" s="1"/>
  <c r="GZ183" i="54"/>
  <c r="HC183" i="54" s="1"/>
  <c r="GY86" i="54"/>
  <c r="HB86" i="54" s="1"/>
  <c r="GY248" i="54"/>
  <c r="HB248" i="54" s="1"/>
  <c r="GZ123" i="54"/>
  <c r="HC123" i="54" s="1"/>
  <c r="GZ192" i="54"/>
  <c r="HC192" i="54" s="1"/>
  <c r="GZ261" i="54"/>
  <c r="HC261" i="54" s="1"/>
  <c r="GY226" i="54"/>
  <c r="HB226" i="54" s="1"/>
  <c r="GZ73" i="54"/>
  <c r="HC73" i="54" s="1"/>
  <c r="GZ70" i="54"/>
  <c r="HC70" i="54" s="1"/>
  <c r="GZ251" i="54"/>
  <c r="HC251" i="54" s="1"/>
  <c r="GZ61" i="54"/>
  <c r="HC61" i="54" s="1"/>
  <c r="GY173" i="54"/>
  <c r="HB173" i="54" s="1"/>
  <c r="GZ196" i="54"/>
  <c r="HC196" i="54" s="1"/>
  <c r="GZ201" i="54"/>
  <c r="HC201" i="54" s="1"/>
  <c r="GZ178" i="54"/>
  <c r="HC178" i="54" s="1"/>
  <c r="GY39" i="54"/>
  <c r="HB39" i="54" s="1"/>
  <c r="GY160" i="54"/>
  <c r="HB160" i="54" s="1"/>
  <c r="GY183" i="54"/>
  <c r="HB183" i="54" s="1"/>
  <c r="GY254" i="54"/>
  <c r="HB254" i="54" s="1"/>
  <c r="GZ46" i="54"/>
  <c r="HC46" i="54" s="1"/>
  <c r="GY155" i="54"/>
  <c r="HB155" i="54" s="1"/>
  <c r="GZ120" i="54"/>
  <c r="HC120" i="54" s="1"/>
  <c r="GY137" i="54"/>
  <c r="HB137" i="54" s="1"/>
  <c r="GY60" i="54"/>
  <c r="HB60" i="54" s="1"/>
  <c r="GZ59" i="54"/>
  <c r="HC59" i="54" s="1"/>
  <c r="GZ13" i="54"/>
  <c r="HC13" i="54" s="1"/>
  <c r="GZ97" i="54"/>
  <c r="HC97" i="54" s="1"/>
  <c r="GY222" i="54"/>
  <c r="HB222" i="54" s="1"/>
  <c r="GZ151" i="54"/>
  <c r="HC151" i="54" s="1"/>
  <c r="GZ126" i="54"/>
  <c r="HC126" i="54" s="1"/>
  <c r="GY104" i="54"/>
  <c r="HB104" i="54" s="1"/>
  <c r="GY214" i="54"/>
  <c r="HB214" i="54" s="1"/>
  <c r="GZ74" i="54"/>
  <c r="HC74" i="54" s="1"/>
  <c r="GY139" i="54"/>
  <c r="HB139" i="54" s="1"/>
  <c r="GY100" i="54"/>
  <c r="HB100" i="54" s="1"/>
  <c r="GZ44" i="54"/>
  <c r="HC44" i="54" s="1"/>
  <c r="GZ227" i="54"/>
  <c r="HC227" i="54" s="1"/>
  <c r="GY84" i="54"/>
  <c r="HB84" i="54" s="1"/>
  <c r="GZ125" i="54"/>
  <c r="HC125" i="54" s="1"/>
  <c r="GY245" i="54"/>
  <c r="HB245" i="54" s="1"/>
  <c r="GY32" i="54"/>
  <c r="HB32" i="54" s="1"/>
  <c r="GZ214" i="54"/>
  <c r="HC214" i="54" s="1"/>
  <c r="GZ135" i="54"/>
  <c r="HC135" i="54" s="1"/>
  <c r="GZ200" i="54"/>
  <c r="HC200" i="54" s="1"/>
  <c r="GZ139" i="54"/>
  <c r="HC139" i="54" s="1"/>
  <c r="GY68" i="54"/>
  <c r="HB68" i="54" s="1"/>
  <c r="GZ106" i="54"/>
  <c r="HC106" i="54" s="1"/>
  <c r="GZ149" i="54"/>
  <c r="HC149" i="54" s="1"/>
  <c r="GZ95" i="54"/>
  <c r="HC95" i="54" s="1"/>
  <c r="GZ55" i="54"/>
  <c r="HC55" i="54" s="1"/>
  <c r="GZ240" i="54"/>
  <c r="HC240" i="54" s="1"/>
  <c r="GY123" i="54"/>
  <c r="HB123" i="54" s="1"/>
  <c r="GY193" i="54"/>
  <c r="HB193" i="54" s="1"/>
  <c r="GY37" i="54"/>
  <c r="HB37" i="54" s="1"/>
  <c r="GY145" i="54"/>
  <c r="HB145" i="54" s="1"/>
  <c r="GY241" i="54"/>
  <c r="HB241" i="54" s="1"/>
  <c r="GY251" i="54"/>
  <c r="HB251" i="54" s="1"/>
  <c r="GY157" i="54"/>
  <c r="HB157" i="54" s="1"/>
  <c r="GY45" i="54"/>
  <c r="HB45" i="54" s="1"/>
  <c r="GY196" i="54"/>
  <c r="HB196" i="54" s="1"/>
  <c r="GY136" i="54"/>
  <c r="HB136" i="54" s="1"/>
  <c r="GZ222" i="54"/>
  <c r="HC222" i="54" s="1"/>
  <c r="GZ172" i="54"/>
  <c r="HC172" i="54" s="1"/>
  <c r="GZ245" i="54"/>
  <c r="HC245" i="54" s="1"/>
  <c r="GZ193" i="54"/>
  <c r="HC193" i="54" s="1"/>
  <c r="GZ168" i="54"/>
  <c r="HC168" i="54" s="1"/>
  <c r="GZ179" i="54"/>
  <c r="HC179" i="54" s="1"/>
  <c r="GY75" i="54"/>
  <c r="HB75" i="54" s="1"/>
  <c r="GZ258" i="54"/>
  <c r="HC258" i="54" s="1"/>
  <c r="GY229" i="54"/>
  <c r="HB229" i="54" s="1"/>
  <c r="GY162" i="54"/>
  <c r="HB162" i="54" s="1"/>
  <c r="GZ181" i="54"/>
  <c r="HC181" i="54" s="1"/>
  <c r="GY108" i="54"/>
  <c r="HB108" i="54" s="1"/>
  <c r="GY154" i="54"/>
  <c r="HB154" i="54" s="1"/>
  <c r="GY134" i="54"/>
  <c r="HB134" i="54" s="1"/>
  <c r="GY167" i="54"/>
  <c r="HB167" i="54" s="1"/>
  <c r="GZ69" i="54"/>
  <c r="HC69" i="54" s="1"/>
  <c r="GZ89" i="54"/>
  <c r="HC89" i="54" s="1"/>
  <c r="GY131" i="54"/>
  <c r="HB131" i="54" s="1"/>
  <c r="GZ86" i="54"/>
  <c r="HC86" i="54" s="1"/>
  <c r="GZ63" i="54"/>
  <c r="HC63" i="54" s="1"/>
  <c r="GZ248" i="54"/>
  <c r="HC248" i="54" s="1"/>
  <c r="GZ237" i="54"/>
  <c r="HC237" i="54" s="1"/>
  <c r="GZ33" i="54"/>
  <c r="HC33" i="54" s="1"/>
  <c r="GY176" i="54"/>
  <c r="HB176" i="54" s="1"/>
  <c r="GY213" i="54"/>
  <c r="HB213" i="54" s="1"/>
  <c r="GY239" i="54"/>
  <c r="HB239" i="54" s="1"/>
  <c r="GY22" i="54"/>
  <c r="HB22" i="54" s="1"/>
  <c r="GY59" i="54"/>
  <c r="HB59" i="54" s="1"/>
  <c r="GZ58" i="54"/>
  <c r="HC58" i="54" s="1"/>
  <c r="GY97" i="54"/>
  <c r="HB97" i="54" s="1"/>
  <c r="GZ62" i="54"/>
  <c r="HC62" i="54" s="1"/>
  <c r="GZ219" i="54"/>
  <c r="HC219" i="54" s="1"/>
  <c r="GZ134" i="54"/>
  <c r="HC134" i="54" s="1"/>
  <c r="GY194" i="54"/>
  <c r="HB194" i="54" s="1"/>
  <c r="GZ210" i="54"/>
  <c r="HC210" i="54" s="1"/>
  <c r="GY198" i="54"/>
  <c r="HB198" i="54" s="1"/>
  <c r="GZ256" i="54"/>
  <c r="HC256" i="54" s="1"/>
  <c r="GZ185" i="54"/>
  <c r="HC185" i="54" s="1"/>
  <c r="GY125" i="54"/>
  <c r="HB125" i="54" s="1"/>
  <c r="GY190" i="54"/>
  <c r="HB190" i="54" s="1"/>
  <c r="GY161" i="54"/>
  <c r="HB161" i="54" s="1"/>
  <c r="GY49" i="54"/>
  <c r="HB49" i="54" s="1"/>
  <c r="GY119" i="54"/>
  <c r="HB119" i="54" s="1"/>
  <c r="GY259" i="54"/>
  <c r="HB259" i="54" s="1"/>
  <c r="GZ191" i="54"/>
  <c r="HC191" i="54" s="1"/>
  <c r="GZ42" i="54"/>
  <c r="HC42" i="54" s="1"/>
  <c r="GY227" i="54"/>
  <c r="HB227" i="54" s="1"/>
  <c r="GY211" i="54"/>
  <c r="HB211" i="54" s="1"/>
  <c r="GY232" i="54"/>
  <c r="HB232" i="54" s="1"/>
  <c r="GY172" i="54"/>
  <c r="HB172" i="54" s="1"/>
  <c r="GY76" i="54"/>
  <c r="HB76" i="54" s="1"/>
  <c r="GZ177" i="54"/>
  <c r="HC177" i="54" s="1"/>
  <c r="GZ176" i="54"/>
  <c r="HC176" i="54" s="1"/>
  <c r="GY89" i="54"/>
  <c r="HB89" i="54" s="1"/>
  <c r="GZ223" i="54"/>
  <c r="HC223" i="54" s="1"/>
  <c r="GZ141" i="54"/>
  <c r="HC141" i="54" s="1"/>
  <c r="GZ92" i="54"/>
  <c r="HC92" i="54" s="1"/>
  <c r="GY96" i="54"/>
  <c r="HB96" i="54" s="1"/>
  <c r="GY210" i="54"/>
  <c r="HB210" i="54" s="1"/>
  <c r="GZ144" i="54"/>
  <c r="HC144" i="54" s="1"/>
  <c r="GZ72" i="54"/>
  <c r="HC72" i="54" s="1"/>
  <c r="GZ228" i="54"/>
  <c r="HC228" i="54" s="1"/>
  <c r="GZ147" i="54"/>
  <c r="HC147" i="54" s="1"/>
  <c r="GZ45" i="54"/>
  <c r="HC45" i="54" s="1"/>
  <c r="GZ198" i="54"/>
  <c r="HC198" i="54" s="1"/>
  <c r="GY40" i="54"/>
  <c r="HB40" i="54" s="1"/>
  <c r="GY151" i="54"/>
  <c r="HB151" i="54" s="1"/>
  <c r="GY174" i="54"/>
  <c r="HB174" i="54" s="1"/>
  <c r="GZ29" i="54"/>
  <c r="HC29" i="54" s="1"/>
  <c r="GY83" i="54"/>
  <c r="HB83" i="54" s="1"/>
  <c r="GY36" i="54"/>
  <c r="HB36" i="54" s="1"/>
  <c r="GY88" i="54"/>
  <c r="HB88" i="54" s="1"/>
  <c r="GY197" i="54"/>
  <c r="HB197" i="54" s="1"/>
  <c r="GZ229" i="54"/>
  <c r="HC229" i="54" s="1"/>
  <c r="GY102" i="54"/>
  <c r="HB102" i="54" s="1"/>
  <c r="GZ182" i="54"/>
  <c r="HC182" i="54" s="1"/>
  <c r="GY206" i="54"/>
  <c r="HB206" i="54" s="1"/>
  <c r="GY224" i="54"/>
  <c r="HB224" i="54" s="1"/>
  <c r="GY152" i="54"/>
  <c r="HB152" i="54" s="1"/>
  <c r="GY51" i="54"/>
  <c r="HB51" i="54" s="1"/>
  <c r="GZ96" i="54"/>
  <c r="HC96" i="54" s="1"/>
  <c r="GZ24" i="54"/>
  <c r="HC24" i="54" s="1"/>
  <c r="GZ36" i="54"/>
  <c r="HC36" i="54" s="1"/>
  <c r="GZ65" i="54"/>
  <c r="HC65" i="54" s="1"/>
  <c r="GZ88" i="54"/>
  <c r="HC88" i="54" s="1"/>
  <c r="GY38" i="54"/>
  <c r="HB38" i="54" s="1"/>
  <c r="GZ49" i="54"/>
  <c r="HC49" i="54" s="1"/>
  <c r="GZ234" i="54"/>
  <c r="HC234" i="54" s="1"/>
  <c r="GZ39" i="54"/>
  <c r="HC39" i="54" s="1"/>
  <c r="GZ50" i="54"/>
  <c r="HC50" i="54" s="1"/>
  <c r="GZ242" i="54"/>
  <c r="HC242" i="54" s="1"/>
  <c r="GZ167" i="54"/>
  <c r="HC167" i="54" s="1"/>
  <c r="GY10" i="54"/>
  <c r="HB10" i="54" s="1"/>
  <c r="GY74" i="54"/>
  <c r="HB74" i="54" s="1"/>
  <c r="GZ226" i="54"/>
  <c r="HC226" i="54" s="1"/>
  <c r="GY112" i="54"/>
  <c r="HB112" i="54" s="1"/>
  <c r="GY135" i="54"/>
  <c r="HB135" i="54" s="1"/>
  <c r="GZ75" i="54"/>
  <c r="HC75" i="54" s="1"/>
  <c r="GY244" i="54"/>
  <c r="HB244" i="54" s="1"/>
  <c r="FM16" i="54"/>
  <c r="FL16" i="54"/>
  <c r="FO17" i="54" s="1"/>
  <c r="CN7" i="54"/>
  <c r="CN221" i="54" s="1"/>
  <c r="CN176" i="54"/>
  <c r="CN5" i="54"/>
  <c r="CN187" i="54" s="1"/>
  <c r="CN68" i="54"/>
  <c r="FZ16" i="54"/>
  <c r="FX16" i="54"/>
  <c r="GA16" i="54"/>
  <c r="GI16" i="54"/>
  <c r="GK16" i="54" s="1"/>
  <c r="GF17" i="54" s="1"/>
  <c r="GJ17" i="54"/>
  <c r="FT16" i="54"/>
  <c r="FS16" i="54"/>
  <c r="FQ16" i="54"/>
  <c r="DC59" i="54"/>
  <c r="DA59" i="54"/>
  <c r="DB60" i="54" s="1"/>
  <c r="AD21" i="56"/>
  <c r="AG49" i="56"/>
  <c r="AD54" i="56"/>
  <c r="AF21" i="56"/>
  <c r="AF18" i="56"/>
  <c r="AF8" i="56"/>
  <c r="AD7" i="56"/>
  <c r="AD18" i="56"/>
  <c r="AD19" i="56"/>
  <c r="AF19" i="56"/>
  <c r="AF17" i="56"/>
  <c r="AD17" i="56"/>
  <c r="AD20" i="56"/>
  <c r="AF20" i="56"/>
  <c r="AD16" i="56"/>
  <c r="AF16" i="56"/>
  <c r="AF14" i="56"/>
  <c r="AD14" i="56"/>
  <c r="AD9" i="56"/>
  <c r="AF10" i="56"/>
  <c r="AD10" i="56"/>
  <c r="AF7" i="56"/>
  <c r="AF9" i="56"/>
  <c r="AF6" i="56"/>
  <c r="N49" i="56"/>
  <c r="AI49" i="56"/>
  <c r="AA54" i="56"/>
  <c r="AB49" i="56"/>
  <c r="AA53" i="56"/>
  <c r="AG54" i="56"/>
  <c r="AI54" i="56"/>
  <c r="AA52" i="56"/>
  <c r="AE52" i="56" s="1"/>
  <c r="AD6" i="56"/>
  <c r="AD8" i="56"/>
  <c r="AF5" i="56"/>
  <c r="AD5" i="56"/>
  <c r="AG53" i="56"/>
  <c r="N53" i="56"/>
  <c r="AF52" i="56"/>
  <c r="AF51" i="56"/>
  <c r="L51" i="56"/>
  <c r="AA51" i="56"/>
  <c r="AD51" i="56"/>
  <c r="AF54" i="56"/>
  <c r="L53" i="56"/>
  <c r="AH51" i="56"/>
  <c r="HE3" i="54" s="1"/>
  <c r="HF3" i="54" s="1"/>
  <c r="HG3" i="54" s="1"/>
  <c r="AG51" i="56"/>
  <c r="Q53" i="56"/>
  <c r="R53" i="56" s="1"/>
  <c r="AN53" i="56" s="1"/>
  <c r="AD49" i="56"/>
  <c r="Q51" i="56"/>
  <c r="AG55" i="56"/>
  <c r="AI55" i="56"/>
  <c r="N55" i="56"/>
  <c r="AF55" i="56" s="1"/>
  <c r="L55" i="56"/>
  <c r="AD55" i="56" s="1"/>
  <c r="AG50" i="56"/>
  <c r="AI50" i="56"/>
  <c r="N50" i="56"/>
  <c r="L50" i="56"/>
  <c r="Q50" i="56"/>
  <c r="AC50" i="56"/>
  <c r="AA50" i="56"/>
  <c r="AB55" i="56"/>
  <c r="AA55" i="56"/>
  <c r="FN16" i="54" l="1"/>
  <c r="FP16" i="54" s="1"/>
  <c r="FK17" i="54" s="1"/>
  <c r="FM17" i="54" s="1"/>
  <c r="HD5" i="54"/>
  <c r="R51" i="56"/>
  <c r="HD3" i="54"/>
  <c r="CN201" i="54"/>
  <c r="CO7" i="54"/>
  <c r="CO5" i="54"/>
  <c r="CN102" i="54"/>
  <c r="CN77" i="54"/>
  <c r="CN57" i="54"/>
  <c r="AF49" i="56"/>
  <c r="HD7" i="54"/>
  <c r="FL17" i="54"/>
  <c r="GE17" i="54"/>
  <c r="GG17" i="54"/>
  <c r="GH17" i="54"/>
  <c r="HE4" i="54"/>
  <c r="HF4" i="54" s="1"/>
  <c r="HG4" i="54" s="1"/>
  <c r="HD4" i="54"/>
  <c r="HE2" i="54"/>
  <c r="HF2" i="54" s="1"/>
  <c r="HG2" i="54" s="1"/>
  <c r="HD2" i="54"/>
  <c r="FU16" i="54"/>
  <c r="FW16" i="54" s="1"/>
  <c r="FR17" i="54" s="1"/>
  <c r="FV17" i="54"/>
  <c r="GC17" i="54"/>
  <c r="GB16" i="54"/>
  <c r="GD16" i="54" s="1"/>
  <c r="FY17" i="54" s="1"/>
  <c r="DC60" i="54"/>
  <c r="DA60" i="54"/>
  <c r="DB61" i="54" s="1"/>
  <c r="AF53" i="56"/>
  <c r="R50" i="56"/>
  <c r="AE49" i="56"/>
  <c r="Q52" i="56"/>
  <c r="R52" i="56" s="1"/>
  <c r="AN52" i="56" s="1"/>
  <c r="AD53" i="56"/>
  <c r="AF50" i="56"/>
  <c r="AD50" i="56"/>
  <c r="AE55" i="56"/>
  <c r="Q55" i="56"/>
  <c r="R55" i="56" s="1"/>
  <c r="AN55" i="56" s="1"/>
  <c r="FJ17" i="54" l="1"/>
  <c r="HE5" i="54"/>
  <c r="HE7" i="54"/>
  <c r="BM54" i="54" a="1"/>
  <c r="BM54" i="54" s="1"/>
  <c r="HE6" i="54"/>
  <c r="AN51" i="56"/>
  <c r="BM55" i="54" a="1"/>
  <c r="BM55" i="54" s="1"/>
  <c r="HD221" i="54"/>
  <c r="HD191" i="54"/>
  <c r="HD256" i="54"/>
  <c r="HD40" i="54"/>
  <c r="HD69" i="54"/>
  <c r="HD98" i="54"/>
  <c r="HD127" i="54"/>
  <c r="HD162" i="54"/>
  <c r="HD185" i="54"/>
  <c r="HD214" i="54"/>
  <c r="HD243" i="54"/>
  <c r="HD27" i="54"/>
  <c r="HD56" i="54"/>
  <c r="HD121" i="54"/>
  <c r="HD192" i="54"/>
  <c r="HD251" i="54"/>
  <c r="HD35" i="54"/>
  <c r="HD64" i="54"/>
  <c r="HD93" i="54"/>
  <c r="HD122" i="54"/>
  <c r="HD187" i="54"/>
  <c r="HD222" i="54"/>
  <c r="HD245" i="54"/>
  <c r="HD29" i="54"/>
  <c r="HD58" i="54"/>
  <c r="HD123" i="54"/>
  <c r="HD188" i="54"/>
  <c r="HD217" i="54"/>
  <c r="HD252" i="54"/>
  <c r="HD36" i="54"/>
  <c r="HD59" i="54"/>
  <c r="HD124" i="54"/>
  <c r="HD189" i="54"/>
  <c r="HD218" i="54"/>
  <c r="HD247" i="54"/>
  <c r="HD31" i="54"/>
  <c r="HD66" i="54"/>
  <c r="HD89" i="54"/>
  <c r="HD154" i="54"/>
  <c r="HD219" i="54"/>
  <c r="HD248" i="54"/>
  <c r="HD32" i="54"/>
  <c r="HD61" i="54"/>
  <c r="HD96" i="54"/>
  <c r="HD155" i="54"/>
  <c r="HD220" i="54"/>
  <c r="HD249" i="54"/>
  <c r="HD33" i="54"/>
  <c r="HD62" i="54"/>
  <c r="HD91" i="54"/>
  <c r="HD126" i="54"/>
  <c r="HD149" i="54"/>
  <c r="HD178" i="54"/>
  <c r="HD207" i="54"/>
  <c r="HD236" i="54"/>
  <c r="HD20" i="54"/>
  <c r="HD85" i="54"/>
  <c r="HD156" i="54"/>
  <c r="HD215" i="54"/>
  <c r="HD244" i="54"/>
  <c r="HD28" i="54"/>
  <c r="HD21" i="54"/>
  <c r="HD86" i="54"/>
  <c r="HD151" i="54"/>
  <c r="HD186" i="54"/>
  <c r="HD209" i="54"/>
  <c r="HD238" i="54"/>
  <c r="HD22" i="54"/>
  <c r="HD87" i="54"/>
  <c r="HD152" i="54"/>
  <c r="HD181" i="54"/>
  <c r="HD216" i="54"/>
  <c r="HD239" i="54"/>
  <c r="HD23" i="54"/>
  <c r="HD88" i="54"/>
  <c r="HD153" i="54"/>
  <c r="HD182" i="54"/>
  <c r="HD211" i="54"/>
  <c r="HD246" i="54"/>
  <c r="HD30" i="54"/>
  <c r="HD53" i="54"/>
  <c r="HD118" i="54"/>
  <c r="HD183" i="54"/>
  <c r="HD212" i="54"/>
  <c r="HD241" i="54"/>
  <c r="HD25" i="54"/>
  <c r="HD60" i="54"/>
  <c r="HD119" i="54"/>
  <c r="HD184" i="54"/>
  <c r="HD213" i="54"/>
  <c r="HD242" i="54"/>
  <c r="HD26" i="54"/>
  <c r="HD55" i="54"/>
  <c r="HD113" i="54"/>
  <c r="HD142" i="54"/>
  <c r="HD171" i="54"/>
  <c r="HD200" i="54"/>
  <c r="HD265" i="54"/>
  <c r="HD49" i="54"/>
  <c r="HD120" i="54"/>
  <c r="HD179" i="54"/>
  <c r="HD208" i="54"/>
  <c r="HD237" i="54"/>
  <c r="HD83" i="54"/>
  <c r="HD148" i="54"/>
  <c r="HD177" i="54"/>
  <c r="HD206" i="54"/>
  <c r="HD235" i="54"/>
  <c r="HD19" i="54"/>
  <c r="HD54" i="54"/>
  <c r="HD77" i="54"/>
  <c r="HD106" i="54"/>
  <c r="HD135" i="54"/>
  <c r="HD164" i="54"/>
  <c r="HD229" i="54"/>
  <c r="HD13" i="54"/>
  <c r="HD84" i="54"/>
  <c r="HD143" i="54"/>
  <c r="HD172" i="54"/>
  <c r="HD201" i="54"/>
  <c r="HD230" i="54"/>
  <c r="HD14" i="54"/>
  <c r="HD79" i="54"/>
  <c r="HD114" i="54"/>
  <c r="HD137" i="54"/>
  <c r="HD166" i="54"/>
  <c r="HD231" i="54"/>
  <c r="HD15" i="54"/>
  <c r="HD80" i="54"/>
  <c r="HD109" i="54"/>
  <c r="HD144" i="54"/>
  <c r="HD167" i="54"/>
  <c r="HD232" i="54"/>
  <c r="HD16" i="54"/>
  <c r="HD81" i="54"/>
  <c r="HD110" i="54"/>
  <c r="HD139" i="54"/>
  <c r="HD174" i="54"/>
  <c r="HD197" i="54"/>
  <c r="HD262" i="54"/>
  <c r="HD46" i="54"/>
  <c r="HD111" i="54"/>
  <c r="HD140" i="54"/>
  <c r="HD169" i="54"/>
  <c r="HD204" i="54"/>
  <c r="HD263" i="54"/>
  <c r="HD47" i="54"/>
  <c r="HD112" i="54"/>
  <c r="HD141" i="54"/>
  <c r="HD170" i="54"/>
  <c r="HD199" i="54"/>
  <c r="HD234" i="54"/>
  <c r="HD18" i="54"/>
  <c r="HD41" i="54"/>
  <c r="HD70" i="54"/>
  <c r="HD99" i="54"/>
  <c r="HD128" i="54"/>
  <c r="HD193" i="54"/>
  <c r="HD264" i="54"/>
  <c r="HD48" i="54"/>
  <c r="HD107" i="54"/>
  <c r="HD136" i="54"/>
  <c r="HD165" i="54"/>
  <c r="HD194" i="54"/>
  <c r="HD259" i="54"/>
  <c r="HD43" i="54"/>
  <c r="HD78" i="54"/>
  <c r="HD101" i="54"/>
  <c r="HD130" i="54"/>
  <c r="HD195" i="54"/>
  <c r="HD260" i="54"/>
  <c r="HD44" i="54"/>
  <c r="HD73" i="54"/>
  <c r="HD108" i="54"/>
  <c r="HD131" i="54"/>
  <c r="HD196" i="54"/>
  <c r="HD261" i="54"/>
  <c r="HD45" i="54"/>
  <c r="HD74" i="54"/>
  <c r="HD103" i="54"/>
  <c r="HD138" i="54"/>
  <c r="HD161" i="54"/>
  <c r="HD226" i="54"/>
  <c r="HD10" i="54"/>
  <c r="HD75" i="54"/>
  <c r="HD104" i="54"/>
  <c r="HD133" i="54"/>
  <c r="HD168" i="54"/>
  <c r="HD227" i="54"/>
  <c r="HD11" i="54"/>
  <c r="HD76" i="54"/>
  <c r="HD105" i="54"/>
  <c r="HD134" i="54"/>
  <c r="HD163" i="54"/>
  <c r="HD198" i="54"/>
  <c r="HD257" i="54"/>
  <c r="HD250" i="54"/>
  <c r="HD34" i="54"/>
  <c r="HD63" i="54"/>
  <c r="HD92" i="54"/>
  <c r="HD157" i="54"/>
  <c r="HD228" i="54"/>
  <c r="HD12" i="54"/>
  <c r="HD71" i="54"/>
  <c r="HD100" i="54"/>
  <c r="HD129" i="54"/>
  <c r="HD158" i="54"/>
  <c r="HD223" i="54"/>
  <c r="HD258" i="54"/>
  <c r="HD42" i="54"/>
  <c r="HD65" i="54"/>
  <c r="HD94" i="54"/>
  <c r="HD159" i="54"/>
  <c r="HD224" i="54"/>
  <c r="HD253" i="54"/>
  <c r="HD37" i="54"/>
  <c r="HD72" i="54"/>
  <c r="HD95" i="54"/>
  <c r="HD160" i="54"/>
  <c r="HD225" i="54"/>
  <c r="HD254" i="54"/>
  <c r="HD38" i="54"/>
  <c r="HD67" i="54"/>
  <c r="HD102" i="54"/>
  <c r="HD125" i="54"/>
  <c r="HD190" i="54"/>
  <c r="HD255" i="54"/>
  <c r="HD39" i="54"/>
  <c r="HD68" i="54"/>
  <c r="HD97" i="54"/>
  <c r="HD132" i="54"/>
  <c r="HD90" i="54"/>
  <c r="HD202" i="54"/>
  <c r="HD203" i="54"/>
  <c r="HD210" i="54"/>
  <c r="HD205" i="54"/>
  <c r="HD266" i="54"/>
  <c r="HD267" i="54"/>
  <c r="HD268" i="54"/>
  <c r="HD233" i="54"/>
  <c r="HD240" i="54"/>
  <c r="HD50" i="54"/>
  <c r="HD51" i="54"/>
  <c r="HD52" i="54"/>
  <c r="HD17" i="54"/>
  <c r="HD24" i="54"/>
  <c r="HD115" i="54"/>
  <c r="HD116" i="54"/>
  <c r="HD117" i="54"/>
  <c r="HD82" i="54"/>
  <c r="HD150" i="54"/>
  <c r="HD145" i="54"/>
  <c r="HD146" i="54"/>
  <c r="HD147" i="54"/>
  <c r="HD173" i="54"/>
  <c r="HD180" i="54"/>
  <c r="HD175" i="54"/>
  <c r="HD176" i="54"/>
  <c r="HD57" i="54"/>
  <c r="GA17" i="54"/>
  <c r="FZ17" i="54"/>
  <c r="FX17" i="54"/>
  <c r="FN17" i="54"/>
  <c r="FP17" i="54" s="1"/>
  <c r="FK18" i="54" s="1"/>
  <c r="FO18" i="54"/>
  <c r="FS17" i="54"/>
  <c r="FQ17" i="54"/>
  <c r="FT17" i="54"/>
  <c r="GJ18" i="54"/>
  <c r="GI17" i="54"/>
  <c r="GK17" i="54" s="1"/>
  <c r="GF18" i="54" s="1"/>
  <c r="DC61" i="54"/>
  <c r="DA61" i="54"/>
  <c r="DB62" i="54" s="1"/>
  <c r="AN50" i="56"/>
  <c r="Z35" i="54" l="1" a="1"/>
  <c r="Z35" i="54" s="1"/>
  <c r="BI10" i="54" a="1"/>
  <c r="BI10" i="54" s="1"/>
  <c r="GE18" i="54"/>
  <c r="GG18" i="54"/>
  <c r="GH18" i="54"/>
  <c r="FL18" i="54"/>
  <c r="FJ18" i="54"/>
  <c r="FM18" i="54"/>
  <c r="GC18" i="54"/>
  <c r="GB17" i="54"/>
  <c r="GD17" i="54" s="1"/>
  <c r="FY18" i="54" s="1"/>
  <c r="FV18" i="54"/>
  <c r="FU17" i="54"/>
  <c r="FW17" i="54" s="1"/>
  <c r="FR18" i="54" s="1"/>
  <c r="DC62" i="54"/>
  <c r="DA62" i="54"/>
  <c r="DB63" i="54" s="1"/>
  <c r="B6" i="61" l="1"/>
  <c r="FX18" i="54"/>
  <c r="GA18" i="54"/>
  <c r="FZ18" i="54"/>
  <c r="FT18" i="54"/>
  <c r="FS18" i="54"/>
  <c r="FQ18" i="54"/>
  <c r="FO19" i="54"/>
  <c r="FN18" i="54"/>
  <c r="FP18" i="54" s="1"/>
  <c r="FK19" i="54" s="1"/>
  <c r="GJ19" i="54"/>
  <c r="GI18" i="54"/>
  <c r="GK18" i="54" s="1"/>
  <c r="GF19" i="54" s="1"/>
  <c r="DC63" i="54"/>
  <c r="DA63" i="54"/>
  <c r="DB64" i="54" s="1"/>
  <c r="M45" i="56"/>
  <c r="M43" i="56"/>
  <c r="M41" i="56"/>
  <c r="M37" i="56"/>
  <c r="EU6" i="54" s="1"/>
  <c r="GE19" i="54" l="1"/>
  <c r="GG19" i="54"/>
  <c r="GH19" i="54"/>
  <c r="FJ19" i="54"/>
  <c r="FL19" i="54"/>
  <c r="FM19" i="54"/>
  <c r="FV19" i="54"/>
  <c r="FU18" i="54"/>
  <c r="FW18" i="54" s="1"/>
  <c r="FR19" i="54" s="1"/>
  <c r="GB18" i="54"/>
  <c r="GD18" i="54" s="1"/>
  <c r="FY19" i="54" s="1"/>
  <c r="GC19" i="54"/>
  <c r="DC64" i="54"/>
  <c r="DA64" i="54"/>
  <c r="DB65" i="54" s="1"/>
  <c r="H44" i="56"/>
  <c r="H39" i="56"/>
  <c r="V39" i="56" s="1"/>
  <c r="I39" i="56" s="1"/>
  <c r="H45" i="56"/>
  <c r="H40" i="56"/>
  <c r="H46" i="56"/>
  <c r="H41" i="56"/>
  <c r="H43" i="56"/>
  <c r="H38" i="56"/>
  <c r="V38" i="56" s="1"/>
  <c r="I38" i="56" s="1"/>
  <c r="H42" i="56"/>
  <c r="H37" i="56"/>
  <c r="B6" i="57" l="1"/>
  <c r="B1435" i="57"/>
  <c r="E1435" i="57" s="1"/>
  <c r="B1369" i="57"/>
  <c r="E1369" i="57" s="1"/>
  <c r="B1297" i="57"/>
  <c r="E1297" i="57" s="1"/>
  <c r="B1231" i="57"/>
  <c r="E1231" i="57" s="1"/>
  <c r="B1165" i="57"/>
  <c r="E1165" i="57" s="1"/>
  <c r="B1093" i="57"/>
  <c r="E1093" i="57" s="1"/>
  <c r="B1021" i="57"/>
  <c r="E1021" i="57" s="1"/>
  <c r="B961" i="57"/>
  <c r="E961" i="57" s="1"/>
  <c r="B895" i="57"/>
  <c r="E895" i="57" s="1"/>
  <c r="B835" i="57"/>
  <c r="E835" i="57" s="1"/>
  <c r="B793" i="57"/>
  <c r="E793" i="57" s="1"/>
  <c r="B757" i="57"/>
  <c r="E757" i="57" s="1"/>
  <c r="B721" i="57"/>
  <c r="E721" i="57" s="1"/>
  <c r="B685" i="57"/>
  <c r="E685" i="57" s="1"/>
  <c r="B649" i="57"/>
  <c r="E649" i="57" s="1"/>
  <c r="B2467" i="57"/>
  <c r="E2467" i="57" s="1"/>
  <c r="B2431" i="57"/>
  <c r="E2431" i="57" s="1"/>
  <c r="B2395" i="57"/>
  <c r="E2395" i="57" s="1"/>
  <c r="B2359" i="57"/>
  <c r="E2359" i="57" s="1"/>
  <c r="B2323" i="57"/>
  <c r="E2323" i="57" s="1"/>
  <c r="B2287" i="57"/>
  <c r="E2287" i="57" s="1"/>
  <c r="B2251" i="57"/>
  <c r="E2251" i="57" s="1"/>
  <c r="B1096" i="57"/>
  <c r="E1096" i="57" s="1"/>
  <c r="B514" i="57"/>
  <c r="E514" i="57" s="1"/>
  <c r="B88" i="57"/>
  <c r="E88" i="57" s="1"/>
  <c r="B1156" i="57"/>
  <c r="E1156" i="57" s="1"/>
  <c r="B610" i="57"/>
  <c r="E610" i="57" s="1"/>
  <c r="B328" i="57"/>
  <c r="E328" i="57" s="1"/>
  <c r="B82" i="57"/>
  <c r="E82" i="57" s="1"/>
  <c r="B1312" i="57"/>
  <c r="E1312" i="57" s="1"/>
  <c r="B1405" i="57"/>
  <c r="E1405" i="57" s="1"/>
  <c r="B1333" i="57"/>
  <c r="E1333" i="57" s="1"/>
  <c r="B1249" i="57"/>
  <c r="E1249" i="57" s="1"/>
  <c r="B1171" i="57"/>
  <c r="E1171" i="57" s="1"/>
  <c r="B1099" i="57"/>
  <c r="E1099" i="57" s="1"/>
  <c r="B1027" i="57"/>
  <c r="E1027" i="57" s="1"/>
  <c r="B937" i="57"/>
  <c r="E937" i="57" s="1"/>
  <c r="B859" i="57"/>
  <c r="E859" i="57" s="1"/>
  <c r="B1410" i="57"/>
  <c r="E1410" i="57" s="1"/>
  <c r="B1194" i="57"/>
  <c r="E1194" i="57" s="1"/>
  <c r="B978" i="57"/>
  <c r="E978" i="57" s="1"/>
  <c r="B786" i="57"/>
  <c r="E786" i="57" s="1"/>
  <c r="B672" i="57"/>
  <c r="E672" i="57" s="1"/>
  <c r="B444" i="57"/>
  <c r="E444" i="57" s="1"/>
  <c r="B2221" i="57"/>
  <c r="E2221" i="57" s="1"/>
  <c r="B2185" i="57"/>
  <c r="E2185" i="57" s="1"/>
  <c r="B2149" i="57"/>
  <c r="E2149" i="57" s="1"/>
  <c r="B1423" i="57"/>
  <c r="E1423" i="57" s="1"/>
  <c r="B1357" i="57"/>
  <c r="E1357" i="57" s="1"/>
  <c r="B1285" i="57"/>
  <c r="E1285" i="57" s="1"/>
  <c r="B1225" i="57"/>
  <c r="E1225" i="57" s="1"/>
  <c r="B1153" i="57"/>
  <c r="E1153" i="57" s="1"/>
  <c r="B1081" i="57"/>
  <c r="E1081" i="57" s="1"/>
  <c r="B1009" i="57"/>
  <c r="E1009" i="57" s="1"/>
  <c r="B955" i="57"/>
  <c r="E955" i="57" s="1"/>
  <c r="B883" i="57"/>
  <c r="E883" i="57" s="1"/>
  <c r="B829" i="57"/>
  <c r="E829" i="57" s="1"/>
  <c r="B787" i="57"/>
  <c r="E787" i="57" s="1"/>
  <c r="B751" i="57"/>
  <c r="E751" i="57" s="1"/>
  <c r="B715" i="57"/>
  <c r="E715" i="57" s="1"/>
  <c r="B679" i="57"/>
  <c r="E679" i="57" s="1"/>
  <c r="B643" i="57"/>
  <c r="E643" i="57" s="1"/>
  <c r="B2461" i="57"/>
  <c r="E2461" i="57" s="1"/>
  <c r="B2425" i="57"/>
  <c r="E2425" i="57" s="1"/>
  <c r="B2389" i="57"/>
  <c r="E2389" i="57" s="1"/>
  <c r="B2353" i="57"/>
  <c r="E2353" i="57" s="1"/>
  <c r="B2317" i="57"/>
  <c r="E2317" i="57" s="1"/>
  <c r="B2281" i="57"/>
  <c r="E2281" i="57" s="1"/>
  <c r="B2245" i="57"/>
  <c r="E2245" i="57" s="1"/>
  <c r="B916" i="57"/>
  <c r="E916" i="57" s="1"/>
  <c r="B412" i="57"/>
  <c r="E412" i="57" s="1"/>
  <c r="B76" i="57"/>
  <c r="E76" i="57" s="1"/>
  <c r="B1042" i="57"/>
  <c r="E1042" i="57" s="1"/>
  <c r="B598" i="57"/>
  <c r="E598" i="57" s="1"/>
  <c r="B220" i="57"/>
  <c r="E220" i="57" s="1"/>
  <c r="B70" i="57"/>
  <c r="E70" i="57" s="1"/>
  <c r="B1132" i="57"/>
  <c r="E1132" i="57" s="1"/>
  <c r="B1411" i="57"/>
  <c r="E1411" i="57" s="1"/>
  <c r="B1345" i="57"/>
  <c r="E1345" i="57" s="1"/>
  <c r="B1279" i="57"/>
  <c r="E1279" i="57" s="1"/>
  <c r="B1213" i="57"/>
  <c r="E1213" i="57" s="1"/>
  <c r="B1141" i="57"/>
  <c r="E1141" i="57" s="1"/>
  <c r="B1069" i="57"/>
  <c r="E1069" i="57" s="1"/>
  <c r="B997" i="57"/>
  <c r="E997" i="57" s="1"/>
  <c r="B943" i="57"/>
  <c r="E943" i="57" s="1"/>
  <c r="B877" i="57"/>
  <c r="E877" i="57" s="1"/>
  <c r="B823" i="57"/>
  <c r="E823" i="57" s="1"/>
  <c r="B781" i="57"/>
  <c r="E781" i="57" s="1"/>
  <c r="B745" i="57"/>
  <c r="E745" i="57" s="1"/>
  <c r="B709" i="57"/>
  <c r="E709" i="57" s="1"/>
  <c r="B673" i="57"/>
  <c r="E673" i="57" s="1"/>
  <c r="B637" i="57"/>
  <c r="E637" i="57" s="1"/>
  <c r="B2455" i="57"/>
  <c r="E2455" i="57" s="1"/>
  <c r="B2419" i="57"/>
  <c r="E2419" i="57" s="1"/>
  <c r="B2383" i="57"/>
  <c r="E2383" i="57" s="1"/>
  <c r="B2347" i="57"/>
  <c r="E2347" i="57" s="1"/>
  <c r="B2311" i="57"/>
  <c r="E2311" i="57" s="1"/>
  <c r="B2275" i="57"/>
  <c r="E2275" i="57" s="1"/>
  <c r="B2239" i="57"/>
  <c r="E2239" i="57" s="1"/>
  <c r="B784" i="57"/>
  <c r="E784" i="57" s="1"/>
  <c r="B352" i="57"/>
  <c r="E352" i="57" s="1"/>
  <c r="B64" i="57"/>
  <c r="E64" i="57" s="1"/>
  <c r="B940" i="57"/>
  <c r="E940" i="57" s="1"/>
  <c r="B526" i="57"/>
  <c r="E526" i="57" s="1"/>
  <c r="B184" i="57"/>
  <c r="E184" i="57" s="1"/>
  <c r="B58" i="57"/>
  <c r="E58" i="57" s="1"/>
  <c r="B1442" i="57"/>
  <c r="E1442" i="57" s="1"/>
  <c r="B1399" i="57"/>
  <c r="E1399" i="57" s="1"/>
  <c r="B1327" i="57"/>
  <c r="E1327" i="57" s="1"/>
  <c r="B1267" i="57"/>
  <c r="E1267" i="57" s="1"/>
  <c r="B1201" i="57"/>
  <c r="E1201" i="57" s="1"/>
  <c r="B1129" i="57"/>
  <c r="E1129" i="57" s="1"/>
  <c r="B1057" i="57"/>
  <c r="E1057" i="57" s="1"/>
  <c r="B991" i="57"/>
  <c r="E991" i="57" s="1"/>
  <c r="B931" i="57"/>
  <c r="E931" i="57" s="1"/>
  <c r="B865" i="57"/>
  <c r="E865" i="57" s="1"/>
  <c r="B817" i="57"/>
  <c r="E817" i="57" s="1"/>
  <c r="B775" i="57"/>
  <c r="E775" i="57" s="1"/>
  <c r="B739" i="57"/>
  <c r="E739" i="57" s="1"/>
  <c r="B703" i="57"/>
  <c r="E703" i="57" s="1"/>
  <c r="B667" i="57"/>
  <c r="E667" i="57" s="1"/>
  <c r="B625" i="57"/>
  <c r="E625" i="57" s="1"/>
  <c r="B2449" i="57"/>
  <c r="E2449" i="57" s="1"/>
  <c r="B2413" i="57"/>
  <c r="E2413" i="57" s="1"/>
  <c r="B2377" i="57"/>
  <c r="E2377" i="57" s="1"/>
  <c r="B2341" i="57"/>
  <c r="E2341" i="57" s="1"/>
  <c r="B2305" i="57"/>
  <c r="E2305" i="57" s="1"/>
  <c r="B1387" i="57"/>
  <c r="E1387" i="57" s="1"/>
  <c r="B1321" i="57"/>
  <c r="E1321" i="57" s="1"/>
  <c r="B1255" i="57"/>
  <c r="E1255" i="57" s="1"/>
  <c r="B1189" i="57"/>
  <c r="E1189" i="57" s="1"/>
  <c r="B1117" i="57"/>
  <c r="E1117" i="57" s="1"/>
  <c r="B1045" i="57"/>
  <c r="E1045" i="57" s="1"/>
  <c r="B979" i="57"/>
  <c r="E979" i="57" s="1"/>
  <c r="B919" i="57"/>
  <c r="E919" i="57" s="1"/>
  <c r="B853" i="57"/>
  <c r="E853" i="57" s="1"/>
  <c r="B811" i="57"/>
  <c r="E811" i="57" s="1"/>
  <c r="B769" i="57"/>
  <c r="E769" i="57" s="1"/>
  <c r="B733" i="57"/>
  <c r="E733" i="57" s="1"/>
  <c r="B697" i="57"/>
  <c r="E697" i="57" s="1"/>
  <c r="B661" i="57"/>
  <c r="E661" i="57" s="1"/>
  <c r="B2479" i="57"/>
  <c r="E2479" i="57" s="1"/>
  <c r="B2443" i="57"/>
  <c r="E2443" i="57" s="1"/>
  <c r="B2407" i="57"/>
  <c r="E2407" i="57" s="1"/>
  <c r="B2371" i="57"/>
  <c r="E2371" i="57" s="1"/>
  <c r="B2335" i="57"/>
  <c r="E2335" i="57" s="1"/>
  <c r="B2299" i="57"/>
  <c r="E2299" i="57" s="1"/>
  <c r="B2263" i="57"/>
  <c r="E2263" i="57" s="1"/>
  <c r="B2227" i="57"/>
  <c r="E2227" i="57" s="1"/>
  <c r="B628" i="57"/>
  <c r="E628" i="57" s="1"/>
  <c r="B160" i="57"/>
  <c r="E160" i="57" s="1"/>
  <c r="B34" i="57"/>
  <c r="E34" i="57" s="1"/>
  <c r="B760" i="57"/>
  <c r="E760" i="57" s="1"/>
  <c r="B472" i="57"/>
  <c r="E472" i="57" s="1"/>
  <c r="B106" i="57"/>
  <c r="E106" i="57" s="1"/>
  <c r="B40" i="57"/>
  <c r="E40" i="57" s="1"/>
  <c r="B1375" i="57"/>
  <c r="E1375" i="57" s="1"/>
  <c r="B1309" i="57"/>
  <c r="E1309" i="57" s="1"/>
  <c r="B1243" i="57"/>
  <c r="E1243" i="57" s="1"/>
  <c r="B1177" i="57"/>
  <c r="E1177" i="57" s="1"/>
  <c r="B1105" i="57"/>
  <c r="E1105" i="57" s="1"/>
  <c r="B1033" i="57"/>
  <c r="E1033" i="57" s="1"/>
  <c r="B973" i="57"/>
  <c r="E973" i="57" s="1"/>
  <c r="B907" i="57"/>
  <c r="E907" i="57" s="1"/>
  <c r="B847" i="57"/>
  <c r="E847" i="57" s="1"/>
  <c r="B799" i="57"/>
  <c r="E799" i="57" s="1"/>
  <c r="B763" i="57"/>
  <c r="E763" i="57" s="1"/>
  <c r="B727" i="57"/>
  <c r="E727" i="57" s="1"/>
  <c r="B691" i="57"/>
  <c r="E691" i="57" s="1"/>
  <c r="B655" i="57"/>
  <c r="E655" i="57" s="1"/>
  <c r="B2473" i="57"/>
  <c r="E2473" i="57" s="1"/>
  <c r="B2437" i="57"/>
  <c r="E2437" i="57" s="1"/>
  <c r="B2401" i="57"/>
  <c r="E2401" i="57" s="1"/>
  <c r="B2365" i="57"/>
  <c r="E2365" i="57" s="1"/>
  <c r="B2329" i="57"/>
  <c r="E2329" i="57" s="1"/>
  <c r="B2293" i="57"/>
  <c r="E2293" i="57" s="1"/>
  <c r="B2257" i="57"/>
  <c r="E2257" i="57" s="1"/>
  <c r="B1372" i="57"/>
  <c r="E1372" i="57" s="1"/>
  <c r="B556" i="57"/>
  <c r="E556" i="57" s="1"/>
  <c r="B100" i="57"/>
  <c r="E100" i="57" s="1"/>
  <c r="B1258" i="57"/>
  <c r="E1258" i="57" s="1"/>
  <c r="B724" i="57"/>
  <c r="E724" i="57" s="1"/>
  <c r="B370" i="57"/>
  <c r="E370" i="57" s="1"/>
  <c r="B94" i="57"/>
  <c r="E94" i="57" s="1"/>
  <c r="B1348" i="57"/>
  <c r="E1348" i="57" s="1"/>
  <c r="B1417" i="57"/>
  <c r="E1417" i="57" s="1"/>
  <c r="B1339" i="57"/>
  <c r="E1339" i="57" s="1"/>
  <c r="B1261" i="57"/>
  <c r="E1261" i="57" s="1"/>
  <c r="B1183" i="57"/>
  <c r="E1183" i="57" s="1"/>
  <c r="B1111" i="57"/>
  <c r="E1111" i="57" s="1"/>
  <c r="B1039" i="57"/>
  <c r="E1039" i="57" s="1"/>
  <c r="B949" i="57"/>
  <c r="E949" i="57" s="1"/>
  <c r="B871" i="57"/>
  <c r="E871" i="57" s="1"/>
  <c r="B1422" i="57"/>
  <c r="E1422" i="57" s="1"/>
  <c r="B1206" i="57"/>
  <c r="E1206" i="57" s="1"/>
  <c r="B990" i="57"/>
  <c r="E990" i="57" s="1"/>
  <c r="B798" i="57"/>
  <c r="E798" i="57" s="1"/>
  <c r="B714" i="57"/>
  <c r="E714" i="57" s="1"/>
  <c r="B462" i="57"/>
  <c r="E462" i="57" s="1"/>
  <c r="B348" i="57"/>
  <c r="E348" i="57" s="1"/>
  <c r="B2191" i="57"/>
  <c r="E2191" i="57" s="1"/>
  <c r="B2155" i="57"/>
  <c r="E2155" i="57" s="1"/>
  <c r="B2119" i="57"/>
  <c r="E2119" i="57" s="1"/>
  <c r="B2083" i="57"/>
  <c r="E2083" i="57" s="1"/>
  <c r="B2047" i="57"/>
  <c r="E2047" i="57" s="1"/>
  <c r="B2011" i="57"/>
  <c r="E2011" i="57" s="1"/>
  <c r="B1975" i="57"/>
  <c r="E1975" i="57" s="1"/>
  <c r="B1939" i="57"/>
  <c r="E1939" i="57" s="1"/>
  <c r="B1903" i="57"/>
  <c r="E1903" i="57" s="1"/>
  <c r="B1867" i="57"/>
  <c r="E1867" i="57" s="1"/>
  <c r="B1831" i="57"/>
  <c r="E1831" i="57" s="1"/>
  <c r="B1795" i="57"/>
  <c r="E1795" i="57" s="1"/>
  <c r="B1759" i="57"/>
  <c r="E1759" i="57" s="1"/>
  <c r="B1723" i="57"/>
  <c r="E1723" i="57" s="1"/>
  <c r="B2460" i="57"/>
  <c r="E2460" i="57" s="1"/>
  <c r="B2424" i="57"/>
  <c r="E2424" i="57" s="1"/>
  <c r="B2388" i="57"/>
  <c r="E2388" i="57" s="1"/>
  <c r="B2352" i="57"/>
  <c r="E2352" i="57" s="1"/>
  <c r="B2316" i="57"/>
  <c r="E2316" i="57" s="1"/>
  <c r="B2280" i="57"/>
  <c r="E2280" i="57" s="1"/>
  <c r="B2244" i="57"/>
  <c r="E2244" i="57" s="1"/>
  <c r="B2208" i="57"/>
  <c r="E2208" i="57" s="1"/>
  <c r="B2172" i="57"/>
  <c r="E2172" i="57" s="1"/>
  <c r="B2136" i="57"/>
  <c r="E2136" i="57" s="1"/>
  <c r="B2100" i="57"/>
  <c r="E2100" i="57" s="1"/>
  <c r="B2064" i="57"/>
  <c r="E2064" i="57" s="1"/>
  <c r="B2028" i="57"/>
  <c r="E2028" i="57" s="1"/>
  <c r="B1992" i="57"/>
  <c r="E1992" i="57" s="1"/>
  <c r="B1956" i="57"/>
  <c r="E1956" i="57" s="1"/>
  <c r="B891" i="57"/>
  <c r="E891" i="57" s="1"/>
  <c r="B1424" i="57"/>
  <c r="E1424" i="57" s="1"/>
  <c r="B1316" i="57"/>
  <c r="E1316" i="57" s="1"/>
  <c r="B1208" i="57"/>
  <c r="E1208" i="57" s="1"/>
  <c r="B1100" i="57"/>
  <c r="E1100" i="57" s="1"/>
  <c r="B992" i="57"/>
  <c r="E992" i="57" s="1"/>
  <c r="B884" i="57"/>
  <c r="E884" i="57" s="1"/>
  <c r="B632" i="57"/>
  <c r="E632" i="57" s="1"/>
  <c r="B619" i="57"/>
  <c r="E619" i="57" s="1"/>
  <c r="B583" i="57"/>
  <c r="E583" i="57" s="1"/>
  <c r="B547" i="57"/>
  <c r="E547" i="57" s="1"/>
  <c r="B511" i="57"/>
  <c r="E511" i="57" s="1"/>
  <c r="B475" i="57"/>
  <c r="E475" i="57" s="1"/>
  <c r="B439" i="57"/>
  <c r="E439" i="57" s="1"/>
  <c r="B403" i="57"/>
  <c r="E403" i="57" s="1"/>
  <c r="B367" i="57"/>
  <c r="E367" i="57" s="1"/>
  <c r="B331" i="57"/>
  <c r="E331" i="57" s="1"/>
  <c r="B295" i="57"/>
  <c r="E295" i="57" s="1"/>
  <c r="B259" i="57"/>
  <c r="E259" i="57" s="1"/>
  <c r="B228" i="57"/>
  <c r="E228" i="57" s="1"/>
  <c r="B66" i="57"/>
  <c r="E66" i="57" s="1"/>
  <c r="B1699" i="57"/>
  <c r="E1699" i="57" s="1"/>
  <c r="B1663" i="57"/>
  <c r="E1663" i="57" s="1"/>
  <c r="B1627" i="57"/>
  <c r="E1627" i="57" s="1"/>
  <c r="B1591" i="57"/>
  <c r="E1591" i="57" s="1"/>
  <c r="B1555" i="57"/>
  <c r="E1555" i="57" s="1"/>
  <c r="B1519" i="57"/>
  <c r="E1519" i="57" s="1"/>
  <c r="B1483" i="57"/>
  <c r="E1483" i="57" s="1"/>
  <c r="B1938" i="57"/>
  <c r="E1938" i="57" s="1"/>
  <c r="B1902" i="57"/>
  <c r="E1902" i="57" s="1"/>
  <c r="B1866" i="57"/>
  <c r="E1866" i="57" s="1"/>
  <c r="B1830" i="57"/>
  <c r="E1830" i="57" s="1"/>
  <c r="B1794" i="57"/>
  <c r="E1794" i="57" s="1"/>
  <c r="B1758" i="57"/>
  <c r="E1758" i="57" s="1"/>
  <c r="B1722" i="57"/>
  <c r="E1722" i="57" s="1"/>
  <c r="B1686" i="57"/>
  <c r="E1686" i="57" s="1"/>
  <c r="B1650" i="57"/>
  <c r="E1650" i="57" s="1"/>
  <c r="B1614" i="57"/>
  <c r="E1614" i="57" s="1"/>
  <c r="B1578" i="57"/>
  <c r="E1578" i="57" s="1"/>
  <c r="B1542" i="57"/>
  <c r="E1542" i="57" s="1"/>
  <c r="B1506" i="57"/>
  <c r="E1506" i="57" s="1"/>
  <c r="B1470" i="57"/>
  <c r="E1470" i="57" s="1"/>
  <c r="B243" i="57"/>
  <c r="E243" i="57" s="1"/>
  <c r="B2477" i="57"/>
  <c r="E2477" i="57" s="1"/>
  <c r="B2441" i="57"/>
  <c r="E2441" i="57" s="1"/>
  <c r="B266" i="57"/>
  <c r="E266" i="57" s="1"/>
  <c r="B128" i="57"/>
  <c r="E128" i="57" s="1"/>
  <c r="B2476" i="57"/>
  <c r="E2476" i="57" s="1"/>
  <c r="B2440" i="57"/>
  <c r="E2440" i="57" s="1"/>
  <c r="B211" i="57"/>
  <c r="E211" i="57" s="1"/>
  <c r="B175" i="57"/>
  <c r="E175" i="57" s="1"/>
  <c r="B139" i="57"/>
  <c r="E139" i="57" s="1"/>
  <c r="B103" i="57"/>
  <c r="E103" i="57" s="1"/>
  <c r="B67" i="57"/>
  <c r="E67" i="57" s="1"/>
  <c r="B2481" i="57"/>
  <c r="E2481" i="57" s="1"/>
  <c r="B2444" i="57"/>
  <c r="E2444" i="57" s="1"/>
  <c r="B2408" i="57"/>
  <c r="E2408" i="57" s="1"/>
  <c r="B2372" i="57"/>
  <c r="E2372" i="57" s="1"/>
  <c r="B2336" i="57"/>
  <c r="E2336" i="57" s="1"/>
  <c r="B2300" i="57"/>
  <c r="E2300" i="57" s="1"/>
  <c r="B2264" i="57"/>
  <c r="E2264" i="57" s="1"/>
  <c r="B2228" i="57"/>
  <c r="E2228" i="57" s="1"/>
  <c r="B2192" i="57"/>
  <c r="E2192" i="57" s="1"/>
  <c r="B2156" i="57"/>
  <c r="E2156" i="57" s="1"/>
  <c r="B2120" i="57"/>
  <c r="E2120" i="57" s="1"/>
  <c r="B2084" i="57"/>
  <c r="E2084" i="57" s="1"/>
  <c r="B2048" i="57"/>
  <c r="E2048" i="57" s="1"/>
  <c r="B2012" i="57"/>
  <c r="E2012" i="57" s="1"/>
  <c r="B1976" i="57"/>
  <c r="E1976" i="57" s="1"/>
  <c r="B2399" i="57"/>
  <c r="E2399" i="57" s="1"/>
  <c r="B2363" i="57"/>
  <c r="E2363" i="57" s="1"/>
  <c r="B2327" i="57"/>
  <c r="E2327" i="57" s="1"/>
  <c r="B2291" i="57"/>
  <c r="E2291" i="57" s="1"/>
  <c r="B2255" i="57"/>
  <c r="E2255" i="57" s="1"/>
  <c r="B2219" i="57"/>
  <c r="E2219" i="57" s="1"/>
  <c r="B2183" i="57"/>
  <c r="E2183" i="57" s="1"/>
  <c r="B2147" i="57"/>
  <c r="E2147" i="57" s="1"/>
  <c r="B2111" i="57"/>
  <c r="E2111" i="57" s="1"/>
  <c r="B2075" i="57"/>
  <c r="E2075" i="57" s="1"/>
  <c r="B2039" i="57"/>
  <c r="E2039" i="57" s="1"/>
  <c r="B2003" i="57"/>
  <c r="E2003" i="57" s="1"/>
  <c r="B1967" i="57"/>
  <c r="E1967" i="57" s="1"/>
  <c r="B2404" i="57"/>
  <c r="E2404" i="57" s="1"/>
  <c r="B2368" i="57"/>
  <c r="E2368" i="57" s="1"/>
  <c r="B2332" i="57"/>
  <c r="E2332" i="57" s="1"/>
  <c r="B2296" i="57"/>
  <c r="E2296" i="57" s="1"/>
  <c r="B2260" i="57"/>
  <c r="E2260" i="57" s="1"/>
  <c r="B2224" i="57"/>
  <c r="E2224" i="57" s="1"/>
  <c r="B2188" i="57"/>
  <c r="E2188" i="57" s="1"/>
  <c r="B2152" i="57"/>
  <c r="E2152" i="57" s="1"/>
  <c r="B2116" i="57"/>
  <c r="E2116" i="57" s="1"/>
  <c r="B2080" i="57"/>
  <c r="E2080" i="57" s="1"/>
  <c r="B2044" i="57"/>
  <c r="E2044" i="57" s="1"/>
  <c r="B2008" i="57"/>
  <c r="E2008" i="57" s="1"/>
  <c r="B1972" i="57"/>
  <c r="E1972" i="57" s="1"/>
  <c r="B2445" i="57"/>
  <c r="E2445" i="57" s="1"/>
  <c r="B2409" i="57"/>
  <c r="E2409" i="57" s="1"/>
  <c r="B2269" i="57"/>
  <c r="E2269" i="57" s="1"/>
  <c r="B496" i="57"/>
  <c r="E496" i="57" s="1"/>
  <c r="B1381" i="57"/>
  <c r="E1381" i="57" s="1"/>
  <c r="B1273" i="57"/>
  <c r="E1273" i="57" s="1"/>
  <c r="B1147" i="57"/>
  <c r="E1147" i="57" s="1"/>
  <c r="B1051" i="57"/>
  <c r="E1051" i="57" s="1"/>
  <c r="B913" i="57"/>
  <c r="E913" i="57" s="1"/>
  <c r="B1440" i="57"/>
  <c r="E1440" i="57" s="1"/>
  <c r="B1098" i="57"/>
  <c r="E1098" i="57" s="1"/>
  <c r="B810" i="57"/>
  <c r="E810" i="57" s="1"/>
  <c r="B558" i="57"/>
  <c r="E558" i="57" s="1"/>
  <c r="B390" i="57"/>
  <c r="E390" i="57" s="1"/>
  <c r="B2173" i="57"/>
  <c r="E2173" i="57" s="1"/>
  <c r="B2125" i="57"/>
  <c r="E2125" i="57" s="1"/>
  <c r="B2077" i="57"/>
  <c r="E2077" i="57" s="1"/>
  <c r="B2035" i="57"/>
  <c r="E2035" i="57" s="1"/>
  <c r="B1993" i="57"/>
  <c r="E1993" i="57" s="1"/>
  <c r="B1951" i="57"/>
  <c r="E1951" i="57" s="1"/>
  <c r="B1909" i="57"/>
  <c r="E1909" i="57" s="1"/>
  <c r="B1861" i="57"/>
  <c r="E1861" i="57" s="1"/>
  <c r="B1819" i="57"/>
  <c r="E1819" i="57" s="1"/>
  <c r="B1777" i="57"/>
  <c r="E1777" i="57" s="1"/>
  <c r="B1735" i="57"/>
  <c r="E1735" i="57" s="1"/>
  <c r="B2466" i="57"/>
  <c r="E2466" i="57" s="1"/>
  <c r="B2418" i="57"/>
  <c r="E2418" i="57" s="1"/>
  <c r="B2376" i="57"/>
  <c r="E2376" i="57" s="1"/>
  <c r="B2334" i="57"/>
  <c r="E2334" i="57" s="1"/>
  <c r="B2292" i="57"/>
  <c r="E2292" i="57" s="1"/>
  <c r="B2250" i="57"/>
  <c r="E2250" i="57" s="1"/>
  <c r="B2202" i="57"/>
  <c r="E2202" i="57" s="1"/>
  <c r="B2160" i="57"/>
  <c r="E2160" i="57" s="1"/>
  <c r="B2118" i="57"/>
  <c r="E2118" i="57" s="1"/>
  <c r="B2076" i="57"/>
  <c r="E2076" i="57" s="1"/>
  <c r="B2034" i="57"/>
  <c r="E2034" i="57" s="1"/>
  <c r="B1986" i="57"/>
  <c r="E1986" i="57" s="1"/>
  <c r="B1353" i="57"/>
  <c r="E1353" i="57" s="1"/>
  <c r="B711" i="57"/>
  <c r="E711" i="57" s="1"/>
  <c r="B1352" i="57"/>
  <c r="E1352" i="57" s="1"/>
  <c r="B1226" i="57"/>
  <c r="E1226" i="57" s="1"/>
  <c r="B1082" i="57"/>
  <c r="E1082" i="57" s="1"/>
  <c r="B956" i="57"/>
  <c r="E956" i="57" s="1"/>
  <c r="B770" i="57"/>
  <c r="E770" i="57" s="1"/>
  <c r="B416" i="57"/>
  <c r="E416" i="57" s="1"/>
  <c r="B589" i="57"/>
  <c r="E589" i="57" s="1"/>
  <c r="B541" i="57"/>
  <c r="E541" i="57" s="1"/>
  <c r="B499" i="57"/>
  <c r="E499" i="57" s="1"/>
  <c r="B457" i="57"/>
  <c r="E457" i="57" s="1"/>
  <c r="B415" i="57"/>
  <c r="E415" i="57" s="1"/>
  <c r="B373" i="57"/>
  <c r="E373" i="57" s="1"/>
  <c r="B325" i="57"/>
  <c r="E325" i="57" s="1"/>
  <c r="B283" i="57"/>
  <c r="E283" i="57" s="1"/>
  <c r="B241" i="57"/>
  <c r="E241" i="57" s="1"/>
  <c r="B174" i="57"/>
  <c r="E174" i="57" s="1"/>
  <c r="B1705" i="57"/>
  <c r="E1705" i="57" s="1"/>
  <c r="B1657" i="57"/>
  <c r="E1657" i="57" s="1"/>
  <c r="B1615" i="57"/>
  <c r="E1615" i="57" s="1"/>
  <c r="B1573" i="57"/>
  <c r="E1573" i="57" s="1"/>
  <c r="B1531" i="57"/>
  <c r="E1531" i="57" s="1"/>
  <c r="B1489" i="57"/>
  <c r="E1489" i="57" s="1"/>
  <c r="B1932" i="57"/>
  <c r="E1932" i="57" s="1"/>
  <c r="B1890" i="57"/>
  <c r="E1890" i="57" s="1"/>
  <c r="B1848" i="57"/>
  <c r="E1848" i="57" s="1"/>
  <c r="B1806" i="57"/>
  <c r="E1806" i="57" s="1"/>
  <c r="B1764" i="57"/>
  <c r="E1764" i="57" s="1"/>
  <c r="B1716" i="57"/>
  <c r="E1716" i="57" s="1"/>
  <c r="B1674" i="57"/>
  <c r="E1674" i="57" s="1"/>
  <c r="B1632" i="57"/>
  <c r="E1632" i="57" s="1"/>
  <c r="B1590" i="57"/>
  <c r="E1590" i="57" s="1"/>
  <c r="B1548" i="57"/>
  <c r="E1548" i="57" s="1"/>
  <c r="B1500" i="57"/>
  <c r="E1500" i="57" s="1"/>
  <c r="B1458" i="57"/>
  <c r="E1458" i="57" s="1"/>
  <c r="B63" i="57"/>
  <c r="E63" i="57" s="1"/>
  <c r="B2453" i="57"/>
  <c r="E2453" i="57" s="1"/>
  <c r="B308" i="57"/>
  <c r="E308" i="57" s="1"/>
  <c r="B122" i="57"/>
  <c r="E122" i="57" s="1"/>
  <c r="B2464" i="57"/>
  <c r="E2464" i="57" s="1"/>
  <c r="B229" i="57"/>
  <c r="E229" i="57" s="1"/>
  <c r="B187" i="57"/>
  <c r="E187" i="57" s="1"/>
  <c r="B145" i="57"/>
  <c r="E145" i="57" s="1"/>
  <c r="B97" i="57"/>
  <c r="E97" i="57" s="1"/>
  <c r="B55" i="57"/>
  <c r="E55" i="57" s="1"/>
  <c r="B2462" i="57"/>
  <c r="E2462" i="57" s="1"/>
  <c r="B2420" i="57"/>
  <c r="E2420" i="57" s="1"/>
  <c r="B2378" i="57"/>
  <c r="E2378" i="57" s="1"/>
  <c r="B2330" i="57"/>
  <c r="E2330" i="57" s="1"/>
  <c r="B2233" i="57"/>
  <c r="E2233" i="57" s="1"/>
  <c r="B130" i="57"/>
  <c r="E130" i="57" s="1"/>
  <c r="B1363" i="57"/>
  <c r="E1363" i="57" s="1"/>
  <c r="B1237" i="57"/>
  <c r="E1237" i="57" s="1"/>
  <c r="B1135" i="57"/>
  <c r="E1135" i="57" s="1"/>
  <c r="B1015" i="57"/>
  <c r="E1015" i="57" s="1"/>
  <c r="B901" i="57"/>
  <c r="E901" i="57" s="1"/>
  <c r="B1332" i="57"/>
  <c r="E1332" i="57" s="1"/>
  <c r="B1086" i="57"/>
  <c r="E1086" i="57" s="1"/>
  <c r="B768" i="57"/>
  <c r="E768" i="57" s="1"/>
  <c r="B486" i="57"/>
  <c r="E486" i="57" s="1"/>
  <c r="B2215" i="57"/>
  <c r="E2215" i="57" s="1"/>
  <c r="B2167" i="57"/>
  <c r="E2167" i="57" s="1"/>
  <c r="B2113" i="57"/>
  <c r="E2113" i="57" s="1"/>
  <c r="B2071" i="57"/>
  <c r="E2071" i="57" s="1"/>
  <c r="B2029" i="57"/>
  <c r="E2029" i="57" s="1"/>
  <c r="B1987" i="57"/>
  <c r="E1987" i="57" s="1"/>
  <c r="B1945" i="57"/>
  <c r="E1945" i="57" s="1"/>
  <c r="B1897" i="57"/>
  <c r="E1897" i="57" s="1"/>
  <c r="B1855" i="57"/>
  <c r="E1855" i="57" s="1"/>
  <c r="B1813" i="57"/>
  <c r="E1813" i="57" s="1"/>
  <c r="B1771" i="57"/>
  <c r="E1771" i="57" s="1"/>
  <c r="B1729" i="57"/>
  <c r="E1729" i="57" s="1"/>
  <c r="B2454" i="57"/>
  <c r="E2454" i="57" s="1"/>
  <c r="B2412" i="57"/>
  <c r="E2412" i="57" s="1"/>
  <c r="B2370" i="57"/>
  <c r="E2370" i="57" s="1"/>
  <c r="B2328" i="57"/>
  <c r="E2328" i="57" s="1"/>
  <c r="B2286" i="57"/>
  <c r="E2286" i="57" s="1"/>
  <c r="B2238" i="57"/>
  <c r="E2238" i="57" s="1"/>
  <c r="B2196" i="57"/>
  <c r="E2196" i="57" s="1"/>
  <c r="B2154" i="57"/>
  <c r="E2154" i="57" s="1"/>
  <c r="B2112" i="57"/>
  <c r="E2112" i="57" s="1"/>
  <c r="B2070" i="57"/>
  <c r="E2070" i="57" s="1"/>
  <c r="B2022" i="57"/>
  <c r="E2022" i="57" s="1"/>
  <c r="B1980" i="57"/>
  <c r="E1980" i="57" s="1"/>
  <c r="B1317" i="57"/>
  <c r="E1317" i="57" s="1"/>
  <c r="B639" i="57"/>
  <c r="E639" i="57" s="1"/>
  <c r="B1334" i="57"/>
  <c r="E1334" i="57" s="1"/>
  <c r="B1190" i="57"/>
  <c r="E1190" i="57" s="1"/>
  <c r="B1064" i="57"/>
  <c r="E1064" i="57" s="1"/>
  <c r="B938" i="57"/>
  <c r="E938" i="57" s="1"/>
  <c r="B740" i="57"/>
  <c r="E740" i="57" s="1"/>
  <c r="B338" i="57"/>
  <c r="E338" i="57" s="1"/>
  <c r="B577" i="57"/>
  <c r="E577" i="57" s="1"/>
  <c r="B535" i="57"/>
  <c r="E535" i="57" s="1"/>
  <c r="B493" i="57"/>
  <c r="E493" i="57" s="1"/>
  <c r="B451" i="57"/>
  <c r="E451" i="57" s="1"/>
  <c r="B409" i="57"/>
  <c r="E409" i="57" s="1"/>
  <c r="B361" i="57"/>
  <c r="E361" i="57" s="1"/>
  <c r="B319" i="57"/>
  <c r="E319" i="57" s="1"/>
  <c r="B277" i="57"/>
  <c r="E277" i="57" s="1"/>
  <c r="B235" i="57"/>
  <c r="E235" i="57" s="1"/>
  <c r="B96" i="57"/>
  <c r="E96" i="57" s="1"/>
  <c r="B1693" i="57"/>
  <c r="E1693" i="57" s="1"/>
  <c r="B1651" i="57"/>
  <c r="E1651" i="57" s="1"/>
  <c r="B1609" i="57"/>
  <c r="E1609" i="57" s="1"/>
  <c r="B1567" i="57"/>
  <c r="E1567" i="57" s="1"/>
  <c r="B1525" i="57"/>
  <c r="E1525" i="57" s="1"/>
  <c r="B1477" i="57"/>
  <c r="E1477" i="57" s="1"/>
  <c r="B1926" i="57"/>
  <c r="E1926" i="57" s="1"/>
  <c r="B1884" i="57"/>
  <c r="E1884" i="57" s="1"/>
  <c r="B1842" i="57"/>
  <c r="E1842" i="57" s="1"/>
  <c r="B1800" i="57"/>
  <c r="E1800" i="57" s="1"/>
  <c r="B772" i="57"/>
  <c r="E772" i="57" s="1"/>
  <c r="B52" i="57"/>
  <c r="E52" i="57" s="1"/>
  <c r="B1351" i="57"/>
  <c r="E1351" i="57" s="1"/>
  <c r="B1219" i="57"/>
  <c r="E1219" i="57" s="1"/>
  <c r="B1123" i="57"/>
  <c r="E1123" i="57" s="1"/>
  <c r="B1003" i="57"/>
  <c r="E1003" i="57" s="1"/>
  <c r="B889" i="57"/>
  <c r="E889" i="57" s="1"/>
  <c r="B1314" i="57"/>
  <c r="E1314" i="57" s="1"/>
  <c r="B1008" i="57"/>
  <c r="E1008" i="57" s="1"/>
  <c r="B756" i="57"/>
  <c r="E756" i="57" s="1"/>
  <c r="B474" i="57"/>
  <c r="E474" i="57" s="1"/>
  <c r="B2209" i="57"/>
  <c r="E2209" i="57" s="1"/>
  <c r="B2161" i="57"/>
  <c r="E2161" i="57" s="1"/>
  <c r="B2107" i="57"/>
  <c r="E2107" i="57" s="1"/>
  <c r="B2065" i="57"/>
  <c r="E2065" i="57" s="1"/>
  <c r="B2023" i="57"/>
  <c r="E2023" i="57" s="1"/>
  <c r="B1981" i="57"/>
  <c r="E1981" i="57" s="1"/>
  <c r="B1933" i="57"/>
  <c r="E1933" i="57" s="1"/>
  <c r="B1891" i="57"/>
  <c r="E1891" i="57" s="1"/>
  <c r="B1849" i="57"/>
  <c r="E1849" i="57" s="1"/>
  <c r="B1807" i="57"/>
  <c r="E1807" i="57" s="1"/>
  <c r="B1765" i="57"/>
  <c r="E1765" i="57" s="1"/>
  <c r="B1717" i="57"/>
  <c r="E1717" i="57" s="1"/>
  <c r="B2448" i="57"/>
  <c r="E2448" i="57" s="1"/>
  <c r="B2406" i="57"/>
  <c r="E2406" i="57" s="1"/>
  <c r="B2364" i="57"/>
  <c r="E2364" i="57" s="1"/>
  <c r="B2322" i="57"/>
  <c r="E2322" i="57" s="1"/>
  <c r="B2274" i="57"/>
  <c r="E2274" i="57" s="1"/>
  <c r="B2232" i="57"/>
  <c r="E2232" i="57" s="1"/>
  <c r="B2190" i="57"/>
  <c r="E2190" i="57" s="1"/>
  <c r="B2148" i="57"/>
  <c r="E2148" i="57" s="1"/>
  <c r="B2106" i="57"/>
  <c r="E2106" i="57" s="1"/>
  <c r="B2058" i="57"/>
  <c r="E2058" i="57" s="1"/>
  <c r="B2016" i="57"/>
  <c r="E2016" i="57" s="1"/>
  <c r="B1974" i="57"/>
  <c r="E1974" i="57" s="1"/>
  <c r="B1245" i="57"/>
  <c r="E1245" i="57" s="1"/>
  <c r="B351" i="57"/>
  <c r="E351" i="57" s="1"/>
  <c r="B1298" i="57"/>
  <c r="E1298" i="57" s="1"/>
  <c r="B1172" i="57"/>
  <c r="E1172" i="57" s="1"/>
  <c r="B1046" i="57"/>
  <c r="E1046" i="57" s="1"/>
  <c r="B920" i="57"/>
  <c r="E920" i="57" s="1"/>
  <c r="B662" i="57"/>
  <c r="E662" i="57" s="1"/>
  <c r="B613" i="57"/>
  <c r="E613" i="57" s="1"/>
  <c r="B571" i="57"/>
  <c r="E571" i="57" s="1"/>
  <c r="B529" i="57"/>
  <c r="E529" i="57" s="1"/>
  <c r="B487" i="57"/>
  <c r="E487" i="57" s="1"/>
  <c r="B445" i="57"/>
  <c r="E445" i="57" s="1"/>
  <c r="B397" i="57"/>
  <c r="E397" i="57" s="1"/>
  <c r="B355" i="57"/>
  <c r="E355" i="57" s="1"/>
  <c r="B313" i="57"/>
  <c r="E313" i="57" s="1"/>
  <c r="B271" i="57"/>
  <c r="E271" i="57" s="1"/>
  <c r="B276" i="57"/>
  <c r="E276" i="57" s="1"/>
  <c r="B2480" i="57"/>
  <c r="E2480" i="57" s="1"/>
  <c r="B1687" i="57"/>
  <c r="E1687" i="57" s="1"/>
  <c r="B1645" i="57"/>
  <c r="E1645" i="57" s="1"/>
  <c r="B1603" i="57"/>
  <c r="E1603" i="57" s="1"/>
  <c r="B1561" i="57"/>
  <c r="E1561" i="57" s="1"/>
  <c r="B1513" i="57"/>
  <c r="E1513" i="57" s="1"/>
  <c r="B1471" i="57"/>
  <c r="E1471" i="57" s="1"/>
  <c r="B1920" i="57"/>
  <c r="E1920" i="57" s="1"/>
  <c r="B1878" i="57"/>
  <c r="E1878" i="57" s="1"/>
  <c r="B1836" i="57"/>
  <c r="E1836" i="57" s="1"/>
  <c r="B1788" i="57"/>
  <c r="E1788" i="57" s="1"/>
  <c r="B46" i="57"/>
  <c r="E46" i="57" s="1"/>
  <c r="B1429" i="57"/>
  <c r="E1429" i="57" s="1"/>
  <c r="B1303" i="57"/>
  <c r="E1303" i="57" s="1"/>
  <c r="B1195" i="57"/>
  <c r="E1195" i="57" s="1"/>
  <c r="B1075" i="57"/>
  <c r="E1075" i="57" s="1"/>
  <c r="B967" i="57"/>
  <c r="E967" i="57" s="1"/>
  <c r="B805" i="57"/>
  <c r="E805" i="57" s="1"/>
  <c r="B1224" i="57"/>
  <c r="E1224" i="57" s="1"/>
  <c r="B882" i="57"/>
  <c r="E882" i="57" s="1"/>
  <c r="B726" i="57"/>
  <c r="E726" i="57" s="1"/>
  <c r="B414" i="57"/>
  <c r="E414" i="57" s="1"/>
  <c r="B2197" i="57"/>
  <c r="E2197" i="57" s="1"/>
  <c r="B2137" i="57"/>
  <c r="E2137" i="57" s="1"/>
  <c r="B2095" i="57"/>
  <c r="E2095" i="57" s="1"/>
  <c r="B2053" i="57"/>
  <c r="E2053" i="57" s="1"/>
  <c r="B2005" i="57"/>
  <c r="E2005" i="57" s="1"/>
  <c r="B1963" i="57"/>
  <c r="E1963" i="57" s="1"/>
  <c r="B1921" i="57"/>
  <c r="E1921" i="57" s="1"/>
  <c r="B1879" i="57"/>
  <c r="E1879" i="57" s="1"/>
  <c r="B1837" i="57"/>
  <c r="E1837" i="57" s="1"/>
  <c r="B1789" i="57"/>
  <c r="E1789" i="57" s="1"/>
  <c r="B1747" i="57"/>
  <c r="E1747" i="57" s="1"/>
  <c r="B2478" i="57"/>
  <c r="E2478" i="57" s="1"/>
  <c r="B2436" i="57"/>
  <c r="E2436" i="57" s="1"/>
  <c r="B2394" i="57"/>
  <c r="E2394" i="57" s="1"/>
  <c r="B2346" i="57"/>
  <c r="E2346" i="57" s="1"/>
  <c r="B2304" i="57"/>
  <c r="E2304" i="57" s="1"/>
  <c r="B2262" i="57"/>
  <c r="E2262" i="57" s="1"/>
  <c r="B2220" i="57"/>
  <c r="E2220" i="57" s="1"/>
  <c r="B2178" i="57"/>
  <c r="E2178" i="57" s="1"/>
  <c r="B2130" i="57"/>
  <c r="E2130" i="57" s="1"/>
  <c r="B2088" i="57"/>
  <c r="E2088" i="57" s="1"/>
  <c r="B2046" i="57"/>
  <c r="E2046" i="57" s="1"/>
  <c r="B2004" i="57"/>
  <c r="E2004" i="57" s="1"/>
  <c r="B1962" i="57"/>
  <c r="E1962" i="57" s="1"/>
  <c r="B813" i="57"/>
  <c r="E813" i="57" s="1"/>
  <c r="B1388" i="57"/>
  <c r="E1388" i="57" s="1"/>
  <c r="B1262" i="57"/>
  <c r="E1262" i="57" s="1"/>
  <c r="B1136" i="57"/>
  <c r="E1136" i="57" s="1"/>
  <c r="B1010" i="57"/>
  <c r="E1010" i="57" s="1"/>
  <c r="B866" i="57"/>
  <c r="E866" i="57" s="1"/>
  <c r="B524" i="57"/>
  <c r="E524" i="57" s="1"/>
  <c r="B601" i="57"/>
  <c r="E601" i="57" s="1"/>
  <c r="B559" i="57"/>
  <c r="E559" i="57" s="1"/>
  <c r="B517" i="57"/>
  <c r="E517" i="57" s="1"/>
  <c r="B469" i="57"/>
  <c r="E469" i="57" s="1"/>
  <c r="B427" i="57"/>
  <c r="E427" i="57" s="1"/>
  <c r="B385" i="57"/>
  <c r="E385" i="57" s="1"/>
  <c r="B343" i="57"/>
  <c r="E343" i="57" s="1"/>
  <c r="B301" i="57"/>
  <c r="E301" i="57" s="1"/>
  <c r="B253" i="57"/>
  <c r="E253" i="57" s="1"/>
  <c r="B198" i="57"/>
  <c r="E198" i="57" s="1"/>
  <c r="B2468" i="57"/>
  <c r="E2468" i="57" s="1"/>
  <c r="B1675" i="57"/>
  <c r="E1675" i="57" s="1"/>
  <c r="B1633" i="57"/>
  <c r="E1633" i="57" s="1"/>
  <c r="B1585" i="57"/>
  <c r="E1585" i="57" s="1"/>
  <c r="B1543" i="57"/>
  <c r="E1543" i="57" s="1"/>
  <c r="B1501" i="57"/>
  <c r="E1501" i="57" s="1"/>
  <c r="B1459" i="57"/>
  <c r="E1459" i="57" s="1"/>
  <c r="B1908" i="57"/>
  <c r="E1908" i="57" s="1"/>
  <c r="B1860" i="57"/>
  <c r="E1860" i="57" s="1"/>
  <c r="B1818" i="57"/>
  <c r="E1818" i="57" s="1"/>
  <c r="B880" i="57"/>
  <c r="E880" i="57" s="1"/>
  <c r="B1393" i="57"/>
  <c r="E1393" i="57" s="1"/>
  <c r="B1291" i="57"/>
  <c r="E1291" i="57" s="1"/>
  <c r="B1159" i="57"/>
  <c r="E1159" i="57" s="1"/>
  <c r="B1063" i="57"/>
  <c r="E1063" i="57" s="1"/>
  <c r="B925" i="57"/>
  <c r="E925" i="57" s="1"/>
  <c r="B631" i="57"/>
  <c r="E631" i="57" s="1"/>
  <c r="B1116" i="57"/>
  <c r="E1116" i="57" s="1"/>
  <c r="B870" i="57"/>
  <c r="E870" i="57" s="1"/>
  <c r="B600" i="57"/>
  <c r="E600" i="57" s="1"/>
  <c r="B402" i="57"/>
  <c r="E402" i="57" s="1"/>
  <c r="B2179" i="57"/>
  <c r="E2179" i="57" s="1"/>
  <c r="B2131" i="57"/>
  <c r="E2131" i="57" s="1"/>
  <c r="B2089" i="57"/>
  <c r="E2089" i="57" s="1"/>
  <c r="B2041" i="57"/>
  <c r="E2041" i="57" s="1"/>
  <c r="B1999" i="57"/>
  <c r="E1999" i="57" s="1"/>
  <c r="B1957" i="57"/>
  <c r="E1957" i="57" s="1"/>
  <c r="B1915" i="57"/>
  <c r="E1915" i="57" s="1"/>
  <c r="B1873" i="57"/>
  <c r="E1873" i="57" s="1"/>
  <c r="B1825" i="57"/>
  <c r="E1825" i="57" s="1"/>
  <c r="B1783" i="57"/>
  <c r="E1783" i="57" s="1"/>
  <c r="B1741" i="57"/>
  <c r="E1741" i="57" s="1"/>
  <c r="B2472" i="57"/>
  <c r="E2472" i="57" s="1"/>
  <c r="B2430" i="57"/>
  <c r="E2430" i="57" s="1"/>
  <c r="B2382" i="57"/>
  <c r="E2382" i="57" s="1"/>
  <c r="B2340" i="57"/>
  <c r="E2340" i="57" s="1"/>
  <c r="B2298" i="57"/>
  <c r="E2298" i="57" s="1"/>
  <c r="B2256" i="57"/>
  <c r="E2256" i="57" s="1"/>
  <c r="B2214" i="57"/>
  <c r="E2214" i="57" s="1"/>
  <c r="B2166" i="57"/>
  <c r="E2166" i="57" s="1"/>
  <c r="B2124" i="57"/>
  <c r="E2124" i="57" s="1"/>
  <c r="B2082" i="57"/>
  <c r="E2082" i="57" s="1"/>
  <c r="B2040" i="57"/>
  <c r="E2040" i="57" s="1"/>
  <c r="B1998" i="57"/>
  <c r="E1998" i="57" s="1"/>
  <c r="B1950" i="57"/>
  <c r="E1950" i="57" s="1"/>
  <c r="B777" i="57"/>
  <c r="E777" i="57" s="1"/>
  <c r="B1370" i="57"/>
  <c r="E1370" i="57" s="1"/>
  <c r="B1244" i="57"/>
  <c r="E1244" i="57" s="1"/>
  <c r="B1118" i="57"/>
  <c r="E1118" i="57" s="1"/>
  <c r="B974" i="57"/>
  <c r="E974" i="57" s="1"/>
  <c r="B848" i="57"/>
  <c r="E848" i="57" s="1"/>
  <c r="B446" i="57"/>
  <c r="E446" i="57" s="1"/>
  <c r="B595" i="57"/>
  <c r="E595" i="57" s="1"/>
  <c r="B553" i="57"/>
  <c r="E553" i="57" s="1"/>
  <c r="B505" i="57"/>
  <c r="E505" i="57" s="1"/>
  <c r="B463" i="57"/>
  <c r="E463" i="57" s="1"/>
  <c r="B421" i="57"/>
  <c r="E421" i="57" s="1"/>
  <c r="B379" i="57"/>
  <c r="E379" i="57" s="1"/>
  <c r="B337" i="57"/>
  <c r="E337" i="57" s="1"/>
  <c r="B289" i="57"/>
  <c r="E289" i="57" s="1"/>
  <c r="B247" i="57"/>
  <c r="E247" i="57" s="1"/>
  <c r="B186" i="57"/>
  <c r="E186" i="57" s="1"/>
  <c r="B1711" i="57"/>
  <c r="E1711" i="57" s="1"/>
  <c r="B1669" i="57"/>
  <c r="E1669" i="57" s="1"/>
  <c r="B1621" i="57"/>
  <c r="E1621" i="57" s="1"/>
  <c r="B1579" i="57"/>
  <c r="E1579" i="57" s="1"/>
  <c r="B1537" i="57"/>
  <c r="E1537" i="57" s="1"/>
  <c r="B1495" i="57"/>
  <c r="E1495" i="57" s="1"/>
  <c r="B1944" i="57"/>
  <c r="E1944" i="57" s="1"/>
  <c r="B1896" i="57"/>
  <c r="E1896" i="57" s="1"/>
  <c r="B1854" i="57"/>
  <c r="E1854" i="57" s="1"/>
  <c r="B1812" i="57"/>
  <c r="E1812" i="57" s="1"/>
  <c r="B1770" i="57"/>
  <c r="E1770" i="57" s="1"/>
  <c r="B1728" i="57"/>
  <c r="E1728" i="57" s="1"/>
  <c r="B1680" i="57"/>
  <c r="E1680" i="57" s="1"/>
  <c r="B1638" i="57"/>
  <c r="E1638" i="57" s="1"/>
  <c r="B1596" i="57"/>
  <c r="E1596" i="57" s="1"/>
  <c r="B1554" i="57"/>
  <c r="E1554" i="57" s="1"/>
  <c r="B1512" i="57"/>
  <c r="E1512" i="57" s="1"/>
  <c r="B1464" i="57"/>
  <c r="E1464" i="57" s="1"/>
  <c r="B69" i="57"/>
  <c r="E69" i="57" s="1"/>
  <c r="B2459" i="57"/>
  <c r="E2459" i="57" s="1"/>
  <c r="B2417" i="57"/>
  <c r="E2417" i="57" s="1"/>
  <c r="B158" i="57"/>
  <c r="E158" i="57" s="1"/>
  <c r="B2470" i="57"/>
  <c r="E2470" i="57" s="1"/>
  <c r="B2428" i="57"/>
  <c r="E2428" i="57" s="1"/>
  <c r="B193" i="57"/>
  <c r="E193" i="57" s="1"/>
  <c r="B151" i="57"/>
  <c r="E151" i="57" s="1"/>
  <c r="B109" i="57"/>
  <c r="E109" i="57" s="1"/>
  <c r="B61" i="57"/>
  <c r="E61" i="57" s="1"/>
  <c r="B2469" i="57"/>
  <c r="E2469" i="57" s="1"/>
  <c r="B2426" i="57"/>
  <c r="E2426" i="57" s="1"/>
  <c r="B2384" i="57"/>
  <c r="E2384" i="57" s="1"/>
  <c r="B2342" i="57"/>
  <c r="E2342" i="57" s="1"/>
  <c r="B2294" i="57"/>
  <c r="E2294" i="57" s="1"/>
  <c r="B2252" i="57"/>
  <c r="E2252" i="57" s="1"/>
  <c r="B2210" i="57"/>
  <c r="E2210" i="57" s="1"/>
  <c r="B2168" i="57"/>
  <c r="E2168" i="57" s="1"/>
  <c r="B2126" i="57"/>
  <c r="E2126" i="57" s="1"/>
  <c r="B2078" i="57"/>
  <c r="E2078" i="57" s="1"/>
  <c r="B2036" i="57"/>
  <c r="E2036" i="57" s="1"/>
  <c r="B1994" i="57"/>
  <c r="E1994" i="57" s="1"/>
  <c r="B2411" i="57"/>
  <c r="E2411" i="57" s="1"/>
  <c r="B2369" i="57"/>
  <c r="E2369" i="57" s="1"/>
  <c r="B2321" i="57"/>
  <c r="E2321" i="57" s="1"/>
  <c r="B2279" i="57"/>
  <c r="E2279" i="57" s="1"/>
  <c r="B2237" i="57"/>
  <c r="E2237" i="57" s="1"/>
  <c r="B2195" i="57"/>
  <c r="E2195" i="57" s="1"/>
  <c r="B2153" i="57"/>
  <c r="E2153" i="57" s="1"/>
  <c r="B2105" i="57"/>
  <c r="E2105" i="57" s="1"/>
  <c r="B2063" i="57"/>
  <c r="E2063" i="57" s="1"/>
  <c r="B2021" i="57"/>
  <c r="E2021" i="57" s="1"/>
  <c r="B1979" i="57"/>
  <c r="E1979" i="57" s="1"/>
  <c r="B2410" i="57"/>
  <c r="E2410" i="57" s="1"/>
  <c r="B2362" i="57"/>
  <c r="E2362" i="57" s="1"/>
  <c r="B2320" i="57"/>
  <c r="E2320" i="57" s="1"/>
  <c r="B2278" i="57"/>
  <c r="E2278" i="57" s="1"/>
  <c r="B2236" i="57"/>
  <c r="E2236" i="57" s="1"/>
  <c r="B2194" i="57"/>
  <c r="E2194" i="57" s="1"/>
  <c r="B2146" i="57"/>
  <c r="E2146" i="57" s="1"/>
  <c r="B2104" i="57"/>
  <c r="E2104" i="57" s="1"/>
  <c r="B2062" i="57"/>
  <c r="E2062" i="57" s="1"/>
  <c r="B2020" i="57"/>
  <c r="E2020" i="57" s="1"/>
  <c r="B1978" i="57"/>
  <c r="E1978" i="57" s="1"/>
  <c r="B2439" i="57"/>
  <c r="E2439" i="57" s="1"/>
  <c r="B2397" i="57"/>
  <c r="E2397" i="57" s="1"/>
  <c r="B2361" i="57"/>
  <c r="E2361" i="57" s="1"/>
  <c r="B2325" i="57"/>
  <c r="E2325" i="57" s="1"/>
  <c r="B2289" i="57"/>
  <c r="E2289" i="57" s="1"/>
  <c r="B2253" i="57"/>
  <c r="E2253" i="57" s="1"/>
  <c r="B2217" i="57"/>
  <c r="E2217" i="57" s="1"/>
  <c r="B2181" i="57"/>
  <c r="E2181" i="57" s="1"/>
  <c r="B2145" i="57"/>
  <c r="E2145" i="57" s="1"/>
  <c r="B2109" i="57"/>
  <c r="E2109" i="57" s="1"/>
  <c r="B2073" i="57"/>
  <c r="E2073" i="57" s="1"/>
  <c r="B2037" i="57"/>
  <c r="E2037" i="57" s="1"/>
  <c r="B2001" i="57"/>
  <c r="E2001" i="57" s="1"/>
  <c r="B1965" i="57"/>
  <c r="E1965" i="57" s="1"/>
  <c r="B1928" i="57"/>
  <c r="E1928" i="57" s="1"/>
  <c r="B1892" i="57"/>
  <c r="E1892" i="57" s="1"/>
  <c r="B1856" i="57"/>
  <c r="E1856" i="57" s="1"/>
  <c r="B1820" i="57"/>
  <c r="E1820" i="57" s="1"/>
  <c r="B1784" i="57"/>
  <c r="E1784" i="57" s="1"/>
  <c r="B1748" i="57"/>
  <c r="E1748" i="57" s="1"/>
  <c r="B1712" i="57"/>
  <c r="E1712" i="57" s="1"/>
  <c r="B1676" i="57"/>
  <c r="E1676" i="57" s="1"/>
  <c r="B1640" i="57"/>
  <c r="E1640" i="57" s="1"/>
  <c r="B1604" i="57"/>
  <c r="E1604" i="57" s="1"/>
  <c r="B1568" i="57"/>
  <c r="E1568" i="57" s="1"/>
  <c r="B1532" i="57"/>
  <c r="E1532" i="57" s="1"/>
  <c r="B1496" i="57"/>
  <c r="E1496" i="57" s="1"/>
  <c r="B1460" i="57"/>
  <c r="E1460" i="57" s="1"/>
  <c r="B1925" i="57"/>
  <c r="E1925" i="57" s="1"/>
  <c r="B1889" i="57"/>
  <c r="E1889" i="57" s="1"/>
  <c r="B1853" i="57"/>
  <c r="E1853" i="57" s="1"/>
  <c r="B1817" i="57"/>
  <c r="E1817" i="57" s="1"/>
  <c r="B1781" i="57"/>
  <c r="E1781" i="57" s="1"/>
  <c r="B1745" i="57"/>
  <c r="E1745" i="57" s="1"/>
  <c r="B1709" i="57"/>
  <c r="E1709" i="57" s="1"/>
  <c r="B1673" i="57"/>
  <c r="E1673" i="57" s="1"/>
  <c r="B1637" i="57"/>
  <c r="E1637" i="57" s="1"/>
  <c r="B1601" i="57"/>
  <c r="E1601" i="57" s="1"/>
  <c r="B1565" i="57"/>
  <c r="E1565" i="57" s="1"/>
  <c r="B1529" i="57"/>
  <c r="E1529" i="57" s="1"/>
  <c r="B1493" i="57"/>
  <c r="E1493" i="57" s="1"/>
  <c r="B1457" i="57"/>
  <c r="E1457" i="57" s="1"/>
  <c r="B1936" i="57"/>
  <c r="E1936" i="57" s="1"/>
  <c r="B1900" i="57"/>
  <c r="E1900" i="57" s="1"/>
  <c r="B1864" i="57"/>
  <c r="E1864" i="57" s="1"/>
  <c r="B1828" i="57"/>
  <c r="E1828" i="57" s="1"/>
  <c r="B1792" i="57"/>
  <c r="E1792" i="57" s="1"/>
  <c r="B1756" i="57"/>
  <c r="E1756" i="57" s="1"/>
  <c r="B1720" i="57"/>
  <c r="E1720" i="57" s="1"/>
  <c r="B1684" i="57"/>
  <c r="E1684" i="57" s="1"/>
  <c r="B1648" i="57"/>
  <c r="E1648" i="57" s="1"/>
  <c r="B1612" i="57"/>
  <c r="E1612" i="57" s="1"/>
  <c r="B1576" i="57"/>
  <c r="E1576" i="57" s="1"/>
  <c r="B1540" i="57"/>
  <c r="E1540" i="57" s="1"/>
  <c r="B1504" i="57"/>
  <c r="E1504" i="57" s="1"/>
  <c r="B1468" i="57"/>
  <c r="E1468" i="57" s="1"/>
  <c r="B1935" i="57"/>
  <c r="E1935" i="57" s="1"/>
  <c r="B1899" i="57"/>
  <c r="E1899" i="57" s="1"/>
  <c r="B1863" i="57"/>
  <c r="E1863" i="57" s="1"/>
  <c r="B1827" i="57"/>
  <c r="E1827" i="57" s="1"/>
  <c r="B1791" i="57"/>
  <c r="E1791" i="57" s="1"/>
  <c r="B1755" i="57"/>
  <c r="E1755" i="57" s="1"/>
  <c r="B1719" i="57"/>
  <c r="E1719" i="57" s="1"/>
  <c r="B1683" i="57"/>
  <c r="E1683" i="57" s="1"/>
  <c r="B1647" i="57"/>
  <c r="E1647" i="57" s="1"/>
  <c r="B1611" i="57"/>
  <c r="E1611" i="57" s="1"/>
  <c r="B1575" i="57"/>
  <c r="E1575" i="57" s="1"/>
  <c r="B1539" i="57"/>
  <c r="E1539" i="57" s="1"/>
  <c r="B1503" i="57"/>
  <c r="E1503" i="57" s="1"/>
  <c r="B1467" i="57"/>
  <c r="E1467" i="57" s="1"/>
  <c r="B232" i="57"/>
  <c r="E232" i="57" s="1"/>
  <c r="B841" i="57"/>
  <c r="E841" i="57" s="1"/>
  <c r="B2143" i="57"/>
  <c r="E2143" i="57" s="1"/>
  <c r="B1885" i="57"/>
  <c r="E1885" i="57" s="1"/>
  <c r="B2400" i="57"/>
  <c r="E2400" i="57" s="1"/>
  <c r="B2142" i="57"/>
  <c r="E2142" i="57" s="1"/>
  <c r="B1406" i="57"/>
  <c r="E1406" i="57" s="1"/>
  <c r="B607" i="57"/>
  <c r="E607" i="57" s="1"/>
  <c r="B349" i="57"/>
  <c r="E349" i="57" s="1"/>
  <c r="B1639" i="57"/>
  <c r="E1639" i="57" s="1"/>
  <c r="B1872" i="57"/>
  <c r="E1872" i="57" s="1"/>
  <c r="B1740" i="57"/>
  <c r="E1740" i="57" s="1"/>
  <c r="B1668" i="57"/>
  <c r="E1668" i="57" s="1"/>
  <c r="B1608" i="57"/>
  <c r="E1608" i="57" s="1"/>
  <c r="B1536" i="57"/>
  <c r="E1536" i="57" s="1"/>
  <c r="B1482" i="57"/>
  <c r="E1482" i="57" s="1"/>
  <c r="B45" i="57"/>
  <c r="E45" i="57" s="1"/>
  <c r="B2429" i="57"/>
  <c r="E2429" i="57" s="1"/>
  <c r="B92" i="57"/>
  <c r="E92" i="57" s="1"/>
  <c r="B2446" i="57"/>
  <c r="E2446" i="57" s="1"/>
  <c r="B181" i="57"/>
  <c r="E181" i="57" s="1"/>
  <c r="B121" i="57"/>
  <c r="E121" i="57" s="1"/>
  <c r="B43" i="57"/>
  <c r="E43" i="57" s="1"/>
  <c r="B2438" i="57"/>
  <c r="E2438" i="57" s="1"/>
  <c r="B2366" i="57"/>
  <c r="E2366" i="57" s="1"/>
  <c r="B2312" i="57"/>
  <c r="E2312" i="57" s="1"/>
  <c r="B2258" i="57"/>
  <c r="E2258" i="57" s="1"/>
  <c r="B2204" i="57"/>
  <c r="E2204" i="57" s="1"/>
  <c r="B2150" i="57"/>
  <c r="E2150" i="57" s="1"/>
  <c r="B2102" i="57"/>
  <c r="E2102" i="57" s="1"/>
  <c r="B2054" i="57"/>
  <c r="E2054" i="57" s="1"/>
  <c r="B2000" i="57"/>
  <c r="E2000" i="57" s="1"/>
  <c r="B2405" i="57"/>
  <c r="E2405" i="57" s="1"/>
  <c r="B2351" i="57"/>
  <c r="E2351" i="57" s="1"/>
  <c r="B2303" i="57"/>
  <c r="E2303" i="57" s="1"/>
  <c r="B2249" i="57"/>
  <c r="E2249" i="57" s="1"/>
  <c r="B2201" i="57"/>
  <c r="E2201" i="57" s="1"/>
  <c r="B2141" i="57"/>
  <c r="E2141" i="57" s="1"/>
  <c r="B2093" i="57"/>
  <c r="E2093" i="57" s="1"/>
  <c r="B2045" i="57"/>
  <c r="E2045" i="57" s="1"/>
  <c r="B1991" i="57"/>
  <c r="E1991" i="57" s="1"/>
  <c r="B2416" i="57"/>
  <c r="E2416" i="57" s="1"/>
  <c r="B2356" i="57"/>
  <c r="E2356" i="57" s="1"/>
  <c r="B2308" i="57"/>
  <c r="E2308" i="57" s="1"/>
  <c r="B2254" i="57"/>
  <c r="E2254" i="57" s="1"/>
  <c r="B2206" i="57"/>
  <c r="E2206" i="57" s="1"/>
  <c r="B2158" i="57"/>
  <c r="E2158" i="57" s="1"/>
  <c r="B2098" i="57"/>
  <c r="E2098" i="57" s="1"/>
  <c r="B2050" i="57"/>
  <c r="E2050" i="57" s="1"/>
  <c r="B1996" i="57"/>
  <c r="E1996" i="57" s="1"/>
  <c r="B2457" i="57"/>
  <c r="E2457" i="57" s="1"/>
  <c r="B2403" i="57"/>
  <c r="E2403" i="57" s="1"/>
  <c r="B2355" i="57"/>
  <c r="E2355" i="57" s="1"/>
  <c r="B2313" i="57"/>
  <c r="E2313" i="57" s="1"/>
  <c r="B2271" i="57"/>
  <c r="E2271" i="57" s="1"/>
  <c r="B2229" i="57"/>
  <c r="E2229" i="57" s="1"/>
  <c r="B2187" i="57"/>
  <c r="E2187" i="57" s="1"/>
  <c r="B2139" i="57"/>
  <c r="E2139" i="57" s="1"/>
  <c r="B2097" i="57"/>
  <c r="E2097" i="57" s="1"/>
  <c r="B2055" i="57"/>
  <c r="E2055" i="57" s="1"/>
  <c r="B2013" i="57"/>
  <c r="E2013" i="57" s="1"/>
  <c r="B1971" i="57"/>
  <c r="E1971" i="57" s="1"/>
  <c r="B1922" i="57"/>
  <c r="E1922" i="57" s="1"/>
  <c r="B1880" i="57"/>
  <c r="E1880" i="57" s="1"/>
  <c r="B1838" i="57"/>
  <c r="E1838" i="57" s="1"/>
  <c r="B1796" i="57"/>
  <c r="E1796" i="57" s="1"/>
  <c r="B1754" i="57"/>
  <c r="E1754" i="57" s="1"/>
  <c r="B1706" i="57"/>
  <c r="E1706" i="57" s="1"/>
  <c r="B1664" i="57"/>
  <c r="E1664" i="57" s="1"/>
  <c r="B1622" i="57"/>
  <c r="E1622" i="57" s="1"/>
  <c r="B1580" i="57"/>
  <c r="E1580" i="57" s="1"/>
  <c r="B1538" i="57"/>
  <c r="E1538" i="57" s="1"/>
  <c r="B1490" i="57"/>
  <c r="E1490" i="57" s="1"/>
  <c r="B1949" i="57"/>
  <c r="E1949" i="57" s="1"/>
  <c r="B1907" i="57"/>
  <c r="E1907" i="57" s="1"/>
  <c r="B1865" i="57"/>
  <c r="E1865" i="57" s="1"/>
  <c r="B1823" i="57"/>
  <c r="E1823" i="57" s="1"/>
  <c r="B1775" i="57"/>
  <c r="E1775" i="57" s="1"/>
  <c r="B1733" i="57"/>
  <c r="E1733" i="57" s="1"/>
  <c r="B1691" i="57"/>
  <c r="E1691" i="57" s="1"/>
  <c r="B1649" i="57"/>
  <c r="E1649" i="57" s="1"/>
  <c r="B1607" i="57"/>
  <c r="E1607" i="57" s="1"/>
  <c r="B1559" i="57"/>
  <c r="E1559" i="57" s="1"/>
  <c r="B1517" i="57"/>
  <c r="E1517" i="57" s="1"/>
  <c r="B1475" i="57"/>
  <c r="E1475" i="57" s="1"/>
  <c r="B1948" i="57"/>
  <c r="E1948" i="57" s="1"/>
  <c r="B1441" i="57"/>
  <c r="E1441" i="57" s="1"/>
  <c r="B1302" i="57"/>
  <c r="E1302" i="57" s="1"/>
  <c r="B2101" i="57"/>
  <c r="E2101" i="57" s="1"/>
  <c r="B1843" i="57"/>
  <c r="E1843" i="57" s="1"/>
  <c r="B2358" i="57"/>
  <c r="E2358" i="57" s="1"/>
  <c r="B2094" i="57"/>
  <c r="E2094" i="57" s="1"/>
  <c r="B1280" i="57"/>
  <c r="E1280" i="57" s="1"/>
  <c r="B565" i="57"/>
  <c r="E565" i="57" s="1"/>
  <c r="B307" i="57"/>
  <c r="E307" i="57" s="1"/>
  <c r="B1597" i="57"/>
  <c r="E1597" i="57" s="1"/>
  <c r="B1824" i="57"/>
  <c r="E1824" i="57" s="1"/>
  <c r="B1734" i="57"/>
  <c r="E1734" i="57" s="1"/>
  <c r="B1662" i="57"/>
  <c r="E1662" i="57" s="1"/>
  <c r="B1602" i="57"/>
  <c r="E1602" i="57" s="1"/>
  <c r="B1530" i="57"/>
  <c r="E1530" i="57" s="1"/>
  <c r="B1476" i="57"/>
  <c r="E1476" i="57" s="1"/>
  <c r="B14" i="57"/>
  <c r="E14" i="57" s="1"/>
  <c r="B2423" i="57"/>
  <c r="E2423" i="57" s="1"/>
  <c r="B62" i="57"/>
  <c r="E62" i="57" s="1"/>
  <c r="B2434" i="57"/>
  <c r="E2434" i="57" s="1"/>
  <c r="B169" i="57"/>
  <c r="E169" i="57" s="1"/>
  <c r="B115" i="57"/>
  <c r="E115" i="57" s="1"/>
  <c r="B31" i="57"/>
  <c r="E31" i="57" s="1"/>
  <c r="B2432" i="57"/>
  <c r="E2432" i="57" s="1"/>
  <c r="B2360" i="57"/>
  <c r="E2360" i="57" s="1"/>
  <c r="B2306" i="57"/>
  <c r="E2306" i="57" s="1"/>
  <c r="B2246" i="57"/>
  <c r="E2246" i="57" s="1"/>
  <c r="B2198" i="57"/>
  <c r="E2198" i="57" s="1"/>
  <c r="B2144" i="57"/>
  <c r="E2144" i="57" s="1"/>
  <c r="B2096" i="57"/>
  <c r="E2096" i="57" s="1"/>
  <c r="B2042" i="57"/>
  <c r="E2042" i="57" s="1"/>
  <c r="B1988" i="57"/>
  <c r="E1988" i="57" s="1"/>
  <c r="B2393" i="57"/>
  <c r="E2393" i="57" s="1"/>
  <c r="B2345" i="57"/>
  <c r="E2345" i="57" s="1"/>
  <c r="B2297" i="57"/>
  <c r="E2297" i="57" s="1"/>
  <c r="B2243" i="57"/>
  <c r="E2243" i="57" s="1"/>
  <c r="B2189" i="57"/>
  <c r="E2189" i="57" s="1"/>
  <c r="B2135" i="57"/>
  <c r="E2135" i="57" s="1"/>
  <c r="B2087" i="57"/>
  <c r="E2087" i="57" s="1"/>
  <c r="B2033" i="57"/>
  <c r="E2033" i="57" s="1"/>
  <c r="B1985" i="57"/>
  <c r="E1985" i="57" s="1"/>
  <c r="B2398" i="57"/>
  <c r="E2398" i="57" s="1"/>
  <c r="B2350" i="57"/>
  <c r="E2350" i="57" s="1"/>
  <c r="B2302" i="57"/>
  <c r="E2302" i="57" s="1"/>
  <c r="B2248" i="57"/>
  <c r="E2248" i="57" s="1"/>
  <c r="B2200" i="57"/>
  <c r="E2200" i="57" s="1"/>
  <c r="B2140" i="57"/>
  <c r="E2140" i="57" s="1"/>
  <c r="B2092" i="57"/>
  <c r="E2092" i="57" s="1"/>
  <c r="B2038" i="57"/>
  <c r="E2038" i="57" s="1"/>
  <c r="B1990" i="57"/>
  <c r="E1990" i="57" s="1"/>
  <c r="B2451" i="57"/>
  <c r="E2451" i="57" s="1"/>
  <c r="B2391" i="57"/>
  <c r="E2391" i="57" s="1"/>
  <c r="B2349" i="57"/>
  <c r="E2349" i="57" s="1"/>
  <c r="B2307" i="57"/>
  <c r="E2307" i="57" s="1"/>
  <c r="B2265" i="57"/>
  <c r="E2265" i="57" s="1"/>
  <c r="B2223" i="57"/>
  <c r="E2223" i="57" s="1"/>
  <c r="B2175" i="57"/>
  <c r="E2175" i="57" s="1"/>
  <c r="B2133" i="57"/>
  <c r="E2133" i="57" s="1"/>
  <c r="B2091" i="57"/>
  <c r="E2091" i="57" s="1"/>
  <c r="B2049" i="57"/>
  <c r="E2049" i="57" s="1"/>
  <c r="B2007" i="57"/>
  <c r="E2007" i="57" s="1"/>
  <c r="B1959" i="57"/>
  <c r="E1959" i="57" s="1"/>
  <c r="B1916" i="57"/>
  <c r="E1916" i="57" s="1"/>
  <c r="B1874" i="57"/>
  <c r="E1874" i="57" s="1"/>
  <c r="B1832" i="57"/>
  <c r="E1832" i="57" s="1"/>
  <c r="B1790" i="57"/>
  <c r="E1790" i="57" s="1"/>
  <c r="B1742" i="57"/>
  <c r="E1742" i="57" s="1"/>
  <c r="B1700" i="57"/>
  <c r="E1700" i="57" s="1"/>
  <c r="B1658" i="57"/>
  <c r="E1658" i="57" s="1"/>
  <c r="B1616" i="57"/>
  <c r="E1616" i="57" s="1"/>
  <c r="B1574" i="57"/>
  <c r="E1574" i="57" s="1"/>
  <c r="B1526" i="57"/>
  <c r="E1526" i="57" s="1"/>
  <c r="B1484" i="57"/>
  <c r="E1484" i="57" s="1"/>
  <c r="B1943" i="57"/>
  <c r="E1943" i="57" s="1"/>
  <c r="B1901" i="57"/>
  <c r="E1901" i="57" s="1"/>
  <c r="B1859" i="57"/>
  <c r="E1859" i="57" s="1"/>
  <c r="B1811" i="57"/>
  <c r="E1811" i="57" s="1"/>
  <c r="B1769" i="57"/>
  <c r="E1769" i="57" s="1"/>
  <c r="B1727" i="57"/>
  <c r="E1727" i="57" s="1"/>
  <c r="B1685" i="57"/>
  <c r="E1685" i="57" s="1"/>
  <c r="B1643" i="57"/>
  <c r="E1643" i="57" s="1"/>
  <c r="B1595" i="57"/>
  <c r="E1595" i="57" s="1"/>
  <c r="B1553" i="57"/>
  <c r="E1553" i="57" s="1"/>
  <c r="B1511" i="57"/>
  <c r="E1511" i="57" s="1"/>
  <c r="B1469" i="57"/>
  <c r="E1469" i="57" s="1"/>
  <c r="B1315" i="57"/>
  <c r="E1315" i="57" s="1"/>
  <c r="B900" i="57"/>
  <c r="E900" i="57" s="1"/>
  <c r="B2059" i="57"/>
  <c r="E2059" i="57" s="1"/>
  <c r="B1801" i="57"/>
  <c r="E1801" i="57" s="1"/>
  <c r="B2310" i="57"/>
  <c r="E2310" i="57" s="1"/>
  <c r="B2052" i="57"/>
  <c r="E2052" i="57" s="1"/>
  <c r="B1154" i="57"/>
  <c r="E1154" i="57" s="1"/>
  <c r="B523" i="57"/>
  <c r="E523" i="57" s="1"/>
  <c r="B265" i="57"/>
  <c r="E265" i="57" s="1"/>
  <c r="B1549" i="57"/>
  <c r="E1549" i="57" s="1"/>
  <c r="B1782" i="57"/>
  <c r="E1782" i="57" s="1"/>
  <c r="B1710" i="57"/>
  <c r="E1710" i="57" s="1"/>
  <c r="B1656" i="57"/>
  <c r="E1656" i="57" s="1"/>
  <c r="B1584" i="57"/>
  <c r="E1584" i="57" s="1"/>
  <c r="B1524" i="57"/>
  <c r="E1524" i="57" s="1"/>
  <c r="B2509" i="57"/>
  <c r="E2509" i="57" s="1"/>
  <c r="B2471" i="57"/>
  <c r="E2471" i="57" s="1"/>
  <c r="B236" i="57"/>
  <c r="E236" i="57" s="1"/>
  <c r="B13" i="57"/>
  <c r="E13" i="57" s="1"/>
  <c r="B223" i="57"/>
  <c r="E223" i="57" s="1"/>
  <c r="B163" i="57"/>
  <c r="E163" i="57" s="1"/>
  <c r="B91" i="57"/>
  <c r="E91" i="57" s="1"/>
  <c r="B12" i="57"/>
  <c r="E12" i="57" s="1"/>
  <c r="B2414" i="57"/>
  <c r="E2414" i="57" s="1"/>
  <c r="B2354" i="57"/>
  <c r="E2354" i="57" s="1"/>
  <c r="B2288" i="57"/>
  <c r="E2288" i="57" s="1"/>
  <c r="B2240" i="57"/>
  <c r="E2240" i="57" s="1"/>
  <c r="B2186" i="57"/>
  <c r="E2186" i="57" s="1"/>
  <c r="B2138" i="57"/>
  <c r="E2138" i="57" s="1"/>
  <c r="B2090" i="57"/>
  <c r="E2090" i="57" s="1"/>
  <c r="B2030" i="57"/>
  <c r="E2030" i="57" s="1"/>
  <c r="B1982" i="57"/>
  <c r="E1982" i="57" s="1"/>
  <c r="B2387" i="57"/>
  <c r="B2339" i="57"/>
  <c r="E2339" i="57" s="1"/>
  <c r="B2285" i="57"/>
  <c r="E2285" i="57" s="1"/>
  <c r="B2231" i="57"/>
  <c r="E2231" i="57" s="1"/>
  <c r="B2177" i="57"/>
  <c r="E2177" i="57" s="1"/>
  <c r="B2129" i="57"/>
  <c r="E2129" i="57" s="1"/>
  <c r="B2081" i="57"/>
  <c r="E2081" i="57" s="1"/>
  <c r="B2027" i="57"/>
  <c r="E2027" i="57" s="1"/>
  <c r="B1973" i="57"/>
  <c r="E1973" i="57" s="1"/>
  <c r="B2392" i="57"/>
  <c r="E2392" i="57" s="1"/>
  <c r="B2344" i="57"/>
  <c r="E2344" i="57" s="1"/>
  <c r="B2290" i="57"/>
  <c r="E2290" i="57" s="1"/>
  <c r="B2242" i="57"/>
  <c r="E2242" i="57" s="1"/>
  <c r="B2182" i="57"/>
  <c r="E2182" i="57" s="1"/>
  <c r="B2134" i="57"/>
  <c r="E2134" i="57" s="1"/>
  <c r="B2086" i="57"/>
  <c r="E2086" i="57" s="1"/>
  <c r="B2032" i="57"/>
  <c r="E2032" i="57" s="1"/>
  <c r="B1984" i="57"/>
  <c r="E1984" i="57" s="1"/>
  <c r="B2433" i="57"/>
  <c r="E2433" i="57" s="1"/>
  <c r="B2385" i="57"/>
  <c r="E2385" i="57" s="1"/>
  <c r="B2343" i="57"/>
  <c r="E2343" i="57" s="1"/>
  <c r="B2301" i="57"/>
  <c r="E2301" i="57" s="1"/>
  <c r="B2259" i="57"/>
  <c r="E2259" i="57" s="1"/>
  <c r="B2211" i="57"/>
  <c r="E2211" i="57" s="1"/>
  <c r="B2169" i="57"/>
  <c r="E2169" i="57" s="1"/>
  <c r="B2127" i="57"/>
  <c r="E2127" i="57" s="1"/>
  <c r="B2085" i="57"/>
  <c r="E2085" i="57" s="1"/>
  <c r="B1207" i="57"/>
  <c r="E1207" i="57" s="1"/>
  <c r="B738" i="57"/>
  <c r="E738" i="57" s="1"/>
  <c r="B2017" i="57"/>
  <c r="E2017" i="57" s="1"/>
  <c r="B1753" i="57"/>
  <c r="E1753" i="57" s="1"/>
  <c r="B2268" i="57"/>
  <c r="E2268" i="57" s="1"/>
  <c r="B2010" i="57"/>
  <c r="E2010" i="57" s="1"/>
  <c r="B1028" i="57"/>
  <c r="E1028" i="57" s="1"/>
  <c r="B481" i="57"/>
  <c r="E481" i="57" s="1"/>
  <c r="B216" i="57"/>
  <c r="E216" i="57" s="1"/>
  <c r="B1507" i="57"/>
  <c r="E1507" i="57" s="1"/>
  <c r="B1776" i="57"/>
  <c r="E1776" i="57" s="1"/>
  <c r="B1704" i="57"/>
  <c r="E1704" i="57" s="1"/>
  <c r="B1644" i="57"/>
  <c r="E1644" i="57" s="1"/>
  <c r="B1572" i="57"/>
  <c r="E1572" i="57" s="1"/>
  <c r="B1518" i="57"/>
  <c r="E1518" i="57" s="1"/>
  <c r="B2503" i="57"/>
  <c r="E2503" i="57" s="1"/>
  <c r="B2465" i="57"/>
  <c r="E2465" i="57" s="1"/>
  <c r="B230" i="57"/>
  <c r="E230" i="57" s="1"/>
  <c r="B1452" i="57"/>
  <c r="E1452" i="57" s="1"/>
  <c r="B217" i="57"/>
  <c r="E217" i="57" s="1"/>
  <c r="B157" i="57"/>
  <c r="E157" i="57" s="1"/>
  <c r="B85" i="57"/>
  <c r="E85" i="57" s="1"/>
  <c r="B2475" i="57"/>
  <c r="E2475" i="57" s="1"/>
  <c r="B2402" i="57"/>
  <c r="E2402" i="57" s="1"/>
  <c r="B2348" i="57"/>
  <c r="E2348" i="57" s="1"/>
  <c r="B2282" i="57"/>
  <c r="E2282" i="57" s="1"/>
  <c r="B2234" i="57"/>
  <c r="E2234" i="57" s="1"/>
  <c r="B2180" i="57"/>
  <c r="E2180" i="57" s="1"/>
  <c r="B2132" i="57"/>
  <c r="E2132" i="57" s="1"/>
  <c r="B2072" i="57"/>
  <c r="E2072" i="57" s="1"/>
  <c r="B2024" i="57"/>
  <c r="E2024" i="57" s="1"/>
  <c r="B1970" i="57"/>
  <c r="E1970" i="57" s="1"/>
  <c r="B2381" i="57"/>
  <c r="E2381" i="57" s="1"/>
  <c r="B2333" i="57"/>
  <c r="E2333" i="57" s="1"/>
  <c r="B2273" i="57"/>
  <c r="E2273" i="57" s="1"/>
  <c r="B2225" i="57"/>
  <c r="E2225" i="57" s="1"/>
  <c r="B2171" i="57"/>
  <c r="E2171" i="57" s="1"/>
  <c r="B2123" i="57"/>
  <c r="E2123" i="57" s="1"/>
  <c r="B2069" i="57"/>
  <c r="E2069" i="57" s="1"/>
  <c r="B2015" i="57"/>
  <c r="E2015" i="57" s="1"/>
  <c r="B1961" i="57"/>
  <c r="E1961" i="57" s="1"/>
  <c r="B2386" i="57"/>
  <c r="E2386" i="57" s="1"/>
  <c r="B2338" i="57"/>
  <c r="E2338" i="57" s="1"/>
  <c r="B2284" i="57"/>
  <c r="E2284" i="57" s="1"/>
  <c r="B2230" i="57"/>
  <c r="E2230" i="57" s="1"/>
  <c r="B2176" i="57"/>
  <c r="E2176" i="57" s="1"/>
  <c r="B2128" i="57"/>
  <c r="E2128" i="57" s="1"/>
  <c r="B2074" i="57"/>
  <c r="E2074" i="57" s="1"/>
  <c r="B2026" i="57"/>
  <c r="E2026" i="57" s="1"/>
  <c r="B1966" i="57"/>
  <c r="E1966" i="57" s="1"/>
  <c r="B2427" i="57"/>
  <c r="E2427" i="57" s="1"/>
  <c r="B2379" i="57"/>
  <c r="E2379" i="57" s="1"/>
  <c r="B2337" i="57"/>
  <c r="E2337" i="57" s="1"/>
  <c r="B2295" i="57"/>
  <c r="E2295" i="57" s="1"/>
  <c r="B2247" i="57"/>
  <c r="E2247" i="57" s="1"/>
  <c r="B2205" i="57"/>
  <c r="E2205" i="57" s="1"/>
  <c r="B2163" i="57"/>
  <c r="E2163" i="57" s="1"/>
  <c r="B2121" i="57"/>
  <c r="E2121" i="57" s="1"/>
  <c r="B2079" i="57"/>
  <c r="E2079" i="57" s="1"/>
  <c r="B1087" i="57"/>
  <c r="E1087" i="57" s="1"/>
  <c r="B432" i="57"/>
  <c r="E432" i="57" s="1"/>
  <c r="B1969" i="57"/>
  <c r="E1969" i="57" s="1"/>
  <c r="B16" i="57"/>
  <c r="B2226" i="57"/>
  <c r="E2226" i="57" s="1"/>
  <c r="B1968" i="57"/>
  <c r="E1968" i="57" s="1"/>
  <c r="B902" i="57"/>
  <c r="E902" i="57" s="1"/>
  <c r="B433" i="57"/>
  <c r="E433" i="57" s="1"/>
  <c r="B2474" i="57"/>
  <c r="E2474" i="57" s="1"/>
  <c r="B1465" i="57"/>
  <c r="E1465" i="57" s="1"/>
  <c r="B1752" i="57"/>
  <c r="E1752" i="57" s="1"/>
  <c r="B1698" i="57"/>
  <c r="E1698" i="57" s="1"/>
  <c r="B1626" i="57"/>
  <c r="E1626" i="57" s="1"/>
  <c r="B1566" i="57"/>
  <c r="E1566" i="57" s="1"/>
  <c r="B1494" i="57"/>
  <c r="E1494" i="57" s="1"/>
  <c r="B2497" i="57"/>
  <c r="E2497" i="57" s="1"/>
  <c r="B2447" i="57"/>
  <c r="E2447" i="57" s="1"/>
  <c r="B200" i="57"/>
  <c r="E200" i="57" s="1"/>
  <c r="B2458" i="57"/>
  <c r="E2458" i="57" s="1"/>
  <c r="B205" i="57"/>
  <c r="E205" i="57" s="1"/>
  <c r="B133" i="57"/>
  <c r="E133" i="57" s="1"/>
  <c r="B79" i="57"/>
  <c r="E79" i="57" s="1"/>
  <c r="B2456" i="57"/>
  <c r="E2456" i="57" s="1"/>
  <c r="B2396" i="57"/>
  <c r="E2396" i="57" s="1"/>
  <c r="B2324" i="57"/>
  <c r="E2324" i="57" s="1"/>
  <c r="B2276" i="57"/>
  <c r="E2276" i="57" s="1"/>
  <c r="B2222" i="57"/>
  <c r="E2222" i="57" s="1"/>
  <c r="B2174" i="57"/>
  <c r="E2174" i="57" s="1"/>
  <c r="B2114" i="57"/>
  <c r="E2114" i="57" s="1"/>
  <c r="B2066" i="57"/>
  <c r="E2066" i="57" s="1"/>
  <c r="B2018" i="57"/>
  <c r="E2018" i="57" s="1"/>
  <c r="B1964" i="57"/>
  <c r="E1964" i="57" s="1"/>
  <c r="B2375" i="57"/>
  <c r="E2375" i="57" s="1"/>
  <c r="B2315" i="57"/>
  <c r="E2315" i="57" s="1"/>
  <c r="B2267" i="57"/>
  <c r="E2267" i="57" s="1"/>
  <c r="B2213" i="57"/>
  <c r="E2213" i="57" s="1"/>
  <c r="B2165" i="57"/>
  <c r="E2165" i="57" s="1"/>
  <c r="B2117" i="57"/>
  <c r="E2117" i="57" s="1"/>
  <c r="B2057" i="57"/>
  <c r="E2057" i="57" s="1"/>
  <c r="B2009" i="57"/>
  <c r="E2009" i="57" s="1"/>
  <c r="B1955" i="57"/>
  <c r="E1955" i="57" s="1"/>
  <c r="B2380" i="57"/>
  <c r="E2380" i="57" s="1"/>
  <c r="B2326" i="57"/>
  <c r="E2326" i="57" s="1"/>
  <c r="B2272" i="57"/>
  <c r="E2272" i="57" s="1"/>
  <c r="B2218" i="57"/>
  <c r="E2218" i="57" s="1"/>
  <c r="B2170" i="57"/>
  <c r="E2170" i="57" s="1"/>
  <c r="B2122" i="57"/>
  <c r="E2122" i="57" s="1"/>
  <c r="B2068" i="57"/>
  <c r="E2068" i="57" s="1"/>
  <c r="B2014" i="57"/>
  <c r="E2014" i="57" s="1"/>
  <c r="B1960" i="57"/>
  <c r="E1960" i="57" s="1"/>
  <c r="B2421" i="57"/>
  <c r="E2421" i="57" s="1"/>
  <c r="B2373" i="57"/>
  <c r="E2373" i="57" s="1"/>
  <c r="B2331" i="57"/>
  <c r="E2331" i="57" s="1"/>
  <c r="B2283" i="57"/>
  <c r="E2283" i="57" s="1"/>
  <c r="B2241" i="57"/>
  <c r="E2241" i="57" s="1"/>
  <c r="B2199" i="57"/>
  <c r="E2199" i="57" s="1"/>
  <c r="B2157" i="57"/>
  <c r="E2157" i="57" s="1"/>
  <c r="B2115" i="57"/>
  <c r="E2115" i="57" s="1"/>
  <c r="B2067" i="57"/>
  <c r="E2067" i="57" s="1"/>
  <c r="B2025" i="57"/>
  <c r="E2025" i="57" s="1"/>
  <c r="B985" i="57"/>
  <c r="E985" i="57" s="1"/>
  <c r="B2203" i="57"/>
  <c r="E2203" i="57" s="1"/>
  <c r="B1927" i="57"/>
  <c r="E1927" i="57" s="1"/>
  <c r="B2442" i="57"/>
  <c r="E2442" i="57" s="1"/>
  <c r="B2184" i="57"/>
  <c r="E2184" i="57" s="1"/>
  <c r="B927" i="57"/>
  <c r="E927" i="57" s="1"/>
  <c r="B554" i="57"/>
  <c r="E554" i="57" s="1"/>
  <c r="B391" i="57"/>
  <c r="E391" i="57" s="1"/>
  <c r="B1681" i="57"/>
  <c r="E1681" i="57" s="1"/>
  <c r="B1914" i="57"/>
  <c r="E1914" i="57" s="1"/>
  <c r="B1746" i="57"/>
  <c r="E1746" i="57" s="1"/>
  <c r="B1692" i="57"/>
  <c r="E1692" i="57" s="1"/>
  <c r="B1620" i="57"/>
  <c r="E1620" i="57" s="1"/>
  <c r="B1560" i="57"/>
  <c r="E1560" i="57" s="1"/>
  <c r="B1488" i="57"/>
  <c r="E1488" i="57" s="1"/>
  <c r="B93" i="57"/>
  <c r="E93" i="57" s="1"/>
  <c r="B2435" i="57"/>
  <c r="E2435" i="57" s="1"/>
  <c r="B164" i="57"/>
  <c r="E164" i="57" s="1"/>
  <c r="B2452" i="57"/>
  <c r="E2452" i="57" s="1"/>
  <c r="B199" i="57"/>
  <c r="E199" i="57" s="1"/>
  <c r="B127" i="57"/>
  <c r="E127" i="57" s="1"/>
  <c r="B73" i="57"/>
  <c r="E73" i="57" s="1"/>
  <c r="B2450" i="57"/>
  <c r="E2450" i="57" s="1"/>
  <c r="B2390" i="57"/>
  <c r="E2390" i="57" s="1"/>
  <c r="B2318" i="57"/>
  <c r="E2318" i="57" s="1"/>
  <c r="B2270" i="57"/>
  <c r="E2270" i="57" s="1"/>
  <c r="B2216" i="57"/>
  <c r="E2216" i="57" s="1"/>
  <c r="B2162" i="57"/>
  <c r="E2162" i="57" s="1"/>
  <c r="B2108" i="57"/>
  <c r="E2108" i="57" s="1"/>
  <c r="B2060" i="57"/>
  <c r="E2060" i="57" s="1"/>
  <c r="B2006" i="57"/>
  <c r="E2006" i="57" s="1"/>
  <c r="B1958" i="57"/>
  <c r="E1958" i="57" s="1"/>
  <c r="B2357" i="57"/>
  <c r="E2357" i="57" s="1"/>
  <c r="B2309" i="57"/>
  <c r="E2309" i="57" s="1"/>
  <c r="B2261" i="57"/>
  <c r="E2261" i="57" s="1"/>
  <c r="B2207" i="57"/>
  <c r="E2207" i="57" s="1"/>
  <c r="B2159" i="57"/>
  <c r="E2159" i="57" s="1"/>
  <c r="B2099" i="57"/>
  <c r="E2099" i="57" s="1"/>
  <c r="B2051" i="57"/>
  <c r="E2051" i="57" s="1"/>
  <c r="B1997" i="57"/>
  <c r="E1997" i="57" s="1"/>
  <c r="B2422" i="57"/>
  <c r="E2422" i="57" s="1"/>
  <c r="B2374" i="57"/>
  <c r="E2374" i="57" s="1"/>
  <c r="B2314" i="57"/>
  <c r="E2314" i="57" s="1"/>
  <c r="B2266" i="57"/>
  <c r="E2266" i="57" s="1"/>
  <c r="B2212" i="57"/>
  <c r="E2212" i="57" s="1"/>
  <c r="B2164" i="57"/>
  <c r="E2164" i="57" s="1"/>
  <c r="B2110" i="57"/>
  <c r="E2110" i="57" s="1"/>
  <c r="B2056" i="57"/>
  <c r="E2056" i="57" s="1"/>
  <c r="B2002" i="57"/>
  <c r="E2002" i="57" s="1"/>
  <c r="B2463" i="57"/>
  <c r="E2463" i="57" s="1"/>
  <c r="B2415" i="57"/>
  <c r="E2415" i="57" s="1"/>
  <c r="B2367" i="57"/>
  <c r="E2367" i="57" s="1"/>
  <c r="B2319" i="57"/>
  <c r="E2319" i="57" s="1"/>
  <c r="B2277" i="57"/>
  <c r="E2277" i="57" s="1"/>
  <c r="B2235" i="57"/>
  <c r="E2235" i="57" s="1"/>
  <c r="B2193" i="57"/>
  <c r="E2193" i="57" s="1"/>
  <c r="B2151" i="57"/>
  <c r="E2151" i="57" s="1"/>
  <c r="B2103" i="57"/>
  <c r="E2103" i="57" s="1"/>
  <c r="B2061" i="57"/>
  <c r="E2061" i="57" s="1"/>
  <c r="B2019" i="57"/>
  <c r="E2019" i="57" s="1"/>
  <c r="B1977" i="57"/>
  <c r="E1977" i="57" s="1"/>
  <c r="B1934" i="57"/>
  <c r="E1934" i="57" s="1"/>
  <c r="B1886" i="57"/>
  <c r="E1886" i="57" s="1"/>
  <c r="B1844" i="57"/>
  <c r="E1844" i="57" s="1"/>
  <c r="B1802" i="57"/>
  <c r="E1802" i="57" s="1"/>
  <c r="B1760" i="57"/>
  <c r="E1760" i="57" s="1"/>
  <c r="B1718" i="57"/>
  <c r="E1718" i="57" s="1"/>
  <c r="B1670" i="57"/>
  <c r="E1670" i="57" s="1"/>
  <c r="B1628" i="57"/>
  <c r="E1628" i="57" s="1"/>
  <c r="B1586" i="57"/>
  <c r="E1586" i="57" s="1"/>
  <c r="B1544" i="57"/>
  <c r="E1544" i="57" s="1"/>
  <c r="B1502" i="57"/>
  <c r="E1502" i="57" s="1"/>
  <c r="B2499" i="57"/>
  <c r="E2499" i="57" s="1"/>
  <c r="B1913" i="57"/>
  <c r="E1913" i="57" s="1"/>
  <c r="B1871" i="57"/>
  <c r="E1871" i="57" s="1"/>
  <c r="B1829" i="57"/>
  <c r="E1829" i="57" s="1"/>
  <c r="B1787" i="57"/>
  <c r="E1787" i="57" s="1"/>
  <c r="B1739" i="57"/>
  <c r="E1739" i="57" s="1"/>
  <c r="B1697" i="57"/>
  <c r="E1697" i="57" s="1"/>
  <c r="B1655" i="57"/>
  <c r="E1655" i="57" s="1"/>
  <c r="B1613" i="57"/>
  <c r="E1613" i="57" s="1"/>
  <c r="B1571" i="57"/>
  <c r="E1571" i="57" s="1"/>
  <c r="B1523" i="57"/>
  <c r="E1523" i="57" s="1"/>
  <c r="B1481" i="57"/>
  <c r="E1481" i="57" s="1"/>
  <c r="B1954" i="57"/>
  <c r="E1954" i="57" s="1"/>
  <c r="B1912" i="57"/>
  <c r="E1912" i="57" s="1"/>
  <c r="B1870" i="57"/>
  <c r="E1870" i="57" s="1"/>
  <c r="B1822" i="57"/>
  <c r="E1822" i="57" s="1"/>
  <c r="B1780" i="57"/>
  <c r="E1780" i="57" s="1"/>
  <c r="B1738" i="57"/>
  <c r="E1738" i="57" s="1"/>
  <c r="B1696" i="57"/>
  <c r="E1696" i="57" s="1"/>
  <c r="B1654" i="57"/>
  <c r="E1654" i="57" s="1"/>
  <c r="B1606" i="57"/>
  <c r="E1606" i="57" s="1"/>
  <c r="B1564" i="57"/>
  <c r="E1564" i="57" s="1"/>
  <c r="B1522" i="57"/>
  <c r="E1522" i="57" s="1"/>
  <c r="B1480" i="57"/>
  <c r="E1480" i="57" s="1"/>
  <c r="B1941" i="57"/>
  <c r="E1941" i="57" s="1"/>
  <c r="B1893" i="57"/>
  <c r="E1893" i="57" s="1"/>
  <c r="B1851" i="57"/>
  <c r="E1851" i="57" s="1"/>
  <c r="B1809" i="57"/>
  <c r="E1809" i="57" s="1"/>
  <c r="B1767" i="57"/>
  <c r="E1767" i="57" s="1"/>
  <c r="B1725" i="57"/>
  <c r="E1725" i="57" s="1"/>
  <c r="B1677" i="57"/>
  <c r="E1677" i="57" s="1"/>
  <c r="B1635" i="57"/>
  <c r="E1635" i="57" s="1"/>
  <c r="B1593" i="57"/>
  <c r="E1593" i="57" s="1"/>
  <c r="B1551" i="57"/>
  <c r="E1551" i="57" s="1"/>
  <c r="B1509" i="57"/>
  <c r="E1509" i="57" s="1"/>
  <c r="B1461" i="57"/>
  <c r="E1461" i="57" s="1"/>
  <c r="B1416" i="57"/>
  <c r="E1416" i="57" s="1"/>
  <c r="B1439" i="57"/>
  <c r="E1439" i="57" s="1"/>
  <c r="B1409" i="57"/>
  <c r="E1409" i="57" s="1"/>
  <c r="B1379" i="57"/>
  <c r="E1379" i="57" s="1"/>
  <c r="B1307" i="57"/>
  <c r="E1307" i="57" s="1"/>
  <c r="B1432" i="57"/>
  <c r="E1432" i="57" s="1"/>
  <c r="B1414" i="57"/>
  <c r="E1414" i="57" s="1"/>
  <c r="B1396" i="57"/>
  <c r="E1396" i="57" s="1"/>
  <c r="B1378" i="57"/>
  <c r="E1378" i="57" s="1"/>
  <c r="B1354" i="57"/>
  <c r="E1354" i="57" s="1"/>
  <c r="B1330" i="57"/>
  <c r="E1330" i="57" s="1"/>
  <c r="B1306" i="57"/>
  <c r="E1306" i="57" s="1"/>
  <c r="B1288" i="57"/>
  <c r="E1288" i="57" s="1"/>
  <c r="B1270" i="57"/>
  <c r="E1270" i="57" s="1"/>
  <c r="B1246" i="57"/>
  <c r="E1246" i="57" s="1"/>
  <c r="B1228" i="57"/>
  <c r="E1228" i="57" s="1"/>
  <c r="B1210" i="57"/>
  <c r="E1210" i="57" s="1"/>
  <c r="B1192" i="57"/>
  <c r="E1192" i="57" s="1"/>
  <c r="B1174" i="57"/>
  <c r="E1174" i="57" s="1"/>
  <c r="B1150" i="57"/>
  <c r="E1150" i="57" s="1"/>
  <c r="B1126" i="57"/>
  <c r="E1126" i="57" s="1"/>
  <c r="B1108" i="57"/>
  <c r="E1108" i="57" s="1"/>
  <c r="B1084" i="57"/>
  <c r="E1084" i="57" s="1"/>
  <c r="B1066" i="57"/>
  <c r="E1066" i="57" s="1"/>
  <c r="B1048" i="57"/>
  <c r="E1048" i="57" s="1"/>
  <c r="B1024" i="57"/>
  <c r="E1024" i="57" s="1"/>
  <c r="B1006" i="57"/>
  <c r="E1006" i="57" s="1"/>
  <c r="B988" i="57"/>
  <c r="E988" i="57" s="1"/>
  <c r="B970" i="57"/>
  <c r="E970" i="57" s="1"/>
  <c r="B952" i="57"/>
  <c r="E952" i="57" s="1"/>
  <c r="B928" i="57"/>
  <c r="E928" i="57" s="1"/>
  <c r="B904" i="57"/>
  <c r="E904" i="57" s="1"/>
  <c r="B886" i="57"/>
  <c r="E886" i="57" s="1"/>
  <c r="B862" i="57"/>
  <c r="E862" i="57" s="1"/>
  <c r="B844" i="57"/>
  <c r="E844" i="57" s="1"/>
  <c r="B826" i="57"/>
  <c r="E826" i="57" s="1"/>
  <c r="B808" i="57"/>
  <c r="E808" i="57" s="1"/>
  <c r="B790" i="57"/>
  <c r="E790" i="57" s="1"/>
  <c r="B754" i="57"/>
  <c r="E754" i="57" s="1"/>
  <c r="B736" i="57"/>
  <c r="E736" i="57" s="1"/>
  <c r="B712" i="57"/>
  <c r="E712" i="57" s="1"/>
  <c r="B694" i="57"/>
  <c r="E694" i="57" s="1"/>
  <c r="B676" i="57"/>
  <c r="E676" i="57" s="1"/>
  <c r="B658" i="57"/>
  <c r="E658" i="57" s="1"/>
  <c r="B640" i="57"/>
  <c r="E640" i="57" s="1"/>
  <c r="B616" i="57"/>
  <c r="E616" i="57" s="1"/>
  <c r="B586" i="57"/>
  <c r="E586" i="57" s="1"/>
  <c r="B568" i="57"/>
  <c r="E568" i="57" s="1"/>
  <c r="B1437" i="57"/>
  <c r="E1437" i="57" s="1"/>
  <c r="B1419" i="57"/>
  <c r="E1419" i="57" s="1"/>
  <c r="B1401" i="57"/>
  <c r="E1401" i="57" s="1"/>
  <c r="B1383" i="57"/>
  <c r="E1383" i="57" s="1"/>
  <c r="B1365" i="57"/>
  <c r="E1365" i="57" s="1"/>
  <c r="B1341" i="57"/>
  <c r="E1341" i="57" s="1"/>
  <c r="B1323" i="57"/>
  <c r="E1323" i="57" s="1"/>
  <c r="B1299" i="57"/>
  <c r="E1299" i="57" s="1"/>
  <c r="B1281" i="57"/>
  <c r="E1281" i="57" s="1"/>
  <c r="B1263" i="57"/>
  <c r="E1263" i="57" s="1"/>
  <c r="B1239" i="57"/>
  <c r="E1239" i="57" s="1"/>
  <c r="B1221" i="57"/>
  <c r="E1221" i="57" s="1"/>
  <c r="B1203" i="57"/>
  <c r="E1203" i="57" s="1"/>
  <c r="B1185" i="57"/>
  <c r="E1185" i="57" s="1"/>
  <c r="B1167" i="57"/>
  <c r="E1167" i="57" s="1"/>
  <c r="B1149" i="57"/>
  <c r="E1149" i="57" s="1"/>
  <c r="B1131" i="57"/>
  <c r="E1131" i="57" s="1"/>
  <c r="B1113" i="57"/>
  <c r="E1113" i="57" s="1"/>
  <c r="B1095" i="57"/>
  <c r="E1095" i="57" s="1"/>
  <c r="B1077" i="57"/>
  <c r="E1077" i="57" s="1"/>
  <c r="B1059" i="57"/>
  <c r="E1059" i="57" s="1"/>
  <c r="B1041" i="57"/>
  <c r="E1041" i="57" s="1"/>
  <c r="B1023" i="57"/>
  <c r="E1023" i="57" s="1"/>
  <c r="B1005" i="57"/>
  <c r="E1005" i="57" s="1"/>
  <c r="B987" i="57"/>
  <c r="E987" i="57" s="1"/>
  <c r="B969" i="57"/>
  <c r="E969" i="57" s="1"/>
  <c r="B951" i="57"/>
  <c r="E951" i="57" s="1"/>
  <c r="B933" i="57"/>
  <c r="E933" i="57" s="1"/>
  <c r="B909" i="57"/>
  <c r="E909" i="57" s="1"/>
  <c r="B885" i="57"/>
  <c r="E885" i="57" s="1"/>
  <c r="B867" i="57"/>
  <c r="E867" i="57" s="1"/>
  <c r="B849" i="57"/>
  <c r="E849" i="57" s="1"/>
  <c r="B831" i="57"/>
  <c r="E831" i="57" s="1"/>
  <c r="B2043" i="57"/>
  <c r="E2043" i="57" s="1"/>
  <c r="B1946" i="57"/>
  <c r="E1946" i="57" s="1"/>
  <c r="B1862" i="57"/>
  <c r="E1862" i="57" s="1"/>
  <c r="B1772" i="57"/>
  <c r="E1772" i="57" s="1"/>
  <c r="B1688" i="57"/>
  <c r="E1688" i="57" s="1"/>
  <c r="B1598" i="57"/>
  <c r="E1598" i="57" s="1"/>
  <c r="B1514" i="57"/>
  <c r="E1514" i="57" s="1"/>
  <c r="B1931" i="57"/>
  <c r="E1931" i="57" s="1"/>
  <c r="B1841" i="57"/>
  <c r="E1841" i="57" s="1"/>
  <c r="B1757" i="57"/>
  <c r="E1757" i="57" s="1"/>
  <c r="B1667" i="57"/>
  <c r="E1667" i="57" s="1"/>
  <c r="B1583" i="57"/>
  <c r="E1583" i="57" s="1"/>
  <c r="B1499" i="57"/>
  <c r="E1499" i="57" s="1"/>
  <c r="B1930" i="57"/>
  <c r="E1930" i="57" s="1"/>
  <c r="B1882" i="57"/>
  <c r="E1882" i="57" s="1"/>
  <c r="B1834" i="57"/>
  <c r="E1834" i="57" s="1"/>
  <c r="B1774" i="57"/>
  <c r="E1774" i="57" s="1"/>
  <c r="B1726" i="57"/>
  <c r="E1726" i="57" s="1"/>
  <c r="B1672" i="57"/>
  <c r="E1672" i="57" s="1"/>
  <c r="B1624" i="57"/>
  <c r="E1624" i="57" s="1"/>
  <c r="B1570" i="57"/>
  <c r="E1570" i="57" s="1"/>
  <c r="B1516" i="57"/>
  <c r="E1516" i="57" s="1"/>
  <c r="B1462" i="57"/>
  <c r="E1462" i="57" s="1"/>
  <c r="B1917" i="57"/>
  <c r="E1917" i="57" s="1"/>
  <c r="B1869" i="57"/>
  <c r="E1869" i="57" s="1"/>
  <c r="B1815" i="57"/>
  <c r="E1815" i="57" s="1"/>
  <c r="B1761" i="57"/>
  <c r="E1761" i="57" s="1"/>
  <c r="B1707" i="57"/>
  <c r="E1707" i="57" s="1"/>
  <c r="B1659" i="57"/>
  <c r="E1659" i="57" s="1"/>
  <c r="B1605" i="57"/>
  <c r="E1605" i="57" s="1"/>
  <c r="B1557" i="57"/>
  <c r="E1557" i="57" s="1"/>
  <c r="B1497" i="57"/>
  <c r="E1497" i="57" s="1"/>
  <c r="B11" i="57"/>
  <c r="E11" i="57" s="1"/>
  <c r="B1421" i="57"/>
  <c r="E1421" i="57" s="1"/>
  <c r="B1426" i="57"/>
  <c r="E1426" i="57" s="1"/>
  <c r="B1384" i="57"/>
  <c r="E1384" i="57" s="1"/>
  <c r="B1300" i="57"/>
  <c r="E1300" i="57" s="1"/>
  <c r="B1252" i="57"/>
  <c r="E1252" i="57" s="1"/>
  <c r="B1186" i="57"/>
  <c r="E1186" i="57" s="1"/>
  <c r="B1138" i="57"/>
  <c r="E1138" i="57" s="1"/>
  <c r="B1060" i="57"/>
  <c r="E1060" i="57" s="1"/>
  <c r="B1012" i="57"/>
  <c r="E1012" i="57" s="1"/>
  <c r="B946" i="57"/>
  <c r="E946" i="57" s="1"/>
  <c r="B892" i="57"/>
  <c r="E892" i="57" s="1"/>
  <c r="B820" i="57"/>
  <c r="E820" i="57" s="1"/>
  <c r="B766" i="57"/>
  <c r="E766" i="57" s="1"/>
  <c r="B688" i="57"/>
  <c r="E688" i="57" s="1"/>
  <c r="B646" i="57"/>
  <c r="E646" i="57" s="1"/>
  <c r="B562" i="57"/>
  <c r="E562" i="57" s="1"/>
  <c r="B1407" i="57"/>
  <c r="E1407" i="57" s="1"/>
  <c r="B1335" i="57"/>
  <c r="E1335" i="57" s="1"/>
  <c r="B1287" i="57"/>
  <c r="E1287" i="57" s="1"/>
  <c r="B1215" i="57"/>
  <c r="E1215" i="57" s="1"/>
  <c r="B1173" i="57"/>
  <c r="E1173" i="57" s="1"/>
  <c r="B1107" i="57"/>
  <c r="E1107" i="57" s="1"/>
  <c r="B1065" i="57"/>
  <c r="E1065" i="57" s="1"/>
  <c r="B999" i="57"/>
  <c r="E999" i="57" s="1"/>
  <c r="B957" i="57"/>
  <c r="E957" i="57" s="1"/>
  <c r="B879" i="57"/>
  <c r="E879" i="57" s="1"/>
  <c r="B837" i="57"/>
  <c r="E837" i="57" s="1"/>
  <c r="B840" i="57"/>
  <c r="E840" i="57" s="1"/>
  <c r="B983" i="57"/>
  <c r="E983" i="57" s="1"/>
  <c r="B893" i="57"/>
  <c r="E893" i="57" s="1"/>
  <c r="B618" i="57"/>
  <c r="E618" i="57" s="1"/>
  <c r="B576" i="57"/>
  <c r="E576" i="57" s="1"/>
  <c r="B552" i="57"/>
  <c r="E552" i="57" s="1"/>
  <c r="B516" i="57"/>
  <c r="E516" i="57" s="1"/>
  <c r="B468" i="57"/>
  <c r="E468" i="57" s="1"/>
  <c r="B438" i="57"/>
  <c r="E438" i="57" s="1"/>
  <c r="B378" i="57"/>
  <c r="E378" i="57" s="1"/>
  <c r="B360" i="57"/>
  <c r="E360" i="57" s="1"/>
  <c r="B336" i="57"/>
  <c r="E336" i="57" s="1"/>
  <c r="B300" i="57"/>
  <c r="E300" i="57" s="1"/>
  <c r="B258" i="57"/>
  <c r="E258" i="57" s="1"/>
  <c r="B240" i="57"/>
  <c r="E240" i="57" s="1"/>
  <c r="B180" i="57"/>
  <c r="E180" i="57" s="1"/>
  <c r="B138" i="57"/>
  <c r="E138" i="57" s="1"/>
  <c r="B2031" i="57"/>
  <c r="E2031" i="57" s="1"/>
  <c r="B1940" i="57"/>
  <c r="E1940" i="57" s="1"/>
  <c r="B1850" i="57"/>
  <c r="E1850" i="57" s="1"/>
  <c r="B1766" i="57"/>
  <c r="E1766" i="57" s="1"/>
  <c r="B1682" i="57"/>
  <c r="E1682" i="57" s="1"/>
  <c r="B1592" i="57"/>
  <c r="E1592" i="57" s="1"/>
  <c r="B1508" i="57"/>
  <c r="E1508" i="57" s="1"/>
  <c r="B1919" i="57"/>
  <c r="E1919" i="57" s="1"/>
  <c r="B1835" i="57"/>
  <c r="E1835" i="57" s="1"/>
  <c r="B1751" i="57"/>
  <c r="E1751" i="57" s="1"/>
  <c r="B1661" i="57"/>
  <c r="E1661" i="57" s="1"/>
  <c r="B1577" i="57"/>
  <c r="E1577" i="57" s="1"/>
  <c r="B1487" i="57"/>
  <c r="E1487" i="57" s="1"/>
  <c r="B1924" i="57"/>
  <c r="E1924" i="57" s="1"/>
  <c r="B1876" i="57"/>
  <c r="E1876" i="57" s="1"/>
  <c r="B1816" i="57"/>
  <c r="E1816" i="57" s="1"/>
  <c r="B1768" i="57"/>
  <c r="E1768" i="57" s="1"/>
  <c r="B1714" i="57"/>
  <c r="E1714" i="57" s="1"/>
  <c r="B1666" i="57"/>
  <c r="E1666" i="57" s="1"/>
  <c r="B1618" i="57"/>
  <c r="E1618" i="57" s="1"/>
  <c r="B1558" i="57"/>
  <c r="E1558" i="57" s="1"/>
  <c r="B1510" i="57"/>
  <c r="E1510" i="57" s="1"/>
  <c r="B1456" i="57"/>
  <c r="E1456" i="57" s="1"/>
  <c r="B1911" i="57"/>
  <c r="E1911" i="57" s="1"/>
  <c r="B1857" i="57"/>
  <c r="E1857" i="57" s="1"/>
  <c r="B1803" i="57"/>
  <c r="E1803" i="57" s="1"/>
  <c r="B1749" i="57"/>
  <c r="E1749" i="57" s="1"/>
  <c r="B1701" i="57"/>
  <c r="E1701" i="57" s="1"/>
  <c r="B1653" i="57"/>
  <c r="E1653" i="57" s="1"/>
  <c r="B1599" i="57"/>
  <c r="E1599" i="57" s="1"/>
  <c r="B1545" i="57"/>
  <c r="E1545" i="57" s="1"/>
  <c r="B1491" i="57"/>
  <c r="E1491" i="57" s="1"/>
  <c r="B1445" i="57"/>
  <c r="E1445" i="57" s="1"/>
  <c r="B1444" i="57"/>
  <c r="E1444" i="57" s="1"/>
  <c r="B1402" i="57"/>
  <c r="E1402" i="57" s="1"/>
  <c r="B1324" i="57"/>
  <c r="E1324" i="57" s="1"/>
  <c r="B1276" i="57"/>
  <c r="E1276" i="57" s="1"/>
  <c r="B1204" i="57"/>
  <c r="E1204" i="57" s="1"/>
  <c r="B1162" i="57"/>
  <c r="E1162" i="57" s="1"/>
  <c r="B1078" i="57"/>
  <c r="E1078" i="57" s="1"/>
  <c r="B1030" i="57"/>
  <c r="E1030" i="57" s="1"/>
  <c r="B964" i="57"/>
  <c r="E964" i="57" s="1"/>
  <c r="B910" i="57"/>
  <c r="E910" i="57" s="1"/>
  <c r="B838" i="57"/>
  <c r="E838" i="57" s="1"/>
  <c r="B796" i="57"/>
  <c r="E796" i="57" s="1"/>
  <c r="B706" i="57"/>
  <c r="E706" i="57" s="1"/>
  <c r="B664" i="57"/>
  <c r="E664" i="57" s="1"/>
  <c r="B580" i="57"/>
  <c r="E580" i="57" s="1"/>
  <c r="B1425" i="57"/>
  <c r="E1425" i="57" s="1"/>
  <c r="B1359" i="57"/>
  <c r="E1359" i="57" s="1"/>
  <c r="B1305" i="57"/>
  <c r="E1305" i="57" s="1"/>
  <c r="B1233" i="57"/>
  <c r="E1233" i="57" s="1"/>
  <c r="B1191" i="57"/>
  <c r="E1191" i="57" s="1"/>
  <c r="B1125" i="57"/>
  <c r="E1125" i="57" s="1"/>
  <c r="B1083" i="57"/>
  <c r="E1083" i="57" s="1"/>
  <c r="B1017" i="57"/>
  <c r="E1017" i="57" s="1"/>
  <c r="B975" i="57"/>
  <c r="E975" i="57" s="1"/>
  <c r="B903" i="57"/>
  <c r="E903" i="57" s="1"/>
  <c r="B855" i="57"/>
  <c r="E855" i="57" s="1"/>
  <c r="B807" i="57"/>
  <c r="E807" i="57" s="1"/>
  <c r="B789" i="57"/>
  <c r="E789" i="57" s="1"/>
  <c r="B765" i="57"/>
  <c r="E765" i="57" s="1"/>
  <c r="B747" i="57"/>
  <c r="E747" i="57" s="1"/>
  <c r="B729" i="57"/>
  <c r="E729" i="57" s="1"/>
  <c r="B705" i="57"/>
  <c r="E705" i="57" s="1"/>
  <c r="B687" i="57"/>
  <c r="E687" i="57" s="1"/>
  <c r="B669" i="57"/>
  <c r="E669" i="57" s="1"/>
  <c r="B651" i="57"/>
  <c r="E651" i="57" s="1"/>
  <c r="B1430" i="57"/>
  <c r="E1430" i="57" s="1"/>
  <c r="B1400" i="57"/>
  <c r="E1400" i="57" s="1"/>
  <c r="B1376" i="57"/>
  <c r="E1376" i="57" s="1"/>
  <c r="B1346" i="57"/>
  <c r="E1346" i="57" s="1"/>
  <c r="B1322" i="57"/>
  <c r="E1322" i="57" s="1"/>
  <c r="B1292" i="57"/>
  <c r="E1292" i="57" s="1"/>
  <c r="B1268" i="57"/>
  <c r="E1268" i="57" s="1"/>
  <c r="B1238" i="57"/>
  <c r="E1238" i="57" s="1"/>
  <c r="B1214" i="57"/>
  <c r="E1214" i="57" s="1"/>
  <c r="B1184" i="57"/>
  <c r="E1184" i="57" s="1"/>
  <c r="B1160" i="57"/>
  <c r="E1160" i="57" s="1"/>
  <c r="B1130" i="57"/>
  <c r="E1130" i="57" s="1"/>
  <c r="B1106" i="57"/>
  <c r="E1106" i="57" s="1"/>
  <c r="B1076" i="57"/>
  <c r="E1076" i="57" s="1"/>
  <c r="B1052" i="57"/>
  <c r="E1052" i="57" s="1"/>
  <c r="B1022" i="57"/>
  <c r="E1022" i="57" s="1"/>
  <c r="B998" i="57"/>
  <c r="E998" i="57" s="1"/>
  <c r="B968" i="57"/>
  <c r="E968" i="57" s="1"/>
  <c r="B944" i="57"/>
  <c r="E944" i="57" s="1"/>
  <c r="B914" i="57"/>
  <c r="E914" i="57" s="1"/>
  <c r="B890" i="57"/>
  <c r="E890" i="57" s="1"/>
  <c r="B860" i="57"/>
  <c r="E860" i="57" s="1"/>
  <c r="B836" i="57"/>
  <c r="E836" i="57" s="1"/>
  <c r="B818" i="57"/>
  <c r="E818" i="57" s="1"/>
  <c r="B800" i="57"/>
  <c r="E800" i="57" s="1"/>
  <c r="B782" i="57"/>
  <c r="E782" i="57" s="1"/>
  <c r="B758" i="57"/>
  <c r="E758" i="57" s="1"/>
  <c r="B734" i="57"/>
  <c r="E734" i="57" s="1"/>
  <c r="B716" i="57"/>
  <c r="E716" i="57" s="1"/>
  <c r="B698" i="57"/>
  <c r="E698" i="57" s="1"/>
  <c r="B680" i="57"/>
  <c r="E680" i="57" s="1"/>
  <c r="B656" i="57"/>
  <c r="E656" i="57" s="1"/>
  <c r="B638" i="57"/>
  <c r="E638" i="57" s="1"/>
  <c r="B614" i="57"/>
  <c r="E614" i="57" s="1"/>
  <c r="B1428" i="57"/>
  <c r="E1428" i="57" s="1"/>
  <c r="B1392" i="57"/>
  <c r="E1392" i="57" s="1"/>
  <c r="B1368" i="57"/>
  <c r="E1368" i="57" s="1"/>
  <c r="B1344" i="57"/>
  <c r="E1344" i="57" s="1"/>
  <c r="B1320" i="57"/>
  <c r="E1320" i="57" s="1"/>
  <c r="B1290" i="57"/>
  <c r="E1290" i="57" s="1"/>
  <c r="B1272" i="57"/>
  <c r="E1272" i="57" s="1"/>
  <c r="B1254" i="57"/>
  <c r="E1254" i="57" s="1"/>
  <c r="B1236" i="57"/>
  <c r="E1236" i="57" s="1"/>
  <c r="B1212" i="57"/>
  <c r="E1212" i="57" s="1"/>
  <c r="B1182" i="57"/>
  <c r="E1182" i="57" s="1"/>
  <c r="B1164" i="57"/>
  <c r="E1164" i="57" s="1"/>
  <c r="B1146" i="57"/>
  <c r="E1146" i="57" s="1"/>
  <c r="B1128" i="57"/>
  <c r="E1128" i="57" s="1"/>
  <c r="B1104" i="57"/>
  <c r="E1104" i="57" s="1"/>
  <c r="B1074" i="57"/>
  <c r="E1074" i="57" s="1"/>
  <c r="B1056" i="57"/>
  <c r="E1056" i="57" s="1"/>
  <c r="B1038" i="57"/>
  <c r="E1038" i="57" s="1"/>
  <c r="B1020" i="57"/>
  <c r="E1020" i="57" s="1"/>
  <c r="B996" i="57"/>
  <c r="E996" i="57" s="1"/>
  <c r="B966" i="57"/>
  <c r="E966" i="57" s="1"/>
  <c r="B948" i="57"/>
  <c r="E948" i="57" s="1"/>
  <c r="B930" i="57"/>
  <c r="E930" i="57" s="1"/>
  <c r="B912" i="57"/>
  <c r="E912" i="57" s="1"/>
  <c r="B888" i="57"/>
  <c r="E888" i="57" s="1"/>
  <c r="B858" i="57"/>
  <c r="E858" i="57" s="1"/>
  <c r="B822" i="57"/>
  <c r="E822" i="57" s="1"/>
  <c r="B792" i="57"/>
  <c r="E792" i="57" s="1"/>
  <c r="B762" i="57"/>
  <c r="E762" i="57" s="1"/>
  <c r="B732" i="57"/>
  <c r="E732" i="57" s="1"/>
  <c r="B702" i="57"/>
  <c r="E702" i="57" s="1"/>
  <c r="B684" i="57"/>
  <c r="E684" i="57" s="1"/>
  <c r="B660" i="57"/>
  <c r="E660" i="57" s="1"/>
  <c r="B1433" i="57"/>
  <c r="E1433" i="57" s="1"/>
  <c r="B1385" i="57"/>
  <c r="E1385" i="57" s="1"/>
  <c r="B1349" i="57"/>
  <c r="E1349" i="57" s="1"/>
  <c r="B1331" i="57"/>
  <c r="E1331" i="57" s="1"/>
  <c r="B1313" i="57"/>
  <c r="E1313" i="57" s="1"/>
  <c r="B1289" i="57"/>
  <c r="E1289" i="57" s="1"/>
  <c r="B1271" i="57"/>
  <c r="E1271" i="57" s="1"/>
  <c r="B1253" i="57"/>
  <c r="E1253" i="57" s="1"/>
  <c r="B1235" i="57"/>
  <c r="E1235" i="57" s="1"/>
  <c r="B1217" i="57"/>
  <c r="E1217" i="57" s="1"/>
  <c r="B1199" i="57"/>
  <c r="E1199" i="57" s="1"/>
  <c r="B1181" i="57"/>
  <c r="E1181" i="57" s="1"/>
  <c r="B1163" i="57"/>
  <c r="E1163" i="57" s="1"/>
  <c r="B1145" i="57"/>
  <c r="E1145" i="57" s="1"/>
  <c r="B1127" i="57"/>
  <c r="E1127" i="57" s="1"/>
  <c r="B1109" i="57"/>
  <c r="E1109" i="57" s="1"/>
  <c r="B1091" i="57"/>
  <c r="E1091" i="57" s="1"/>
  <c r="B1073" i="57"/>
  <c r="E1073" i="57" s="1"/>
  <c r="B1055" i="57"/>
  <c r="E1055" i="57" s="1"/>
  <c r="B1037" i="57"/>
  <c r="E1037" i="57" s="1"/>
  <c r="B1019" i="57"/>
  <c r="E1019" i="57" s="1"/>
  <c r="B1001" i="57"/>
  <c r="E1001" i="57" s="1"/>
  <c r="B965" i="57"/>
  <c r="E965" i="57" s="1"/>
  <c r="B947" i="57"/>
  <c r="E947" i="57" s="1"/>
  <c r="B929" i="57"/>
  <c r="E929" i="57" s="1"/>
  <c r="B911" i="57"/>
  <c r="E911" i="57" s="1"/>
  <c r="B875" i="57"/>
  <c r="E875" i="57" s="1"/>
  <c r="B636" i="57"/>
  <c r="E636" i="57" s="1"/>
  <c r="B594" i="57"/>
  <c r="E594" i="57" s="1"/>
  <c r="B534" i="57"/>
  <c r="E534" i="57" s="1"/>
  <c r="B498" i="57"/>
  <c r="E498" i="57" s="1"/>
  <c r="B408" i="57"/>
  <c r="E408" i="57" s="1"/>
  <c r="B318" i="57"/>
  <c r="E318" i="57" s="1"/>
  <c r="B282" i="57"/>
  <c r="E282" i="57" s="1"/>
  <c r="B210" i="57"/>
  <c r="E210" i="57" s="1"/>
  <c r="B1995" i="57"/>
  <c r="E1995" i="57" s="1"/>
  <c r="B1910" i="57"/>
  <c r="E1910" i="57" s="1"/>
  <c r="B1826" i="57"/>
  <c r="E1826" i="57" s="1"/>
  <c r="B1736" i="57"/>
  <c r="E1736" i="57" s="1"/>
  <c r="B1652" i="57"/>
  <c r="E1652" i="57" s="1"/>
  <c r="B1562" i="57"/>
  <c r="E1562" i="57" s="1"/>
  <c r="B1478" i="57"/>
  <c r="E1478" i="57" s="1"/>
  <c r="B1895" i="57"/>
  <c r="E1895" i="57" s="1"/>
  <c r="B1805" i="57"/>
  <c r="E1805" i="57" s="1"/>
  <c r="B1721" i="57"/>
  <c r="E1721" i="57" s="1"/>
  <c r="B1631" i="57"/>
  <c r="E1631" i="57" s="1"/>
  <c r="B1547" i="57"/>
  <c r="E1547" i="57" s="1"/>
  <c r="B1463" i="57"/>
  <c r="E1463" i="57" s="1"/>
  <c r="B1918" i="57"/>
  <c r="E1918" i="57" s="1"/>
  <c r="B1858" i="57"/>
  <c r="E1858" i="57" s="1"/>
  <c r="B1810" i="57"/>
  <c r="E1810" i="57" s="1"/>
  <c r="B1762" i="57"/>
  <c r="E1762" i="57" s="1"/>
  <c r="B1708" i="57"/>
  <c r="E1708" i="57" s="1"/>
  <c r="B1660" i="57"/>
  <c r="E1660" i="57" s="1"/>
  <c r="B1600" i="57"/>
  <c r="E1600" i="57" s="1"/>
  <c r="B1552" i="57"/>
  <c r="E1552" i="57" s="1"/>
  <c r="B1498" i="57"/>
  <c r="E1498" i="57" s="1"/>
  <c r="B1953" i="57"/>
  <c r="E1953" i="57" s="1"/>
  <c r="B1905" i="57"/>
  <c r="E1905" i="57" s="1"/>
  <c r="B1845" i="57"/>
  <c r="E1845" i="57" s="1"/>
  <c r="B1797" i="57"/>
  <c r="E1797" i="57" s="1"/>
  <c r="B1743" i="57"/>
  <c r="E1743" i="57" s="1"/>
  <c r="B1695" i="57"/>
  <c r="E1695" i="57" s="1"/>
  <c r="B1641" i="57"/>
  <c r="E1641" i="57" s="1"/>
  <c r="B1587" i="57"/>
  <c r="E1587" i="57" s="1"/>
  <c r="B1533" i="57"/>
  <c r="E1533" i="57" s="1"/>
  <c r="B1485" i="57"/>
  <c r="E1485" i="57" s="1"/>
  <c r="B1434" i="57"/>
  <c r="E1434" i="57" s="1"/>
  <c r="B1367" i="57"/>
  <c r="E1367" i="57" s="1"/>
  <c r="B1420" i="57"/>
  <c r="E1420" i="57" s="1"/>
  <c r="B1342" i="57"/>
  <c r="E1342" i="57" s="1"/>
  <c r="B1294" i="57"/>
  <c r="E1294" i="57" s="1"/>
  <c r="B1222" i="57"/>
  <c r="E1222" i="57" s="1"/>
  <c r="B1180" i="57"/>
  <c r="E1180" i="57" s="1"/>
  <c r="B1102" i="57"/>
  <c r="E1102" i="57" s="1"/>
  <c r="B1054" i="57"/>
  <c r="E1054" i="57" s="1"/>
  <c r="B982" i="57"/>
  <c r="E982" i="57" s="1"/>
  <c r="B934" i="57"/>
  <c r="E934" i="57" s="1"/>
  <c r="B856" i="57"/>
  <c r="E856" i="57" s="1"/>
  <c r="B814" i="57"/>
  <c r="E814" i="57" s="1"/>
  <c r="B730" i="57"/>
  <c r="E730" i="57" s="1"/>
  <c r="B682" i="57"/>
  <c r="E682" i="57" s="1"/>
  <c r="B604" i="57"/>
  <c r="E604" i="57" s="1"/>
  <c r="B1443" i="57"/>
  <c r="E1443" i="57" s="1"/>
  <c r="B1377" i="57"/>
  <c r="E1377" i="57" s="1"/>
  <c r="B1329" i="57"/>
  <c r="E1329" i="57" s="1"/>
  <c r="B1257" i="57"/>
  <c r="E1257" i="57" s="1"/>
  <c r="B1209" i="57"/>
  <c r="E1209" i="57" s="1"/>
  <c r="B1143" i="57"/>
  <c r="E1143" i="57" s="1"/>
  <c r="B1101" i="57"/>
  <c r="E1101" i="57" s="1"/>
  <c r="B1035" i="57"/>
  <c r="E1035" i="57" s="1"/>
  <c r="B993" i="57"/>
  <c r="E993" i="57" s="1"/>
  <c r="B921" i="57"/>
  <c r="E921" i="57" s="1"/>
  <c r="B873" i="57"/>
  <c r="E873" i="57" s="1"/>
  <c r="B924" i="57"/>
  <c r="E924" i="57" s="1"/>
  <c r="B1067" i="57"/>
  <c r="E1067" i="57" s="1"/>
  <c r="B995" i="57"/>
  <c r="E995" i="57" s="1"/>
  <c r="B959" i="57"/>
  <c r="E959" i="57" s="1"/>
  <c r="B923" i="57"/>
  <c r="E923" i="57" s="1"/>
  <c r="B905" i="57"/>
  <c r="E905" i="57" s="1"/>
  <c r="B648" i="57"/>
  <c r="E648" i="57" s="1"/>
  <c r="B612" i="57"/>
  <c r="E612" i="57" s="1"/>
  <c r="B570" i="57"/>
  <c r="E570" i="57" s="1"/>
  <c r="B546" i="57"/>
  <c r="E546" i="57" s="1"/>
  <c r="B510" i="57"/>
  <c r="E510" i="57" s="1"/>
  <c r="B456" i="57"/>
  <c r="E456" i="57" s="1"/>
  <c r="B396" i="57"/>
  <c r="E396" i="57" s="1"/>
  <c r="B372" i="57"/>
  <c r="E372" i="57" s="1"/>
  <c r="B330" i="57"/>
  <c r="E330" i="57" s="1"/>
  <c r="B312" i="57"/>
  <c r="E312" i="57" s="1"/>
  <c r="B270" i="57"/>
  <c r="E270" i="57" s="1"/>
  <c r="B1989" i="57"/>
  <c r="E1989" i="57" s="1"/>
  <c r="B1904" i="57"/>
  <c r="E1904" i="57" s="1"/>
  <c r="B1814" i="57"/>
  <c r="E1814" i="57" s="1"/>
  <c r="B1730" i="57"/>
  <c r="E1730" i="57" s="1"/>
  <c r="B1646" i="57"/>
  <c r="E1646" i="57" s="1"/>
  <c r="B1556" i="57"/>
  <c r="E1556" i="57" s="1"/>
  <c r="B1472" i="57"/>
  <c r="E1472" i="57" s="1"/>
  <c r="B1883" i="57"/>
  <c r="E1883" i="57" s="1"/>
  <c r="B1799" i="57"/>
  <c r="E1799" i="57" s="1"/>
  <c r="B1715" i="57"/>
  <c r="E1715" i="57" s="1"/>
  <c r="B1625" i="57"/>
  <c r="E1625" i="57" s="1"/>
  <c r="B1541" i="57"/>
  <c r="E1541" i="57" s="1"/>
  <c r="B2490" i="57"/>
  <c r="E2490" i="57" s="1"/>
  <c r="B1906" i="57"/>
  <c r="E1906" i="57" s="1"/>
  <c r="B1852" i="57"/>
  <c r="E1852" i="57" s="1"/>
  <c r="B1804" i="57"/>
  <c r="E1804" i="57" s="1"/>
  <c r="B1750" i="57"/>
  <c r="E1750" i="57" s="1"/>
  <c r="B1702" i="57"/>
  <c r="E1702" i="57" s="1"/>
  <c r="B1642" i="57"/>
  <c r="E1642" i="57" s="1"/>
  <c r="B1594" i="57"/>
  <c r="E1594" i="57" s="1"/>
  <c r="B1546" i="57"/>
  <c r="E1546" i="57" s="1"/>
  <c r="B1492" i="57"/>
  <c r="E1492" i="57" s="1"/>
  <c r="B1947" i="57"/>
  <c r="E1947" i="57" s="1"/>
  <c r="B1887" i="57"/>
  <c r="E1887" i="57" s="1"/>
  <c r="B1839" i="57"/>
  <c r="E1839" i="57" s="1"/>
  <c r="B1785" i="57"/>
  <c r="E1785" i="57" s="1"/>
  <c r="B1737" i="57"/>
  <c r="E1737" i="57" s="1"/>
  <c r="B1689" i="57"/>
  <c r="E1689" i="57" s="1"/>
  <c r="B1629" i="57"/>
  <c r="E1629" i="57" s="1"/>
  <c r="B1581" i="57"/>
  <c r="E1581" i="57" s="1"/>
  <c r="B1527" i="57"/>
  <c r="E1527" i="57" s="1"/>
  <c r="B1479" i="57"/>
  <c r="E1479" i="57" s="1"/>
  <c r="B1403" i="57"/>
  <c r="E1403" i="57" s="1"/>
  <c r="B1438" i="57"/>
  <c r="E1438" i="57" s="1"/>
  <c r="B1366" i="57"/>
  <c r="E1366" i="57" s="1"/>
  <c r="B1318" i="57"/>
  <c r="E1318" i="57" s="1"/>
  <c r="B1240" i="57"/>
  <c r="E1240" i="57" s="1"/>
  <c r="B1198" i="57"/>
  <c r="E1198" i="57" s="1"/>
  <c r="B1120" i="57"/>
  <c r="E1120" i="57" s="1"/>
  <c r="B1072" i="57"/>
  <c r="E1072" i="57" s="1"/>
  <c r="B1000" i="57"/>
  <c r="E1000" i="57" s="1"/>
  <c r="B958" i="57"/>
  <c r="E958" i="57" s="1"/>
  <c r="B874" i="57"/>
  <c r="E874" i="57" s="1"/>
  <c r="B832" i="57"/>
  <c r="E832" i="57" s="1"/>
  <c r="B748" i="57"/>
  <c r="E748" i="57" s="1"/>
  <c r="B700" i="57"/>
  <c r="E700" i="57" s="1"/>
  <c r="B634" i="57"/>
  <c r="E634" i="57" s="1"/>
  <c r="B574" i="57"/>
  <c r="E574" i="57" s="1"/>
  <c r="B1395" i="57"/>
  <c r="E1395" i="57" s="1"/>
  <c r="B1347" i="57"/>
  <c r="E1347" i="57" s="1"/>
  <c r="B1275" i="57"/>
  <c r="E1275" i="57" s="1"/>
  <c r="B1227" i="57"/>
  <c r="E1227" i="57" s="1"/>
  <c r="B1161" i="57"/>
  <c r="E1161" i="57" s="1"/>
  <c r="B1119" i="57"/>
  <c r="E1119" i="57" s="1"/>
  <c r="B1053" i="57"/>
  <c r="E1053" i="57" s="1"/>
  <c r="B1011" i="57"/>
  <c r="E1011" i="57" s="1"/>
  <c r="B945" i="57"/>
  <c r="E945" i="57" s="1"/>
  <c r="B897" i="57"/>
  <c r="E897" i="57" s="1"/>
  <c r="B825" i="57"/>
  <c r="E825" i="57" s="1"/>
  <c r="B801" i="57"/>
  <c r="E801" i="57" s="1"/>
  <c r="B783" i="57"/>
  <c r="E783" i="57" s="1"/>
  <c r="B759" i="57"/>
  <c r="E759" i="57" s="1"/>
  <c r="B741" i="57"/>
  <c r="E741" i="57" s="1"/>
  <c r="B723" i="57"/>
  <c r="E723" i="57" s="1"/>
  <c r="B699" i="57"/>
  <c r="E699" i="57" s="1"/>
  <c r="B681" i="57"/>
  <c r="E681" i="57" s="1"/>
  <c r="B663" i="57"/>
  <c r="E663" i="57" s="1"/>
  <c r="B645" i="57"/>
  <c r="E645" i="57" s="1"/>
  <c r="B1418" i="57"/>
  <c r="E1418" i="57" s="1"/>
  <c r="B1394" i="57"/>
  <c r="E1394" i="57" s="1"/>
  <c r="B1364" i="57"/>
  <c r="E1364" i="57" s="1"/>
  <c r="B1340" i="57"/>
  <c r="E1340" i="57" s="1"/>
  <c r="B1310" i="57"/>
  <c r="E1310" i="57" s="1"/>
  <c r="B1286" i="57"/>
  <c r="E1286" i="57" s="1"/>
  <c r="B1256" i="57"/>
  <c r="E1256" i="57" s="1"/>
  <c r="B1232" i="57"/>
  <c r="E1232" i="57" s="1"/>
  <c r="B1202" i="57"/>
  <c r="E1202" i="57" s="1"/>
  <c r="B1178" i="57"/>
  <c r="E1178" i="57" s="1"/>
  <c r="B1148" i="57"/>
  <c r="E1148" i="57" s="1"/>
  <c r="B1124" i="57"/>
  <c r="E1124" i="57" s="1"/>
  <c r="B1094" i="57"/>
  <c r="E1094" i="57" s="1"/>
  <c r="B1070" i="57"/>
  <c r="E1070" i="57" s="1"/>
  <c r="B1040" i="57"/>
  <c r="E1040" i="57" s="1"/>
  <c r="B1016" i="57"/>
  <c r="E1016" i="57" s="1"/>
  <c r="B986" i="57"/>
  <c r="E986" i="57" s="1"/>
  <c r="B962" i="57"/>
  <c r="E962" i="57" s="1"/>
  <c r="B932" i="57"/>
  <c r="E932" i="57" s="1"/>
  <c r="B908" i="57"/>
  <c r="E908" i="57" s="1"/>
  <c r="B878" i="57"/>
  <c r="E878" i="57" s="1"/>
  <c r="B854" i="57"/>
  <c r="E854" i="57" s="1"/>
  <c r="B830" i="57"/>
  <c r="E830" i="57" s="1"/>
  <c r="B812" i="57"/>
  <c r="E812" i="57" s="1"/>
  <c r="B794" i="57"/>
  <c r="E794" i="57" s="1"/>
  <c r="B776" i="57"/>
  <c r="E776" i="57" s="1"/>
  <c r="B752" i="57"/>
  <c r="E752" i="57" s="1"/>
  <c r="B728" i="57"/>
  <c r="E728" i="57" s="1"/>
  <c r="B710" i="57"/>
  <c r="E710" i="57" s="1"/>
  <c r="B692" i="57"/>
  <c r="E692" i="57" s="1"/>
  <c r="B674" i="57"/>
  <c r="E674" i="57" s="1"/>
  <c r="B650" i="57"/>
  <c r="E650" i="57" s="1"/>
  <c r="B626" i="57"/>
  <c r="E626" i="57" s="1"/>
  <c r="B608" i="57"/>
  <c r="E608" i="57" s="1"/>
  <c r="B1404" i="57"/>
  <c r="E1404" i="57" s="1"/>
  <c r="B1386" i="57"/>
  <c r="E1386" i="57" s="1"/>
  <c r="B1362" i="57"/>
  <c r="E1362" i="57" s="1"/>
  <c r="B1338" i="57"/>
  <c r="E1338" i="57" s="1"/>
  <c r="B1308" i="57"/>
  <c r="E1308" i="57" s="1"/>
  <c r="B1284" i="57"/>
  <c r="E1284" i="57" s="1"/>
  <c r="B1266" i="57"/>
  <c r="E1266" i="57" s="1"/>
  <c r="B1248" i="57"/>
  <c r="E1248" i="57" s="1"/>
  <c r="B1230" i="57"/>
  <c r="E1230" i="57" s="1"/>
  <c r="B1200" i="57"/>
  <c r="E1200" i="57" s="1"/>
  <c r="B1176" i="57"/>
  <c r="E1176" i="57" s="1"/>
  <c r="B1158" i="57"/>
  <c r="E1158" i="57" s="1"/>
  <c r="B1140" i="57"/>
  <c r="E1140" i="57" s="1"/>
  <c r="B1122" i="57"/>
  <c r="E1122" i="57" s="1"/>
  <c r="B1092" i="57"/>
  <c r="E1092" i="57" s="1"/>
  <c r="B1068" i="57"/>
  <c r="E1068" i="57" s="1"/>
  <c r="B1050" i="57"/>
  <c r="E1050" i="57" s="1"/>
  <c r="B1032" i="57"/>
  <c r="E1032" i="57" s="1"/>
  <c r="B1014" i="57"/>
  <c r="E1014" i="57" s="1"/>
  <c r="B984" i="57"/>
  <c r="E984" i="57" s="1"/>
  <c r="B960" i="57"/>
  <c r="E960" i="57" s="1"/>
  <c r="B942" i="57"/>
  <c r="E942" i="57" s="1"/>
  <c r="B906" i="57"/>
  <c r="E906" i="57" s="1"/>
  <c r="B876" i="57"/>
  <c r="E876" i="57" s="1"/>
  <c r="B852" i="57"/>
  <c r="E852" i="57" s="1"/>
  <c r="B834" i="57"/>
  <c r="E834" i="57" s="1"/>
  <c r="B816" i="57"/>
  <c r="E816" i="57" s="1"/>
  <c r="B780" i="57"/>
  <c r="E780" i="57" s="1"/>
  <c r="B750" i="57"/>
  <c r="E750" i="57" s="1"/>
  <c r="B720" i="57"/>
  <c r="E720" i="57" s="1"/>
  <c r="B696" i="57"/>
  <c r="E696" i="57" s="1"/>
  <c r="B678" i="57"/>
  <c r="E678" i="57" s="1"/>
  <c r="B654" i="57"/>
  <c r="E654" i="57" s="1"/>
  <c r="B1415" i="57"/>
  <c r="E1415" i="57" s="1"/>
  <c r="B1373" i="57"/>
  <c r="E1373" i="57" s="1"/>
  <c r="B1343" i="57"/>
  <c r="E1343" i="57" s="1"/>
  <c r="B1325" i="57"/>
  <c r="E1325" i="57" s="1"/>
  <c r="B1301" i="57"/>
  <c r="E1301" i="57" s="1"/>
  <c r="B1283" i="57"/>
  <c r="E1283" i="57" s="1"/>
  <c r="B1265" i="57"/>
  <c r="E1265" i="57" s="1"/>
  <c r="B1247" i="57"/>
  <c r="E1247" i="57" s="1"/>
  <c r="B1229" i="57"/>
  <c r="E1229" i="57" s="1"/>
  <c r="B1211" i="57"/>
  <c r="E1211" i="57" s="1"/>
  <c r="B1193" i="57"/>
  <c r="E1193" i="57" s="1"/>
  <c r="B1175" i="57"/>
  <c r="E1175" i="57" s="1"/>
  <c r="B1157" i="57"/>
  <c r="E1157" i="57" s="1"/>
  <c r="B1139" i="57"/>
  <c r="E1139" i="57" s="1"/>
  <c r="B1121" i="57"/>
  <c r="E1121" i="57" s="1"/>
  <c r="B1103" i="57"/>
  <c r="E1103" i="57" s="1"/>
  <c r="B1085" i="57"/>
  <c r="E1085" i="57" s="1"/>
  <c r="B1049" i="57"/>
  <c r="E1049" i="57" s="1"/>
  <c r="B1031" i="57"/>
  <c r="E1031" i="57" s="1"/>
  <c r="B1013" i="57"/>
  <c r="E1013" i="57" s="1"/>
  <c r="B977" i="57"/>
  <c r="E977" i="57" s="1"/>
  <c r="B941" i="57"/>
  <c r="E941" i="57" s="1"/>
  <c r="B887" i="57"/>
  <c r="E887" i="57" s="1"/>
  <c r="B630" i="57"/>
  <c r="E630" i="57" s="1"/>
  <c r="B588" i="57"/>
  <c r="E588" i="57" s="1"/>
  <c r="B528" i="57"/>
  <c r="E528" i="57" s="1"/>
  <c r="B492" i="57"/>
  <c r="E492" i="57" s="1"/>
  <c r="B426" i="57"/>
  <c r="E426" i="57" s="1"/>
  <c r="B354" i="57"/>
  <c r="E354" i="57" s="1"/>
  <c r="B294" i="57"/>
  <c r="E294" i="57" s="1"/>
  <c r="B1983" i="57"/>
  <c r="E1983" i="57" s="1"/>
  <c r="B1898" i="57"/>
  <c r="E1898" i="57" s="1"/>
  <c r="B1808" i="57"/>
  <c r="E1808" i="57" s="1"/>
  <c r="B1724" i="57"/>
  <c r="E1724" i="57" s="1"/>
  <c r="B1634" i="57"/>
  <c r="E1634" i="57" s="1"/>
  <c r="B1550" i="57"/>
  <c r="E1550" i="57" s="1"/>
  <c r="B1466" i="57"/>
  <c r="E1466" i="57" s="1"/>
  <c r="B1877" i="57"/>
  <c r="E1877" i="57" s="1"/>
  <c r="B1793" i="57"/>
  <c r="E1793" i="57" s="1"/>
  <c r="B1703" i="57"/>
  <c r="E1703" i="57" s="1"/>
  <c r="B1619" i="57"/>
  <c r="E1619" i="57" s="1"/>
  <c r="B1535" i="57"/>
  <c r="E1535" i="57" s="1"/>
  <c r="B2484" i="57"/>
  <c r="E2484" i="57" s="1"/>
  <c r="B1894" i="57"/>
  <c r="E1894" i="57" s="1"/>
  <c r="B1846" i="57"/>
  <c r="E1846" i="57" s="1"/>
  <c r="B1798" i="57"/>
  <c r="E1798" i="57" s="1"/>
  <c r="B1744" i="57"/>
  <c r="E1744" i="57" s="1"/>
  <c r="B1690" i="57"/>
  <c r="E1690" i="57" s="1"/>
  <c r="B1636" i="57"/>
  <c r="E1636" i="57" s="1"/>
  <c r="B1588" i="57"/>
  <c r="E1588" i="57" s="1"/>
  <c r="B1534" i="57"/>
  <c r="E1534" i="57" s="1"/>
  <c r="B1486" i="57"/>
  <c r="E1486" i="57" s="1"/>
  <c r="B1929" i="57"/>
  <c r="E1929" i="57" s="1"/>
  <c r="B1881" i="57"/>
  <c r="E1881" i="57" s="1"/>
  <c r="B1833" i="57"/>
  <c r="E1833" i="57" s="1"/>
  <c r="B1779" i="57"/>
  <c r="E1779" i="57" s="1"/>
  <c r="B1731" i="57"/>
  <c r="E1731" i="57" s="1"/>
  <c r="B1671" i="57"/>
  <c r="E1671" i="57" s="1"/>
  <c r="B1623" i="57"/>
  <c r="E1623" i="57" s="1"/>
  <c r="B1569" i="57"/>
  <c r="E1569" i="57" s="1"/>
  <c r="B1521" i="57"/>
  <c r="E1521" i="57" s="1"/>
  <c r="B1473" i="57"/>
  <c r="E1473" i="57" s="1"/>
  <c r="B1427" i="57"/>
  <c r="E1427" i="57" s="1"/>
  <c r="B1355" i="57"/>
  <c r="E1355" i="57" s="1"/>
  <c r="B1390" i="57"/>
  <c r="E1390" i="57" s="1"/>
  <c r="B1336" i="57"/>
  <c r="E1336" i="57" s="1"/>
  <c r="B1264" i="57"/>
  <c r="E1264" i="57" s="1"/>
  <c r="B1216" i="57"/>
  <c r="E1216" i="57" s="1"/>
  <c r="B1144" i="57"/>
  <c r="E1144" i="57" s="1"/>
  <c r="B1090" i="57"/>
  <c r="E1090" i="57" s="1"/>
  <c r="B1018" i="57"/>
  <c r="E1018" i="57" s="1"/>
  <c r="B976" i="57"/>
  <c r="E976" i="57" s="1"/>
  <c r="B898" i="57"/>
  <c r="E898" i="57" s="1"/>
  <c r="B850" i="57"/>
  <c r="E850" i="57" s="1"/>
  <c r="B778" i="57"/>
  <c r="E778" i="57" s="1"/>
  <c r="B718" i="57"/>
  <c r="E718" i="57" s="1"/>
  <c r="B652" i="57"/>
  <c r="E652" i="57" s="1"/>
  <c r="B592" i="57"/>
  <c r="E592" i="57" s="1"/>
  <c r="B1413" i="57"/>
  <c r="E1413" i="57" s="1"/>
  <c r="B1371" i="57"/>
  <c r="E1371" i="57" s="1"/>
  <c r="B1293" i="57"/>
  <c r="E1293" i="57" s="1"/>
  <c r="B1251" i="57"/>
  <c r="E1251" i="57" s="1"/>
  <c r="B1179" i="57"/>
  <c r="E1179" i="57" s="1"/>
  <c r="B1137" i="57"/>
  <c r="E1137" i="57" s="1"/>
  <c r="B1071" i="57"/>
  <c r="E1071" i="57" s="1"/>
  <c r="B1029" i="57"/>
  <c r="E1029" i="57" s="1"/>
  <c r="B963" i="57"/>
  <c r="E963" i="57" s="1"/>
  <c r="B915" i="57"/>
  <c r="E915" i="57" s="1"/>
  <c r="B843" i="57"/>
  <c r="E843" i="57" s="1"/>
  <c r="B149" i="57"/>
  <c r="E149" i="57" s="1"/>
  <c r="B508" i="57"/>
  <c r="E508" i="57" s="1"/>
  <c r="B424" i="57"/>
  <c r="E424" i="57" s="1"/>
  <c r="B382" i="57"/>
  <c r="E382" i="57" s="1"/>
  <c r="B334" i="57"/>
  <c r="E334" i="57" s="1"/>
  <c r="B292" i="57"/>
  <c r="E292" i="57" s="1"/>
  <c r="B256" i="57"/>
  <c r="E256" i="57" s="1"/>
  <c r="B208" i="57"/>
  <c r="E208" i="57" s="1"/>
  <c r="B166" i="57"/>
  <c r="E166" i="57" s="1"/>
  <c r="B118" i="57"/>
  <c r="E118" i="57" s="1"/>
  <c r="B22" i="57"/>
  <c r="E22" i="57" s="1"/>
  <c r="B627" i="57"/>
  <c r="E627" i="57" s="1"/>
  <c r="B591" i="57"/>
  <c r="E591" i="57" s="1"/>
  <c r="B555" i="57"/>
  <c r="E555" i="57" s="1"/>
  <c r="B537" i="57"/>
  <c r="E537" i="57" s="1"/>
  <c r="B501" i="57"/>
  <c r="E501" i="57" s="1"/>
  <c r="B465" i="57"/>
  <c r="E465" i="57" s="1"/>
  <c r="B429" i="57"/>
  <c r="E429" i="57" s="1"/>
  <c r="B393" i="57"/>
  <c r="E393" i="57" s="1"/>
  <c r="B357" i="57"/>
  <c r="E357" i="57" s="1"/>
  <c r="B315" i="57"/>
  <c r="E315" i="57" s="1"/>
  <c r="B297" i="57"/>
  <c r="E297" i="57" s="1"/>
  <c r="B261" i="57"/>
  <c r="E261" i="57" s="1"/>
  <c r="B219" i="57"/>
  <c r="E219" i="57" s="1"/>
  <c r="B183" i="57"/>
  <c r="E183" i="57" s="1"/>
  <c r="B147" i="57"/>
  <c r="E147" i="57" s="1"/>
  <c r="B111" i="57"/>
  <c r="E111" i="57" s="1"/>
  <c r="B57" i="57"/>
  <c r="E57" i="57" s="1"/>
  <c r="B1453" i="57"/>
  <c r="E1453" i="57" s="1"/>
  <c r="B590" i="57"/>
  <c r="E590" i="57" s="1"/>
  <c r="B548" i="57"/>
  <c r="E548" i="57" s="1"/>
  <c r="B506" i="57"/>
  <c r="E506" i="57" s="1"/>
  <c r="B488" i="57"/>
  <c r="E488" i="57" s="1"/>
  <c r="B1952" i="57"/>
  <c r="E1952" i="57" s="1"/>
  <c r="B1868" i="57"/>
  <c r="E1868" i="57" s="1"/>
  <c r="B1778" i="57"/>
  <c r="E1778" i="57" s="1"/>
  <c r="B1694" i="57"/>
  <c r="E1694" i="57" s="1"/>
  <c r="B1610" i="57"/>
  <c r="E1610" i="57" s="1"/>
  <c r="B1520" i="57"/>
  <c r="E1520" i="57" s="1"/>
  <c r="B1937" i="57"/>
  <c r="E1937" i="57" s="1"/>
  <c r="B1847" i="57"/>
  <c r="E1847" i="57" s="1"/>
  <c r="B1763" i="57"/>
  <c r="E1763" i="57" s="1"/>
  <c r="B1679" i="57"/>
  <c r="E1679" i="57" s="1"/>
  <c r="B1589" i="57"/>
  <c r="E1589" i="57" s="1"/>
  <c r="B1505" i="57"/>
  <c r="E1505" i="57" s="1"/>
  <c r="B1942" i="57"/>
  <c r="E1942" i="57" s="1"/>
  <c r="B1888" i="57"/>
  <c r="E1888" i="57" s="1"/>
  <c r="B1840" i="57"/>
  <c r="E1840" i="57" s="1"/>
  <c r="B1786" i="57"/>
  <c r="E1786" i="57" s="1"/>
  <c r="B1732" i="57"/>
  <c r="E1732" i="57" s="1"/>
  <c r="B1678" i="57"/>
  <c r="E1678" i="57" s="1"/>
  <c r="B1630" i="57"/>
  <c r="E1630" i="57" s="1"/>
  <c r="B1582" i="57"/>
  <c r="E1582" i="57" s="1"/>
  <c r="B1528" i="57"/>
  <c r="E1528" i="57" s="1"/>
  <c r="B1474" i="57"/>
  <c r="E1474" i="57" s="1"/>
  <c r="B1923" i="57"/>
  <c r="E1923" i="57" s="1"/>
  <c r="B1875" i="57"/>
  <c r="E1875" i="57" s="1"/>
  <c r="B1821" i="57"/>
  <c r="E1821" i="57" s="1"/>
  <c r="B1773" i="57"/>
  <c r="E1773" i="57" s="1"/>
  <c r="B1713" i="57"/>
  <c r="E1713" i="57" s="1"/>
  <c r="B1665" i="57"/>
  <c r="E1665" i="57" s="1"/>
  <c r="B1617" i="57"/>
  <c r="E1617" i="57" s="1"/>
  <c r="B1563" i="57"/>
  <c r="E1563" i="57" s="1"/>
  <c r="B1515" i="57"/>
  <c r="E1515" i="57" s="1"/>
  <c r="B1356" i="57"/>
  <c r="E1356" i="57" s="1"/>
  <c r="B1391" i="57"/>
  <c r="E1391" i="57" s="1"/>
  <c r="B1408" i="57"/>
  <c r="E1408" i="57" s="1"/>
  <c r="B1360" i="57"/>
  <c r="E1360" i="57" s="1"/>
  <c r="B1282" i="57"/>
  <c r="E1282" i="57" s="1"/>
  <c r="B1234" i="57"/>
  <c r="E1234" i="57" s="1"/>
  <c r="B1168" i="57"/>
  <c r="E1168" i="57" s="1"/>
  <c r="B1114" i="57"/>
  <c r="E1114" i="57" s="1"/>
  <c r="B1036" i="57"/>
  <c r="E1036" i="57" s="1"/>
  <c r="B994" i="57"/>
  <c r="E994" i="57" s="1"/>
  <c r="B922" i="57"/>
  <c r="E922" i="57" s="1"/>
  <c r="B868" i="57"/>
  <c r="E868" i="57" s="1"/>
  <c r="B802" i="57"/>
  <c r="E802" i="57" s="1"/>
  <c r="B742" i="57"/>
  <c r="E742" i="57" s="1"/>
  <c r="B670" i="57"/>
  <c r="E670" i="57" s="1"/>
  <c r="B622" i="57"/>
  <c r="E622" i="57" s="1"/>
  <c r="B1431" i="57"/>
  <c r="E1431" i="57" s="1"/>
  <c r="B1389" i="57"/>
  <c r="E1389" i="57" s="1"/>
  <c r="B1311" i="57"/>
  <c r="E1311" i="57" s="1"/>
  <c r="B1269" i="57"/>
  <c r="E1269" i="57" s="1"/>
  <c r="B1197" i="57"/>
  <c r="E1197" i="57" s="1"/>
  <c r="B1155" i="57"/>
  <c r="E1155" i="57" s="1"/>
  <c r="B1089" i="57"/>
  <c r="E1089" i="57" s="1"/>
  <c r="B1047" i="57"/>
  <c r="E1047" i="57" s="1"/>
  <c r="B981" i="57"/>
  <c r="E981" i="57" s="1"/>
  <c r="B939" i="57"/>
  <c r="E939" i="57" s="1"/>
  <c r="B861" i="57"/>
  <c r="E861" i="57" s="1"/>
  <c r="B819" i="57"/>
  <c r="E819" i="57" s="1"/>
  <c r="B795" i="57"/>
  <c r="E795" i="57" s="1"/>
  <c r="B771" i="57"/>
  <c r="E771" i="57" s="1"/>
  <c r="B753" i="57"/>
  <c r="E753" i="57" s="1"/>
  <c r="B735" i="57"/>
  <c r="E735" i="57" s="1"/>
  <c r="B717" i="57"/>
  <c r="E717" i="57" s="1"/>
  <c r="B693" i="57"/>
  <c r="E693" i="57" s="1"/>
  <c r="B675" i="57"/>
  <c r="E675" i="57" s="1"/>
  <c r="B657" i="57"/>
  <c r="E657" i="57" s="1"/>
  <c r="B1436" i="57"/>
  <c r="E1436" i="57" s="1"/>
  <c r="B1412" i="57"/>
  <c r="E1412" i="57" s="1"/>
  <c r="B1382" i="57"/>
  <c r="E1382" i="57" s="1"/>
  <c r="B1358" i="57"/>
  <c r="E1358" i="57" s="1"/>
  <c r="B1328" i="57"/>
  <c r="E1328" i="57" s="1"/>
  <c r="B1304" i="57"/>
  <c r="E1304" i="57" s="1"/>
  <c r="B1274" i="57"/>
  <c r="E1274" i="57" s="1"/>
  <c r="B1250" i="57"/>
  <c r="E1250" i="57" s="1"/>
  <c r="B1220" i="57"/>
  <c r="E1220" i="57" s="1"/>
  <c r="B1196" i="57"/>
  <c r="E1196" i="57" s="1"/>
  <c r="B1166" i="57"/>
  <c r="E1166" i="57" s="1"/>
  <c r="B1142" i="57"/>
  <c r="E1142" i="57" s="1"/>
  <c r="B1112" i="57"/>
  <c r="E1112" i="57" s="1"/>
  <c r="B1088" i="57"/>
  <c r="E1088" i="57" s="1"/>
  <c r="B1058" i="57"/>
  <c r="E1058" i="57" s="1"/>
  <c r="B1034" i="57"/>
  <c r="E1034" i="57" s="1"/>
  <c r="B1004" i="57"/>
  <c r="E1004" i="57" s="1"/>
  <c r="B980" i="57"/>
  <c r="E980" i="57" s="1"/>
  <c r="B950" i="57"/>
  <c r="E950" i="57" s="1"/>
  <c r="B926" i="57"/>
  <c r="E926" i="57" s="1"/>
  <c r="B896" i="57"/>
  <c r="E896" i="57" s="1"/>
  <c r="B872" i="57"/>
  <c r="E872" i="57" s="1"/>
  <c r="B842" i="57"/>
  <c r="E842" i="57" s="1"/>
  <c r="B824" i="57"/>
  <c r="E824" i="57" s="1"/>
  <c r="B806" i="57"/>
  <c r="E806" i="57" s="1"/>
  <c r="B788" i="57"/>
  <c r="E788" i="57" s="1"/>
  <c r="B764" i="57"/>
  <c r="E764" i="57" s="1"/>
  <c r="B746" i="57"/>
  <c r="E746" i="57" s="1"/>
  <c r="B722" i="57"/>
  <c r="E722" i="57" s="1"/>
  <c r="B704" i="57"/>
  <c r="E704" i="57" s="1"/>
  <c r="B686" i="57"/>
  <c r="E686" i="57" s="1"/>
  <c r="B668" i="57"/>
  <c r="E668" i="57" s="1"/>
  <c r="B644" i="57"/>
  <c r="E644" i="57" s="1"/>
  <c r="B620" i="57"/>
  <c r="E620" i="57" s="1"/>
  <c r="B602" i="57"/>
  <c r="E602" i="57" s="1"/>
  <c r="B1398" i="57"/>
  <c r="E1398" i="57" s="1"/>
  <c r="B1374" i="57"/>
  <c r="E1374" i="57" s="1"/>
  <c r="B1350" i="57"/>
  <c r="E1350" i="57" s="1"/>
  <c r="B1326" i="57"/>
  <c r="E1326" i="57" s="1"/>
  <c r="B1296" i="57"/>
  <c r="E1296" i="57" s="1"/>
  <c r="B1278" i="57"/>
  <c r="E1278" i="57" s="1"/>
  <c r="B1260" i="57"/>
  <c r="E1260" i="57" s="1"/>
  <c r="B1242" i="57"/>
  <c r="E1242" i="57" s="1"/>
  <c r="B1218" i="57"/>
  <c r="E1218" i="57" s="1"/>
  <c r="B1188" i="57"/>
  <c r="E1188" i="57" s="1"/>
  <c r="B1170" i="57"/>
  <c r="E1170" i="57" s="1"/>
  <c r="B1152" i="57"/>
  <c r="E1152" i="57" s="1"/>
  <c r="B1134" i="57"/>
  <c r="E1134" i="57" s="1"/>
  <c r="B1110" i="57"/>
  <c r="E1110" i="57" s="1"/>
  <c r="B1080" i="57"/>
  <c r="E1080" i="57" s="1"/>
  <c r="B1062" i="57"/>
  <c r="E1062" i="57" s="1"/>
  <c r="B1044" i="57"/>
  <c r="E1044" i="57" s="1"/>
  <c r="B1026" i="57"/>
  <c r="E1026" i="57" s="1"/>
  <c r="B1002" i="57"/>
  <c r="E1002" i="57" s="1"/>
  <c r="B972" i="57"/>
  <c r="E972" i="57" s="1"/>
  <c r="B954" i="57"/>
  <c r="E954" i="57" s="1"/>
  <c r="B936" i="57"/>
  <c r="E936" i="57" s="1"/>
  <c r="B918" i="57"/>
  <c r="E918" i="57" s="1"/>
  <c r="B894" i="57"/>
  <c r="E894" i="57" s="1"/>
  <c r="B864" i="57"/>
  <c r="E864" i="57" s="1"/>
  <c r="B846" i="57"/>
  <c r="E846" i="57" s="1"/>
  <c r="B828" i="57"/>
  <c r="E828" i="57" s="1"/>
  <c r="B804" i="57"/>
  <c r="E804" i="57" s="1"/>
  <c r="B774" i="57"/>
  <c r="E774" i="57" s="1"/>
  <c r="B744" i="57"/>
  <c r="E744" i="57" s="1"/>
  <c r="B708" i="57"/>
  <c r="E708" i="57" s="1"/>
  <c r="B690" i="57"/>
  <c r="E690" i="57" s="1"/>
  <c r="B666" i="57"/>
  <c r="E666" i="57" s="1"/>
  <c r="B1380" i="57"/>
  <c r="E1380" i="57" s="1"/>
  <c r="B1397" i="57"/>
  <c r="E1397" i="57" s="1"/>
  <c r="B1361" i="57"/>
  <c r="E1361" i="57" s="1"/>
  <c r="B1337" i="57"/>
  <c r="E1337" i="57" s="1"/>
  <c r="B1319" i="57"/>
  <c r="E1319" i="57" s="1"/>
  <c r="B1295" i="57"/>
  <c r="E1295" i="57" s="1"/>
  <c r="B1277" i="57"/>
  <c r="E1277" i="57" s="1"/>
  <c r="B1259" i="57"/>
  <c r="E1259" i="57" s="1"/>
  <c r="B1241" i="57"/>
  <c r="E1241" i="57" s="1"/>
  <c r="B1223" i="57"/>
  <c r="E1223" i="57" s="1"/>
  <c r="B1205" i="57"/>
  <c r="E1205" i="57" s="1"/>
  <c r="B1187" i="57"/>
  <c r="E1187" i="57" s="1"/>
  <c r="B1169" i="57"/>
  <c r="E1169" i="57" s="1"/>
  <c r="B1151" i="57"/>
  <c r="E1151" i="57" s="1"/>
  <c r="B1133" i="57"/>
  <c r="E1133" i="57" s="1"/>
  <c r="B1115" i="57"/>
  <c r="E1115" i="57" s="1"/>
  <c r="B1097" i="57"/>
  <c r="E1097" i="57" s="1"/>
  <c r="B1079" i="57"/>
  <c r="E1079" i="57" s="1"/>
  <c r="B1061" i="57"/>
  <c r="E1061" i="57" s="1"/>
  <c r="B1043" i="57"/>
  <c r="E1043" i="57" s="1"/>
  <c r="B1025" i="57"/>
  <c r="E1025" i="57" s="1"/>
  <c r="B1007" i="57"/>
  <c r="E1007" i="57" s="1"/>
  <c r="B989" i="57"/>
  <c r="E989" i="57" s="1"/>
  <c r="B971" i="57"/>
  <c r="E971" i="57" s="1"/>
  <c r="B953" i="57"/>
  <c r="E953" i="57" s="1"/>
  <c r="B935" i="57"/>
  <c r="E935" i="57" s="1"/>
  <c r="B917" i="57"/>
  <c r="E917" i="57" s="1"/>
  <c r="B899" i="57"/>
  <c r="E899" i="57" s="1"/>
  <c r="B881" i="57"/>
  <c r="E881" i="57" s="1"/>
  <c r="B642" i="57"/>
  <c r="E642" i="57" s="1"/>
  <c r="B624" i="57"/>
  <c r="E624" i="57" s="1"/>
  <c r="B606" i="57"/>
  <c r="E606" i="57" s="1"/>
  <c r="B582" i="57"/>
  <c r="E582" i="57" s="1"/>
  <c r="B564" i="57"/>
  <c r="E564" i="57" s="1"/>
  <c r="B540" i="57"/>
  <c r="E540" i="57" s="1"/>
  <c r="B522" i="57"/>
  <c r="E522" i="57" s="1"/>
  <c r="B504" i="57"/>
  <c r="E504" i="57" s="1"/>
  <c r="B480" i="57"/>
  <c r="E480" i="57" s="1"/>
  <c r="B450" i="57"/>
  <c r="E450" i="57" s="1"/>
  <c r="B420" i="57"/>
  <c r="E420" i="57" s="1"/>
  <c r="B384" i="57"/>
  <c r="E384" i="57" s="1"/>
  <c r="B366" i="57"/>
  <c r="E366" i="57" s="1"/>
  <c r="B342" i="57"/>
  <c r="E342" i="57" s="1"/>
  <c r="B324" i="57"/>
  <c r="E324" i="57" s="1"/>
  <c r="B306" i="57"/>
  <c r="E306" i="57" s="1"/>
  <c r="B288" i="57"/>
  <c r="E288" i="57" s="1"/>
  <c r="B264" i="57"/>
  <c r="E264" i="57" s="1"/>
  <c r="B246" i="57"/>
  <c r="E246" i="57" s="1"/>
  <c r="B222" i="57"/>
  <c r="E222" i="57" s="1"/>
  <c r="B192" i="57"/>
  <c r="E192" i="57" s="1"/>
  <c r="B162" i="57"/>
  <c r="E162" i="57" s="1"/>
  <c r="B144" i="57"/>
  <c r="E144" i="57" s="1"/>
  <c r="B126" i="57"/>
  <c r="E126" i="57" s="1"/>
  <c r="B108" i="57"/>
  <c r="E108" i="57" s="1"/>
  <c r="B84" i="57"/>
  <c r="E84" i="57" s="1"/>
  <c r="B60" i="57"/>
  <c r="E60" i="57" s="1"/>
  <c r="B42" i="57"/>
  <c r="E42" i="57" s="1"/>
  <c r="B24" i="57"/>
  <c r="E24" i="57" s="1"/>
  <c r="B2493" i="57"/>
  <c r="E2493" i="57" s="1"/>
  <c r="B869" i="57"/>
  <c r="E869" i="57" s="1"/>
  <c r="B851" i="57"/>
  <c r="E851" i="57" s="1"/>
  <c r="B833" i="57"/>
  <c r="E833" i="57" s="1"/>
  <c r="B815" i="57"/>
  <c r="E815" i="57" s="1"/>
  <c r="B797" i="57"/>
  <c r="E797" i="57" s="1"/>
  <c r="B779" i="57"/>
  <c r="E779" i="57" s="1"/>
  <c r="B761" i="57"/>
  <c r="E761" i="57" s="1"/>
  <c r="B743" i="57"/>
  <c r="E743" i="57" s="1"/>
  <c r="B725" i="57"/>
  <c r="E725" i="57" s="1"/>
  <c r="B707" i="57"/>
  <c r="E707" i="57" s="1"/>
  <c r="B689" i="57"/>
  <c r="E689" i="57" s="1"/>
  <c r="B671" i="57"/>
  <c r="E671" i="57" s="1"/>
  <c r="B653" i="57"/>
  <c r="E653" i="57" s="1"/>
  <c r="B635" i="57"/>
  <c r="E635" i="57" s="1"/>
  <c r="B617" i="57"/>
  <c r="E617" i="57" s="1"/>
  <c r="B599" i="57"/>
  <c r="E599" i="57" s="1"/>
  <c r="B581" i="57"/>
  <c r="E581" i="57" s="1"/>
  <c r="B563" i="57"/>
  <c r="E563" i="57" s="1"/>
  <c r="B545" i="57"/>
  <c r="E545" i="57" s="1"/>
  <c r="B527" i="57"/>
  <c r="E527" i="57" s="1"/>
  <c r="B509" i="57"/>
  <c r="E509" i="57" s="1"/>
  <c r="B491" i="57"/>
  <c r="E491" i="57" s="1"/>
  <c r="B473" i="57"/>
  <c r="E473" i="57" s="1"/>
  <c r="B455" i="57"/>
  <c r="E455" i="57" s="1"/>
  <c r="B437" i="57"/>
  <c r="E437" i="57" s="1"/>
  <c r="B419" i="57"/>
  <c r="E419" i="57" s="1"/>
  <c r="B401" i="57"/>
  <c r="E401" i="57" s="1"/>
  <c r="B383" i="57"/>
  <c r="E383" i="57" s="1"/>
  <c r="B365" i="57"/>
  <c r="E365" i="57" s="1"/>
  <c r="B347" i="57"/>
  <c r="E347" i="57" s="1"/>
  <c r="B329" i="57"/>
  <c r="E329" i="57" s="1"/>
  <c r="B311" i="57"/>
  <c r="E311" i="57" s="1"/>
  <c r="B293" i="57"/>
  <c r="E293" i="57" s="1"/>
  <c r="B275" i="57"/>
  <c r="E275" i="57" s="1"/>
  <c r="B257" i="57"/>
  <c r="E257" i="57" s="1"/>
  <c r="B239" i="57"/>
  <c r="E239" i="57" s="1"/>
  <c r="B221" i="57"/>
  <c r="E221" i="57" s="1"/>
  <c r="B203" i="57"/>
  <c r="E203" i="57" s="1"/>
  <c r="B185" i="57"/>
  <c r="E185" i="57" s="1"/>
  <c r="B167" i="57"/>
  <c r="E167" i="57" s="1"/>
  <c r="B131" i="57"/>
  <c r="E131" i="57" s="1"/>
  <c r="B113" i="57"/>
  <c r="E113" i="57" s="1"/>
  <c r="B95" i="57"/>
  <c r="E95" i="57" s="1"/>
  <c r="B77" i="57"/>
  <c r="E77" i="57" s="1"/>
  <c r="B59" i="57"/>
  <c r="E59" i="57" s="1"/>
  <c r="B41" i="57"/>
  <c r="E41" i="57" s="1"/>
  <c r="B23" i="57"/>
  <c r="E23" i="57" s="1"/>
  <c r="B1449" i="57"/>
  <c r="E1449" i="57" s="1"/>
  <c r="B2510" i="57"/>
  <c r="E2510" i="57" s="1"/>
  <c r="B15" i="57"/>
  <c r="E15" i="57" s="1"/>
  <c r="B538" i="57"/>
  <c r="E538" i="57" s="1"/>
  <c r="B484" i="57"/>
  <c r="E484" i="57" s="1"/>
  <c r="B460" i="57"/>
  <c r="E460" i="57" s="1"/>
  <c r="B442" i="57"/>
  <c r="E442" i="57" s="1"/>
  <c r="B400" i="57"/>
  <c r="E400" i="57" s="1"/>
  <c r="B358" i="57"/>
  <c r="E358" i="57" s="1"/>
  <c r="B310" i="57"/>
  <c r="E310" i="57" s="1"/>
  <c r="B274" i="57"/>
  <c r="E274" i="57" s="1"/>
  <c r="B238" i="57"/>
  <c r="E238" i="57" s="1"/>
  <c r="B190" i="57"/>
  <c r="E190" i="57" s="1"/>
  <c r="B142" i="57"/>
  <c r="E142" i="57" s="1"/>
  <c r="B2491" i="57"/>
  <c r="E2491" i="57" s="1"/>
  <c r="B609" i="57"/>
  <c r="E609" i="57" s="1"/>
  <c r="B573" i="57"/>
  <c r="E573" i="57" s="1"/>
  <c r="B519" i="57"/>
  <c r="E519" i="57" s="1"/>
  <c r="B483" i="57"/>
  <c r="E483" i="57" s="1"/>
  <c r="B447" i="57"/>
  <c r="E447" i="57" s="1"/>
  <c r="B411" i="57"/>
  <c r="E411" i="57" s="1"/>
  <c r="B375" i="57"/>
  <c r="E375" i="57" s="1"/>
  <c r="B333" i="57"/>
  <c r="E333" i="57" s="1"/>
  <c r="B279" i="57"/>
  <c r="E279" i="57" s="1"/>
  <c r="B237" i="57"/>
  <c r="E237" i="57" s="1"/>
  <c r="B201" i="57"/>
  <c r="E201" i="57" s="1"/>
  <c r="B165" i="57"/>
  <c r="E165" i="57" s="1"/>
  <c r="B129" i="57"/>
  <c r="E129" i="57" s="1"/>
  <c r="B87" i="57"/>
  <c r="E87" i="57" s="1"/>
  <c r="B33" i="57"/>
  <c r="E33" i="57" s="1"/>
  <c r="B2502" i="57"/>
  <c r="E2502" i="57" s="1"/>
  <c r="B572" i="57"/>
  <c r="E572" i="57" s="1"/>
  <c r="B530" i="57"/>
  <c r="E530" i="57" s="1"/>
  <c r="B453" i="57"/>
  <c r="E453" i="57" s="1"/>
  <c r="B356" i="57"/>
  <c r="E356" i="57" s="1"/>
  <c r="B176" i="57"/>
  <c r="E176" i="57" s="1"/>
  <c r="B98" i="57"/>
  <c r="E98" i="57" s="1"/>
  <c r="B32" i="57"/>
  <c r="E32" i="57" s="1"/>
  <c r="B49" i="57"/>
  <c r="E49" i="57" s="1"/>
  <c r="B2500" i="57"/>
  <c r="E2500" i="57" s="1"/>
  <c r="B302" i="57"/>
  <c r="E302" i="57" s="1"/>
  <c r="B170" i="57"/>
  <c r="E170" i="57" s="1"/>
  <c r="B68" i="57"/>
  <c r="E68" i="57" s="1"/>
  <c r="B1451" i="57"/>
  <c r="E1451" i="57" s="1"/>
  <c r="B156" i="57"/>
  <c r="E156" i="57" s="1"/>
  <c r="B132" i="57"/>
  <c r="E132" i="57" s="1"/>
  <c r="B54" i="57"/>
  <c r="E54" i="57" s="1"/>
  <c r="B1450" i="57"/>
  <c r="E1450" i="57" s="1"/>
  <c r="B827" i="57"/>
  <c r="E827" i="57" s="1"/>
  <c r="B785" i="57"/>
  <c r="E785" i="57" s="1"/>
  <c r="B719" i="57"/>
  <c r="E719" i="57" s="1"/>
  <c r="B677" i="57"/>
  <c r="E677" i="57" s="1"/>
  <c r="B611" i="57"/>
  <c r="E611" i="57" s="1"/>
  <c r="B569" i="57"/>
  <c r="E569" i="57" s="1"/>
  <c r="B503" i="57"/>
  <c r="E503" i="57" s="1"/>
  <c r="B461" i="57"/>
  <c r="E461" i="57" s="1"/>
  <c r="B395" i="57"/>
  <c r="E395" i="57" s="1"/>
  <c r="B353" i="57"/>
  <c r="E353" i="57" s="1"/>
  <c r="B287" i="57"/>
  <c r="E287" i="57" s="1"/>
  <c r="B245" i="57"/>
  <c r="E245" i="57" s="1"/>
  <c r="B179" i="57"/>
  <c r="E179" i="57" s="1"/>
  <c r="B137" i="57"/>
  <c r="E137" i="57" s="1"/>
  <c r="B71" i="57"/>
  <c r="E71" i="57" s="1"/>
  <c r="B29" i="57"/>
  <c r="E29" i="57" s="1"/>
  <c r="B550" i="57"/>
  <c r="E550" i="57" s="1"/>
  <c r="B490" i="57"/>
  <c r="E490" i="57" s="1"/>
  <c r="B418" i="57"/>
  <c r="E418" i="57" s="1"/>
  <c r="B364" i="57"/>
  <c r="E364" i="57" s="1"/>
  <c r="B286" i="57"/>
  <c r="E286" i="57" s="1"/>
  <c r="B244" i="57"/>
  <c r="E244" i="57" s="1"/>
  <c r="B154" i="57"/>
  <c r="E154" i="57" s="1"/>
  <c r="B28" i="57"/>
  <c r="E28" i="57" s="1"/>
  <c r="B603" i="57"/>
  <c r="E603" i="57" s="1"/>
  <c r="B561" i="57"/>
  <c r="E561" i="57" s="1"/>
  <c r="B339" i="57"/>
  <c r="E339" i="57" s="1"/>
  <c r="B159" i="57"/>
  <c r="E159" i="57" s="1"/>
  <c r="B27" i="57"/>
  <c r="E27" i="57" s="1"/>
  <c r="B434" i="57"/>
  <c r="E434" i="57" s="1"/>
  <c r="B374" i="57"/>
  <c r="E374" i="57" s="1"/>
  <c r="B314" i="57"/>
  <c r="E314" i="57" s="1"/>
  <c r="B248" i="57"/>
  <c r="E248" i="57" s="1"/>
  <c r="B194" i="57"/>
  <c r="E194" i="57" s="1"/>
  <c r="B116" i="57"/>
  <c r="E116" i="57" s="1"/>
  <c r="B50" i="57"/>
  <c r="E50" i="57" s="1"/>
  <c r="B2488" i="57"/>
  <c r="E2488" i="57" s="1"/>
  <c r="B188" i="57"/>
  <c r="E188" i="57" s="1"/>
  <c r="B2501" i="57"/>
  <c r="E2501" i="57" s="1"/>
  <c r="B234" i="57"/>
  <c r="E234" i="57" s="1"/>
  <c r="B78" i="57"/>
  <c r="E78" i="57" s="1"/>
  <c r="B30" i="57"/>
  <c r="E30" i="57" s="1"/>
  <c r="B845" i="57"/>
  <c r="E845" i="57" s="1"/>
  <c r="B803" i="57"/>
  <c r="E803" i="57" s="1"/>
  <c r="B737" i="57"/>
  <c r="E737" i="57" s="1"/>
  <c r="B695" i="57"/>
  <c r="E695" i="57" s="1"/>
  <c r="B629" i="57"/>
  <c r="E629" i="57" s="1"/>
  <c r="B587" i="57"/>
  <c r="E587" i="57" s="1"/>
  <c r="B521" i="57"/>
  <c r="E521" i="57" s="1"/>
  <c r="B479" i="57"/>
  <c r="E479" i="57" s="1"/>
  <c r="B413" i="57"/>
  <c r="E413" i="57" s="1"/>
  <c r="B371" i="57"/>
  <c r="E371" i="57" s="1"/>
  <c r="B305" i="57"/>
  <c r="E305" i="57" s="1"/>
  <c r="B263" i="57"/>
  <c r="E263" i="57" s="1"/>
  <c r="B197" i="57"/>
  <c r="E197" i="57" s="1"/>
  <c r="B155" i="57"/>
  <c r="E155" i="57" s="1"/>
  <c r="B89" i="57"/>
  <c r="E89" i="57" s="1"/>
  <c r="B47" i="57"/>
  <c r="E47" i="57" s="1"/>
  <c r="B2504" i="57"/>
  <c r="E2504" i="57" s="1"/>
  <c r="B520" i="57"/>
  <c r="E520" i="57" s="1"/>
  <c r="B436" i="57"/>
  <c r="E436" i="57" s="1"/>
  <c r="B388" i="57"/>
  <c r="E388" i="57" s="1"/>
  <c r="B304" i="57"/>
  <c r="E304" i="57" s="1"/>
  <c r="B262" i="57"/>
  <c r="E262" i="57" s="1"/>
  <c r="B178" i="57"/>
  <c r="E178" i="57" s="1"/>
  <c r="B124" i="57"/>
  <c r="E124" i="57" s="1"/>
  <c r="B621" i="57"/>
  <c r="E621" i="57" s="1"/>
  <c r="B579" i="57"/>
  <c r="E579" i="57" s="1"/>
  <c r="B513" i="57"/>
  <c r="E513" i="57" s="1"/>
  <c r="B471" i="57"/>
  <c r="E471" i="57" s="1"/>
  <c r="B405" i="57"/>
  <c r="E405" i="57" s="1"/>
  <c r="B363" i="57"/>
  <c r="E363" i="57" s="1"/>
  <c r="B291" i="57"/>
  <c r="E291" i="57" s="1"/>
  <c r="B249" i="57"/>
  <c r="E249" i="57" s="1"/>
  <c r="B177" i="57"/>
  <c r="E177" i="57" s="1"/>
  <c r="B135" i="57"/>
  <c r="E135" i="57" s="1"/>
  <c r="B51" i="57"/>
  <c r="E51" i="57" s="1"/>
  <c r="B2508" i="57"/>
  <c r="E2508" i="57" s="1"/>
  <c r="B542" i="57"/>
  <c r="E542" i="57" s="1"/>
  <c r="B494" i="57"/>
  <c r="E494" i="57" s="1"/>
  <c r="B260" i="57"/>
  <c r="E260" i="57" s="1"/>
  <c r="B110" i="57"/>
  <c r="E110" i="57" s="1"/>
  <c r="B26" i="57"/>
  <c r="E26" i="57" s="1"/>
  <c r="B2482" i="57"/>
  <c r="E2482" i="57" s="1"/>
  <c r="B150" i="57"/>
  <c r="E150" i="57" s="1"/>
  <c r="B102" i="57"/>
  <c r="E102" i="57" s="1"/>
  <c r="B48" i="57"/>
  <c r="E48" i="57" s="1"/>
  <c r="B863" i="57"/>
  <c r="E863" i="57" s="1"/>
  <c r="B821" i="57"/>
  <c r="E821" i="57" s="1"/>
  <c r="B755" i="57"/>
  <c r="E755" i="57" s="1"/>
  <c r="B713" i="57"/>
  <c r="E713" i="57" s="1"/>
  <c r="B647" i="57"/>
  <c r="E647" i="57" s="1"/>
  <c r="B605" i="57"/>
  <c r="E605" i="57" s="1"/>
  <c r="B539" i="57"/>
  <c r="E539" i="57" s="1"/>
  <c r="B497" i="57"/>
  <c r="E497" i="57" s="1"/>
  <c r="B431" i="57"/>
  <c r="E431" i="57" s="1"/>
  <c r="B389" i="57"/>
  <c r="E389" i="57" s="1"/>
  <c r="B323" i="57"/>
  <c r="E323" i="57" s="1"/>
  <c r="B281" i="57"/>
  <c r="E281" i="57" s="1"/>
  <c r="B215" i="57"/>
  <c r="E215" i="57" s="1"/>
  <c r="B173" i="57"/>
  <c r="E173" i="57" s="1"/>
  <c r="B107" i="57"/>
  <c r="E107" i="57" s="1"/>
  <c r="B65" i="57"/>
  <c r="E65" i="57" s="1"/>
  <c r="B2492" i="57"/>
  <c r="E2492" i="57" s="1"/>
  <c r="B544" i="57"/>
  <c r="E544" i="57" s="1"/>
  <c r="B454" i="57"/>
  <c r="E454" i="57" s="1"/>
  <c r="B406" i="57"/>
  <c r="E406" i="57" s="1"/>
  <c r="B322" i="57"/>
  <c r="E322" i="57" s="1"/>
  <c r="B280" i="57"/>
  <c r="E280" i="57" s="1"/>
  <c r="B202" i="57"/>
  <c r="E202" i="57" s="1"/>
  <c r="B148" i="57"/>
  <c r="E148" i="57" s="1"/>
  <c r="B2485" i="57"/>
  <c r="E2485" i="57" s="1"/>
  <c r="B597" i="57"/>
  <c r="E597" i="57" s="1"/>
  <c r="B531" i="57"/>
  <c r="E531" i="57" s="1"/>
  <c r="B489" i="57"/>
  <c r="E489" i="57" s="1"/>
  <c r="B423" i="57"/>
  <c r="E423" i="57" s="1"/>
  <c r="B381" i="57"/>
  <c r="E381" i="57" s="1"/>
  <c r="B309" i="57"/>
  <c r="E309" i="57" s="1"/>
  <c r="B267" i="57"/>
  <c r="E267" i="57" s="1"/>
  <c r="B195" i="57"/>
  <c r="E195" i="57" s="1"/>
  <c r="B153" i="57"/>
  <c r="E153" i="57" s="1"/>
  <c r="B81" i="57"/>
  <c r="E81" i="57" s="1"/>
  <c r="B21" i="57"/>
  <c r="E21" i="57" s="1"/>
  <c r="B566" i="57"/>
  <c r="E566" i="57" s="1"/>
  <c r="B512" i="57"/>
  <c r="E512" i="57" s="1"/>
  <c r="B470" i="57"/>
  <c r="E470" i="57" s="1"/>
  <c r="B452" i="57"/>
  <c r="E452" i="57" s="1"/>
  <c r="B428" i="57"/>
  <c r="E428" i="57" s="1"/>
  <c r="B404" i="57"/>
  <c r="E404" i="57" s="1"/>
  <c r="B386" i="57"/>
  <c r="E386" i="57" s="1"/>
  <c r="B368" i="57"/>
  <c r="E368" i="57" s="1"/>
  <c r="B284" i="57"/>
  <c r="E284" i="57" s="1"/>
  <c r="B242" i="57"/>
  <c r="E242" i="57" s="1"/>
  <c r="B44" i="57"/>
  <c r="E44" i="57" s="1"/>
  <c r="B252" i="57"/>
  <c r="E252" i="57" s="1"/>
  <c r="B168" i="57"/>
  <c r="E168" i="57" s="1"/>
  <c r="B120" i="57"/>
  <c r="E120" i="57" s="1"/>
  <c r="B72" i="57"/>
  <c r="E72" i="57" s="1"/>
  <c r="B2487" i="57"/>
  <c r="E2487" i="57" s="1"/>
  <c r="B839" i="57"/>
  <c r="E839" i="57" s="1"/>
  <c r="B773" i="57"/>
  <c r="E773" i="57" s="1"/>
  <c r="B731" i="57"/>
  <c r="E731" i="57" s="1"/>
  <c r="B665" i="57"/>
  <c r="E665" i="57" s="1"/>
  <c r="B623" i="57"/>
  <c r="E623" i="57" s="1"/>
  <c r="B557" i="57"/>
  <c r="E557" i="57" s="1"/>
  <c r="B515" i="57"/>
  <c r="E515" i="57" s="1"/>
  <c r="B449" i="57"/>
  <c r="E449" i="57" s="1"/>
  <c r="B407" i="57"/>
  <c r="E407" i="57" s="1"/>
  <c r="B341" i="57"/>
  <c r="E341" i="57" s="1"/>
  <c r="B299" i="57"/>
  <c r="E299" i="57" s="1"/>
  <c r="B233" i="57"/>
  <c r="E233" i="57" s="1"/>
  <c r="B191" i="57"/>
  <c r="E191" i="57" s="1"/>
  <c r="B125" i="57"/>
  <c r="E125" i="57" s="1"/>
  <c r="B83" i="57"/>
  <c r="E83" i="57" s="1"/>
  <c r="B17" i="57"/>
  <c r="E17" i="57" s="1"/>
  <c r="B2498" i="57"/>
  <c r="E2498" i="57" s="1"/>
  <c r="B478" i="57"/>
  <c r="E478" i="57" s="1"/>
  <c r="B430" i="57"/>
  <c r="E430" i="57" s="1"/>
  <c r="B346" i="57"/>
  <c r="E346" i="57" s="1"/>
  <c r="B298" i="57"/>
  <c r="E298" i="57" s="1"/>
  <c r="B226" i="57"/>
  <c r="E226" i="57" s="1"/>
  <c r="B172" i="57"/>
  <c r="E172" i="57" s="1"/>
  <c r="B1454" i="57"/>
  <c r="E1454" i="57" s="1"/>
  <c r="B615" i="57"/>
  <c r="E615" i="57" s="1"/>
  <c r="B549" i="57"/>
  <c r="E549" i="57" s="1"/>
  <c r="B507" i="57"/>
  <c r="E507" i="57" s="1"/>
  <c r="B441" i="57"/>
  <c r="E441" i="57" s="1"/>
  <c r="B399" i="57"/>
  <c r="E399" i="57" s="1"/>
  <c r="B327" i="57"/>
  <c r="E327" i="57" s="1"/>
  <c r="B285" i="57"/>
  <c r="E285" i="57" s="1"/>
  <c r="B213" i="57"/>
  <c r="E213" i="57" s="1"/>
  <c r="B171" i="57"/>
  <c r="E171" i="57" s="1"/>
  <c r="B105" i="57"/>
  <c r="E105" i="57" s="1"/>
  <c r="B39" i="57"/>
  <c r="E39" i="57" s="1"/>
  <c r="B584" i="57"/>
  <c r="E584" i="57" s="1"/>
  <c r="B536" i="57"/>
  <c r="E536" i="57" s="1"/>
  <c r="B2507" i="57"/>
  <c r="E2507" i="57" s="1"/>
  <c r="B350" i="57"/>
  <c r="E350" i="57" s="1"/>
  <c r="B140" i="57"/>
  <c r="E140" i="57" s="1"/>
  <c r="B2489" i="57"/>
  <c r="E2489" i="57" s="1"/>
  <c r="B90" i="57"/>
  <c r="E90" i="57" s="1"/>
  <c r="B18" i="57"/>
  <c r="E18" i="57" s="1"/>
  <c r="B857" i="57"/>
  <c r="E857" i="57" s="1"/>
  <c r="B791" i="57"/>
  <c r="E791" i="57" s="1"/>
  <c r="B749" i="57"/>
  <c r="E749" i="57" s="1"/>
  <c r="B683" i="57"/>
  <c r="E683" i="57" s="1"/>
  <c r="B641" i="57"/>
  <c r="E641" i="57" s="1"/>
  <c r="B575" i="57"/>
  <c r="E575" i="57" s="1"/>
  <c r="B533" i="57"/>
  <c r="E533" i="57" s="1"/>
  <c r="B467" i="57"/>
  <c r="E467" i="57" s="1"/>
  <c r="B425" i="57"/>
  <c r="E425" i="57" s="1"/>
  <c r="B359" i="57"/>
  <c r="E359" i="57" s="1"/>
  <c r="B317" i="57"/>
  <c r="E317" i="57" s="1"/>
  <c r="B251" i="57"/>
  <c r="E251" i="57" s="1"/>
  <c r="B209" i="57"/>
  <c r="E209" i="57" s="1"/>
  <c r="B143" i="57"/>
  <c r="E143" i="57" s="1"/>
  <c r="B101" i="57"/>
  <c r="E101" i="57" s="1"/>
  <c r="B35" i="57"/>
  <c r="E35" i="57" s="1"/>
  <c r="B2486" i="57"/>
  <c r="E2486" i="57" s="1"/>
  <c r="B502" i="57"/>
  <c r="E502" i="57" s="1"/>
  <c r="B448" i="57"/>
  <c r="E448" i="57" s="1"/>
  <c r="B376" i="57"/>
  <c r="E376" i="57" s="1"/>
  <c r="B316" i="57"/>
  <c r="E316" i="57" s="1"/>
  <c r="B250" i="57"/>
  <c r="E250" i="57" s="1"/>
  <c r="B196" i="57"/>
  <c r="E196" i="57" s="1"/>
  <c r="B112" i="57"/>
  <c r="E112" i="57" s="1"/>
  <c r="B633" i="57"/>
  <c r="E633" i="57" s="1"/>
  <c r="B567" i="57"/>
  <c r="E567" i="57" s="1"/>
  <c r="B525" i="57"/>
  <c r="E525" i="57" s="1"/>
  <c r="B459" i="57"/>
  <c r="E459" i="57" s="1"/>
  <c r="B417" i="57"/>
  <c r="E417" i="57" s="1"/>
  <c r="B345" i="57"/>
  <c r="E345" i="57" s="1"/>
  <c r="B303" i="57"/>
  <c r="E303" i="57" s="1"/>
  <c r="B231" i="57"/>
  <c r="E231" i="57" s="1"/>
  <c r="B189" i="57"/>
  <c r="E189" i="57" s="1"/>
  <c r="B123" i="57"/>
  <c r="E123" i="57" s="1"/>
  <c r="B75" i="57"/>
  <c r="E75" i="57" s="1"/>
  <c r="B2496" i="57"/>
  <c r="E2496" i="57" s="1"/>
  <c r="B560" i="57"/>
  <c r="E560" i="57" s="1"/>
  <c r="B482" i="57"/>
  <c r="E482" i="57" s="1"/>
  <c r="B464" i="57"/>
  <c r="E464" i="57" s="1"/>
  <c r="B440" i="57"/>
  <c r="E440" i="57" s="1"/>
  <c r="B422" i="57"/>
  <c r="E422" i="57" s="1"/>
  <c r="B398" i="57"/>
  <c r="E398" i="57" s="1"/>
  <c r="B380" i="57"/>
  <c r="E380" i="57" s="1"/>
  <c r="B362" i="57"/>
  <c r="E362" i="57" s="1"/>
  <c r="B344" i="57"/>
  <c r="E344" i="57" s="1"/>
  <c r="B320" i="57"/>
  <c r="E320" i="57" s="1"/>
  <c r="B296" i="57"/>
  <c r="E296" i="57" s="1"/>
  <c r="B278" i="57"/>
  <c r="E278" i="57" s="1"/>
  <c r="B254" i="57"/>
  <c r="E254" i="57" s="1"/>
  <c r="B224" i="57"/>
  <c r="E224" i="57" s="1"/>
  <c r="B206" i="57"/>
  <c r="E206" i="57" s="1"/>
  <c r="B182" i="57"/>
  <c r="E182" i="57" s="1"/>
  <c r="B152" i="57"/>
  <c r="E152" i="57" s="1"/>
  <c r="B134" i="57"/>
  <c r="E134" i="57" s="1"/>
  <c r="B104" i="57"/>
  <c r="E104" i="57" s="1"/>
  <c r="B80" i="57"/>
  <c r="E80" i="57" s="1"/>
  <c r="B56" i="57"/>
  <c r="E56" i="57" s="1"/>
  <c r="B38" i="57"/>
  <c r="E38" i="57" s="1"/>
  <c r="B20" i="57"/>
  <c r="E20" i="57" s="1"/>
  <c r="B2483" i="57"/>
  <c r="E2483" i="57" s="1"/>
  <c r="B2495" i="57"/>
  <c r="E2495" i="57" s="1"/>
  <c r="B25" i="57"/>
  <c r="E25" i="57" s="1"/>
  <c r="B2494" i="57"/>
  <c r="E2494" i="57" s="1"/>
  <c r="B2506" i="57"/>
  <c r="E2506" i="57" s="1"/>
  <c r="B204" i="57"/>
  <c r="E204" i="57" s="1"/>
  <c r="B114" i="57"/>
  <c r="E114" i="57" s="1"/>
  <c r="B36" i="57"/>
  <c r="E36" i="57" s="1"/>
  <c r="B2505" i="57"/>
  <c r="E2505" i="57" s="1"/>
  <c r="B809" i="57"/>
  <c r="E809" i="57" s="1"/>
  <c r="B767" i="57"/>
  <c r="E767" i="57" s="1"/>
  <c r="B701" i="57"/>
  <c r="E701" i="57" s="1"/>
  <c r="B659" i="57"/>
  <c r="E659" i="57" s="1"/>
  <c r="B593" i="57"/>
  <c r="E593" i="57" s="1"/>
  <c r="B551" i="57"/>
  <c r="E551" i="57" s="1"/>
  <c r="B485" i="57"/>
  <c r="E485" i="57" s="1"/>
  <c r="B443" i="57"/>
  <c r="E443" i="57" s="1"/>
  <c r="B377" i="57"/>
  <c r="E377" i="57" s="1"/>
  <c r="B335" i="57"/>
  <c r="E335" i="57" s="1"/>
  <c r="B269" i="57"/>
  <c r="E269" i="57" s="1"/>
  <c r="B227" i="57"/>
  <c r="E227" i="57" s="1"/>
  <c r="B161" i="57"/>
  <c r="E161" i="57" s="1"/>
  <c r="B119" i="57"/>
  <c r="E119" i="57" s="1"/>
  <c r="B53" i="57"/>
  <c r="E53" i="57" s="1"/>
  <c r="B1455" i="57"/>
  <c r="E1455" i="57" s="1"/>
  <c r="B532" i="57"/>
  <c r="E532" i="57" s="1"/>
  <c r="B466" i="57"/>
  <c r="E466" i="57" s="1"/>
  <c r="B394" i="57"/>
  <c r="E394" i="57" s="1"/>
  <c r="B340" i="57"/>
  <c r="E340" i="57" s="1"/>
  <c r="B268" i="57"/>
  <c r="E268" i="57" s="1"/>
  <c r="B214" i="57"/>
  <c r="E214" i="57" s="1"/>
  <c r="B136" i="57"/>
  <c r="E136" i="57" s="1"/>
  <c r="B1448" i="57"/>
  <c r="E1448" i="57" s="1"/>
  <c r="B585" i="57"/>
  <c r="E585" i="57" s="1"/>
  <c r="B543" i="57"/>
  <c r="E543" i="57" s="1"/>
  <c r="B477" i="57"/>
  <c r="E477" i="57" s="1"/>
  <c r="B435" i="57"/>
  <c r="E435" i="57" s="1"/>
  <c r="B369" i="57"/>
  <c r="E369" i="57" s="1"/>
  <c r="B321" i="57"/>
  <c r="E321" i="57" s="1"/>
  <c r="B255" i="57"/>
  <c r="E255" i="57" s="1"/>
  <c r="B207" i="57"/>
  <c r="E207" i="57" s="1"/>
  <c r="B141" i="57"/>
  <c r="E141" i="57" s="1"/>
  <c r="B99" i="57"/>
  <c r="E99" i="57" s="1"/>
  <c r="B1447" i="57"/>
  <c r="E1447" i="57" s="1"/>
  <c r="B578" i="57"/>
  <c r="E578" i="57" s="1"/>
  <c r="B500" i="57"/>
  <c r="E500" i="57" s="1"/>
  <c r="B495" i="57"/>
  <c r="E495" i="57" s="1"/>
  <c r="B387" i="57"/>
  <c r="E387" i="57" s="1"/>
  <c r="B273" i="57"/>
  <c r="E273" i="57" s="1"/>
  <c r="B225" i="57"/>
  <c r="E225" i="57" s="1"/>
  <c r="B117" i="57"/>
  <c r="E117" i="57" s="1"/>
  <c r="B596" i="57"/>
  <c r="E596" i="57" s="1"/>
  <c r="B518" i="57"/>
  <c r="E518" i="57" s="1"/>
  <c r="B476" i="57"/>
  <c r="E476" i="57" s="1"/>
  <c r="B458" i="57"/>
  <c r="E458" i="57" s="1"/>
  <c r="B410" i="57"/>
  <c r="E410" i="57" s="1"/>
  <c r="B392" i="57"/>
  <c r="E392" i="57" s="1"/>
  <c r="B332" i="57"/>
  <c r="E332" i="57" s="1"/>
  <c r="B290" i="57"/>
  <c r="E290" i="57" s="1"/>
  <c r="B272" i="57"/>
  <c r="E272" i="57" s="1"/>
  <c r="B218" i="57"/>
  <c r="E218" i="57" s="1"/>
  <c r="B146" i="57"/>
  <c r="E146" i="57" s="1"/>
  <c r="B74" i="57"/>
  <c r="E74" i="57" s="1"/>
  <c r="B1446" i="57"/>
  <c r="E1446" i="57" s="1"/>
  <c r="B19" i="57"/>
  <c r="E19" i="57" s="1"/>
  <c r="B326" i="57"/>
  <c r="E326" i="57" s="1"/>
  <c r="B212" i="57"/>
  <c r="E212" i="57" s="1"/>
  <c r="B86" i="57"/>
  <c r="E86" i="57" s="1"/>
  <c r="B37" i="57"/>
  <c r="E37" i="57" s="1"/>
  <c r="FO20" i="54"/>
  <c r="FN19" i="54"/>
  <c r="FP19" i="54" s="1"/>
  <c r="FK20" i="54" s="1"/>
  <c r="FQ19" i="54"/>
  <c r="FS19" i="54"/>
  <c r="FT19" i="54"/>
  <c r="FX19" i="54"/>
  <c r="FZ19" i="54"/>
  <c r="GA19" i="54"/>
  <c r="GJ20" i="54"/>
  <c r="GI19" i="54"/>
  <c r="GK19" i="54" s="1"/>
  <c r="GF20" i="54" s="1"/>
  <c r="DC65" i="54"/>
  <c r="DA65" i="54"/>
  <c r="DB66" i="54" s="1"/>
  <c r="D1273" i="57"/>
  <c r="D1121" i="57"/>
  <c r="D1303" i="57"/>
  <c r="D1411" i="57"/>
  <c r="D1211" i="57"/>
  <c r="D1315" i="57"/>
  <c r="D783" i="57"/>
  <c r="D1027" i="57"/>
  <c r="D1086" i="57"/>
  <c r="D986" i="57"/>
  <c r="D998" i="57"/>
  <c r="D691" i="57"/>
  <c r="D565" i="57"/>
  <c r="D1173" i="57"/>
  <c r="D787" i="57"/>
  <c r="D992" i="57"/>
  <c r="D955" i="57"/>
  <c r="D916" i="57"/>
  <c r="D772" i="57"/>
  <c r="D910" i="57"/>
  <c r="D760" i="57"/>
  <c r="D710" i="57"/>
  <c r="D264" i="57"/>
  <c r="D646" i="57"/>
  <c r="D198" i="57"/>
  <c r="D61" i="57"/>
  <c r="D457" i="57"/>
  <c r="D217" i="57"/>
  <c r="D493" i="57"/>
  <c r="D121" i="57"/>
  <c r="V42" i="56"/>
  <c r="O42" i="56" s="1"/>
  <c r="N42" i="56" s="1"/>
  <c r="V46" i="56"/>
  <c r="O46" i="56" s="1"/>
  <c r="N46" i="56" s="1"/>
  <c r="X42" i="56"/>
  <c r="Z42" i="56" s="1"/>
  <c r="AC42" i="56" s="1"/>
  <c r="V41" i="56"/>
  <c r="I41" i="56" s="1"/>
  <c r="V45" i="56"/>
  <c r="I45" i="56" s="1"/>
  <c r="X43" i="56"/>
  <c r="K43" i="56" s="1"/>
  <c r="X41" i="56"/>
  <c r="K41" i="56" s="1"/>
  <c r="X46" i="56"/>
  <c r="Z46" i="56" s="1"/>
  <c r="AC46" i="56" s="1"/>
  <c r="X45" i="56"/>
  <c r="K45" i="56" s="1"/>
  <c r="V44" i="56"/>
  <c r="O44" i="56" s="1"/>
  <c r="V43" i="56"/>
  <c r="I43" i="56" s="1"/>
  <c r="X44" i="56"/>
  <c r="Z44" i="56" s="1"/>
  <c r="AC44" i="56" s="1"/>
  <c r="O38" i="56"/>
  <c r="X38" i="56"/>
  <c r="K38" i="56" s="1"/>
  <c r="Y39" i="56"/>
  <c r="AB39" i="56" s="1"/>
  <c r="O39" i="56"/>
  <c r="X37" i="56"/>
  <c r="V40" i="56"/>
  <c r="I40" i="56" s="1"/>
  <c r="X39" i="56"/>
  <c r="K39" i="56" s="1"/>
  <c r="V37" i="56"/>
  <c r="EP3" i="54" s="1"/>
  <c r="X40" i="56"/>
  <c r="K40" i="56" s="1"/>
  <c r="Y38" i="56"/>
  <c r="AB38" i="56" s="1"/>
  <c r="D90" i="57" l="1"/>
  <c r="D1168" i="57"/>
  <c r="D236" i="57"/>
  <c r="D253" i="57"/>
  <c r="D62" i="57"/>
  <c r="D349" i="57"/>
  <c r="D576" i="57"/>
  <c r="D1022" i="57"/>
  <c r="EP5" i="54"/>
  <c r="D20" i="57"/>
  <c r="G1446" i="57" a="1"/>
  <c r="G1446" i="57" s="1"/>
  <c r="F1446" i="57" a="1"/>
  <c r="F1446" i="57" s="1"/>
  <c r="G332" i="57" a="1"/>
  <c r="G332" i="57" s="1"/>
  <c r="F332" i="57" a="1"/>
  <c r="F332" i="57" s="1"/>
  <c r="G596" i="57" a="1"/>
  <c r="G596" i="57" s="1"/>
  <c r="F596" i="57" a="1"/>
  <c r="F596" i="57" s="1"/>
  <c r="G500" i="57" a="1"/>
  <c r="G500" i="57" s="1"/>
  <c r="F500" i="57" a="1"/>
  <c r="F500" i="57" s="1"/>
  <c r="G255" i="57" a="1"/>
  <c r="G255" i="57" s="1"/>
  <c r="F255" i="57" a="1"/>
  <c r="F255" i="57" s="1"/>
  <c r="G585" i="57" a="1"/>
  <c r="G585" i="57" s="1"/>
  <c r="F585" i="57" a="1"/>
  <c r="F585" i="57" s="1"/>
  <c r="G394" i="57" a="1"/>
  <c r="G394" i="57" s="1"/>
  <c r="F394" i="57" a="1"/>
  <c r="F394" i="57" s="1"/>
  <c r="G161" i="57" a="1"/>
  <c r="G161" i="57" s="1"/>
  <c r="F161" i="57" a="1"/>
  <c r="F161" i="57" s="1"/>
  <c r="G485" i="57" a="1"/>
  <c r="G485" i="57" s="1"/>
  <c r="F485" i="57" a="1"/>
  <c r="F485" i="57" s="1"/>
  <c r="G809" i="57" a="1"/>
  <c r="G809" i="57" s="1"/>
  <c r="F809" i="57" a="1"/>
  <c r="F809" i="57" s="1"/>
  <c r="G2494" i="57" a="1"/>
  <c r="G2494" i="57" s="1"/>
  <c r="F2494" i="57" a="1"/>
  <c r="F2494" i="57" s="1"/>
  <c r="G56" i="57" a="1"/>
  <c r="G56" i="57" s="1"/>
  <c r="F56" i="57" a="1"/>
  <c r="F56" i="57" s="1"/>
  <c r="G206" i="57" a="1"/>
  <c r="G206" i="57" s="1"/>
  <c r="F206" i="57" a="1"/>
  <c r="F206" i="57" s="1"/>
  <c r="G344" i="57" a="1"/>
  <c r="G344" i="57" s="1"/>
  <c r="F344" i="57" a="1"/>
  <c r="F344" i="57" s="1"/>
  <c r="G464" i="57" a="1"/>
  <c r="G464" i="57" s="1"/>
  <c r="F464" i="57" a="1"/>
  <c r="F464" i="57" s="1"/>
  <c r="G189" i="57" a="1"/>
  <c r="G189" i="57" s="1"/>
  <c r="F189" i="57" a="1"/>
  <c r="F189" i="57" s="1"/>
  <c r="G525" i="57" a="1"/>
  <c r="G525" i="57" s="1"/>
  <c r="F525" i="57" a="1"/>
  <c r="F525" i="57" s="1"/>
  <c r="G316" i="57" a="1"/>
  <c r="G316" i="57" s="1"/>
  <c r="F316" i="57" a="1"/>
  <c r="F316" i="57" s="1"/>
  <c r="G101" i="57" a="1"/>
  <c r="G101" i="57" s="1"/>
  <c r="F101" i="57" a="1"/>
  <c r="F101" i="57" s="1"/>
  <c r="G425" i="57" a="1"/>
  <c r="G425" i="57" s="1"/>
  <c r="F425" i="57" a="1"/>
  <c r="F425" i="57" s="1"/>
  <c r="G749" i="57" a="1"/>
  <c r="G749" i="57" s="1"/>
  <c r="F749" i="57" a="1"/>
  <c r="F749" i="57" s="1"/>
  <c r="G140" i="57" a="1"/>
  <c r="G140" i="57" s="1"/>
  <c r="F140" i="57" a="1"/>
  <c r="F140" i="57" s="1"/>
  <c r="G105" i="57" a="1"/>
  <c r="G105" i="57" s="1"/>
  <c r="F105" i="57" a="1"/>
  <c r="F105" i="57" s="1"/>
  <c r="G441" i="57" a="1"/>
  <c r="G441" i="57" s="1"/>
  <c r="F441" i="57" a="1"/>
  <c r="F441" i="57" s="1"/>
  <c r="G226" i="57" a="1"/>
  <c r="G226" i="57" s="1"/>
  <c r="F226" i="57" a="1"/>
  <c r="F226" i="57" s="1"/>
  <c r="F17" i="57" a="1"/>
  <c r="F17" i="57" s="1"/>
  <c r="G341" i="57" a="1"/>
  <c r="G341" i="57" s="1"/>
  <c r="F341" i="57" a="1"/>
  <c r="F341" i="57" s="1"/>
  <c r="G665" i="57" a="1"/>
  <c r="G665" i="57" s="1"/>
  <c r="F665" i="57" a="1"/>
  <c r="F665" i="57" s="1"/>
  <c r="G120" i="57" a="1"/>
  <c r="G120" i="57" s="1"/>
  <c r="F120" i="57" a="1"/>
  <c r="F120" i="57" s="1"/>
  <c r="G368" i="57" a="1"/>
  <c r="G368" i="57" s="1"/>
  <c r="F368" i="57" a="1"/>
  <c r="F368" i="57" s="1"/>
  <c r="G512" i="57" a="1"/>
  <c r="G512" i="57" s="1"/>
  <c r="F512" i="57" a="1"/>
  <c r="F512" i="57" s="1"/>
  <c r="G267" i="57" a="1"/>
  <c r="G267" i="57" s="1"/>
  <c r="F267" i="57" a="1"/>
  <c r="F267" i="57" s="1"/>
  <c r="G597" i="57" a="1"/>
  <c r="G597" i="57" s="1"/>
  <c r="F597" i="57" a="1"/>
  <c r="F597" i="57" s="1"/>
  <c r="G406" i="57" a="1"/>
  <c r="G406" i="57" s="1"/>
  <c r="F406" i="57" a="1"/>
  <c r="F406" i="57" s="1"/>
  <c r="G173" i="57" a="1"/>
  <c r="G173" i="57" s="1"/>
  <c r="F173" i="57" a="1"/>
  <c r="F173" i="57" s="1"/>
  <c r="G497" i="57" a="1"/>
  <c r="G497" i="57" s="1"/>
  <c r="F497" i="57" a="1"/>
  <c r="F497" i="57" s="1"/>
  <c r="G821" i="57" a="1"/>
  <c r="G821" i="57" s="1"/>
  <c r="F821" i="57" a="1"/>
  <c r="F821" i="57" s="1"/>
  <c r="F26" i="57" a="1"/>
  <c r="F26" i="57" s="1"/>
  <c r="G51" i="57" a="1"/>
  <c r="G51" i="57" s="1"/>
  <c r="F51" i="57" a="1"/>
  <c r="F51" i="57" s="1"/>
  <c r="G405" i="57" a="1"/>
  <c r="G405" i="57" s="1"/>
  <c r="F405" i="57" a="1"/>
  <c r="F405" i="57" s="1"/>
  <c r="G178" i="57" a="1"/>
  <c r="G178" i="57" s="1"/>
  <c r="F178" i="57" a="1"/>
  <c r="F178" i="57" s="1"/>
  <c r="G2504" i="57" a="1"/>
  <c r="G2504" i="57" s="1"/>
  <c r="F2504" i="57" a="1"/>
  <c r="F2504" i="57" s="1"/>
  <c r="G305" i="57" a="1"/>
  <c r="G305" i="57" s="1"/>
  <c r="F305" i="57" a="1"/>
  <c r="F305" i="57" s="1"/>
  <c r="G629" i="57" a="1"/>
  <c r="G629" i="57" s="1"/>
  <c r="F629" i="57" a="1"/>
  <c r="F629" i="57" s="1"/>
  <c r="G78" i="57" a="1"/>
  <c r="G78" i="57" s="1"/>
  <c r="F78" i="57" a="1"/>
  <c r="F78" i="57" s="1"/>
  <c r="G116" i="57" a="1"/>
  <c r="G116" i="57" s="1"/>
  <c r="F116" i="57" a="1"/>
  <c r="F116" i="57" s="1"/>
  <c r="G27" i="57" a="1"/>
  <c r="G27" i="57" s="1"/>
  <c r="F27" i="57" a="1"/>
  <c r="F27" i="57" s="1"/>
  <c r="G154" i="57" a="1"/>
  <c r="G154" i="57" s="1"/>
  <c r="F154" i="57" a="1"/>
  <c r="F154" i="57" s="1"/>
  <c r="G550" i="57" a="1"/>
  <c r="G550" i="57" s="1"/>
  <c r="F550" i="57" a="1"/>
  <c r="F550" i="57" s="1"/>
  <c r="G287" i="57" a="1"/>
  <c r="G287" i="57" s="1"/>
  <c r="F287" i="57" a="1"/>
  <c r="F287" i="57" s="1"/>
  <c r="G611" i="57" a="1"/>
  <c r="G611" i="57" s="1"/>
  <c r="F611" i="57" a="1"/>
  <c r="F611" i="57" s="1"/>
  <c r="G54" i="57" a="1"/>
  <c r="G54" i="57" s="1"/>
  <c r="F54" i="57" a="1"/>
  <c r="F54" i="57" s="1"/>
  <c r="G302" i="57" a="1"/>
  <c r="G302" i="57" s="1"/>
  <c r="F302" i="57" a="1"/>
  <c r="F302" i="57" s="1"/>
  <c r="G356" i="57" a="1"/>
  <c r="G356" i="57" s="1"/>
  <c r="F356" i="57" a="1"/>
  <c r="F356" i="57" s="1"/>
  <c r="G87" i="57" a="1"/>
  <c r="G87" i="57" s="1"/>
  <c r="F87" i="57" a="1"/>
  <c r="F87" i="57" s="1"/>
  <c r="G333" i="57" a="1"/>
  <c r="G333" i="57" s="1"/>
  <c r="F333" i="57" a="1"/>
  <c r="F333" i="57" s="1"/>
  <c r="G573" i="57" a="1"/>
  <c r="G573" i="57" s="1"/>
  <c r="F573" i="57" a="1"/>
  <c r="F573" i="57" s="1"/>
  <c r="G274" i="57" a="1"/>
  <c r="G274" i="57" s="1"/>
  <c r="F274" i="57" a="1"/>
  <c r="F274" i="57" s="1"/>
  <c r="G484" i="57" a="1"/>
  <c r="G484" i="57" s="1"/>
  <c r="F484" i="57" a="1"/>
  <c r="F484" i="57" s="1"/>
  <c r="G41" i="57" a="1"/>
  <c r="G41" i="57" s="1"/>
  <c r="F41" i="57" a="1"/>
  <c r="F41" i="57" s="1"/>
  <c r="G167" i="57" a="1"/>
  <c r="G167" i="57" s="1"/>
  <c r="F167" i="57" a="1"/>
  <c r="F167" i="57" s="1"/>
  <c r="G275" i="57" a="1"/>
  <c r="G275" i="57" s="1"/>
  <c r="F275" i="57" a="1"/>
  <c r="F275" i="57" s="1"/>
  <c r="G383" i="57" a="1"/>
  <c r="G383" i="57" s="1"/>
  <c r="F383" i="57" a="1"/>
  <c r="F383" i="57" s="1"/>
  <c r="G491" i="57" a="1"/>
  <c r="G491" i="57" s="1"/>
  <c r="F491" i="57" a="1"/>
  <c r="F491" i="57" s="1"/>
  <c r="G599" i="57" a="1"/>
  <c r="G599" i="57" s="1"/>
  <c r="F599" i="57" a="1"/>
  <c r="F599" i="57" s="1"/>
  <c r="G707" i="57" a="1"/>
  <c r="G707" i="57" s="1"/>
  <c r="F707" i="57" a="1"/>
  <c r="F707" i="57" s="1"/>
  <c r="G815" i="57" a="1"/>
  <c r="G815" i="57" s="1"/>
  <c r="F815" i="57" a="1"/>
  <c r="F815" i="57" s="1"/>
  <c r="G42" i="57" a="1"/>
  <c r="G42" i="57" s="1"/>
  <c r="F42" i="57" a="1"/>
  <c r="F42" i="57" s="1"/>
  <c r="G162" i="57" a="1"/>
  <c r="G162" i="57" s="1"/>
  <c r="F162" i="57" a="1"/>
  <c r="F162" i="57" s="1"/>
  <c r="G306" i="57" a="1"/>
  <c r="G306" i="57" s="1"/>
  <c r="F306" i="57" a="1"/>
  <c r="F306" i="57" s="1"/>
  <c r="G450" i="57" a="1"/>
  <c r="G450" i="57" s="1"/>
  <c r="F450" i="57" a="1"/>
  <c r="F450" i="57" s="1"/>
  <c r="G582" i="57" a="1"/>
  <c r="G582" i="57" s="1"/>
  <c r="F582" i="57" a="1"/>
  <c r="F582" i="57" s="1"/>
  <c r="G917" i="57" a="1"/>
  <c r="G917" i="57" s="1"/>
  <c r="F917" i="57" a="1"/>
  <c r="F917" i="57" s="1"/>
  <c r="G1025" i="57" a="1"/>
  <c r="G1025" i="57" s="1"/>
  <c r="F1025" i="57" a="1"/>
  <c r="F1025" i="57" s="1"/>
  <c r="G1133" i="57" a="1"/>
  <c r="G1133" i="57" s="1"/>
  <c r="F1133" i="57" a="1"/>
  <c r="F1133" i="57" s="1"/>
  <c r="G1241" i="57" a="1"/>
  <c r="G1241" i="57" s="1"/>
  <c r="F1241" i="57" a="1"/>
  <c r="F1241" i="57" s="1"/>
  <c r="G1361" i="57" a="1"/>
  <c r="G1361" i="57" s="1"/>
  <c r="F1361" i="57" a="1"/>
  <c r="F1361" i="57" s="1"/>
  <c r="G744" i="57" a="1"/>
  <c r="G744" i="57" s="1"/>
  <c r="F744" i="57" a="1"/>
  <c r="F744" i="57" s="1"/>
  <c r="G894" i="57" a="1"/>
  <c r="G894" i="57" s="1"/>
  <c r="F894" i="57" a="1"/>
  <c r="F894" i="57" s="1"/>
  <c r="G1026" i="57" a="1"/>
  <c r="G1026" i="57" s="1"/>
  <c r="F1026" i="57" a="1"/>
  <c r="F1026" i="57" s="1"/>
  <c r="G1152" i="57" a="1"/>
  <c r="G1152" i="57" s="1"/>
  <c r="F1152" i="57" a="1"/>
  <c r="F1152" i="57" s="1"/>
  <c r="G1278" i="57" a="1"/>
  <c r="G1278" i="57" s="1"/>
  <c r="F1278" i="57" a="1"/>
  <c r="F1278" i="57" s="1"/>
  <c r="G602" i="57" a="1"/>
  <c r="G602" i="57" s="1"/>
  <c r="F602" i="57" a="1"/>
  <c r="F602" i="57" s="1"/>
  <c r="G722" i="57" a="1"/>
  <c r="G722" i="57" s="1"/>
  <c r="F722" i="57" a="1"/>
  <c r="F722" i="57" s="1"/>
  <c r="G842" i="57" a="1"/>
  <c r="G842" i="57" s="1"/>
  <c r="F842" i="57" a="1"/>
  <c r="F842" i="57" s="1"/>
  <c r="G1004" i="57" a="1"/>
  <c r="G1004" i="57" s="1"/>
  <c r="F1004" i="57" a="1"/>
  <c r="F1004" i="57" s="1"/>
  <c r="G1166" i="57" a="1"/>
  <c r="G1166" i="57" s="1"/>
  <c r="F1166" i="57" a="1"/>
  <c r="F1166" i="57" s="1"/>
  <c r="G1328" i="57" a="1"/>
  <c r="G1328" i="57" s="1"/>
  <c r="F1328" i="57" a="1"/>
  <c r="F1328" i="57" s="1"/>
  <c r="G675" i="57" a="1"/>
  <c r="G675" i="57" s="1"/>
  <c r="F675" i="57" a="1"/>
  <c r="F675" i="57" s="1"/>
  <c r="G795" i="57" a="1"/>
  <c r="G795" i="57" s="1"/>
  <c r="F795" i="57" a="1"/>
  <c r="F795" i="57" s="1"/>
  <c r="G1089" i="57" a="1"/>
  <c r="G1089" i="57" s="1"/>
  <c r="F1089" i="57" a="1"/>
  <c r="F1089" i="57" s="1"/>
  <c r="G1431" i="57" a="1"/>
  <c r="G1431" i="57" s="1"/>
  <c r="F1431" i="57" a="1"/>
  <c r="F1431" i="57" s="1"/>
  <c r="G922" i="57" a="1"/>
  <c r="G922" i="57" s="1"/>
  <c r="F922" i="57" a="1"/>
  <c r="F922" i="57" s="1"/>
  <c r="G1282" i="57" a="1"/>
  <c r="G1282" i="57" s="1"/>
  <c r="F1282" i="57" a="1"/>
  <c r="F1282" i="57" s="1"/>
  <c r="G1563" i="57" a="1"/>
  <c r="G1563" i="57" s="1"/>
  <c r="F1563" i="57" a="1"/>
  <c r="F1563" i="57" s="1"/>
  <c r="G1875" i="57" a="1"/>
  <c r="G1875" i="57" s="1"/>
  <c r="F1875" i="57" a="1"/>
  <c r="F1875" i="57" s="1"/>
  <c r="G1678" i="57" a="1"/>
  <c r="G1678" i="57" s="1"/>
  <c r="F1678" i="57" a="1"/>
  <c r="F1678" i="57" s="1"/>
  <c r="G1505" i="57" a="1"/>
  <c r="G1505" i="57" s="1"/>
  <c r="F1505" i="57" a="1"/>
  <c r="F1505" i="57" s="1"/>
  <c r="G1520" i="57" a="1"/>
  <c r="G1520" i="57" s="1"/>
  <c r="F1520" i="57" a="1"/>
  <c r="F1520" i="57" s="1"/>
  <c r="G488" i="57" a="1"/>
  <c r="G488" i="57" s="1"/>
  <c r="F488" i="57" a="1"/>
  <c r="F488" i="57" s="1"/>
  <c r="G111" i="57" a="1"/>
  <c r="G111" i="57" s="1"/>
  <c r="F111" i="57" a="1"/>
  <c r="F111" i="57" s="1"/>
  <c r="G315" i="57" a="1"/>
  <c r="G315" i="57" s="1"/>
  <c r="F315" i="57" a="1"/>
  <c r="F315" i="57" s="1"/>
  <c r="G537" i="57" a="1"/>
  <c r="G537" i="57" s="1"/>
  <c r="F537" i="57" a="1"/>
  <c r="F537" i="57" s="1"/>
  <c r="G166" i="57" a="1"/>
  <c r="G166" i="57" s="1"/>
  <c r="F166" i="57" a="1"/>
  <c r="F166" i="57" s="1"/>
  <c r="G424" i="57" a="1"/>
  <c r="G424" i="57" s="1"/>
  <c r="F424" i="57" a="1"/>
  <c r="F424" i="57" s="1"/>
  <c r="G1029" i="57" a="1"/>
  <c r="G1029" i="57" s="1"/>
  <c r="F1029" i="57" a="1"/>
  <c r="F1029" i="57" s="1"/>
  <c r="G1371" i="57" a="1"/>
  <c r="G1371" i="57" s="1"/>
  <c r="F1371" i="57" a="1"/>
  <c r="F1371" i="57" s="1"/>
  <c r="G850" i="57" a="1"/>
  <c r="G850" i="57" s="1"/>
  <c r="F850" i="57" a="1"/>
  <c r="F850" i="57" s="1"/>
  <c r="G1216" i="57" a="1"/>
  <c r="G1216" i="57" s="1"/>
  <c r="F1216" i="57" a="1"/>
  <c r="F1216" i="57" s="1"/>
  <c r="G1473" i="57" a="1"/>
  <c r="G1473" i="57" s="1"/>
  <c r="F1473" i="57" a="1"/>
  <c r="F1473" i="57" s="1"/>
  <c r="G1779" i="57" a="1"/>
  <c r="G1779" i="57" s="1"/>
  <c r="F1779" i="57" a="1"/>
  <c r="F1779" i="57" s="1"/>
  <c r="G1588" i="57" a="1"/>
  <c r="G1588" i="57" s="1"/>
  <c r="F1588" i="57" a="1"/>
  <c r="F1588" i="57" s="1"/>
  <c r="G1894" i="57" a="1"/>
  <c r="G1894" i="57" s="1"/>
  <c r="F1894" i="57" a="1"/>
  <c r="F1894" i="57" s="1"/>
  <c r="G1877" i="57" a="1"/>
  <c r="G1877" i="57" s="1"/>
  <c r="F1877" i="57" a="1"/>
  <c r="F1877" i="57" s="1"/>
  <c r="G1898" i="57" a="1"/>
  <c r="G1898" i="57" s="1"/>
  <c r="F1898" i="57" a="1"/>
  <c r="F1898" i="57" s="1"/>
  <c r="G528" i="57" a="1"/>
  <c r="G528" i="57" s="1"/>
  <c r="F528" i="57" a="1"/>
  <c r="F528" i="57" s="1"/>
  <c r="G1013" i="57" a="1"/>
  <c r="G1013" i="57" s="1"/>
  <c r="F1013" i="57" a="1"/>
  <c r="F1013" i="57" s="1"/>
  <c r="G1139" i="57" a="1"/>
  <c r="G1139" i="57" s="1"/>
  <c r="F1139" i="57" a="1"/>
  <c r="F1139" i="57" s="1"/>
  <c r="G1247" i="57" a="1"/>
  <c r="G1247" i="57" s="1"/>
  <c r="F1247" i="57" a="1"/>
  <c r="F1247" i="57" s="1"/>
  <c r="G1373" i="57" a="1"/>
  <c r="G1373" i="57" s="1"/>
  <c r="F1373" i="57" a="1"/>
  <c r="F1373" i="57" s="1"/>
  <c r="G750" i="57" a="1"/>
  <c r="G750" i="57" s="1"/>
  <c r="F750" i="57" a="1"/>
  <c r="F750" i="57" s="1"/>
  <c r="G906" i="57" a="1"/>
  <c r="G906" i="57" s="1"/>
  <c r="F906" i="57" a="1"/>
  <c r="F906" i="57" s="1"/>
  <c r="G1050" i="57" a="1"/>
  <c r="G1050" i="57" s="1"/>
  <c r="F1050" i="57" a="1"/>
  <c r="F1050" i="57" s="1"/>
  <c r="G1176" i="57" a="1"/>
  <c r="G1176" i="57" s="1"/>
  <c r="F1176" i="57" a="1"/>
  <c r="F1176" i="57" s="1"/>
  <c r="G1308" i="57" a="1"/>
  <c r="G1308" i="57" s="1"/>
  <c r="F1308" i="57" a="1"/>
  <c r="F1308" i="57" s="1"/>
  <c r="G626" i="57" a="1"/>
  <c r="G626" i="57" s="1"/>
  <c r="F626" i="57" a="1"/>
  <c r="F626" i="57" s="1"/>
  <c r="G752" i="57" a="1"/>
  <c r="G752" i="57" s="1"/>
  <c r="F752" i="57" a="1"/>
  <c r="F752" i="57" s="1"/>
  <c r="G878" i="57" a="1"/>
  <c r="G878" i="57" s="1"/>
  <c r="F878" i="57" a="1"/>
  <c r="F878" i="57" s="1"/>
  <c r="G1040" i="57" a="1"/>
  <c r="G1040" i="57" s="1"/>
  <c r="F1040" i="57" a="1"/>
  <c r="F1040" i="57" s="1"/>
  <c r="G1202" i="57" a="1"/>
  <c r="G1202" i="57" s="1"/>
  <c r="F1202" i="57" a="1"/>
  <c r="F1202" i="57" s="1"/>
  <c r="G1364" i="57" a="1"/>
  <c r="G1364" i="57" s="1"/>
  <c r="F1364" i="57" a="1"/>
  <c r="F1364" i="57" s="1"/>
  <c r="G699" i="57" a="1"/>
  <c r="G699" i="57" s="1"/>
  <c r="F699" i="57" a="1"/>
  <c r="F699" i="57" s="1"/>
  <c r="G825" i="57" a="1"/>
  <c r="G825" i="57" s="1"/>
  <c r="F825" i="57" a="1"/>
  <c r="F825" i="57" s="1"/>
  <c r="G1161" i="57" a="1"/>
  <c r="G1161" i="57" s="1"/>
  <c r="F1161" i="57" a="1"/>
  <c r="F1161" i="57" s="1"/>
  <c r="G634" i="57" a="1"/>
  <c r="G634" i="57" s="1"/>
  <c r="F634" i="57" a="1"/>
  <c r="F634" i="57" s="1"/>
  <c r="G1000" i="57" a="1"/>
  <c r="G1000" i="57" s="1"/>
  <c r="F1000" i="57" a="1"/>
  <c r="F1000" i="57" s="1"/>
  <c r="G1366" i="57" a="1"/>
  <c r="G1366" i="57" s="1"/>
  <c r="F1366" i="57" a="1"/>
  <c r="F1366" i="57" s="1"/>
  <c r="G1629" i="57" a="1"/>
  <c r="G1629" i="57" s="1"/>
  <c r="F1629" i="57" a="1"/>
  <c r="F1629" i="57" s="1"/>
  <c r="G1947" i="57" a="1"/>
  <c r="G1947" i="57" s="1"/>
  <c r="F1947" i="57" a="1"/>
  <c r="F1947" i="57" s="1"/>
  <c r="G1750" i="57" a="1"/>
  <c r="G1750" i="57" s="1"/>
  <c r="F1750" i="57" a="1"/>
  <c r="F1750" i="57" s="1"/>
  <c r="G1625" i="57" a="1"/>
  <c r="G1625" i="57" s="1"/>
  <c r="F1625" i="57" a="1"/>
  <c r="F1625" i="57" s="1"/>
  <c r="G1646" i="57" a="1"/>
  <c r="G1646" i="57" s="1"/>
  <c r="F1646" i="57" a="1"/>
  <c r="F1646" i="57" s="1"/>
  <c r="G312" i="57" a="1"/>
  <c r="G312" i="57" s="1"/>
  <c r="F312" i="57" a="1"/>
  <c r="F312" i="57" s="1"/>
  <c r="G546" i="57" a="1"/>
  <c r="G546" i="57" s="1"/>
  <c r="F546" i="57" a="1"/>
  <c r="F546" i="57" s="1"/>
  <c r="G959" i="57" a="1"/>
  <c r="G959" i="57" s="1"/>
  <c r="F959" i="57" a="1"/>
  <c r="F959" i="57" s="1"/>
  <c r="G993" i="57" a="1"/>
  <c r="G993" i="57" s="1"/>
  <c r="F993" i="57" a="1"/>
  <c r="F993" i="57" s="1"/>
  <c r="G1329" i="57" a="1"/>
  <c r="G1329" i="57" s="1"/>
  <c r="F1329" i="57" a="1"/>
  <c r="F1329" i="57" s="1"/>
  <c r="G814" i="57" a="1"/>
  <c r="G814" i="57" s="1"/>
  <c r="F814" i="57" a="1"/>
  <c r="F814" i="57" s="1"/>
  <c r="G1180" i="57" a="1"/>
  <c r="G1180" i="57" s="1"/>
  <c r="F1180" i="57" a="1"/>
  <c r="F1180" i="57" s="1"/>
  <c r="G1434" i="57" a="1"/>
  <c r="G1434" i="57" s="1"/>
  <c r="F1434" i="57" a="1"/>
  <c r="F1434" i="57" s="1"/>
  <c r="G1743" i="57" a="1"/>
  <c r="G1743" i="57" s="1"/>
  <c r="F1743" i="57" a="1"/>
  <c r="F1743" i="57" s="1"/>
  <c r="G1552" i="57" a="1"/>
  <c r="G1552" i="57" s="1"/>
  <c r="F1552" i="57" a="1"/>
  <c r="F1552" i="57" s="1"/>
  <c r="G1858" i="57" a="1"/>
  <c r="G1858" i="57" s="1"/>
  <c r="F1858" i="57" a="1"/>
  <c r="F1858" i="57" s="1"/>
  <c r="G1805" i="57" a="1"/>
  <c r="G1805" i="57" s="1"/>
  <c r="F1805" i="57" a="1"/>
  <c r="F1805" i="57" s="1"/>
  <c r="G1826" i="57" a="1"/>
  <c r="G1826" i="57" s="1"/>
  <c r="F1826" i="57" a="1"/>
  <c r="F1826" i="57" s="1"/>
  <c r="G408" i="57" a="1"/>
  <c r="G408" i="57" s="1"/>
  <c r="F408" i="57" a="1"/>
  <c r="F408" i="57" s="1"/>
  <c r="G911" i="57" a="1"/>
  <c r="G911" i="57" s="1"/>
  <c r="F911" i="57" a="1"/>
  <c r="F911" i="57" s="1"/>
  <c r="G1037" i="57" a="1"/>
  <c r="G1037" i="57" s="1"/>
  <c r="F1037" i="57" a="1"/>
  <c r="F1037" i="57" s="1"/>
  <c r="G1145" i="57" a="1"/>
  <c r="G1145" i="57" s="1"/>
  <c r="F1145" i="57" a="1"/>
  <c r="F1145" i="57" s="1"/>
  <c r="G1253" i="57" a="1"/>
  <c r="G1253" i="57" s="1"/>
  <c r="F1253" i="57" a="1"/>
  <c r="F1253" i="57" s="1"/>
  <c r="G1385" i="57" a="1"/>
  <c r="G1385" i="57" s="1"/>
  <c r="F1385" i="57" a="1"/>
  <c r="F1385" i="57" s="1"/>
  <c r="G762" i="57" a="1"/>
  <c r="G762" i="57" s="1"/>
  <c r="F762" i="57" a="1"/>
  <c r="F762" i="57" s="1"/>
  <c r="G930" i="57" a="1"/>
  <c r="G930" i="57" s="1"/>
  <c r="F930" i="57" a="1"/>
  <c r="F930" i="57" s="1"/>
  <c r="G1056" i="57" a="1"/>
  <c r="G1056" i="57" s="1"/>
  <c r="F1056" i="57" a="1"/>
  <c r="F1056" i="57" s="1"/>
  <c r="G1182" i="57" a="1"/>
  <c r="G1182" i="57" s="1"/>
  <c r="F1182" i="57" a="1"/>
  <c r="F1182" i="57" s="1"/>
  <c r="G1320" i="57" a="1"/>
  <c r="G1320" i="57" s="1"/>
  <c r="F1320" i="57" a="1"/>
  <c r="F1320" i="57" s="1"/>
  <c r="G638" i="57" a="1"/>
  <c r="G638" i="57" s="1"/>
  <c r="F638" i="57" a="1"/>
  <c r="F638" i="57" s="1"/>
  <c r="G758" i="57" a="1"/>
  <c r="G758" i="57" s="1"/>
  <c r="F758" i="57" a="1"/>
  <c r="F758" i="57" s="1"/>
  <c r="G890" i="57" a="1"/>
  <c r="G890" i="57" s="1"/>
  <c r="F890" i="57" a="1"/>
  <c r="F890" i="57" s="1"/>
  <c r="G1052" i="57" a="1"/>
  <c r="G1052" i="57" s="1"/>
  <c r="F1052" i="57" a="1"/>
  <c r="F1052" i="57" s="1"/>
  <c r="G1214" i="57" a="1"/>
  <c r="G1214" i="57" s="1"/>
  <c r="F1214" i="57" a="1"/>
  <c r="F1214" i="57" s="1"/>
  <c r="G1376" i="57" a="1"/>
  <c r="G1376" i="57" s="1"/>
  <c r="F1376" i="57" a="1"/>
  <c r="F1376" i="57" s="1"/>
  <c r="G705" i="57" a="1"/>
  <c r="G705" i="57" s="1"/>
  <c r="F705" i="57" a="1"/>
  <c r="F705" i="57" s="1"/>
  <c r="G855" i="57" a="1"/>
  <c r="G855" i="57" s="1"/>
  <c r="F855" i="57" a="1"/>
  <c r="F855" i="57" s="1"/>
  <c r="G1191" i="57" a="1"/>
  <c r="G1191" i="57" s="1"/>
  <c r="F1191" i="57" a="1"/>
  <c r="F1191" i="57" s="1"/>
  <c r="G664" i="57" a="1"/>
  <c r="G664" i="57" s="1"/>
  <c r="F664" i="57" a="1"/>
  <c r="F664" i="57" s="1"/>
  <c r="G1030" i="57" a="1"/>
  <c r="G1030" i="57" s="1"/>
  <c r="F1030" i="57" a="1"/>
  <c r="F1030" i="57" s="1"/>
  <c r="G1402" i="57" a="1"/>
  <c r="G1402" i="57" s="1"/>
  <c r="F1402" i="57" a="1"/>
  <c r="F1402" i="57" s="1"/>
  <c r="G1653" i="57" a="1"/>
  <c r="G1653" i="57" s="1"/>
  <c r="F1653" i="57" a="1"/>
  <c r="F1653" i="57" s="1"/>
  <c r="G1456" i="57" a="1"/>
  <c r="G1456" i="57" s="1"/>
  <c r="F1456" i="57" a="1"/>
  <c r="F1456" i="57" s="1"/>
  <c r="G1768" i="57" a="1"/>
  <c r="G1768" i="57" s="1"/>
  <c r="F1768" i="57" a="1"/>
  <c r="F1768" i="57" s="1"/>
  <c r="G1661" i="57" a="1"/>
  <c r="G1661" i="57" s="1"/>
  <c r="F1661" i="57" a="1"/>
  <c r="F1661" i="57" s="1"/>
  <c r="G1682" i="57" a="1"/>
  <c r="G1682" i="57" s="1"/>
  <c r="F1682" i="57" a="1"/>
  <c r="F1682" i="57" s="1"/>
  <c r="G180" i="57" a="1"/>
  <c r="G180" i="57" s="1"/>
  <c r="F180" i="57" a="1"/>
  <c r="F180" i="57" s="1"/>
  <c r="G378" i="57" a="1"/>
  <c r="G378" i="57" s="1"/>
  <c r="F378" i="57" a="1"/>
  <c r="F378" i="57" s="1"/>
  <c r="G618" i="57" a="1"/>
  <c r="G618" i="57" s="1"/>
  <c r="F618" i="57" a="1"/>
  <c r="F618" i="57" s="1"/>
  <c r="G957" i="57" a="1"/>
  <c r="G957" i="57" s="1"/>
  <c r="F957" i="57" a="1"/>
  <c r="F957" i="57" s="1"/>
  <c r="G1287" i="57" a="1"/>
  <c r="G1287" i="57" s="1"/>
  <c r="F1287" i="57" a="1"/>
  <c r="F1287" i="57" s="1"/>
  <c r="G766" i="57" a="1"/>
  <c r="G766" i="57" s="1"/>
  <c r="F766" i="57" a="1"/>
  <c r="F766" i="57" s="1"/>
  <c r="G1138" i="57" a="1"/>
  <c r="G1138" i="57" s="1"/>
  <c r="F1138" i="57" a="1"/>
  <c r="F1138" i="57" s="1"/>
  <c r="G1421" i="57" a="1"/>
  <c r="G1421" i="57" s="1"/>
  <c r="F1421" i="57" a="1"/>
  <c r="F1421" i="57" s="1"/>
  <c r="G1707" i="57" a="1"/>
  <c r="G1707" i="57" s="1"/>
  <c r="F1707" i="57" a="1"/>
  <c r="F1707" i="57" s="1"/>
  <c r="G1516" i="57" a="1"/>
  <c r="G1516" i="57" s="1"/>
  <c r="F1516" i="57" a="1"/>
  <c r="F1516" i="57" s="1"/>
  <c r="G1834" i="57" a="1"/>
  <c r="G1834" i="57" s="1"/>
  <c r="F1834" i="57" a="1"/>
  <c r="F1834" i="57" s="1"/>
  <c r="G1757" i="57" a="1"/>
  <c r="G1757" i="57" s="1"/>
  <c r="F1757" i="57" a="1"/>
  <c r="F1757" i="57" s="1"/>
  <c r="G1772" i="57" a="1"/>
  <c r="G1772" i="57" s="1"/>
  <c r="F1772" i="57" a="1"/>
  <c r="F1772" i="57" s="1"/>
  <c r="G867" i="57" a="1"/>
  <c r="G867" i="57" s="1"/>
  <c r="F867" i="57" a="1"/>
  <c r="F867" i="57" s="1"/>
  <c r="G987" i="57" a="1"/>
  <c r="G987" i="57" s="1"/>
  <c r="F987" i="57" a="1"/>
  <c r="F987" i="57" s="1"/>
  <c r="G1095" i="57" a="1"/>
  <c r="G1095" i="57" s="1"/>
  <c r="F1095" i="57" a="1"/>
  <c r="F1095" i="57" s="1"/>
  <c r="G1203" i="57" a="1"/>
  <c r="G1203" i="57" s="1"/>
  <c r="F1203" i="57" a="1"/>
  <c r="F1203" i="57" s="1"/>
  <c r="G1323" i="57" a="1"/>
  <c r="G1323" i="57" s="1"/>
  <c r="F1323" i="57" a="1"/>
  <c r="F1323" i="57" s="1"/>
  <c r="G1437" i="57" a="1"/>
  <c r="G1437" i="57" s="1"/>
  <c r="F1437" i="57" a="1"/>
  <c r="F1437" i="57" s="1"/>
  <c r="G676" i="57" a="1"/>
  <c r="G676" i="57" s="1"/>
  <c r="F676" i="57" a="1"/>
  <c r="F676" i="57" s="1"/>
  <c r="G808" i="57" a="1"/>
  <c r="G808" i="57" s="1"/>
  <c r="F808" i="57" a="1"/>
  <c r="F808" i="57" s="1"/>
  <c r="G928" i="57" a="1"/>
  <c r="G928" i="57" s="1"/>
  <c r="F928" i="57" a="1"/>
  <c r="F928" i="57" s="1"/>
  <c r="G1048" i="57" a="1"/>
  <c r="G1048" i="57" s="1"/>
  <c r="F1048" i="57" a="1"/>
  <c r="F1048" i="57" s="1"/>
  <c r="G1174" i="57" a="1"/>
  <c r="G1174" i="57" s="1"/>
  <c r="F1174" i="57" a="1"/>
  <c r="F1174" i="57" s="1"/>
  <c r="G1288" i="57" a="1"/>
  <c r="G1288" i="57" s="1"/>
  <c r="F1288" i="57" a="1"/>
  <c r="F1288" i="57" s="1"/>
  <c r="G1414" i="57" a="1"/>
  <c r="G1414" i="57" s="1"/>
  <c r="F1414" i="57" a="1"/>
  <c r="F1414" i="57" s="1"/>
  <c r="G1416" i="57" a="1"/>
  <c r="G1416" i="57" s="1"/>
  <c r="F1416" i="57" a="1"/>
  <c r="F1416" i="57" s="1"/>
  <c r="G1677" i="57" a="1"/>
  <c r="G1677" i="57" s="1"/>
  <c r="F1677" i="57" a="1"/>
  <c r="F1677" i="57" s="1"/>
  <c r="G1941" i="57" a="1"/>
  <c r="G1941" i="57" s="1"/>
  <c r="F1941" i="57" a="1"/>
  <c r="F1941" i="57" s="1"/>
  <c r="G1696" i="57" a="1"/>
  <c r="G1696" i="57" s="1"/>
  <c r="F1696" i="57" a="1"/>
  <c r="F1696" i="57" s="1"/>
  <c r="G1954" i="57" a="1"/>
  <c r="G1954" i="57" s="1"/>
  <c r="F1954" i="57" a="1"/>
  <c r="F1954" i="57" s="1"/>
  <c r="G1697" i="57" a="1"/>
  <c r="G1697" i="57" s="1"/>
  <c r="F1697" i="57" a="1"/>
  <c r="F1697" i="57" s="1"/>
  <c r="G2499" i="57" a="1"/>
  <c r="G2499" i="57" s="1"/>
  <c r="F2499" i="57" a="1"/>
  <c r="F2499" i="57" s="1"/>
  <c r="G1718" i="57" a="1"/>
  <c r="G1718" i="57" s="1"/>
  <c r="F1718" i="57" a="1"/>
  <c r="F1718" i="57" s="1"/>
  <c r="G1977" i="57" a="1"/>
  <c r="G1977" i="57" s="1"/>
  <c r="F1977" i="57" a="1"/>
  <c r="F1977" i="57" s="1"/>
  <c r="G2235" i="57" a="1"/>
  <c r="G2235" i="57" s="1"/>
  <c r="F2235" i="57" a="1"/>
  <c r="F2235" i="57" s="1"/>
  <c r="G2002" i="57" a="1"/>
  <c r="G2002" i="57" s="1"/>
  <c r="F2002" i="57" a="1"/>
  <c r="F2002" i="57" s="1"/>
  <c r="G2314" i="57" a="1"/>
  <c r="G2314" i="57" s="1"/>
  <c r="F2314" i="57" a="1"/>
  <c r="F2314" i="57" s="1"/>
  <c r="G2159" i="57" a="1"/>
  <c r="G2159" i="57" s="1"/>
  <c r="F2159" i="57" a="1"/>
  <c r="F2159" i="57" s="1"/>
  <c r="G2006" i="57" a="1"/>
  <c r="G2006" i="57" s="1"/>
  <c r="F2006" i="57" a="1"/>
  <c r="F2006" i="57" s="1"/>
  <c r="G2318" i="57" a="1"/>
  <c r="G2318" i="57" s="1"/>
  <c r="F2318" i="57" a="1"/>
  <c r="F2318" i="57" s="1"/>
  <c r="G2452" i="57" a="1"/>
  <c r="G2452" i="57" s="1"/>
  <c r="F2452" i="57" a="1"/>
  <c r="F2452" i="57" s="1"/>
  <c r="G1620" i="57" a="1"/>
  <c r="G1620" i="57" s="1"/>
  <c r="F1620" i="57" a="1"/>
  <c r="F1620" i="57" s="1"/>
  <c r="G554" i="57" a="1"/>
  <c r="G554" i="57" s="1"/>
  <c r="F554" i="57" a="1"/>
  <c r="F554" i="57" s="1"/>
  <c r="G985" i="57" a="1"/>
  <c r="G985" i="57" s="1"/>
  <c r="F985" i="57" a="1"/>
  <c r="F985" i="57" s="1"/>
  <c r="G2241" i="57" a="1"/>
  <c r="G2241" i="57" s="1"/>
  <c r="F2241" i="57" a="1"/>
  <c r="F2241" i="57" s="1"/>
  <c r="G2014" i="57" a="1"/>
  <c r="G2014" i="57" s="1"/>
  <c r="F2014" i="57" a="1"/>
  <c r="F2014" i="57" s="1"/>
  <c r="G2326" i="57" a="1"/>
  <c r="G2326" i="57" s="1"/>
  <c r="F2326" i="57" a="1"/>
  <c r="F2326" i="57" s="1"/>
  <c r="G2165" i="57" a="1"/>
  <c r="G2165" i="57" s="1"/>
  <c r="F2165" i="57" a="1"/>
  <c r="F2165" i="57" s="1"/>
  <c r="G2018" i="57" a="1"/>
  <c r="G2018" i="57" s="1"/>
  <c r="F2018" i="57" a="1"/>
  <c r="F2018" i="57" s="1"/>
  <c r="G2324" i="57" a="1"/>
  <c r="G2324" i="57" s="1"/>
  <c r="F2324" i="57" a="1"/>
  <c r="F2324" i="57" s="1"/>
  <c r="G2458" i="57" a="1"/>
  <c r="G2458" i="57" s="1"/>
  <c r="F2458" i="57" a="1"/>
  <c r="F2458" i="57" s="1"/>
  <c r="G1626" i="57" a="1"/>
  <c r="G1626" i="57" s="1"/>
  <c r="F1626" i="57" a="1"/>
  <c r="F1626" i="57" s="1"/>
  <c r="G902" i="57" a="1"/>
  <c r="G902" i="57" s="1"/>
  <c r="F902" i="57" a="1"/>
  <c r="F902" i="57" s="1"/>
  <c r="G1087" i="57" a="1"/>
  <c r="G1087" i="57" s="1"/>
  <c r="F1087" i="57" a="1"/>
  <c r="F1087" i="57" s="1"/>
  <c r="G2295" i="57" a="1"/>
  <c r="G2295" i="57" s="1"/>
  <c r="F2295" i="57" a="1"/>
  <c r="F2295" i="57" s="1"/>
  <c r="G2074" i="57" a="1"/>
  <c r="G2074" i="57" s="1"/>
  <c r="F2074" i="57" a="1"/>
  <c r="F2074" i="57" s="1"/>
  <c r="G2386" i="57" a="1"/>
  <c r="G2386" i="57" s="1"/>
  <c r="F2386" i="57" a="1"/>
  <c r="F2386" i="57" s="1"/>
  <c r="G2225" i="57" a="1"/>
  <c r="G2225" i="57" s="1"/>
  <c r="F2225" i="57" a="1"/>
  <c r="F2225" i="57" s="1"/>
  <c r="G2072" i="57" a="1"/>
  <c r="G2072" i="57" s="1"/>
  <c r="F2072" i="57" a="1"/>
  <c r="F2072" i="57" s="1"/>
  <c r="G2402" i="57" a="1"/>
  <c r="G2402" i="57" s="1"/>
  <c r="F2402" i="57" a="1"/>
  <c r="F2402" i="57" s="1"/>
  <c r="G230" i="57" a="1"/>
  <c r="G230" i="57" s="1"/>
  <c r="F230" i="57" a="1"/>
  <c r="F230" i="57" s="1"/>
  <c r="G1704" i="57" a="1"/>
  <c r="G1704" i="57" s="1"/>
  <c r="F1704" i="57" a="1"/>
  <c r="F1704" i="57" s="1"/>
  <c r="G2010" i="57" a="1"/>
  <c r="G2010" i="57" s="1"/>
  <c r="F2010" i="57" a="1"/>
  <c r="F2010" i="57" s="1"/>
  <c r="G2085" i="57" a="1"/>
  <c r="G2085" i="57" s="1"/>
  <c r="F2085" i="57" a="1"/>
  <c r="F2085" i="57" s="1"/>
  <c r="G2343" i="57" a="1"/>
  <c r="G2343" i="57" s="1"/>
  <c r="F2343" i="57" a="1"/>
  <c r="F2343" i="57" s="1"/>
  <c r="G2134" i="57" a="1"/>
  <c r="G2134" i="57" s="1"/>
  <c r="F2134" i="57" a="1"/>
  <c r="F2134" i="57" s="1"/>
  <c r="G1973" i="57" a="1"/>
  <c r="G1973" i="57" s="1"/>
  <c r="F1973" i="57" a="1"/>
  <c r="F1973" i="57" s="1"/>
  <c r="G2285" i="57" a="1"/>
  <c r="G2285" i="57" s="1"/>
  <c r="F2285" i="57" a="1"/>
  <c r="F2285" i="57" s="1"/>
  <c r="G2138" i="57" a="1"/>
  <c r="G2138" i="57" s="1"/>
  <c r="F2138" i="57" a="1"/>
  <c r="F2138" i="57" s="1"/>
  <c r="F12" i="57" a="1"/>
  <c r="F12" i="57" s="1"/>
  <c r="G2471" i="57" a="1"/>
  <c r="G2471" i="57" s="1"/>
  <c r="F2471" i="57" a="1"/>
  <c r="F2471" i="57" s="1"/>
  <c r="G1782" i="57" a="1"/>
  <c r="G1782" i="57" s="1"/>
  <c r="F1782" i="57" a="1"/>
  <c r="F1782" i="57" s="1"/>
  <c r="G2310" i="57" a="1"/>
  <c r="G2310" i="57" s="1"/>
  <c r="F2310" i="57" a="1"/>
  <c r="F2310" i="57" s="1"/>
  <c r="G1511" i="57" a="1"/>
  <c r="G1511" i="57" s="1"/>
  <c r="F1511" i="57" a="1"/>
  <c r="F1511" i="57" s="1"/>
  <c r="G1769" i="57" a="1"/>
  <c r="G1769" i="57" s="1"/>
  <c r="F1769" i="57" a="1"/>
  <c r="F1769" i="57" s="1"/>
  <c r="G1526" i="57" a="1"/>
  <c r="G1526" i="57" s="1"/>
  <c r="F1526" i="57" a="1"/>
  <c r="F1526" i="57" s="1"/>
  <c r="G1790" i="57" a="1"/>
  <c r="G1790" i="57" s="1"/>
  <c r="F1790" i="57" a="1"/>
  <c r="F1790" i="57" s="1"/>
  <c r="G2049" i="57" a="1"/>
  <c r="G2049" i="57" s="1"/>
  <c r="F2049" i="57" a="1"/>
  <c r="F2049" i="57" s="1"/>
  <c r="G2307" i="57" a="1"/>
  <c r="G2307" i="57" s="1"/>
  <c r="F2307" i="57" a="1"/>
  <c r="F2307" i="57" s="1"/>
  <c r="G2092" i="57" a="1"/>
  <c r="G2092" i="57" s="1"/>
  <c r="F2092" i="57" a="1"/>
  <c r="F2092" i="57" s="1"/>
  <c r="G2398" i="57" a="1"/>
  <c r="G2398" i="57" s="1"/>
  <c r="F2398" i="57" a="1"/>
  <c r="F2398" i="57" s="1"/>
  <c r="G2243" i="57" a="1"/>
  <c r="G2243" i="57" s="1"/>
  <c r="F2243" i="57" a="1"/>
  <c r="F2243" i="57" s="1"/>
  <c r="G2096" i="57" a="1"/>
  <c r="G2096" i="57" s="1"/>
  <c r="F2096" i="57" a="1"/>
  <c r="F2096" i="57" s="1"/>
  <c r="G2432" i="57" a="1"/>
  <c r="G2432" i="57" s="1"/>
  <c r="F2432" i="57" a="1"/>
  <c r="F2432" i="57" s="1"/>
  <c r="G2423" i="57" a="1"/>
  <c r="G2423" i="57" s="1"/>
  <c r="F2423" i="57" a="1"/>
  <c r="F2423" i="57" s="1"/>
  <c r="G1734" i="57" a="1"/>
  <c r="G1734" i="57" s="1"/>
  <c r="F1734" i="57" a="1"/>
  <c r="F1734" i="57" s="1"/>
  <c r="G2094" i="57" a="1"/>
  <c r="G2094" i="57" s="1"/>
  <c r="F2094" i="57" a="1"/>
  <c r="F2094" i="57" s="1"/>
  <c r="G1948" i="57" a="1"/>
  <c r="G1948" i="57" s="1"/>
  <c r="F1948" i="57" a="1"/>
  <c r="F1948" i="57" s="1"/>
  <c r="G1691" i="57" a="1"/>
  <c r="G1691" i="57" s="1"/>
  <c r="F1691" i="57" a="1"/>
  <c r="F1691" i="57" s="1"/>
  <c r="G1949" i="57" a="1"/>
  <c r="G1949" i="57" s="1"/>
  <c r="F1949" i="57" a="1"/>
  <c r="F1949" i="57" s="1"/>
  <c r="G1706" i="57" a="1"/>
  <c r="G1706" i="57" s="1"/>
  <c r="F1706" i="57" a="1"/>
  <c r="F1706" i="57" s="1"/>
  <c r="G1971" i="57" a="1"/>
  <c r="G1971" i="57" s="1"/>
  <c r="F1971" i="57" a="1"/>
  <c r="F1971" i="57" s="1"/>
  <c r="G2229" i="57" a="1"/>
  <c r="G2229" i="57" s="1"/>
  <c r="F2229" i="57" a="1"/>
  <c r="F2229" i="57" s="1"/>
  <c r="G1996" i="57" a="1"/>
  <c r="G1996" i="57" s="1"/>
  <c r="F1996" i="57" a="1"/>
  <c r="F1996" i="57" s="1"/>
  <c r="G2308" i="57" a="1"/>
  <c r="G2308" i="57" s="1"/>
  <c r="F2308" i="57" a="1"/>
  <c r="F2308" i="57" s="1"/>
  <c r="G2141" i="57" a="1"/>
  <c r="G2141" i="57" s="1"/>
  <c r="F2141" i="57" a="1"/>
  <c r="F2141" i="57" s="1"/>
  <c r="G2000" i="57" a="1"/>
  <c r="G2000" i="57" s="1"/>
  <c r="F2000" i="57" a="1"/>
  <c r="F2000" i="57" s="1"/>
  <c r="G2312" i="57" a="1"/>
  <c r="G2312" i="57" s="1"/>
  <c r="F2312" i="57" a="1"/>
  <c r="F2312" i="57" s="1"/>
  <c r="G2446" i="57" a="1"/>
  <c r="G2446" i="57" s="1"/>
  <c r="F2446" i="57" a="1"/>
  <c r="F2446" i="57" s="1"/>
  <c r="G1608" i="57" a="1"/>
  <c r="G1608" i="57" s="1"/>
  <c r="F1608" i="57" a="1"/>
  <c r="F1608" i="57" s="1"/>
  <c r="G607" i="57" a="1"/>
  <c r="G607" i="57" s="1"/>
  <c r="F607" i="57" a="1"/>
  <c r="F607" i="57" s="1"/>
  <c r="G841" i="57" a="1"/>
  <c r="G841" i="57" s="1"/>
  <c r="F841" i="57" a="1"/>
  <c r="F841" i="57" s="1"/>
  <c r="G1611" i="57" a="1"/>
  <c r="G1611" i="57" s="1"/>
  <c r="F1611" i="57" a="1"/>
  <c r="F1611" i="57" s="1"/>
  <c r="G1827" i="57" a="1"/>
  <c r="G1827" i="57" s="1"/>
  <c r="F1827" i="57" a="1"/>
  <c r="F1827" i="57" s="1"/>
  <c r="G1540" i="57" a="1"/>
  <c r="G1540" i="57" s="1"/>
  <c r="F1540" i="57" a="1"/>
  <c r="F1540" i="57" s="1"/>
  <c r="G1756" i="57" a="1"/>
  <c r="G1756" i="57" s="1"/>
  <c r="F1756" i="57" a="1"/>
  <c r="F1756" i="57" s="1"/>
  <c r="G1457" i="57" a="1"/>
  <c r="G1457" i="57" s="1"/>
  <c r="F1457" i="57" a="1"/>
  <c r="F1457" i="57" s="1"/>
  <c r="G1673" i="57" a="1"/>
  <c r="G1673" i="57" s="1"/>
  <c r="F1673" i="57" a="1"/>
  <c r="F1673" i="57" s="1"/>
  <c r="G1889" i="57" a="1"/>
  <c r="G1889" i="57" s="1"/>
  <c r="F1889" i="57" a="1"/>
  <c r="F1889" i="57" s="1"/>
  <c r="G1604" i="57" a="1"/>
  <c r="G1604" i="57" s="1"/>
  <c r="F1604" i="57" a="1"/>
  <c r="F1604" i="57" s="1"/>
  <c r="G1820" i="57" a="1"/>
  <c r="G1820" i="57" s="1"/>
  <c r="F1820" i="57" a="1"/>
  <c r="F1820" i="57" s="1"/>
  <c r="G2037" i="57" a="1"/>
  <c r="G2037" i="57" s="1"/>
  <c r="F2037" i="57" a="1"/>
  <c r="F2037" i="57" s="1"/>
  <c r="G2253" i="57" a="1"/>
  <c r="G2253" i="57" s="1"/>
  <c r="F2253" i="57" a="1"/>
  <c r="F2253" i="57" s="1"/>
  <c r="G1978" i="57" a="1"/>
  <c r="G1978" i="57" s="1"/>
  <c r="F1978" i="57" a="1"/>
  <c r="F1978" i="57" s="1"/>
  <c r="G2236" i="57" a="1"/>
  <c r="G2236" i="57" s="1"/>
  <c r="F2236" i="57" a="1"/>
  <c r="F2236" i="57" s="1"/>
  <c r="G2021" i="57" a="1"/>
  <c r="G2021" i="57" s="1"/>
  <c r="F2021" i="57" a="1"/>
  <c r="F2021" i="57" s="1"/>
  <c r="G2279" i="57" a="1"/>
  <c r="G2279" i="57" s="1"/>
  <c r="F2279" i="57" a="1"/>
  <c r="F2279" i="57" s="1"/>
  <c r="G2078" i="57" a="1"/>
  <c r="G2078" i="57" s="1"/>
  <c r="F2078" i="57" a="1"/>
  <c r="F2078" i="57" s="1"/>
  <c r="G2342" i="57" a="1"/>
  <c r="G2342" i="57" s="1"/>
  <c r="F2342" i="57" a="1"/>
  <c r="F2342" i="57" s="1"/>
  <c r="G151" i="57" a="1"/>
  <c r="G151" i="57" s="1"/>
  <c r="F151" i="57" a="1"/>
  <c r="F151" i="57" s="1"/>
  <c r="G2459" i="57" a="1"/>
  <c r="G2459" i="57" s="1"/>
  <c r="F2459" i="57" a="1"/>
  <c r="F2459" i="57" s="1"/>
  <c r="G1638" i="57" a="1"/>
  <c r="G1638" i="57" s="1"/>
  <c r="F1638" i="57" a="1"/>
  <c r="F1638" i="57" s="1"/>
  <c r="G1896" i="57" a="1"/>
  <c r="G1896" i="57" s="1"/>
  <c r="F1896" i="57" a="1"/>
  <c r="F1896" i="57" s="1"/>
  <c r="G1669" i="57" a="1"/>
  <c r="G1669" i="57" s="1"/>
  <c r="F1669" i="57" a="1"/>
  <c r="F1669" i="57" s="1"/>
  <c r="G379" i="57" a="1"/>
  <c r="G379" i="57" s="1"/>
  <c r="F379" i="57" a="1"/>
  <c r="F379" i="57" s="1"/>
  <c r="G446" i="57" a="1"/>
  <c r="G446" i="57" s="1"/>
  <c r="F446" i="57" a="1"/>
  <c r="F446" i="57" s="1"/>
  <c r="G777" i="57" a="1"/>
  <c r="G777" i="57" s="1"/>
  <c r="F777" i="57" a="1"/>
  <c r="F777" i="57" s="1"/>
  <c r="G2166" i="57" a="1"/>
  <c r="G2166" i="57" s="1"/>
  <c r="F2166" i="57" a="1"/>
  <c r="F2166" i="57" s="1"/>
  <c r="G2430" i="57" a="1"/>
  <c r="G2430" i="57" s="1"/>
  <c r="F2430" i="57" a="1"/>
  <c r="F2430" i="57" s="1"/>
  <c r="G1915" i="57" a="1"/>
  <c r="G1915" i="57" s="1"/>
  <c r="F1915" i="57" a="1"/>
  <c r="F1915" i="57" s="1"/>
  <c r="G2179" i="57" a="1"/>
  <c r="G2179" i="57" s="1"/>
  <c r="F2179" i="57" a="1"/>
  <c r="F2179" i="57" s="1"/>
  <c r="G925" i="57" a="1"/>
  <c r="G925" i="57" s="1"/>
  <c r="F925" i="57" a="1"/>
  <c r="F925" i="57" s="1"/>
  <c r="G1818" i="57" a="1"/>
  <c r="G1818" i="57" s="1"/>
  <c r="F1818" i="57" a="1"/>
  <c r="F1818" i="57" s="1"/>
  <c r="G1585" i="57" a="1"/>
  <c r="G1585" i="57" s="1"/>
  <c r="F1585" i="57" a="1"/>
  <c r="F1585" i="57" s="1"/>
  <c r="G301" i="57" a="1"/>
  <c r="G301" i="57" s="1"/>
  <c r="F301" i="57" a="1"/>
  <c r="F301" i="57" s="1"/>
  <c r="G559" i="57" a="1"/>
  <c r="G559" i="57" s="1"/>
  <c r="F559" i="57" a="1"/>
  <c r="F559" i="57" s="1"/>
  <c r="G1262" i="57" a="1"/>
  <c r="G1262" i="57" s="1"/>
  <c r="F1262" i="57" a="1"/>
  <c r="F1262" i="57" s="1"/>
  <c r="G2088" i="57" a="1"/>
  <c r="G2088" i="57" s="1"/>
  <c r="F2088" i="57" a="1"/>
  <c r="F2088" i="57" s="1"/>
  <c r="G2346" i="57" a="1"/>
  <c r="G2346" i="57" s="1"/>
  <c r="F2346" i="57" a="1"/>
  <c r="F2346" i="57" s="1"/>
  <c r="G1837" i="57" a="1"/>
  <c r="G1837" i="57" s="1"/>
  <c r="F1837" i="57" a="1"/>
  <c r="F1837" i="57" s="1"/>
  <c r="G2095" i="57" a="1"/>
  <c r="G2095" i="57" s="1"/>
  <c r="F2095" i="57" a="1"/>
  <c r="F2095" i="57" s="1"/>
  <c r="G1224" i="57" a="1"/>
  <c r="G1224" i="57" s="1"/>
  <c r="F1224" i="57" a="1"/>
  <c r="F1224" i="57" s="1"/>
  <c r="G1429" i="57" a="1"/>
  <c r="G1429" i="57" s="1"/>
  <c r="F1429" i="57" a="1"/>
  <c r="F1429" i="57" s="1"/>
  <c r="G1471" i="57" a="1"/>
  <c r="G1471" i="57" s="1"/>
  <c r="F1471" i="57" a="1"/>
  <c r="F1471" i="57" s="1"/>
  <c r="G2480" i="57" a="1"/>
  <c r="G2480" i="57" s="1"/>
  <c r="F2480" i="57" a="1"/>
  <c r="F2480" i="57" s="1"/>
  <c r="G445" i="57" a="1"/>
  <c r="G445" i="57" s="1"/>
  <c r="F445" i="57" a="1"/>
  <c r="F445" i="57" s="1"/>
  <c r="G920" i="57" a="1"/>
  <c r="G920" i="57" s="1"/>
  <c r="F920" i="57" a="1"/>
  <c r="F920" i="57" s="1"/>
  <c r="G1974" i="57" a="1"/>
  <c r="G1974" i="57" s="1"/>
  <c r="F1974" i="57" a="1"/>
  <c r="F1974" i="57" s="1"/>
  <c r="G2232" i="57" a="1"/>
  <c r="G2232" i="57" s="1"/>
  <c r="F2232" i="57" a="1"/>
  <c r="F2232" i="57" s="1"/>
  <c r="G1717" i="57" a="1"/>
  <c r="G1717" i="57" s="1"/>
  <c r="F1717" i="57" a="1"/>
  <c r="F1717" i="57" s="1"/>
  <c r="G1981" i="57" a="1"/>
  <c r="G1981" i="57" s="1"/>
  <c r="F1981" i="57" a="1"/>
  <c r="F1981" i="57" s="1"/>
  <c r="G474" i="57" a="1"/>
  <c r="G474" i="57" s="1"/>
  <c r="F474" i="57" a="1"/>
  <c r="F474" i="57" s="1"/>
  <c r="G1123" i="57" a="1"/>
  <c r="G1123" i="57" s="1"/>
  <c r="F1123" i="57" a="1"/>
  <c r="F1123" i="57" s="1"/>
  <c r="G1842" i="57" a="1"/>
  <c r="G1842" i="57" s="1"/>
  <c r="F1842" i="57" a="1"/>
  <c r="F1842" i="57" s="1"/>
  <c r="G1609" i="57" a="1"/>
  <c r="G1609" i="57" s="1"/>
  <c r="F1609" i="57" a="1"/>
  <c r="F1609" i="57" s="1"/>
  <c r="G319" i="57" a="1"/>
  <c r="G319" i="57" s="1"/>
  <c r="F319" i="57" a="1"/>
  <c r="F319" i="57" s="1"/>
  <c r="G577" i="57" a="1"/>
  <c r="G577" i="57" s="1"/>
  <c r="F577" i="57" a="1"/>
  <c r="F577" i="57" s="1"/>
  <c r="G1334" i="57" a="1"/>
  <c r="G1334" i="57" s="1"/>
  <c r="F1334" i="57" a="1"/>
  <c r="F1334" i="57" s="1"/>
  <c r="G2112" i="57" a="1"/>
  <c r="G2112" i="57" s="1"/>
  <c r="F2112" i="57" a="1"/>
  <c r="F2112" i="57" s="1"/>
  <c r="G2370" i="57" a="1"/>
  <c r="G2370" i="57" s="1"/>
  <c r="F2370" i="57" a="1"/>
  <c r="F2370" i="57" s="1"/>
  <c r="G1855" i="57" a="1"/>
  <c r="G1855" i="57" s="1"/>
  <c r="F1855" i="57" a="1"/>
  <c r="F1855" i="57" s="1"/>
  <c r="G2113" i="57" a="1"/>
  <c r="G2113" i="57" s="1"/>
  <c r="F2113" i="57" a="1"/>
  <c r="F2113" i="57" s="1"/>
  <c r="G1332" i="57" a="1"/>
  <c r="G1332" i="57" s="1"/>
  <c r="F1332" i="57" a="1"/>
  <c r="F1332" i="57" s="1"/>
  <c r="G130" i="57" a="1"/>
  <c r="G130" i="57" s="1"/>
  <c r="F130" i="57" a="1"/>
  <c r="F130" i="57" s="1"/>
  <c r="G55" i="57" a="1"/>
  <c r="G55" i="57" s="1"/>
  <c r="F55" i="57" a="1"/>
  <c r="F55" i="57" s="1"/>
  <c r="G122" i="57" a="1"/>
  <c r="G122" i="57" s="1"/>
  <c r="F122" i="57" a="1"/>
  <c r="F122" i="57" s="1"/>
  <c r="G1548" i="57" a="1"/>
  <c r="G1548" i="57" s="1"/>
  <c r="F1548" i="57" a="1"/>
  <c r="F1548" i="57" s="1"/>
  <c r="G1806" i="57" a="1"/>
  <c r="G1806" i="57" s="1"/>
  <c r="F1806" i="57" a="1"/>
  <c r="F1806" i="57" s="1"/>
  <c r="G1573" i="57" a="1"/>
  <c r="G1573" i="57" s="1"/>
  <c r="F1573" i="57" a="1"/>
  <c r="F1573" i="57" s="1"/>
  <c r="G283" i="57" a="1"/>
  <c r="G283" i="57" s="1"/>
  <c r="F283" i="57" a="1"/>
  <c r="F283" i="57" s="1"/>
  <c r="G541" i="57" a="1"/>
  <c r="G541" i="57" s="1"/>
  <c r="F541" i="57" a="1"/>
  <c r="F541" i="57" s="1"/>
  <c r="G1226" i="57" a="1"/>
  <c r="G1226" i="57" s="1"/>
  <c r="F1226" i="57" a="1"/>
  <c r="F1226" i="57" s="1"/>
  <c r="G2076" i="57" a="1"/>
  <c r="G2076" i="57" s="1"/>
  <c r="F2076" i="57" a="1"/>
  <c r="F2076" i="57" s="1"/>
  <c r="G2334" i="57" a="1"/>
  <c r="G2334" i="57" s="1"/>
  <c r="F2334" i="57" a="1"/>
  <c r="F2334" i="57" s="1"/>
  <c r="G1819" i="57" a="1"/>
  <c r="G1819" i="57" s="1"/>
  <c r="F1819" i="57" a="1"/>
  <c r="F1819" i="57" s="1"/>
  <c r="G2077" i="57" a="1"/>
  <c r="G2077" i="57" s="1"/>
  <c r="F2077" i="57" a="1"/>
  <c r="F2077" i="57" s="1"/>
  <c r="G1098" i="57" a="1"/>
  <c r="G1098" i="57" s="1"/>
  <c r="F1098" i="57" a="1"/>
  <c r="F1098" i="57" s="1"/>
  <c r="G1381" i="57" a="1"/>
  <c r="G1381" i="57" s="1"/>
  <c r="F1381" i="57" a="1"/>
  <c r="F1381" i="57" s="1"/>
  <c r="G2008" i="57" a="1"/>
  <c r="G2008" i="57" s="1"/>
  <c r="F2008" i="57" a="1"/>
  <c r="F2008" i="57" s="1"/>
  <c r="G2224" i="57" a="1"/>
  <c r="G2224" i="57" s="1"/>
  <c r="F2224" i="57" a="1"/>
  <c r="F2224" i="57" s="1"/>
  <c r="G1967" i="57" a="1"/>
  <c r="G1967" i="57" s="1"/>
  <c r="F1967" i="57" a="1"/>
  <c r="F1967" i="57" s="1"/>
  <c r="G2183" i="57" a="1"/>
  <c r="G2183" i="57" s="1"/>
  <c r="F2183" i="57" a="1"/>
  <c r="F2183" i="57" s="1"/>
  <c r="G2399" i="57" a="1"/>
  <c r="G2399" i="57" s="1"/>
  <c r="F2399" i="57" a="1"/>
  <c r="F2399" i="57" s="1"/>
  <c r="G2156" i="57" a="1"/>
  <c r="G2156" i="57" s="1"/>
  <c r="F2156" i="57" a="1"/>
  <c r="F2156" i="57" s="1"/>
  <c r="G2372" i="57" a="1"/>
  <c r="G2372" i="57" s="1"/>
  <c r="F2372" i="57" a="1"/>
  <c r="F2372" i="57" s="1"/>
  <c r="G139" i="57" a="1"/>
  <c r="G139" i="57" s="1"/>
  <c r="F139" i="57" a="1"/>
  <c r="F139" i="57" s="1"/>
  <c r="G266" i="57" a="1"/>
  <c r="G266" i="57" s="1"/>
  <c r="F266" i="57" a="1"/>
  <c r="F266" i="57" s="1"/>
  <c r="G1542" i="57" a="1"/>
  <c r="G1542" i="57" s="1"/>
  <c r="F1542" i="57" a="1"/>
  <c r="F1542" i="57" s="1"/>
  <c r="G1758" i="57" a="1"/>
  <c r="G1758" i="57" s="1"/>
  <c r="F1758" i="57" a="1"/>
  <c r="F1758" i="57" s="1"/>
  <c r="G1483" i="57" a="1"/>
  <c r="G1483" i="57" s="1"/>
  <c r="F1483" i="57" a="1"/>
  <c r="F1483" i="57" s="1"/>
  <c r="G1699" i="57" a="1"/>
  <c r="G1699" i="57" s="1"/>
  <c r="F1699" i="57" a="1"/>
  <c r="F1699" i="57" s="1"/>
  <c r="G367" i="57" a="1"/>
  <c r="G367" i="57" s="1"/>
  <c r="F367" i="57" a="1"/>
  <c r="F367" i="57" s="1"/>
  <c r="G583" i="57" a="1"/>
  <c r="G583" i="57" s="1"/>
  <c r="F583" i="57" a="1"/>
  <c r="F583" i="57" s="1"/>
  <c r="G1208" i="57" a="1"/>
  <c r="G1208" i="57" s="1"/>
  <c r="F1208" i="57" a="1"/>
  <c r="F1208" i="57" s="1"/>
  <c r="G2028" i="57" a="1"/>
  <c r="G2028" i="57" s="1"/>
  <c r="F2028" i="57" a="1"/>
  <c r="F2028" i="57" s="1"/>
  <c r="G2244" i="57" a="1"/>
  <c r="G2244" i="57" s="1"/>
  <c r="F2244" i="57" a="1"/>
  <c r="F2244" i="57" s="1"/>
  <c r="G2460" i="57" a="1"/>
  <c r="G2460" i="57" s="1"/>
  <c r="F2460" i="57" a="1"/>
  <c r="F2460" i="57" s="1"/>
  <c r="G1903" i="57" a="1"/>
  <c r="G1903" i="57" s="1"/>
  <c r="F1903" i="57" a="1"/>
  <c r="F1903" i="57" s="1"/>
  <c r="G2119" i="57" a="1"/>
  <c r="G2119" i="57" s="1"/>
  <c r="F2119" i="57" a="1"/>
  <c r="F2119" i="57" s="1"/>
  <c r="G798" i="57" a="1"/>
  <c r="G798" i="57" s="1"/>
  <c r="F798" i="57" a="1"/>
  <c r="F798" i="57" s="1"/>
  <c r="G1039" i="57" a="1"/>
  <c r="G1039" i="57" s="1"/>
  <c r="F1039" i="57" a="1"/>
  <c r="F1039" i="57" s="1"/>
  <c r="G1348" i="57" a="1"/>
  <c r="G1348" i="57" s="1"/>
  <c r="F1348" i="57" a="1"/>
  <c r="F1348" i="57" s="1"/>
  <c r="G556" i="57" a="1"/>
  <c r="G556" i="57" s="1"/>
  <c r="F556" i="57" a="1"/>
  <c r="F556" i="57" s="1"/>
  <c r="G2401" i="57" a="1"/>
  <c r="G2401" i="57" s="1"/>
  <c r="F2401" i="57" a="1"/>
  <c r="F2401" i="57" s="1"/>
  <c r="G763" i="57" a="1"/>
  <c r="G763" i="57" s="1"/>
  <c r="F763" i="57" a="1"/>
  <c r="F763" i="57" s="1"/>
  <c r="G1105" i="57" a="1"/>
  <c r="G1105" i="57" s="1"/>
  <c r="F1105" i="57" a="1"/>
  <c r="F1105" i="57" s="1"/>
  <c r="G106" i="57" a="1"/>
  <c r="G106" i="57" s="1"/>
  <c r="F106" i="57" a="1"/>
  <c r="F106" i="57" s="1"/>
  <c r="G2227" i="57" a="1"/>
  <c r="G2227" i="57" s="1"/>
  <c r="F2227" i="57" a="1"/>
  <c r="F2227" i="57" s="1"/>
  <c r="G2443" i="57" a="1"/>
  <c r="G2443" i="57" s="1"/>
  <c r="F2443" i="57" a="1"/>
  <c r="F2443" i="57" s="1"/>
  <c r="G811" i="57" a="1"/>
  <c r="G811" i="57" s="1"/>
  <c r="F811" i="57" a="1"/>
  <c r="F811" i="57" s="1"/>
  <c r="G1189" i="57" a="1"/>
  <c r="G1189" i="57" s="1"/>
  <c r="F1189" i="57" a="1"/>
  <c r="F1189" i="57" s="1"/>
  <c r="G2377" i="57" a="1"/>
  <c r="G2377" i="57" s="1"/>
  <c r="F2377" i="57" a="1"/>
  <c r="F2377" i="57" s="1"/>
  <c r="G739" i="57" a="1"/>
  <c r="G739" i="57" s="1"/>
  <c r="F739" i="57" a="1"/>
  <c r="F739" i="57" s="1"/>
  <c r="G1057" i="57" a="1"/>
  <c r="G1057" i="57" s="1"/>
  <c r="F1057" i="57" a="1"/>
  <c r="F1057" i="57" s="1"/>
  <c r="G1442" i="57" a="1"/>
  <c r="G1442" i="57" s="1"/>
  <c r="F1442" i="57" a="1"/>
  <c r="F1442" i="57" s="1"/>
  <c r="G352" i="57" a="1"/>
  <c r="G352" i="57" s="1"/>
  <c r="F352" i="57" a="1"/>
  <c r="F352" i="57" s="1"/>
  <c r="G2383" i="57" a="1"/>
  <c r="G2383" i="57" s="1"/>
  <c r="F2383" i="57" a="1"/>
  <c r="F2383" i="57" s="1"/>
  <c r="G745" i="57" a="1"/>
  <c r="G745" i="57" s="1"/>
  <c r="F745" i="57" a="1"/>
  <c r="F745" i="57" s="1"/>
  <c r="G1069" i="57" a="1"/>
  <c r="G1069" i="57" s="1"/>
  <c r="F1069" i="57" a="1"/>
  <c r="F1069" i="57" s="1"/>
  <c r="G1132" i="57" a="1"/>
  <c r="G1132" i="57" s="1"/>
  <c r="F1132" i="57" a="1"/>
  <c r="F1132" i="57" s="1"/>
  <c r="G412" i="57" a="1"/>
  <c r="G412" i="57" s="1"/>
  <c r="F412" i="57" a="1"/>
  <c r="F412" i="57" s="1"/>
  <c r="G2389" i="57" a="1"/>
  <c r="G2389" i="57" s="1"/>
  <c r="F2389" i="57" a="1"/>
  <c r="F2389" i="57" s="1"/>
  <c r="G751" i="57" a="1"/>
  <c r="G751" i="57" s="1"/>
  <c r="F751" i="57" a="1"/>
  <c r="F751" i="57" s="1"/>
  <c r="G1081" i="57" a="1"/>
  <c r="G1081" i="57" s="1"/>
  <c r="F1081" i="57" a="1"/>
  <c r="F1081" i="57" s="1"/>
  <c r="G2149" i="57" a="1"/>
  <c r="G2149" i="57" s="1"/>
  <c r="F2149" i="57" a="1"/>
  <c r="F2149" i="57" s="1"/>
  <c r="G978" i="57" a="1"/>
  <c r="G978" i="57" s="1"/>
  <c r="F978" i="57" a="1"/>
  <c r="F978" i="57" s="1"/>
  <c r="G1099" i="57" a="1"/>
  <c r="G1099" i="57" s="1"/>
  <c r="F1099" i="57" a="1"/>
  <c r="F1099" i="57" s="1"/>
  <c r="G82" i="57" a="1"/>
  <c r="G82" i="57" s="1"/>
  <c r="F82" i="57" a="1"/>
  <c r="F82" i="57" s="1"/>
  <c r="G1096" i="57" a="1"/>
  <c r="G1096" i="57" s="1"/>
  <c r="F1096" i="57" a="1"/>
  <c r="F1096" i="57" s="1"/>
  <c r="G2431" i="57" a="1"/>
  <c r="G2431" i="57" s="1"/>
  <c r="F2431" i="57" a="1"/>
  <c r="F2431" i="57" s="1"/>
  <c r="G793" i="57" a="1"/>
  <c r="G793" i="57" s="1"/>
  <c r="F793" i="57" a="1"/>
  <c r="F793" i="57" s="1"/>
  <c r="G1165" i="57" a="1"/>
  <c r="G1165" i="57" s="1"/>
  <c r="F1165" i="57" a="1"/>
  <c r="F1165" i="57" s="1"/>
  <c r="G37" i="57" a="1"/>
  <c r="G37" i="57" s="1"/>
  <c r="F37" i="57" a="1"/>
  <c r="F37" i="57" s="1"/>
  <c r="G74" i="57" a="1"/>
  <c r="G74" i="57" s="1"/>
  <c r="F74" i="57" a="1"/>
  <c r="F74" i="57" s="1"/>
  <c r="G392" i="57" a="1"/>
  <c r="G392" i="57" s="1"/>
  <c r="F392" i="57" a="1"/>
  <c r="F392" i="57" s="1"/>
  <c r="G117" i="57" a="1"/>
  <c r="G117" i="57" s="1"/>
  <c r="F117" i="57" a="1"/>
  <c r="F117" i="57" s="1"/>
  <c r="G578" i="57" a="1"/>
  <c r="G578" i="57" s="1"/>
  <c r="F578" i="57" a="1"/>
  <c r="F578" i="57" s="1"/>
  <c r="G321" i="57" a="1"/>
  <c r="G321" i="57" s="1"/>
  <c r="F321" i="57" a="1"/>
  <c r="F321" i="57" s="1"/>
  <c r="G1448" i="57" a="1"/>
  <c r="G1448" i="57" s="1"/>
  <c r="F1448" i="57" a="1"/>
  <c r="F1448" i="57" s="1"/>
  <c r="G466" i="57" a="1"/>
  <c r="G466" i="57" s="1"/>
  <c r="F466" i="57" a="1"/>
  <c r="F466" i="57" s="1"/>
  <c r="G227" i="57" a="1"/>
  <c r="G227" i="57" s="1"/>
  <c r="F227" i="57" a="1"/>
  <c r="F227" i="57" s="1"/>
  <c r="G551" i="57" a="1"/>
  <c r="G551" i="57" s="1"/>
  <c r="F551" i="57" a="1"/>
  <c r="F551" i="57" s="1"/>
  <c r="G2505" i="57" a="1"/>
  <c r="G2505" i="57" s="1"/>
  <c r="F2505" i="57" a="1"/>
  <c r="F2505" i="57" s="1"/>
  <c r="F25" i="57" a="1"/>
  <c r="F25" i="57" s="1"/>
  <c r="G80" i="57" a="1"/>
  <c r="G80" i="57" s="1"/>
  <c r="F80" i="57" a="1"/>
  <c r="F80" i="57" s="1"/>
  <c r="G224" i="57" a="1"/>
  <c r="G224" i="57" s="1"/>
  <c r="F224" i="57" a="1"/>
  <c r="F224" i="57" s="1"/>
  <c r="G362" i="57" a="1"/>
  <c r="G362" i="57" s="1"/>
  <c r="F362" i="57" a="1"/>
  <c r="F362" i="57" s="1"/>
  <c r="G482" i="57" a="1"/>
  <c r="G482" i="57" s="1"/>
  <c r="F482" i="57" a="1"/>
  <c r="F482" i="57" s="1"/>
  <c r="G231" i="57" a="1"/>
  <c r="G231" i="57" s="1"/>
  <c r="F231" i="57" a="1"/>
  <c r="F231" i="57" s="1"/>
  <c r="G567" i="57" a="1"/>
  <c r="G567" i="57" s="1"/>
  <c r="F567" i="57" a="1"/>
  <c r="F567" i="57" s="1"/>
  <c r="G376" i="57" a="1"/>
  <c r="G376" i="57" s="1"/>
  <c r="F376" i="57" a="1"/>
  <c r="F376" i="57" s="1"/>
  <c r="G143" i="57" a="1"/>
  <c r="G143" i="57" s="1"/>
  <c r="F143" i="57" a="1"/>
  <c r="F143" i="57" s="1"/>
  <c r="G467" i="57" a="1"/>
  <c r="G467" i="57" s="1"/>
  <c r="F467" i="57" a="1"/>
  <c r="F467" i="57" s="1"/>
  <c r="G791" i="57" a="1"/>
  <c r="G791" i="57" s="1"/>
  <c r="F791" i="57" a="1"/>
  <c r="F791" i="57" s="1"/>
  <c r="G350" i="57" a="1"/>
  <c r="G350" i="57" s="1"/>
  <c r="F350" i="57" a="1"/>
  <c r="F350" i="57" s="1"/>
  <c r="G171" i="57" a="1"/>
  <c r="G171" i="57" s="1"/>
  <c r="F171" i="57" a="1"/>
  <c r="F171" i="57" s="1"/>
  <c r="G507" i="57" a="1"/>
  <c r="G507" i="57" s="1"/>
  <c r="F507" i="57" a="1"/>
  <c r="F507" i="57" s="1"/>
  <c r="G298" i="57" a="1"/>
  <c r="G298" i="57" s="1"/>
  <c r="F298" i="57" a="1"/>
  <c r="F298" i="57" s="1"/>
  <c r="G83" i="57" a="1"/>
  <c r="G83" i="57" s="1"/>
  <c r="F83" i="57" a="1"/>
  <c r="F83" i="57" s="1"/>
  <c r="G407" i="57" a="1"/>
  <c r="G407" i="57" s="1"/>
  <c r="F407" i="57" a="1"/>
  <c r="F407" i="57" s="1"/>
  <c r="G731" i="57" a="1"/>
  <c r="G731" i="57" s="1"/>
  <c r="F731" i="57" a="1"/>
  <c r="F731" i="57" s="1"/>
  <c r="G168" i="57" a="1"/>
  <c r="G168" i="57" s="1"/>
  <c r="F168" i="57" a="1"/>
  <c r="F168" i="57" s="1"/>
  <c r="G386" i="57" a="1"/>
  <c r="G386" i="57" s="1"/>
  <c r="F386" i="57" a="1"/>
  <c r="F386" i="57" s="1"/>
  <c r="G566" i="57" a="1"/>
  <c r="G566" i="57" s="1"/>
  <c r="F566" i="57" a="1"/>
  <c r="F566" i="57" s="1"/>
  <c r="G309" i="57" a="1"/>
  <c r="G309" i="57" s="1"/>
  <c r="F309" i="57" a="1"/>
  <c r="F309" i="57" s="1"/>
  <c r="G2485" i="57" a="1"/>
  <c r="G2485" i="57" s="1"/>
  <c r="F2485" i="57" a="1"/>
  <c r="F2485" i="57" s="1"/>
  <c r="G454" i="57" a="1"/>
  <c r="G454" i="57" s="1"/>
  <c r="F454" i="57" a="1"/>
  <c r="F454" i="57" s="1"/>
  <c r="G215" i="57" a="1"/>
  <c r="G215" i="57" s="1"/>
  <c r="F215" i="57" a="1"/>
  <c r="F215" i="57" s="1"/>
  <c r="G539" i="57" a="1"/>
  <c r="G539" i="57" s="1"/>
  <c r="F539" i="57" a="1"/>
  <c r="F539" i="57" s="1"/>
  <c r="G863" i="57" a="1"/>
  <c r="G863" i="57" s="1"/>
  <c r="F863" i="57" a="1"/>
  <c r="F863" i="57" s="1"/>
  <c r="G110" i="57" a="1"/>
  <c r="G110" i="57" s="1"/>
  <c r="F110" i="57" a="1"/>
  <c r="F110" i="57" s="1"/>
  <c r="G135" i="57" a="1"/>
  <c r="G135" i="57" s="1"/>
  <c r="F135" i="57" a="1"/>
  <c r="F135" i="57" s="1"/>
  <c r="G471" i="57" a="1"/>
  <c r="G471" i="57" s="1"/>
  <c r="F471" i="57" a="1"/>
  <c r="F471" i="57" s="1"/>
  <c r="G262" i="57" a="1"/>
  <c r="G262" i="57" s="1"/>
  <c r="F262" i="57" a="1"/>
  <c r="F262" i="57" s="1"/>
  <c r="G47" i="57" a="1"/>
  <c r="G47" i="57" s="1"/>
  <c r="F47" i="57" a="1"/>
  <c r="F47" i="57" s="1"/>
  <c r="G371" i="57" a="1"/>
  <c r="G371" i="57" s="1"/>
  <c r="F371" i="57" a="1"/>
  <c r="F371" i="57" s="1"/>
  <c r="G695" i="57" a="1"/>
  <c r="G695" i="57" s="1"/>
  <c r="F695" i="57" a="1"/>
  <c r="F695" i="57" s="1"/>
  <c r="G234" i="57" a="1"/>
  <c r="G234" i="57" s="1"/>
  <c r="F234" i="57" a="1"/>
  <c r="F234" i="57" s="1"/>
  <c r="G194" i="57" a="1"/>
  <c r="G194" i="57" s="1"/>
  <c r="F194" i="57" a="1"/>
  <c r="F194" i="57" s="1"/>
  <c r="G159" i="57" a="1"/>
  <c r="G159" i="57" s="1"/>
  <c r="F159" i="57" a="1"/>
  <c r="F159" i="57" s="1"/>
  <c r="G244" i="57" a="1"/>
  <c r="G244" i="57" s="1"/>
  <c r="F244" i="57" a="1"/>
  <c r="F244" i="57" s="1"/>
  <c r="G29" i="57" a="1"/>
  <c r="G29" i="57" s="1"/>
  <c r="F29" i="57" a="1"/>
  <c r="F29" i="57" s="1"/>
  <c r="G353" i="57" a="1"/>
  <c r="G353" i="57" s="1"/>
  <c r="F353" i="57" a="1"/>
  <c r="F353" i="57" s="1"/>
  <c r="G677" i="57" a="1"/>
  <c r="G677" i="57" s="1"/>
  <c r="F677" i="57" a="1"/>
  <c r="F677" i="57" s="1"/>
  <c r="G132" i="57" a="1"/>
  <c r="G132" i="57" s="1"/>
  <c r="F132" i="57" a="1"/>
  <c r="F132" i="57" s="1"/>
  <c r="G2500" i="57" a="1"/>
  <c r="G2500" i="57" s="1"/>
  <c r="F2500" i="57" a="1"/>
  <c r="F2500" i="57" s="1"/>
  <c r="G453" i="57" a="1"/>
  <c r="G453" i="57" s="1"/>
  <c r="F453" i="57" a="1"/>
  <c r="F453" i="57" s="1"/>
  <c r="G129" i="57" a="1"/>
  <c r="G129" i="57" s="1"/>
  <c r="F129" i="57" a="1"/>
  <c r="F129" i="57" s="1"/>
  <c r="G375" i="57" a="1"/>
  <c r="G375" i="57" s="1"/>
  <c r="F375" i="57" a="1"/>
  <c r="F375" i="57" s="1"/>
  <c r="G609" i="57" a="1"/>
  <c r="G609" i="57" s="1"/>
  <c r="F609" i="57" a="1"/>
  <c r="F609" i="57" s="1"/>
  <c r="G310" i="57" a="1"/>
  <c r="G310" i="57" s="1"/>
  <c r="F310" i="57" a="1"/>
  <c r="F310" i="57" s="1"/>
  <c r="G538" i="57" a="1"/>
  <c r="G538" i="57" s="1"/>
  <c r="F538" i="57" a="1"/>
  <c r="F538" i="57" s="1"/>
  <c r="G59" i="57" a="1"/>
  <c r="G59" i="57" s="1"/>
  <c r="F59" i="57" a="1"/>
  <c r="F59" i="57" s="1"/>
  <c r="G185" i="57" a="1"/>
  <c r="G185" i="57" s="1"/>
  <c r="F185" i="57" a="1"/>
  <c r="F185" i="57" s="1"/>
  <c r="G293" i="57" a="1"/>
  <c r="G293" i="57" s="1"/>
  <c r="F293" i="57" a="1"/>
  <c r="F293" i="57" s="1"/>
  <c r="G401" i="57" a="1"/>
  <c r="G401" i="57" s="1"/>
  <c r="F401" i="57" a="1"/>
  <c r="F401" i="57" s="1"/>
  <c r="G509" i="57" a="1"/>
  <c r="G509" i="57" s="1"/>
  <c r="F509" i="57" a="1"/>
  <c r="F509" i="57" s="1"/>
  <c r="G617" i="57" a="1"/>
  <c r="G617" i="57" s="1"/>
  <c r="F617" i="57" a="1"/>
  <c r="F617" i="57" s="1"/>
  <c r="G725" i="57" a="1"/>
  <c r="G725" i="57" s="1"/>
  <c r="F725" i="57" a="1"/>
  <c r="F725" i="57" s="1"/>
  <c r="G833" i="57" a="1"/>
  <c r="G833" i="57" s="1"/>
  <c r="F833" i="57" a="1"/>
  <c r="F833" i="57" s="1"/>
  <c r="G60" i="57" a="1"/>
  <c r="G60" i="57" s="1"/>
  <c r="F60" i="57" a="1"/>
  <c r="F60" i="57" s="1"/>
  <c r="G192" i="57" a="1"/>
  <c r="G192" i="57" s="1"/>
  <c r="F192" i="57" a="1"/>
  <c r="F192" i="57" s="1"/>
  <c r="G324" i="57" a="1"/>
  <c r="G324" i="57" s="1"/>
  <c r="F324" i="57" a="1"/>
  <c r="F324" i="57" s="1"/>
  <c r="G480" i="57" a="1"/>
  <c r="G480" i="57" s="1"/>
  <c r="F480" i="57" a="1"/>
  <c r="F480" i="57" s="1"/>
  <c r="G606" i="57" a="1"/>
  <c r="G606" i="57" s="1"/>
  <c r="F606" i="57" a="1"/>
  <c r="F606" i="57" s="1"/>
  <c r="G935" i="57" a="1"/>
  <c r="G935" i="57" s="1"/>
  <c r="F935" i="57" a="1"/>
  <c r="F935" i="57" s="1"/>
  <c r="G1043" i="57" a="1"/>
  <c r="G1043" i="57" s="1"/>
  <c r="F1043" i="57" a="1"/>
  <c r="F1043" i="57" s="1"/>
  <c r="G1151" i="57" a="1"/>
  <c r="G1151" i="57" s="1"/>
  <c r="F1151" i="57" a="1"/>
  <c r="F1151" i="57" s="1"/>
  <c r="G1259" i="57" a="1"/>
  <c r="G1259" i="57" s="1"/>
  <c r="F1259" i="57" a="1"/>
  <c r="F1259" i="57" s="1"/>
  <c r="G1397" i="57" a="1"/>
  <c r="G1397" i="57" s="1"/>
  <c r="F1397" i="57" a="1"/>
  <c r="F1397" i="57" s="1"/>
  <c r="G774" i="57" a="1"/>
  <c r="G774" i="57" s="1"/>
  <c r="F774" i="57" a="1"/>
  <c r="F774" i="57" s="1"/>
  <c r="G918" i="57" a="1"/>
  <c r="G918" i="57" s="1"/>
  <c r="F918" i="57" a="1"/>
  <c r="F918" i="57" s="1"/>
  <c r="G1044" i="57" a="1"/>
  <c r="G1044" i="57" s="1"/>
  <c r="F1044" i="57" a="1"/>
  <c r="F1044" i="57" s="1"/>
  <c r="G1170" i="57" a="1"/>
  <c r="G1170" i="57" s="1"/>
  <c r="F1170" i="57" a="1"/>
  <c r="F1170" i="57" s="1"/>
  <c r="G1296" i="57" a="1"/>
  <c r="G1296" i="57" s="1"/>
  <c r="F1296" i="57" a="1"/>
  <c r="F1296" i="57" s="1"/>
  <c r="G620" i="57" a="1"/>
  <c r="G620" i="57" s="1"/>
  <c r="F620" i="57" a="1"/>
  <c r="F620" i="57" s="1"/>
  <c r="G746" i="57" a="1"/>
  <c r="G746" i="57" s="1"/>
  <c r="F746" i="57" a="1"/>
  <c r="F746" i="57" s="1"/>
  <c r="G872" i="57" a="1"/>
  <c r="G872" i="57" s="1"/>
  <c r="F872" i="57" a="1"/>
  <c r="F872" i="57" s="1"/>
  <c r="G1034" i="57" a="1"/>
  <c r="G1034" i="57" s="1"/>
  <c r="F1034" i="57" a="1"/>
  <c r="F1034" i="57" s="1"/>
  <c r="G1196" i="57" a="1"/>
  <c r="G1196" i="57" s="1"/>
  <c r="F1196" i="57" a="1"/>
  <c r="F1196" i="57" s="1"/>
  <c r="G1358" i="57" a="1"/>
  <c r="G1358" i="57" s="1"/>
  <c r="F1358" i="57" a="1"/>
  <c r="F1358" i="57" s="1"/>
  <c r="G693" i="57" a="1"/>
  <c r="G693" i="57" s="1"/>
  <c r="F693" i="57" a="1"/>
  <c r="F693" i="57" s="1"/>
  <c r="G819" i="57" a="1"/>
  <c r="G819" i="57" s="1"/>
  <c r="F819" i="57" a="1"/>
  <c r="F819" i="57" s="1"/>
  <c r="G1155" i="57" a="1"/>
  <c r="G1155" i="57" s="1"/>
  <c r="F1155" i="57" a="1"/>
  <c r="F1155" i="57" s="1"/>
  <c r="G622" i="57" a="1"/>
  <c r="G622" i="57" s="1"/>
  <c r="F622" i="57" a="1"/>
  <c r="F622" i="57" s="1"/>
  <c r="G994" i="57" a="1"/>
  <c r="G994" i="57" s="1"/>
  <c r="F994" i="57" a="1"/>
  <c r="F994" i="57" s="1"/>
  <c r="G1360" i="57" a="1"/>
  <c r="G1360" i="57" s="1"/>
  <c r="F1360" i="57" a="1"/>
  <c r="F1360" i="57" s="1"/>
  <c r="G1617" i="57" a="1"/>
  <c r="G1617" i="57" s="1"/>
  <c r="F1617" i="57" a="1"/>
  <c r="F1617" i="57" s="1"/>
  <c r="G1923" i="57" a="1"/>
  <c r="G1923" i="57" s="1"/>
  <c r="F1923" i="57" a="1"/>
  <c r="F1923" i="57" s="1"/>
  <c r="G1732" i="57" a="1"/>
  <c r="G1732" i="57" s="1"/>
  <c r="F1732" i="57" a="1"/>
  <c r="F1732" i="57" s="1"/>
  <c r="G1589" i="57" a="1"/>
  <c r="G1589" i="57" s="1"/>
  <c r="F1589" i="57" a="1"/>
  <c r="F1589" i="57" s="1"/>
  <c r="G1610" i="57" a="1"/>
  <c r="G1610" i="57" s="1"/>
  <c r="F1610" i="57" a="1"/>
  <c r="F1610" i="57" s="1"/>
  <c r="G506" i="57" a="1"/>
  <c r="G506" i="57" s="1"/>
  <c r="F506" i="57" a="1"/>
  <c r="F506" i="57" s="1"/>
  <c r="G147" i="57" a="1"/>
  <c r="G147" i="57" s="1"/>
  <c r="F147" i="57" a="1"/>
  <c r="F147" i="57" s="1"/>
  <c r="G357" i="57" a="1"/>
  <c r="G357" i="57" s="1"/>
  <c r="F357" i="57" a="1"/>
  <c r="F357" i="57" s="1"/>
  <c r="G555" i="57" a="1"/>
  <c r="G555" i="57" s="1"/>
  <c r="F555" i="57" a="1"/>
  <c r="F555" i="57" s="1"/>
  <c r="G208" i="57" a="1"/>
  <c r="G208" i="57" s="1"/>
  <c r="F208" i="57" a="1"/>
  <c r="F208" i="57" s="1"/>
  <c r="G508" i="57" a="1"/>
  <c r="G508" i="57" s="1"/>
  <c r="F508" i="57" a="1"/>
  <c r="F508" i="57" s="1"/>
  <c r="G1071" i="57" a="1"/>
  <c r="G1071" i="57" s="1"/>
  <c r="F1071" i="57" a="1"/>
  <c r="F1071" i="57" s="1"/>
  <c r="G1413" i="57" a="1"/>
  <c r="G1413" i="57" s="1"/>
  <c r="F1413" i="57" a="1"/>
  <c r="F1413" i="57" s="1"/>
  <c r="G898" i="57" a="1"/>
  <c r="G898" i="57" s="1"/>
  <c r="F898" i="57" a="1"/>
  <c r="F898" i="57" s="1"/>
  <c r="G1264" i="57" a="1"/>
  <c r="G1264" i="57" s="1"/>
  <c r="F1264" i="57" a="1"/>
  <c r="F1264" i="57" s="1"/>
  <c r="G1521" i="57" a="1"/>
  <c r="G1521" i="57" s="1"/>
  <c r="F1521" i="57" a="1"/>
  <c r="F1521" i="57" s="1"/>
  <c r="G1833" i="57" a="1"/>
  <c r="G1833" i="57" s="1"/>
  <c r="F1833" i="57" a="1"/>
  <c r="F1833" i="57" s="1"/>
  <c r="G1636" i="57" a="1"/>
  <c r="G1636" i="57" s="1"/>
  <c r="F1636" i="57" a="1"/>
  <c r="F1636" i="57" s="1"/>
  <c r="G2484" i="57" a="1"/>
  <c r="G2484" i="57" s="1"/>
  <c r="F2484" i="57" a="1"/>
  <c r="F2484" i="57" s="1"/>
  <c r="G1466" i="57" a="1"/>
  <c r="G1466" i="57" s="1"/>
  <c r="F1466" i="57" a="1"/>
  <c r="F1466" i="57" s="1"/>
  <c r="G1983" i="57" a="1"/>
  <c r="G1983" i="57" s="1"/>
  <c r="F1983" i="57" a="1"/>
  <c r="F1983" i="57" s="1"/>
  <c r="G588" i="57" a="1"/>
  <c r="G588" i="57" s="1"/>
  <c r="F588" i="57" a="1"/>
  <c r="F588" i="57" s="1"/>
  <c r="G1031" i="57" a="1"/>
  <c r="G1031" i="57" s="1"/>
  <c r="F1031" i="57" a="1"/>
  <c r="F1031" i="57" s="1"/>
  <c r="G1157" i="57" a="1"/>
  <c r="G1157" i="57" s="1"/>
  <c r="F1157" i="57" a="1"/>
  <c r="F1157" i="57" s="1"/>
  <c r="G1265" i="57" a="1"/>
  <c r="G1265" i="57" s="1"/>
  <c r="F1265" i="57" a="1"/>
  <c r="F1265" i="57" s="1"/>
  <c r="G1415" i="57" a="1"/>
  <c r="G1415" i="57" s="1"/>
  <c r="F1415" i="57" a="1"/>
  <c r="F1415" i="57" s="1"/>
  <c r="G780" i="57" a="1"/>
  <c r="G780" i="57" s="1"/>
  <c r="F780" i="57" a="1"/>
  <c r="F780" i="57" s="1"/>
  <c r="G942" i="57" a="1"/>
  <c r="G942" i="57" s="1"/>
  <c r="F942" i="57" a="1"/>
  <c r="F942" i="57" s="1"/>
  <c r="G1068" i="57" a="1"/>
  <c r="G1068" i="57" s="1"/>
  <c r="F1068" i="57" a="1"/>
  <c r="F1068" i="57" s="1"/>
  <c r="G1200" i="57" a="1"/>
  <c r="G1200" i="57" s="1"/>
  <c r="F1200" i="57" a="1"/>
  <c r="F1200" i="57" s="1"/>
  <c r="G1338" i="57" a="1"/>
  <c r="G1338" i="57" s="1"/>
  <c r="F1338" i="57" a="1"/>
  <c r="F1338" i="57" s="1"/>
  <c r="G650" i="57" a="1"/>
  <c r="G650" i="57" s="1"/>
  <c r="F650" i="57" a="1"/>
  <c r="F650" i="57" s="1"/>
  <c r="G776" i="57" a="1"/>
  <c r="G776" i="57" s="1"/>
  <c r="F776" i="57" a="1"/>
  <c r="F776" i="57" s="1"/>
  <c r="G908" i="57" a="1"/>
  <c r="G908" i="57" s="1"/>
  <c r="F908" i="57" a="1"/>
  <c r="F908" i="57" s="1"/>
  <c r="G1070" i="57" a="1"/>
  <c r="G1070" i="57" s="1"/>
  <c r="F1070" i="57" a="1"/>
  <c r="F1070" i="57" s="1"/>
  <c r="G1232" i="57" a="1"/>
  <c r="G1232" i="57" s="1"/>
  <c r="F1232" i="57" a="1"/>
  <c r="F1232" i="57" s="1"/>
  <c r="G1394" i="57" a="1"/>
  <c r="G1394" i="57" s="1"/>
  <c r="F1394" i="57" a="1"/>
  <c r="F1394" i="57" s="1"/>
  <c r="G723" i="57" a="1"/>
  <c r="G723" i="57" s="1"/>
  <c r="F723" i="57" a="1"/>
  <c r="F723" i="57" s="1"/>
  <c r="G897" i="57" a="1"/>
  <c r="G897" i="57" s="1"/>
  <c r="F897" i="57" a="1"/>
  <c r="F897" i="57" s="1"/>
  <c r="G1227" i="57" a="1"/>
  <c r="G1227" i="57" s="1"/>
  <c r="F1227" i="57" a="1"/>
  <c r="F1227" i="57" s="1"/>
  <c r="G700" i="57" a="1"/>
  <c r="G700" i="57" s="1"/>
  <c r="F700" i="57" a="1"/>
  <c r="F700" i="57" s="1"/>
  <c r="G1072" i="57" a="1"/>
  <c r="G1072" i="57" s="1"/>
  <c r="F1072" i="57" a="1"/>
  <c r="F1072" i="57" s="1"/>
  <c r="G1438" i="57" a="1"/>
  <c r="G1438" i="57" s="1"/>
  <c r="F1438" i="57" a="1"/>
  <c r="F1438" i="57" s="1"/>
  <c r="G1689" i="57" a="1"/>
  <c r="G1689" i="57" s="1"/>
  <c r="F1689" i="57" a="1"/>
  <c r="F1689" i="57" s="1"/>
  <c r="G1492" i="57" a="1"/>
  <c r="G1492" i="57" s="1"/>
  <c r="F1492" i="57" a="1"/>
  <c r="F1492" i="57" s="1"/>
  <c r="G1804" i="57" a="1"/>
  <c r="G1804" i="57" s="1"/>
  <c r="F1804" i="57" a="1"/>
  <c r="F1804" i="57" s="1"/>
  <c r="G1715" i="57" a="1"/>
  <c r="G1715" i="57" s="1"/>
  <c r="F1715" i="57" a="1"/>
  <c r="F1715" i="57" s="1"/>
  <c r="G1730" i="57" a="1"/>
  <c r="G1730" i="57" s="1"/>
  <c r="F1730" i="57" a="1"/>
  <c r="F1730" i="57" s="1"/>
  <c r="G330" i="57" a="1"/>
  <c r="G330" i="57" s="1"/>
  <c r="F330" i="57" a="1"/>
  <c r="F330" i="57" s="1"/>
  <c r="G570" i="57" a="1"/>
  <c r="G570" i="57" s="1"/>
  <c r="F570" i="57" a="1"/>
  <c r="F570" i="57" s="1"/>
  <c r="G995" i="57" a="1"/>
  <c r="G995" i="57" s="1"/>
  <c r="F995" i="57" a="1"/>
  <c r="F995" i="57" s="1"/>
  <c r="G1035" i="57" a="1"/>
  <c r="G1035" i="57" s="1"/>
  <c r="F1035" i="57" a="1"/>
  <c r="F1035" i="57" s="1"/>
  <c r="G1377" i="57" a="1"/>
  <c r="G1377" i="57" s="1"/>
  <c r="F1377" i="57" a="1"/>
  <c r="F1377" i="57" s="1"/>
  <c r="G856" i="57" a="1"/>
  <c r="G856" i="57" s="1"/>
  <c r="F856" i="57" a="1"/>
  <c r="F856" i="57" s="1"/>
  <c r="G1222" i="57" a="1"/>
  <c r="G1222" i="57" s="1"/>
  <c r="F1222" i="57" a="1"/>
  <c r="F1222" i="57" s="1"/>
  <c r="G1485" i="57" a="1"/>
  <c r="G1485" i="57" s="1"/>
  <c r="F1485" i="57" a="1"/>
  <c r="F1485" i="57" s="1"/>
  <c r="G1797" i="57" a="1"/>
  <c r="G1797" i="57" s="1"/>
  <c r="F1797" i="57" a="1"/>
  <c r="F1797" i="57" s="1"/>
  <c r="G1600" i="57" a="1"/>
  <c r="G1600" i="57" s="1"/>
  <c r="F1600" i="57" a="1"/>
  <c r="F1600" i="57" s="1"/>
  <c r="G1918" i="57" a="1"/>
  <c r="G1918" i="57" s="1"/>
  <c r="F1918" i="57" a="1"/>
  <c r="F1918" i="57" s="1"/>
  <c r="G1895" i="57" a="1"/>
  <c r="G1895" i="57" s="1"/>
  <c r="F1895" i="57" a="1"/>
  <c r="F1895" i="57" s="1"/>
  <c r="G1910" i="57" a="1"/>
  <c r="G1910" i="57" s="1"/>
  <c r="F1910" i="57" a="1"/>
  <c r="F1910" i="57" s="1"/>
  <c r="G498" i="57" a="1"/>
  <c r="G498" i="57" s="1"/>
  <c r="F498" i="57" a="1"/>
  <c r="F498" i="57" s="1"/>
  <c r="G929" i="57" a="1"/>
  <c r="G929" i="57" s="1"/>
  <c r="F929" i="57" a="1"/>
  <c r="F929" i="57" s="1"/>
  <c r="G1055" i="57" a="1"/>
  <c r="G1055" i="57" s="1"/>
  <c r="F1055" i="57" a="1"/>
  <c r="F1055" i="57" s="1"/>
  <c r="G1163" i="57" a="1"/>
  <c r="G1163" i="57" s="1"/>
  <c r="F1163" i="57" a="1"/>
  <c r="F1163" i="57" s="1"/>
  <c r="G1271" i="57" a="1"/>
  <c r="G1271" i="57" s="1"/>
  <c r="F1271" i="57" a="1"/>
  <c r="F1271" i="57" s="1"/>
  <c r="G1433" i="57" a="1"/>
  <c r="G1433" i="57" s="1"/>
  <c r="F1433" i="57" a="1"/>
  <c r="F1433" i="57" s="1"/>
  <c r="G792" i="57" a="1"/>
  <c r="G792" i="57" s="1"/>
  <c r="F792" i="57" a="1"/>
  <c r="F792" i="57" s="1"/>
  <c r="G948" i="57" a="1"/>
  <c r="G948" i="57" s="1"/>
  <c r="F948" i="57" a="1"/>
  <c r="F948" i="57" s="1"/>
  <c r="G1074" i="57" a="1"/>
  <c r="G1074" i="57" s="1"/>
  <c r="F1074" i="57" a="1"/>
  <c r="F1074" i="57" s="1"/>
  <c r="G1212" i="57" a="1"/>
  <c r="G1212" i="57" s="1"/>
  <c r="F1212" i="57" a="1"/>
  <c r="F1212" i="57" s="1"/>
  <c r="G1344" i="57" a="1"/>
  <c r="G1344" i="57" s="1"/>
  <c r="F1344" i="57" a="1"/>
  <c r="F1344" i="57" s="1"/>
  <c r="G656" i="57" a="1"/>
  <c r="G656" i="57" s="1"/>
  <c r="F656" i="57" a="1"/>
  <c r="F656" i="57" s="1"/>
  <c r="G782" i="57" a="1"/>
  <c r="G782" i="57" s="1"/>
  <c r="F782" i="57" a="1"/>
  <c r="F782" i="57" s="1"/>
  <c r="G914" i="57" a="1"/>
  <c r="G914" i="57" s="1"/>
  <c r="F914" i="57" a="1"/>
  <c r="F914" i="57" s="1"/>
  <c r="G1076" i="57" a="1"/>
  <c r="G1076" i="57" s="1"/>
  <c r="F1076" i="57" a="1"/>
  <c r="F1076" i="57" s="1"/>
  <c r="G1238" i="57" a="1"/>
  <c r="G1238" i="57" s="1"/>
  <c r="F1238" i="57" a="1"/>
  <c r="F1238" i="57" s="1"/>
  <c r="G1400" i="57" a="1"/>
  <c r="G1400" i="57" s="1"/>
  <c r="F1400" i="57" a="1"/>
  <c r="F1400" i="57" s="1"/>
  <c r="G729" i="57" a="1"/>
  <c r="G729" i="57" s="1"/>
  <c r="F729" i="57" a="1"/>
  <c r="F729" i="57" s="1"/>
  <c r="G903" i="57" a="1"/>
  <c r="G903" i="57" s="1"/>
  <c r="F903" i="57" a="1"/>
  <c r="F903" i="57" s="1"/>
  <c r="G1233" i="57" a="1"/>
  <c r="G1233" i="57" s="1"/>
  <c r="F1233" i="57" a="1"/>
  <c r="F1233" i="57" s="1"/>
  <c r="G706" i="57" a="1"/>
  <c r="G706" i="57" s="1"/>
  <c r="F706" i="57" a="1"/>
  <c r="F706" i="57" s="1"/>
  <c r="G1078" i="57" a="1"/>
  <c r="G1078" i="57" s="1"/>
  <c r="F1078" i="57" a="1"/>
  <c r="F1078" i="57" s="1"/>
  <c r="G1444" i="57" a="1"/>
  <c r="G1444" i="57" s="1"/>
  <c r="F1444" i="57" a="1"/>
  <c r="F1444" i="57" s="1"/>
  <c r="G1701" i="57" a="1"/>
  <c r="G1701" i="57" s="1"/>
  <c r="F1701" i="57" a="1"/>
  <c r="F1701" i="57" s="1"/>
  <c r="G1510" i="57" a="1"/>
  <c r="G1510" i="57" s="1"/>
  <c r="F1510" i="57" a="1"/>
  <c r="F1510" i="57" s="1"/>
  <c r="G1816" i="57" a="1"/>
  <c r="G1816" i="57" s="1"/>
  <c r="F1816" i="57" a="1"/>
  <c r="F1816" i="57" s="1"/>
  <c r="G1751" i="57" a="1"/>
  <c r="G1751" i="57" s="1"/>
  <c r="F1751" i="57" a="1"/>
  <c r="F1751" i="57" s="1"/>
  <c r="G1766" i="57" a="1"/>
  <c r="G1766" i="57" s="1"/>
  <c r="F1766" i="57" a="1"/>
  <c r="F1766" i="57" s="1"/>
  <c r="G240" i="57" a="1"/>
  <c r="G240" i="57" s="1"/>
  <c r="F240" i="57" a="1"/>
  <c r="F240" i="57" s="1"/>
  <c r="G438" i="57" a="1"/>
  <c r="G438" i="57" s="1"/>
  <c r="F438" i="57" a="1"/>
  <c r="F438" i="57" s="1"/>
  <c r="G893" i="57" a="1"/>
  <c r="G893" i="57" s="1"/>
  <c r="F893" i="57" a="1"/>
  <c r="F893" i="57" s="1"/>
  <c r="G999" i="57" a="1"/>
  <c r="G999" i="57" s="1"/>
  <c r="F999" i="57" a="1"/>
  <c r="F999" i="57" s="1"/>
  <c r="G1335" i="57" a="1"/>
  <c r="G1335" i="57" s="1"/>
  <c r="F1335" i="57" a="1"/>
  <c r="F1335" i="57" s="1"/>
  <c r="G820" i="57" a="1"/>
  <c r="G820" i="57" s="1"/>
  <c r="F820" i="57" a="1"/>
  <c r="F820" i="57" s="1"/>
  <c r="G1186" i="57" a="1"/>
  <c r="G1186" i="57" s="1"/>
  <c r="F1186" i="57" a="1"/>
  <c r="F1186" i="57" s="1"/>
  <c r="F11" i="57" a="1"/>
  <c r="F11" i="57" s="1"/>
  <c r="G1761" i="57" a="1"/>
  <c r="G1761" i="57" s="1"/>
  <c r="F1761" i="57" a="1"/>
  <c r="F1761" i="57" s="1"/>
  <c r="G1570" i="57" a="1"/>
  <c r="G1570" i="57" s="1"/>
  <c r="F1570" i="57" a="1"/>
  <c r="F1570" i="57" s="1"/>
  <c r="G1882" i="57" a="1"/>
  <c r="G1882" i="57" s="1"/>
  <c r="F1882" i="57" a="1"/>
  <c r="F1882" i="57" s="1"/>
  <c r="G1841" i="57" a="1"/>
  <c r="G1841" i="57" s="1"/>
  <c r="F1841" i="57" a="1"/>
  <c r="F1841" i="57" s="1"/>
  <c r="G1862" i="57" a="1"/>
  <c r="G1862" i="57" s="1"/>
  <c r="F1862" i="57" a="1"/>
  <c r="F1862" i="57" s="1"/>
  <c r="G885" i="57" a="1"/>
  <c r="G885" i="57" s="1"/>
  <c r="F885" i="57" a="1"/>
  <c r="F885" i="57" s="1"/>
  <c r="G1005" i="57" a="1"/>
  <c r="G1005" i="57" s="1"/>
  <c r="F1005" i="57" a="1"/>
  <c r="F1005" i="57" s="1"/>
  <c r="G1113" i="57" a="1"/>
  <c r="G1113" i="57" s="1"/>
  <c r="F1113" i="57" a="1"/>
  <c r="F1113" i="57" s="1"/>
  <c r="G1221" i="57" a="1"/>
  <c r="G1221" i="57" s="1"/>
  <c r="F1221" i="57" a="1"/>
  <c r="F1221" i="57" s="1"/>
  <c r="G1341" i="57" a="1"/>
  <c r="G1341" i="57" s="1"/>
  <c r="F1341" i="57" a="1"/>
  <c r="F1341" i="57" s="1"/>
  <c r="G568" i="57" a="1"/>
  <c r="G568" i="57" s="1"/>
  <c r="F568" i="57" a="1"/>
  <c r="F568" i="57" s="1"/>
  <c r="G694" i="57" a="1"/>
  <c r="G694" i="57" s="1"/>
  <c r="F694" i="57" a="1"/>
  <c r="F694" i="57" s="1"/>
  <c r="G826" i="57" a="1"/>
  <c r="G826" i="57" s="1"/>
  <c r="F826" i="57" a="1"/>
  <c r="F826" i="57" s="1"/>
  <c r="G952" i="57" a="1"/>
  <c r="G952" i="57" s="1"/>
  <c r="F952" i="57" a="1"/>
  <c r="F952" i="57" s="1"/>
  <c r="G1066" i="57" a="1"/>
  <c r="G1066" i="57" s="1"/>
  <c r="F1066" i="57" a="1"/>
  <c r="F1066" i="57" s="1"/>
  <c r="G1192" i="57" a="1"/>
  <c r="G1192" i="57" s="1"/>
  <c r="F1192" i="57" a="1"/>
  <c r="F1192" i="57" s="1"/>
  <c r="G1306" i="57" a="1"/>
  <c r="G1306" i="57" s="1"/>
  <c r="F1306" i="57" a="1"/>
  <c r="F1306" i="57" s="1"/>
  <c r="G1432" i="57" a="1"/>
  <c r="G1432" i="57" s="1"/>
  <c r="F1432" i="57" a="1"/>
  <c r="F1432" i="57" s="1"/>
  <c r="G1461" i="57" a="1"/>
  <c r="G1461" i="57" s="1"/>
  <c r="F1461" i="57" a="1"/>
  <c r="F1461" i="57" s="1"/>
  <c r="G1725" i="57" a="1"/>
  <c r="G1725" i="57" s="1"/>
  <c r="F1725" i="57" a="1"/>
  <c r="F1725" i="57" s="1"/>
  <c r="G1480" i="57" a="1"/>
  <c r="G1480" i="57" s="1"/>
  <c r="F1480" i="57" a="1"/>
  <c r="F1480" i="57" s="1"/>
  <c r="G1738" i="57" a="1"/>
  <c r="G1738" i="57" s="1"/>
  <c r="F1738" i="57" a="1"/>
  <c r="F1738" i="57" s="1"/>
  <c r="G1481" i="57" a="1"/>
  <c r="G1481" i="57" s="1"/>
  <c r="F1481" i="57" a="1"/>
  <c r="F1481" i="57" s="1"/>
  <c r="G1739" i="57" a="1"/>
  <c r="G1739" i="57" s="1"/>
  <c r="F1739" i="57" a="1"/>
  <c r="F1739" i="57" s="1"/>
  <c r="G1502" i="57" a="1"/>
  <c r="G1502" i="57" s="1"/>
  <c r="F1502" i="57" a="1"/>
  <c r="F1502" i="57" s="1"/>
  <c r="G1760" i="57" a="1"/>
  <c r="G1760" i="57" s="1"/>
  <c r="F1760" i="57" a="1"/>
  <c r="F1760" i="57" s="1"/>
  <c r="G2019" i="57" a="1"/>
  <c r="G2019" i="57" s="1"/>
  <c r="F2019" i="57" a="1"/>
  <c r="F2019" i="57" s="1"/>
  <c r="G2277" i="57" a="1"/>
  <c r="G2277" i="57" s="1"/>
  <c r="F2277" i="57" a="1"/>
  <c r="F2277" i="57" s="1"/>
  <c r="G2056" i="57" a="1"/>
  <c r="G2056" i="57" s="1"/>
  <c r="F2056" i="57" a="1"/>
  <c r="F2056" i="57" s="1"/>
  <c r="G2374" i="57" a="1"/>
  <c r="G2374" i="57" s="1"/>
  <c r="F2374" i="57" a="1"/>
  <c r="F2374" i="57" s="1"/>
  <c r="G2207" i="57" a="1"/>
  <c r="G2207" i="57" s="1"/>
  <c r="F2207" i="57" a="1"/>
  <c r="F2207" i="57" s="1"/>
  <c r="G2060" i="57" a="1"/>
  <c r="G2060" i="57" s="1"/>
  <c r="F2060" i="57" a="1"/>
  <c r="F2060" i="57" s="1"/>
  <c r="G2390" i="57" a="1"/>
  <c r="G2390" i="57" s="1"/>
  <c r="F2390" i="57" a="1"/>
  <c r="F2390" i="57" s="1"/>
  <c r="G164" i="57" a="1"/>
  <c r="G164" i="57" s="1"/>
  <c r="F164" i="57" a="1"/>
  <c r="F164" i="57" s="1"/>
  <c r="G1692" i="57" a="1"/>
  <c r="G1692" i="57" s="1"/>
  <c r="F1692" i="57" a="1"/>
  <c r="F1692" i="57" s="1"/>
  <c r="G927" i="57" a="1"/>
  <c r="G927" i="57" s="1"/>
  <c r="F927" i="57" a="1"/>
  <c r="F927" i="57" s="1"/>
  <c r="G2025" i="57" a="1"/>
  <c r="G2025" i="57" s="1"/>
  <c r="F2025" i="57" a="1"/>
  <c r="F2025" i="57" s="1"/>
  <c r="G2283" i="57" a="1"/>
  <c r="G2283" i="57" s="1"/>
  <c r="F2283" i="57" a="1"/>
  <c r="F2283" i="57" s="1"/>
  <c r="G2068" i="57" a="1"/>
  <c r="G2068" i="57" s="1"/>
  <c r="F2068" i="57" a="1"/>
  <c r="F2068" i="57" s="1"/>
  <c r="G2380" i="57" a="1"/>
  <c r="G2380" i="57" s="1"/>
  <c r="F2380" i="57" a="1"/>
  <c r="F2380" i="57" s="1"/>
  <c r="G2213" i="57" a="1"/>
  <c r="G2213" i="57" s="1"/>
  <c r="F2213" i="57" a="1"/>
  <c r="F2213" i="57" s="1"/>
  <c r="G2066" i="57" a="1"/>
  <c r="G2066" i="57" s="1"/>
  <c r="F2066" i="57" a="1"/>
  <c r="F2066" i="57" s="1"/>
  <c r="G2396" i="57" a="1"/>
  <c r="G2396" i="57" s="1"/>
  <c r="F2396" i="57" a="1"/>
  <c r="F2396" i="57" s="1"/>
  <c r="G200" i="57" a="1"/>
  <c r="G200" i="57" s="1"/>
  <c r="F200" i="57" a="1"/>
  <c r="F200" i="57" s="1"/>
  <c r="G1698" i="57" a="1"/>
  <c r="G1698" i="57" s="1"/>
  <c r="F1698" i="57" a="1"/>
  <c r="F1698" i="57" s="1"/>
  <c r="G1968" i="57" a="1"/>
  <c r="G1968" i="57" s="1"/>
  <c r="F1968" i="57" a="1"/>
  <c r="F1968" i="57" s="1"/>
  <c r="G2079" i="57" a="1"/>
  <c r="G2079" i="57" s="1"/>
  <c r="F2079" i="57" a="1"/>
  <c r="F2079" i="57" s="1"/>
  <c r="G2337" i="57" a="1"/>
  <c r="G2337" i="57" s="1"/>
  <c r="F2337" i="57" a="1"/>
  <c r="F2337" i="57" s="1"/>
  <c r="G2128" i="57" a="1"/>
  <c r="G2128" i="57" s="1"/>
  <c r="F2128" i="57" a="1"/>
  <c r="F2128" i="57" s="1"/>
  <c r="G1961" i="57" a="1"/>
  <c r="G1961" i="57" s="1"/>
  <c r="F1961" i="57" a="1"/>
  <c r="F1961" i="57" s="1"/>
  <c r="G2273" i="57" a="1"/>
  <c r="G2273" i="57" s="1"/>
  <c r="F2273" i="57" a="1"/>
  <c r="F2273" i="57" s="1"/>
  <c r="G2132" i="57" a="1"/>
  <c r="G2132" i="57" s="1"/>
  <c r="F2132" i="57" a="1"/>
  <c r="F2132" i="57" s="1"/>
  <c r="G2475" i="57" a="1"/>
  <c r="G2475" i="57" s="1"/>
  <c r="F2475" i="57" a="1"/>
  <c r="F2475" i="57" s="1"/>
  <c r="G2465" i="57" a="1"/>
  <c r="G2465" i="57" s="1"/>
  <c r="F2465" i="57" a="1"/>
  <c r="F2465" i="57" s="1"/>
  <c r="G1776" i="57" a="1"/>
  <c r="G1776" i="57" s="1"/>
  <c r="F1776" i="57" a="1"/>
  <c r="F1776" i="57" s="1"/>
  <c r="G2268" i="57" a="1"/>
  <c r="G2268" i="57" s="1"/>
  <c r="F2268" i="57" a="1"/>
  <c r="F2268" i="57" s="1"/>
  <c r="G2127" i="57" a="1"/>
  <c r="G2127" i="57" s="1"/>
  <c r="F2127" i="57" a="1"/>
  <c r="F2127" i="57" s="1"/>
  <c r="G2385" i="57" a="1"/>
  <c r="G2385" i="57" s="1"/>
  <c r="F2385" i="57" a="1"/>
  <c r="F2385" i="57" s="1"/>
  <c r="G2182" i="57" a="1"/>
  <c r="G2182" i="57" s="1"/>
  <c r="F2182" i="57" a="1"/>
  <c r="F2182" i="57" s="1"/>
  <c r="G2027" i="57" a="1"/>
  <c r="G2027" i="57" s="1"/>
  <c r="F2027" i="57" a="1"/>
  <c r="F2027" i="57" s="1"/>
  <c r="G2339" i="57" a="1"/>
  <c r="G2339" i="57" s="1"/>
  <c r="F2339" i="57" a="1"/>
  <c r="F2339" i="57" s="1"/>
  <c r="G2186" i="57" a="1"/>
  <c r="G2186" i="57" s="1"/>
  <c r="F2186" i="57" a="1"/>
  <c r="F2186" i="57" s="1"/>
  <c r="G91" i="57" a="1"/>
  <c r="G91" i="57" s="1"/>
  <c r="F91" i="57" a="1"/>
  <c r="F91" i="57" s="1"/>
  <c r="G2509" i="57" a="1"/>
  <c r="G2509" i="57" s="1"/>
  <c r="F2509" i="57" a="1"/>
  <c r="F2509" i="57" s="1"/>
  <c r="G1549" i="57" a="1"/>
  <c r="G1549" i="57" s="1"/>
  <c r="F1549" i="57" a="1"/>
  <c r="F1549" i="57" s="1"/>
  <c r="G1801" i="57" a="1"/>
  <c r="G1801" i="57" s="1"/>
  <c r="F1801" i="57" a="1"/>
  <c r="F1801" i="57" s="1"/>
  <c r="G1553" i="57" a="1"/>
  <c r="G1553" i="57" s="1"/>
  <c r="F1553" i="57" a="1"/>
  <c r="F1553" i="57" s="1"/>
  <c r="G1811" i="57" a="1"/>
  <c r="G1811" i="57" s="1"/>
  <c r="F1811" i="57" a="1"/>
  <c r="F1811" i="57" s="1"/>
  <c r="G1574" i="57" a="1"/>
  <c r="G1574" i="57" s="1"/>
  <c r="F1574" i="57" a="1"/>
  <c r="F1574" i="57" s="1"/>
  <c r="G1832" i="57" a="1"/>
  <c r="G1832" i="57" s="1"/>
  <c r="F1832" i="57" a="1"/>
  <c r="F1832" i="57" s="1"/>
  <c r="G2091" i="57" a="1"/>
  <c r="G2091" i="57" s="1"/>
  <c r="F2091" i="57" a="1"/>
  <c r="F2091" i="57" s="1"/>
  <c r="G2349" i="57" a="1"/>
  <c r="G2349" i="57" s="1"/>
  <c r="F2349" i="57" a="1"/>
  <c r="F2349" i="57" s="1"/>
  <c r="G2140" i="57" a="1"/>
  <c r="G2140" i="57" s="1"/>
  <c r="F2140" i="57" a="1"/>
  <c r="F2140" i="57" s="1"/>
  <c r="G1985" i="57" a="1"/>
  <c r="G1985" i="57" s="1"/>
  <c r="F1985" i="57" a="1"/>
  <c r="F1985" i="57" s="1"/>
  <c r="G2297" i="57" a="1"/>
  <c r="G2297" i="57" s="1"/>
  <c r="F2297" i="57" a="1"/>
  <c r="F2297" i="57" s="1"/>
  <c r="G2144" i="57" a="1"/>
  <c r="G2144" i="57" s="1"/>
  <c r="F2144" i="57" a="1"/>
  <c r="F2144" i="57" s="1"/>
  <c r="G31" i="57" a="1"/>
  <c r="G31" i="57" s="1"/>
  <c r="F31" i="57" a="1"/>
  <c r="F31" i="57" s="1"/>
  <c r="F14" i="57" a="1"/>
  <c r="F14" i="57" s="1"/>
  <c r="G1824" i="57" a="1"/>
  <c r="G1824" i="57" s="1"/>
  <c r="F1824" i="57" a="1"/>
  <c r="F1824" i="57" s="1"/>
  <c r="G2358" i="57" a="1"/>
  <c r="G2358" i="57" s="1"/>
  <c r="F2358" i="57" a="1"/>
  <c r="F2358" i="57" s="1"/>
  <c r="G1475" i="57" a="1"/>
  <c r="G1475" i="57" s="1"/>
  <c r="F1475" i="57" a="1"/>
  <c r="F1475" i="57" s="1"/>
  <c r="G1733" i="57" a="1"/>
  <c r="G1733" i="57" s="1"/>
  <c r="F1733" i="57" a="1"/>
  <c r="F1733" i="57" s="1"/>
  <c r="G1490" i="57" a="1"/>
  <c r="G1490" i="57" s="1"/>
  <c r="F1490" i="57" a="1"/>
  <c r="F1490" i="57" s="1"/>
  <c r="G1754" i="57" a="1"/>
  <c r="G1754" i="57" s="1"/>
  <c r="F1754" i="57" a="1"/>
  <c r="F1754" i="57" s="1"/>
  <c r="G2013" i="57" a="1"/>
  <c r="G2013" i="57" s="1"/>
  <c r="F2013" i="57" a="1"/>
  <c r="F2013" i="57" s="1"/>
  <c r="G2271" i="57" a="1"/>
  <c r="G2271" i="57" s="1"/>
  <c r="F2271" i="57" a="1"/>
  <c r="F2271" i="57" s="1"/>
  <c r="G2050" i="57" a="1"/>
  <c r="G2050" i="57" s="1"/>
  <c r="F2050" i="57" a="1"/>
  <c r="F2050" i="57" s="1"/>
  <c r="G2356" i="57" a="1"/>
  <c r="G2356" i="57" s="1"/>
  <c r="F2356" i="57" a="1"/>
  <c r="F2356" i="57" s="1"/>
  <c r="G2201" i="57" a="1"/>
  <c r="G2201" i="57" s="1"/>
  <c r="F2201" i="57" a="1"/>
  <c r="F2201" i="57" s="1"/>
  <c r="G2054" i="57" a="1"/>
  <c r="G2054" i="57" s="1"/>
  <c r="F2054" i="57" a="1"/>
  <c r="F2054" i="57" s="1"/>
  <c r="G2366" i="57" a="1"/>
  <c r="G2366" i="57" s="1"/>
  <c r="F2366" i="57" a="1"/>
  <c r="F2366" i="57" s="1"/>
  <c r="G92" i="57" a="1"/>
  <c r="G92" i="57" s="1"/>
  <c r="F92" i="57" a="1"/>
  <c r="F92" i="57" s="1"/>
  <c r="G1668" i="57" a="1"/>
  <c r="G1668" i="57" s="1"/>
  <c r="F1668" i="57" a="1"/>
  <c r="F1668" i="57" s="1"/>
  <c r="G1406" i="57" a="1"/>
  <c r="G1406" i="57" s="1"/>
  <c r="F1406" i="57" a="1"/>
  <c r="F1406" i="57" s="1"/>
  <c r="G232" i="57" a="1"/>
  <c r="G232" i="57" s="1"/>
  <c r="F232" i="57" a="1"/>
  <c r="F232" i="57" s="1"/>
  <c r="G1647" i="57" a="1"/>
  <c r="G1647" i="57" s="1"/>
  <c r="F1647" i="57" a="1"/>
  <c r="F1647" i="57" s="1"/>
  <c r="G1863" i="57" a="1"/>
  <c r="G1863" i="57" s="1"/>
  <c r="F1863" i="57" a="1"/>
  <c r="F1863" i="57" s="1"/>
  <c r="G1576" i="57" a="1"/>
  <c r="G1576" i="57" s="1"/>
  <c r="F1576" i="57" a="1"/>
  <c r="F1576" i="57" s="1"/>
  <c r="G1792" i="57" a="1"/>
  <c r="G1792" i="57" s="1"/>
  <c r="F1792" i="57" a="1"/>
  <c r="F1792" i="57" s="1"/>
  <c r="G1493" i="57" a="1"/>
  <c r="G1493" i="57" s="1"/>
  <c r="F1493" i="57" a="1"/>
  <c r="F1493" i="57" s="1"/>
  <c r="G1709" i="57" a="1"/>
  <c r="G1709" i="57" s="1"/>
  <c r="F1709" i="57" a="1"/>
  <c r="F1709" i="57" s="1"/>
  <c r="G1925" i="57" a="1"/>
  <c r="G1925" i="57" s="1"/>
  <c r="F1925" i="57" a="1"/>
  <c r="F1925" i="57" s="1"/>
  <c r="G1640" i="57" a="1"/>
  <c r="G1640" i="57" s="1"/>
  <c r="F1640" i="57" a="1"/>
  <c r="F1640" i="57" s="1"/>
  <c r="G1856" i="57" a="1"/>
  <c r="G1856" i="57" s="1"/>
  <c r="F1856" i="57" a="1"/>
  <c r="F1856" i="57" s="1"/>
  <c r="G2073" i="57" a="1"/>
  <c r="G2073" i="57" s="1"/>
  <c r="F2073" i="57" a="1"/>
  <c r="F2073" i="57" s="1"/>
  <c r="G2289" i="57" a="1"/>
  <c r="G2289" i="57" s="1"/>
  <c r="F2289" i="57" a="1"/>
  <c r="F2289" i="57" s="1"/>
  <c r="G2020" i="57" a="1"/>
  <c r="G2020" i="57" s="1"/>
  <c r="F2020" i="57" a="1"/>
  <c r="F2020" i="57" s="1"/>
  <c r="G2278" i="57" a="1"/>
  <c r="G2278" i="57" s="1"/>
  <c r="F2278" i="57" a="1"/>
  <c r="F2278" i="57" s="1"/>
  <c r="G2063" i="57" a="1"/>
  <c r="G2063" i="57" s="1"/>
  <c r="F2063" i="57" a="1"/>
  <c r="F2063" i="57" s="1"/>
  <c r="G2321" i="57" a="1"/>
  <c r="G2321" i="57" s="1"/>
  <c r="F2321" i="57" a="1"/>
  <c r="F2321" i="57" s="1"/>
  <c r="G2126" i="57" a="1"/>
  <c r="G2126" i="57" s="1"/>
  <c r="F2126" i="57" a="1"/>
  <c r="F2126" i="57" s="1"/>
  <c r="G2384" i="57" a="1"/>
  <c r="G2384" i="57" s="1"/>
  <c r="F2384" i="57" a="1"/>
  <c r="F2384" i="57" s="1"/>
  <c r="G193" i="57" a="1"/>
  <c r="G193" i="57" s="1"/>
  <c r="F193" i="57" a="1"/>
  <c r="F193" i="57" s="1"/>
  <c r="G69" i="57" a="1"/>
  <c r="G69" i="57" s="1"/>
  <c r="F69" i="57" a="1"/>
  <c r="F69" i="57" s="1"/>
  <c r="G1680" i="57" a="1"/>
  <c r="G1680" i="57" s="1"/>
  <c r="F1680" i="57" a="1"/>
  <c r="F1680" i="57" s="1"/>
  <c r="G1944" i="57" a="1"/>
  <c r="G1944" i="57" s="1"/>
  <c r="F1944" i="57" a="1"/>
  <c r="F1944" i="57" s="1"/>
  <c r="G1711" i="57" a="1"/>
  <c r="G1711" i="57" s="1"/>
  <c r="F1711" i="57" a="1"/>
  <c r="F1711" i="57" s="1"/>
  <c r="G421" i="57" a="1"/>
  <c r="G421" i="57" s="1"/>
  <c r="F421" i="57" a="1"/>
  <c r="F421" i="57" s="1"/>
  <c r="G848" i="57" a="1"/>
  <c r="G848" i="57" s="1"/>
  <c r="F848" i="57" a="1"/>
  <c r="F848" i="57" s="1"/>
  <c r="G1950" i="57" a="1"/>
  <c r="G1950" i="57" s="1"/>
  <c r="F1950" i="57" a="1"/>
  <c r="F1950" i="57" s="1"/>
  <c r="G2214" i="57" a="1"/>
  <c r="G2214" i="57" s="1"/>
  <c r="F2214" i="57" a="1"/>
  <c r="F2214" i="57" s="1"/>
  <c r="G2472" i="57" a="1"/>
  <c r="G2472" i="57" s="1"/>
  <c r="F2472" i="57" a="1"/>
  <c r="F2472" i="57" s="1"/>
  <c r="G1957" i="57" a="1"/>
  <c r="G1957" i="57" s="1"/>
  <c r="F1957" i="57" a="1"/>
  <c r="F1957" i="57" s="1"/>
  <c r="G402" i="57" a="1"/>
  <c r="G402" i="57" s="1"/>
  <c r="F402" i="57" a="1"/>
  <c r="F402" i="57" s="1"/>
  <c r="G1063" i="57" a="1"/>
  <c r="G1063" i="57" s="1"/>
  <c r="F1063" i="57" a="1"/>
  <c r="F1063" i="57" s="1"/>
  <c r="G1860" i="57" a="1"/>
  <c r="G1860" i="57" s="1"/>
  <c r="F1860" i="57" a="1"/>
  <c r="F1860" i="57" s="1"/>
  <c r="G1633" i="57" a="1"/>
  <c r="G1633" i="57" s="1"/>
  <c r="F1633" i="57" a="1"/>
  <c r="F1633" i="57" s="1"/>
  <c r="G343" i="57" a="1"/>
  <c r="G343" i="57" s="1"/>
  <c r="F343" i="57" a="1"/>
  <c r="F343" i="57" s="1"/>
  <c r="G601" i="57" a="1"/>
  <c r="G601" i="57" s="1"/>
  <c r="F601" i="57" a="1"/>
  <c r="F601" i="57" s="1"/>
  <c r="G1388" i="57" a="1"/>
  <c r="G1388" i="57" s="1"/>
  <c r="F1388" i="57" a="1"/>
  <c r="F1388" i="57" s="1"/>
  <c r="G2130" i="57" a="1"/>
  <c r="G2130" i="57" s="1"/>
  <c r="F2130" i="57" a="1"/>
  <c r="F2130" i="57" s="1"/>
  <c r="G2394" i="57" a="1"/>
  <c r="G2394" i="57" s="1"/>
  <c r="F2394" i="57" a="1"/>
  <c r="F2394" i="57" s="1"/>
  <c r="G1879" i="57" a="1"/>
  <c r="G1879" i="57" s="1"/>
  <c r="F1879" i="57" a="1"/>
  <c r="F1879" i="57" s="1"/>
  <c r="G2137" i="57" a="1"/>
  <c r="G2137" i="57" s="1"/>
  <c r="F2137" i="57" a="1"/>
  <c r="F2137" i="57" s="1"/>
  <c r="G805" i="57" a="1"/>
  <c r="G805" i="57" s="1"/>
  <c r="F805" i="57" a="1"/>
  <c r="F805" i="57" s="1"/>
  <c r="G46" i="57" a="1"/>
  <c r="G46" i="57" s="1"/>
  <c r="F46" i="57" a="1"/>
  <c r="F46" i="57" s="1"/>
  <c r="G1513" i="57" a="1"/>
  <c r="G1513" i="57" s="1"/>
  <c r="F1513" i="57" a="1"/>
  <c r="F1513" i="57" s="1"/>
  <c r="G276" i="57" a="1"/>
  <c r="G276" i="57" s="1"/>
  <c r="F276" i="57" a="1"/>
  <c r="F276" i="57" s="1"/>
  <c r="G487" i="57" a="1"/>
  <c r="G487" i="57" s="1"/>
  <c r="F487" i="57" a="1"/>
  <c r="F487" i="57" s="1"/>
  <c r="G1046" i="57" a="1"/>
  <c r="G1046" i="57" s="1"/>
  <c r="F1046" i="57" a="1"/>
  <c r="F1046" i="57" s="1"/>
  <c r="G2016" i="57" a="1"/>
  <c r="G2016" i="57" s="1"/>
  <c r="F2016" i="57" a="1"/>
  <c r="F2016" i="57" s="1"/>
  <c r="G2274" i="57" a="1"/>
  <c r="G2274" i="57" s="1"/>
  <c r="F2274" i="57" a="1"/>
  <c r="F2274" i="57" s="1"/>
  <c r="G1765" i="57" a="1"/>
  <c r="G1765" i="57" s="1"/>
  <c r="F1765" i="57" a="1"/>
  <c r="F1765" i="57" s="1"/>
  <c r="G2023" i="57" a="1"/>
  <c r="G2023" i="57" s="1"/>
  <c r="F2023" i="57" a="1"/>
  <c r="F2023" i="57" s="1"/>
  <c r="G756" i="57" a="1"/>
  <c r="G756" i="57" s="1"/>
  <c r="F756" i="57" a="1"/>
  <c r="F756" i="57" s="1"/>
  <c r="G1219" i="57" a="1"/>
  <c r="G1219" i="57" s="1"/>
  <c r="F1219" i="57" a="1"/>
  <c r="F1219" i="57" s="1"/>
  <c r="G1884" i="57" a="1"/>
  <c r="G1884" i="57" s="1"/>
  <c r="F1884" i="57" a="1"/>
  <c r="F1884" i="57" s="1"/>
  <c r="G1651" i="57" a="1"/>
  <c r="G1651" i="57" s="1"/>
  <c r="F1651" i="57" a="1"/>
  <c r="F1651" i="57" s="1"/>
  <c r="G361" i="57" a="1"/>
  <c r="G361" i="57" s="1"/>
  <c r="F361" i="57" a="1"/>
  <c r="F361" i="57" s="1"/>
  <c r="G338" i="57" a="1"/>
  <c r="G338" i="57" s="1"/>
  <c r="F338" i="57" a="1"/>
  <c r="F338" i="57" s="1"/>
  <c r="G639" i="57" a="1"/>
  <c r="G639" i="57" s="1"/>
  <c r="F639" i="57" a="1"/>
  <c r="F639" i="57" s="1"/>
  <c r="G2154" i="57" a="1"/>
  <c r="G2154" i="57" s="1"/>
  <c r="F2154" i="57" a="1"/>
  <c r="F2154" i="57" s="1"/>
  <c r="G2412" i="57" a="1"/>
  <c r="G2412" i="57" s="1"/>
  <c r="F2412" i="57" a="1"/>
  <c r="F2412" i="57" s="1"/>
  <c r="G1897" i="57" a="1"/>
  <c r="G1897" i="57" s="1"/>
  <c r="F1897" i="57" a="1"/>
  <c r="F1897" i="57" s="1"/>
  <c r="G2167" i="57" a="1"/>
  <c r="G2167" i="57" s="1"/>
  <c r="F2167" i="57" a="1"/>
  <c r="F2167" i="57" s="1"/>
  <c r="G901" i="57" a="1"/>
  <c r="G901" i="57" s="1"/>
  <c r="F901" i="57" a="1"/>
  <c r="F901" i="57" s="1"/>
  <c r="G2233" i="57" a="1"/>
  <c r="G2233" i="57" s="1"/>
  <c r="F2233" i="57" a="1"/>
  <c r="F2233" i="57" s="1"/>
  <c r="G97" i="57" a="1"/>
  <c r="G97" i="57" s="1"/>
  <c r="F97" i="57" a="1"/>
  <c r="F97" i="57" s="1"/>
  <c r="G308" i="57" a="1"/>
  <c r="G308" i="57" s="1"/>
  <c r="F308" i="57" a="1"/>
  <c r="F308" i="57" s="1"/>
  <c r="G1590" i="57" a="1"/>
  <c r="G1590" i="57" s="1"/>
  <c r="F1590" i="57" a="1"/>
  <c r="F1590" i="57" s="1"/>
  <c r="G1848" i="57" a="1"/>
  <c r="G1848" i="57" s="1"/>
  <c r="F1848" i="57" a="1"/>
  <c r="F1848" i="57" s="1"/>
  <c r="G1615" i="57" a="1"/>
  <c r="G1615" i="57" s="1"/>
  <c r="F1615" i="57" a="1"/>
  <c r="F1615" i="57" s="1"/>
  <c r="G325" i="57" a="1"/>
  <c r="G325" i="57" s="1"/>
  <c r="F325" i="57" a="1"/>
  <c r="F325" i="57" s="1"/>
  <c r="G589" i="57" a="1"/>
  <c r="G589" i="57" s="1"/>
  <c r="F589" i="57" a="1"/>
  <c r="F589" i="57" s="1"/>
  <c r="G1352" i="57" a="1"/>
  <c r="G1352" i="57" s="1"/>
  <c r="F1352" i="57" a="1"/>
  <c r="F1352" i="57" s="1"/>
  <c r="G2118" i="57" a="1"/>
  <c r="G2118" i="57" s="1"/>
  <c r="F2118" i="57" a="1"/>
  <c r="F2118" i="57" s="1"/>
  <c r="G2376" i="57" a="1"/>
  <c r="G2376" i="57" s="1"/>
  <c r="F2376" i="57" a="1"/>
  <c r="F2376" i="57" s="1"/>
  <c r="G1861" i="57" a="1"/>
  <c r="G1861" i="57" s="1"/>
  <c r="F1861" i="57" a="1"/>
  <c r="F1861" i="57" s="1"/>
  <c r="G2125" i="57" a="1"/>
  <c r="G2125" i="57" s="1"/>
  <c r="F2125" i="57" a="1"/>
  <c r="F2125" i="57" s="1"/>
  <c r="G1440" i="57" a="1"/>
  <c r="G1440" i="57" s="1"/>
  <c r="F1440" i="57" a="1"/>
  <c r="F1440" i="57" s="1"/>
  <c r="G496" i="57" a="1"/>
  <c r="G496" i="57" s="1"/>
  <c r="F496" i="57" a="1"/>
  <c r="F496" i="57" s="1"/>
  <c r="G2044" i="57" a="1"/>
  <c r="G2044" i="57" s="1"/>
  <c r="F2044" i="57" a="1"/>
  <c r="F2044" i="57" s="1"/>
  <c r="G2260" i="57" a="1"/>
  <c r="G2260" i="57" s="1"/>
  <c r="F2260" i="57" a="1"/>
  <c r="F2260" i="57" s="1"/>
  <c r="G2003" i="57" a="1"/>
  <c r="G2003" i="57" s="1"/>
  <c r="F2003" i="57" a="1"/>
  <c r="F2003" i="57" s="1"/>
  <c r="G2219" i="57" a="1"/>
  <c r="G2219" i="57" s="1"/>
  <c r="F2219" i="57" a="1"/>
  <c r="F2219" i="57" s="1"/>
  <c r="G1976" i="57" a="1"/>
  <c r="G1976" i="57" s="1"/>
  <c r="F1976" i="57" a="1"/>
  <c r="F1976" i="57" s="1"/>
  <c r="G2192" i="57" a="1"/>
  <c r="G2192" i="57" s="1"/>
  <c r="F2192" i="57" a="1"/>
  <c r="F2192" i="57" s="1"/>
  <c r="G2408" i="57" a="1"/>
  <c r="G2408" i="57" s="1"/>
  <c r="F2408" i="57" a="1"/>
  <c r="F2408" i="57" s="1"/>
  <c r="G175" i="57" a="1"/>
  <c r="G175" i="57" s="1"/>
  <c r="F175" i="57" a="1"/>
  <c r="F175" i="57" s="1"/>
  <c r="G2441" i="57" a="1"/>
  <c r="G2441" i="57" s="1"/>
  <c r="F2441" i="57" a="1"/>
  <c r="F2441" i="57" s="1"/>
  <c r="G1578" i="57" a="1"/>
  <c r="G1578" i="57" s="1"/>
  <c r="F1578" i="57" a="1"/>
  <c r="F1578" i="57" s="1"/>
  <c r="G1794" i="57" a="1"/>
  <c r="G1794" i="57" s="1"/>
  <c r="F1794" i="57" a="1"/>
  <c r="F1794" i="57" s="1"/>
  <c r="G1519" i="57" a="1"/>
  <c r="G1519" i="57" s="1"/>
  <c r="F1519" i="57" a="1"/>
  <c r="F1519" i="57" s="1"/>
  <c r="G66" i="57" a="1"/>
  <c r="G66" i="57" s="1"/>
  <c r="F66" i="57" a="1"/>
  <c r="F66" i="57" s="1"/>
  <c r="G403" i="57" a="1"/>
  <c r="G403" i="57" s="1"/>
  <c r="F403" i="57" a="1"/>
  <c r="F403" i="57" s="1"/>
  <c r="G619" i="57" a="1"/>
  <c r="G619" i="57" s="1"/>
  <c r="F619" i="57" a="1"/>
  <c r="F619" i="57" s="1"/>
  <c r="G1316" i="57" a="1"/>
  <c r="G1316" i="57" s="1"/>
  <c r="F1316" i="57" a="1"/>
  <c r="F1316" i="57" s="1"/>
  <c r="G2064" i="57" a="1"/>
  <c r="G2064" i="57" s="1"/>
  <c r="F2064" i="57" a="1"/>
  <c r="F2064" i="57" s="1"/>
  <c r="G2280" i="57" a="1"/>
  <c r="G2280" i="57" s="1"/>
  <c r="F2280" i="57" a="1"/>
  <c r="F2280" i="57" s="1"/>
  <c r="G1723" i="57" a="1"/>
  <c r="G1723" i="57" s="1"/>
  <c r="F1723" i="57" a="1"/>
  <c r="F1723" i="57" s="1"/>
  <c r="G1939" i="57" a="1"/>
  <c r="G1939" i="57" s="1"/>
  <c r="F1939" i="57" a="1"/>
  <c r="F1939" i="57" s="1"/>
  <c r="G2155" i="57" a="1"/>
  <c r="G2155" i="57" s="1"/>
  <c r="F2155" i="57" a="1"/>
  <c r="F2155" i="57" s="1"/>
  <c r="G990" i="57" a="1"/>
  <c r="G990" i="57" s="1"/>
  <c r="F990" i="57" a="1"/>
  <c r="F990" i="57" s="1"/>
  <c r="G1111" i="57" a="1"/>
  <c r="G1111" i="57" s="1"/>
  <c r="F1111" i="57" a="1"/>
  <c r="F1111" i="57" s="1"/>
  <c r="G94" i="57" a="1"/>
  <c r="G94" i="57" s="1"/>
  <c r="F94" i="57" a="1"/>
  <c r="F94" i="57" s="1"/>
  <c r="G1372" i="57" a="1"/>
  <c r="G1372" i="57" s="1"/>
  <c r="F1372" i="57" a="1"/>
  <c r="F1372" i="57" s="1"/>
  <c r="G2437" i="57" a="1"/>
  <c r="G2437" i="57" s="1"/>
  <c r="F2437" i="57" a="1"/>
  <c r="F2437" i="57" s="1"/>
  <c r="G799" i="57" a="1"/>
  <c r="G799" i="57" s="1"/>
  <c r="F799" i="57" a="1"/>
  <c r="F799" i="57" s="1"/>
  <c r="G1177" i="57" a="1"/>
  <c r="G1177" i="57" s="1"/>
  <c r="F1177" i="57" a="1"/>
  <c r="F1177" i="57" s="1"/>
  <c r="G472" i="57" a="1"/>
  <c r="G472" i="57" s="1"/>
  <c r="F472" i="57" a="1"/>
  <c r="F472" i="57" s="1"/>
  <c r="G2263" i="57" a="1"/>
  <c r="G2263" i="57" s="1"/>
  <c r="F2263" i="57" a="1"/>
  <c r="F2263" i="57" s="1"/>
  <c r="G2479" i="57" a="1"/>
  <c r="G2479" i="57" s="1"/>
  <c r="F2479" i="57" a="1"/>
  <c r="F2479" i="57" s="1"/>
  <c r="G853" i="57" a="1"/>
  <c r="G853" i="57" s="1"/>
  <c r="F853" i="57" a="1"/>
  <c r="F853" i="57" s="1"/>
  <c r="G1255" i="57" a="1"/>
  <c r="G1255" i="57" s="1"/>
  <c r="F1255" i="57" a="1"/>
  <c r="F1255" i="57" s="1"/>
  <c r="G2413" i="57" a="1"/>
  <c r="G2413" i="57" s="1"/>
  <c r="F2413" i="57" a="1"/>
  <c r="F2413" i="57" s="1"/>
  <c r="G775" i="57" a="1"/>
  <c r="G775" i="57" s="1"/>
  <c r="F775" i="57" a="1"/>
  <c r="F775" i="57" s="1"/>
  <c r="G1129" i="57" a="1"/>
  <c r="G1129" i="57" s="1"/>
  <c r="F1129" i="57" a="1"/>
  <c r="F1129" i="57" s="1"/>
  <c r="G58" i="57" a="1"/>
  <c r="G58" i="57" s="1"/>
  <c r="F58" i="57" a="1"/>
  <c r="F58" i="57" s="1"/>
  <c r="G784" i="57" a="1"/>
  <c r="G784" i="57" s="1"/>
  <c r="F784" i="57" a="1"/>
  <c r="F784" i="57" s="1"/>
  <c r="G2419" i="57" a="1"/>
  <c r="G2419" i="57" s="1"/>
  <c r="F2419" i="57" a="1"/>
  <c r="F2419" i="57" s="1"/>
  <c r="G781" i="57" a="1"/>
  <c r="G781" i="57" s="1"/>
  <c r="F781" i="57" a="1"/>
  <c r="F781" i="57" s="1"/>
  <c r="G1141" i="57" a="1"/>
  <c r="G1141" i="57" s="1"/>
  <c r="F1141" i="57" a="1"/>
  <c r="F1141" i="57" s="1"/>
  <c r="G70" i="57" a="1"/>
  <c r="G70" i="57" s="1"/>
  <c r="F70" i="57" a="1"/>
  <c r="F70" i="57" s="1"/>
  <c r="G916" i="57" a="1"/>
  <c r="G916" i="57" s="1"/>
  <c r="F916" i="57" a="1"/>
  <c r="F916" i="57" s="1"/>
  <c r="G2425" i="57" a="1"/>
  <c r="G2425" i="57" s="1"/>
  <c r="F2425" i="57" a="1"/>
  <c r="F2425" i="57" s="1"/>
  <c r="G787" i="57" a="1"/>
  <c r="G787" i="57" s="1"/>
  <c r="F787" i="57" a="1"/>
  <c r="F787" i="57" s="1"/>
  <c r="G1153" i="57" a="1"/>
  <c r="G1153" i="57" s="1"/>
  <c r="F1153" i="57" a="1"/>
  <c r="F1153" i="57" s="1"/>
  <c r="G2185" i="57" a="1"/>
  <c r="G2185" i="57" s="1"/>
  <c r="F2185" i="57" a="1"/>
  <c r="F2185" i="57" s="1"/>
  <c r="G1194" i="57" a="1"/>
  <c r="G1194" i="57" s="1"/>
  <c r="F1194" i="57" a="1"/>
  <c r="F1194" i="57" s="1"/>
  <c r="G1171" i="57" a="1"/>
  <c r="G1171" i="57" s="1"/>
  <c r="F1171" i="57" a="1"/>
  <c r="F1171" i="57" s="1"/>
  <c r="G328" i="57" a="1"/>
  <c r="G328" i="57" s="1"/>
  <c r="F328" i="57" a="1"/>
  <c r="F328" i="57" s="1"/>
  <c r="G2251" i="57" a="1"/>
  <c r="G2251" i="57" s="1"/>
  <c r="F2251" i="57" a="1"/>
  <c r="F2251" i="57" s="1"/>
  <c r="G2467" i="57" a="1"/>
  <c r="G2467" i="57" s="1"/>
  <c r="F2467" i="57" a="1"/>
  <c r="F2467" i="57" s="1"/>
  <c r="G835" i="57" a="1"/>
  <c r="G835" i="57" s="1"/>
  <c r="F835" i="57" a="1"/>
  <c r="F835" i="57" s="1"/>
  <c r="G1231" i="57" a="1"/>
  <c r="G1231" i="57" s="1"/>
  <c r="F1231" i="57" a="1"/>
  <c r="F1231" i="57" s="1"/>
  <c r="G86" i="57" a="1"/>
  <c r="G86" i="57" s="1"/>
  <c r="F86" i="57" a="1"/>
  <c r="F86" i="57" s="1"/>
  <c r="G146" i="57" a="1"/>
  <c r="G146" i="57" s="1"/>
  <c r="F146" i="57" a="1"/>
  <c r="F146" i="57" s="1"/>
  <c r="G410" i="57" a="1"/>
  <c r="G410" i="57" s="1"/>
  <c r="F410" i="57" a="1"/>
  <c r="F410" i="57" s="1"/>
  <c r="G225" i="57" a="1"/>
  <c r="G225" i="57" s="1"/>
  <c r="F225" i="57" a="1"/>
  <c r="F225" i="57" s="1"/>
  <c r="G1447" i="57" a="1"/>
  <c r="G1447" i="57" s="1"/>
  <c r="F1447" i="57" a="1"/>
  <c r="F1447" i="57" s="1"/>
  <c r="G369" i="57" a="1"/>
  <c r="G369" i="57" s="1"/>
  <c r="F369" i="57" a="1"/>
  <c r="F369" i="57" s="1"/>
  <c r="G136" i="57" a="1"/>
  <c r="G136" i="57" s="1"/>
  <c r="F136" i="57" a="1"/>
  <c r="F136" i="57" s="1"/>
  <c r="G532" i="57" a="1"/>
  <c r="G532" i="57" s="1"/>
  <c r="F532" i="57" a="1"/>
  <c r="F532" i="57" s="1"/>
  <c r="G269" i="57" a="1"/>
  <c r="G269" i="57" s="1"/>
  <c r="F269" i="57" a="1"/>
  <c r="F269" i="57" s="1"/>
  <c r="G593" i="57" a="1"/>
  <c r="G593" i="57" s="1"/>
  <c r="F593" i="57" a="1"/>
  <c r="F593" i="57" s="1"/>
  <c r="G36" i="57" a="1"/>
  <c r="G36" i="57" s="1"/>
  <c r="F36" i="57" a="1"/>
  <c r="F36" i="57" s="1"/>
  <c r="G2495" i="57" a="1"/>
  <c r="G2495" i="57" s="1"/>
  <c r="F2495" i="57" a="1"/>
  <c r="F2495" i="57" s="1"/>
  <c r="G104" i="57" a="1"/>
  <c r="G104" i="57" s="1"/>
  <c r="F104" i="57" a="1"/>
  <c r="F104" i="57" s="1"/>
  <c r="G254" i="57" a="1"/>
  <c r="G254" i="57" s="1"/>
  <c r="F254" i="57" a="1"/>
  <c r="F254" i="57" s="1"/>
  <c r="G380" i="57" a="1"/>
  <c r="G380" i="57" s="1"/>
  <c r="F380" i="57" a="1"/>
  <c r="F380" i="57" s="1"/>
  <c r="G560" i="57" a="1"/>
  <c r="G560" i="57" s="1"/>
  <c r="F560" i="57" a="1"/>
  <c r="F560" i="57" s="1"/>
  <c r="G303" i="57" a="1"/>
  <c r="G303" i="57" s="1"/>
  <c r="F303" i="57" a="1"/>
  <c r="F303" i="57" s="1"/>
  <c r="G633" i="57" a="1"/>
  <c r="G633" i="57" s="1"/>
  <c r="F633" i="57" a="1"/>
  <c r="F633" i="57" s="1"/>
  <c r="G448" i="57" a="1"/>
  <c r="G448" i="57" s="1"/>
  <c r="F448" i="57" a="1"/>
  <c r="F448" i="57" s="1"/>
  <c r="G209" i="57" a="1"/>
  <c r="G209" i="57" s="1"/>
  <c r="F209" i="57" a="1"/>
  <c r="F209" i="57" s="1"/>
  <c r="G533" i="57" a="1"/>
  <c r="G533" i="57" s="1"/>
  <c r="F533" i="57" a="1"/>
  <c r="F533" i="57" s="1"/>
  <c r="G857" i="57" a="1"/>
  <c r="G857" i="57" s="1"/>
  <c r="F857" i="57" a="1"/>
  <c r="F857" i="57" s="1"/>
  <c r="G2507" i="57" a="1"/>
  <c r="G2507" i="57" s="1"/>
  <c r="F2507" i="57" a="1"/>
  <c r="F2507" i="57" s="1"/>
  <c r="G213" i="57" a="1"/>
  <c r="G213" i="57" s="1"/>
  <c r="F213" i="57" a="1"/>
  <c r="F213" i="57" s="1"/>
  <c r="G549" i="57" a="1"/>
  <c r="G549" i="57" s="1"/>
  <c r="F549" i="57" a="1"/>
  <c r="F549" i="57" s="1"/>
  <c r="G346" i="57" a="1"/>
  <c r="G346" i="57" s="1"/>
  <c r="F346" i="57" a="1"/>
  <c r="F346" i="57" s="1"/>
  <c r="G125" i="57" a="1"/>
  <c r="G125" i="57" s="1"/>
  <c r="F125" i="57" a="1"/>
  <c r="F125" i="57" s="1"/>
  <c r="G449" i="57" a="1"/>
  <c r="G449" i="57" s="1"/>
  <c r="F449" i="57" a="1"/>
  <c r="F449" i="57" s="1"/>
  <c r="G773" i="57" a="1"/>
  <c r="G773" i="57" s="1"/>
  <c r="F773" i="57" a="1"/>
  <c r="F773" i="57" s="1"/>
  <c r="G252" i="57" a="1"/>
  <c r="G252" i="57" s="1"/>
  <c r="F252" i="57" a="1"/>
  <c r="F252" i="57" s="1"/>
  <c r="G404" i="57" a="1"/>
  <c r="G404" i="57" s="1"/>
  <c r="F404" i="57" a="1"/>
  <c r="F404" i="57" s="1"/>
  <c r="F21" i="57" a="1"/>
  <c r="F21" i="57" s="1"/>
  <c r="G381" i="57" a="1"/>
  <c r="G381" i="57" s="1"/>
  <c r="F381" i="57" a="1"/>
  <c r="F381" i="57" s="1"/>
  <c r="G148" i="57" a="1"/>
  <c r="G148" i="57" s="1"/>
  <c r="F148" i="57" a="1"/>
  <c r="F148" i="57" s="1"/>
  <c r="G544" i="57" a="1"/>
  <c r="G544" i="57" s="1"/>
  <c r="F544" i="57" a="1"/>
  <c r="F544" i="57" s="1"/>
  <c r="G281" i="57" a="1"/>
  <c r="G281" i="57" s="1"/>
  <c r="F281" i="57" a="1"/>
  <c r="F281" i="57" s="1"/>
  <c r="G605" i="57" a="1"/>
  <c r="G605" i="57" s="1"/>
  <c r="F605" i="57" a="1"/>
  <c r="F605" i="57" s="1"/>
  <c r="G48" i="57" a="1"/>
  <c r="G48" i="57" s="1"/>
  <c r="F48" i="57" a="1"/>
  <c r="F48" i="57" s="1"/>
  <c r="G260" i="57" a="1"/>
  <c r="G260" i="57" s="1"/>
  <c r="F260" i="57" a="1"/>
  <c r="F260" i="57" s="1"/>
  <c r="G177" i="57" a="1"/>
  <c r="G177" i="57" s="1"/>
  <c r="F177" i="57" a="1"/>
  <c r="F177" i="57" s="1"/>
  <c r="G513" i="57" a="1"/>
  <c r="G513" i="57" s="1"/>
  <c r="F513" i="57" a="1"/>
  <c r="F513" i="57" s="1"/>
  <c r="G304" i="57" a="1"/>
  <c r="G304" i="57" s="1"/>
  <c r="F304" i="57" a="1"/>
  <c r="F304" i="57" s="1"/>
  <c r="G89" i="57" a="1"/>
  <c r="G89" i="57" s="1"/>
  <c r="F89" i="57" a="1"/>
  <c r="F89" i="57" s="1"/>
  <c r="G413" i="57" a="1"/>
  <c r="G413" i="57" s="1"/>
  <c r="F413" i="57" a="1"/>
  <c r="F413" i="57" s="1"/>
  <c r="G737" i="57" a="1"/>
  <c r="G737" i="57" s="1"/>
  <c r="F737" i="57" a="1"/>
  <c r="F737" i="57" s="1"/>
  <c r="G2501" i="57" a="1"/>
  <c r="G2501" i="57" s="1"/>
  <c r="F2501" i="57" a="1"/>
  <c r="F2501" i="57" s="1"/>
  <c r="G248" i="57" a="1"/>
  <c r="G248" i="57" s="1"/>
  <c r="F248" i="57" a="1"/>
  <c r="F248" i="57" s="1"/>
  <c r="G339" i="57" a="1"/>
  <c r="G339" i="57" s="1"/>
  <c r="F339" i="57" a="1"/>
  <c r="F339" i="57" s="1"/>
  <c r="G286" i="57" a="1"/>
  <c r="G286" i="57" s="1"/>
  <c r="F286" i="57" a="1"/>
  <c r="F286" i="57" s="1"/>
  <c r="G71" i="57" a="1"/>
  <c r="G71" i="57" s="1"/>
  <c r="F71" i="57" a="1"/>
  <c r="F71" i="57" s="1"/>
  <c r="G395" i="57" a="1"/>
  <c r="G395" i="57" s="1"/>
  <c r="F395" i="57" a="1"/>
  <c r="F395" i="57" s="1"/>
  <c r="G719" i="57" a="1"/>
  <c r="G719" i="57" s="1"/>
  <c r="F719" i="57" a="1"/>
  <c r="F719" i="57" s="1"/>
  <c r="G156" i="57" a="1"/>
  <c r="G156" i="57" s="1"/>
  <c r="F156" i="57" a="1"/>
  <c r="F156" i="57" s="1"/>
  <c r="G49" i="57" a="1"/>
  <c r="G49" i="57" s="1"/>
  <c r="F49" i="57" a="1"/>
  <c r="F49" i="57" s="1"/>
  <c r="G530" i="57" a="1"/>
  <c r="G530" i="57" s="1"/>
  <c r="F530" i="57" a="1"/>
  <c r="F530" i="57" s="1"/>
  <c r="G165" i="57" a="1"/>
  <c r="G165" i="57" s="1"/>
  <c r="F165" i="57" a="1"/>
  <c r="F165" i="57" s="1"/>
  <c r="G411" i="57" a="1"/>
  <c r="G411" i="57" s="1"/>
  <c r="F411" i="57" a="1"/>
  <c r="F411" i="57" s="1"/>
  <c r="G2491" i="57" a="1"/>
  <c r="G2491" i="57" s="1"/>
  <c r="F2491" i="57" a="1"/>
  <c r="F2491" i="57" s="1"/>
  <c r="G358" i="57" a="1"/>
  <c r="G358" i="57" s="1"/>
  <c r="F358" i="57" a="1"/>
  <c r="F358" i="57" s="1"/>
  <c r="F15" i="57" a="1"/>
  <c r="F15" i="57" s="1"/>
  <c r="G77" i="57" a="1"/>
  <c r="G77" i="57" s="1"/>
  <c r="F77" i="57" a="1"/>
  <c r="F77" i="57" s="1"/>
  <c r="G203" i="57" a="1"/>
  <c r="G203" i="57" s="1"/>
  <c r="F203" i="57" a="1"/>
  <c r="F203" i="57" s="1"/>
  <c r="G311" i="57" a="1"/>
  <c r="G311" i="57" s="1"/>
  <c r="F311" i="57" a="1"/>
  <c r="F311" i="57" s="1"/>
  <c r="G419" i="57" a="1"/>
  <c r="G419" i="57" s="1"/>
  <c r="F419" i="57" a="1"/>
  <c r="F419" i="57" s="1"/>
  <c r="G527" i="57" a="1"/>
  <c r="G527" i="57" s="1"/>
  <c r="F527" i="57" a="1"/>
  <c r="F527" i="57" s="1"/>
  <c r="G635" i="57" a="1"/>
  <c r="G635" i="57" s="1"/>
  <c r="F635" i="57" a="1"/>
  <c r="F635" i="57" s="1"/>
  <c r="G743" i="57" a="1"/>
  <c r="G743" i="57" s="1"/>
  <c r="F743" i="57" a="1"/>
  <c r="F743" i="57" s="1"/>
  <c r="G851" i="57" a="1"/>
  <c r="G851" i="57" s="1"/>
  <c r="F851" i="57" a="1"/>
  <c r="F851" i="57" s="1"/>
  <c r="G84" i="57" a="1"/>
  <c r="G84" i="57" s="1"/>
  <c r="F84" i="57" a="1"/>
  <c r="F84" i="57" s="1"/>
  <c r="G222" i="57" a="1"/>
  <c r="G222" i="57" s="1"/>
  <c r="F222" i="57" a="1"/>
  <c r="F222" i="57" s="1"/>
  <c r="G342" i="57" a="1"/>
  <c r="G342" i="57" s="1"/>
  <c r="F342" i="57" a="1"/>
  <c r="F342" i="57" s="1"/>
  <c r="G504" i="57" a="1"/>
  <c r="G504" i="57" s="1"/>
  <c r="F504" i="57" a="1"/>
  <c r="F504" i="57" s="1"/>
  <c r="G624" i="57" a="1"/>
  <c r="G624" i="57" s="1"/>
  <c r="F624" i="57" a="1"/>
  <c r="F624" i="57" s="1"/>
  <c r="G953" i="57" a="1"/>
  <c r="G953" i="57" s="1"/>
  <c r="F953" i="57" a="1"/>
  <c r="F953" i="57" s="1"/>
  <c r="G1061" i="57" a="1"/>
  <c r="G1061" i="57" s="1"/>
  <c r="F1061" i="57" a="1"/>
  <c r="F1061" i="57" s="1"/>
  <c r="G1169" i="57" a="1"/>
  <c r="G1169" i="57" s="1"/>
  <c r="F1169" i="57" a="1"/>
  <c r="F1169" i="57" s="1"/>
  <c r="G1277" i="57" a="1"/>
  <c r="G1277" i="57" s="1"/>
  <c r="F1277" i="57" a="1"/>
  <c r="F1277" i="57" s="1"/>
  <c r="G1380" i="57" a="1"/>
  <c r="G1380" i="57" s="1"/>
  <c r="F1380" i="57" a="1"/>
  <c r="F1380" i="57" s="1"/>
  <c r="G804" i="57" a="1"/>
  <c r="G804" i="57" s="1"/>
  <c r="F804" i="57" a="1"/>
  <c r="F804" i="57" s="1"/>
  <c r="G936" i="57" a="1"/>
  <c r="G936" i="57" s="1"/>
  <c r="F936" i="57" a="1"/>
  <c r="F936" i="57" s="1"/>
  <c r="G1062" i="57" a="1"/>
  <c r="G1062" i="57" s="1"/>
  <c r="F1062" i="57" a="1"/>
  <c r="F1062" i="57" s="1"/>
  <c r="G1188" i="57" a="1"/>
  <c r="G1188" i="57" s="1"/>
  <c r="F1188" i="57" a="1"/>
  <c r="F1188" i="57" s="1"/>
  <c r="G1326" i="57" a="1"/>
  <c r="G1326" i="57" s="1"/>
  <c r="F1326" i="57" a="1"/>
  <c r="F1326" i="57" s="1"/>
  <c r="G644" i="57" a="1"/>
  <c r="G644" i="57" s="1"/>
  <c r="F644" i="57" a="1"/>
  <c r="F644" i="57" s="1"/>
  <c r="G764" i="57" a="1"/>
  <c r="G764" i="57" s="1"/>
  <c r="F764" i="57" a="1"/>
  <c r="F764" i="57" s="1"/>
  <c r="G896" i="57" a="1"/>
  <c r="G896" i="57" s="1"/>
  <c r="F896" i="57" a="1"/>
  <c r="F896" i="57" s="1"/>
  <c r="G1058" i="57" a="1"/>
  <c r="G1058" i="57" s="1"/>
  <c r="F1058" i="57" a="1"/>
  <c r="F1058" i="57" s="1"/>
  <c r="G1220" i="57" a="1"/>
  <c r="G1220" i="57" s="1"/>
  <c r="F1220" i="57" a="1"/>
  <c r="F1220" i="57" s="1"/>
  <c r="G1382" i="57" a="1"/>
  <c r="G1382" i="57" s="1"/>
  <c r="F1382" i="57" a="1"/>
  <c r="F1382" i="57" s="1"/>
  <c r="G717" i="57" a="1"/>
  <c r="G717" i="57" s="1"/>
  <c r="F717" i="57" a="1"/>
  <c r="F717" i="57" s="1"/>
  <c r="G861" i="57" a="1"/>
  <c r="G861" i="57" s="1"/>
  <c r="F861" i="57" a="1"/>
  <c r="F861" i="57" s="1"/>
  <c r="G1197" i="57" a="1"/>
  <c r="G1197" i="57" s="1"/>
  <c r="F1197" i="57" a="1"/>
  <c r="F1197" i="57" s="1"/>
  <c r="G670" i="57" a="1"/>
  <c r="G670" i="57" s="1"/>
  <c r="F670" i="57" a="1"/>
  <c r="F670" i="57" s="1"/>
  <c r="G1036" i="57" a="1"/>
  <c r="G1036" i="57" s="1"/>
  <c r="F1036" i="57" a="1"/>
  <c r="F1036" i="57" s="1"/>
  <c r="G1408" i="57" a="1"/>
  <c r="G1408" i="57" s="1"/>
  <c r="F1408" i="57" a="1"/>
  <c r="F1408" i="57" s="1"/>
  <c r="G1665" i="57" a="1"/>
  <c r="G1665" i="57" s="1"/>
  <c r="F1665" i="57" a="1"/>
  <c r="F1665" i="57" s="1"/>
  <c r="G1474" i="57" a="1"/>
  <c r="G1474" i="57" s="1"/>
  <c r="F1474" i="57" a="1"/>
  <c r="F1474" i="57" s="1"/>
  <c r="G1786" i="57" a="1"/>
  <c r="G1786" i="57" s="1"/>
  <c r="F1786" i="57" a="1"/>
  <c r="F1786" i="57" s="1"/>
  <c r="G1679" i="57" a="1"/>
  <c r="G1679" i="57" s="1"/>
  <c r="F1679" i="57" a="1"/>
  <c r="F1679" i="57" s="1"/>
  <c r="G1694" i="57" a="1"/>
  <c r="G1694" i="57" s="1"/>
  <c r="F1694" i="57" a="1"/>
  <c r="F1694" i="57" s="1"/>
  <c r="G548" i="57" a="1"/>
  <c r="G548" i="57" s="1"/>
  <c r="F548" i="57" a="1"/>
  <c r="F548" i="57" s="1"/>
  <c r="G183" i="57" a="1"/>
  <c r="G183" i="57" s="1"/>
  <c r="F183" i="57" a="1"/>
  <c r="F183" i="57" s="1"/>
  <c r="G393" i="57" a="1"/>
  <c r="G393" i="57" s="1"/>
  <c r="F393" i="57" a="1"/>
  <c r="F393" i="57" s="1"/>
  <c r="G591" i="57" a="1"/>
  <c r="G591" i="57" s="1"/>
  <c r="F591" i="57" a="1"/>
  <c r="F591" i="57" s="1"/>
  <c r="G256" i="57" a="1"/>
  <c r="G256" i="57" s="1"/>
  <c r="F256" i="57" a="1"/>
  <c r="F256" i="57" s="1"/>
  <c r="G149" i="57" a="1"/>
  <c r="G149" i="57" s="1"/>
  <c r="F149" i="57" a="1"/>
  <c r="F149" i="57" s="1"/>
  <c r="G1137" i="57" a="1"/>
  <c r="G1137" i="57" s="1"/>
  <c r="F1137" i="57" a="1"/>
  <c r="F1137" i="57" s="1"/>
  <c r="G592" i="57" a="1"/>
  <c r="G592" i="57" s="1"/>
  <c r="F592" i="57" a="1"/>
  <c r="F592" i="57" s="1"/>
  <c r="G976" i="57" a="1"/>
  <c r="G976" i="57" s="1"/>
  <c r="F976" i="57" a="1"/>
  <c r="F976" i="57" s="1"/>
  <c r="G1336" i="57" a="1"/>
  <c r="G1336" i="57" s="1"/>
  <c r="F1336" i="57" a="1"/>
  <c r="F1336" i="57" s="1"/>
  <c r="G1569" i="57" a="1"/>
  <c r="G1569" i="57" s="1"/>
  <c r="F1569" i="57" a="1"/>
  <c r="F1569" i="57" s="1"/>
  <c r="G1881" i="57" a="1"/>
  <c r="G1881" i="57" s="1"/>
  <c r="F1881" i="57" a="1"/>
  <c r="F1881" i="57" s="1"/>
  <c r="G1690" i="57" a="1"/>
  <c r="G1690" i="57" s="1"/>
  <c r="F1690" i="57" a="1"/>
  <c r="F1690" i="57" s="1"/>
  <c r="G1535" i="57" a="1"/>
  <c r="G1535" i="57" s="1"/>
  <c r="F1535" i="57" a="1"/>
  <c r="F1535" i="57" s="1"/>
  <c r="G1550" i="57" a="1"/>
  <c r="G1550" i="57" s="1"/>
  <c r="F1550" i="57" a="1"/>
  <c r="F1550" i="57" s="1"/>
  <c r="G294" i="57" a="1"/>
  <c r="G294" i="57" s="1"/>
  <c r="F294" i="57" a="1"/>
  <c r="F294" i="57" s="1"/>
  <c r="G630" i="57" a="1"/>
  <c r="G630" i="57" s="1"/>
  <c r="F630" i="57" a="1"/>
  <c r="F630" i="57" s="1"/>
  <c r="G1049" i="57" a="1"/>
  <c r="G1049" i="57" s="1"/>
  <c r="F1049" i="57" a="1"/>
  <c r="F1049" i="57" s="1"/>
  <c r="G1175" i="57" a="1"/>
  <c r="G1175" i="57" s="1"/>
  <c r="F1175" i="57" a="1"/>
  <c r="F1175" i="57" s="1"/>
  <c r="G1283" i="57" a="1"/>
  <c r="G1283" i="57" s="1"/>
  <c r="F1283" i="57" a="1"/>
  <c r="F1283" i="57" s="1"/>
  <c r="G654" i="57" a="1"/>
  <c r="G654" i="57" s="1"/>
  <c r="F654" i="57" a="1"/>
  <c r="F654" i="57" s="1"/>
  <c r="G816" i="57" a="1"/>
  <c r="G816" i="57" s="1"/>
  <c r="F816" i="57" a="1"/>
  <c r="F816" i="57" s="1"/>
  <c r="G960" i="57" a="1"/>
  <c r="G960" i="57" s="1"/>
  <c r="F960" i="57" a="1"/>
  <c r="F960" i="57" s="1"/>
  <c r="G1092" i="57" a="1"/>
  <c r="G1092" i="57" s="1"/>
  <c r="F1092" i="57" a="1"/>
  <c r="F1092" i="57" s="1"/>
  <c r="G1230" i="57" a="1"/>
  <c r="G1230" i="57" s="1"/>
  <c r="F1230" i="57" a="1"/>
  <c r="F1230" i="57" s="1"/>
  <c r="G1362" i="57" a="1"/>
  <c r="G1362" i="57" s="1"/>
  <c r="F1362" i="57" a="1"/>
  <c r="F1362" i="57" s="1"/>
  <c r="G674" i="57" a="1"/>
  <c r="G674" i="57" s="1"/>
  <c r="F674" i="57" a="1"/>
  <c r="F674" i="57" s="1"/>
  <c r="G794" i="57" a="1"/>
  <c r="G794" i="57" s="1"/>
  <c r="F794" i="57" a="1"/>
  <c r="F794" i="57" s="1"/>
  <c r="G932" i="57" a="1"/>
  <c r="G932" i="57" s="1"/>
  <c r="F932" i="57" a="1"/>
  <c r="F932" i="57" s="1"/>
  <c r="G1094" i="57" a="1"/>
  <c r="G1094" i="57" s="1"/>
  <c r="F1094" i="57" a="1"/>
  <c r="F1094" i="57" s="1"/>
  <c r="G1256" i="57" a="1"/>
  <c r="G1256" i="57" s="1"/>
  <c r="F1256" i="57" a="1"/>
  <c r="F1256" i="57" s="1"/>
  <c r="G1418" i="57" a="1"/>
  <c r="G1418" i="57" s="1"/>
  <c r="F1418" i="57" a="1"/>
  <c r="F1418" i="57" s="1"/>
  <c r="G741" i="57" a="1"/>
  <c r="G741" i="57" s="1"/>
  <c r="F741" i="57" a="1"/>
  <c r="F741" i="57" s="1"/>
  <c r="G945" i="57" a="1"/>
  <c r="G945" i="57" s="1"/>
  <c r="F945" i="57" a="1"/>
  <c r="F945" i="57" s="1"/>
  <c r="G1275" i="57" a="1"/>
  <c r="G1275" i="57" s="1"/>
  <c r="F1275" i="57" a="1"/>
  <c r="F1275" i="57" s="1"/>
  <c r="G748" i="57" a="1"/>
  <c r="G748" i="57" s="1"/>
  <c r="F748" i="57" a="1"/>
  <c r="F748" i="57" s="1"/>
  <c r="G1120" i="57" a="1"/>
  <c r="G1120" i="57" s="1"/>
  <c r="F1120" i="57" a="1"/>
  <c r="F1120" i="57" s="1"/>
  <c r="G1403" i="57" a="1"/>
  <c r="G1403" i="57" s="1"/>
  <c r="F1403" i="57" a="1"/>
  <c r="F1403" i="57" s="1"/>
  <c r="G1737" i="57" a="1"/>
  <c r="G1737" i="57" s="1"/>
  <c r="F1737" i="57" a="1"/>
  <c r="F1737" i="57" s="1"/>
  <c r="G1546" i="57" a="1"/>
  <c r="G1546" i="57" s="1"/>
  <c r="F1546" i="57" a="1"/>
  <c r="F1546" i="57" s="1"/>
  <c r="G1852" i="57" a="1"/>
  <c r="G1852" i="57" s="1"/>
  <c r="F1852" i="57" a="1"/>
  <c r="F1852" i="57" s="1"/>
  <c r="G1799" i="57" a="1"/>
  <c r="G1799" i="57" s="1"/>
  <c r="F1799" i="57" a="1"/>
  <c r="F1799" i="57" s="1"/>
  <c r="G1814" i="57" a="1"/>
  <c r="G1814" i="57" s="1"/>
  <c r="F1814" i="57" a="1"/>
  <c r="F1814" i="57" s="1"/>
  <c r="G372" i="57" a="1"/>
  <c r="G372" i="57" s="1"/>
  <c r="F372" i="57" a="1"/>
  <c r="F372" i="57" s="1"/>
  <c r="G612" i="57" a="1"/>
  <c r="G612" i="57" s="1"/>
  <c r="F612" i="57" a="1"/>
  <c r="F612" i="57" s="1"/>
  <c r="G1067" i="57" a="1"/>
  <c r="G1067" i="57" s="1"/>
  <c r="F1067" i="57" a="1"/>
  <c r="F1067" i="57" s="1"/>
  <c r="G1101" i="57" a="1"/>
  <c r="G1101" i="57" s="1"/>
  <c r="F1101" i="57" a="1"/>
  <c r="F1101" i="57" s="1"/>
  <c r="G1443" i="57" a="1"/>
  <c r="G1443" i="57" s="1"/>
  <c r="F1443" i="57" a="1"/>
  <c r="F1443" i="57" s="1"/>
  <c r="G934" i="57" a="1"/>
  <c r="G934" i="57" s="1"/>
  <c r="F934" i="57" a="1"/>
  <c r="F934" i="57" s="1"/>
  <c r="G1294" i="57" a="1"/>
  <c r="G1294" i="57" s="1"/>
  <c r="F1294" i="57" a="1"/>
  <c r="F1294" i="57" s="1"/>
  <c r="G1533" i="57" a="1"/>
  <c r="G1533" i="57" s="1"/>
  <c r="F1533" i="57" a="1"/>
  <c r="F1533" i="57" s="1"/>
  <c r="G1845" i="57" a="1"/>
  <c r="G1845" i="57" s="1"/>
  <c r="F1845" i="57" a="1"/>
  <c r="F1845" i="57" s="1"/>
  <c r="G1660" i="57" a="1"/>
  <c r="G1660" i="57" s="1"/>
  <c r="F1660" i="57" a="1"/>
  <c r="F1660" i="57" s="1"/>
  <c r="G1463" i="57" a="1"/>
  <c r="G1463" i="57" s="1"/>
  <c r="F1463" i="57" a="1"/>
  <c r="F1463" i="57" s="1"/>
  <c r="G1478" i="57" a="1"/>
  <c r="G1478" i="57" s="1"/>
  <c r="F1478" i="57" a="1"/>
  <c r="F1478" i="57" s="1"/>
  <c r="G1995" i="57" a="1"/>
  <c r="G1995" i="57" s="1"/>
  <c r="F1995" i="57" a="1"/>
  <c r="F1995" i="57" s="1"/>
  <c r="G534" i="57" a="1"/>
  <c r="G534" i="57" s="1"/>
  <c r="F534" i="57" a="1"/>
  <c r="F534" i="57" s="1"/>
  <c r="G947" i="57" a="1"/>
  <c r="G947" i="57" s="1"/>
  <c r="F947" i="57" a="1"/>
  <c r="F947" i="57" s="1"/>
  <c r="G1073" i="57" a="1"/>
  <c r="G1073" i="57" s="1"/>
  <c r="F1073" i="57" a="1"/>
  <c r="F1073" i="57" s="1"/>
  <c r="G1181" i="57" a="1"/>
  <c r="G1181" i="57" s="1"/>
  <c r="F1181" i="57" a="1"/>
  <c r="F1181" i="57" s="1"/>
  <c r="G1289" i="57" a="1"/>
  <c r="G1289" i="57" s="1"/>
  <c r="F1289" i="57" a="1"/>
  <c r="F1289" i="57" s="1"/>
  <c r="G660" i="57" a="1"/>
  <c r="G660" i="57" s="1"/>
  <c r="F660" i="57" a="1"/>
  <c r="F660" i="57" s="1"/>
  <c r="G822" i="57" a="1"/>
  <c r="G822" i="57" s="1"/>
  <c r="F822" i="57" a="1"/>
  <c r="F822" i="57" s="1"/>
  <c r="G966" i="57" a="1"/>
  <c r="G966" i="57" s="1"/>
  <c r="F966" i="57" a="1"/>
  <c r="F966" i="57" s="1"/>
  <c r="G1104" i="57" a="1"/>
  <c r="G1104" i="57" s="1"/>
  <c r="F1104" i="57" a="1"/>
  <c r="F1104" i="57" s="1"/>
  <c r="G1236" i="57" a="1"/>
  <c r="G1236" i="57" s="1"/>
  <c r="F1236" i="57" a="1"/>
  <c r="F1236" i="57" s="1"/>
  <c r="G1368" i="57" a="1"/>
  <c r="G1368" i="57" s="1"/>
  <c r="F1368" i="57" a="1"/>
  <c r="F1368" i="57" s="1"/>
  <c r="G680" i="57" a="1"/>
  <c r="G680" i="57" s="1"/>
  <c r="F680" i="57" a="1"/>
  <c r="F680" i="57" s="1"/>
  <c r="G800" i="57" a="1"/>
  <c r="G800" i="57" s="1"/>
  <c r="F800" i="57" a="1"/>
  <c r="F800" i="57" s="1"/>
  <c r="G944" i="57" a="1"/>
  <c r="G944" i="57" s="1"/>
  <c r="F944" i="57" a="1"/>
  <c r="F944" i="57" s="1"/>
  <c r="G1106" i="57" a="1"/>
  <c r="G1106" i="57" s="1"/>
  <c r="F1106" i="57" a="1"/>
  <c r="F1106" i="57" s="1"/>
  <c r="G1268" i="57" a="1"/>
  <c r="G1268" i="57" s="1"/>
  <c r="F1268" i="57" a="1"/>
  <c r="F1268" i="57" s="1"/>
  <c r="G1430" i="57" a="1"/>
  <c r="G1430" i="57" s="1"/>
  <c r="F1430" i="57" a="1"/>
  <c r="F1430" i="57" s="1"/>
  <c r="G747" i="57" a="1"/>
  <c r="G747" i="57" s="1"/>
  <c r="F747" i="57" a="1"/>
  <c r="F747" i="57" s="1"/>
  <c r="G975" i="57" a="1"/>
  <c r="G975" i="57" s="1"/>
  <c r="F975" i="57" a="1"/>
  <c r="F975" i="57" s="1"/>
  <c r="G1305" i="57" a="1"/>
  <c r="G1305" i="57" s="1"/>
  <c r="F1305" i="57" a="1"/>
  <c r="F1305" i="57" s="1"/>
  <c r="G796" i="57" a="1"/>
  <c r="G796" i="57" s="1"/>
  <c r="F796" i="57" a="1"/>
  <c r="F796" i="57" s="1"/>
  <c r="G1162" i="57" a="1"/>
  <c r="G1162" i="57" s="1"/>
  <c r="F1162" i="57" a="1"/>
  <c r="F1162" i="57" s="1"/>
  <c r="G1445" i="57" a="1"/>
  <c r="G1445" i="57" s="1"/>
  <c r="F1445" i="57" a="1"/>
  <c r="F1445" i="57" s="1"/>
  <c r="G1749" i="57" a="1"/>
  <c r="G1749" i="57" s="1"/>
  <c r="F1749" i="57" a="1"/>
  <c r="F1749" i="57" s="1"/>
  <c r="G1558" i="57" a="1"/>
  <c r="G1558" i="57" s="1"/>
  <c r="F1558" i="57" a="1"/>
  <c r="F1558" i="57" s="1"/>
  <c r="G1876" i="57" a="1"/>
  <c r="G1876" i="57" s="1"/>
  <c r="F1876" i="57" a="1"/>
  <c r="F1876" i="57" s="1"/>
  <c r="G1835" i="57" a="1"/>
  <c r="G1835" i="57" s="1"/>
  <c r="F1835" i="57" a="1"/>
  <c r="F1835" i="57" s="1"/>
  <c r="G1850" i="57" a="1"/>
  <c r="G1850" i="57" s="1"/>
  <c r="F1850" i="57" a="1"/>
  <c r="F1850" i="57" s="1"/>
  <c r="G258" i="57" a="1"/>
  <c r="G258" i="57" s="1"/>
  <c r="F258" i="57" a="1"/>
  <c r="F258" i="57" s="1"/>
  <c r="G468" i="57" a="1"/>
  <c r="G468" i="57" s="1"/>
  <c r="F468" i="57" a="1"/>
  <c r="F468" i="57" s="1"/>
  <c r="G983" i="57" a="1"/>
  <c r="G983" i="57" s="1"/>
  <c r="F983" i="57" a="1"/>
  <c r="F983" i="57" s="1"/>
  <c r="G1065" i="57" a="1"/>
  <c r="G1065" i="57" s="1"/>
  <c r="F1065" i="57" a="1"/>
  <c r="F1065" i="57" s="1"/>
  <c r="G1407" i="57" a="1"/>
  <c r="G1407" i="57" s="1"/>
  <c r="F1407" i="57" a="1"/>
  <c r="F1407" i="57" s="1"/>
  <c r="G892" i="57" a="1"/>
  <c r="G892" i="57" s="1"/>
  <c r="F892" i="57" a="1"/>
  <c r="F892" i="57" s="1"/>
  <c r="G1252" i="57" a="1"/>
  <c r="G1252" i="57" s="1"/>
  <c r="F1252" i="57" a="1"/>
  <c r="F1252" i="57" s="1"/>
  <c r="G1497" i="57" a="1"/>
  <c r="G1497" i="57" s="1"/>
  <c r="F1497" i="57" a="1"/>
  <c r="F1497" i="57" s="1"/>
  <c r="G1815" i="57" a="1"/>
  <c r="G1815" i="57" s="1"/>
  <c r="F1815" i="57" a="1"/>
  <c r="F1815" i="57" s="1"/>
  <c r="G1624" i="57" a="1"/>
  <c r="G1624" i="57" s="1"/>
  <c r="F1624" i="57" a="1"/>
  <c r="F1624" i="57" s="1"/>
  <c r="G1930" i="57" a="1"/>
  <c r="G1930" i="57" s="1"/>
  <c r="F1930" i="57" a="1"/>
  <c r="F1930" i="57" s="1"/>
  <c r="G1931" i="57" a="1"/>
  <c r="G1931" i="57" s="1"/>
  <c r="F1931" i="57" a="1"/>
  <c r="F1931" i="57" s="1"/>
  <c r="G1946" i="57" a="1"/>
  <c r="G1946" i="57" s="1"/>
  <c r="F1946" i="57" a="1"/>
  <c r="F1946" i="57" s="1"/>
  <c r="G909" i="57" a="1"/>
  <c r="G909" i="57" s="1"/>
  <c r="F909" i="57" a="1"/>
  <c r="F909" i="57" s="1"/>
  <c r="G1023" i="57" a="1"/>
  <c r="G1023" i="57" s="1"/>
  <c r="F1023" i="57" a="1"/>
  <c r="F1023" i="57" s="1"/>
  <c r="G1131" i="57" a="1"/>
  <c r="G1131" i="57" s="1"/>
  <c r="F1131" i="57" a="1"/>
  <c r="F1131" i="57" s="1"/>
  <c r="G1239" i="57" a="1"/>
  <c r="G1239" i="57" s="1"/>
  <c r="F1239" i="57" a="1"/>
  <c r="F1239" i="57" s="1"/>
  <c r="G1365" i="57" a="1"/>
  <c r="G1365" i="57" s="1"/>
  <c r="F1365" i="57" a="1"/>
  <c r="F1365" i="57" s="1"/>
  <c r="G586" i="57" a="1"/>
  <c r="G586" i="57" s="1"/>
  <c r="F586" i="57" a="1"/>
  <c r="F586" i="57" s="1"/>
  <c r="G712" i="57" a="1"/>
  <c r="G712" i="57" s="1"/>
  <c r="F712" i="57" a="1"/>
  <c r="F712" i="57" s="1"/>
  <c r="G844" i="57" a="1"/>
  <c r="G844" i="57" s="1"/>
  <c r="F844" i="57" a="1"/>
  <c r="F844" i="57" s="1"/>
  <c r="G970" i="57" a="1"/>
  <c r="G970" i="57" s="1"/>
  <c r="F970" i="57" a="1"/>
  <c r="F970" i="57" s="1"/>
  <c r="G1084" i="57" a="1"/>
  <c r="G1084" i="57" s="1"/>
  <c r="F1084" i="57" a="1"/>
  <c r="F1084" i="57" s="1"/>
  <c r="G1210" i="57" a="1"/>
  <c r="G1210" i="57" s="1"/>
  <c r="F1210" i="57" a="1"/>
  <c r="F1210" i="57" s="1"/>
  <c r="G1330" i="57" a="1"/>
  <c r="G1330" i="57" s="1"/>
  <c r="F1330" i="57" a="1"/>
  <c r="F1330" i="57" s="1"/>
  <c r="G1307" i="57" a="1"/>
  <c r="G1307" i="57" s="1"/>
  <c r="F1307" i="57" a="1"/>
  <c r="F1307" i="57" s="1"/>
  <c r="G1509" i="57" a="1"/>
  <c r="G1509" i="57" s="1"/>
  <c r="F1509" i="57" a="1"/>
  <c r="F1509" i="57" s="1"/>
  <c r="G1767" i="57" a="1"/>
  <c r="G1767" i="57" s="1"/>
  <c r="F1767" i="57" a="1"/>
  <c r="F1767" i="57" s="1"/>
  <c r="G1522" i="57" a="1"/>
  <c r="G1522" i="57" s="1"/>
  <c r="F1522" i="57" a="1"/>
  <c r="F1522" i="57" s="1"/>
  <c r="G1780" i="57" a="1"/>
  <c r="G1780" i="57" s="1"/>
  <c r="F1780" i="57" a="1"/>
  <c r="F1780" i="57" s="1"/>
  <c r="G1523" i="57" a="1"/>
  <c r="G1523" i="57" s="1"/>
  <c r="F1523" i="57" a="1"/>
  <c r="F1523" i="57" s="1"/>
  <c r="G1787" i="57" a="1"/>
  <c r="G1787" i="57" s="1"/>
  <c r="F1787" i="57" a="1"/>
  <c r="F1787" i="57" s="1"/>
  <c r="G1544" i="57" a="1"/>
  <c r="G1544" i="57" s="1"/>
  <c r="F1544" i="57" a="1"/>
  <c r="F1544" i="57" s="1"/>
  <c r="G1802" i="57" a="1"/>
  <c r="G1802" i="57" s="1"/>
  <c r="F1802" i="57" a="1"/>
  <c r="F1802" i="57" s="1"/>
  <c r="G2061" i="57" a="1"/>
  <c r="G2061" i="57" s="1"/>
  <c r="F2061" i="57" a="1"/>
  <c r="F2061" i="57" s="1"/>
  <c r="G2319" i="57" a="1"/>
  <c r="G2319" i="57" s="1"/>
  <c r="F2319" i="57" a="1"/>
  <c r="F2319" i="57" s="1"/>
  <c r="G2110" i="57" a="1"/>
  <c r="G2110" i="57" s="1"/>
  <c r="F2110" i="57" a="1"/>
  <c r="F2110" i="57" s="1"/>
  <c r="G2422" i="57" a="1"/>
  <c r="G2422" i="57" s="1"/>
  <c r="F2422" i="57" a="1"/>
  <c r="F2422" i="57" s="1"/>
  <c r="G2261" i="57" a="1"/>
  <c r="G2261" i="57" s="1"/>
  <c r="F2261" i="57" a="1"/>
  <c r="F2261" i="57" s="1"/>
  <c r="G2108" i="57" a="1"/>
  <c r="G2108" i="57" s="1"/>
  <c r="F2108" i="57" a="1"/>
  <c r="F2108" i="57" s="1"/>
  <c r="G2450" i="57" a="1"/>
  <c r="G2450" i="57" s="1"/>
  <c r="F2450" i="57" a="1"/>
  <c r="F2450" i="57" s="1"/>
  <c r="G2435" i="57" a="1"/>
  <c r="G2435" i="57" s="1"/>
  <c r="F2435" i="57" a="1"/>
  <c r="F2435" i="57" s="1"/>
  <c r="G1746" i="57" a="1"/>
  <c r="G1746" i="57" s="1"/>
  <c r="F1746" i="57" a="1"/>
  <c r="F1746" i="57" s="1"/>
  <c r="G2184" i="57" a="1"/>
  <c r="G2184" i="57" s="1"/>
  <c r="F2184" i="57" a="1"/>
  <c r="F2184" i="57" s="1"/>
  <c r="G2067" i="57" a="1"/>
  <c r="G2067" i="57" s="1"/>
  <c r="F2067" i="57" a="1"/>
  <c r="F2067" i="57" s="1"/>
  <c r="G2331" i="57" a="1"/>
  <c r="G2331" i="57" s="1"/>
  <c r="F2331" i="57" a="1"/>
  <c r="F2331" i="57" s="1"/>
  <c r="G2122" i="57" a="1"/>
  <c r="G2122" i="57" s="1"/>
  <c r="F2122" i="57" a="1"/>
  <c r="F2122" i="57" s="1"/>
  <c r="G1955" i="57" a="1"/>
  <c r="G1955" i="57" s="1"/>
  <c r="F1955" i="57" a="1"/>
  <c r="F1955" i="57" s="1"/>
  <c r="G2267" i="57" a="1"/>
  <c r="G2267" i="57" s="1"/>
  <c r="F2267" i="57" a="1"/>
  <c r="F2267" i="57" s="1"/>
  <c r="G2114" i="57" a="1"/>
  <c r="G2114" i="57" s="1"/>
  <c r="F2114" i="57" a="1"/>
  <c r="F2114" i="57" s="1"/>
  <c r="G2456" i="57" a="1"/>
  <c r="G2456" i="57" s="1"/>
  <c r="F2456" i="57" a="1"/>
  <c r="F2456" i="57" s="1"/>
  <c r="G2447" i="57" a="1"/>
  <c r="G2447" i="57" s="1"/>
  <c r="F2447" i="57" a="1"/>
  <c r="F2447" i="57" s="1"/>
  <c r="G1752" i="57" a="1"/>
  <c r="G1752" i="57" s="1"/>
  <c r="F1752" i="57" a="1"/>
  <c r="F1752" i="57" s="1"/>
  <c r="G2226" i="57" a="1"/>
  <c r="G2226" i="57" s="1"/>
  <c r="F2226" i="57" a="1"/>
  <c r="F2226" i="57" s="1"/>
  <c r="G2121" i="57" a="1"/>
  <c r="G2121" i="57" s="1"/>
  <c r="F2121" i="57" a="1"/>
  <c r="F2121" i="57" s="1"/>
  <c r="G2379" i="57" a="1"/>
  <c r="G2379" i="57" s="1"/>
  <c r="F2379" i="57" a="1"/>
  <c r="F2379" i="57" s="1"/>
  <c r="G2176" i="57" a="1"/>
  <c r="G2176" i="57" s="1"/>
  <c r="F2176" i="57" a="1"/>
  <c r="F2176" i="57" s="1"/>
  <c r="G2015" i="57" a="1"/>
  <c r="G2015" i="57" s="1"/>
  <c r="F2015" i="57" a="1"/>
  <c r="F2015" i="57" s="1"/>
  <c r="G2333" i="57" a="1"/>
  <c r="G2333" i="57" s="1"/>
  <c r="F2333" i="57" a="1"/>
  <c r="F2333" i="57" s="1"/>
  <c r="G2180" i="57" a="1"/>
  <c r="G2180" i="57" s="1"/>
  <c r="F2180" i="57" a="1"/>
  <c r="F2180" i="57" s="1"/>
  <c r="G85" i="57" a="1"/>
  <c r="G85" i="57" s="1"/>
  <c r="F85" i="57" a="1"/>
  <c r="F85" i="57" s="1"/>
  <c r="G2503" i="57" a="1"/>
  <c r="G2503" i="57" s="1"/>
  <c r="F2503" i="57" a="1"/>
  <c r="F2503" i="57" s="1"/>
  <c r="G1507" i="57" a="1"/>
  <c r="G1507" i="57" s="1"/>
  <c r="F1507" i="57" a="1"/>
  <c r="F1507" i="57" s="1"/>
  <c r="G1753" i="57" a="1"/>
  <c r="G1753" i="57" s="1"/>
  <c r="F1753" i="57" a="1"/>
  <c r="F1753" i="57" s="1"/>
  <c r="G2169" i="57" a="1"/>
  <c r="G2169" i="57" s="1"/>
  <c r="F2169" i="57" a="1"/>
  <c r="F2169" i="57" s="1"/>
  <c r="G2433" i="57" a="1"/>
  <c r="G2433" i="57" s="1"/>
  <c r="F2433" i="57" a="1"/>
  <c r="F2433" i="57" s="1"/>
  <c r="G2242" i="57" a="1"/>
  <c r="G2242" i="57" s="1"/>
  <c r="F2242" i="57" a="1"/>
  <c r="F2242" i="57" s="1"/>
  <c r="G2081" i="57" a="1"/>
  <c r="G2081" i="57" s="1"/>
  <c r="F2081" i="57" a="1"/>
  <c r="F2081" i="57" s="1"/>
  <c r="G2240" i="57" a="1"/>
  <c r="G2240" i="57" s="1"/>
  <c r="F2240" i="57" a="1"/>
  <c r="F2240" i="57" s="1"/>
  <c r="G163" i="57" a="1"/>
  <c r="G163" i="57" s="1"/>
  <c r="F163" i="57" a="1"/>
  <c r="F163" i="57" s="1"/>
  <c r="G1524" i="57" a="1"/>
  <c r="G1524" i="57" s="1"/>
  <c r="F1524" i="57" a="1"/>
  <c r="F1524" i="57" s="1"/>
  <c r="G265" i="57" a="1"/>
  <c r="G265" i="57" s="1"/>
  <c r="F265" i="57" a="1"/>
  <c r="F265" i="57" s="1"/>
  <c r="G2059" i="57" a="1"/>
  <c r="G2059" i="57" s="1"/>
  <c r="F2059" i="57" a="1"/>
  <c r="F2059" i="57" s="1"/>
  <c r="G1595" i="57" a="1"/>
  <c r="G1595" i="57" s="1"/>
  <c r="F1595" i="57" a="1"/>
  <c r="F1595" i="57" s="1"/>
  <c r="G1859" i="57" a="1"/>
  <c r="G1859" i="57" s="1"/>
  <c r="F1859" i="57" a="1"/>
  <c r="F1859" i="57" s="1"/>
  <c r="G1616" i="57" a="1"/>
  <c r="G1616" i="57" s="1"/>
  <c r="F1616" i="57" a="1"/>
  <c r="F1616" i="57" s="1"/>
  <c r="G1874" i="57" a="1"/>
  <c r="G1874" i="57" s="1"/>
  <c r="F1874" i="57" a="1"/>
  <c r="F1874" i="57" s="1"/>
  <c r="G2133" i="57" a="1"/>
  <c r="G2133" i="57" s="1"/>
  <c r="F2133" i="57" a="1"/>
  <c r="F2133" i="57" s="1"/>
  <c r="G2391" i="57" a="1"/>
  <c r="G2391" i="57" s="1"/>
  <c r="F2391" i="57" a="1"/>
  <c r="F2391" i="57" s="1"/>
  <c r="G2200" i="57" a="1"/>
  <c r="G2200" i="57" s="1"/>
  <c r="F2200" i="57" a="1"/>
  <c r="F2200" i="57" s="1"/>
  <c r="G2033" i="57" a="1"/>
  <c r="G2033" i="57" s="1"/>
  <c r="F2033" i="57" a="1"/>
  <c r="F2033" i="57" s="1"/>
  <c r="G2345" i="57" a="1"/>
  <c r="G2345" i="57" s="1"/>
  <c r="F2345" i="57" a="1"/>
  <c r="F2345" i="57" s="1"/>
  <c r="G2198" i="57" a="1"/>
  <c r="G2198" i="57" s="1"/>
  <c r="F2198" i="57" a="1"/>
  <c r="F2198" i="57" s="1"/>
  <c r="G115" i="57" a="1"/>
  <c r="G115" i="57" s="1"/>
  <c r="F115" i="57" a="1"/>
  <c r="F115" i="57" s="1"/>
  <c r="G1476" i="57" a="1"/>
  <c r="G1476" i="57" s="1"/>
  <c r="F1476" i="57" a="1"/>
  <c r="F1476" i="57" s="1"/>
  <c r="G1597" i="57" a="1"/>
  <c r="G1597" i="57" s="1"/>
  <c r="F1597" i="57" a="1"/>
  <c r="F1597" i="57" s="1"/>
  <c r="G1843" i="57" a="1"/>
  <c r="G1843" i="57" s="1"/>
  <c r="F1843" i="57" a="1"/>
  <c r="F1843" i="57" s="1"/>
  <c r="G1517" i="57" a="1"/>
  <c r="G1517" i="57" s="1"/>
  <c r="F1517" i="57" a="1"/>
  <c r="F1517" i="57" s="1"/>
  <c r="G1775" i="57" a="1"/>
  <c r="G1775" i="57" s="1"/>
  <c r="F1775" i="57" a="1"/>
  <c r="F1775" i="57" s="1"/>
  <c r="G1538" i="57" a="1"/>
  <c r="G1538" i="57" s="1"/>
  <c r="F1538" i="57" a="1"/>
  <c r="F1538" i="57" s="1"/>
  <c r="G1796" i="57" a="1"/>
  <c r="G1796" i="57" s="1"/>
  <c r="F1796" i="57" a="1"/>
  <c r="F1796" i="57" s="1"/>
  <c r="G2055" i="57" a="1"/>
  <c r="G2055" i="57" s="1"/>
  <c r="F2055" i="57" a="1"/>
  <c r="F2055" i="57" s="1"/>
  <c r="G2313" i="57" a="1"/>
  <c r="G2313" i="57" s="1"/>
  <c r="F2313" i="57" a="1"/>
  <c r="F2313" i="57" s="1"/>
  <c r="G2098" i="57" a="1"/>
  <c r="G2098" i="57" s="1"/>
  <c r="F2098" i="57" a="1"/>
  <c r="F2098" i="57" s="1"/>
  <c r="G2416" i="57" a="1"/>
  <c r="G2416" i="57" s="1"/>
  <c r="F2416" i="57" a="1"/>
  <c r="F2416" i="57" s="1"/>
  <c r="G2249" i="57" a="1"/>
  <c r="G2249" i="57" s="1"/>
  <c r="F2249" i="57" a="1"/>
  <c r="F2249" i="57" s="1"/>
  <c r="G2102" i="57" a="1"/>
  <c r="G2102" i="57" s="1"/>
  <c r="F2102" i="57" a="1"/>
  <c r="F2102" i="57" s="1"/>
  <c r="G2438" i="57" a="1"/>
  <c r="G2438" i="57" s="1"/>
  <c r="F2438" i="57" a="1"/>
  <c r="F2438" i="57" s="1"/>
  <c r="G2429" i="57" a="1"/>
  <c r="G2429" i="57" s="1"/>
  <c r="F2429" i="57" a="1"/>
  <c r="F2429" i="57" s="1"/>
  <c r="G1740" i="57" a="1"/>
  <c r="G1740" i="57" s="1"/>
  <c r="F1740" i="57" a="1"/>
  <c r="F1740" i="57" s="1"/>
  <c r="G2142" i="57" a="1"/>
  <c r="G2142" i="57" s="1"/>
  <c r="F2142" i="57" a="1"/>
  <c r="F2142" i="57" s="1"/>
  <c r="G1467" i="57" a="1"/>
  <c r="G1467" i="57" s="1"/>
  <c r="F1467" i="57" a="1"/>
  <c r="F1467" i="57" s="1"/>
  <c r="G1683" i="57" a="1"/>
  <c r="G1683" i="57" s="1"/>
  <c r="F1683" i="57" a="1"/>
  <c r="F1683" i="57" s="1"/>
  <c r="G1899" i="57" a="1"/>
  <c r="G1899" i="57" s="1"/>
  <c r="F1899" i="57" a="1"/>
  <c r="F1899" i="57" s="1"/>
  <c r="G1612" i="57" a="1"/>
  <c r="G1612" i="57" s="1"/>
  <c r="F1612" i="57" a="1"/>
  <c r="F1612" i="57" s="1"/>
  <c r="G1828" i="57" a="1"/>
  <c r="G1828" i="57" s="1"/>
  <c r="F1828" i="57" a="1"/>
  <c r="F1828" i="57" s="1"/>
  <c r="G1529" i="57" a="1"/>
  <c r="G1529" i="57" s="1"/>
  <c r="F1529" i="57" a="1"/>
  <c r="F1529" i="57" s="1"/>
  <c r="G1745" i="57" a="1"/>
  <c r="G1745" i="57" s="1"/>
  <c r="F1745" i="57" a="1"/>
  <c r="F1745" i="57" s="1"/>
  <c r="G1460" i="57" a="1"/>
  <c r="G1460" i="57" s="1"/>
  <c r="F1460" i="57" a="1"/>
  <c r="F1460" i="57" s="1"/>
  <c r="G1676" i="57" a="1"/>
  <c r="G1676" i="57" s="1"/>
  <c r="F1676" i="57" a="1"/>
  <c r="F1676" i="57" s="1"/>
  <c r="G1892" i="57" a="1"/>
  <c r="G1892" i="57" s="1"/>
  <c r="F1892" i="57" a="1"/>
  <c r="F1892" i="57" s="1"/>
  <c r="G2109" i="57" a="1"/>
  <c r="G2109" i="57" s="1"/>
  <c r="F2109" i="57" a="1"/>
  <c r="F2109" i="57" s="1"/>
  <c r="G2325" i="57" a="1"/>
  <c r="G2325" i="57" s="1"/>
  <c r="F2325" i="57" a="1"/>
  <c r="F2325" i="57" s="1"/>
  <c r="G2062" i="57" a="1"/>
  <c r="G2062" i="57" s="1"/>
  <c r="F2062" i="57" a="1"/>
  <c r="F2062" i="57" s="1"/>
  <c r="G2320" i="57" a="1"/>
  <c r="G2320" i="57" s="1"/>
  <c r="F2320" i="57" a="1"/>
  <c r="F2320" i="57" s="1"/>
  <c r="G2105" i="57" a="1"/>
  <c r="G2105" i="57" s="1"/>
  <c r="F2105" i="57" a="1"/>
  <c r="F2105" i="57" s="1"/>
  <c r="G2369" i="57" a="1"/>
  <c r="G2369" i="57" s="1"/>
  <c r="F2369" i="57" a="1"/>
  <c r="F2369" i="57" s="1"/>
  <c r="G2168" i="57" a="1"/>
  <c r="G2168" i="57" s="1"/>
  <c r="F2168" i="57" a="1"/>
  <c r="F2168" i="57" s="1"/>
  <c r="G2426" i="57" a="1"/>
  <c r="G2426" i="57" s="1"/>
  <c r="F2426" i="57" a="1"/>
  <c r="F2426" i="57" s="1"/>
  <c r="G2428" i="57" a="1"/>
  <c r="G2428" i="57" s="1"/>
  <c r="F2428" i="57" a="1"/>
  <c r="F2428" i="57" s="1"/>
  <c r="G1464" i="57" a="1"/>
  <c r="G1464" i="57" s="1"/>
  <c r="F1464" i="57" a="1"/>
  <c r="F1464" i="57" s="1"/>
  <c r="G1728" i="57" a="1"/>
  <c r="G1728" i="57" s="1"/>
  <c r="F1728" i="57" a="1"/>
  <c r="F1728" i="57" s="1"/>
  <c r="G1495" i="57" a="1"/>
  <c r="G1495" i="57" s="1"/>
  <c r="F1495" i="57" a="1"/>
  <c r="F1495" i="57" s="1"/>
  <c r="G186" i="57" a="1"/>
  <c r="G186" i="57" s="1"/>
  <c r="F186" i="57" a="1"/>
  <c r="F186" i="57" s="1"/>
  <c r="G463" i="57" a="1"/>
  <c r="G463" i="57" s="1"/>
  <c r="F463" i="57" a="1"/>
  <c r="F463" i="57" s="1"/>
  <c r="G974" i="57" a="1"/>
  <c r="G974" i="57" s="1"/>
  <c r="F974" i="57" a="1"/>
  <c r="F974" i="57" s="1"/>
  <c r="G1998" i="57" a="1"/>
  <c r="G1998" i="57" s="1"/>
  <c r="F1998" i="57" a="1"/>
  <c r="F1998" i="57" s="1"/>
  <c r="G2256" i="57" a="1"/>
  <c r="G2256" i="57" s="1"/>
  <c r="F2256" i="57" a="1"/>
  <c r="F2256" i="57" s="1"/>
  <c r="G1741" i="57" a="1"/>
  <c r="G1741" i="57" s="1"/>
  <c r="F1741" i="57" a="1"/>
  <c r="F1741" i="57" s="1"/>
  <c r="G1999" i="57" a="1"/>
  <c r="G1999" i="57" s="1"/>
  <c r="F1999" i="57" a="1"/>
  <c r="F1999" i="57" s="1"/>
  <c r="G600" i="57" a="1"/>
  <c r="G600" i="57" s="1"/>
  <c r="F600" i="57" a="1"/>
  <c r="F600" i="57" s="1"/>
  <c r="G1159" i="57" a="1"/>
  <c r="G1159" i="57" s="1"/>
  <c r="F1159" i="57" a="1"/>
  <c r="F1159" i="57" s="1"/>
  <c r="G1908" i="57" a="1"/>
  <c r="G1908" i="57" s="1"/>
  <c r="F1908" i="57" a="1"/>
  <c r="F1908" i="57" s="1"/>
  <c r="G1675" i="57" a="1"/>
  <c r="G1675" i="57" s="1"/>
  <c r="F1675" i="57" a="1"/>
  <c r="F1675" i="57" s="1"/>
  <c r="G385" i="57" a="1"/>
  <c r="G385" i="57" s="1"/>
  <c r="F385" i="57" a="1"/>
  <c r="F385" i="57" s="1"/>
  <c r="G524" i="57" a="1"/>
  <c r="G524" i="57" s="1"/>
  <c r="F524" i="57" a="1"/>
  <c r="F524" i="57" s="1"/>
  <c r="G813" i="57" a="1"/>
  <c r="G813" i="57" s="1"/>
  <c r="F813" i="57" a="1"/>
  <c r="F813" i="57" s="1"/>
  <c r="G2178" i="57" a="1"/>
  <c r="G2178" i="57" s="1"/>
  <c r="F2178" i="57" a="1"/>
  <c r="F2178" i="57" s="1"/>
  <c r="G2436" i="57" a="1"/>
  <c r="G2436" i="57" s="1"/>
  <c r="F2436" i="57" a="1"/>
  <c r="F2436" i="57" s="1"/>
  <c r="G1921" i="57" a="1"/>
  <c r="G1921" i="57" s="1"/>
  <c r="F1921" i="57" a="1"/>
  <c r="F1921" i="57" s="1"/>
  <c r="G2197" i="57" a="1"/>
  <c r="G2197" i="57" s="1"/>
  <c r="F2197" i="57" a="1"/>
  <c r="F2197" i="57" s="1"/>
  <c r="G967" i="57" a="1"/>
  <c r="G967" i="57" s="1"/>
  <c r="F967" i="57" a="1"/>
  <c r="F967" i="57" s="1"/>
  <c r="G1788" i="57" a="1"/>
  <c r="G1788" i="57" s="1"/>
  <c r="F1788" i="57" a="1"/>
  <c r="F1788" i="57" s="1"/>
  <c r="G1561" i="57" a="1"/>
  <c r="G1561" i="57" s="1"/>
  <c r="F1561" i="57" a="1"/>
  <c r="F1561" i="57" s="1"/>
  <c r="G271" i="57" a="1"/>
  <c r="G271" i="57" s="1"/>
  <c r="F271" i="57" a="1"/>
  <c r="F271" i="57" s="1"/>
  <c r="G529" i="57" a="1"/>
  <c r="G529" i="57" s="1"/>
  <c r="F529" i="57" a="1"/>
  <c r="F529" i="57" s="1"/>
  <c r="G1172" i="57" a="1"/>
  <c r="G1172" i="57" s="1"/>
  <c r="F1172" i="57" a="1"/>
  <c r="F1172" i="57" s="1"/>
  <c r="G2058" i="57" a="1"/>
  <c r="G2058" i="57" s="1"/>
  <c r="F2058" i="57" a="1"/>
  <c r="F2058" i="57" s="1"/>
  <c r="G2322" i="57" a="1"/>
  <c r="G2322" i="57" s="1"/>
  <c r="F2322" i="57" a="1"/>
  <c r="F2322" i="57" s="1"/>
  <c r="G1807" i="57" a="1"/>
  <c r="G1807" i="57" s="1"/>
  <c r="F1807" i="57" a="1"/>
  <c r="F1807" i="57" s="1"/>
  <c r="G2065" i="57" a="1"/>
  <c r="G2065" i="57" s="1"/>
  <c r="F2065" i="57" a="1"/>
  <c r="F2065" i="57" s="1"/>
  <c r="G1008" i="57" a="1"/>
  <c r="G1008" i="57" s="1"/>
  <c r="F1008" i="57" a="1"/>
  <c r="F1008" i="57" s="1"/>
  <c r="G1351" i="57" a="1"/>
  <c r="G1351" i="57" s="1"/>
  <c r="F1351" i="57" a="1"/>
  <c r="F1351" i="57" s="1"/>
  <c r="G1926" i="57" a="1"/>
  <c r="G1926" i="57" s="1"/>
  <c r="F1926" i="57" a="1"/>
  <c r="F1926" i="57" s="1"/>
  <c r="G1693" i="57" a="1"/>
  <c r="G1693" i="57" s="1"/>
  <c r="F1693" i="57" a="1"/>
  <c r="F1693" i="57" s="1"/>
  <c r="G409" i="57" a="1"/>
  <c r="G409" i="57" s="1"/>
  <c r="F409" i="57" a="1"/>
  <c r="F409" i="57" s="1"/>
  <c r="G740" i="57" a="1"/>
  <c r="G740" i="57" s="1"/>
  <c r="F740" i="57" a="1"/>
  <c r="F740" i="57" s="1"/>
  <c r="G1317" i="57" a="1"/>
  <c r="G1317" i="57" s="1"/>
  <c r="F1317" i="57" a="1"/>
  <c r="F1317" i="57" s="1"/>
  <c r="G2196" i="57" a="1"/>
  <c r="G2196" i="57" s="1"/>
  <c r="F2196" i="57" a="1"/>
  <c r="F2196" i="57" s="1"/>
  <c r="G2454" i="57" a="1"/>
  <c r="G2454" i="57" s="1"/>
  <c r="F2454" i="57" a="1"/>
  <c r="F2454" i="57" s="1"/>
  <c r="G1945" i="57" a="1"/>
  <c r="G1945" i="57" s="1"/>
  <c r="F1945" i="57" a="1"/>
  <c r="F1945" i="57" s="1"/>
  <c r="G2215" i="57" a="1"/>
  <c r="G2215" i="57" s="1"/>
  <c r="F2215" i="57" a="1"/>
  <c r="F2215" i="57" s="1"/>
  <c r="G1015" i="57" a="1"/>
  <c r="G1015" i="57" s="1"/>
  <c r="F1015" i="57" a="1"/>
  <c r="F1015" i="57" s="1"/>
  <c r="G2330" i="57" a="1"/>
  <c r="G2330" i="57" s="1"/>
  <c r="F2330" i="57" a="1"/>
  <c r="F2330" i="57" s="1"/>
  <c r="G145" i="57" a="1"/>
  <c r="G145" i="57" s="1"/>
  <c r="F145" i="57" a="1"/>
  <c r="F145" i="57" s="1"/>
  <c r="G2453" i="57" a="1"/>
  <c r="G2453" i="57" s="1"/>
  <c r="F2453" i="57" a="1"/>
  <c r="F2453" i="57" s="1"/>
  <c r="G1632" i="57" a="1"/>
  <c r="G1632" i="57" s="1"/>
  <c r="F1632" i="57" a="1"/>
  <c r="F1632" i="57" s="1"/>
  <c r="G1890" i="57" a="1"/>
  <c r="G1890" i="57" s="1"/>
  <c r="F1890" i="57" a="1"/>
  <c r="F1890" i="57" s="1"/>
  <c r="G1657" i="57" a="1"/>
  <c r="G1657" i="57" s="1"/>
  <c r="F1657" i="57" a="1"/>
  <c r="F1657" i="57" s="1"/>
  <c r="G373" i="57" a="1"/>
  <c r="G373" i="57" s="1"/>
  <c r="F373" i="57" a="1"/>
  <c r="F373" i="57" s="1"/>
  <c r="G416" i="57" a="1"/>
  <c r="G416" i="57" s="1"/>
  <c r="F416" i="57" a="1"/>
  <c r="F416" i="57" s="1"/>
  <c r="G711" i="57" a="1"/>
  <c r="G711" i="57" s="1"/>
  <c r="F711" i="57" a="1"/>
  <c r="F711" i="57" s="1"/>
  <c r="G2160" i="57" a="1"/>
  <c r="G2160" i="57" s="1"/>
  <c r="F2160" i="57" a="1"/>
  <c r="F2160" i="57" s="1"/>
  <c r="G2418" i="57" a="1"/>
  <c r="G2418" i="57" s="1"/>
  <c r="F2418" i="57" a="1"/>
  <c r="F2418" i="57" s="1"/>
  <c r="G1909" i="57" a="1"/>
  <c r="G1909" i="57" s="1"/>
  <c r="F1909" i="57" a="1"/>
  <c r="F1909" i="57" s="1"/>
  <c r="G2173" i="57" a="1"/>
  <c r="G2173" i="57" s="1"/>
  <c r="F2173" i="57" a="1"/>
  <c r="F2173" i="57" s="1"/>
  <c r="G913" i="57" a="1"/>
  <c r="G913" i="57" s="1"/>
  <c r="F913" i="57" a="1"/>
  <c r="F913" i="57" s="1"/>
  <c r="G2269" i="57" a="1"/>
  <c r="G2269" i="57" s="1"/>
  <c r="F2269" i="57" a="1"/>
  <c r="F2269" i="57" s="1"/>
  <c r="G2080" i="57" a="1"/>
  <c r="G2080" i="57" s="1"/>
  <c r="F2080" i="57" a="1"/>
  <c r="F2080" i="57" s="1"/>
  <c r="G2296" i="57" a="1"/>
  <c r="G2296" i="57" s="1"/>
  <c r="F2296" i="57" a="1"/>
  <c r="F2296" i="57" s="1"/>
  <c r="G2039" i="57" a="1"/>
  <c r="G2039" i="57" s="1"/>
  <c r="F2039" i="57" a="1"/>
  <c r="F2039" i="57" s="1"/>
  <c r="G2255" i="57" a="1"/>
  <c r="G2255" i="57" s="1"/>
  <c r="F2255" i="57" a="1"/>
  <c r="F2255" i="57" s="1"/>
  <c r="G2012" i="57" a="1"/>
  <c r="G2012" i="57" s="1"/>
  <c r="F2012" i="57" a="1"/>
  <c r="F2012" i="57" s="1"/>
  <c r="G2228" i="57" a="1"/>
  <c r="G2228" i="57" s="1"/>
  <c r="F2228" i="57" a="1"/>
  <c r="F2228" i="57" s="1"/>
  <c r="G2444" i="57" a="1"/>
  <c r="G2444" i="57" s="1"/>
  <c r="F2444" i="57" a="1"/>
  <c r="F2444" i="57" s="1"/>
  <c r="G211" i="57" a="1"/>
  <c r="G211" i="57" s="1"/>
  <c r="F211" i="57" a="1"/>
  <c r="F211" i="57" s="1"/>
  <c r="G2477" i="57" a="1"/>
  <c r="G2477" i="57" s="1"/>
  <c r="F2477" i="57" a="1"/>
  <c r="F2477" i="57" s="1"/>
  <c r="G1614" i="57" a="1"/>
  <c r="G1614" i="57" s="1"/>
  <c r="F1614" i="57" a="1"/>
  <c r="F1614" i="57" s="1"/>
  <c r="G1830" i="57" a="1"/>
  <c r="G1830" i="57" s="1"/>
  <c r="F1830" i="57" a="1"/>
  <c r="F1830" i="57" s="1"/>
  <c r="G1555" i="57" a="1"/>
  <c r="G1555" i="57" s="1"/>
  <c r="F1555" i="57" a="1"/>
  <c r="F1555" i="57" s="1"/>
  <c r="G228" i="57" a="1"/>
  <c r="G228" i="57" s="1"/>
  <c r="F228" i="57" a="1"/>
  <c r="F228" i="57" s="1"/>
  <c r="G439" i="57" a="1"/>
  <c r="G439" i="57" s="1"/>
  <c r="F439" i="57" a="1"/>
  <c r="F439" i="57" s="1"/>
  <c r="G632" i="57" a="1"/>
  <c r="G632" i="57" s="1"/>
  <c r="F632" i="57" a="1"/>
  <c r="F632" i="57" s="1"/>
  <c r="G1424" i="57" a="1"/>
  <c r="G1424" i="57" s="1"/>
  <c r="F1424" i="57" a="1"/>
  <c r="F1424" i="57" s="1"/>
  <c r="G2100" i="57" a="1"/>
  <c r="G2100" i="57" s="1"/>
  <c r="F2100" i="57" a="1"/>
  <c r="F2100" i="57" s="1"/>
  <c r="G2316" i="57" a="1"/>
  <c r="G2316" i="57" s="1"/>
  <c r="F2316" i="57" a="1"/>
  <c r="F2316" i="57" s="1"/>
  <c r="G1759" i="57" a="1"/>
  <c r="G1759" i="57" s="1"/>
  <c r="F1759" i="57" a="1"/>
  <c r="F1759" i="57" s="1"/>
  <c r="G1975" i="57" a="1"/>
  <c r="G1975" i="57" s="1"/>
  <c r="F1975" i="57" a="1"/>
  <c r="F1975" i="57" s="1"/>
  <c r="G2191" i="57" a="1"/>
  <c r="G2191" i="57" s="1"/>
  <c r="F2191" i="57" a="1"/>
  <c r="F2191" i="57" s="1"/>
  <c r="G1206" i="57" a="1"/>
  <c r="G1206" i="57" s="1"/>
  <c r="F1206" i="57" a="1"/>
  <c r="F1206" i="57" s="1"/>
  <c r="G1183" i="57" a="1"/>
  <c r="G1183" i="57" s="1"/>
  <c r="F1183" i="57" a="1"/>
  <c r="F1183" i="57" s="1"/>
  <c r="G370" i="57" a="1"/>
  <c r="G370" i="57" s="1"/>
  <c r="F370" i="57" a="1"/>
  <c r="F370" i="57" s="1"/>
  <c r="G2257" i="57" a="1"/>
  <c r="G2257" i="57" s="1"/>
  <c r="F2257" i="57" a="1"/>
  <c r="F2257" i="57" s="1"/>
  <c r="G2473" i="57" a="1"/>
  <c r="G2473" i="57" s="1"/>
  <c r="F2473" i="57" a="1"/>
  <c r="F2473" i="57" s="1"/>
  <c r="G847" i="57" a="1"/>
  <c r="G847" i="57" s="1"/>
  <c r="F847" i="57" a="1"/>
  <c r="F847" i="57" s="1"/>
  <c r="G1243" i="57" a="1"/>
  <c r="G1243" i="57" s="1"/>
  <c r="F1243" i="57" a="1"/>
  <c r="F1243" i="57" s="1"/>
  <c r="G760" i="57" a="1"/>
  <c r="G760" i="57" s="1"/>
  <c r="F760" i="57" a="1"/>
  <c r="F760" i="57" s="1"/>
  <c r="G2299" i="57" a="1"/>
  <c r="G2299" i="57" s="1"/>
  <c r="F2299" i="57" a="1"/>
  <c r="F2299" i="57" s="1"/>
  <c r="G661" i="57" a="1"/>
  <c r="G661" i="57" s="1"/>
  <c r="F661" i="57" a="1"/>
  <c r="F661" i="57" s="1"/>
  <c r="G919" i="57" a="1"/>
  <c r="G919" i="57" s="1"/>
  <c r="F919" i="57" a="1"/>
  <c r="F919" i="57" s="1"/>
  <c r="G1321" i="57" a="1"/>
  <c r="G1321" i="57" s="1"/>
  <c r="F1321" i="57" a="1"/>
  <c r="F1321" i="57" s="1"/>
  <c r="G2449" i="57" a="1"/>
  <c r="G2449" i="57" s="1"/>
  <c r="F2449" i="57" a="1"/>
  <c r="F2449" i="57" s="1"/>
  <c r="G817" i="57" a="1"/>
  <c r="G817" i="57" s="1"/>
  <c r="F817" i="57" a="1"/>
  <c r="F817" i="57" s="1"/>
  <c r="G1201" i="57" a="1"/>
  <c r="G1201" i="57" s="1"/>
  <c r="F1201" i="57" a="1"/>
  <c r="F1201" i="57" s="1"/>
  <c r="G184" i="57" a="1"/>
  <c r="G184" i="57" s="1"/>
  <c r="F184" i="57" a="1"/>
  <c r="F184" i="57" s="1"/>
  <c r="G2239" i="57" a="1"/>
  <c r="G2239" i="57" s="1"/>
  <c r="F2239" i="57" a="1"/>
  <c r="F2239" i="57" s="1"/>
  <c r="G2455" i="57" a="1"/>
  <c r="G2455" i="57" s="1"/>
  <c r="F2455" i="57" a="1"/>
  <c r="F2455" i="57" s="1"/>
  <c r="G823" i="57" a="1"/>
  <c r="G823" i="57" s="1"/>
  <c r="F823" i="57" a="1"/>
  <c r="F823" i="57" s="1"/>
  <c r="G1213" i="57" a="1"/>
  <c r="G1213" i="57" s="1"/>
  <c r="F1213" i="57" a="1"/>
  <c r="F1213" i="57" s="1"/>
  <c r="G220" i="57" a="1"/>
  <c r="G220" i="57" s="1"/>
  <c r="F220" i="57" a="1"/>
  <c r="F220" i="57" s="1"/>
  <c r="G2245" i="57" a="1"/>
  <c r="G2245" i="57" s="1"/>
  <c r="F2245" i="57" a="1"/>
  <c r="F2245" i="57" s="1"/>
  <c r="G2461" i="57" a="1"/>
  <c r="G2461" i="57" s="1"/>
  <c r="F2461" i="57" a="1"/>
  <c r="F2461" i="57" s="1"/>
  <c r="G829" i="57" a="1"/>
  <c r="G829" i="57" s="1"/>
  <c r="F829" i="57" a="1"/>
  <c r="F829" i="57" s="1"/>
  <c r="G1225" i="57" a="1"/>
  <c r="G1225" i="57" s="1"/>
  <c r="F1225" i="57" a="1"/>
  <c r="F1225" i="57" s="1"/>
  <c r="G2221" i="57" a="1"/>
  <c r="G2221" i="57" s="1"/>
  <c r="F2221" i="57" a="1"/>
  <c r="F2221" i="57" s="1"/>
  <c r="G1410" i="57" a="1"/>
  <c r="G1410" i="57" s="1"/>
  <c r="F1410" i="57" a="1"/>
  <c r="F1410" i="57" s="1"/>
  <c r="G1249" i="57" a="1"/>
  <c r="G1249" i="57" s="1"/>
  <c r="F1249" i="57" a="1"/>
  <c r="F1249" i="57" s="1"/>
  <c r="G610" i="57" a="1"/>
  <c r="G610" i="57" s="1"/>
  <c r="F610" i="57" a="1"/>
  <c r="F610" i="57" s="1"/>
  <c r="G2287" i="57" a="1"/>
  <c r="G2287" i="57" s="1"/>
  <c r="F2287" i="57" a="1"/>
  <c r="F2287" i="57" s="1"/>
  <c r="G649" i="57" a="1"/>
  <c r="G649" i="57" s="1"/>
  <c r="F649" i="57" a="1"/>
  <c r="F649" i="57" s="1"/>
  <c r="G895" i="57" a="1"/>
  <c r="G895" i="57" s="1"/>
  <c r="F895" i="57" a="1"/>
  <c r="F895" i="57" s="1"/>
  <c r="G1297" i="57" a="1"/>
  <c r="G1297" i="57" s="1"/>
  <c r="F1297" i="57" a="1"/>
  <c r="F1297" i="57" s="1"/>
  <c r="G212" i="57" a="1"/>
  <c r="G212" i="57" s="1"/>
  <c r="F212" i="57" a="1"/>
  <c r="F212" i="57" s="1"/>
  <c r="G218" i="57" a="1"/>
  <c r="G218" i="57" s="1"/>
  <c r="F218" i="57" a="1"/>
  <c r="F218" i="57" s="1"/>
  <c r="G458" i="57" a="1"/>
  <c r="G458" i="57" s="1"/>
  <c r="F458" i="57" a="1"/>
  <c r="F458" i="57" s="1"/>
  <c r="G273" i="57" a="1"/>
  <c r="G273" i="57" s="1"/>
  <c r="F273" i="57" a="1"/>
  <c r="F273" i="57" s="1"/>
  <c r="G99" i="57" a="1"/>
  <c r="G99" i="57" s="1"/>
  <c r="F99" i="57" a="1"/>
  <c r="F99" i="57" s="1"/>
  <c r="G435" i="57" a="1"/>
  <c r="G435" i="57" s="1"/>
  <c r="F435" i="57" a="1"/>
  <c r="F435" i="57" s="1"/>
  <c r="G214" i="57" a="1"/>
  <c r="G214" i="57" s="1"/>
  <c r="F214" i="57" a="1"/>
  <c r="F214" i="57" s="1"/>
  <c r="G1455" i="57" a="1"/>
  <c r="G1455" i="57" s="1"/>
  <c r="F1455" i="57" a="1"/>
  <c r="F1455" i="57" s="1"/>
  <c r="G335" i="57" a="1"/>
  <c r="G335" i="57" s="1"/>
  <c r="F335" i="57" a="1"/>
  <c r="F335" i="57" s="1"/>
  <c r="G659" i="57" a="1"/>
  <c r="G659" i="57" s="1"/>
  <c r="F659" i="57" a="1"/>
  <c r="F659" i="57" s="1"/>
  <c r="G114" i="57" a="1"/>
  <c r="G114" i="57" s="1"/>
  <c r="F114" i="57" a="1"/>
  <c r="F114" i="57" s="1"/>
  <c r="G2483" i="57" a="1"/>
  <c r="G2483" i="57" s="1"/>
  <c r="F2483" i="57" a="1"/>
  <c r="F2483" i="57" s="1"/>
  <c r="G134" i="57" a="1"/>
  <c r="G134" i="57" s="1"/>
  <c r="F134" i="57" a="1"/>
  <c r="F134" i="57" s="1"/>
  <c r="G278" i="57" a="1"/>
  <c r="G278" i="57" s="1"/>
  <c r="F278" i="57" a="1"/>
  <c r="F278" i="57" s="1"/>
  <c r="G398" i="57" a="1"/>
  <c r="G398" i="57" s="1"/>
  <c r="F398" i="57" a="1"/>
  <c r="F398" i="57" s="1"/>
  <c r="G2496" i="57" a="1"/>
  <c r="G2496" i="57" s="1"/>
  <c r="F2496" i="57" a="1"/>
  <c r="F2496" i="57" s="1"/>
  <c r="G345" i="57" a="1"/>
  <c r="G345" i="57" s="1"/>
  <c r="F345" i="57" a="1"/>
  <c r="F345" i="57" s="1"/>
  <c r="G112" i="57" a="1"/>
  <c r="G112" i="57" s="1"/>
  <c r="F112" i="57" a="1"/>
  <c r="F112" i="57" s="1"/>
  <c r="G502" i="57" a="1"/>
  <c r="G502" i="57" s="1"/>
  <c r="F502" i="57" a="1"/>
  <c r="F502" i="57" s="1"/>
  <c r="G251" i="57" a="1"/>
  <c r="G251" i="57" s="1"/>
  <c r="F251" i="57" a="1"/>
  <c r="F251" i="57" s="1"/>
  <c r="G575" i="57" a="1"/>
  <c r="G575" i="57" s="1"/>
  <c r="F575" i="57" a="1"/>
  <c r="F575" i="57" s="1"/>
  <c r="F18" i="57" a="1"/>
  <c r="F18" i="57" s="1"/>
  <c r="G536" i="57" a="1"/>
  <c r="G536" i="57" s="1"/>
  <c r="F536" i="57" a="1"/>
  <c r="F536" i="57" s="1"/>
  <c r="G285" i="57" a="1"/>
  <c r="G285" i="57" s="1"/>
  <c r="F285" i="57" a="1"/>
  <c r="F285" i="57" s="1"/>
  <c r="G615" i="57" a="1"/>
  <c r="G615" i="57" s="1"/>
  <c r="F615" i="57" a="1"/>
  <c r="F615" i="57" s="1"/>
  <c r="G430" i="57" a="1"/>
  <c r="G430" i="57" s="1"/>
  <c r="F430" i="57" a="1"/>
  <c r="F430" i="57" s="1"/>
  <c r="G191" i="57" a="1"/>
  <c r="G191" i="57" s="1"/>
  <c r="F191" i="57" a="1"/>
  <c r="F191" i="57" s="1"/>
  <c r="G515" i="57" a="1"/>
  <c r="G515" i="57" s="1"/>
  <c r="F515" i="57" a="1"/>
  <c r="F515" i="57" s="1"/>
  <c r="G839" i="57" a="1"/>
  <c r="G839" i="57" s="1"/>
  <c r="F839" i="57" a="1"/>
  <c r="F839" i="57" s="1"/>
  <c r="G44" i="57" a="1"/>
  <c r="G44" i="57" s="1"/>
  <c r="F44" i="57" a="1"/>
  <c r="F44" i="57" s="1"/>
  <c r="G428" i="57" a="1"/>
  <c r="G428" i="57" s="1"/>
  <c r="F428" i="57" a="1"/>
  <c r="F428" i="57" s="1"/>
  <c r="G81" i="57" a="1"/>
  <c r="G81" i="57" s="1"/>
  <c r="F81" i="57" a="1"/>
  <c r="F81" i="57" s="1"/>
  <c r="G423" i="57" a="1"/>
  <c r="G423" i="57" s="1"/>
  <c r="F423" i="57" a="1"/>
  <c r="F423" i="57" s="1"/>
  <c r="G202" i="57" a="1"/>
  <c r="G202" i="57" s="1"/>
  <c r="F202" i="57" a="1"/>
  <c r="F202" i="57" s="1"/>
  <c r="G2492" i="57" a="1"/>
  <c r="G2492" i="57" s="1"/>
  <c r="F2492" i="57" a="1"/>
  <c r="F2492" i="57" s="1"/>
  <c r="G323" i="57" a="1"/>
  <c r="G323" i="57" s="1"/>
  <c r="F323" i="57" a="1"/>
  <c r="F323" i="57" s="1"/>
  <c r="G647" i="57" a="1"/>
  <c r="G647" i="57" s="1"/>
  <c r="F647" i="57" a="1"/>
  <c r="F647" i="57" s="1"/>
  <c r="G102" i="57" a="1"/>
  <c r="G102" i="57" s="1"/>
  <c r="F102" i="57" a="1"/>
  <c r="F102" i="57" s="1"/>
  <c r="G494" i="57" a="1"/>
  <c r="G494" i="57" s="1"/>
  <c r="F494" i="57" a="1"/>
  <c r="F494" i="57" s="1"/>
  <c r="G249" i="57" a="1"/>
  <c r="G249" i="57" s="1"/>
  <c r="F249" i="57" a="1"/>
  <c r="F249" i="57" s="1"/>
  <c r="G579" i="57" a="1"/>
  <c r="G579" i="57" s="1"/>
  <c r="F579" i="57" a="1"/>
  <c r="F579" i="57" s="1"/>
  <c r="G388" i="57" a="1"/>
  <c r="G388" i="57" s="1"/>
  <c r="F388" i="57" a="1"/>
  <c r="F388" i="57" s="1"/>
  <c r="G155" i="57" a="1"/>
  <c r="G155" i="57" s="1"/>
  <c r="F155" i="57" a="1"/>
  <c r="F155" i="57" s="1"/>
  <c r="G479" i="57" a="1"/>
  <c r="G479" i="57" s="1"/>
  <c r="F479" i="57" a="1"/>
  <c r="F479" i="57" s="1"/>
  <c r="G803" i="57" a="1"/>
  <c r="G803" i="57" s="1"/>
  <c r="F803" i="57" a="1"/>
  <c r="F803" i="57" s="1"/>
  <c r="G188" i="57" a="1"/>
  <c r="G188" i="57" s="1"/>
  <c r="F188" i="57" a="1"/>
  <c r="F188" i="57" s="1"/>
  <c r="G314" i="57" a="1"/>
  <c r="G314" i="57" s="1"/>
  <c r="F314" i="57" a="1"/>
  <c r="F314" i="57" s="1"/>
  <c r="G561" i="57" a="1"/>
  <c r="G561" i="57" s="1"/>
  <c r="F561" i="57" a="1"/>
  <c r="F561" i="57" s="1"/>
  <c r="G364" i="57" a="1"/>
  <c r="G364" i="57" s="1"/>
  <c r="F364" i="57" a="1"/>
  <c r="F364" i="57" s="1"/>
  <c r="G137" i="57" a="1"/>
  <c r="G137" i="57" s="1"/>
  <c r="F137" i="57" a="1"/>
  <c r="F137" i="57" s="1"/>
  <c r="G461" i="57" a="1"/>
  <c r="G461" i="57" s="1"/>
  <c r="F461" i="57" a="1"/>
  <c r="F461" i="57" s="1"/>
  <c r="G785" i="57" a="1"/>
  <c r="G785" i="57" s="1"/>
  <c r="F785" i="57" a="1"/>
  <c r="F785" i="57" s="1"/>
  <c r="G1451" i="57" a="1"/>
  <c r="G1451" i="57" s="1"/>
  <c r="F1451" i="57" a="1"/>
  <c r="F1451" i="57" s="1"/>
  <c r="G32" i="57" a="1"/>
  <c r="G32" i="57" s="1"/>
  <c r="F32" i="57" a="1"/>
  <c r="F32" i="57" s="1"/>
  <c r="G572" i="57" a="1"/>
  <c r="G572" i="57" s="1"/>
  <c r="F572" i="57" a="1"/>
  <c r="F572" i="57" s="1"/>
  <c r="G201" i="57" a="1"/>
  <c r="G201" i="57" s="1"/>
  <c r="F201" i="57" a="1"/>
  <c r="F201" i="57" s="1"/>
  <c r="G447" i="57" a="1"/>
  <c r="G447" i="57" s="1"/>
  <c r="F447" i="57" a="1"/>
  <c r="F447" i="57" s="1"/>
  <c r="G142" i="57" a="1"/>
  <c r="G142" i="57" s="1"/>
  <c r="F142" i="57" a="1"/>
  <c r="F142" i="57" s="1"/>
  <c r="G400" i="57" a="1"/>
  <c r="G400" i="57" s="1"/>
  <c r="F400" i="57" a="1"/>
  <c r="F400" i="57" s="1"/>
  <c r="G2510" i="57" a="1"/>
  <c r="G2510" i="57" s="1"/>
  <c r="F2510" i="57" a="1"/>
  <c r="F2510" i="57" s="1"/>
  <c r="G95" i="57" a="1"/>
  <c r="G95" i="57" s="1"/>
  <c r="F95" i="57" a="1"/>
  <c r="F95" i="57" s="1"/>
  <c r="G221" i="57" a="1"/>
  <c r="G221" i="57" s="1"/>
  <c r="F221" i="57" a="1"/>
  <c r="F221" i="57" s="1"/>
  <c r="G329" i="57" a="1"/>
  <c r="G329" i="57" s="1"/>
  <c r="F329" i="57" a="1"/>
  <c r="F329" i="57" s="1"/>
  <c r="G437" i="57" a="1"/>
  <c r="G437" i="57" s="1"/>
  <c r="F437" i="57" a="1"/>
  <c r="F437" i="57" s="1"/>
  <c r="G545" i="57" a="1"/>
  <c r="G545" i="57" s="1"/>
  <c r="F545" i="57" a="1"/>
  <c r="F545" i="57" s="1"/>
  <c r="G653" i="57" a="1"/>
  <c r="G653" i="57" s="1"/>
  <c r="F653" i="57" a="1"/>
  <c r="F653" i="57" s="1"/>
  <c r="G761" i="57" a="1"/>
  <c r="G761" i="57" s="1"/>
  <c r="F761" i="57" a="1"/>
  <c r="F761" i="57" s="1"/>
  <c r="G869" i="57" a="1"/>
  <c r="G869" i="57" s="1"/>
  <c r="F869" i="57" a="1"/>
  <c r="F869" i="57" s="1"/>
  <c r="G108" i="57" a="1"/>
  <c r="G108" i="57" s="1"/>
  <c r="F108" i="57" a="1"/>
  <c r="F108" i="57" s="1"/>
  <c r="G246" i="57" a="1"/>
  <c r="G246" i="57" s="1"/>
  <c r="F246" i="57" a="1"/>
  <c r="F246" i="57" s="1"/>
  <c r="G366" i="57" a="1"/>
  <c r="G366" i="57" s="1"/>
  <c r="F366" i="57" a="1"/>
  <c r="F366" i="57" s="1"/>
  <c r="G522" i="57" a="1"/>
  <c r="G522" i="57" s="1"/>
  <c r="F522" i="57" a="1"/>
  <c r="F522" i="57" s="1"/>
  <c r="G642" i="57" a="1"/>
  <c r="G642" i="57" s="1"/>
  <c r="F642" i="57" a="1"/>
  <c r="F642" i="57" s="1"/>
  <c r="G971" i="57" a="1"/>
  <c r="G971" i="57" s="1"/>
  <c r="F971" i="57" a="1"/>
  <c r="F971" i="57" s="1"/>
  <c r="G1079" i="57" a="1"/>
  <c r="G1079" i="57" s="1"/>
  <c r="F1079" i="57" a="1"/>
  <c r="F1079" i="57" s="1"/>
  <c r="G1187" i="57" a="1"/>
  <c r="G1187" i="57" s="1"/>
  <c r="F1187" i="57" a="1"/>
  <c r="F1187" i="57" s="1"/>
  <c r="G1295" i="57" a="1"/>
  <c r="G1295" i="57" s="1"/>
  <c r="F1295" i="57" a="1"/>
  <c r="F1295" i="57" s="1"/>
  <c r="G666" i="57" a="1"/>
  <c r="G666" i="57" s="1"/>
  <c r="F666" i="57" a="1"/>
  <c r="F666" i="57" s="1"/>
  <c r="G828" i="57" a="1"/>
  <c r="G828" i="57" s="1"/>
  <c r="F828" i="57" a="1"/>
  <c r="F828" i="57" s="1"/>
  <c r="G954" i="57" a="1"/>
  <c r="G954" i="57" s="1"/>
  <c r="F954" i="57" a="1"/>
  <c r="F954" i="57" s="1"/>
  <c r="G1080" i="57" a="1"/>
  <c r="G1080" i="57" s="1"/>
  <c r="F1080" i="57" a="1"/>
  <c r="F1080" i="57" s="1"/>
  <c r="G1218" i="57" a="1"/>
  <c r="G1218" i="57" s="1"/>
  <c r="F1218" i="57" a="1"/>
  <c r="F1218" i="57" s="1"/>
  <c r="G1350" i="57" a="1"/>
  <c r="G1350" i="57" s="1"/>
  <c r="F1350" i="57" a="1"/>
  <c r="F1350" i="57" s="1"/>
  <c r="G668" i="57" a="1"/>
  <c r="G668" i="57" s="1"/>
  <c r="F668" i="57" a="1"/>
  <c r="F668" i="57" s="1"/>
  <c r="G788" i="57" a="1"/>
  <c r="G788" i="57" s="1"/>
  <c r="F788" i="57" a="1"/>
  <c r="F788" i="57" s="1"/>
  <c r="G926" i="57" a="1"/>
  <c r="G926" i="57" s="1"/>
  <c r="F926" i="57" a="1"/>
  <c r="F926" i="57" s="1"/>
  <c r="G1088" i="57" a="1"/>
  <c r="G1088" i="57" s="1"/>
  <c r="F1088" i="57" a="1"/>
  <c r="F1088" i="57" s="1"/>
  <c r="G1250" i="57" a="1"/>
  <c r="G1250" i="57" s="1"/>
  <c r="F1250" i="57" a="1"/>
  <c r="F1250" i="57" s="1"/>
  <c r="G1412" i="57" a="1"/>
  <c r="G1412" i="57" s="1"/>
  <c r="F1412" i="57" a="1"/>
  <c r="F1412" i="57" s="1"/>
  <c r="G735" i="57" a="1"/>
  <c r="G735" i="57" s="1"/>
  <c r="F735" i="57" a="1"/>
  <c r="F735" i="57" s="1"/>
  <c r="G939" i="57" a="1"/>
  <c r="G939" i="57" s="1"/>
  <c r="F939" i="57" a="1"/>
  <c r="F939" i="57" s="1"/>
  <c r="G1269" i="57" a="1"/>
  <c r="G1269" i="57" s="1"/>
  <c r="F1269" i="57" a="1"/>
  <c r="F1269" i="57" s="1"/>
  <c r="G742" i="57" a="1"/>
  <c r="G742" i="57" s="1"/>
  <c r="F742" i="57" a="1"/>
  <c r="F742" i="57" s="1"/>
  <c r="G1114" i="57" a="1"/>
  <c r="G1114" i="57" s="1"/>
  <c r="F1114" i="57" a="1"/>
  <c r="F1114" i="57" s="1"/>
  <c r="G1391" i="57" a="1"/>
  <c r="G1391" i="57" s="1"/>
  <c r="F1391" i="57" a="1"/>
  <c r="F1391" i="57" s="1"/>
  <c r="G1713" i="57" a="1"/>
  <c r="G1713" i="57" s="1"/>
  <c r="F1713" i="57" a="1"/>
  <c r="F1713" i="57" s="1"/>
  <c r="G1528" i="57" a="1"/>
  <c r="G1528" i="57" s="1"/>
  <c r="F1528" i="57" a="1"/>
  <c r="F1528" i="57" s="1"/>
  <c r="G1840" i="57" a="1"/>
  <c r="G1840" i="57" s="1"/>
  <c r="F1840" i="57" a="1"/>
  <c r="F1840" i="57" s="1"/>
  <c r="G1763" i="57" a="1"/>
  <c r="G1763" i="57" s="1"/>
  <c r="F1763" i="57" a="1"/>
  <c r="F1763" i="57" s="1"/>
  <c r="G1778" i="57" a="1"/>
  <c r="G1778" i="57" s="1"/>
  <c r="F1778" i="57" a="1"/>
  <c r="F1778" i="57" s="1"/>
  <c r="G590" i="57" a="1"/>
  <c r="G590" i="57" s="1"/>
  <c r="F590" i="57" a="1"/>
  <c r="F590" i="57" s="1"/>
  <c r="G219" i="57" a="1"/>
  <c r="G219" i="57" s="1"/>
  <c r="F219" i="57" a="1"/>
  <c r="F219" i="57" s="1"/>
  <c r="G429" i="57" a="1"/>
  <c r="G429" i="57" s="1"/>
  <c r="F429" i="57" a="1"/>
  <c r="F429" i="57" s="1"/>
  <c r="G627" i="57" a="1"/>
  <c r="G627" i="57" s="1"/>
  <c r="F627" i="57" a="1"/>
  <c r="F627" i="57" s="1"/>
  <c r="G292" i="57" a="1"/>
  <c r="G292" i="57" s="1"/>
  <c r="F292" i="57" a="1"/>
  <c r="F292" i="57" s="1"/>
  <c r="G843" i="57" a="1"/>
  <c r="G843" i="57" s="1"/>
  <c r="F843" i="57" a="1"/>
  <c r="F843" i="57" s="1"/>
  <c r="G1179" i="57" a="1"/>
  <c r="G1179" i="57" s="1"/>
  <c r="F1179" i="57" a="1"/>
  <c r="F1179" i="57" s="1"/>
  <c r="G652" i="57" a="1"/>
  <c r="G652" i="57" s="1"/>
  <c r="F652" i="57" a="1"/>
  <c r="F652" i="57" s="1"/>
  <c r="G1018" i="57" a="1"/>
  <c r="G1018" i="57" s="1"/>
  <c r="F1018" i="57" a="1"/>
  <c r="F1018" i="57" s="1"/>
  <c r="G1390" i="57" a="1"/>
  <c r="G1390" i="57" s="1"/>
  <c r="F1390" i="57" a="1"/>
  <c r="F1390" i="57" s="1"/>
  <c r="G1623" i="57" a="1"/>
  <c r="G1623" i="57" s="1"/>
  <c r="F1623" i="57" a="1"/>
  <c r="F1623" i="57" s="1"/>
  <c r="G1929" i="57" a="1"/>
  <c r="G1929" i="57" s="1"/>
  <c r="F1929" i="57" a="1"/>
  <c r="F1929" i="57" s="1"/>
  <c r="G1744" i="57" a="1"/>
  <c r="G1744" i="57" s="1"/>
  <c r="F1744" i="57" a="1"/>
  <c r="F1744" i="57" s="1"/>
  <c r="G1619" i="57" a="1"/>
  <c r="G1619" i="57" s="1"/>
  <c r="F1619" i="57" a="1"/>
  <c r="F1619" i="57" s="1"/>
  <c r="G1634" i="57" a="1"/>
  <c r="G1634" i="57" s="1"/>
  <c r="F1634" i="57" a="1"/>
  <c r="F1634" i="57" s="1"/>
  <c r="G354" i="57" a="1"/>
  <c r="G354" i="57" s="1"/>
  <c r="F354" i="57" a="1"/>
  <c r="F354" i="57" s="1"/>
  <c r="G887" i="57" a="1"/>
  <c r="G887" i="57" s="1"/>
  <c r="F887" i="57" a="1"/>
  <c r="F887" i="57" s="1"/>
  <c r="G1085" i="57" a="1"/>
  <c r="G1085" i="57" s="1"/>
  <c r="F1085" i="57" a="1"/>
  <c r="F1085" i="57" s="1"/>
  <c r="G1193" i="57" a="1"/>
  <c r="G1193" i="57" s="1"/>
  <c r="F1193" i="57" a="1"/>
  <c r="F1193" i="57" s="1"/>
  <c r="G1301" i="57" a="1"/>
  <c r="G1301" i="57" s="1"/>
  <c r="F1301" i="57" a="1"/>
  <c r="F1301" i="57" s="1"/>
  <c r="G678" i="57" a="1"/>
  <c r="G678" i="57" s="1"/>
  <c r="F678" i="57" a="1"/>
  <c r="F678" i="57" s="1"/>
  <c r="G834" i="57" a="1"/>
  <c r="G834" i="57" s="1"/>
  <c r="F834" i="57" a="1"/>
  <c r="F834" i="57" s="1"/>
  <c r="G984" i="57" a="1"/>
  <c r="G984" i="57" s="1"/>
  <c r="F984" i="57" a="1"/>
  <c r="F984" i="57" s="1"/>
  <c r="G1122" i="57" a="1"/>
  <c r="G1122" i="57" s="1"/>
  <c r="F1122" i="57" a="1"/>
  <c r="F1122" i="57" s="1"/>
  <c r="G1248" i="57" a="1"/>
  <c r="G1248" i="57" s="1"/>
  <c r="F1248" i="57" a="1"/>
  <c r="F1248" i="57" s="1"/>
  <c r="G1386" i="57" a="1"/>
  <c r="G1386" i="57" s="1"/>
  <c r="F1386" i="57" a="1"/>
  <c r="F1386" i="57" s="1"/>
  <c r="G692" i="57" a="1"/>
  <c r="G692" i="57" s="1"/>
  <c r="F692" i="57" a="1"/>
  <c r="F692" i="57" s="1"/>
  <c r="G812" i="57" a="1"/>
  <c r="G812" i="57" s="1"/>
  <c r="F812" i="57" a="1"/>
  <c r="F812" i="57" s="1"/>
  <c r="G962" i="57" a="1"/>
  <c r="G962" i="57" s="1"/>
  <c r="F962" i="57" a="1"/>
  <c r="F962" i="57" s="1"/>
  <c r="G1124" i="57" a="1"/>
  <c r="G1124" i="57" s="1"/>
  <c r="F1124" i="57" a="1"/>
  <c r="F1124" i="57" s="1"/>
  <c r="G1286" i="57" a="1"/>
  <c r="G1286" i="57" s="1"/>
  <c r="F1286" i="57" a="1"/>
  <c r="F1286" i="57" s="1"/>
  <c r="G645" i="57" a="1"/>
  <c r="G645" i="57" s="1"/>
  <c r="F645" i="57" a="1"/>
  <c r="F645" i="57" s="1"/>
  <c r="G759" i="57" a="1"/>
  <c r="G759" i="57" s="1"/>
  <c r="F759" i="57" a="1"/>
  <c r="F759" i="57" s="1"/>
  <c r="G1011" i="57" a="1"/>
  <c r="G1011" i="57" s="1"/>
  <c r="F1011" i="57" a="1"/>
  <c r="F1011" i="57" s="1"/>
  <c r="G1347" i="57" a="1"/>
  <c r="G1347" i="57" s="1"/>
  <c r="F1347" i="57" a="1"/>
  <c r="F1347" i="57" s="1"/>
  <c r="G832" i="57" a="1"/>
  <c r="G832" i="57" s="1"/>
  <c r="F832" i="57" a="1"/>
  <c r="F832" i="57" s="1"/>
  <c r="G1198" i="57" a="1"/>
  <c r="G1198" i="57" s="1"/>
  <c r="F1198" i="57" a="1"/>
  <c r="F1198" i="57" s="1"/>
  <c r="G1479" i="57" a="1"/>
  <c r="G1479" i="57" s="1"/>
  <c r="F1479" i="57" a="1"/>
  <c r="F1479" i="57" s="1"/>
  <c r="G1785" i="57" a="1"/>
  <c r="G1785" i="57" s="1"/>
  <c r="F1785" i="57" a="1"/>
  <c r="F1785" i="57" s="1"/>
  <c r="G1594" i="57" a="1"/>
  <c r="G1594" i="57" s="1"/>
  <c r="F1594" i="57" a="1"/>
  <c r="F1594" i="57" s="1"/>
  <c r="G1906" i="57" a="1"/>
  <c r="G1906" i="57" s="1"/>
  <c r="F1906" i="57" a="1"/>
  <c r="F1906" i="57" s="1"/>
  <c r="G1883" i="57" a="1"/>
  <c r="G1883" i="57" s="1"/>
  <c r="F1883" i="57" a="1"/>
  <c r="F1883" i="57" s="1"/>
  <c r="G1904" i="57" a="1"/>
  <c r="G1904" i="57" s="1"/>
  <c r="F1904" i="57" a="1"/>
  <c r="F1904" i="57" s="1"/>
  <c r="G396" i="57" a="1"/>
  <c r="G396" i="57" s="1"/>
  <c r="F396" i="57" a="1"/>
  <c r="F396" i="57" s="1"/>
  <c r="G648" i="57" a="1"/>
  <c r="G648" i="57" s="1"/>
  <c r="F648" i="57" a="1"/>
  <c r="F648" i="57" s="1"/>
  <c r="G924" i="57" a="1"/>
  <c r="G924" i="57" s="1"/>
  <c r="F924" i="57" a="1"/>
  <c r="F924" i="57" s="1"/>
  <c r="G1143" i="57" a="1"/>
  <c r="G1143" i="57" s="1"/>
  <c r="F1143" i="57" a="1"/>
  <c r="F1143" i="57" s="1"/>
  <c r="G604" i="57" a="1"/>
  <c r="G604" i="57" s="1"/>
  <c r="F604" i="57" a="1"/>
  <c r="F604" i="57" s="1"/>
  <c r="G982" i="57" a="1"/>
  <c r="G982" i="57" s="1"/>
  <c r="F982" i="57" a="1"/>
  <c r="F982" i="57" s="1"/>
  <c r="G1342" i="57" a="1"/>
  <c r="G1342" i="57" s="1"/>
  <c r="F1342" i="57" a="1"/>
  <c r="F1342" i="57" s="1"/>
  <c r="G1587" i="57" a="1"/>
  <c r="G1587" i="57" s="1"/>
  <c r="F1587" i="57" a="1"/>
  <c r="F1587" i="57" s="1"/>
  <c r="G1905" i="57" a="1"/>
  <c r="G1905" i="57" s="1"/>
  <c r="F1905" i="57" a="1"/>
  <c r="F1905" i="57" s="1"/>
  <c r="G1708" i="57" a="1"/>
  <c r="G1708" i="57" s="1"/>
  <c r="F1708" i="57" a="1"/>
  <c r="F1708" i="57" s="1"/>
  <c r="G1547" i="57" a="1"/>
  <c r="G1547" i="57" s="1"/>
  <c r="F1547" i="57" a="1"/>
  <c r="F1547" i="57" s="1"/>
  <c r="G1562" i="57" a="1"/>
  <c r="G1562" i="57" s="1"/>
  <c r="F1562" i="57" a="1"/>
  <c r="F1562" i="57" s="1"/>
  <c r="G210" i="57" a="1"/>
  <c r="G210" i="57" s="1"/>
  <c r="F210" i="57" a="1"/>
  <c r="F210" i="57" s="1"/>
  <c r="G594" i="57" a="1"/>
  <c r="G594" i="57" s="1"/>
  <c r="F594" i="57" a="1"/>
  <c r="F594" i="57" s="1"/>
  <c r="G965" i="57" a="1"/>
  <c r="G965" i="57" s="1"/>
  <c r="F965" i="57" a="1"/>
  <c r="F965" i="57" s="1"/>
  <c r="G1091" i="57" a="1"/>
  <c r="G1091" i="57" s="1"/>
  <c r="F1091" i="57" a="1"/>
  <c r="F1091" i="57" s="1"/>
  <c r="G1199" i="57" a="1"/>
  <c r="G1199" i="57" s="1"/>
  <c r="F1199" i="57" a="1"/>
  <c r="F1199" i="57" s="1"/>
  <c r="G1313" i="57" a="1"/>
  <c r="G1313" i="57" s="1"/>
  <c r="F1313" i="57" a="1"/>
  <c r="F1313" i="57" s="1"/>
  <c r="G684" i="57" a="1"/>
  <c r="G684" i="57" s="1"/>
  <c r="F684" i="57" a="1"/>
  <c r="F684" i="57" s="1"/>
  <c r="G858" i="57" a="1"/>
  <c r="G858" i="57" s="1"/>
  <c r="F858" i="57" a="1"/>
  <c r="F858" i="57" s="1"/>
  <c r="G996" i="57" a="1"/>
  <c r="G996" i="57" s="1"/>
  <c r="F996" i="57" a="1"/>
  <c r="F996" i="57" s="1"/>
  <c r="G1128" i="57" a="1"/>
  <c r="G1128" i="57" s="1"/>
  <c r="F1128" i="57" a="1"/>
  <c r="F1128" i="57" s="1"/>
  <c r="G1254" i="57" a="1"/>
  <c r="G1254" i="57" s="1"/>
  <c r="F1254" i="57" a="1"/>
  <c r="F1254" i="57" s="1"/>
  <c r="G1392" i="57" a="1"/>
  <c r="G1392" i="57" s="1"/>
  <c r="F1392" i="57" a="1"/>
  <c r="F1392" i="57" s="1"/>
  <c r="G698" i="57" a="1"/>
  <c r="G698" i="57" s="1"/>
  <c r="F698" i="57" a="1"/>
  <c r="F698" i="57" s="1"/>
  <c r="G818" i="57" a="1"/>
  <c r="G818" i="57" s="1"/>
  <c r="F818" i="57" a="1"/>
  <c r="F818" i="57" s="1"/>
  <c r="G968" i="57" a="1"/>
  <c r="G968" i="57" s="1"/>
  <c r="F968" i="57" a="1"/>
  <c r="F968" i="57" s="1"/>
  <c r="G1130" i="57" a="1"/>
  <c r="G1130" i="57" s="1"/>
  <c r="F1130" i="57" a="1"/>
  <c r="F1130" i="57" s="1"/>
  <c r="G1292" i="57" a="1"/>
  <c r="G1292" i="57" s="1"/>
  <c r="F1292" i="57" a="1"/>
  <c r="F1292" i="57" s="1"/>
  <c r="G651" i="57" a="1"/>
  <c r="G651" i="57" s="1"/>
  <c r="F651" i="57" a="1"/>
  <c r="F651" i="57" s="1"/>
  <c r="G765" i="57" a="1"/>
  <c r="G765" i="57" s="1"/>
  <c r="F765" i="57" a="1"/>
  <c r="F765" i="57" s="1"/>
  <c r="G1017" i="57" a="1"/>
  <c r="G1017" i="57" s="1"/>
  <c r="F1017" i="57" a="1"/>
  <c r="F1017" i="57" s="1"/>
  <c r="G1359" i="57" a="1"/>
  <c r="G1359" i="57" s="1"/>
  <c r="F1359" i="57" a="1"/>
  <c r="F1359" i="57" s="1"/>
  <c r="G838" i="57" a="1"/>
  <c r="G838" i="57" s="1"/>
  <c r="F838" i="57" a="1"/>
  <c r="F838" i="57" s="1"/>
  <c r="G1204" i="57" a="1"/>
  <c r="G1204" i="57" s="1"/>
  <c r="F1204" i="57" a="1"/>
  <c r="F1204" i="57" s="1"/>
  <c r="G1491" i="57" a="1"/>
  <c r="G1491" i="57" s="1"/>
  <c r="F1491" i="57" a="1"/>
  <c r="F1491" i="57" s="1"/>
  <c r="G1803" i="57" a="1"/>
  <c r="G1803" i="57" s="1"/>
  <c r="F1803" i="57" a="1"/>
  <c r="F1803" i="57" s="1"/>
  <c r="G1618" i="57" a="1"/>
  <c r="G1618" i="57" s="1"/>
  <c r="F1618" i="57" a="1"/>
  <c r="F1618" i="57" s="1"/>
  <c r="G1924" i="57" a="1"/>
  <c r="G1924" i="57" s="1"/>
  <c r="F1924" i="57" a="1"/>
  <c r="F1924" i="57" s="1"/>
  <c r="G1919" i="57" a="1"/>
  <c r="G1919" i="57" s="1"/>
  <c r="F1919" i="57" a="1"/>
  <c r="F1919" i="57" s="1"/>
  <c r="G1940" i="57" a="1"/>
  <c r="G1940" i="57" s="1"/>
  <c r="F1940" i="57" a="1"/>
  <c r="F1940" i="57" s="1"/>
  <c r="G300" i="57" a="1"/>
  <c r="G300" i="57" s="1"/>
  <c r="F300" i="57" a="1"/>
  <c r="F300" i="57" s="1"/>
  <c r="G516" i="57" a="1"/>
  <c r="G516" i="57" s="1"/>
  <c r="F516" i="57" a="1"/>
  <c r="F516" i="57" s="1"/>
  <c r="G840" i="57" a="1"/>
  <c r="G840" i="57" s="1"/>
  <c r="F840" i="57" a="1"/>
  <c r="F840" i="57" s="1"/>
  <c r="G1107" i="57" a="1"/>
  <c r="G1107" i="57" s="1"/>
  <c r="F1107" i="57" a="1"/>
  <c r="F1107" i="57" s="1"/>
  <c r="G562" i="57" a="1"/>
  <c r="G562" i="57" s="1"/>
  <c r="F562" i="57" a="1"/>
  <c r="F562" i="57" s="1"/>
  <c r="G946" i="57" a="1"/>
  <c r="G946" i="57" s="1"/>
  <c r="F946" i="57" a="1"/>
  <c r="F946" i="57" s="1"/>
  <c r="G1300" i="57" a="1"/>
  <c r="G1300" i="57" s="1"/>
  <c r="F1300" i="57" a="1"/>
  <c r="F1300" i="57" s="1"/>
  <c r="G1557" i="57" a="1"/>
  <c r="G1557" i="57" s="1"/>
  <c r="F1557" i="57" a="1"/>
  <c r="F1557" i="57" s="1"/>
  <c r="G1869" i="57" a="1"/>
  <c r="G1869" i="57" s="1"/>
  <c r="F1869" i="57" a="1"/>
  <c r="F1869" i="57" s="1"/>
  <c r="G1672" i="57" a="1"/>
  <c r="G1672" i="57" s="1"/>
  <c r="F1672" i="57" a="1"/>
  <c r="F1672" i="57" s="1"/>
  <c r="G1499" i="57" a="1"/>
  <c r="G1499" i="57" s="1"/>
  <c r="F1499" i="57" a="1"/>
  <c r="F1499" i="57" s="1"/>
  <c r="G1514" i="57" a="1"/>
  <c r="G1514" i="57" s="1"/>
  <c r="F1514" i="57" a="1"/>
  <c r="F1514" i="57" s="1"/>
  <c r="G2043" i="57" a="1"/>
  <c r="G2043" i="57" s="1"/>
  <c r="F2043" i="57" a="1"/>
  <c r="F2043" i="57" s="1"/>
  <c r="G933" i="57" a="1"/>
  <c r="G933" i="57" s="1"/>
  <c r="F933" i="57" a="1"/>
  <c r="F933" i="57" s="1"/>
  <c r="G1041" i="57" a="1"/>
  <c r="G1041" i="57" s="1"/>
  <c r="F1041" i="57" a="1"/>
  <c r="F1041" i="57" s="1"/>
  <c r="G1149" i="57" a="1"/>
  <c r="G1149" i="57" s="1"/>
  <c r="F1149" i="57" a="1"/>
  <c r="F1149" i="57" s="1"/>
  <c r="G1263" i="57" a="1"/>
  <c r="G1263" i="57" s="1"/>
  <c r="F1263" i="57" a="1"/>
  <c r="F1263" i="57" s="1"/>
  <c r="G1383" i="57" a="1"/>
  <c r="G1383" i="57" s="1"/>
  <c r="F1383" i="57" a="1"/>
  <c r="F1383" i="57" s="1"/>
  <c r="G616" i="57" a="1"/>
  <c r="G616" i="57" s="1"/>
  <c r="F616" i="57" a="1"/>
  <c r="F616" i="57" s="1"/>
  <c r="G736" i="57" a="1"/>
  <c r="G736" i="57" s="1"/>
  <c r="F736" i="57" a="1"/>
  <c r="F736" i="57" s="1"/>
  <c r="G862" i="57" a="1"/>
  <c r="G862" i="57" s="1"/>
  <c r="F862" i="57" a="1"/>
  <c r="F862" i="57" s="1"/>
  <c r="G988" i="57" a="1"/>
  <c r="G988" i="57" s="1"/>
  <c r="F988" i="57" a="1"/>
  <c r="F988" i="57" s="1"/>
  <c r="G1108" i="57" a="1"/>
  <c r="G1108" i="57" s="1"/>
  <c r="F1108" i="57" a="1"/>
  <c r="F1108" i="57" s="1"/>
  <c r="G1228" i="57" a="1"/>
  <c r="G1228" i="57" s="1"/>
  <c r="F1228" i="57" a="1"/>
  <c r="F1228" i="57" s="1"/>
  <c r="G1354" i="57" a="1"/>
  <c r="G1354" i="57" s="1"/>
  <c r="F1354" i="57" a="1"/>
  <c r="F1354" i="57" s="1"/>
  <c r="G1379" i="57" a="1"/>
  <c r="G1379" i="57" s="1"/>
  <c r="F1379" i="57" a="1"/>
  <c r="F1379" i="57" s="1"/>
  <c r="G1551" i="57" a="1"/>
  <c r="G1551" i="57" s="1"/>
  <c r="F1551" i="57" a="1"/>
  <c r="F1551" i="57" s="1"/>
  <c r="G1809" i="57" a="1"/>
  <c r="G1809" i="57" s="1"/>
  <c r="F1809" i="57" a="1"/>
  <c r="F1809" i="57" s="1"/>
  <c r="G1564" i="57" a="1"/>
  <c r="G1564" i="57" s="1"/>
  <c r="F1564" i="57" a="1"/>
  <c r="F1564" i="57" s="1"/>
  <c r="G1822" i="57" a="1"/>
  <c r="G1822" i="57" s="1"/>
  <c r="F1822" i="57" a="1"/>
  <c r="F1822" i="57" s="1"/>
  <c r="G1571" i="57" a="1"/>
  <c r="G1571" i="57" s="1"/>
  <c r="F1571" i="57" a="1"/>
  <c r="F1571" i="57" s="1"/>
  <c r="G1829" i="57" a="1"/>
  <c r="G1829" i="57" s="1"/>
  <c r="F1829" i="57" a="1"/>
  <c r="F1829" i="57" s="1"/>
  <c r="G1586" i="57" a="1"/>
  <c r="G1586" i="57" s="1"/>
  <c r="F1586" i="57" a="1"/>
  <c r="F1586" i="57" s="1"/>
  <c r="G1844" i="57" a="1"/>
  <c r="G1844" i="57" s="1"/>
  <c r="F1844" i="57" a="1"/>
  <c r="F1844" i="57" s="1"/>
  <c r="G2103" i="57" a="1"/>
  <c r="G2103" i="57" s="1"/>
  <c r="F2103" i="57" a="1"/>
  <c r="F2103" i="57" s="1"/>
  <c r="G2367" i="57" a="1"/>
  <c r="G2367" i="57" s="1"/>
  <c r="F2367" i="57" a="1"/>
  <c r="F2367" i="57" s="1"/>
  <c r="G2164" i="57" a="1"/>
  <c r="G2164" i="57" s="1"/>
  <c r="F2164" i="57" a="1"/>
  <c r="F2164" i="57" s="1"/>
  <c r="G1997" i="57" a="1"/>
  <c r="G1997" i="57" s="1"/>
  <c r="F1997" i="57" a="1"/>
  <c r="F1997" i="57" s="1"/>
  <c r="G2309" i="57" a="1"/>
  <c r="G2309" i="57" s="1"/>
  <c r="F2309" i="57" a="1"/>
  <c r="F2309" i="57" s="1"/>
  <c r="G2162" i="57" a="1"/>
  <c r="G2162" i="57" s="1"/>
  <c r="F2162" i="57" a="1"/>
  <c r="F2162" i="57" s="1"/>
  <c r="G73" i="57" a="1"/>
  <c r="G73" i="57" s="1"/>
  <c r="F73" i="57" a="1"/>
  <c r="F73" i="57" s="1"/>
  <c r="G93" i="57" a="1"/>
  <c r="G93" i="57" s="1"/>
  <c r="F93" i="57" a="1"/>
  <c r="F93" i="57" s="1"/>
  <c r="G1914" i="57" a="1"/>
  <c r="G1914" i="57" s="1"/>
  <c r="F1914" i="57" a="1"/>
  <c r="F1914" i="57" s="1"/>
  <c r="G2442" i="57" a="1"/>
  <c r="G2442" i="57" s="1"/>
  <c r="F2442" i="57" a="1"/>
  <c r="F2442" i="57" s="1"/>
  <c r="G2115" i="57" a="1"/>
  <c r="G2115" i="57" s="1"/>
  <c r="F2115" i="57" a="1"/>
  <c r="F2115" i="57" s="1"/>
  <c r="G2373" i="57" a="1"/>
  <c r="G2373" i="57" s="1"/>
  <c r="F2373" i="57" a="1"/>
  <c r="F2373" i="57" s="1"/>
  <c r="G2170" i="57" a="1"/>
  <c r="G2170" i="57" s="1"/>
  <c r="F2170" i="57" a="1"/>
  <c r="F2170" i="57" s="1"/>
  <c r="G2009" i="57" a="1"/>
  <c r="G2009" i="57" s="1"/>
  <c r="F2009" i="57" a="1"/>
  <c r="F2009" i="57" s="1"/>
  <c r="G2315" i="57" a="1"/>
  <c r="G2315" i="57" s="1"/>
  <c r="F2315" i="57" a="1"/>
  <c r="F2315" i="57" s="1"/>
  <c r="G2174" i="57" a="1"/>
  <c r="G2174" i="57" s="1"/>
  <c r="F2174" i="57" a="1"/>
  <c r="F2174" i="57" s="1"/>
  <c r="G79" i="57" a="1"/>
  <c r="G79" i="57" s="1"/>
  <c r="F79" i="57" a="1"/>
  <c r="F79" i="57" s="1"/>
  <c r="G2497" i="57" a="1"/>
  <c r="G2497" i="57" s="1"/>
  <c r="F2497" i="57" a="1"/>
  <c r="F2497" i="57" s="1"/>
  <c r="G1465" i="57" a="1"/>
  <c r="G1465" i="57" s="1"/>
  <c r="F1465" i="57" a="1"/>
  <c r="F1465" i="57" s="1"/>
  <c r="G2163" i="57" a="1"/>
  <c r="G2163" i="57" s="1"/>
  <c r="F2163" i="57" a="1"/>
  <c r="F2163" i="57" s="1"/>
  <c r="G2427" i="57" a="1"/>
  <c r="G2427" i="57" s="1"/>
  <c r="F2427" i="57" a="1"/>
  <c r="F2427" i="57" s="1"/>
  <c r="G2230" i="57" a="1"/>
  <c r="G2230" i="57" s="1"/>
  <c r="F2230" i="57" a="1"/>
  <c r="F2230" i="57" s="1"/>
  <c r="G2069" i="57" a="1"/>
  <c r="G2069" i="57" s="1"/>
  <c r="F2069" i="57" a="1"/>
  <c r="F2069" i="57" s="1"/>
  <c r="G2381" i="57" a="1"/>
  <c r="G2381" i="57" s="1"/>
  <c r="F2381" i="57" a="1"/>
  <c r="F2381" i="57" s="1"/>
  <c r="G2234" i="57" a="1"/>
  <c r="G2234" i="57" s="1"/>
  <c r="F2234" i="57" a="1"/>
  <c r="F2234" i="57" s="1"/>
  <c r="G157" i="57" a="1"/>
  <c r="G157" i="57" s="1"/>
  <c r="F157" i="57" a="1"/>
  <c r="F157" i="57" s="1"/>
  <c r="G1518" i="57" a="1"/>
  <c r="G1518" i="57" s="1"/>
  <c r="F1518" i="57" a="1"/>
  <c r="F1518" i="57" s="1"/>
  <c r="G216" i="57" a="1"/>
  <c r="G216" i="57" s="1"/>
  <c r="F216" i="57" a="1"/>
  <c r="F216" i="57" s="1"/>
  <c r="G2017" i="57" a="1"/>
  <c r="G2017" i="57" s="1"/>
  <c r="F2017" i="57" a="1"/>
  <c r="F2017" i="57" s="1"/>
  <c r="G2211" i="57" a="1"/>
  <c r="G2211" i="57" s="1"/>
  <c r="F2211" i="57" a="1"/>
  <c r="F2211" i="57" s="1"/>
  <c r="G1984" i="57" a="1"/>
  <c r="G1984" i="57" s="1"/>
  <c r="F1984" i="57" a="1"/>
  <c r="F1984" i="57" s="1"/>
  <c r="G2290" i="57" a="1"/>
  <c r="G2290" i="57" s="1"/>
  <c r="F2290" i="57" a="1"/>
  <c r="F2290" i="57" s="1"/>
  <c r="G2129" i="57" a="1"/>
  <c r="G2129" i="57" s="1"/>
  <c r="F2129" i="57" a="1"/>
  <c r="F2129" i="57" s="1"/>
  <c r="G1982" i="57" a="1"/>
  <c r="G1982" i="57" s="1"/>
  <c r="F1982" i="57" a="1"/>
  <c r="F1982" i="57" s="1"/>
  <c r="G2288" i="57" a="1"/>
  <c r="G2288" i="57" s="1"/>
  <c r="F2288" i="57" a="1"/>
  <c r="F2288" i="57" s="1"/>
  <c r="G223" i="57" a="1"/>
  <c r="G223" i="57" s="1"/>
  <c r="F223" i="57" a="1"/>
  <c r="F223" i="57" s="1"/>
  <c r="G1584" i="57" a="1"/>
  <c r="G1584" i="57" s="1"/>
  <c r="F1584" i="57" a="1"/>
  <c r="F1584" i="57" s="1"/>
  <c r="G523" i="57" a="1"/>
  <c r="G523" i="57" s="1"/>
  <c r="F523" i="57" a="1"/>
  <c r="F523" i="57" s="1"/>
  <c r="G900" i="57" a="1"/>
  <c r="G900" i="57" s="1"/>
  <c r="F900" i="57" a="1"/>
  <c r="F900" i="57" s="1"/>
  <c r="G1643" i="57" a="1"/>
  <c r="G1643" i="57" s="1"/>
  <c r="F1643" i="57" a="1"/>
  <c r="F1643" i="57" s="1"/>
  <c r="G1901" i="57" a="1"/>
  <c r="G1901" i="57" s="1"/>
  <c r="F1901" i="57" a="1"/>
  <c r="F1901" i="57" s="1"/>
  <c r="G1658" i="57" a="1"/>
  <c r="G1658" i="57" s="1"/>
  <c r="F1658" i="57" a="1"/>
  <c r="F1658" i="57" s="1"/>
  <c r="G1916" i="57" a="1"/>
  <c r="G1916" i="57" s="1"/>
  <c r="F1916" i="57" a="1"/>
  <c r="F1916" i="57" s="1"/>
  <c r="G2175" i="57" a="1"/>
  <c r="G2175" i="57" s="1"/>
  <c r="F2175" i="57" a="1"/>
  <c r="F2175" i="57" s="1"/>
  <c r="G2451" i="57" a="1"/>
  <c r="G2451" i="57" s="1"/>
  <c r="F2451" i="57" a="1"/>
  <c r="F2451" i="57" s="1"/>
  <c r="G2248" i="57" a="1"/>
  <c r="G2248" i="57" s="1"/>
  <c r="F2248" i="57" a="1"/>
  <c r="F2248" i="57" s="1"/>
  <c r="G2087" i="57" a="1"/>
  <c r="G2087" i="57" s="1"/>
  <c r="F2087" i="57" a="1"/>
  <c r="F2087" i="57" s="1"/>
  <c r="G2393" i="57" a="1"/>
  <c r="G2393" i="57" s="1"/>
  <c r="F2393" i="57" a="1"/>
  <c r="F2393" i="57" s="1"/>
  <c r="G2246" i="57" a="1"/>
  <c r="G2246" i="57" s="1"/>
  <c r="F2246" i="57" a="1"/>
  <c r="F2246" i="57" s="1"/>
  <c r="G169" i="57" a="1"/>
  <c r="G169" i="57" s="1"/>
  <c r="F169" i="57" a="1"/>
  <c r="F169" i="57" s="1"/>
  <c r="G1530" i="57" a="1"/>
  <c r="G1530" i="57" s="1"/>
  <c r="F1530" i="57" a="1"/>
  <c r="F1530" i="57" s="1"/>
  <c r="G307" i="57" a="1"/>
  <c r="G307" i="57" s="1"/>
  <c r="F307" i="57" a="1"/>
  <c r="F307" i="57" s="1"/>
  <c r="G2101" i="57" a="1"/>
  <c r="G2101" i="57" s="1"/>
  <c r="F2101" i="57" a="1"/>
  <c r="F2101" i="57" s="1"/>
  <c r="G1559" i="57" a="1"/>
  <c r="G1559" i="57" s="1"/>
  <c r="F1559" i="57" a="1"/>
  <c r="F1559" i="57" s="1"/>
  <c r="G1823" i="57" a="1"/>
  <c r="G1823" i="57" s="1"/>
  <c r="F1823" i="57" a="1"/>
  <c r="F1823" i="57" s="1"/>
  <c r="G1580" i="57" a="1"/>
  <c r="G1580" i="57" s="1"/>
  <c r="F1580" i="57" a="1"/>
  <c r="F1580" i="57" s="1"/>
  <c r="G1838" i="57" a="1"/>
  <c r="G1838" i="57" s="1"/>
  <c r="F1838" i="57" a="1"/>
  <c r="F1838" i="57" s="1"/>
  <c r="G2097" i="57" a="1"/>
  <c r="G2097" i="57" s="1"/>
  <c r="F2097" i="57" a="1"/>
  <c r="F2097" i="57" s="1"/>
  <c r="G2355" i="57" a="1"/>
  <c r="G2355" i="57" s="1"/>
  <c r="F2355" i="57" a="1"/>
  <c r="F2355" i="57" s="1"/>
  <c r="G2158" i="57" a="1"/>
  <c r="G2158" i="57" s="1"/>
  <c r="F2158" i="57" a="1"/>
  <c r="F2158" i="57" s="1"/>
  <c r="G1991" i="57" a="1"/>
  <c r="G1991" i="57" s="1"/>
  <c r="F1991" i="57" a="1"/>
  <c r="F1991" i="57" s="1"/>
  <c r="G2303" i="57" a="1"/>
  <c r="G2303" i="57" s="1"/>
  <c r="F2303" i="57" a="1"/>
  <c r="F2303" i="57" s="1"/>
  <c r="G2150" i="57" a="1"/>
  <c r="G2150" i="57" s="1"/>
  <c r="F2150" i="57" a="1"/>
  <c r="F2150" i="57" s="1"/>
  <c r="G43" i="57" a="1"/>
  <c r="G43" i="57" s="1"/>
  <c r="F43" i="57" a="1"/>
  <c r="F43" i="57" s="1"/>
  <c r="G45" i="57" a="1"/>
  <c r="G45" i="57" s="1"/>
  <c r="F45" i="57" a="1"/>
  <c r="F45" i="57" s="1"/>
  <c r="G1872" i="57" a="1"/>
  <c r="G1872" i="57" s="1"/>
  <c r="F1872" i="57" a="1"/>
  <c r="F1872" i="57" s="1"/>
  <c r="G2400" i="57" a="1"/>
  <c r="G2400" i="57" s="1"/>
  <c r="F2400" i="57" a="1"/>
  <c r="F2400" i="57" s="1"/>
  <c r="G1503" i="57" a="1"/>
  <c r="G1503" i="57" s="1"/>
  <c r="F1503" i="57" a="1"/>
  <c r="F1503" i="57" s="1"/>
  <c r="G1719" i="57" a="1"/>
  <c r="G1719" i="57" s="1"/>
  <c r="F1719" i="57" a="1"/>
  <c r="F1719" i="57" s="1"/>
  <c r="G1935" i="57" a="1"/>
  <c r="G1935" i="57" s="1"/>
  <c r="F1935" i="57" a="1"/>
  <c r="F1935" i="57" s="1"/>
  <c r="G1648" i="57" a="1"/>
  <c r="G1648" i="57" s="1"/>
  <c r="F1648" i="57" a="1"/>
  <c r="F1648" i="57" s="1"/>
  <c r="G1864" i="57" a="1"/>
  <c r="G1864" i="57" s="1"/>
  <c r="F1864" i="57" a="1"/>
  <c r="F1864" i="57" s="1"/>
  <c r="G1565" i="57" a="1"/>
  <c r="G1565" i="57" s="1"/>
  <c r="F1565" i="57" a="1"/>
  <c r="F1565" i="57" s="1"/>
  <c r="G1781" i="57" a="1"/>
  <c r="G1781" i="57" s="1"/>
  <c r="F1781" i="57" a="1"/>
  <c r="F1781" i="57" s="1"/>
  <c r="G1496" i="57" a="1"/>
  <c r="G1496" i="57" s="1"/>
  <c r="F1496" i="57" a="1"/>
  <c r="F1496" i="57" s="1"/>
  <c r="G1712" i="57" a="1"/>
  <c r="G1712" i="57" s="1"/>
  <c r="F1712" i="57" a="1"/>
  <c r="F1712" i="57" s="1"/>
  <c r="G1928" i="57" a="1"/>
  <c r="G1928" i="57" s="1"/>
  <c r="F1928" i="57" a="1"/>
  <c r="F1928" i="57" s="1"/>
  <c r="G2145" i="57" a="1"/>
  <c r="G2145" i="57" s="1"/>
  <c r="F2145" i="57" a="1"/>
  <c r="F2145" i="57" s="1"/>
  <c r="G2361" i="57" a="1"/>
  <c r="G2361" i="57" s="1"/>
  <c r="F2361" i="57" a="1"/>
  <c r="F2361" i="57" s="1"/>
  <c r="G2104" i="57" a="1"/>
  <c r="G2104" i="57" s="1"/>
  <c r="F2104" i="57" a="1"/>
  <c r="F2104" i="57" s="1"/>
  <c r="G2362" i="57" a="1"/>
  <c r="G2362" i="57" s="1"/>
  <c r="F2362" i="57" a="1"/>
  <c r="F2362" i="57" s="1"/>
  <c r="G2153" i="57" a="1"/>
  <c r="G2153" i="57" s="1"/>
  <c r="F2153" i="57" a="1"/>
  <c r="F2153" i="57" s="1"/>
  <c r="G2411" i="57" a="1"/>
  <c r="G2411" i="57" s="1"/>
  <c r="F2411" i="57" a="1"/>
  <c r="F2411" i="57" s="1"/>
  <c r="G2210" i="57" a="1"/>
  <c r="G2210" i="57" s="1"/>
  <c r="F2210" i="57" a="1"/>
  <c r="F2210" i="57" s="1"/>
  <c r="G2469" i="57" a="1"/>
  <c r="G2469" i="57" s="1"/>
  <c r="F2469" i="57" a="1"/>
  <c r="F2469" i="57" s="1"/>
  <c r="G2470" i="57" a="1"/>
  <c r="G2470" i="57" s="1"/>
  <c r="F2470" i="57" a="1"/>
  <c r="F2470" i="57" s="1"/>
  <c r="G1512" i="57" a="1"/>
  <c r="G1512" i="57" s="1"/>
  <c r="F1512" i="57" a="1"/>
  <c r="F1512" i="57" s="1"/>
  <c r="G1770" i="57" a="1"/>
  <c r="G1770" i="57" s="1"/>
  <c r="F1770" i="57" a="1"/>
  <c r="F1770" i="57" s="1"/>
  <c r="G1537" i="57" a="1"/>
  <c r="G1537" i="57" s="1"/>
  <c r="F1537" i="57" a="1"/>
  <c r="F1537" i="57" s="1"/>
  <c r="G247" i="57" a="1"/>
  <c r="G247" i="57" s="1"/>
  <c r="F247" i="57" a="1"/>
  <c r="F247" i="57" s="1"/>
  <c r="G505" i="57" a="1"/>
  <c r="G505" i="57" s="1"/>
  <c r="F505" i="57" a="1"/>
  <c r="F505" i="57" s="1"/>
  <c r="G1118" i="57" a="1"/>
  <c r="G1118" i="57" s="1"/>
  <c r="F1118" i="57" a="1"/>
  <c r="F1118" i="57" s="1"/>
  <c r="G2040" i="57" a="1"/>
  <c r="G2040" i="57" s="1"/>
  <c r="F2040" i="57" a="1"/>
  <c r="F2040" i="57" s="1"/>
  <c r="G2298" i="57" a="1"/>
  <c r="G2298" i="57" s="1"/>
  <c r="F2298" i="57" a="1"/>
  <c r="F2298" i="57" s="1"/>
  <c r="G1783" i="57" a="1"/>
  <c r="G1783" i="57" s="1"/>
  <c r="F1783" i="57" a="1"/>
  <c r="F1783" i="57" s="1"/>
  <c r="G2041" i="57" a="1"/>
  <c r="G2041" i="57" s="1"/>
  <c r="F2041" i="57" a="1"/>
  <c r="F2041" i="57" s="1"/>
  <c r="G870" i="57" a="1"/>
  <c r="G870" i="57" s="1"/>
  <c r="F870" i="57" a="1"/>
  <c r="F870" i="57" s="1"/>
  <c r="G1291" i="57" a="1"/>
  <c r="G1291" i="57" s="1"/>
  <c r="F1291" i="57" a="1"/>
  <c r="F1291" i="57" s="1"/>
  <c r="G1459" i="57" a="1"/>
  <c r="G1459" i="57" s="1"/>
  <c r="F1459" i="57" a="1"/>
  <c r="F1459" i="57" s="1"/>
  <c r="G2468" i="57" a="1"/>
  <c r="G2468" i="57" s="1"/>
  <c r="F2468" i="57" a="1"/>
  <c r="F2468" i="57" s="1"/>
  <c r="G427" i="57" a="1"/>
  <c r="G427" i="57" s="1"/>
  <c r="F427" i="57" a="1"/>
  <c r="F427" i="57" s="1"/>
  <c r="G866" i="57" a="1"/>
  <c r="G866" i="57" s="1"/>
  <c r="F866" i="57" a="1"/>
  <c r="F866" i="57" s="1"/>
  <c r="G1962" i="57" a="1"/>
  <c r="G1962" i="57" s="1"/>
  <c r="F1962" i="57" a="1"/>
  <c r="F1962" i="57" s="1"/>
  <c r="G2220" i="57" a="1"/>
  <c r="G2220" i="57" s="1"/>
  <c r="F2220" i="57" a="1"/>
  <c r="F2220" i="57" s="1"/>
  <c r="G2478" i="57" a="1"/>
  <c r="G2478" i="57" s="1"/>
  <c r="F2478" i="57" a="1"/>
  <c r="F2478" i="57" s="1"/>
  <c r="G1963" i="57" a="1"/>
  <c r="G1963" i="57" s="1"/>
  <c r="F1963" i="57" a="1"/>
  <c r="F1963" i="57" s="1"/>
  <c r="G414" i="57" a="1"/>
  <c r="G414" i="57" s="1"/>
  <c r="F414" i="57" a="1"/>
  <c r="F414" i="57" s="1"/>
  <c r="G1075" i="57" a="1"/>
  <c r="G1075" i="57" s="1"/>
  <c r="F1075" i="57" a="1"/>
  <c r="F1075" i="57" s="1"/>
  <c r="G1836" i="57" a="1"/>
  <c r="G1836" i="57" s="1"/>
  <c r="F1836" i="57" a="1"/>
  <c r="F1836" i="57" s="1"/>
  <c r="G1603" i="57" a="1"/>
  <c r="G1603" i="57" s="1"/>
  <c r="F1603" i="57" a="1"/>
  <c r="F1603" i="57" s="1"/>
  <c r="G313" i="57" a="1"/>
  <c r="G313" i="57" s="1"/>
  <c r="F313" i="57" a="1"/>
  <c r="F313" i="57" s="1"/>
  <c r="G571" i="57" a="1"/>
  <c r="G571" i="57" s="1"/>
  <c r="F571" i="57" a="1"/>
  <c r="F571" i="57" s="1"/>
  <c r="G1298" i="57" a="1"/>
  <c r="G1298" i="57" s="1"/>
  <c r="F1298" i="57" a="1"/>
  <c r="F1298" i="57" s="1"/>
  <c r="G2106" i="57" a="1"/>
  <c r="G2106" i="57" s="1"/>
  <c r="F2106" i="57" a="1"/>
  <c r="F2106" i="57" s="1"/>
  <c r="G2364" i="57" a="1"/>
  <c r="G2364" i="57" s="1"/>
  <c r="F2364" i="57" a="1"/>
  <c r="F2364" i="57" s="1"/>
  <c r="G1849" i="57" a="1"/>
  <c r="G1849" i="57" s="1"/>
  <c r="F1849" i="57" a="1"/>
  <c r="F1849" i="57" s="1"/>
  <c r="G2107" i="57" a="1"/>
  <c r="G2107" i="57" s="1"/>
  <c r="F2107" i="57" a="1"/>
  <c r="F2107" i="57" s="1"/>
  <c r="G1314" i="57" a="1"/>
  <c r="G1314" i="57" s="1"/>
  <c r="F1314" i="57" a="1"/>
  <c r="F1314" i="57" s="1"/>
  <c r="G52" i="57" a="1"/>
  <c r="G52" i="57" s="1"/>
  <c r="F52" i="57" a="1"/>
  <c r="F52" i="57" s="1"/>
  <c r="G1477" i="57" a="1"/>
  <c r="G1477" i="57" s="1"/>
  <c r="F1477" i="57" a="1"/>
  <c r="F1477" i="57" s="1"/>
  <c r="G96" i="57" a="1"/>
  <c r="G96" i="57" s="1"/>
  <c r="F96" i="57" a="1"/>
  <c r="F96" i="57" s="1"/>
  <c r="G451" i="57" a="1"/>
  <c r="G451" i="57" s="1"/>
  <c r="F451" i="57" a="1"/>
  <c r="F451" i="57" s="1"/>
  <c r="G938" i="57" a="1"/>
  <c r="G938" i="57" s="1"/>
  <c r="F938" i="57" a="1"/>
  <c r="F938" i="57" s="1"/>
  <c r="G1980" i="57" a="1"/>
  <c r="G1980" i="57" s="1"/>
  <c r="F1980" i="57" a="1"/>
  <c r="F1980" i="57" s="1"/>
  <c r="G2238" i="57" a="1"/>
  <c r="G2238" i="57" s="1"/>
  <c r="F2238" i="57" a="1"/>
  <c r="F2238" i="57" s="1"/>
  <c r="G1729" i="57" a="1"/>
  <c r="G1729" i="57" s="1"/>
  <c r="F1729" i="57" a="1"/>
  <c r="F1729" i="57" s="1"/>
  <c r="G1987" i="57" a="1"/>
  <c r="G1987" i="57" s="1"/>
  <c r="F1987" i="57" a="1"/>
  <c r="F1987" i="57" s="1"/>
  <c r="G486" i="57" a="1"/>
  <c r="G486" i="57" s="1"/>
  <c r="F486" i="57" a="1"/>
  <c r="F486" i="57" s="1"/>
  <c r="G1135" i="57" a="1"/>
  <c r="G1135" i="57" s="1"/>
  <c r="F1135" i="57" a="1"/>
  <c r="F1135" i="57" s="1"/>
  <c r="G2378" i="57" a="1"/>
  <c r="G2378" i="57" s="1"/>
  <c r="F2378" i="57" a="1"/>
  <c r="F2378" i="57" s="1"/>
  <c r="G187" i="57" a="1"/>
  <c r="G187" i="57" s="1"/>
  <c r="F187" i="57" a="1"/>
  <c r="F187" i="57" s="1"/>
  <c r="G63" i="57" a="1"/>
  <c r="G63" i="57" s="1"/>
  <c r="F63" i="57" a="1"/>
  <c r="F63" i="57" s="1"/>
  <c r="G1674" i="57" a="1"/>
  <c r="G1674" i="57" s="1"/>
  <c r="F1674" i="57" a="1"/>
  <c r="F1674" i="57" s="1"/>
  <c r="G1932" i="57" a="1"/>
  <c r="G1932" i="57" s="1"/>
  <c r="F1932" i="57" a="1"/>
  <c r="F1932" i="57" s="1"/>
  <c r="G1705" i="57" a="1"/>
  <c r="G1705" i="57" s="1"/>
  <c r="F1705" i="57" a="1"/>
  <c r="F1705" i="57" s="1"/>
  <c r="G415" i="57" a="1"/>
  <c r="G415" i="57" s="1"/>
  <c r="F415" i="57" a="1"/>
  <c r="F415" i="57" s="1"/>
  <c r="G770" i="57" a="1"/>
  <c r="G770" i="57" s="1"/>
  <c r="F770" i="57" a="1"/>
  <c r="F770" i="57" s="1"/>
  <c r="G1353" i="57" a="1"/>
  <c r="G1353" i="57" s="1"/>
  <c r="F1353" i="57" a="1"/>
  <c r="F1353" i="57" s="1"/>
  <c r="G2202" i="57" a="1"/>
  <c r="G2202" i="57" s="1"/>
  <c r="F2202" i="57" a="1"/>
  <c r="F2202" i="57" s="1"/>
  <c r="G2466" i="57" a="1"/>
  <c r="G2466" i="57" s="1"/>
  <c r="F2466" i="57" a="1"/>
  <c r="F2466" i="57" s="1"/>
  <c r="G1951" i="57" a="1"/>
  <c r="G1951" i="57" s="1"/>
  <c r="F1951" i="57" a="1"/>
  <c r="F1951" i="57" s="1"/>
  <c r="G390" i="57" a="1"/>
  <c r="G390" i="57" s="1"/>
  <c r="F390" i="57" a="1"/>
  <c r="F390" i="57" s="1"/>
  <c r="G1051" i="57" a="1"/>
  <c r="G1051" i="57" s="1"/>
  <c r="F1051" i="57" a="1"/>
  <c r="F1051" i="57" s="1"/>
  <c r="G2409" i="57" a="1"/>
  <c r="G2409" i="57" s="1"/>
  <c r="F2409" i="57" a="1"/>
  <c r="F2409" i="57" s="1"/>
  <c r="G2116" i="57" a="1"/>
  <c r="G2116" i="57" s="1"/>
  <c r="F2116" i="57" a="1"/>
  <c r="F2116" i="57" s="1"/>
  <c r="G2332" i="57" a="1"/>
  <c r="G2332" i="57" s="1"/>
  <c r="F2332" i="57" a="1"/>
  <c r="F2332" i="57" s="1"/>
  <c r="G2075" i="57" a="1"/>
  <c r="G2075" i="57" s="1"/>
  <c r="F2075" i="57" a="1"/>
  <c r="F2075" i="57" s="1"/>
  <c r="G2291" i="57" a="1"/>
  <c r="G2291" i="57" s="1"/>
  <c r="F2291" i="57" a="1"/>
  <c r="F2291" i="57" s="1"/>
  <c r="G2048" i="57" a="1"/>
  <c r="G2048" i="57" s="1"/>
  <c r="F2048" i="57" a="1"/>
  <c r="F2048" i="57" s="1"/>
  <c r="G2264" i="57" a="1"/>
  <c r="G2264" i="57" s="1"/>
  <c r="F2264" i="57" a="1"/>
  <c r="F2264" i="57" s="1"/>
  <c r="G2481" i="57" a="1"/>
  <c r="G2481" i="57" s="1"/>
  <c r="F2481" i="57" a="1"/>
  <c r="F2481" i="57" s="1"/>
  <c r="G2440" i="57" a="1"/>
  <c r="G2440" i="57" s="1"/>
  <c r="F2440" i="57" a="1"/>
  <c r="F2440" i="57" s="1"/>
  <c r="G243" i="57" a="1"/>
  <c r="G243" i="57" s="1"/>
  <c r="F243" i="57" a="1"/>
  <c r="F243" i="57" s="1"/>
  <c r="G1650" i="57" a="1"/>
  <c r="G1650" i="57" s="1"/>
  <c r="F1650" i="57" a="1"/>
  <c r="F1650" i="57" s="1"/>
  <c r="G1866" i="57" a="1"/>
  <c r="G1866" i="57" s="1"/>
  <c r="F1866" i="57" a="1"/>
  <c r="F1866" i="57" s="1"/>
  <c r="G1591" i="57" a="1"/>
  <c r="G1591" i="57" s="1"/>
  <c r="F1591" i="57" a="1"/>
  <c r="F1591" i="57" s="1"/>
  <c r="G259" i="57" a="1"/>
  <c r="G259" i="57" s="1"/>
  <c r="F259" i="57" a="1"/>
  <c r="F259" i="57" s="1"/>
  <c r="G475" i="57" a="1"/>
  <c r="G475" i="57" s="1"/>
  <c r="F475" i="57" a="1"/>
  <c r="F475" i="57" s="1"/>
  <c r="G884" i="57" a="1"/>
  <c r="G884" i="57" s="1"/>
  <c r="F884" i="57" a="1"/>
  <c r="F884" i="57" s="1"/>
  <c r="G891" i="57" a="1"/>
  <c r="G891" i="57" s="1"/>
  <c r="F891" i="57" a="1"/>
  <c r="F891" i="57" s="1"/>
  <c r="G2136" i="57" a="1"/>
  <c r="G2136" i="57" s="1"/>
  <c r="F2136" i="57" a="1"/>
  <c r="F2136" i="57" s="1"/>
  <c r="G2352" i="57" a="1"/>
  <c r="G2352" i="57" s="1"/>
  <c r="F2352" i="57" a="1"/>
  <c r="F2352" i="57" s="1"/>
  <c r="G1795" i="57" a="1"/>
  <c r="G1795" i="57" s="1"/>
  <c r="F1795" i="57" a="1"/>
  <c r="F1795" i="57" s="1"/>
  <c r="G2011" i="57" a="1"/>
  <c r="G2011" i="57" s="1"/>
  <c r="F2011" i="57" a="1"/>
  <c r="F2011" i="57" s="1"/>
  <c r="G348" i="57" a="1"/>
  <c r="G348" i="57" s="1"/>
  <c r="F348" i="57" a="1"/>
  <c r="F348" i="57" s="1"/>
  <c r="G1422" i="57" a="1"/>
  <c r="G1422" i="57" s="1"/>
  <c r="F1422" i="57" a="1"/>
  <c r="F1422" i="57" s="1"/>
  <c r="G1261" i="57" a="1"/>
  <c r="G1261" i="57" s="1"/>
  <c r="F1261" i="57" a="1"/>
  <c r="F1261" i="57" s="1"/>
  <c r="G724" i="57" a="1"/>
  <c r="G724" i="57" s="1"/>
  <c r="F724" i="57" a="1"/>
  <c r="F724" i="57" s="1"/>
  <c r="G2293" i="57" a="1"/>
  <c r="G2293" i="57" s="1"/>
  <c r="F2293" i="57" a="1"/>
  <c r="F2293" i="57" s="1"/>
  <c r="G655" i="57" a="1"/>
  <c r="G655" i="57" s="1"/>
  <c r="F655" i="57" a="1"/>
  <c r="F655" i="57" s="1"/>
  <c r="G907" i="57" a="1"/>
  <c r="G907" i="57" s="1"/>
  <c r="F907" i="57" a="1"/>
  <c r="F907" i="57" s="1"/>
  <c r="G1309" i="57" a="1"/>
  <c r="G1309" i="57" s="1"/>
  <c r="F1309" i="57" a="1"/>
  <c r="F1309" i="57" s="1"/>
  <c r="G34" i="57" a="1"/>
  <c r="G34" i="57" s="1"/>
  <c r="F34" i="57" a="1"/>
  <c r="F34" i="57" s="1"/>
  <c r="G2335" i="57" a="1"/>
  <c r="G2335" i="57" s="1"/>
  <c r="F2335" i="57" a="1"/>
  <c r="F2335" i="57" s="1"/>
  <c r="G697" i="57" a="1"/>
  <c r="G697" i="57" s="1"/>
  <c r="F697" i="57" a="1"/>
  <c r="F697" i="57" s="1"/>
  <c r="G979" i="57" a="1"/>
  <c r="G979" i="57" s="1"/>
  <c r="F979" i="57" a="1"/>
  <c r="F979" i="57" s="1"/>
  <c r="G1387" i="57" a="1"/>
  <c r="G1387" i="57" s="1"/>
  <c r="F1387" i="57" a="1"/>
  <c r="F1387" i="57" s="1"/>
  <c r="G625" i="57" a="1"/>
  <c r="G625" i="57" s="1"/>
  <c r="F625" i="57" a="1"/>
  <c r="F625" i="57" s="1"/>
  <c r="G865" i="57" a="1"/>
  <c r="G865" i="57" s="1"/>
  <c r="F865" i="57" a="1"/>
  <c r="F865" i="57" s="1"/>
  <c r="G1267" i="57" a="1"/>
  <c r="G1267" i="57" s="1"/>
  <c r="F1267" i="57" a="1"/>
  <c r="F1267" i="57" s="1"/>
  <c r="G526" i="57" a="1"/>
  <c r="G526" i="57" s="1"/>
  <c r="F526" i="57" a="1"/>
  <c r="F526" i="57" s="1"/>
  <c r="G2275" i="57" a="1"/>
  <c r="G2275" i="57" s="1"/>
  <c r="F2275" i="57" a="1"/>
  <c r="F2275" i="57" s="1"/>
  <c r="G637" i="57" a="1"/>
  <c r="G637" i="57" s="1"/>
  <c r="F637" i="57" a="1"/>
  <c r="F637" i="57" s="1"/>
  <c r="G877" i="57" a="1"/>
  <c r="G877" i="57" s="1"/>
  <c r="F877" i="57" a="1"/>
  <c r="F877" i="57" s="1"/>
  <c r="G1279" i="57" a="1"/>
  <c r="G1279" i="57" s="1"/>
  <c r="F1279" i="57" a="1"/>
  <c r="F1279" i="57" s="1"/>
  <c r="G598" i="57" a="1"/>
  <c r="G598" i="57" s="1"/>
  <c r="F598" i="57" a="1"/>
  <c r="F598" i="57" s="1"/>
  <c r="G2281" i="57" a="1"/>
  <c r="G2281" i="57" s="1"/>
  <c r="F2281" i="57" a="1"/>
  <c r="F2281" i="57" s="1"/>
  <c r="G643" i="57" a="1"/>
  <c r="G643" i="57" s="1"/>
  <c r="F643" i="57" a="1"/>
  <c r="F643" i="57" s="1"/>
  <c r="G883" i="57" a="1"/>
  <c r="G883" i="57" s="1"/>
  <c r="F883" i="57" a="1"/>
  <c r="F883" i="57" s="1"/>
  <c r="G1285" i="57" a="1"/>
  <c r="G1285" i="57" s="1"/>
  <c r="F1285" i="57" a="1"/>
  <c r="F1285" i="57" s="1"/>
  <c r="G444" i="57" a="1"/>
  <c r="G444" i="57" s="1"/>
  <c r="F444" i="57" a="1"/>
  <c r="F444" i="57" s="1"/>
  <c r="G859" i="57" a="1"/>
  <c r="G859" i="57" s="1"/>
  <c r="F859" i="57" a="1"/>
  <c r="F859" i="57" s="1"/>
  <c r="G1333" i="57" a="1"/>
  <c r="G1333" i="57" s="1"/>
  <c r="F1333" i="57" a="1"/>
  <c r="F1333" i="57" s="1"/>
  <c r="G1156" i="57" a="1"/>
  <c r="G1156" i="57" s="1"/>
  <c r="F1156" i="57" a="1"/>
  <c r="F1156" i="57" s="1"/>
  <c r="G2323" i="57" a="1"/>
  <c r="G2323" i="57" s="1"/>
  <c r="F2323" i="57" a="1"/>
  <c r="F2323" i="57" s="1"/>
  <c r="G685" i="57" a="1"/>
  <c r="G685" i="57" s="1"/>
  <c r="F685" i="57" a="1"/>
  <c r="F685" i="57" s="1"/>
  <c r="G961" i="57" a="1"/>
  <c r="G961" i="57" s="1"/>
  <c r="F961" i="57" a="1"/>
  <c r="F961" i="57" s="1"/>
  <c r="G1369" i="57" a="1"/>
  <c r="G1369" i="57" s="1"/>
  <c r="F1369" i="57" a="1"/>
  <c r="F1369" i="57" s="1"/>
  <c r="G326" i="57" a="1"/>
  <c r="G326" i="57" s="1"/>
  <c r="F326" i="57" a="1"/>
  <c r="F326" i="57" s="1"/>
  <c r="G272" i="57" a="1"/>
  <c r="G272" i="57" s="1"/>
  <c r="F272" i="57" a="1"/>
  <c r="F272" i="57" s="1"/>
  <c r="G476" i="57" a="1"/>
  <c r="G476" i="57" s="1"/>
  <c r="F476" i="57" a="1"/>
  <c r="F476" i="57" s="1"/>
  <c r="G387" i="57" a="1"/>
  <c r="G387" i="57" s="1"/>
  <c r="F387" i="57" a="1"/>
  <c r="F387" i="57" s="1"/>
  <c r="G141" i="57" a="1"/>
  <c r="G141" i="57" s="1"/>
  <c r="F141" i="57" a="1"/>
  <c r="F141" i="57" s="1"/>
  <c r="G477" i="57" a="1"/>
  <c r="G477" i="57" s="1"/>
  <c r="F477" i="57" a="1"/>
  <c r="F477" i="57" s="1"/>
  <c r="G268" i="57" a="1"/>
  <c r="G268" i="57" s="1"/>
  <c r="F268" i="57" a="1"/>
  <c r="F268" i="57" s="1"/>
  <c r="G53" i="57" a="1"/>
  <c r="G53" i="57" s="1"/>
  <c r="F53" i="57" a="1"/>
  <c r="F53" i="57" s="1"/>
  <c r="G377" i="57" a="1"/>
  <c r="G377" i="57" s="1"/>
  <c r="F377" i="57" a="1"/>
  <c r="F377" i="57" s="1"/>
  <c r="G701" i="57" a="1"/>
  <c r="G701" i="57" s="1"/>
  <c r="F701" i="57" a="1"/>
  <c r="F701" i="57" s="1"/>
  <c r="G204" i="57" a="1"/>
  <c r="G204" i="57" s="1"/>
  <c r="F204" i="57" a="1"/>
  <c r="F204" i="57" s="1"/>
  <c r="G20" i="57" a="1"/>
  <c r="G20" i="57" s="1"/>
  <c r="F20" i="57" a="1"/>
  <c r="F20" i="57" s="1"/>
  <c r="G152" i="57" a="1"/>
  <c r="G152" i="57" s="1"/>
  <c r="F152" i="57" a="1"/>
  <c r="F152" i="57" s="1"/>
  <c r="G296" i="57" a="1"/>
  <c r="G296" i="57" s="1"/>
  <c r="F296" i="57" a="1"/>
  <c r="F296" i="57" s="1"/>
  <c r="G422" i="57" a="1"/>
  <c r="G422" i="57" s="1"/>
  <c r="F422" i="57" a="1"/>
  <c r="F422" i="57" s="1"/>
  <c r="G75" i="57" a="1"/>
  <c r="G75" i="57" s="1"/>
  <c r="F75" i="57" a="1"/>
  <c r="F75" i="57" s="1"/>
  <c r="G417" i="57" a="1"/>
  <c r="G417" i="57" s="1"/>
  <c r="F417" i="57" a="1"/>
  <c r="F417" i="57" s="1"/>
  <c r="G196" i="57" a="1"/>
  <c r="G196" i="57" s="1"/>
  <c r="F196" i="57" a="1"/>
  <c r="F196" i="57" s="1"/>
  <c r="G2486" i="57" a="1"/>
  <c r="G2486" i="57" s="1"/>
  <c r="F2486" i="57" a="1"/>
  <c r="F2486" i="57" s="1"/>
  <c r="G317" i="57" a="1"/>
  <c r="G317" i="57" s="1"/>
  <c r="F317" i="57" a="1"/>
  <c r="F317" i="57" s="1"/>
  <c r="G641" i="57" a="1"/>
  <c r="G641" i="57" s="1"/>
  <c r="F641" i="57" a="1"/>
  <c r="F641" i="57" s="1"/>
  <c r="G90" i="57" a="1"/>
  <c r="G90" i="57" s="1"/>
  <c r="F90" i="57" a="1"/>
  <c r="F90" i="57" s="1"/>
  <c r="G584" i="57" a="1"/>
  <c r="G584" i="57" s="1"/>
  <c r="F584" i="57" a="1"/>
  <c r="F584" i="57" s="1"/>
  <c r="G327" i="57" a="1"/>
  <c r="G327" i="57" s="1"/>
  <c r="F327" i="57" a="1"/>
  <c r="F327" i="57" s="1"/>
  <c r="G1454" i="57" a="1"/>
  <c r="G1454" i="57" s="1"/>
  <c r="F1454" i="57" a="1"/>
  <c r="F1454" i="57" s="1"/>
  <c r="G478" i="57" a="1"/>
  <c r="G478" i="57" s="1"/>
  <c r="F478" i="57" a="1"/>
  <c r="F478" i="57" s="1"/>
  <c r="G233" i="57" a="1"/>
  <c r="G233" i="57" s="1"/>
  <c r="F233" i="57" a="1"/>
  <c r="F233" i="57" s="1"/>
  <c r="G557" i="57" a="1"/>
  <c r="G557" i="57" s="1"/>
  <c r="F557" i="57" a="1"/>
  <c r="F557" i="57" s="1"/>
  <c r="G2487" i="57" a="1"/>
  <c r="G2487" i="57" s="1"/>
  <c r="F2487" i="57" a="1"/>
  <c r="F2487" i="57" s="1"/>
  <c r="G242" i="57" a="1"/>
  <c r="G242" i="57" s="1"/>
  <c r="F242" i="57" a="1"/>
  <c r="F242" i="57" s="1"/>
  <c r="G452" i="57" a="1"/>
  <c r="G452" i="57" s="1"/>
  <c r="F452" i="57" a="1"/>
  <c r="F452" i="57" s="1"/>
  <c r="G153" i="57" a="1"/>
  <c r="G153" i="57" s="1"/>
  <c r="F153" i="57" a="1"/>
  <c r="F153" i="57" s="1"/>
  <c r="G489" i="57" a="1"/>
  <c r="G489" i="57" s="1"/>
  <c r="F489" i="57" a="1"/>
  <c r="F489" i="57" s="1"/>
  <c r="G280" i="57" a="1"/>
  <c r="G280" i="57" s="1"/>
  <c r="F280" i="57" a="1"/>
  <c r="F280" i="57" s="1"/>
  <c r="G65" i="57" a="1"/>
  <c r="G65" i="57" s="1"/>
  <c r="F65" i="57" a="1"/>
  <c r="F65" i="57" s="1"/>
  <c r="G389" i="57" a="1"/>
  <c r="G389" i="57" s="1"/>
  <c r="F389" i="57" a="1"/>
  <c r="F389" i="57" s="1"/>
  <c r="G713" i="57" a="1"/>
  <c r="G713" i="57" s="1"/>
  <c r="F713" i="57" a="1"/>
  <c r="F713" i="57" s="1"/>
  <c r="G150" i="57" a="1"/>
  <c r="G150" i="57" s="1"/>
  <c r="F150" i="57" a="1"/>
  <c r="F150" i="57" s="1"/>
  <c r="G542" i="57" a="1"/>
  <c r="G542" i="57" s="1"/>
  <c r="F542" i="57" a="1"/>
  <c r="F542" i="57" s="1"/>
  <c r="G291" i="57" a="1"/>
  <c r="G291" i="57" s="1"/>
  <c r="F291" i="57" a="1"/>
  <c r="F291" i="57" s="1"/>
  <c r="G621" i="57" a="1"/>
  <c r="G621" i="57" s="1"/>
  <c r="F621" i="57" a="1"/>
  <c r="F621" i="57" s="1"/>
  <c r="G436" i="57" a="1"/>
  <c r="G436" i="57" s="1"/>
  <c r="F436" i="57" a="1"/>
  <c r="F436" i="57" s="1"/>
  <c r="G197" i="57" a="1"/>
  <c r="G197" i="57" s="1"/>
  <c r="F197" i="57" a="1"/>
  <c r="F197" i="57" s="1"/>
  <c r="G521" i="57" a="1"/>
  <c r="G521" i="57" s="1"/>
  <c r="F521" i="57" a="1"/>
  <c r="F521" i="57" s="1"/>
  <c r="G845" i="57" a="1"/>
  <c r="G845" i="57" s="1"/>
  <c r="F845" i="57" a="1"/>
  <c r="F845" i="57" s="1"/>
  <c r="G2488" i="57" a="1"/>
  <c r="G2488" i="57" s="1"/>
  <c r="F2488" i="57" a="1"/>
  <c r="F2488" i="57" s="1"/>
  <c r="G374" i="57" a="1"/>
  <c r="G374" i="57" s="1"/>
  <c r="F374" i="57" a="1"/>
  <c r="F374" i="57" s="1"/>
  <c r="G603" i="57" a="1"/>
  <c r="G603" i="57" s="1"/>
  <c r="F603" i="57" a="1"/>
  <c r="F603" i="57" s="1"/>
  <c r="G418" i="57" a="1"/>
  <c r="G418" i="57" s="1"/>
  <c r="F418" i="57" a="1"/>
  <c r="F418" i="57" s="1"/>
  <c r="G179" i="57" a="1"/>
  <c r="G179" i="57" s="1"/>
  <c r="F179" i="57" a="1"/>
  <c r="F179" i="57" s="1"/>
  <c r="G503" i="57" a="1"/>
  <c r="G503" i="57" s="1"/>
  <c r="F503" i="57" a="1"/>
  <c r="F503" i="57" s="1"/>
  <c r="G827" i="57" a="1"/>
  <c r="G827" i="57" s="1"/>
  <c r="F827" i="57" a="1"/>
  <c r="F827" i="57" s="1"/>
  <c r="G68" i="57" a="1"/>
  <c r="G68" i="57" s="1"/>
  <c r="F68" i="57" a="1"/>
  <c r="F68" i="57" s="1"/>
  <c r="G98" i="57" a="1"/>
  <c r="G98" i="57" s="1"/>
  <c r="F98" i="57" a="1"/>
  <c r="F98" i="57" s="1"/>
  <c r="G2502" i="57" a="1"/>
  <c r="G2502" i="57" s="1"/>
  <c r="F2502" i="57" a="1"/>
  <c r="F2502" i="57" s="1"/>
  <c r="G237" i="57" a="1"/>
  <c r="G237" i="57" s="1"/>
  <c r="F237" i="57" a="1"/>
  <c r="F237" i="57" s="1"/>
  <c r="G483" i="57" a="1"/>
  <c r="G483" i="57" s="1"/>
  <c r="F483" i="57" a="1"/>
  <c r="F483" i="57" s="1"/>
  <c r="G190" i="57" a="1"/>
  <c r="G190" i="57" s="1"/>
  <c r="F190" i="57" a="1"/>
  <c r="F190" i="57" s="1"/>
  <c r="G442" i="57" a="1"/>
  <c r="G442" i="57" s="1"/>
  <c r="F442" i="57" a="1"/>
  <c r="F442" i="57" s="1"/>
  <c r="G1449" i="57" a="1"/>
  <c r="G1449" i="57" s="1"/>
  <c r="F1449" i="57" a="1"/>
  <c r="F1449" i="57" s="1"/>
  <c r="G113" i="57" a="1"/>
  <c r="G113" i="57" s="1"/>
  <c r="F113" i="57" a="1"/>
  <c r="F113" i="57" s="1"/>
  <c r="G239" i="57" a="1"/>
  <c r="G239" i="57" s="1"/>
  <c r="F239" i="57" a="1"/>
  <c r="F239" i="57" s="1"/>
  <c r="G347" i="57" a="1"/>
  <c r="G347" i="57" s="1"/>
  <c r="F347" i="57" a="1"/>
  <c r="F347" i="57" s="1"/>
  <c r="G455" i="57" a="1"/>
  <c r="G455" i="57" s="1"/>
  <c r="F455" i="57" a="1"/>
  <c r="F455" i="57" s="1"/>
  <c r="G563" i="57" a="1"/>
  <c r="G563" i="57" s="1"/>
  <c r="F563" i="57" a="1"/>
  <c r="F563" i="57" s="1"/>
  <c r="G671" i="57" a="1"/>
  <c r="G671" i="57" s="1"/>
  <c r="F671" i="57" a="1"/>
  <c r="F671" i="57" s="1"/>
  <c r="G779" i="57" a="1"/>
  <c r="G779" i="57" s="1"/>
  <c r="F779" i="57" a="1"/>
  <c r="F779" i="57" s="1"/>
  <c r="G2493" i="57" a="1"/>
  <c r="G2493" i="57" s="1"/>
  <c r="F2493" i="57" a="1"/>
  <c r="F2493" i="57" s="1"/>
  <c r="G126" i="57" a="1"/>
  <c r="G126" i="57" s="1"/>
  <c r="F126" i="57" a="1"/>
  <c r="F126" i="57" s="1"/>
  <c r="G264" i="57" a="1"/>
  <c r="G264" i="57" s="1"/>
  <c r="F264" i="57" a="1"/>
  <c r="F264" i="57" s="1"/>
  <c r="G384" i="57" a="1"/>
  <c r="G384" i="57" s="1"/>
  <c r="F384" i="57" a="1"/>
  <c r="F384" i="57" s="1"/>
  <c r="G540" i="57" a="1"/>
  <c r="G540" i="57" s="1"/>
  <c r="F540" i="57" a="1"/>
  <c r="F540" i="57" s="1"/>
  <c r="G881" i="57" a="1"/>
  <c r="G881" i="57" s="1"/>
  <c r="F881" i="57" a="1"/>
  <c r="F881" i="57" s="1"/>
  <c r="G989" i="57" a="1"/>
  <c r="G989" i="57" s="1"/>
  <c r="F989" i="57" a="1"/>
  <c r="F989" i="57" s="1"/>
  <c r="G1097" i="57" a="1"/>
  <c r="G1097" i="57" s="1"/>
  <c r="F1097" i="57" a="1"/>
  <c r="F1097" i="57" s="1"/>
  <c r="G1205" i="57" a="1"/>
  <c r="G1205" i="57" s="1"/>
  <c r="F1205" i="57" a="1"/>
  <c r="F1205" i="57" s="1"/>
  <c r="G1319" i="57" a="1"/>
  <c r="G1319" i="57" s="1"/>
  <c r="F1319" i="57" a="1"/>
  <c r="F1319" i="57" s="1"/>
  <c r="G690" i="57" a="1"/>
  <c r="G690" i="57" s="1"/>
  <c r="F690" i="57" a="1"/>
  <c r="F690" i="57" s="1"/>
  <c r="G846" i="57" a="1"/>
  <c r="G846" i="57" s="1"/>
  <c r="F846" i="57" a="1"/>
  <c r="F846" i="57" s="1"/>
  <c r="G972" i="57" a="1"/>
  <c r="G972" i="57" s="1"/>
  <c r="F972" i="57" a="1"/>
  <c r="F972" i="57" s="1"/>
  <c r="G1110" i="57" a="1"/>
  <c r="G1110" i="57" s="1"/>
  <c r="F1110" i="57" a="1"/>
  <c r="F1110" i="57" s="1"/>
  <c r="G1242" i="57" a="1"/>
  <c r="G1242" i="57" s="1"/>
  <c r="F1242" i="57" a="1"/>
  <c r="F1242" i="57" s="1"/>
  <c r="G1374" i="57" a="1"/>
  <c r="G1374" i="57" s="1"/>
  <c r="F1374" i="57" a="1"/>
  <c r="F1374" i="57" s="1"/>
  <c r="G686" i="57" a="1"/>
  <c r="G686" i="57" s="1"/>
  <c r="F686" i="57" a="1"/>
  <c r="F686" i="57" s="1"/>
  <c r="G806" i="57" a="1"/>
  <c r="G806" i="57" s="1"/>
  <c r="F806" i="57" a="1"/>
  <c r="F806" i="57" s="1"/>
  <c r="G950" i="57" a="1"/>
  <c r="G950" i="57" s="1"/>
  <c r="F950" i="57" a="1"/>
  <c r="F950" i="57" s="1"/>
  <c r="G1112" i="57" a="1"/>
  <c r="G1112" i="57" s="1"/>
  <c r="F1112" i="57" a="1"/>
  <c r="F1112" i="57" s="1"/>
  <c r="G1274" i="57" a="1"/>
  <c r="G1274" i="57" s="1"/>
  <c r="F1274" i="57" a="1"/>
  <c r="F1274" i="57" s="1"/>
  <c r="G1436" i="57" a="1"/>
  <c r="G1436" i="57" s="1"/>
  <c r="F1436" i="57" a="1"/>
  <c r="F1436" i="57" s="1"/>
  <c r="G753" i="57" a="1"/>
  <c r="G753" i="57" s="1"/>
  <c r="F753" i="57" a="1"/>
  <c r="F753" i="57" s="1"/>
  <c r="G981" i="57" a="1"/>
  <c r="G981" i="57" s="1"/>
  <c r="F981" i="57" a="1"/>
  <c r="F981" i="57" s="1"/>
  <c r="G1311" i="57" a="1"/>
  <c r="G1311" i="57" s="1"/>
  <c r="F1311" i="57" a="1"/>
  <c r="F1311" i="57" s="1"/>
  <c r="G802" i="57" a="1"/>
  <c r="G802" i="57" s="1"/>
  <c r="F802" i="57" a="1"/>
  <c r="F802" i="57" s="1"/>
  <c r="G1168" i="57" a="1"/>
  <c r="G1168" i="57" s="1"/>
  <c r="F1168" i="57" a="1"/>
  <c r="F1168" i="57" s="1"/>
  <c r="G1356" i="57" a="1"/>
  <c r="G1356" i="57" s="1"/>
  <c r="F1356" i="57" a="1"/>
  <c r="F1356" i="57" s="1"/>
  <c r="G1773" i="57" a="1"/>
  <c r="G1773" i="57" s="1"/>
  <c r="F1773" i="57" a="1"/>
  <c r="F1773" i="57" s="1"/>
  <c r="G1582" i="57" a="1"/>
  <c r="G1582" i="57" s="1"/>
  <c r="F1582" i="57" a="1"/>
  <c r="F1582" i="57" s="1"/>
  <c r="G1888" i="57" a="1"/>
  <c r="G1888" i="57" s="1"/>
  <c r="F1888" i="57" a="1"/>
  <c r="F1888" i="57" s="1"/>
  <c r="G1847" i="57" a="1"/>
  <c r="G1847" i="57" s="1"/>
  <c r="F1847" i="57" a="1"/>
  <c r="F1847" i="57" s="1"/>
  <c r="G1868" i="57" a="1"/>
  <c r="G1868" i="57" s="1"/>
  <c r="F1868" i="57" a="1"/>
  <c r="F1868" i="57" s="1"/>
  <c r="G1453" i="57" a="1"/>
  <c r="G1453" i="57" s="1"/>
  <c r="F1453" i="57" a="1"/>
  <c r="F1453" i="57" s="1"/>
  <c r="G261" i="57" a="1"/>
  <c r="G261" i="57" s="1"/>
  <c r="F261" i="57" a="1"/>
  <c r="F261" i="57" s="1"/>
  <c r="G465" i="57" a="1"/>
  <c r="G465" i="57" s="1"/>
  <c r="F465" i="57" a="1"/>
  <c r="F465" i="57" s="1"/>
  <c r="F22" i="57" a="1"/>
  <c r="F22" i="57" s="1"/>
  <c r="G334" i="57" a="1"/>
  <c r="G334" i="57" s="1"/>
  <c r="F334" i="57" a="1"/>
  <c r="F334" i="57" s="1"/>
  <c r="G915" i="57" a="1"/>
  <c r="G915" i="57" s="1"/>
  <c r="F915" i="57" a="1"/>
  <c r="F915" i="57" s="1"/>
  <c r="G1251" i="57" a="1"/>
  <c r="G1251" i="57" s="1"/>
  <c r="F1251" i="57" a="1"/>
  <c r="F1251" i="57" s="1"/>
  <c r="G718" i="57" a="1"/>
  <c r="G718" i="57" s="1"/>
  <c r="F718" i="57" a="1"/>
  <c r="F718" i="57" s="1"/>
  <c r="G1090" i="57" a="1"/>
  <c r="G1090" i="57" s="1"/>
  <c r="F1090" i="57" a="1"/>
  <c r="F1090" i="57" s="1"/>
  <c r="G1355" i="57" a="1"/>
  <c r="G1355" i="57" s="1"/>
  <c r="F1355" i="57" a="1"/>
  <c r="F1355" i="57" s="1"/>
  <c r="G1671" i="57" a="1"/>
  <c r="G1671" i="57" s="1"/>
  <c r="F1671" i="57" a="1"/>
  <c r="F1671" i="57" s="1"/>
  <c r="G1486" i="57" a="1"/>
  <c r="G1486" i="57" s="1"/>
  <c r="F1486" i="57" a="1"/>
  <c r="F1486" i="57" s="1"/>
  <c r="G1798" i="57" a="1"/>
  <c r="G1798" i="57" s="1"/>
  <c r="F1798" i="57" a="1"/>
  <c r="F1798" i="57" s="1"/>
  <c r="G1703" i="57" a="1"/>
  <c r="G1703" i="57" s="1"/>
  <c r="F1703" i="57" a="1"/>
  <c r="F1703" i="57" s="1"/>
  <c r="G1724" i="57" a="1"/>
  <c r="G1724" i="57" s="1"/>
  <c r="F1724" i="57" a="1"/>
  <c r="F1724" i="57" s="1"/>
  <c r="G426" i="57" a="1"/>
  <c r="G426" i="57" s="1"/>
  <c r="F426" i="57" a="1"/>
  <c r="F426" i="57" s="1"/>
  <c r="G941" i="57" a="1"/>
  <c r="G941" i="57" s="1"/>
  <c r="F941" i="57" a="1"/>
  <c r="F941" i="57" s="1"/>
  <c r="G1103" i="57" a="1"/>
  <c r="G1103" i="57" s="1"/>
  <c r="F1103" i="57" a="1"/>
  <c r="F1103" i="57" s="1"/>
  <c r="G1211" i="57" a="1"/>
  <c r="G1211" i="57" s="1"/>
  <c r="F1211" i="57" a="1"/>
  <c r="F1211" i="57" s="1"/>
  <c r="G1325" i="57" a="1"/>
  <c r="G1325" i="57" s="1"/>
  <c r="F1325" i="57" a="1"/>
  <c r="F1325" i="57" s="1"/>
  <c r="G696" i="57" a="1"/>
  <c r="G696" i="57" s="1"/>
  <c r="F696" i="57" a="1"/>
  <c r="F696" i="57" s="1"/>
  <c r="G852" i="57" a="1"/>
  <c r="G852" i="57" s="1"/>
  <c r="F852" i="57" a="1"/>
  <c r="F852" i="57" s="1"/>
  <c r="G1014" i="57" a="1"/>
  <c r="G1014" i="57" s="1"/>
  <c r="F1014" i="57" a="1"/>
  <c r="F1014" i="57" s="1"/>
  <c r="G1140" i="57" a="1"/>
  <c r="G1140" i="57" s="1"/>
  <c r="F1140" i="57" a="1"/>
  <c r="F1140" i="57" s="1"/>
  <c r="G1266" i="57" a="1"/>
  <c r="G1266" i="57" s="1"/>
  <c r="F1266" i="57" a="1"/>
  <c r="F1266" i="57" s="1"/>
  <c r="G1404" i="57" a="1"/>
  <c r="G1404" i="57" s="1"/>
  <c r="F1404" i="57" a="1"/>
  <c r="F1404" i="57" s="1"/>
  <c r="G710" i="57" a="1"/>
  <c r="G710" i="57" s="1"/>
  <c r="F710" i="57" a="1"/>
  <c r="F710" i="57" s="1"/>
  <c r="G830" i="57" a="1"/>
  <c r="G830" i="57" s="1"/>
  <c r="F830" i="57" a="1"/>
  <c r="F830" i="57" s="1"/>
  <c r="G986" i="57" a="1"/>
  <c r="G986" i="57" s="1"/>
  <c r="F986" i="57" a="1"/>
  <c r="F986" i="57" s="1"/>
  <c r="G1148" i="57" a="1"/>
  <c r="G1148" i="57" s="1"/>
  <c r="F1148" i="57" a="1"/>
  <c r="F1148" i="57" s="1"/>
  <c r="G1310" i="57" a="1"/>
  <c r="G1310" i="57" s="1"/>
  <c r="F1310" i="57" a="1"/>
  <c r="F1310" i="57" s="1"/>
  <c r="G663" i="57" a="1"/>
  <c r="G663" i="57" s="1"/>
  <c r="F663" i="57" a="1"/>
  <c r="F663" i="57" s="1"/>
  <c r="G783" i="57" a="1"/>
  <c r="G783" i="57" s="1"/>
  <c r="F783" i="57" a="1"/>
  <c r="F783" i="57" s="1"/>
  <c r="G1053" i="57" a="1"/>
  <c r="G1053" i="57" s="1"/>
  <c r="F1053" i="57" a="1"/>
  <c r="F1053" i="57" s="1"/>
  <c r="G1395" i="57" a="1"/>
  <c r="G1395" i="57" s="1"/>
  <c r="F1395" i="57" a="1"/>
  <c r="F1395" i="57" s="1"/>
  <c r="G874" i="57" a="1"/>
  <c r="G874" i="57" s="1"/>
  <c r="F874" i="57" a="1"/>
  <c r="F874" i="57" s="1"/>
  <c r="G1240" i="57" a="1"/>
  <c r="G1240" i="57" s="1"/>
  <c r="F1240" i="57" a="1"/>
  <c r="F1240" i="57" s="1"/>
  <c r="G1527" i="57" a="1"/>
  <c r="G1527" i="57" s="1"/>
  <c r="F1527" i="57" a="1"/>
  <c r="F1527" i="57" s="1"/>
  <c r="G1839" i="57" a="1"/>
  <c r="G1839" i="57" s="1"/>
  <c r="F1839" i="57" a="1"/>
  <c r="F1839" i="57" s="1"/>
  <c r="G1642" i="57" a="1"/>
  <c r="G1642" i="57" s="1"/>
  <c r="F1642" i="57" a="1"/>
  <c r="F1642" i="57" s="1"/>
  <c r="G2490" i="57" a="1"/>
  <c r="G2490" i="57" s="1"/>
  <c r="F2490" i="57" a="1"/>
  <c r="F2490" i="57" s="1"/>
  <c r="G1472" i="57" a="1"/>
  <c r="G1472" i="57" s="1"/>
  <c r="F1472" i="57" a="1"/>
  <c r="F1472" i="57" s="1"/>
  <c r="G1989" i="57" a="1"/>
  <c r="G1989" i="57" s="1"/>
  <c r="F1989" i="57" a="1"/>
  <c r="F1989" i="57" s="1"/>
  <c r="G456" i="57" a="1"/>
  <c r="G456" i="57" s="1"/>
  <c r="F456" i="57" a="1"/>
  <c r="F456" i="57" s="1"/>
  <c r="G905" i="57" a="1"/>
  <c r="G905" i="57" s="1"/>
  <c r="F905" i="57" a="1"/>
  <c r="F905" i="57" s="1"/>
  <c r="G873" i="57" a="1"/>
  <c r="G873" i="57" s="1"/>
  <c r="F873" i="57" a="1"/>
  <c r="F873" i="57" s="1"/>
  <c r="G1209" i="57" a="1"/>
  <c r="G1209" i="57" s="1"/>
  <c r="F1209" i="57" a="1"/>
  <c r="F1209" i="57" s="1"/>
  <c r="G682" i="57" a="1"/>
  <c r="G682" i="57" s="1"/>
  <c r="F682" i="57" a="1"/>
  <c r="F682" i="57" s="1"/>
  <c r="G1054" i="57" a="1"/>
  <c r="G1054" i="57" s="1"/>
  <c r="F1054" i="57" a="1"/>
  <c r="F1054" i="57" s="1"/>
  <c r="G1420" i="57" a="1"/>
  <c r="G1420" i="57" s="1"/>
  <c r="F1420" i="57" a="1"/>
  <c r="F1420" i="57" s="1"/>
  <c r="G1641" i="57" a="1"/>
  <c r="G1641" i="57" s="1"/>
  <c r="F1641" i="57" a="1"/>
  <c r="F1641" i="57" s="1"/>
  <c r="G1953" i="57" a="1"/>
  <c r="G1953" i="57" s="1"/>
  <c r="F1953" i="57" a="1"/>
  <c r="F1953" i="57" s="1"/>
  <c r="G1762" i="57" a="1"/>
  <c r="G1762" i="57" s="1"/>
  <c r="F1762" i="57" a="1"/>
  <c r="F1762" i="57" s="1"/>
  <c r="G1631" i="57" a="1"/>
  <c r="G1631" i="57" s="1"/>
  <c r="F1631" i="57" a="1"/>
  <c r="F1631" i="57" s="1"/>
  <c r="G1652" i="57" a="1"/>
  <c r="G1652" i="57" s="1"/>
  <c r="F1652" i="57" a="1"/>
  <c r="F1652" i="57" s="1"/>
  <c r="G282" i="57" a="1"/>
  <c r="G282" i="57" s="1"/>
  <c r="F282" i="57" a="1"/>
  <c r="F282" i="57" s="1"/>
  <c r="G636" i="57" a="1"/>
  <c r="G636" i="57" s="1"/>
  <c r="F636" i="57" a="1"/>
  <c r="F636" i="57" s="1"/>
  <c r="G1001" i="57" a="1"/>
  <c r="G1001" i="57" s="1"/>
  <c r="F1001" i="57" a="1"/>
  <c r="F1001" i="57" s="1"/>
  <c r="G1109" i="57" a="1"/>
  <c r="G1109" i="57" s="1"/>
  <c r="F1109" i="57" a="1"/>
  <c r="F1109" i="57" s="1"/>
  <c r="G1217" i="57" a="1"/>
  <c r="G1217" i="57" s="1"/>
  <c r="F1217" i="57" a="1"/>
  <c r="F1217" i="57" s="1"/>
  <c r="G1331" i="57" a="1"/>
  <c r="G1331" i="57" s="1"/>
  <c r="F1331" i="57" a="1"/>
  <c r="F1331" i="57" s="1"/>
  <c r="G702" i="57" a="1"/>
  <c r="G702" i="57" s="1"/>
  <c r="F702" i="57" a="1"/>
  <c r="F702" i="57" s="1"/>
  <c r="G888" i="57" a="1"/>
  <c r="G888" i="57" s="1"/>
  <c r="F888" i="57" a="1"/>
  <c r="F888" i="57" s="1"/>
  <c r="G1020" i="57" a="1"/>
  <c r="G1020" i="57" s="1"/>
  <c r="F1020" i="57" a="1"/>
  <c r="F1020" i="57" s="1"/>
  <c r="G1146" i="57" a="1"/>
  <c r="G1146" i="57" s="1"/>
  <c r="F1146" i="57" a="1"/>
  <c r="F1146" i="57" s="1"/>
  <c r="G1272" i="57" a="1"/>
  <c r="G1272" i="57" s="1"/>
  <c r="F1272" i="57" a="1"/>
  <c r="F1272" i="57" s="1"/>
  <c r="G1428" i="57" a="1"/>
  <c r="G1428" i="57" s="1"/>
  <c r="F1428" i="57" a="1"/>
  <c r="F1428" i="57" s="1"/>
  <c r="G716" i="57" a="1"/>
  <c r="G716" i="57" s="1"/>
  <c r="F716" i="57" a="1"/>
  <c r="F716" i="57" s="1"/>
  <c r="G836" i="57" a="1"/>
  <c r="G836" i="57" s="1"/>
  <c r="F836" i="57" a="1"/>
  <c r="F836" i="57" s="1"/>
  <c r="G998" i="57" a="1"/>
  <c r="G998" i="57" s="1"/>
  <c r="F998" i="57" a="1"/>
  <c r="F998" i="57" s="1"/>
  <c r="G1160" i="57" a="1"/>
  <c r="G1160" i="57" s="1"/>
  <c r="F1160" i="57" a="1"/>
  <c r="F1160" i="57" s="1"/>
  <c r="G1322" i="57" a="1"/>
  <c r="G1322" i="57" s="1"/>
  <c r="F1322" i="57" a="1"/>
  <c r="F1322" i="57" s="1"/>
  <c r="G669" i="57" a="1"/>
  <c r="G669" i="57" s="1"/>
  <c r="F669" i="57" a="1"/>
  <c r="F669" i="57" s="1"/>
  <c r="G789" i="57" a="1"/>
  <c r="G789" i="57" s="1"/>
  <c r="F789" i="57" a="1"/>
  <c r="F789" i="57" s="1"/>
  <c r="G1083" i="57" a="1"/>
  <c r="G1083" i="57" s="1"/>
  <c r="F1083" i="57" a="1"/>
  <c r="F1083" i="57" s="1"/>
  <c r="G1425" i="57" a="1"/>
  <c r="G1425" i="57" s="1"/>
  <c r="F1425" i="57" a="1"/>
  <c r="F1425" i="57" s="1"/>
  <c r="G910" i="57" a="1"/>
  <c r="G910" i="57" s="1"/>
  <c r="F910" i="57" a="1"/>
  <c r="F910" i="57" s="1"/>
  <c r="G1276" i="57" a="1"/>
  <c r="G1276" i="57" s="1"/>
  <c r="F1276" i="57" a="1"/>
  <c r="F1276" i="57" s="1"/>
  <c r="G1545" i="57" a="1"/>
  <c r="G1545" i="57" s="1"/>
  <c r="F1545" i="57" a="1"/>
  <c r="F1545" i="57" s="1"/>
  <c r="G1857" i="57" a="1"/>
  <c r="G1857" i="57" s="1"/>
  <c r="F1857" i="57" a="1"/>
  <c r="F1857" i="57" s="1"/>
  <c r="G1666" i="57" a="1"/>
  <c r="G1666" i="57" s="1"/>
  <c r="F1666" i="57" a="1"/>
  <c r="F1666" i="57" s="1"/>
  <c r="G1487" i="57" a="1"/>
  <c r="G1487" i="57" s="1"/>
  <c r="F1487" i="57" a="1"/>
  <c r="F1487" i="57" s="1"/>
  <c r="G1508" i="57" a="1"/>
  <c r="G1508" i="57" s="1"/>
  <c r="F1508" i="57" a="1"/>
  <c r="F1508" i="57" s="1"/>
  <c r="G2031" i="57" a="1"/>
  <c r="G2031" i="57" s="1"/>
  <c r="F2031" i="57" a="1"/>
  <c r="F2031" i="57" s="1"/>
  <c r="G336" i="57" a="1"/>
  <c r="G336" i="57" s="1"/>
  <c r="F336" i="57" a="1"/>
  <c r="F336" i="57" s="1"/>
  <c r="G552" i="57" a="1"/>
  <c r="G552" i="57" s="1"/>
  <c r="F552" i="57" a="1"/>
  <c r="F552" i="57" s="1"/>
  <c r="G837" i="57" a="1"/>
  <c r="G837" i="57" s="1"/>
  <c r="F837" i="57" a="1"/>
  <c r="F837" i="57" s="1"/>
  <c r="G1173" i="57" a="1"/>
  <c r="G1173" i="57" s="1"/>
  <c r="F1173" i="57" a="1"/>
  <c r="F1173" i="57" s="1"/>
  <c r="G646" i="57" a="1"/>
  <c r="G646" i="57" s="1"/>
  <c r="F646" i="57" a="1"/>
  <c r="F646" i="57" s="1"/>
  <c r="G1012" i="57" a="1"/>
  <c r="G1012" i="57" s="1"/>
  <c r="F1012" i="57" a="1"/>
  <c r="F1012" i="57" s="1"/>
  <c r="G1384" i="57" a="1"/>
  <c r="G1384" i="57" s="1"/>
  <c r="F1384" i="57" a="1"/>
  <c r="F1384" i="57" s="1"/>
  <c r="G1605" i="57" a="1"/>
  <c r="G1605" i="57" s="1"/>
  <c r="F1605" i="57" a="1"/>
  <c r="F1605" i="57" s="1"/>
  <c r="G1917" i="57" a="1"/>
  <c r="G1917" i="57" s="1"/>
  <c r="F1917" i="57" a="1"/>
  <c r="F1917" i="57" s="1"/>
  <c r="G1726" i="57" a="1"/>
  <c r="G1726" i="57" s="1"/>
  <c r="F1726" i="57" a="1"/>
  <c r="F1726" i="57" s="1"/>
  <c r="G1583" i="57" a="1"/>
  <c r="G1583" i="57" s="1"/>
  <c r="F1583" i="57" a="1"/>
  <c r="F1583" i="57" s="1"/>
  <c r="G1598" i="57" a="1"/>
  <c r="G1598" i="57" s="1"/>
  <c r="F1598" i="57" a="1"/>
  <c r="F1598" i="57" s="1"/>
  <c r="G831" i="57" a="1"/>
  <c r="G831" i="57" s="1"/>
  <c r="F831" i="57" a="1"/>
  <c r="F831" i="57" s="1"/>
  <c r="G951" i="57" a="1"/>
  <c r="G951" i="57" s="1"/>
  <c r="F951" i="57" a="1"/>
  <c r="F951" i="57" s="1"/>
  <c r="G1059" i="57" a="1"/>
  <c r="G1059" i="57" s="1"/>
  <c r="F1059" i="57" a="1"/>
  <c r="F1059" i="57" s="1"/>
  <c r="G1167" i="57" a="1"/>
  <c r="G1167" i="57" s="1"/>
  <c r="F1167" i="57" a="1"/>
  <c r="F1167" i="57" s="1"/>
  <c r="G1281" i="57" a="1"/>
  <c r="G1281" i="57" s="1"/>
  <c r="F1281" i="57" a="1"/>
  <c r="F1281" i="57" s="1"/>
  <c r="G1401" i="57" a="1"/>
  <c r="G1401" i="57" s="1"/>
  <c r="F1401" i="57" a="1"/>
  <c r="F1401" i="57" s="1"/>
  <c r="G640" i="57" a="1"/>
  <c r="G640" i="57" s="1"/>
  <c r="F640" i="57" a="1"/>
  <c r="F640" i="57" s="1"/>
  <c r="G754" i="57" a="1"/>
  <c r="G754" i="57" s="1"/>
  <c r="F754" i="57" a="1"/>
  <c r="F754" i="57" s="1"/>
  <c r="G886" i="57" a="1"/>
  <c r="G886" i="57" s="1"/>
  <c r="F886" i="57" a="1"/>
  <c r="F886" i="57" s="1"/>
  <c r="G1006" i="57" a="1"/>
  <c r="G1006" i="57" s="1"/>
  <c r="F1006" i="57" a="1"/>
  <c r="F1006" i="57" s="1"/>
  <c r="G1126" i="57" a="1"/>
  <c r="G1126" i="57" s="1"/>
  <c r="F1126" i="57" a="1"/>
  <c r="F1126" i="57" s="1"/>
  <c r="G1246" i="57" a="1"/>
  <c r="G1246" i="57" s="1"/>
  <c r="F1246" i="57" a="1"/>
  <c r="F1246" i="57" s="1"/>
  <c r="G1378" i="57" a="1"/>
  <c r="G1378" i="57" s="1"/>
  <c r="F1378" i="57" a="1"/>
  <c r="F1378" i="57" s="1"/>
  <c r="G1409" i="57" a="1"/>
  <c r="G1409" i="57" s="1"/>
  <c r="F1409" i="57" a="1"/>
  <c r="F1409" i="57" s="1"/>
  <c r="G1593" i="57" a="1"/>
  <c r="G1593" i="57" s="1"/>
  <c r="F1593" i="57" a="1"/>
  <c r="F1593" i="57" s="1"/>
  <c r="G1851" i="57" a="1"/>
  <c r="G1851" i="57" s="1"/>
  <c r="F1851" i="57" a="1"/>
  <c r="F1851" i="57" s="1"/>
  <c r="G1606" i="57" a="1"/>
  <c r="G1606" i="57" s="1"/>
  <c r="F1606" i="57" a="1"/>
  <c r="F1606" i="57" s="1"/>
  <c r="G1870" i="57" a="1"/>
  <c r="G1870" i="57" s="1"/>
  <c r="F1870" i="57" a="1"/>
  <c r="F1870" i="57" s="1"/>
  <c r="G1613" i="57" a="1"/>
  <c r="G1613" i="57" s="1"/>
  <c r="F1613" i="57" a="1"/>
  <c r="F1613" i="57" s="1"/>
  <c r="G1871" i="57" a="1"/>
  <c r="G1871" i="57" s="1"/>
  <c r="F1871" i="57" a="1"/>
  <c r="F1871" i="57" s="1"/>
  <c r="G1628" i="57" a="1"/>
  <c r="G1628" i="57" s="1"/>
  <c r="F1628" i="57" a="1"/>
  <c r="F1628" i="57" s="1"/>
  <c r="G1886" i="57" a="1"/>
  <c r="G1886" i="57" s="1"/>
  <c r="F1886" i="57" a="1"/>
  <c r="F1886" i="57" s="1"/>
  <c r="G2151" i="57" a="1"/>
  <c r="G2151" i="57" s="1"/>
  <c r="F2151" i="57" a="1"/>
  <c r="F2151" i="57" s="1"/>
  <c r="G2415" i="57" a="1"/>
  <c r="G2415" i="57" s="1"/>
  <c r="F2415" i="57" a="1"/>
  <c r="F2415" i="57" s="1"/>
  <c r="G2212" i="57" a="1"/>
  <c r="G2212" i="57" s="1"/>
  <c r="F2212" i="57" a="1"/>
  <c r="F2212" i="57" s="1"/>
  <c r="G2051" i="57" a="1"/>
  <c r="G2051" i="57" s="1"/>
  <c r="F2051" i="57" a="1"/>
  <c r="F2051" i="57" s="1"/>
  <c r="G2357" i="57" a="1"/>
  <c r="G2357" i="57" s="1"/>
  <c r="F2357" i="57" a="1"/>
  <c r="F2357" i="57" s="1"/>
  <c r="G2216" i="57" a="1"/>
  <c r="G2216" i="57" s="1"/>
  <c r="F2216" i="57" a="1"/>
  <c r="F2216" i="57" s="1"/>
  <c r="G127" i="57" a="1"/>
  <c r="G127" i="57" s="1"/>
  <c r="F127" i="57" a="1"/>
  <c r="F127" i="57" s="1"/>
  <c r="G1488" i="57" a="1"/>
  <c r="G1488" i="57" s="1"/>
  <c r="F1488" i="57" a="1"/>
  <c r="F1488" i="57" s="1"/>
  <c r="G1681" i="57" a="1"/>
  <c r="G1681" i="57" s="1"/>
  <c r="F1681" i="57" a="1"/>
  <c r="F1681" i="57" s="1"/>
  <c r="G1927" i="57" a="1"/>
  <c r="G1927" i="57" s="1"/>
  <c r="F1927" i="57" a="1"/>
  <c r="F1927" i="57" s="1"/>
  <c r="G2157" i="57" a="1"/>
  <c r="G2157" i="57" s="1"/>
  <c r="F2157" i="57" a="1"/>
  <c r="F2157" i="57" s="1"/>
  <c r="G2421" i="57" a="1"/>
  <c r="G2421" i="57" s="1"/>
  <c r="F2421" i="57" a="1"/>
  <c r="F2421" i="57" s="1"/>
  <c r="G2218" i="57" a="1"/>
  <c r="G2218" i="57" s="1"/>
  <c r="F2218" i="57" a="1"/>
  <c r="F2218" i="57" s="1"/>
  <c r="G2057" i="57" a="1"/>
  <c r="G2057" i="57" s="1"/>
  <c r="F2057" i="57" a="1"/>
  <c r="F2057" i="57" s="1"/>
  <c r="G2375" i="57" a="1"/>
  <c r="G2375" i="57" s="1"/>
  <c r="F2375" i="57" a="1"/>
  <c r="F2375" i="57" s="1"/>
  <c r="G2222" i="57" a="1"/>
  <c r="G2222" i="57" s="1"/>
  <c r="F2222" i="57" a="1"/>
  <c r="F2222" i="57" s="1"/>
  <c r="G133" i="57" a="1"/>
  <c r="G133" i="57" s="1"/>
  <c r="F133" i="57" a="1"/>
  <c r="F133" i="57" s="1"/>
  <c r="G1494" i="57" a="1"/>
  <c r="G1494" i="57" s="1"/>
  <c r="F1494" i="57" a="1"/>
  <c r="F1494" i="57" s="1"/>
  <c r="G2474" i="57" a="1"/>
  <c r="G2474" i="57" s="1"/>
  <c r="F2474" i="57" a="1"/>
  <c r="F2474" i="57" s="1"/>
  <c r="G1969" i="57" a="1"/>
  <c r="G1969" i="57" s="1"/>
  <c r="F1969" i="57" a="1"/>
  <c r="F1969" i="57" s="1"/>
  <c r="G2205" i="57" a="1"/>
  <c r="G2205" i="57" s="1"/>
  <c r="F2205" i="57" a="1"/>
  <c r="F2205" i="57" s="1"/>
  <c r="G1966" i="57" a="1"/>
  <c r="G1966" i="57" s="1"/>
  <c r="F1966" i="57" a="1"/>
  <c r="F1966" i="57" s="1"/>
  <c r="G2284" i="57" a="1"/>
  <c r="G2284" i="57" s="1"/>
  <c r="F2284" i="57" a="1"/>
  <c r="F2284" i="57" s="1"/>
  <c r="G2123" i="57" a="1"/>
  <c r="G2123" i="57" s="1"/>
  <c r="F2123" i="57" a="1"/>
  <c r="F2123" i="57" s="1"/>
  <c r="G1970" i="57" a="1"/>
  <c r="G1970" i="57" s="1"/>
  <c r="F1970" i="57" a="1"/>
  <c r="F1970" i="57" s="1"/>
  <c r="G2282" i="57" a="1"/>
  <c r="G2282" i="57" s="1"/>
  <c r="F2282" i="57" a="1"/>
  <c r="F2282" i="57" s="1"/>
  <c r="G217" i="57" a="1"/>
  <c r="G217" i="57" s="1"/>
  <c r="F217" i="57" a="1"/>
  <c r="F217" i="57" s="1"/>
  <c r="G1572" i="57" a="1"/>
  <c r="G1572" i="57" s="1"/>
  <c r="F1572" i="57" a="1"/>
  <c r="F1572" i="57" s="1"/>
  <c r="G481" i="57" a="1"/>
  <c r="G481" i="57" s="1"/>
  <c r="F481" i="57" a="1"/>
  <c r="F481" i="57" s="1"/>
  <c r="G738" i="57" a="1"/>
  <c r="G738" i="57" s="1"/>
  <c r="F738" i="57" a="1"/>
  <c r="F738" i="57" s="1"/>
  <c r="G2259" i="57" a="1"/>
  <c r="G2259" i="57" s="1"/>
  <c r="F2259" i="57" a="1"/>
  <c r="F2259" i="57" s="1"/>
  <c r="G2032" i="57" a="1"/>
  <c r="G2032" i="57" s="1"/>
  <c r="F2032" i="57" a="1"/>
  <c r="F2032" i="57" s="1"/>
  <c r="G2344" i="57" a="1"/>
  <c r="G2344" i="57" s="1"/>
  <c r="F2344" i="57" a="1"/>
  <c r="F2344" i="57" s="1"/>
  <c r="G2177" i="57" a="1"/>
  <c r="G2177" i="57" s="1"/>
  <c r="F2177" i="57" a="1"/>
  <c r="F2177" i="57" s="1"/>
  <c r="G2030" i="57" a="1"/>
  <c r="G2030" i="57" s="1"/>
  <c r="F2030" i="57" a="1"/>
  <c r="F2030" i="57" s="1"/>
  <c r="G2354" i="57" a="1"/>
  <c r="G2354" i="57" s="1"/>
  <c r="F2354" i="57" a="1"/>
  <c r="F2354" i="57" s="1"/>
  <c r="F13" i="57" a="1"/>
  <c r="F13" i="57" s="1"/>
  <c r="G1656" i="57" a="1"/>
  <c r="G1656" i="57" s="1"/>
  <c r="F1656" i="57" a="1"/>
  <c r="F1656" i="57" s="1"/>
  <c r="G1154" i="57" a="1"/>
  <c r="G1154" i="57" s="1"/>
  <c r="F1154" i="57" a="1"/>
  <c r="F1154" i="57" s="1"/>
  <c r="G1315" i="57" a="1"/>
  <c r="G1315" i="57" s="1"/>
  <c r="F1315" i="57" a="1"/>
  <c r="F1315" i="57" s="1"/>
  <c r="G1685" i="57" a="1"/>
  <c r="G1685" i="57" s="1"/>
  <c r="F1685" i="57" a="1"/>
  <c r="F1685" i="57" s="1"/>
  <c r="G1943" i="57" a="1"/>
  <c r="G1943" i="57" s="1"/>
  <c r="F1943" i="57" a="1"/>
  <c r="F1943" i="57" s="1"/>
  <c r="G1700" i="57" a="1"/>
  <c r="G1700" i="57" s="1"/>
  <c r="F1700" i="57" a="1"/>
  <c r="F1700" i="57" s="1"/>
  <c r="G1959" i="57" a="1"/>
  <c r="G1959" i="57" s="1"/>
  <c r="F1959" i="57" a="1"/>
  <c r="F1959" i="57" s="1"/>
  <c r="G2223" i="57" a="1"/>
  <c r="G2223" i="57" s="1"/>
  <c r="F2223" i="57" a="1"/>
  <c r="F2223" i="57" s="1"/>
  <c r="G1990" i="57" a="1"/>
  <c r="G1990" i="57" s="1"/>
  <c r="F1990" i="57" a="1"/>
  <c r="F1990" i="57" s="1"/>
  <c r="G2302" i="57" a="1"/>
  <c r="G2302" i="57" s="1"/>
  <c r="F2302" i="57" a="1"/>
  <c r="F2302" i="57" s="1"/>
  <c r="G2135" i="57" a="1"/>
  <c r="G2135" i="57" s="1"/>
  <c r="F2135" i="57" a="1"/>
  <c r="F2135" i="57" s="1"/>
  <c r="G1988" i="57" a="1"/>
  <c r="G1988" i="57" s="1"/>
  <c r="F1988" i="57" a="1"/>
  <c r="F1988" i="57" s="1"/>
  <c r="G2306" i="57" a="1"/>
  <c r="G2306" i="57" s="1"/>
  <c r="F2306" i="57" a="1"/>
  <c r="F2306" i="57" s="1"/>
  <c r="G2434" i="57" a="1"/>
  <c r="G2434" i="57" s="1"/>
  <c r="F2434" i="57" a="1"/>
  <c r="F2434" i="57" s="1"/>
  <c r="G1602" i="57" a="1"/>
  <c r="G1602" i="57" s="1"/>
  <c r="F1602" i="57" a="1"/>
  <c r="F1602" i="57" s="1"/>
  <c r="G565" i="57" a="1"/>
  <c r="G565" i="57" s="1"/>
  <c r="F565" i="57" a="1"/>
  <c r="F565" i="57" s="1"/>
  <c r="G1302" i="57" a="1"/>
  <c r="G1302" i="57" s="1"/>
  <c r="F1302" i="57" a="1"/>
  <c r="F1302" i="57" s="1"/>
  <c r="G1607" i="57" a="1"/>
  <c r="G1607" i="57" s="1"/>
  <c r="F1607" i="57" a="1"/>
  <c r="F1607" i="57" s="1"/>
  <c r="G1865" i="57" a="1"/>
  <c r="G1865" i="57" s="1"/>
  <c r="F1865" i="57" a="1"/>
  <c r="F1865" i="57" s="1"/>
  <c r="G1622" i="57" a="1"/>
  <c r="G1622" i="57" s="1"/>
  <c r="F1622" i="57" a="1"/>
  <c r="F1622" i="57" s="1"/>
  <c r="G1880" i="57" a="1"/>
  <c r="G1880" i="57" s="1"/>
  <c r="F1880" i="57" a="1"/>
  <c r="F1880" i="57" s="1"/>
  <c r="G2139" i="57" a="1"/>
  <c r="G2139" i="57" s="1"/>
  <c r="F2139" i="57" a="1"/>
  <c r="F2139" i="57" s="1"/>
  <c r="G2403" i="57" a="1"/>
  <c r="G2403" i="57" s="1"/>
  <c r="F2403" i="57" a="1"/>
  <c r="F2403" i="57" s="1"/>
  <c r="G2206" i="57" a="1"/>
  <c r="G2206" i="57" s="1"/>
  <c r="F2206" i="57" a="1"/>
  <c r="F2206" i="57" s="1"/>
  <c r="G2045" i="57" a="1"/>
  <c r="G2045" i="57" s="1"/>
  <c r="F2045" i="57" a="1"/>
  <c r="F2045" i="57" s="1"/>
  <c r="G2351" i="57" a="1"/>
  <c r="G2351" i="57" s="1"/>
  <c r="F2351" i="57" a="1"/>
  <c r="F2351" i="57" s="1"/>
  <c r="G2204" i="57" a="1"/>
  <c r="G2204" i="57" s="1"/>
  <c r="F2204" i="57" a="1"/>
  <c r="F2204" i="57" s="1"/>
  <c r="G121" i="57" a="1"/>
  <c r="G121" i="57" s="1"/>
  <c r="F121" i="57" a="1"/>
  <c r="F121" i="57" s="1"/>
  <c r="G1482" i="57" a="1"/>
  <c r="G1482" i="57" s="1"/>
  <c r="F1482" i="57" a="1"/>
  <c r="F1482" i="57" s="1"/>
  <c r="G1639" i="57" a="1"/>
  <c r="G1639" i="57" s="1"/>
  <c r="F1639" i="57" a="1"/>
  <c r="F1639" i="57" s="1"/>
  <c r="G1885" i="57" a="1"/>
  <c r="G1885" i="57" s="1"/>
  <c r="F1885" i="57" a="1"/>
  <c r="F1885" i="57" s="1"/>
  <c r="G1539" i="57" a="1"/>
  <c r="G1539" i="57" s="1"/>
  <c r="F1539" i="57" a="1"/>
  <c r="F1539" i="57" s="1"/>
  <c r="G1755" i="57" a="1"/>
  <c r="G1755" i="57" s="1"/>
  <c r="F1755" i="57" a="1"/>
  <c r="F1755" i="57" s="1"/>
  <c r="G1468" i="57" a="1"/>
  <c r="G1468" i="57" s="1"/>
  <c r="F1468" i="57" a="1"/>
  <c r="F1468" i="57" s="1"/>
  <c r="G1684" i="57" a="1"/>
  <c r="G1684" i="57" s="1"/>
  <c r="F1684" i="57" a="1"/>
  <c r="F1684" i="57" s="1"/>
  <c r="G1900" i="57" a="1"/>
  <c r="G1900" i="57" s="1"/>
  <c r="F1900" i="57" a="1"/>
  <c r="F1900" i="57" s="1"/>
  <c r="G1601" i="57" a="1"/>
  <c r="G1601" i="57" s="1"/>
  <c r="F1601" i="57" a="1"/>
  <c r="F1601" i="57" s="1"/>
  <c r="G1817" i="57" a="1"/>
  <c r="G1817" i="57" s="1"/>
  <c r="F1817" i="57" a="1"/>
  <c r="F1817" i="57" s="1"/>
  <c r="G1532" i="57" a="1"/>
  <c r="G1532" i="57" s="1"/>
  <c r="F1532" i="57" a="1"/>
  <c r="F1532" i="57" s="1"/>
  <c r="G1748" i="57" a="1"/>
  <c r="G1748" i="57" s="1"/>
  <c r="F1748" i="57" a="1"/>
  <c r="F1748" i="57" s="1"/>
  <c r="G1965" i="57" a="1"/>
  <c r="G1965" i="57" s="1"/>
  <c r="F1965" i="57" a="1"/>
  <c r="F1965" i="57" s="1"/>
  <c r="G2181" i="57" a="1"/>
  <c r="G2181" i="57" s="1"/>
  <c r="F2181" i="57" a="1"/>
  <c r="F2181" i="57" s="1"/>
  <c r="G2397" i="57" a="1"/>
  <c r="G2397" i="57" s="1"/>
  <c r="F2397" i="57" a="1"/>
  <c r="F2397" i="57" s="1"/>
  <c r="G2146" i="57" a="1"/>
  <c r="G2146" i="57" s="1"/>
  <c r="F2146" i="57" a="1"/>
  <c r="F2146" i="57" s="1"/>
  <c r="G2410" i="57" a="1"/>
  <c r="G2410" i="57" s="1"/>
  <c r="F2410" i="57" a="1"/>
  <c r="F2410" i="57" s="1"/>
  <c r="G2195" i="57" a="1"/>
  <c r="G2195" i="57" s="1"/>
  <c r="F2195" i="57" a="1"/>
  <c r="F2195" i="57" s="1"/>
  <c r="G1994" i="57" a="1"/>
  <c r="G1994" i="57" s="1"/>
  <c r="F1994" i="57" a="1"/>
  <c r="F1994" i="57" s="1"/>
  <c r="G2252" i="57" a="1"/>
  <c r="G2252" i="57" s="1"/>
  <c r="F2252" i="57" a="1"/>
  <c r="F2252" i="57" s="1"/>
  <c r="G61" i="57" a="1"/>
  <c r="G61" i="57" s="1"/>
  <c r="F61" i="57" a="1"/>
  <c r="F61" i="57" s="1"/>
  <c r="G158" i="57" a="1"/>
  <c r="G158" i="57" s="1"/>
  <c r="F158" i="57" a="1"/>
  <c r="F158" i="57" s="1"/>
  <c r="G1554" i="57" a="1"/>
  <c r="G1554" i="57" s="1"/>
  <c r="F1554" i="57" a="1"/>
  <c r="F1554" i="57" s="1"/>
  <c r="G1812" i="57" a="1"/>
  <c r="G1812" i="57" s="1"/>
  <c r="F1812" i="57" a="1"/>
  <c r="F1812" i="57" s="1"/>
  <c r="G1579" i="57" a="1"/>
  <c r="G1579" i="57" s="1"/>
  <c r="F1579" i="57" a="1"/>
  <c r="F1579" i="57" s="1"/>
  <c r="G289" i="57" a="1"/>
  <c r="G289" i="57" s="1"/>
  <c r="F289" i="57" a="1"/>
  <c r="F289" i="57" s="1"/>
  <c r="G553" i="57" a="1"/>
  <c r="G553" i="57" s="1"/>
  <c r="F553" i="57" a="1"/>
  <c r="F553" i="57" s="1"/>
  <c r="G1244" i="57" a="1"/>
  <c r="G1244" i="57" s="1"/>
  <c r="F1244" i="57" a="1"/>
  <c r="F1244" i="57" s="1"/>
  <c r="G2082" i="57" a="1"/>
  <c r="G2082" i="57" s="1"/>
  <c r="F2082" i="57" a="1"/>
  <c r="F2082" i="57" s="1"/>
  <c r="G2340" i="57" a="1"/>
  <c r="G2340" i="57" s="1"/>
  <c r="F2340" i="57" a="1"/>
  <c r="F2340" i="57" s="1"/>
  <c r="G1825" i="57" a="1"/>
  <c r="G1825" i="57" s="1"/>
  <c r="F1825" i="57" a="1"/>
  <c r="F1825" i="57" s="1"/>
  <c r="G2089" i="57" a="1"/>
  <c r="G2089" i="57" s="1"/>
  <c r="F2089" i="57" a="1"/>
  <c r="F2089" i="57" s="1"/>
  <c r="G1116" i="57" a="1"/>
  <c r="G1116" i="57" s="1"/>
  <c r="F1116" i="57" a="1"/>
  <c r="F1116" i="57" s="1"/>
  <c r="G1393" i="57" a="1"/>
  <c r="G1393" i="57" s="1"/>
  <c r="F1393" i="57" a="1"/>
  <c r="F1393" i="57" s="1"/>
  <c r="G1501" i="57" a="1"/>
  <c r="G1501" i="57" s="1"/>
  <c r="F1501" i="57" a="1"/>
  <c r="F1501" i="57" s="1"/>
  <c r="G198" i="57" a="1"/>
  <c r="G198" i="57" s="1"/>
  <c r="F198" i="57" a="1"/>
  <c r="F198" i="57" s="1"/>
  <c r="G469" i="57" a="1"/>
  <c r="G469" i="57" s="1"/>
  <c r="F469" i="57" a="1"/>
  <c r="F469" i="57" s="1"/>
  <c r="G1010" i="57" a="1"/>
  <c r="G1010" i="57" s="1"/>
  <c r="F1010" i="57" a="1"/>
  <c r="F1010" i="57" s="1"/>
  <c r="G2004" i="57" a="1"/>
  <c r="G2004" i="57" s="1"/>
  <c r="F2004" i="57" a="1"/>
  <c r="F2004" i="57" s="1"/>
  <c r="G2262" i="57" a="1"/>
  <c r="G2262" i="57" s="1"/>
  <c r="F2262" i="57" a="1"/>
  <c r="F2262" i="57" s="1"/>
  <c r="G1747" i="57" a="1"/>
  <c r="G1747" i="57" s="1"/>
  <c r="F1747" i="57" a="1"/>
  <c r="F1747" i="57" s="1"/>
  <c r="G2005" i="57" a="1"/>
  <c r="G2005" i="57" s="1"/>
  <c r="F2005" i="57" a="1"/>
  <c r="F2005" i="57" s="1"/>
  <c r="G726" i="57" a="1"/>
  <c r="G726" i="57" s="1"/>
  <c r="F726" i="57" a="1"/>
  <c r="F726" i="57" s="1"/>
  <c r="G1195" i="57" a="1"/>
  <c r="G1195" i="57" s="1"/>
  <c r="F1195" i="57" a="1"/>
  <c r="F1195" i="57" s="1"/>
  <c r="G1878" i="57" a="1"/>
  <c r="G1878" i="57" s="1"/>
  <c r="F1878" i="57" a="1"/>
  <c r="F1878" i="57" s="1"/>
  <c r="G1645" i="57" a="1"/>
  <c r="G1645" i="57" s="1"/>
  <c r="F1645" i="57" a="1"/>
  <c r="F1645" i="57" s="1"/>
  <c r="G355" i="57" a="1"/>
  <c r="G355" i="57" s="1"/>
  <c r="F355" i="57" a="1"/>
  <c r="F355" i="57" s="1"/>
  <c r="G613" i="57" a="1"/>
  <c r="G613" i="57" s="1"/>
  <c r="F613" i="57" a="1"/>
  <c r="F613" i="57" s="1"/>
  <c r="G351" i="57" a="1"/>
  <c r="G351" i="57" s="1"/>
  <c r="F351" i="57" a="1"/>
  <c r="F351" i="57" s="1"/>
  <c r="G2148" i="57" a="1"/>
  <c r="G2148" i="57" s="1"/>
  <c r="F2148" i="57" a="1"/>
  <c r="F2148" i="57" s="1"/>
  <c r="G2406" i="57" a="1"/>
  <c r="G2406" i="57" s="1"/>
  <c r="F2406" i="57" a="1"/>
  <c r="F2406" i="57" s="1"/>
  <c r="G1891" i="57" a="1"/>
  <c r="G1891" i="57" s="1"/>
  <c r="F1891" i="57" a="1"/>
  <c r="F1891" i="57" s="1"/>
  <c r="G2161" i="57" a="1"/>
  <c r="G2161" i="57" s="1"/>
  <c r="F2161" i="57" a="1"/>
  <c r="F2161" i="57" s="1"/>
  <c r="G889" i="57" a="1"/>
  <c r="G889" i="57" s="1"/>
  <c r="F889" i="57" a="1"/>
  <c r="F889" i="57" s="1"/>
  <c r="G772" i="57" a="1"/>
  <c r="G772" i="57" s="1"/>
  <c r="F772" i="57" a="1"/>
  <c r="F772" i="57" s="1"/>
  <c r="G1525" i="57" a="1"/>
  <c r="G1525" i="57" s="1"/>
  <c r="F1525" i="57" a="1"/>
  <c r="F1525" i="57" s="1"/>
  <c r="G235" i="57" a="1"/>
  <c r="G235" i="57" s="1"/>
  <c r="F235" i="57" a="1"/>
  <c r="F235" i="57" s="1"/>
  <c r="G493" i="57" a="1"/>
  <c r="G493" i="57" s="1"/>
  <c r="F493" i="57" a="1"/>
  <c r="F493" i="57" s="1"/>
  <c r="G1064" i="57" a="1"/>
  <c r="G1064" i="57" s="1"/>
  <c r="F1064" i="57" a="1"/>
  <c r="F1064" i="57" s="1"/>
  <c r="G2022" i="57" a="1"/>
  <c r="G2022" i="57" s="1"/>
  <c r="F2022" i="57" a="1"/>
  <c r="F2022" i="57" s="1"/>
  <c r="G2286" i="57" a="1"/>
  <c r="G2286" i="57" s="1"/>
  <c r="F2286" i="57" a="1"/>
  <c r="F2286" i="57" s="1"/>
  <c r="G1771" i="57" a="1"/>
  <c r="G1771" i="57" s="1"/>
  <c r="F1771" i="57" a="1"/>
  <c r="F1771" i="57" s="1"/>
  <c r="G2029" i="57" a="1"/>
  <c r="G2029" i="57" s="1"/>
  <c r="F2029" i="57" a="1"/>
  <c r="F2029" i="57" s="1"/>
  <c r="G768" i="57" a="1"/>
  <c r="G768" i="57" s="1"/>
  <c r="F768" i="57" a="1"/>
  <c r="F768" i="57" s="1"/>
  <c r="G1237" i="57" a="1"/>
  <c r="G1237" i="57" s="1"/>
  <c r="F1237" i="57" a="1"/>
  <c r="F1237" i="57" s="1"/>
  <c r="G2420" i="57" a="1"/>
  <c r="G2420" i="57" s="1"/>
  <c r="F2420" i="57" a="1"/>
  <c r="F2420" i="57" s="1"/>
  <c r="G229" i="57" a="1"/>
  <c r="G229" i="57" s="1"/>
  <c r="F229" i="57" a="1"/>
  <c r="F229" i="57" s="1"/>
  <c r="G1458" i="57" a="1"/>
  <c r="G1458" i="57" s="1"/>
  <c r="F1458" i="57" a="1"/>
  <c r="F1458" i="57" s="1"/>
  <c r="G1716" i="57" a="1"/>
  <c r="G1716" i="57" s="1"/>
  <c r="F1716" i="57" a="1"/>
  <c r="F1716" i="57" s="1"/>
  <c r="G1489" i="57" a="1"/>
  <c r="G1489" i="57" s="1"/>
  <c r="F1489" i="57" a="1"/>
  <c r="F1489" i="57" s="1"/>
  <c r="G174" i="57" a="1"/>
  <c r="G174" i="57" s="1"/>
  <c r="F174" i="57" a="1"/>
  <c r="F174" i="57" s="1"/>
  <c r="G457" i="57" a="1"/>
  <c r="G457" i="57" s="1"/>
  <c r="F457" i="57" a="1"/>
  <c r="F457" i="57" s="1"/>
  <c r="G956" i="57" a="1"/>
  <c r="G956" i="57" s="1"/>
  <c r="F956" i="57" a="1"/>
  <c r="F956" i="57" s="1"/>
  <c r="G1986" i="57" a="1"/>
  <c r="G1986" i="57" s="1"/>
  <c r="F1986" i="57" a="1"/>
  <c r="F1986" i="57" s="1"/>
  <c r="G2250" i="57" a="1"/>
  <c r="G2250" i="57" s="1"/>
  <c r="F2250" i="57" a="1"/>
  <c r="F2250" i="57" s="1"/>
  <c r="G1735" i="57" a="1"/>
  <c r="G1735" i="57" s="1"/>
  <c r="F1735" i="57" a="1"/>
  <c r="F1735" i="57" s="1"/>
  <c r="G1993" i="57" a="1"/>
  <c r="G1993" i="57" s="1"/>
  <c r="F1993" i="57" a="1"/>
  <c r="F1993" i="57" s="1"/>
  <c r="G558" i="57" a="1"/>
  <c r="G558" i="57" s="1"/>
  <c r="F558" i="57" a="1"/>
  <c r="F558" i="57" s="1"/>
  <c r="G1147" i="57" a="1"/>
  <c r="G1147" i="57" s="1"/>
  <c r="F1147" i="57" a="1"/>
  <c r="F1147" i="57" s="1"/>
  <c r="G2445" i="57" a="1"/>
  <c r="G2445" i="57" s="1"/>
  <c r="F2445" i="57" a="1"/>
  <c r="F2445" i="57" s="1"/>
  <c r="G2152" i="57" a="1"/>
  <c r="G2152" i="57" s="1"/>
  <c r="F2152" i="57" a="1"/>
  <c r="F2152" i="57" s="1"/>
  <c r="G2368" i="57" a="1"/>
  <c r="G2368" i="57" s="1"/>
  <c r="F2368" i="57" a="1"/>
  <c r="F2368" i="57" s="1"/>
  <c r="G2111" i="57" a="1"/>
  <c r="G2111" i="57" s="1"/>
  <c r="F2111" i="57" a="1"/>
  <c r="F2111" i="57" s="1"/>
  <c r="G2327" i="57" a="1"/>
  <c r="G2327" i="57" s="1"/>
  <c r="F2327" i="57" a="1"/>
  <c r="F2327" i="57" s="1"/>
  <c r="G2084" i="57" a="1"/>
  <c r="G2084" i="57" s="1"/>
  <c r="F2084" i="57" a="1"/>
  <c r="F2084" i="57" s="1"/>
  <c r="G2300" i="57" a="1"/>
  <c r="G2300" i="57" s="1"/>
  <c r="F2300" i="57" a="1"/>
  <c r="F2300" i="57" s="1"/>
  <c r="G67" i="57" a="1"/>
  <c r="G67" i="57" s="1"/>
  <c r="F67" i="57" a="1"/>
  <c r="F67" i="57" s="1"/>
  <c r="G2476" i="57" a="1"/>
  <c r="G2476" i="57" s="1"/>
  <c r="F2476" i="57" a="1"/>
  <c r="F2476" i="57" s="1"/>
  <c r="G1470" i="57" a="1"/>
  <c r="G1470" i="57" s="1"/>
  <c r="F1470" i="57" a="1"/>
  <c r="F1470" i="57" s="1"/>
  <c r="G1686" i="57" a="1"/>
  <c r="G1686" i="57" s="1"/>
  <c r="F1686" i="57" a="1"/>
  <c r="F1686" i="57" s="1"/>
  <c r="G1902" i="57" a="1"/>
  <c r="G1902" i="57" s="1"/>
  <c r="F1902" i="57" a="1"/>
  <c r="F1902" i="57" s="1"/>
  <c r="G1627" i="57" a="1"/>
  <c r="G1627" i="57" s="1"/>
  <c r="F1627" i="57" a="1"/>
  <c r="F1627" i="57" s="1"/>
  <c r="G295" i="57" a="1"/>
  <c r="G295" i="57" s="1"/>
  <c r="F295" i="57" a="1"/>
  <c r="F295" i="57" s="1"/>
  <c r="G511" i="57" a="1"/>
  <c r="G511" i="57" s="1"/>
  <c r="F511" i="57" a="1"/>
  <c r="F511" i="57" s="1"/>
  <c r="G992" i="57" a="1"/>
  <c r="G992" i="57" s="1"/>
  <c r="F992" i="57" a="1"/>
  <c r="F992" i="57" s="1"/>
  <c r="G1956" i="57" a="1"/>
  <c r="G1956" i="57" s="1"/>
  <c r="F1956" i="57" a="1"/>
  <c r="F1956" i="57" s="1"/>
  <c r="G2172" i="57" a="1"/>
  <c r="G2172" i="57" s="1"/>
  <c r="F2172" i="57" a="1"/>
  <c r="F2172" i="57" s="1"/>
  <c r="G2388" i="57" a="1"/>
  <c r="G2388" i="57" s="1"/>
  <c r="F2388" i="57" a="1"/>
  <c r="F2388" i="57" s="1"/>
  <c r="G1831" i="57" a="1"/>
  <c r="G1831" i="57" s="1"/>
  <c r="F1831" i="57" a="1"/>
  <c r="F1831" i="57" s="1"/>
  <c r="G2047" i="57" a="1"/>
  <c r="G2047" i="57" s="1"/>
  <c r="F2047" i="57" a="1"/>
  <c r="F2047" i="57" s="1"/>
  <c r="G462" i="57" a="1"/>
  <c r="G462" i="57" s="1"/>
  <c r="F462" i="57" a="1"/>
  <c r="F462" i="57" s="1"/>
  <c r="G871" i="57" a="1"/>
  <c r="G871" i="57" s="1"/>
  <c r="F871" i="57" a="1"/>
  <c r="F871" i="57" s="1"/>
  <c r="G1339" i="57" a="1"/>
  <c r="G1339" i="57" s="1"/>
  <c r="F1339" i="57" a="1"/>
  <c r="F1339" i="57" s="1"/>
  <c r="G1258" i="57" a="1"/>
  <c r="G1258" i="57" s="1"/>
  <c r="F1258" i="57" a="1"/>
  <c r="F1258" i="57" s="1"/>
  <c r="G2329" i="57" a="1"/>
  <c r="G2329" i="57" s="1"/>
  <c r="F2329" i="57" a="1"/>
  <c r="F2329" i="57" s="1"/>
  <c r="G691" i="57" a="1"/>
  <c r="G691" i="57" s="1"/>
  <c r="F691" i="57" a="1"/>
  <c r="F691" i="57" s="1"/>
  <c r="G973" i="57" a="1"/>
  <c r="G973" i="57" s="1"/>
  <c r="F973" i="57" a="1"/>
  <c r="F973" i="57" s="1"/>
  <c r="G1375" i="57" a="1"/>
  <c r="G1375" i="57" s="1"/>
  <c r="F1375" i="57" a="1"/>
  <c r="F1375" i="57" s="1"/>
  <c r="G160" i="57" a="1"/>
  <c r="G160" i="57" s="1"/>
  <c r="F160" i="57" a="1"/>
  <c r="F160" i="57" s="1"/>
  <c r="G2371" i="57" a="1"/>
  <c r="G2371" i="57" s="1"/>
  <c r="F2371" i="57" a="1"/>
  <c r="F2371" i="57" s="1"/>
  <c r="G733" i="57" a="1"/>
  <c r="G733" i="57" s="1"/>
  <c r="F733" i="57" a="1"/>
  <c r="F733" i="57" s="1"/>
  <c r="G1045" i="57" a="1"/>
  <c r="G1045" i="57" s="1"/>
  <c r="F1045" i="57" a="1"/>
  <c r="F1045" i="57" s="1"/>
  <c r="G2305" i="57" a="1"/>
  <c r="G2305" i="57" s="1"/>
  <c r="F2305" i="57" a="1"/>
  <c r="F2305" i="57" s="1"/>
  <c r="G667" i="57" a="1"/>
  <c r="G667" i="57" s="1"/>
  <c r="F667" i="57" a="1"/>
  <c r="F667" i="57" s="1"/>
  <c r="G931" i="57" a="1"/>
  <c r="G931" i="57" s="1"/>
  <c r="F931" i="57" a="1"/>
  <c r="F931" i="57" s="1"/>
  <c r="G1327" i="57" a="1"/>
  <c r="G1327" i="57" s="1"/>
  <c r="F1327" i="57" a="1"/>
  <c r="F1327" i="57" s="1"/>
  <c r="G940" i="57" a="1"/>
  <c r="G940" i="57" s="1"/>
  <c r="F940" i="57" a="1"/>
  <c r="F940" i="57" s="1"/>
  <c r="G2311" i="57" a="1"/>
  <c r="G2311" i="57" s="1"/>
  <c r="F2311" i="57" a="1"/>
  <c r="F2311" i="57" s="1"/>
  <c r="G673" i="57" a="1"/>
  <c r="G673" i="57" s="1"/>
  <c r="F673" i="57" a="1"/>
  <c r="F673" i="57" s="1"/>
  <c r="G943" i="57" a="1"/>
  <c r="G943" i="57" s="1"/>
  <c r="F943" i="57" a="1"/>
  <c r="F943" i="57" s="1"/>
  <c r="G1345" i="57" a="1"/>
  <c r="G1345" i="57" s="1"/>
  <c r="F1345" i="57" a="1"/>
  <c r="F1345" i="57" s="1"/>
  <c r="G1042" i="57" a="1"/>
  <c r="G1042" i="57" s="1"/>
  <c r="F1042" i="57" a="1"/>
  <c r="F1042" i="57" s="1"/>
  <c r="G2317" i="57" a="1"/>
  <c r="G2317" i="57" s="1"/>
  <c r="F2317" i="57" a="1"/>
  <c r="F2317" i="57" s="1"/>
  <c r="G679" i="57" a="1"/>
  <c r="G679" i="57" s="1"/>
  <c r="F679" i="57" a="1"/>
  <c r="F679" i="57" s="1"/>
  <c r="G955" i="57" a="1"/>
  <c r="G955" i="57" s="1"/>
  <c r="F955" i="57" a="1"/>
  <c r="F955" i="57" s="1"/>
  <c r="G1357" i="57" a="1"/>
  <c r="G1357" i="57" s="1"/>
  <c r="F1357" i="57" a="1"/>
  <c r="F1357" i="57" s="1"/>
  <c r="G672" i="57" a="1"/>
  <c r="G672" i="57" s="1"/>
  <c r="F672" i="57" a="1"/>
  <c r="F672" i="57" s="1"/>
  <c r="G937" i="57" a="1"/>
  <c r="G937" i="57" s="1"/>
  <c r="F937" i="57" a="1"/>
  <c r="F937" i="57" s="1"/>
  <c r="G1405" i="57" a="1"/>
  <c r="G1405" i="57" s="1"/>
  <c r="F1405" i="57" a="1"/>
  <c r="F1405" i="57" s="1"/>
  <c r="G88" i="57" a="1"/>
  <c r="G88" i="57" s="1"/>
  <c r="F88" i="57" a="1"/>
  <c r="F88" i="57" s="1"/>
  <c r="G2359" i="57" a="1"/>
  <c r="G2359" i="57" s="1"/>
  <c r="F2359" i="57" a="1"/>
  <c r="F2359" i="57" s="1"/>
  <c r="G721" i="57" a="1"/>
  <c r="G721" i="57" s="1"/>
  <c r="F721" i="57" a="1"/>
  <c r="F721" i="57" s="1"/>
  <c r="G1021" i="57" a="1"/>
  <c r="G1021" i="57" s="1"/>
  <c r="F1021" i="57" a="1"/>
  <c r="F1021" i="57" s="1"/>
  <c r="G1435" i="57" a="1"/>
  <c r="G1435" i="57" s="1"/>
  <c r="F1435" i="57" a="1"/>
  <c r="F1435" i="57" s="1"/>
  <c r="F19" i="57" a="1"/>
  <c r="F19" i="57" s="1"/>
  <c r="G290" i="57" a="1"/>
  <c r="G290" i="57" s="1"/>
  <c r="F290" i="57" a="1"/>
  <c r="F290" i="57" s="1"/>
  <c r="G518" i="57" a="1"/>
  <c r="G518" i="57" s="1"/>
  <c r="F518" i="57" a="1"/>
  <c r="F518" i="57" s="1"/>
  <c r="G495" i="57" a="1"/>
  <c r="G495" i="57" s="1"/>
  <c r="F495" i="57" a="1"/>
  <c r="F495" i="57" s="1"/>
  <c r="G207" i="57" a="1"/>
  <c r="G207" i="57" s="1"/>
  <c r="F207" i="57" a="1"/>
  <c r="F207" i="57" s="1"/>
  <c r="G543" i="57" a="1"/>
  <c r="G543" i="57" s="1"/>
  <c r="F543" i="57" a="1"/>
  <c r="F543" i="57" s="1"/>
  <c r="G340" i="57" a="1"/>
  <c r="G340" i="57" s="1"/>
  <c r="F340" i="57" a="1"/>
  <c r="F340" i="57" s="1"/>
  <c r="G119" i="57" a="1"/>
  <c r="G119" i="57" s="1"/>
  <c r="F119" i="57" a="1"/>
  <c r="F119" i="57" s="1"/>
  <c r="G443" i="57" a="1"/>
  <c r="G443" i="57" s="1"/>
  <c r="F443" i="57" a="1"/>
  <c r="F443" i="57" s="1"/>
  <c r="G767" i="57" a="1"/>
  <c r="G767" i="57" s="1"/>
  <c r="F767" i="57" a="1"/>
  <c r="F767" i="57" s="1"/>
  <c r="G2506" i="57" a="1"/>
  <c r="G2506" i="57" s="1"/>
  <c r="F2506" i="57" a="1"/>
  <c r="F2506" i="57" s="1"/>
  <c r="G38" i="57" a="1"/>
  <c r="G38" i="57" s="1"/>
  <c r="F38" i="57" a="1"/>
  <c r="F38" i="57" s="1"/>
  <c r="G182" i="57" a="1"/>
  <c r="G182" i="57" s="1"/>
  <c r="F182" i="57" a="1"/>
  <c r="F182" i="57" s="1"/>
  <c r="G320" i="57" a="1"/>
  <c r="G320" i="57" s="1"/>
  <c r="F320" i="57" a="1"/>
  <c r="F320" i="57" s="1"/>
  <c r="G440" i="57" a="1"/>
  <c r="G440" i="57" s="1"/>
  <c r="F440" i="57" a="1"/>
  <c r="F440" i="57" s="1"/>
  <c r="G123" i="57" a="1"/>
  <c r="G123" i="57" s="1"/>
  <c r="F123" i="57" a="1"/>
  <c r="F123" i="57" s="1"/>
  <c r="G459" i="57" a="1"/>
  <c r="G459" i="57" s="1"/>
  <c r="F459" i="57" a="1"/>
  <c r="F459" i="57" s="1"/>
  <c r="G250" i="57" a="1"/>
  <c r="G250" i="57" s="1"/>
  <c r="F250" i="57" a="1"/>
  <c r="F250" i="57" s="1"/>
  <c r="G35" i="57" a="1"/>
  <c r="G35" i="57" s="1"/>
  <c r="F35" i="57" a="1"/>
  <c r="F35" i="57" s="1"/>
  <c r="G359" i="57" a="1"/>
  <c r="G359" i="57" s="1"/>
  <c r="F359" i="57" a="1"/>
  <c r="F359" i="57" s="1"/>
  <c r="G683" i="57" a="1"/>
  <c r="G683" i="57" s="1"/>
  <c r="F683" i="57" a="1"/>
  <c r="F683" i="57" s="1"/>
  <c r="G2489" i="57" a="1"/>
  <c r="G2489" i="57" s="1"/>
  <c r="F2489" i="57" a="1"/>
  <c r="F2489" i="57" s="1"/>
  <c r="G39" i="57" a="1"/>
  <c r="G39" i="57" s="1"/>
  <c r="F39" i="57" a="1"/>
  <c r="F39" i="57" s="1"/>
  <c r="G399" i="57" a="1"/>
  <c r="G399" i="57" s="1"/>
  <c r="F399" i="57" a="1"/>
  <c r="F399" i="57" s="1"/>
  <c r="G172" i="57" a="1"/>
  <c r="G172" i="57" s="1"/>
  <c r="F172" i="57" a="1"/>
  <c r="F172" i="57" s="1"/>
  <c r="G2498" i="57" a="1"/>
  <c r="G2498" i="57" s="1"/>
  <c r="F2498" i="57" a="1"/>
  <c r="F2498" i="57" s="1"/>
  <c r="G299" i="57" a="1"/>
  <c r="G299" i="57" s="1"/>
  <c r="F299" i="57" a="1"/>
  <c r="F299" i="57" s="1"/>
  <c r="G623" i="57" a="1"/>
  <c r="G623" i="57" s="1"/>
  <c r="F623" i="57" a="1"/>
  <c r="F623" i="57" s="1"/>
  <c r="G72" i="57" a="1"/>
  <c r="G72" i="57" s="1"/>
  <c r="F72" i="57" a="1"/>
  <c r="F72" i="57" s="1"/>
  <c r="G284" i="57" a="1"/>
  <c r="G284" i="57" s="1"/>
  <c r="F284" i="57" a="1"/>
  <c r="F284" i="57" s="1"/>
  <c r="G470" i="57" a="1"/>
  <c r="G470" i="57" s="1"/>
  <c r="F470" i="57" a="1"/>
  <c r="F470" i="57" s="1"/>
  <c r="G195" i="57" a="1"/>
  <c r="G195" i="57" s="1"/>
  <c r="F195" i="57" a="1"/>
  <c r="F195" i="57" s="1"/>
  <c r="G531" i="57" a="1"/>
  <c r="G531" i="57" s="1"/>
  <c r="F531" i="57" a="1"/>
  <c r="F531" i="57" s="1"/>
  <c r="G322" i="57" a="1"/>
  <c r="G322" i="57" s="1"/>
  <c r="F322" i="57" a="1"/>
  <c r="F322" i="57" s="1"/>
  <c r="G107" i="57" a="1"/>
  <c r="G107" i="57" s="1"/>
  <c r="F107" i="57" a="1"/>
  <c r="F107" i="57" s="1"/>
  <c r="G431" i="57" a="1"/>
  <c r="G431" i="57" s="1"/>
  <c r="F431" i="57" a="1"/>
  <c r="F431" i="57" s="1"/>
  <c r="G755" i="57" a="1"/>
  <c r="G755" i="57" s="1"/>
  <c r="F755" i="57" a="1"/>
  <c r="F755" i="57" s="1"/>
  <c r="G2482" i="57" a="1"/>
  <c r="G2482" i="57" s="1"/>
  <c r="F2482" i="57" a="1"/>
  <c r="F2482" i="57" s="1"/>
  <c r="G2508" i="57" a="1"/>
  <c r="G2508" i="57" s="1"/>
  <c r="F2508" i="57" a="1"/>
  <c r="F2508" i="57" s="1"/>
  <c r="G363" i="57" a="1"/>
  <c r="G363" i="57" s="1"/>
  <c r="F363" i="57" a="1"/>
  <c r="F363" i="57" s="1"/>
  <c r="G124" i="57" a="1"/>
  <c r="G124" i="57" s="1"/>
  <c r="F124" i="57" a="1"/>
  <c r="F124" i="57" s="1"/>
  <c r="G520" i="57" a="1"/>
  <c r="G520" i="57" s="1"/>
  <c r="F520" i="57" a="1"/>
  <c r="F520" i="57" s="1"/>
  <c r="G263" i="57" a="1"/>
  <c r="G263" i="57" s="1"/>
  <c r="F263" i="57" a="1"/>
  <c r="F263" i="57" s="1"/>
  <c r="G587" i="57" a="1"/>
  <c r="G587" i="57" s="1"/>
  <c r="F587" i="57" a="1"/>
  <c r="F587" i="57" s="1"/>
  <c r="G30" i="57" a="1"/>
  <c r="G30" i="57" s="1"/>
  <c r="F30" i="57" a="1"/>
  <c r="F30" i="57" s="1"/>
  <c r="G50" i="57" a="1"/>
  <c r="G50" i="57" s="1"/>
  <c r="F50" i="57" a="1"/>
  <c r="F50" i="57" s="1"/>
  <c r="G434" i="57" a="1"/>
  <c r="G434" i="57" s="1"/>
  <c r="F434" i="57" a="1"/>
  <c r="F434" i="57" s="1"/>
  <c r="G28" i="57" a="1"/>
  <c r="G28" i="57" s="1"/>
  <c r="F28" i="57" a="1"/>
  <c r="F28" i="57" s="1"/>
  <c r="G490" i="57" a="1"/>
  <c r="G490" i="57" s="1"/>
  <c r="F490" i="57" a="1"/>
  <c r="F490" i="57" s="1"/>
  <c r="G245" i="57" a="1"/>
  <c r="G245" i="57" s="1"/>
  <c r="F245" i="57" a="1"/>
  <c r="F245" i="57" s="1"/>
  <c r="G569" i="57" a="1"/>
  <c r="G569" i="57" s="1"/>
  <c r="F569" i="57" a="1"/>
  <c r="F569" i="57" s="1"/>
  <c r="G1450" i="57" a="1"/>
  <c r="G1450" i="57" s="1"/>
  <c r="F1450" i="57" a="1"/>
  <c r="F1450" i="57" s="1"/>
  <c r="G170" i="57" a="1"/>
  <c r="G170" i="57" s="1"/>
  <c r="F170" i="57" a="1"/>
  <c r="F170" i="57" s="1"/>
  <c r="G176" i="57" a="1"/>
  <c r="G176" i="57" s="1"/>
  <c r="F176" i="57" a="1"/>
  <c r="F176" i="57" s="1"/>
  <c r="G33" i="57" a="1"/>
  <c r="G33" i="57" s="1"/>
  <c r="F33" i="57" a="1"/>
  <c r="F33" i="57" s="1"/>
  <c r="G279" i="57" a="1"/>
  <c r="G279" i="57" s="1"/>
  <c r="F279" i="57" a="1"/>
  <c r="F279" i="57" s="1"/>
  <c r="G519" i="57" a="1"/>
  <c r="G519" i="57" s="1"/>
  <c r="F519" i="57" a="1"/>
  <c r="F519" i="57" s="1"/>
  <c r="G238" i="57" a="1"/>
  <c r="G238" i="57" s="1"/>
  <c r="F238" i="57" a="1"/>
  <c r="F238" i="57" s="1"/>
  <c r="G460" i="57" a="1"/>
  <c r="G460" i="57" s="1"/>
  <c r="F460" i="57" a="1"/>
  <c r="F460" i="57" s="1"/>
  <c r="F23" i="57" a="1"/>
  <c r="F23" i="57" s="1"/>
  <c r="G131" i="57" a="1"/>
  <c r="G131" i="57" s="1"/>
  <c r="F131" i="57" a="1"/>
  <c r="F131" i="57" s="1"/>
  <c r="G257" i="57" a="1"/>
  <c r="G257" i="57" s="1"/>
  <c r="F257" i="57" a="1"/>
  <c r="F257" i="57" s="1"/>
  <c r="G365" i="57" a="1"/>
  <c r="G365" i="57" s="1"/>
  <c r="F365" i="57" a="1"/>
  <c r="F365" i="57" s="1"/>
  <c r="G473" i="57" a="1"/>
  <c r="G473" i="57" s="1"/>
  <c r="F473" i="57" a="1"/>
  <c r="F473" i="57" s="1"/>
  <c r="G581" i="57" a="1"/>
  <c r="G581" i="57" s="1"/>
  <c r="F581" i="57" a="1"/>
  <c r="F581" i="57" s="1"/>
  <c r="G689" i="57" a="1"/>
  <c r="G689" i="57" s="1"/>
  <c r="F689" i="57" a="1"/>
  <c r="F689" i="57" s="1"/>
  <c r="G797" i="57" a="1"/>
  <c r="G797" i="57" s="1"/>
  <c r="F797" i="57" a="1"/>
  <c r="F797" i="57" s="1"/>
  <c r="F24" i="57" a="1"/>
  <c r="F24" i="57" s="1"/>
  <c r="G144" i="57" a="1"/>
  <c r="G144" i="57" s="1"/>
  <c r="F144" i="57" a="1"/>
  <c r="F144" i="57" s="1"/>
  <c r="G288" i="57" a="1"/>
  <c r="G288" i="57" s="1"/>
  <c r="F288" i="57" a="1"/>
  <c r="F288" i="57" s="1"/>
  <c r="G420" i="57" a="1"/>
  <c r="G420" i="57" s="1"/>
  <c r="F420" i="57" a="1"/>
  <c r="F420" i="57" s="1"/>
  <c r="G564" i="57" a="1"/>
  <c r="G564" i="57" s="1"/>
  <c r="F564" i="57" a="1"/>
  <c r="F564" i="57" s="1"/>
  <c r="G899" i="57" a="1"/>
  <c r="G899" i="57" s="1"/>
  <c r="F899" i="57" a="1"/>
  <c r="F899" i="57" s="1"/>
  <c r="G1007" i="57" a="1"/>
  <c r="G1007" i="57" s="1"/>
  <c r="F1007" i="57" a="1"/>
  <c r="F1007" i="57" s="1"/>
  <c r="G1115" i="57" a="1"/>
  <c r="G1115" i="57" s="1"/>
  <c r="F1115" i="57" a="1"/>
  <c r="F1115" i="57" s="1"/>
  <c r="G1223" i="57" a="1"/>
  <c r="G1223" i="57" s="1"/>
  <c r="F1223" i="57" a="1"/>
  <c r="F1223" i="57" s="1"/>
  <c r="G1337" i="57" a="1"/>
  <c r="G1337" i="57" s="1"/>
  <c r="F1337" i="57" a="1"/>
  <c r="F1337" i="57" s="1"/>
  <c r="G708" i="57" a="1"/>
  <c r="G708" i="57" s="1"/>
  <c r="F708" i="57" a="1"/>
  <c r="F708" i="57" s="1"/>
  <c r="G864" i="57" a="1"/>
  <c r="G864" i="57" s="1"/>
  <c r="F864" i="57" a="1"/>
  <c r="F864" i="57" s="1"/>
  <c r="G1002" i="57" a="1"/>
  <c r="G1002" i="57" s="1"/>
  <c r="F1002" i="57" a="1"/>
  <c r="F1002" i="57" s="1"/>
  <c r="G1134" i="57" a="1"/>
  <c r="G1134" i="57" s="1"/>
  <c r="F1134" i="57" a="1"/>
  <c r="F1134" i="57" s="1"/>
  <c r="G1260" i="57" a="1"/>
  <c r="G1260" i="57" s="1"/>
  <c r="F1260" i="57" a="1"/>
  <c r="F1260" i="57" s="1"/>
  <c r="G1398" i="57" a="1"/>
  <c r="G1398" i="57" s="1"/>
  <c r="F1398" i="57" a="1"/>
  <c r="F1398" i="57" s="1"/>
  <c r="G704" i="57" a="1"/>
  <c r="G704" i="57" s="1"/>
  <c r="F704" i="57" a="1"/>
  <c r="F704" i="57" s="1"/>
  <c r="G824" i="57" a="1"/>
  <c r="G824" i="57" s="1"/>
  <c r="F824" i="57" a="1"/>
  <c r="F824" i="57" s="1"/>
  <c r="G980" i="57" a="1"/>
  <c r="G980" i="57" s="1"/>
  <c r="F980" i="57" a="1"/>
  <c r="F980" i="57" s="1"/>
  <c r="G1142" i="57" a="1"/>
  <c r="G1142" i="57" s="1"/>
  <c r="F1142" i="57" a="1"/>
  <c r="F1142" i="57" s="1"/>
  <c r="G1304" i="57" a="1"/>
  <c r="G1304" i="57" s="1"/>
  <c r="F1304" i="57" a="1"/>
  <c r="F1304" i="57" s="1"/>
  <c r="G657" i="57" a="1"/>
  <c r="G657" i="57" s="1"/>
  <c r="F657" i="57" a="1"/>
  <c r="F657" i="57" s="1"/>
  <c r="G771" i="57" a="1"/>
  <c r="G771" i="57" s="1"/>
  <c r="F771" i="57" a="1"/>
  <c r="F771" i="57" s="1"/>
  <c r="G1047" i="57" a="1"/>
  <c r="G1047" i="57" s="1"/>
  <c r="F1047" i="57" a="1"/>
  <c r="F1047" i="57" s="1"/>
  <c r="G1389" i="57" a="1"/>
  <c r="G1389" i="57" s="1"/>
  <c r="F1389" i="57" a="1"/>
  <c r="F1389" i="57" s="1"/>
  <c r="G868" i="57" a="1"/>
  <c r="G868" i="57" s="1"/>
  <c r="F868" i="57" a="1"/>
  <c r="F868" i="57" s="1"/>
  <c r="G1234" i="57" a="1"/>
  <c r="G1234" i="57" s="1"/>
  <c r="F1234" i="57" a="1"/>
  <c r="F1234" i="57" s="1"/>
  <c r="G1515" i="57" a="1"/>
  <c r="G1515" i="57" s="1"/>
  <c r="F1515" i="57" a="1"/>
  <c r="F1515" i="57" s="1"/>
  <c r="G1821" i="57" a="1"/>
  <c r="G1821" i="57" s="1"/>
  <c r="F1821" i="57" a="1"/>
  <c r="F1821" i="57" s="1"/>
  <c r="G1630" i="57" a="1"/>
  <c r="G1630" i="57" s="1"/>
  <c r="F1630" i="57" a="1"/>
  <c r="F1630" i="57" s="1"/>
  <c r="G1942" i="57" a="1"/>
  <c r="G1942" i="57" s="1"/>
  <c r="F1942" i="57" a="1"/>
  <c r="F1942" i="57" s="1"/>
  <c r="G1937" i="57" a="1"/>
  <c r="G1937" i="57" s="1"/>
  <c r="F1937" i="57" a="1"/>
  <c r="F1937" i="57" s="1"/>
  <c r="G1952" i="57" a="1"/>
  <c r="G1952" i="57" s="1"/>
  <c r="F1952" i="57" a="1"/>
  <c r="F1952" i="57" s="1"/>
  <c r="G57" i="57" a="1"/>
  <c r="G57" i="57" s="1"/>
  <c r="F57" i="57" a="1"/>
  <c r="F57" i="57" s="1"/>
  <c r="G297" i="57" a="1"/>
  <c r="G297" i="57" s="1"/>
  <c r="F297" i="57" a="1"/>
  <c r="F297" i="57" s="1"/>
  <c r="G501" i="57" a="1"/>
  <c r="G501" i="57" s="1"/>
  <c r="F501" i="57" a="1"/>
  <c r="F501" i="57" s="1"/>
  <c r="G118" i="57" a="1"/>
  <c r="G118" i="57" s="1"/>
  <c r="F118" i="57" a="1"/>
  <c r="F118" i="57" s="1"/>
  <c r="G382" i="57" a="1"/>
  <c r="G382" i="57" s="1"/>
  <c r="F382" i="57" a="1"/>
  <c r="F382" i="57" s="1"/>
  <c r="G963" i="57" a="1"/>
  <c r="G963" i="57" s="1"/>
  <c r="F963" i="57" a="1"/>
  <c r="F963" i="57" s="1"/>
  <c r="G1293" i="57" a="1"/>
  <c r="G1293" i="57" s="1"/>
  <c r="F1293" i="57" a="1"/>
  <c r="F1293" i="57" s="1"/>
  <c r="G778" i="57" a="1"/>
  <c r="G778" i="57" s="1"/>
  <c r="F778" i="57" a="1"/>
  <c r="F778" i="57" s="1"/>
  <c r="G1144" i="57" a="1"/>
  <c r="G1144" i="57" s="1"/>
  <c r="F1144" i="57" a="1"/>
  <c r="F1144" i="57" s="1"/>
  <c r="G1427" i="57" a="1"/>
  <c r="G1427" i="57" s="1"/>
  <c r="F1427" i="57" a="1"/>
  <c r="F1427" i="57" s="1"/>
  <c r="G1731" i="57" a="1"/>
  <c r="G1731" i="57" s="1"/>
  <c r="F1731" i="57" a="1"/>
  <c r="F1731" i="57" s="1"/>
  <c r="G1534" i="57" a="1"/>
  <c r="G1534" i="57" s="1"/>
  <c r="F1534" i="57" a="1"/>
  <c r="F1534" i="57" s="1"/>
  <c r="G1846" i="57" a="1"/>
  <c r="G1846" i="57" s="1"/>
  <c r="F1846" i="57" a="1"/>
  <c r="F1846" i="57" s="1"/>
  <c r="G1793" i="57" a="1"/>
  <c r="G1793" i="57" s="1"/>
  <c r="F1793" i="57" a="1"/>
  <c r="F1793" i="57" s="1"/>
  <c r="G1808" i="57" a="1"/>
  <c r="G1808" i="57" s="1"/>
  <c r="F1808" i="57" a="1"/>
  <c r="F1808" i="57" s="1"/>
  <c r="G492" i="57" a="1"/>
  <c r="G492" i="57" s="1"/>
  <c r="F492" i="57" a="1"/>
  <c r="F492" i="57" s="1"/>
  <c r="G977" i="57" a="1"/>
  <c r="G977" i="57" s="1"/>
  <c r="F977" i="57" a="1"/>
  <c r="F977" i="57" s="1"/>
  <c r="G1121" i="57" a="1"/>
  <c r="G1121" i="57" s="1"/>
  <c r="F1121" i="57" a="1"/>
  <c r="F1121" i="57" s="1"/>
  <c r="G1229" i="57" a="1"/>
  <c r="G1229" i="57" s="1"/>
  <c r="F1229" i="57" a="1"/>
  <c r="F1229" i="57" s="1"/>
  <c r="G1343" i="57" a="1"/>
  <c r="G1343" i="57" s="1"/>
  <c r="F1343" i="57" a="1"/>
  <c r="F1343" i="57" s="1"/>
  <c r="G720" i="57" a="1"/>
  <c r="G720" i="57" s="1"/>
  <c r="F720" i="57" a="1"/>
  <c r="F720" i="57" s="1"/>
  <c r="G876" i="57" a="1"/>
  <c r="G876" i="57" s="1"/>
  <c r="F876" i="57" a="1"/>
  <c r="F876" i="57" s="1"/>
  <c r="G1032" i="57" a="1"/>
  <c r="G1032" i="57" s="1"/>
  <c r="F1032" i="57" a="1"/>
  <c r="F1032" i="57" s="1"/>
  <c r="G1158" i="57" a="1"/>
  <c r="G1158" i="57" s="1"/>
  <c r="F1158" i="57" a="1"/>
  <c r="F1158" i="57" s="1"/>
  <c r="G1284" i="57" a="1"/>
  <c r="G1284" i="57" s="1"/>
  <c r="F1284" i="57" a="1"/>
  <c r="F1284" i="57" s="1"/>
  <c r="G608" i="57" a="1"/>
  <c r="G608" i="57" s="1"/>
  <c r="F608" i="57" a="1"/>
  <c r="F608" i="57" s="1"/>
  <c r="G728" i="57" a="1"/>
  <c r="G728" i="57" s="1"/>
  <c r="F728" i="57" a="1"/>
  <c r="F728" i="57" s="1"/>
  <c r="G854" i="57" a="1"/>
  <c r="G854" i="57" s="1"/>
  <c r="F854" i="57" a="1"/>
  <c r="F854" i="57" s="1"/>
  <c r="G1016" i="57" a="1"/>
  <c r="G1016" i="57" s="1"/>
  <c r="F1016" i="57" a="1"/>
  <c r="F1016" i="57" s="1"/>
  <c r="G1178" i="57" a="1"/>
  <c r="G1178" i="57" s="1"/>
  <c r="F1178" i="57" a="1"/>
  <c r="F1178" i="57" s="1"/>
  <c r="G1340" i="57" a="1"/>
  <c r="G1340" i="57" s="1"/>
  <c r="F1340" i="57" a="1"/>
  <c r="F1340" i="57" s="1"/>
  <c r="G681" i="57" a="1"/>
  <c r="G681" i="57" s="1"/>
  <c r="F681" i="57" a="1"/>
  <c r="F681" i="57" s="1"/>
  <c r="G801" i="57" a="1"/>
  <c r="G801" i="57" s="1"/>
  <c r="F801" i="57" a="1"/>
  <c r="F801" i="57" s="1"/>
  <c r="G1119" i="57" a="1"/>
  <c r="G1119" i="57" s="1"/>
  <c r="F1119" i="57" a="1"/>
  <c r="F1119" i="57" s="1"/>
  <c r="G574" i="57" a="1"/>
  <c r="G574" i="57" s="1"/>
  <c r="F574" i="57" a="1"/>
  <c r="F574" i="57" s="1"/>
  <c r="G958" i="57" a="1"/>
  <c r="G958" i="57" s="1"/>
  <c r="F958" i="57" a="1"/>
  <c r="F958" i="57" s="1"/>
  <c r="G1318" i="57" a="1"/>
  <c r="G1318" i="57" s="1"/>
  <c r="F1318" i="57" a="1"/>
  <c r="F1318" i="57" s="1"/>
  <c r="G1581" i="57" a="1"/>
  <c r="G1581" i="57" s="1"/>
  <c r="F1581" i="57" a="1"/>
  <c r="F1581" i="57" s="1"/>
  <c r="G1887" i="57" a="1"/>
  <c r="G1887" i="57" s="1"/>
  <c r="F1887" i="57" a="1"/>
  <c r="F1887" i="57" s="1"/>
  <c r="G1702" i="57" a="1"/>
  <c r="G1702" i="57" s="1"/>
  <c r="F1702" i="57" a="1"/>
  <c r="F1702" i="57" s="1"/>
  <c r="G1541" i="57" a="1"/>
  <c r="G1541" i="57" s="1"/>
  <c r="F1541" i="57" a="1"/>
  <c r="F1541" i="57" s="1"/>
  <c r="G1556" i="57" a="1"/>
  <c r="G1556" i="57" s="1"/>
  <c r="F1556" i="57" a="1"/>
  <c r="F1556" i="57" s="1"/>
  <c r="G270" i="57" a="1"/>
  <c r="G270" i="57" s="1"/>
  <c r="F270" i="57" a="1"/>
  <c r="F270" i="57" s="1"/>
  <c r="G510" i="57" a="1"/>
  <c r="G510" i="57" s="1"/>
  <c r="F510" i="57" a="1"/>
  <c r="F510" i="57" s="1"/>
  <c r="G923" i="57" a="1"/>
  <c r="G923" i="57" s="1"/>
  <c r="F923" i="57" a="1"/>
  <c r="F923" i="57" s="1"/>
  <c r="G921" i="57" a="1"/>
  <c r="G921" i="57" s="1"/>
  <c r="F921" i="57" a="1"/>
  <c r="F921" i="57" s="1"/>
  <c r="G1257" i="57" a="1"/>
  <c r="G1257" i="57" s="1"/>
  <c r="F1257" i="57" a="1"/>
  <c r="F1257" i="57" s="1"/>
  <c r="G730" i="57" a="1"/>
  <c r="G730" i="57" s="1"/>
  <c r="F730" i="57" a="1"/>
  <c r="F730" i="57" s="1"/>
  <c r="G1102" i="57" a="1"/>
  <c r="G1102" i="57" s="1"/>
  <c r="F1102" i="57" a="1"/>
  <c r="F1102" i="57" s="1"/>
  <c r="G1367" i="57" a="1"/>
  <c r="G1367" i="57" s="1"/>
  <c r="F1367" i="57" a="1"/>
  <c r="F1367" i="57" s="1"/>
  <c r="G1695" i="57" a="1"/>
  <c r="G1695" i="57" s="1"/>
  <c r="F1695" i="57" a="1"/>
  <c r="F1695" i="57" s="1"/>
  <c r="G1498" i="57" a="1"/>
  <c r="G1498" i="57" s="1"/>
  <c r="F1498" i="57" a="1"/>
  <c r="F1498" i="57" s="1"/>
  <c r="G1810" i="57" a="1"/>
  <c r="G1810" i="57" s="1"/>
  <c r="F1810" i="57" a="1"/>
  <c r="F1810" i="57" s="1"/>
  <c r="G1721" i="57" a="1"/>
  <c r="G1721" i="57" s="1"/>
  <c r="F1721" i="57" a="1"/>
  <c r="F1721" i="57" s="1"/>
  <c r="G1736" i="57" a="1"/>
  <c r="G1736" i="57" s="1"/>
  <c r="F1736" i="57" a="1"/>
  <c r="F1736" i="57" s="1"/>
  <c r="G318" i="57" a="1"/>
  <c r="G318" i="57" s="1"/>
  <c r="F318" i="57" a="1"/>
  <c r="F318" i="57" s="1"/>
  <c r="G875" i="57" a="1"/>
  <c r="G875" i="57" s="1"/>
  <c r="F875" i="57" a="1"/>
  <c r="F875" i="57" s="1"/>
  <c r="G1019" i="57" a="1"/>
  <c r="G1019" i="57" s="1"/>
  <c r="F1019" i="57" a="1"/>
  <c r="F1019" i="57" s="1"/>
  <c r="G1127" i="57" a="1"/>
  <c r="G1127" i="57" s="1"/>
  <c r="F1127" i="57" a="1"/>
  <c r="F1127" i="57" s="1"/>
  <c r="G1235" i="57" a="1"/>
  <c r="G1235" i="57" s="1"/>
  <c r="F1235" i="57" a="1"/>
  <c r="F1235" i="57" s="1"/>
  <c r="G1349" i="57" a="1"/>
  <c r="G1349" i="57" s="1"/>
  <c r="F1349" i="57" a="1"/>
  <c r="F1349" i="57" s="1"/>
  <c r="G732" i="57" a="1"/>
  <c r="G732" i="57" s="1"/>
  <c r="F732" i="57" a="1"/>
  <c r="F732" i="57" s="1"/>
  <c r="G912" i="57" a="1"/>
  <c r="G912" i="57" s="1"/>
  <c r="F912" i="57" a="1"/>
  <c r="F912" i="57" s="1"/>
  <c r="G1038" i="57" a="1"/>
  <c r="G1038" i="57" s="1"/>
  <c r="F1038" i="57" a="1"/>
  <c r="F1038" i="57" s="1"/>
  <c r="G1164" i="57" a="1"/>
  <c r="G1164" i="57" s="1"/>
  <c r="F1164" i="57" a="1"/>
  <c r="F1164" i="57" s="1"/>
  <c r="G1290" i="57" a="1"/>
  <c r="G1290" i="57" s="1"/>
  <c r="F1290" i="57" a="1"/>
  <c r="F1290" i="57" s="1"/>
  <c r="G614" i="57" a="1"/>
  <c r="G614" i="57" s="1"/>
  <c r="F614" i="57" a="1"/>
  <c r="F614" i="57" s="1"/>
  <c r="G734" i="57" a="1"/>
  <c r="G734" i="57" s="1"/>
  <c r="F734" i="57" a="1"/>
  <c r="F734" i="57" s="1"/>
  <c r="G860" i="57" a="1"/>
  <c r="G860" i="57" s="1"/>
  <c r="F860" i="57" a="1"/>
  <c r="F860" i="57" s="1"/>
  <c r="G1022" i="57" a="1"/>
  <c r="G1022" i="57" s="1"/>
  <c r="F1022" i="57" a="1"/>
  <c r="F1022" i="57" s="1"/>
  <c r="G1184" i="57" a="1"/>
  <c r="G1184" i="57" s="1"/>
  <c r="F1184" i="57" a="1"/>
  <c r="F1184" i="57" s="1"/>
  <c r="G1346" i="57" a="1"/>
  <c r="G1346" i="57" s="1"/>
  <c r="F1346" i="57" a="1"/>
  <c r="F1346" i="57" s="1"/>
  <c r="G687" i="57" a="1"/>
  <c r="G687" i="57" s="1"/>
  <c r="F687" i="57" a="1"/>
  <c r="F687" i="57" s="1"/>
  <c r="G807" i="57" a="1"/>
  <c r="G807" i="57" s="1"/>
  <c r="F807" i="57" a="1"/>
  <c r="F807" i="57" s="1"/>
  <c r="G1125" i="57" a="1"/>
  <c r="G1125" i="57" s="1"/>
  <c r="F1125" i="57" a="1"/>
  <c r="F1125" i="57" s="1"/>
  <c r="G580" i="57" a="1"/>
  <c r="G580" i="57" s="1"/>
  <c r="F580" i="57" a="1"/>
  <c r="F580" i="57" s="1"/>
  <c r="G964" i="57" a="1"/>
  <c r="G964" i="57" s="1"/>
  <c r="F964" i="57" a="1"/>
  <c r="F964" i="57" s="1"/>
  <c r="G1324" i="57" a="1"/>
  <c r="G1324" i="57" s="1"/>
  <c r="F1324" i="57" a="1"/>
  <c r="F1324" i="57" s="1"/>
  <c r="G1599" i="57" a="1"/>
  <c r="G1599" i="57" s="1"/>
  <c r="F1599" i="57" a="1"/>
  <c r="F1599" i="57" s="1"/>
  <c r="G1911" i="57" a="1"/>
  <c r="G1911" i="57" s="1"/>
  <c r="F1911" i="57" a="1"/>
  <c r="F1911" i="57" s="1"/>
  <c r="G1714" i="57" a="1"/>
  <c r="G1714" i="57" s="1"/>
  <c r="F1714" i="57" a="1"/>
  <c r="F1714" i="57" s="1"/>
  <c r="G1577" i="57" a="1"/>
  <c r="G1577" i="57" s="1"/>
  <c r="F1577" i="57" a="1"/>
  <c r="F1577" i="57" s="1"/>
  <c r="G1592" i="57" a="1"/>
  <c r="G1592" i="57" s="1"/>
  <c r="F1592" i="57" a="1"/>
  <c r="F1592" i="57" s="1"/>
  <c r="G138" i="57" a="1"/>
  <c r="G138" i="57" s="1"/>
  <c r="F138" i="57" a="1"/>
  <c r="F138" i="57" s="1"/>
  <c r="G360" i="57" a="1"/>
  <c r="G360" i="57" s="1"/>
  <c r="F360" i="57" a="1"/>
  <c r="F360" i="57" s="1"/>
  <c r="G576" i="57" a="1"/>
  <c r="G576" i="57" s="1"/>
  <c r="F576" i="57" a="1"/>
  <c r="F576" i="57" s="1"/>
  <c r="G879" i="57" a="1"/>
  <c r="G879" i="57" s="1"/>
  <c r="F879" i="57" a="1"/>
  <c r="F879" i="57" s="1"/>
  <c r="G1215" i="57" a="1"/>
  <c r="G1215" i="57" s="1"/>
  <c r="F1215" i="57" a="1"/>
  <c r="F1215" i="57" s="1"/>
  <c r="G688" i="57" a="1"/>
  <c r="G688" i="57" s="1"/>
  <c r="F688" i="57" a="1"/>
  <c r="F688" i="57" s="1"/>
  <c r="G1060" i="57" a="1"/>
  <c r="G1060" i="57" s="1"/>
  <c r="F1060" i="57" a="1"/>
  <c r="F1060" i="57" s="1"/>
  <c r="G1426" i="57" a="1"/>
  <c r="G1426" i="57" s="1"/>
  <c r="F1426" i="57" a="1"/>
  <c r="F1426" i="57" s="1"/>
  <c r="G1659" i="57" a="1"/>
  <c r="G1659" i="57" s="1"/>
  <c r="F1659" i="57" a="1"/>
  <c r="F1659" i="57" s="1"/>
  <c r="G1462" i="57" a="1"/>
  <c r="G1462" i="57" s="1"/>
  <c r="F1462" i="57" a="1"/>
  <c r="F1462" i="57" s="1"/>
  <c r="G1774" i="57" a="1"/>
  <c r="G1774" i="57" s="1"/>
  <c r="F1774" i="57" a="1"/>
  <c r="F1774" i="57" s="1"/>
  <c r="G1667" i="57" a="1"/>
  <c r="G1667" i="57" s="1"/>
  <c r="F1667" i="57" a="1"/>
  <c r="F1667" i="57" s="1"/>
  <c r="G1688" i="57" a="1"/>
  <c r="G1688" i="57" s="1"/>
  <c r="F1688" i="57" a="1"/>
  <c r="F1688" i="57" s="1"/>
  <c r="G849" i="57" a="1"/>
  <c r="G849" i="57" s="1"/>
  <c r="F849" i="57" a="1"/>
  <c r="F849" i="57" s="1"/>
  <c r="G969" i="57" a="1"/>
  <c r="G969" i="57" s="1"/>
  <c r="F969" i="57" a="1"/>
  <c r="F969" i="57" s="1"/>
  <c r="G1077" i="57" a="1"/>
  <c r="G1077" i="57" s="1"/>
  <c r="F1077" i="57" a="1"/>
  <c r="F1077" i="57" s="1"/>
  <c r="G1185" i="57" a="1"/>
  <c r="G1185" i="57" s="1"/>
  <c r="F1185" i="57" a="1"/>
  <c r="F1185" i="57" s="1"/>
  <c r="G1299" i="57" a="1"/>
  <c r="G1299" i="57" s="1"/>
  <c r="F1299" i="57" a="1"/>
  <c r="F1299" i="57" s="1"/>
  <c r="G1419" i="57" a="1"/>
  <c r="G1419" i="57" s="1"/>
  <c r="F1419" i="57" a="1"/>
  <c r="F1419" i="57" s="1"/>
  <c r="G658" i="57" a="1"/>
  <c r="G658" i="57" s="1"/>
  <c r="F658" i="57" a="1"/>
  <c r="F658" i="57" s="1"/>
  <c r="G790" i="57" a="1"/>
  <c r="G790" i="57" s="1"/>
  <c r="F790" i="57" a="1"/>
  <c r="F790" i="57" s="1"/>
  <c r="G904" i="57" a="1"/>
  <c r="G904" i="57" s="1"/>
  <c r="F904" i="57" a="1"/>
  <c r="F904" i="57" s="1"/>
  <c r="G1024" i="57" a="1"/>
  <c r="G1024" i="57" s="1"/>
  <c r="F1024" i="57" a="1"/>
  <c r="F1024" i="57" s="1"/>
  <c r="G1150" i="57" a="1"/>
  <c r="G1150" i="57" s="1"/>
  <c r="F1150" i="57" a="1"/>
  <c r="F1150" i="57" s="1"/>
  <c r="G1270" i="57" a="1"/>
  <c r="G1270" i="57" s="1"/>
  <c r="F1270" i="57" a="1"/>
  <c r="F1270" i="57" s="1"/>
  <c r="G1396" i="57" a="1"/>
  <c r="G1396" i="57" s="1"/>
  <c r="F1396" i="57" a="1"/>
  <c r="F1396" i="57" s="1"/>
  <c r="G1439" i="57" a="1"/>
  <c r="G1439" i="57" s="1"/>
  <c r="F1439" i="57" a="1"/>
  <c r="F1439" i="57" s="1"/>
  <c r="G1635" i="57" a="1"/>
  <c r="G1635" i="57" s="1"/>
  <c r="F1635" i="57" a="1"/>
  <c r="F1635" i="57" s="1"/>
  <c r="G1893" i="57" a="1"/>
  <c r="G1893" i="57" s="1"/>
  <c r="F1893" i="57" a="1"/>
  <c r="F1893" i="57" s="1"/>
  <c r="G1654" i="57" a="1"/>
  <c r="G1654" i="57" s="1"/>
  <c r="F1654" i="57" a="1"/>
  <c r="F1654" i="57" s="1"/>
  <c r="G1912" i="57" a="1"/>
  <c r="G1912" i="57" s="1"/>
  <c r="F1912" i="57" a="1"/>
  <c r="F1912" i="57" s="1"/>
  <c r="G1655" i="57" a="1"/>
  <c r="G1655" i="57" s="1"/>
  <c r="F1655" i="57" a="1"/>
  <c r="F1655" i="57" s="1"/>
  <c r="G1913" i="57" a="1"/>
  <c r="G1913" i="57" s="1"/>
  <c r="F1913" i="57" a="1"/>
  <c r="F1913" i="57" s="1"/>
  <c r="G1670" i="57" a="1"/>
  <c r="G1670" i="57" s="1"/>
  <c r="F1670" i="57" a="1"/>
  <c r="F1670" i="57" s="1"/>
  <c r="G1934" i="57" a="1"/>
  <c r="G1934" i="57" s="1"/>
  <c r="F1934" i="57" a="1"/>
  <c r="F1934" i="57" s="1"/>
  <c r="G2193" i="57" a="1"/>
  <c r="G2193" i="57" s="1"/>
  <c r="F2193" i="57" a="1"/>
  <c r="F2193" i="57" s="1"/>
  <c r="G2463" i="57" a="1"/>
  <c r="G2463" i="57" s="1"/>
  <c r="F2463" i="57" a="1"/>
  <c r="F2463" i="57" s="1"/>
  <c r="G2266" i="57" a="1"/>
  <c r="G2266" i="57" s="1"/>
  <c r="F2266" i="57" a="1"/>
  <c r="F2266" i="57" s="1"/>
  <c r="G2099" i="57" a="1"/>
  <c r="G2099" i="57" s="1"/>
  <c r="F2099" i="57" a="1"/>
  <c r="F2099" i="57" s="1"/>
  <c r="G1958" i="57" a="1"/>
  <c r="G1958" i="57" s="1"/>
  <c r="F1958" i="57" a="1"/>
  <c r="F1958" i="57" s="1"/>
  <c r="G2270" i="57" a="1"/>
  <c r="G2270" i="57" s="1"/>
  <c r="F2270" i="57" a="1"/>
  <c r="F2270" i="57" s="1"/>
  <c r="G199" i="57" a="1"/>
  <c r="G199" i="57" s="1"/>
  <c r="F199" i="57" a="1"/>
  <c r="F199" i="57" s="1"/>
  <c r="G1560" i="57" a="1"/>
  <c r="G1560" i="57" s="1"/>
  <c r="F1560" i="57" a="1"/>
  <c r="F1560" i="57" s="1"/>
  <c r="G391" i="57" a="1"/>
  <c r="G391" i="57" s="1"/>
  <c r="F391" i="57" a="1"/>
  <c r="F391" i="57" s="1"/>
  <c r="G2203" i="57" a="1"/>
  <c r="G2203" i="57" s="1"/>
  <c r="F2203" i="57" a="1"/>
  <c r="F2203" i="57" s="1"/>
  <c r="G2199" i="57" a="1"/>
  <c r="G2199" i="57" s="1"/>
  <c r="F2199" i="57" a="1"/>
  <c r="F2199" i="57" s="1"/>
  <c r="G1960" i="57" a="1"/>
  <c r="G1960" i="57" s="1"/>
  <c r="F1960" i="57" a="1"/>
  <c r="F1960" i="57" s="1"/>
  <c r="G2272" i="57" a="1"/>
  <c r="G2272" i="57" s="1"/>
  <c r="F2272" i="57" a="1"/>
  <c r="F2272" i="57" s="1"/>
  <c r="G2117" i="57" a="1"/>
  <c r="G2117" i="57" s="1"/>
  <c r="F2117" i="57" a="1"/>
  <c r="F2117" i="57" s="1"/>
  <c r="G1964" i="57" a="1"/>
  <c r="G1964" i="57" s="1"/>
  <c r="F1964" i="57" a="1"/>
  <c r="F1964" i="57" s="1"/>
  <c r="G2276" i="57" a="1"/>
  <c r="G2276" i="57" s="1"/>
  <c r="F2276" i="57" a="1"/>
  <c r="F2276" i="57" s="1"/>
  <c r="G205" i="57" a="1"/>
  <c r="G205" i="57" s="1"/>
  <c r="F205" i="57" a="1"/>
  <c r="F205" i="57" s="1"/>
  <c r="G1566" i="57" a="1"/>
  <c r="G1566" i="57" s="1"/>
  <c r="F1566" i="57" a="1"/>
  <c r="F1566" i="57" s="1"/>
  <c r="G433" i="57" a="1"/>
  <c r="G433" i="57" s="1"/>
  <c r="F433" i="57" a="1"/>
  <c r="F433" i="57" s="1"/>
  <c r="G432" i="57" a="1"/>
  <c r="G432" i="57" s="1"/>
  <c r="F432" i="57" a="1"/>
  <c r="F432" i="57" s="1"/>
  <c r="G2247" i="57" a="1"/>
  <c r="G2247" i="57" s="1"/>
  <c r="F2247" i="57" a="1"/>
  <c r="F2247" i="57" s="1"/>
  <c r="G2026" i="57" a="1"/>
  <c r="G2026" i="57" s="1"/>
  <c r="F2026" i="57" a="1"/>
  <c r="F2026" i="57" s="1"/>
  <c r="G2338" i="57" a="1"/>
  <c r="G2338" i="57" s="1"/>
  <c r="F2338" i="57" a="1"/>
  <c r="F2338" i="57" s="1"/>
  <c r="G2171" i="57" a="1"/>
  <c r="G2171" i="57" s="1"/>
  <c r="F2171" i="57" a="1"/>
  <c r="F2171" i="57" s="1"/>
  <c r="G2024" i="57" a="1"/>
  <c r="G2024" i="57" s="1"/>
  <c r="F2024" i="57" a="1"/>
  <c r="F2024" i="57" s="1"/>
  <c r="G2348" i="57" a="1"/>
  <c r="G2348" i="57" s="1"/>
  <c r="F2348" i="57" a="1"/>
  <c r="F2348" i="57" s="1"/>
  <c r="G1452" i="57" a="1"/>
  <c r="G1452" i="57" s="1"/>
  <c r="F1452" i="57" a="1"/>
  <c r="F1452" i="57" s="1"/>
  <c r="G1644" i="57" a="1"/>
  <c r="G1644" i="57" s="1"/>
  <c r="F1644" i="57" a="1"/>
  <c r="F1644" i="57" s="1"/>
  <c r="G1028" i="57" a="1"/>
  <c r="G1028" i="57" s="1"/>
  <c r="F1028" i="57" a="1"/>
  <c r="F1028" i="57" s="1"/>
  <c r="G1207" i="57" a="1"/>
  <c r="G1207" i="57" s="1"/>
  <c r="F1207" i="57" a="1"/>
  <c r="F1207" i="57" s="1"/>
  <c r="G2301" i="57" a="1"/>
  <c r="G2301" i="57" s="1"/>
  <c r="F2301" i="57" a="1"/>
  <c r="F2301" i="57" s="1"/>
  <c r="G2086" i="57" a="1"/>
  <c r="G2086" i="57" s="1"/>
  <c r="F2086" i="57" a="1"/>
  <c r="F2086" i="57" s="1"/>
  <c r="G2392" i="57" a="1"/>
  <c r="G2392" i="57" s="1"/>
  <c r="F2392" i="57" a="1"/>
  <c r="F2392" i="57" s="1"/>
  <c r="G2231" i="57" a="1"/>
  <c r="G2231" i="57" s="1"/>
  <c r="F2231" i="57" a="1"/>
  <c r="F2231" i="57" s="1"/>
  <c r="G2090" i="57" a="1"/>
  <c r="G2090" i="57" s="1"/>
  <c r="F2090" i="57" a="1"/>
  <c r="F2090" i="57" s="1"/>
  <c r="G2414" i="57" a="1"/>
  <c r="G2414" i="57" s="1"/>
  <c r="F2414" i="57" a="1"/>
  <c r="F2414" i="57" s="1"/>
  <c r="G236" i="57" a="1"/>
  <c r="G236" i="57" s="1"/>
  <c r="F236" i="57" a="1"/>
  <c r="F236" i="57" s="1"/>
  <c r="G1710" i="57" a="1"/>
  <c r="G1710" i="57" s="1"/>
  <c r="F1710" i="57" a="1"/>
  <c r="F1710" i="57" s="1"/>
  <c r="G2052" i="57" a="1"/>
  <c r="G2052" i="57" s="1"/>
  <c r="F2052" i="57" a="1"/>
  <c r="F2052" i="57" s="1"/>
  <c r="G1469" i="57" a="1"/>
  <c r="G1469" i="57" s="1"/>
  <c r="F1469" i="57" a="1"/>
  <c r="F1469" i="57" s="1"/>
  <c r="G1727" i="57" a="1"/>
  <c r="G1727" i="57" s="1"/>
  <c r="F1727" i="57" a="1"/>
  <c r="F1727" i="57" s="1"/>
  <c r="G1484" i="57" a="1"/>
  <c r="G1484" i="57" s="1"/>
  <c r="F1484" i="57" a="1"/>
  <c r="F1484" i="57" s="1"/>
  <c r="G1742" i="57" a="1"/>
  <c r="G1742" i="57" s="1"/>
  <c r="F1742" i="57" a="1"/>
  <c r="F1742" i="57" s="1"/>
  <c r="G2007" i="57" a="1"/>
  <c r="G2007" i="57" s="1"/>
  <c r="F2007" i="57" a="1"/>
  <c r="F2007" i="57" s="1"/>
  <c r="G2265" i="57" a="1"/>
  <c r="G2265" i="57" s="1"/>
  <c r="F2265" i="57" a="1"/>
  <c r="F2265" i="57" s="1"/>
  <c r="G2038" i="57" a="1"/>
  <c r="G2038" i="57" s="1"/>
  <c r="F2038" i="57" a="1"/>
  <c r="F2038" i="57" s="1"/>
  <c r="G2350" i="57" a="1"/>
  <c r="G2350" i="57" s="1"/>
  <c r="F2350" i="57" a="1"/>
  <c r="F2350" i="57" s="1"/>
  <c r="G2189" i="57" a="1"/>
  <c r="G2189" i="57" s="1"/>
  <c r="F2189" i="57" a="1"/>
  <c r="F2189" i="57" s="1"/>
  <c r="G2042" i="57" a="1"/>
  <c r="G2042" i="57" s="1"/>
  <c r="F2042" i="57" a="1"/>
  <c r="F2042" i="57" s="1"/>
  <c r="G2360" i="57" a="1"/>
  <c r="G2360" i="57" s="1"/>
  <c r="F2360" i="57" a="1"/>
  <c r="F2360" i="57" s="1"/>
  <c r="G62" i="57" a="1"/>
  <c r="G62" i="57" s="1"/>
  <c r="F62" i="57" a="1"/>
  <c r="F62" i="57" s="1"/>
  <c r="G1662" i="57" a="1"/>
  <c r="G1662" i="57" s="1"/>
  <c r="F1662" i="57" a="1"/>
  <c r="F1662" i="57" s="1"/>
  <c r="G1280" i="57" a="1"/>
  <c r="G1280" i="57" s="1"/>
  <c r="F1280" i="57" a="1"/>
  <c r="F1280" i="57" s="1"/>
  <c r="G1441" i="57" a="1"/>
  <c r="G1441" i="57" s="1"/>
  <c r="F1441" i="57" a="1"/>
  <c r="F1441" i="57" s="1"/>
  <c r="G1649" i="57" a="1"/>
  <c r="G1649" i="57" s="1"/>
  <c r="F1649" i="57" a="1"/>
  <c r="F1649" i="57" s="1"/>
  <c r="G1907" i="57" a="1"/>
  <c r="G1907" i="57" s="1"/>
  <c r="F1907" i="57" a="1"/>
  <c r="F1907" i="57" s="1"/>
  <c r="G1664" i="57" a="1"/>
  <c r="G1664" i="57" s="1"/>
  <c r="F1664" i="57" a="1"/>
  <c r="F1664" i="57" s="1"/>
  <c r="G1922" i="57" a="1"/>
  <c r="G1922" i="57" s="1"/>
  <c r="F1922" i="57" a="1"/>
  <c r="F1922" i="57" s="1"/>
  <c r="G2187" i="57" a="1"/>
  <c r="G2187" i="57" s="1"/>
  <c r="F2187" i="57" a="1"/>
  <c r="F2187" i="57" s="1"/>
  <c r="G2457" i="57" a="1"/>
  <c r="G2457" i="57" s="1"/>
  <c r="F2457" i="57" a="1"/>
  <c r="F2457" i="57" s="1"/>
  <c r="G2254" i="57" a="1"/>
  <c r="G2254" i="57" s="1"/>
  <c r="F2254" i="57" a="1"/>
  <c r="F2254" i="57" s="1"/>
  <c r="G2093" i="57" a="1"/>
  <c r="G2093" i="57" s="1"/>
  <c r="F2093" i="57" a="1"/>
  <c r="F2093" i="57" s="1"/>
  <c r="G2405" i="57" a="1"/>
  <c r="G2405" i="57" s="1"/>
  <c r="F2405" i="57" a="1"/>
  <c r="F2405" i="57" s="1"/>
  <c r="G2258" i="57" a="1"/>
  <c r="G2258" i="57" s="1"/>
  <c r="F2258" i="57" a="1"/>
  <c r="F2258" i="57" s="1"/>
  <c r="G181" i="57" a="1"/>
  <c r="G181" i="57" s="1"/>
  <c r="F181" i="57" a="1"/>
  <c r="F181" i="57" s="1"/>
  <c r="G1536" i="57" a="1"/>
  <c r="G1536" i="57" s="1"/>
  <c r="F1536" i="57" a="1"/>
  <c r="F1536" i="57" s="1"/>
  <c r="G349" i="57" a="1"/>
  <c r="G349" i="57" s="1"/>
  <c r="F349" i="57" a="1"/>
  <c r="F349" i="57" s="1"/>
  <c r="G2143" i="57" a="1"/>
  <c r="G2143" i="57" s="1"/>
  <c r="F2143" i="57" a="1"/>
  <c r="F2143" i="57" s="1"/>
  <c r="G1575" i="57" a="1"/>
  <c r="G1575" i="57" s="1"/>
  <c r="F1575" i="57" a="1"/>
  <c r="F1575" i="57" s="1"/>
  <c r="G1791" i="57" a="1"/>
  <c r="G1791" i="57" s="1"/>
  <c r="F1791" i="57" a="1"/>
  <c r="F1791" i="57" s="1"/>
  <c r="G1504" i="57" a="1"/>
  <c r="G1504" i="57" s="1"/>
  <c r="F1504" i="57" a="1"/>
  <c r="F1504" i="57" s="1"/>
  <c r="G1720" i="57" a="1"/>
  <c r="G1720" i="57" s="1"/>
  <c r="F1720" i="57" a="1"/>
  <c r="F1720" i="57" s="1"/>
  <c r="G1936" i="57" a="1"/>
  <c r="G1936" i="57" s="1"/>
  <c r="F1936" i="57" a="1"/>
  <c r="F1936" i="57" s="1"/>
  <c r="G1637" i="57" a="1"/>
  <c r="G1637" i="57" s="1"/>
  <c r="F1637" i="57" a="1"/>
  <c r="F1637" i="57" s="1"/>
  <c r="G1853" i="57" a="1"/>
  <c r="G1853" i="57" s="1"/>
  <c r="F1853" i="57" a="1"/>
  <c r="F1853" i="57" s="1"/>
  <c r="G1568" i="57" a="1"/>
  <c r="G1568" i="57" s="1"/>
  <c r="F1568" i="57" a="1"/>
  <c r="F1568" i="57" s="1"/>
  <c r="G1784" i="57" a="1"/>
  <c r="G1784" i="57" s="1"/>
  <c r="F1784" i="57" a="1"/>
  <c r="F1784" i="57" s="1"/>
  <c r="G2001" i="57" a="1"/>
  <c r="G2001" i="57" s="1"/>
  <c r="F2001" i="57" a="1"/>
  <c r="F2001" i="57" s="1"/>
  <c r="G2217" i="57" a="1"/>
  <c r="G2217" i="57" s="1"/>
  <c r="F2217" i="57" a="1"/>
  <c r="F2217" i="57" s="1"/>
  <c r="G2439" i="57" a="1"/>
  <c r="G2439" i="57" s="1"/>
  <c r="F2439" i="57" a="1"/>
  <c r="F2439" i="57" s="1"/>
  <c r="G2194" i="57" a="1"/>
  <c r="G2194" i="57" s="1"/>
  <c r="F2194" i="57" a="1"/>
  <c r="F2194" i="57" s="1"/>
  <c r="G1979" i="57" a="1"/>
  <c r="G1979" i="57" s="1"/>
  <c r="F1979" i="57" a="1"/>
  <c r="F1979" i="57" s="1"/>
  <c r="G2237" i="57" a="1"/>
  <c r="G2237" i="57" s="1"/>
  <c r="F2237" i="57" a="1"/>
  <c r="F2237" i="57" s="1"/>
  <c r="G2036" i="57" a="1"/>
  <c r="G2036" i="57" s="1"/>
  <c r="F2036" i="57" a="1"/>
  <c r="F2036" i="57" s="1"/>
  <c r="G2294" i="57" a="1"/>
  <c r="G2294" i="57" s="1"/>
  <c r="F2294" i="57" a="1"/>
  <c r="F2294" i="57" s="1"/>
  <c r="G109" i="57" a="1"/>
  <c r="G109" i="57" s="1"/>
  <c r="F109" i="57" a="1"/>
  <c r="F109" i="57" s="1"/>
  <c r="G2417" i="57" a="1"/>
  <c r="G2417" i="57" s="1"/>
  <c r="F2417" i="57" a="1"/>
  <c r="F2417" i="57" s="1"/>
  <c r="G1596" i="57" a="1"/>
  <c r="G1596" i="57" s="1"/>
  <c r="F1596" i="57" a="1"/>
  <c r="F1596" i="57" s="1"/>
  <c r="G1854" i="57" a="1"/>
  <c r="G1854" i="57" s="1"/>
  <c r="F1854" i="57" a="1"/>
  <c r="F1854" i="57" s="1"/>
  <c r="G1621" i="57" a="1"/>
  <c r="G1621" i="57" s="1"/>
  <c r="F1621" i="57" a="1"/>
  <c r="F1621" i="57" s="1"/>
  <c r="G337" i="57" a="1"/>
  <c r="G337" i="57" s="1"/>
  <c r="F337" i="57" a="1"/>
  <c r="F337" i="57" s="1"/>
  <c r="G595" i="57" a="1"/>
  <c r="G595" i="57" s="1"/>
  <c r="F595" i="57" a="1"/>
  <c r="F595" i="57" s="1"/>
  <c r="G1370" i="57" a="1"/>
  <c r="G1370" i="57" s="1"/>
  <c r="F1370" i="57" a="1"/>
  <c r="F1370" i="57" s="1"/>
  <c r="G2124" i="57" a="1"/>
  <c r="G2124" i="57" s="1"/>
  <c r="F2124" i="57" a="1"/>
  <c r="F2124" i="57" s="1"/>
  <c r="G2382" i="57" a="1"/>
  <c r="G2382" i="57" s="1"/>
  <c r="F2382" i="57" a="1"/>
  <c r="F2382" i="57" s="1"/>
  <c r="G1873" i="57" a="1"/>
  <c r="G1873" i="57" s="1"/>
  <c r="F1873" i="57" a="1"/>
  <c r="F1873" i="57" s="1"/>
  <c r="G2131" i="57" a="1"/>
  <c r="G2131" i="57" s="1"/>
  <c r="F2131" i="57" a="1"/>
  <c r="F2131" i="57" s="1"/>
  <c r="G631" i="57" a="1"/>
  <c r="G631" i="57" s="1"/>
  <c r="F631" i="57" a="1"/>
  <c r="F631" i="57" s="1"/>
  <c r="G880" i="57" a="1"/>
  <c r="G880" i="57" s="1"/>
  <c r="F880" i="57" a="1"/>
  <c r="F880" i="57" s="1"/>
  <c r="G1543" i="57" a="1"/>
  <c r="G1543" i="57" s="1"/>
  <c r="F1543" i="57" a="1"/>
  <c r="F1543" i="57" s="1"/>
  <c r="G253" i="57" a="1"/>
  <c r="G253" i="57" s="1"/>
  <c r="F253" i="57" a="1"/>
  <c r="F253" i="57" s="1"/>
  <c r="G517" i="57" a="1"/>
  <c r="G517" i="57" s="1"/>
  <c r="F517" i="57" a="1"/>
  <c r="F517" i="57" s="1"/>
  <c r="G1136" i="57" a="1"/>
  <c r="G1136" i="57" s="1"/>
  <c r="F1136" i="57" a="1"/>
  <c r="F1136" i="57" s="1"/>
  <c r="G2046" i="57" a="1"/>
  <c r="G2046" i="57" s="1"/>
  <c r="F2046" i="57" a="1"/>
  <c r="F2046" i="57" s="1"/>
  <c r="G2304" i="57" a="1"/>
  <c r="G2304" i="57" s="1"/>
  <c r="F2304" i="57" a="1"/>
  <c r="F2304" i="57" s="1"/>
  <c r="G1789" i="57" a="1"/>
  <c r="G1789" i="57" s="1"/>
  <c r="F1789" i="57" a="1"/>
  <c r="F1789" i="57" s="1"/>
  <c r="G2053" i="57" a="1"/>
  <c r="G2053" i="57" s="1"/>
  <c r="F2053" i="57" a="1"/>
  <c r="F2053" i="57" s="1"/>
  <c r="G882" i="57" a="1"/>
  <c r="G882" i="57" s="1"/>
  <c r="F882" i="57" a="1"/>
  <c r="F882" i="57" s="1"/>
  <c r="G1303" i="57" a="1"/>
  <c r="G1303" i="57" s="1"/>
  <c r="F1303" i="57" a="1"/>
  <c r="F1303" i="57" s="1"/>
  <c r="G1920" i="57" a="1"/>
  <c r="G1920" i="57" s="1"/>
  <c r="F1920" i="57" a="1"/>
  <c r="F1920" i="57" s="1"/>
  <c r="G1687" i="57" a="1"/>
  <c r="G1687" i="57" s="1"/>
  <c r="F1687" i="57" a="1"/>
  <c r="F1687" i="57" s="1"/>
  <c r="G397" i="57" a="1"/>
  <c r="G397" i="57" s="1"/>
  <c r="F397" i="57" a="1"/>
  <c r="F397" i="57" s="1"/>
  <c r="G662" i="57" a="1"/>
  <c r="G662" i="57" s="1"/>
  <c r="F662" i="57" a="1"/>
  <c r="F662" i="57" s="1"/>
  <c r="G1245" i="57" a="1"/>
  <c r="G1245" i="57" s="1"/>
  <c r="F1245" i="57" a="1"/>
  <c r="F1245" i="57" s="1"/>
  <c r="G2190" i="57" a="1"/>
  <c r="G2190" i="57" s="1"/>
  <c r="F2190" i="57" a="1"/>
  <c r="F2190" i="57" s="1"/>
  <c r="G2448" i="57" a="1"/>
  <c r="G2448" i="57" s="1"/>
  <c r="F2448" i="57" a="1"/>
  <c r="F2448" i="57" s="1"/>
  <c r="G1933" i="57" a="1"/>
  <c r="G1933" i="57" s="1"/>
  <c r="F1933" i="57" a="1"/>
  <c r="F1933" i="57" s="1"/>
  <c r="G2209" i="57" a="1"/>
  <c r="G2209" i="57" s="1"/>
  <c r="F2209" i="57" a="1"/>
  <c r="F2209" i="57" s="1"/>
  <c r="G1003" i="57" a="1"/>
  <c r="G1003" i="57" s="1"/>
  <c r="F1003" i="57" a="1"/>
  <c r="F1003" i="57" s="1"/>
  <c r="G1800" i="57" a="1"/>
  <c r="G1800" i="57" s="1"/>
  <c r="F1800" i="57" a="1"/>
  <c r="F1800" i="57" s="1"/>
  <c r="G1567" i="57" a="1"/>
  <c r="G1567" i="57" s="1"/>
  <c r="F1567" i="57" a="1"/>
  <c r="F1567" i="57" s="1"/>
  <c r="G277" i="57" a="1"/>
  <c r="G277" i="57" s="1"/>
  <c r="F277" i="57" a="1"/>
  <c r="F277" i="57" s="1"/>
  <c r="G535" i="57" a="1"/>
  <c r="G535" i="57" s="1"/>
  <c r="F535" i="57" a="1"/>
  <c r="F535" i="57" s="1"/>
  <c r="G1190" i="57" a="1"/>
  <c r="G1190" i="57" s="1"/>
  <c r="F1190" i="57" a="1"/>
  <c r="F1190" i="57" s="1"/>
  <c r="G2070" i="57" a="1"/>
  <c r="G2070" i="57" s="1"/>
  <c r="F2070" i="57" a="1"/>
  <c r="F2070" i="57" s="1"/>
  <c r="G2328" i="57" a="1"/>
  <c r="G2328" i="57" s="1"/>
  <c r="F2328" i="57" a="1"/>
  <c r="F2328" i="57" s="1"/>
  <c r="G1813" i="57" a="1"/>
  <c r="G1813" i="57" s="1"/>
  <c r="F1813" i="57" a="1"/>
  <c r="F1813" i="57" s="1"/>
  <c r="G2071" i="57" a="1"/>
  <c r="G2071" i="57" s="1"/>
  <c r="F2071" i="57" a="1"/>
  <c r="F2071" i="57" s="1"/>
  <c r="G1086" i="57" a="1"/>
  <c r="G1086" i="57" s="1"/>
  <c r="F1086" i="57" a="1"/>
  <c r="F1086" i="57" s="1"/>
  <c r="G1363" i="57" a="1"/>
  <c r="G1363" i="57" s="1"/>
  <c r="F1363" i="57" a="1"/>
  <c r="F1363" i="57" s="1"/>
  <c r="G2462" i="57" a="1"/>
  <c r="G2462" i="57" s="1"/>
  <c r="F2462" i="57" a="1"/>
  <c r="F2462" i="57" s="1"/>
  <c r="G2464" i="57" a="1"/>
  <c r="G2464" i="57" s="1"/>
  <c r="F2464" i="57" a="1"/>
  <c r="F2464" i="57" s="1"/>
  <c r="G1500" i="57" a="1"/>
  <c r="G1500" i="57" s="1"/>
  <c r="F1500" i="57" a="1"/>
  <c r="F1500" i="57" s="1"/>
  <c r="G1764" i="57" a="1"/>
  <c r="G1764" i="57" s="1"/>
  <c r="F1764" i="57" a="1"/>
  <c r="F1764" i="57" s="1"/>
  <c r="G1531" i="57" a="1"/>
  <c r="G1531" i="57" s="1"/>
  <c r="F1531" i="57" a="1"/>
  <c r="F1531" i="57" s="1"/>
  <c r="G241" i="57" a="1"/>
  <c r="G241" i="57" s="1"/>
  <c r="F241" i="57" a="1"/>
  <c r="F241" i="57" s="1"/>
  <c r="G499" i="57" a="1"/>
  <c r="G499" i="57" s="1"/>
  <c r="F499" i="57" a="1"/>
  <c r="F499" i="57" s="1"/>
  <c r="G1082" i="57" a="1"/>
  <c r="G1082" i="57" s="1"/>
  <c r="F1082" i="57" a="1"/>
  <c r="F1082" i="57" s="1"/>
  <c r="G2034" i="57" a="1"/>
  <c r="G2034" i="57" s="1"/>
  <c r="F2034" i="57" a="1"/>
  <c r="F2034" i="57" s="1"/>
  <c r="G2292" i="57" a="1"/>
  <c r="G2292" i="57" s="1"/>
  <c r="F2292" i="57" a="1"/>
  <c r="F2292" i="57" s="1"/>
  <c r="G1777" i="57" a="1"/>
  <c r="G1777" i="57" s="1"/>
  <c r="F1777" i="57" a="1"/>
  <c r="F1777" i="57" s="1"/>
  <c r="G2035" i="57" a="1"/>
  <c r="G2035" i="57" s="1"/>
  <c r="F2035" i="57" a="1"/>
  <c r="F2035" i="57" s="1"/>
  <c r="G810" i="57" a="1"/>
  <c r="G810" i="57" s="1"/>
  <c r="F810" i="57" a="1"/>
  <c r="F810" i="57" s="1"/>
  <c r="G1273" i="57" a="1"/>
  <c r="G1273" i="57" s="1"/>
  <c r="F1273" i="57" a="1"/>
  <c r="F1273" i="57" s="1"/>
  <c r="G1972" i="57" a="1"/>
  <c r="G1972" i="57" s="1"/>
  <c r="F1972" i="57" a="1"/>
  <c r="F1972" i="57" s="1"/>
  <c r="G2188" i="57" a="1"/>
  <c r="G2188" i="57" s="1"/>
  <c r="F2188" i="57" a="1"/>
  <c r="F2188" i="57" s="1"/>
  <c r="G2404" i="57" a="1"/>
  <c r="G2404" i="57" s="1"/>
  <c r="F2404" i="57" a="1"/>
  <c r="F2404" i="57" s="1"/>
  <c r="G2147" i="57" a="1"/>
  <c r="G2147" i="57" s="1"/>
  <c r="F2147" i="57" a="1"/>
  <c r="F2147" i="57" s="1"/>
  <c r="G2363" i="57" a="1"/>
  <c r="G2363" i="57" s="1"/>
  <c r="F2363" i="57" a="1"/>
  <c r="F2363" i="57" s="1"/>
  <c r="G2120" i="57" a="1"/>
  <c r="G2120" i="57" s="1"/>
  <c r="F2120" i="57" a="1"/>
  <c r="F2120" i="57" s="1"/>
  <c r="G2336" i="57" a="1"/>
  <c r="G2336" i="57" s="1"/>
  <c r="F2336" i="57" a="1"/>
  <c r="F2336" i="57" s="1"/>
  <c r="G103" i="57" a="1"/>
  <c r="G103" i="57" s="1"/>
  <c r="F103" i="57" a="1"/>
  <c r="F103" i="57" s="1"/>
  <c r="G128" i="57" a="1"/>
  <c r="G128" i="57" s="1"/>
  <c r="F128" i="57" a="1"/>
  <c r="F128" i="57" s="1"/>
  <c r="G1506" i="57" a="1"/>
  <c r="G1506" i="57" s="1"/>
  <c r="F1506" i="57" a="1"/>
  <c r="F1506" i="57" s="1"/>
  <c r="G1722" i="57" a="1"/>
  <c r="G1722" i="57" s="1"/>
  <c r="F1722" i="57" a="1"/>
  <c r="F1722" i="57" s="1"/>
  <c r="G1938" i="57" a="1"/>
  <c r="G1938" i="57" s="1"/>
  <c r="F1938" i="57" a="1"/>
  <c r="F1938" i="57" s="1"/>
  <c r="G1663" i="57" a="1"/>
  <c r="G1663" i="57" s="1"/>
  <c r="F1663" i="57" a="1"/>
  <c r="F1663" i="57" s="1"/>
  <c r="G331" i="57" a="1"/>
  <c r="G331" i="57" s="1"/>
  <c r="F331" i="57" a="1"/>
  <c r="F331" i="57" s="1"/>
  <c r="G547" i="57" a="1"/>
  <c r="G547" i="57" s="1"/>
  <c r="F547" i="57" a="1"/>
  <c r="F547" i="57" s="1"/>
  <c r="G1100" i="57" a="1"/>
  <c r="G1100" i="57" s="1"/>
  <c r="F1100" i="57" a="1"/>
  <c r="F1100" i="57" s="1"/>
  <c r="G1992" i="57" a="1"/>
  <c r="G1992" i="57" s="1"/>
  <c r="F1992" i="57" a="1"/>
  <c r="F1992" i="57" s="1"/>
  <c r="G2208" i="57" a="1"/>
  <c r="G2208" i="57" s="1"/>
  <c r="F2208" i="57" a="1"/>
  <c r="F2208" i="57" s="1"/>
  <c r="G2424" i="57" a="1"/>
  <c r="G2424" i="57" s="1"/>
  <c r="F2424" i="57" a="1"/>
  <c r="F2424" i="57" s="1"/>
  <c r="G1867" i="57" a="1"/>
  <c r="G1867" i="57" s="1"/>
  <c r="F1867" i="57" a="1"/>
  <c r="F1867" i="57" s="1"/>
  <c r="G2083" i="57" a="1"/>
  <c r="G2083" i="57" s="1"/>
  <c r="F2083" i="57" a="1"/>
  <c r="F2083" i="57" s="1"/>
  <c r="G714" i="57" a="1"/>
  <c r="G714" i="57" s="1"/>
  <c r="F714" i="57" a="1"/>
  <c r="F714" i="57" s="1"/>
  <c r="G949" i="57" a="1"/>
  <c r="G949" i="57" s="1"/>
  <c r="F949" i="57" a="1"/>
  <c r="F949" i="57" s="1"/>
  <c r="G1417" i="57" a="1"/>
  <c r="G1417" i="57" s="1"/>
  <c r="F1417" i="57" a="1"/>
  <c r="F1417" i="57" s="1"/>
  <c r="G100" i="57" a="1"/>
  <c r="G100" i="57" s="1"/>
  <c r="F100" i="57" a="1"/>
  <c r="F100" i="57" s="1"/>
  <c r="G2365" i="57" a="1"/>
  <c r="G2365" i="57" s="1"/>
  <c r="F2365" i="57" a="1"/>
  <c r="F2365" i="57" s="1"/>
  <c r="G727" i="57" a="1"/>
  <c r="G727" i="57" s="1"/>
  <c r="F727" i="57" a="1"/>
  <c r="F727" i="57" s="1"/>
  <c r="G1033" i="57" a="1"/>
  <c r="G1033" i="57" s="1"/>
  <c r="F1033" i="57" a="1"/>
  <c r="F1033" i="57" s="1"/>
  <c r="G40" i="57" a="1"/>
  <c r="G40" i="57" s="1"/>
  <c r="F40" i="57" a="1"/>
  <c r="F40" i="57" s="1"/>
  <c r="G628" i="57" a="1"/>
  <c r="G628" i="57" s="1"/>
  <c r="F628" i="57" a="1"/>
  <c r="F628" i="57" s="1"/>
  <c r="G2407" i="57" a="1"/>
  <c r="G2407" i="57" s="1"/>
  <c r="F2407" i="57" a="1"/>
  <c r="F2407" i="57" s="1"/>
  <c r="G769" i="57" a="1"/>
  <c r="G769" i="57" s="1"/>
  <c r="F769" i="57" a="1"/>
  <c r="F769" i="57" s="1"/>
  <c r="G1117" i="57" a="1"/>
  <c r="G1117" i="57" s="1"/>
  <c r="F1117" i="57" a="1"/>
  <c r="F1117" i="57" s="1"/>
  <c r="G2341" i="57" a="1"/>
  <c r="G2341" i="57" s="1"/>
  <c r="F2341" i="57" a="1"/>
  <c r="F2341" i="57" s="1"/>
  <c r="G703" i="57" a="1"/>
  <c r="G703" i="57" s="1"/>
  <c r="F703" i="57" a="1"/>
  <c r="F703" i="57" s="1"/>
  <c r="G991" i="57" a="1"/>
  <c r="G991" i="57" s="1"/>
  <c r="F991" i="57" a="1"/>
  <c r="F991" i="57" s="1"/>
  <c r="G1399" i="57" a="1"/>
  <c r="G1399" i="57" s="1"/>
  <c r="F1399" i="57" a="1"/>
  <c r="F1399" i="57" s="1"/>
  <c r="G64" i="57" a="1"/>
  <c r="G64" i="57" s="1"/>
  <c r="F64" i="57" a="1"/>
  <c r="F64" i="57" s="1"/>
  <c r="G2347" i="57" a="1"/>
  <c r="G2347" i="57" s="1"/>
  <c r="F2347" i="57" a="1"/>
  <c r="F2347" i="57" s="1"/>
  <c r="G709" i="57" a="1"/>
  <c r="G709" i="57" s="1"/>
  <c r="F709" i="57" a="1"/>
  <c r="F709" i="57" s="1"/>
  <c r="G997" i="57" a="1"/>
  <c r="G997" i="57" s="1"/>
  <c r="F997" i="57" a="1"/>
  <c r="F997" i="57" s="1"/>
  <c r="G1411" i="57" a="1"/>
  <c r="G1411" i="57" s="1"/>
  <c r="F1411" i="57" a="1"/>
  <c r="F1411" i="57" s="1"/>
  <c r="G76" i="57" a="1"/>
  <c r="G76" i="57" s="1"/>
  <c r="F76" i="57" a="1"/>
  <c r="F76" i="57" s="1"/>
  <c r="G2353" i="57" a="1"/>
  <c r="G2353" i="57" s="1"/>
  <c r="F2353" i="57" a="1"/>
  <c r="F2353" i="57" s="1"/>
  <c r="G715" i="57" a="1"/>
  <c r="G715" i="57" s="1"/>
  <c r="F715" i="57" a="1"/>
  <c r="F715" i="57" s="1"/>
  <c r="G1009" i="57" a="1"/>
  <c r="G1009" i="57" s="1"/>
  <c r="F1009" i="57" a="1"/>
  <c r="F1009" i="57" s="1"/>
  <c r="G1423" i="57" a="1"/>
  <c r="G1423" i="57" s="1"/>
  <c r="F1423" i="57" a="1"/>
  <c r="F1423" i="57" s="1"/>
  <c r="G786" i="57" a="1"/>
  <c r="G786" i="57" s="1"/>
  <c r="F786" i="57" a="1"/>
  <c r="F786" i="57" s="1"/>
  <c r="G1027" i="57" a="1"/>
  <c r="G1027" i="57" s="1"/>
  <c r="F1027" i="57" a="1"/>
  <c r="F1027" i="57" s="1"/>
  <c r="G1312" i="57" a="1"/>
  <c r="G1312" i="57" s="1"/>
  <c r="F1312" i="57" a="1"/>
  <c r="F1312" i="57" s="1"/>
  <c r="G514" i="57" a="1"/>
  <c r="G514" i="57" s="1"/>
  <c r="F514" i="57" a="1"/>
  <c r="F514" i="57" s="1"/>
  <c r="G2395" i="57" a="1"/>
  <c r="G2395" i="57" s="1"/>
  <c r="F2395" i="57" a="1"/>
  <c r="F2395" i="57" s="1"/>
  <c r="G757" i="57" a="1"/>
  <c r="G757" i="57" s="1"/>
  <c r="F757" i="57" a="1"/>
  <c r="F757" i="57" s="1"/>
  <c r="G1093" i="57" a="1"/>
  <c r="G1093" i="57" s="1"/>
  <c r="F1093" i="57" a="1"/>
  <c r="F1093" i="57" s="1"/>
  <c r="D545" i="57"/>
  <c r="D313" i="57"/>
  <c r="D348" i="57"/>
  <c r="D2393" i="57"/>
  <c r="D736" i="57"/>
  <c r="D221" i="57"/>
  <c r="D1118" i="57"/>
  <c r="D216" i="57"/>
  <c r="D637" i="57"/>
  <c r="D138" i="57"/>
  <c r="D614" i="57"/>
  <c r="D574" i="57"/>
  <c r="E16" i="57"/>
  <c r="D501" i="57"/>
  <c r="D110" i="57"/>
  <c r="D11" i="57"/>
  <c r="G11" i="57" s="1" a="1"/>
  <c r="G11" i="57" s="1"/>
  <c r="D508" i="57"/>
  <c r="D731" i="57"/>
  <c r="D106" i="57"/>
  <c r="D578" i="57"/>
  <c r="D240" i="57"/>
  <c r="D994" i="57"/>
  <c r="D1013" i="57"/>
  <c r="D1113" i="57"/>
  <c r="D1352" i="57"/>
  <c r="D602" i="57"/>
  <c r="D780" i="57"/>
  <c r="D650" i="57"/>
  <c r="D168" i="57"/>
  <c r="D234" i="57"/>
  <c r="D1233" i="57"/>
  <c r="D74" i="57"/>
  <c r="D308" i="57"/>
  <c r="D609" i="57"/>
  <c r="D799" i="57"/>
  <c r="D1035" i="57"/>
  <c r="D1163" i="57"/>
  <c r="D119" i="57"/>
  <c r="D284" i="57"/>
  <c r="D131" i="57"/>
  <c r="D638" i="57"/>
  <c r="D1226" i="57"/>
  <c r="D798" i="57"/>
  <c r="D664" i="57"/>
  <c r="D978" i="57"/>
  <c r="D556" i="57"/>
  <c r="D319" i="57"/>
  <c r="D811" i="57"/>
  <c r="D745" i="57"/>
  <c r="D537" i="57"/>
  <c r="D42" i="57"/>
  <c r="D744" i="57"/>
  <c r="D316" i="57"/>
  <c r="D573" i="57"/>
  <c r="D406" i="57"/>
  <c r="D332" i="57"/>
  <c r="D512" i="57"/>
  <c r="D274" i="57"/>
  <c r="D166" i="57"/>
  <c r="D1026" i="57"/>
  <c r="D842" i="57"/>
  <c r="D464" i="57"/>
  <c r="D120" i="57"/>
  <c r="D485" i="57"/>
  <c r="D1050" i="57"/>
  <c r="D399" i="57"/>
  <c r="D708" i="57"/>
  <c r="D290" i="57"/>
  <c r="D459" i="57"/>
  <c r="D44" i="57"/>
  <c r="D99" i="57"/>
  <c r="D112" i="57"/>
  <c r="D1014" i="57"/>
  <c r="D429" i="57"/>
  <c r="D1204" i="57"/>
  <c r="D1114" i="57"/>
  <c r="D950" i="57"/>
  <c r="D323" i="57"/>
  <c r="D984" i="57"/>
  <c r="D114" i="57"/>
  <c r="D1149" i="57"/>
  <c r="D1140" i="57"/>
  <c r="D1242" i="57"/>
  <c r="D1103" i="57"/>
  <c r="D157" i="57"/>
  <c r="D137" i="57"/>
  <c r="D1254" i="57"/>
  <c r="D674" i="57"/>
  <c r="D269" i="57"/>
  <c r="D294" i="57"/>
  <c r="D542" i="57"/>
  <c r="D442" i="57"/>
  <c r="D827" i="57"/>
  <c r="D196" i="57"/>
  <c r="D347" i="57"/>
  <c r="D2387" i="57"/>
  <c r="E2387" i="57"/>
  <c r="D85" i="57"/>
  <c r="D605" i="57"/>
  <c r="D610" i="57"/>
  <c r="D892" i="57"/>
  <c r="D220" i="57"/>
  <c r="D592" i="57"/>
  <c r="D857" i="57"/>
  <c r="D411" i="57"/>
  <c r="D544" i="57"/>
  <c r="D945" i="57"/>
  <c r="D823" i="57"/>
  <c r="D331" i="57"/>
  <c r="D482" i="57"/>
  <c r="D230" i="57"/>
  <c r="D296" i="57"/>
  <c r="D133" i="57"/>
  <c r="D252" i="57"/>
  <c r="D82" i="57"/>
  <c r="D502" i="57"/>
  <c r="D838" i="57"/>
  <c r="D462" i="57"/>
  <c r="D76" i="57"/>
  <c r="D834" i="57"/>
  <c r="D991" i="57"/>
  <c r="D310" i="57"/>
  <c r="D520" i="57"/>
  <c r="D948" i="57"/>
  <c r="D727" i="57"/>
  <c r="D100" i="57"/>
  <c r="D611" i="57"/>
  <c r="D479" i="57"/>
  <c r="D297" i="57"/>
  <c r="D496" i="57"/>
  <c r="D818" i="57"/>
  <c r="D1345" i="57"/>
  <c r="D622" i="57"/>
  <c r="D679" i="57"/>
  <c r="D1337" i="57"/>
  <c r="D397" i="57"/>
  <c r="D566" i="57"/>
  <c r="D722" i="57"/>
  <c r="D1228" i="57"/>
  <c r="D785" i="57"/>
  <c r="D1060" i="57"/>
  <c r="D875" i="57"/>
  <c r="D413" i="57"/>
  <c r="D581" i="57"/>
  <c r="D873" i="57"/>
  <c r="D1024" i="57"/>
  <c r="D1326" i="57"/>
  <c r="D530" i="57"/>
  <c r="D639" i="57"/>
  <c r="D686" i="57"/>
  <c r="D174" i="57"/>
  <c r="D743" i="57"/>
  <c r="D1346" i="57"/>
  <c r="D809" i="57"/>
  <c r="GE20" i="54"/>
  <c r="GH20" i="54"/>
  <c r="GG20" i="54"/>
  <c r="FL20" i="54"/>
  <c r="FM20" i="54"/>
  <c r="FJ20" i="54"/>
  <c r="FV20" i="54"/>
  <c r="FU19" i="54"/>
  <c r="FW19" i="54" s="1"/>
  <c r="FR20" i="54" s="1"/>
  <c r="EQ173" i="54"/>
  <c r="ET173" i="54" s="1"/>
  <c r="EP148" i="54"/>
  <c r="ES148" i="54" s="1"/>
  <c r="EP135" i="54"/>
  <c r="ES135" i="54" s="1"/>
  <c r="EQ81" i="54"/>
  <c r="ET81" i="54" s="1"/>
  <c r="EQ80" i="54"/>
  <c r="ET80" i="54" s="1"/>
  <c r="EQ79" i="54"/>
  <c r="ET79" i="54" s="1"/>
  <c r="EP78" i="54"/>
  <c r="ES78" i="54" s="1"/>
  <c r="EQ31" i="54"/>
  <c r="ET31" i="54" s="1"/>
  <c r="EP17" i="54"/>
  <c r="ES17" i="54" s="1"/>
  <c r="EQ144" i="54"/>
  <c r="ET144" i="54" s="1"/>
  <c r="EP164" i="54"/>
  <c r="ES164" i="54" s="1"/>
  <c r="EQ246" i="54"/>
  <c r="ET246" i="54" s="1"/>
  <c r="EP140" i="54"/>
  <c r="ES140" i="54" s="1"/>
  <c r="EP86" i="54"/>
  <c r="ES86" i="54" s="1"/>
  <c r="EP84" i="54"/>
  <c r="ES84" i="54" s="1"/>
  <c r="EP83" i="54"/>
  <c r="ES83" i="54" s="1"/>
  <c r="EP28" i="54"/>
  <c r="ES28" i="54" s="1"/>
  <c r="EQ29" i="54"/>
  <c r="ET29" i="54" s="1"/>
  <c r="EQ232" i="54"/>
  <c r="ET232" i="54" s="1"/>
  <c r="EQ194" i="54"/>
  <c r="ET194" i="54" s="1"/>
  <c r="EQ191" i="54"/>
  <c r="ET191" i="54" s="1"/>
  <c r="EP105" i="54"/>
  <c r="ES105" i="54" s="1"/>
  <c r="EP104" i="54"/>
  <c r="ES104" i="54" s="1"/>
  <c r="EP96" i="54"/>
  <c r="ES96" i="54" s="1"/>
  <c r="EP251" i="54"/>
  <c r="ES251" i="54" s="1"/>
  <c r="EQ35" i="54"/>
  <c r="ET35" i="54" s="1"/>
  <c r="EQ98" i="54"/>
  <c r="ET98" i="54" s="1"/>
  <c r="EQ41" i="54"/>
  <c r="ET41" i="54" s="1"/>
  <c r="EP255" i="54"/>
  <c r="ES255" i="54" s="1"/>
  <c r="EQ254" i="54"/>
  <c r="ET254" i="54" s="1"/>
  <c r="EP253" i="54"/>
  <c r="ES253" i="54" s="1"/>
  <c r="EQ206" i="54"/>
  <c r="ET206" i="54" s="1"/>
  <c r="EQ149" i="54"/>
  <c r="ET149" i="54" s="1"/>
  <c r="EQ54" i="54"/>
  <c r="ET54" i="54" s="1"/>
  <c r="EQ133" i="54"/>
  <c r="ET133" i="54" s="1"/>
  <c r="EQ174" i="54"/>
  <c r="ET174" i="54" s="1"/>
  <c r="EQ142" i="54"/>
  <c r="ET142" i="54" s="1"/>
  <c r="EQ50" i="54"/>
  <c r="ET50" i="54" s="1"/>
  <c r="EQ49" i="54"/>
  <c r="ET49" i="54" s="1"/>
  <c r="EP48" i="54"/>
  <c r="ES48" i="54" s="1"/>
  <c r="EP213" i="54"/>
  <c r="ES213" i="54" s="1"/>
  <c r="EP212" i="54"/>
  <c r="ES212" i="54" s="1"/>
  <c r="EQ158" i="54"/>
  <c r="ET158" i="54" s="1"/>
  <c r="EP156" i="54"/>
  <c r="ES156" i="54" s="1"/>
  <c r="EQ110" i="54"/>
  <c r="ET110" i="54" s="1"/>
  <c r="EP109" i="54"/>
  <c r="ES109" i="54" s="1"/>
  <c r="EQ101" i="54"/>
  <c r="ET101" i="54" s="1"/>
  <c r="EP13" i="54"/>
  <c r="ES13" i="54" s="1"/>
  <c r="EQ12" i="54"/>
  <c r="ET12" i="54" s="1"/>
  <c r="EP138" i="54"/>
  <c r="ES138" i="54" s="1"/>
  <c r="EQ179" i="54"/>
  <c r="ET179" i="54" s="1"/>
  <c r="EP106" i="54"/>
  <c r="ES106" i="54" s="1"/>
  <c r="EP256" i="54"/>
  <c r="ES256" i="54" s="1"/>
  <c r="EP218" i="54"/>
  <c r="ES218" i="54" s="1"/>
  <c r="EQ217" i="54"/>
  <c r="ET217" i="54" s="1"/>
  <c r="EP170" i="54"/>
  <c r="ES170" i="54" s="1"/>
  <c r="EP163" i="54"/>
  <c r="ES163" i="54" s="1"/>
  <c r="EQ161" i="54"/>
  <c r="ET161" i="54" s="1"/>
  <c r="EQ130" i="54"/>
  <c r="ET130" i="54" s="1"/>
  <c r="EP113" i="54"/>
  <c r="ES113" i="54" s="1"/>
  <c r="EP69" i="54"/>
  <c r="ES69" i="54" s="1"/>
  <c r="EP230" i="54"/>
  <c r="ES230" i="54" s="1"/>
  <c r="EP195" i="54"/>
  <c r="ES195" i="54" s="1"/>
  <c r="EQ236" i="54"/>
  <c r="ET236" i="54" s="1"/>
  <c r="EP190" i="54"/>
  <c r="ES190" i="54" s="1"/>
  <c r="EP180" i="54"/>
  <c r="ES180" i="54" s="1"/>
  <c r="EQ148" i="54"/>
  <c r="ET148" i="54" s="1"/>
  <c r="EQ135" i="54"/>
  <c r="ET135" i="54" s="1"/>
  <c r="EP88" i="54"/>
  <c r="ES88" i="54" s="1"/>
  <c r="EP81" i="54"/>
  <c r="ES81" i="54" s="1"/>
  <c r="EP80" i="54"/>
  <c r="ES80" i="54" s="1"/>
  <c r="EP79" i="54"/>
  <c r="ES79" i="54" s="1"/>
  <c r="EP22" i="54"/>
  <c r="ES22" i="54" s="1"/>
  <c r="EP31" i="54"/>
  <c r="ES31" i="54" s="1"/>
  <c r="EP24" i="54"/>
  <c r="ES24" i="54" s="1"/>
  <c r="EP243" i="54"/>
  <c r="ES243" i="54" s="1"/>
  <c r="EQ235" i="54"/>
  <c r="ET235" i="54" s="1"/>
  <c r="EP220" i="54"/>
  <c r="ES220" i="54" s="1"/>
  <c r="EP147" i="54"/>
  <c r="ES147" i="54" s="1"/>
  <c r="EP123" i="54"/>
  <c r="ES123" i="54" s="1"/>
  <c r="EP205" i="54"/>
  <c r="ES205" i="54" s="1"/>
  <c r="EP118" i="54"/>
  <c r="ES118" i="54" s="1"/>
  <c r="EP141" i="54"/>
  <c r="ES141" i="54" s="1"/>
  <c r="EQ140" i="54"/>
  <c r="ET140" i="54" s="1"/>
  <c r="EP132" i="54"/>
  <c r="ES132" i="54" s="1"/>
  <c r="EQ86" i="54"/>
  <c r="ET86" i="54" s="1"/>
  <c r="EQ85" i="54"/>
  <c r="ET85" i="54" s="1"/>
  <c r="EQ84" i="54"/>
  <c r="ET84" i="54" s="1"/>
  <c r="EQ28" i="54"/>
  <c r="ET28" i="54" s="1"/>
  <c r="EP36" i="54"/>
  <c r="ES36" i="54" s="1"/>
  <c r="EP29" i="54"/>
  <c r="ES29" i="54" s="1"/>
  <c r="EP249" i="54"/>
  <c r="ES249" i="54" s="1"/>
  <c r="EP248" i="54"/>
  <c r="ES248" i="54" s="1"/>
  <c r="EQ193" i="54"/>
  <c r="ET193" i="54" s="1"/>
  <c r="EP192" i="54"/>
  <c r="ES192" i="54" s="1"/>
  <c r="EQ105" i="54"/>
  <c r="ET105" i="54" s="1"/>
  <c r="EQ104" i="54"/>
  <c r="ET104" i="54" s="1"/>
  <c r="EQ96" i="54"/>
  <c r="ET96" i="54" s="1"/>
  <c r="EP210" i="54"/>
  <c r="ES210" i="54" s="1"/>
  <c r="EQ251" i="54"/>
  <c r="ET251" i="54" s="1"/>
  <c r="EP99" i="54"/>
  <c r="ES99" i="54" s="1"/>
  <c r="EP45" i="54"/>
  <c r="ES45" i="54" s="1"/>
  <c r="EQ43" i="54"/>
  <c r="ET43" i="54" s="1"/>
  <c r="EP42" i="54"/>
  <c r="ES42" i="54" s="1"/>
  <c r="EP245" i="54"/>
  <c r="ES245" i="54" s="1"/>
  <c r="EP172" i="54"/>
  <c r="ES172" i="54" s="1"/>
  <c r="EP153" i="54"/>
  <c r="ES153" i="54" s="1"/>
  <c r="EQ150" i="54"/>
  <c r="ET150" i="54" s="1"/>
  <c r="EP112" i="54"/>
  <c r="ES112" i="54" s="1"/>
  <c r="EP63" i="54"/>
  <c r="ES63" i="54" s="1"/>
  <c r="EQ55" i="54"/>
  <c r="ET55" i="54" s="1"/>
  <c r="EP92" i="54"/>
  <c r="ES92" i="54" s="1"/>
  <c r="EP133" i="54"/>
  <c r="ES133" i="54" s="1"/>
  <c r="EP57" i="54"/>
  <c r="ES57" i="54" s="1"/>
  <c r="EQ48" i="54"/>
  <c r="ET48" i="54" s="1"/>
  <c r="EP257" i="54"/>
  <c r="ES257" i="54" s="1"/>
  <c r="EQ213" i="54"/>
  <c r="ET213" i="54" s="1"/>
  <c r="EQ212" i="54"/>
  <c r="ET212" i="54" s="1"/>
  <c r="EP165" i="54"/>
  <c r="ES165" i="54" s="1"/>
  <c r="EP157" i="54"/>
  <c r="ES157" i="54" s="1"/>
  <c r="EQ156" i="54"/>
  <c r="ET156" i="54" s="1"/>
  <c r="EP108" i="54"/>
  <c r="ES108" i="54" s="1"/>
  <c r="EQ21" i="54"/>
  <c r="ET21" i="54" s="1"/>
  <c r="EQ97" i="54"/>
  <c r="ET97" i="54" s="1"/>
  <c r="EQ138" i="54"/>
  <c r="ET138" i="54" s="1"/>
  <c r="EP266" i="54"/>
  <c r="ES266" i="54" s="1"/>
  <c r="EP263" i="54"/>
  <c r="ES263" i="54" s="1"/>
  <c r="EQ256" i="54"/>
  <c r="ET256" i="54" s="1"/>
  <c r="EQ219" i="54"/>
  <c r="ET219" i="54" s="1"/>
  <c r="EQ218" i="54"/>
  <c r="ET218" i="54" s="1"/>
  <c r="EP217" i="54"/>
  <c r="ES217" i="54" s="1"/>
  <c r="EQ170" i="54"/>
  <c r="ET170" i="54" s="1"/>
  <c r="EP162" i="54"/>
  <c r="ES162" i="54" s="1"/>
  <c r="EP114" i="54"/>
  <c r="ES114" i="54" s="1"/>
  <c r="EQ113" i="54"/>
  <c r="ET113" i="54" s="1"/>
  <c r="EP64" i="54"/>
  <c r="ES64" i="54" s="1"/>
  <c r="EP68" i="54"/>
  <c r="ES68" i="54" s="1"/>
  <c r="EP60" i="54"/>
  <c r="ES60" i="54" s="1"/>
  <c r="EQ230" i="54"/>
  <c r="ET230" i="54" s="1"/>
  <c r="EQ229" i="54"/>
  <c r="ET229" i="54" s="1"/>
  <c r="EQ195" i="54"/>
  <c r="ET195" i="54" s="1"/>
  <c r="EP143" i="54"/>
  <c r="ES143" i="54" s="1"/>
  <c r="EQ190" i="54"/>
  <c r="ET190" i="54" s="1"/>
  <c r="EP221" i="54"/>
  <c r="ES221" i="54" s="1"/>
  <c r="EQ177" i="54"/>
  <c r="ET177" i="54" s="1"/>
  <c r="EQ176" i="54"/>
  <c r="ET176" i="54" s="1"/>
  <c r="EQ180" i="54"/>
  <c r="ET180" i="54" s="1"/>
  <c r="EQ127" i="54"/>
  <c r="ET127" i="54" s="1"/>
  <c r="EP125" i="54"/>
  <c r="ES125" i="54" s="1"/>
  <c r="EQ88" i="54"/>
  <c r="ET88" i="54" s="1"/>
  <c r="EQ17" i="54"/>
  <c r="ET17" i="54" s="1"/>
  <c r="EQ243" i="54"/>
  <c r="ET243" i="54" s="1"/>
  <c r="EP235" i="54"/>
  <c r="ES235" i="54" s="1"/>
  <c r="EP234" i="54"/>
  <c r="ES234" i="54" s="1"/>
  <c r="EP233" i="54"/>
  <c r="ES233" i="54" s="1"/>
  <c r="EP146" i="54"/>
  <c r="ES146" i="54" s="1"/>
  <c r="EQ145" i="54"/>
  <c r="ET145" i="54" s="1"/>
  <c r="EP137" i="54"/>
  <c r="ES137" i="54" s="1"/>
  <c r="EQ164" i="54"/>
  <c r="ET164" i="54" s="1"/>
  <c r="EP71" i="54"/>
  <c r="ES71" i="54" s="1"/>
  <c r="EQ141" i="54"/>
  <c r="ET141" i="54" s="1"/>
  <c r="EP94" i="54"/>
  <c r="ES94" i="54" s="1"/>
  <c r="EP93" i="54"/>
  <c r="ES93" i="54" s="1"/>
  <c r="EP85" i="54"/>
  <c r="ES85" i="54" s="1"/>
  <c r="EQ83" i="54"/>
  <c r="ET83" i="54" s="1"/>
  <c r="EQ36" i="54"/>
  <c r="ET36" i="54" s="1"/>
  <c r="EQ249" i="54"/>
  <c r="ET249" i="54" s="1"/>
  <c r="EP240" i="54"/>
  <c r="ES240" i="54" s="1"/>
  <c r="EP201" i="54"/>
  <c r="ES201" i="54" s="1"/>
  <c r="EP193" i="54"/>
  <c r="ES193" i="54" s="1"/>
  <c r="EP191" i="54"/>
  <c r="ES191" i="54" s="1"/>
  <c r="EQ103" i="54"/>
  <c r="ET103" i="54" s="1"/>
  <c r="EP52" i="54"/>
  <c r="ES52" i="54" s="1"/>
  <c r="EQ169" i="54"/>
  <c r="ET169" i="54" s="1"/>
  <c r="EQ210" i="54"/>
  <c r="ET210" i="54" s="1"/>
  <c r="EQ178" i="54"/>
  <c r="ET178" i="54" s="1"/>
  <c r="EQ99" i="54"/>
  <c r="ET99" i="54" s="1"/>
  <c r="EQ91" i="54"/>
  <c r="ET91" i="54" s="1"/>
  <c r="EP40" i="54"/>
  <c r="ES40" i="54" s="1"/>
  <c r="EQ45" i="54"/>
  <c r="ET45" i="54" s="1"/>
  <c r="EQ44" i="54"/>
  <c r="ET44" i="54" s="1"/>
  <c r="EP43" i="54"/>
  <c r="ES43" i="54" s="1"/>
  <c r="EP252" i="54"/>
  <c r="ES252" i="54" s="1"/>
  <c r="EP207" i="54"/>
  <c r="ES207" i="54" s="1"/>
  <c r="EQ199" i="54"/>
  <c r="ET199" i="54" s="1"/>
  <c r="EQ172" i="54"/>
  <c r="ET172" i="54" s="1"/>
  <c r="EQ153" i="54"/>
  <c r="ET153" i="54" s="1"/>
  <c r="EP152" i="54"/>
  <c r="ES152" i="54" s="1"/>
  <c r="EQ151" i="54"/>
  <c r="ET151" i="54" s="1"/>
  <c r="EQ63" i="54"/>
  <c r="ET63" i="54" s="1"/>
  <c r="EP55" i="54"/>
  <c r="ES55" i="54" s="1"/>
  <c r="EP53" i="54"/>
  <c r="ES53" i="54" s="1"/>
  <c r="EP51" i="54"/>
  <c r="ES51" i="54" s="1"/>
  <c r="EQ92" i="54"/>
  <c r="ET92" i="54" s="1"/>
  <c r="EP46" i="54"/>
  <c r="ES46" i="54" s="1"/>
  <c r="EQ57" i="54"/>
  <c r="ET57" i="54" s="1"/>
  <c r="EP49" i="54"/>
  <c r="ES49" i="54" s="1"/>
  <c r="EQ257" i="54"/>
  <c r="ET257" i="54" s="1"/>
  <c r="EP244" i="54"/>
  <c r="ES244" i="54" s="1"/>
  <c r="EP204" i="54"/>
  <c r="ES204" i="54" s="1"/>
  <c r="EQ165" i="54"/>
  <c r="ET165" i="54" s="1"/>
  <c r="EQ155" i="54"/>
  <c r="ET155" i="54" s="1"/>
  <c r="EP124" i="54"/>
  <c r="ES124" i="54" s="1"/>
  <c r="EQ108" i="54"/>
  <c r="ET108" i="54" s="1"/>
  <c r="EP56" i="54"/>
  <c r="ES56" i="54" s="1"/>
  <c r="EP97" i="54"/>
  <c r="ES97" i="54" s="1"/>
  <c r="EQ106" i="54"/>
  <c r="ET106" i="54" s="1"/>
  <c r="EQ263" i="54"/>
  <c r="ET263" i="54" s="1"/>
  <c r="EP219" i="54"/>
  <c r="ES219" i="54" s="1"/>
  <c r="EP209" i="54"/>
  <c r="ES209" i="54" s="1"/>
  <c r="EP117" i="54"/>
  <c r="ES117" i="54" s="1"/>
  <c r="EQ69" i="54"/>
  <c r="ET69" i="54" s="1"/>
  <c r="EQ68" i="54"/>
  <c r="ET68" i="54" s="1"/>
  <c r="EQ60" i="54"/>
  <c r="ET60" i="54" s="1"/>
  <c r="EP59" i="54"/>
  <c r="ES59" i="54" s="1"/>
  <c r="EP237" i="54"/>
  <c r="ES237" i="54" s="1"/>
  <c r="EP228" i="54"/>
  <c r="ES228" i="54" s="1"/>
  <c r="EQ227" i="54"/>
  <c r="ET227" i="54" s="1"/>
  <c r="EP208" i="54"/>
  <c r="ES208" i="54" s="1"/>
  <c r="EP102" i="54"/>
  <c r="ES102" i="54" s="1"/>
  <c r="EQ143" i="54"/>
  <c r="ET143" i="54" s="1"/>
  <c r="EP23" i="54"/>
  <c r="ES23" i="54" s="1"/>
  <c r="EP70" i="54"/>
  <c r="ES70" i="54" s="1"/>
  <c r="EP225" i="54"/>
  <c r="ES225" i="54" s="1"/>
  <c r="EP222" i="54"/>
  <c r="ES222" i="54" s="1"/>
  <c r="EQ221" i="54"/>
  <c r="ET221" i="54" s="1"/>
  <c r="EP202" i="54"/>
  <c r="ES202" i="54" s="1"/>
  <c r="EP168" i="54"/>
  <c r="ES168" i="54" s="1"/>
  <c r="EP136" i="54"/>
  <c r="ES136" i="54" s="1"/>
  <c r="EQ129" i="54"/>
  <c r="ET129" i="54" s="1"/>
  <c r="EQ72" i="54"/>
  <c r="ET72" i="54" s="1"/>
  <c r="EP27" i="54"/>
  <c r="ES27" i="54" s="1"/>
  <c r="EQ19" i="54"/>
  <c r="ET19" i="54" s="1"/>
  <c r="EQ181" i="54"/>
  <c r="ET181" i="54" s="1"/>
  <c r="EP127" i="54"/>
  <c r="ES127" i="54" s="1"/>
  <c r="EP126" i="54"/>
  <c r="ES126" i="54" s="1"/>
  <c r="EQ125" i="54"/>
  <c r="ET125" i="54" s="1"/>
  <c r="EP77" i="54"/>
  <c r="ES77" i="54" s="1"/>
  <c r="EP33" i="54"/>
  <c r="ES33" i="54" s="1"/>
  <c r="EP32" i="54"/>
  <c r="ES32" i="54" s="1"/>
  <c r="EP242" i="54"/>
  <c r="ES242" i="54" s="1"/>
  <c r="EQ234" i="54"/>
  <c r="ET234" i="54" s="1"/>
  <c r="EQ220" i="54"/>
  <c r="ET220" i="54" s="1"/>
  <c r="EQ147" i="54"/>
  <c r="ET147" i="54" s="1"/>
  <c r="EQ146" i="54"/>
  <c r="ET146" i="54" s="1"/>
  <c r="EP145" i="54"/>
  <c r="ES145" i="54" s="1"/>
  <c r="EQ137" i="54"/>
  <c r="ET137" i="54" s="1"/>
  <c r="EQ123" i="54"/>
  <c r="ET123" i="54" s="1"/>
  <c r="EP30" i="54"/>
  <c r="ES30" i="54" s="1"/>
  <c r="EQ118" i="54"/>
  <c r="ET118" i="54" s="1"/>
  <c r="EQ132" i="54"/>
  <c r="ET132" i="54" s="1"/>
  <c r="EQ94" i="54"/>
  <c r="ET94" i="54" s="1"/>
  <c r="EQ93" i="54"/>
  <c r="ET93" i="54" s="1"/>
  <c r="EP37" i="54"/>
  <c r="ES37" i="54" s="1"/>
  <c r="EQ248" i="54"/>
  <c r="ET248" i="54" s="1"/>
  <c r="EQ240" i="54"/>
  <c r="ET240" i="54" s="1"/>
  <c r="EQ201" i="54"/>
  <c r="ET201" i="54" s="1"/>
  <c r="EQ192" i="54"/>
  <c r="ET192" i="54" s="1"/>
  <c r="EQ166" i="54"/>
  <c r="ET166" i="54" s="1"/>
  <c r="EP95" i="54"/>
  <c r="ES95" i="54" s="1"/>
  <c r="EQ52" i="54"/>
  <c r="ET52" i="54" s="1"/>
  <c r="EP128" i="54"/>
  <c r="ES128" i="54" s="1"/>
  <c r="EP169" i="54"/>
  <c r="ES169" i="54" s="1"/>
  <c r="EP178" i="54"/>
  <c r="ES178" i="54" s="1"/>
  <c r="EQ40" i="54"/>
  <c r="ET40" i="54" s="1"/>
  <c r="EP44" i="54"/>
  <c r="ES44" i="54" s="1"/>
  <c r="EQ42" i="54"/>
  <c r="ET42" i="54" s="1"/>
  <c r="EQ252" i="54"/>
  <c r="ET252" i="54" s="1"/>
  <c r="EQ245" i="54"/>
  <c r="ET245" i="54" s="1"/>
  <c r="EQ238" i="54"/>
  <c r="ET238" i="54" s="1"/>
  <c r="EQ152" i="54"/>
  <c r="ET152" i="54" s="1"/>
  <c r="EP150" i="54"/>
  <c r="ES150" i="54" s="1"/>
  <c r="EQ112" i="54"/>
  <c r="ET112" i="54" s="1"/>
  <c r="EP62" i="54"/>
  <c r="ES62" i="54" s="1"/>
  <c r="EQ53" i="54"/>
  <c r="ET53" i="54" s="1"/>
  <c r="EP267" i="54"/>
  <c r="ES267" i="54" s="1"/>
  <c r="EQ51" i="54"/>
  <c r="ET51" i="54" s="1"/>
  <c r="EP262" i="54"/>
  <c r="ES262" i="54" s="1"/>
  <c r="EQ46" i="54"/>
  <c r="ET46" i="54" s="1"/>
  <c r="EP142" i="54"/>
  <c r="ES142" i="54" s="1"/>
  <c r="EP261" i="54"/>
  <c r="ES261" i="54" s="1"/>
  <c r="EQ259" i="54"/>
  <c r="ET259" i="54" s="1"/>
  <c r="EP258" i="54"/>
  <c r="ES258" i="54" s="1"/>
  <c r="EQ244" i="54"/>
  <c r="ET244" i="54" s="1"/>
  <c r="EQ211" i="54"/>
  <c r="ET211" i="54" s="1"/>
  <c r="EP203" i="54"/>
  <c r="ES203" i="54" s="1"/>
  <c r="EP184" i="54"/>
  <c r="ES184" i="54" s="1"/>
  <c r="EQ124" i="54"/>
  <c r="ET124" i="54" s="1"/>
  <c r="EQ58" i="54"/>
  <c r="ET58" i="54" s="1"/>
  <c r="EP14" i="54"/>
  <c r="ES14" i="54" s="1"/>
  <c r="EP15" i="54"/>
  <c r="ES15" i="54" s="1"/>
  <c r="EQ56" i="54"/>
  <c r="ET56" i="54" s="1"/>
  <c r="EP10" i="54"/>
  <c r="ES10" i="54" s="1"/>
  <c r="EQ266" i="54"/>
  <c r="ET266" i="54" s="1"/>
  <c r="EQ265" i="54"/>
  <c r="ET265" i="54" s="1"/>
  <c r="EP264" i="54"/>
  <c r="ES264" i="54" s="1"/>
  <c r="EP171" i="54"/>
  <c r="ES171" i="54" s="1"/>
  <c r="EQ117" i="54"/>
  <c r="ET117" i="54" s="1"/>
  <c r="EP116" i="54"/>
  <c r="ES116" i="54" s="1"/>
  <c r="EQ115" i="54"/>
  <c r="ET115" i="54" s="1"/>
  <c r="EQ64" i="54"/>
  <c r="ET64" i="54" s="1"/>
  <c r="EQ67" i="54"/>
  <c r="ET67" i="54" s="1"/>
  <c r="EP229" i="54"/>
  <c r="ES229" i="54" s="1"/>
  <c r="EQ228" i="54"/>
  <c r="ET228" i="54" s="1"/>
  <c r="EQ208" i="54"/>
  <c r="ET208" i="54" s="1"/>
  <c r="EQ61" i="54"/>
  <c r="ET61" i="54" s="1"/>
  <c r="EQ102" i="54"/>
  <c r="ET102" i="54" s="1"/>
  <c r="EQ23" i="54"/>
  <c r="ET23" i="54" s="1"/>
  <c r="EQ70" i="54"/>
  <c r="ET70" i="54" s="1"/>
  <c r="EQ222" i="54"/>
  <c r="ET222" i="54" s="1"/>
  <c r="EQ167" i="54"/>
  <c r="ET167" i="54" s="1"/>
  <c r="EP183" i="54"/>
  <c r="ES183" i="54" s="1"/>
  <c r="EP182" i="54"/>
  <c r="ES182" i="54" s="1"/>
  <c r="EP181" i="54"/>
  <c r="ES181" i="54" s="1"/>
  <c r="EP173" i="54"/>
  <c r="ES173" i="54" s="1"/>
  <c r="EP134" i="54"/>
  <c r="ES134" i="54" s="1"/>
  <c r="EQ77" i="54"/>
  <c r="ET77" i="54" s="1"/>
  <c r="EQ33" i="54"/>
  <c r="ET33" i="54" s="1"/>
  <c r="EQ24" i="54"/>
  <c r="ET24" i="54" s="1"/>
  <c r="EQ242" i="54"/>
  <c r="ET242" i="54" s="1"/>
  <c r="EQ233" i="54"/>
  <c r="ET233" i="54" s="1"/>
  <c r="EP144" i="54"/>
  <c r="ES144" i="54" s="1"/>
  <c r="EP100" i="54"/>
  <c r="ES100" i="54" s="1"/>
  <c r="EP246" i="54"/>
  <c r="ES246" i="54" s="1"/>
  <c r="EQ71" i="54"/>
  <c r="ET71" i="54" s="1"/>
  <c r="EQ214" i="54"/>
  <c r="ET214" i="54" s="1"/>
  <c r="EQ139" i="54"/>
  <c r="ET139" i="54" s="1"/>
  <c r="EQ131" i="54"/>
  <c r="ET131" i="54" s="1"/>
  <c r="EQ39" i="54"/>
  <c r="ET39" i="54" s="1"/>
  <c r="EP38" i="54"/>
  <c r="ES38" i="54" s="1"/>
  <c r="EQ37" i="54"/>
  <c r="ET37" i="54" s="1"/>
  <c r="EQ247" i="54"/>
  <c r="ET247" i="54" s="1"/>
  <c r="EP239" i="54"/>
  <c r="ES239" i="54" s="1"/>
  <c r="EP232" i="54"/>
  <c r="ES232" i="54" s="1"/>
  <c r="EP166" i="54"/>
  <c r="ES166" i="54" s="1"/>
  <c r="EP103" i="54"/>
  <c r="ES103" i="54" s="1"/>
  <c r="EQ95" i="54"/>
  <c r="ET95" i="54" s="1"/>
  <c r="EP87" i="54"/>
  <c r="ES87" i="54" s="1"/>
  <c r="EQ128" i="54"/>
  <c r="ET128" i="54" s="1"/>
  <c r="EP82" i="54"/>
  <c r="ES82" i="54" s="1"/>
  <c r="EP91" i="54"/>
  <c r="ES91" i="54" s="1"/>
  <c r="EP90" i="54"/>
  <c r="ES90" i="54" s="1"/>
  <c r="EP89" i="54"/>
  <c r="ES89" i="54" s="1"/>
  <c r="EQ207" i="54"/>
  <c r="ET207" i="54" s="1"/>
  <c r="EP199" i="54"/>
  <c r="ES199" i="54" s="1"/>
  <c r="EP198" i="54"/>
  <c r="ES198" i="54" s="1"/>
  <c r="EP197" i="54"/>
  <c r="ES197" i="54" s="1"/>
  <c r="EP151" i="54"/>
  <c r="ES151" i="54" s="1"/>
  <c r="EQ267" i="54"/>
  <c r="ET267" i="54" s="1"/>
  <c r="EP215" i="54"/>
  <c r="ES215" i="54" s="1"/>
  <c r="EQ262" i="54"/>
  <c r="ET262" i="54" s="1"/>
  <c r="EP50" i="54"/>
  <c r="ES50" i="54" s="1"/>
  <c r="EP47" i="54"/>
  <c r="ES47" i="54" s="1"/>
  <c r="EQ261" i="54"/>
  <c r="ET261" i="54" s="1"/>
  <c r="EQ260" i="54"/>
  <c r="ET260" i="54" s="1"/>
  <c r="EP259" i="54"/>
  <c r="ES259" i="54" s="1"/>
  <c r="EP211" i="54"/>
  <c r="ES211" i="54" s="1"/>
  <c r="EQ204" i="54"/>
  <c r="ET204" i="54" s="1"/>
  <c r="EQ203" i="54"/>
  <c r="ET203" i="54" s="1"/>
  <c r="EQ184" i="54"/>
  <c r="ET184" i="54" s="1"/>
  <c r="EP155" i="54"/>
  <c r="ES155" i="54" s="1"/>
  <c r="EP111" i="54"/>
  <c r="ES111" i="54" s="1"/>
  <c r="EP110" i="54"/>
  <c r="ES110" i="54" s="1"/>
  <c r="EP101" i="54"/>
  <c r="ES101" i="54" s="1"/>
  <c r="EQ14" i="54"/>
  <c r="ET14" i="54" s="1"/>
  <c r="EQ13" i="54"/>
  <c r="ET13" i="54" s="1"/>
  <c r="EP268" i="54"/>
  <c r="ES268" i="54" s="1"/>
  <c r="EP231" i="54"/>
  <c r="ES231" i="54" s="1"/>
  <c r="EQ15" i="54"/>
  <c r="ET15" i="54" s="1"/>
  <c r="EP226" i="54"/>
  <c r="ES226" i="54" s="1"/>
  <c r="EQ10" i="54"/>
  <c r="ET10" i="54" s="1"/>
  <c r="EP265" i="54"/>
  <c r="ES265" i="54" s="1"/>
  <c r="EQ264" i="54"/>
  <c r="ET264" i="54" s="1"/>
  <c r="EP216" i="54"/>
  <c r="ES216" i="54" s="1"/>
  <c r="EQ209" i="54"/>
  <c r="ET209" i="54" s="1"/>
  <c r="EP196" i="54"/>
  <c r="ES196" i="54" s="1"/>
  <c r="EQ171" i="54"/>
  <c r="ET171" i="54" s="1"/>
  <c r="EP130" i="54"/>
  <c r="ES130" i="54" s="1"/>
  <c r="EQ116" i="54"/>
  <c r="ET116" i="54" s="1"/>
  <c r="EP115" i="54"/>
  <c r="ES115" i="54" s="1"/>
  <c r="EP67" i="54"/>
  <c r="ES67" i="54" s="1"/>
  <c r="EQ237" i="54"/>
  <c r="ET237" i="54" s="1"/>
  <c r="EP20" i="54"/>
  <c r="ES20" i="54" s="1"/>
  <c r="EP61" i="54"/>
  <c r="ES61" i="54" s="1"/>
  <c r="EQ225" i="54"/>
  <c r="ET225" i="54" s="1"/>
  <c r="EP224" i="54"/>
  <c r="ES224" i="54" s="1"/>
  <c r="EQ223" i="54"/>
  <c r="ET223" i="54" s="1"/>
  <c r="EQ183" i="54"/>
  <c r="ET183" i="54" s="1"/>
  <c r="EQ182" i="54"/>
  <c r="ET182" i="54" s="1"/>
  <c r="EQ134" i="54"/>
  <c r="ET134" i="54" s="1"/>
  <c r="EQ126" i="54"/>
  <c r="ET126" i="54" s="1"/>
  <c r="EQ78" i="54"/>
  <c r="ET78" i="54" s="1"/>
  <c r="EQ22" i="54"/>
  <c r="ET22" i="54" s="1"/>
  <c r="EQ32" i="54"/>
  <c r="ET32" i="54" s="1"/>
  <c r="EQ100" i="54"/>
  <c r="ET100" i="54" s="1"/>
  <c r="EQ205" i="54"/>
  <c r="ET205" i="54" s="1"/>
  <c r="EQ30" i="54"/>
  <c r="ET30" i="54" s="1"/>
  <c r="EP214" i="54"/>
  <c r="ES214" i="54" s="1"/>
  <c r="EP139" i="54"/>
  <c r="ES139" i="54" s="1"/>
  <c r="EP131" i="54"/>
  <c r="ES131" i="54" s="1"/>
  <c r="EP39" i="54"/>
  <c r="ES39" i="54" s="1"/>
  <c r="EQ38" i="54"/>
  <c r="ET38" i="54" s="1"/>
  <c r="EP247" i="54"/>
  <c r="ES247" i="54" s="1"/>
  <c r="EQ239" i="54"/>
  <c r="ET239" i="54" s="1"/>
  <c r="EP194" i="54"/>
  <c r="ES194" i="54" s="1"/>
  <c r="EQ87" i="54"/>
  <c r="ET87" i="54" s="1"/>
  <c r="EP35" i="54"/>
  <c r="ES35" i="54" s="1"/>
  <c r="EQ82" i="54"/>
  <c r="ET82" i="54" s="1"/>
  <c r="EP98" i="54"/>
  <c r="ES98" i="54" s="1"/>
  <c r="EQ90" i="54"/>
  <c r="ET90" i="54" s="1"/>
  <c r="EQ89" i="54"/>
  <c r="ET89" i="54" s="1"/>
  <c r="EP41" i="54"/>
  <c r="ES41" i="54" s="1"/>
  <c r="EQ255" i="54"/>
  <c r="ET255" i="54" s="1"/>
  <c r="EP254" i="54"/>
  <c r="ES254" i="54" s="1"/>
  <c r="EQ253" i="54"/>
  <c r="ET253" i="54" s="1"/>
  <c r="EP238" i="54"/>
  <c r="ES238" i="54" s="1"/>
  <c r="EP206" i="54"/>
  <c r="ES206" i="54" s="1"/>
  <c r="EQ198" i="54"/>
  <c r="ET198" i="54" s="1"/>
  <c r="EQ197" i="54"/>
  <c r="ET197" i="54" s="1"/>
  <c r="EP149" i="54"/>
  <c r="ES149" i="54" s="1"/>
  <c r="EQ62" i="54"/>
  <c r="ET62" i="54" s="1"/>
  <c r="EP54" i="54"/>
  <c r="ES54" i="54" s="1"/>
  <c r="EP174" i="54"/>
  <c r="ES174" i="54" s="1"/>
  <c r="EQ215" i="54"/>
  <c r="ET215" i="54" s="1"/>
  <c r="EQ47" i="54"/>
  <c r="ET47" i="54" s="1"/>
  <c r="EP260" i="54"/>
  <c r="ES260" i="54" s="1"/>
  <c r="EQ258" i="54"/>
  <c r="ET258" i="54" s="1"/>
  <c r="EP158" i="54"/>
  <c r="ES158" i="54" s="1"/>
  <c r="EQ157" i="54"/>
  <c r="ET157" i="54" s="1"/>
  <c r="EQ111" i="54"/>
  <c r="ET111" i="54" s="1"/>
  <c r="EQ109" i="54"/>
  <c r="ET109" i="54" s="1"/>
  <c r="EP58" i="54"/>
  <c r="ES58" i="54" s="1"/>
  <c r="EP21" i="54"/>
  <c r="ES21" i="54" s="1"/>
  <c r="EP12" i="54"/>
  <c r="ES12" i="54" s="1"/>
  <c r="EQ268" i="54"/>
  <c r="ET268" i="54" s="1"/>
  <c r="EQ231" i="54"/>
  <c r="ET231" i="54" s="1"/>
  <c r="EP179" i="54"/>
  <c r="ES179" i="54" s="1"/>
  <c r="EQ226" i="54"/>
  <c r="ET226" i="54" s="1"/>
  <c r="EQ216" i="54"/>
  <c r="ET216" i="54" s="1"/>
  <c r="EQ196" i="54"/>
  <c r="ET196" i="54" s="1"/>
  <c r="EQ163" i="54"/>
  <c r="ET163" i="54" s="1"/>
  <c r="EQ162" i="54"/>
  <c r="ET162" i="54" s="1"/>
  <c r="EP161" i="54"/>
  <c r="ES161" i="54" s="1"/>
  <c r="EQ114" i="54"/>
  <c r="ET114" i="54" s="1"/>
  <c r="EQ59" i="54"/>
  <c r="ET59" i="54" s="1"/>
  <c r="EP227" i="54"/>
  <c r="ES227" i="54" s="1"/>
  <c r="EP236" i="54"/>
  <c r="ES236" i="54" s="1"/>
  <c r="EQ20" i="54"/>
  <c r="ET20" i="54" s="1"/>
  <c r="EQ224" i="54"/>
  <c r="ET224" i="54" s="1"/>
  <c r="EP223" i="54"/>
  <c r="ES223" i="54" s="1"/>
  <c r="EP175" i="54"/>
  <c r="ES175" i="54" s="1"/>
  <c r="EP167" i="54"/>
  <c r="ES167" i="54" s="1"/>
  <c r="EQ119" i="54"/>
  <c r="ET119" i="54" s="1"/>
  <c r="EQ74" i="54"/>
  <c r="ET74" i="54" s="1"/>
  <c r="EQ65" i="54"/>
  <c r="ET65" i="54" s="1"/>
  <c r="EP11" i="54"/>
  <c r="ES11" i="54" s="1"/>
  <c r="EQ189" i="54"/>
  <c r="ET189" i="54" s="1"/>
  <c r="EP188" i="54"/>
  <c r="ES188" i="54" s="1"/>
  <c r="EP160" i="54"/>
  <c r="ES160" i="54" s="1"/>
  <c r="EQ25" i="54"/>
  <c r="ET25" i="54" s="1"/>
  <c r="EQ66" i="54"/>
  <c r="ET66" i="54" s="1"/>
  <c r="EQ34" i="54"/>
  <c r="ET34" i="54" s="1"/>
  <c r="EP122" i="54"/>
  <c r="ES122" i="54" s="1"/>
  <c r="EP121" i="54"/>
  <c r="ES121" i="54" s="1"/>
  <c r="EP120" i="54"/>
  <c r="ES120" i="54" s="1"/>
  <c r="EP119" i="54"/>
  <c r="ES119" i="54" s="1"/>
  <c r="EP73" i="54"/>
  <c r="ES73" i="54" s="1"/>
  <c r="EP16" i="54"/>
  <c r="ES16" i="54" s="1"/>
  <c r="EP19" i="54"/>
  <c r="ES19" i="54" s="1"/>
  <c r="EQ187" i="54"/>
  <c r="ET187" i="54" s="1"/>
  <c r="EQ186" i="54"/>
  <c r="ET186" i="54" s="1"/>
  <c r="EQ160" i="54"/>
  <c r="ET160" i="54" s="1"/>
  <c r="EQ241" i="54"/>
  <c r="ET241" i="54" s="1"/>
  <c r="EP25" i="54"/>
  <c r="ES25" i="54" s="1"/>
  <c r="EP176" i="54"/>
  <c r="ES176" i="54" s="1"/>
  <c r="EQ122" i="54"/>
  <c r="ET122" i="54" s="1"/>
  <c r="EQ120" i="54"/>
  <c r="ET120" i="54" s="1"/>
  <c r="EP72" i="54"/>
  <c r="ES72" i="54" s="1"/>
  <c r="EQ27" i="54"/>
  <c r="ET27" i="54" s="1"/>
  <c r="EP18" i="54"/>
  <c r="ES18" i="54" s="1"/>
  <c r="EQ188" i="54"/>
  <c r="ET188" i="54" s="1"/>
  <c r="EP187" i="54"/>
  <c r="ES187" i="54" s="1"/>
  <c r="EP200" i="54"/>
  <c r="ES200" i="54" s="1"/>
  <c r="EP241" i="54"/>
  <c r="ES241" i="54" s="1"/>
  <c r="EP177" i="54"/>
  <c r="ES177" i="54" s="1"/>
  <c r="EQ168" i="54"/>
  <c r="ET168" i="54" s="1"/>
  <c r="EP129" i="54"/>
  <c r="ES129" i="54" s="1"/>
  <c r="EQ16" i="54"/>
  <c r="ET16" i="54" s="1"/>
  <c r="EP26" i="54"/>
  <c r="ES26" i="54" s="1"/>
  <c r="EP186" i="54"/>
  <c r="ES186" i="54" s="1"/>
  <c r="EP185" i="54"/>
  <c r="ES185" i="54" s="1"/>
  <c r="EP159" i="54"/>
  <c r="ES159" i="54" s="1"/>
  <c r="EQ200" i="54"/>
  <c r="ET200" i="54" s="1"/>
  <c r="EP154" i="54"/>
  <c r="ES154" i="54" s="1"/>
  <c r="EQ202" i="54"/>
  <c r="ET202" i="54" s="1"/>
  <c r="EQ121" i="54"/>
  <c r="ET121" i="54" s="1"/>
  <c r="EP76" i="54"/>
  <c r="ES76" i="54" s="1"/>
  <c r="EP75" i="54"/>
  <c r="ES75" i="54" s="1"/>
  <c r="EQ73" i="54"/>
  <c r="ET73" i="54" s="1"/>
  <c r="EQ26" i="54"/>
  <c r="ET26" i="54" s="1"/>
  <c r="EQ18" i="54"/>
  <c r="ET18" i="54" s="1"/>
  <c r="EQ11" i="54"/>
  <c r="ET11" i="54" s="1"/>
  <c r="EQ159" i="54"/>
  <c r="ET159" i="54" s="1"/>
  <c r="EP107" i="54"/>
  <c r="ES107" i="54" s="1"/>
  <c r="EQ154" i="54"/>
  <c r="ET154" i="54" s="1"/>
  <c r="EP250" i="54"/>
  <c r="ES250" i="54" s="1"/>
  <c r="EP34" i="54"/>
  <c r="ES34" i="54" s="1"/>
  <c r="EQ175" i="54"/>
  <c r="ET175" i="54" s="1"/>
  <c r="EQ136" i="54"/>
  <c r="ET136" i="54" s="1"/>
  <c r="EQ76" i="54"/>
  <c r="ET76" i="54" s="1"/>
  <c r="EQ75" i="54"/>
  <c r="ET75" i="54" s="1"/>
  <c r="EP74" i="54"/>
  <c r="ES74" i="54" s="1"/>
  <c r="EP65" i="54"/>
  <c r="ES65" i="54" s="1"/>
  <c r="EP189" i="54"/>
  <c r="ES189" i="54" s="1"/>
  <c r="EQ185" i="54"/>
  <c r="ET185" i="54" s="1"/>
  <c r="EP66" i="54"/>
  <c r="ES66" i="54" s="1"/>
  <c r="EQ107" i="54"/>
  <c r="ET107" i="54" s="1"/>
  <c r="EQ250" i="54"/>
  <c r="ET250" i="54" s="1"/>
  <c r="GC20" i="54"/>
  <c r="GB19" i="54"/>
  <c r="GD19" i="54" s="1"/>
  <c r="FY20" i="54" s="1"/>
  <c r="DC66" i="54"/>
  <c r="DA66" i="54"/>
  <c r="DB67" i="54" s="1"/>
  <c r="D1403" i="57"/>
  <c r="D2477" i="57"/>
  <c r="D507" i="57"/>
  <c r="D91" i="57"/>
  <c r="D387" i="57"/>
  <c r="D615" i="57"/>
  <c r="D564" i="57"/>
  <c r="D606" i="57"/>
  <c r="D583" i="57"/>
  <c r="D244" i="57"/>
  <c r="D1391" i="57"/>
  <c r="D1090" i="57"/>
  <c r="D1291" i="57"/>
  <c r="D1067" i="57"/>
  <c r="D434" i="57"/>
  <c r="D165" i="57"/>
  <c r="D452" i="57"/>
  <c r="D1286" i="57"/>
  <c r="D41" i="57"/>
  <c r="D1152" i="57"/>
  <c r="D43" i="57"/>
  <c r="D470" i="57"/>
  <c r="D201" i="57"/>
  <c r="D488" i="57"/>
  <c r="D57" i="57"/>
  <c r="D151" i="57"/>
  <c r="D93" i="57"/>
  <c r="D380" i="57"/>
  <c r="D116" i="57"/>
  <c r="D463" i="57"/>
  <c r="D129" i="57"/>
  <c r="D481" i="57"/>
  <c r="D506" i="57"/>
  <c r="D398" i="57"/>
  <c r="D416" i="57"/>
  <c r="D1310" i="57"/>
  <c r="D12" i="57"/>
  <c r="G12" i="57" s="1" a="1"/>
  <c r="G12" i="57" s="1"/>
  <c r="D84" i="57"/>
  <c r="D690" i="57"/>
  <c r="D966" i="57"/>
  <c r="D652" i="57"/>
  <c r="D805" i="57"/>
  <c r="D1131" i="57"/>
  <c r="D843" i="57"/>
  <c r="D1381" i="57"/>
  <c r="D1399" i="57"/>
  <c r="D1388" i="57"/>
  <c r="D1409" i="57"/>
  <c r="D55" i="57"/>
  <c r="D80" i="57"/>
  <c r="D181" i="57"/>
  <c r="D754" i="57"/>
  <c r="D718" i="57"/>
  <c r="D672" i="57"/>
  <c r="D302" i="57"/>
  <c r="D136" i="57"/>
  <c r="D208" i="57"/>
  <c r="D995" i="57"/>
  <c r="D1369" i="57"/>
  <c r="D825" i="57"/>
  <c r="D337" i="57"/>
  <c r="D56" i="57"/>
  <c r="D521" i="57"/>
  <c r="D189" i="57"/>
  <c r="D700" i="57"/>
  <c r="D248" i="57"/>
  <c r="D669" i="57"/>
  <c r="D492" i="57"/>
  <c r="D832" i="57"/>
  <c r="D448" i="57"/>
  <c r="D1018" i="57"/>
  <c r="D293" i="57"/>
  <c r="D988" i="57"/>
  <c r="D739" i="57"/>
  <c r="D437" i="57"/>
  <c r="D886" i="57"/>
  <c r="D958" i="57"/>
  <c r="D375" i="57"/>
  <c r="D1223" i="57"/>
  <c r="D1308" i="57"/>
  <c r="D821" i="57"/>
  <c r="D1037" i="57"/>
  <c r="D709" i="57"/>
  <c r="D1280" i="57"/>
  <c r="D1128" i="57"/>
  <c r="D1327" i="57"/>
  <c r="D22" i="57"/>
  <c r="G22" i="57" s="1" a="1"/>
  <c r="G22" i="57" s="1"/>
  <c r="D389" i="57"/>
  <c r="D159" i="57"/>
  <c r="D599" i="57"/>
  <c r="D101" i="57"/>
  <c r="D555" i="57"/>
  <c r="D964" i="57"/>
  <c r="D898" i="57"/>
  <c r="D868" i="57"/>
  <c r="D540" i="57"/>
  <c r="D238" i="57"/>
  <c r="D249" i="57"/>
  <c r="D738" i="57"/>
  <c r="D649" i="57"/>
  <c r="D517" i="57"/>
  <c r="D1028" i="57"/>
  <c r="D828" i="57"/>
  <c r="D769" i="57"/>
  <c r="D730" i="57"/>
  <c r="D889" i="57"/>
  <c r="D741" i="57"/>
  <c r="D759" i="57"/>
  <c r="D678" i="57"/>
  <c r="D339" i="57"/>
  <c r="D391" i="57"/>
  <c r="D89" i="57"/>
  <c r="D385" i="57"/>
  <c r="D212" i="57"/>
  <c r="D77" i="57"/>
  <c r="D219" i="57"/>
  <c r="D163" i="57"/>
  <c r="D317" i="57"/>
  <c r="D169" i="57"/>
  <c r="D668" i="57"/>
  <c r="D305" i="57"/>
  <c r="D591" i="57"/>
  <c r="D572" i="57"/>
  <c r="D278" i="57"/>
  <c r="D232" i="57"/>
  <c r="D441" i="57"/>
  <c r="D728" i="57"/>
  <c r="D342" i="57"/>
  <c r="D850" i="57"/>
  <c r="D990" i="57"/>
  <c r="D108" i="57"/>
  <c r="D1009" i="57"/>
  <c r="D750" i="57"/>
  <c r="D667" i="57"/>
  <c r="D864" i="57"/>
  <c r="D1021" i="57"/>
  <c r="D768" i="57"/>
  <c r="D897" i="57"/>
  <c r="D526" i="57"/>
  <c r="D1033" i="57"/>
  <c r="D1283" i="57"/>
  <c r="D1193" i="57"/>
  <c r="D445" i="57"/>
  <c r="D164" i="57"/>
  <c r="D453" i="57"/>
  <c r="D359" i="57"/>
  <c r="D561" i="57"/>
  <c r="D970" i="57"/>
  <c r="D330" i="57"/>
  <c r="D629" i="57"/>
  <c r="D96" i="57"/>
  <c r="D880" i="57"/>
  <c r="D585" i="57"/>
  <c r="D365" i="57"/>
  <c r="D280" i="57"/>
  <c r="D1002" i="57"/>
  <c r="D658" i="57"/>
  <c r="D900" i="57"/>
  <c r="D841" i="57"/>
  <c r="D814" i="57"/>
  <c r="D226" i="57"/>
  <c r="D788" i="57"/>
  <c r="D1004" i="57"/>
  <c r="D837" i="57"/>
  <c r="D909" i="57"/>
  <c r="D1055" i="57"/>
  <c r="D915" i="57"/>
  <c r="D187" i="57"/>
  <c r="D171" i="57"/>
  <c r="D134" i="57"/>
  <c r="D203" i="57"/>
  <c r="D494" i="57"/>
  <c r="D726" i="57"/>
  <c r="D178" i="57"/>
  <c r="D246" i="57"/>
  <c r="D191" i="57"/>
  <c r="D630" i="57"/>
  <c r="D1160" i="57"/>
  <c r="D694" i="57"/>
  <c r="D924" i="57"/>
  <c r="D504" i="57"/>
  <c r="D763" i="57"/>
  <c r="D535" i="57"/>
  <c r="D1034" i="57"/>
  <c r="D1185" i="57"/>
  <c r="D923" i="57"/>
  <c r="D1109" i="57"/>
  <c r="D819" i="57"/>
  <c r="D1025" i="57"/>
  <c r="D977" i="57"/>
  <c r="D879" i="57"/>
  <c r="D1336" i="57"/>
  <c r="D1192" i="57"/>
  <c r="D1126" i="57"/>
  <c r="D346" i="57"/>
  <c r="D424" i="57"/>
  <c r="D815" i="57"/>
  <c r="D911" i="57"/>
  <c r="D1080" i="57"/>
  <c r="D1293" i="57"/>
  <c r="D1097" i="57"/>
  <c r="D1378" i="57"/>
  <c r="D1423" i="57"/>
  <c r="D1277" i="57"/>
  <c r="D1019" i="57"/>
  <c r="D1427" i="57"/>
  <c r="D1031" i="57"/>
  <c r="D773" i="57"/>
  <c r="D1340" i="57"/>
  <c r="D1438" i="57"/>
  <c r="D1202" i="57"/>
  <c r="D1082" i="57"/>
  <c r="D653" i="57"/>
  <c r="D1072" i="57"/>
  <c r="D926" i="57"/>
  <c r="D869" i="57"/>
  <c r="D1102" i="57"/>
  <c r="D2435" i="57"/>
  <c r="D1445" i="57"/>
  <c r="D1008" i="57"/>
  <c r="D1252" i="57"/>
  <c r="D259" i="57"/>
  <c r="D272" i="57"/>
  <c r="D104" i="57"/>
  <c r="D54" i="57"/>
  <c r="D735" i="57"/>
  <c r="D928" i="57"/>
  <c r="D862" i="57"/>
  <c r="D95" i="57"/>
  <c r="D582" i="57"/>
  <c r="D859" i="57"/>
  <c r="D996" i="57"/>
  <c r="D753" i="57"/>
  <c r="D237" i="57"/>
  <c r="D18" i="57"/>
  <c r="G18" i="57" s="1" a="1"/>
  <c r="G18" i="57" s="1"/>
  <c r="D211" i="57"/>
  <c r="D146" i="57"/>
  <c r="D229" i="57"/>
  <c r="D197" i="57"/>
  <c r="D185" i="57"/>
  <c r="D14" i="57"/>
  <c r="G14" i="57" s="1" a="1"/>
  <c r="G14" i="57" s="1"/>
  <c r="D338" i="57"/>
  <c r="D299" i="57"/>
  <c r="D35" i="57"/>
  <c r="D37" i="57"/>
  <c r="D325" i="57"/>
  <c r="D206" i="57"/>
  <c r="D31" i="57"/>
  <c r="D247" i="57"/>
  <c r="D265" i="57"/>
  <c r="D224" i="57"/>
  <c r="D366" i="57"/>
  <c r="D1042" i="57"/>
  <c r="D19" i="57"/>
  <c r="G19" i="57" s="1" a="1"/>
  <c r="G19" i="57" s="1"/>
  <c r="D70" i="57"/>
  <c r="D588" i="57"/>
  <c r="D579" i="57"/>
  <c r="D118" i="57"/>
  <c r="D63" i="57"/>
  <c r="D675" i="57"/>
  <c r="D324" i="57"/>
  <c r="D532" i="57"/>
  <c r="D607" i="57"/>
  <c r="D702" i="57"/>
  <c r="D334" i="57"/>
  <c r="D878" i="57"/>
  <c r="D487" i="57"/>
  <c r="D912" i="57"/>
  <c r="D386" i="57"/>
  <c r="D286" i="57"/>
  <c r="D717" i="57"/>
  <c r="D666" i="57"/>
  <c r="D906" i="57"/>
  <c r="D888" i="57"/>
  <c r="D546" i="57"/>
  <c r="D697" i="57"/>
  <c r="D111" i="57"/>
  <c r="D51" i="57"/>
  <c r="D273" i="57"/>
  <c r="D81" i="57"/>
  <c r="D69" i="57"/>
  <c r="D505" i="57"/>
  <c r="D327" i="57"/>
  <c r="D597" i="57"/>
  <c r="D340" i="57"/>
  <c r="D723" i="57"/>
  <c r="D1003" i="57"/>
  <c r="D877" i="57"/>
  <c r="D1241" i="57"/>
  <c r="D1144" i="57"/>
  <c r="D1361" i="57"/>
  <c r="D350" i="57"/>
  <c r="D368" i="57"/>
  <c r="D395" i="57"/>
  <c r="D884" i="57"/>
  <c r="D695" i="57"/>
  <c r="D661" i="57"/>
  <c r="D1093" i="57"/>
  <c r="D1145" i="57"/>
  <c r="D1296" i="57"/>
  <c r="D866" i="57"/>
  <c r="D1275" i="57"/>
  <c r="D383" i="57"/>
  <c r="D1392" i="57"/>
  <c r="D1404" i="57"/>
  <c r="D1038" i="57"/>
  <c r="D1333" i="57"/>
  <c r="D1218" i="57"/>
  <c r="D1406" i="57"/>
  <c r="D794" i="57"/>
  <c r="D1329" i="57"/>
  <c r="D1407" i="57"/>
  <c r="D1367" i="57"/>
  <c r="D714" i="57"/>
  <c r="D776" i="57"/>
  <c r="D803" i="57"/>
  <c r="D1056" i="57"/>
  <c r="D1157" i="57"/>
  <c r="D856" i="57"/>
  <c r="D976" i="57"/>
  <c r="D410" i="57"/>
  <c r="D466" i="57"/>
  <c r="D328" i="57"/>
  <c r="D840" i="57"/>
  <c r="D921" i="57"/>
  <c r="D903" i="57"/>
  <c r="D1049" i="57"/>
  <c r="D223" i="57"/>
  <c r="D97" i="57"/>
  <c r="D86" i="57"/>
  <c r="D130" i="57"/>
  <c r="D143" i="57"/>
  <c r="D83" i="57"/>
  <c r="D209" i="57"/>
  <c r="D162" i="57"/>
  <c r="D102" i="57"/>
  <c r="D1015" i="57"/>
  <c r="D311" i="57"/>
  <c r="D917" i="57"/>
  <c r="D1244" i="57"/>
  <c r="D902" i="57"/>
  <c r="D1358" i="57"/>
  <c r="D1174" i="57"/>
  <c r="D1379" i="57"/>
  <c r="D1200" i="57"/>
  <c r="D1400" i="57"/>
  <c r="D516" i="57"/>
  <c r="D1319" i="57"/>
  <c r="D1262" i="57"/>
  <c r="D374" i="57"/>
  <c r="D560" i="57"/>
  <c r="D680" i="57"/>
  <c r="D279" i="57"/>
  <c r="D518" i="57"/>
  <c r="D620" i="57"/>
  <c r="D124" i="57"/>
  <c r="D688" i="57"/>
  <c r="D670" i="57"/>
  <c r="D351" i="57"/>
  <c r="D747" i="57"/>
  <c r="D1394" i="57"/>
  <c r="D1066" i="57"/>
  <c r="D447" i="57"/>
  <c r="D1265" i="57"/>
  <c r="D1390" i="57"/>
  <c r="D1129" i="57"/>
  <c r="D1000" i="57"/>
  <c r="D1016" i="57"/>
  <c r="D1302" i="57"/>
  <c r="D1007" i="57"/>
  <c r="D1092" i="57"/>
  <c r="D1266" i="57"/>
  <c r="D914" i="57"/>
  <c r="D440" i="57"/>
  <c r="D845" i="57"/>
  <c r="D1287" i="57"/>
  <c r="D1443" i="57"/>
  <c r="D1005" i="57"/>
  <c r="D801" i="57"/>
  <c r="D1405" i="57"/>
  <c r="D367" i="57"/>
  <c r="D1429" i="57"/>
  <c r="D1142" i="57"/>
  <c r="D1064" i="57"/>
  <c r="D1282" i="57"/>
  <c r="D755" i="57"/>
  <c r="D1260" i="57"/>
  <c r="D1249" i="57"/>
  <c r="D419" i="57"/>
  <c r="D1119" i="57"/>
  <c r="D1048" i="57"/>
  <c r="D1373" i="57"/>
  <c r="D1116" i="57"/>
  <c r="D983" i="57"/>
  <c r="D190" i="57"/>
  <c r="D770" i="57"/>
  <c r="D855" i="57"/>
  <c r="D1301" i="57"/>
  <c r="D1397" i="57"/>
  <c r="D934" i="57"/>
  <c r="D432" i="57"/>
  <c r="D604" i="57"/>
  <c r="D774" i="57"/>
  <c r="D568" i="57"/>
  <c r="D454" i="57"/>
  <c r="D806" i="57"/>
  <c r="D613" i="57"/>
  <c r="D476" i="57"/>
  <c r="D531" i="57"/>
  <c r="D184" i="57"/>
  <c r="D687" i="57"/>
  <c r="D624" i="57"/>
  <c r="D186" i="57"/>
  <c r="D810" i="57"/>
  <c r="D640" i="57"/>
  <c r="D752" i="57"/>
  <c r="D1263" i="57"/>
  <c r="D715" i="57"/>
  <c r="D1342" i="57"/>
  <c r="D1338" i="57"/>
  <c r="D1098" i="57"/>
  <c r="D1305" i="57"/>
  <c r="D1205" i="57"/>
  <c r="D1417" i="57"/>
  <c r="D1435" i="57"/>
  <c r="D1297" i="57"/>
  <c r="D1237" i="57"/>
  <c r="D1164" i="57"/>
  <c r="D1343" i="57"/>
  <c r="D458" i="57"/>
  <c r="D989" i="57"/>
  <c r="D1162" i="57"/>
  <c r="D1074" i="57"/>
  <c r="D1070" i="57"/>
  <c r="D250" i="57"/>
  <c r="D625" i="57"/>
  <c r="D1258" i="57"/>
  <c r="D1071" i="57"/>
  <c r="D1117" i="57"/>
  <c r="D1159" i="57"/>
  <c r="D1201" i="57"/>
  <c r="D1172" i="57"/>
  <c r="D1132" i="57"/>
  <c r="D1375" i="57"/>
  <c r="D761" i="57"/>
  <c r="D420" i="57"/>
  <c r="D587" i="57"/>
  <c r="D1408" i="57"/>
  <c r="D1158" i="57"/>
  <c r="D1430" i="57"/>
  <c r="D1235" i="57"/>
  <c r="D1178" i="57"/>
  <c r="D1151" i="57"/>
  <c r="D1234" i="57"/>
  <c r="D1171" i="57"/>
  <c r="D1383" i="57"/>
  <c r="D1357" i="57"/>
  <c r="D1444" i="57"/>
  <c r="D1088" i="57"/>
  <c r="D1111" i="57"/>
  <c r="D1125" i="57"/>
  <c r="D533" i="57"/>
  <c r="D1044" i="57"/>
  <c r="D1122" i="57"/>
  <c r="D1065" i="57"/>
  <c r="D1316" i="57"/>
  <c r="D1389" i="57"/>
  <c r="D1355" i="57"/>
  <c r="D562" i="57"/>
  <c r="D571" i="57"/>
  <c r="D393" i="57"/>
  <c r="D777" i="57"/>
  <c r="D352" i="57"/>
  <c r="D1328" i="57"/>
  <c r="D1259" i="57"/>
  <c r="D1364" i="57"/>
  <c r="D746" i="57"/>
  <c r="D1083" i="57"/>
  <c r="D1227" i="57"/>
  <c r="D1387" i="57"/>
  <c r="D1272" i="57"/>
  <c r="D1370" i="57"/>
  <c r="D951" i="57"/>
  <c r="D793" i="57"/>
  <c r="D918" i="57"/>
  <c r="D1248" i="57"/>
  <c r="D703" i="57"/>
  <c r="D214" i="57"/>
  <c r="D813" i="57"/>
  <c r="D144" i="57"/>
  <c r="D547" i="57"/>
  <c r="D1213" i="57"/>
  <c r="D1224" i="57"/>
  <c r="D1156" i="57"/>
  <c r="D489" i="57"/>
  <c r="D1396" i="57"/>
  <c r="D920" i="57"/>
  <c r="D1139" i="57"/>
  <c r="D396" i="57"/>
  <c r="D891" i="57"/>
  <c r="D764" i="57"/>
  <c r="D357" i="57"/>
  <c r="D863" i="57"/>
  <c r="D139" i="57"/>
  <c r="D79" i="57"/>
  <c r="D295" i="57"/>
  <c r="D52" i="57"/>
  <c r="D207" i="57"/>
  <c r="D403" i="57"/>
  <c r="D113" i="57"/>
  <c r="D469" i="57"/>
  <c r="D177" i="57"/>
  <c r="D23" i="57"/>
  <c r="G23" i="57" s="1" a="1"/>
  <c r="G23" i="57" s="1"/>
  <c r="D126" i="57"/>
  <c r="D748" i="57"/>
  <c r="D268" i="57"/>
  <c r="D132" i="57"/>
  <c r="D477" i="57"/>
  <c r="D654" i="57"/>
  <c r="D222" i="57"/>
  <c r="D431" i="57"/>
  <c r="D514" i="57"/>
  <c r="D645" i="57"/>
  <c r="D456" i="57"/>
  <c r="D341" i="57"/>
  <c r="D808" i="57"/>
  <c r="D816" i="57"/>
  <c r="D930" i="57"/>
  <c r="D480" i="57"/>
  <c r="D641" i="57"/>
  <c r="D885" i="57"/>
  <c r="D1077" i="57"/>
  <c r="D1167" i="57"/>
  <c r="D1344" i="57"/>
  <c r="D1222" i="57"/>
  <c r="D1084" i="57"/>
  <c r="D971" i="57"/>
  <c r="D1134" i="57"/>
  <c r="D1182" i="57"/>
  <c r="D1363" i="57"/>
  <c r="D1414" i="57"/>
  <c r="D1339" i="57"/>
  <c r="D683" i="57"/>
  <c r="D195" i="57"/>
  <c r="D115" i="57"/>
  <c r="D193" i="57"/>
  <c r="D125" i="57"/>
  <c r="D73" i="57"/>
  <c r="D25" i="57"/>
  <c r="G25" i="57" s="1" a="1"/>
  <c r="G25" i="57" s="1"/>
  <c r="D421" i="57"/>
  <c r="D390" i="57"/>
  <c r="D904" i="57"/>
  <c r="D179" i="57"/>
  <c r="D427" i="57"/>
  <c r="D13" i="57"/>
  <c r="G13" i="57" s="1" a="1"/>
  <c r="G13" i="57" s="1"/>
  <c r="D266" i="57"/>
  <c r="D145" i="57"/>
  <c r="D98" i="57"/>
  <c r="D256" i="57"/>
  <c r="D474" i="57"/>
  <c r="D704" i="57"/>
  <c r="D627" i="57"/>
  <c r="D498" i="57"/>
  <c r="D300" i="57"/>
  <c r="D608" i="57"/>
  <c r="D940" i="57"/>
  <c r="D156" i="57"/>
  <c r="D548" i="57"/>
  <c r="D449" i="57"/>
  <c r="D425" i="57"/>
  <c r="D558" i="57"/>
  <c r="D522" i="57"/>
  <c r="D956" i="57"/>
  <c r="D922" i="57"/>
  <c r="D721" i="57"/>
  <c r="D943" i="57"/>
  <c r="D1100" i="57"/>
  <c r="D549" i="57"/>
  <c r="D329" i="57"/>
  <c r="D804" i="57"/>
  <c r="D981" i="57"/>
  <c r="D1239" i="57"/>
  <c r="D795" i="57"/>
  <c r="D1061" i="57"/>
  <c r="D1177" i="57"/>
  <c r="D647" i="57"/>
  <c r="D1270" i="57"/>
  <c r="D1356" i="57"/>
  <c r="D732" i="57"/>
  <c r="D1199" i="57"/>
  <c r="D1332" i="57"/>
  <c r="D262" i="57"/>
  <c r="D1289" i="57"/>
  <c r="D1415" i="57"/>
  <c r="D1322" i="57"/>
  <c r="D1418" i="57"/>
  <c r="D1442" i="57"/>
  <c r="D303" i="57"/>
  <c r="D1292" i="57"/>
  <c r="D227" i="57"/>
  <c r="D255" i="57"/>
  <c r="D127" i="57"/>
  <c r="D320" i="57"/>
  <c r="D68" i="57"/>
  <c r="D392" i="57"/>
  <c r="D307" i="57"/>
  <c r="D471" i="57"/>
  <c r="D58" i="57"/>
  <c r="D46" i="57"/>
  <c r="D210" i="57"/>
  <c r="D71" i="57"/>
  <c r="D1006" i="57"/>
  <c r="D567" i="57"/>
  <c r="D318" i="57"/>
  <c r="D225" i="57"/>
  <c r="D635" i="57"/>
  <c r="D1040" i="57"/>
  <c r="D594" i="57"/>
  <c r="D473" i="57"/>
  <c r="D822" i="57"/>
  <c r="D824" i="57"/>
  <c r="D712" i="57"/>
  <c r="D936" i="57"/>
  <c r="D382" i="57"/>
  <c r="D689" i="57"/>
  <c r="D1197" i="57"/>
  <c r="D851" i="57"/>
  <c r="D1225" i="57"/>
  <c r="D1017" i="57"/>
  <c r="D1314" i="57"/>
  <c r="D529" i="57"/>
  <c r="D1230" i="57"/>
  <c r="D589" i="57"/>
  <c r="D499" i="57"/>
  <c r="D30" i="57"/>
  <c r="D39" i="57"/>
  <c r="D50" i="57"/>
  <c r="D188" i="57"/>
  <c r="D105" i="57"/>
  <c r="D241" i="57"/>
  <c r="D369" i="57"/>
  <c r="D515" i="57"/>
  <c r="D1012" i="57"/>
  <c r="D239" i="57"/>
  <c r="D40" i="57"/>
  <c r="D628" i="57"/>
  <c r="D882" i="57"/>
  <c r="D1196" i="57"/>
  <c r="D580" i="57"/>
  <c r="D1059" i="57"/>
  <c r="D673" i="57"/>
  <c r="D905" i="57"/>
  <c r="D213" i="57"/>
  <c r="D553" i="57"/>
  <c r="D525" i="57"/>
  <c r="D292" i="57"/>
  <c r="D867" i="57"/>
  <c r="D304" i="57"/>
  <c r="D552" i="57"/>
  <c r="D830" i="57"/>
  <c r="D1331" i="57"/>
  <c r="D312" i="57"/>
  <c r="D510" i="57"/>
  <c r="D66" i="57"/>
  <c r="D706" i="57"/>
  <c r="D59" i="57"/>
  <c r="D172" i="57"/>
  <c r="D938" i="57"/>
  <c r="D94" i="57"/>
  <c r="D103" i="57"/>
  <c r="D28" i="57"/>
  <c r="D242" i="57"/>
  <c r="D152" i="57"/>
  <c r="D528" i="57"/>
  <c r="D287" i="57"/>
  <c r="D263" i="57"/>
  <c r="D534" i="57"/>
  <c r="D835" i="57"/>
  <c r="D288" i="57"/>
  <c r="D88" i="57"/>
  <c r="D676" i="57"/>
  <c r="D853" i="57"/>
  <c r="D634" i="57"/>
  <c r="D598" i="57"/>
  <c r="D1274" i="57"/>
  <c r="D681" i="57"/>
  <c r="D852" i="57"/>
  <c r="D47" i="57"/>
  <c r="D16" i="57"/>
  <c r="D931" i="57"/>
  <c r="D538" i="57"/>
  <c r="D490" i="57"/>
  <c r="D972" i="57"/>
  <c r="D161" i="57"/>
  <c r="D34" i="57"/>
  <c r="D235" i="57"/>
  <c r="D149" i="57"/>
  <c r="D78" i="57"/>
  <c r="D215" i="57"/>
  <c r="D1220" i="57"/>
  <c r="D967" i="57"/>
  <c r="D786" i="57"/>
  <c r="D980" i="57"/>
  <c r="D961" i="57"/>
  <c r="D643" i="57"/>
  <c r="D182" i="57"/>
  <c r="D49" i="57"/>
  <c r="D205" i="57"/>
  <c r="D475" i="57"/>
  <c r="D663" i="57"/>
  <c r="D790" i="57"/>
  <c r="D173" i="57"/>
  <c r="D275" i="57"/>
  <c r="D682" i="57"/>
  <c r="D942" i="57"/>
  <c r="D979" i="57"/>
  <c r="D849" i="57"/>
  <c r="D1349" i="57"/>
  <c r="D218" i="57"/>
  <c r="D199" i="57"/>
  <c r="D122" i="57"/>
  <c r="D446" i="57"/>
  <c r="D17" i="57"/>
  <c r="G17" i="57" s="1" a="1"/>
  <c r="G17" i="57" s="1"/>
  <c r="D699" i="57"/>
  <c r="D484" i="57"/>
  <c r="D336" i="57"/>
  <c r="D543" i="57"/>
  <c r="D944" i="57"/>
  <c r="D960" i="57"/>
  <c r="D180" i="57"/>
  <c r="D858" i="57"/>
  <c r="D616" i="57"/>
  <c r="D876" i="57"/>
  <c r="D817" i="57"/>
  <c r="D298" i="57"/>
  <c r="D619" i="57"/>
  <c r="D962" i="57"/>
  <c r="D321" i="57"/>
  <c r="D854" i="57"/>
  <c r="D1425" i="57"/>
  <c r="D1087" i="57"/>
  <c r="D412" i="57"/>
  <c r="D1212" i="57"/>
  <c r="D1416" i="57"/>
  <c r="D734" i="57"/>
  <c r="D550" i="57"/>
  <c r="D874" i="57"/>
  <c r="D792" i="57"/>
  <c r="D1309" i="57"/>
  <c r="D784" i="57"/>
  <c r="D322" i="57"/>
  <c r="D1313" i="57"/>
  <c r="D947" i="57"/>
  <c r="D148" i="57"/>
  <c r="D1095" i="57"/>
  <c r="D204" i="57"/>
  <c r="D1020" i="57"/>
  <c r="D935" i="57"/>
  <c r="D1206" i="57"/>
  <c r="D260" i="57"/>
  <c r="D907" i="57"/>
  <c r="D974" i="57"/>
  <c r="D1304" i="57"/>
  <c r="D908" i="57"/>
  <c r="D655" i="57"/>
  <c r="D623" i="57"/>
  <c r="D21" i="57"/>
  <c r="G21" i="57" s="1" a="1"/>
  <c r="G21" i="57" s="1"/>
  <c r="D381" i="57"/>
  <c r="D1366" i="57"/>
  <c r="D1385" i="57"/>
  <c r="D1170" i="57"/>
  <c r="D771" i="57"/>
  <c r="D1323" i="57"/>
  <c r="D724" i="57"/>
  <c r="D1243" i="57"/>
  <c r="D200" i="57"/>
  <c r="D946" i="57"/>
  <c r="D314" i="57"/>
  <c r="D539" i="57"/>
  <c r="D720" i="57"/>
  <c r="D883" i="57"/>
  <c r="D559" i="57"/>
  <c r="D865" i="57"/>
  <c r="D590" i="57"/>
  <c r="D618" i="57"/>
  <c r="D781" i="57"/>
  <c r="D997" i="57"/>
  <c r="D1107" i="57"/>
  <c r="D1032" i="57"/>
  <c r="D797" i="57"/>
  <c r="D1318" i="57"/>
  <c r="D1261" i="57"/>
  <c r="D1147" i="57"/>
  <c r="D807" i="57"/>
  <c r="D953" i="57"/>
  <c r="D595" i="57"/>
  <c r="D1011" i="57"/>
  <c r="D430" i="57"/>
  <c r="D408" i="57"/>
  <c r="D150" i="57"/>
  <c r="D660" i="57"/>
  <c r="D751" i="57"/>
  <c r="D789" i="57"/>
  <c r="D1374" i="57"/>
  <c r="D1186" i="57"/>
  <c r="D315" i="57"/>
  <c r="D48" i="57"/>
  <c r="D1347" i="57"/>
  <c r="D1096" i="57"/>
  <c r="D1365" i="57"/>
  <c r="D276" i="57"/>
  <c r="D872" i="57"/>
  <c r="D29" i="57"/>
  <c r="D175" i="57"/>
  <c r="D326" i="57"/>
  <c r="D443" i="57"/>
  <c r="D409" i="57"/>
  <c r="D128" i="57"/>
  <c r="D53" i="57"/>
  <c r="D26" i="57"/>
  <c r="G26" i="57" s="1" a="1"/>
  <c r="G26" i="57" s="1"/>
  <c r="D33" i="57"/>
  <c r="D32" i="57"/>
  <c r="D194" i="57"/>
  <c r="D154" i="57"/>
  <c r="D711" i="57"/>
  <c r="D651" i="57"/>
  <c r="D844" i="57"/>
  <c r="D870" i="57"/>
  <c r="D472" i="57"/>
  <c r="D839" i="57"/>
  <c r="D147" i="57"/>
  <c r="D67" i="57"/>
  <c r="D283" i="57"/>
  <c r="D281" i="57"/>
  <c r="D87" i="57"/>
  <c r="D301" i="57"/>
  <c r="D309" i="57"/>
  <c r="D353" i="57"/>
  <c r="D153" i="57"/>
  <c r="D289" i="57"/>
  <c r="D527" i="57"/>
  <c r="D141" i="57"/>
  <c r="D451" i="57"/>
  <c r="D140" i="57"/>
  <c r="D258" i="57"/>
  <c r="D486" i="57"/>
  <c r="D633" i="57"/>
  <c r="D826" i="57"/>
  <c r="D270" i="57"/>
  <c r="D345" i="57"/>
  <c r="D438" i="57"/>
  <c r="D796" i="57"/>
  <c r="D285" i="57"/>
  <c r="D982" i="57"/>
  <c r="D233" i="57"/>
  <c r="D952" i="57"/>
  <c r="D422" i="57"/>
  <c r="D358" i="57"/>
  <c r="D778" i="57"/>
  <c r="D762" i="57"/>
  <c r="D685" i="57"/>
  <c r="D919" i="57"/>
  <c r="D64" i="57"/>
  <c r="D636" i="57"/>
  <c r="D659" i="57"/>
  <c r="D631" i="57"/>
  <c r="D1058" i="57"/>
  <c r="D742" i="57"/>
  <c r="D756" i="57"/>
  <c r="D913" i="57"/>
  <c r="D932" i="57"/>
  <c r="D861" i="57"/>
  <c r="D1251" i="57"/>
  <c r="D779" i="57"/>
  <c r="D483" i="57"/>
  <c r="D831" i="57"/>
  <c r="D642" i="57"/>
  <c r="D1169" i="57"/>
  <c r="D927" i="57"/>
  <c r="D1271" i="57"/>
  <c r="D1079" i="57"/>
  <c r="D1354" i="57"/>
  <c r="D1350" i="57"/>
  <c r="D1299" i="57"/>
  <c r="D1195" i="57"/>
  <c r="D701" i="57"/>
  <c r="D749" i="57"/>
  <c r="D183" i="57"/>
  <c r="D38" i="57"/>
  <c r="D254" i="57"/>
  <c r="D335" i="57"/>
  <c r="D123" i="57"/>
  <c r="D363" i="57"/>
  <c r="D135" i="57"/>
  <c r="D271" i="57"/>
  <c r="D176" i="57"/>
  <c r="D500" i="57"/>
  <c r="D563" i="57"/>
  <c r="D117" i="57"/>
  <c r="D109" i="57"/>
  <c r="D202" i="57"/>
  <c r="D596" i="57"/>
  <c r="D192" i="57"/>
  <c r="D519" i="57"/>
  <c r="D569" i="57"/>
  <c r="D60" i="57"/>
  <c r="D423" i="57"/>
  <c r="D155" i="57"/>
  <c r="D716" i="57"/>
  <c r="D306" i="57"/>
  <c r="D228" i="57"/>
  <c r="D333" i="57"/>
  <c r="D444" i="57"/>
  <c r="D245" i="57"/>
  <c r="D402" i="57"/>
  <c r="D656" i="57"/>
  <c r="D65" i="57"/>
  <c r="D554" i="57"/>
  <c r="D160" i="57"/>
  <c r="D684" i="57"/>
  <c r="D937" i="57"/>
  <c r="D1094" i="57"/>
  <c r="D511" i="57"/>
  <c r="D894" i="57"/>
  <c r="D968" i="57"/>
  <c r="D1208" i="57"/>
  <c r="D949" i="57"/>
  <c r="D570" i="57"/>
  <c r="D401" i="57"/>
  <c r="D586" i="57"/>
  <c r="D1041" i="57"/>
  <c r="D1257" i="57"/>
  <c r="D1155" i="57"/>
  <c r="D1209" i="57"/>
  <c r="D1001" i="57"/>
  <c r="D541" i="57"/>
  <c r="D1127" i="57"/>
  <c r="D833" i="57"/>
  <c r="D1010" i="57"/>
  <c r="D999" i="57"/>
  <c r="D373" i="57"/>
  <c r="D92" i="57"/>
  <c r="D417" i="57"/>
  <c r="D158" i="57"/>
  <c r="D24" i="57"/>
  <c r="G24" i="57" s="1" a="1"/>
  <c r="G24" i="57" s="1"/>
  <c r="D557" i="57"/>
  <c r="D277" i="57"/>
  <c r="D170" i="57"/>
  <c r="D257" i="57"/>
  <c r="D632" i="57"/>
  <c r="D251" i="57"/>
  <c r="D356" i="57"/>
  <c r="D617" i="57"/>
  <c r="D142" i="57"/>
  <c r="D705" i="57"/>
  <c r="D575" i="57"/>
  <c r="D536" i="57"/>
  <c r="D72" i="57"/>
  <c r="D600" i="57"/>
  <c r="D414" i="57"/>
  <c r="D282" i="57"/>
  <c r="D167" i="57"/>
  <c r="D407" i="57"/>
  <c r="D107" i="57"/>
  <c r="D692" i="57"/>
  <c r="D36" i="57"/>
  <c r="D662" i="57"/>
  <c r="D848" i="57"/>
  <c r="D1148" i="57"/>
  <c r="D954" i="57"/>
  <c r="D895" i="57"/>
  <c r="D973" i="57"/>
  <c r="D812" i="57"/>
  <c r="D729" i="57"/>
  <c r="D871" i="57"/>
  <c r="D626" i="57"/>
  <c r="D985" i="57"/>
  <c r="D513" i="57"/>
  <c r="D765" i="57"/>
  <c r="D1029" i="57"/>
  <c r="D1203" i="57"/>
  <c r="D890" i="57"/>
  <c r="D1268" i="57"/>
  <c r="D1057" i="57"/>
  <c r="D1069" i="57"/>
  <c r="D959" i="57"/>
  <c r="D696" i="57"/>
  <c r="D1181" i="57"/>
  <c r="D941" i="57"/>
  <c r="D1288" i="57"/>
  <c r="D929" i="57"/>
  <c r="D1284" i="57"/>
  <c r="D1075" i="57"/>
  <c r="D1108" i="57"/>
  <c r="D1091" i="57"/>
  <c r="D601" i="57"/>
  <c r="D1068" i="57"/>
  <c r="D1256" i="57"/>
  <c r="D965" i="57"/>
  <c r="D1165" i="57"/>
  <c r="D733" i="57"/>
  <c r="D791" i="57"/>
  <c r="D1110" i="57"/>
  <c r="D1285" i="57"/>
  <c r="D1278" i="57"/>
  <c r="D1295" i="57"/>
  <c r="D1198" i="57"/>
  <c r="D1384" i="57"/>
  <c r="D1175" i="57"/>
  <c r="D1085" i="57"/>
  <c r="D465" i="57"/>
  <c r="D523" i="57"/>
  <c r="D1433" i="57"/>
  <c r="D364" i="57"/>
  <c r="D1052" i="57"/>
  <c r="D468" i="57"/>
  <c r="D1130" i="57"/>
  <c r="D836" i="57"/>
  <c r="D707" i="57"/>
  <c r="D1191" i="57"/>
  <c r="D1245" i="57"/>
  <c r="D1023" i="57"/>
  <c r="D1348" i="57"/>
  <c r="D1422" i="57"/>
  <c r="D963" i="57"/>
  <c r="D1362" i="57"/>
  <c r="D418" i="57"/>
  <c r="D1360" i="57"/>
  <c r="D899" i="57"/>
  <c r="D1426" i="57"/>
  <c r="D1219" i="57"/>
  <c r="D1236" i="57"/>
  <c r="D1146" i="57"/>
  <c r="D1436" i="57"/>
  <c r="D1229" i="57"/>
  <c r="D404" i="57"/>
  <c r="D433" i="57"/>
  <c r="D820" i="57"/>
  <c r="D267" i="57"/>
  <c r="D495" i="57"/>
  <c r="D829" i="57"/>
  <c r="D1101" i="57"/>
  <c r="D698" i="57"/>
  <c r="D1238" i="57"/>
  <c r="D577" i="57"/>
  <c r="D460" i="57"/>
  <c r="D758" i="57"/>
  <c r="D901" i="57"/>
  <c r="D896" i="57"/>
  <c r="D993" i="57"/>
  <c r="D1073" i="57"/>
  <c r="D975" i="57"/>
  <c r="D1290" i="57"/>
  <c r="D415" i="57"/>
  <c r="D354" i="57"/>
  <c r="D657" i="57"/>
  <c r="D969" i="57"/>
  <c r="D243" i="57"/>
  <c r="D1376" i="57"/>
  <c r="D1188" i="57"/>
  <c r="D1030" i="57"/>
  <c r="D436" i="57"/>
  <c r="D509" i="57"/>
  <c r="D1104" i="57"/>
  <c r="D1166" i="57"/>
  <c r="D1078" i="57"/>
  <c r="D767" i="57"/>
  <c r="D1294" i="57"/>
  <c r="D1431" i="57"/>
  <c r="D1089" i="57"/>
  <c r="D1187" i="57"/>
  <c r="D881" i="57"/>
  <c r="D1398" i="57"/>
  <c r="D1210" i="57"/>
  <c r="D737" i="57"/>
  <c r="D1120" i="57"/>
  <c r="D1062" i="57"/>
  <c r="D1047" i="57"/>
  <c r="D800" i="57"/>
  <c r="D291" i="57"/>
  <c r="D1380" i="57"/>
  <c r="D757" i="57"/>
  <c r="D1434" i="57"/>
  <c r="D612" i="57"/>
  <c r="D933" i="57"/>
  <c r="D939" i="57"/>
  <c r="D1216" i="57"/>
  <c r="D1194" i="57"/>
  <c r="D665" i="57"/>
  <c r="D1123" i="57"/>
  <c r="D1372" i="57"/>
  <c r="D1267" i="57"/>
  <c r="D1368" i="57"/>
  <c r="D1180" i="57"/>
  <c r="D775" i="57"/>
  <c r="D1325" i="57"/>
  <c r="D987" i="57"/>
  <c r="D1276" i="57"/>
  <c r="D1176" i="57"/>
  <c r="D1421" i="57"/>
  <c r="D1279" i="57"/>
  <c r="D428" i="57"/>
  <c r="D435" i="57"/>
  <c r="D377" i="57"/>
  <c r="D802" i="57"/>
  <c r="D648" i="57"/>
  <c r="D621" i="57"/>
  <c r="D1353" i="57"/>
  <c r="D1441" i="57"/>
  <c r="D1432" i="57"/>
  <c r="D27" i="57"/>
  <c r="D1351" i="57"/>
  <c r="D1255" i="57"/>
  <c r="D1334" i="57"/>
  <c r="D725" i="57"/>
  <c r="D1424" i="57"/>
  <c r="D75" i="57"/>
  <c r="D362" i="57"/>
  <c r="D439" i="57"/>
  <c r="D45" i="57"/>
  <c r="D261" i="57"/>
  <c r="D450" i="57"/>
  <c r="D847" i="57"/>
  <c r="D1298" i="57"/>
  <c r="D1410" i="57"/>
  <c r="D1371" i="57"/>
  <c r="D343" i="57"/>
  <c r="D551" i="57"/>
  <c r="D524" i="57"/>
  <c r="D384" i="57"/>
  <c r="D644" i="57"/>
  <c r="D231" i="57"/>
  <c r="D584" i="57"/>
  <c r="D846" i="57"/>
  <c r="D400" i="57"/>
  <c r="D693" i="57"/>
  <c r="D860" i="57"/>
  <c r="D1137" i="57"/>
  <c r="D1036" i="57"/>
  <c r="D1382" i="57"/>
  <c r="D1412" i="57"/>
  <c r="D461" i="57"/>
  <c r="D379" i="57"/>
  <c r="D467" i="57"/>
  <c r="D603" i="57"/>
  <c r="D426" i="57"/>
  <c r="D766" i="57"/>
  <c r="D405" i="57"/>
  <c r="D478" i="57"/>
  <c r="D740" i="57"/>
  <c r="D887" i="57"/>
  <c r="D782" i="57"/>
  <c r="D1217" i="57"/>
  <c r="D455" i="57"/>
  <c r="D1386" i="57"/>
  <c r="D344" i="57"/>
  <c r="D925" i="57"/>
  <c r="D360" i="57"/>
  <c r="D671" i="57"/>
  <c r="D1136" i="57"/>
  <c r="D1154" i="57"/>
  <c r="D1115" i="57"/>
  <c r="D1135" i="57"/>
  <c r="D1419" i="57"/>
  <c r="D1138" i="57"/>
  <c r="D1393" i="57"/>
  <c r="D1076" i="57"/>
  <c r="D677" i="57"/>
  <c r="D957" i="57"/>
  <c r="D1215" i="57"/>
  <c r="D1281" i="57"/>
  <c r="D893" i="57"/>
  <c r="D1320" i="57"/>
  <c r="D497" i="57"/>
  <c r="D376" i="57"/>
  <c r="D593" i="57"/>
  <c r="D1214" i="57"/>
  <c r="D1179" i="57"/>
  <c r="D1269" i="57"/>
  <c r="D378" i="57"/>
  <c r="D503" i="57"/>
  <c r="D372" i="57"/>
  <c r="D1190" i="57"/>
  <c r="D1231" i="57"/>
  <c r="D1321" i="57"/>
  <c r="D394" i="57"/>
  <c r="D719" i="57"/>
  <c r="D1440" i="57"/>
  <c r="D371" i="57"/>
  <c r="D1112" i="57"/>
  <c r="D713" i="57"/>
  <c r="D1053" i="57"/>
  <c r="D1143" i="57"/>
  <c r="D1099" i="57"/>
  <c r="D1253" i="57"/>
  <c r="D491" i="57"/>
  <c r="D1330" i="57"/>
  <c r="D1054" i="57"/>
  <c r="D1207" i="57"/>
  <c r="D1153" i="57"/>
  <c r="D1250" i="57"/>
  <c r="D1184" i="57"/>
  <c r="D1150" i="57"/>
  <c r="D1045" i="57"/>
  <c r="D1439" i="57"/>
  <c r="D1246" i="57"/>
  <c r="D1124" i="57"/>
  <c r="D1046" i="57"/>
  <c r="D1161" i="57"/>
  <c r="D1402" i="57"/>
  <c r="D1106" i="57"/>
  <c r="D1420" i="57"/>
  <c r="D1232" i="57"/>
  <c r="D1307" i="57"/>
  <c r="D361" i="57"/>
  <c r="D1221" i="57"/>
  <c r="D1189" i="57"/>
  <c r="D1428" i="57"/>
  <c r="D1341" i="57"/>
  <c r="D1051" i="57"/>
  <c r="D1306" i="57"/>
  <c r="D1401" i="57"/>
  <c r="D1324" i="57"/>
  <c r="D370" i="57"/>
  <c r="D1133" i="57"/>
  <c r="D1247" i="57"/>
  <c r="D1043" i="57"/>
  <c r="D388" i="57"/>
  <c r="D1311" i="57"/>
  <c r="D1063" i="57"/>
  <c r="D1183" i="57"/>
  <c r="D1312" i="57"/>
  <c r="D1240" i="57"/>
  <c r="D1105" i="57"/>
  <c r="D1141" i="57"/>
  <c r="D1264" i="57"/>
  <c r="D1081" i="57"/>
  <c r="D1359" i="57"/>
  <c r="D1437" i="57"/>
  <c r="D1377" i="57"/>
  <c r="D355" i="57"/>
  <c r="D1413" i="57"/>
  <c r="D1317" i="57"/>
  <c r="D1300" i="57"/>
  <c r="D1335" i="57"/>
  <c r="D1039" i="57"/>
  <c r="D1395" i="57"/>
  <c r="D15" i="57"/>
  <c r="G15" i="57" s="1" a="1"/>
  <c r="G15" i="57" s="1"/>
  <c r="D2506" i="57"/>
  <c r="D2495" i="57"/>
  <c r="D2504" i="57"/>
  <c r="D2505" i="57"/>
  <c r="D2486" i="57"/>
  <c r="D2499" i="57"/>
  <c r="D2498" i="57"/>
  <c r="D2471" i="57"/>
  <c r="D2327" i="57"/>
  <c r="D1447" i="57"/>
  <c r="D2507" i="57"/>
  <c r="D2501" i="57"/>
  <c r="D1446" i="57"/>
  <c r="D1972" i="57"/>
  <c r="D2492" i="57"/>
  <c r="D2411" i="57"/>
  <c r="D2510" i="57"/>
  <c r="D2509" i="57"/>
  <c r="D2508" i="57"/>
  <c r="D2500" i="57"/>
  <c r="D2503" i="57"/>
  <c r="D2502" i="57"/>
  <c r="D2491" i="57"/>
  <c r="D2497" i="57"/>
  <c r="D2496" i="57"/>
  <c r="D2489" i="57"/>
  <c r="D2482" i="57"/>
  <c r="D2315" i="57"/>
  <c r="D2485" i="57"/>
  <c r="D2351" i="57"/>
  <c r="D2490" i="57"/>
  <c r="D2484" i="57"/>
  <c r="D2494" i="57"/>
  <c r="D2483" i="57"/>
  <c r="D2488" i="57"/>
  <c r="D2493" i="57"/>
  <c r="D2487" i="57"/>
  <c r="D2369" i="57"/>
  <c r="D1966" i="57"/>
  <c r="D2405" i="57"/>
  <c r="D2333" i="57"/>
  <c r="D2441" i="57"/>
  <c r="D1453" i="57"/>
  <c r="D2442" i="57"/>
  <c r="D2420" i="57"/>
  <c r="D2439" i="57"/>
  <c r="D2455" i="57"/>
  <c r="D2308" i="57"/>
  <c r="D2353" i="57"/>
  <c r="D2386" i="57"/>
  <c r="D2401" i="57"/>
  <c r="D2479" i="57"/>
  <c r="D2436" i="57"/>
  <c r="D2389" i="57"/>
  <c r="D2336" i="57"/>
  <c r="D2285" i="57"/>
  <c r="D2233" i="57"/>
  <c r="D2182" i="57"/>
  <c r="D2130" i="57"/>
  <c r="D2077" i="57"/>
  <c r="D2026" i="57"/>
  <c r="D1974" i="57"/>
  <c r="D1825" i="57"/>
  <c r="D2257" i="57"/>
  <c r="D2206" i="57"/>
  <c r="D2154" i="57"/>
  <c r="D2102" i="57"/>
  <c r="D2051" i="57"/>
  <c r="D1998" i="57"/>
  <c r="D1908" i="57"/>
  <c r="D2282" i="57"/>
  <c r="D2231" i="57"/>
  <c r="D2178" i="57"/>
  <c r="D2126" i="57"/>
  <c r="D2075" i="57"/>
  <c r="D2023" i="57"/>
  <c r="D1818" i="57"/>
  <c r="D2272" i="57"/>
  <c r="D2220" i="57"/>
  <c r="D2168" i="57"/>
  <c r="D2117" i="57"/>
  <c r="D2065" i="57"/>
  <c r="D2012" i="57"/>
  <c r="D1951" i="57"/>
  <c r="D1777" i="57"/>
  <c r="D2474" i="57"/>
  <c r="D2431" i="57"/>
  <c r="D2383" i="57"/>
  <c r="D2332" i="57"/>
  <c r="D2279" i="57"/>
  <c r="D2227" i="57"/>
  <c r="D2176" i="57"/>
  <c r="D2124" i="57"/>
  <c r="D2072" i="57"/>
  <c r="D2020" i="57"/>
  <c r="D1968" i="57"/>
  <c r="D1806" i="57"/>
  <c r="D2444" i="57"/>
  <c r="D2399" i="57"/>
  <c r="D2347" i="57"/>
  <c r="D2296" i="57"/>
  <c r="D2243" i="57"/>
  <c r="D2191" i="57"/>
  <c r="D2140" i="57"/>
  <c r="D2088" i="57"/>
  <c r="D2036" i="57"/>
  <c r="D1984" i="57"/>
  <c r="D1866" i="57"/>
  <c r="D2452" i="57"/>
  <c r="D2416" i="57"/>
  <c r="D2374" i="57"/>
  <c r="D2330" i="57"/>
  <c r="D2287" i="57"/>
  <c r="D2244" i="57"/>
  <c r="D2201" i="57"/>
  <c r="D2158" i="57"/>
  <c r="D2114" i="57"/>
  <c r="D2071" i="57"/>
  <c r="D2028" i="57"/>
  <c r="D1985" i="57"/>
  <c r="D1896" i="57"/>
  <c r="D1854" i="57"/>
  <c r="D2403" i="57"/>
  <c r="D2367" i="57"/>
  <c r="D2331" i="57"/>
  <c r="D2295" i="57"/>
  <c r="D2259" i="57"/>
  <c r="D2223" i="57"/>
  <c r="D2187" i="57"/>
  <c r="D2151" i="57"/>
  <c r="D2115" i="57"/>
  <c r="D2079" i="57"/>
  <c r="D2043" i="57"/>
  <c r="D2007" i="57"/>
  <c r="D1971" i="57"/>
  <c r="D1873" i="57"/>
  <c r="D1965" i="57"/>
  <c r="D1929" i="57"/>
  <c r="D1893" i="57"/>
  <c r="D1857" i="57"/>
  <c r="D1821" i="57"/>
  <c r="D1785" i="57"/>
  <c r="D1749" i="57"/>
  <c r="D1713" i="57"/>
  <c r="D1677" i="57"/>
  <c r="D1641" i="57"/>
  <c r="D1605" i="57"/>
  <c r="D1569" i="57"/>
  <c r="D1533" i="57"/>
  <c r="D1497" i="57"/>
  <c r="D1461" i="57"/>
  <c r="D1934" i="57"/>
  <c r="D1898" i="57"/>
  <c r="D1862" i="57"/>
  <c r="D1826" i="57"/>
  <c r="D1790" i="57"/>
  <c r="D1754" i="57"/>
  <c r="D1718" i="57"/>
  <c r="D1682" i="57"/>
  <c r="D1646" i="57"/>
  <c r="D1610" i="57"/>
  <c r="D1574" i="57"/>
  <c r="D1538" i="57"/>
  <c r="D1502" i="57"/>
  <c r="D1466" i="57"/>
  <c r="D1741" i="57"/>
  <c r="D1705" i="57"/>
  <c r="D1669" i="57"/>
  <c r="D1633" i="57"/>
  <c r="D1597" i="57"/>
  <c r="D1561" i="57"/>
  <c r="D1525" i="57"/>
  <c r="D1489" i="57"/>
  <c r="D1764" i="57"/>
  <c r="D1728" i="57"/>
  <c r="D1692" i="57"/>
  <c r="D1656" i="57"/>
  <c r="D1620" i="57"/>
  <c r="D1584" i="57"/>
  <c r="D1548" i="57"/>
  <c r="D1512" i="57"/>
  <c r="D1476" i="57"/>
  <c r="D1949" i="57"/>
  <c r="D1913" i="57"/>
  <c r="D1877" i="57"/>
  <c r="D1841" i="57"/>
  <c r="D1805" i="57"/>
  <c r="D1769" i="57"/>
  <c r="D1733" i="57"/>
  <c r="D1697" i="57"/>
  <c r="D1661" i="57"/>
  <c r="D1625" i="57"/>
  <c r="D1589" i="57"/>
  <c r="D1553" i="57"/>
  <c r="D1517" i="57"/>
  <c r="D1481" i="57"/>
  <c r="D1954" i="57"/>
  <c r="D1918" i="57"/>
  <c r="D1882" i="57"/>
  <c r="D1846" i="57"/>
  <c r="D1810" i="57"/>
  <c r="D1774" i="57"/>
  <c r="D1738" i="57"/>
  <c r="D1702" i="57"/>
  <c r="D1666" i="57"/>
  <c r="D1630" i="57"/>
  <c r="D1594" i="57"/>
  <c r="D1558" i="57"/>
  <c r="D1522" i="57"/>
  <c r="D1486" i="57"/>
  <c r="D1451" i="57"/>
  <c r="D2425" i="57"/>
  <c r="D2394" i="57"/>
  <c r="D2413" i="57"/>
  <c r="D2454" i="57"/>
  <c r="D2300" i="57"/>
  <c r="D2469" i="57"/>
  <c r="D2326" i="57"/>
  <c r="D2462" i="57"/>
  <c r="D2475" i="57"/>
  <c r="D2384" i="57"/>
  <c r="D2472" i="57"/>
  <c r="D2429" i="57"/>
  <c r="D2380" i="57"/>
  <c r="D2328" i="57"/>
  <c r="D2276" i="57"/>
  <c r="D2225" i="57"/>
  <c r="D2173" i="57"/>
  <c r="D2120" i="57"/>
  <c r="D2069" i="57"/>
  <c r="D2017" i="57"/>
  <c r="D1795" i="57"/>
  <c r="D2249" i="57"/>
  <c r="D2197" i="57"/>
  <c r="D2146" i="57"/>
  <c r="D2094" i="57"/>
  <c r="D2041" i="57"/>
  <c r="D1990" i="57"/>
  <c r="D1884" i="57"/>
  <c r="D2274" i="57"/>
  <c r="D2221" i="57"/>
  <c r="D2170" i="57"/>
  <c r="D2118" i="57"/>
  <c r="D2066" i="57"/>
  <c r="D2015" i="57"/>
  <c r="D1956" i="57"/>
  <c r="D1782" i="57"/>
  <c r="D2263" i="57"/>
  <c r="D2212" i="57"/>
  <c r="D2160" i="57"/>
  <c r="D2108" i="57"/>
  <c r="D2056" i="57"/>
  <c r="D2004" i="57"/>
  <c r="D1926" i="57"/>
  <c r="D2467" i="57"/>
  <c r="D2424" i="57"/>
  <c r="D2375" i="57"/>
  <c r="D2322" i="57"/>
  <c r="D2270" i="57"/>
  <c r="D2219" i="57"/>
  <c r="D2167" i="57"/>
  <c r="D2116" i="57"/>
  <c r="D2063" i="57"/>
  <c r="D2011" i="57"/>
  <c r="D1950" i="57"/>
  <c r="D1776" i="57"/>
  <c r="D2480" i="57"/>
  <c r="D2437" i="57"/>
  <c r="D2390" i="57"/>
  <c r="D2339" i="57"/>
  <c r="D2286" i="57"/>
  <c r="D2234" i="57"/>
  <c r="D2183" i="57"/>
  <c r="D2131" i="57"/>
  <c r="D2080" i="57"/>
  <c r="D2027" i="57"/>
  <c r="D1975" i="57"/>
  <c r="D1836" i="57"/>
  <c r="D2446" i="57"/>
  <c r="D2410" i="57"/>
  <c r="D2366" i="57"/>
  <c r="D2323" i="57"/>
  <c r="D2280" i="57"/>
  <c r="D2237" i="57"/>
  <c r="D2194" i="57"/>
  <c r="D2150" i="57"/>
  <c r="D2107" i="57"/>
  <c r="D2064" i="57"/>
  <c r="D2021" i="57"/>
  <c r="D1978" i="57"/>
  <c r="D1872" i="57"/>
  <c r="D1831" i="57"/>
  <c r="D2397" i="57"/>
  <c r="D2361" i="57"/>
  <c r="D2325" i="57"/>
  <c r="D2289" i="57"/>
  <c r="D2253" i="57"/>
  <c r="D2217" i="57"/>
  <c r="D2181" i="57"/>
  <c r="D2145" i="57"/>
  <c r="D2109" i="57"/>
  <c r="D2073" i="57"/>
  <c r="D2037" i="57"/>
  <c r="D2001" i="57"/>
  <c r="D1963" i="57"/>
  <c r="D1855" i="57"/>
  <c r="D1959" i="57"/>
  <c r="D1923" i="57"/>
  <c r="D1887" i="57"/>
  <c r="D1851" i="57"/>
  <c r="D1815" i="57"/>
  <c r="D1779" i="57"/>
  <c r="D1743" i="57"/>
  <c r="D1707" i="57"/>
  <c r="D1671" i="57"/>
  <c r="D1635" i="57"/>
  <c r="D1599" i="57"/>
  <c r="D1563" i="57"/>
  <c r="D1527" i="57"/>
  <c r="D1491" i="57"/>
  <c r="D1964" i="57"/>
  <c r="D1928" i="57"/>
  <c r="D1892" i="57"/>
  <c r="D1856" i="57"/>
  <c r="D1820" i="57"/>
  <c r="D1784" i="57"/>
  <c r="D1748" i="57"/>
  <c r="D1712" i="57"/>
  <c r="D1676" i="57"/>
  <c r="D1640" i="57"/>
  <c r="D1604" i="57"/>
  <c r="D1568" i="57"/>
  <c r="D1532" i="57"/>
  <c r="D1496" i="57"/>
  <c r="D1460" i="57"/>
  <c r="D1735" i="57"/>
  <c r="D1699" i="57"/>
  <c r="D1663" i="57"/>
  <c r="D1627" i="57"/>
  <c r="D1591" i="57"/>
  <c r="D1555" i="57"/>
  <c r="D1519" i="57"/>
  <c r="D1483" i="57"/>
  <c r="D1758" i="57"/>
  <c r="D1722" i="57"/>
  <c r="D1686" i="57"/>
  <c r="D1650" i="57"/>
  <c r="D1614" i="57"/>
  <c r="D1578" i="57"/>
  <c r="D1542" i="57"/>
  <c r="D1506" i="57"/>
  <c r="D1470" i="57"/>
  <c r="D1943" i="57"/>
  <c r="D1907" i="57"/>
  <c r="D1871" i="57"/>
  <c r="D1835" i="57"/>
  <c r="D1799" i="57"/>
  <c r="D1763" i="57"/>
  <c r="D1727" i="57"/>
  <c r="D1691" i="57"/>
  <c r="D1655" i="57"/>
  <c r="D1619" i="57"/>
  <c r="D1583" i="57"/>
  <c r="D1547" i="57"/>
  <c r="D1511" i="57"/>
  <c r="D1475" i="57"/>
  <c r="D1948" i="57"/>
  <c r="D1912" i="57"/>
  <c r="D1876" i="57"/>
  <c r="D1840" i="57"/>
  <c r="D1804" i="57"/>
  <c r="D1768" i="57"/>
  <c r="D1732" i="57"/>
  <c r="D1696" i="57"/>
  <c r="D1660" i="57"/>
  <c r="D1624" i="57"/>
  <c r="D1588" i="57"/>
  <c r="D1552" i="57"/>
  <c r="D1516" i="57"/>
  <c r="D1480" i="57"/>
  <c r="D2396" i="57"/>
  <c r="D2370" i="57"/>
  <c r="D2412" i="57"/>
  <c r="D2427" i="57"/>
  <c r="D2449" i="57"/>
  <c r="D2299" i="57"/>
  <c r="D2448" i="57"/>
  <c r="D2461" i="57"/>
  <c r="D2368" i="57"/>
  <c r="D2465" i="57"/>
  <c r="D2421" i="57"/>
  <c r="D2371" i="57"/>
  <c r="D2320" i="57"/>
  <c r="D2268" i="57"/>
  <c r="D2216" i="57"/>
  <c r="D2164" i="57"/>
  <c r="D2112" i="57"/>
  <c r="D2060" i="57"/>
  <c r="D2009" i="57"/>
  <c r="D1939" i="57"/>
  <c r="D2292" i="57"/>
  <c r="D2240" i="57"/>
  <c r="D2189" i="57"/>
  <c r="D2137" i="57"/>
  <c r="D2084" i="57"/>
  <c r="D2033" i="57"/>
  <c r="D1981" i="57"/>
  <c r="D1860" i="57"/>
  <c r="D2264" i="57"/>
  <c r="D2213" i="57"/>
  <c r="D2161" i="57"/>
  <c r="D2110" i="57"/>
  <c r="D2058" i="57"/>
  <c r="D2005" i="57"/>
  <c r="D1932" i="57"/>
  <c r="D2306" i="57"/>
  <c r="D2255" i="57"/>
  <c r="D2203" i="57"/>
  <c r="D2152" i="57"/>
  <c r="D2099" i="57"/>
  <c r="D2047" i="57"/>
  <c r="D1996" i="57"/>
  <c r="D1902" i="57"/>
  <c r="D2460" i="57"/>
  <c r="D2417" i="57"/>
  <c r="D2365" i="57"/>
  <c r="D2314" i="57"/>
  <c r="D2262" i="57"/>
  <c r="D2210" i="57"/>
  <c r="D2159" i="57"/>
  <c r="D2106" i="57"/>
  <c r="D2054" i="57"/>
  <c r="D2003" i="57"/>
  <c r="D1921" i="57"/>
  <c r="D2473" i="57"/>
  <c r="D2430" i="57"/>
  <c r="D2382" i="57"/>
  <c r="D2329" i="57"/>
  <c r="D2278" i="57"/>
  <c r="D2226" i="57"/>
  <c r="D2174" i="57"/>
  <c r="D2123" i="57"/>
  <c r="D2070" i="57"/>
  <c r="D2018" i="57"/>
  <c r="D1967" i="57"/>
  <c r="D1800" i="57"/>
  <c r="D2476" i="57"/>
  <c r="D2440" i="57"/>
  <c r="D2402" i="57"/>
  <c r="D2359" i="57"/>
  <c r="D2316" i="57"/>
  <c r="D2273" i="57"/>
  <c r="D2230" i="57"/>
  <c r="D2186" i="57"/>
  <c r="D2143" i="57"/>
  <c r="D2100" i="57"/>
  <c r="D2057" i="57"/>
  <c r="D2014" i="57"/>
  <c r="D1970" i="57"/>
  <c r="D1849" i="57"/>
  <c r="D1812" i="57"/>
  <c r="D2391" i="57"/>
  <c r="D2355" i="57"/>
  <c r="D2319" i="57"/>
  <c r="D2283" i="57"/>
  <c r="D2247" i="57"/>
  <c r="D2211" i="57"/>
  <c r="D2175" i="57"/>
  <c r="D2139" i="57"/>
  <c r="D2103" i="57"/>
  <c r="D2067" i="57"/>
  <c r="D2031" i="57"/>
  <c r="D1995" i="57"/>
  <c r="D1945" i="57"/>
  <c r="D1837" i="57"/>
  <c r="D1953" i="57"/>
  <c r="D1917" i="57"/>
  <c r="D1881" i="57"/>
  <c r="D1845" i="57"/>
  <c r="D1809" i="57"/>
  <c r="D1773" i="57"/>
  <c r="D1737" i="57"/>
  <c r="D1701" i="57"/>
  <c r="D1665" i="57"/>
  <c r="D1629" i="57"/>
  <c r="D1593" i="57"/>
  <c r="D1557" i="57"/>
  <c r="D1521" i="57"/>
  <c r="D1485" i="57"/>
  <c r="D1958" i="57"/>
  <c r="D1922" i="57"/>
  <c r="D1886" i="57"/>
  <c r="D1850" i="57"/>
  <c r="D1814" i="57"/>
  <c r="D1778" i="57"/>
  <c r="D1742" i="57"/>
  <c r="D1706" i="57"/>
  <c r="D1670" i="57"/>
  <c r="D1634" i="57"/>
  <c r="D1598" i="57"/>
  <c r="D1562" i="57"/>
  <c r="D1526" i="57"/>
  <c r="D1490" i="57"/>
  <c r="D1765" i="57"/>
  <c r="D1729" i="57"/>
  <c r="D1693" i="57"/>
  <c r="D1657" i="57"/>
  <c r="D1621" i="57"/>
  <c r="D1585" i="57"/>
  <c r="D1549" i="57"/>
  <c r="D1513" i="57"/>
  <c r="D1477" i="57"/>
  <c r="D1752" i="57"/>
  <c r="D1716" i="57"/>
  <c r="D1680" i="57"/>
  <c r="D1644" i="57"/>
  <c r="D1608" i="57"/>
  <c r="D1572" i="57"/>
  <c r="D1536" i="57"/>
  <c r="D1500" i="57"/>
  <c r="D1464" i="57"/>
  <c r="D1937" i="57"/>
  <c r="D1901" i="57"/>
  <c r="D1865" i="57"/>
  <c r="D1829" i="57"/>
  <c r="D1793" i="57"/>
  <c r="D1757" i="57"/>
  <c r="D1721" i="57"/>
  <c r="D1685" i="57"/>
  <c r="D1649" i="57"/>
  <c r="D1613" i="57"/>
  <c r="D1577" i="57"/>
  <c r="D1541" i="57"/>
  <c r="D1505" i="57"/>
  <c r="D1469" i="57"/>
  <c r="D1942" i="57"/>
  <c r="D1906" i="57"/>
  <c r="D1870" i="57"/>
  <c r="D1834" i="57"/>
  <c r="D1798" i="57"/>
  <c r="D1762" i="57"/>
  <c r="D1726" i="57"/>
  <c r="D1690" i="57"/>
  <c r="D1654" i="57"/>
  <c r="D1618" i="57"/>
  <c r="D1582" i="57"/>
  <c r="D1546" i="57"/>
  <c r="D1510" i="57"/>
  <c r="D1474" i="57"/>
  <c r="D2376" i="57"/>
  <c r="D2342" i="57"/>
  <c r="D2362" i="57"/>
  <c r="D2426" i="57"/>
  <c r="D2433" i="57"/>
  <c r="D2334" i="57"/>
  <c r="D2447" i="57"/>
  <c r="D2350" i="57"/>
  <c r="D2457" i="57"/>
  <c r="D2414" i="57"/>
  <c r="D2363" i="57"/>
  <c r="D2311" i="57"/>
  <c r="D2260" i="57"/>
  <c r="D2207" i="57"/>
  <c r="D2155" i="57"/>
  <c r="D2104" i="57"/>
  <c r="D2052" i="57"/>
  <c r="D2000" i="57"/>
  <c r="D1914" i="57"/>
  <c r="D2284" i="57"/>
  <c r="D2232" i="57"/>
  <c r="D2180" i="57"/>
  <c r="D2128" i="57"/>
  <c r="D2076" i="57"/>
  <c r="D2024" i="57"/>
  <c r="D1973" i="57"/>
  <c r="D1824" i="57"/>
  <c r="D2256" i="57"/>
  <c r="D2204" i="57"/>
  <c r="D2153" i="57"/>
  <c r="D2101" i="57"/>
  <c r="D2048" i="57"/>
  <c r="D1997" i="57"/>
  <c r="D1903" i="57"/>
  <c r="D2298" i="57"/>
  <c r="D2246" i="57"/>
  <c r="D2195" i="57"/>
  <c r="D2142" i="57"/>
  <c r="D2090" i="57"/>
  <c r="D2039" i="57"/>
  <c r="D1987" i="57"/>
  <c r="D1878" i="57"/>
  <c r="D2453" i="57"/>
  <c r="D2408" i="57"/>
  <c r="D2357" i="57"/>
  <c r="D2305" i="57"/>
  <c r="D2254" i="57"/>
  <c r="D2202" i="57"/>
  <c r="D2149" i="57"/>
  <c r="D2098" i="57"/>
  <c r="D2046" i="57"/>
  <c r="D1994" i="57"/>
  <c r="D1897" i="57"/>
  <c r="D2466" i="57"/>
  <c r="D2423" i="57"/>
  <c r="D2372" i="57"/>
  <c r="D2321" i="57"/>
  <c r="D2269" i="57"/>
  <c r="D2218" i="57"/>
  <c r="D2166" i="57"/>
  <c r="D2113" i="57"/>
  <c r="D2062" i="57"/>
  <c r="D2010" i="57"/>
  <c r="D1944" i="57"/>
  <c r="D1771" i="57"/>
  <c r="D2470" i="57"/>
  <c r="D2434" i="57"/>
  <c r="D2395" i="57"/>
  <c r="D2352" i="57"/>
  <c r="D2309" i="57"/>
  <c r="D2266" i="57"/>
  <c r="D2222" i="57"/>
  <c r="D2179" i="57"/>
  <c r="D2136" i="57"/>
  <c r="D2093" i="57"/>
  <c r="D2050" i="57"/>
  <c r="D2006" i="57"/>
  <c r="D1957" i="57"/>
  <c r="D1830" i="57"/>
  <c r="D1789" i="57"/>
  <c r="D2385" i="57"/>
  <c r="D2349" i="57"/>
  <c r="D2313" i="57"/>
  <c r="D2277" i="57"/>
  <c r="D2241" i="57"/>
  <c r="D2205" i="57"/>
  <c r="D2169" i="57"/>
  <c r="D2133" i="57"/>
  <c r="D2097" i="57"/>
  <c r="D2061" i="57"/>
  <c r="D2025" i="57"/>
  <c r="D1989" i="57"/>
  <c r="D1927" i="57"/>
  <c r="D1819" i="57"/>
  <c r="D1947" i="57"/>
  <c r="D1911" i="57"/>
  <c r="D1875" i="57"/>
  <c r="D1839" i="57"/>
  <c r="D1803" i="57"/>
  <c r="D1767" i="57"/>
  <c r="D1731" i="57"/>
  <c r="D1695" i="57"/>
  <c r="D1659" i="57"/>
  <c r="D1623" i="57"/>
  <c r="D1587" i="57"/>
  <c r="D1551" i="57"/>
  <c r="D1515" i="57"/>
  <c r="D1479" i="57"/>
  <c r="D1952" i="57"/>
  <c r="D1916" i="57"/>
  <c r="D1880" i="57"/>
  <c r="D1844" i="57"/>
  <c r="D1808" i="57"/>
  <c r="D1772" i="57"/>
  <c r="D1736" i="57"/>
  <c r="D1700" i="57"/>
  <c r="D1664" i="57"/>
  <c r="D1628" i="57"/>
  <c r="D1592" i="57"/>
  <c r="D1556" i="57"/>
  <c r="D1520" i="57"/>
  <c r="D1484" i="57"/>
  <c r="D1759" i="57"/>
  <c r="D1723" i="57"/>
  <c r="D1687" i="57"/>
  <c r="D1651" i="57"/>
  <c r="D1615" i="57"/>
  <c r="D1579" i="57"/>
  <c r="D1543" i="57"/>
  <c r="D1507" i="57"/>
  <c r="D1471" i="57"/>
  <c r="D1746" i="57"/>
  <c r="D1710" i="57"/>
  <c r="D1674" i="57"/>
  <c r="D1638" i="57"/>
  <c r="D1602" i="57"/>
  <c r="D1566" i="57"/>
  <c r="D1530" i="57"/>
  <c r="D1494" i="57"/>
  <c r="D1458" i="57"/>
  <c r="D1931" i="57"/>
  <c r="D1895" i="57"/>
  <c r="D1859" i="57"/>
  <c r="D1823" i="57"/>
  <c r="D1787" i="57"/>
  <c r="D1751" i="57"/>
  <c r="D1715" i="57"/>
  <c r="D1679" i="57"/>
  <c r="D1643" i="57"/>
  <c r="D1607" i="57"/>
  <c r="D1571" i="57"/>
  <c r="D1535" i="57"/>
  <c r="D1499" i="57"/>
  <c r="D1463" i="57"/>
  <c r="D1936" i="57"/>
  <c r="D1900" i="57"/>
  <c r="D1864" i="57"/>
  <c r="D1828" i="57"/>
  <c r="D1792" i="57"/>
  <c r="D1756" i="57"/>
  <c r="D1720" i="57"/>
  <c r="D1684" i="57"/>
  <c r="D1648" i="57"/>
  <c r="D1612" i="57"/>
  <c r="D1576" i="57"/>
  <c r="D1540" i="57"/>
  <c r="D1504" i="57"/>
  <c r="D1468" i="57"/>
  <c r="D2344" i="57"/>
  <c r="D2463" i="57"/>
  <c r="D2318" i="57"/>
  <c r="D2341" i="57"/>
  <c r="D2360" i="57"/>
  <c r="D2378" i="57"/>
  <c r="D2419" i="57"/>
  <c r="D2317" i="57"/>
  <c r="D2432" i="57"/>
  <c r="D2450" i="57"/>
  <c r="D2406" i="57"/>
  <c r="D2354" i="57"/>
  <c r="D2303" i="57"/>
  <c r="D2250" i="57"/>
  <c r="D2198" i="57"/>
  <c r="D2147" i="57"/>
  <c r="D2095" i="57"/>
  <c r="D2044" i="57"/>
  <c r="D1991" i="57"/>
  <c r="D1885" i="57"/>
  <c r="D2275" i="57"/>
  <c r="D2224" i="57"/>
  <c r="D2171" i="57"/>
  <c r="D2119" i="57"/>
  <c r="D2068" i="57"/>
  <c r="D2016" i="57"/>
  <c r="D1962" i="57"/>
  <c r="D1794" i="57"/>
  <c r="D2248" i="57"/>
  <c r="D2196" i="57"/>
  <c r="D2144" i="57"/>
  <c r="D2092" i="57"/>
  <c r="D2040" i="57"/>
  <c r="D1988" i="57"/>
  <c r="D1879" i="57"/>
  <c r="D2290" i="57"/>
  <c r="D2238" i="57"/>
  <c r="D2185" i="57"/>
  <c r="D2134" i="57"/>
  <c r="D2082" i="57"/>
  <c r="D2030" i="57"/>
  <c r="D1979" i="57"/>
  <c r="D1843" i="57"/>
  <c r="D2445" i="57"/>
  <c r="D2400" i="57"/>
  <c r="D2348" i="57"/>
  <c r="D2297" i="57"/>
  <c r="D2245" i="57"/>
  <c r="D2192" i="57"/>
  <c r="D2141" i="57"/>
  <c r="D2089" i="57"/>
  <c r="D2038" i="57"/>
  <c r="D1986" i="57"/>
  <c r="D1867" i="57"/>
  <c r="D2459" i="57"/>
  <c r="D2415" i="57"/>
  <c r="D2364" i="57"/>
  <c r="D2312" i="57"/>
  <c r="D2261" i="57"/>
  <c r="D2209" i="57"/>
  <c r="D2156" i="57"/>
  <c r="D2105" i="57"/>
  <c r="D2053" i="57"/>
  <c r="D2002" i="57"/>
  <c r="D1920" i="57"/>
  <c r="D2464" i="57"/>
  <c r="D2428" i="57"/>
  <c r="D2388" i="57"/>
  <c r="D2345" i="57"/>
  <c r="D2302" i="57"/>
  <c r="D2258" i="57"/>
  <c r="D2215" i="57"/>
  <c r="D2172" i="57"/>
  <c r="D2129" i="57"/>
  <c r="D2086" i="57"/>
  <c r="D2042" i="57"/>
  <c r="D1999" i="57"/>
  <c r="D1938" i="57"/>
  <c r="D1807" i="57"/>
  <c r="D1770" i="57"/>
  <c r="D2379" i="57"/>
  <c r="D2343" i="57"/>
  <c r="D2307" i="57"/>
  <c r="D2271" i="57"/>
  <c r="D2235" i="57"/>
  <c r="D2199" i="57"/>
  <c r="D2163" i="57"/>
  <c r="D2127" i="57"/>
  <c r="D2091" i="57"/>
  <c r="D2055" i="57"/>
  <c r="D2019" i="57"/>
  <c r="D1983" i="57"/>
  <c r="D1909" i="57"/>
  <c r="D1801" i="57"/>
  <c r="D1941" i="57"/>
  <c r="D1905" i="57"/>
  <c r="D1869" i="57"/>
  <c r="D1833" i="57"/>
  <c r="D1797" i="57"/>
  <c r="D1761" i="57"/>
  <c r="D1725" i="57"/>
  <c r="D1689" i="57"/>
  <c r="D1653" i="57"/>
  <c r="D1617" i="57"/>
  <c r="D1581" i="57"/>
  <c r="D1545" i="57"/>
  <c r="D1509" i="57"/>
  <c r="D1473" i="57"/>
  <c r="D1946" i="57"/>
  <c r="D1910" i="57"/>
  <c r="D1874" i="57"/>
  <c r="D1838" i="57"/>
  <c r="D1802" i="57"/>
  <c r="D1766" i="57"/>
  <c r="D1730" i="57"/>
  <c r="D1694" i="57"/>
  <c r="D1658" i="57"/>
  <c r="D1622" i="57"/>
  <c r="D1586" i="57"/>
  <c r="D1550" i="57"/>
  <c r="D1514" i="57"/>
  <c r="D1478" i="57"/>
  <c r="D1753" i="57"/>
  <c r="D1717" i="57"/>
  <c r="D1681" i="57"/>
  <c r="D1645" i="57"/>
  <c r="D1609" i="57"/>
  <c r="D1573" i="57"/>
  <c r="D1537" i="57"/>
  <c r="D1501" i="57"/>
  <c r="D1465" i="57"/>
  <c r="D1740" i="57"/>
  <c r="D1704" i="57"/>
  <c r="D1668" i="57"/>
  <c r="D1632" i="57"/>
  <c r="D1596" i="57"/>
  <c r="D1560" i="57"/>
  <c r="D1524" i="57"/>
  <c r="D1488" i="57"/>
  <c r="D1961" i="57"/>
  <c r="D1925" i="57"/>
  <c r="D1889" i="57"/>
  <c r="D1853" i="57"/>
  <c r="D1817" i="57"/>
  <c r="D1781" i="57"/>
  <c r="D1745" i="57"/>
  <c r="D1709" i="57"/>
  <c r="D1673" i="57"/>
  <c r="D1637" i="57"/>
  <c r="D1601" i="57"/>
  <c r="D1565" i="57"/>
  <c r="D1529" i="57"/>
  <c r="D1493" i="57"/>
  <c r="D1457" i="57"/>
  <c r="D1930" i="57"/>
  <c r="D1894" i="57"/>
  <c r="D1858" i="57"/>
  <c r="D1822" i="57"/>
  <c r="D1786" i="57"/>
  <c r="D1750" i="57"/>
  <c r="D1714" i="57"/>
  <c r="D1678" i="57"/>
  <c r="D1642" i="57"/>
  <c r="D1606" i="57"/>
  <c r="D1570" i="57"/>
  <c r="D1534" i="57"/>
  <c r="D1498" i="57"/>
  <c r="D1462" i="57"/>
  <c r="D2468" i="57"/>
  <c r="D2324" i="57"/>
  <c r="D2456" i="57"/>
  <c r="D2310" i="57"/>
  <c r="D2478" i="57"/>
  <c r="D2335" i="57"/>
  <c r="D2358" i="57"/>
  <c r="D2377" i="57"/>
  <c r="D2404" i="57"/>
  <c r="D2418" i="57"/>
  <c r="D2443" i="57"/>
  <c r="D2398" i="57"/>
  <c r="D2346" i="57"/>
  <c r="D2293" i="57"/>
  <c r="D2242" i="57"/>
  <c r="D2190" i="57"/>
  <c r="D2138" i="57"/>
  <c r="D2087" i="57"/>
  <c r="D2034" i="57"/>
  <c r="D1982" i="57"/>
  <c r="D1861" i="57"/>
  <c r="D2267" i="57"/>
  <c r="D2214" i="57"/>
  <c r="D2162" i="57"/>
  <c r="D2111" i="57"/>
  <c r="D2059" i="57"/>
  <c r="D2008" i="57"/>
  <c r="D1933" i="57"/>
  <c r="D2291" i="57"/>
  <c r="D2239" i="57"/>
  <c r="D2188" i="57"/>
  <c r="D2135" i="57"/>
  <c r="D2083" i="57"/>
  <c r="D2032" i="57"/>
  <c r="D1980" i="57"/>
  <c r="D1848" i="57"/>
  <c r="D2281" i="57"/>
  <c r="D2228" i="57"/>
  <c r="D2177" i="57"/>
  <c r="D2125" i="57"/>
  <c r="D2074" i="57"/>
  <c r="D2022" i="57"/>
  <c r="D1969" i="57"/>
  <c r="D1813" i="57"/>
  <c r="D2481" i="57"/>
  <c r="D2438" i="57"/>
  <c r="D2392" i="57"/>
  <c r="D2340" i="57"/>
  <c r="D2288" i="57"/>
  <c r="D2236" i="57"/>
  <c r="D2184" i="57"/>
  <c r="D2132" i="57"/>
  <c r="D2081" i="57"/>
  <c r="D2029" i="57"/>
  <c r="D1976" i="57"/>
  <c r="D1842" i="57"/>
  <c r="D2451" i="57"/>
  <c r="D2407" i="57"/>
  <c r="D2356" i="57"/>
  <c r="D2304" i="57"/>
  <c r="D2252" i="57"/>
  <c r="D2200" i="57"/>
  <c r="D2148" i="57"/>
  <c r="D2096" i="57"/>
  <c r="D2045" i="57"/>
  <c r="D1993" i="57"/>
  <c r="D1890" i="57"/>
  <c r="D2458" i="57"/>
  <c r="D2422" i="57"/>
  <c r="D2381" i="57"/>
  <c r="D2338" i="57"/>
  <c r="D2294" i="57"/>
  <c r="D2251" i="57"/>
  <c r="D2208" i="57"/>
  <c r="D2165" i="57"/>
  <c r="D2122" i="57"/>
  <c r="D2078" i="57"/>
  <c r="D2035" i="57"/>
  <c r="D1992" i="57"/>
  <c r="D1915" i="57"/>
  <c r="D1788" i="57"/>
  <c r="D2409" i="57"/>
  <c r="D2373" i="57"/>
  <c r="D2337" i="57"/>
  <c r="D2301" i="57"/>
  <c r="D2265" i="57"/>
  <c r="D2229" i="57"/>
  <c r="D2193" i="57"/>
  <c r="D2157" i="57"/>
  <c r="D2121" i="57"/>
  <c r="D2085" i="57"/>
  <c r="D2049" i="57"/>
  <c r="D2013" i="57"/>
  <c r="D1977" i="57"/>
  <c r="D1891" i="57"/>
  <c r="D1783" i="57"/>
  <c r="D1935" i="57"/>
  <c r="D1899" i="57"/>
  <c r="D1863" i="57"/>
  <c r="D1827" i="57"/>
  <c r="D1791" i="57"/>
  <c r="D1755" i="57"/>
  <c r="D1719" i="57"/>
  <c r="D1683" i="57"/>
  <c r="D1647" i="57"/>
  <c r="D1611" i="57"/>
  <c r="D1575" i="57"/>
  <c r="D1539" i="57"/>
  <c r="D1503" i="57"/>
  <c r="D1467" i="57"/>
  <c r="D1940" i="57"/>
  <c r="D1904" i="57"/>
  <c r="D1868" i="57"/>
  <c r="D1832" i="57"/>
  <c r="D1796" i="57"/>
  <c r="D1760" i="57"/>
  <c r="D1724" i="57"/>
  <c r="D1688" i="57"/>
  <c r="D1652" i="57"/>
  <c r="D1616" i="57"/>
  <c r="D1580" i="57"/>
  <c r="D1544" i="57"/>
  <c r="D1508" i="57"/>
  <c r="D1472" i="57"/>
  <c r="D1747" i="57"/>
  <c r="D1711" i="57"/>
  <c r="D1675" i="57"/>
  <c r="D1639" i="57"/>
  <c r="D1603" i="57"/>
  <c r="D1567" i="57"/>
  <c r="D1531" i="57"/>
  <c r="D1495" i="57"/>
  <c r="D1459" i="57"/>
  <c r="D1734" i="57"/>
  <c r="D1698" i="57"/>
  <c r="D1662" i="57"/>
  <c r="D1626" i="57"/>
  <c r="D1590" i="57"/>
  <c r="D1554" i="57"/>
  <c r="D1518" i="57"/>
  <c r="D1482" i="57"/>
  <c r="D1955" i="57"/>
  <c r="D1919" i="57"/>
  <c r="D1883" i="57"/>
  <c r="D1847" i="57"/>
  <c r="D1811" i="57"/>
  <c r="D1775" i="57"/>
  <c r="D1739" i="57"/>
  <c r="D1703" i="57"/>
  <c r="D1667" i="57"/>
  <c r="D1631" i="57"/>
  <c r="D1595" i="57"/>
  <c r="D1559" i="57"/>
  <c r="D1523" i="57"/>
  <c r="D1487" i="57"/>
  <c r="D1960" i="57"/>
  <c r="D1924" i="57"/>
  <c r="D1888" i="57"/>
  <c r="D1852" i="57"/>
  <c r="D1816" i="57"/>
  <c r="D1780" i="57"/>
  <c r="D1744" i="57"/>
  <c r="D1708" i="57"/>
  <c r="D1672" i="57"/>
  <c r="D1636" i="57"/>
  <c r="D1600" i="57"/>
  <c r="D1564" i="57"/>
  <c r="D1528" i="57"/>
  <c r="D1492" i="57"/>
  <c r="D1456" i="57"/>
  <c r="D1449" i="57"/>
  <c r="D1450" i="57"/>
  <c r="D1454" i="57"/>
  <c r="D1452" i="57"/>
  <c r="D1448" i="57"/>
  <c r="D1455" i="57"/>
  <c r="Y45" i="56"/>
  <c r="AB45" i="56" s="1"/>
  <c r="AH45" i="56"/>
  <c r="Z45" i="56"/>
  <c r="Y42" i="56"/>
  <c r="AB42" i="56" s="1"/>
  <c r="AH42" i="56"/>
  <c r="L42" i="56"/>
  <c r="Y44" i="56"/>
  <c r="AB44" i="56" s="1"/>
  <c r="Q44" i="56" s="1"/>
  <c r="R44" i="56" s="1"/>
  <c r="AN44" i="56" s="1"/>
  <c r="Z43" i="56"/>
  <c r="AC43" i="56" s="1"/>
  <c r="AH46" i="56"/>
  <c r="L46" i="56"/>
  <c r="O45" i="56"/>
  <c r="N45" i="56" s="1"/>
  <c r="AH41" i="56"/>
  <c r="Y46" i="56"/>
  <c r="O41" i="56"/>
  <c r="AH43" i="56"/>
  <c r="Y43" i="56"/>
  <c r="AB43" i="56" s="1"/>
  <c r="Z37" i="56"/>
  <c r="AC37" i="56" s="1"/>
  <c r="Y41" i="56"/>
  <c r="AB41" i="56" s="1"/>
  <c r="Z41" i="56"/>
  <c r="AC41" i="56" s="1"/>
  <c r="AH44" i="56"/>
  <c r="O43" i="56"/>
  <c r="Z38" i="56"/>
  <c r="AA38" i="56" s="1"/>
  <c r="L38" i="56"/>
  <c r="AH38" i="56"/>
  <c r="AH39" i="56"/>
  <c r="AF46" i="56"/>
  <c r="Z40" i="56"/>
  <c r="Y37" i="56"/>
  <c r="O37" i="56"/>
  <c r="Z39" i="56"/>
  <c r="AI38" i="56"/>
  <c r="N44" i="56"/>
  <c r="L44" i="56"/>
  <c r="Y40" i="56"/>
  <c r="AH40" i="56"/>
  <c r="O40" i="56"/>
  <c r="AG38" i="56"/>
  <c r="AI39" i="56"/>
  <c r="N39" i="56"/>
  <c r="AG39" i="56"/>
  <c r="L39" i="56"/>
  <c r="G2387" i="57" l="1" a="1"/>
  <c r="G2387" i="57" s="1"/>
  <c r="F2387" i="57" a="1"/>
  <c r="F2387" i="57" s="1"/>
  <c r="G16" i="57" a="1"/>
  <c r="G16" i="57" s="1"/>
  <c r="F16" i="57" a="1"/>
  <c r="F16" i="57" s="1"/>
  <c r="GA20" i="54"/>
  <c r="FX20" i="54"/>
  <c r="FZ20" i="54"/>
  <c r="FO21" i="54"/>
  <c r="FN20" i="54"/>
  <c r="FP20" i="54" s="1"/>
  <c r="FK21" i="54" s="1"/>
  <c r="GJ21" i="54"/>
  <c r="GI20" i="54"/>
  <c r="GK20" i="54" s="1"/>
  <c r="GF21" i="54" s="1"/>
  <c r="FT20" i="54"/>
  <c r="FQ20" i="54"/>
  <c r="FS20" i="54"/>
  <c r="DC67" i="54"/>
  <c r="DA67" i="54"/>
  <c r="DB68" i="54" s="1"/>
  <c r="AA45" i="56"/>
  <c r="Q45" i="56" s="1"/>
  <c r="R45" i="56" s="1"/>
  <c r="AN45" i="56" s="1"/>
  <c r="AI42" i="56"/>
  <c r="AC45" i="56"/>
  <c r="AF45" i="56" s="1"/>
  <c r="AA42" i="56"/>
  <c r="Q42" i="56"/>
  <c r="AD42" i="56"/>
  <c r="AG42" i="56"/>
  <c r="AD46" i="56"/>
  <c r="AG45" i="56"/>
  <c r="AF42" i="56"/>
  <c r="AI45" i="56"/>
  <c r="AA46" i="56"/>
  <c r="AE46" i="56" s="1"/>
  <c r="AA44" i="56"/>
  <c r="Q38" i="56"/>
  <c r="R38" i="56" s="1"/>
  <c r="AN38" i="56" s="1"/>
  <c r="AG41" i="56"/>
  <c r="AA43" i="56"/>
  <c r="AB46" i="56"/>
  <c r="AA41" i="56"/>
  <c r="AI41" i="56"/>
  <c r="AG46" i="56"/>
  <c r="AI46" i="56"/>
  <c r="L45" i="56"/>
  <c r="AD45" i="56" s="1"/>
  <c r="AI44" i="56"/>
  <c r="AI43" i="56"/>
  <c r="L41" i="56"/>
  <c r="N41" i="56"/>
  <c r="AH37" i="56"/>
  <c r="Q41" i="56"/>
  <c r="R41" i="56" s="1"/>
  <c r="AN41" i="56" s="1"/>
  <c r="AA37" i="56"/>
  <c r="AG44" i="56"/>
  <c r="AD44" i="56"/>
  <c r="L43" i="56"/>
  <c r="N43" i="56"/>
  <c r="AG43" i="56"/>
  <c r="Q43" i="56"/>
  <c r="R43" i="56" s="1"/>
  <c r="AN43" i="56" s="1"/>
  <c r="AD39" i="56"/>
  <c r="AC38" i="56"/>
  <c r="AF44" i="56"/>
  <c r="N38" i="56"/>
  <c r="AD38" i="56" s="1"/>
  <c r="AA39" i="56"/>
  <c r="AC39" i="56"/>
  <c r="Q39" i="56" s="1"/>
  <c r="AB40" i="56"/>
  <c r="AG37" i="56"/>
  <c r="L37" i="56"/>
  <c r="AI37" i="56"/>
  <c r="N37" i="56"/>
  <c r="EU7" i="54" s="1"/>
  <c r="AI40" i="56"/>
  <c r="AG40" i="56"/>
  <c r="L40" i="56"/>
  <c r="AD40" i="56" s="1"/>
  <c r="N40" i="56"/>
  <c r="AB37" i="56"/>
  <c r="AC40" i="56"/>
  <c r="AA40" i="56"/>
  <c r="R42" i="56" l="1"/>
  <c r="ET11" i="42" a="1"/>
  <c r="ET11" i="42" s="1"/>
  <c r="BJ38" i="54" s="1" a="1"/>
  <c r="BJ38" i="54" s="1"/>
  <c r="AQ10" i="42" a="1"/>
  <c r="AQ10" i="42" s="1"/>
  <c r="EU2" i="54"/>
  <c r="EV2" i="54"/>
  <c r="EW2" i="54" s="1"/>
  <c r="EX2" i="54" s="1"/>
  <c r="GG21" i="54"/>
  <c r="GE21" i="54"/>
  <c r="GH21" i="54"/>
  <c r="FL21" i="54"/>
  <c r="FJ21" i="54"/>
  <c r="FM21" i="54"/>
  <c r="FU20" i="54"/>
  <c r="FW20" i="54" s="1"/>
  <c r="FR21" i="54" s="1"/>
  <c r="FV21" i="54"/>
  <c r="EV4" i="54"/>
  <c r="EW4" i="54" s="1"/>
  <c r="EX4" i="54" s="1"/>
  <c r="EU4" i="54"/>
  <c r="EV3" i="54"/>
  <c r="EW3" i="54" s="1"/>
  <c r="EX3" i="54" s="1"/>
  <c r="EU3" i="54"/>
  <c r="FA3" i="54" s="1"/>
  <c r="FB3" i="54" s="1"/>
  <c r="GC21" i="54"/>
  <c r="GB20" i="54"/>
  <c r="GD20" i="54" s="1"/>
  <c r="FY21" i="54" s="1"/>
  <c r="AD37" i="56"/>
  <c r="EU5" i="54"/>
  <c r="DC68" i="54"/>
  <c r="DA68" i="54"/>
  <c r="DB69" i="54" s="1"/>
  <c r="R39" i="56"/>
  <c r="AF39" i="56"/>
  <c r="Q46" i="56"/>
  <c r="R46" i="56" s="1"/>
  <c r="AN46" i="56" s="1"/>
  <c r="AD43" i="56"/>
  <c r="AF41" i="56"/>
  <c r="AE45" i="56"/>
  <c r="AF38" i="56"/>
  <c r="AD41" i="56"/>
  <c r="AF43" i="56"/>
  <c r="AF37" i="56"/>
  <c r="EV7" i="54" s="1"/>
  <c r="AF40" i="56"/>
  <c r="Q40" i="56"/>
  <c r="R40" i="56" s="1"/>
  <c r="AN40" i="56" s="1"/>
  <c r="AE40" i="56"/>
  <c r="AE37" i="56"/>
  <c r="EV6" i="54" l="1"/>
  <c r="EV5" i="54"/>
  <c r="BM41" i="54" a="1"/>
  <c r="BM41" i="54" s="1"/>
  <c r="AN42" i="56"/>
  <c r="BM42" i="54" a="1"/>
  <c r="BM42" i="54" s="1"/>
  <c r="AE42" i="54"/>
  <c r="ET9" i="42" a="1"/>
  <c r="ET9" i="42" s="1"/>
  <c r="ET31" i="42" s="1" a="1"/>
  <c r="ET31" i="42" s="1"/>
  <c r="BP10" i="42" a="1"/>
  <c r="BP10" i="42" s="1"/>
  <c r="A53" i="42" a="1"/>
  <c r="A53" i="42" s="1"/>
  <c r="AQ16" i="42"/>
  <c r="CE10" i="42" s="1" a="1"/>
  <c r="CE10" i="42" s="1"/>
  <c r="AQ12" i="42"/>
  <c r="EM20" i="42"/>
  <c r="ET58" i="42"/>
  <c r="FX21" i="54"/>
  <c r="FZ21" i="54"/>
  <c r="GA21" i="54"/>
  <c r="FO22" i="54"/>
  <c r="FN21" i="54"/>
  <c r="FP21" i="54" s="1"/>
  <c r="FK22" i="54" s="1"/>
  <c r="FT21" i="54"/>
  <c r="FS21" i="54"/>
  <c r="FQ21" i="54"/>
  <c r="GJ22" i="54"/>
  <c r="GI21" i="54"/>
  <c r="GK21" i="54" s="1"/>
  <c r="GF22" i="54" s="1"/>
  <c r="FC3" i="54"/>
  <c r="FD3" i="54" s="1" a="1"/>
  <c r="FD3" i="54" s="1"/>
  <c r="EU75" i="54"/>
  <c r="EU204" i="54"/>
  <c r="EU95" i="54"/>
  <c r="EU224" i="54"/>
  <c r="EU256" i="54"/>
  <c r="EU14" i="54"/>
  <c r="EU59" i="54"/>
  <c r="EU69" i="54"/>
  <c r="EU72" i="54"/>
  <c r="EU135" i="54"/>
  <c r="EU264" i="54"/>
  <c r="EU148" i="54"/>
  <c r="EU169" i="54"/>
  <c r="EU137" i="54"/>
  <c r="EU116" i="54"/>
  <c r="EU77" i="54"/>
  <c r="EU27" i="54"/>
  <c r="EU156" i="54"/>
  <c r="EU40" i="54"/>
  <c r="EU61" i="54"/>
  <c r="EU232" i="54"/>
  <c r="EU253" i="54"/>
  <c r="EU161" i="54"/>
  <c r="EU164" i="54"/>
  <c r="EU48" i="54"/>
  <c r="EU183" i="54"/>
  <c r="EU96" i="54"/>
  <c r="EU124" i="54"/>
  <c r="EU145" i="54"/>
  <c r="EU190" i="54"/>
  <c r="EU56" i="54"/>
  <c r="EU89" i="54"/>
  <c r="EU230" i="54"/>
  <c r="EU227" i="54"/>
  <c r="EU16" i="54"/>
  <c r="EU37" i="54"/>
  <c r="EU82" i="54"/>
  <c r="EU211" i="54"/>
  <c r="EU122" i="54"/>
  <c r="EU65" i="54"/>
  <c r="EU177" i="54"/>
  <c r="EU180" i="54"/>
  <c r="EU243" i="54"/>
  <c r="EU103" i="54"/>
  <c r="EU174" i="54"/>
  <c r="EU45" i="54"/>
  <c r="EU185" i="54"/>
  <c r="EU134" i="54"/>
  <c r="EU250" i="54"/>
  <c r="EU114" i="54"/>
  <c r="EU248" i="54"/>
  <c r="EU125" i="54"/>
  <c r="EU92" i="54"/>
  <c r="EU226" i="54"/>
  <c r="EU181" i="54"/>
  <c r="EU52" i="54"/>
  <c r="EU119" i="54"/>
  <c r="EU50" i="54"/>
  <c r="EU184" i="54"/>
  <c r="EU13" i="54"/>
  <c r="EU153" i="54"/>
  <c r="EU90" i="54"/>
  <c r="EU242" i="54"/>
  <c r="EU149" i="54"/>
  <c r="EU222" i="54"/>
  <c r="EU93" i="54"/>
  <c r="EU84" i="54"/>
  <c r="EU200" i="54"/>
  <c r="EU71" i="54"/>
  <c r="EU44" i="54"/>
  <c r="EU160" i="54"/>
  <c r="EU24" i="54"/>
  <c r="EU158" i="54"/>
  <c r="EU121" i="54"/>
  <c r="EU261" i="54"/>
  <c r="EU198" i="54"/>
  <c r="EU87" i="54"/>
  <c r="EU191" i="54"/>
  <c r="EU79" i="54"/>
  <c r="EU201" i="54"/>
  <c r="EU192" i="54"/>
  <c r="EU63" i="54"/>
  <c r="EU257" i="54"/>
  <c r="EU152" i="54"/>
  <c r="EU268" i="54"/>
  <c r="EU132" i="54"/>
  <c r="EU266" i="54"/>
  <c r="EU229" i="54"/>
  <c r="EU100" i="54"/>
  <c r="EU55" i="54"/>
  <c r="EU195" i="54"/>
  <c r="EU113" i="54"/>
  <c r="EU187" i="54"/>
  <c r="EU58" i="54"/>
  <c r="EU31" i="54"/>
  <c r="EU171" i="54"/>
  <c r="EU108" i="54"/>
  <c r="EU260" i="54"/>
  <c r="EU203" i="54"/>
  <c r="EU240" i="54"/>
  <c r="EU111" i="54"/>
  <c r="EU251" i="54"/>
  <c r="EU74" i="54"/>
  <c r="EU208" i="54"/>
  <c r="EU163" i="54"/>
  <c r="EU34" i="54"/>
  <c r="EU101" i="54"/>
  <c r="EU32" i="54"/>
  <c r="EU166" i="54"/>
  <c r="EU139" i="54"/>
  <c r="EU10" i="54"/>
  <c r="EU216" i="54"/>
  <c r="EU105" i="54"/>
  <c r="EU245" i="54"/>
  <c r="EU97" i="54"/>
  <c r="EU219" i="54"/>
  <c r="EU66" i="54"/>
  <c r="EU182" i="54"/>
  <c r="EU131" i="54"/>
  <c r="EU26" i="54"/>
  <c r="EU142" i="54"/>
  <c r="EU263" i="54"/>
  <c r="EU140" i="54"/>
  <c r="EU247" i="54"/>
  <c r="EU118" i="54"/>
  <c r="EU73" i="54"/>
  <c r="EU213" i="54"/>
  <c r="EU167" i="54"/>
  <c r="EU205" i="54"/>
  <c r="EU76" i="54"/>
  <c r="EU215" i="54"/>
  <c r="EU110" i="54"/>
  <c r="EU244" i="54"/>
  <c r="EU199" i="54"/>
  <c r="EU70" i="54"/>
  <c r="EU155" i="54"/>
  <c r="EU68" i="54"/>
  <c r="EU202" i="54"/>
  <c r="EU102" i="54"/>
  <c r="EU218" i="54"/>
  <c r="EU107" i="54"/>
  <c r="EU62" i="54"/>
  <c r="EU178" i="54"/>
  <c r="EU42" i="54"/>
  <c r="EU176" i="54"/>
  <c r="EU210" i="54"/>
  <c r="EU81" i="54"/>
  <c r="EU18" i="54"/>
  <c r="EU170" i="54"/>
  <c r="EU35" i="54"/>
  <c r="EU150" i="54"/>
  <c r="EU21" i="54"/>
  <c r="EU228" i="54"/>
  <c r="EU99" i="54"/>
  <c r="EU36" i="54"/>
  <c r="EU188" i="54"/>
  <c r="EU49" i="54"/>
  <c r="EU189" i="54"/>
  <c r="EU126" i="54"/>
  <c r="EU15" i="54"/>
  <c r="EU239" i="54"/>
  <c r="EU258" i="54"/>
  <c r="EU129" i="54"/>
  <c r="EU157" i="54"/>
  <c r="EU28" i="54"/>
  <c r="EU234" i="54"/>
  <c r="EU123" i="54"/>
  <c r="EU53" i="54"/>
  <c r="EU115" i="54"/>
  <c r="EU237" i="54"/>
  <c r="EU175" i="54"/>
  <c r="EU46" i="54"/>
  <c r="EU252" i="54"/>
  <c r="EU141" i="54"/>
  <c r="EU265" i="54"/>
  <c r="EU136" i="54"/>
  <c r="EU91" i="54"/>
  <c r="EU231" i="54"/>
  <c r="EU221" i="54"/>
  <c r="EU223" i="54"/>
  <c r="EU94" i="54"/>
  <c r="EU20" i="54"/>
  <c r="EU154" i="54"/>
  <c r="EU109" i="54"/>
  <c r="EU249" i="54"/>
  <c r="EU120" i="54"/>
  <c r="EU197" i="54"/>
  <c r="EU196" i="54"/>
  <c r="EU60" i="54"/>
  <c r="EU194" i="54"/>
  <c r="EU85" i="54"/>
  <c r="EU225" i="54"/>
  <c r="EU162" i="54"/>
  <c r="EU51" i="54"/>
  <c r="EU83" i="54"/>
  <c r="EU43" i="54"/>
  <c r="EU165" i="54"/>
  <c r="EU38" i="54"/>
  <c r="EU67" i="54"/>
  <c r="EU144" i="54"/>
  <c r="EU179" i="54"/>
  <c r="EU168" i="54"/>
  <c r="EU39" i="54"/>
  <c r="EU193" i="54"/>
  <c r="EU64" i="54"/>
  <c r="EU19" i="54"/>
  <c r="EU159" i="54"/>
  <c r="EU233" i="54"/>
  <c r="EU151" i="54"/>
  <c r="EU22" i="54"/>
  <c r="EU47" i="54"/>
  <c r="EU128" i="54"/>
  <c r="EU217" i="54"/>
  <c r="EU11" i="54"/>
  <c r="EU25" i="54"/>
  <c r="EU147" i="54"/>
  <c r="EU267" i="54"/>
  <c r="EU259" i="54"/>
  <c r="EU130" i="54"/>
  <c r="EU236" i="54"/>
  <c r="EU80" i="54"/>
  <c r="EU143" i="54"/>
  <c r="EU133" i="54"/>
  <c r="EU255" i="54"/>
  <c r="EU30" i="54"/>
  <c r="EU146" i="54"/>
  <c r="EU17" i="54"/>
  <c r="EU235" i="54"/>
  <c r="EU106" i="54"/>
  <c r="EU209" i="54"/>
  <c r="EU104" i="54"/>
  <c r="EU238" i="54"/>
  <c r="EU172" i="54"/>
  <c r="EU207" i="54"/>
  <c r="EU33" i="54"/>
  <c r="EU29" i="54"/>
  <c r="EU241" i="54"/>
  <c r="EU112" i="54"/>
  <c r="EU138" i="54"/>
  <c r="EU254" i="54"/>
  <c r="EU23" i="54"/>
  <c r="EU98" i="54"/>
  <c r="EU214" i="54"/>
  <c r="EU78" i="54"/>
  <c r="EU212" i="54"/>
  <c r="EU127" i="54"/>
  <c r="EU12" i="54"/>
  <c r="EU262" i="54"/>
  <c r="EU88" i="54"/>
  <c r="EU173" i="54"/>
  <c r="EU86" i="54"/>
  <c r="EU220" i="54"/>
  <c r="EU246" i="54"/>
  <c r="EU117" i="54"/>
  <c r="EU54" i="54"/>
  <c r="EU206" i="54"/>
  <c r="EU41" i="54"/>
  <c r="EU186" i="54"/>
  <c r="EU57" i="54"/>
  <c r="DC69" i="54"/>
  <c r="DA69" i="54"/>
  <c r="DB70" i="54" s="1"/>
  <c r="AN39" i="56"/>
  <c r="S35" i="54" l="1" a="1"/>
  <c r="S35" i="54" s="1"/>
  <c r="BH10" i="54" a="1"/>
  <c r="BH10" i="54" s="1"/>
  <c r="AD47" i="54"/>
  <c r="BW10" i="42" a="1"/>
  <c r="BW10" i="42" s="1"/>
  <c r="BM10" i="42" a="1"/>
  <c r="BM10" i="42" s="1"/>
  <c r="DN10" i="42" a="1"/>
  <c r="DN10" i="42" s="1"/>
  <c r="CS10" i="42" a="1"/>
  <c r="CS10" i="42" s="1"/>
  <c r="CW10" i="42" s="1" a="1"/>
  <c r="CW10" i="42" s="1"/>
  <c r="ET47" i="42" a="1"/>
  <c r="ET47" i="42" s="1"/>
  <c r="CP24" i="42"/>
  <c r="DE10" i="42" s="1" a="1"/>
  <c r="DE10" i="42" s="1"/>
  <c r="ET10" i="42" a="1"/>
  <c r="ET10" i="42" s="1"/>
  <c r="ET14" i="42" s="1" a="1"/>
  <c r="ET14" i="42" s="1"/>
  <c r="CG10" i="42" a="1"/>
  <c r="CG10" i="42" s="1"/>
  <c r="CF10" i="42" a="1"/>
  <c r="CF10" i="42" s="1"/>
  <c r="AQ14" i="42"/>
  <c r="AD46" i="54" s="1"/>
  <c r="FJ22" i="54"/>
  <c r="FM22" i="54"/>
  <c r="FL22" i="54"/>
  <c r="GG22" i="54"/>
  <c r="GE22" i="54"/>
  <c r="GH22" i="54"/>
  <c r="GC22" i="54"/>
  <c r="GB21" i="54"/>
  <c r="GD21" i="54" s="1"/>
  <c r="FY22" i="54" s="1"/>
  <c r="FV22" i="54"/>
  <c r="FU21" i="54"/>
  <c r="FW21" i="54" s="1"/>
  <c r="FR22" i="54" s="1"/>
  <c r="DC70" i="54"/>
  <c r="DA70" i="54"/>
  <c r="DB71" i="54" s="1"/>
  <c r="ET75" i="42" l="1" a="1"/>
  <c r="ET75" i="42" s="1"/>
  <c r="AQ24" i="42" s="1"/>
  <c r="C30" i="42" a="1"/>
  <c r="C30" i="42" s="1"/>
  <c r="DO10" i="42" a="1"/>
  <c r="DO10" i="42" s="1"/>
  <c r="C3" i="58" s="1" a="1"/>
  <c r="C3" i="58" s="1"/>
  <c r="DQ10" i="42" a="1"/>
  <c r="DQ10" i="42" s="1"/>
  <c r="DP10" i="42" a="1"/>
  <c r="DP10" i="42" s="1"/>
  <c r="DS10" i="42" a="1"/>
  <c r="DS10" i="42" s="1"/>
  <c r="DT10" i="42" a="1"/>
  <c r="DT10" i="42" s="1"/>
  <c r="DR10" i="42" a="1"/>
  <c r="DR10" i="42" s="1"/>
  <c r="D3" i="58" s="1" a="1"/>
  <c r="D3" i="58" s="1"/>
  <c r="DF10" i="42" a="1"/>
  <c r="DF10" i="42" s="1"/>
  <c r="EU46" i="42" a="1"/>
  <c r="EU46" i="42" s="1"/>
  <c r="ET61" i="42" a="1"/>
  <c r="ET61" i="42" s="1"/>
  <c r="ET65" i="42" s="1"/>
  <c r="B45" i="42" s="1"/>
  <c r="CU10" i="42" a="1"/>
  <c r="CU10" i="42" s="1"/>
  <c r="AY10" i="42" a="1"/>
  <c r="AY10" i="42" s="1"/>
  <c r="BR10" i="42" a="1"/>
  <c r="BR10" i="42" s="1"/>
  <c r="ES75" i="42" a="1"/>
  <c r="ES75" i="42" s="1"/>
  <c r="EU75" i="42" s="1" a="1"/>
  <c r="EU75" i="42" s="1"/>
  <c r="BG12" i="42"/>
  <c r="BQ20" i="42"/>
  <c r="AX34" i="42"/>
  <c r="BC10" i="42" s="1" a="1"/>
  <c r="BC10" i="42" s="1"/>
  <c r="CQ10" i="42" a="1"/>
  <c r="CQ10" i="42" s="1"/>
  <c r="DX10" i="42" a="1"/>
  <c r="DX10" i="42" s="1"/>
  <c r="ED10" i="42" s="1" a="1"/>
  <c r="ED10" i="42" s="1"/>
  <c r="AR12" i="42"/>
  <c r="EF10" i="42" a="1"/>
  <c r="EF10" i="42" s="1"/>
  <c r="EL10" i="42" s="1" a="1"/>
  <c r="EL10" i="42" s="1"/>
  <c r="AS10" i="42" a="1"/>
  <c r="AS10" i="42" s="1"/>
  <c r="DJ10" i="42" a="1"/>
  <c r="DJ10" i="42" s="1"/>
  <c r="FS22" i="54"/>
  <c r="FQ22" i="54"/>
  <c r="FT22" i="54"/>
  <c r="GJ23" i="54"/>
  <c r="GI22" i="54"/>
  <c r="GK22" i="54" s="1"/>
  <c r="GF23" i="54" s="1"/>
  <c r="FO23" i="54"/>
  <c r="FN22" i="54"/>
  <c r="FP22" i="54" s="1"/>
  <c r="FK23" i="54" s="1"/>
  <c r="GA22" i="54"/>
  <c r="FZ22" i="54"/>
  <c r="FX22" i="54"/>
  <c r="A3" i="58" a="1"/>
  <c r="A3" i="58" s="1"/>
  <c r="DC71" i="54"/>
  <c r="DA71" i="54"/>
  <c r="DB72" i="54" s="1"/>
  <c r="M58" i="56"/>
  <c r="M59" i="56"/>
  <c r="N60" i="56"/>
  <c r="AF60" i="56" s="1"/>
  <c r="M60" i="56"/>
  <c r="L60" i="56"/>
  <c r="HX6" i="54" l="1" a="1"/>
  <c r="HX6" i="54" s="1"/>
  <c r="HX139" i="54" s="1"/>
  <c r="AQ26" i="42" a="1"/>
  <c r="AQ26" i="42" s="1"/>
  <c r="EH10" i="42" a="1"/>
  <c r="EH10" i="42" s="1"/>
  <c r="EN10" i="42" a="1"/>
  <c r="EN10" i="42" s="1"/>
  <c r="AQ20" i="42"/>
  <c r="AQ22" i="42"/>
  <c r="BS10" i="42" a="1"/>
  <c r="BS10" i="42" s="1"/>
  <c r="BT10" i="42" a="1"/>
  <c r="BT10" i="42" s="1"/>
  <c r="CV10" i="42" a="1"/>
  <c r="CV10" i="42" s="1"/>
  <c r="CX10" i="42" s="1" a="1"/>
  <c r="CX10" i="42" s="1"/>
  <c r="CY10" i="42" s="1" a="1"/>
  <c r="CY10" i="42" s="1"/>
  <c r="CZ10" i="42" a="1"/>
  <c r="CZ10" i="42" s="1"/>
  <c r="DA10" i="42" a="1"/>
  <c r="DA10" i="42" s="1"/>
  <c r="ET17" i="42" a="1"/>
  <c r="ET17" i="42" s="1"/>
  <c r="CR10" i="42" a="1"/>
  <c r="CR10" i="42" s="1"/>
  <c r="ET22" i="42" a="1"/>
  <c r="ET22" i="42" s="1"/>
  <c r="ET41" i="42" a="1"/>
  <c r="ET21" i="42" a="1"/>
  <c r="ET21" i="42" s="1"/>
  <c r="ET19" i="42" a="1"/>
  <c r="ET19" i="42" s="1"/>
  <c r="ET18" i="42" a="1"/>
  <c r="ET18" i="42" s="1"/>
  <c r="ET24" i="42" s="1" a="1"/>
  <c r="ET24" i="42" s="1"/>
  <c r="ET20" i="42" a="1"/>
  <c r="ET20" i="42" s="1"/>
  <c r="DH10" i="42" a="1"/>
  <c r="DH10" i="42" s="1"/>
  <c r="DL10" i="42" a="1"/>
  <c r="DL10" i="42" s="1"/>
  <c r="DG10" i="42" a="1"/>
  <c r="DG10" i="42" s="1"/>
  <c r="GG23" i="54"/>
  <c r="GH23" i="54"/>
  <c r="GE23" i="54"/>
  <c r="GC23" i="54"/>
  <c r="GB22" i="54"/>
  <c r="GD22" i="54" s="1"/>
  <c r="FY23" i="54" s="1"/>
  <c r="FL23" i="54"/>
  <c r="FJ23" i="54"/>
  <c r="FM23" i="54"/>
  <c r="FV23" i="54"/>
  <c r="FU22" i="54"/>
  <c r="FW22" i="54" s="1"/>
  <c r="FR23" i="54" s="1"/>
  <c r="DC72" i="54"/>
  <c r="DA72" i="54"/>
  <c r="DB73" i="54" s="1"/>
  <c r="L58" i="56"/>
  <c r="N58" i="56"/>
  <c r="AD60" i="56"/>
  <c r="AE60" i="56"/>
  <c r="HY6" i="54" s="1" a="1"/>
  <c r="HY6" i="54" s="1"/>
  <c r="N59" i="56"/>
  <c r="L59" i="56"/>
  <c r="HX7" i="54" l="1" a="1"/>
  <c r="HX7" i="54" s="1"/>
  <c r="HX5" i="54" a="1"/>
  <c r="HX5" i="54" s="1"/>
  <c r="DC10" i="42" a="1"/>
  <c r="DC10" i="42" s="1"/>
  <c r="EM40" i="42"/>
  <c r="EQ10" i="42" a="1"/>
  <c r="EQ10" i="42" s="1"/>
  <c r="DK10" i="42" a="1"/>
  <c r="DK10" i="42" s="1"/>
  <c r="DU10" i="42" s="1" a="1"/>
  <c r="DU10" i="42" s="1"/>
  <c r="BU10" i="42" a="1"/>
  <c r="BU10" i="42" s="1"/>
  <c r="DI10" i="42" a="1"/>
  <c r="DI10" i="42" s="1"/>
  <c r="DM10" i="42" a="1"/>
  <c r="DM10" i="42" s="1"/>
  <c r="ET41" i="42"/>
  <c r="EM24" i="42"/>
  <c r="ET23" i="42" a="1"/>
  <c r="ET23" i="42" s="1"/>
  <c r="ET26" i="42" a="1"/>
  <c r="ET26" i="42" s="1"/>
  <c r="AR42" i="42" s="1"/>
  <c r="AR44" i="42" s="1"/>
  <c r="ET15" i="42" a="1"/>
  <c r="ET15" i="42" s="1"/>
  <c r="ET16" i="42" a="1"/>
  <c r="ET16" i="42" s="1"/>
  <c r="FQ23" i="54"/>
  <c r="FT23" i="54"/>
  <c r="FS23" i="54"/>
  <c r="FO24" i="54"/>
  <c r="FN23" i="54"/>
  <c r="FP23" i="54" s="1"/>
  <c r="FK24" i="54" s="1"/>
  <c r="FX23" i="54"/>
  <c r="GA23" i="54"/>
  <c r="FZ23" i="54"/>
  <c r="GJ24" i="54"/>
  <c r="GI23" i="54"/>
  <c r="GK23" i="54" s="1"/>
  <c r="GF24" i="54" s="1"/>
  <c r="DC73" i="54"/>
  <c r="DA73" i="54"/>
  <c r="DB74" i="54" s="1"/>
  <c r="AD58" i="56"/>
  <c r="AF58" i="56"/>
  <c r="AD59" i="56"/>
  <c r="AF59" i="56"/>
  <c r="HX185" i="54" l="1"/>
  <c r="HX93" i="54"/>
  <c r="HY7" i="54" a="1"/>
  <c r="HY7" i="54" s="1"/>
  <c r="HY5" i="54" a="1"/>
  <c r="HY5" i="54" s="1"/>
  <c r="CT10" i="42" a="1"/>
  <c r="CT10" i="42" s="1"/>
  <c r="DB10" i="42" s="1" a="1"/>
  <c r="DB10" i="42" s="1"/>
  <c r="DD10" i="42" s="1" a="1"/>
  <c r="DD10" i="42" s="1"/>
  <c r="BX10" i="42" a="1"/>
  <c r="BX10" i="42" s="1"/>
  <c r="BZ10" i="42" a="1"/>
  <c r="BZ10" i="42" s="1"/>
  <c r="CP30" i="42"/>
  <c r="AT10" i="42" a="1"/>
  <c r="AT10" i="42" s="1"/>
  <c r="AR18" i="42" a="1"/>
  <c r="AR18" i="42" s="1"/>
  <c r="ET34" i="42" a="1"/>
  <c r="CP36" i="42" a="1"/>
  <c r="CP36" i="42" s="1"/>
  <c r="CP39" i="42" s="1" a="1"/>
  <c r="CP39" i="42" s="1"/>
  <c r="CP42" i="42" s="1" a="1"/>
  <c r="CP42" i="42" s="1"/>
  <c r="CP45" i="42" s="1" a="1"/>
  <c r="CP45" i="42" s="1"/>
  <c r="DV10" i="42" a="1"/>
  <c r="DV10" i="42" s="1"/>
  <c r="EM28" i="42"/>
  <c r="EM38" i="42" s="1"/>
  <c r="EM34" i="42"/>
  <c r="ET48" i="42" a="1"/>
  <c r="ET48" i="42" s="1"/>
  <c r="ET49" i="42" a="1"/>
  <c r="ET49" i="42" s="1"/>
  <c r="AD45" i="54" s="1" a="1"/>
  <c r="AD45" i="54" s="1"/>
  <c r="FL24" i="54"/>
  <c r="FJ24" i="54"/>
  <c r="FM24" i="54"/>
  <c r="GE24" i="54"/>
  <c r="GG24" i="54"/>
  <c r="GH24" i="54"/>
  <c r="GC24" i="54"/>
  <c r="GB23" i="54"/>
  <c r="GD23" i="54" s="1"/>
  <c r="FY24" i="54" s="1"/>
  <c r="FV24" i="54"/>
  <c r="FU23" i="54"/>
  <c r="FW23" i="54" s="1"/>
  <c r="FR24" i="54" s="1"/>
  <c r="DC74" i="54"/>
  <c r="DA74" i="54"/>
  <c r="DB75" i="54" s="1"/>
  <c r="AB14" i="53" a="1"/>
  <c r="AB14" i="53" s="1"/>
  <c r="AC14" i="53" s="1" a="1"/>
  <c r="AC14" i="53" s="1"/>
  <c r="CH10" i="42" l="1" a="1"/>
  <c r="CH10" i="42" s="1"/>
  <c r="ET50" i="42" a="1"/>
  <c r="ET50" i="42" s="1"/>
  <c r="ET25" i="42" a="1"/>
  <c r="ET25" i="42" s="1"/>
  <c r="AD43" i="54" s="1"/>
  <c r="ET34" i="42"/>
  <c r="AX22" i="42" s="1"/>
  <c r="C40" i="42" s="1"/>
  <c r="EM22" i="42"/>
  <c r="AR20" i="42"/>
  <c r="AR10" i="42" s="1"/>
  <c r="AR38" i="42"/>
  <c r="AX36" i="42"/>
  <c r="BG32" i="42"/>
  <c r="AX30" i="42"/>
  <c r="BG30" i="42"/>
  <c r="AV10" i="42" a="1"/>
  <c r="AV10" i="42" s="1"/>
  <c r="AX38" i="42"/>
  <c r="AU10" i="42" a="1"/>
  <c r="AU10" i="42" s="1"/>
  <c r="CP48" i="42" a="1"/>
  <c r="CP48" i="42" s="1"/>
  <c r="CP10" i="42" s="1"/>
  <c r="GJ25" i="54"/>
  <c r="GI24" i="54"/>
  <c r="GK24" i="54" s="1"/>
  <c r="GF25" i="54" s="1"/>
  <c r="FT24" i="54"/>
  <c r="FS24" i="54"/>
  <c r="FQ24" i="54"/>
  <c r="FZ24" i="54"/>
  <c r="GA24" i="54"/>
  <c r="FX24" i="54"/>
  <c r="FN24" i="54"/>
  <c r="FP24" i="54" s="1"/>
  <c r="FK25" i="54" s="1"/>
  <c r="FO25" i="54"/>
  <c r="DC75" i="54"/>
  <c r="DA75" i="54"/>
  <c r="DB76" i="54" s="1"/>
  <c r="AB6" i="53"/>
  <c r="AB8" i="53"/>
  <c r="AB10" i="53"/>
  <c r="AB7" i="53"/>
  <c r="AE14" i="53" a="1"/>
  <c r="AE14" i="53" s="1"/>
  <c r="AC10" i="53" s="1"/>
  <c r="BG34" i="42" l="1"/>
  <c r="BI10" i="42" s="1" a="1"/>
  <c r="BI10" i="42" s="1"/>
  <c r="BG48" i="42" s="1"/>
  <c r="AX40" i="42"/>
  <c r="BD10" i="42" s="1" a="1"/>
  <c r="BD10" i="42" s="1"/>
  <c r="AX54" i="42" s="1"/>
  <c r="BG22" i="42"/>
  <c r="D40" i="42" s="1"/>
  <c r="BV10" i="42" a="1"/>
  <c r="BV10" i="42" s="1"/>
  <c r="EG10" i="42" a="1"/>
  <c r="EG10" i="42" s="1"/>
  <c r="EI10" i="42" s="1" a="1"/>
  <c r="EI10" i="42" s="1"/>
  <c r="EJ10" i="42" s="1" a="1"/>
  <c r="EJ10" i="42" s="1"/>
  <c r="EP10" i="42" a="1"/>
  <c r="EP10" i="42" s="1"/>
  <c r="ET12" i="42" a="1"/>
  <c r="ET12" i="42" s="1"/>
  <c r="ET51" i="42" a="1"/>
  <c r="ET51" i="42" s="1"/>
  <c r="ET13" i="42" s="1" a="1"/>
  <c r="ET13" i="42" s="1"/>
  <c r="DZ10" i="42" a="1"/>
  <c r="DZ10" i="42" s="1"/>
  <c r="EO10" i="42" a="1"/>
  <c r="EO10" i="42" s="1"/>
  <c r="AR32" i="42"/>
  <c r="AR36" i="42" s="1"/>
  <c r="AR24" i="42" s="1"/>
  <c r="AR26" i="42" s="1"/>
  <c r="AR28" i="42" s="1"/>
  <c r="AR30" i="42"/>
  <c r="ET39" i="42" a="1"/>
  <c r="ET39" i="42" s="1"/>
  <c r="AW10" i="42" a="1"/>
  <c r="AW10" i="42" s="1"/>
  <c r="BB10" i="42" a="1"/>
  <c r="BB10" i="42" s="1"/>
  <c r="AX32" i="42" s="1"/>
  <c r="EM32" i="42"/>
  <c r="EM26" i="42"/>
  <c r="EM36" i="42" s="1"/>
  <c r="GE25" i="54"/>
  <c r="GG25" i="54"/>
  <c r="GH25" i="54"/>
  <c r="FJ25" i="54"/>
  <c r="FL25" i="54"/>
  <c r="FM25" i="54"/>
  <c r="FV25" i="54"/>
  <c r="FU24" i="54"/>
  <c r="FW24" i="54" s="1"/>
  <c r="FR25" i="54" s="1"/>
  <c r="GB24" i="54"/>
  <c r="GD24" i="54" s="1"/>
  <c r="FY25" i="54" s="1"/>
  <c r="GC25" i="54"/>
  <c r="DC76" i="54"/>
  <c r="DA76" i="54"/>
  <c r="DB77" i="54" s="1"/>
  <c r="AC6" i="53"/>
  <c r="AC7" i="53"/>
  <c r="DY10" i="42" l="1" a="1"/>
  <c r="DY10" i="42" s="1"/>
  <c r="EA10" i="42" s="1" a="1"/>
  <c r="EA10" i="42" s="1"/>
  <c r="EB10" i="42" s="1" a="1"/>
  <c r="EB10" i="42" s="1"/>
  <c r="AZ10" i="42" a="1"/>
  <c r="AZ10" i="42" s="1"/>
  <c r="BA10" i="42" s="1" a="1"/>
  <c r="BA10" i="42" s="1"/>
  <c r="AX28" i="42" s="1"/>
  <c r="EM10" i="42"/>
  <c r="BL18" i="42" a="1"/>
  <c r="BL18" i="42" s="1"/>
  <c r="BL10" i="42" s="1"/>
  <c r="D53" i="42" a="1"/>
  <c r="D53" i="42" s="1"/>
  <c r="ET27" i="42" s="1" a="1"/>
  <c r="ET27" i="42" s="1"/>
  <c r="BN10" i="42" a="1"/>
  <c r="BN10" i="42" s="1"/>
  <c r="BO10" i="42" a="1"/>
  <c r="BO10" i="42" s="1"/>
  <c r="BY10" i="42" a="1"/>
  <c r="BY10" i="42" s="1"/>
  <c r="CB10" i="42" s="1" a="1"/>
  <c r="CB10" i="42" s="1"/>
  <c r="CA10" i="42" a="1"/>
  <c r="CA10" i="42" s="1"/>
  <c r="AR22" i="42"/>
  <c r="AR40" i="42"/>
  <c r="AR16" i="42" s="1"/>
  <c r="B40" i="42"/>
  <c r="EE22" i="42"/>
  <c r="EE20" i="42"/>
  <c r="FO26" i="54"/>
  <c r="FN25" i="54"/>
  <c r="FP25" i="54" s="1"/>
  <c r="FK26" i="54" s="1"/>
  <c r="GA25" i="54"/>
  <c r="FX25" i="54"/>
  <c r="FZ25" i="54"/>
  <c r="FT25" i="54"/>
  <c r="FQ25" i="54"/>
  <c r="FS25" i="54"/>
  <c r="GJ26" i="54"/>
  <c r="GI25" i="54"/>
  <c r="GK25" i="54" s="1"/>
  <c r="GF26" i="54" s="1"/>
  <c r="DC77" i="54"/>
  <c r="DA77" i="54"/>
  <c r="DB78" i="54" s="1"/>
  <c r="B3" i="58" a="1"/>
  <c r="B3" i="58" s="1"/>
  <c r="EK10" i="42" l="1" a="1"/>
  <c r="EK10" i="42" s="1"/>
  <c r="DW20" i="42"/>
  <c r="DW22" i="42"/>
  <c r="BE10" i="42" a="1"/>
  <c r="BE10" i="42" s="1"/>
  <c r="BF10" i="42" a="1"/>
  <c r="BF10" i="42" s="1"/>
  <c r="BK10" i="42" a="1"/>
  <c r="BK10" i="42" s="1"/>
  <c r="AX26" i="42"/>
  <c r="C42" i="42" s="1"/>
  <c r="BG24" i="42"/>
  <c r="D41" i="42" s="1"/>
  <c r="AX24" i="42"/>
  <c r="C41" i="42" s="1"/>
  <c r="BG26" i="42"/>
  <c r="BJ10" i="42" a="1"/>
  <c r="BJ10" i="42" s="1"/>
  <c r="CD10" i="42" a="1"/>
  <c r="CD10" i="42" s="1"/>
  <c r="CC10" i="42" a="1"/>
  <c r="CC10" i="42" s="1"/>
  <c r="ET30" i="42" a="1"/>
  <c r="ET30" i="42" s="1"/>
  <c r="CM10" i="42" s="1" a="1"/>
  <c r="CM10" i="42" s="1"/>
  <c r="CN10" i="42" s="1" a="1"/>
  <c r="CN10" i="42" s="1"/>
  <c r="ET28" i="42"/>
  <c r="ET29" i="42" a="1"/>
  <c r="ET29" i="42" s="1"/>
  <c r="C53" i="42" s="1" a="1"/>
  <c r="C53" i="42" s="1"/>
  <c r="AR14" i="42"/>
  <c r="AX12" i="42"/>
  <c r="GH26" i="54"/>
  <c r="GG26" i="54"/>
  <c r="GE26" i="54"/>
  <c r="GB25" i="54"/>
  <c r="GD25" i="54" s="1"/>
  <c r="FY26" i="54" s="1"/>
  <c r="GC26" i="54"/>
  <c r="FU25" i="54"/>
  <c r="FW25" i="54" s="1"/>
  <c r="FR26" i="54" s="1"/>
  <c r="FV26" i="54"/>
  <c r="FM26" i="54"/>
  <c r="FJ26" i="54"/>
  <c r="FL26" i="54"/>
  <c r="DC78" i="54"/>
  <c r="DA78" i="54"/>
  <c r="DB79" i="54" s="1"/>
  <c r="AX42" i="42" l="1" a="1"/>
  <c r="AX42" i="42" s="1"/>
  <c r="AX46" i="42" s="1"/>
  <c r="AX50" i="42" s="1"/>
  <c r="AX14" i="42" s="1"/>
  <c r="AQ28" i="42"/>
  <c r="EC10" i="42" a="1"/>
  <c r="EC10" i="42" s="1"/>
  <c r="BG36" i="42" a="1"/>
  <c r="BG36" i="42" s="1"/>
  <c r="BG40" i="42" s="1"/>
  <c r="AQ30" i="42"/>
  <c r="D42" i="42"/>
  <c r="CL10" i="42" a="1"/>
  <c r="CL10" i="42" s="1"/>
  <c r="CO10" i="42" s="1" a="1"/>
  <c r="CO10" i="42" s="1"/>
  <c r="CJ10" i="42" a="1"/>
  <c r="CJ10" i="42" s="1"/>
  <c r="CK10" i="42" s="1" a="1"/>
  <c r="CK10" i="42" s="1"/>
  <c r="BQ24" i="42" s="1"/>
  <c r="BQ30" i="42" s="1" a="1"/>
  <c r="BQ30" i="42" s="1"/>
  <c r="BQ34" i="42" s="1" a="1"/>
  <c r="BQ34" i="42" s="1"/>
  <c r="BQ28" i="42" s="1"/>
  <c r="BQ10" i="42" s="1"/>
  <c r="CI10" i="42" a="1"/>
  <c r="CI10" i="42" s="1"/>
  <c r="B49" i="42"/>
  <c r="ET54" i="42" a="1"/>
  <c r="ET54" i="42" s="1"/>
  <c r="ET68" i="42" s="1"/>
  <c r="FX26" i="54"/>
  <c r="FZ26" i="54"/>
  <c r="GA26" i="54"/>
  <c r="FT26" i="54"/>
  <c r="FQ26" i="54"/>
  <c r="FS26" i="54"/>
  <c r="FO27" i="54"/>
  <c r="FN26" i="54"/>
  <c r="FP26" i="54" s="1"/>
  <c r="FK27" i="54" s="1"/>
  <c r="GI26" i="54"/>
  <c r="GK26" i="54" s="1"/>
  <c r="GF27" i="54" s="1"/>
  <c r="GJ27" i="54"/>
  <c r="DC79" i="54"/>
  <c r="DA79" i="54"/>
  <c r="DB80" i="54" s="1"/>
  <c r="AX52" i="42" l="1"/>
  <c r="AX16" i="42" s="1"/>
  <c r="AX48" i="42"/>
  <c r="AX20" i="42" s="1"/>
  <c r="BG42" i="42"/>
  <c r="BG20" i="42" s="1"/>
  <c r="BG44" i="42"/>
  <c r="BG14" i="42" s="1"/>
  <c r="BG46" i="42"/>
  <c r="BG16" i="42" s="1"/>
  <c r="ET55" i="42"/>
  <c r="ET60" i="42" s="1"/>
  <c r="ET56" i="42" a="1"/>
  <c r="ET56" i="42" s="1"/>
  <c r="FV27" i="54"/>
  <c r="FU26" i="54"/>
  <c r="FW26" i="54" s="1"/>
  <c r="FR27" i="54" s="1"/>
  <c r="GG27" i="54"/>
  <c r="GE27" i="54"/>
  <c r="GH27" i="54"/>
  <c r="FJ27" i="54"/>
  <c r="FM27" i="54"/>
  <c r="FL27" i="54"/>
  <c r="GC27" i="54"/>
  <c r="GB26" i="54"/>
  <c r="GD26" i="54" s="1"/>
  <c r="FY27" i="54" s="1"/>
  <c r="DC80" i="54"/>
  <c r="DA80" i="54"/>
  <c r="DB81" i="54" s="1"/>
  <c r="ET63" i="42" l="1" a="1"/>
  <c r="ET63" i="42" s="1"/>
  <c r="ET67" i="42" s="1"/>
  <c r="B47" i="42" s="1"/>
  <c r="ET62" i="42" a="1"/>
  <c r="ET62" i="42" s="1"/>
  <c r="ET66" i="42" s="1"/>
  <c r="B46" i="42" s="1"/>
  <c r="ET64" i="42" a="1"/>
  <c r="ET64" i="42" s="1"/>
  <c r="ET69" i="42" s="1"/>
  <c r="B48" i="42" s="1"/>
  <c r="FZ27" i="54"/>
  <c r="GA27" i="54"/>
  <c r="FX27" i="54"/>
  <c r="FS27" i="54"/>
  <c r="FQ27" i="54"/>
  <c r="FT27" i="54"/>
  <c r="GJ28" i="54"/>
  <c r="GI27" i="54"/>
  <c r="GK27" i="54" s="1"/>
  <c r="GF28" i="54" s="1"/>
  <c r="FO28" i="54"/>
  <c r="FN27" i="54"/>
  <c r="FP27" i="54" s="1"/>
  <c r="FK28" i="54" s="1"/>
  <c r="DC81" i="54"/>
  <c r="DA81" i="54"/>
  <c r="DB82" i="54" s="1"/>
  <c r="GE28" i="54" l="1"/>
  <c r="GG28" i="54"/>
  <c r="GH28" i="54"/>
  <c r="FV28" i="54"/>
  <c r="FU27" i="54"/>
  <c r="FW27" i="54" s="1"/>
  <c r="FR28" i="54" s="1"/>
  <c r="GC28" i="54"/>
  <c r="GB27" i="54"/>
  <c r="GD27" i="54" s="1"/>
  <c r="FY28" i="54" s="1"/>
  <c r="FL28" i="54"/>
  <c r="FM28" i="54"/>
  <c r="FJ28" i="54"/>
  <c r="DC82" i="54"/>
  <c r="DA82" i="54"/>
  <c r="DB83" i="54" s="1"/>
  <c r="FQ28" i="54" l="1"/>
  <c r="FT28" i="54"/>
  <c r="FS28" i="54"/>
  <c r="GI28" i="54"/>
  <c r="GK28" i="54" s="1"/>
  <c r="GF29" i="54" s="1"/>
  <c r="GJ29" i="54"/>
  <c r="FN28" i="54"/>
  <c r="FP28" i="54" s="1"/>
  <c r="FK29" i="54" s="1"/>
  <c r="FO29" i="54"/>
  <c r="FX28" i="54"/>
  <c r="GA28" i="54"/>
  <c r="FZ28" i="54"/>
  <c r="DC83" i="54"/>
  <c r="DA83" i="54"/>
  <c r="DB84" i="54" s="1"/>
  <c r="FJ29" i="54" l="1"/>
  <c r="FM29" i="54"/>
  <c r="FL29" i="54"/>
  <c r="GB28" i="54"/>
  <c r="GD28" i="54" s="1"/>
  <c r="FY29" i="54" s="1"/>
  <c r="GC29" i="54"/>
  <c r="GE29" i="54"/>
  <c r="GG29" i="54"/>
  <c r="GH29" i="54"/>
  <c r="FU28" i="54"/>
  <c r="FW28" i="54" s="1"/>
  <c r="FR29" i="54" s="1"/>
  <c r="FV29" i="54"/>
  <c r="DC84" i="54"/>
  <c r="DA84" i="54"/>
  <c r="DB85" i="54" s="1"/>
  <c r="FZ29" i="54" l="1"/>
  <c r="FX29" i="54"/>
  <c r="GA29" i="54"/>
  <c r="FO30" i="54"/>
  <c r="FN29" i="54"/>
  <c r="FP29" i="54" s="1"/>
  <c r="FK30" i="54" s="1"/>
  <c r="FT29" i="54"/>
  <c r="FS29" i="54"/>
  <c r="FQ29" i="54"/>
  <c r="GJ30" i="54"/>
  <c r="GI29" i="54"/>
  <c r="GK29" i="54" s="1"/>
  <c r="GF30" i="54" s="1"/>
  <c r="DC85" i="54"/>
  <c r="DA85" i="54"/>
  <c r="DB86" i="54" s="1"/>
  <c r="FJ30" i="54" l="1"/>
  <c r="FL30" i="54"/>
  <c r="FM30" i="54"/>
  <c r="GG30" i="54"/>
  <c r="GH30" i="54"/>
  <c r="GE30" i="54"/>
  <c r="FV30" i="54"/>
  <c r="FU29" i="54"/>
  <c r="FW29" i="54" s="1"/>
  <c r="FR30" i="54" s="1"/>
  <c r="GB29" i="54"/>
  <c r="GD29" i="54" s="1"/>
  <c r="FY30" i="54" s="1"/>
  <c r="GC30" i="54"/>
  <c r="DC86" i="54"/>
  <c r="DA86" i="54"/>
  <c r="DB87" i="54" s="1"/>
  <c r="GJ31" i="54" l="1"/>
  <c r="GI30" i="54"/>
  <c r="GK30" i="54" s="1"/>
  <c r="GF31" i="54" s="1"/>
  <c r="FX30" i="54"/>
  <c r="FZ30" i="54"/>
  <c r="GA30" i="54"/>
  <c r="FT30" i="54"/>
  <c r="FS30" i="54"/>
  <c r="FQ30" i="54"/>
  <c r="FO31" i="54"/>
  <c r="FN30" i="54"/>
  <c r="FP30" i="54" s="1"/>
  <c r="FK31" i="54" s="1"/>
  <c r="DC87" i="54"/>
  <c r="DA87" i="54"/>
  <c r="DB88" i="54" s="1"/>
  <c r="GE31" i="54" l="1"/>
  <c r="GG31" i="54"/>
  <c r="GH31" i="54"/>
  <c r="GC31" i="54"/>
  <c r="GB30" i="54"/>
  <c r="GD30" i="54" s="1"/>
  <c r="FY31" i="54" s="1"/>
  <c r="FL31" i="54"/>
  <c r="FJ31" i="54"/>
  <c r="FM31" i="54"/>
  <c r="FV31" i="54"/>
  <c r="FU30" i="54"/>
  <c r="FW30" i="54" s="1"/>
  <c r="FR31" i="54" s="1"/>
  <c r="DC88" i="54"/>
  <c r="DA88" i="54"/>
  <c r="DB89" i="54" s="1"/>
  <c r="FO32" i="54" l="1"/>
  <c r="FN31" i="54"/>
  <c r="FP31" i="54" s="1"/>
  <c r="FK32" i="54" s="1"/>
  <c r="FX31" i="54"/>
  <c r="FZ31" i="54"/>
  <c r="GA31" i="54"/>
  <c r="FQ31" i="54"/>
  <c r="FS31" i="54"/>
  <c r="FT31" i="54"/>
  <c r="GJ32" i="54"/>
  <c r="GI31" i="54"/>
  <c r="GK31" i="54" s="1"/>
  <c r="GF32" i="54" s="1"/>
  <c r="DC89" i="54"/>
  <c r="DA89" i="54"/>
  <c r="DB90" i="54" s="1"/>
  <c r="FM32" i="54" l="1"/>
  <c r="FJ32" i="54"/>
  <c r="FL32" i="54"/>
  <c r="GC32" i="54"/>
  <c r="GB31" i="54"/>
  <c r="GD31" i="54" s="1"/>
  <c r="FY32" i="54" s="1"/>
  <c r="GE32" i="54"/>
  <c r="GG32" i="54"/>
  <c r="GH32" i="54"/>
  <c r="FU31" i="54"/>
  <c r="FW31" i="54" s="1"/>
  <c r="FR32" i="54" s="1"/>
  <c r="FV32" i="54"/>
  <c r="DC90" i="54"/>
  <c r="DA90" i="54"/>
  <c r="DB91" i="54" s="1"/>
  <c r="FX32" i="54" l="1"/>
  <c r="FZ32" i="54"/>
  <c r="GA32" i="54"/>
  <c r="FO33" i="54"/>
  <c r="FN32" i="54"/>
  <c r="FP32" i="54" s="1"/>
  <c r="FK33" i="54" s="1"/>
  <c r="FS32" i="54"/>
  <c r="FT32" i="54"/>
  <c r="FQ32" i="54"/>
  <c r="GI32" i="54"/>
  <c r="GK32" i="54" s="1"/>
  <c r="GF33" i="54" s="1"/>
  <c r="GJ33" i="54"/>
  <c r="DC91" i="54"/>
  <c r="DA91" i="54"/>
  <c r="DB92" i="54" s="1"/>
  <c r="FU32" i="54" l="1"/>
  <c r="FW32" i="54" s="1"/>
  <c r="FR33" i="54" s="1"/>
  <c r="FV33" i="54"/>
  <c r="FM33" i="54"/>
  <c r="FL33" i="54"/>
  <c r="FJ33" i="54"/>
  <c r="GG33" i="54"/>
  <c r="GE33" i="54"/>
  <c r="GH33" i="54"/>
  <c r="GC33" i="54"/>
  <c r="GB32" i="54"/>
  <c r="GD32" i="54" s="1"/>
  <c r="FY33" i="54" s="1"/>
  <c r="DC92" i="54"/>
  <c r="DA92" i="54"/>
  <c r="DB93" i="54" s="1"/>
  <c r="GJ34" i="54" l="1"/>
  <c r="GI33" i="54"/>
  <c r="GK33" i="54" s="1"/>
  <c r="GF34" i="54" s="1"/>
  <c r="FO34" i="54"/>
  <c r="FN33" i="54"/>
  <c r="FP33" i="54" s="1"/>
  <c r="FK34" i="54" s="1"/>
  <c r="FX33" i="54"/>
  <c r="FZ33" i="54"/>
  <c r="GA33" i="54"/>
  <c r="FS33" i="54"/>
  <c r="FQ33" i="54"/>
  <c r="FT33" i="54"/>
  <c r="DC93" i="54"/>
  <c r="DA93" i="54"/>
  <c r="DB94" i="54" s="1"/>
  <c r="FL34" i="54" l="1"/>
  <c r="FM34" i="54"/>
  <c r="FJ34" i="54"/>
  <c r="GG34" i="54"/>
  <c r="GH34" i="54"/>
  <c r="GE34" i="54"/>
  <c r="FV34" i="54"/>
  <c r="FU33" i="54"/>
  <c r="FW33" i="54" s="1"/>
  <c r="FR34" i="54" s="1"/>
  <c r="GC34" i="54"/>
  <c r="GB33" i="54"/>
  <c r="GD33" i="54" s="1"/>
  <c r="FY34" i="54" s="1"/>
  <c r="DC94" i="54"/>
  <c r="DA94" i="54"/>
  <c r="DB95" i="54" s="1"/>
  <c r="GA34" i="54" l="1"/>
  <c r="FX34" i="54"/>
  <c r="FZ34" i="54"/>
  <c r="GI34" i="54"/>
  <c r="GK34" i="54" s="1"/>
  <c r="GF35" i="54" s="1"/>
  <c r="GJ35" i="54"/>
  <c r="FT34" i="54"/>
  <c r="FS34" i="54"/>
  <c r="FQ34" i="54"/>
  <c r="FO35" i="54"/>
  <c r="FN34" i="54"/>
  <c r="FP34" i="54" s="1"/>
  <c r="FK35" i="54" s="1"/>
  <c r="DC95" i="54"/>
  <c r="DA95" i="54"/>
  <c r="DB96" i="54" s="1"/>
  <c r="FL35" i="54" l="1"/>
  <c r="FJ35" i="54"/>
  <c r="FM35" i="54"/>
  <c r="GE35" i="54"/>
  <c r="GH35" i="54"/>
  <c r="GG35" i="54"/>
  <c r="GC35" i="54"/>
  <c r="GB34" i="54"/>
  <c r="GD34" i="54" s="1"/>
  <c r="FY35" i="54" s="1"/>
  <c r="FV35" i="54"/>
  <c r="FU34" i="54"/>
  <c r="FW34" i="54" s="1"/>
  <c r="FR35" i="54" s="1"/>
  <c r="DC96" i="54"/>
  <c r="DA96" i="54"/>
  <c r="DB97" i="54" s="1"/>
  <c r="GJ36" i="54" l="1"/>
  <c r="GI35" i="54"/>
  <c r="GK35" i="54" s="1"/>
  <c r="GF36" i="54" s="1"/>
  <c r="FQ35" i="54"/>
  <c r="FT35" i="54"/>
  <c r="FS35" i="54"/>
  <c r="GA35" i="54"/>
  <c r="FZ35" i="54"/>
  <c r="FX35" i="54"/>
  <c r="FO36" i="54"/>
  <c r="FN35" i="54"/>
  <c r="FP35" i="54" s="1"/>
  <c r="FK36" i="54" s="1"/>
  <c r="DC97" i="54"/>
  <c r="DA97" i="54"/>
  <c r="DB98" i="54" s="1"/>
  <c r="FJ36" i="54" l="1"/>
  <c r="FM36" i="54"/>
  <c r="FL36" i="54"/>
  <c r="FV36" i="54"/>
  <c r="FU35" i="54"/>
  <c r="FW35" i="54" s="1"/>
  <c r="FR36" i="54" s="1"/>
  <c r="GH36" i="54"/>
  <c r="GE36" i="54"/>
  <c r="GG36" i="54"/>
  <c r="GC36" i="54"/>
  <c r="GB35" i="54"/>
  <c r="GD35" i="54" s="1"/>
  <c r="FY36" i="54" s="1"/>
  <c r="DC98" i="54"/>
  <c r="DA98" i="54"/>
  <c r="DB99" i="54" s="1"/>
  <c r="GA36" i="54" l="1"/>
  <c r="FX36" i="54"/>
  <c r="FZ36" i="54"/>
  <c r="FQ36" i="54"/>
  <c r="FS36" i="54"/>
  <c r="FT36" i="54"/>
  <c r="FN36" i="54"/>
  <c r="FP36" i="54" s="1"/>
  <c r="FK37" i="54" s="1"/>
  <c r="FO37" i="54"/>
  <c r="GI36" i="54"/>
  <c r="GK36" i="54" s="1"/>
  <c r="GF37" i="54" s="1"/>
  <c r="GJ37" i="54"/>
  <c r="DC99" i="54"/>
  <c r="DA99" i="54"/>
  <c r="DB100" i="54" s="1"/>
  <c r="FV37" i="54" l="1"/>
  <c r="FU36" i="54"/>
  <c r="FW36" i="54" s="1"/>
  <c r="FR37" i="54" s="1"/>
  <c r="GC37" i="54"/>
  <c r="GB36" i="54"/>
  <c r="GD36" i="54" s="1"/>
  <c r="FY37" i="54" s="1"/>
  <c r="GE37" i="54"/>
  <c r="GG37" i="54"/>
  <c r="GH37" i="54"/>
  <c r="FM37" i="54"/>
  <c r="FL37" i="54"/>
  <c r="FJ37" i="54"/>
  <c r="DC100" i="54"/>
  <c r="DA100" i="54"/>
  <c r="DB101" i="54" s="1"/>
  <c r="GI37" i="54" l="1"/>
  <c r="GK37" i="54" s="1"/>
  <c r="GF38" i="54" s="1"/>
  <c r="GJ38" i="54"/>
  <c r="GA37" i="54"/>
  <c r="FX37" i="54"/>
  <c r="FZ37" i="54"/>
  <c r="FN37" i="54"/>
  <c r="FP37" i="54" s="1"/>
  <c r="FK38" i="54" s="1"/>
  <c r="FO38" i="54"/>
  <c r="FS37" i="54"/>
  <c r="FQ37" i="54"/>
  <c r="FT37" i="54"/>
  <c r="DC101" i="54"/>
  <c r="DA101" i="54"/>
  <c r="DB102" i="54" s="1"/>
  <c r="FL38" i="54" l="1"/>
  <c r="FM38" i="54"/>
  <c r="FJ38" i="54"/>
  <c r="GB37" i="54"/>
  <c r="GD37" i="54" s="1"/>
  <c r="FY38" i="54" s="1"/>
  <c r="GC38" i="54"/>
  <c r="FV38" i="54"/>
  <c r="FU37" i="54"/>
  <c r="FW37" i="54" s="1"/>
  <c r="FR38" i="54" s="1"/>
  <c r="GG38" i="54"/>
  <c r="GH38" i="54"/>
  <c r="GE38" i="54"/>
  <c r="DC102" i="54"/>
  <c r="DA102" i="54"/>
  <c r="DB103" i="54" s="1"/>
  <c r="FX38" i="54" l="1"/>
  <c r="FZ38" i="54"/>
  <c r="GA38" i="54"/>
  <c r="GI38" i="54"/>
  <c r="GK38" i="54" s="1"/>
  <c r="GF39" i="54" s="1"/>
  <c r="GJ39" i="54"/>
  <c r="FQ38" i="54"/>
  <c r="FS38" i="54"/>
  <c r="FT38" i="54"/>
  <c r="FN38" i="54"/>
  <c r="FP38" i="54" s="1"/>
  <c r="FK39" i="54" s="1"/>
  <c r="FO39" i="54"/>
  <c r="DC103" i="54"/>
  <c r="DA103" i="54"/>
  <c r="DB104" i="54" s="1"/>
  <c r="FJ39" i="54" l="1"/>
  <c r="FL39" i="54"/>
  <c r="FM39" i="54"/>
  <c r="FU38" i="54"/>
  <c r="FW38" i="54" s="1"/>
  <c r="FR39" i="54" s="1"/>
  <c r="FV39" i="54"/>
  <c r="GH39" i="54"/>
  <c r="GG39" i="54"/>
  <c r="GE39" i="54"/>
  <c r="GB38" i="54"/>
  <c r="GD38" i="54" s="1"/>
  <c r="FY39" i="54" s="1"/>
  <c r="GC39" i="54"/>
  <c r="DC104" i="54"/>
  <c r="DA104" i="54"/>
  <c r="DB105" i="54" s="1"/>
  <c r="FT39" i="54" l="1"/>
  <c r="FQ39" i="54"/>
  <c r="FS39" i="54"/>
  <c r="FZ39" i="54"/>
  <c r="GA39" i="54"/>
  <c r="FX39" i="54"/>
  <c r="FO40" i="54"/>
  <c r="FN39" i="54"/>
  <c r="FP39" i="54" s="1"/>
  <c r="FK40" i="54" s="1"/>
  <c r="GJ40" i="54"/>
  <c r="GI39" i="54"/>
  <c r="GK39" i="54" s="1"/>
  <c r="GF40" i="54" s="1"/>
  <c r="DC105" i="54"/>
  <c r="DA105" i="54"/>
  <c r="DB106" i="54" s="1"/>
  <c r="GG40" i="54" l="1"/>
  <c r="GE40" i="54"/>
  <c r="GH40" i="54"/>
  <c r="GC40" i="54"/>
  <c r="GB39" i="54"/>
  <c r="GD39" i="54" s="1"/>
  <c r="FY40" i="54" s="1"/>
  <c r="FU39" i="54"/>
  <c r="FW39" i="54" s="1"/>
  <c r="FR40" i="54" s="1"/>
  <c r="FV40" i="54"/>
  <c r="FM40" i="54"/>
  <c r="FL40" i="54"/>
  <c r="FJ40" i="54"/>
  <c r="DC106" i="54"/>
  <c r="DA106" i="54"/>
  <c r="DB107" i="54" s="1"/>
  <c r="FT40" i="54" l="1"/>
  <c r="FQ40" i="54"/>
  <c r="FS40" i="54"/>
  <c r="FZ40" i="54"/>
  <c r="FX40" i="54"/>
  <c r="GA40" i="54"/>
  <c r="FO41" i="54"/>
  <c r="FN40" i="54"/>
  <c r="FP40" i="54" s="1"/>
  <c r="FK41" i="54" s="1"/>
  <c r="GJ41" i="54"/>
  <c r="GI40" i="54"/>
  <c r="GK40" i="54" s="1"/>
  <c r="GF41" i="54" s="1"/>
  <c r="DC107" i="54"/>
  <c r="DA107" i="54"/>
  <c r="DB108" i="54" s="1"/>
  <c r="GG41" i="54" l="1"/>
  <c r="GH41" i="54"/>
  <c r="GE41" i="54"/>
  <c r="GC41" i="54"/>
  <c r="GB40" i="54"/>
  <c r="GD40" i="54" s="1"/>
  <c r="FY41" i="54" s="1"/>
  <c r="FV41" i="54"/>
  <c r="FU40" i="54"/>
  <c r="FW40" i="54" s="1"/>
  <c r="FR41" i="54" s="1"/>
  <c r="FL41" i="54"/>
  <c r="FJ41" i="54"/>
  <c r="FM41" i="54"/>
  <c r="DC108" i="54"/>
  <c r="DA108" i="54"/>
  <c r="DB109" i="54" s="1"/>
  <c r="FZ41" i="54" l="1"/>
  <c r="FX41" i="54"/>
  <c r="GA41" i="54"/>
  <c r="FO42" i="54"/>
  <c r="FN41" i="54"/>
  <c r="FP41" i="54" s="1"/>
  <c r="FK42" i="54" s="1"/>
  <c r="FT41" i="54"/>
  <c r="FQ41" i="54"/>
  <c r="FS41" i="54"/>
  <c r="GI41" i="54"/>
  <c r="GK41" i="54" s="1"/>
  <c r="GF42" i="54" s="1"/>
  <c r="GJ42" i="54"/>
  <c r="DC109" i="54"/>
  <c r="DA109" i="54"/>
  <c r="DB110" i="54" s="1"/>
  <c r="GE42" i="54" l="1"/>
  <c r="GH42" i="54"/>
  <c r="GG42" i="54"/>
  <c r="FL42" i="54"/>
  <c r="FJ42" i="54"/>
  <c r="FM42" i="54"/>
  <c r="FV42" i="54"/>
  <c r="FU41" i="54"/>
  <c r="FW41" i="54" s="1"/>
  <c r="FR42" i="54" s="1"/>
  <c r="GC42" i="54"/>
  <c r="GB41" i="54"/>
  <c r="GD41" i="54" s="1"/>
  <c r="FY42" i="54" s="1"/>
  <c r="DC110" i="54"/>
  <c r="DA110" i="54"/>
  <c r="DB111" i="54" s="1"/>
  <c r="FX42" i="54" l="1"/>
  <c r="FZ42" i="54"/>
  <c r="GA42" i="54"/>
  <c r="FT42" i="54"/>
  <c r="FS42" i="54"/>
  <c r="FQ42" i="54"/>
  <c r="FN42" i="54"/>
  <c r="FP42" i="54" s="1"/>
  <c r="FK43" i="54" s="1"/>
  <c r="FO43" i="54"/>
  <c r="GJ43" i="54"/>
  <c r="GI42" i="54"/>
  <c r="GK42" i="54" s="1"/>
  <c r="GF43" i="54" s="1"/>
  <c r="DC111" i="54"/>
  <c r="DA111" i="54"/>
  <c r="DB112" i="54" s="1"/>
  <c r="FJ43" i="54" l="1"/>
  <c r="FL43" i="54"/>
  <c r="FM43" i="54"/>
  <c r="FU42" i="54"/>
  <c r="FW42" i="54" s="1"/>
  <c r="FR43" i="54" s="1"/>
  <c r="FV43" i="54"/>
  <c r="GE43" i="54"/>
  <c r="GG43" i="54"/>
  <c r="GH43" i="54"/>
  <c r="GC43" i="54"/>
  <c r="GB42" i="54"/>
  <c r="GD42" i="54" s="1"/>
  <c r="FY43" i="54" s="1"/>
  <c r="DC112" i="54"/>
  <c r="DA112" i="54"/>
  <c r="DB113" i="54" s="1"/>
  <c r="GA43" i="54" l="1"/>
  <c r="FX43" i="54"/>
  <c r="FZ43" i="54"/>
  <c r="FS43" i="54"/>
  <c r="FT43" i="54"/>
  <c r="FQ43" i="54"/>
  <c r="FO44" i="54"/>
  <c r="FN43" i="54"/>
  <c r="FP43" i="54" s="1"/>
  <c r="FK44" i="54" s="1"/>
  <c r="GJ44" i="54"/>
  <c r="GI43" i="54"/>
  <c r="GK43" i="54" s="1"/>
  <c r="GF44" i="54" s="1"/>
  <c r="DC113" i="54"/>
  <c r="DA113" i="54"/>
  <c r="DB114" i="54" s="1"/>
  <c r="FV44" i="54" l="1"/>
  <c r="FU43" i="54"/>
  <c r="FW43" i="54" s="1"/>
  <c r="FR44" i="54" s="1"/>
  <c r="GC44" i="54"/>
  <c r="GB43" i="54"/>
  <c r="GD43" i="54" s="1"/>
  <c r="FY44" i="54" s="1"/>
  <c r="GE44" i="54"/>
  <c r="GG44" i="54"/>
  <c r="GH44" i="54"/>
  <c r="FL44" i="54"/>
  <c r="FM44" i="54"/>
  <c r="FJ44" i="54"/>
  <c r="DC114" i="54"/>
  <c r="DA114" i="54"/>
  <c r="DB115" i="54" s="1"/>
  <c r="GJ45" i="54" l="1"/>
  <c r="GI44" i="54"/>
  <c r="GK44" i="54" s="1"/>
  <c r="GF45" i="54" s="1"/>
  <c r="FN44" i="54"/>
  <c r="FP44" i="54" s="1"/>
  <c r="FK45" i="54" s="1"/>
  <c r="FO45" i="54"/>
  <c r="FZ44" i="54"/>
  <c r="GA44" i="54"/>
  <c r="FX44" i="54"/>
  <c r="FT44" i="54"/>
  <c r="FQ44" i="54"/>
  <c r="FS44" i="54"/>
  <c r="DC115" i="54"/>
  <c r="DA115" i="54"/>
  <c r="DB116" i="54" s="1"/>
  <c r="GB44" i="54" l="1"/>
  <c r="GD44" i="54" s="1"/>
  <c r="FY45" i="54" s="1"/>
  <c r="GC45" i="54"/>
  <c r="GH45" i="54"/>
  <c r="GE45" i="54"/>
  <c r="GG45" i="54"/>
  <c r="FU44" i="54"/>
  <c r="FW44" i="54" s="1"/>
  <c r="FR45" i="54" s="1"/>
  <c r="FV45" i="54"/>
  <c r="FL45" i="54"/>
  <c r="FJ45" i="54"/>
  <c r="FM45" i="54"/>
  <c r="DC116" i="54"/>
  <c r="DA116" i="54"/>
  <c r="DB117" i="54" s="1"/>
  <c r="FQ45" i="54" l="1"/>
  <c r="FT45" i="54"/>
  <c r="FS45" i="54"/>
  <c r="GJ46" i="54"/>
  <c r="GI45" i="54"/>
  <c r="GK45" i="54" s="1"/>
  <c r="GF46" i="54" s="1"/>
  <c r="FO46" i="54"/>
  <c r="FN45" i="54"/>
  <c r="FP45" i="54" s="1"/>
  <c r="FK46" i="54" s="1"/>
  <c r="FX45" i="54"/>
  <c r="FZ45" i="54"/>
  <c r="GA45" i="54"/>
  <c r="DC117" i="54"/>
  <c r="DA117" i="54"/>
  <c r="DB118" i="54" s="1"/>
  <c r="GH46" i="54" l="1"/>
  <c r="GG46" i="54"/>
  <c r="GE46" i="54"/>
  <c r="FL46" i="54"/>
  <c r="FJ46" i="54"/>
  <c r="FM46" i="54"/>
  <c r="GC46" i="54"/>
  <c r="GB45" i="54"/>
  <c r="GD45" i="54" s="1"/>
  <c r="FY46" i="54" s="1"/>
  <c r="FU45" i="54"/>
  <c r="FW45" i="54" s="1"/>
  <c r="FR46" i="54" s="1"/>
  <c r="FV46" i="54"/>
  <c r="DC118" i="54"/>
  <c r="DA118" i="54"/>
  <c r="DB119" i="54" s="1"/>
  <c r="FO47" i="54" l="1"/>
  <c r="FN46" i="54"/>
  <c r="FP46" i="54" s="1"/>
  <c r="FK47" i="54" s="1"/>
  <c r="FT46" i="54"/>
  <c r="FQ46" i="54"/>
  <c r="FS46" i="54"/>
  <c r="GJ47" i="54"/>
  <c r="GI46" i="54"/>
  <c r="GK46" i="54" s="1"/>
  <c r="GF47" i="54" s="1"/>
  <c r="FX46" i="54"/>
  <c r="GA46" i="54"/>
  <c r="FZ46" i="54"/>
  <c r="DC119" i="54"/>
  <c r="DA119" i="54"/>
  <c r="DB120" i="54" s="1"/>
  <c r="FM47" i="54" l="1"/>
  <c r="FL47" i="54"/>
  <c r="FJ47" i="54"/>
  <c r="FV47" i="54"/>
  <c r="FU46" i="54"/>
  <c r="FW46" i="54" s="1"/>
  <c r="FR47" i="54" s="1"/>
  <c r="GC47" i="54"/>
  <c r="GB46" i="54"/>
  <c r="GD46" i="54" s="1"/>
  <c r="FY47" i="54" s="1"/>
  <c r="GE47" i="54"/>
  <c r="GG47" i="54"/>
  <c r="GH47" i="54"/>
  <c r="DC120" i="54"/>
  <c r="DA120" i="54"/>
  <c r="DB121" i="54" s="1"/>
  <c r="FQ47" i="54" l="1"/>
  <c r="FT47" i="54"/>
  <c r="FS47" i="54"/>
  <c r="GJ48" i="54"/>
  <c r="GI47" i="54"/>
  <c r="GK47" i="54" s="1"/>
  <c r="GF48" i="54" s="1"/>
  <c r="FO48" i="54"/>
  <c r="FN47" i="54"/>
  <c r="FP47" i="54" s="1"/>
  <c r="FK48" i="54" s="1"/>
  <c r="FX47" i="54"/>
  <c r="GA47" i="54"/>
  <c r="FZ47" i="54"/>
  <c r="DC121" i="54"/>
  <c r="DA121" i="54"/>
  <c r="DB122" i="54" s="1"/>
  <c r="FM48" i="54" l="1"/>
  <c r="FL48" i="54"/>
  <c r="FJ48" i="54"/>
  <c r="GE48" i="54"/>
  <c r="GG48" i="54"/>
  <c r="GH48" i="54"/>
  <c r="GC48" i="54"/>
  <c r="GB47" i="54"/>
  <c r="GD47" i="54" s="1"/>
  <c r="FY48" i="54" s="1"/>
  <c r="FU47" i="54"/>
  <c r="FW47" i="54" s="1"/>
  <c r="FR48" i="54" s="1"/>
  <c r="FV48" i="54"/>
  <c r="DC122" i="54"/>
  <c r="DA122" i="54"/>
  <c r="DB123" i="54" s="1"/>
  <c r="GJ49" i="54" l="1"/>
  <c r="GI48" i="54"/>
  <c r="GK48" i="54" s="1"/>
  <c r="GF49" i="54" s="1"/>
  <c r="FZ48" i="54"/>
  <c r="FX48" i="54"/>
  <c r="GA48" i="54"/>
  <c r="FN48" i="54"/>
  <c r="FP48" i="54" s="1"/>
  <c r="FK49" i="54" s="1"/>
  <c r="FO49" i="54"/>
  <c r="FS48" i="54"/>
  <c r="FT48" i="54"/>
  <c r="FQ48" i="54"/>
  <c r="DC123" i="54"/>
  <c r="DA123" i="54"/>
  <c r="DB124" i="54" s="1"/>
  <c r="FL49" i="54" l="1"/>
  <c r="FM49" i="54"/>
  <c r="FJ49" i="54"/>
  <c r="GC49" i="54"/>
  <c r="GB48" i="54"/>
  <c r="GD48" i="54" s="1"/>
  <c r="FY49" i="54" s="1"/>
  <c r="FU48" i="54"/>
  <c r="FW48" i="54" s="1"/>
  <c r="FR49" i="54" s="1"/>
  <c r="FV49" i="54"/>
  <c r="GH49" i="54"/>
  <c r="GG49" i="54"/>
  <c r="GE49" i="54"/>
  <c r="DC124" i="54"/>
  <c r="DA124" i="54"/>
  <c r="DB125" i="54" s="1"/>
  <c r="FS49" i="54" l="1"/>
  <c r="FT49" i="54"/>
  <c r="FQ49" i="54"/>
  <c r="FX49" i="54"/>
  <c r="FZ49" i="54"/>
  <c r="GA49" i="54"/>
  <c r="GJ50" i="54"/>
  <c r="GI49" i="54"/>
  <c r="GK49" i="54" s="1"/>
  <c r="GF50" i="54" s="1"/>
  <c r="FO50" i="54"/>
  <c r="FN49" i="54"/>
  <c r="FP49" i="54" s="1"/>
  <c r="FK50" i="54" s="1"/>
  <c r="DC125" i="54"/>
  <c r="DA125" i="54"/>
  <c r="DB126" i="54" s="1"/>
  <c r="GC50" i="54" l="1"/>
  <c r="GB49" i="54"/>
  <c r="GD49" i="54" s="1"/>
  <c r="FY50" i="54" s="1"/>
  <c r="GG50" i="54"/>
  <c r="GH50" i="54"/>
  <c r="GE50" i="54"/>
  <c r="FM50" i="54"/>
  <c r="FJ50" i="54"/>
  <c r="FL50" i="54"/>
  <c r="FV50" i="54"/>
  <c r="FU49" i="54"/>
  <c r="FW49" i="54" s="1"/>
  <c r="FR50" i="54" s="1"/>
  <c r="DC126" i="54"/>
  <c r="DA126" i="54"/>
  <c r="DB127" i="54" s="1"/>
  <c r="FZ50" i="54" l="1"/>
  <c r="GA50" i="54"/>
  <c r="FX50" i="54"/>
  <c r="FS50" i="54"/>
  <c r="FT50" i="54"/>
  <c r="FQ50" i="54"/>
  <c r="GJ51" i="54"/>
  <c r="GI50" i="54"/>
  <c r="GK50" i="54" s="1"/>
  <c r="GF51" i="54" s="1"/>
  <c r="FN50" i="54"/>
  <c r="FP50" i="54" s="1"/>
  <c r="FK51" i="54" s="1"/>
  <c r="FO51" i="54"/>
  <c r="DC127" i="54"/>
  <c r="DA127" i="54"/>
  <c r="DB128" i="54" s="1"/>
  <c r="FU50" i="54" l="1"/>
  <c r="FW50" i="54" s="1"/>
  <c r="FR51" i="54" s="1"/>
  <c r="FV51" i="54"/>
  <c r="FL51" i="54"/>
  <c r="FJ51" i="54"/>
  <c r="FM51" i="54"/>
  <c r="GE51" i="54"/>
  <c r="GH51" i="54"/>
  <c r="GG51" i="54"/>
  <c r="GB50" i="54"/>
  <c r="GD50" i="54" s="1"/>
  <c r="FY51" i="54" s="1"/>
  <c r="GC51" i="54"/>
  <c r="DC128" i="54"/>
  <c r="DA128" i="54"/>
  <c r="DB129" i="54" s="1"/>
  <c r="GJ52" i="54" l="1"/>
  <c r="GI51" i="54"/>
  <c r="GK51" i="54" s="1"/>
  <c r="GF52" i="54" s="1"/>
  <c r="GA51" i="54"/>
  <c r="FX51" i="54"/>
  <c r="FZ51" i="54"/>
  <c r="FO52" i="54"/>
  <c r="FN51" i="54"/>
  <c r="FP51" i="54" s="1"/>
  <c r="FK52" i="54" s="1"/>
  <c r="FS51" i="54"/>
  <c r="FQ51" i="54"/>
  <c r="FT51" i="54"/>
  <c r="DC129" i="54"/>
  <c r="DA129" i="54"/>
  <c r="DB130" i="54" s="1"/>
  <c r="GB51" i="54" l="1"/>
  <c r="GD51" i="54" s="1"/>
  <c r="FY52" i="54" s="1"/>
  <c r="GC52" i="54"/>
  <c r="FV52" i="54"/>
  <c r="FU51" i="54"/>
  <c r="FW51" i="54" s="1"/>
  <c r="FR52" i="54" s="1"/>
  <c r="GG52" i="54"/>
  <c r="GE52" i="54"/>
  <c r="GH52" i="54"/>
  <c r="FJ52" i="54"/>
  <c r="FM52" i="54"/>
  <c r="FL52" i="54"/>
  <c r="DC130" i="54"/>
  <c r="DA130" i="54"/>
  <c r="DB131" i="54" s="1"/>
  <c r="GJ53" i="54" l="1"/>
  <c r="GI52" i="54"/>
  <c r="GK52" i="54" s="1"/>
  <c r="GF53" i="54" s="1"/>
  <c r="FS52" i="54"/>
  <c r="FQ52" i="54"/>
  <c r="FT52" i="54"/>
  <c r="FN52" i="54"/>
  <c r="FP52" i="54" s="1"/>
  <c r="FK53" i="54" s="1"/>
  <c r="FO53" i="54"/>
  <c r="GA52" i="54"/>
  <c r="FZ52" i="54"/>
  <c r="FX52" i="54"/>
  <c r="DC131" i="54"/>
  <c r="DA131" i="54"/>
  <c r="DB132" i="54" s="1"/>
  <c r="FL53" i="54" l="1"/>
  <c r="FJ53" i="54"/>
  <c r="FM53" i="54"/>
  <c r="FV53" i="54"/>
  <c r="FU52" i="54"/>
  <c r="FW52" i="54" s="1"/>
  <c r="FR53" i="54" s="1"/>
  <c r="GC53" i="54"/>
  <c r="GB52" i="54"/>
  <c r="GD52" i="54" s="1"/>
  <c r="FY53" i="54" s="1"/>
  <c r="GE53" i="54"/>
  <c r="GG53" i="54"/>
  <c r="GH53" i="54"/>
  <c r="DC132" i="54"/>
  <c r="DA132" i="54"/>
  <c r="DB133" i="54" s="1"/>
  <c r="FZ53" i="54" l="1"/>
  <c r="GA53" i="54"/>
  <c r="FX53" i="54"/>
  <c r="FS53" i="54"/>
  <c r="FT53" i="54"/>
  <c r="FQ53" i="54"/>
  <c r="GJ54" i="54"/>
  <c r="GI53" i="54"/>
  <c r="GK53" i="54" s="1"/>
  <c r="GF54" i="54" s="1"/>
  <c r="FO54" i="54"/>
  <c r="FN53" i="54"/>
  <c r="FP53" i="54" s="1"/>
  <c r="FK54" i="54" s="1"/>
  <c r="DC133" i="54"/>
  <c r="DA133" i="54"/>
  <c r="DB134" i="54" s="1"/>
  <c r="FU53" i="54" l="1"/>
  <c r="FW53" i="54" s="1"/>
  <c r="FR54" i="54" s="1"/>
  <c r="FV54" i="54"/>
  <c r="FL54" i="54"/>
  <c r="FJ54" i="54"/>
  <c r="FM54" i="54"/>
  <c r="GE54" i="54"/>
  <c r="GG54" i="54"/>
  <c r="GH54" i="54"/>
  <c r="GC54" i="54"/>
  <c r="GB53" i="54"/>
  <c r="GD53" i="54" s="1"/>
  <c r="FY54" i="54" s="1"/>
  <c r="DC134" i="54"/>
  <c r="DA134" i="54"/>
  <c r="DB135" i="54" s="1"/>
  <c r="GJ55" i="54" l="1"/>
  <c r="GI54" i="54"/>
  <c r="GK54" i="54" s="1"/>
  <c r="GF55" i="54" s="1"/>
  <c r="FX54" i="54"/>
  <c r="FZ54" i="54"/>
  <c r="GA54" i="54"/>
  <c r="FO55" i="54"/>
  <c r="FN54" i="54"/>
  <c r="FP54" i="54" s="1"/>
  <c r="FK55" i="54" s="1"/>
  <c r="FQ54" i="54"/>
  <c r="FS54" i="54"/>
  <c r="FT54" i="54"/>
  <c r="DC135" i="54"/>
  <c r="DA135" i="54"/>
  <c r="DB136" i="54" s="1"/>
  <c r="GE55" i="54" l="1"/>
  <c r="GG55" i="54"/>
  <c r="GH55" i="54"/>
  <c r="FJ55" i="54"/>
  <c r="FM55" i="54"/>
  <c r="FL55" i="54"/>
  <c r="GC55" i="54"/>
  <c r="GB54" i="54"/>
  <c r="GD54" i="54" s="1"/>
  <c r="FY55" i="54" s="1"/>
  <c r="FV55" i="54"/>
  <c r="FU54" i="54"/>
  <c r="FW54" i="54" s="1"/>
  <c r="FR55" i="54" s="1"/>
  <c r="DC136" i="54"/>
  <c r="DA136" i="54"/>
  <c r="DB137" i="54" s="1"/>
  <c r="FO56" i="54" l="1"/>
  <c r="FN55" i="54"/>
  <c r="FP55" i="54" s="1"/>
  <c r="FK56" i="54" s="1"/>
  <c r="FS55" i="54"/>
  <c r="FQ55" i="54"/>
  <c r="FT55" i="54"/>
  <c r="GJ56" i="54"/>
  <c r="GI55" i="54"/>
  <c r="GK55" i="54" s="1"/>
  <c r="GF56" i="54" s="1"/>
  <c r="FZ55" i="54"/>
  <c r="GA55" i="54"/>
  <c r="FX55" i="54"/>
  <c r="DC137" i="54"/>
  <c r="DA137" i="54"/>
  <c r="DB138" i="54" s="1"/>
  <c r="GH56" i="54" l="1"/>
  <c r="GE56" i="54"/>
  <c r="GG56" i="54"/>
  <c r="FV56" i="54"/>
  <c r="FU55" i="54"/>
  <c r="FW55" i="54" s="1"/>
  <c r="FR56" i="54" s="1"/>
  <c r="GC56" i="54"/>
  <c r="GB55" i="54"/>
  <c r="GD55" i="54" s="1"/>
  <c r="FY56" i="54" s="1"/>
  <c r="FM56" i="54"/>
  <c r="FJ56" i="54"/>
  <c r="FL56" i="54"/>
  <c r="DC138" i="54"/>
  <c r="DA138" i="54"/>
  <c r="DB139" i="54" s="1"/>
  <c r="FQ56" i="54" l="1"/>
  <c r="FS56" i="54"/>
  <c r="FT56" i="54"/>
  <c r="GI56" i="54"/>
  <c r="GK56" i="54" s="1"/>
  <c r="GF57" i="54" s="1"/>
  <c r="GJ57" i="54"/>
  <c r="FO57" i="54"/>
  <c r="FN56" i="54"/>
  <c r="FP56" i="54" s="1"/>
  <c r="FK57" i="54" s="1"/>
  <c r="GA56" i="54"/>
  <c r="FX56" i="54"/>
  <c r="FZ56" i="54"/>
  <c r="DC139" i="54"/>
  <c r="DA139" i="54"/>
  <c r="DB140" i="54" s="1"/>
  <c r="FL57" i="54" l="1"/>
  <c r="FJ57" i="54"/>
  <c r="FM57" i="54"/>
  <c r="GC57" i="54"/>
  <c r="GB56" i="54"/>
  <c r="GD56" i="54" s="1"/>
  <c r="FY57" i="54" s="1"/>
  <c r="GG57" i="54"/>
  <c r="GE57" i="54"/>
  <c r="GH57" i="54"/>
  <c r="FV57" i="54"/>
  <c r="FU56" i="54"/>
  <c r="FW56" i="54" s="1"/>
  <c r="FR57" i="54" s="1"/>
  <c r="DC140" i="54"/>
  <c r="DA140" i="54"/>
  <c r="DB141" i="54" s="1"/>
  <c r="GJ58" i="54" l="1"/>
  <c r="GI57" i="54"/>
  <c r="GK57" i="54" s="1"/>
  <c r="GF58" i="54" s="1"/>
  <c r="FZ57" i="54"/>
  <c r="GA57" i="54"/>
  <c r="FX57" i="54"/>
  <c r="FS57" i="54"/>
  <c r="FQ57" i="54"/>
  <c r="FT57" i="54"/>
  <c r="FO58" i="54"/>
  <c r="FN57" i="54"/>
  <c r="FP57" i="54" s="1"/>
  <c r="FK58" i="54" s="1"/>
  <c r="DC141" i="54"/>
  <c r="DA141" i="54"/>
  <c r="DB142" i="54" s="1"/>
  <c r="FV58" i="54" l="1"/>
  <c r="FU57" i="54"/>
  <c r="FW57" i="54" s="1"/>
  <c r="FR58" i="54" s="1"/>
  <c r="FM58" i="54"/>
  <c r="FL58" i="54"/>
  <c r="FJ58" i="54"/>
  <c r="GB57" i="54"/>
  <c r="GD57" i="54" s="1"/>
  <c r="FY58" i="54" s="1"/>
  <c r="GC58" i="54"/>
  <c r="GG58" i="54"/>
  <c r="GH58" i="54"/>
  <c r="GE58" i="54"/>
  <c r="DC142" i="54"/>
  <c r="DA142" i="54"/>
  <c r="DB143" i="54" s="1"/>
  <c r="FX58" i="54" l="1"/>
  <c r="FZ58" i="54"/>
  <c r="GA58" i="54"/>
  <c r="FN58" i="54"/>
  <c r="FP58" i="54" s="1"/>
  <c r="FK59" i="54" s="1"/>
  <c r="FO59" i="54"/>
  <c r="GJ59" i="54"/>
  <c r="GI58" i="54"/>
  <c r="GK58" i="54" s="1"/>
  <c r="GF59" i="54" s="1"/>
  <c r="FS58" i="54"/>
  <c r="FQ58" i="54"/>
  <c r="FT58" i="54"/>
  <c r="DC143" i="54"/>
  <c r="DA143" i="54"/>
  <c r="DB144" i="54" s="1"/>
  <c r="FL59" i="54" l="1"/>
  <c r="FJ59" i="54"/>
  <c r="FM59" i="54"/>
  <c r="FV59" i="54"/>
  <c r="FU58" i="54"/>
  <c r="FW58" i="54" s="1"/>
  <c r="FR59" i="54" s="1"/>
  <c r="GC59" i="54"/>
  <c r="GB58" i="54"/>
  <c r="GD58" i="54" s="1"/>
  <c r="FY59" i="54" s="1"/>
  <c r="GE59" i="54"/>
  <c r="GG59" i="54"/>
  <c r="GH59" i="54"/>
  <c r="DC144" i="54"/>
  <c r="DA144" i="54"/>
  <c r="DB145" i="54" s="1"/>
  <c r="GA59" i="54" l="1"/>
  <c r="FZ59" i="54"/>
  <c r="FX59" i="54"/>
  <c r="FQ59" i="54"/>
  <c r="FT59" i="54"/>
  <c r="FS59" i="54"/>
  <c r="GJ60" i="54"/>
  <c r="GI59" i="54"/>
  <c r="GK59" i="54" s="1"/>
  <c r="GF60" i="54" s="1"/>
  <c r="FN59" i="54"/>
  <c r="FP59" i="54" s="1"/>
  <c r="FK60" i="54" s="1"/>
  <c r="FO60" i="54"/>
  <c r="DC145" i="54"/>
  <c r="DA145" i="54"/>
  <c r="DB146" i="54" s="1"/>
  <c r="FL60" i="54" l="1"/>
  <c r="FJ60" i="54"/>
  <c r="FM60" i="54"/>
  <c r="FV60" i="54"/>
  <c r="FU59" i="54"/>
  <c r="FW59" i="54" s="1"/>
  <c r="FR60" i="54" s="1"/>
  <c r="GH60" i="54"/>
  <c r="GE60" i="54"/>
  <c r="GG60" i="54"/>
  <c r="GC60" i="54"/>
  <c r="GB59" i="54"/>
  <c r="GD59" i="54" s="1"/>
  <c r="FY60" i="54" s="1"/>
  <c r="DC146" i="54"/>
  <c r="DA146" i="54"/>
  <c r="DB147" i="54" s="1"/>
  <c r="FQ60" i="54" l="1"/>
  <c r="FT60" i="54"/>
  <c r="FS60" i="54"/>
  <c r="FZ60" i="54"/>
  <c r="GA60" i="54"/>
  <c r="FX60" i="54"/>
  <c r="GI60" i="54"/>
  <c r="GK60" i="54" s="1"/>
  <c r="GF61" i="54" s="1"/>
  <c r="GJ61" i="54"/>
  <c r="FO61" i="54"/>
  <c r="FN60" i="54"/>
  <c r="FP60" i="54" s="1"/>
  <c r="FK61" i="54" s="1"/>
  <c r="DC147" i="54"/>
  <c r="DA147" i="54"/>
  <c r="DB148" i="54" s="1"/>
  <c r="FM61" i="54" l="1"/>
  <c r="FL61" i="54"/>
  <c r="FJ61" i="54"/>
  <c r="GC61" i="54"/>
  <c r="GB60" i="54"/>
  <c r="GD60" i="54" s="1"/>
  <c r="FY61" i="54" s="1"/>
  <c r="FV61" i="54"/>
  <c r="FU60" i="54"/>
  <c r="FW60" i="54" s="1"/>
  <c r="FR61" i="54" s="1"/>
  <c r="GH61" i="54"/>
  <c r="GE61" i="54"/>
  <c r="GG61" i="54"/>
  <c r="DC148" i="54"/>
  <c r="DA148" i="54"/>
  <c r="DB149" i="54" s="1"/>
  <c r="FX61" i="54" l="1"/>
  <c r="GA61" i="54"/>
  <c r="FZ61" i="54"/>
  <c r="GI61" i="54"/>
  <c r="GK61" i="54" s="1"/>
  <c r="GF62" i="54" s="1"/>
  <c r="GJ62" i="54"/>
  <c r="FS61" i="54"/>
  <c r="FT61" i="54"/>
  <c r="FQ61" i="54"/>
  <c r="FO62" i="54"/>
  <c r="FN61" i="54"/>
  <c r="FP61" i="54" s="1"/>
  <c r="FK62" i="54" s="1"/>
  <c r="DC149" i="54"/>
  <c r="DA149" i="54"/>
  <c r="DB150" i="54" s="1"/>
  <c r="FV62" i="54" l="1"/>
  <c r="FU61" i="54"/>
  <c r="FW61" i="54" s="1"/>
  <c r="FR62" i="54" s="1"/>
  <c r="FJ62" i="54"/>
  <c r="FM62" i="54"/>
  <c r="FL62" i="54"/>
  <c r="GG62" i="54"/>
  <c r="GH62" i="54"/>
  <c r="GE62" i="54"/>
  <c r="GC62" i="54"/>
  <c r="GB61" i="54"/>
  <c r="GD61" i="54" s="1"/>
  <c r="FY62" i="54" s="1"/>
  <c r="DC150" i="54"/>
  <c r="DA150" i="54"/>
  <c r="DB151" i="54" s="1"/>
  <c r="GI62" i="54" l="1"/>
  <c r="GK62" i="54" s="1"/>
  <c r="GF63" i="54" s="1"/>
  <c r="GJ63" i="54"/>
  <c r="FO63" i="54"/>
  <c r="FN62" i="54"/>
  <c r="FP62" i="54" s="1"/>
  <c r="FK63" i="54" s="1"/>
  <c r="FZ62" i="54"/>
  <c r="GA62" i="54"/>
  <c r="FX62" i="54"/>
  <c r="FT62" i="54"/>
  <c r="FQ62" i="54"/>
  <c r="FS62" i="54"/>
  <c r="DC151" i="54"/>
  <c r="DA151" i="54"/>
  <c r="DB152" i="54" s="1"/>
  <c r="GC63" i="54" l="1"/>
  <c r="GB62" i="54"/>
  <c r="GD62" i="54" s="1"/>
  <c r="FY63" i="54" s="1"/>
  <c r="FU62" i="54"/>
  <c r="FW62" i="54" s="1"/>
  <c r="FR63" i="54" s="1"/>
  <c r="FV63" i="54"/>
  <c r="FM63" i="54"/>
  <c r="FL63" i="54"/>
  <c r="FJ63" i="54"/>
  <c r="GH63" i="54"/>
  <c r="GG63" i="54"/>
  <c r="GE63" i="54"/>
  <c r="DC152" i="54"/>
  <c r="DA152" i="54"/>
  <c r="DB153" i="54" s="1"/>
  <c r="FX63" i="54" l="1"/>
  <c r="FZ63" i="54"/>
  <c r="GA63" i="54"/>
  <c r="FT63" i="54"/>
  <c r="FS63" i="54"/>
  <c r="FQ63" i="54"/>
  <c r="GJ64" i="54"/>
  <c r="GI63" i="54"/>
  <c r="GK63" i="54" s="1"/>
  <c r="GF64" i="54" s="1"/>
  <c r="FO64" i="54"/>
  <c r="FN63" i="54"/>
  <c r="FP63" i="54" s="1"/>
  <c r="FK64" i="54" s="1"/>
  <c r="DC153" i="54"/>
  <c r="DA153" i="54"/>
  <c r="DB154" i="54" s="1"/>
  <c r="FL64" i="54" l="1"/>
  <c r="FJ64" i="54"/>
  <c r="FM64" i="54"/>
  <c r="FV64" i="54"/>
  <c r="FU63" i="54"/>
  <c r="FW63" i="54" s="1"/>
  <c r="FR64" i="54" s="1"/>
  <c r="GG64" i="54"/>
  <c r="GE64" i="54"/>
  <c r="GH64" i="54"/>
  <c r="GB63" i="54"/>
  <c r="GD63" i="54" s="1"/>
  <c r="FY64" i="54" s="1"/>
  <c r="GC64" i="54"/>
  <c r="DC154" i="54"/>
  <c r="DA154" i="54"/>
  <c r="DB155" i="54" s="1"/>
  <c r="FX64" i="54" l="1"/>
  <c r="GA64" i="54"/>
  <c r="FZ64" i="54"/>
  <c r="GI64" i="54"/>
  <c r="GK64" i="54" s="1"/>
  <c r="GF65" i="54" s="1"/>
  <c r="GJ65" i="54"/>
  <c r="FS64" i="54"/>
  <c r="FQ64" i="54"/>
  <c r="FT64" i="54"/>
  <c r="FN64" i="54"/>
  <c r="FP64" i="54" s="1"/>
  <c r="FK65" i="54" s="1"/>
  <c r="FO65" i="54"/>
  <c r="DC155" i="54"/>
  <c r="DA155" i="54"/>
  <c r="DB156" i="54" s="1"/>
  <c r="FV65" i="54" l="1"/>
  <c r="FU64" i="54"/>
  <c r="FW64" i="54" s="1"/>
  <c r="FR65" i="54" s="1"/>
  <c r="FL65" i="54"/>
  <c r="FJ65" i="54"/>
  <c r="FM65" i="54"/>
  <c r="GH65" i="54"/>
  <c r="GE65" i="54"/>
  <c r="GG65" i="54"/>
  <c r="GC65" i="54"/>
  <c r="GB64" i="54"/>
  <c r="GD64" i="54" s="1"/>
  <c r="FY65" i="54" s="1"/>
  <c r="DC156" i="54"/>
  <c r="DA156" i="54"/>
  <c r="DB157" i="54" s="1"/>
  <c r="GI65" i="54" l="1"/>
  <c r="GK65" i="54" s="1"/>
  <c r="GF66" i="54" s="1"/>
  <c r="GJ66" i="54"/>
  <c r="FZ65" i="54"/>
  <c r="FX65" i="54"/>
  <c r="GA65" i="54"/>
  <c r="FN65" i="54"/>
  <c r="FP65" i="54" s="1"/>
  <c r="FK66" i="54" s="1"/>
  <c r="FO66" i="54"/>
  <c r="FS65" i="54"/>
  <c r="FQ65" i="54"/>
  <c r="FT65" i="54"/>
  <c r="DC157" i="54"/>
  <c r="DA157" i="54"/>
  <c r="DB158" i="54" s="1"/>
  <c r="GC66" i="54" l="1"/>
  <c r="GB65" i="54"/>
  <c r="GD65" i="54" s="1"/>
  <c r="FY66" i="54" s="1"/>
  <c r="FV66" i="54"/>
  <c r="FU65" i="54"/>
  <c r="FW65" i="54" s="1"/>
  <c r="FR66" i="54" s="1"/>
  <c r="GE66" i="54"/>
  <c r="GH66" i="54"/>
  <c r="GG66" i="54"/>
  <c r="FL66" i="54"/>
  <c r="FJ66" i="54"/>
  <c r="FM66" i="54"/>
  <c r="DC158" i="54"/>
  <c r="DA158" i="54"/>
  <c r="DB159" i="54" s="1"/>
  <c r="GA66" i="54" l="1"/>
  <c r="FZ66" i="54"/>
  <c r="FX66" i="54"/>
  <c r="FS66" i="54"/>
  <c r="FQ66" i="54"/>
  <c r="FT66" i="54"/>
  <c r="FN66" i="54"/>
  <c r="FP66" i="54" s="1"/>
  <c r="FK67" i="54" s="1"/>
  <c r="FO67" i="54"/>
  <c r="GJ67" i="54"/>
  <c r="GI66" i="54"/>
  <c r="GK66" i="54" s="1"/>
  <c r="GF67" i="54" s="1"/>
  <c r="DC159" i="54"/>
  <c r="DA159" i="54"/>
  <c r="DB160" i="54" s="1"/>
  <c r="FV67" i="54" l="1"/>
  <c r="FU66" i="54"/>
  <c r="FW66" i="54" s="1"/>
  <c r="FR67" i="54" s="1"/>
  <c r="GE67" i="54"/>
  <c r="GG67" i="54"/>
  <c r="GH67" i="54"/>
  <c r="GC67" i="54"/>
  <c r="GB66" i="54"/>
  <c r="GD66" i="54" s="1"/>
  <c r="FY67" i="54" s="1"/>
  <c r="FL67" i="54"/>
  <c r="FJ67" i="54"/>
  <c r="FM67" i="54"/>
  <c r="DC160" i="54"/>
  <c r="DA160" i="54"/>
  <c r="DB161" i="54" s="1"/>
  <c r="FN67" i="54" l="1"/>
  <c r="FP67" i="54" s="1"/>
  <c r="FK68" i="54" s="1"/>
  <c r="FO68" i="54"/>
  <c r="GJ68" i="54"/>
  <c r="GI67" i="54"/>
  <c r="GK67" i="54" s="1"/>
  <c r="GF68" i="54" s="1"/>
  <c r="FX67" i="54"/>
  <c r="FZ67" i="54"/>
  <c r="GA67" i="54"/>
  <c r="FT67" i="54"/>
  <c r="FQ67" i="54"/>
  <c r="FS67" i="54"/>
  <c r="DC161" i="54"/>
  <c r="DA161" i="54"/>
  <c r="DB162" i="54" s="1"/>
  <c r="GC68" i="54" l="1"/>
  <c r="GB67" i="54"/>
  <c r="GD67" i="54" s="1"/>
  <c r="FY68" i="54" s="1"/>
  <c r="GE68" i="54"/>
  <c r="GG68" i="54"/>
  <c r="GH68" i="54"/>
  <c r="FV68" i="54"/>
  <c r="FU67" i="54"/>
  <c r="FW67" i="54" s="1"/>
  <c r="FR68" i="54" s="1"/>
  <c r="FJ68" i="54"/>
  <c r="FL68" i="54"/>
  <c r="FM68" i="54"/>
  <c r="DC162" i="54"/>
  <c r="DA162" i="54"/>
  <c r="DB163" i="54" s="1"/>
  <c r="GI68" i="54" l="1"/>
  <c r="GK68" i="54" s="1"/>
  <c r="GF69" i="54" s="1"/>
  <c r="GJ69" i="54"/>
  <c r="FO69" i="54"/>
  <c r="FN68" i="54"/>
  <c r="FP68" i="54" s="1"/>
  <c r="FK69" i="54" s="1"/>
  <c r="FX68" i="54"/>
  <c r="FZ68" i="54"/>
  <c r="GA68" i="54"/>
  <c r="FT68" i="54"/>
  <c r="FQ68" i="54"/>
  <c r="FS68" i="54"/>
  <c r="DC163" i="54"/>
  <c r="DA163" i="54"/>
  <c r="DB164" i="54" s="1"/>
  <c r="GH69" i="54" l="1"/>
  <c r="GG69" i="54"/>
  <c r="GE69" i="54"/>
  <c r="FL69" i="54"/>
  <c r="FM69" i="54"/>
  <c r="FJ69" i="54"/>
  <c r="FV69" i="54"/>
  <c r="FU68" i="54"/>
  <c r="FW68" i="54" s="1"/>
  <c r="FR69" i="54" s="1"/>
  <c r="GB68" i="54"/>
  <c r="GD68" i="54" s="1"/>
  <c r="FY69" i="54" s="1"/>
  <c r="GC69" i="54"/>
  <c r="DC164" i="54"/>
  <c r="DA164" i="54"/>
  <c r="DB165" i="54" s="1"/>
  <c r="FQ69" i="54" l="1"/>
  <c r="FT69" i="54"/>
  <c r="FS69" i="54"/>
  <c r="FN69" i="54"/>
  <c r="FP69" i="54" s="1"/>
  <c r="FK70" i="54" s="1"/>
  <c r="FO70" i="54"/>
  <c r="GA69" i="54"/>
  <c r="FX69" i="54"/>
  <c r="FZ69" i="54"/>
  <c r="GJ70" i="54"/>
  <c r="GI69" i="54"/>
  <c r="GK69" i="54" s="1"/>
  <c r="GF70" i="54" s="1"/>
  <c r="DC165" i="54"/>
  <c r="DA165" i="54"/>
  <c r="DB166" i="54" s="1"/>
  <c r="GG70" i="54" l="1"/>
  <c r="GE70" i="54"/>
  <c r="GH70" i="54"/>
  <c r="GC70" i="54"/>
  <c r="GB69" i="54"/>
  <c r="GD69" i="54" s="1"/>
  <c r="FY70" i="54" s="1"/>
  <c r="FJ70" i="54"/>
  <c r="FM70" i="54"/>
  <c r="FL70" i="54"/>
  <c r="FV70" i="54"/>
  <c r="FU69" i="54"/>
  <c r="FW69" i="54" s="1"/>
  <c r="FR70" i="54" s="1"/>
  <c r="DC166" i="54"/>
  <c r="DA166" i="54"/>
  <c r="DB167" i="54" s="1"/>
  <c r="GA70" i="54" l="1"/>
  <c r="FZ70" i="54"/>
  <c r="FX70" i="54"/>
  <c r="FQ70" i="54"/>
  <c r="FT70" i="54"/>
  <c r="FS70" i="54"/>
  <c r="FO71" i="54"/>
  <c r="FN70" i="54"/>
  <c r="FP70" i="54" s="1"/>
  <c r="FK71" i="54" s="1"/>
  <c r="GI70" i="54"/>
  <c r="GK70" i="54" s="1"/>
  <c r="GF71" i="54" s="1"/>
  <c r="GJ71" i="54"/>
  <c r="DC167" i="54"/>
  <c r="DA167" i="54"/>
  <c r="DB168" i="54" s="1"/>
  <c r="FL71" i="54" l="1"/>
  <c r="FJ71" i="54"/>
  <c r="FM71" i="54"/>
  <c r="GE71" i="54"/>
  <c r="GG71" i="54"/>
  <c r="GH71" i="54"/>
  <c r="GC71" i="54"/>
  <c r="GB70" i="54"/>
  <c r="GD70" i="54" s="1"/>
  <c r="FY71" i="54" s="1"/>
  <c r="FV71" i="54"/>
  <c r="FU70" i="54"/>
  <c r="FW70" i="54" s="1"/>
  <c r="FR71" i="54" s="1"/>
  <c r="DC168" i="54"/>
  <c r="DA168" i="54"/>
  <c r="DB169" i="54" s="1"/>
  <c r="GJ72" i="54" l="1"/>
  <c r="GI71" i="54"/>
  <c r="GK71" i="54" s="1"/>
  <c r="GF72" i="54" s="1"/>
  <c r="FX71" i="54"/>
  <c r="GA71" i="54"/>
  <c r="FZ71" i="54"/>
  <c r="FQ71" i="54"/>
  <c r="FT71" i="54"/>
  <c r="FS71" i="54"/>
  <c r="FO72" i="54"/>
  <c r="FN71" i="54"/>
  <c r="FP71" i="54" s="1"/>
  <c r="FK72" i="54" s="1"/>
  <c r="DC169" i="54"/>
  <c r="DA169" i="54"/>
  <c r="DB170" i="54" s="1"/>
  <c r="GB71" i="54" l="1"/>
  <c r="GD71" i="54" s="1"/>
  <c r="FY72" i="54" s="1"/>
  <c r="GC72" i="54"/>
  <c r="FM72" i="54"/>
  <c r="FJ72" i="54"/>
  <c r="FL72" i="54"/>
  <c r="FV72" i="54"/>
  <c r="FU71" i="54"/>
  <c r="FW71" i="54" s="1"/>
  <c r="FR72" i="54" s="1"/>
  <c r="GE72" i="54"/>
  <c r="GG72" i="54"/>
  <c r="GH72" i="54"/>
  <c r="DC170" i="54"/>
  <c r="DA170" i="54"/>
  <c r="DB171" i="54" s="1"/>
  <c r="FN72" i="54" l="1"/>
  <c r="FP72" i="54" s="1"/>
  <c r="FK73" i="54" s="1"/>
  <c r="FO73" i="54"/>
  <c r="GJ73" i="54"/>
  <c r="GI72" i="54"/>
  <c r="GK72" i="54" s="1"/>
  <c r="GF73" i="54" s="1"/>
  <c r="FS72" i="54"/>
  <c r="FQ72" i="54"/>
  <c r="FT72" i="54"/>
  <c r="GA72" i="54"/>
  <c r="FX72" i="54"/>
  <c r="FZ72" i="54"/>
  <c r="DC171" i="54"/>
  <c r="DA171" i="54"/>
  <c r="DB172" i="54" s="1"/>
  <c r="GH73" i="54" l="1"/>
  <c r="GG73" i="54"/>
  <c r="GE73" i="54"/>
  <c r="FU72" i="54"/>
  <c r="FW72" i="54" s="1"/>
  <c r="FR73" i="54" s="1"/>
  <c r="FV73" i="54"/>
  <c r="GC73" i="54"/>
  <c r="GB72" i="54"/>
  <c r="GD72" i="54" s="1"/>
  <c r="FY73" i="54" s="1"/>
  <c r="FL73" i="54"/>
  <c r="FM73" i="54"/>
  <c r="FJ73" i="54"/>
  <c r="DC172" i="54"/>
  <c r="DA172" i="54"/>
  <c r="DB173" i="54" s="1"/>
  <c r="FQ73" i="54" l="1"/>
  <c r="FT73" i="54"/>
  <c r="FS73" i="54"/>
  <c r="GJ74" i="54"/>
  <c r="GI73" i="54"/>
  <c r="GK73" i="54" s="1"/>
  <c r="GF74" i="54" s="1"/>
  <c r="FO74" i="54"/>
  <c r="FN73" i="54"/>
  <c r="FP73" i="54" s="1"/>
  <c r="FK74" i="54" s="1"/>
  <c r="FX73" i="54"/>
  <c r="FZ73" i="54"/>
  <c r="GA73" i="54"/>
  <c r="DC173" i="54"/>
  <c r="DA173" i="54"/>
  <c r="DB174" i="54" s="1"/>
  <c r="FJ74" i="54" l="1"/>
  <c r="FM74" i="54"/>
  <c r="FL74" i="54"/>
  <c r="GE74" i="54"/>
  <c r="GG74" i="54"/>
  <c r="GH74" i="54"/>
  <c r="GB73" i="54"/>
  <c r="GD73" i="54" s="1"/>
  <c r="FY74" i="54" s="1"/>
  <c r="GC74" i="54"/>
  <c r="FU73" i="54"/>
  <c r="FW73" i="54" s="1"/>
  <c r="FR74" i="54" s="1"/>
  <c r="FV74" i="54"/>
  <c r="DC174" i="54"/>
  <c r="DA174" i="54"/>
  <c r="DB175" i="54" s="1"/>
  <c r="FX74" i="54" l="1"/>
  <c r="FZ74" i="54"/>
  <c r="GA74" i="54"/>
  <c r="GI74" i="54"/>
  <c r="GK74" i="54" s="1"/>
  <c r="GF75" i="54" s="1"/>
  <c r="GJ75" i="54"/>
  <c r="FO75" i="54"/>
  <c r="FN74" i="54"/>
  <c r="FP74" i="54" s="1"/>
  <c r="FK75" i="54" s="1"/>
  <c r="FQ74" i="54"/>
  <c r="FS74" i="54"/>
  <c r="FT74" i="54"/>
  <c r="DC175" i="54"/>
  <c r="DA175" i="54"/>
  <c r="DB176" i="54" s="1"/>
  <c r="GH75" i="54" l="1"/>
  <c r="GE75" i="54"/>
  <c r="GG75" i="54"/>
  <c r="FV75" i="54"/>
  <c r="FU74" i="54"/>
  <c r="FW74" i="54" s="1"/>
  <c r="FR75" i="54" s="1"/>
  <c r="GB74" i="54"/>
  <c r="GD74" i="54" s="1"/>
  <c r="FY75" i="54" s="1"/>
  <c r="GC75" i="54"/>
  <c r="FJ75" i="54"/>
  <c r="FL75" i="54"/>
  <c r="FM75" i="54"/>
  <c r="DC176" i="54"/>
  <c r="DA176" i="54"/>
  <c r="DB177" i="54" s="1"/>
  <c r="FX75" i="54" l="1"/>
  <c r="FZ75" i="54"/>
  <c r="GA75" i="54"/>
  <c r="FQ75" i="54"/>
  <c r="FT75" i="54"/>
  <c r="FS75" i="54"/>
  <c r="GJ76" i="54"/>
  <c r="GI75" i="54"/>
  <c r="GK75" i="54" s="1"/>
  <c r="GF76" i="54" s="1"/>
  <c r="FO76" i="54"/>
  <c r="FN75" i="54"/>
  <c r="FP75" i="54" s="1"/>
  <c r="FK76" i="54" s="1"/>
  <c r="DC177" i="54"/>
  <c r="DA177" i="54"/>
  <c r="DB178" i="54" s="1"/>
  <c r="GH76" i="54" l="1"/>
  <c r="GE76" i="54"/>
  <c r="GG76" i="54"/>
  <c r="FV76" i="54"/>
  <c r="FU75" i="54"/>
  <c r="FW75" i="54" s="1"/>
  <c r="FR76" i="54" s="1"/>
  <c r="FL76" i="54"/>
  <c r="FJ76" i="54"/>
  <c r="FM76" i="54"/>
  <c r="GC76" i="54"/>
  <c r="GB75" i="54"/>
  <c r="GD75" i="54" s="1"/>
  <c r="FY76" i="54" s="1"/>
  <c r="DC178" i="54"/>
  <c r="DA178" i="54"/>
  <c r="DB179" i="54" s="1"/>
  <c r="FX76" i="54" l="1"/>
  <c r="FZ76" i="54"/>
  <c r="GA76" i="54"/>
  <c r="FO77" i="54"/>
  <c r="FN76" i="54"/>
  <c r="FP76" i="54" s="1"/>
  <c r="FK77" i="54" s="1"/>
  <c r="FT76" i="54"/>
  <c r="FS76" i="54"/>
  <c r="FQ76" i="54"/>
  <c r="GJ77" i="54"/>
  <c r="GI76" i="54"/>
  <c r="GK76" i="54" s="1"/>
  <c r="GF77" i="54" s="1"/>
  <c r="DC179" i="54"/>
  <c r="DA179" i="54"/>
  <c r="DB180" i="54" s="1"/>
  <c r="FM77" i="54" l="1"/>
  <c r="FL77" i="54"/>
  <c r="FJ77" i="54"/>
  <c r="GG77" i="54"/>
  <c r="GH77" i="54"/>
  <c r="GE77" i="54"/>
  <c r="GC77" i="54"/>
  <c r="GB76" i="54"/>
  <c r="GD76" i="54" s="1"/>
  <c r="FY77" i="54" s="1"/>
  <c r="FU76" i="54"/>
  <c r="FW76" i="54" s="1"/>
  <c r="FR77" i="54" s="1"/>
  <c r="FV77" i="54"/>
  <c r="DC180" i="54"/>
  <c r="DA180" i="54"/>
  <c r="DB181" i="54" s="1"/>
  <c r="FZ77" i="54" l="1"/>
  <c r="FX77" i="54"/>
  <c r="GA77" i="54"/>
  <c r="GI77" i="54"/>
  <c r="GK77" i="54" s="1"/>
  <c r="GF78" i="54" s="1"/>
  <c r="GJ78" i="54"/>
  <c r="FQ77" i="54"/>
  <c r="FS77" i="54"/>
  <c r="FT77" i="54"/>
  <c r="FO78" i="54"/>
  <c r="FN77" i="54"/>
  <c r="FP77" i="54" s="1"/>
  <c r="FK78" i="54" s="1"/>
  <c r="DC181" i="54"/>
  <c r="DA181" i="54"/>
  <c r="DB182" i="54" s="1"/>
  <c r="GG78" i="54" l="1"/>
  <c r="GH78" i="54"/>
  <c r="GE78" i="54"/>
  <c r="FL78" i="54"/>
  <c r="FM78" i="54"/>
  <c r="FJ78" i="54"/>
  <c r="FV78" i="54"/>
  <c r="FU77" i="54"/>
  <c r="FW77" i="54" s="1"/>
  <c r="FR78" i="54" s="1"/>
  <c r="GC78" i="54"/>
  <c r="GB77" i="54"/>
  <c r="GD77" i="54" s="1"/>
  <c r="FY78" i="54" s="1"/>
  <c r="DC182" i="54"/>
  <c r="DA182" i="54"/>
  <c r="DB183" i="54" s="1"/>
  <c r="FZ78" i="54" l="1"/>
  <c r="GA78" i="54"/>
  <c r="FX78" i="54"/>
  <c r="FO79" i="54"/>
  <c r="FN78" i="54"/>
  <c r="FP78" i="54" s="1"/>
  <c r="FK79" i="54" s="1"/>
  <c r="FQ78" i="54"/>
  <c r="FT78" i="54"/>
  <c r="FS78" i="54"/>
  <c r="GJ79" i="54"/>
  <c r="GI78" i="54"/>
  <c r="GK78" i="54" s="1"/>
  <c r="GF79" i="54" s="1"/>
  <c r="DC183" i="54"/>
  <c r="DA183" i="54"/>
  <c r="DB184" i="54" s="1"/>
  <c r="FL79" i="54" l="1"/>
  <c r="FJ79" i="54"/>
  <c r="FM79" i="54"/>
  <c r="GG79" i="54"/>
  <c r="GH79" i="54"/>
  <c r="GE79" i="54"/>
  <c r="FV79" i="54"/>
  <c r="FU78" i="54"/>
  <c r="FW78" i="54" s="1"/>
  <c r="FR79" i="54" s="1"/>
  <c r="GC79" i="54"/>
  <c r="GB78" i="54"/>
  <c r="GD78" i="54" s="1"/>
  <c r="FY79" i="54" s="1"/>
  <c r="DC184" i="54"/>
  <c r="DA184" i="54"/>
  <c r="DB185" i="54" s="1"/>
  <c r="GJ80" i="54" l="1"/>
  <c r="GI79" i="54"/>
  <c r="GK79" i="54" s="1"/>
  <c r="GF80" i="54" s="1"/>
  <c r="FX79" i="54"/>
  <c r="FZ79" i="54"/>
  <c r="GA79" i="54"/>
  <c r="FS79" i="54"/>
  <c r="FT79" i="54"/>
  <c r="FQ79" i="54"/>
  <c r="FO80" i="54"/>
  <c r="FN79" i="54"/>
  <c r="FP79" i="54" s="1"/>
  <c r="FK80" i="54" s="1"/>
  <c r="DC185" i="54"/>
  <c r="DA185" i="54"/>
  <c r="DB186" i="54" s="1"/>
  <c r="FL80" i="54" l="1"/>
  <c r="FM80" i="54"/>
  <c r="FJ80" i="54"/>
  <c r="GE80" i="54"/>
  <c r="GG80" i="54"/>
  <c r="GH80" i="54"/>
  <c r="GC80" i="54"/>
  <c r="GB79" i="54"/>
  <c r="GD79" i="54" s="1"/>
  <c r="FY80" i="54" s="1"/>
  <c r="FV80" i="54"/>
  <c r="FU79" i="54"/>
  <c r="FW79" i="54" s="1"/>
  <c r="FR80" i="54" s="1"/>
  <c r="DC186" i="54"/>
  <c r="DA186" i="54"/>
  <c r="DB187" i="54" s="1"/>
  <c r="GI80" i="54" l="1"/>
  <c r="GK80" i="54" s="1"/>
  <c r="GF81" i="54" s="1"/>
  <c r="GJ81" i="54"/>
  <c r="FQ80" i="54"/>
  <c r="FS80" i="54"/>
  <c r="FT80" i="54"/>
  <c r="FZ80" i="54"/>
  <c r="GA80" i="54"/>
  <c r="FX80" i="54"/>
  <c r="FN80" i="54"/>
  <c r="FP80" i="54" s="1"/>
  <c r="FK81" i="54" s="1"/>
  <c r="FO81" i="54"/>
  <c r="DC187" i="54"/>
  <c r="DA187" i="54"/>
  <c r="DB188" i="54" s="1"/>
  <c r="FJ81" i="54" l="1"/>
  <c r="FL81" i="54"/>
  <c r="FM81" i="54"/>
  <c r="FU80" i="54"/>
  <c r="FW80" i="54" s="1"/>
  <c r="FR81" i="54" s="1"/>
  <c r="FV81" i="54"/>
  <c r="GC81" i="54"/>
  <c r="GB80" i="54"/>
  <c r="GD80" i="54" s="1"/>
  <c r="FY81" i="54" s="1"/>
  <c r="GG81" i="54"/>
  <c r="GE81" i="54"/>
  <c r="GH81" i="54"/>
  <c r="DC188" i="54"/>
  <c r="DA188" i="54"/>
  <c r="DB189" i="54" s="1"/>
  <c r="FS81" i="54" l="1"/>
  <c r="FQ81" i="54"/>
  <c r="FT81" i="54"/>
  <c r="FO82" i="54"/>
  <c r="FN81" i="54"/>
  <c r="FP81" i="54" s="1"/>
  <c r="FK82" i="54" s="1"/>
  <c r="GI81" i="54"/>
  <c r="GK81" i="54" s="1"/>
  <c r="GF82" i="54" s="1"/>
  <c r="GJ82" i="54"/>
  <c r="GA81" i="54"/>
  <c r="FX81" i="54"/>
  <c r="FZ81" i="54"/>
  <c r="DC189" i="54"/>
  <c r="DA189" i="54"/>
  <c r="DB190" i="54" s="1"/>
  <c r="GH82" i="54" l="1"/>
  <c r="GG82" i="54"/>
  <c r="GE82" i="54"/>
  <c r="FJ82" i="54"/>
  <c r="FM82" i="54"/>
  <c r="FL82" i="54"/>
  <c r="GB81" i="54"/>
  <c r="GD81" i="54" s="1"/>
  <c r="FY82" i="54" s="1"/>
  <c r="GC82" i="54"/>
  <c r="FV82" i="54"/>
  <c r="FU81" i="54"/>
  <c r="FW81" i="54" s="1"/>
  <c r="FR82" i="54" s="1"/>
  <c r="DC190" i="54"/>
  <c r="DA190" i="54"/>
  <c r="DB191" i="54" s="1"/>
  <c r="FO83" i="54" l="1"/>
  <c r="FN82" i="54"/>
  <c r="FP82" i="54" s="1"/>
  <c r="FK83" i="54" s="1"/>
  <c r="FS82" i="54"/>
  <c r="FQ82" i="54"/>
  <c r="FT82" i="54"/>
  <c r="GI82" i="54"/>
  <c r="GK82" i="54" s="1"/>
  <c r="GF83" i="54" s="1"/>
  <c r="GJ83" i="54"/>
  <c r="FZ82" i="54"/>
  <c r="FX82" i="54"/>
  <c r="GA82" i="54"/>
  <c r="DC191" i="54"/>
  <c r="DA191" i="54"/>
  <c r="DB192" i="54" s="1"/>
  <c r="GH83" i="54" l="1"/>
  <c r="GE83" i="54"/>
  <c r="GG83" i="54"/>
  <c r="FV83" i="54"/>
  <c r="FU82" i="54"/>
  <c r="FW82" i="54" s="1"/>
  <c r="FR83" i="54" s="1"/>
  <c r="FL83" i="54"/>
  <c r="FM83" i="54"/>
  <c r="FJ83" i="54"/>
  <c r="GC83" i="54"/>
  <c r="GB82" i="54"/>
  <c r="GD82" i="54" s="1"/>
  <c r="FY83" i="54" s="1"/>
  <c r="DC192" i="54"/>
  <c r="DA192" i="54"/>
  <c r="DB193" i="54" s="1"/>
  <c r="FO84" i="54" l="1"/>
  <c r="FN83" i="54"/>
  <c r="FS83" i="54"/>
  <c r="FQ83" i="54"/>
  <c r="FT83" i="54"/>
  <c r="GJ84" i="54"/>
  <c r="GI83" i="54"/>
  <c r="GK83" i="54" s="1"/>
  <c r="GF84" i="54" s="1"/>
  <c r="GA83" i="54"/>
  <c r="FZ83" i="54"/>
  <c r="FX83" i="54"/>
  <c r="FP83" i="54"/>
  <c r="FK84" i="54" s="1"/>
  <c r="DC193" i="54"/>
  <c r="DA193" i="54"/>
  <c r="DB194" i="54" s="1"/>
  <c r="GH84" i="54" l="1"/>
  <c r="GE84" i="54"/>
  <c r="GG84" i="54"/>
  <c r="FV84" i="54"/>
  <c r="FU83" i="54"/>
  <c r="FW83" i="54" s="1"/>
  <c r="FR84" i="54" s="1"/>
  <c r="FL84" i="54"/>
  <c r="FJ84" i="54"/>
  <c r="FM84" i="54"/>
  <c r="GC84" i="54"/>
  <c r="GB83" i="54"/>
  <c r="GD83" i="54" s="1"/>
  <c r="FY84" i="54" s="1"/>
  <c r="DC194" i="54"/>
  <c r="DA194" i="54"/>
  <c r="DB195" i="54" s="1"/>
  <c r="FO85" i="54" l="1"/>
  <c r="FN84" i="54"/>
  <c r="FT84" i="54"/>
  <c r="FS84" i="54"/>
  <c r="FQ84" i="54"/>
  <c r="GJ85" i="54"/>
  <c r="GI84" i="54"/>
  <c r="GK84" i="54" s="1"/>
  <c r="GF85" i="54" s="1"/>
  <c r="FX84" i="54"/>
  <c r="FZ84" i="54"/>
  <c r="GA84" i="54"/>
  <c r="FP84" i="54"/>
  <c r="FK85" i="54" s="1"/>
  <c r="DC195" i="54"/>
  <c r="DA195" i="54"/>
  <c r="DB196" i="54" s="1"/>
  <c r="GG85" i="54" l="1"/>
  <c r="GH85" i="54"/>
  <c r="GE85" i="54"/>
  <c r="FV85" i="54"/>
  <c r="FU84" i="54"/>
  <c r="FW84" i="54" s="1"/>
  <c r="FR85" i="54" s="1"/>
  <c r="GB84" i="54"/>
  <c r="GD84" i="54" s="1"/>
  <c r="FY85" i="54" s="1"/>
  <c r="GC85" i="54"/>
  <c r="FM85" i="54"/>
  <c r="FJ85" i="54"/>
  <c r="FL85" i="54"/>
  <c r="DC196" i="54"/>
  <c r="DA196" i="54"/>
  <c r="DB197" i="54" s="1"/>
  <c r="FZ85" i="54" l="1"/>
  <c r="FX85" i="54"/>
  <c r="GA85" i="54"/>
  <c r="FS85" i="54"/>
  <c r="FT85" i="54"/>
  <c r="FQ85" i="54"/>
  <c r="FN85" i="54"/>
  <c r="FP85" i="54" s="1"/>
  <c r="FK86" i="54" s="1"/>
  <c r="FO86" i="54"/>
  <c r="GI85" i="54"/>
  <c r="GK85" i="54" s="1"/>
  <c r="GF86" i="54" s="1"/>
  <c r="GJ86" i="54"/>
  <c r="DC197" i="54"/>
  <c r="DA197" i="54"/>
  <c r="DB198" i="54" s="1"/>
  <c r="GG86" i="54" l="1"/>
  <c r="GH86" i="54"/>
  <c r="GE86" i="54"/>
  <c r="FV86" i="54"/>
  <c r="FU85" i="54"/>
  <c r="FW85" i="54" s="1"/>
  <c r="FR86" i="54" s="1"/>
  <c r="FM86" i="54"/>
  <c r="FJ86" i="54"/>
  <c r="FL86" i="54"/>
  <c r="GC86" i="54"/>
  <c r="GB85" i="54"/>
  <c r="GD85" i="54" s="1"/>
  <c r="FY86" i="54" s="1"/>
  <c r="DC198" i="54"/>
  <c r="DA198" i="54"/>
  <c r="DB199" i="54" s="1"/>
  <c r="FX86" i="54" l="1"/>
  <c r="FZ86" i="54"/>
  <c r="GA86" i="54"/>
  <c r="FS86" i="54"/>
  <c r="FT86" i="54"/>
  <c r="FQ86" i="54"/>
  <c r="FO87" i="54"/>
  <c r="FN86" i="54"/>
  <c r="FP86" i="54" s="1"/>
  <c r="FK87" i="54" s="1"/>
  <c r="GI86" i="54"/>
  <c r="GK86" i="54" s="1"/>
  <c r="GF87" i="54" s="1"/>
  <c r="GJ87" i="54"/>
  <c r="DC199" i="54"/>
  <c r="DA199" i="54"/>
  <c r="DB200" i="54" s="1"/>
  <c r="GH87" i="54" l="1"/>
  <c r="GG87" i="54"/>
  <c r="GE87" i="54"/>
  <c r="FU86" i="54"/>
  <c r="FW86" i="54" s="1"/>
  <c r="FR87" i="54" s="1"/>
  <c r="FV87" i="54"/>
  <c r="GB86" i="54"/>
  <c r="GD86" i="54" s="1"/>
  <c r="FY87" i="54" s="1"/>
  <c r="GC87" i="54"/>
  <c r="FL87" i="54"/>
  <c r="FJ87" i="54"/>
  <c r="FM87" i="54"/>
  <c r="DC200" i="54"/>
  <c r="DA200" i="54"/>
  <c r="DB201" i="54" s="1"/>
  <c r="GA87" i="54" l="1"/>
  <c r="FX87" i="54"/>
  <c r="FZ87" i="54"/>
  <c r="FQ87" i="54"/>
  <c r="FS87" i="54"/>
  <c r="FT87" i="54"/>
  <c r="GI87" i="54"/>
  <c r="GK87" i="54" s="1"/>
  <c r="GF88" i="54" s="1"/>
  <c r="GJ88" i="54"/>
  <c r="FO88" i="54"/>
  <c r="FN87" i="54"/>
  <c r="FP87" i="54" s="1"/>
  <c r="FK88" i="54" s="1"/>
  <c r="DC201" i="54"/>
  <c r="DA201" i="54"/>
  <c r="DB202" i="54" s="1"/>
  <c r="FJ88" i="54" l="1"/>
  <c r="FM88" i="54"/>
  <c r="FL88" i="54"/>
  <c r="FV88" i="54"/>
  <c r="FU87" i="54"/>
  <c r="FW87" i="54" s="1"/>
  <c r="FR88" i="54" s="1"/>
  <c r="GC88" i="54"/>
  <c r="GB87" i="54"/>
  <c r="GD87" i="54" s="1"/>
  <c r="FY88" i="54" s="1"/>
  <c r="GE88" i="54"/>
  <c r="GH88" i="54"/>
  <c r="GG88" i="54"/>
  <c r="DC202" i="54"/>
  <c r="DA202" i="54"/>
  <c r="DB203" i="54" s="1"/>
  <c r="FS88" i="54" l="1"/>
  <c r="FT88" i="54"/>
  <c r="FQ88" i="54"/>
  <c r="FO89" i="54"/>
  <c r="FN88" i="54"/>
  <c r="FP88" i="54" s="1"/>
  <c r="FK89" i="54" s="1"/>
  <c r="GI88" i="54"/>
  <c r="GK88" i="54" s="1"/>
  <c r="GF89" i="54" s="1"/>
  <c r="GJ89" i="54"/>
  <c r="FZ88" i="54"/>
  <c r="FX88" i="54"/>
  <c r="GA88" i="54"/>
  <c r="DC203" i="54"/>
  <c r="DA203" i="54"/>
  <c r="DB204" i="54" s="1"/>
  <c r="FJ89" i="54" l="1"/>
  <c r="FL89" i="54"/>
  <c r="FM89" i="54"/>
  <c r="GE89" i="54"/>
  <c r="GH89" i="54"/>
  <c r="GG89" i="54"/>
  <c r="GC89" i="54"/>
  <c r="GB88" i="54"/>
  <c r="GD88" i="54" s="1"/>
  <c r="FY89" i="54" s="1"/>
  <c r="FV89" i="54"/>
  <c r="FU88" i="54"/>
  <c r="FW88" i="54" s="1"/>
  <c r="FR89" i="54" s="1"/>
  <c r="DC204" i="54"/>
  <c r="DA204" i="54"/>
  <c r="DB205" i="54" s="1"/>
  <c r="FX89" i="54" l="1"/>
  <c r="GA89" i="54"/>
  <c r="FZ89" i="54"/>
  <c r="GJ90" i="54"/>
  <c r="GI89" i="54"/>
  <c r="GK89" i="54" s="1"/>
  <c r="GF90" i="54" s="1"/>
  <c r="FS89" i="54"/>
  <c r="FT89" i="54"/>
  <c r="FQ89" i="54"/>
  <c r="FO90" i="54"/>
  <c r="FN89" i="54"/>
  <c r="FP89" i="54" s="1"/>
  <c r="FK90" i="54" s="1"/>
  <c r="DC205" i="54"/>
  <c r="DA205" i="54"/>
  <c r="DB206" i="54" s="1"/>
  <c r="FV90" i="54" l="1"/>
  <c r="FU89" i="54"/>
  <c r="FW89" i="54" s="1"/>
  <c r="FR90" i="54" s="1"/>
  <c r="FJ90" i="54"/>
  <c r="FM90" i="54"/>
  <c r="FL90" i="54"/>
  <c r="GB89" i="54"/>
  <c r="GD89" i="54" s="1"/>
  <c r="FY90" i="54" s="1"/>
  <c r="GC90" i="54"/>
  <c r="GH90" i="54"/>
  <c r="GG90" i="54"/>
  <c r="GE90" i="54"/>
  <c r="DC206" i="54"/>
  <c r="DA206" i="54"/>
  <c r="DB207" i="54" s="1"/>
  <c r="FO91" i="54" l="1"/>
  <c r="FN90" i="54"/>
  <c r="FX90" i="54"/>
  <c r="FZ90" i="54"/>
  <c r="GA90" i="54"/>
  <c r="FP90" i="54"/>
  <c r="FK91" i="54" s="1"/>
  <c r="GJ91" i="54"/>
  <c r="GI90" i="54"/>
  <c r="GK90" i="54" s="1"/>
  <c r="GF91" i="54" s="1"/>
  <c r="FT90" i="54"/>
  <c r="FS90" i="54"/>
  <c r="FQ90" i="54"/>
  <c r="DC207" i="54"/>
  <c r="DA207" i="54"/>
  <c r="DB208" i="54" s="1"/>
  <c r="FJ91" i="54" l="1"/>
  <c r="FL91" i="54"/>
  <c r="FM91" i="54"/>
  <c r="GC91" i="54"/>
  <c r="GB90" i="54"/>
  <c r="GD90" i="54" s="1"/>
  <c r="FY91" i="54" s="1"/>
  <c r="FV91" i="54"/>
  <c r="FU90" i="54"/>
  <c r="FW90" i="54" s="1"/>
  <c r="FR91" i="54" s="1"/>
  <c r="GH91" i="54"/>
  <c r="GE91" i="54"/>
  <c r="GG91" i="54"/>
  <c r="DC208" i="54"/>
  <c r="DA208" i="54"/>
  <c r="DB209" i="54" s="1"/>
  <c r="FX91" i="54" l="1"/>
  <c r="GA91" i="54"/>
  <c r="FZ91" i="54"/>
  <c r="GJ92" i="54"/>
  <c r="GI91" i="54"/>
  <c r="GK91" i="54" s="1"/>
  <c r="GF92" i="54" s="1"/>
  <c r="FO92" i="54"/>
  <c r="FN91" i="54"/>
  <c r="FP91" i="54" s="1"/>
  <c r="FK92" i="54" s="1"/>
  <c r="FS91" i="54"/>
  <c r="FT91" i="54"/>
  <c r="FQ91" i="54"/>
  <c r="DC209" i="54"/>
  <c r="DA209" i="54"/>
  <c r="DB210" i="54" s="1"/>
  <c r="GH92" i="54" l="1"/>
  <c r="GE92" i="54"/>
  <c r="GG92" i="54"/>
  <c r="FL92" i="54"/>
  <c r="FM92" i="54"/>
  <c r="FJ92" i="54"/>
  <c r="FU91" i="54"/>
  <c r="FW91" i="54" s="1"/>
  <c r="FR92" i="54" s="1"/>
  <c r="FV92" i="54"/>
  <c r="GC92" i="54"/>
  <c r="GB91" i="54"/>
  <c r="GD91" i="54" s="1"/>
  <c r="FY92" i="54" s="1"/>
  <c r="DC210" i="54"/>
  <c r="DA210" i="54"/>
  <c r="DB211" i="54" s="1"/>
  <c r="FX92" i="54" l="1"/>
  <c r="FZ92" i="54"/>
  <c r="GA92" i="54"/>
  <c r="FN92" i="54"/>
  <c r="FP92" i="54" s="1"/>
  <c r="FK93" i="54" s="1"/>
  <c r="FO93" i="54"/>
  <c r="GI92" i="54"/>
  <c r="GK92" i="54" s="1"/>
  <c r="GF93" i="54" s="1"/>
  <c r="GJ93" i="54"/>
  <c r="FT92" i="54"/>
  <c r="FS92" i="54"/>
  <c r="FQ92" i="54"/>
  <c r="DC211" i="54"/>
  <c r="DA211" i="54"/>
  <c r="DB212" i="54" s="1"/>
  <c r="FJ93" i="54" l="1"/>
  <c r="FM93" i="54"/>
  <c r="FL93" i="54"/>
  <c r="GG93" i="54"/>
  <c r="GE93" i="54"/>
  <c r="GH93" i="54"/>
  <c r="GB92" i="54"/>
  <c r="GD92" i="54" s="1"/>
  <c r="FY93" i="54" s="1"/>
  <c r="GC93" i="54"/>
  <c r="FV93" i="54"/>
  <c r="FU92" i="54"/>
  <c r="FW92" i="54" s="1"/>
  <c r="FR93" i="54" s="1"/>
  <c r="DC212" i="54"/>
  <c r="DA212" i="54"/>
  <c r="DB213" i="54" s="1"/>
  <c r="FX93" i="54" l="1"/>
  <c r="FZ93" i="54"/>
  <c r="GA93" i="54"/>
  <c r="GI93" i="54"/>
  <c r="GK93" i="54" s="1"/>
  <c r="GF94" i="54" s="1"/>
  <c r="GJ94" i="54"/>
  <c r="FO94" i="54"/>
  <c r="FN93" i="54"/>
  <c r="FT93" i="54"/>
  <c r="FS93" i="54"/>
  <c r="FQ93" i="54"/>
  <c r="FP93" i="54"/>
  <c r="FK94" i="54" s="1"/>
  <c r="DC213" i="54"/>
  <c r="DA213" i="54"/>
  <c r="DB214" i="54" s="1"/>
  <c r="FJ94" i="54" l="1"/>
  <c r="FL94" i="54"/>
  <c r="FM94" i="54"/>
  <c r="GG94" i="54"/>
  <c r="GE94" i="54"/>
  <c r="GH94" i="54"/>
  <c r="FV94" i="54"/>
  <c r="FU93" i="54"/>
  <c r="FW93" i="54" s="1"/>
  <c r="FR94" i="54" s="1"/>
  <c r="GC94" i="54"/>
  <c r="GB93" i="54"/>
  <c r="GD93" i="54" s="1"/>
  <c r="FY94" i="54" s="1"/>
  <c r="DC214" i="54"/>
  <c r="DA214" i="54"/>
  <c r="DB215" i="54" s="1"/>
  <c r="GJ95" i="54" l="1"/>
  <c r="GI94" i="54"/>
  <c r="GK94" i="54" s="1"/>
  <c r="GF95" i="54" s="1"/>
  <c r="FX94" i="54"/>
  <c r="GA94" i="54"/>
  <c r="FZ94" i="54"/>
  <c r="FS94" i="54"/>
  <c r="FT94" i="54"/>
  <c r="FQ94" i="54"/>
  <c r="FN94" i="54"/>
  <c r="FP94" i="54" s="1"/>
  <c r="FK95" i="54" s="1"/>
  <c r="FO95" i="54"/>
  <c r="DC215" i="54"/>
  <c r="DA215" i="54"/>
  <c r="DB216" i="54" s="1"/>
  <c r="FV95" i="54" l="1"/>
  <c r="FU94" i="54"/>
  <c r="FW94" i="54" s="1"/>
  <c r="FR95" i="54" s="1"/>
  <c r="GC95" i="54"/>
  <c r="GB94" i="54"/>
  <c r="GD94" i="54" s="1"/>
  <c r="FY95" i="54" s="1"/>
  <c r="FM95" i="54"/>
  <c r="FL95" i="54"/>
  <c r="FJ95" i="54"/>
  <c r="GE95" i="54"/>
  <c r="GG95" i="54"/>
  <c r="GH95" i="54"/>
  <c r="DC216" i="54"/>
  <c r="DA216" i="54"/>
  <c r="DB217" i="54" s="1"/>
  <c r="FO96" i="54" l="1"/>
  <c r="FN95" i="54"/>
  <c r="FP95" i="54" s="1"/>
  <c r="FK96" i="54" s="1"/>
  <c r="FZ95" i="54"/>
  <c r="FX95" i="54"/>
  <c r="GA95" i="54"/>
  <c r="GJ96" i="54"/>
  <c r="GI95" i="54"/>
  <c r="GK95" i="54" s="1"/>
  <c r="GF96" i="54" s="1"/>
  <c r="FT95" i="54"/>
  <c r="FS95" i="54"/>
  <c r="FQ95" i="54"/>
  <c r="DC217" i="54"/>
  <c r="DA217" i="54"/>
  <c r="DB218" i="54" s="1"/>
  <c r="GC96" i="54" l="1"/>
  <c r="GB95" i="54"/>
  <c r="GD95" i="54" s="1"/>
  <c r="FY96" i="54" s="1"/>
  <c r="FL96" i="54"/>
  <c r="FJ96" i="54"/>
  <c r="FM96" i="54"/>
  <c r="FU95" i="54"/>
  <c r="FW95" i="54" s="1"/>
  <c r="FR96" i="54" s="1"/>
  <c r="FV96" i="54"/>
  <c r="GE96" i="54"/>
  <c r="GG96" i="54"/>
  <c r="GH96" i="54"/>
  <c r="DC218" i="54"/>
  <c r="DA218" i="54"/>
  <c r="DB219" i="54" s="1"/>
  <c r="FX96" i="54" l="1"/>
  <c r="FZ96" i="54"/>
  <c r="GA96" i="54"/>
  <c r="FO97" i="54"/>
  <c r="FN96" i="54"/>
  <c r="FP96" i="54" s="1"/>
  <c r="FK97" i="54" s="1"/>
  <c r="GJ97" i="54"/>
  <c r="GI96" i="54"/>
  <c r="GK96" i="54" s="1"/>
  <c r="GF97" i="54" s="1"/>
  <c r="FS96" i="54"/>
  <c r="FT96" i="54"/>
  <c r="FQ96" i="54"/>
  <c r="DC219" i="54"/>
  <c r="DA219" i="54"/>
  <c r="DB220" i="54" s="1"/>
  <c r="FL97" i="54" l="1"/>
  <c r="FJ97" i="54"/>
  <c r="FM97" i="54"/>
  <c r="GC97" i="54"/>
  <c r="GB96" i="54"/>
  <c r="GD96" i="54" s="1"/>
  <c r="FY97" i="54" s="1"/>
  <c r="FV97" i="54"/>
  <c r="FU96" i="54"/>
  <c r="FW96" i="54" s="1"/>
  <c r="FR97" i="54" s="1"/>
  <c r="GE97" i="54"/>
  <c r="GG97" i="54"/>
  <c r="GH97" i="54"/>
  <c r="DC220" i="54"/>
  <c r="DA220" i="54"/>
  <c r="DB221" i="54" s="1"/>
  <c r="FX97" i="54" l="1"/>
  <c r="GA97" i="54"/>
  <c r="FZ97" i="54"/>
  <c r="GJ98" i="54"/>
  <c r="GI97" i="54"/>
  <c r="GK97" i="54" s="1"/>
  <c r="GF98" i="54" s="1"/>
  <c r="FT97" i="54"/>
  <c r="FS97" i="54"/>
  <c r="FQ97" i="54"/>
  <c r="FO98" i="54"/>
  <c r="FN97" i="54"/>
  <c r="FP97" i="54" s="1"/>
  <c r="FK98" i="54" s="1"/>
  <c r="DC221" i="54"/>
  <c r="DA221" i="54"/>
  <c r="DB222" i="54" s="1"/>
  <c r="FJ98" i="54" l="1"/>
  <c r="FL98" i="54"/>
  <c r="FM98" i="54"/>
  <c r="GH98" i="54"/>
  <c r="GE98" i="54"/>
  <c r="GG98" i="54"/>
  <c r="GC98" i="54"/>
  <c r="GB97" i="54"/>
  <c r="GD97" i="54" s="1"/>
  <c r="FY98" i="54" s="1"/>
  <c r="FV98" i="54"/>
  <c r="FU97" i="54"/>
  <c r="FW97" i="54" s="1"/>
  <c r="FR98" i="54" s="1"/>
  <c r="DC222" i="54"/>
  <c r="DA222" i="54"/>
  <c r="DB223" i="54" s="1"/>
  <c r="GI98" i="54" l="1"/>
  <c r="GK98" i="54" s="1"/>
  <c r="GF99" i="54" s="1"/>
  <c r="GJ99" i="54"/>
  <c r="FQ98" i="54"/>
  <c r="FS98" i="54"/>
  <c r="FT98" i="54"/>
  <c r="FO99" i="54"/>
  <c r="FN98" i="54"/>
  <c r="FP98" i="54" s="1"/>
  <c r="FK99" i="54" s="1"/>
  <c r="FX98" i="54"/>
  <c r="GA98" i="54"/>
  <c r="FZ98" i="54"/>
  <c r="DC223" i="54"/>
  <c r="DA223" i="54"/>
  <c r="DB224" i="54" s="1"/>
  <c r="FU98" i="54" l="1"/>
  <c r="FW98" i="54" s="1"/>
  <c r="FR99" i="54" s="1"/>
  <c r="FV99" i="54"/>
  <c r="GB98" i="54"/>
  <c r="GD98" i="54" s="1"/>
  <c r="FY99" i="54" s="1"/>
  <c r="GC99" i="54"/>
  <c r="FL99" i="54"/>
  <c r="FJ99" i="54"/>
  <c r="FM99" i="54"/>
  <c r="GE99" i="54"/>
  <c r="GH99" i="54"/>
  <c r="GG99" i="54"/>
  <c r="DC224" i="54"/>
  <c r="DA224" i="54"/>
  <c r="DB225" i="54" s="1"/>
  <c r="GA99" i="54" l="1"/>
  <c r="FX99" i="54"/>
  <c r="FZ99" i="54"/>
  <c r="FO100" i="54"/>
  <c r="FN99" i="54"/>
  <c r="FP99" i="54" s="1"/>
  <c r="FK100" i="54" s="1"/>
  <c r="GJ100" i="54"/>
  <c r="GI99" i="54"/>
  <c r="GK99" i="54" s="1"/>
  <c r="GF100" i="54" s="1"/>
  <c r="FT99" i="54"/>
  <c r="FS99" i="54"/>
  <c r="FQ99" i="54"/>
  <c r="DC225" i="54"/>
  <c r="DA225" i="54"/>
  <c r="DB226" i="54" s="1"/>
  <c r="FM100" i="54" l="1"/>
  <c r="FJ100" i="54"/>
  <c r="FL100" i="54"/>
  <c r="GC100" i="54"/>
  <c r="GB99" i="54"/>
  <c r="GD99" i="54" s="1"/>
  <c r="FY100" i="54" s="1"/>
  <c r="FV100" i="54"/>
  <c r="FU99" i="54"/>
  <c r="FW99" i="54" s="1"/>
  <c r="FR100" i="54" s="1"/>
  <c r="GE100" i="54"/>
  <c r="GH100" i="54"/>
  <c r="GG100" i="54"/>
  <c r="DC226" i="54"/>
  <c r="DA226" i="54"/>
  <c r="DB227" i="54" s="1"/>
  <c r="FX100" i="54" l="1"/>
  <c r="FZ100" i="54"/>
  <c r="GA100" i="54"/>
  <c r="GJ101" i="54"/>
  <c r="GI100" i="54"/>
  <c r="GK100" i="54" s="1"/>
  <c r="GF101" i="54" s="1"/>
  <c r="FO101" i="54"/>
  <c r="FN100" i="54"/>
  <c r="FP100" i="54" s="1"/>
  <c r="FK101" i="54" s="1"/>
  <c r="FS100" i="54"/>
  <c r="FQ100" i="54"/>
  <c r="FT100" i="54"/>
  <c r="DC227" i="54"/>
  <c r="DA227" i="54"/>
  <c r="DB228" i="54" s="1"/>
  <c r="GH101" i="54" l="1"/>
  <c r="GE101" i="54"/>
  <c r="GG101" i="54"/>
  <c r="GC101" i="54"/>
  <c r="GB100" i="54"/>
  <c r="GD100" i="54" s="1"/>
  <c r="FY101" i="54" s="1"/>
  <c r="FV101" i="54"/>
  <c r="FU100" i="54"/>
  <c r="FW100" i="54" s="1"/>
  <c r="FR101" i="54" s="1"/>
  <c r="FJ101" i="54"/>
  <c r="FM101" i="54"/>
  <c r="FL101" i="54"/>
  <c r="DC228" i="54"/>
  <c r="DA228" i="54"/>
  <c r="DB229" i="54" s="1"/>
  <c r="GA101" i="54" l="1"/>
  <c r="FZ101" i="54"/>
  <c r="FX101" i="54"/>
  <c r="FN101" i="54"/>
  <c r="FP101" i="54" s="1"/>
  <c r="FK102" i="54" s="1"/>
  <c r="FO102" i="54"/>
  <c r="GJ102" i="54"/>
  <c r="GI101" i="54"/>
  <c r="FT101" i="54"/>
  <c r="FS101" i="54"/>
  <c r="FQ101" i="54"/>
  <c r="GK101" i="54"/>
  <c r="GF102" i="54" s="1"/>
  <c r="DC229" i="54"/>
  <c r="DA229" i="54"/>
  <c r="DB230" i="54" s="1"/>
  <c r="GE102" i="54" l="1"/>
  <c r="GH102" i="54"/>
  <c r="GG102" i="54"/>
  <c r="FL102" i="54"/>
  <c r="FJ102" i="54"/>
  <c r="FM102" i="54"/>
  <c r="FU101" i="54"/>
  <c r="FW101" i="54" s="1"/>
  <c r="FR102" i="54" s="1"/>
  <c r="FV102" i="54"/>
  <c r="GC102" i="54"/>
  <c r="GB101" i="54"/>
  <c r="GD101" i="54" s="1"/>
  <c r="FY102" i="54" s="1"/>
  <c r="DC230" i="54"/>
  <c r="DA230" i="54"/>
  <c r="DB231" i="54" s="1"/>
  <c r="GA102" i="54" l="1"/>
  <c r="FX102" i="54"/>
  <c r="FZ102" i="54"/>
  <c r="FO103" i="54"/>
  <c r="FN102" i="54"/>
  <c r="FP102" i="54" s="1"/>
  <c r="FK103" i="54" s="1"/>
  <c r="GJ103" i="54"/>
  <c r="GI102" i="54"/>
  <c r="GK102" i="54" s="1"/>
  <c r="GF103" i="54" s="1"/>
  <c r="FT102" i="54"/>
  <c r="FQ102" i="54"/>
  <c r="FS102" i="54"/>
  <c r="DC231" i="54"/>
  <c r="DA231" i="54"/>
  <c r="DB232" i="54" s="1"/>
  <c r="FJ103" i="54" l="1"/>
  <c r="FL103" i="54"/>
  <c r="FM103" i="54"/>
  <c r="FV103" i="54"/>
  <c r="FU102" i="54"/>
  <c r="FW102" i="54" s="1"/>
  <c r="FR103" i="54" s="1"/>
  <c r="GC103" i="54"/>
  <c r="GB102" i="54"/>
  <c r="GD102" i="54" s="1"/>
  <c r="FY103" i="54" s="1"/>
  <c r="GE103" i="54"/>
  <c r="GG103" i="54"/>
  <c r="GH103" i="54"/>
  <c r="DC232" i="54"/>
  <c r="DA232" i="54"/>
  <c r="DB233" i="54" s="1"/>
  <c r="FQ103" i="54" l="1"/>
  <c r="FS103" i="54"/>
  <c r="FT103" i="54"/>
  <c r="GJ104" i="54"/>
  <c r="GI103" i="54"/>
  <c r="GK103" i="54" s="1"/>
  <c r="GF104" i="54" s="1"/>
  <c r="FO104" i="54"/>
  <c r="FN103" i="54"/>
  <c r="FP103" i="54" s="1"/>
  <c r="FK104" i="54" s="1"/>
  <c r="FZ103" i="54"/>
  <c r="GA103" i="54"/>
  <c r="FX103" i="54"/>
  <c r="DC233" i="54"/>
  <c r="DA233" i="54"/>
  <c r="DB234" i="54" s="1"/>
  <c r="FJ104" i="54" l="1"/>
  <c r="FL104" i="54"/>
  <c r="FM104" i="54"/>
  <c r="GE104" i="54"/>
  <c r="GG104" i="54"/>
  <c r="GH104" i="54"/>
  <c r="GB103" i="54"/>
  <c r="GD103" i="54" s="1"/>
  <c r="FY104" i="54" s="1"/>
  <c r="GC104" i="54"/>
  <c r="FV104" i="54"/>
  <c r="FU103" i="54"/>
  <c r="FW103" i="54" s="1"/>
  <c r="FR104" i="54" s="1"/>
  <c r="DC234" i="54"/>
  <c r="DA234" i="54"/>
  <c r="DB235" i="54" s="1"/>
  <c r="GA104" i="54" l="1"/>
  <c r="FX104" i="54"/>
  <c r="FZ104" i="54"/>
  <c r="GJ105" i="54"/>
  <c r="GI104" i="54"/>
  <c r="GK104" i="54" s="1"/>
  <c r="GF105" i="54" s="1"/>
  <c r="FS104" i="54"/>
  <c r="FT104" i="54"/>
  <c r="FQ104" i="54"/>
  <c r="FO105" i="54"/>
  <c r="FN104" i="54"/>
  <c r="FP104" i="54" s="1"/>
  <c r="FK105" i="54" s="1"/>
  <c r="DC235" i="54"/>
  <c r="DA235" i="54"/>
  <c r="DB236" i="54" s="1"/>
  <c r="GH105" i="54" l="1"/>
  <c r="GG105" i="54"/>
  <c r="GE105" i="54"/>
  <c r="FL105" i="54"/>
  <c r="FJ105" i="54"/>
  <c r="FM105" i="54"/>
  <c r="GB104" i="54"/>
  <c r="GD104" i="54" s="1"/>
  <c r="FY105" i="54" s="1"/>
  <c r="GC105" i="54"/>
  <c r="FV105" i="54"/>
  <c r="FU104" i="54"/>
  <c r="FW104" i="54" s="1"/>
  <c r="FR105" i="54" s="1"/>
  <c r="DC236" i="54"/>
  <c r="DA236" i="54"/>
  <c r="DB237" i="54" s="1"/>
  <c r="FO106" i="54" l="1"/>
  <c r="FN105" i="54"/>
  <c r="FP105" i="54" s="1"/>
  <c r="FK106" i="54" s="1"/>
  <c r="GJ106" i="54"/>
  <c r="GI105" i="54"/>
  <c r="GK105" i="54" s="1"/>
  <c r="GF106" i="54" s="1"/>
  <c r="FT105" i="54"/>
  <c r="FS105" i="54"/>
  <c r="FQ105" i="54"/>
  <c r="FX105" i="54"/>
  <c r="FZ105" i="54"/>
  <c r="GA105" i="54"/>
  <c r="DC237" i="54"/>
  <c r="DA237" i="54"/>
  <c r="DB238" i="54" s="1"/>
  <c r="FL106" i="54" l="1"/>
  <c r="FJ106" i="54"/>
  <c r="FM106" i="54"/>
  <c r="GC106" i="54"/>
  <c r="GB105" i="54"/>
  <c r="GD105" i="54" s="1"/>
  <c r="FY106" i="54" s="1"/>
  <c r="GH106" i="54"/>
  <c r="GG106" i="54"/>
  <c r="GE106" i="54"/>
  <c r="FV106" i="54"/>
  <c r="FU105" i="54"/>
  <c r="FW105" i="54" s="1"/>
  <c r="FR106" i="54" s="1"/>
  <c r="DC238" i="54"/>
  <c r="DA238" i="54"/>
  <c r="DB239" i="54" s="1"/>
  <c r="FX106" i="54" l="1"/>
  <c r="FZ106" i="54"/>
  <c r="GA106" i="54"/>
  <c r="FQ106" i="54"/>
  <c r="FT106" i="54"/>
  <c r="FS106" i="54"/>
  <c r="GI106" i="54"/>
  <c r="GK106" i="54" s="1"/>
  <c r="GF107" i="54" s="1"/>
  <c r="GJ107" i="54"/>
  <c r="FO107" i="54"/>
  <c r="FN106" i="54"/>
  <c r="FP106" i="54" s="1"/>
  <c r="FK107" i="54" s="1"/>
  <c r="DC239" i="54"/>
  <c r="DA239" i="54"/>
  <c r="DB240" i="54" s="1"/>
  <c r="FV107" i="54" l="1"/>
  <c r="FU106" i="54"/>
  <c r="FW106" i="54" s="1"/>
  <c r="FR107" i="54" s="1"/>
  <c r="FL107" i="54"/>
  <c r="FM107" i="54"/>
  <c r="FJ107" i="54"/>
  <c r="GC107" i="54"/>
  <c r="GB106" i="54"/>
  <c r="GD106" i="54" s="1"/>
  <c r="FY107" i="54" s="1"/>
  <c r="GE107" i="54"/>
  <c r="GG107" i="54"/>
  <c r="GH107" i="54"/>
  <c r="DC240" i="54"/>
  <c r="DA240" i="54"/>
  <c r="DB241" i="54" s="1"/>
  <c r="GA107" i="54" l="1"/>
  <c r="FZ107" i="54"/>
  <c r="FX107" i="54"/>
  <c r="GI107" i="54"/>
  <c r="GK107" i="54" s="1"/>
  <c r="GF108" i="54" s="1"/>
  <c r="GJ108" i="54"/>
  <c r="FO108" i="54"/>
  <c r="FN107" i="54"/>
  <c r="FP107" i="54" s="1"/>
  <c r="FK108" i="54" s="1"/>
  <c r="FQ107" i="54"/>
  <c r="FS107" i="54"/>
  <c r="FT107" i="54"/>
  <c r="DC241" i="54"/>
  <c r="DA241" i="54"/>
  <c r="DB242" i="54" s="1"/>
  <c r="FL108" i="54" l="1"/>
  <c r="FJ108" i="54"/>
  <c r="FM108" i="54"/>
  <c r="FU107" i="54"/>
  <c r="FW107" i="54" s="1"/>
  <c r="FR108" i="54" s="1"/>
  <c r="FV108" i="54"/>
  <c r="GH108" i="54"/>
  <c r="GE108" i="54"/>
  <c r="GG108" i="54"/>
  <c r="GC108" i="54"/>
  <c r="GB107" i="54"/>
  <c r="GD107" i="54" s="1"/>
  <c r="FY108" i="54" s="1"/>
  <c r="DC242" i="54"/>
  <c r="DA242" i="54"/>
  <c r="DB243" i="54" s="1"/>
  <c r="FS108" i="54" l="1"/>
  <c r="FT108" i="54"/>
  <c r="FQ108" i="54"/>
  <c r="FX108" i="54"/>
  <c r="FZ108" i="54"/>
  <c r="GA108" i="54"/>
  <c r="GI108" i="54"/>
  <c r="GK108" i="54" s="1"/>
  <c r="GF109" i="54" s="1"/>
  <c r="GJ109" i="54"/>
  <c r="FO109" i="54"/>
  <c r="FN108" i="54"/>
  <c r="FP108" i="54" s="1"/>
  <c r="FK109" i="54" s="1"/>
  <c r="DC243" i="54"/>
  <c r="DA243" i="54"/>
  <c r="DB244" i="54" s="1"/>
  <c r="FJ109" i="54" l="1"/>
  <c r="FM109" i="54"/>
  <c r="FL109" i="54"/>
  <c r="GH109" i="54"/>
  <c r="GE109" i="54"/>
  <c r="GG109" i="54"/>
  <c r="GC109" i="54"/>
  <c r="GB108" i="54"/>
  <c r="GD108" i="54" s="1"/>
  <c r="FY109" i="54" s="1"/>
  <c r="FV109" i="54"/>
  <c r="FU108" i="54"/>
  <c r="FW108" i="54" s="1"/>
  <c r="FR109" i="54" s="1"/>
  <c r="DC244" i="54"/>
  <c r="DA244" i="54"/>
  <c r="DB245" i="54" s="1"/>
  <c r="GI109" i="54" l="1"/>
  <c r="GK109" i="54" s="1"/>
  <c r="GF110" i="54" s="1"/>
  <c r="GJ110" i="54"/>
  <c r="FZ109" i="54"/>
  <c r="FX109" i="54"/>
  <c r="GA109" i="54"/>
  <c r="FT109" i="54"/>
  <c r="FQ109" i="54"/>
  <c r="FS109" i="54"/>
  <c r="FO110" i="54"/>
  <c r="FN109" i="54"/>
  <c r="FP109" i="54" s="1"/>
  <c r="FK110" i="54" s="1"/>
  <c r="DC245" i="54"/>
  <c r="DA245" i="54"/>
  <c r="DB246" i="54" s="1"/>
  <c r="FM110" i="54" l="1"/>
  <c r="FJ110" i="54"/>
  <c r="FL110" i="54"/>
  <c r="GC110" i="54"/>
  <c r="GB109" i="54"/>
  <c r="GD109" i="54" s="1"/>
  <c r="FY110" i="54" s="1"/>
  <c r="FU109" i="54"/>
  <c r="FW109" i="54" s="1"/>
  <c r="FR110" i="54" s="1"/>
  <c r="FV110" i="54"/>
  <c r="GH110" i="54"/>
  <c r="GE110" i="54"/>
  <c r="GG110" i="54"/>
  <c r="DC246" i="54"/>
  <c r="DA246" i="54"/>
  <c r="DB247" i="54" s="1"/>
  <c r="FQ110" i="54" l="1"/>
  <c r="FS110" i="54"/>
  <c r="FT110" i="54"/>
  <c r="FZ110" i="54"/>
  <c r="GA110" i="54"/>
  <c r="FX110" i="54"/>
  <c r="FN110" i="54"/>
  <c r="FP110" i="54" s="1"/>
  <c r="FK111" i="54" s="1"/>
  <c r="FO111" i="54"/>
  <c r="GI110" i="54"/>
  <c r="GK110" i="54" s="1"/>
  <c r="GF111" i="54" s="1"/>
  <c r="GJ111" i="54"/>
  <c r="DC247" i="54"/>
  <c r="DA247" i="54"/>
  <c r="DB248" i="54" s="1"/>
  <c r="GG111" i="54" l="1"/>
  <c r="GE111" i="54"/>
  <c r="GH111" i="54"/>
  <c r="FL111" i="54"/>
  <c r="FJ111" i="54"/>
  <c r="FM111" i="54"/>
  <c r="GB110" i="54"/>
  <c r="GD110" i="54" s="1"/>
  <c r="FY111" i="54" s="1"/>
  <c r="GC111" i="54"/>
  <c r="FU110" i="54"/>
  <c r="FW110" i="54" s="1"/>
  <c r="FR111" i="54" s="1"/>
  <c r="FV111" i="54"/>
  <c r="DC248" i="54"/>
  <c r="DA248" i="54"/>
  <c r="DB249" i="54" s="1"/>
  <c r="FX111" i="54" l="1"/>
  <c r="GA111" i="54"/>
  <c r="FZ111" i="54"/>
  <c r="FO112" i="54"/>
  <c r="FN111" i="54"/>
  <c r="FP111" i="54" s="1"/>
  <c r="FK112" i="54" s="1"/>
  <c r="FS111" i="54"/>
  <c r="FQ111" i="54"/>
  <c r="FT111" i="54"/>
  <c r="GJ112" i="54"/>
  <c r="GI111" i="54"/>
  <c r="GK111" i="54" s="1"/>
  <c r="GF112" i="54" s="1"/>
  <c r="DC249" i="54"/>
  <c r="DA249" i="54"/>
  <c r="DB250" i="54" s="1"/>
  <c r="FV112" i="54" l="1"/>
  <c r="FU111" i="54"/>
  <c r="FW111" i="54" s="1"/>
  <c r="FR112" i="54" s="1"/>
  <c r="FJ112" i="54"/>
  <c r="FM112" i="54"/>
  <c r="FL112" i="54"/>
  <c r="GH112" i="54"/>
  <c r="GG112" i="54"/>
  <c r="GE112" i="54"/>
  <c r="GC112" i="54"/>
  <c r="GB111" i="54"/>
  <c r="GD111" i="54" s="1"/>
  <c r="FY112" i="54" s="1"/>
  <c r="DC250" i="54"/>
  <c r="DA250" i="54"/>
  <c r="DB251" i="54" s="1"/>
  <c r="FO113" i="54" l="1"/>
  <c r="FN112" i="54"/>
  <c r="GJ113" i="54"/>
  <c r="GI112" i="54"/>
  <c r="GK112" i="54" s="1"/>
  <c r="GF113" i="54" s="1"/>
  <c r="FX112" i="54"/>
  <c r="FZ112" i="54"/>
  <c r="GA112" i="54"/>
  <c r="FP112" i="54"/>
  <c r="FK113" i="54" s="1"/>
  <c r="FQ112" i="54"/>
  <c r="FT112" i="54"/>
  <c r="FS112" i="54"/>
  <c r="DC251" i="54"/>
  <c r="DA251" i="54"/>
  <c r="DB252" i="54" s="1"/>
  <c r="GC113" i="54" l="1"/>
  <c r="GB112" i="54"/>
  <c r="GE113" i="54"/>
  <c r="GG113" i="54"/>
  <c r="GH113" i="54"/>
  <c r="FV113" i="54"/>
  <c r="FU112" i="54"/>
  <c r="FW112" i="54" s="1"/>
  <c r="FR113" i="54" s="1"/>
  <c r="FJ113" i="54"/>
  <c r="FM113" i="54"/>
  <c r="FL113" i="54"/>
  <c r="GD112" i="54"/>
  <c r="FY113" i="54" s="1"/>
  <c r="DC252" i="54"/>
  <c r="DA252" i="54"/>
  <c r="DB253" i="54" s="1"/>
  <c r="GJ114" i="54" l="1"/>
  <c r="GI113" i="54"/>
  <c r="GK113" i="54" s="1"/>
  <c r="GF114" i="54" s="1"/>
  <c r="FX113" i="54"/>
  <c r="GA113" i="54"/>
  <c r="FZ113" i="54"/>
  <c r="FO114" i="54"/>
  <c r="FN113" i="54"/>
  <c r="FP113" i="54" s="1"/>
  <c r="FK114" i="54" s="1"/>
  <c r="FS113" i="54"/>
  <c r="FQ113" i="54"/>
  <c r="FT113" i="54"/>
  <c r="DC253" i="54"/>
  <c r="DA253" i="54"/>
  <c r="DB254" i="54" s="1"/>
  <c r="GC114" i="54" l="1"/>
  <c r="GB113" i="54"/>
  <c r="GD113" i="54" s="1"/>
  <c r="FY114" i="54" s="1"/>
  <c r="FU113" i="54"/>
  <c r="FW113" i="54" s="1"/>
  <c r="FR114" i="54" s="1"/>
  <c r="FV114" i="54"/>
  <c r="GE114" i="54"/>
  <c r="GG114" i="54"/>
  <c r="GH114" i="54"/>
  <c r="FM114" i="54"/>
  <c r="FJ114" i="54"/>
  <c r="FL114" i="54"/>
  <c r="DC254" i="54"/>
  <c r="DA254" i="54"/>
  <c r="DB255" i="54" s="1"/>
  <c r="FQ114" i="54" l="1"/>
  <c r="FS114" i="54"/>
  <c r="FT114" i="54"/>
  <c r="FO115" i="54"/>
  <c r="FN114" i="54"/>
  <c r="FP114" i="54" s="1"/>
  <c r="FK115" i="54" s="1"/>
  <c r="FX114" i="54"/>
  <c r="FZ114" i="54"/>
  <c r="GA114" i="54"/>
  <c r="GJ115" i="54"/>
  <c r="GI114" i="54"/>
  <c r="GK114" i="54" s="1"/>
  <c r="GF115" i="54" s="1"/>
  <c r="DC255" i="54"/>
  <c r="DA255" i="54"/>
  <c r="DB256" i="54" s="1"/>
  <c r="FM115" i="54" l="1"/>
  <c r="FL115" i="54"/>
  <c r="FJ115" i="54"/>
  <c r="GE115" i="54"/>
  <c r="GH115" i="54"/>
  <c r="GG115" i="54"/>
  <c r="GB114" i="54"/>
  <c r="GD114" i="54" s="1"/>
  <c r="FY115" i="54" s="1"/>
  <c r="GC115" i="54"/>
  <c r="FV115" i="54"/>
  <c r="FU114" i="54"/>
  <c r="FW114" i="54" s="1"/>
  <c r="FR115" i="54" s="1"/>
  <c r="DC256" i="54"/>
  <c r="DA256" i="54"/>
  <c r="DB257" i="54" s="1"/>
  <c r="FX115" i="54" l="1"/>
  <c r="FZ115" i="54"/>
  <c r="GA115" i="54"/>
  <c r="FS115" i="54"/>
  <c r="FQ115" i="54"/>
  <c r="FT115" i="54"/>
  <c r="FO116" i="54"/>
  <c r="FN115" i="54"/>
  <c r="FP115" i="54" s="1"/>
  <c r="FK116" i="54" s="1"/>
  <c r="GJ116" i="54"/>
  <c r="GI115" i="54"/>
  <c r="GK115" i="54" s="1"/>
  <c r="GF116" i="54" s="1"/>
  <c r="DC257" i="54"/>
  <c r="DA257" i="54"/>
  <c r="DB258" i="54" s="1"/>
  <c r="FU115" i="54" l="1"/>
  <c r="FW115" i="54" s="1"/>
  <c r="FR116" i="54" s="1"/>
  <c r="FV116" i="54"/>
  <c r="GB115" i="54"/>
  <c r="GD115" i="54" s="1"/>
  <c r="FY116" i="54" s="1"/>
  <c r="GC116" i="54"/>
  <c r="GE116" i="54"/>
  <c r="GG116" i="54"/>
  <c r="GH116" i="54"/>
  <c r="FM116" i="54"/>
  <c r="FJ116" i="54"/>
  <c r="FL116" i="54"/>
  <c r="DC258" i="54"/>
  <c r="DA258" i="54"/>
  <c r="DB259" i="54" s="1"/>
  <c r="FZ116" i="54" l="1"/>
  <c r="FX116" i="54"/>
  <c r="GA116" i="54"/>
  <c r="GJ117" i="54"/>
  <c r="GI116" i="54"/>
  <c r="GK116" i="54" s="1"/>
  <c r="GF117" i="54" s="1"/>
  <c r="FO117" i="54"/>
  <c r="FN116" i="54"/>
  <c r="FP116" i="54" s="1"/>
  <c r="FK117" i="54" s="1"/>
  <c r="FQ116" i="54"/>
  <c r="FS116" i="54"/>
  <c r="FT116" i="54"/>
  <c r="DC259" i="54"/>
  <c r="DA259" i="54"/>
  <c r="DB260" i="54" s="1"/>
  <c r="FL117" i="54" l="1"/>
  <c r="FM117" i="54"/>
  <c r="FJ117" i="54"/>
  <c r="GG117" i="54"/>
  <c r="GE117" i="54"/>
  <c r="GH117" i="54"/>
  <c r="FU116" i="54"/>
  <c r="FW116" i="54" s="1"/>
  <c r="FR117" i="54" s="1"/>
  <c r="FV117" i="54"/>
  <c r="GB116" i="54"/>
  <c r="GD116" i="54" s="1"/>
  <c r="FY117" i="54" s="1"/>
  <c r="GC117" i="54"/>
  <c r="DC260" i="54"/>
  <c r="DA260" i="54"/>
  <c r="DB261" i="54" s="1"/>
  <c r="GJ118" i="54" l="1"/>
  <c r="GI117" i="54"/>
  <c r="GK117" i="54" s="1"/>
  <c r="GF118" i="54" s="1"/>
  <c r="FZ117" i="54"/>
  <c r="FX117" i="54"/>
  <c r="GA117" i="54"/>
  <c r="FQ117" i="54"/>
  <c r="FT117" i="54"/>
  <c r="FS117" i="54"/>
  <c r="FN117" i="54"/>
  <c r="FP117" i="54" s="1"/>
  <c r="FK118" i="54" s="1"/>
  <c r="FO118" i="54"/>
  <c r="DC261" i="54"/>
  <c r="DA261" i="54"/>
  <c r="DB262" i="54" s="1"/>
  <c r="FL118" i="54" l="1"/>
  <c r="FJ118" i="54"/>
  <c r="FM118" i="54"/>
  <c r="GB117" i="54"/>
  <c r="GD117" i="54" s="1"/>
  <c r="FY118" i="54" s="1"/>
  <c r="GC118" i="54"/>
  <c r="FV118" i="54"/>
  <c r="FU117" i="54"/>
  <c r="FW117" i="54" s="1"/>
  <c r="FR118" i="54" s="1"/>
  <c r="GE118" i="54"/>
  <c r="GH118" i="54"/>
  <c r="GG118" i="54"/>
  <c r="DC262" i="54"/>
  <c r="DA262" i="54"/>
  <c r="DB263" i="54" s="1"/>
  <c r="GA118" i="54" l="1"/>
  <c r="FZ118" i="54"/>
  <c r="FX118" i="54"/>
  <c r="GI118" i="54"/>
  <c r="GK118" i="54" s="1"/>
  <c r="GF119" i="54" s="1"/>
  <c r="GJ119" i="54"/>
  <c r="FQ118" i="54"/>
  <c r="FS118" i="54"/>
  <c r="FT118" i="54"/>
  <c r="FO119" i="54"/>
  <c r="FN118" i="54"/>
  <c r="FP118" i="54" s="1"/>
  <c r="FK119" i="54" s="1"/>
  <c r="DC263" i="54"/>
  <c r="DA263" i="54"/>
  <c r="DB264" i="54" s="1"/>
  <c r="GG119" i="54" l="1"/>
  <c r="GE119" i="54"/>
  <c r="GH119" i="54"/>
  <c r="FL119" i="54"/>
  <c r="FJ119" i="54"/>
  <c r="FM119" i="54"/>
  <c r="FV119" i="54"/>
  <c r="FU118" i="54"/>
  <c r="FW118" i="54" s="1"/>
  <c r="FR119" i="54" s="1"/>
  <c r="GC119" i="54"/>
  <c r="GB118" i="54"/>
  <c r="GD118" i="54" s="1"/>
  <c r="FY119" i="54" s="1"/>
  <c r="DC264" i="54"/>
  <c r="DA264" i="54"/>
  <c r="DB265" i="54" s="1"/>
  <c r="FX119" i="54" l="1"/>
  <c r="GA119" i="54"/>
  <c r="FZ119" i="54"/>
  <c r="FN119" i="54"/>
  <c r="FP119" i="54" s="1"/>
  <c r="FK120" i="54" s="1"/>
  <c r="FO120" i="54"/>
  <c r="FT119" i="54"/>
  <c r="FS119" i="54"/>
  <c r="FQ119" i="54"/>
  <c r="GJ120" i="54"/>
  <c r="GI119" i="54"/>
  <c r="GK119" i="54" s="1"/>
  <c r="GF120" i="54" s="1"/>
  <c r="DC265" i="54"/>
  <c r="DA265" i="54"/>
  <c r="DB266" i="54" s="1"/>
  <c r="GG120" i="54" l="1"/>
  <c r="GE120" i="54"/>
  <c r="GH120" i="54"/>
  <c r="FJ120" i="54"/>
  <c r="FM120" i="54"/>
  <c r="FL120" i="54"/>
  <c r="GB119" i="54"/>
  <c r="GD119" i="54" s="1"/>
  <c r="FY120" i="54" s="1"/>
  <c r="GC120" i="54"/>
  <c r="FV120" i="54"/>
  <c r="FU119" i="54"/>
  <c r="FW119" i="54" s="1"/>
  <c r="FR120" i="54" s="1"/>
  <c r="DC266" i="54"/>
  <c r="DA266" i="54"/>
  <c r="DB267" i="54" s="1"/>
  <c r="FO121" i="54" l="1"/>
  <c r="FN120" i="54"/>
  <c r="FP120" i="54" s="1"/>
  <c r="FK121" i="54" s="1"/>
  <c r="FX120" i="54"/>
  <c r="FZ120" i="54"/>
  <c r="GA120" i="54"/>
  <c r="FS120" i="54"/>
  <c r="FQ120" i="54"/>
  <c r="FT120" i="54"/>
  <c r="GJ121" i="54"/>
  <c r="GI120" i="54"/>
  <c r="GK120" i="54" s="1"/>
  <c r="GF121" i="54" s="1"/>
  <c r="DC267" i="54"/>
  <c r="DA267" i="54"/>
  <c r="DB268" i="54" s="1"/>
  <c r="FU120" i="54" l="1"/>
  <c r="FW120" i="54" s="1"/>
  <c r="FR121" i="54" s="1"/>
  <c r="FV121" i="54"/>
  <c r="GC121" i="54"/>
  <c r="GB120" i="54"/>
  <c r="GD120" i="54" s="1"/>
  <c r="FY121" i="54" s="1"/>
  <c r="GE121" i="54"/>
  <c r="GG121" i="54"/>
  <c r="GH121" i="54"/>
  <c r="FM121" i="54"/>
  <c r="FL121" i="54"/>
  <c r="FJ121" i="54"/>
  <c r="DC268" i="54"/>
  <c r="DC5" i="54" s="1" a="1"/>
  <c r="DC5" i="54" s="1"/>
  <c r="DA268" i="54"/>
  <c r="DA5" i="54" s="1" a="1"/>
  <c r="DA5" i="54" s="1"/>
  <c r="DB5" i="54" a="1"/>
  <c r="DB5" i="54" s="1"/>
  <c r="GJ122" i="54" l="1"/>
  <c r="GI121" i="54"/>
  <c r="FX121" i="54"/>
  <c r="FZ121" i="54"/>
  <c r="GA121" i="54"/>
  <c r="GK121" i="54"/>
  <c r="GF122" i="54" s="1"/>
  <c r="FO122" i="54"/>
  <c r="FN121" i="54"/>
  <c r="FP121" i="54" s="1"/>
  <c r="FK122" i="54" s="1"/>
  <c r="FQ121" i="54"/>
  <c r="FS121" i="54"/>
  <c r="FT121" i="54"/>
  <c r="GE122" i="54" l="1"/>
  <c r="GG122" i="54"/>
  <c r="GH122" i="54"/>
  <c r="GB121" i="54"/>
  <c r="GD121" i="54" s="1"/>
  <c r="FY122" i="54" s="1"/>
  <c r="GC122" i="54"/>
  <c r="FJ122" i="54"/>
  <c r="FM122" i="54"/>
  <c r="FL122" i="54"/>
  <c r="FV122" i="54"/>
  <c r="FU121" i="54"/>
  <c r="FW121" i="54" s="1"/>
  <c r="FR122" i="54" s="1"/>
  <c r="FX122" i="54" l="1"/>
  <c r="FZ122" i="54"/>
  <c r="GA122" i="54"/>
  <c r="FQ122" i="54"/>
  <c r="FT122" i="54"/>
  <c r="FS122" i="54"/>
  <c r="FN122" i="54"/>
  <c r="FP122" i="54" s="1"/>
  <c r="FK123" i="54" s="1"/>
  <c r="FO123" i="54"/>
  <c r="GI122" i="54"/>
  <c r="GK122" i="54" s="1"/>
  <c r="GF123" i="54" s="1"/>
  <c r="GJ123" i="54"/>
  <c r="FU122" i="54" l="1"/>
  <c r="FW122" i="54" s="1"/>
  <c r="FR123" i="54" s="1"/>
  <c r="FV123" i="54"/>
  <c r="GG123" i="54"/>
  <c r="GH123" i="54"/>
  <c r="GE123" i="54"/>
  <c r="GC123" i="54"/>
  <c r="GB122" i="54"/>
  <c r="GD122" i="54" s="1"/>
  <c r="FY123" i="54" s="1"/>
  <c r="FJ123" i="54"/>
  <c r="FM123" i="54"/>
  <c r="FL123" i="54"/>
  <c r="FZ123" i="54" l="1"/>
  <c r="FX123" i="54"/>
  <c r="GA123" i="54"/>
  <c r="FO124" i="54"/>
  <c r="FN123" i="54"/>
  <c r="FP123" i="54" s="1"/>
  <c r="FK124" i="54" s="1"/>
  <c r="GJ124" i="54"/>
  <c r="GI123" i="54"/>
  <c r="GK123" i="54" s="1"/>
  <c r="GF124" i="54" s="1"/>
  <c r="FS123" i="54"/>
  <c r="FT123" i="54"/>
  <c r="FQ123" i="54"/>
  <c r="FM124" i="54" l="1"/>
  <c r="FL124" i="54"/>
  <c r="FJ124" i="54"/>
  <c r="FV124" i="54"/>
  <c r="FU123" i="54"/>
  <c r="FW123" i="54" s="1"/>
  <c r="FR124" i="54" s="1"/>
  <c r="GE124" i="54"/>
  <c r="GG124" i="54"/>
  <c r="GH124" i="54"/>
  <c r="GC124" i="54"/>
  <c r="GB123" i="54"/>
  <c r="GD123" i="54" s="1"/>
  <c r="FY124" i="54" s="1"/>
  <c r="GA124" i="54" l="1"/>
  <c r="FZ124" i="54"/>
  <c r="FX124" i="54"/>
  <c r="FS124" i="54"/>
  <c r="FQ124" i="54"/>
  <c r="FT124" i="54"/>
  <c r="FO125" i="54"/>
  <c r="FN124" i="54"/>
  <c r="GJ125" i="54"/>
  <c r="GI124" i="54"/>
  <c r="GK124" i="54" s="1"/>
  <c r="GF125" i="54" s="1"/>
  <c r="FP124" i="54"/>
  <c r="FK125" i="54" s="1"/>
  <c r="FV125" i="54" l="1"/>
  <c r="FU124" i="54"/>
  <c r="FW124" i="54" s="1"/>
  <c r="FR125" i="54" s="1"/>
  <c r="FL125" i="54"/>
  <c r="FM125" i="54"/>
  <c r="FJ125" i="54"/>
  <c r="GC125" i="54"/>
  <c r="GB124" i="54"/>
  <c r="GD124" i="54" s="1"/>
  <c r="FY125" i="54" s="1"/>
  <c r="GE125" i="54"/>
  <c r="GG125" i="54"/>
  <c r="GH125" i="54"/>
  <c r="GA125" i="54" l="1"/>
  <c r="FZ125" i="54"/>
  <c r="FX125" i="54"/>
  <c r="GJ126" i="54"/>
  <c r="GI125" i="54"/>
  <c r="GK125" i="54" s="1"/>
  <c r="GF126" i="54" s="1"/>
  <c r="FO126" i="54"/>
  <c r="FN125" i="54"/>
  <c r="FP125" i="54" s="1"/>
  <c r="FK126" i="54" s="1"/>
  <c r="FT125" i="54"/>
  <c r="FS125" i="54"/>
  <c r="FQ125" i="54"/>
  <c r="FL126" i="54" l="1"/>
  <c r="FM126" i="54"/>
  <c r="FJ126" i="54"/>
  <c r="GE126" i="54"/>
  <c r="GG126" i="54"/>
  <c r="GH126" i="54"/>
  <c r="FV126" i="54"/>
  <c r="FU125" i="54"/>
  <c r="FW125" i="54" s="1"/>
  <c r="FR126" i="54" s="1"/>
  <c r="GC126" i="54"/>
  <c r="GB125" i="54"/>
  <c r="GD125" i="54" s="1"/>
  <c r="FY126" i="54" s="1"/>
  <c r="GI126" i="54" l="1"/>
  <c r="GK126" i="54" s="1"/>
  <c r="GF127" i="54" s="1"/>
  <c r="GJ127" i="54"/>
  <c r="GA126" i="54"/>
  <c r="FX126" i="54"/>
  <c r="FZ126" i="54"/>
  <c r="FQ126" i="54"/>
  <c r="FT126" i="54"/>
  <c r="FS126" i="54"/>
  <c r="FO127" i="54"/>
  <c r="FN126" i="54"/>
  <c r="FP126" i="54" s="1"/>
  <c r="FK127" i="54" s="1"/>
  <c r="GC127" i="54" l="1"/>
  <c r="GB126" i="54"/>
  <c r="FJ127" i="54"/>
  <c r="FM127" i="54"/>
  <c r="FL127" i="54"/>
  <c r="GD126" i="54"/>
  <c r="FY127" i="54" s="1"/>
  <c r="FV127" i="54"/>
  <c r="FU126" i="54"/>
  <c r="FW126" i="54" s="1"/>
  <c r="FR127" i="54" s="1"/>
  <c r="GH127" i="54"/>
  <c r="GE127" i="54"/>
  <c r="GG127" i="54"/>
  <c r="GA127" i="54" l="1"/>
  <c r="FZ127" i="54"/>
  <c r="FX127" i="54"/>
  <c r="FO128" i="54"/>
  <c r="FN127" i="54"/>
  <c r="FP127" i="54" s="1"/>
  <c r="FK128" i="54" s="1"/>
  <c r="GI127" i="54"/>
  <c r="GK127" i="54" s="1"/>
  <c r="GF128" i="54" s="1"/>
  <c r="GJ128" i="54"/>
  <c r="FQ127" i="54"/>
  <c r="FS127" i="54"/>
  <c r="FT127" i="54"/>
  <c r="FJ128" i="54" l="1"/>
  <c r="FL128" i="54"/>
  <c r="FM128" i="54"/>
  <c r="FV128" i="54"/>
  <c r="FU127" i="54"/>
  <c r="FW127" i="54" s="1"/>
  <c r="FR128" i="54" s="1"/>
  <c r="GC128" i="54"/>
  <c r="GB127" i="54"/>
  <c r="GD127" i="54" s="1"/>
  <c r="FY128" i="54" s="1"/>
  <c r="GE128" i="54"/>
  <c r="GG128" i="54"/>
  <c r="GH128" i="54"/>
  <c r="FT128" i="54" l="1"/>
  <c r="FQ128" i="54"/>
  <c r="FS128" i="54"/>
  <c r="GJ129" i="54"/>
  <c r="GI128" i="54"/>
  <c r="GK128" i="54" s="1"/>
  <c r="GF129" i="54" s="1"/>
  <c r="FO129" i="54"/>
  <c r="FN128" i="54"/>
  <c r="FP128" i="54" s="1"/>
  <c r="FK129" i="54" s="1"/>
  <c r="GA128" i="54"/>
  <c r="FZ128" i="54"/>
  <c r="FX128" i="54"/>
  <c r="GB128" i="54" l="1"/>
  <c r="GD128" i="54" s="1"/>
  <c r="FY129" i="54" s="1"/>
  <c r="GC129" i="54"/>
  <c r="FL129" i="54"/>
  <c r="FJ129" i="54"/>
  <c r="FM129" i="54"/>
  <c r="GG129" i="54"/>
  <c r="GE129" i="54"/>
  <c r="GH129" i="54"/>
  <c r="FU128" i="54"/>
  <c r="FW128" i="54" s="1"/>
  <c r="FR129" i="54" s="1"/>
  <c r="FV129" i="54"/>
  <c r="FZ129" i="54" l="1"/>
  <c r="GA129" i="54"/>
  <c r="FX129" i="54"/>
  <c r="FQ129" i="54"/>
  <c r="FT129" i="54"/>
  <c r="FS129" i="54"/>
  <c r="FN129" i="54"/>
  <c r="FP129" i="54" s="1"/>
  <c r="FK130" i="54" s="1"/>
  <c r="FO130" i="54"/>
  <c r="GI129" i="54"/>
  <c r="GK129" i="54" s="1"/>
  <c r="GF130" i="54" s="1"/>
  <c r="GJ130" i="54"/>
  <c r="GG130" i="54" l="1"/>
  <c r="GE130" i="54"/>
  <c r="GH130" i="54"/>
  <c r="FV130" i="54"/>
  <c r="FU129" i="54"/>
  <c r="FW129" i="54" s="1"/>
  <c r="FR130" i="54" s="1"/>
  <c r="FL130" i="54"/>
  <c r="FJ130" i="54"/>
  <c r="FM130" i="54"/>
  <c r="GC130" i="54"/>
  <c r="GB129" i="54"/>
  <c r="GD129" i="54" s="1"/>
  <c r="FY130" i="54" s="1"/>
  <c r="FX130" i="54" l="1"/>
  <c r="GA130" i="54"/>
  <c r="FZ130" i="54"/>
  <c r="FO131" i="54"/>
  <c r="FN130" i="54"/>
  <c r="FP130" i="54" s="1"/>
  <c r="FK131" i="54" s="1"/>
  <c r="FQ130" i="54"/>
  <c r="FT130" i="54"/>
  <c r="FS130" i="54"/>
  <c r="GJ131" i="54"/>
  <c r="GI130" i="54"/>
  <c r="GK130" i="54" s="1"/>
  <c r="GF131" i="54" s="1"/>
  <c r="FJ131" i="54" l="1"/>
  <c r="FM131" i="54"/>
  <c r="FL131" i="54"/>
  <c r="GE131" i="54"/>
  <c r="GG131" i="54"/>
  <c r="GH131" i="54"/>
  <c r="GB130" i="54"/>
  <c r="GC131" i="54"/>
  <c r="FV131" i="54"/>
  <c r="FU130" i="54"/>
  <c r="FW130" i="54" s="1"/>
  <c r="FR131" i="54" s="1"/>
  <c r="GD130" i="54"/>
  <c r="FY131" i="54" s="1"/>
  <c r="GJ132" i="54" l="1"/>
  <c r="GI131" i="54"/>
  <c r="GK131" i="54" s="1"/>
  <c r="GF132" i="54" s="1"/>
  <c r="FT131" i="54"/>
  <c r="FS131" i="54"/>
  <c r="FQ131" i="54"/>
  <c r="FO132" i="54"/>
  <c r="FN131" i="54"/>
  <c r="FP131" i="54" s="1"/>
  <c r="FK132" i="54" s="1"/>
  <c r="FZ131" i="54"/>
  <c r="FX131" i="54"/>
  <c r="GA131" i="54"/>
  <c r="FJ132" i="54" l="1"/>
  <c r="FM132" i="54"/>
  <c r="FL132" i="54"/>
  <c r="FV132" i="54"/>
  <c r="FU131" i="54"/>
  <c r="FW131" i="54" s="1"/>
  <c r="FR132" i="54" s="1"/>
  <c r="GE132" i="54"/>
  <c r="GG132" i="54"/>
  <c r="GH132" i="54"/>
  <c r="GB131" i="54"/>
  <c r="GD131" i="54" s="1"/>
  <c r="FY132" i="54" s="1"/>
  <c r="GC132" i="54"/>
  <c r="FX132" i="54" l="1"/>
  <c r="FZ132" i="54"/>
  <c r="GA132" i="54"/>
  <c r="FQ132" i="54"/>
  <c r="FS132" i="54"/>
  <c r="FT132" i="54"/>
  <c r="FO133" i="54"/>
  <c r="FN132" i="54"/>
  <c r="FP132" i="54" s="1"/>
  <c r="FK133" i="54" s="1"/>
  <c r="GI132" i="54"/>
  <c r="GK132" i="54" s="1"/>
  <c r="GF133" i="54" s="1"/>
  <c r="GJ133" i="54"/>
  <c r="FU132" i="54" l="1"/>
  <c r="FW132" i="54" s="1"/>
  <c r="FR133" i="54" s="1"/>
  <c r="FV133" i="54"/>
  <c r="GE133" i="54"/>
  <c r="GG133" i="54"/>
  <c r="GH133" i="54"/>
  <c r="GC133" i="54"/>
  <c r="GB132" i="54"/>
  <c r="GD132" i="54" s="1"/>
  <c r="FY133" i="54" s="1"/>
  <c r="FM133" i="54"/>
  <c r="FJ133" i="54"/>
  <c r="FL133" i="54"/>
  <c r="FX133" i="54" l="1"/>
  <c r="GA133" i="54"/>
  <c r="FZ133" i="54"/>
  <c r="GJ134" i="54"/>
  <c r="GI133" i="54"/>
  <c r="GK133" i="54" s="1"/>
  <c r="GF134" i="54" s="1"/>
  <c r="FO134" i="54"/>
  <c r="FN133" i="54"/>
  <c r="FP133" i="54" s="1"/>
  <c r="FK134" i="54" s="1"/>
  <c r="FS133" i="54"/>
  <c r="FT133" i="54"/>
  <c r="FQ133" i="54"/>
  <c r="GE134" i="54" l="1"/>
  <c r="GG134" i="54"/>
  <c r="GH134" i="54"/>
  <c r="FM134" i="54"/>
  <c r="FL134" i="54"/>
  <c r="FJ134" i="54"/>
  <c r="GB133" i="54"/>
  <c r="GD133" i="54" s="1"/>
  <c r="FY134" i="54" s="1"/>
  <c r="GC134" i="54"/>
  <c r="FU133" i="54"/>
  <c r="FW133" i="54" s="1"/>
  <c r="FR134" i="54" s="1"/>
  <c r="FV134" i="54"/>
  <c r="FO135" i="54" l="1"/>
  <c r="FN134" i="54"/>
  <c r="FP134" i="54" s="1"/>
  <c r="FK135" i="54" s="1"/>
  <c r="FS134" i="54"/>
  <c r="FQ134" i="54"/>
  <c r="FT134" i="54"/>
  <c r="GK134" i="54"/>
  <c r="GF135" i="54" s="1"/>
  <c r="GI134" i="54"/>
  <c r="GJ135" i="54"/>
  <c r="FZ134" i="54"/>
  <c r="GA134" i="54"/>
  <c r="FX134" i="54"/>
  <c r="GG135" i="54" l="1"/>
  <c r="GE135" i="54"/>
  <c r="GH135" i="54"/>
  <c r="FU134" i="54"/>
  <c r="FW134" i="54" s="1"/>
  <c r="FR135" i="54" s="1"/>
  <c r="FV135" i="54"/>
  <c r="FJ135" i="54"/>
  <c r="FL135" i="54"/>
  <c r="FM135" i="54"/>
  <c r="GB134" i="54"/>
  <c r="GD134" i="54" s="1"/>
  <c r="FY135" i="54" s="1"/>
  <c r="GC135" i="54"/>
  <c r="FX135" i="54" l="1"/>
  <c r="FZ135" i="54"/>
  <c r="GA135" i="54"/>
  <c r="FS135" i="54"/>
  <c r="FQ135" i="54"/>
  <c r="FT135" i="54"/>
  <c r="FO136" i="54"/>
  <c r="FN135" i="54"/>
  <c r="FP135" i="54" s="1"/>
  <c r="FK136" i="54" s="1"/>
  <c r="GJ136" i="54"/>
  <c r="GI135" i="54"/>
  <c r="GK135" i="54" s="1"/>
  <c r="GF136" i="54" s="1"/>
  <c r="FL136" i="54" l="1"/>
  <c r="FM136" i="54"/>
  <c r="FJ136" i="54"/>
  <c r="FV136" i="54"/>
  <c r="FU135" i="54"/>
  <c r="FW135" i="54" s="1"/>
  <c r="FR136" i="54" s="1"/>
  <c r="GH136" i="54"/>
  <c r="GG136" i="54"/>
  <c r="GE136" i="54"/>
  <c r="GC136" i="54"/>
  <c r="GB135" i="54"/>
  <c r="GD135" i="54" s="1"/>
  <c r="FY136" i="54" s="1"/>
  <c r="FZ136" i="54" l="1"/>
  <c r="FX136" i="54"/>
  <c r="GA136" i="54"/>
  <c r="FQ136" i="54"/>
  <c r="FT136" i="54"/>
  <c r="FS136" i="54"/>
  <c r="GJ137" i="54"/>
  <c r="GI136" i="54"/>
  <c r="GK136" i="54" s="1"/>
  <c r="GF137" i="54" s="1"/>
  <c r="FO137" i="54"/>
  <c r="FN136" i="54"/>
  <c r="FP136" i="54" s="1"/>
  <c r="FK137" i="54" s="1"/>
  <c r="FV137" i="54" l="1"/>
  <c r="FU136" i="54"/>
  <c r="FW136" i="54" s="1"/>
  <c r="FR137" i="54" s="1"/>
  <c r="FJ137" i="54"/>
  <c r="FM137" i="54"/>
  <c r="FL137" i="54"/>
  <c r="GG137" i="54"/>
  <c r="GH137" i="54"/>
  <c r="GE137" i="54"/>
  <c r="GB136" i="54"/>
  <c r="GD136" i="54" s="1"/>
  <c r="FY137" i="54" s="1"/>
  <c r="GC137" i="54"/>
  <c r="GA137" i="54" l="1"/>
  <c r="FZ137" i="54"/>
  <c r="FX137" i="54"/>
  <c r="GJ138" i="54"/>
  <c r="GI137" i="54"/>
  <c r="GK137" i="54" s="1"/>
  <c r="GF138" i="54" s="1"/>
  <c r="FN137" i="54"/>
  <c r="FP137" i="54" s="1"/>
  <c r="FK138" i="54" s="1"/>
  <c r="FO138" i="54"/>
  <c r="FS137" i="54"/>
  <c r="FQ137" i="54"/>
  <c r="FT137" i="54"/>
  <c r="FL138" i="54" l="1"/>
  <c r="FJ138" i="54"/>
  <c r="FM138" i="54"/>
  <c r="GE138" i="54"/>
  <c r="GG138" i="54"/>
  <c r="GH138" i="54"/>
  <c r="FU137" i="54"/>
  <c r="FW137" i="54" s="1"/>
  <c r="FR138" i="54" s="1"/>
  <c r="FV138" i="54"/>
  <c r="GB137" i="54"/>
  <c r="GC138" i="54"/>
  <c r="GD137" i="54"/>
  <c r="FY138" i="54" s="1"/>
  <c r="FQ138" i="54" l="1"/>
  <c r="FS138" i="54"/>
  <c r="FT138" i="54"/>
  <c r="GJ139" i="54"/>
  <c r="GI138" i="54"/>
  <c r="GK138" i="54" s="1"/>
  <c r="GF139" i="54" s="1"/>
  <c r="FX138" i="54"/>
  <c r="FZ138" i="54"/>
  <c r="GA138" i="54"/>
  <c r="FN138" i="54"/>
  <c r="FP138" i="54" s="1"/>
  <c r="FK139" i="54" s="1"/>
  <c r="FO139" i="54"/>
  <c r="GE139" i="54" l="1"/>
  <c r="GG139" i="54"/>
  <c r="GH139" i="54"/>
  <c r="FL139" i="54"/>
  <c r="FJ139" i="54"/>
  <c r="FM139" i="54"/>
  <c r="GC139" i="54"/>
  <c r="GB138" i="54"/>
  <c r="GD138" i="54" s="1"/>
  <c r="FY139" i="54" s="1"/>
  <c r="FV139" i="54"/>
  <c r="FU138" i="54"/>
  <c r="FW138" i="54" s="1"/>
  <c r="FR139" i="54" s="1"/>
  <c r="FX139" i="54" l="1"/>
  <c r="FZ139" i="54"/>
  <c r="GA139" i="54"/>
  <c r="FO140" i="54"/>
  <c r="FN139" i="54"/>
  <c r="FP139" i="54" s="1"/>
  <c r="FK140" i="54" s="1"/>
  <c r="GJ140" i="54"/>
  <c r="GI139" i="54"/>
  <c r="GK139" i="54" s="1"/>
  <c r="GF140" i="54" s="1"/>
  <c r="FT139" i="54"/>
  <c r="FQ139" i="54"/>
  <c r="FS139" i="54"/>
  <c r="FJ140" i="54" l="1"/>
  <c r="FL140" i="54"/>
  <c r="FM140" i="54"/>
  <c r="FV140" i="54"/>
  <c r="FU139" i="54"/>
  <c r="FW139" i="54" s="1"/>
  <c r="FR140" i="54" s="1"/>
  <c r="GB139" i="54"/>
  <c r="GD139" i="54" s="1"/>
  <c r="FY140" i="54" s="1"/>
  <c r="GC140" i="54"/>
  <c r="GE140" i="54"/>
  <c r="GG140" i="54"/>
  <c r="GH140" i="54"/>
  <c r="FZ140" i="54" l="1"/>
  <c r="GA140" i="54"/>
  <c r="FX140" i="54"/>
  <c r="FT140" i="54"/>
  <c r="FQ140" i="54"/>
  <c r="FS140" i="54"/>
  <c r="GI140" i="54"/>
  <c r="GK140" i="54" s="1"/>
  <c r="GF141" i="54" s="1"/>
  <c r="GJ141" i="54"/>
  <c r="FO141" i="54"/>
  <c r="FN140" i="54"/>
  <c r="FP140" i="54" s="1"/>
  <c r="FK141" i="54" s="1"/>
  <c r="GG141" i="54" l="1"/>
  <c r="GE141" i="54"/>
  <c r="GH141" i="54"/>
  <c r="FV141" i="54"/>
  <c r="FU140" i="54"/>
  <c r="FW140" i="54" s="1"/>
  <c r="FR141" i="54" s="1"/>
  <c r="FL141" i="54"/>
  <c r="FJ141" i="54"/>
  <c r="FM141" i="54"/>
  <c r="GB140" i="54"/>
  <c r="GD140" i="54" s="1"/>
  <c r="FY141" i="54" s="1"/>
  <c r="GC141" i="54"/>
  <c r="FX141" i="54" l="1"/>
  <c r="GA141" i="54"/>
  <c r="FZ141" i="54"/>
  <c r="FO142" i="54"/>
  <c r="FN141" i="54"/>
  <c r="FP141" i="54" s="1"/>
  <c r="FK142" i="54" s="1"/>
  <c r="FT141" i="54"/>
  <c r="FQ141" i="54"/>
  <c r="FS141" i="54"/>
  <c r="GJ142" i="54"/>
  <c r="GI141" i="54"/>
  <c r="GK141" i="54" s="1"/>
  <c r="GF142" i="54" s="1"/>
  <c r="FL142" i="54" l="1"/>
  <c r="FJ142" i="54"/>
  <c r="FM142" i="54"/>
  <c r="GH142" i="54"/>
  <c r="GG142" i="54"/>
  <c r="GE142" i="54"/>
  <c r="GC142" i="54"/>
  <c r="GB141" i="54"/>
  <c r="FV142" i="54"/>
  <c r="FU141" i="54"/>
  <c r="FW141" i="54" s="1"/>
  <c r="FR142" i="54" s="1"/>
  <c r="GD141" i="54"/>
  <c r="FY142" i="54" s="1"/>
  <c r="GJ143" i="54" l="1"/>
  <c r="GI142" i="54"/>
  <c r="FQ142" i="54"/>
  <c r="FT142" i="54"/>
  <c r="FS142" i="54"/>
  <c r="GK142" i="54"/>
  <c r="GF143" i="54" s="1"/>
  <c r="FZ142" i="54"/>
  <c r="FX142" i="54"/>
  <c r="GA142" i="54"/>
  <c r="FO143" i="54"/>
  <c r="FN142" i="54"/>
  <c r="FP142" i="54" s="1"/>
  <c r="FK143" i="54" s="1"/>
  <c r="FL143" i="54" l="1"/>
  <c r="FJ143" i="54"/>
  <c r="FM143" i="54"/>
  <c r="GE143" i="54"/>
  <c r="GG143" i="54"/>
  <c r="GH143" i="54"/>
  <c r="FV143" i="54"/>
  <c r="FU142" i="54"/>
  <c r="FW142" i="54" s="1"/>
  <c r="FR143" i="54" s="1"/>
  <c r="GC143" i="54"/>
  <c r="GB142" i="54"/>
  <c r="GD142" i="54" s="1"/>
  <c r="FY143" i="54" s="1"/>
  <c r="FX143" i="54" l="1"/>
  <c r="GA143" i="54"/>
  <c r="FZ143" i="54"/>
  <c r="GJ144" i="54"/>
  <c r="GI143" i="54"/>
  <c r="GK143" i="54" s="1"/>
  <c r="GF144" i="54" s="1"/>
  <c r="FQ143" i="54"/>
  <c r="FT143" i="54"/>
  <c r="FS143" i="54"/>
  <c r="FO144" i="54"/>
  <c r="FN143" i="54"/>
  <c r="FP143" i="54" s="1"/>
  <c r="FK144" i="54" s="1"/>
  <c r="GG144" i="54" l="1"/>
  <c r="GH144" i="54"/>
  <c r="GE144" i="54"/>
  <c r="FJ144" i="54"/>
  <c r="FL144" i="54"/>
  <c r="FM144" i="54"/>
  <c r="FV144" i="54"/>
  <c r="FU143" i="54"/>
  <c r="FW143" i="54" s="1"/>
  <c r="FR144" i="54" s="1"/>
  <c r="GC144" i="54"/>
  <c r="GB143" i="54"/>
  <c r="GD143" i="54" s="1"/>
  <c r="FY144" i="54" s="1"/>
  <c r="FN144" i="54" l="1"/>
  <c r="FP144" i="54" s="1"/>
  <c r="FK145" i="54" s="1"/>
  <c r="FO145" i="54"/>
  <c r="GA144" i="54"/>
  <c r="FX144" i="54"/>
  <c r="FZ144" i="54"/>
  <c r="FQ144" i="54"/>
  <c r="FT144" i="54"/>
  <c r="FS144" i="54"/>
  <c r="GJ145" i="54"/>
  <c r="GI144" i="54"/>
  <c r="GK144" i="54" s="1"/>
  <c r="GF145" i="54" s="1"/>
  <c r="GC145" i="54" l="1"/>
  <c r="GB144" i="54"/>
  <c r="GD144" i="54" s="1"/>
  <c r="FY145" i="54" s="1"/>
  <c r="GG145" i="54"/>
  <c r="GH145" i="54"/>
  <c r="GE145" i="54"/>
  <c r="FV145" i="54"/>
  <c r="FU144" i="54"/>
  <c r="FW144" i="54" s="1"/>
  <c r="FR145" i="54" s="1"/>
  <c r="FL145" i="54"/>
  <c r="FJ145" i="54"/>
  <c r="FM145" i="54"/>
  <c r="GA145" i="54" l="1"/>
  <c r="FZ145" i="54"/>
  <c r="FX145" i="54"/>
  <c r="FN145" i="54"/>
  <c r="FP145" i="54" s="1"/>
  <c r="FK146" i="54" s="1"/>
  <c r="FO146" i="54"/>
  <c r="GJ146" i="54"/>
  <c r="GI145" i="54"/>
  <c r="GK145" i="54" s="1"/>
  <c r="GF146" i="54" s="1"/>
  <c r="FT145" i="54"/>
  <c r="FQ145" i="54"/>
  <c r="FS145" i="54"/>
  <c r="GE146" i="54" l="1"/>
  <c r="GG146" i="54"/>
  <c r="GH146" i="54"/>
  <c r="FV146" i="54"/>
  <c r="FU145" i="54"/>
  <c r="FW145" i="54" s="1"/>
  <c r="FR146" i="54" s="1"/>
  <c r="FM146" i="54"/>
  <c r="FJ146" i="54"/>
  <c r="FL146" i="54"/>
  <c r="GC146" i="54"/>
  <c r="GB145" i="54"/>
  <c r="GD145" i="54" s="1"/>
  <c r="FY146" i="54" s="1"/>
  <c r="FT146" i="54" l="1"/>
  <c r="FQ146" i="54"/>
  <c r="FS146" i="54"/>
  <c r="FX146" i="54"/>
  <c r="FZ146" i="54"/>
  <c r="GA146" i="54"/>
  <c r="GI146" i="54"/>
  <c r="GK146" i="54" s="1"/>
  <c r="GF147" i="54" s="1"/>
  <c r="GJ147" i="54"/>
  <c r="FN146" i="54"/>
  <c r="FP146" i="54" s="1"/>
  <c r="FK147" i="54" s="1"/>
  <c r="FO147" i="54"/>
  <c r="FM147" i="54" l="1"/>
  <c r="FL147" i="54"/>
  <c r="FJ147" i="54"/>
  <c r="GB146" i="54"/>
  <c r="GD146" i="54" s="1"/>
  <c r="FY147" i="54" s="1"/>
  <c r="GC147" i="54"/>
  <c r="FU146" i="54"/>
  <c r="FW146" i="54" s="1"/>
  <c r="FR147" i="54" s="1"/>
  <c r="FV147" i="54"/>
  <c r="GG147" i="54"/>
  <c r="GE147" i="54"/>
  <c r="GH147" i="54"/>
  <c r="FT147" i="54" l="1"/>
  <c r="FQ147" i="54"/>
  <c r="FS147" i="54"/>
  <c r="FZ147" i="54"/>
  <c r="GA147" i="54"/>
  <c r="FX147" i="54"/>
  <c r="GJ148" i="54"/>
  <c r="GI147" i="54"/>
  <c r="GK147" i="54" s="1"/>
  <c r="GF148" i="54" s="1"/>
  <c r="FO148" i="54"/>
  <c r="FN147" i="54"/>
  <c r="FP147" i="54" s="1"/>
  <c r="FK148" i="54" s="1"/>
  <c r="FM148" i="54" l="1"/>
  <c r="FL148" i="54"/>
  <c r="FJ148" i="54"/>
  <c r="GE148" i="54"/>
  <c r="GH148" i="54"/>
  <c r="GG148" i="54"/>
  <c r="GB147" i="54"/>
  <c r="GD147" i="54" s="1"/>
  <c r="FY148" i="54" s="1"/>
  <c r="GC148" i="54"/>
  <c r="FV148" i="54"/>
  <c r="FU147" i="54"/>
  <c r="FW147" i="54" s="1"/>
  <c r="FR148" i="54" s="1"/>
  <c r="FZ148" i="54" l="1"/>
  <c r="FX148" i="54"/>
  <c r="GA148" i="54"/>
  <c r="GJ149" i="54"/>
  <c r="GI148" i="54"/>
  <c r="GK148" i="54" s="1"/>
  <c r="GF149" i="54" s="1"/>
  <c r="FQ148" i="54"/>
  <c r="FT148" i="54"/>
  <c r="FS148" i="54"/>
  <c r="FO149" i="54"/>
  <c r="FN148" i="54"/>
  <c r="FP148" i="54" s="1"/>
  <c r="FK149" i="54" s="1"/>
  <c r="GE149" i="54" l="1"/>
  <c r="GG149" i="54"/>
  <c r="GH149" i="54"/>
  <c r="FL149" i="54"/>
  <c r="FJ149" i="54"/>
  <c r="FM149" i="54"/>
  <c r="FV149" i="54"/>
  <c r="FU148" i="54"/>
  <c r="FW148" i="54" s="1"/>
  <c r="FR149" i="54" s="1"/>
  <c r="GC149" i="54"/>
  <c r="GB148" i="54"/>
  <c r="GD148" i="54" s="1"/>
  <c r="FY149" i="54" s="1"/>
  <c r="FQ149" i="54" l="1"/>
  <c r="FT149" i="54"/>
  <c r="FS149" i="54"/>
  <c r="FO150" i="54"/>
  <c r="FN149" i="54"/>
  <c r="FP149" i="54" s="1"/>
  <c r="FK150" i="54" s="1"/>
  <c r="FZ149" i="54"/>
  <c r="GA149" i="54"/>
  <c r="FX149" i="54"/>
  <c r="GJ150" i="54"/>
  <c r="GI149" i="54"/>
  <c r="GK149" i="54" s="1"/>
  <c r="GF150" i="54" s="1"/>
  <c r="FL150" i="54" l="1"/>
  <c r="FJ150" i="54"/>
  <c r="FM150" i="54"/>
  <c r="GC150" i="54"/>
  <c r="GB149" i="54"/>
  <c r="GD149" i="54" s="1"/>
  <c r="FY150" i="54" s="1"/>
  <c r="GG150" i="54"/>
  <c r="GH150" i="54"/>
  <c r="GE150" i="54"/>
  <c r="FV150" i="54"/>
  <c r="FU149" i="54"/>
  <c r="FW149" i="54" s="1"/>
  <c r="FR150" i="54" s="1"/>
  <c r="GA150" i="54" l="1"/>
  <c r="FZ150" i="54"/>
  <c r="FX150" i="54"/>
  <c r="GJ151" i="54"/>
  <c r="GI150" i="54"/>
  <c r="GK150" i="54" s="1"/>
  <c r="GF151" i="54" s="1"/>
  <c r="FQ150" i="54"/>
  <c r="FT150" i="54"/>
  <c r="FS150" i="54"/>
  <c r="FO151" i="54"/>
  <c r="FN150" i="54"/>
  <c r="FP150" i="54" s="1"/>
  <c r="FK151" i="54" s="1"/>
  <c r="GE151" i="54" l="1"/>
  <c r="GG151" i="54"/>
  <c r="GH151" i="54"/>
  <c r="FL151" i="54"/>
  <c r="FJ151" i="54"/>
  <c r="FM151" i="54"/>
  <c r="FV151" i="54"/>
  <c r="FU150" i="54"/>
  <c r="FW150" i="54" s="1"/>
  <c r="FR151" i="54" s="1"/>
  <c r="GB150" i="54"/>
  <c r="GD150" i="54" s="1"/>
  <c r="FY151" i="54" s="1"/>
  <c r="GC151" i="54"/>
  <c r="FT151" i="54" l="1"/>
  <c r="FQ151" i="54"/>
  <c r="FS151" i="54"/>
  <c r="FX151" i="54"/>
  <c r="FZ151" i="54"/>
  <c r="GA151" i="54"/>
  <c r="FO152" i="54"/>
  <c r="FN151" i="54"/>
  <c r="FP151" i="54" s="1"/>
  <c r="FK152" i="54" s="1"/>
  <c r="GJ152" i="54"/>
  <c r="GI151" i="54"/>
  <c r="GK151" i="54" s="1"/>
  <c r="GF152" i="54" s="1"/>
  <c r="GG152" i="54" l="1"/>
  <c r="GH152" i="54"/>
  <c r="GE152" i="54"/>
  <c r="FL152" i="54"/>
  <c r="FJ152" i="54"/>
  <c r="FM152" i="54"/>
  <c r="GC152" i="54"/>
  <c r="GB151" i="54"/>
  <c r="GD151" i="54" s="1"/>
  <c r="FY152" i="54" s="1"/>
  <c r="FV152" i="54"/>
  <c r="FU151" i="54"/>
  <c r="FW151" i="54" s="1"/>
  <c r="FR152" i="54" s="1"/>
  <c r="FT152" i="54" l="1"/>
  <c r="FS152" i="54"/>
  <c r="FQ152" i="54"/>
  <c r="FO153" i="54"/>
  <c r="FN152" i="54"/>
  <c r="FP152" i="54" s="1"/>
  <c r="FK153" i="54" s="1"/>
  <c r="GA152" i="54"/>
  <c r="FX152" i="54"/>
  <c r="FZ152" i="54"/>
  <c r="GI152" i="54"/>
  <c r="GK152" i="54" s="1"/>
  <c r="GF153" i="54" s="1"/>
  <c r="GJ153" i="54"/>
  <c r="FM153" i="54" l="1"/>
  <c r="FL153" i="54"/>
  <c r="FJ153" i="54"/>
  <c r="GG153" i="54"/>
  <c r="GE153" i="54"/>
  <c r="GH153" i="54"/>
  <c r="FV153" i="54"/>
  <c r="FU152" i="54"/>
  <c r="FW152" i="54" s="1"/>
  <c r="FR153" i="54" s="1"/>
  <c r="GB152" i="54"/>
  <c r="GD152" i="54" s="1"/>
  <c r="FY153" i="54" s="1"/>
  <c r="GC153" i="54"/>
  <c r="GJ154" i="54" l="1"/>
  <c r="GI153" i="54"/>
  <c r="GK153" i="54" s="1"/>
  <c r="GF154" i="54" s="1"/>
  <c r="GA153" i="54"/>
  <c r="FZ153" i="54"/>
  <c r="FX153" i="54"/>
  <c r="FQ153" i="54"/>
  <c r="FT153" i="54"/>
  <c r="FS153" i="54"/>
  <c r="FO154" i="54"/>
  <c r="FN153" i="54"/>
  <c r="FP153" i="54" s="1"/>
  <c r="FK154" i="54" s="1"/>
  <c r="FL154" i="54" l="1"/>
  <c r="FJ154" i="54"/>
  <c r="FM154" i="54"/>
  <c r="GG154" i="54"/>
  <c r="GE154" i="54"/>
  <c r="GH154" i="54"/>
  <c r="GC154" i="54"/>
  <c r="GB153" i="54"/>
  <c r="GD153" i="54" s="1"/>
  <c r="FY154" i="54" s="1"/>
  <c r="FV154" i="54"/>
  <c r="FU153" i="54"/>
  <c r="FW153" i="54" s="1"/>
  <c r="FR154" i="54" s="1"/>
  <c r="FS154" i="54" l="1"/>
  <c r="FQ154" i="54"/>
  <c r="FT154" i="54"/>
  <c r="GI154" i="54"/>
  <c r="GK154" i="54" s="1"/>
  <c r="GF155" i="54" s="1"/>
  <c r="GJ155" i="54"/>
  <c r="FZ154" i="54"/>
  <c r="FX154" i="54"/>
  <c r="GA154" i="54"/>
  <c r="FN154" i="54"/>
  <c r="FP154" i="54" s="1"/>
  <c r="FK155" i="54" s="1"/>
  <c r="FO155" i="54"/>
  <c r="FL155" i="54" l="1"/>
  <c r="FJ155" i="54"/>
  <c r="FM155" i="54"/>
  <c r="GC155" i="54"/>
  <c r="GB154" i="54"/>
  <c r="GD154" i="54" s="1"/>
  <c r="FY155" i="54" s="1"/>
  <c r="GE155" i="54"/>
  <c r="GG155" i="54"/>
  <c r="GH155" i="54"/>
  <c r="FU154" i="54"/>
  <c r="FW154" i="54" s="1"/>
  <c r="FR155" i="54" s="1"/>
  <c r="FV155" i="54"/>
  <c r="FX155" i="54" l="1"/>
  <c r="GA155" i="54"/>
  <c r="FZ155" i="54"/>
  <c r="FQ155" i="54"/>
  <c r="FT155" i="54"/>
  <c r="FS155" i="54"/>
  <c r="GJ156" i="54"/>
  <c r="GI155" i="54"/>
  <c r="GK155" i="54" s="1"/>
  <c r="GF156" i="54" s="1"/>
  <c r="FN155" i="54"/>
  <c r="FP155" i="54" s="1"/>
  <c r="FK156" i="54" s="1"/>
  <c r="FO156" i="54"/>
  <c r="FL156" i="54" l="1"/>
  <c r="FM156" i="54"/>
  <c r="FJ156" i="54"/>
  <c r="GG156" i="54"/>
  <c r="GH156" i="54"/>
  <c r="GE156" i="54"/>
  <c r="FU155" i="54"/>
  <c r="FW155" i="54" s="1"/>
  <c r="FR156" i="54" s="1"/>
  <c r="FV156" i="54"/>
  <c r="GB155" i="54"/>
  <c r="GD155" i="54" s="1"/>
  <c r="FY156" i="54" s="1"/>
  <c r="GC156" i="54"/>
  <c r="FX156" i="54" l="1"/>
  <c r="FZ156" i="54"/>
  <c r="GA156" i="54"/>
  <c r="GI156" i="54"/>
  <c r="GK156" i="54" s="1"/>
  <c r="GF157" i="54" s="1"/>
  <c r="GJ157" i="54"/>
  <c r="FT156" i="54"/>
  <c r="FQ156" i="54"/>
  <c r="FS156" i="54"/>
  <c r="FO157" i="54"/>
  <c r="FN156" i="54"/>
  <c r="FP156" i="54" s="1"/>
  <c r="FK157" i="54" s="1"/>
  <c r="FM157" i="54" l="1"/>
  <c r="FJ157" i="54"/>
  <c r="FL157" i="54"/>
  <c r="GE157" i="54"/>
  <c r="GG157" i="54"/>
  <c r="GH157" i="54"/>
  <c r="FU156" i="54"/>
  <c r="FW156" i="54" s="1"/>
  <c r="FR157" i="54" s="1"/>
  <c r="FV157" i="54"/>
  <c r="GC157" i="54"/>
  <c r="GB156" i="54"/>
  <c r="GD156" i="54" s="1"/>
  <c r="FY157" i="54" s="1"/>
  <c r="GI157" i="54" l="1"/>
  <c r="GK157" i="54" s="1"/>
  <c r="GF158" i="54" s="1"/>
  <c r="GJ158" i="54"/>
  <c r="FX157" i="54"/>
  <c r="FZ157" i="54"/>
  <c r="GA157" i="54"/>
  <c r="FO158" i="54"/>
  <c r="FN157" i="54"/>
  <c r="FP157" i="54" s="1"/>
  <c r="FK158" i="54" s="1"/>
  <c r="FS157" i="54"/>
  <c r="FQ157" i="54"/>
  <c r="FT157" i="54"/>
  <c r="GE158" i="54" l="1"/>
  <c r="GG158" i="54"/>
  <c r="GH158" i="54"/>
  <c r="FL158" i="54"/>
  <c r="FJ158" i="54"/>
  <c r="FM158" i="54"/>
  <c r="GB157" i="54"/>
  <c r="GD157" i="54" s="1"/>
  <c r="FY158" i="54" s="1"/>
  <c r="GC158" i="54"/>
  <c r="FU157" i="54"/>
  <c r="FW157" i="54" s="1"/>
  <c r="FR158" i="54" s="1"/>
  <c r="FV158" i="54"/>
  <c r="FN158" i="54" l="1"/>
  <c r="FP158" i="54" s="1"/>
  <c r="FK159" i="54" s="1"/>
  <c r="FO159" i="54"/>
  <c r="FS158" i="54"/>
  <c r="FT158" i="54"/>
  <c r="FQ158" i="54"/>
  <c r="GI158" i="54"/>
  <c r="GK158" i="54" s="1"/>
  <c r="GF159" i="54" s="1"/>
  <c r="GJ159" i="54"/>
  <c r="FZ158" i="54"/>
  <c r="GA158" i="54"/>
  <c r="FX158" i="54"/>
  <c r="GE159" i="54" l="1"/>
  <c r="GH159" i="54"/>
  <c r="GG159" i="54"/>
  <c r="FL159" i="54"/>
  <c r="FJ159" i="54"/>
  <c r="FM159" i="54"/>
  <c r="FV159" i="54"/>
  <c r="FU158" i="54"/>
  <c r="FW158" i="54" s="1"/>
  <c r="FR159" i="54" s="1"/>
  <c r="GC159" i="54"/>
  <c r="GB158" i="54"/>
  <c r="GD158" i="54" s="1"/>
  <c r="FY159" i="54" s="1"/>
  <c r="FX159" i="54" l="1"/>
  <c r="FZ159" i="54"/>
  <c r="GA159" i="54"/>
  <c r="FN159" i="54"/>
  <c r="FP159" i="54" s="1"/>
  <c r="FK160" i="54" s="1"/>
  <c r="FO160" i="54"/>
  <c r="GI159" i="54"/>
  <c r="GK159" i="54" s="1"/>
  <c r="GF160" i="54" s="1"/>
  <c r="GJ160" i="54"/>
  <c r="FQ159" i="54"/>
  <c r="FT159" i="54"/>
  <c r="FS159" i="54"/>
  <c r="FL160" i="54" l="1"/>
  <c r="FM160" i="54"/>
  <c r="FJ160" i="54"/>
  <c r="FV160" i="54"/>
  <c r="FU159" i="54"/>
  <c r="FW159" i="54" s="1"/>
  <c r="FR160" i="54" s="1"/>
  <c r="GC160" i="54"/>
  <c r="GB159" i="54"/>
  <c r="GD159" i="54" s="1"/>
  <c r="FY160" i="54" s="1"/>
  <c r="GE160" i="54"/>
  <c r="GG160" i="54"/>
  <c r="GH160" i="54"/>
  <c r="FS160" i="54" l="1"/>
  <c r="FQ160" i="54"/>
  <c r="FT160" i="54"/>
  <c r="GJ161" i="54"/>
  <c r="GI160" i="54"/>
  <c r="GK160" i="54" s="1"/>
  <c r="GF161" i="54" s="1"/>
  <c r="GA160" i="54"/>
  <c r="FZ160" i="54"/>
  <c r="FX160" i="54"/>
  <c r="FO161" i="54"/>
  <c r="FN160" i="54"/>
  <c r="FP160" i="54" s="1"/>
  <c r="FK161" i="54" s="1"/>
  <c r="GE161" i="54" l="1"/>
  <c r="GG161" i="54"/>
  <c r="GH161" i="54"/>
  <c r="FM161" i="54"/>
  <c r="FL161" i="54"/>
  <c r="FJ161" i="54"/>
  <c r="GB160" i="54"/>
  <c r="GD160" i="54" s="1"/>
  <c r="FY161" i="54" s="1"/>
  <c r="GC161" i="54"/>
  <c r="FU160" i="54"/>
  <c r="FW160" i="54" s="1"/>
  <c r="FR161" i="54" s="1"/>
  <c r="FV161" i="54"/>
  <c r="FO162" i="54" l="1"/>
  <c r="FN161" i="54"/>
  <c r="FP161" i="54" s="1"/>
  <c r="FK162" i="54" s="1"/>
  <c r="FQ161" i="54"/>
  <c r="FT161" i="54"/>
  <c r="FS161" i="54"/>
  <c r="GI161" i="54"/>
  <c r="GK161" i="54" s="1"/>
  <c r="GF162" i="54" s="1"/>
  <c r="GJ162" i="54"/>
  <c r="FZ161" i="54"/>
  <c r="FX161" i="54"/>
  <c r="GA161" i="54"/>
  <c r="GE162" i="54" l="1"/>
  <c r="GG162" i="54"/>
  <c r="GH162" i="54"/>
  <c r="FV162" i="54"/>
  <c r="FU161" i="54"/>
  <c r="FW161" i="54" s="1"/>
  <c r="FR162" i="54" s="1"/>
  <c r="FM162" i="54"/>
  <c r="FL162" i="54"/>
  <c r="FJ162" i="54"/>
  <c r="GB161" i="54"/>
  <c r="GD161" i="54" s="1"/>
  <c r="FY162" i="54" s="1"/>
  <c r="GC162" i="54"/>
  <c r="FS162" i="54" l="1"/>
  <c r="FQ162" i="54"/>
  <c r="FT162" i="54"/>
  <c r="FZ162" i="54"/>
  <c r="GA162" i="54"/>
  <c r="FX162" i="54"/>
  <c r="GJ163" i="54"/>
  <c r="GI162" i="54"/>
  <c r="GK162" i="54" s="1"/>
  <c r="GF163" i="54" s="1"/>
  <c r="FO163" i="54"/>
  <c r="FN162" i="54"/>
  <c r="FP162" i="54" s="1"/>
  <c r="FK163" i="54" s="1"/>
  <c r="FL163" i="54" l="1"/>
  <c r="FJ163" i="54"/>
  <c r="FM163" i="54"/>
  <c r="GE163" i="54"/>
  <c r="GG163" i="54"/>
  <c r="GH163" i="54"/>
  <c r="GC163" i="54"/>
  <c r="GB162" i="54"/>
  <c r="GD162" i="54" s="1"/>
  <c r="FY163" i="54" s="1"/>
  <c r="FV163" i="54"/>
  <c r="FU162" i="54"/>
  <c r="FW162" i="54" s="1"/>
  <c r="FR163" i="54" s="1"/>
  <c r="GJ164" i="54" l="1"/>
  <c r="GI163" i="54"/>
  <c r="GK163" i="54" s="1"/>
  <c r="GF164" i="54" s="1"/>
  <c r="FT163" i="54"/>
  <c r="FQ163" i="54"/>
  <c r="FS163" i="54"/>
  <c r="GA163" i="54"/>
  <c r="FX163" i="54"/>
  <c r="FZ163" i="54"/>
  <c r="FO164" i="54"/>
  <c r="FN163" i="54"/>
  <c r="FP163" i="54" s="1"/>
  <c r="FK164" i="54" s="1"/>
  <c r="FM164" i="54" l="1"/>
  <c r="FJ164" i="54"/>
  <c r="FL164" i="54"/>
  <c r="FU163" i="54"/>
  <c r="FW163" i="54" s="1"/>
  <c r="FR164" i="54" s="1"/>
  <c r="FV164" i="54"/>
  <c r="GE164" i="54"/>
  <c r="GG164" i="54"/>
  <c r="GH164" i="54"/>
  <c r="GB163" i="54"/>
  <c r="GD163" i="54" s="1"/>
  <c r="FY164" i="54" s="1"/>
  <c r="GC164" i="54"/>
  <c r="FQ164" i="54" l="1"/>
  <c r="FS164" i="54"/>
  <c r="FT164" i="54"/>
  <c r="FN164" i="54"/>
  <c r="FP164" i="54" s="1"/>
  <c r="FK165" i="54" s="1"/>
  <c r="FO165" i="54"/>
  <c r="FX164" i="54"/>
  <c r="FZ164" i="54"/>
  <c r="GA164" i="54"/>
  <c r="GI164" i="54"/>
  <c r="GK164" i="54" s="1"/>
  <c r="GF165" i="54" s="1"/>
  <c r="GJ165" i="54"/>
  <c r="GB164" i="54" l="1"/>
  <c r="GD164" i="54" s="1"/>
  <c r="FY165" i="54" s="1"/>
  <c r="GC165" i="54"/>
  <c r="GG165" i="54"/>
  <c r="GH165" i="54"/>
  <c r="GE165" i="54"/>
  <c r="FL165" i="54"/>
  <c r="FJ165" i="54"/>
  <c r="FM165" i="54"/>
  <c r="FU164" i="54"/>
  <c r="FW164" i="54" s="1"/>
  <c r="FR165" i="54" s="1"/>
  <c r="FV165" i="54"/>
  <c r="GA165" i="54" l="1"/>
  <c r="FZ165" i="54"/>
  <c r="FX165" i="54"/>
  <c r="FT165" i="54"/>
  <c r="FS165" i="54"/>
  <c r="FQ165" i="54"/>
  <c r="GJ166" i="54"/>
  <c r="GI165" i="54"/>
  <c r="GK165" i="54" s="1"/>
  <c r="GF166" i="54" s="1"/>
  <c r="FN165" i="54"/>
  <c r="FP165" i="54" s="1"/>
  <c r="FK166" i="54" s="1"/>
  <c r="FO166" i="54"/>
  <c r="FL166" i="54" l="1"/>
  <c r="FJ166" i="54"/>
  <c r="FM166" i="54"/>
  <c r="FU165" i="54"/>
  <c r="FW165" i="54" s="1"/>
  <c r="FR166" i="54" s="1"/>
  <c r="FV166" i="54"/>
  <c r="GC166" i="54"/>
  <c r="GB165" i="54"/>
  <c r="GD165" i="54" s="1"/>
  <c r="FY166" i="54" s="1"/>
  <c r="GE166" i="54"/>
  <c r="GH166" i="54"/>
  <c r="GG166" i="54"/>
  <c r="FQ166" i="54" l="1"/>
  <c r="FS166" i="54"/>
  <c r="FT166" i="54"/>
  <c r="FX166" i="54"/>
  <c r="FZ166" i="54"/>
  <c r="GA166" i="54"/>
  <c r="GI166" i="54"/>
  <c r="GK166" i="54" s="1"/>
  <c r="GF167" i="54" s="1"/>
  <c r="GJ167" i="54"/>
  <c r="FO167" i="54"/>
  <c r="FN166" i="54"/>
  <c r="FP166" i="54" s="1"/>
  <c r="FK167" i="54" s="1"/>
  <c r="GH167" i="54" l="1"/>
  <c r="GE167" i="54"/>
  <c r="GG167" i="54"/>
  <c r="FL167" i="54"/>
  <c r="FJ167" i="54"/>
  <c r="FM167" i="54"/>
  <c r="GC167" i="54"/>
  <c r="GB166" i="54"/>
  <c r="GD166" i="54" s="1"/>
  <c r="FY167" i="54" s="1"/>
  <c r="FV167" i="54"/>
  <c r="FU166" i="54"/>
  <c r="FW166" i="54" s="1"/>
  <c r="FR167" i="54" s="1"/>
  <c r="FN167" i="54" l="1"/>
  <c r="FP167" i="54" s="1"/>
  <c r="FK168" i="54" s="1"/>
  <c r="FO168" i="54"/>
  <c r="GJ168" i="54"/>
  <c r="GI167" i="54"/>
  <c r="GK167" i="54" s="1"/>
  <c r="GF168" i="54" s="1"/>
  <c r="FT167" i="54"/>
  <c r="FS167" i="54"/>
  <c r="FQ167" i="54"/>
  <c r="GA167" i="54"/>
  <c r="FX167" i="54"/>
  <c r="FZ167" i="54"/>
  <c r="FJ168" i="54" l="1"/>
  <c r="FM168" i="54"/>
  <c r="FL168" i="54"/>
  <c r="GG168" i="54"/>
  <c r="GH168" i="54"/>
  <c r="GE168" i="54"/>
  <c r="GC168" i="54"/>
  <c r="GB167" i="54"/>
  <c r="GD167" i="54" s="1"/>
  <c r="FY168" i="54" s="1"/>
  <c r="FU167" i="54"/>
  <c r="FW167" i="54" s="1"/>
  <c r="FR168" i="54" s="1"/>
  <c r="FV168" i="54"/>
  <c r="GJ169" i="54" l="1"/>
  <c r="GI168" i="54"/>
  <c r="GK168" i="54" s="1"/>
  <c r="GF169" i="54" s="1"/>
  <c r="FO169" i="54"/>
  <c r="FN168" i="54"/>
  <c r="FP168" i="54" s="1"/>
  <c r="FK169" i="54" s="1"/>
  <c r="FQ168" i="54"/>
  <c r="FS168" i="54"/>
  <c r="FT168" i="54"/>
  <c r="FX168" i="54"/>
  <c r="GA168" i="54"/>
  <c r="FZ168" i="54"/>
  <c r="FM169" i="54" l="1"/>
  <c r="FL169" i="54"/>
  <c r="FJ169" i="54"/>
  <c r="GG169" i="54"/>
  <c r="GH169" i="54"/>
  <c r="GE169" i="54"/>
  <c r="GC169" i="54"/>
  <c r="GB168" i="54"/>
  <c r="GD168" i="54" s="1"/>
  <c r="FY169" i="54" s="1"/>
  <c r="FU168" i="54"/>
  <c r="FW168" i="54" s="1"/>
  <c r="FR169" i="54" s="1"/>
  <c r="FV169" i="54"/>
  <c r="GJ170" i="54" l="1"/>
  <c r="GI169" i="54"/>
  <c r="GK169" i="54" s="1"/>
  <c r="GF170" i="54" s="1"/>
  <c r="FT169" i="54"/>
  <c r="FQ169" i="54"/>
  <c r="FS169" i="54"/>
  <c r="FO170" i="54"/>
  <c r="FN169" i="54"/>
  <c r="FP169" i="54" s="1"/>
  <c r="FK170" i="54" s="1"/>
  <c r="FX169" i="54"/>
  <c r="FZ169" i="54"/>
  <c r="GA169" i="54"/>
  <c r="GE170" i="54" l="1"/>
  <c r="GG170" i="54"/>
  <c r="GH170" i="54"/>
  <c r="FV170" i="54"/>
  <c r="FU169" i="54"/>
  <c r="FW169" i="54" s="1"/>
  <c r="FR170" i="54" s="1"/>
  <c r="FL170" i="54"/>
  <c r="FM170" i="54"/>
  <c r="FJ170" i="54"/>
  <c r="GC170" i="54"/>
  <c r="GB169" i="54"/>
  <c r="GD169" i="54" s="1"/>
  <c r="FY170" i="54" s="1"/>
  <c r="FN170" i="54" l="1"/>
  <c r="FP170" i="54" s="1"/>
  <c r="FK171" i="54" s="1"/>
  <c r="FO171" i="54"/>
  <c r="FT170" i="54"/>
  <c r="FQ170" i="54"/>
  <c r="FS170" i="54"/>
  <c r="GI170" i="54"/>
  <c r="GK170" i="54" s="1"/>
  <c r="GF171" i="54" s="1"/>
  <c r="GJ171" i="54"/>
  <c r="FX170" i="54"/>
  <c r="GA170" i="54"/>
  <c r="FZ170" i="54"/>
  <c r="GE171" i="54" l="1"/>
  <c r="GH171" i="54"/>
  <c r="GG171" i="54"/>
  <c r="FV171" i="54"/>
  <c r="FU170" i="54"/>
  <c r="FW170" i="54" s="1"/>
  <c r="FR171" i="54" s="1"/>
  <c r="GB170" i="54"/>
  <c r="GD170" i="54" s="1"/>
  <c r="FY171" i="54" s="1"/>
  <c r="GC171" i="54"/>
  <c r="FL171" i="54"/>
  <c r="FJ171" i="54"/>
  <c r="FM171" i="54"/>
  <c r="FX171" i="54" l="1"/>
  <c r="FZ171" i="54"/>
  <c r="GA171" i="54"/>
  <c r="FS171" i="54"/>
  <c r="FQ171" i="54"/>
  <c r="FT171" i="54"/>
  <c r="GI171" i="54"/>
  <c r="GK171" i="54" s="1"/>
  <c r="GF172" i="54" s="1"/>
  <c r="GJ172" i="54"/>
  <c r="FN171" i="54"/>
  <c r="FO172" i="54"/>
  <c r="FP171" i="54"/>
  <c r="FK172" i="54" s="1"/>
  <c r="FV172" i="54" l="1"/>
  <c r="FU171" i="54"/>
  <c r="FW171" i="54" s="1"/>
  <c r="FR172" i="54" s="1"/>
  <c r="FL172" i="54"/>
  <c r="FJ172" i="54"/>
  <c r="FM172" i="54"/>
  <c r="GB171" i="54"/>
  <c r="GD171" i="54" s="1"/>
  <c r="FY172" i="54" s="1"/>
  <c r="GC172" i="54"/>
  <c r="GE172" i="54"/>
  <c r="GH172" i="54"/>
  <c r="GG172" i="54"/>
  <c r="FZ172" i="54" l="1"/>
  <c r="FX172" i="54"/>
  <c r="GA172" i="54"/>
  <c r="GJ173" i="54"/>
  <c r="GI172" i="54"/>
  <c r="GK172" i="54" s="1"/>
  <c r="GF173" i="54" s="1"/>
  <c r="FO173" i="54"/>
  <c r="FN172" i="54"/>
  <c r="FP172" i="54" s="1"/>
  <c r="FK173" i="54" s="1"/>
  <c r="FT172" i="54"/>
  <c r="FS172" i="54"/>
  <c r="FQ172" i="54"/>
  <c r="GE173" i="54" l="1"/>
  <c r="GG173" i="54"/>
  <c r="GH173" i="54"/>
  <c r="FV173" i="54"/>
  <c r="FU172" i="54"/>
  <c r="FW172" i="54" s="1"/>
  <c r="FR173" i="54" s="1"/>
  <c r="FM173" i="54"/>
  <c r="FJ173" i="54"/>
  <c r="FL173" i="54"/>
  <c r="GC173" i="54"/>
  <c r="GB172" i="54"/>
  <c r="GD172" i="54" s="1"/>
  <c r="FY173" i="54" s="1"/>
  <c r="FQ173" i="54" l="1"/>
  <c r="FT173" i="54"/>
  <c r="FS173" i="54"/>
  <c r="FZ173" i="54"/>
  <c r="FX173" i="54"/>
  <c r="GA173" i="54"/>
  <c r="GJ174" i="54"/>
  <c r="GI173" i="54"/>
  <c r="GK173" i="54" s="1"/>
  <c r="GF174" i="54" s="1"/>
  <c r="FO174" i="54"/>
  <c r="FN173" i="54"/>
  <c r="FP173" i="54" s="1"/>
  <c r="FK174" i="54" s="1"/>
  <c r="GH174" i="54" l="1"/>
  <c r="GE174" i="54"/>
  <c r="GG174" i="54"/>
  <c r="FM174" i="54"/>
  <c r="FJ174" i="54"/>
  <c r="FL174" i="54"/>
  <c r="GC174" i="54"/>
  <c r="GB173" i="54"/>
  <c r="GD173" i="54" s="1"/>
  <c r="FY174" i="54" s="1"/>
  <c r="FV174" i="54"/>
  <c r="FU173" i="54"/>
  <c r="FW173" i="54" s="1"/>
  <c r="FR174" i="54" s="1"/>
  <c r="FO175" i="54" l="1"/>
  <c r="FN174" i="54"/>
  <c r="FP174" i="54" s="1"/>
  <c r="FK175" i="54" s="1"/>
  <c r="GJ175" i="54"/>
  <c r="GI174" i="54"/>
  <c r="GK174" i="54" s="1"/>
  <c r="GF175" i="54" s="1"/>
  <c r="FS174" i="54"/>
  <c r="FQ174" i="54"/>
  <c r="FT174" i="54"/>
  <c r="FZ174" i="54"/>
  <c r="GA174" i="54"/>
  <c r="FX174" i="54"/>
  <c r="FU174" i="54" l="1"/>
  <c r="FW174" i="54" s="1"/>
  <c r="FR175" i="54" s="1"/>
  <c r="FV175" i="54"/>
  <c r="GE175" i="54"/>
  <c r="GG175" i="54"/>
  <c r="GH175" i="54"/>
  <c r="GC175" i="54"/>
  <c r="GB174" i="54"/>
  <c r="GD174" i="54" s="1"/>
  <c r="FY175" i="54" s="1"/>
  <c r="FL175" i="54"/>
  <c r="FM175" i="54"/>
  <c r="FJ175" i="54"/>
  <c r="FX175" i="54" l="1"/>
  <c r="FZ175" i="54"/>
  <c r="GA175" i="54"/>
  <c r="FO176" i="54"/>
  <c r="FN175" i="54"/>
  <c r="FP175" i="54" s="1"/>
  <c r="FK176" i="54" s="1"/>
  <c r="GJ176" i="54"/>
  <c r="GI175" i="54"/>
  <c r="GK175" i="54" s="1"/>
  <c r="GF176" i="54" s="1"/>
  <c r="FQ175" i="54"/>
  <c r="FS175" i="54"/>
  <c r="FT175" i="54"/>
  <c r="FJ176" i="54" l="1"/>
  <c r="FL176" i="54"/>
  <c r="FM176" i="54"/>
  <c r="FV176" i="54"/>
  <c r="FU175" i="54"/>
  <c r="FW175" i="54" s="1"/>
  <c r="FR176" i="54" s="1"/>
  <c r="GC176" i="54"/>
  <c r="GB175" i="54"/>
  <c r="GD175" i="54" s="1"/>
  <c r="FY176" i="54" s="1"/>
  <c r="GE176" i="54"/>
  <c r="GG176" i="54"/>
  <c r="GH176" i="54"/>
  <c r="FS176" i="54" l="1"/>
  <c r="FT176" i="54"/>
  <c r="FQ176" i="54"/>
  <c r="GI176" i="54"/>
  <c r="GK176" i="54" s="1"/>
  <c r="GF177" i="54" s="1"/>
  <c r="GJ177" i="54"/>
  <c r="FO177" i="54"/>
  <c r="FN176" i="54"/>
  <c r="FP176" i="54" s="1"/>
  <c r="FK177" i="54" s="1"/>
  <c r="FZ176" i="54"/>
  <c r="GA176" i="54"/>
  <c r="FX176" i="54"/>
  <c r="GB176" i="54" l="1"/>
  <c r="GD176" i="54" s="1"/>
  <c r="FY177" i="54" s="1"/>
  <c r="GC177" i="54"/>
  <c r="FM177" i="54"/>
  <c r="FL177" i="54"/>
  <c r="FJ177" i="54"/>
  <c r="GH177" i="54"/>
  <c r="GG177" i="54"/>
  <c r="GE177" i="54"/>
  <c r="FU176" i="54"/>
  <c r="FW176" i="54" s="1"/>
  <c r="FR177" i="54" s="1"/>
  <c r="FV177" i="54"/>
  <c r="FO178" i="54" l="1"/>
  <c r="FN177" i="54"/>
  <c r="FP177" i="54" s="1"/>
  <c r="FK178" i="54" s="1"/>
  <c r="FZ177" i="54"/>
  <c r="GA177" i="54"/>
  <c r="FX177" i="54"/>
  <c r="FQ177" i="54"/>
  <c r="FT177" i="54"/>
  <c r="FS177" i="54"/>
  <c r="GJ178" i="54"/>
  <c r="GI177" i="54"/>
  <c r="GK177" i="54" s="1"/>
  <c r="GF178" i="54" s="1"/>
  <c r="GH178" i="54" l="1"/>
  <c r="GG178" i="54"/>
  <c r="GE178" i="54"/>
  <c r="FL178" i="54"/>
  <c r="FJ178" i="54"/>
  <c r="FM178" i="54"/>
  <c r="GC178" i="54"/>
  <c r="GB177" i="54"/>
  <c r="GD177" i="54" s="1"/>
  <c r="FY178" i="54" s="1"/>
  <c r="FV178" i="54"/>
  <c r="FU177" i="54"/>
  <c r="FW177" i="54" s="1"/>
  <c r="FR178" i="54" s="1"/>
  <c r="FX178" i="54" l="1"/>
  <c r="GA178" i="54"/>
  <c r="FZ178" i="54"/>
  <c r="FN178" i="54"/>
  <c r="FP178" i="54" s="1"/>
  <c r="FK179" i="54" s="1"/>
  <c r="FO179" i="54"/>
  <c r="FT178" i="54"/>
  <c r="FS178" i="54"/>
  <c r="FQ178" i="54"/>
  <c r="GJ179" i="54"/>
  <c r="GI178" i="54"/>
  <c r="GK178" i="54" s="1"/>
  <c r="GF179" i="54" s="1"/>
  <c r="GG179" i="54" l="1"/>
  <c r="GH179" i="54"/>
  <c r="GE179" i="54"/>
  <c r="FL179" i="54"/>
  <c r="FJ179" i="54"/>
  <c r="FM179" i="54"/>
  <c r="GB178" i="54"/>
  <c r="GD178" i="54" s="1"/>
  <c r="FY179" i="54" s="1"/>
  <c r="GC179" i="54"/>
  <c r="FV179" i="54"/>
  <c r="FU178" i="54"/>
  <c r="FW178" i="54" s="1"/>
  <c r="FR179" i="54" s="1"/>
  <c r="GA179" i="54" l="1"/>
  <c r="FX179" i="54"/>
  <c r="FZ179" i="54"/>
  <c r="FO180" i="54"/>
  <c r="FN179" i="54"/>
  <c r="FP179" i="54" s="1"/>
  <c r="FK180" i="54" s="1"/>
  <c r="FQ179" i="54"/>
  <c r="FT179" i="54"/>
  <c r="FS179" i="54"/>
  <c r="GJ180" i="54"/>
  <c r="GI179" i="54"/>
  <c r="GK179" i="54" s="1"/>
  <c r="GF180" i="54" s="1"/>
  <c r="GE180" i="54" l="1"/>
  <c r="GG180" i="54"/>
  <c r="GH180" i="54"/>
  <c r="FM180" i="54"/>
  <c r="FL180" i="54"/>
  <c r="FJ180" i="54"/>
  <c r="GC180" i="54"/>
  <c r="GB179" i="54"/>
  <c r="GD179" i="54" s="1"/>
  <c r="FY180" i="54" s="1"/>
  <c r="FU179" i="54"/>
  <c r="FW179" i="54" s="1"/>
  <c r="FR180" i="54" s="1"/>
  <c r="FV180" i="54"/>
  <c r="FO181" i="54" l="1"/>
  <c r="FN180" i="54"/>
  <c r="FP180" i="54" s="1"/>
  <c r="FK181" i="54" s="1"/>
  <c r="FX180" i="54"/>
  <c r="FZ180" i="54"/>
  <c r="GA180" i="54"/>
  <c r="FQ180" i="54"/>
  <c r="FS180" i="54"/>
  <c r="FT180" i="54"/>
  <c r="GI180" i="54"/>
  <c r="GK180" i="54" s="1"/>
  <c r="GF181" i="54" s="1"/>
  <c r="GJ181" i="54"/>
  <c r="FL181" i="54" l="1"/>
  <c r="FJ181" i="54"/>
  <c r="FM181" i="54"/>
  <c r="GB180" i="54"/>
  <c r="GD180" i="54" s="1"/>
  <c r="FY181" i="54" s="1"/>
  <c r="GC181" i="54"/>
  <c r="FU180" i="54"/>
  <c r="FW180" i="54" s="1"/>
  <c r="FR181" i="54" s="1"/>
  <c r="FV181" i="54"/>
  <c r="GE181" i="54"/>
  <c r="GG181" i="54"/>
  <c r="GH181" i="54"/>
  <c r="FT181" i="54" l="1"/>
  <c r="FS181" i="54"/>
  <c r="FQ181" i="54"/>
  <c r="GA181" i="54"/>
  <c r="FX181" i="54"/>
  <c r="FZ181" i="54"/>
  <c r="GI181" i="54"/>
  <c r="GK181" i="54" s="1"/>
  <c r="GF182" i="54" s="1"/>
  <c r="GJ182" i="54"/>
  <c r="FN181" i="54"/>
  <c r="FP181" i="54" s="1"/>
  <c r="FK182" i="54" s="1"/>
  <c r="FO182" i="54"/>
  <c r="GC182" i="54" l="1"/>
  <c r="GB181" i="54"/>
  <c r="GD181" i="54" s="1"/>
  <c r="FY182" i="54" s="1"/>
  <c r="FL182" i="54"/>
  <c r="FM182" i="54"/>
  <c r="FJ182" i="54"/>
  <c r="GE182" i="54"/>
  <c r="GG182" i="54"/>
  <c r="GH182" i="54"/>
  <c r="FV182" i="54"/>
  <c r="FU181" i="54"/>
  <c r="FW181" i="54" s="1"/>
  <c r="FR182" i="54" s="1"/>
  <c r="FT182" i="54" l="1"/>
  <c r="FQ182" i="54"/>
  <c r="FS182" i="54"/>
  <c r="FN182" i="54"/>
  <c r="FP182" i="54" s="1"/>
  <c r="FK183" i="54" s="1"/>
  <c r="FO183" i="54"/>
  <c r="FZ182" i="54"/>
  <c r="GA182" i="54"/>
  <c r="FX182" i="54"/>
  <c r="GI182" i="54"/>
  <c r="GK182" i="54" s="1"/>
  <c r="GF183" i="54" s="1"/>
  <c r="GJ183" i="54"/>
  <c r="GE183" i="54" l="1"/>
  <c r="GG183" i="54"/>
  <c r="GH183" i="54"/>
  <c r="GB182" i="54"/>
  <c r="GD182" i="54" s="1"/>
  <c r="FY183" i="54" s="1"/>
  <c r="GC183" i="54"/>
  <c r="FJ183" i="54"/>
  <c r="FL183" i="54"/>
  <c r="FM183" i="54"/>
  <c r="FU182" i="54"/>
  <c r="FW182" i="54" s="1"/>
  <c r="FR183" i="54" s="1"/>
  <c r="FV183" i="54"/>
  <c r="FZ183" i="54" l="1"/>
  <c r="GA183" i="54"/>
  <c r="FX183" i="54"/>
  <c r="FS183" i="54"/>
  <c r="FQ183" i="54"/>
  <c r="FT183" i="54"/>
  <c r="GJ184" i="54"/>
  <c r="GI183" i="54"/>
  <c r="GK183" i="54" s="1"/>
  <c r="GF184" i="54" s="1"/>
  <c r="FO184" i="54"/>
  <c r="FN183" i="54"/>
  <c r="FP183" i="54" s="1"/>
  <c r="FK184" i="54" s="1"/>
  <c r="FL184" i="54" l="1"/>
  <c r="FJ184" i="54"/>
  <c r="FM184" i="54"/>
  <c r="FU183" i="54"/>
  <c r="FW183" i="54" s="1"/>
  <c r="FR184" i="54" s="1"/>
  <c r="FV184" i="54"/>
  <c r="GH184" i="54"/>
  <c r="GG184" i="54"/>
  <c r="GE184" i="54"/>
  <c r="GC184" i="54"/>
  <c r="GB183" i="54"/>
  <c r="GD183" i="54" s="1"/>
  <c r="FY184" i="54" s="1"/>
  <c r="FT184" i="54" l="1"/>
  <c r="FQ184" i="54"/>
  <c r="FS184" i="54"/>
  <c r="FX184" i="54"/>
  <c r="GA184" i="54"/>
  <c r="FZ184" i="54"/>
  <c r="GI184" i="54"/>
  <c r="GK184" i="54" s="1"/>
  <c r="GF185" i="54" s="1"/>
  <c r="GJ185" i="54"/>
  <c r="FO185" i="54"/>
  <c r="FN184" i="54"/>
  <c r="FP184" i="54" s="1"/>
  <c r="FK185" i="54" s="1"/>
  <c r="GB184" i="54" l="1"/>
  <c r="GD184" i="54" s="1"/>
  <c r="FY185" i="54" s="1"/>
  <c r="GC185" i="54"/>
  <c r="GE185" i="54"/>
  <c r="GG185" i="54"/>
  <c r="GH185" i="54"/>
  <c r="FM185" i="54"/>
  <c r="FJ185" i="54"/>
  <c r="FL185" i="54"/>
  <c r="FV185" i="54"/>
  <c r="FU184" i="54"/>
  <c r="FW184" i="54" s="1"/>
  <c r="FR185" i="54" s="1"/>
  <c r="GI185" i="54" l="1"/>
  <c r="GK185" i="54" s="1"/>
  <c r="GF186" i="54" s="1"/>
  <c r="GJ186" i="54"/>
  <c r="FO186" i="54"/>
  <c r="FN185" i="54"/>
  <c r="FP185" i="54" s="1"/>
  <c r="FK186" i="54" s="1"/>
  <c r="FQ185" i="54"/>
  <c r="FS185" i="54"/>
  <c r="FT185" i="54"/>
  <c r="GA185" i="54"/>
  <c r="FZ185" i="54"/>
  <c r="FX185" i="54"/>
  <c r="FM186" i="54" l="1"/>
  <c r="FJ186" i="54"/>
  <c r="FL186" i="54"/>
  <c r="GE186" i="54"/>
  <c r="GG186" i="54"/>
  <c r="GH186" i="54"/>
  <c r="GC186" i="54"/>
  <c r="GB185" i="54"/>
  <c r="GD185" i="54" s="1"/>
  <c r="FY186" i="54" s="1"/>
  <c r="FU185" i="54"/>
  <c r="FW185" i="54" s="1"/>
  <c r="FR186" i="54" s="1"/>
  <c r="FV186" i="54"/>
  <c r="GJ187" i="54" l="1"/>
  <c r="GI186" i="54"/>
  <c r="GK186" i="54" s="1"/>
  <c r="GF187" i="54" s="1"/>
  <c r="FO187" i="54"/>
  <c r="FN186" i="54"/>
  <c r="FZ186" i="54"/>
  <c r="GA186" i="54"/>
  <c r="FX186" i="54"/>
  <c r="FQ186" i="54"/>
  <c r="FT186" i="54"/>
  <c r="FS186" i="54"/>
  <c r="FP186" i="54"/>
  <c r="FK187" i="54" s="1"/>
  <c r="GC187" i="54" l="1"/>
  <c r="GB186" i="54"/>
  <c r="GD186" i="54" s="1"/>
  <c r="FY187" i="54" s="1"/>
  <c r="FL187" i="54"/>
  <c r="FJ187" i="54"/>
  <c r="FM187" i="54"/>
  <c r="GG187" i="54"/>
  <c r="GH187" i="54"/>
  <c r="GE187" i="54"/>
  <c r="FU186" i="54"/>
  <c r="FW186" i="54" s="1"/>
  <c r="FR187" i="54" s="1"/>
  <c r="FV187" i="54"/>
  <c r="GI187" i="54" l="1"/>
  <c r="GJ188" i="54"/>
  <c r="FN187" i="54"/>
  <c r="FP187" i="54" s="1"/>
  <c r="FK188" i="54" s="1"/>
  <c r="FO188" i="54"/>
  <c r="FZ187" i="54"/>
  <c r="FX187" i="54"/>
  <c r="GA187" i="54"/>
  <c r="FT187" i="54"/>
  <c r="FQ187" i="54"/>
  <c r="FS187" i="54"/>
  <c r="GK187" i="54"/>
  <c r="GF188" i="54" s="1"/>
  <c r="GC188" i="54" l="1"/>
  <c r="GB187" i="54"/>
  <c r="GG188" i="54"/>
  <c r="GE188" i="54"/>
  <c r="GH188" i="54"/>
  <c r="FV188" i="54"/>
  <c r="FU187" i="54"/>
  <c r="FW187" i="54" s="1"/>
  <c r="FR188" i="54" s="1"/>
  <c r="FJ188" i="54"/>
  <c r="FL188" i="54"/>
  <c r="FM188" i="54"/>
  <c r="GD187" i="54"/>
  <c r="FY188" i="54" s="1"/>
  <c r="GA188" i="54" l="1"/>
  <c r="FX188" i="54"/>
  <c r="FZ188" i="54"/>
  <c r="GI188" i="54"/>
  <c r="GK188" i="54" s="1"/>
  <c r="GF189" i="54" s="1"/>
  <c r="GJ189" i="54"/>
  <c r="FO189" i="54"/>
  <c r="FN188" i="54"/>
  <c r="FP188" i="54" s="1"/>
  <c r="FK189" i="54" s="1"/>
  <c r="FT188" i="54"/>
  <c r="FQ188" i="54"/>
  <c r="FS188" i="54"/>
  <c r="FU188" i="54" l="1"/>
  <c r="FW188" i="54" s="1"/>
  <c r="FR189" i="54" s="1"/>
  <c r="FV189" i="54"/>
  <c r="GE189" i="54"/>
  <c r="GH189" i="54"/>
  <c r="GG189" i="54"/>
  <c r="GB188" i="54"/>
  <c r="GD188" i="54" s="1"/>
  <c r="FY189" i="54" s="1"/>
  <c r="GC189" i="54"/>
  <c r="FL189" i="54"/>
  <c r="FJ189" i="54"/>
  <c r="FM189" i="54"/>
  <c r="GJ190" i="54" l="1"/>
  <c r="GI189" i="54"/>
  <c r="GK189" i="54" s="1"/>
  <c r="GF190" i="54" s="1"/>
  <c r="FO190" i="54"/>
  <c r="FN189" i="54"/>
  <c r="FP189" i="54" s="1"/>
  <c r="FK190" i="54" s="1"/>
  <c r="FZ189" i="54"/>
  <c r="GA189" i="54"/>
  <c r="FX189" i="54"/>
  <c r="FQ189" i="54"/>
  <c r="FT189" i="54"/>
  <c r="FS189" i="54"/>
  <c r="FL190" i="54" l="1"/>
  <c r="FM190" i="54"/>
  <c r="FJ190" i="54"/>
  <c r="GE190" i="54"/>
  <c r="GH190" i="54"/>
  <c r="GG190" i="54"/>
  <c r="FV190" i="54"/>
  <c r="FU189" i="54"/>
  <c r="FW189" i="54" s="1"/>
  <c r="FR190" i="54" s="1"/>
  <c r="GB189" i="54"/>
  <c r="GD189" i="54" s="1"/>
  <c r="FY190" i="54" s="1"/>
  <c r="GC190" i="54"/>
  <c r="GJ191" i="54" l="1"/>
  <c r="GI190" i="54"/>
  <c r="GK190" i="54" s="1"/>
  <c r="GF191" i="54" s="1"/>
  <c r="FZ190" i="54"/>
  <c r="FX190" i="54"/>
  <c r="GA190" i="54"/>
  <c r="FT190" i="54"/>
  <c r="FS190" i="54"/>
  <c r="FQ190" i="54"/>
  <c r="FN190" i="54"/>
  <c r="FP190" i="54" s="1"/>
  <c r="FK191" i="54" s="1"/>
  <c r="FO191" i="54"/>
  <c r="FL191" i="54" l="1"/>
  <c r="FJ191" i="54"/>
  <c r="FM191" i="54"/>
  <c r="GC191" i="54"/>
  <c r="GB190" i="54"/>
  <c r="GD190" i="54" s="1"/>
  <c r="FY191" i="54" s="1"/>
  <c r="GH191" i="54"/>
  <c r="GE191" i="54"/>
  <c r="GG191" i="54"/>
  <c r="FU190" i="54"/>
  <c r="FW190" i="54" s="1"/>
  <c r="FR191" i="54" s="1"/>
  <c r="FV191" i="54"/>
  <c r="FX191" i="54" l="1"/>
  <c r="GA191" i="54"/>
  <c r="FZ191" i="54"/>
  <c r="FQ191" i="54"/>
  <c r="FT191" i="54"/>
  <c r="FS191" i="54"/>
  <c r="GJ192" i="54"/>
  <c r="GI191" i="54"/>
  <c r="GK191" i="54" s="1"/>
  <c r="GF192" i="54" s="1"/>
  <c r="FN191" i="54"/>
  <c r="FP191" i="54" s="1"/>
  <c r="FK192" i="54" s="1"/>
  <c r="FO192" i="54"/>
  <c r="FL192" i="54" l="1"/>
  <c r="FJ192" i="54"/>
  <c r="FM192" i="54"/>
  <c r="FU191" i="54"/>
  <c r="FW191" i="54" s="1"/>
  <c r="FR192" i="54" s="1"/>
  <c r="FV192" i="54"/>
  <c r="GB191" i="54"/>
  <c r="GD191" i="54" s="1"/>
  <c r="FY192" i="54" s="1"/>
  <c r="GC192" i="54"/>
  <c r="GE192" i="54"/>
  <c r="GH192" i="54"/>
  <c r="GG192" i="54"/>
  <c r="FX192" i="54" l="1"/>
  <c r="FZ192" i="54"/>
  <c r="GA192" i="54"/>
  <c r="FQ192" i="54"/>
  <c r="FS192" i="54"/>
  <c r="FT192" i="54"/>
  <c r="GJ193" i="54"/>
  <c r="GI192" i="54"/>
  <c r="GK192" i="54" s="1"/>
  <c r="GF193" i="54" s="1"/>
  <c r="FN192" i="54"/>
  <c r="FP192" i="54" s="1"/>
  <c r="FK193" i="54" s="1"/>
  <c r="FO193" i="54"/>
  <c r="FJ193" i="54" l="1"/>
  <c r="FL193" i="54"/>
  <c r="FM193" i="54"/>
  <c r="FU192" i="54"/>
  <c r="FW192" i="54" s="1"/>
  <c r="FR193" i="54" s="1"/>
  <c r="FV193" i="54"/>
  <c r="GC193" i="54"/>
  <c r="GB192" i="54"/>
  <c r="GD192" i="54" s="1"/>
  <c r="FY193" i="54" s="1"/>
  <c r="GH193" i="54"/>
  <c r="GE193" i="54"/>
  <c r="GG193" i="54"/>
  <c r="FX193" i="54" l="1"/>
  <c r="FZ193" i="54"/>
  <c r="GA193" i="54"/>
  <c r="FQ193" i="54"/>
  <c r="FS193" i="54"/>
  <c r="FT193" i="54"/>
  <c r="FO194" i="54"/>
  <c r="FN193" i="54"/>
  <c r="FP193" i="54" s="1"/>
  <c r="FK194" i="54" s="1"/>
  <c r="GJ194" i="54"/>
  <c r="GI193" i="54"/>
  <c r="GK193" i="54" s="1"/>
  <c r="GF194" i="54" s="1"/>
  <c r="GG194" i="54" l="1"/>
  <c r="GH194" i="54"/>
  <c r="GE194" i="54"/>
  <c r="FU193" i="54"/>
  <c r="FW193" i="54" s="1"/>
  <c r="FR194" i="54" s="1"/>
  <c r="FV194" i="54"/>
  <c r="FM194" i="54"/>
  <c r="FJ194" i="54"/>
  <c r="FL194" i="54"/>
  <c r="GC194" i="54"/>
  <c r="GB193" i="54"/>
  <c r="GD193" i="54" s="1"/>
  <c r="FY194" i="54" s="1"/>
  <c r="FQ194" i="54" l="1"/>
  <c r="FS194" i="54"/>
  <c r="FT194" i="54"/>
  <c r="FX194" i="54"/>
  <c r="FZ194" i="54"/>
  <c r="GA194" i="54"/>
  <c r="FO195" i="54"/>
  <c r="FN194" i="54"/>
  <c r="FP194" i="54" s="1"/>
  <c r="FK195" i="54" s="1"/>
  <c r="GI194" i="54"/>
  <c r="GK194" i="54" s="1"/>
  <c r="GF195" i="54" s="1"/>
  <c r="GJ195" i="54"/>
  <c r="GE195" i="54" l="1"/>
  <c r="GH195" i="54"/>
  <c r="GG195" i="54"/>
  <c r="GB194" i="54"/>
  <c r="GD194" i="54" s="1"/>
  <c r="FY195" i="54" s="1"/>
  <c r="GC195" i="54"/>
  <c r="FL195" i="54"/>
  <c r="FJ195" i="54"/>
  <c r="FM195" i="54"/>
  <c r="FV195" i="54"/>
  <c r="FU194" i="54"/>
  <c r="FW194" i="54" s="1"/>
  <c r="FR195" i="54" s="1"/>
  <c r="FX195" i="54" l="1"/>
  <c r="FZ195" i="54"/>
  <c r="GA195" i="54"/>
  <c r="FT195" i="54"/>
  <c r="FS195" i="54"/>
  <c r="FQ195" i="54"/>
  <c r="GI195" i="54"/>
  <c r="GK195" i="54" s="1"/>
  <c r="GF196" i="54" s="1"/>
  <c r="GJ196" i="54"/>
  <c r="FN195" i="54"/>
  <c r="FP195" i="54" s="1"/>
  <c r="FK196" i="54" s="1"/>
  <c r="FO196" i="54"/>
  <c r="FL196" i="54" l="1"/>
  <c r="FJ196" i="54"/>
  <c r="FM196" i="54"/>
  <c r="FV196" i="54"/>
  <c r="FU195" i="54"/>
  <c r="FW195" i="54" s="1"/>
  <c r="FR196" i="54" s="1"/>
  <c r="GC196" i="54"/>
  <c r="GB195" i="54"/>
  <c r="GD195" i="54" s="1"/>
  <c r="FY196" i="54" s="1"/>
  <c r="GG196" i="54"/>
  <c r="GE196" i="54"/>
  <c r="GH196" i="54"/>
  <c r="FT196" i="54" l="1"/>
  <c r="FS196" i="54"/>
  <c r="FQ196" i="54"/>
  <c r="GJ197" i="54"/>
  <c r="GI196" i="54"/>
  <c r="GK196" i="54" s="1"/>
  <c r="GF197" i="54" s="1"/>
  <c r="FZ196" i="54"/>
  <c r="GA196" i="54"/>
  <c r="FX196" i="54"/>
  <c r="FO197" i="54"/>
  <c r="FN196" i="54"/>
  <c r="FP196" i="54" s="1"/>
  <c r="FK197" i="54" s="1"/>
  <c r="GE197" i="54" l="1"/>
  <c r="GG197" i="54"/>
  <c r="GH197" i="54"/>
  <c r="FL197" i="54"/>
  <c r="FJ197" i="54"/>
  <c r="FM197" i="54"/>
  <c r="GC197" i="54"/>
  <c r="GB196" i="54"/>
  <c r="GD196" i="54" s="1"/>
  <c r="FY197" i="54" s="1"/>
  <c r="FV197" i="54"/>
  <c r="FU196" i="54"/>
  <c r="FW196" i="54" s="1"/>
  <c r="FR197" i="54" s="1"/>
  <c r="FN197" i="54" l="1"/>
  <c r="FP197" i="54" s="1"/>
  <c r="FK198" i="54" s="1"/>
  <c r="FO198" i="54"/>
  <c r="GJ198" i="54"/>
  <c r="GI197" i="54"/>
  <c r="GK197" i="54" s="1"/>
  <c r="GF198" i="54" s="1"/>
  <c r="FT197" i="54"/>
  <c r="FS197" i="54"/>
  <c r="FQ197" i="54"/>
  <c r="FX197" i="54"/>
  <c r="GA197" i="54"/>
  <c r="FZ197" i="54"/>
  <c r="GG198" i="54" l="1"/>
  <c r="GE198" i="54"/>
  <c r="GH198" i="54"/>
  <c r="FL198" i="54"/>
  <c r="FJ198" i="54"/>
  <c r="FM198" i="54"/>
  <c r="GC198" i="54"/>
  <c r="GB197" i="54"/>
  <c r="GD197" i="54" s="1"/>
  <c r="FY198" i="54" s="1"/>
  <c r="FV198" i="54"/>
  <c r="FU197" i="54"/>
  <c r="FW197" i="54" s="1"/>
  <c r="FR198" i="54" s="1"/>
  <c r="FN198" i="54" l="1"/>
  <c r="FP198" i="54" s="1"/>
  <c r="FK199" i="54" s="1"/>
  <c r="FO199" i="54"/>
  <c r="FT198" i="54"/>
  <c r="FQ198" i="54"/>
  <c r="FS198" i="54"/>
  <c r="FX198" i="54"/>
  <c r="FZ198" i="54"/>
  <c r="GA198" i="54"/>
  <c r="GJ199" i="54"/>
  <c r="GI198" i="54"/>
  <c r="GK198" i="54" s="1"/>
  <c r="GF199" i="54" s="1"/>
  <c r="FL199" i="54" l="1"/>
  <c r="FJ199" i="54"/>
  <c r="FM199" i="54"/>
  <c r="GG199" i="54"/>
  <c r="GH199" i="54"/>
  <c r="GE199" i="54"/>
  <c r="GB198" i="54"/>
  <c r="GD198" i="54" s="1"/>
  <c r="FY199" i="54" s="1"/>
  <c r="GC199" i="54"/>
  <c r="FV199" i="54"/>
  <c r="FU198" i="54"/>
  <c r="FW198" i="54" s="1"/>
  <c r="FR199" i="54" s="1"/>
  <c r="FT199" i="54" l="1"/>
  <c r="FQ199" i="54"/>
  <c r="FS199" i="54"/>
  <c r="GJ200" i="54"/>
  <c r="GI199" i="54"/>
  <c r="GK199" i="54" s="1"/>
  <c r="GF200" i="54" s="1"/>
  <c r="FX199" i="54"/>
  <c r="FZ199" i="54"/>
  <c r="GA199" i="54"/>
  <c r="FO200" i="54"/>
  <c r="FN199" i="54"/>
  <c r="FP199" i="54" s="1"/>
  <c r="FK200" i="54" s="1"/>
  <c r="GC200" i="54" l="1"/>
  <c r="GB199" i="54"/>
  <c r="GD199" i="54" s="1"/>
  <c r="FY200" i="54" s="1"/>
  <c r="GH200" i="54"/>
  <c r="GE200" i="54"/>
  <c r="GG200" i="54"/>
  <c r="FJ200" i="54"/>
  <c r="FL200" i="54"/>
  <c r="FM200" i="54"/>
  <c r="FV200" i="54"/>
  <c r="FU199" i="54"/>
  <c r="FW199" i="54" s="1"/>
  <c r="FR200" i="54" s="1"/>
  <c r="GJ201" i="54" l="1"/>
  <c r="GI200" i="54"/>
  <c r="FQ200" i="54"/>
  <c r="FS200" i="54"/>
  <c r="FT200" i="54"/>
  <c r="GK200" i="54"/>
  <c r="GF201" i="54" s="1"/>
  <c r="FZ200" i="54"/>
  <c r="GA200" i="54"/>
  <c r="FX200" i="54"/>
  <c r="FN200" i="54"/>
  <c r="FP200" i="54" s="1"/>
  <c r="FK201" i="54" s="1"/>
  <c r="FO201" i="54"/>
  <c r="GE201" i="54" l="1"/>
  <c r="GH201" i="54"/>
  <c r="GG201" i="54"/>
  <c r="FU200" i="54"/>
  <c r="FW200" i="54" s="1"/>
  <c r="FR201" i="54" s="1"/>
  <c r="FV201" i="54"/>
  <c r="FL201" i="54"/>
  <c r="FM201" i="54"/>
  <c r="FJ201" i="54"/>
  <c r="GC201" i="54"/>
  <c r="GB200" i="54"/>
  <c r="GD200" i="54" s="1"/>
  <c r="FY201" i="54" s="1"/>
  <c r="GA201" i="54" l="1"/>
  <c r="FX201" i="54"/>
  <c r="FZ201" i="54"/>
  <c r="FN201" i="54"/>
  <c r="FP201" i="54" s="1"/>
  <c r="FK202" i="54" s="1"/>
  <c r="FO202" i="54"/>
  <c r="FS201" i="54"/>
  <c r="FQ201" i="54"/>
  <c r="FT201" i="54"/>
  <c r="GJ202" i="54"/>
  <c r="GI201" i="54"/>
  <c r="GK201" i="54" s="1"/>
  <c r="GF202" i="54" s="1"/>
  <c r="FU201" i="54" l="1"/>
  <c r="FW201" i="54" s="1"/>
  <c r="FR202" i="54" s="1"/>
  <c r="FV202" i="54"/>
  <c r="GG202" i="54"/>
  <c r="GE202" i="54"/>
  <c r="GH202" i="54"/>
  <c r="FM202" i="54"/>
  <c r="FL202" i="54"/>
  <c r="FJ202" i="54"/>
  <c r="GB201" i="54"/>
  <c r="GD201" i="54" s="1"/>
  <c r="FY202" i="54" s="1"/>
  <c r="GC202" i="54"/>
  <c r="FZ202" i="54" l="1"/>
  <c r="FX202" i="54"/>
  <c r="GA202" i="54"/>
  <c r="FO203" i="54"/>
  <c r="FN202" i="54"/>
  <c r="FP202" i="54" s="1"/>
  <c r="FK203" i="54" s="1"/>
  <c r="GJ203" i="54"/>
  <c r="GI202" i="54"/>
  <c r="GK202" i="54" s="1"/>
  <c r="GF203" i="54" s="1"/>
  <c r="FQ202" i="54"/>
  <c r="FT202" i="54"/>
  <c r="FS202" i="54"/>
  <c r="GG203" i="54" l="1"/>
  <c r="GE203" i="54"/>
  <c r="GH203" i="54"/>
  <c r="FM203" i="54"/>
  <c r="FL203" i="54"/>
  <c r="FJ203" i="54"/>
  <c r="FV203" i="54"/>
  <c r="FU202" i="54"/>
  <c r="FW202" i="54" s="1"/>
  <c r="FR203" i="54" s="1"/>
  <c r="GC203" i="54"/>
  <c r="GB202" i="54"/>
  <c r="GD202" i="54" s="1"/>
  <c r="FY203" i="54" s="1"/>
  <c r="FX203" i="54" l="1"/>
  <c r="FZ203" i="54"/>
  <c r="GA203" i="54"/>
  <c r="FN203" i="54"/>
  <c r="FP203" i="54" s="1"/>
  <c r="FK204" i="54" s="1"/>
  <c r="FO204" i="54"/>
  <c r="FQ203" i="54"/>
  <c r="FT203" i="54"/>
  <c r="FS203" i="54"/>
  <c r="GJ204" i="54"/>
  <c r="GI203" i="54"/>
  <c r="GK203" i="54" s="1"/>
  <c r="GF204" i="54" s="1"/>
  <c r="FL204" i="54" l="1"/>
  <c r="FJ204" i="54"/>
  <c r="FM204" i="54"/>
  <c r="GE204" i="54"/>
  <c r="GH204" i="54"/>
  <c r="GG204" i="54"/>
  <c r="FV204" i="54"/>
  <c r="FU203" i="54"/>
  <c r="FW203" i="54" s="1"/>
  <c r="FR204" i="54" s="1"/>
  <c r="GC204" i="54"/>
  <c r="GB203" i="54"/>
  <c r="GD203" i="54" s="1"/>
  <c r="FY204" i="54" s="1"/>
  <c r="FX204" i="54" l="1"/>
  <c r="FZ204" i="54"/>
  <c r="GA204" i="54"/>
  <c r="GJ205" i="54"/>
  <c r="GI204" i="54"/>
  <c r="GK204" i="54" s="1"/>
  <c r="GF205" i="54" s="1"/>
  <c r="FS204" i="54"/>
  <c r="FT204" i="54"/>
  <c r="FQ204" i="54"/>
  <c r="FO205" i="54"/>
  <c r="FN204" i="54"/>
  <c r="FP204" i="54" s="1"/>
  <c r="FK205" i="54" s="1"/>
  <c r="GE205" i="54" l="1"/>
  <c r="GG205" i="54"/>
  <c r="GH205" i="54"/>
  <c r="FL205" i="54"/>
  <c r="FJ205" i="54"/>
  <c r="FM205" i="54"/>
  <c r="GB204" i="54"/>
  <c r="GD204" i="54" s="1"/>
  <c r="FY205" i="54" s="1"/>
  <c r="GC205" i="54"/>
  <c r="FU204" i="54"/>
  <c r="FW204" i="54" s="1"/>
  <c r="FR205" i="54" s="1"/>
  <c r="FV205" i="54"/>
  <c r="FZ205" i="54" l="1"/>
  <c r="GA205" i="54"/>
  <c r="FX205" i="54"/>
  <c r="FO206" i="54"/>
  <c r="FN205" i="54"/>
  <c r="FP205" i="54" s="1"/>
  <c r="FK206" i="54" s="1"/>
  <c r="GJ206" i="54"/>
  <c r="GI205" i="54"/>
  <c r="GK205" i="54" s="1"/>
  <c r="GF206" i="54" s="1"/>
  <c r="FQ205" i="54"/>
  <c r="FS205" i="54"/>
  <c r="FT205" i="54"/>
  <c r="FJ206" i="54" l="1"/>
  <c r="FL206" i="54"/>
  <c r="FM206" i="54"/>
  <c r="GG206" i="54"/>
  <c r="GH206" i="54"/>
  <c r="GE206" i="54"/>
  <c r="FU205" i="54"/>
  <c r="FW205" i="54" s="1"/>
  <c r="FR206" i="54" s="1"/>
  <c r="FV206" i="54"/>
  <c r="GC206" i="54"/>
  <c r="GB205" i="54"/>
  <c r="GD205" i="54" s="1"/>
  <c r="FY206" i="54" s="1"/>
  <c r="FX206" i="54" l="1"/>
  <c r="FZ206" i="54"/>
  <c r="GA206" i="54"/>
  <c r="GJ207" i="54"/>
  <c r="GI206" i="54"/>
  <c r="GK206" i="54" s="1"/>
  <c r="GF207" i="54" s="1"/>
  <c r="FN206" i="54"/>
  <c r="FP206" i="54" s="1"/>
  <c r="FK207" i="54" s="1"/>
  <c r="FO207" i="54"/>
  <c r="FS206" i="54"/>
  <c r="FT206" i="54"/>
  <c r="FQ206" i="54"/>
  <c r="GG207" i="54" l="1"/>
  <c r="GE207" i="54"/>
  <c r="GH207" i="54"/>
  <c r="FV207" i="54"/>
  <c r="FU206" i="54"/>
  <c r="FW206" i="54" s="1"/>
  <c r="FR207" i="54" s="1"/>
  <c r="GB206" i="54"/>
  <c r="GD206" i="54" s="1"/>
  <c r="FY207" i="54" s="1"/>
  <c r="GC207" i="54"/>
  <c r="FM207" i="54"/>
  <c r="FL207" i="54"/>
  <c r="FJ207" i="54"/>
  <c r="FX207" i="54" l="1"/>
  <c r="FZ207" i="54"/>
  <c r="GA207" i="54"/>
  <c r="FQ207" i="54"/>
  <c r="FT207" i="54"/>
  <c r="FS207" i="54"/>
  <c r="FO208" i="54"/>
  <c r="FN207" i="54"/>
  <c r="FP207" i="54" s="1"/>
  <c r="FK208" i="54" s="1"/>
  <c r="GJ208" i="54"/>
  <c r="GI207" i="54"/>
  <c r="GK207" i="54" s="1"/>
  <c r="GF208" i="54" s="1"/>
  <c r="GG208" i="54" l="1"/>
  <c r="GE208" i="54"/>
  <c r="GH208" i="54"/>
  <c r="FV208" i="54"/>
  <c r="FU207" i="54"/>
  <c r="FW207" i="54" s="1"/>
  <c r="FR208" i="54" s="1"/>
  <c r="GB207" i="54"/>
  <c r="GD207" i="54" s="1"/>
  <c r="FY208" i="54" s="1"/>
  <c r="GC208" i="54"/>
  <c r="FJ208" i="54"/>
  <c r="FM208" i="54"/>
  <c r="FL208" i="54"/>
  <c r="FX208" i="54" l="1"/>
  <c r="GA208" i="54"/>
  <c r="FZ208" i="54"/>
  <c r="FT208" i="54"/>
  <c r="FS208" i="54"/>
  <c r="FQ208" i="54"/>
  <c r="FO209" i="54"/>
  <c r="FN208" i="54"/>
  <c r="FP208" i="54" s="1"/>
  <c r="FK209" i="54" s="1"/>
  <c r="GJ209" i="54"/>
  <c r="GI208" i="54"/>
  <c r="GK208" i="54" s="1"/>
  <c r="GF209" i="54" s="1"/>
  <c r="FL209" i="54" l="1"/>
  <c r="FJ209" i="54"/>
  <c r="FM209" i="54"/>
  <c r="FV209" i="54"/>
  <c r="FU208" i="54"/>
  <c r="FW208" i="54" s="1"/>
  <c r="FR209" i="54" s="1"/>
  <c r="GC209" i="54"/>
  <c r="GB208" i="54"/>
  <c r="GD208" i="54" s="1"/>
  <c r="FY209" i="54" s="1"/>
  <c r="GE209" i="54"/>
  <c r="GG209" i="54"/>
  <c r="GH209" i="54"/>
  <c r="FS209" i="54" l="1"/>
  <c r="FQ209" i="54"/>
  <c r="FT209" i="54"/>
  <c r="GJ210" i="54"/>
  <c r="GI209" i="54"/>
  <c r="GK209" i="54" s="1"/>
  <c r="GF210" i="54" s="1"/>
  <c r="GA209" i="54"/>
  <c r="FZ209" i="54"/>
  <c r="FX209" i="54"/>
  <c r="FO210" i="54"/>
  <c r="FN209" i="54"/>
  <c r="FP209" i="54" s="1"/>
  <c r="FK210" i="54" s="1"/>
  <c r="FL210" i="54" l="1"/>
  <c r="FJ210" i="54"/>
  <c r="FM210" i="54"/>
  <c r="GE210" i="54"/>
  <c r="GG210" i="54"/>
  <c r="GH210" i="54"/>
  <c r="GC210" i="54"/>
  <c r="GB209" i="54"/>
  <c r="GD209" i="54" s="1"/>
  <c r="FY210" i="54" s="1"/>
  <c r="FU209" i="54"/>
  <c r="FW209" i="54" s="1"/>
  <c r="FR210" i="54" s="1"/>
  <c r="FV210" i="54"/>
  <c r="GJ211" i="54" l="1"/>
  <c r="GI210" i="54"/>
  <c r="GK210" i="54" s="1"/>
  <c r="GF211" i="54" s="1"/>
  <c r="FS210" i="54"/>
  <c r="FT210" i="54"/>
  <c r="FQ210" i="54"/>
  <c r="GA210" i="54"/>
  <c r="FX210" i="54"/>
  <c r="FZ210" i="54"/>
  <c r="FN210" i="54"/>
  <c r="FP210" i="54" s="1"/>
  <c r="FK211" i="54" s="1"/>
  <c r="FO211" i="54"/>
  <c r="FL211" i="54" l="1"/>
  <c r="FJ211" i="54"/>
  <c r="FM211" i="54"/>
  <c r="GH211" i="54"/>
  <c r="GE211" i="54"/>
  <c r="GG211" i="54"/>
  <c r="FV211" i="54"/>
  <c r="FU210" i="54"/>
  <c r="FW210" i="54" s="1"/>
  <c r="FR211" i="54" s="1"/>
  <c r="GB210" i="54"/>
  <c r="GD210" i="54" s="1"/>
  <c r="FY211" i="54" s="1"/>
  <c r="GC211" i="54"/>
  <c r="FZ211" i="54" l="1"/>
  <c r="GA211" i="54"/>
  <c r="FX211" i="54"/>
  <c r="GI211" i="54"/>
  <c r="GK211" i="54" s="1"/>
  <c r="GF212" i="54" s="1"/>
  <c r="GJ212" i="54"/>
  <c r="FT211" i="54"/>
  <c r="FQ211" i="54"/>
  <c r="FS211" i="54"/>
  <c r="FO212" i="54"/>
  <c r="FN211" i="54"/>
  <c r="FP211" i="54" s="1"/>
  <c r="FK212" i="54" s="1"/>
  <c r="GG212" i="54" l="1"/>
  <c r="GH212" i="54"/>
  <c r="GE212" i="54"/>
  <c r="FL212" i="54"/>
  <c r="FM212" i="54"/>
  <c r="FJ212" i="54"/>
  <c r="FU211" i="54"/>
  <c r="FW211" i="54" s="1"/>
  <c r="FR212" i="54" s="1"/>
  <c r="FV212" i="54"/>
  <c r="GC212" i="54"/>
  <c r="GB211" i="54"/>
  <c r="GD211" i="54" s="1"/>
  <c r="FY212" i="54" s="1"/>
  <c r="FS212" i="54" l="1"/>
  <c r="FQ212" i="54"/>
  <c r="FT212" i="54"/>
  <c r="FO213" i="54"/>
  <c r="FN212" i="54"/>
  <c r="FP212" i="54" s="1"/>
  <c r="FK213" i="54" s="1"/>
  <c r="FZ212" i="54"/>
  <c r="GA212" i="54"/>
  <c r="FX212" i="54"/>
  <c r="GI212" i="54"/>
  <c r="GK212" i="54" s="1"/>
  <c r="GF213" i="54" s="1"/>
  <c r="GJ213" i="54"/>
  <c r="GB212" i="54" l="1"/>
  <c r="GC213" i="54"/>
  <c r="GH213" i="54"/>
  <c r="GG213" i="54"/>
  <c r="GE213" i="54"/>
  <c r="GD212" i="54"/>
  <c r="FY213" i="54" s="1"/>
  <c r="FJ213" i="54"/>
  <c r="FM213" i="54"/>
  <c r="FL213" i="54"/>
  <c r="FV213" i="54"/>
  <c r="FU212" i="54"/>
  <c r="FW212" i="54" s="1"/>
  <c r="FR213" i="54" s="1"/>
  <c r="FX213" i="54" l="1"/>
  <c r="FZ213" i="54"/>
  <c r="GA213" i="54"/>
  <c r="GJ214" i="54"/>
  <c r="GI213" i="54"/>
  <c r="GK213" i="54" s="1"/>
  <c r="GF214" i="54" s="1"/>
  <c r="FO214" i="54"/>
  <c r="FN213" i="54"/>
  <c r="FQ213" i="54"/>
  <c r="FS213" i="54"/>
  <c r="FT213" i="54"/>
  <c r="FP213" i="54"/>
  <c r="FK214" i="54" s="1"/>
  <c r="GG214" i="54" l="1"/>
  <c r="GE214" i="54"/>
  <c r="GH214" i="54"/>
  <c r="FL214" i="54"/>
  <c r="FJ214" i="54"/>
  <c r="FM214" i="54"/>
  <c r="GC214" i="54"/>
  <c r="GB213" i="54"/>
  <c r="GD213" i="54" s="1"/>
  <c r="FY214" i="54" s="1"/>
  <c r="FV214" i="54"/>
  <c r="FU213" i="54"/>
  <c r="FW213" i="54" s="1"/>
  <c r="FR214" i="54" s="1"/>
  <c r="FO215" i="54" l="1"/>
  <c r="FN214" i="54"/>
  <c r="FP214" i="54" s="1"/>
  <c r="FK215" i="54" s="1"/>
  <c r="FQ214" i="54"/>
  <c r="FT214" i="54"/>
  <c r="FS214" i="54"/>
  <c r="FZ214" i="54"/>
  <c r="FX214" i="54"/>
  <c r="GA214" i="54"/>
  <c r="GJ215" i="54"/>
  <c r="GI214" i="54"/>
  <c r="GK214" i="54" s="1"/>
  <c r="GF215" i="54" s="1"/>
  <c r="FL215" i="54" l="1"/>
  <c r="FJ215" i="54"/>
  <c r="FM215" i="54"/>
  <c r="FU214" i="54"/>
  <c r="FW214" i="54" s="1"/>
  <c r="FR215" i="54" s="1"/>
  <c r="FV215" i="54"/>
  <c r="GE215" i="54"/>
  <c r="GG215" i="54"/>
  <c r="GH215" i="54"/>
  <c r="GB214" i="54"/>
  <c r="GD214" i="54" s="1"/>
  <c r="FY215" i="54" s="1"/>
  <c r="GC215" i="54"/>
  <c r="FX215" i="54" l="1"/>
  <c r="FZ215" i="54"/>
  <c r="GA215" i="54"/>
  <c r="FS215" i="54"/>
  <c r="FT215" i="54"/>
  <c r="FQ215" i="54"/>
  <c r="GJ216" i="54"/>
  <c r="GI215" i="54"/>
  <c r="GK215" i="54" s="1"/>
  <c r="GF216" i="54" s="1"/>
  <c r="FO216" i="54"/>
  <c r="FN215" i="54"/>
  <c r="FP215" i="54" s="1"/>
  <c r="FK216" i="54" s="1"/>
  <c r="FM216" i="54" l="1"/>
  <c r="FL216" i="54"/>
  <c r="FJ216" i="54"/>
  <c r="GH216" i="54"/>
  <c r="GE216" i="54"/>
  <c r="GG216" i="54"/>
  <c r="FU215" i="54"/>
  <c r="FW215" i="54" s="1"/>
  <c r="FR216" i="54" s="1"/>
  <c r="FV216" i="54"/>
  <c r="GB215" i="54"/>
  <c r="GD215" i="54" s="1"/>
  <c r="FY216" i="54" s="1"/>
  <c r="GC216" i="54"/>
  <c r="FZ216" i="54" l="1"/>
  <c r="FX216" i="54"/>
  <c r="GA216" i="54"/>
  <c r="GJ217" i="54"/>
  <c r="GI216" i="54"/>
  <c r="GK216" i="54" s="1"/>
  <c r="GF217" i="54" s="1"/>
  <c r="FO217" i="54"/>
  <c r="FN216" i="54"/>
  <c r="FP216" i="54" s="1"/>
  <c r="FK217" i="54" s="1"/>
  <c r="FQ216" i="54"/>
  <c r="FT216" i="54"/>
  <c r="FS216" i="54"/>
  <c r="FL217" i="54" l="1"/>
  <c r="FJ217" i="54"/>
  <c r="FM217" i="54"/>
  <c r="GG217" i="54"/>
  <c r="GE217" i="54"/>
  <c r="GH217" i="54"/>
  <c r="FV217" i="54"/>
  <c r="FU216" i="54"/>
  <c r="FW216" i="54" s="1"/>
  <c r="FR217" i="54" s="1"/>
  <c r="GB216" i="54"/>
  <c r="GD216" i="54" s="1"/>
  <c r="FY217" i="54" s="1"/>
  <c r="GC217" i="54"/>
  <c r="GJ218" i="54" l="1"/>
  <c r="GI217" i="54"/>
  <c r="GK217" i="54" s="1"/>
  <c r="GF218" i="54" s="1"/>
  <c r="FX217" i="54"/>
  <c r="FZ217" i="54"/>
  <c r="GA217" i="54"/>
  <c r="FT217" i="54"/>
  <c r="FQ217" i="54"/>
  <c r="FS217" i="54"/>
  <c r="FO218" i="54"/>
  <c r="FN217" i="54"/>
  <c r="FP217" i="54" s="1"/>
  <c r="FK218" i="54" s="1"/>
  <c r="GE218" i="54" l="1"/>
  <c r="GG218" i="54"/>
  <c r="GH218" i="54"/>
  <c r="GC218" i="54"/>
  <c r="GB217" i="54"/>
  <c r="GD217" i="54" s="1"/>
  <c r="FY218" i="54" s="1"/>
  <c r="FJ218" i="54"/>
  <c r="FL218" i="54"/>
  <c r="FM218" i="54"/>
  <c r="FV218" i="54"/>
  <c r="FU217" i="54"/>
  <c r="FW217" i="54" s="1"/>
  <c r="FR218" i="54" s="1"/>
  <c r="FZ218" i="54" l="1"/>
  <c r="FX218" i="54"/>
  <c r="GA218" i="54"/>
  <c r="FQ218" i="54"/>
  <c r="FS218" i="54"/>
  <c r="FT218" i="54"/>
  <c r="GI218" i="54"/>
  <c r="GK218" i="54" s="1"/>
  <c r="GF219" i="54" s="1"/>
  <c r="GJ219" i="54"/>
  <c r="FN218" i="54"/>
  <c r="FP218" i="54" s="1"/>
  <c r="FK219" i="54" s="1"/>
  <c r="FO219" i="54"/>
  <c r="FL219" i="54" l="1"/>
  <c r="FJ219" i="54"/>
  <c r="FM219" i="54"/>
  <c r="FV219" i="54"/>
  <c r="FU218" i="54"/>
  <c r="FW218" i="54" s="1"/>
  <c r="FR219" i="54" s="1"/>
  <c r="GH219" i="54"/>
  <c r="GE219" i="54"/>
  <c r="GG219" i="54"/>
  <c r="GB218" i="54"/>
  <c r="GD218" i="54" s="1"/>
  <c r="FY219" i="54" s="1"/>
  <c r="GC219" i="54"/>
  <c r="FS219" i="54" l="1"/>
  <c r="FQ219" i="54"/>
  <c r="FT219" i="54"/>
  <c r="FZ219" i="54"/>
  <c r="GA219" i="54"/>
  <c r="FX219" i="54"/>
  <c r="GJ220" i="54"/>
  <c r="GI219" i="54"/>
  <c r="GK219" i="54" s="1"/>
  <c r="GF220" i="54" s="1"/>
  <c r="FN219" i="54"/>
  <c r="FP219" i="54" s="1"/>
  <c r="FK220" i="54" s="1"/>
  <c r="FO220" i="54"/>
  <c r="GG220" i="54" l="1"/>
  <c r="GE220" i="54"/>
  <c r="GH220" i="54"/>
  <c r="FL220" i="54"/>
  <c r="FJ220" i="54"/>
  <c r="FM220" i="54"/>
  <c r="GC220" i="54"/>
  <c r="GB219" i="54"/>
  <c r="GD219" i="54" s="1"/>
  <c r="FY220" i="54" s="1"/>
  <c r="FV220" i="54"/>
  <c r="FU219" i="54"/>
  <c r="FW219" i="54" s="1"/>
  <c r="FR220" i="54" s="1"/>
  <c r="GA220" i="54" l="1"/>
  <c r="FZ220" i="54"/>
  <c r="FX220" i="54"/>
  <c r="FS220" i="54"/>
  <c r="FQ220" i="54"/>
  <c r="FT220" i="54"/>
  <c r="FO221" i="54"/>
  <c r="FN220" i="54"/>
  <c r="FP220" i="54" s="1"/>
  <c r="FK221" i="54" s="1"/>
  <c r="GJ221" i="54"/>
  <c r="GI220" i="54"/>
  <c r="GK220" i="54" s="1"/>
  <c r="GF221" i="54" s="1"/>
  <c r="FL221" i="54" l="1"/>
  <c r="FJ221" i="54"/>
  <c r="FM221" i="54"/>
  <c r="FV221" i="54"/>
  <c r="FU220" i="54"/>
  <c r="FW220" i="54" s="1"/>
  <c r="FR221" i="54" s="1"/>
  <c r="GG221" i="54"/>
  <c r="GH221" i="54"/>
  <c r="GE221" i="54"/>
  <c r="GC221" i="54"/>
  <c r="GB220" i="54"/>
  <c r="GD220" i="54" s="1"/>
  <c r="FY221" i="54" s="1"/>
  <c r="GJ222" i="54" l="1"/>
  <c r="GI221" i="54"/>
  <c r="GK221" i="54" s="1"/>
  <c r="GF222" i="54" s="1"/>
  <c r="FT221" i="54"/>
  <c r="FS221" i="54"/>
  <c r="FQ221" i="54"/>
  <c r="FZ221" i="54"/>
  <c r="FX221" i="54"/>
  <c r="GA221" i="54"/>
  <c r="FO222" i="54"/>
  <c r="FN221" i="54"/>
  <c r="FP221" i="54" s="1"/>
  <c r="FK222" i="54" s="1"/>
  <c r="FL222" i="54" l="1"/>
  <c r="FJ222" i="54"/>
  <c r="FM222" i="54"/>
  <c r="GC222" i="54"/>
  <c r="GB221" i="54"/>
  <c r="GD221" i="54" s="1"/>
  <c r="FY222" i="54" s="1"/>
  <c r="FV222" i="54"/>
  <c r="FU221" i="54"/>
  <c r="FW221" i="54" s="1"/>
  <c r="FR222" i="54" s="1"/>
  <c r="GH222" i="54"/>
  <c r="GE222" i="54"/>
  <c r="GG222" i="54"/>
  <c r="FX222" i="54" l="1"/>
  <c r="FZ222" i="54"/>
  <c r="GA222" i="54"/>
  <c r="GJ223" i="54"/>
  <c r="GI222" i="54"/>
  <c r="GK222" i="54" s="1"/>
  <c r="GF223" i="54" s="1"/>
  <c r="FQ222" i="54"/>
  <c r="FS222" i="54"/>
  <c r="FT222" i="54"/>
  <c r="FN222" i="54"/>
  <c r="FP222" i="54" s="1"/>
  <c r="FK223" i="54" s="1"/>
  <c r="FO223" i="54"/>
  <c r="GE223" i="54" l="1"/>
  <c r="GG223" i="54"/>
  <c r="GH223" i="54"/>
  <c r="FJ223" i="54"/>
  <c r="FM223" i="54"/>
  <c r="FL223" i="54"/>
  <c r="FU222" i="54"/>
  <c r="FW222" i="54" s="1"/>
  <c r="FR223" i="54" s="1"/>
  <c r="FV223" i="54"/>
  <c r="GC223" i="54"/>
  <c r="GB222" i="54"/>
  <c r="GD222" i="54" s="1"/>
  <c r="FY223" i="54" s="1"/>
  <c r="FZ223" i="54" l="1"/>
  <c r="GA223" i="54"/>
  <c r="FX223" i="54"/>
  <c r="FN223" i="54"/>
  <c r="FP223" i="54" s="1"/>
  <c r="FK224" i="54" s="1"/>
  <c r="FO224" i="54"/>
  <c r="GJ224" i="54"/>
  <c r="GI223" i="54"/>
  <c r="GK223" i="54" s="1"/>
  <c r="GF224" i="54" s="1"/>
  <c r="FQ223" i="54"/>
  <c r="FT223" i="54"/>
  <c r="FS223" i="54"/>
  <c r="GE224" i="54" l="1"/>
  <c r="GG224" i="54"/>
  <c r="GH224" i="54"/>
  <c r="FU223" i="54"/>
  <c r="FW223" i="54" s="1"/>
  <c r="FR224" i="54" s="1"/>
  <c r="FV224" i="54"/>
  <c r="FL224" i="54"/>
  <c r="FM224" i="54"/>
  <c r="FJ224" i="54"/>
  <c r="GB223" i="54"/>
  <c r="GD223" i="54" s="1"/>
  <c r="FY224" i="54" s="1"/>
  <c r="GC224" i="54"/>
  <c r="GA224" i="54" l="1"/>
  <c r="FZ224" i="54"/>
  <c r="FX224" i="54"/>
  <c r="FO225" i="54"/>
  <c r="FN224" i="54"/>
  <c r="FP224" i="54" s="1"/>
  <c r="FK225" i="54" s="1"/>
  <c r="FQ224" i="54"/>
  <c r="FS224" i="54"/>
  <c r="FT224" i="54"/>
  <c r="GI224" i="54"/>
  <c r="GK224" i="54" s="1"/>
  <c r="GF225" i="54" s="1"/>
  <c r="GJ225" i="54"/>
  <c r="FL225" i="54" l="1"/>
  <c r="FJ225" i="54"/>
  <c r="FM225" i="54"/>
  <c r="GH225" i="54"/>
  <c r="GG225" i="54"/>
  <c r="GE225" i="54"/>
  <c r="GC225" i="54"/>
  <c r="GB224" i="54"/>
  <c r="FV225" i="54"/>
  <c r="FU224" i="54"/>
  <c r="FW224" i="54" s="1"/>
  <c r="FR225" i="54" s="1"/>
  <c r="GD224" i="54"/>
  <c r="FY225" i="54" s="1"/>
  <c r="FZ225" i="54" l="1"/>
  <c r="GA225" i="54"/>
  <c r="FX225" i="54"/>
  <c r="GJ226" i="54"/>
  <c r="GI225" i="54"/>
  <c r="GK225" i="54" s="1"/>
  <c r="GF226" i="54" s="1"/>
  <c r="FS225" i="54"/>
  <c r="FQ225" i="54"/>
  <c r="FT225" i="54"/>
  <c r="FO226" i="54"/>
  <c r="FN225" i="54"/>
  <c r="FP225" i="54" s="1"/>
  <c r="FK226" i="54" s="1"/>
  <c r="FJ226" i="54" l="1"/>
  <c r="FL226" i="54"/>
  <c r="FM226" i="54"/>
  <c r="FV226" i="54"/>
  <c r="FU225" i="54"/>
  <c r="FW225" i="54" s="1"/>
  <c r="FR226" i="54" s="1"/>
  <c r="GG226" i="54"/>
  <c r="GE226" i="54"/>
  <c r="GH226" i="54"/>
  <c r="GB225" i="54"/>
  <c r="GD225" i="54" s="1"/>
  <c r="FY226" i="54" s="1"/>
  <c r="GC226" i="54"/>
  <c r="GJ227" i="54" l="1"/>
  <c r="GI226" i="54"/>
  <c r="FT226" i="54"/>
  <c r="FQ226" i="54"/>
  <c r="FS226" i="54"/>
  <c r="FZ226" i="54"/>
  <c r="FX226" i="54"/>
  <c r="GA226" i="54"/>
  <c r="FO227" i="54"/>
  <c r="FN226" i="54"/>
  <c r="FP226" i="54" s="1"/>
  <c r="FK227" i="54" s="1"/>
  <c r="GK226" i="54"/>
  <c r="GF227" i="54" s="1"/>
  <c r="FJ227" i="54" l="1"/>
  <c r="FM227" i="54"/>
  <c r="FL227" i="54"/>
  <c r="GC227" i="54"/>
  <c r="GB226" i="54"/>
  <c r="GD226" i="54" s="1"/>
  <c r="FY227" i="54" s="1"/>
  <c r="FV227" i="54"/>
  <c r="FU226" i="54"/>
  <c r="FW226" i="54" s="1"/>
  <c r="FR227" i="54" s="1"/>
  <c r="GG227" i="54"/>
  <c r="GH227" i="54"/>
  <c r="GE227" i="54"/>
  <c r="GA227" i="54" l="1"/>
  <c r="FZ227" i="54"/>
  <c r="FX227" i="54"/>
  <c r="GK227" i="54"/>
  <c r="GF228" i="54" s="1"/>
  <c r="FO228" i="54"/>
  <c r="FN227" i="54"/>
  <c r="FP227" i="54" s="1"/>
  <c r="FK228" i="54" s="1"/>
  <c r="GI227" i="54"/>
  <c r="GJ228" i="54"/>
  <c r="FS227" i="54"/>
  <c r="FQ227" i="54"/>
  <c r="FT227" i="54"/>
  <c r="FL228" i="54" l="1"/>
  <c r="FJ228" i="54"/>
  <c r="FM228" i="54"/>
  <c r="GG228" i="54"/>
  <c r="GE228" i="54"/>
  <c r="GH228" i="54"/>
  <c r="FV228" i="54"/>
  <c r="FU227" i="54"/>
  <c r="FW227" i="54" s="1"/>
  <c r="FR228" i="54" s="1"/>
  <c r="GB227" i="54"/>
  <c r="GD227" i="54" s="1"/>
  <c r="FY228" i="54" s="1"/>
  <c r="GC228" i="54"/>
  <c r="GJ229" i="54" l="1"/>
  <c r="GI228" i="54"/>
  <c r="GK228" i="54" s="1"/>
  <c r="GF229" i="54" s="1"/>
  <c r="FX228" i="54"/>
  <c r="FZ228" i="54"/>
  <c r="GA228" i="54"/>
  <c r="FS228" i="54"/>
  <c r="FT228" i="54"/>
  <c r="FQ228" i="54"/>
  <c r="FN228" i="54"/>
  <c r="FP228" i="54" s="1"/>
  <c r="FK229" i="54" s="1"/>
  <c r="FO229" i="54"/>
  <c r="FJ229" i="54" l="1"/>
  <c r="FL229" i="54"/>
  <c r="FM229" i="54"/>
  <c r="GE229" i="54"/>
  <c r="GG229" i="54"/>
  <c r="GH229" i="54"/>
  <c r="GB228" i="54"/>
  <c r="GD228" i="54" s="1"/>
  <c r="FY229" i="54" s="1"/>
  <c r="GC229" i="54"/>
  <c r="FV229" i="54"/>
  <c r="FU228" i="54"/>
  <c r="FW228" i="54" s="1"/>
  <c r="FR229" i="54" s="1"/>
  <c r="GJ230" i="54" l="1"/>
  <c r="GI229" i="54"/>
  <c r="GK229" i="54" s="1"/>
  <c r="GF230" i="54" s="1"/>
  <c r="FT229" i="54"/>
  <c r="FQ229" i="54"/>
  <c r="FS229" i="54"/>
  <c r="FO230" i="54"/>
  <c r="FN229" i="54"/>
  <c r="FP229" i="54" s="1"/>
  <c r="FK230" i="54" s="1"/>
  <c r="FX229" i="54"/>
  <c r="FZ229" i="54"/>
  <c r="GA229" i="54"/>
  <c r="FV230" i="54" l="1"/>
  <c r="FU229" i="54"/>
  <c r="FW229" i="54" s="1"/>
  <c r="FR230" i="54" s="1"/>
  <c r="GG230" i="54"/>
  <c r="GE230" i="54"/>
  <c r="GH230" i="54"/>
  <c r="GB229" i="54"/>
  <c r="GD229" i="54" s="1"/>
  <c r="FY230" i="54" s="1"/>
  <c r="GC230" i="54"/>
  <c r="FL230" i="54"/>
  <c r="FM230" i="54"/>
  <c r="FJ230" i="54"/>
  <c r="FX230" i="54" l="1"/>
  <c r="FZ230" i="54"/>
  <c r="GA230" i="54"/>
  <c r="FO231" i="54"/>
  <c r="FN230" i="54"/>
  <c r="FP230" i="54" s="1"/>
  <c r="FK231" i="54" s="1"/>
  <c r="GI230" i="54"/>
  <c r="GK230" i="54" s="1"/>
  <c r="GF231" i="54" s="1"/>
  <c r="GJ231" i="54"/>
  <c r="FT230" i="54"/>
  <c r="FS230" i="54"/>
  <c r="FQ230" i="54"/>
  <c r="FL231" i="54" l="1"/>
  <c r="FJ231" i="54"/>
  <c r="FM231" i="54"/>
  <c r="GG231" i="54"/>
  <c r="GE231" i="54"/>
  <c r="GH231" i="54"/>
  <c r="FU230" i="54"/>
  <c r="FW230" i="54" s="1"/>
  <c r="FR231" i="54" s="1"/>
  <c r="FV231" i="54"/>
  <c r="GB230" i="54"/>
  <c r="GD230" i="54" s="1"/>
  <c r="FY231" i="54" s="1"/>
  <c r="GC231" i="54"/>
  <c r="GA231" i="54" l="1"/>
  <c r="FX231" i="54"/>
  <c r="FZ231" i="54"/>
  <c r="GJ232" i="54"/>
  <c r="GI231" i="54"/>
  <c r="GK231" i="54" s="1"/>
  <c r="GF232" i="54" s="1"/>
  <c r="FT231" i="54"/>
  <c r="FQ231" i="54"/>
  <c r="FS231" i="54"/>
  <c r="FO232" i="54"/>
  <c r="FN231" i="54"/>
  <c r="FP231" i="54" s="1"/>
  <c r="FK232" i="54" s="1"/>
  <c r="GG232" i="54" l="1"/>
  <c r="GE232" i="54"/>
  <c r="GH232" i="54"/>
  <c r="FM232" i="54"/>
  <c r="FL232" i="54"/>
  <c r="FJ232" i="54"/>
  <c r="FV232" i="54"/>
  <c r="FU231" i="54"/>
  <c r="FW231" i="54" s="1"/>
  <c r="FR232" i="54" s="1"/>
  <c r="GC232" i="54"/>
  <c r="GB231" i="54"/>
  <c r="GD231" i="54" s="1"/>
  <c r="FY232" i="54" s="1"/>
  <c r="FO233" i="54" l="1"/>
  <c r="FN232" i="54"/>
  <c r="FP232" i="54" s="1"/>
  <c r="FK233" i="54" s="1"/>
  <c r="FX232" i="54"/>
  <c r="FZ232" i="54"/>
  <c r="GA232" i="54"/>
  <c r="FQ232" i="54"/>
  <c r="FT232" i="54"/>
  <c r="FS232" i="54"/>
  <c r="GJ233" i="54"/>
  <c r="GI232" i="54"/>
  <c r="GK232" i="54" s="1"/>
  <c r="GF233" i="54" s="1"/>
  <c r="GE233" i="54" l="1"/>
  <c r="GG233" i="54"/>
  <c r="GH233" i="54"/>
  <c r="GB232" i="54"/>
  <c r="GD232" i="54" s="1"/>
  <c r="FY233" i="54" s="1"/>
  <c r="GC233" i="54"/>
  <c r="FV233" i="54"/>
  <c r="FU232" i="54"/>
  <c r="FW232" i="54" s="1"/>
  <c r="FR233" i="54" s="1"/>
  <c r="FJ233" i="54"/>
  <c r="FL233" i="54"/>
  <c r="FM233" i="54"/>
  <c r="FZ233" i="54" l="1"/>
  <c r="FX233" i="54"/>
  <c r="GA233" i="54"/>
  <c r="FN233" i="54"/>
  <c r="FP233" i="54" s="1"/>
  <c r="FK234" i="54" s="1"/>
  <c r="FO234" i="54"/>
  <c r="GJ234" i="54"/>
  <c r="GI233" i="54"/>
  <c r="GK233" i="54" s="1"/>
  <c r="GF234" i="54" s="1"/>
  <c r="FT233" i="54"/>
  <c r="FQ233" i="54"/>
  <c r="FS233" i="54"/>
  <c r="FL234" i="54" l="1"/>
  <c r="FJ234" i="54"/>
  <c r="FM234" i="54"/>
  <c r="GH234" i="54"/>
  <c r="GE234" i="54"/>
  <c r="GG234" i="54"/>
  <c r="FU233" i="54"/>
  <c r="FW233" i="54" s="1"/>
  <c r="FR234" i="54" s="1"/>
  <c r="FV234" i="54"/>
  <c r="GC234" i="54"/>
  <c r="GB233" i="54"/>
  <c r="GD233" i="54" s="1"/>
  <c r="FY234" i="54" s="1"/>
  <c r="GJ235" i="54" l="1"/>
  <c r="GI234" i="54"/>
  <c r="GK234" i="54" s="1"/>
  <c r="GF235" i="54" s="1"/>
  <c r="FQ234" i="54"/>
  <c r="FT234" i="54"/>
  <c r="FS234" i="54"/>
  <c r="FZ234" i="54"/>
  <c r="GA234" i="54"/>
  <c r="FX234" i="54"/>
  <c r="FO235" i="54"/>
  <c r="FN234" i="54"/>
  <c r="FP234" i="54" s="1"/>
  <c r="FK235" i="54" s="1"/>
  <c r="FM235" i="54" l="1"/>
  <c r="FL235" i="54"/>
  <c r="FJ235" i="54"/>
  <c r="GC235" i="54"/>
  <c r="GB234" i="54"/>
  <c r="GD234" i="54" s="1"/>
  <c r="FY235" i="54" s="1"/>
  <c r="FV235" i="54"/>
  <c r="FU234" i="54"/>
  <c r="FW234" i="54" s="1"/>
  <c r="FR235" i="54" s="1"/>
  <c r="GG235" i="54"/>
  <c r="GE235" i="54"/>
  <c r="GH235" i="54"/>
  <c r="FX235" i="54" l="1"/>
  <c r="GA235" i="54"/>
  <c r="FZ235" i="54"/>
  <c r="GI235" i="54"/>
  <c r="GK235" i="54" s="1"/>
  <c r="GF236" i="54" s="1"/>
  <c r="GJ236" i="54"/>
  <c r="FN235" i="54"/>
  <c r="FP235" i="54" s="1"/>
  <c r="FK236" i="54" s="1"/>
  <c r="FO236" i="54"/>
  <c r="FS235" i="54"/>
  <c r="FT235" i="54"/>
  <c r="FQ235" i="54"/>
  <c r="GE236" i="54" l="1"/>
  <c r="GG236" i="54"/>
  <c r="GH236" i="54"/>
  <c r="GC236" i="54"/>
  <c r="GB235" i="54"/>
  <c r="GD235" i="54" s="1"/>
  <c r="FY236" i="54" s="1"/>
  <c r="FV236" i="54"/>
  <c r="FU235" i="54"/>
  <c r="FW235" i="54" s="1"/>
  <c r="FR236" i="54" s="1"/>
  <c r="FL236" i="54"/>
  <c r="FM236" i="54"/>
  <c r="FJ236" i="54"/>
  <c r="GA236" i="54" l="1"/>
  <c r="FZ236" i="54"/>
  <c r="FX236" i="54"/>
  <c r="FO237" i="54"/>
  <c r="FN236" i="54"/>
  <c r="FP236" i="54" s="1"/>
  <c r="FK237" i="54" s="1"/>
  <c r="GJ237" i="54"/>
  <c r="GI236" i="54"/>
  <c r="GK236" i="54" s="1"/>
  <c r="GF237" i="54" s="1"/>
  <c r="FQ236" i="54"/>
  <c r="FS236" i="54"/>
  <c r="FT236" i="54"/>
  <c r="FL237" i="54" l="1"/>
  <c r="FJ237" i="54"/>
  <c r="FM237" i="54"/>
  <c r="FU236" i="54"/>
  <c r="FW236" i="54" s="1"/>
  <c r="FR237" i="54" s="1"/>
  <c r="FV237" i="54"/>
  <c r="GB236" i="54"/>
  <c r="GD236" i="54" s="1"/>
  <c r="FY237" i="54" s="1"/>
  <c r="GC237" i="54"/>
  <c r="GG237" i="54"/>
  <c r="GE237" i="54"/>
  <c r="GH237" i="54"/>
  <c r="FT237" i="54" l="1"/>
  <c r="FS237" i="54"/>
  <c r="FQ237" i="54"/>
  <c r="GJ238" i="54"/>
  <c r="GI237" i="54"/>
  <c r="GK237" i="54" s="1"/>
  <c r="GF238" i="54" s="1"/>
  <c r="GA237" i="54"/>
  <c r="FX237" i="54"/>
  <c r="FZ237" i="54"/>
  <c r="FO238" i="54"/>
  <c r="FN237" i="54"/>
  <c r="FP237" i="54" s="1"/>
  <c r="FK238" i="54" s="1"/>
  <c r="GE238" i="54" l="1"/>
  <c r="GH238" i="54"/>
  <c r="GG238" i="54"/>
  <c r="FM238" i="54"/>
  <c r="FL238" i="54"/>
  <c r="FJ238" i="54"/>
  <c r="GC238" i="54"/>
  <c r="GB237" i="54"/>
  <c r="GD237" i="54" s="1"/>
  <c r="FY238" i="54" s="1"/>
  <c r="FV238" i="54"/>
  <c r="FU237" i="54"/>
  <c r="FW237" i="54" s="1"/>
  <c r="FR238" i="54" s="1"/>
  <c r="FO239" i="54" l="1"/>
  <c r="FN238" i="54"/>
  <c r="FP238" i="54" s="1"/>
  <c r="FK239" i="54" s="1"/>
  <c r="GI238" i="54"/>
  <c r="GK238" i="54" s="1"/>
  <c r="GF239" i="54" s="1"/>
  <c r="GJ239" i="54"/>
  <c r="FS238" i="54"/>
  <c r="FQ238" i="54"/>
  <c r="FT238" i="54"/>
  <c r="FX238" i="54"/>
  <c r="GA238" i="54"/>
  <c r="FZ238" i="54"/>
  <c r="FV239" i="54" l="1"/>
  <c r="FU238" i="54"/>
  <c r="FW238" i="54" s="1"/>
  <c r="FR239" i="54" s="1"/>
  <c r="GC239" i="54"/>
  <c r="GB238" i="54"/>
  <c r="GD238" i="54" s="1"/>
  <c r="FY239" i="54" s="1"/>
  <c r="GE239" i="54"/>
  <c r="GG239" i="54"/>
  <c r="GH239" i="54"/>
  <c r="FJ239" i="54"/>
  <c r="FM239" i="54"/>
  <c r="FL239" i="54"/>
  <c r="FX239" i="54" l="1"/>
  <c r="FZ239" i="54"/>
  <c r="GA239" i="54"/>
  <c r="FO240" i="54"/>
  <c r="FN239" i="54"/>
  <c r="FP239" i="54" s="1"/>
  <c r="FK240" i="54" s="1"/>
  <c r="GI239" i="54"/>
  <c r="GK239" i="54" s="1"/>
  <c r="GF240" i="54" s="1"/>
  <c r="GJ240" i="54"/>
  <c r="FS239" i="54"/>
  <c r="FQ239" i="54"/>
  <c r="FT239" i="54"/>
  <c r="GG240" i="54" l="1"/>
  <c r="GH240" i="54"/>
  <c r="GE240" i="54"/>
  <c r="FL240" i="54"/>
  <c r="FJ240" i="54"/>
  <c r="FM240" i="54"/>
  <c r="GC240" i="54"/>
  <c r="GB239" i="54"/>
  <c r="GD239" i="54" s="1"/>
  <c r="FY240" i="54" s="1"/>
  <c r="FV240" i="54"/>
  <c r="FU239" i="54"/>
  <c r="FW239" i="54" s="1"/>
  <c r="FR240" i="54" s="1"/>
  <c r="GA240" i="54" l="1"/>
  <c r="FX240" i="54"/>
  <c r="FZ240" i="54"/>
  <c r="FT240" i="54"/>
  <c r="FQ240" i="54"/>
  <c r="FS240" i="54"/>
  <c r="FN240" i="54"/>
  <c r="FP240" i="54" s="1"/>
  <c r="FK241" i="54" s="1"/>
  <c r="FO241" i="54"/>
  <c r="GJ241" i="54"/>
  <c r="GI240" i="54"/>
  <c r="GK240" i="54" s="1"/>
  <c r="GF241" i="54" s="1"/>
  <c r="GE241" i="54" l="1"/>
  <c r="GG241" i="54"/>
  <c r="GH241" i="54"/>
  <c r="FV241" i="54"/>
  <c r="FU240" i="54"/>
  <c r="FW240" i="54" s="1"/>
  <c r="FR241" i="54" s="1"/>
  <c r="GC241" i="54"/>
  <c r="GB240" i="54"/>
  <c r="FM241" i="54"/>
  <c r="FL241" i="54"/>
  <c r="FJ241" i="54"/>
  <c r="GD240" i="54"/>
  <c r="FY241" i="54" s="1"/>
  <c r="FQ241" i="54" l="1"/>
  <c r="FT241" i="54"/>
  <c r="FS241" i="54"/>
  <c r="FO242" i="54"/>
  <c r="FN241" i="54"/>
  <c r="FP241" i="54" s="1"/>
  <c r="FK242" i="54" s="1"/>
  <c r="GJ242" i="54"/>
  <c r="GI241" i="54"/>
  <c r="GK241" i="54" s="1"/>
  <c r="GF242" i="54" s="1"/>
  <c r="FZ241" i="54"/>
  <c r="GA241" i="54"/>
  <c r="FX241" i="54"/>
  <c r="GE242" i="54" l="1"/>
  <c r="GG242" i="54"/>
  <c r="GH242" i="54"/>
  <c r="FM242" i="54"/>
  <c r="FJ242" i="54"/>
  <c r="FL242" i="54"/>
  <c r="FV242" i="54"/>
  <c r="FU241" i="54"/>
  <c r="FW241" i="54" s="1"/>
  <c r="FR242" i="54" s="1"/>
  <c r="GC242" i="54"/>
  <c r="GB241" i="54"/>
  <c r="GD241" i="54" s="1"/>
  <c r="FY242" i="54" s="1"/>
  <c r="FX242" i="54" l="1"/>
  <c r="FZ242" i="54"/>
  <c r="GA242" i="54"/>
  <c r="FO243" i="54"/>
  <c r="FN242" i="54"/>
  <c r="FP242" i="54" s="1"/>
  <c r="FK243" i="54" s="1"/>
  <c r="FQ242" i="54"/>
  <c r="FS242" i="54"/>
  <c r="FT242" i="54"/>
  <c r="GI242" i="54"/>
  <c r="GK242" i="54" s="1"/>
  <c r="GF243" i="54" s="1"/>
  <c r="GJ243" i="54"/>
  <c r="FL243" i="54" l="1"/>
  <c r="FJ243" i="54"/>
  <c r="FM243" i="54"/>
  <c r="GG243" i="54"/>
  <c r="GE243" i="54"/>
  <c r="GH243" i="54"/>
  <c r="GB242" i="54"/>
  <c r="GD242" i="54" s="1"/>
  <c r="FY243" i="54" s="1"/>
  <c r="GC243" i="54"/>
  <c r="FV243" i="54"/>
  <c r="FU242" i="54"/>
  <c r="FW242" i="54" s="1"/>
  <c r="FR243" i="54" s="1"/>
  <c r="GI243" i="54" l="1"/>
  <c r="GK243" i="54" s="1"/>
  <c r="GF244" i="54" s="1"/>
  <c r="GJ244" i="54"/>
  <c r="FQ243" i="54"/>
  <c r="FT243" i="54"/>
  <c r="FS243" i="54"/>
  <c r="FZ243" i="54"/>
  <c r="GA243" i="54"/>
  <c r="FX243" i="54"/>
  <c r="FO244" i="54"/>
  <c r="FN243" i="54"/>
  <c r="FP243" i="54" s="1"/>
  <c r="FK244" i="54" s="1"/>
  <c r="FJ244" i="54" l="1"/>
  <c r="FM244" i="54"/>
  <c r="FL244" i="54"/>
  <c r="FV244" i="54"/>
  <c r="FU243" i="54"/>
  <c r="FW243" i="54" s="1"/>
  <c r="FR244" i="54" s="1"/>
  <c r="GB243" i="54"/>
  <c r="GD243" i="54" s="1"/>
  <c r="FY244" i="54" s="1"/>
  <c r="GC244" i="54"/>
  <c r="GG244" i="54"/>
  <c r="GE244" i="54"/>
  <c r="GH244" i="54"/>
  <c r="FX244" i="54" l="1"/>
  <c r="FZ244" i="54"/>
  <c r="GA244" i="54"/>
  <c r="FS244" i="54"/>
  <c r="FQ244" i="54"/>
  <c r="FT244" i="54"/>
  <c r="FO245" i="54"/>
  <c r="FN244" i="54"/>
  <c r="FP244" i="54" s="1"/>
  <c r="FK245" i="54" s="1"/>
  <c r="GJ245" i="54"/>
  <c r="GI244" i="54"/>
  <c r="GK244" i="54" s="1"/>
  <c r="GF245" i="54" s="1"/>
  <c r="GG245" i="54" l="1"/>
  <c r="GH245" i="54"/>
  <c r="GE245" i="54"/>
  <c r="FV245" i="54"/>
  <c r="FU244" i="54"/>
  <c r="FW244" i="54" s="1"/>
  <c r="FR245" i="54" s="1"/>
  <c r="GC245" i="54"/>
  <c r="GB244" i="54"/>
  <c r="GD244" i="54" s="1"/>
  <c r="FY245" i="54" s="1"/>
  <c r="FJ245" i="54"/>
  <c r="FM245" i="54"/>
  <c r="FL245" i="54"/>
  <c r="FZ245" i="54" l="1"/>
  <c r="FX245" i="54"/>
  <c r="GA245" i="54"/>
  <c r="FQ245" i="54"/>
  <c r="FT245" i="54"/>
  <c r="FS245" i="54"/>
  <c r="FP245" i="54"/>
  <c r="FK246" i="54" s="1"/>
  <c r="FO246" i="54"/>
  <c r="FN245" i="54"/>
  <c r="GJ246" i="54"/>
  <c r="GI245" i="54"/>
  <c r="GK245" i="54" s="1"/>
  <c r="GF246" i="54" s="1"/>
  <c r="GE246" i="54" l="1"/>
  <c r="GG246" i="54"/>
  <c r="GH246" i="54"/>
  <c r="FV246" i="54"/>
  <c r="FU245" i="54"/>
  <c r="FW245" i="54" s="1"/>
  <c r="FR246" i="54" s="1"/>
  <c r="FL246" i="54"/>
  <c r="FJ246" i="54"/>
  <c r="FM246" i="54"/>
  <c r="GC246" i="54"/>
  <c r="GB245" i="54"/>
  <c r="GD245" i="54" s="1"/>
  <c r="FY246" i="54" s="1"/>
  <c r="FZ246" i="54" l="1"/>
  <c r="GA246" i="54"/>
  <c r="FX246" i="54"/>
  <c r="FS246" i="54"/>
  <c r="FT246" i="54"/>
  <c r="FQ246" i="54"/>
  <c r="FP246" i="54"/>
  <c r="FK247" i="54" s="1"/>
  <c r="GJ247" i="54"/>
  <c r="GI246" i="54"/>
  <c r="GK246" i="54" s="1"/>
  <c r="GF247" i="54" s="1"/>
  <c r="FN246" i="54"/>
  <c r="FO247" i="54"/>
  <c r="GG247" i="54" l="1"/>
  <c r="GE247" i="54"/>
  <c r="GH247" i="54"/>
  <c r="FV247" i="54"/>
  <c r="FU246" i="54"/>
  <c r="FW246" i="54" s="1"/>
  <c r="FR247" i="54" s="1"/>
  <c r="FL247" i="54"/>
  <c r="FJ247" i="54"/>
  <c r="FM247" i="54"/>
  <c r="GC247" i="54"/>
  <c r="GB246" i="54"/>
  <c r="GD246" i="54" s="1"/>
  <c r="FY247" i="54" s="1"/>
  <c r="FX247" i="54" l="1"/>
  <c r="FZ247" i="54"/>
  <c r="GA247" i="54"/>
  <c r="FO248" i="54"/>
  <c r="FN247" i="54"/>
  <c r="FP247" i="54" s="1"/>
  <c r="FK248" i="54" s="1"/>
  <c r="FQ247" i="54"/>
  <c r="FS247" i="54"/>
  <c r="FT247" i="54"/>
  <c r="GI247" i="54"/>
  <c r="GK247" i="54" s="1"/>
  <c r="GF248" i="54" s="1"/>
  <c r="GJ248" i="54"/>
  <c r="FL248" i="54" l="1"/>
  <c r="FJ248" i="54"/>
  <c r="FM248" i="54"/>
  <c r="GE248" i="54"/>
  <c r="GG248" i="54"/>
  <c r="GH248" i="54"/>
  <c r="GB247" i="54"/>
  <c r="GD247" i="54" s="1"/>
  <c r="FY248" i="54" s="1"/>
  <c r="GC248" i="54"/>
  <c r="FV248" i="54"/>
  <c r="FU247" i="54"/>
  <c r="FW247" i="54" s="1"/>
  <c r="FR248" i="54" s="1"/>
  <c r="FZ248" i="54" l="1"/>
  <c r="GA248" i="54"/>
  <c r="FX248" i="54"/>
  <c r="GJ249" i="54"/>
  <c r="GI248" i="54"/>
  <c r="GK248" i="54" s="1"/>
  <c r="GF249" i="54" s="1"/>
  <c r="FQ248" i="54"/>
  <c r="FS248" i="54"/>
  <c r="FT248" i="54"/>
  <c r="FO249" i="54"/>
  <c r="FN248" i="54"/>
  <c r="FP248" i="54" s="1"/>
  <c r="FK249" i="54" s="1"/>
  <c r="GH249" i="54" l="1"/>
  <c r="GG249" i="54"/>
  <c r="GE249" i="54"/>
  <c r="FL249" i="54"/>
  <c r="FJ249" i="54"/>
  <c r="FM249" i="54"/>
  <c r="FV249" i="54"/>
  <c r="FU248" i="54"/>
  <c r="FW248" i="54" s="1"/>
  <c r="FR249" i="54" s="1"/>
  <c r="GC249" i="54"/>
  <c r="GB248" i="54"/>
  <c r="GD248" i="54" s="1"/>
  <c r="FY249" i="54" s="1"/>
  <c r="FX249" i="54" l="1"/>
  <c r="FZ249" i="54"/>
  <c r="GA249" i="54"/>
  <c r="FT249" i="54"/>
  <c r="FQ249" i="54"/>
  <c r="FS249" i="54"/>
  <c r="FN249" i="54"/>
  <c r="FP249" i="54" s="1"/>
  <c r="FK250" i="54" s="1"/>
  <c r="FO250" i="54"/>
  <c r="GJ250" i="54"/>
  <c r="GI249" i="54"/>
  <c r="GK249" i="54" s="1"/>
  <c r="GF250" i="54" s="1"/>
  <c r="FM250" i="54" l="1"/>
  <c r="FL250" i="54"/>
  <c r="FJ250" i="54"/>
  <c r="FV250" i="54"/>
  <c r="FU249" i="54"/>
  <c r="FW249" i="54" s="1"/>
  <c r="FR250" i="54" s="1"/>
  <c r="GC250" i="54"/>
  <c r="GB249" i="54"/>
  <c r="GD249" i="54" s="1"/>
  <c r="FY250" i="54" s="1"/>
  <c r="GE250" i="54"/>
  <c r="GG250" i="54"/>
  <c r="GH250" i="54"/>
  <c r="FQ250" i="54" l="1"/>
  <c r="FT250" i="54"/>
  <c r="FS250" i="54"/>
  <c r="GJ251" i="54"/>
  <c r="GI250" i="54"/>
  <c r="GK250" i="54" s="1"/>
  <c r="GF251" i="54" s="1"/>
  <c r="FO251" i="54"/>
  <c r="FN250" i="54"/>
  <c r="FP250" i="54" s="1"/>
  <c r="FK251" i="54" s="1"/>
  <c r="GA250" i="54"/>
  <c r="FZ250" i="54"/>
  <c r="FX250" i="54"/>
  <c r="GC251" i="54" l="1"/>
  <c r="GB250" i="54"/>
  <c r="FL251" i="54"/>
  <c r="FJ251" i="54"/>
  <c r="FM251" i="54"/>
  <c r="GD250" i="54"/>
  <c r="FY251" i="54" s="1"/>
  <c r="GE251" i="54"/>
  <c r="GG251" i="54"/>
  <c r="GH251" i="54"/>
  <c r="FV251" i="54"/>
  <c r="FU250" i="54"/>
  <c r="FW250" i="54" s="1"/>
  <c r="FR251" i="54" s="1"/>
  <c r="FZ251" i="54" l="1"/>
  <c r="FX251" i="54"/>
  <c r="GA251" i="54"/>
  <c r="FT251" i="54"/>
  <c r="FQ251" i="54"/>
  <c r="FS251" i="54"/>
  <c r="FO252" i="54"/>
  <c r="FN251" i="54"/>
  <c r="FP251" i="54" s="1"/>
  <c r="FK252" i="54" s="1"/>
  <c r="GJ252" i="54"/>
  <c r="GI251" i="54"/>
  <c r="GK251" i="54" s="1"/>
  <c r="GF252" i="54" s="1"/>
  <c r="FL252" i="54" l="1"/>
  <c r="FJ252" i="54"/>
  <c r="FM252" i="54"/>
  <c r="FV252" i="54"/>
  <c r="FU251" i="54"/>
  <c r="FW251" i="54" s="1"/>
  <c r="FR252" i="54" s="1"/>
  <c r="GE252" i="54"/>
  <c r="GG252" i="54"/>
  <c r="GH252" i="54"/>
  <c r="GC252" i="54"/>
  <c r="GB251" i="54"/>
  <c r="GD251" i="54" s="1"/>
  <c r="FY252" i="54" s="1"/>
  <c r="FX252" i="54" l="1"/>
  <c r="GA252" i="54"/>
  <c r="FZ252" i="54"/>
  <c r="FS252" i="54"/>
  <c r="FT252" i="54"/>
  <c r="FQ252" i="54"/>
  <c r="GI252" i="54"/>
  <c r="GK252" i="54" s="1"/>
  <c r="GF253" i="54" s="1"/>
  <c r="GJ253" i="54"/>
  <c r="FO253" i="54"/>
  <c r="FN252" i="54"/>
  <c r="FP252" i="54" s="1"/>
  <c r="FK253" i="54" s="1"/>
  <c r="FM253" i="54" l="1"/>
  <c r="FL253" i="54"/>
  <c r="FJ253" i="54"/>
  <c r="GH253" i="54"/>
  <c r="GE253" i="54"/>
  <c r="GG253" i="54"/>
  <c r="FV253" i="54"/>
  <c r="FU252" i="54"/>
  <c r="FW252" i="54" s="1"/>
  <c r="FR253" i="54" s="1"/>
  <c r="GC253" i="54"/>
  <c r="GB252" i="54"/>
  <c r="GD252" i="54" s="1"/>
  <c r="FY253" i="54" s="1"/>
  <c r="GI253" i="54" l="1"/>
  <c r="GJ254" i="54"/>
  <c r="GK253" i="54"/>
  <c r="GF254" i="54" s="1"/>
  <c r="FZ253" i="54"/>
  <c r="FX253" i="54"/>
  <c r="GA253" i="54"/>
  <c r="FS253" i="54"/>
  <c r="FQ253" i="54"/>
  <c r="FT253" i="54"/>
  <c r="FO254" i="54"/>
  <c r="FN253" i="54"/>
  <c r="FP253" i="54" s="1"/>
  <c r="FK254" i="54" s="1"/>
  <c r="FJ254" i="54" l="1"/>
  <c r="FL254" i="54"/>
  <c r="FM254" i="54"/>
  <c r="GC254" i="54"/>
  <c r="GB253" i="54"/>
  <c r="GD253" i="54" s="1"/>
  <c r="FY254" i="54" s="1"/>
  <c r="GH254" i="54"/>
  <c r="GE254" i="54"/>
  <c r="GG254" i="54"/>
  <c r="FU253" i="54"/>
  <c r="FW253" i="54" s="1"/>
  <c r="FR254" i="54" s="1"/>
  <c r="FV254" i="54"/>
  <c r="FZ254" i="54" l="1"/>
  <c r="GA254" i="54"/>
  <c r="FX254" i="54"/>
  <c r="FT254" i="54"/>
  <c r="FQ254" i="54"/>
  <c r="FS254" i="54"/>
  <c r="FN254" i="54"/>
  <c r="FP254" i="54" s="1"/>
  <c r="FK255" i="54" s="1"/>
  <c r="FO255" i="54"/>
  <c r="GJ255" i="54"/>
  <c r="GI254" i="54"/>
  <c r="GK254" i="54" s="1"/>
  <c r="GF255" i="54" s="1"/>
  <c r="GG255" i="54" l="1"/>
  <c r="GE255" i="54"/>
  <c r="GH255" i="54"/>
  <c r="FM255" i="54"/>
  <c r="FL255" i="54"/>
  <c r="FJ255" i="54"/>
  <c r="GD254" i="54"/>
  <c r="FY255" i="54" s="1"/>
  <c r="GC255" i="54"/>
  <c r="GB254" i="54"/>
  <c r="FV255" i="54"/>
  <c r="FU254" i="54"/>
  <c r="FW254" i="54" s="1"/>
  <c r="FR255" i="54" s="1"/>
  <c r="FO256" i="54" l="1"/>
  <c r="FN255" i="54"/>
  <c r="FP255" i="54" s="1"/>
  <c r="FK256" i="54" s="1"/>
  <c r="FX255" i="54"/>
  <c r="FZ255" i="54"/>
  <c r="GA255" i="54"/>
  <c r="FS255" i="54"/>
  <c r="FQ255" i="54"/>
  <c r="FT255" i="54"/>
  <c r="GJ256" i="54"/>
  <c r="GI255" i="54"/>
  <c r="GK255" i="54" s="1"/>
  <c r="GF256" i="54" s="1"/>
  <c r="GC256" i="54" l="1"/>
  <c r="GB255" i="54"/>
  <c r="GD255" i="54" s="1"/>
  <c r="FY256" i="54" s="1"/>
  <c r="GH256" i="54"/>
  <c r="GG256" i="54"/>
  <c r="GE256" i="54"/>
  <c r="FL256" i="54"/>
  <c r="FJ256" i="54"/>
  <c r="FM256" i="54"/>
  <c r="FV256" i="54"/>
  <c r="FU255" i="54"/>
  <c r="FW255" i="54" s="1"/>
  <c r="FR256" i="54" s="1"/>
  <c r="FZ256" i="54" l="1"/>
  <c r="GA256" i="54"/>
  <c r="FX256" i="54"/>
  <c r="GJ257" i="54"/>
  <c r="GI256" i="54"/>
  <c r="GK256" i="54" s="1"/>
  <c r="GF257" i="54" s="1"/>
  <c r="FS256" i="54"/>
  <c r="FT256" i="54"/>
  <c r="FQ256" i="54"/>
  <c r="FO257" i="54"/>
  <c r="FN256" i="54"/>
  <c r="FP256" i="54" s="1"/>
  <c r="FK257" i="54" s="1"/>
  <c r="FL257" i="54" l="1"/>
  <c r="FJ257" i="54"/>
  <c r="FM257" i="54"/>
  <c r="FV257" i="54"/>
  <c r="FU256" i="54"/>
  <c r="FW256" i="54" s="1"/>
  <c r="FR257" i="54" s="1"/>
  <c r="GE257" i="54"/>
  <c r="GG257" i="54"/>
  <c r="GH257" i="54"/>
  <c r="GC257" i="54"/>
  <c r="GB256" i="54"/>
  <c r="GD256" i="54" s="1"/>
  <c r="FY257" i="54" s="1"/>
  <c r="FQ257" i="54" l="1"/>
  <c r="FT257" i="54"/>
  <c r="FS257" i="54"/>
  <c r="FX257" i="54"/>
  <c r="FZ257" i="54"/>
  <c r="GA257" i="54"/>
  <c r="GI257" i="54"/>
  <c r="GK257" i="54" s="1"/>
  <c r="GF258" i="54" s="1"/>
  <c r="GJ258" i="54"/>
  <c r="FN257" i="54"/>
  <c r="FP257" i="54" s="1"/>
  <c r="FK258" i="54" s="1"/>
  <c r="FO258" i="54"/>
  <c r="GG258" i="54" l="1"/>
  <c r="GH258" i="54"/>
  <c r="GE258" i="54"/>
  <c r="GC258" i="54"/>
  <c r="GB257" i="54"/>
  <c r="GD257" i="54" s="1"/>
  <c r="FY258" i="54" s="1"/>
  <c r="FM258" i="54"/>
  <c r="FL258" i="54"/>
  <c r="FJ258" i="54"/>
  <c r="FU257" i="54"/>
  <c r="FW257" i="54" s="1"/>
  <c r="FR258" i="54" s="1"/>
  <c r="FV258" i="54"/>
  <c r="GA258" i="54" l="1"/>
  <c r="FX258" i="54"/>
  <c r="FZ258" i="54"/>
  <c r="FT258" i="54"/>
  <c r="FQ258" i="54"/>
  <c r="FS258" i="54"/>
  <c r="FN258" i="54"/>
  <c r="FP258" i="54" s="1"/>
  <c r="FK259" i="54" s="1"/>
  <c r="FO259" i="54"/>
  <c r="GI258" i="54"/>
  <c r="GK258" i="54" s="1"/>
  <c r="GF259" i="54" s="1"/>
  <c r="GJ259" i="54"/>
  <c r="GG259" i="54" l="1"/>
  <c r="GH259" i="54"/>
  <c r="GE259" i="54"/>
  <c r="FM259" i="54"/>
  <c r="FJ259" i="54"/>
  <c r="FL259" i="54"/>
  <c r="GC259" i="54"/>
  <c r="GB258" i="54"/>
  <c r="GD258" i="54" s="1"/>
  <c r="FY259" i="54" s="1"/>
  <c r="FV259" i="54"/>
  <c r="FU258" i="54"/>
  <c r="FW258" i="54" s="1"/>
  <c r="FR259" i="54" s="1"/>
  <c r="FN259" i="54" l="1"/>
  <c r="FO260" i="54"/>
  <c r="FZ259" i="54"/>
  <c r="FX259" i="54"/>
  <c r="GA259" i="54"/>
  <c r="FT259" i="54"/>
  <c r="FQ259" i="54"/>
  <c r="FS259" i="54"/>
  <c r="FP259" i="54"/>
  <c r="FK260" i="54" s="1"/>
  <c r="GJ260" i="54"/>
  <c r="GI259" i="54"/>
  <c r="GK259" i="54" s="1"/>
  <c r="GF260" i="54" s="1"/>
  <c r="GE260" i="54" l="1"/>
  <c r="GG260" i="54"/>
  <c r="GH260" i="54"/>
  <c r="FM260" i="54"/>
  <c r="FL260" i="54"/>
  <c r="FJ260" i="54"/>
  <c r="GB259" i="54"/>
  <c r="GD259" i="54" s="1"/>
  <c r="FY260" i="54" s="1"/>
  <c r="GC260" i="54"/>
  <c r="FV260" i="54"/>
  <c r="FU259" i="54"/>
  <c r="FW259" i="54" s="1"/>
  <c r="FR260" i="54" s="1"/>
  <c r="FX260" i="54" l="1"/>
  <c r="GA260" i="54"/>
  <c r="FZ260" i="54"/>
  <c r="FT260" i="54"/>
  <c r="FQ260" i="54"/>
  <c r="FS260" i="54"/>
  <c r="GI260" i="54"/>
  <c r="GK260" i="54" s="1"/>
  <c r="GF261" i="54" s="1"/>
  <c r="GJ261" i="54"/>
  <c r="FN260" i="54"/>
  <c r="FP260" i="54" s="1"/>
  <c r="FK261" i="54" s="1"/>
  <c r="FO261" i="54"/>
  <c r="GE261" i="54" l="1"/>
  <c r="GH261" i="54"/>
  <c r="GG261" i="54"/>
  <c r="FU260" i="54"/>
  <c r="FW260" i="54" s="1"/>
  <c r="FR261" i="54" s="1"/>
  <c r="FV261" i="54"/>
  <c r="FL261" i="54"/>
  <c r="FJ261" i="54"/>
  <c r="FM261" i="54"/>
  <c r="GB260" i="54"/>
  <c r="GD260" i="54" s="1"/>
  <c r="FY261" i="54" s="1"/>
  <c r="GC261" i="54"/>
  <c r="FO262" i="54" l="1"/>
  <c r="FN261" i="54"/>
  <c r="GJ262" i="54"/>
  <c r="GI261" i="54"/>
  <c r="GK261" i="54" s="1"/>
  <c r="GF262" i="54" s="1"/>
  <c r="FT261" i="54"/>
  <c r="FQ261" i="54"/>
  <c r="FS261" i="54"/>
  <c r="FZ261" i="54"/>
  <c r="GA261" i="54"/>
  <c r="FX261" i="54"/>
  <c r="FP261" i="54"/>
  <c r="FK262" i="54" s="1"/>
  <c r="GG262" i="54" l="1"/>
  <c r="GE262" i="54"/>
  <c r="GH262" i="54"/>
  <c r="FM262" i="54"/>
  <c r="FL262" i="54"/>
  <c r="FJ262" i="54"/>
  <c r="GC262" i="54"/>
  <c r="GB261" i="54"/>
  <c r="GD261" i="54" s="1"/>
  <c r="FY262" i="54" s="1"/>
  <c r="FV262" i="54"/>
  <c r="FU261" i="54"/>
  <c r="FW261" i="54" s="1"/>
  <c r="FR262" i="54" s="1"/>
  <c r="FO263" i="54" l="1"/>
  <c r="FN262" i="54"/>
  <c r="FP262" i="54" s="1"/>
  <c r="FK263" i="54" s="1"/>
  <c r="FQ262" i="54"/>
  <c r="FT262" i="54"/>
  <c r="FS262" i="54"/>
  <c r="FZ262" i="54"/>
  <c r="FX262" i="54"/>
  <c r="GA262" i="54"/>
  <c r="GJ263" i="54"/>
  <c r="GI262" i="54"/>
  <c r="GK262" i="54" s="1"/>
  <c r="GF263" i="54" s="1"/>
  <c r="FV263" i="54" l="1"/>
  <c r="FU262" i="54"/>
  <c r="FW262" i="54" s="1"/>
  <c r="FR263" i="54" s="1"/>
  <c r="FL263" i="54"/>
  <c r="FJ263" i="54"/>
  <c r="FM263" i="54"/>
  <c r="GG263" i="54"/>
  <c r="GH263" i="54"/>
  <c r="GE263" i="54"/>
  <c r="GC263" i="54"/>
  <c r="GB262" i="54"/>
  <c r="GD262" i="54" s="1"/>
  <c r="FY263" i="54" s="1"/>
  <c r="GJ264" i="54" l="1"/>
  <c r="GI263" i="54"/>
  <c r="GK263" i="54" s="1"/>
  <c r="GF264" i="54" s="1"/>
  <c r="FZ263" i="54"/>
  <c r="GA263" i="54"/>
  <c r="FX263" i="54"/>
  <c r="FO264" i="54"/>
  <c r="FN263" i="54"/>
  <c r="FP263" i="54" s="1"/>
  <c r="FK264" i="54" s="1"/>
  <c r="FT263" i="54"/>
  <c r="FQ263" i="54"/>
  <c r="FS263" i="54"/>
  <c r="FL264" i="54" l="1"/>
  <c r="FJ264" i="54"/>
  <c r="FM264" i="54"/>
  <c r="FV264" i="54"/>
  <c r="FU263" i="54"/>
  <c r="FW263" i="54" s="1"/>
  <c r="FR264" i="54" s="1"/>
  <c r="GE264" i="54"/>
  <c r="GG264" i="54"/>
  <c r="GH264" i="54"/>
  <c r="GC264" i="54"/>
  <c r="GB263" i="54"/>
  <c r="GD263" i="54" s="1"/>
  <c r="FY264" i="54" s="1"/>
  <c r="GJ265" i="54" l="1"/>
  <c r="GI264" i="54"/>
  <c r="GK264" i="54" s="1"/>
  <c r="GF265" i="54" s="1"/>
  <c r="FQ264" i="54"/>
  <c r="FT264" i="54"/>
  <c r="FS264" i="54"/>
  <c r="GA264" i="54"/>
  <c r="FZ264" i="54"/>
  <c r="FX264" i="54"/>
  <c r="FO265" i="54"/>
  <c r="FN264" i="54"/>
  <c r="FP264" i="54" s="1"/>
  <c r="FK265" i="54" s="1"/>
  <c r="FL265" i="54" l="1"/>
  <c r="FM265" i="54"/>
  <c r="FJ265" i="54"/>
  <c r="FV265" i="54"/>
  <c r="FU264" i="54"/>
  <c r="FW264" i="54" s="1"/>
  <c r="FR265" i="54" s="1"/>
  <c r="GG265" i="54"/>
  <c r="GH265" i="54"/>
  <c r="GE265" i="54"/>
  <c r="GC265" i="54"/>
  <c r="GB264" i="54"/>
  <c r="GD264" i="54" s="1"/>
  <c r="FY265" i="54" s="1"/>
  <c r="GJ266" i="54" l="1"/>
  <c r="GI265" i="54"/>
  <c r="FX265" i="54"/>
  <c r="GA265" i="54"/>
  <c r="FZ265" i="54"/>
  <c r="GK265" i="54"/>
  <c r="GF266" i="54" s="1"/>
  <c r="FT265" i="54"/>
  <c r="FQ265" i="54"/>
  <c r="FS265" i="54"/>
  <c r="FO266" i="54"/>
  <c r="FN265" i="54"/>
  <c r="FP265" i="54" s="1"/>
  <c r="FK266" i="54" s="1"/>
  <c r="FM266" i="54" l="1"/>
  <c r="FJ266" i="54"/>
  <c r="FL266" i="54"/>
  <c r="GH266" i="54"/>
  <c r="GE266" i="54"/>
  <c r="GG266" i="54"/>
  <c r="GB265" i="54"/>
  <c r="GD265" i="54" s="1"/>
  <c r="FY266" i="54" s="1"/>
  <c r="GC266" i="54"/>
  <c r="FV266" i="54"/>
  <c r="FU265" i="54"/>
  <c r="FW265" i="54" s="1"/>
  <c r="FR266" i="54" s="1"/>
  <c r="GI266" i="54" l="1"/>
  <c r="GK266" i="54" s="1"/>
  <c r="GF267" i="54" s="1"/>
  <c r="GJ267" i="54"/>
  <c r="FO267" i="54"/>
  <c r="FN266" i="54"/>
  <c r="FP266" i="54" s="1"/>
  <c r="FK267" i="54" s="1"/>
  <c r="FQ266" i="54"/>
  <c r="FS266" i="54"/>
  <c r="FT266" i="54"/>
  <c r="FX266" i="54"/>
  <c r="FZ266" i="54"/>
  <c r="GA266" i="54"/>
  <c r="FV267" i="54" l="1"/>
  <c r="FU266" i="54"/>
  <c r="FW266" i="54" s="1"/>
  <c r="FR267" i="54" s="1"/>
  <c r="FL267" i="54"/>
  <c r="FJ267" i="54"/>
  <c r="FM267" i="54"/>
  <c r="GB266" i="54"/>
  <c r="GD266" i="54" s="1"/>
  <c r="FY267" i="54" s="1"/>
  <c r="GC267" i="54"/>
  <c r="GG267" i="54"/>
  <c r="GH267" i="54"/>
  <c r="GE267" i="54"/>
  <c r="GA267" i="54" l="1"/>
  <c r="FZ267" i="54"/>
  <c r="FX267" i="54"/>
  <c r="GJ268" i="54"/>
  <c r="GI267" i="54"/>
  <c r="GK267" i="54" s="1"/>
  <c r="GF268" i="54" s="1"/>
  <c r="FO268" i="54"/>
  <c r="FN267" i="54"/>
  <c r="FP267" i="54" s="1"/>
  <c r="FK268" i="54" s="1"/>
  <c r="FQ267" i="54"/>
  <c r="FT267" i="54"/>
  <c r="FS267" i="54"/>
  <c r="GG268" i="54" l="1"/>
  <c r="GI268" i="54" s="1"/>
  <c r="GE268" i="54"/>
  <c r="FH5" i="54" s="1" a="1"/>
  <c r="FH5" i="54" s="1"/>
  <c r="GH268" i="54"/>
  <c r="FU267" i="54"/>
  <c r="FW267" i="54" s="1"/>
  <c r="FR268" i="54" s="1"/>
  <c r="FV268" i="54"/>
  <c r="GB267" i="54"/>
  <c r="GD267" i="54" s="1"/>
  <c r="FY268" i="54" s="1"/>
  <c r="GC268" i="54"/>
  <c r="FL268" i="54"/>
  <c r="FN268" i="54" s="1"/>
  <c r="FM268" i="54"/>
  <c r="FJ268" i="54"/>
  <c r="FG3" i="54" s="1" a="1"/>
  <c r="FG3" i="54" s="1"/>
  <c r="FS268" i="54" l="1"/>
  <c r="FU268" i="54" s="1"/>
  <c r="FQ268" i="54"/>
  <c r="FH4" i="54" s="1" a="1"/>
  <c r="FH4" i="54" s="1"/>
  <c r="FT268" i="54"/>
  <c r="FP268" i="54"/>
  <c r="GK268" i="54"/>
  <c r="FZ268" i="54"/>
  <c r="GB268" i="54" s="1"/>
  <c r="GA268" i="54"/>
  <c r="FX268" i="54"/>
  <c r="FG5" i="54" s="1" a="1"/>
  <c r="FG5" i="54" s="1"/>
  <c r="FB5" i="54" s="1" a="1"/>
  <c r="FB5" i="54" s="1"/>
  <c r="FB7" i="54" l="1" a="1"/>
  <c r="FB7" i="54" s="1"/>
  <c r="FC7" i="54" s="1"/>
  <c r="FA4" i="54" a="1"/>
  <c r="FA4" i="54" s="1"/>
  <c r="FB4" i="54" s="1"/>
  <c r="FA2" i="54" a="1"/>
  <c r="FA2" i="54" s="1"/>
  <c r="FB2" i="54" s="1"/>
  <c r="Q68" i="54"/>
  <c r="FC5" i="54"/>
  <c r="GD268" i="54"/>
  <c r="FW268" i="54"/>
  <c r="FD184" i="54" l="1" a="1"/>
  <c r="FD184" i="54" s="1"/>
  <c r="FC6" i="54"/>
  <c r="Q69" i="54"/>
  <c r="FD228" i="54" a="1"/>
  <c r="FD228" i="54" s="1"/>
  <c r="FD224" i="54" a="1"/>
  <c r="FD224" i="54" s="1"/>
  <c r="FD180" i="54" a="1"/>
  <c r="FD180" i="54" s="1"/>
  <c r="FD40" i="54" a="1"/>
  <c r="FD40" i="54" s="1"/>
  <c r="FD210" i="54" a="1"/>
  <c r="FD210" i="54" s="1"/>
  <c r="FD56" i="54" a="1"/>
  <c r="FD56" i="54" s="1"/>
  <c r="FD144" i="54" a="1"/>
  <c r="FD144" i="54" s="1"/>
  <c r="FD136" i="54" a="1"/>
  <c r="FD136" i="54" s="1"/>
  <c r="FD257" i="54" a="1"/>
  <c r="FD257" i="54" s="1"/>
  <c r="FD237" i="54" a="1"/>
  <c r="FD237" i="54" s="1"/>
  <c r="FD227" i="54" a="1"/>
  <c r="FD227" i="54" s="1"/>
  <c r="FD76" i="54" a="1"/>
  <c r="FD76" i="54" s="1"/>
  <c r="FD71" i="54" a="1"/>
  <c r="FD71" i="54" s="1"/>
  <c r="FD174" i="54" a="1"/>
  <c r="FD174" i="54" s="1"/>
  <c r="FD143" i="54" a="1"/>
  <c r="FD143" i="54" s="1"/>
  <c r="FD17" i="54" a="1"/>
  <c r="FD17" i="54" s="1"/>
  <c r="FD21" i="54" a="1"/>
  <c r="FD21" i="54" s="1"/>
  <c r="FD219" i="54" a="1"/>
  <c r="FD219" i="54" s="1"/>
  <c r="FD116" i="54" a="1"/>
  <c r="FD116" i="54" s="1"/>
  <c r="FD15" i="54" a="1"/>
  <c r="FD15" i="54" s="1"/>
  <c r="FD108" i="54" a="1"/>
  <c r="FD108" i="54" s="1"/>
  <c r="FD250" i="54" a="1"/>
  <c r="FD250" i="54" s="1"/>
  <c r="FD36" i="54" a="1"/>
  <c r="FD36" i="54" s="1"/>
  <c r="FD65" i="54" a="1"/>
  <c r="FD65" i="54" s="1"/>
  <c r="FD46" i="54" a="1"/>
  <c r="FD46" i="54" s="1"/>
  <c r="FD97" i="54" a="1"/>
  <c r="FD97" i="54" s="1"/>
  <c r="FD188" i="54" a="1"/>
  <c r="FD188" i="54" s="1"/>
  <c r="FD239" i="54" a="1"/>
  <c r="FD239" i="54" s="1"/>
  <c r="FD100" i="54" a="1"/>
  <c r="FD100" i="54" s="1"/>
  <c r="FD163" i="54" a="1"/>
  <c r="FD163" i="54" s="1"/>
  <c r="FD179" i="54" a="1"/>
  <c r="FD179" i="54" s="1"/>
  <c r="FD53" i="54" a="1"/>
  <c r="FD53" i="54" s="1"/>
  <c r="FD115" i="54" a="1"/>
  <c r="FD115" i="54" s="1"/>
  <c r="FD50" i="54" a="1"/>
  <c r="FD50" i="54" s="1"/>
  <c r="FD93" i="54" a="1"/>
  <c r="FD93" i="54" s="1"/>
  <c r="FD14" i="54" a="1"/>
  <c r="FD14" i="54" s="1"/>
  <c r="FD43" i="54" a="1"/>
  <c r="FD43" i="54" s="1"/>
  <c r="FD191" i="54" a="1"/>
  <c r="FD191" i="54" s="1"/>
  <c r="FD258" i="54" a="1"/>
  <c r="FD258" i="54" s="1"/>
  <c r="FD248" i="54" a="1"/>
  <c r="FD248" i="54" s="1"/>
  <c r="FD265" i="54" a="1"/>
  <c r="FD265" i="54" s="1"/>
  <c r="FD199" i="54" a="1"/>
  <c r="FD199" i="54" s="1"/>
  <c r="FD105" i="54" a="1"/>
  <c r="FD105" i="54" s="1"/>
  <c r="FD242" i="54" a="1"/>
  <c r="FD242" i="54" s="1"/>
  <c r="FD69" i="54" a="1"/>
  <c r="FD69" i="54" s="1"/>
  <c r="FD110" i="54" a="1"/>
  <c r="FD110" i="54" s="1"/>
  <c r="FD70" i="54" a="1"/>
  <c r="FD70" i="54" s="1"/>
  <c r="FD231" i="54" a="1"/>
  <c r="FD231" i="54" s="1"/>
  <c r="FC4" i="54"/>
  <c r="FD232" i="54" a="1"/>
  <c r="FD232" i="54" s="1"/>
  <c r="FD198" i="54" a="1"/>
  <c r="FD198" i="54" s="1"/>
  <c r="FD263" i="54" a="1"/>
  <c r="FD263" i="54" s="1"/>
  <c r="FD126" i="54" a="1"/>
  <c r="FD126" i="54" s="1"/>
  <c r="FD160" i="54" a="1"/>
  <c r="FD160" i="54" s="1"/>
  <c r="FD34" i="54" a="1"/>
  <c r="FD34" i="54" s="1"/>
  <c r="FD124" i="54" a="1"/>
  <c r="FD124" i="54" s="1"/>
  <c r="FD221" i="54" a="1"/>
  <c r="FD221" i="54" s="1"/>
  <c r="FD194" i="54" a="1"/>
  <c r="FD194" i="54" s="1"/>
  <c r="FD10" i="54" a="1"/>
  <c r="FD10" i="54" s="1"/>
  <c r="FD59" i="54" a="1"/>
  <c r="FD59" i="54" s="1"/>
  <c r="FD73" i="54" a="1"/>
  <c r="FD73" i="54" s="1"/>
  <c r="FD90" i="54" a="1"/>
  <c r="FD90" i="54" s="1"/>
  <c r="FD171" i="54" a="1"/>
  <c r="FD171" i="54" s="1"/>
  <c r="FD11" i="54" a="1"/>
  <c r="FD11" i="54" s="1"/>
  <c r="FD4" i="54" a="1"/>
  <c r="FD4" i="54" s="1"/>
  <c r="FD260" i="54" a="1"/>
  <c r="FD260" i="54" s="1"/>
  <c r="FD80" i="54" a="1"/>
  <c r="FD80" i="54" s="1"/>
  <c r="FD26" i="54" a="1"/>
  <c r="FD26" i="54" s="1"/>
  <c r="FD247" i="54" a="1"/>
  <c r="FD247" i="54" s="1"/>
  <c r="FD30" i="54" a="1"/>
  <c r="FD30" i="54" s="1"/>
  <c r="FD72" i="54" a="1"/>
  <c r="FD72" i="54" s="1"/>
  <c r="FD161" i="54" a="1"/>
  <c r="FD161" i="54" s="1"/>
  <c r="FD146" i="54" a="1"/>
  <c r="FD146" i="54" s="1"/>
  <c r="FD134" i="54" a="1"/>
  <c r="FD134" i="54" s="1"/>
  <c r="FD159" i="54" a="1"/>
  <c r="FD159" i="54" s="1"/>
  <c r="FD149" i="54" a="1"/>
  <c r="FD149" i="54" s="1"/>
  <c r="FD261" i="54" a="1"/>
  <c r="FD261" i="54" s="1"/>
  <c r="FD45" i="54" a="1"/>
  <c r="FD45" i="54" s="1"/>
  <c r="FD208" i="54" a="1"/>
  <c r="FD208" i="54" s="1"/>
  <c r="FD54" i="54" a="1"/>
  <c r="FD54" i="54" s="1"/>
  <c r="FD63" i="54" a="1"/>
  <c r="FD63" i="54" s="1"/>
  <c r="FD19" i="54" a="1"/>
  <c r="FD19" i="54" s="1"/>
  <c r="FD148" i="54" a="1"/>
  <c r="FD148" i="54" s="1"/>
  <c r="FD234" i="54" a="1"/>
  <c r="FD234" i="54" s="1"/>
  <c r="FD139" i="54" a="1"/>
  <c r="FD139" i="54" s="1"/>
  <c r="FD182" i="54" a="1"/>
  <c r="FD182" i="54" s="1"/>
  <c r="FD82" i="54" a="1"/>
  <c r="FD82" i="54" s="1"/>
  <c r="FD225" i="54" a="1"/>
  <c r="FD225" i="54" s="1"/>
  <c r="FD175" i="54" a="1"/>
  <c r="FD175" i="54" s="1"/>
  <c r="FD197" i="54" a="1"/>
  <c r="FD197" i="54" s="1"/>
  <c r="FD31" i="54" a="1"/>
  <c r="FD31" i="54" s="1"/>
  <c r="FD205" i="54" a="1"/>
  <c r="FD205" i="54" s="1"/>
  <c r="FD57" i="54" a="1"/>
  <c r="FD57" i="54" s="1"/>
  <c r="FD259" i="54" a="1"/>
  <c r="FD259" i="54" s="1"/>
  <c r="FD133" i="54" a="1"/>
  <c r="FD133" i="54" s="1"/>
  <c r="FD223" i="54" a="1"/>
  <c r="FD223" i="54" s="1"/>
  <c r="FD158" i="54" a="1"/>
  <c r="FD158" i="54" s="1"/>
  <c r="FD79" i="54" a="1"/>
  <c r="FD79" i="54" s="1"/>
  <c r="FD111" i="54" a="1"/>
  <c r="FD111" i="54" s="1"/>
  <c r="FD267" i="54" a="1"/>
  <c r="FD267" i="54" s="1"/>
  <c r="FD193" i="54" a="1"/>
  <c r="FD193" i="54" s="1"/>
  <c r="FD107" i="54" a="1"/>
  <c r="FD107" i="54" s="1"/>
  <c r="FD102" i="54" a="1"/>
  <c r="FD102" i="54" s="1"/>
  <c r="FD155" i="54" a="1"/>
  <c r="FD155" i="54" s="1"/>
  <c r="FD77" i="54" a="1"/>
  <c r="FD77" i="54" s="1"/>
  <c r="FD132" i="54" a="1"/>
  <c r="FD132" i="54" s="1"/>
  <c r="FD214" i="54" a="1"/>
  <c r="FD214" i="54" s="1"/>
  <c r="FD216" i="54" a="1"/>
  <c r="FD216" i="54" s="1"/>
  <c r="FD62" i="54" a="1"/>
  <c r="FD62" i="54" s="1"/>
  <c r="FD213" i="54" a="1"/>
  <c r="FD213" i="54" s="1"/>
  <c r="FD87" i="54" a="1"/>
  <c r="FD87" i="54" s="1"/>
  <c r="FD37" i="54" a="1"/>
  <c r="FD37" i="54" s="1"/>
  <c r="FD244" i="54" a="1"/>
  <c r="FD244" i="54" s="1"/>
  <c r="FD48" i="54" a="1"/>
  <c r="FD48" i="54" s="1"/>
  <c r="FD157" i="54" a="1"/>
  <c r="FD157" i="54" s="1"/>
  <c r="FD103" i="54" a="1"/>
  <c r="FD103" i="54" s="1"/>
  <c r="FC2" i="54"/>
  <c r="FD165" i="54" a="1"/>
  <c r="FD165" i="54" s="1"/>
  <c r="FD39" i="54" a="1"/>
  <c r="FD39" i="54" s="1"/>
  <c r="FD129" i="54" a="1"/>
  <c r="FD129" i="54" s="1"/>
  <c r="FD117" i="54" a="1"/>
  <c r="FD117" i="54" s="1"/>
  <c r="FD186" i="54" a="1"/>
  <c r="FD186" i="54" s="1"/>
  <c r="FD16" i="54" a="1"/>
  <c r="FD16" i="54" s="1"/>
  <c r="FD253" i="54" a="1"/>
  <c r="FD253" i="54" s="1"/>
  <c r="FD81" i="54" a="1"/>
  <c r="FD81" i="54" s="1"/>
  <c r="FD118" i="54" a="1"/>
  <c r="FD118" i="54" s="1"/>
  <c r="FD167" i="54" a="1"/>
  <c r="FD167" i="54" s="1"/>
  <c r="FD190" i="54" a="1"/>
  <c r="FD190" i="54" s="1"/>
  <c r="FD64" i="54" a="1"/>
  <c r="FD64" i="54" s="1"/>
  <c r="FD20" i="54" a="1"/>
  <c r="FD20" i="54" s="1"/>
  <c r="FD218" i="54" a="1"/>
  <c r="FD218" i="54" s="1"/>
  <c r="FD84" i="54" a="1"/>
  <c r="FD84" i="54" s="1"/>
  <c r="FD246" i="54" a="1"/>
  <c r="FD246" i="54" s="1"/>
  <c r="FD150" i="54" a="1"/>
  <c r="FD150" i="54" s="1"/>
  <c r="FD209" i="54" a="1"/>
  <c r="FD209" i="54" s="1"/>
  <c r="FD25" i="54" a="1"/>
  <c r="FD25" i="54" s="1"/>
  <c r="FD211" i="54" a="1"/>
  <c r="FD211" i="54" s="1"/>
  <c r="FD101" i="54" a="1"/>
  <c r="FD101" i="54" s="1"/>
  <c r="FD27" i="54" a="1"/>
  <c r="FD27" i="54" s="1"/>
  <c r="FD12" i="54" a="1"/>
  <c r="FD12" i="54" s="1"/>
  <c r="FD120" i="54" a="1"/>
  <c r="FD120" i="54" s="1"/>
  <c r="FD49" i="54" a="1"/>
  <c r="FD49" i="54" s="1"/>
  <c r="FD92" i="54" a="1"/>
  <c r="FD92" i="54" s="1"/>
  <c r="FD13" i="54" a="1"/>
  <c r="FD13" i="54" s="1"/>
  <c r="FD251" i="54" a="1"/>
  <c r="FD251" i="54" s="1"/>
  <c r="FD125" i="54" a="1"/>
  <c r="FD125" i="54" s="1"/>
  <c r="FD215" i="54" a="1"/>
  <c r="FD215" i="54" s="1"/>
  <c r="FD256" i="54" a="1"/>
  <c r="FD256" i="54" s="1"/>
  <c r="FD67" i="54" a="1"/>
  <c r="FD67" i="54" s="1"/>
  <c r="FD196" i="54" a="1"/>
  <c r="FD196" i="54" s="1"/>
  <c r="FD123" i="54" a="1"/>
  <c r="FD123" i="54" s="1"/>
  <c r="FD152" i="54" a="1"/>
  <c r="FD152" i="54" s="1"/>
  <c r="FD142" i="54" a="1"/>
  <c r="FD142" i="54" s="1"/>
  <c r="FD88" i="54" a="1"/>
  <c r="FD88" i="54" s="1"/>
  <c r="FD44" i="54" a="1"/>
  <c r="FD44" i="54" s="1"/>
  <c r="FD229" i="54" a="1"/>
  <c r="FD229" i="54" s="1"/>
  <c r="FD130" i="54" a="1"/>
  <c r="FD130" i="54" s="1"/>
  <c r="FD255" i="54" a="1"/>
  <c r="FD255" i="54" s="1"/>
  <c r="FD94" i="54" a="1"/>
  <c r="FD94" i="54" s="1"/>
  <c r="FD96" i="54" a="1"/>
  <c r="FD96" i="54" s="1"/>
  <c r="FD201" i="54" a="1"/>
  <c r="FD201" i="54" s="1"/>
  <c r="FD122" i="54" a="1"/>
  <c r="FD122" i="54" s="1"/>
  <c r="FD151" i="54" a="1"/>
  <c r="FD151" i="54" s="1"/>
  <c r="FD264" i="54" a="1"/>
  <c r="FD264" i="54" s="1"/>
  <c r="FD22" i="54" a="1"/>
  <c r="FD22" i="54" s="1"/>
  <c r="FD89" i="54" a="1"/>
  <c r="FD89" i="54" s="1"/>
  <c r="FD127" i="54" a="1"/>
  <c r="FD127" i="54" s="1"/>
  <c r="FD185" i="54" a="1"/>
  <c r="FD185" i="54" s="1"/>
  <c r="FD91" i="54" a="1"/>
  <c r="FD91" i="54" s="1"/>
  <c r="FD23" i="54" a="1"/>
  <c r="FD23" i="54" s="1"/>
  <c r="FD85" i="54" a="1"/>
  <c r="FD85" i="54" s="1"/>
  <c r="FD192" i="54" a="1"/>
  <c r="FD192" i="54" s="1"/>
  <c r="FD166" i="54" a="1"/>
  <c r="FD166" i="54" s="1"/>
  <c r="FD204" i="54" a="1"/>
  <c r="FD204" i="54" s="1"/>
  <c r="FD104" i="54" a="1"/>
  <c r="FD104" i="54" s="1"/>
  <c r="FD241" i="54" a="1"/>
  <c r="FD241" i="54" s="1"/>
  <c r="FD68" i="54" a="1"/>
  <c r="FD68" i="54" s="1"/>
  <c r="FD114" i="54" a="1"/>
  <c r="FD114" i="54" s="1"/>
  <c r="FD29" i="54" a="1"/>
  <c r="FD29" i="54" s="1"/>
  <c r="FD268" i="54" a="1"/>
  <c r="FD268" i="54" s="1"/>
  <c r="FD138" i="54" a="1"/>
  <c r="FD138" i="54" s="1"/>
  <c r="FD233" i="54" a="1"/>
  <c r="FD233" i="54" s="1"/>
  <c r="FD58" i="54" a="1"/>
  <c r="FD58" i="54" s="1"/>
  <c r="FD75" i="54" a="1"/>
  <c r="FD75" i="54" s="1"/>
  <c r="FD238" i="54" a="1"/>
  <c r="FD238" i="54" s="1"/>
  <c r="FD112" i="54" a="1"/>
  <c r="FD112" i="54" s="1"/>
  <c r="FD202" i="54" a="1"/>
  <c r="FD202" i="54" s="1"/>
  <c r="FD266" i="54" a="1"/>
  <c r="FD266" i="54" s="1"/>
  <c r="FD187" i="54" a="1"/>
  <c r="FD187" i="54" s="1"/>
  <c r="FD230" i="54" a="1"/>
  <c r="FD230" i="54" s="1"/>
  <c r="FD24" i="54" a="1"/>
  <c r="FD24" i="54" s="1"/>
  <c r="FD140" i="54" a="1"/>
  <c r="FD140" i="54" s="1"/>
  <c r="FD183" i="54" a="1"/>
  <c r="FD183" i="54" s="1"/>
  <c r="FD35" i="54" a="1"/>
  <c r="FD35" i="54" s="1"/>
  <c r="FD220" i="54" a="1"/>
  <c r="FD220" i="54" s="1"/>
  <c r="FD176" i="54" a="1"/>
  <c r="FD176" i="54" s="1"/>
  <c r="FD240" i="54" a="1"/>
  <c r="FD240" i="54" s="1"/>
  <c r="FD32" i="54" a="1"/>
  <c r="FD32" i="54" s="1"/>
  <c r="FD2" i="54" a="1"/>
  <c r="FD2" i="54" s="1"/>
  <c r="FD147" i="54" a="1"/>
  <c r="FD147" i="54" s="1"/>
  <c r="FD245" i="54" a="1"/>
  <c r="FD245" i="54" s="1"/>
  <c r="FD61" i="54" a="1"/>
  <c r="FD61" i="54" s="1"/>
  <c r="FD212" i="54" a="1"/>
  <c r="FD212" i="54" s="1"/>
  <c r="FD86" i="54" a="1"/>
  <c r="FD86" i="54" s="1"/>
  <c r="FD173" i="54" a="1"/>
  <c r="FD173" i="54" s="1"/>
  <c r="FD66" i="54" a="1"/>
  <c r="FD66" i="54" s="1"/>
  <c r="FD137" i="54" a="1"/>
  <c r="FD137" i="54" s="1"/>
  <c r="FD131" i="54" a="1"/>
  <c r="FD131" i="54" s="1"/>
  <c r="FD47" i="54" a="1"/>
  <c r="FD47" i="54" s="1"/>
  <c r="FD78" i="54" a="1"/>
  <c r="FD78" i="54" s="1"/>
  <c r="FD169" i="54" a="1"/>
  <c r="FD169" i="54" s="1"/>
  <c r="FD168" i="54" a="1"/>
  <c r="FD168" i="54" s="1"/>
  <c r="FD83" i="54" a="1"/>
  <c r="FD83" i="54" s="1"/>
  <c r="FD106" i="54" a="1"/>
  <c r="FD106" i="54" s="1"/>
  <c r="FD162" i="54" a="1"/>
  <c r="FD162" i="54" s="1"/>
  <c r="FD74" i="54" a="1"/>
  <c r="FD74" i="54" s="1"/>
  <c r="FD141" i="54" a="1"/>
  <c r="FD141" i="54" s="1"/>
  <c r="FD178" i="54" a="1"/>
  <c r="FD178" i="54" s="1"/>
  <c r="FD119" i="54" a="1"/>
  <c r="FD119" i="54" s="1"/>
  <c r="FD252" i="54" a="1"/>
  <c r="FD252" i="54" s="1"/>
  <c r="FD177" i="54" a="1"/>
  <c r="FD177" i="54" s="1"/>
  <c r="FD235" i="54" a="1"/>
  <c r="FD235" i="54" s="1"/>
  <c r="FD33" i="54" a="1"/>
  <c r="FD33" i="54" s="1"/>
  <c r="FD51" i="54" a="1"/>
  <c r="FD51" i="54" s="1"/>
  <c r="FD206" i="54" a="1"/>
  <c r="FD206" i="54" s="1"/>
  <c r="FD249" i="54" a="1"/>
  <c r="FD249" i="54" s="1"/>
  <c r="FD42" i="54" a="1"/>
  <c r="FD42" i="54" s="1"/>
  <c r="FD52" i="54" a="1"/>
  <c r="FD52" i="54" s="1"/>
  <c r="FD195" i="54" a="1"/>
  <c r="FD195" i="54" s="1"/>
  <c r="FD145" i="54" a="1"/>
  <c r="FD145" i="54" s="1"/>
  <c r="FD98" i="54" a="1"/>
  <c r="FD98" i="54" s="1"/>
  <c r="FD243" i="54" a="1"/>
  <c r="FD243" i="54" s="1"/>
  <c r="FD203" i="54" a="1"/>
  <c r="FD203" i="54" s="1"/>
  <c r="FD109" i="54" a="1"/>
  <c r="FD109" i="54" s="1"/>
  <c r="FD170" i="54" a="1"/>
  <c r="FD170" i="54" s="1"/>
  <c r="FD181" i="54" a="1"/>
  <c r="FD181" i="54" s="1"/>
  <c r="FD55" i="54" a="1"/>
  <c r="FD55" i="54" s="1"/>
  <c r="FD154" i="54" a="1"/>
  <c r="FD154" i="54" s="1"/>
  <c r="FD95" i="54" a="1"/>
  <c r="FD95" i="54" s="1"/>
  <c r="FD207" i="54" a="1"/>
  <c r="FD207" i="54" s="1"/>
  <c r="FD113" i="54" a="1"/>
  <c r="FD113" i="54" s="1"/>
  <c r="FD18" i="54" a="1"/>
  <c r="FD18" i="54" s="1"/>
  <c r="FD217" i="54" a="1"/>
  <c r="FD217" i="54" s="1"/>
  <c r="FD60" i="54" a="1"/>
  <c r="FD60" i="54" s="1"/>
  <c r="FD41" i="54" a="1"/>
  <c r="FD41" i="54" s="1"/>
  <c r="FD172" i="54" a="1"/>
  <c r="FD172" i="54" s="1"/>
  <c r="FD262" i="54" a="1"/>
  <c r="FD262" i="54" s="1"/>
  <c r="FD222" i="54" a="1"/>
  <c r="FD222" i="54" s="1"/>
  <c r="FD236" i="54" a="1"/>
  <c r="FD236" i="54" s="1"/>
  <c r="FD189" i="54" a="1"/>
  <c r="FD189" i="54" s="1"/>
  <c r="FD226" i="54" a="1"/>
  <c r="FD226" i="54" s="1"/>
  <c r="FD153" i="54" a="1"/>
  <c r="FD153" i="54" s="1"/>
  <c r="FD164" i="54" a="1"/>
  <c r="FD164" i="54" s="1"/>
  <c r="FD38" i="54" a="1"/>
  <c r="FD38" i="54" s="1"/>
  <c r="FD128" i="54" a="1"/>
  <c r="FD128" i="54" s="1"/>
  <c r="FD135" i="54" a="1"/>
  <c r="FD135" i="54" s="1"/>
  <c r="FD254" i="54" a="1"/>
  <c r="FD254" i="54" s="1"/>
  <c r="FD99" i="54" a="1"/>
  <c r="FD99" i="54" s="1"/>
  <c r="FD28" i="54" a="1"/>
  <c r="FD28" i="54" s="1"/>
  <c r="FD200" i="54" a="1"/>
  <c r="FD200" i="54" s="1"/>
  <c r="FD121" i="54" a="1"/>
  <c r="FD121" i="54" s="1"/>
  <c r="FD156" i="54" a="1"/>
  <c r="FD156" i="54"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
    <bk>
      <extLst>
        <ext uri="{3e2802c4-a4d2-4d8b-9148-e3be6c30e623}">
          <xlrd:rvb i="0"/>
        </ext>
      </extLst>
    </bk>
    <bk>
      <extLst>
        <ext uri="{3e2802c4-a4d2-4d8b-9148-e3be6c30e623}">
          <xlrd:rvb i="1"/>
        </ext>
      </extLst>
    </bk>
    <bk>
      <extLst>
        <ext uri="{3e2802c4-a4d2-4d8b-9148-e3be6c30e623}">
          <xlrd:rvb i="2"/>
        </ext>
      </extLst>
    </bk>
  </futureMetadata>
  <cellMetadata count="1">
    <bk>
      <rc t="1" v="0"/>
    </bk>
  </cellMetadata>
  <valueMetadata count="3">
    <bk>
      <rc t="2" v="0"/>
    </bk>
    <bk>
      <rc t="2" v="1"/>
    </bk>
    <bk>
      <rc t="2" v="2"/>
    </bk>
  </valueMetadata>
</metadata>
</file>

<file path=xl/sharedStrings.xml><?xml version="1.0" encoding="utf-8"?>
<sst xmlns="http://schemas.openxmlformats.org/spreadsheetml/2006/main" count="2561" uniqueCount="1167">
  <si>
    <t>Gennemsnit</t>
  </si>
  <si>
    <t>Standardafvigelse</t>
  </si>
  <si>
    <t>Andel</t>
  </si>
  <si>
    <t>Intensitet</t>
  </si>
  <si>
    <t>Konfidensniveau</t>
  </si>
  <si>
    <t>Formålet er at fremme læring af beskrivende statistik og statistisk analyse.</t>
  </si>
  <si>
    <t>Data</t>
  </si>
  <si>
    <t>Overskrift input</t>
  </si>
  <si>
    <t>Beskrivende statistik</t>
  </si>
  <si>
    <t>Beregn parameterværdier der beskriver et observationssæt</t>
  </si>
  <si>
    <t>Afrundet simpel brøk</t>
  </si>
  <si>
    <t>Uforkortet simpel brøk</t>
  </si>
  <si>
    <t>Valg til analyse</t>
  </si>
  <si>
    <t>Observationssæt</t>
  </si>
  <si>
    <t>Forudsætninger</t>
  </si>
  <si>
    <t>Datatypen er interval</t>
  </si>
  <si>
    <t>Indeks</t>
  </si>
  <si>
    <t>X akse</t>
  </si>
  <si>
    <t>Analyse input</t>
  </si>
  <si>
    <t>Anvendelse af JBKstat</t>
  </si>
  <si>
    <t>Manual i brug af data arket</t>
  </si>
  <si>
    <t>Manual i brug af Beskrivende Statistik arket</t>
  </si>
  <si>
    <t>Manual i brug af Konfidens og Hypoteser arket</t>
  </si>
  <si>
    <t>Manual i brug af Lineær Regression arket</t>
  </si>
  <si>
    <t>Eksempel 1 (interval)</t>
  </si>
  <si>
    <t>Median, 𝑥̃</t>
  </si>
  <si>
    <r>
      <t xml:space="preserve">Typetal, </t>
    </r>
    <r>
      <rPr>
        <i/>
        <sz val="11"/>
        <color theme="1"/>
        <rFont val="Tw Cen MT"/>
        <family val="2"/>
        <scheme val="minor"/>
      </rPr>
      <t>Mo</t>
    </r>
  </si>
  <si>
    <r>
      <t xml:space="preserve">Variationsbredde, </t>
    </r>
    <r>
      <rPr>
        <i/>
        <sz val="11"/>
        <color theme="1"/>
        <rFont val="Tw Cen MT"/>
        <family val="2"/>
        <scheme val="minor"/>
      </rPr>
      <t>t</t>
    </r>
  </si>
  <si>
    <r>
      <t xml:space="preserve">Interkvartilbredde, </t>
    </r>
    <r>
      <rPr>
        <i/>
        <sz val="11"/>
        <color theme="1"/>
        <rFont val="Tw Cen MT"/>
        <family val="2"/>
        <scheme val="minor"/>
      </rPr>
      <t>IQR</t>
    </r>
  </si>
  <si>
    <t>Antal observationer</t>
  </si>
  <si>
    <t>Min</t>
  </si>
  <si>
    <t>Max</t>
  </si>
  <si>
    <t>1. kvartil</t>
  </si>
  <si>
    <t>2. kvartil</t>
  </si>
  <si>
    <t>3. kvartil</t>
  </si>
  <si>
    <t>4. kvartil</t>
  </si>
  <si>
    <t>X min</t>
  </si>
  <si>
    <t>X max</t>
  </si>
  <si>
    <t>Lineær regression</t>
  </si>
  <si>
    <t>Udarbejd en lineær regressionsmodel</t>
  </si>
  <si>
    <t>Variabel</t>
  </si>
  <si>
    <t>Konstant</t>
  </si>
  <si>
    <t>konstant</t>
  </si>
  <si>
    <t>Forudsigelsesinterval</t>
  </si>
  <si>
    <t>Konfidensinterval</t>
  </si>
  <si>
    <t>Minimum</t>
  </si>
  <si>
    <t>Maximum</t>
  </si>
  <si>
    <t>Residual</t>
  </si>
  <si>
    <t>Kvadreret residual</t>
  </si>
  <si>
    <t>Koefficient</t>
  </si>
  <si>
    <t>Afhængig variabel</t>
  </si>
  <si>
    <t>Signifikant</t>
  </si>
  <si>
    <t>Antal uafhængige variable</t>
  </si>
  <si>
    <t>x1</t>
  </si>
  <si>
    <t>2. Udfør en statistisk analyse på en af de 3 øvrige ark:</t>
  </si>
  <si>
    <t>2a. Udfør analyse af parameterværdier på arket Beskrivende Statistik</t>
  </si>
  <si>
    <t>1. Indsæt data i tabellen på data arket</t>
  </si>
  <si>
    <t>2b. Analyser sandsynligheder på arket Konfidens og Hypoteser</t>
  </si>
  <si>
    <t>2c. Analyser lineære sammenhænge på arket Lineær Regression</t>
  </si>
  <si>
    <t xml:space="preserve">Gå til Manual i brug af Data arket                                          </t>
  </si>
  <si>
    <t xml:space="preserve">Gå til Data                                                                                             </t>
  </si>
  <si>
    <t xml:space="preserve">Gå til Manual i brug af Beskrivende Statistik arket                                     </t>
  </si>
  <si>
    <t xml:space="preserve">Gå til Manual i brug af Konfidens og Hypoteser arket                              </t>
  </si>
  <si>
    <t xml:space="preserve">Gå til Manual i brug af Lineær Regression arket                                      </t>
  </si>
  <si>
    <t xml:space="preserve">Gå til Lineær Regression                                                                     </t>
  </si>
  <si>
    <t xml:space="preserve">Gå til Konfidens og Hypoteser                                                  </t>
  </si>
  <si>
    <t xml:space="preserve">Gå til Beskrivende Statistik                                                                      </t>
  </si>
  <si>
    <t>Formål med JBKstat</t>
  </si>
  <si>
    <t>JBKstat er et værktøj til studerende på Erhvervsakademi Aarhus.</t>
  </si>
  <si>
    <t>1. Vælg et observationssæt</t>
  </si>
  <si>
    <t>Observationssættet er normalfordelt, hvis følgende kriterier er opfyldt:</t>
  </si>
  <si>
    <t>Fortolkning af normalfraktildiagram</t>
  </si>
  <si>
    <t>Observationerne er jævnt fordelt over og under linjen</t>
  </si>
  <si>
    <t>Fortolkning af Histogram</t>
  </si>
  <si>
    <t>Afvigelserne fra linjen følger nogenlunde en normalfordeling</t>
  </si>
  <si>
    <t>Der er ingen tendens at se i afvigelserne</t>
  </si>
  <si>
    <t>Hvis en stor del af arealet under den sorte kurve er dækket af blå, så er observationssættet normalfordelt.</t>
  </si>
  <si>
    <t>Vær opmærksom på, at små observationssæt kan give dramatiske udsving i histogrammet.</t>
  </si>
  <si>
    <t>Fortolkning af Andelsdiagram</t>
  </si>
  <si>
    <t>Arealet under den sorte kurve viser sandsynligheden i en normalfordeling.</t>
  </si>
  <si>
    <t>Det orange areal viser hvor stor en andel af observationssættet der har værdien FALSE.</t>
  </si>
  <si>
    <t>Fortolkning af Kvartilsæt</t>
  </si>
  <si>
    <t>Det blå areal viser de mindste 25% af observationerne.</t>
  </si>
  <si>
    <t>Det grønne areal viser de største 25% af observationerne.</t>
  </si>
  <si>
    <t>Det orange areal viser observationerne fra 25% til 50%.</t>
  </si>
  <si>
    <t>Det orange areal viser observationerne fra 50% til 75%.</t>
  </si>
  <si>
    <t>Højden af de 4 arealer er vægtet i dette diagram, så de alle har samme areal.</t>
  </si>
  <si>
    <t>Det afspejler, at alle 4 arealer indeholder lige mange observationer, men ikke lige store intervaller.</t>
  </si>
  <si>
    <t>2. Fortolk resultaterne fra diagrammerne</t>
  </si>
  <si>
    <t>1. Vælg et observationssæt, som er lineært afhængigt af andre observationssæt</t>
  </si>
  <si>
    <t>Alle variable kan vælges med drop-down menuer (se figur 3)</t>
  </si>
  <si>
    <t>2. Vælg op til 5 observationssæt, som kan bruges til at forudsige den afhængige variable</t>
  </si>
  <si>
    <t>3. Vælg et konfidensniveau til analysen</t>
  </si>
  <si>
    <t>95% som konfidensniveau er almindeligt, hvis ikke andet er nødvendigt</t>
  </si>
  <si>
    <t>Resultat output</t>
  </si>
  <si>
    <t>Hvis du vil have en værdi med flere decimaler, så kan du anvende formattering fra Hjem fanen (se figur 8)</t>
  </si>
  <si>
    <t>Derfor anbefales det, at man eksperimenterer sig frem med udeladelse af variable</t>
  </si>
  <si>
    <t>Vær opmærksom på, at en variabel godt kan blive signifikant når en anden udelades</t>
  </si>
  <si>
    <t>En model er god, hvis alt hvad der er inkluderet er signifikant</t>
  </si>
  <si>
    <t>Hvis flere modeller opfylder dette kriterie, så anbefales det at vælge efter justeret R²</t>
  </si>
  <si>
    <t>En højere justeret R² værdi viser at modellen forklarer den afhængige variabel bedre</t>
  </si>
  <si>
    <t>De blå cirkler viser observationer</t>
  </si>
  <si>
    <t>Det svarer til R² værdien for regressionsmodellen</t>
  </si>
  <si>
    <t>I overskriften ses den procentdel af variationen i den afhængige variabel der er forklaret</t>
  </si>
  <si>
    <t>Små afvigelser fra regressionslinjen er tegn på en præcis model</t>
  </si>
  <si>
    <t>Den sorte streg viser regressionslinjen</t>
  </si>
  <si>
    <t>Hvis der er flere uafhængige variable inkluderet er der tale om multipel lineær regression</t>
  </si>
  <si>
    <t>Multipel lineær regression danner også en ret linje, men i n dimensioner i stedet for 2</t>
  </si>
  <si>
    <t>De blå cirkler viser observationernes y-værdi, minus effekten af de øvrige variable</t>
  </si>
  <si>
    <t>Det kan fortolkes som den del af variationen i y-værdier, som denne variabel skal forklare</t>
  </si>
  <si>
    <t>Derfor kan regressionslinjen ikke vises på et enkelt diagram</t>
  </si>
  <si>
    <t>Den gule søjle viser effekten af konstanten.</t>
  </si>
  <si>
    <t>Den sorte søje viser den totale beregnede værdi for den afhængige variable.</t>
  </si>
  <si>
    <t>X værdi af interesse</t>
  </si>
  <si>
    <t>Du kan også vælge at angive værdier for uafhængige variable ved at vælge Inkluderet</t>
  </si>
  <si>
    <t>Konfidensintervallet viser, hvor regressionslinjen også kunne have været.</t>
  </si>
  <si>
    <t>Forudsigelsesintervallet viser, hvor observationerne også kunne have været.</t>
  </si>
  <si>
    <t>Tager vi en ny stikprøve fra samme population, vil vi med den angivne konfidens få observationer indenfor forudsigelsesintervallet</t>
  </si>
  <si>
    <t>Tager vi en ny stikprøve fra samme population, vil vi med den angivne konfidens få en linje indenfor konfidensintervallet</t>
  </si>
  <si>
    <t>Afstanden til linjen er den del af variationen, som ikke forklares af modellen (også kaldet residualet)</t>
  </si>
  <si>
    <t>Krydserne er der ikke hvis angivne værdier for uafhængige variable er Udeladt</t>
  </si>
  <si>
    <t>Krydserne viser den præcise effekt af variablen på y værdien, ved den angivne værdi</t>
  </si>
  <si>
    <t xml:space="preserve">Gå til Manual i brug af Beskrivende Statistik arket                                                                                                                                  </t>
  </si>
  <si>
    <t>Teststørrelse</t>
  </si>
  <si>
    <t>Ensidet</t>
  </si>
  <si>
    <t>Tosidet</t>
  </si>
  <si>
    <t>Normalfordeling</t>
  </si>
  <si>
    <t>Frihedsgrader</t>
  </si>
  <si>
    <t>t-fordeling</t>
  </si>
  <si>
    <t>Normalfordeling med kendt standardafvigelse</t>
  </si>
  <si>
    <t>Venstresidet hypotese om værdi</t>
  </si>
  <si>
    <t>Højresidet hypotese om værdi</t>
  </si>
  <si>
    <t>Tosidet hypotese om værdi</t>
  </si>
  <si>
    <t>Venstresidet hypotese om forskel</t>
  </si>
  <si>
    <t>Højresidet hypotese om forskel</t>
  </si>
  <si>
    <t>Tosidet hypotese om forskel</t>
  </si>
  <si>
    <t>Parameter</t>
  </si>
  <si>
    <t>t-fordeling med pooled standardafvigelse</t>
  </si>
  <si>
    <t>Normalfordeling med kendte standardafvigelser</t>
  </si>
  <si>
    <t>t-fordeling uden pooled standardafvigelse</t>
  </si>
  <si>
    <t>Chi-i-anden-fordeling</t>
  </si>
  <si>
    <t>F-fordeling</t>
  </si>
  <si>
    <t>Normalfordeling med forbedret teststørrelse</t>
  </si>
  <si>
    <t>Hypotesetype</t>
  </si>
  <si>
    <t>Synlig</t>
  </si>
  <si>
    <t>Alternativ hypotese</t>
  </si>
  <si>
    <t>Nulhypotese</t>
  </si>
  <si>
    <t>Fordeling</t>
  </si>
  <si>
    <t>Forklaring</t>
  </si>
  <si>
    <t>X akse titel</t>
  </si>
  <si>
    <t>Indeks for valg</t>
  </si>
  <si>
    <t>Diagram titel</t>
  </si>
  <si>
    <t>Forudsætning 1</t>
  </si>
  <si>
    <t>Forudsætning 2</t>
  </si>
  <si>
    <t>Standardafvigelse i populationen er kendt</t>
  </si>
  <si>
    <t>Standardafvigelse i populationen er ikke kendt</t>
  </si>
  <si>
    <t>Populationen er normalfordelt</t>
  </si>
  <si>
    <t>Forudsætning 3</t>
  </si>
  <si>
    <t>Observationerne består af antal successer fra lige store tidsintervaller</t>
  </si>
  <si>
    <r>
      <t xml:space="preserve">Forudsætningsformlen n * </t>
    </r>
    <r>
      <rPr>
        <sz val="11"/>
        <color theme="1"/>
        <rFont val="Tw Cen MT"/>
        <family val="2"/>
      </rPr>
      <t>p</t>
    </r>
    <r>
      <rPr>
        <sz val="11"/>
        <color theme="1"/>
        <rFont val="Calibri"/>
        <family val="2"/>
      </rPr>
      <t>̂ * ( 1 - p̂ ) &gt; 9 er opfyldt</t>
    </r>
  </si>
  <si>
    <r>
      <t xml:space="preserve">Forudsætningsformlen </t>
    </r>
    <r>
      <rPr>
        <sz val="11"/>
        <color theme="1"/>
        <rFont val="Calibri"/>
        <family val="2"/>
      </rPr>
      <t>λ̂</t>
    </r>
    <r>
      <rPr>
        <sz val="12.65"/>
        <color theme="1"/>
        <rFont val="Tw Cen MT"/>
        <family val="2"/>
      </rPr>
      <t xml:space="preserve"> * n</t>
    </r>
    <r>
      <rPr>
        <sz val="11"/>
        <color theme="1"/>
        <rFont val="Calibri"/>
        <family val="2"/>
      </rPr>
      <t xml:space="preserve"> &gt; 9 er opfyldt</t>
    </r>
  </si>
  <si>
    <t>Begge populationer er normalfordelt</t>
  </si>
  <si>
    <t>Forudsætning 4</t>
  </si>
  <si>
    <t>Antal observationer er større end 30</t>
  </si>
  <si>
    <t>Antal observationer er mindre end 30</t>
  </si>
  <si>
    <t>Begge observationssæt har flere end 30 observationer</t>
  </si>
  <si>
    <t>Begge observationssæt har ikke flere end 30 observationer</t>
  </si>
  <si>
    <r>
      <t xml:space="preserve">Forudsætningsformlen n * </t>
    </r>
    <r>
      <rPr>
        <sz val="11"/>
        <color theme="1"/>
        <rFont val="Tw Cen MT"/>
        <family val="2"/>
      </rPr>
      <t>p</t>
    </r>
    <r>
      <rPr>
        <sz val="11"/>
        <color theme="1"/>
        <rFont val="Calibri"/>
        <family val="2"/>
      </rPr>
      <t>̂ * ( 1 - p̂ ) &gt; 9 er opfyldt for begge observationssæt</t>
    </r>
  </si>
  <si>
    <r>
      <t xml:space="preserve">Forudsætningsformlen </t>
    </r>
    <r>
      <rPr>
        <sz val="11"/>
        <color theme="1"/>
        <rFont val="Calibri"/>
        <family val="2"/>
      </rPr>
      <t>λ̂</t>
    </r>
    <r>
      <rPr>
        <sz val="12.65"/>
        <color theme="1"/>
        <rFont val="Tw Cen MT"/>
        <family val="2"/>
      </rPr>
      <t xml:space="preserve"> * n</t>
    </r>
    <r>
      <rPr>
        <sz val="11"/>
        <color theme="1"/>
        <rFont val="Calibri"/>
        <family val="2"/>
      </rPr>
      <t xml:space="preserve"> &gt; 9 er opfyldt</t>
    </r>
    <r>
      <rPr>
        <sz val="11"/>
        <color theme="1"/>
        <rFont val="Tw Cen MT"/>
        <family val="2"/>
        <scheme val="minor"/>
      </rPr>
      <t xml:space="preserve"> for begge observationssæt</t>
    </r>
  </si>
  <si>
    <t>Kontrol af forudsætning 1</t>
  </si>
  <si>
    <t>Kontrol af forudsætning 2</t>
  </si>
  <si>
    <t>En hypotese om gennemsnittet i populationen er angivet</t>
  </si>
  <si>
    <t>En hypotese om gennemsnittet i hver population er angivet</t>
  </si>
  <si>
    <t>Kontrol af forudsætning 3</t>
  </si>
  <si>
    <t>En hypotese om standardafvigelsen i populationen er angivet</t>
  </si>
  <si>
    <t>En hypotese om standardafvigelsen i hver populationen er angivet</t>
  </si>
  <si>
    <t>En hypotese om andelen i populationen er angivet</t>
  </si>
  <si>
    <t>En hypotese om samme andel i begge populationer er angivet</t>
  </si>
  <si>
    <t>En hypotese om intensiteten i populationen er angivet</t>
  </si>
  <si>
    <t>En hypotese om forskellig andel i hver population er angivet</t>
  </si>
  <si>
    <t>Standardafvigelser i begge populationer er ikke kendt</t>
  </si>
  <si>
    <t>Standardafvigelser i begge populationer er kendt</t>
  </si>
  <si>
    <t>Standardafvigelser i begge populationer er ikke kendt, men antages at være ens</t>
  </si>
  <si>
    <t>Standardafvigelser i begge populationer er ikke kendt, og antages ikke at være ens</t>
  </si>
  <si>
    <t>Kontrol af forudsætning 4</t>
  </si>
  <si>
    <t>Skal vurderes</t>
  </si>
  <si>
    <t>Skal vurderes og testes</t>
  </si>
  <si>
    <t>Fortolkning af præcise værdier</t>
  </si>
  <si>
    <t>Parameterværdier, stikprøve bruges blandt andet til beregning af konfidensintervaller</t>
  </si>
  <si>
    <t>Parameterværdier, kendt population bruges blandt andet som hypoteser i hypotesetest</t>
  </si>
  <si>
    <t>Parameterværdier, kendt population bruges også som kendte værdier i enkelte hypotesetest</t>
  </si>
  <si>
    <t>Parameterværdier, kendt population hentes fra indtastning på data arket i tabellen over data tabellen (se figur 10)</t>
  </si>
  <si>
    <t>Parameterværdier, stikprøve beregnes på baggrund af observationssættet (se figur 9)</t>
  </si>
  <si>
    <t>Kun data arket skal udfyldes, før en analyse kan udføres</t>
  </si>
  <si>
    <t>Analysen på hvert af de øvrige ark kan udføres uafhængigt</t>
  </si>
  <si>
    <t>Hvis du klikker på cellerne, vises dine valgmuligheder i en drop-down menu (se figur 3).</t>
  </si>
  <si>
    <t>Det er kun nødvendigt at vælge observationssæt y, hvis du ønsker at teste en hypotese om forskel</t>
  </si>
  <si>
    <t>1. Vælg observationssæt x</t>
  </si>
  <si>
    <t>3. Vælg et konfidensniveau</t>
  </si>
  <si>
    <t>2. Vælg eventuelt observationssæt y</t>
  </si>
  <si>
    <t>Vælg navnet på de observationssæt du ønsker at analysere (se figur 11)</t>
  </si>
  <si>
    <t>Kvartilsættet er en måde at vise observationernes værdier sorteret efter størrelse (se figur 7)</t>
  </si>
  <si>
    <t>Det blå areal viser hvor stor en andel af observationssættet har værdien TRUE (se figur 6)</t>
  </si>
  <si>
    <t>Det blå areal viser100% af værdierne i observationssættet (se figur 5)</t>
  </si>
  <si>
    <t>Observationer er vist med blå cirkler (se figur 4)</t>
  </si>
  <si>
    <t>X-aksen viser værdier, som den er i observationssættet</t>
  </si>
  <si>
    <t>Y-aksen viser, hvor mange standardafvigelser værdien er fra gennemsnittet</t>
  </si>
  <si>
    <t>En normalfordeling er vist med den sorte linje</t>
  </si>
  <si>
    <t>Hvis du klikker på cellen, vises dine valgmuligheder i en drop-down menu (se figur 3)</t>
  </si>
  <si>
    <t>Vælg navnet på det observationssæt du ønsker at analysere</t>
  </si>
  <si>
    <t>Det kan være en fordel at skrive datatypen ind i overskriften, hvis det ikke giver sig selv</t>
  </si>
  <si>
    <t>Det anbefales at bruge korte, beskrivende overskrifter</t>
  </si>
  <si>
    <t>Formålet med arket Data er at indeholde alt data, som bruges til videre analyse</t>
  </si>
  <si>
    <t>Formålet med arket Beskrivende Statistik er at beskrive et observationssæt</t>
  </si>
  <si>
    <t>Formålet med arket Konfidens og Hypoteser er at analysere observationssæt</t>
  </si>
  <si>
    <t>Formålet med arket Lineær Regression er at udarbejde en lineær regressionsmodel</t>
  </si>
  <si>
    <t>4. Vælg en parameter</t>
  </si>
  <si>
    <t>5. Vælg en hypotesetype</t>
  </si>
  <si>
    <t>6. Vælg en beregningsmetode</t>
  </si>
  <si>
    <t>Beregningsmetode</t>
  </si>
  <si>
    <t>Hvis en beregningsmetode ikke kan vælges, så skyldes det at den hører til en analyse, som ikke er valgt</t>
  </si>
  <si>
    <t>Fx kan en t-fordeling med pooled standardafvigelse ikke vælges her, fordi den kun kan bruges til hypotesetest om forskel imellem gennemsnit</t>
  </si>
  <si>
    <t>Vælg mellem de 7 analyser: Konfidensinterval, 3 hypotesetest om værdi og 3 hypotesetest om forskel (se figur 13)</t>
  </si>
  <si>
    <t>Vælg mellem de 4 parametre: Gennemsnit, standardafvigelse, andel og intensitet (se figur 12)</t>
  </si>
  <si>
    <t>Vælg mellem op til 4 relevante beregningsmetoder (se figur 14)</t>
  </si>
  <si>
    <t>Hvis en hypotesetype ikke kan vælges (markeret med grå tekst), så ryd filtrene i Beregningsmetode (se figur 15)</t>
  </si>
  <si>
    <t>Hvis en parameter ikke kan vælges (markeret med grå tekst), så ryd filtrene i Beregningsmetode (se figur 15)</t>
  </si>
  <si>
    <t>Hvis flere beregningsmetoder er mulige (markeret med sort tekst), så vælg den der bedst opfylder sine forudsætninger</t>
  </si>
  <si>
    <t>Forudsætningerne for den valgte analyse kan aflæses under diagrammet (se figur 16)</t>
  </si>
  <si>
    <t>7. Kontroller at forudsætningerne for beregningen er opfyldt</t>
  </si>
  <si>
    <t>8. Fortolk resultaterne</t>
  </si>
  <si>
    <t>Op til 4 forudsætninger kontrolleres for hver analyse (se figur 16)</t>
  </si>
  <si>
    <t>De fleste forudsætninger kontrolleres automatisk, her angives Opfyldt eller Ikke opfyldt i kontrol feltet</t>
  </si>
  <si>
    <t>Nogle forudsætninger skal kontrolleres manuelt, her angives Skal vurderes eller Skal vurderes og testes i kontrol feltet</t>
  </si>
  <si>
    <t>Er forudsætninger ikke opfyldt, så bør der enten vælges en anden beregningsmetode eller angives en note til resultatet</t>
  </si>
  <si>
    <t>Resultaterne fremgår flere steder i diagrammet (se figur 17)</t>
  </si>
  <si>
    <t>Overskriften angiver om nulhypotesen kan afvises eller ikke kan afvises</t>
  </si>
  <si>
    <t>Når p-værdien er højere end 1-konfidensniveauet, så kan nulhypotesen ikke afvises</t>
  </si>
  <si>
    <t>Når p-værdien er lavere end 1-konfidensniveauet, så afvises nulhypotesen</t>
  </si>
  <si>
    <t>Visuelt kan man afvise nulhypotesen, hvis næsten hele fordelingen er orange, for så er der næsten intet blåt</t>
  </si>
  <si>
    <t>Man kan kontrollere denne konklusion visuelt eller ved at aflæse p-værdierne, der er skrevet over fordelingen</t>
  </si>
  <si>
    <t>Procentsatsen ved den blå, alternative hypotese er p-værdien for hypotesetesten</t>
  </si>
  <si>
    <t>Under x-aksen er der en beskrivelse af, hvad der er på aksen</t>
  </si>
  <si>
    <t>På x-aksen er der angivet værdier imellem nulhypotesen og den alternative hypotese</t>
  </si>
  <si>
    <t>I figur 17 angiver værdien 0,149 gennemsnittet i det observationssæt, som hypotesetesten handler om</t>
  </si>
  <si>
    <t>I figur 17 er der tale om en sandsynlighedsfordeling for gennemsnit fra stikprøver med 12 observationer</t>
  </si>
  <si>
    <t>Midtpunktet for sandsynlighedsfordelingen er 0,1, hvilket svarer til nulhypoteseværdien</t>
  </si>
  <si>
    <t>Standardafvigelsen i populationen estimeres til 1,057, hvilket svarer til observationssættets standardafvigelse</t>
  </si>
  <si>
    <t>I denne fordeling er der 29,539% chance for at tage en sitkprøve bestående af 12 observationer og få et gennemsnit over 0,149</t>
  </si>
  <si>
    <t>Modsat er der 70,461% chance for at tage en sitkprøve bestående af 12 observationer og få et gennemsnit under 0,149</t>
  </si>
  <si>
    <t>3. Aflæs eventuelt præcise værdier i resultattabellen</t>
  </si>
  <si>
    <t>Den afhængige variabel skal have samme antal observationer som de uafhængige variable (se figur 18)</t>
  </si>
  <si>
    <t>Vælg et konfidensniveau som er større end 50% og mindre end 100% (se figur 11)</t>
  </si>
  <si>
    <t>Hvis en uafhængig variabel ikke skal inkluderes bør den udelades</t>
  </si>
  <si>
    <t>Udeladelse af variable og konstanten kan gøres ved at fjerne fluebenet i checkboksen ved "Inkluder i model" (se figur 19)</t>
  </si>
  <si>
    <t>Vælg et konfidensniveau som er større end 50% og mindre end 100% (se figur 20)</t>
  </si>
  <si>
    <t>Ufhængige variable kontrolleres automatisk for korrekt antal observationer (se figur 18)</t>
  </si>
  <si>
    <t>4. Brug signifikans og R^2 til at optimere regressionsmodellen</t>
  </si>
  <si>
    <t>Hvis en uafhængige variabel ikke har en signifkant koefficient bør den udelades (se figur 21)</t>
  </si>
  <si>
    <t>Her kan signifikans diagrammet være en hjælp til visualisering (se figur 22)</t>
  </si>
  <si>
    <t>Analyse input checkbox</t>
  </si>
  <si>
    <t>5. Vælg om du er interesseret i resultater for specifikke værdier af de uafhængige variable</t>
  </si>
  <si>
    <t>Hvis ikke der er nogen specifikke værdier du er interesseret i, så vælg Udeladt (se figur 23)</t>
  </si>
  <si>
    <t>Det er vigtigt, at du angiver værdier for alle uafhængige variable der er inkluderet i modellen (se figur 24)</t>
  </si>
  <si>
    <t>6. Fortolk resultater i modellen</t>
  </si>
  <si>
    <t>Beregning af y værdien ved de angivne værdier er visualiseret i et vandfaldsdiagram (se figur 25)</t>
  </si>
  <si>
    <t>Den lilla søjle viser effekten af uafhægig variabel 1 ved en givet værdi.</t>
  </si>
  <si>
    <t>Den røde søjle viser effekten af uafhægig variabel 2 ved en givet værdi.</t>
  </si>
  <si>
    <t>Den grønne søjle viser effekten af uafhægig variabel 3 ved en givet værdi.</t>
  </si>
  <si>
    <t>Den orange søjle viser effekten af uafhægig variabel 4 ved en givet værdi.</t>
  </si>
  <si>
    <t>Den lyseblå søjle viser effekten af uafhægig variabel 5 ved en givet værdi.</t>
  </si>
  <si>
    <t>Hvis der kun er 1 uafhængig variabel inkluderet er der tale om simpel lineær regression (se figur 26)</t>
  </si>
  <si>
    <t>I konfidensinterval diagrammet ses en dybere analyse af den simple lineære regression (se figur 27)</t>
  </si>
  <si>
    <t>I forudsigelsesinterval diagrammet ses en dybere analyse af den simple lineære regression (se figur 28)</t>
  </si>
  <si>
    <t>I stedet vises effekten af hver variabel isoleret fra de øvrige variable (se figur 29)</t>
  </si>
  <si>
    <t>Under diagrammerne vises, hvordan modellen anvendes til beregning med de angivne værdier (se figur 30)</t>
  </si>
  <si>
    <t>Værdier, der skal angives er markeret orange.</t>
  </si>
  <si>
    <t>Eksempel 3 (nominal)</t>
  </si>
  <si>
    <t>Eksempel 2 (interval)</t>
  </si>
  <si>
    <t>Koefficient i regressionsmodel</t>
  </si>
  <si>
    <t>Antal variable</t>
  </si>
  <si>
    <t>Outlier</t>
  </si>
  <si>
    <t>Eksempel 4 (nominal)</t>
  </si>
  <si>
    <t>Observation</t>
  </si>
  <si>
    <t>Variationsbredde</t>
  </si>
  <si>
    <t>Korrelationer</t>
  </si>
  <si>
    <t>Generisk formel for hypotesetest</t>
  </si>
  <si>
    <t>x base</t>
  </si>
  <si>
    <t>Parameter 1</t>
  </si>
  <si>
    <t>Parameter 2</t>
  </si>
  <si>
    <t>Frihedsgrader 1</t>
  </si>
  <si>
    <t>Frihedsgrader 2</t>
  </si>
  <si>
    <t>x akse label</t>
  </si>
  <si>
    <t>Valgt fordeling</t>
  </si>
  <si>
    <t>Emne</t>
  </si>
  <si>
    <t>Mindre end teststørrelse</t>
  </si>
  <si>
    <t>Større end teststørrelse</t>
  </si>
  <si>
    <t>Forskellig fra teststørrelse</t>
  </si>
  <si>
    <t>Lig med teststørrelse</t>
  </si>
  <si>
    <t>Venstresidet</t>
  </si>
  <si>
    <t>Højresidet</t>
  </si>
  <si>
    <t>Hypotese</t>
  </si>
  <si>
    <t>Midtpunkt label</t>
  </si>
  <si>
    <t>Midtpunkt position</t>
  </si>
  <si>
    <t>Teststørrelse omvendt</t>
  </si>
  <si>
    <t>Venstre label</t>
  </si>
  <si>
    <t>Venstre position</t>
  </si>
  <si>
    <t>Venstre teststørrelse</t>
  </si>
  <si>
    <t>Højre teststørrelse</t>
  </si>
  <si>
    <t>Mindre end venstre %</t>
  </si>
  <si>
    <t>Større end venstre %</t>
  </si>
  <si>
    <t>Mindre end højre %</t>
  </si>
  <si>
    <t>Midt %</t>
  </si>
  <si>
    <t>Større end højre %</t>
  </si>
  <si>
    <t>Højre label</t>
  </si>
  <si>
    <t>Højre position</t>
  </si>
  <si>
    <t>Midtpunkt teststørrelse</t>
  </si>
  <si>
    <t>Midt position</t>
  </si>
  <si>
    <t>Index</t>
  </si>
  <si>
    <t>Venstre forklaring</t>
  </si>
  <si>
    <t>Midtpunkt forklaring</t>
  </si>
  <si>
    <t>Højre forklaring</t>
  </si>
  <si>
    <t>Venstre tekst</t>
  </si>
  <si>
    <t>Midt tekst</t>
  </si>
  <si>
    <t>Højre tekst</t>
  </si>
  <si>
    <t>Konfidensniveaubaseret x akse</t>
  </si>
  <si>
    <t>Venstre label base</t>
  </si>
  <si>
    <t>Midtpunkt label base</t>
  </si>
  <si>
    <t>Højre label base</t>
  </si>
  <si>
    <t>Orientering</t>
  </si>
  <si>
    <t>Værdi i fordeling</t>
  </si>
  <si>
    <t>X position i fordeling</t>
  </si>
  <si>
    <t>Nulhypotese kan ikke afvises</t>
  </si>
  <si>
    <t>p-værdi</t>
  </si>
  <si>
    <t>Indeks (1 base)</t>
  </si>
  <si>
    <t>Sandsynlighed</t>
  </si>
  <si>
    <t>Sandsynlighed af interesse</t>
  </si>
  <si>
    <t>Valg til analyse med normalfordeling</t>
  </si>
  <si>
    <t>Valg til analyse med binomialfordeling</t>
  </si>
  <si>
    <t xml:space="preserve">Gå til Manual i brug af Sandsynlighed arket               </t>
  </si>
  <si>
    <t>X base</t>
  </si>
  <si>
    <t>Venstre</t>
  </si>
  <si>
    <t>Højre</t>
  </si>
  <si>
    <t>Antal forsøg</t>
  </si>
  <si>
    <t>Midt</t>
  </si>
  <si>
    <t>Eller</t>
  </si>
  <si>
    <t>1. Analyser sandsynligheder på arket Sandsynlighed</t>
  </si>
  <si>
    <t xml:space="preserve">Gå til Sandsynlighed                                                                     </t>
  </si>
  <si>
    <t xml:space="preserve">Gå til Manual i brug af Sandsynlighed arket                                      </t>
  </si>
  <si>
    <t>Manual i brug af Sandsynlighed arket</t>
  </si>
  <si>
    <t>Formålet med arket Sandsynlighed er at beregne sandsynligheder i fordelinger med kendte paraterværdier</t>
  </si>
  <si>
    <t xml:space="preserve">Gå til Sandsynlighed                                                                      </t>
  </si>
  <si>
    <t>Parameterværdi</t>
  </si>
  <si>
    <t>1. Indtast parameterværdier</t>
  </si>
  <si>
    <t>2. Fortolk resultater</t>
  </si>
  <si>
    <t xml:space="preserve">Gå til Manual i brug af ANOVA arket               </t>
  </si>
  <si>
    <t>ANOVA</t>
  </si>
  <si>
    <t>Mellem observationssæt</t>
  </si>
  <si>
    <t>I observationssæt</t>
  </si>
  <si>
    <t>Total</t>
  </si>
  <si>
    <t>Sum af kvadrater</t>
  </si>
  <si>
    <t>Gennemsnit af kvadrater</t>
  </si>
  <si>
    <t>F-teststørrelse</t>
  </si>
  <si>
    <t>Sum of squares for treatments</t>
  </si>
  <si>
    <t>Sum of squares for error</t>
  </si>
  <si>
    <t>Konklusion på hypotesetest</t>
  </si>
  <si>
    <t>p værdi</t>
  </si>
  <si>
    <t>H0: Alle populationsgennemsnit er ens</t>
  </si>
  <si>
    <t>Residualer</t>
  </si>
  <si>
    <t>Forskel i gennemsnit</t>
  </si>
  <si>
    <t>Tilfældig værdi</t>
  </si>
  <si>
    <t>Parameterværdi ønsket</t>
  </si>
  <si>
    <t xml:space="preserve">Gå til Data Generator                                                                      </t>
  </si>
  <si>
    <t>Manual i brug af Data Generator arket</t>
  </si>
  <si>
    <t>Data Generator</t>
  </si>
  <si>
    <t xml:space="preserve">Gå til Manual i brug af Data generator arket               </t>
  </si>
  <si>
    <t>Valg til generation af nominal data</t>
  </si>
  <si>
    <t xml:space="preserve">Gå til Manual i brug af Data Generator arket                                      </t>
  </si>
  <si>
    <t xml:space="preserve">Gå til Data Generator                                                                     </t>
  </si>
  <si>
    <t>2. Vælg antal observationer</t>
  </si>
  <si>
    <t>Klik og træk højre nederste hjørne af tabellen for at ændre størrelsen af observationssættet.</t>
  </si>
  <si>
    <t>Formlerne følger automatisk med.</t>
  </si>
  <si>
    <t>3. Kopier data, når du er tilfreds med det genererede observationssæt</t>
  </si>
  <si>
    <t>Klik øverst i overskriften, for at markere alle data i kolonnen.</t>
  </si>
  <si>
    <t>Tryk kopier, eller brug genvejstasten ctrl + c</t>
  </si>
  <si>
    <t>4. Indsæt værdier, der hvor du skal bruge observationssættet</t>
  </si>
  <si>
    <t>Tryk indsæt værdier, eller brug genvejstasten højreklik + v</t>
  </si>
  <si>
    <t>Vær opmærksom på, at genvejstasten ctrl + v ikke giver det ønskede resultat, eftersom det kopierer formlerne i stedet for værdierne.</t>
  </si>
  <si>
    <t>This work is licensed under a Creative Commons Attribution-ShareAlike 4.0 International Public License</t>
  </si>
  <si>
    <t>Valg til generation af ordinal data</t>
  </si>
  <si>
    <t>Ønsket frekvens</t>
  </si>
  <si>
    <t>Observationsværdi</t>
  </si>
  <si>
    <t>Valg til generation af normalfordelt interval data</t>
  </si>
  <si>
    <t>Maksimum</t>
  </si>
  <si>
    <t>Antal unikke værdier</t>
  </si>
  <si>
    <t>1. Generer data på arket Data Generator, fx til brug på data arket</t>
  </si>
  <si>
    <t>Skævhed</t>
  </si>
  <si>
    <t>Nedre kvartil</t>
  </si>
  <si>
    <t>Øvre kvartil</t>
  </si>
  <si>
    <t>Vis procenttal</t>
  </si>
  <si>
    <t>Mindre end værdi af interesse</t>
  </si>
  <si>
    <t>Større end værdi af interesse</t>
  </si>
  <si>
    <t>Lig med værdi af interesse</t>
  </si>
  <si>
    <t>Beregn sandsynligheder og kritiske værdier i fordelinger</t>
  </si>
  <si>
    <t>Generer datasæt med ønskede fordelinger og parameterværdier</t>
  </si>
  <si>
    <t>Resultater</t>
  </si>
  <si>
    <t>Fejlmargin</t>
  </si>
  <si>
    <t>Nødvendig stikprøvestørrelse</t>
  </si>
  <si>
    <t>Ønsket fejlmargin</t>
  </si>
  <si>
    <t>Stikprøvestørrelse for ønsket fejlmargin</t>
  </si>
  <si>
    <t xml:space="preserve">Gå til Manual i brug af Estimation arket                              </t>
  </si>
  <si>
    <t>Beregn konfidensintervaller og hypotesetests for observationssæt</t>
  </si>
  <si>
    <t>Valg til estimation af gennemsnit</t>
  </si>
  <si>
    <t>Stikprøvestørrelse</t>
  </si>
  <si>
    <t>Observationssæt titel</t>
  </si>
  <si>
    <t>P-værdi</t>
  </si>
  <si>
    <t>Valg om hypotesetest</t>
  </si>
  <si>
    <t>Vælg parameterværdi for observationssæt x</t>
  </si>
  <si>
    <t>Vælg parameterværdi for observationssæt y</t>
  </si>
  <si>
    <t>Estimation  af gennemsnit</t>
  </si>
  <si>
    <t>Hypotese om forskel</t>
  </si>
  <si>
    <t>Hypotese om værdi</t>
  </si>
  <si>
    <t>Kendt standardafvigelse i population</t>
  </si>
  <si>
    <t>Hypotese om gennemsnit i population</t>
  </si>
  <si>
    <t>Beregning til estimation</t>
  </si>
  <si>
    <t>Sorterede forudsætninger</t>
  </si>
  <si>
    <t>Sorteringsindeks</t>
  </si>
  <si>
    <t>Kurtosis</t>
  </si>
  <si>
    <t>Valg til estimation af standardafvigelse</t>
  </si>
  <si>
    <t>Estimation  af standardafvigelse</t>
  </si>
  <si>
    <t>Kontrol af forudsætninger</t>
  </si>
  <si>
    <t>Forudsætning vurdering sorteret</t>
  </si>
  <si>
    <t>Sortering af forudsætninger</t>
  </si>
  <si>
    <t>Indeks for sortering af forudsætninger</t>
  </si>
  <si>
    <t>Vurdering af forudsætninger</t>
  </si>
  <si>
    <t>Hypotese om standardafvigelse i population</t>
  </si>
  <si>
    <t>Gennemsnit i stikprøve</t>
  </si>
  <si>
    <t>Standardafvigelse i stikprøve</t>
  </si>
  <si>
    <t>Valg til estimation af andel</t>
  </si>
  <si>
    <t>Andel i stikprøve</t>
  </si>
  <si>
    <t>Hypotese om andel i population</t>
  </si>
  <si>
    <t>Valg til estimation af intensitet</t>
  </si>
  <si>
    <t>Hypotese om intensitet i population</t>
  </si>
  <si>
    <t>Intensitet i stikprøve</t>
  </si>
  <si>
    <t>Estimation  af andel</t>
  </si>
  <si>
    <t>Estimation  af intensitet</t>
  </si>
  <si>
    <t>Valg til estimation af koefficient i lineær regressionsmodel</t>
  </si>
  <si>
    <t>Antal koefficienter i model</t>
  </si>
  <si>
    <t>Koefficient i lineær regressionsmodel</t>
  </si>
  <si>
    <t>Hypotese om koefficient</t>
  </si>
  <si>
    <t>Standardafvigelse for koefficient</t>
  </si>
  <si>
    <t>Estimation  af koefficient</t>
  </si>
  <si>
    <t>Beregning med kendt standardafvigelse</t>
  </si>
  <si>
    <t>Konfidensinterval nedre grænse</t>
  </si>
  <si>
    <t>Konfidensinterval øvre grænse</t>
  </si>
  <si>
    <t>Konklusion om nulhypotese</t>
  </si>
  <si>
    <t>Testfordeling</t>
  </si>
  <si>
    <t>Første parameter i testfordeling</t>
  </si>
  <si>
    <t>Anden parameter i testfordeling</t>
  </si>
  <si>
    <t>Relevante parameterværdier fra observationssæt</t>
  </si>
  <si>
    <t>Relevante parameterværdier fra observationssæt i den aktive regression</t>
  </si>
  <si>
    <t>Valg til analyse med poissonfordeling</t>
  </si>
  <si>
    <t>X Værdi af interesse</t>
  </si>
  <si>
    <t>Alle populationer er normalfordelte</t>
  </si>
  <si>
    <t>Populationernes standardafvigelser er ens</t>
  </si>
  <si>
    <t>Skal testes med en hypotesetest</t>
  </si>
  <si>
    <t>Alle stikprøver har mindst 3 observationer</t>
  </si>
  <si>
    <t>Stikprøverne er uafhængige af hinanden</t>
  </si>
  <si>
    <t>H0: alle populationers standardafvigelser er ens</t>
  </si>
  <si>
    <t>Standardafvigelsesestimat fra stikprøve</t>
  </si>
  <si>
    <t>Variansestimat fra stikprøve</t>
  </si>
  <si>
    <t>Forudsætningerne for den lineære regression er opfyldt</t>
  </si>
  <si>
    <t>Valg om styrke for hypotesetest om gennemsnit</t>
  </si>
  <si>
    <t>Styrke</t>
  </si>
  <si>
    <t>Styrkeberegninger</t>
  </si>
  <si>
    <t>Styrkefunktion relevant</t>
  </si>
  <si>
    <t>Aktiv styrkefunktion</t>
  </si>
  <si>
    <t>Styrke venstre</t>
  </si>
  <si>
    <t>Styrke højre</t>
  </si>
  <si>
    <t>Styrke tosidet</t>
  </si>
  <si>
    <t>Styrke, aktiv</t>
  </si>
  <si>
    <t>Sand positiv
Nulhypotese accepteres
Korrekt</t>
  </si>
  <si>
    <t>Falsk negativ
Nulhypotese afvises
Fejltype 2</t>
  </si>
  <si>
    <t>Sand negativ
Nulhypotese afvises
Korrekt</t>
  </si>
  <si>
    <t>Falsk positiv
Nulhypotese accepteres
Fejltype 1</t>
  </si>
  <si>
    <t>X base venstre</t>
  </si>
  <si>
    <t>X base højre</t>
  </si>
  <si>
    <t>Tosidet approximation</t>
  </si>
  <si>
    <t>Mellemregning til approximation</t>
  </si>
  <si>
    <t>Approximeret power</t>
  </si>
  <si>
    <t>Start værdi</t>
  </si>
  <si>
    <t>Styrkefunktion, x akse</t>
  </si>
  <si>
    <t>Power</t>
  </si>
  <si>
    <t>Base position</t>
  </si>
  <si>
    <t>Mellemregning til beregnet power</t>
  </si>
  <si>
    <t>Ønsket parameterværdi</t>
  </si>
  <si>
    <t>Mulig parameterværdi, givet øvrige ønsker</t>
  </si>
  <si>
    <t>X base som procent</t>
  </si>
  <si>
    <t>Kilde</t>
  </si>
  <si>
    <t>https://www.stata.com/manuals13/psspoweroneproportion.pdf</t>
  </si>
  <si>
    <t>Valg om styrke for hypotesetest om andel</t>
  </si>
  <si>
    <t>Start værdi 1</t>
  </si>
  <si>
    <t>Start værdi 2</t>
  </si>
  <si>
    <t>Indeks for power</t>
  </si>
  <si>
    <t>Difference base</t>
  </si>
  <si>
    <t>Difference power</t>
  </si>
  <si>
    <t>Ny x base</t>
  </si>
  <si>
    <t>Ønsket difference power</t>
  </si>
  <si>
    <t>Mellemregning til approximation af højresidet</t>
  </si>
  <si>
    <t>Mellemregning til approximation af venstresidet</t>
  </si>
  <si>
    <t>Mellemregning til approximation af tosidet, (højre)</t>
  </si>
  <si>
    <t>Approximation med gradient descent til brug i forklaringer i power graf</t>
  </si>
  <si>
    <t>Fejlmargin, højre</t>
  </si>
  <si>
    <t>Fejlmargin, venstre</t>
  </si>
  <si>
    <t>Problemer med 0% grænse</t>
  </si>
  <si>
    <t>Problemer med 100% grænse</t>
  </si>
  <si>
    <t>Mellemregning til approximation af tosidet, (venstre)</t>
  </si>
  <si>
    <t>Højre, tosidet</t>
  </si>
  <si>
    <t>Venstre, tosidet</t>
  </si>
  <si>
    <t>Estimation</t>
  </si>
  <si>
    <t>Kolonne med data</t>
  </si>
  <si>
    <t>Genereret normalfordelt population</t>
  </si>
  <si>
    <t>Populationsstørrelse</t>
  </si>
  <si>
    <t>Populationsstørrelse skal være et multipel af</t>
  </si>
  <si>
    <t>Genereret nominal population</t>
  </si>
  <si>
    <t>Generation af normalfordelt interval data</t>
  </si>
  <si>
    <t>Generation af nominal data</t>
  </si>
  <si>
    <t>Genereret stikprøve fra population</t>
  </si>
  <si>
    <t>Parameterværdi i genereret population</t>
  </si>
  <si>
    <t>Parameterestimat fra genereret stikprøve</t>
  </si>
  <si>
    <t>Genereret uniformt fordelt population</t>
  </si>
  <si>
    <t>Summeret frekvens</t>
  </si>
  <si>
    <t>Sekvens</t>
  </si>
  <si>
    <t>Genereret ordinal population</t>
  </si>
  <si>
    <t>Valg til generation af uniformt fordelt interval data</t>
  </si>
  <si>
    <t>Generation af uniformt fordelt interval data</t>
  </si>
  <si>
    <t>Valg til generation af skævt fordelt interval data</t>
  </si>
  <si>
    <t>Max tilfældig værdi</t>
  </si>
  <si>
    <t>Generation af ordinal data</t>
  </si>
  <si>
    <t>Skævhed (positiv)</t>
  </si>
  <si>
    <t>Generation af skævt fordelt interval data</t>
  </si>
  <si>
    <t>Genereret skævt fordelt population</t>
  </si>
  <si>
    <t>Normalfraktildiagram navn</t>
  </si>
  <si>
    <t>Normalfraktildiagram serie 1</t>
  </si>
  <si>
    <t>Normalfraktildiagram serie 2</t>
  </si>
  <si>
    <t>Sorterede data, BsData</t>
  </si>
  <si>
    <t>Z score, BzData</t>
  </si>
  <si>
    <t>Forventet Z værdi, BfZ</t>
  </si>
  <si>
    <t>Afrundet gennemsnit i stikprøve</t>
  </si>
  <si>
    <t>Afrundet standardafvigelsesestimat fra stikprøve</t>
  </si>
  <si>
    <t>Antal intervaller i histogram</t>
  </si>
  <si>
    <t>Interval ID</t>
  </si>
  <si>
    <t>x akse minimum</t>
  </si>
  <si>
    <t>x akse maksimum</t>
  </si>
  <si>
    <t>Histogram med normalfordeling navn</t>
  </si>
  <si>
    <t>Maximal absolut Z score</t>
  </si>
  <si>
    <t>x akse minimum, Z</t>
  </si>
  <si>
    <t>x akse maksimum, Z</t>
  </si>
  <si>
    <t>Intervalbredde</t>
  </si>
  <si>
    <t>Interval nedre grænse</t>
  </si>
  <si>
    <t>Interval øvre grænse</t>
  </si>
  <si>
    <t>Identitet kolonne for data</t>
  </si>
  <si>
    <t>Frekvens i interval</t>
  </si>
  <si>
    <t>Histogram med normalfordeling serie 1</t>
  </si>
  <si>
    <t>Histogram med normalfordeling serie 2</t>
  </si>
  <si>
    <t>Ønsket antal punkter i visualisering</t>
  </si>
  <si>
    <t>Antal punkter i visualisering</t>
  </si>
  <si>
    <t>Data ID</t>
  </si>
  <si>
    <t>Histogram ID</t>
  </si>
  <si>
    <t>Interval i histogram</t>
  </si>
  <si>
    <t>Frekvens i histogram</t>
  </si>
  <si>
    <t>Histogram Z</t>
  </si>
  <si>
    <t>Punktbredde, Z</t>
  </si>
  <si>
    <t>Normalfordeling i histogram, BzHist</t>
  </si>
  <si>
    <t>Vægtet frekvens i histogram, BfHist</t>
  </si>
  <si>
    <t>Punkter per interval</t>
  </si>
  <si>
    <t>Histogram x akse, BxHist</t>
  </si>
  <si>
    <t>Afrunding til x akse</t>
  </si>
  <si>
    <t>Maksimum cifferantal uden decimaler, x akse</t>
  </si>
  <si>
    <t>Maksimum acceptabelt cifferantal</t>
  </si>
  <si>
    <t>Søjlediagram navn</t>
  </si>
  <si>
    <t>Søjlediagram serie 1</t>
  </si>
  <si>
    <t>Søjlediagram ID</t>
  </si>
  <si>
    <t>Søjle nummer</t>
  </si>
  <si>
    <t>Antal punkter per søjle</t>
  </si>
  <si>
    <t>Mellemrum</t>
  </si>
  <si>
    <t>Unikke værdier</t>
  </si>
  <si>
    <t>Frekvens ved unik værdi</t>
  </si>
  <si>
    <t>Søjlediagram x akse, BxS</t>
  </si>
  <si>
    <t>Placering af x akse titel</t>
  </si>
  <si>
    <t>Procent som tekst</t>
  </si>
  <si>
    <t>Unik observation frekvens, Buf</t>
  </si>
  <si>
    <t>Unikke værdier som tekst</t>
  </si>
  <si>
    <t>Kvartilsæt navn</t>
  </si>
  <si>
    <t>Kvartilsæt serienavne</t>
  </si>
  <si>
    <t>Kvartil antal</t>
  </si>
  <si>
    <t>Kvartil værdier eklusiv beregning</t>
  </si>
  <si>
    <t>Kvartil ID</t>
  </si>
  <si>
    <t>Kvartilsæt antal værdier</t>
  </si>
  <si>
    <t>Minimum punkter i visualisering</t>
  </si>
  <si>
    <t>Kvartilsæt ID</t>
  </si>
  <si>
    <t>Kvartil værdi placering i visualisering</t>
  </si>
  <si>
    <t>Kvartil nummer</t>
  </si>
  <si>
    <t>Kvartilsæt identitet</t>
  </si>
  <si>
    <t>Kvartilgrænse ID</t>
  </si>
  <si>
    <t>Antal punkter i kvartil</t>
  </si>
  <si>
    <t>Kvartil vægt</t>
  </si>
  <si>
    <t>Vægtet kvartil til visualisering</t>
  </si>
  <si>
    <t>1. kvartil i visualisering, Bk_1</t>
  </si>
  <si>
    <t>2. kvartil i visualisering, Bk_2</t>
  </si>
  <si>
    <t>3. kvartil i visualisering, Bk_3</t>
  </si>
  <si>
    <t>4. kvartil i visualisering, Bk_4</t>
  </si>
  <si>
    <t>Kvartilsæt x akse, BxK</t>
  </si>
  <si>
    <t>Kvartil værdi, afrundet</t>
  </si>
  <si>
    <t>Boksplot navn</t>
  </si>
  <si>
    <t xml:space="preserve">Boksplot serie 1
</t>
  </si>
  <si>
    <t xml:space="preserve">Boksplot serie 2
</t>
  </si>
  <si>
    <t>Boksplot serie 3</t>
  </si>
  <si>
    <t>Median</t>
  </si>
  <si>
    <t>Boksplot</t>
  </si>
  <si>
    <t>Minimum y</t>
  </si>
  <si>
    <t>Maksimum y</t>
  </si>
  <si>
    <t>Interkvartilbredde</t>
  </si>
  <si>
    <t xml:space="preserve">Boksplot outlier faktor
</t>
  </si>
  <si>
    <t>Boksplot nedre outlier grænse</t>
  </si>
  <si>
    <t>Boksplot øvre outlier grænse</t>
  </si>
  <si>
    <t>Boksplot ID</t>
  </si>
  <si>
    <t>Er outlier</t>
  </si>
  <si>
    <t>Data, sorteret</t>
  </si>
  <si>
    <t>Data, uden outliers</t>
  </si>
  <si>
    <t>Maksimum uden outliers</t>
  </si>
  <si>
    <t>Minimum uden outliers</t>
  </si>
  <si>
    <t>Boksplot x værdier</t>
  </si>
  <si>
    <t>Boksplot y værdier</t>
  </si>
  <si>
    <t>Median x værdier i boksplot</t>
  </si>
  <si>
    <t>Median y værdier i boksplot</t>
  </si>
  <si>
    <t>Outlier, Bo</t>
  </si>
  <si>
    <t>Outlier, x værdier, BoY</t>
  </si>
  <si>
    <t>Fraktildiagram navn</t>
  </si>
  <si>
    <t>Antal fraktiler</t>
  </si>
  <si>
    <t>Fraktiler</t>
  </si>
  <si>
    <t>Fraktil ID</t>
  </si>
  <si>
    <t>Fraktil værdi</t>
  </si>
  <si>
    <t>Fraktil procent</t>
  </si>
  <si>
    <t>Fraktildiagram ID</t>
  </si>
  <si>
    <t>Fraktil i fraktildiagram</t>
  </si>
  <si>
    <t>Fraktil værdi placering i visualisering</t>
  </si>
  <si>
    <t>Fraktilgrænse ID</t>
  </si>
  <si>
    <t>Fraktil antal punkter</t>
  </si>
  <si>
    <t>Fraktil vægt</t>
  </si>
  <si>
    <t>Fraktil identitet</t>
  </si>
  <si>
    <t>Fraktildiagram x akase, BxF</t>
  </si>
  <si>
    <t>Fraktil vægt i fraktildiagram, ByF</t>
  </si>
  <si>
    <t>Fraktildiagram serie</t>
  </si>
  <si>
    <t>Fraktil værdi og procent til x akse</t>
  </si>
  <si>
    <t>Histogram x akse 2, Bx2Hist</t>
  </si>
  <si>
    <t>Antal Z scores der vises</t>
  </si>
  <si>
    <t>Antal Z scores der kan vises</t>
  </si>
  <si>
    <t>Maksimalt ønskeligt antal Z scores</t>
  </si>
  <si>
    <t>Z score ID</t>
  </si>
  <si>
    <t>Midterste Z score</t>
  </si>
  <si>
    <t>Hvis hver anden Z score</t>
  </si>
  <si>
    <t>Z score</t>
  </si>
  <si>
    <t>Position Z score</t>
  </si>
  <si>
    <t>Inkluder konstant</t>
  </si>
  <si>
    <t>Konstant inkluderet</t>
  </si>
  <si>
    <t>Afhængig variabel ID</t>
  </si>
  <si>
    <t>Uafhængige variable ID</t>
  </si>
  <si>
    <t>Data, LyData</t>
  </si>
  <si>
    <t>Placering i datatabel</t>
  </si>
  <si>
    <t>Sekvens for uafhængige variable</t>
  </si>
  <si>
    <t>Standardafvigelse for estimat</t>
  </si>
  <si>
    <t>Linest koefficienter</t>
  </si>
  <si>
    <t>Linest standardafvigelser</t>
  </si>
  <si>
    <t>Linest r^2 og standardafvigelse for y estimat</t>
  </si>
  <si>
    <t>Linest F og frihedsgrader</t>
  </si>
  <si>
    <t>Linest regression sum of squares og residual sum of squares</t>
  </si>
  <si>
    <t>Signifikanssandsynlighed</t>
  </si>
  <si>
    <t>R^2 for mulige simple lineære regressioner</t>
  </si>
  <si>
    <t>Linest for bedste simple lineære regression</t>
  </si>
  <si>
    <t>Forklaringsgrad som afrundet procent</t>
  </si>
  <si>
    <t>Uafhængig variabel navn</t>
  </si>
  <si>
    <t>Simpel linjeplot ID</t>
  </si>
  <si>
    <t>Observationer x, LxSimpel</t>
  </si>
  <si>
    <t>Sorterede observationer x, LsxSimpel</t>
  </si>
  <si>
    <t>Sorterede observationer, LsySimpel</t>
  </si>
  <si>
    <t>Simpel lineær regression linjeplot, overskrift</t>
  </si>
  <si>
    <t>Simpel lineær regression linjeplot, serie 1</t>
  </si>
  <si>
    <t>Simpel lineær regression linjeplot, serie 2</t>
  </si>
  <si>
    <t>Maksimum cifferantal</t>
  </si>
  <si>
    <t>Koefficient for x1 som afrundet tal</t>
  </si>
  <si>
    <t>konstant som afrundet tal</t>
  </si>
  <si>
    <t>Konstant er negativ</t>
  </si>
  <si>
    <t>Linjetilpasningsplot</t>
  </si>
  <si>
    <t>Simpel lineær regression linjeplot, serie 3</t>
  </si>
  <si>
    <t>Konstant som tekst i formel</t>
  </si>
  <si>
    <t>Estimat x værdi af interesse</t>
  </si>
  <si>
    <t>Konfidensinterval ID</t>
  </si>
  <si>
    <t>Simpel lineær regression konfidensinterval, serie 1</t>
  </si>
  <si>
    <t>Simpel lineær regression konfidensinterval, overskrift</t>
  </si>
  <si>
    <t>Simpel lineær regression konfidensinterval, serie 2</t>
  </si>
  <si>
    <t>Simpel lineær regression konfidensinterval, serie 3</t>
  </si>
  <si>
    <t>Simpel lineær regression konfidensinterval, serie 4</t>
  </si>
  <si>
    <t>Øvre grænse</t>
  </si>
  <si>
    <t>Nedre grænse</t>
  </si>
  <si>
    <t>Sum af kvadreret residual</t>
  </si>
  <si>
    <t>Gennemsnit af uafhængig variabel</t>
  </si>
  <si>
    <t>Kvadreret forskel fra gennemsnit for uafhængig variabel</t>
  </si>
  <si>
    <t>Sum af kvadreret forskel fra gennemsnit for uafhængig variabel</t>
  </si>
  <si>
    <t>ID til konfidensintervalkurve smoothing</t>
  </si>
  <si>
    <t>Antal punkter til smooth konfidensinterval kurve</t>
  </si>
  <si>
    <t>Minimum x</t>
  </si>
  <si>
    <t>Maksimum x</t>
  </si>
  <si>
    <t>Regressionslinje y, Lsy2Simpel</t>
  </si>
  <si>
    <t>Simpel lineær regression konfidensinterval, serie 5</t>
  </si>
  <si>
    <t>Maksimum cifferantal uden decimaler, y akse</t>
  </si>
  <si>
    <t>Afrunding til y akse</t>
  </si>
  <si>
    <t>Øvre grænse, afrundet</t>
  </si>
  <si>
    <t>Nedre grænse, afrundet</t>
  </si>
  <si>
    <t>Nedre konfidensinterval, LkNedre</t>
  </si>
  <si>
    <t>Øvre konfidensinterval, LkOevre</t>
  </si>
  <si>
    <t>X position, LkX</t>
  </si>
  <si>
    <t>Estimeret gennemsnit ved x værdi af interesse</t>
  </si>
  <si>
    <t>Gennemsnit, afrundet</t>
  </si>
  <si>
    <t>Antal punkter til smooth forudsigelsesinterval kurve</t>
  </si>
  <si>
    <t>ID til forudsigelsesintervalkurve smoothing</t>
  </si>
  <si>
    <t>X position, LfX</t>
  </si>
  <si>
    <t>Øvre forudsigelsesinterval, LfOevre</t>
  </si>
  <si>
    <t>Nedre forudsigelsesinterval, LfNedre</t>
  </si>
  <si>
    <t>Navne på uafhængige variable</t>
  </si>
  <si>
    <t>Symbol i model</t>
  </si>
  <si>
    <t>xmean</t>
  </si>
  <si>
    <t>ymean</t>
  </si>
  <si>
    <t>m = sump / sumsq</t>
  </si>
  <si>
    <t>b = ymean - m * xmean</t>
  </si>
  <si>
    <t>sst</t>
  </si>
  <si>
    <t>ssr</t>
  </si>
  <si>
    <t>sumpr</t>
  </si>
  <si>
    <t>sumsq</t>
  </si>
  <si>
    <t>xsum</t>
  </si>
  <si>
    <t>Signifikanssandsynlighed, Lss</t>
  </si>
  <si>
    <t>Signifikans af uafhængige variable, overskrift</t>
  </si>
  <si>
    <t>Signifikans af uafhængige variable, serie 1</t>
  </si>
  <si>
    <t>Signifikans af uafhængige variable, serie 2</t>
  </si>
  <si>
    <t>Antal signifikante variable</t>
  </si>
  <si>
    <t>Signifikante uahængige variable, Lssy1</t>
  </si>
  <si>
    <t>Ikke signifikante uafhængige variable, Lssy2</t>
  </si>
  <si>
    <t>Navne på uafhængige variable, lssx</t>
  </si>
  <si>
    <t>Grænse for signifikans</t>
  </si>
  <si>
    <t>Signifikans af uafhængige variable, serie 3</t>
  </si>
  <si>
    <t>Ikke signifikant</t>
  </si>
  <si>
    <t>Multipel lineær regression, overskrift</t>
  </si>
  <si>
    <t>stddev.p</t>
  </si>
  <si>
    <t>row</t>
  </si>
  <si>
    <t>column</t>
  </si>
  <si>
    <t>Yscore, stacked</t>
  </si>
  <si>
    <t>Zscore, stacked</t>
  </si>
  <si>
    <t>Standardiseret score for uafhængig variabel</t>
  </si>
  <si>
    <t>Effekt på afhængig variabel</t>
  </si>
  <si>
    <t>MinMax ID</t>
  </si>
  <si>
    <t>Maxif, x</t>
  </si>
  <si>
    <t>Minif, x</t>
  </si>
  <si>
    <t>Maxif, y</t>
  </si>
  <si>
    <t>Minif, y</t>
  </si>
  <si>
    <t>Koefficientplot ID</t>
  </si>
  <si>
    <t>Type</t>
  </si>
  <si>
    <t>Række</t>
  </si>
  <si>
    <t>Koefficientplot x, LmkX</t>
  </si>
  <si>
    <t>Koefficientplot y, LmkY</t>
  </si>
  <si>
    <t>Dokumentation</t>
  </si>
  <si>
    <t>Effekt per standardafvigelse</t>
  </si>
  <si>
    <t>Max effekt per standardafvigelse variabel</t>
  </si>
  <si>
    <t>Vægtet effekt</t>
  </si>
  <si>
    <t>Antal variable med stor effekt</t>
  </si>
  <si>
    <t>Maksimalt antal variable nævnt i overskrift</t>
  </si>
  <si>
    <t>Antal variable i overskrift</t>
  </si>
  <si>
    <t>Match</t>
  </si>
  <si>
    <t>Antal observationer i alt</t>
  </si>
  <si>
    <t>Matchende par, y til max x</t>
  </si>
  <si>
    <t>Sårbare formler gemmes på dette ark, for at undgå indsættelse af rækker og kolonner.</t>
  </si>
  <si>
    <t>Labels til sammenligning af koefficienter</t>
  </si>
  <si>
    <t>Labels er ikke dynamisk i plottet, men bundet til en 150 celler stor range gennem value to cells data labels funktionen. Dermed håndteres max 50 koefficienter. Labels er gemt på Beregningsark.</t>
  </si>
  <si>
    <t>Stacked x</t>
  </si>
  <si>
    <t>ymin</t>
  </si>
  <si>
    <t>ymax</t>
  </si>
  <si>
    <t>xmax</t>
  </si>
  <si>
    <t>xmin</t>
  </si>
  <si>
    <t>X ID</t>
  </si>
  <si>
    <t>Parallelle koordinater, overskrift</t>
  </si>
  <si>
    <t>Parallelle koordinater, serie 1</t>
  </si>
  <si>
    <t>Parallelle koordinater, serie 2</t>
  </si>
  <si>
    <t>Parallelle koordinater, x akse</t>
  </si>
  <si>
    <t>Parallelle koordinater, y akse</t>
  </si>
  <si>
    <t>Uafhængig variabel ID</t>
  </si>
  <si>
    <t>Transformation lineær, min 0 max 1</t>
  </si>
  <si>
    <t>Serie ID</t>
  </si>
  <si>
    <t>Kombination ID</t>
  </si>
  <si>
    <t>Kombinationer</t>
  </si>
  <si>
    <t>Par ID</t>
  </si>
  <si>
    <t>Par position lodret</t>
  </si>
  <si>
    <t>Par position vandret</t>
  </si>
  <si>
    <t>Position opslag</t>
  </si>
  <si>
    <t>Observation ID</t>
  </si>
  <si>
    <t>Par ID til labels</t>
  </si>
  <si>
    <t>Vandret spacing</t>
  </si>
  <si>
    <t>Lodret spacing</t>
  </si>
  <si>
    <t>Lodret label</t>
  </si>
  <si>
    <t>Vandret label</t>
  </si>
  <si>
    <t>Lodret navn</t>
  </si>
  <si>
    <t>Vandret navn</t>
  </si>
  <si>
    <t>Labels til korrelationskoefficienter</t>
  </si>
  <si>
    <t>ID til position til kategorinavne</t>
  </si>
  <si>
    <t>Labels til korrelationskoefficienter, y akse kategorier</t>
  </si>
  <si>
    <t>Labels til korrelationskoefficienter, x akse kategorier</t>
  </si>
  <si>
    <t>Korrelationskoefficienter</t>
  </si>
  <si>
    <t>Højre side uafhængige variabel</t>
  </si>
  <si>
    <t>Venstre side uafhængige variabel</t>
  </si>
  <si>
    <t>Parallelle koordinater</t>
  </si>
  <si>
    <t>Parallelle koordinater x, LpX</t>
  </si>
  <si>
    <t>Parallelle koordinater y, LpY</t>
  </si>
  <si>
    <t>Korrelationskoefficient label y, LpRy</t>
  </si>
  <si>
    <t>Korrelationskoefficient label x, LpRx</t>
  </si>
  <si>
    <t>Lodret navn x, LpYlx</t>
  </si>
  <si>
    <t>Lodret navn y, LpYly</t>
  </si>
  <si>
    <t>Vandret navn x, LpXlx</t>
  </si>
  <si>
    <t>Vandret navn y, LpXly</t>
  </si>
  <si>
    <t>Labels er ikke dynamisk i plottet, men bundet til en 1700 celler stor range gennem value to cells data labels funktionen. Dermed håndteres max 58 koefficienter. Labels er gemt på Beregningsark.</t>
  </si>
  <si>
    <t>Korrelation stærk nok til overskrift</t>
  </si>
  <si>
    <t>Absolut korrelation</t>
  </si>
  <si>
    <t>Max anatal korrelationer i overskrift</t>
  </si>
  <si>
    <t>Antal korrelationer i overskrift</t>
  </si>
  <si>
    <t>Antal korrelationer mulige til overskrift</t>
  </si>
  <si>
    <t>Stærkeste korrelationer</t>
  </si>
  <si>
    <t>Afrundet</t>
  </si>
  <si>
    <t>Indeks på stærkeste korrelationer</t>
  </si>
  <si>
    <t>Stærkeste korrelationer, korrekt fortegn</t>
  </si>
  <si>
    <t>De stærkeste absolutte korrelationer</t>
  </si>
  <si>
    <t>Simpel lineær regression, normalfraktildiagram af residualer, overskrift</t>
  </si>
  <si>
    <t>Simpel, residualer, serie 1</t>
  </si>
  <si>
    <t>Simpel, residualer, serie 2</t>
  </si>
  <si>
    <t>Simpel, residualer, x akse</t>
  </si>
  <si>
    <t>Simpel, residualer, y akse</t>
  </si>
  <si>
    <t>Værdier og forventede værdier for residualer</t>
  </si>
  <si>
    <t>Standardafvigelse i normalfordeling for residualer</t>
  </si>
  <si>
    <t xml:space="preserve"> Residualer</t>
  </si>
  <si>
    <t xml:space="preserve"> Normalfordeling for residualer</t>
  </si>
  <si>
    <t>Residual ID</t>
  </si>
  <si>
    <t>Regressionslinje y</t>
  </si>
  <si>
    <t>Sorterede observationer y</t>
  </si>
  <si>
    <t>Sorteret residual, LrS</t>
  </si>
  <si>
    <t>Z score, LrZ</t>
  </si>
  <si>
    <t>Forventet Z værdi, LrfZ</t>
  </si>
  <si>
    <t>Simpel lineær regression
Normalfraktildiagram af residualer</t>
  </si>
  <si>
    <t>Multipel lineær regression, normalfraktildiagram af residualer, overskrift</t>
  </si>
  <si>
    <t>Multipel, residualer, serie 1</t>
  </si>
  <si>
    <t>Multipel, residualer, serie 2</t>
  </si>
  <si>
    <t>Multipel, residualer, x akse</t>
  </si>
  <si>
    <t>Multipel, residualer, y akse</t>
  </si>
  <si>
    <t>Regressionslinje y, sorteret</t>
  </si>
  <si>
    <t>Observationer y</t>
  </si>
  <si>
    <t>Sorteret residual, LrSm</t>
  </si>
  <si>
    <t>Z score, LrZm</t>
  </si>
  <si>
    <t>Forventet Z værdi, LrfZm</t>
  </si>
  <si>
    <t>Simpel og multipel lineær regression, forklaringsgradsvisualisering, overskrift</t>
  </si>
  <si>
    <t>Forklaringsgrad, serie 1</t>
  </si>
  <si>
    <t>Forklaringsgrad, serie 2</t>
  </si>
  <si>
    <t>Forklaringsgrad, x akse</t>
  </si>
  <si>
    <t>Forklaringsgrad, y akse</t>
  </si>
  <si>
    <t>Beregnet værdi i regression</t>
  </si>
  <si>
    <t xml:space="preserve"> Referencelinje ved perfekt forklaringsgrad</t>
  </si>
  <si>
    <t>Forklaringsgrad, serie 3</t>
  </si>
  <si>
    <t xml:space="preserve"> Beregnet værdi, simpel lineær regression</t>
  </si>
  <si>
    <t xml:space="preserve"> Beregnet værdi, multipel lineær regression</t>
  </si>
  <si>
    <t>Forklaringsgrad simpel</t>
  </si>
  <si>
    <t>Forklaringsgrad multipel</t>
  </si>
  <si>
    <t>Justeret forklaringsgrad simpel</t>
  </si>
  <si>
    <t>Justeret forklaringsgrad multipel</t>
  </si>
  <si>
    <t>Afrundet Forklaringsgrad simpel</t>
  </si>
  <si>
    <t>Afrundet Forklaringsgrad multipel</t>
  </si>
  <si>
    <t>Afrundet Justeret forklaringsgrad simpel</t>
  </si>
  <si>
    <t>Afrundet Justeret forklaringsgrad multipel</t>
  </si>
  <si>
    <t>Afrunding, antal cifre</t>
  </si>
  <si>
    <t>Observationer, y sorteret, Lfsy</t>
  </si>
  <si>
    <t>Regression, multipel, Lfm</t>
  </si>
  <si>
    <t>Regression, simpel, Lfs</t>
  </si>
  <si>
    <t>Observationer y, Lfyx</t>
  </si>
  <si>
    <t>Ymin aksestyringspunkt</t>
  </si>
  <si>
    <t>Ymax aksestyringspunkt</t>
  </si>
  <si>
    <t>Aksestyringspunkt, x</t>
  </si>
  <si>
    <t>Inkluderet_liste</t>
  </si>
  <si>
    <t>Inkluderet</t>
  </si>
  <si>
    <t>Udeladt</t>
  </si>
  <si>
    <t>Visualisering</t>
  </si>
  <si>
    <t>Variabel ID</t>
  </si>
  <si>
    <t>Indenfor range</t>
  </si>
  <si>
    <t>Intet overlap</t>
  </si>
  <si>
    <t>Uafhængige variable, hjælpeberegning</t>
  </si>
  <si>
    <t>Anbefaling</t>
  </si>
  <si>
    <t>Beregninger til slicer om afhængig og uafhængige variable</t>
  </si>
  <si>
    <t>Valg til lineær regression</t>
  </si>
  <si>
    <t>Vælg en afhængig variabel</t>
  </si>
  <si>
    <t>Uafhængige variable</t>
  </si>
  <si>
    <t>SandFalsk_liste</t>
  </si>
  <si>
    <t>Estimat x værdi af interesse, afrundet</t>
  </si>
  <si>
    <t>Normaliseret effekt af uafhængig variabel</t>
  </si>
  <si>
    <t>Unik max effekt per standardafvigelse variabel</t>
  </si>
  <si>
    <t>Maksimal R^2 for simpel lineær regression</t>
  </si>
  <si>
    <t>Indeks for maksimal R^2 blandt mulige uafhængige variable</t>
  </si>
  <si>
    <t>X data</t>
  </si>
  <si>
    <t>Indeks til reorganisering</t>
  </si>
  <si>
    <t>Linest koefficienter, multipel lineær regression</t>
  </si>
  <si>
    <t>Reorganisering af linest, multipel</t>
  </si>
  <si>
    <t>Følgende spill-arrays er horisontale og skal derfor være længst til højre på arket</t>
  </si>
  <si>
    <t>Dette spill-arrays er både horisontalt og vertikalt og skal derfor være længst til højre, nederst på arket</t>
  </si>
  <si>
    <t>Lineær sammenhæng mellem afhængig og uafhængige variable</t>
  </si>
  <si>
    <t>Residualer er normalfordelt</t>
  </si>
  <si>
    <t>Residualers standardafvigelse afhænger ikke af uafhængige variable</t>
  </si>
  <si>
    <t>Uafhængige variable er ikke stærkt korrelerede med hinanden</t>
  </si>
  <si>
    <t>Valg til analyse af simpel lineær regression</t>
  </si>
  <si>
    <t>Visualisering ved X værdi af interesse</t>
  </si>
  <si>
    <t>Gennemsnit ved X værdi af interesse</t>
  </si>
  <si>
    <t>Interval øvre grænse ved X værdi af interesse</t>
  </si>
  <si>
    <t>Interval nedre grænse ved X værdi af interesse</t>
  </si>
  <si>
    <t>Koefficienteffekt</t>
  </si>
  <si>
    <t>Uafhængig varibel i multipel lineær regression</t>
  </si>
  <si>
    <t>Værdi af interesse</t>
  </si>
  <si>
    <t>Signifikant uafhængig variabel</t>
  </si>
  <si>
    <t>Analyse af multipel lineær regression</t>
  </si>
  <si>
    <t>Eksempel beregning med værdier af interesse</t>
  </si>
  <si>
    <t>Afrundede koefficienter</t>
  </si>
  <si>
    <t>Afrundning, antal decimaler for koefficienter</t>
  </si>
  <si>
    <t>Afrundet konstant</t>
  </si>
  <si>
    <t xml:space="preserve">y = </t>
  </si>
  <si>
    <t>Modelspecifikation med symboler</t>
  </si>
  <si>
    <t>Præcist resultat af beregning</t>
  </si>
  <si>
    <t>Modelspecifikation beregninger for multipel lineær regression</t>
  </si>
  <si>
    <t>Symbol afhængig variabel</t>
  </si>
  <si>
    <t>Symboler og koefficienter, uafhængige variable</t>
  </si>
  <si>
    <t xml:space="preserve">β0 + </t>
  </si>
  <si>
    <t>Værdi, konstant</t>
  </si>
  <si>
    <t>Symbol, konstant</t>
  </si>
  <si>
    <t>Modelspecifikation med symboler og koefficienter</t>
  </si>
  <si>
    <t>Modelspecifikation med navne og koefficienter</t>
  </si>
  <si>
    <t>Symboler, uafhængige variable</t>
  </si>
  <si>
    <t>Modelspecifikation, symboler og koefficienter</t>
  </si>
  <si>
    <t>Modelspecifikation, symboler</t>
  </si>
  <si>
    <t>Navne og koefficienter, uafhængige variable</t>
  </si>
  <si>
    <t>Modelspecifikation, navne og koefficienter</t>
  </si>
  <si>
    <t>Værdi af interesse, uafhængige variable</t>
  </si>
  <si>
    <t>Værdi af interesse, uafhængige variable i multipel lineær regression</t>
  </si>
  <si>
    <t>Afrundet y værdi ved værdier af interesse</t>
  </si>
  <si>
    <t>y værdi ved værdier af interesse i multipel lineær regression</t>
  </si>
  <si>
    <t>Koefficienteffekt ved værdier af interesse</t>
  </si>
  <si>
    <t>Matchende par, y til min x</t>
  </si>
  <si>
    <t>Hældning på linje</t>
  </si>
  <si>
    <t>Z score, værdi af interesse</t>
  </si>
  <si>
    <t>Forskel xmax til værdi af interesse Z</t>
  </si>
  <si>
    <t>Værdi af interesse, Z score, LmkVxX</t>
  </si>
  <si>
    <t>Y ved værdi af interesse, LmkVxY</t>
  </si>
  <si>
    <t>Multipel lineær regression koefficienteffekt, serie 1</t>
  </si>
  <si>
    <t>Multipel lineær regression koefficienteffekt, serie 2</t>
  </si>
  <si>
    <t>Multipel lineær regression koefficienteffekt, x akse</t>
  </si>
  <si>
    <t>Multipel lineær regression koefficienteffekt, y akse</t>
  </si>
  <si>
    <t>Koefficienteffekt ved værdi af interesse</t>
  </si>
  <si>
    <t>Slicer til valg om inkludering af variable i ANOVA</t>
  </si>
  <si>
    <t>Slicer til valg om inkludering af afhængig og uafhængige variable i lineær regression</t>
  </si>
  <si>
    <t>Beregninger til slicer om variable</t>
  </si>
  <si>
    <t>Max antal variable, baseret på tabelstørrelse</t>
  </si>
  <si>
    <t>Tabel ID</t>
  </si>
  <si>
    <t>Variabel i ANOVA</t>
  </si>
  <si>
    <t>Max rækker i data tabel</t>
  </si>
  <si>
    <t>Variabel position i Data</t>
  </si>
  <si>
    <t>Sum antal observationer</t>
  </si>
  <si>
    <t>Vægtet total gennemsnit</t>
  </si>
  <si>
    <t>Antal observationer -1</t>
  </si>
  <si>
    <t>Varians</t>
  </si>
  <si>
    <t>Sum af kvadrater mellem observationssæt</t>
  </si>
  <si>
    <t>Sum af kvadrater i observationssæt</t>
  </si>
  <si>
    <t>Gennemsnit af kvadrater mellem observationssæt</t>
  </si>
  <si>
    <t>Gennemsnit af kvadrater i observationssæt</t>
  </si>
  <si>
    <t>Negativ 3 standardafvigelser fra gennemsnit</t>
  </si>
  <si>
    <t>Positiv 3 standardafvigelser fra gennemsnit</t>
  </si>
  <si>
    <t>Minimum af negativ 3 afvigelser fra gennemsnit</t>
  </si>
  <si>
    <t>Maksimum af positiv 3 afvigelser fra gennemsnit</t>
  </si>
  <si>
    <t>Mindste intervalbredde for et observationssæt</t>
  </si>
  <si>
    <t>Minimum antal punkter i en kurve</t>
  </si>
  <si>
    <t>Forhold mellem total og mindste intervalbredde</t>
  </si>
  <si>
    <t>Diagram ID</t>
  </si>
  <si>
    <t>Mod, stacked ID</t>
  </si>
  <si>
    <t>Div, stacked ID</t>
  </si>
  <si>
    <t>Sammenligning af normalfordelinger, titel</t>
  </si>
  <si>
    <t>X akse, AxNorm</t>
  </si>
  <si>
    <t>Y akse, AyNorm</t>
  </si>
  <si>
    <t>Label, AlNorm</t>
  </si>
  <si>
    <t>Antal rækker i diagram</t>
  </si>
  <si>
    <t>Antal x akse punkter i diagram</t>
  </si>
  <si>
    <t>Afrundet gennemsnit</t>
  </si>
  <si>
    <t>Afrundet standardafvigelse</t>
  </si>
  <si>
    <t>Label x, AlxNorm</t>
  </si>
  <si>
    <t>Label y, AlyNorm</t>
  </si>
  <si>
    <t>Sammenligning af normalfordelinger, serie 1</t>
  </si>
  <si>
    <t>Sammenligning af normalfordelinger, serie 2</t>
  </si>
  <si>
    <t>Sammenligning med estimerede normalfordelinger</t>
  </si>
  <si>
    <t>Estimeret normalfordeling</t>
  </si>
  <si>
    <t>Antal parvise sammenligninger</t>
  </si>
  <si>
    <t>Par position opslag</t>
  </si>
  <si>
    <t>Antal variable ID</t>
  </si>
  <si>
    <t>Variabel navn, lodret</t>
  </si>
  <si>
    <t>Variabel navn, vandret</t>
  </si>
  <si>
    <t>t værdi for forskel i gennemsnit</t>
  </si>
  <si>
    <t>Signifikant med bonferroni justering</t>
  </si>
  <si>
    <t>Bonferroni justeret alpha</t>
  </si>
  <si>
    <t>Afrunding</t>
  </si>
  <si>
    <t>Kategorier, lodret label</t>
  </si>
  <si>
    <t>Kategorier, lodret x</t>
  </si>
  <si>
    <t>Kategorier, lodret y</t>
  </si>
  <si>
    <t>Kategorier, vandret x</t>
  </si>
  <si>
    <t>Kategorier, vandret y</t>
  </si>
  <si>
    <t>Kategorier, vandret label</t>
  </si>
  <si>
    <t>Kategorier ID</t>
  </si>
  <si>
    <t>Div kategorier ID</t>
  </si>
  <si>
    <t>Mod kategorier ID</t>
  </si>
  <si>
    <t>Multiple sammenligninger, titel</t>
  </si>
  <si>
    <t>Multiple sammenligninger, serie 1</t>
  </si>
  <si>
    <t>Multiple sammenligninger, serie 2</t>
  </si>
  <si>
    <t>Forskel mellem gennemsnit</t>
  </si>
  <si>
    <t>Signifikans, visualisering, AsMs</t>
  </si>
  <si>
    <t>Label, AlMs</t>
  </si>
  <si>
    <t>Par position lodret, AxMs</t>
  </si>
  <si>
    <t>Par position vandret, AyMs</t>
  </si>
  <si>
    <t>Kategorier x, AkxMs</t>
  </si>
  <si>
    <t>Kategorier y, AkyMs</t>
  </si>
  <si>
    <t>Kategorier, label, AklMs</t>
  </si>
  <si>
    <t>Bobbelstørrelse, label, AksMs</t>
  </si>
  <si>
    <t>Bobbelstørrelse</t>
  </si>
  <si>
    <t>Antal signifikante par</t>
  </si>
  <si>
    <t>Hypotesetest om forskel mellem flere gennemsnit, titel</t>
  </si>
  <si>
    <t>Hypotesetest om forskel mellem flere gennemsnit, serie 1</t>
  </si>
  <si>
    <t>Hypotesetest om forskel mellem flere gennemsnit, serie 2</t>
  </si>
  <si>
    <t>Antal datapunkter i tabel</t>
  </si>
  <si>
    <t>Maksimum x akse</t>
  </si>
  <si>
    <t>Nulhypotese, AyGn</t>
  </si>
  <si>
    <t>Alternativhypotese, AyGa</t>
  </si>
  <si>
    <t>F.dist, AyGs</t>
  </si>
  <si>
    <t>Hypotesetest om forskel mellem flere gennemsnit, serie 3</t>
  </si>
  <si>
    <t>Visualisering ID, AxG</t>
  </si>
  <si>
    <t>X akse label, AlG</t>
  </si>
  <si>
    <t>X position, nulhypotese label</t>
  </si>
  <si>
    <t>Y position, nulhypotese label</t>
  </si>
  <si>
    <t>Nulhypotese label</t>
  </si>
  <si>
    <t>X position, alternativ hypotese label</t>
  </si>
  <si>
    <t>Y position, alternativ hypotese label</t>
  </si>
  <si>
    <t>Alternativ hypotese label</t>
  </si>
  <si>
    <t>Nulhypotese afvises</t>
  </si>
  <si>
    <t>Variable i ANOVA</t>
  </si>
  <si>
    <t>Visualisering ID, AxS</t>
  </si>
  <si>
    <t>Nulhypotese, AySn</t>
  </si>
  <si>
    <t>Alternativhypotese, AySa</t>
  </si>
  <si>
    <t>X akse label, AlS</t>
  </si>
  <si>
    <t>Frihedsgrader i fordeling</t>
  </si>
  <si>
    <t>Chisq.dist, AySs</t>
  </si>
  <si>
    <t>Bartlett's test, teststørrelse</t>
  </si>
  <si>
    <t>Bartlett's test, nulhypotesen afvises</t>
  </si>
  <si>
    <t>Bartlett's test, hjælpeberegning (n-k)</t>
  </si>
  <si>
    <t>Hypotesetest om forskel mellem flere standardafvigelser, titel</t>
  </si>
  <si>
    <t>Hypotesetest om forskel mellem flere standardafvigelser, serie 1</t>
  </si>
  <si>
    <t>Hypotesetest om forskel mellem flere standardafvigelser, serie 2</t>
  </si>
  <si>
    <t>Hypotesetest om forskel mellem flere standardafvigelser, serie 3</t>
  </si>
  <si>
    <t>Sammenlign flere gennemsnit og standardafvigelser</t>
  </si>
  <si>
    <t>Valg til analyse af multipel lineær regression</t>
  </si>
  <si>
    <t>Navn, afhængig variabel</t>
  </si>
  <si>
    <t>Dette spill-arrays er horisontalt og skal derfor være længst til højre på arket</t>
  </si>
  <si>
    <t>Resultater af multiple sammenligninger</t>
  </si>
  <si>
    <t>Absolutte forskelle</t>
  </si>
  <si>
    <t>Kontrol af forudsætninger for hypotesetest om forskelle i gennemsnit</t>
  </si>
  <si>
    <t>Kontrol af forudsætninger for hypotesetest om forskelle i standardafvigelser</t>
  </si>
  <si>
    <t>Signifikant forskel mellem gennemsnit</t>
  </si>
  <si>
    <t>Par af variable, sorteret efter forskel mellem gennemsnit</t>
  </si>
  <si>
    <t>ANOVA tabel</t>
  </si>
  <si>
    <t>Afstand mellem X akse labels</t>
  </si>
  <si>
    <t>Nødvendig stikprøvestørrelse for ønsket fejlmargin</t>
  </si>
  <si>
    <t>Hypotese_liste</t>
  </si>
  <si>
    <t>Fordeling_liste</t>
  </si>
  <si>
    <t>Hypotesetesetype_liste</t>
  </si>
  <si>
    <t>Beregningsmetode_liste</t>
  </si>
  <si>
    <t>Max antal observationer</t>
  </si>
  <si>
    <t>Har overskrift</t>
  </si>
  <si>
    <t>Sidste position for variabel</t>
  </si>
  <si>
    <t>Resultat overblik</t>
  </si>
  <si>
    <t>Præcise resultater af analyse</t>
  </si>
  <si>
    <t>Valgt variabel</t>
  </si>
  <si>
    <t>Position af valgt variabel</t>
  </si>
  <si>
    <t>Observationer, vertikal spill</t>
  </si>
  <si>
    <t>Vælg uafhængige variable (Multi-Select)</t>
  </si>
  <si>
    <t xml:space="preserve">     Resultat overblik</t>
  </si>
  <si>
    <t>DataTitel_liste</t>
  </si>
  <si>
    <t>Overskriften anvendes som reference til dine data i al videre analyse og skal derfor være unik</t>
  </si>
  <si>
    <t>1. Giv hvert observationssæt en unik overskrift</t>
  </si>
  <si>
    <t>2. Indsæt data under hver overskrift</t>
  </si>
  <si>
    <t>Data er indsat korrekt, hvis det står under en overskrift og ikke indeholder blanke celler</t>
  </si>
  <si>
    <t>Den sikreste måde at indsætte data på, er igennem indsæt speciel =&gt; indsæt værdier (se figur 1)</t>
  </si>
  <si>
    <t>Alle variable har samme antal observationer</t>
  </si>
  <si>
    <t>Ægte antal observationer</t>
  </si>
  <si>
    <t>3. Fortsæt til en af de 6 øvrige ark for at udføre statistisk analyse af dine data</t>
  </si>
  <si>
    <t>Gennemsnit, variabel 1</t>
  </si>
  <si>
    <t>Gennemsnit, variabel 2</t>
  </si>
  <si>
    <t xml:space="preserve">          Resultat overblik</t>
  </si>
  <si>
    <t>Analyse med normalfordeling</t>
  </si>
  <si>
    <t>Analyse med binomialfordeling</t>
  </si>
  <si>
    <t>Analyse med poissonfordeling</t>
  </si>
  <si>
    <t>Analyse med normalfordeling, titel</t>
  </si>
  <si>
    <t>Analyse med normalfordeling, serie 1</t>
  </si>
  <si>
    <t>Analyse med normalfordeling, serie 2</t>
  </si>
  <si>
    <t>Analyse med normalfordeling, serie 3</t>
  </si>
  <si>
    <t>Minimum x akse</t>
  </si>
  <si>
    <t>Afrunding decimaler</t>
  </si>
  <si>
    <t>Afrundet x af interesse</t>
  </si>
  <si>
    <t>Afrundet sandsynlighed af interesse</t>
  </si>
  <si>
    <t>Afrundet modsat sandsynlighed af interesse</t>
  </si>
  <si>
    <t>Visualisering ID, SxG</t>
  </si>
  <si>
    <t>Norm.dist, SyGs</t>
  </si>
  <si>
    <t>Afstand mellem x akse labels</t>
  </si>
  <si>
    <t>Label serie 1 x position</t>
  </si>
  <si>
    <t>Label serie 2 x position</t>
  </si>
  <si>
    <t>Label serie 1 y position</t>
  </si>
  <si>
    <t>Label serie 2 y position</t>
  </si>
  <si>
    <t>Serie 1, SyGv</t>
  </si>
  <si>
    <t>Serie 2, SyGh</t>
  </si>
  <si>
    <t>X akse label, SlG</t>
  </si>
  <si>
    <t>Analyse med binomialfordeling, titel</t>
  </si>
  <si>
    <t>Analyse med binomialfordeling, serie 1</t>
  </si>
  <si>
    <t>Analyse med binomialfordeling, serie 2</t>
  </si>
  <si>
    <t>Analyse med binomialfordeling, serie 3</t>
  </si>
  <si>
    <t>Afrundet sandsynlighed</t>
  </si>
  <si>
    <t>Afrundet sandsynlighed af interesse venstre</t>
  </si>
  <si>
    <t>Afrundet sandsynlighed af interesse præcis</t>
  </si>
  <si>
    <t>Afrundet sandsynlighed af interesse højre</t>
  </si>
  <si>
    <t>Sandsynlighed af interesse venstre</t>
  </si>
  <si>
    <t>Sandsynlighed af interesse præcis</t>
  </si>
  <si>
    <t>Sandsynlighed af interesse højre</t>
  </si>
  <si>
    <t>Visualisering ID, SxB</t>
  </si>
  <si>
    <t>Serie 1, SyBv</t>
  </si>
  <si>
    <t>X akse label, SlB</t>
  </si>
  <si>
    <t>Serie 3, SyBh</t>
  </si>
  <si>
    <t>Serie 2, SyBp</t>
  </si>
  <si>
    <t>Binom.dist SyBs</t>
  </si>
  <si>
    <t>Label serie 3 x position</t>
  </si>
  <si>
    <t>Label serie 3 y position</t>
  </si>
  <si>
    <t>Analyse med poissonfordeling, titel</t>
  </si>
  <si>
    <t>Serie 1, navn</t>
  </si>
  <si>
    <t>Serie 2, navn</t>
  </si>
  <si>
    <t>Serie 3, navn</t>
  </si>
  <si>
    <t>Gæt</t>
  </si>
  <si>
    <t>Poisson større end gæt</t>
  </si>
  <si>
    <t>Bedste gæt, øvre</t>
  </si>
  <si>
    <t>Bedste gæt, nedre</t>
  </si>
  <si>
    <t>Poisson inverse iterativ beregning (maksimum intensitet ca. 10 mio ved 28 iterationer)</t>
  </si>
  <si>
    <t>Visualisering ID, SxP</t>
  </si>
  <si>
    <t>Serie 1, SyPv</t>
  </si>
  <si>
    <t>Serie 2, SyPp</t>
  </si>
  <si>
    <t>Serie 3, SyPh</t>
  </si>
  <si>
    <t>X akse label, SlP</t>
  </si>
  <si>
    <t>X akse max</t>
  </si>
  <si>
    <t>Poisson.dist SyPs</t>
  </si>
  <si>
    <t>Observationssæt indgår i aktiv lineær regression</t>
  </si>
  <si>
    <t>Kontrol af om værdier kan hentes</t>
  </si>
  <si>
    <t>v. 1.21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</si>
</sst>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164" formatCode="#.000"/>
    <numFmt numFmtId="165" formatCode="0.000%"/>
    <numFmt numFmtId="166" formatCode="#,##0.000"/>
    <numFmt numFmtId="167" formatCode="#,##0.00\ &quot;kr.&quot;"/>
    <numFmt numFmtId="168" formatCode="#,##0\ &quot;kr.&quot;"/>
    <numFmt numFmtId="169" formatCode="#,##0.0000"/>
    <numFmt numFmtId="170" formatCode="#,##0.0000000000000000"/>
    <numFmt numFmtId="171" formatCode="#,##0.000000000000000"/>
  </numFmts>
  <fonts count="24" x14ac:knownFonts="1">
    <font>
      <sz val="11"/>
      <color theme="1"/>
      <name val="Tw Cen MT"/>
      <family val="2"/>
      <scheme val="minor"/>
    </font>
    <font>
      <sz val="11"/>
      <color theme="1"/>
      <name val="Tw Cen MT"/>
      <family val="2"/>
      <scheme val="minor"/>
    </font>
    <font>
      <sz val="11"/>
      <color rgb="FF006100"/>
      <name val="Tw Cen MT"/>
      <family val="2"/>
      <scheme val="minor"/>
    </font>
    <font>
      <sz val="11"/>
      <color rgb="FF9C0006"/>
      <name val="Tw Cen MT"/>
      <family val="2"/>
      <scheme val="minor"/>
    </font>
    <font>
      <sz val="11"/>
      <color rgb="FF9C6500"/>
      <name val="Tw Cen MT"/>
      <family val="2"/>
      <scheme val="minor"/>
    </font>
    <font>
      <sz val="11"/>
      <color rgb="FF3F3F76"/>
      <name val="Tw Cen MT"/>
      <family val="2"/>
      <scheme val="minor"/>
    </font>
    <font>
      <sz val="11"/>
      <color rgb="FFFA7D00"/>
      <name val="Tw Cen MT"/>
      <family val="2"/>
      <scheme val="minor"/>
    </font>
    <font>
      <b/>
      <sz val="11"/>
      <color theme="0"/>
      <name val="Tw Cen MT"/>
      <family val="2"/>
      <scheme val="minor"/>
    </font>
    <font>
      <sz val="11"/>
      <color rgb="FFFF0000"/>
      <name val="Tw Cen MT"/>
      <family val="2"/>
      <scheme val="minor"/>
    </font>
    <font>
      <b/>
      <sz val="11"/>
      <color theme="1"/>
      <name val="Tw Cen MT"/>
      <family val="2"/>
      <scheme val="minor"/>
    </font>
    <font>
      <b/>
      <sz val="14"/>
      <name val="Tw Cen MT"/>
      <family val="2"/>
      <scheme val="minor"/>
    </font>
    <font>
      <b/>
      <sz val="11"/>
      <name val="Tw Cen MT"/>
      <family val="2"/>
      <scheme val="minor"/>
    </font>
    <font>
      <sz val="14"/>
      <color theme="1"/>
      <name val="Tw Cen MT"/>
      <family val="2"/>
      <scheme val="major"/>
    </font>
    <font>
      <i/>
      <sz val="11"/>
      <color rgb="FF7F7F7F"/>
      <name val="Tw Cen MT"/>
      <family val="2"/>
      <scheme val="minor"/>
    </font>
    <font>
      <sz val="11"/>
      <color theme="0"/>
      <name val="Tw Cen MT"/>
      <family val="2"/>
      <scheme val="minor"/>
    </font>
    <font>
      <sz val="8"/>
      <name val="Tw Cen MT"/>
      <family val="2"/>
      <scheme val="minor"/>
    </font>
    <font>
      <sz val="11"/>
      <name val="Tw Cen MT"/>
      <family val="2"/>
      <scheme val="minor"/>
    </font>
    <font>
      <i/>
      <sz val="11"/>
      <color theme="1"/>
      <name val="Tw Cen MT"/>
      <family val="2"/>
      <scheme val="minor"/>
    </font>
    <font>
      <sz val="11"/>
      <color theme="1"/>
      <name val="Calibri"/>
      <family val="2"/>
    </font>
    <font>
      <b/>
      <sz val="14"/>
      <color theme="0"/>
      <name val="Tw Cen MT"/>
      <family val="2"/>
      <scheme val="minor"/>
    </font>
    <font>
      <sz val="11"/>
      <color theme="1"/>
      <name val="Tw Cen MT"/>
      <family val="2"/>
    </font>
    <font>
      <sz val="12.65"/>
      <color theme="1"/>
      <name val="Tw Cen MT"/>
      <family val="2"/>
    </font>
    <font>
      <u/>
      <sz val="11"/>
      <color theme="10"/>
      <name val="Tw Cen MT"/>
      <family val="2"/>
      <scheme val="minor"/>
    </font>
    <font>
      <b/>
      <sz val="11"/>
      <color rgb="FF9C0006"/>
      <name val="Tw Cen MT"/>
      <family val="2"/>
      <scheme val="minor"/>
    </font>
  </fonts>
  <fills count="3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6" tint="0.79998168889431442"/>
        <bgColor indexed="65"/>
      </patternFill>
    </fill>
    <fill>
      <patternFill patternType="solid">
        <fgColor theme="7"/>
      </patternFill>
    </fill>
    <fill>
      <patternFill patternType="solid">
        <fgColor theme="4"/>
        <bgColor indexed="64"/>
      </patternFill>
    </fill>
    <fill>
      <patternFill patternType="solid">
        <fgColor theme="4"/>
      </patternFill>
    </fill>
    <fill>
      <patternFill patternType="solid">
        <fgColor theme="4"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5"/>
        <bgColor indexed="64"/>
      </patternFill>
    </fill>
    <fill>
      <patternFill patternType="solid">
        <fgColor theme="5" tint="0.39997558519241921"/>
        <bgColor indexed="64"/>
      </patternFill>
    </fill>
    <fill>
      <patternFill patternType="solid">
        <fgColor theme="4" tint="0.79998168889431442"/>
        <bgColor indexed="65"/>
      </patternFill>
    </fill>
    <fill>
      <patternFill patternType="solid">
        <fgColor theme="5"/>
      </patternFill>
    </fill>
    <fill>
      <patternFill patternType="solid">
        <fgColor theme="5" tint="0.79998168889431442"/>
        <bgColor indexed="65"/>
      </patternFill>
    </fill>
    <fill>
      <patternFill patternType="solid">
        <fgColor theme="5" tint="0.39997558519241921"/>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59999389629810485"/>
        <bgColor indexed="65"/>
      </patternFill>
    </fill>
    <fill>
      <patternFill patternType="solid">
        <fgColor theme="3"/>
        <bgColor indexed="64"/>
      </patternFill>
    </fill>
    <fill>
      <patternFill patternType="solid">
        <fgColor theme="3" tint="0.39997558519241921"/>
        <bgColor indexed="64"/>
      </patternFill>
    </fill>
    <fill>
      <patternFill patternType="solid">
        <fgColor rgb="FFFFC7CE"/>
        <bgColor indexed="64"/>
      </patternFill>
    </fill>
  </fills>
  <borders count="10">
    <border>
      <left/>
      <right/>
      <top/>
      <bottom/>
      <diagonal/>
    </border>
    <border>
      <left/>
      <right/>
      <top/>
      <bottom style="double">
        <color rgb="FFFF80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bottom style="double">
        <color auto="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4" tint="0.39994506668294322"/>
      </left>
      <right style="thin">
        <color theme="4" tint="0.39994506668294322"/>
      </right>
      <top/>
      <bottom style="thin">
        <color theme="4" tint="0.39994506668294322"/>
      </bottom>
      <diagonal/>
    </border>
    <border>
      <left style="thin">
        <color theme="0" tint="-0.24994659260841701"/>
      </left>
      <right style="thin">
        <color theme="0" tint="-0.24994659260841701"/>
      </right>
      <top/>
      <bottom/>
      <diagonal/>
    </border>
  </borders>
  <cellStyleXfs count="37">
    <xf numFmtId="0" fontId="0" fillId="0" borderId="0">
      <alignment vertical="top"/>
    </xf>
    <xf numFmtId="0" fontId="12" fillId="0" borderId="0" applyNumberFormat="0" applyFill="0" applyBorder="0" applyProtection="0">
      <alignment vertical="top"/>
    </xf>
    <xf numFmtId="0" fontId="10" fillId="0" borderId="0" applyNumberFormat="0" applyFill="0" applyBorder="0" applyProtection="0">
      <alignment vertical="top"/>
    </xf>
    <xf numFmtId="0" fontId="11" fillId="0" borderId="0" applyNumberFormat="0" applyFill="0" applyBorder="0" applyProtection="0">
      <alignment vertical="top"/>
    </xf>
    <xf numFmtId="0" fontId="16" fillId="0" borderId="2" applyNumberFormat="0" applyFont="0" applyFill="0" applyAlignment="0" applyProtection="0">
      <alignment vertical="top"/>
    </xf>
    <xf numFmtId="0" fontId="11" fillId="0" borderId="0" applyNumberFormat="0" applyFill="0" applyBorder="0" applyProtection="0">
      <alignment horizontal="centerContinuous" vertical="top" wrapText="1"/>
    </xf>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0" fontId="5" fillId="5" borderId="2" applyNumberFormat="0" applyAlignment="0" applyProtection="0"/>
    <xf numFmtId="164" fontId="11" fillId="0" borderId="2" applyNumberFormat="0" applyAlignment="0" applyProtection="0"/>
    <xf numFmtId="0" fontId="5" fillId="6" borderId="2" applyNumberFormat="0" applyAlignment="0" applyProtection="0"/>
    <xf numFmtId="0" fontId="6" fillId="0" borderId="1" applyNumberFormat="0" applyFill="0" applyAlignment="0" applyProtection="0"/>
    <xf numFmtId="0" fontId="7" fillId="7" borderId="2" applyNumberFormat="0" applyAlignment="0" applyProtection="0"/>
    <xf numFmtId="0" fontId="8" fillId="0" borderId="0" applyNumberFormat="0" applyFill="0" applyBorder="0" applyAlignment="0" applyProtection="0"/>
    <xf numFmtId="0" fontId="1" fillId="8" borderId="2" applyNumberFormat="0" applyAlignment="0" applyProtection="0">
      <alignment vertical="top" wrapText="1"/>
    </xf>
    <xf numFmtId="166" fontId="9" fillId="0" borderId="3" applyNumberFormat="0" applyFill="0" applyAlignment="0" applyProtection="0"/>
    <xf numFmtId="0" fontId="13" fillId="0" borderId="0" applyNumberFormat="0" applyAlignment="0" applyProtection="0">
      <alignment vertical="top"/>
    </xf>
    <xf numFmtId="166" fontId="1" fillId="0" borderId="0" applyFont="0" applyFill="0" applyBorder="0" applyAlignment="0" applyProtection="0"/>
    <xf numFmtId="3" fontId="1" fillId="0" borderId="0" applyFont="0" applyFill="0" applyBorder="0" applyAlignment="0" applyProtection="0"/>
    <xf numFmtId="167" fontId="1" fillId="0" borderId="0" applyFont="0" applyFill="0" applyBorder="0" applyAlignment="0" applyProtection="0"/>
    <xf numFmtId="168" fontId="1" fillId="0" borderId="0" applyFont="0" applyFill="0" applyBorder="0" applyAlignment="0" applyProtection="0"/>
    <xf numFmtId="165" fontId="1" fillId="0" borderId="0" applyFont="0" applyFill="0" applyBorder="0" applyAlignment="0" applyProtection="0"/>
    <xf numFmtId="0" fontId="1" fillId="0" borderId="0" applyNumberFormat="0" applyFill="0" applyBorder="0" applyAlignment="0" applyProtection="0">
      <alignment vertical="top"/>
    </xf>
    <xf numFmtId="0" fontId="1" fillId="0" borderId="0" applyNumberFormat="0" applyFont="0" applyBorder="0" applyAlignment="0" applyProtection="0">
      <alignment vertical="top"/>
    </xf>
    <xf numFmtId="0" fontId="16" fillId="19" borderId="0" applyNumberFormat="0" applyBorder="0" applyAlignment="0" applyProtection="0"/>
    <xf numFmtId="0" fontId="1" fillId="13" borderId="0" applyNumberFormat="0" applyBorder="0" applyAlignment="0" applyProtection="0"/>
    <xf numFmtId="0" fontId="1" fillId="16" borderId="0" applyNumberFormat="0" applyBorder="0" applyAlignment="0" applyProtection="0"/>
    <xf numFmtId="0" fontId="1" fillId="18" borderId="0" applyNumberFormat="0" applyBorder="0" applyAlignment="0" applyProtection="0"/>
    <xf numFmtId="0" fontId="22" fillId="0" borderId="0" applyNumberFormat="0" applyFill="0" applyBorder="0" applyAlignment="0" applyProtection="0">
      <alignment vertical="top"/>
    </xf>
    <xf numFmtId="0" fontId="1" fillId="22" borderId="0" applyNumberFormat="0" applyBorder="0" applyAlignment="0" applyProtection="0"/>
    <xf numFmtId="0" fontId="14" fillId="23" borderId="0" applyNumberFormat="0" applyBorder="0" applyAlignment="0" applyProtection="0"/>
    <xf numFmtId="0" fontId="1" fillId="9"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cellStyleXfs>
  <cellXfs count="207">
    <xf numFmtId="0" fontId="0" fillId="0" borderId="0" xfId="0">
      <alignment vertical="top"/>
    </xf>
    <xf numFmtId="0" fontId="10" fillId="0" borderId="0" xfId="2">
      <alignment vertical="top"/>
    </xf>
    <xf numFmtId="0" fontId="5" fillId="5" borderId="2" xfId="9" applyAlignment="1">
      <alignment vertical="top"/>
    </xf>
    <xf numFmtId="0" fontId="11" fillId="0" borderId="0" xfId="3">
      <alignment vertical="top"/>
    </xf>
    <xf numFmtId="0" fontId="13" fillId="0" borderId="0" xfId="17">
      <alignment vertical="top"/>
    </xf>
    <xf numFmtId="166" fontId="0" fillId="0" borderId="0" xfId="18" applyFont="1" applyAlignment="1">
      <alignment vertical="top"/>
    </xf>
    <xf numFmtId="0" fontId="13" fillId="0" borderId="0" xfId="17" applyAlignment="1">
      <alignment horizontal="left" vertical="top"/>
    </xf>
    <xf numFmtId="165" fontId="0" fillId="0" borderId="0" xfId="22" applyFont="1" applyAlignment="1">
      <alignment vertical="top"/>
    </xf>
    <xf numFmtId="165" fontId="0" fillId="0" borderId="0" xfId="0" applyNumberFormat="1">
      <alignment vertical="top"/>
    </xf>
    <xf numFmtId="0" fontId="1" fillId="13" borderId="0" xfId="23" applyFill="1" applyAlignment="1">
      <alignment horizontal="left" vertical="top"/>
    </xf>
    <xf numFmtId="0" fontId="1" fillId="15" borderId="0" xfId="23" applyFill="1" applyAlignment="1">
      <alignment horizontal="left" vertical="top"/>
    </xf>
    <xf numFmtId="0" fontId="1" fillId="16" borderId="0" xfId="23" applyFill="1" applyAlignment="1">
      <alignment horizontal="left" vertical="top"/>
    </xf>
    <xf numFmtId="0" fontId="1" fillId="18" borderId="0" xfId="23" applyFill="1" applyAlignment="1">
      <alignment horizontal="left" vertical="top"/>
    </xf>
    <xf numFmtId="0" fontId="1" fillId="0" borderId="0" xfId="23" applyAlignment="1">
      <alignment horizontal="left" vertical="top"/>
    </xf>
    <xf numFmtId="0" fontId="0" fillId="0" borderId="0" xfId="0" applyAlignment="1">
      <alignment horizontal="left" vertical="top" indent="1"/>
    </xf>
    <xf numFmtId="0" fontId="1" fillId="12" borderId="0" xfId="23" applyFill="1" applyAlignment="1">
      <alignment horizontal="left" vertical="top"/>
    </xf>
    <xf numFmtId="0" fontId="1" fillId="14" borderId="0" xfId="23" applyFill="1" applyAlignment="1">
      <alignment horizontal="left" vertical="top"/>
    </xf>
    <xf numFmtId="0" fontId="14" fillId="10" borderId="0" xfId="23" applyFont="1" applyFill="1" applyAlignment="1">
      <alignment horizontal="left" vertical="top"/>
    </xf>
    <xf numFmtId="0" fontId="14" fillId="17" borderId="0" xfId="23" applyFont="1" applyFill="1" applyAlignment="1">
      <alignment horizontal="left" vertical="top"/>
    </xf>
    <xf numFmtId="0" fontId="10" fillId="13" borderId="0" xfId="2" applyFill="1">
      <alignment vertical="top"/>
    </xf>
    <xf numFmtId="0" fontId="13" fillId="0" borderId="0" xfId="17" applyFill="1">
      <alignment vertical="top"/>
    </xf>
    <xf numFmtId="0" fontId="10" fillId="15" borderId="0" xfId="2" applyFill="1">
      <alignment vertical="top"/>
    </xf>
    <xf numFmtId="0" fontId="10" fillId="16" borderId="0" xfId="2" applyFill="1">
      <alignment vertical="top"/>
    </xf>
    <xf numFmtId="0" fontId="10" fillId="18" borderId="0" xfId="2" applyFill="1">
      <alignment vertical="top"/>
    </xf>
    <xf numFmtId="0" fontId="1" fillId="9" borderId="2" xfId="4" applyFont="1" applyFill="1" applyAlignment="1">
      <alignment vertical="top"/>
    </xf>
    <xf numFmtId="0" fontId="10" fillId="12" borderId="0" xfId="2" applyFill="1">
      <alignment vertical="top"/>
    </xf>
    <xf numFmtId="0" fontId="10" fillId="14" borderId="0" xfId="2" applyFill="1">
      <alignment vertical="top"/>
    </xf>
    <xf numFmtId="0" fontId="19" fillId="10" borderId="0" xfId="2" applyFont="1" applyFill="1">
      <alignment vertical="top"/>
    </xf>
    <xf numFmtId="0" fontId="19" fillId="17" borderId="0" xfId="2" applyFont="1" applyFill="1">
      <alignment vertical="top"/>
    </xf>
    <xf numFmtId="0" fontId="0" fillId="0" borderId="0" xfId="18" applyNumberFormat="1" applyFont="1" applyAlignment="1">
      <alignment vertical="top"/>
    </xf>
    <xf numFmtId="0" fontId="0" fillId="0" borderId="0" xfId="0" applyBorder="1">
      <alignment vertical="top"/>
    </xf>
    <xf numFmtId="0" fontId="0" fillId="0" borderId="0" xfId="0" applyNumberFormat="1" applyBorder="1">
      <alignment vertical="top"/>
    </xf>
    <xf numFmtId="0" fontId="13" fillId="0" borderId="0" xfId="17" applyAlignment="1">
      <alignment horizontal="left" vertical="top" indent="1"/>
    </xf>
    <xf numFmtId="0" fontId="13" fillId="0" borderId="0" xfId="17" applyFill="1" applyAlignment="1">
      <alignment horizontal="left" vertical="top" indent="1"/>
    </xf>
    <xf numFmtId="0" fontId="13" fillId="0" borderId="0" xfId="17" applyFill="1" applyAlignment="1">
      <alignment horizontal="left" vertical="top"/>
    </xf>
    <xf numFmtId="0" fontId="1" fillId="18" borderId="0" xfId="28" applyAlignment="1">
      <alignment vertical="top"/>
    </xf>
    <xf numFmtId="0" fontId="1" fillId="16" borderId="0" xfId="27" applyAlignment="1">
      <alignment vertical="top"/>
    </xf>
    <xf numFmtId="0" fontId="1" fillId="13" borderId="0" xfId="26" applyAlignment="1">
      <alignment vertical="top"/>
    </xf>
    <xf numFmtId="0" fontId="22" fillId="0" borderId="0" xfId="29">
      <alignment vertical="top"/>
    </xf>
    <xf numFmtId="0" fontId="1" fillId="0" borderId="0" xfId="24" applyAlignment="1">
      <alignment vertical="top"/>
    </xf>
    <xf numFmtId="165" fontId="0" fillId="0" borderId="0" xfId="22" applyFont="1" applyBorder="1" applyAlignment="1">
      <alignment vertical="top"/>
    </xf>
    <xf numFmtId="0" fontId="5" fillId="5" borderId="2" xfId="9" applyAlignment="1" applyProtection="1">
      <alignment vertical="top"/>
      <protection locked="0"/>
    </xf>
    <xf numFmtId="0" fontId="0" fillId="0" borderId="0" xfId="0" applyProtection="1">
      <alignment vertical="top"/>
      <protection locked="0"/>
    </xf>
    <xf numFmtId="9" fontId="5" fillId="5" borderId="2" xfId="22" applyNumberFormat="1" applyFont="1" applyFill="1" applyBorder="1" applyAlignment="1" applyProtection="1">
      <alignment vertical="top"/>
      <protection locked="0"/>
    </xf>
    <xf numFmtId="0" fontId="10" fillId="0" borderId="0" xfId="2" applyProtection="1">
      <alignment vertical="top"/>
      <protection locked="0"/>
    </xf>
    <xf numFmtId="0" fontId="13" fillId="0" borderId="0" xfId="17" applyProtection="1">
      <alignment vertical="top"/>
      <protection locked="0"/>
    </xf>
    <xf numFmtId="0" fontId="18" fillId="0" borderId="0" xfId="0" applyFont="1" applyProtection="1">
      <alignment vertical="top"/>
      <protection locked="0"/>
    </xf>
    <xf numFmtId="0" fontId="11" fillId="0" borderId="0" xfId="3" applyProtection="1">
      <alignment vertical="top"/>
      <protection locked="0"/>
    </xf>
    <xf numFmtId="166" fontId="0" fillId="0" borderId="0" xfId="18" applyFont="1" applyAlignment="1" applyProtection="1">
      <alignment vertical="top"/>
      <protection locked="0"/>
    </xf>
    <xf numFmtId="166" fontId="0" fillId="0" borderId="0" xfId="0" applyNumberFormat="1" applyProtection="1">
      <alignment vertical="top"/>
      <protection locked="0"/>
    </xf>
    <xf numFmtId="165" fontId="5" fillId="5" borderId="2" xfId="22" applyNumberFormat="1" applyFont="1" applyFill="1" applyBorder="1" applyAlignment="1" applyProtection="1">
      <alignment vertical="top"/>
      <protection locked="0"/>
    </xf>
    <xf numFmtId="165" fontId="0" fillId="0" borderId="0" xfId="22" applyFont="1" applyAlignment="1" applyProtection="1">
      <alignment vertical="top"/>
      <protection locked="0"/>
    </xf>
    <xf numFmtId="0" fontId="0" fillId="0" borderId="0" xfId="0" quotePrefix="1" applyProtection="1">
      <alignment vertical="top"/>
      <protection locked="0"/>
    </xf>
    <xf numFmtId="0" fontId="10" fillId="0" borderId="0" xfId="2" applyProtection="1">
      <alignment vertical="top"/>
    </xf>
    <xf numFmtId="0" fontId="0" fillId="0" borderId="0" xfId="0" applyProtection="1">
      <alignment vertical="top"/>
    </xf>
    <xf numFmtId="165" fontId="0" fillId="0" borderId="0" xfId="22" applyFont="1" applyAlignment="1" applyProtection="1">
      <alignment vertical="top"/>
    </xf>
    <xf numFmtId="166" fontId="0" fillId="0" borderId="0" xfId="18" applyFont="1" applyAlignment="1" applyProtection="1">
      <alignment vertical="top"/>
    </xf>
    <xf numFmtId="0" fontId="0" fillId="0" borderId="2" xfId="4" applyFont="1" applyProtection="1">
      <alignment vertical="top"/>
    </xf>
    <xf numFmtId="0" fontId="0" fillId="0" borderId="2" xfId="4" applyFont="1" applyFill="1" applyProtection="1">
      <alignment vertical="top"/>
    </xf>
    <xf numFmtId="0" fontId="5" fillId="6" borderId="2" xfId="11" applyAlignment="1" applyProtection="1">
      <alignment vertical="top"/>
    </xf>
    <xf numFmtId="0" fontId="7" fillId="7" borderId="2" xfId="13" applyAlignment="1" applyProtection="1">
      <alignment vertical="top"/>
    </xf>
    <xf numFmtId="0" fontId="0" fillId="0" borderId="0" xfId="0" applyAlignment="1" applyProtection="1">
      <alignment vertical="top"/>
      <protection locked="0"/>
    </xf>
    <xf numFmtId="0" fontId="0" fillId="0" borderId="7" xfId="4" applyFont="1" applyBorder="1" applyProtection="1">
      <alignment vertical="top"/>
    </xf>
    <xf numFmtId="0" fontId="0" fillId="0" borderId="5" xfId="4" applyFont="1" applyBorder="1" applyProtection="1">
      <alignment vertical="top"/>
    </xf>
    <xf numFmtId="0" fontId="19" fillId="17" borderId="0" xfId="2" applyFont="1" applyFill="1" applyProtection="1">
      <alignment vertical="top"/>
    </xf>
    <xf numFmtId="0" fontId="13" fillId="0" borderId="0" xfId="17" applyProtection="1">
      <alignment vertical="top"/>
    </xf>
    <xf numFmtId="0" fontId="1" fillId="16" borderId="0" xfId="23" applyFill="1" applyAlignment="1" applyProtection="1">
      <alignment horizontal="left"/>
    </xf>
    <xf numFmtId="0" fontId="10" fillId="0" borderId="0" xfId="2" applyAlignment="1" applyProtection="1">
      <alignment vertical="top"/>
    </xf>
    <xf numFmtId="0" fontId="1" fillId="8" borderId="2" xfId="15" applyAlignment="1" applyProtection="1">
      <alignment vertical="top"/>
    </xf>
    <xf numFmtId="166" fontId="1" fillId="8" borderId="2" xfId="15" applyNumberFormat="1" applyAlignment="1" applyProtection="1">
      <alignment vertical="top"/>
    </xf>
    <xf numFmtId="0" fontId="0" fillId="0" borderId="0" xfId="0" applyAlignment="1" applyProtection="1">
      <alignment vertical="top"/>
    </xf>
    <xf numFmtId="0" fontId="10" fillId="14" borderId="0" xfId="2" applyFill="1" applyProtection="1">
      <alignment vertical="top"/>
    </xf>
    <xf numFmtId="0" fontId="16" fillId="0" borderId="2" xfId="4" applyNumberFormat="1" applyFont="1" applyAlignment="1" applyProtection="1">
      <alignment vertical="top"/>
    </xf>
    <xf numFmtId="0" fontId="0" fillId="0" borderId="0" xfId="0" applyAlignment="1" applyProtection="1">
      <alignment vertical="top" wrapText="1"/>
      <protection locked="0"/>
    </xf>
    <xf numFmtId="166" fontId="5" fillId="5" borderId="2" xfId="18" applyFont="1" applyFill="1" applyBorder="1" applyAlignment="1" applyProtection="1">
      <alignment vertical="top"/>
      <protection locked="0"/>
    </xf>
    <xf numFmtId="165" fontId="5" fillId="5" borderId="2" xfId="22" applyFont="1" applyFill="1" applyBorder="1" applyAlignment="1" applyProtection="1">
      <alignment vertical="top"/>
      <protection locked="0"/>
    </xf>
    <xf numFmtId="0" fontId="10" fillId="20" borderId="0" xfId="2" applyFill="1" applyProtection="1">
      <alignment vertical="top"/>
    </xf>
    <xf numFmtId="0" fontId="1" fillId="21" borderId="0" xfId="23" applyFill="1" applyAlignment="1" applyProtection="1"/>
    <xf numFmtId="0" fontId="14" fillId="23" borderId="0" xfId="31" applyAlignment="1">
      <alignment horizontal="left" vertical="top"/>
    </xf>
    <xf numFmtId="0" fontId="10" fillId="23" borderId="0" xfId="2" applyFill="1">
      <alignment vertical="top"/>
    </xf>
    <xf numFmtId="0" fontId="1" fillId="9" borderId="0" xfId="32" applyAlignment="1">
      <alignment vertical="top"/>
    </xf>
    <xf numFmtId="0" fontId="1" fillId="22" borderId="0" xfId="30" applyAlignment="1">
      <alignment vertical="top"/>
    </xf>
    <xf numFmtId="0" fontId="1" fillId="26" borderId="0" xfId="33" applyAlignment="1">
      <alignment vertical="top"/>
    </xf>
    <xf numFmtId="0" fontId="1" fillId="26" borderId="0" xfId="33" applyAlignment="1">
      <alignment horizontal="left" vertical="top" indent="1"/>
    </xf>
    <xf numFmtId="0" fontId="1" fillId="27" borderId="0" xfId="34" applyAlignment="1">
      <alignment vertical="top"/>
    </xf>
    <xf numFmtId="0" fontId="10" fillId="25" borderId="0" xfId="2" applyFill="1">
      <alignment vertical="top"/>
    </xf>
    <xf numFmtId="0" fontId="1" fillId="15" borderId="0" xfId="23" applyFill="1" applyAlignment="1" applyProtection="1"/>
    <xf numFmtId="166" fontId="11" fillId="0" borderId="2" xfId="10" applyNumberFormat="1" applyAlignment="1" applyProtection="1">
      <alignment horizontal="right" vertical="top"/>
    </xf>
    <xf numFmtId="3" fontId="5" fillId="5" borderId="2" xfId="19" applyFont="1" applyFill="1" applyBorder="1" applyAlignment="1" applyProtection="1">
      <alignment vertical="top"/>
      <protection locked="0"/>
    </xf>
    <xf numFmtId="0" fontId="0" fillId="0" borderId="0" xfId="0" applyNumberFormat="1" applyProtection="1">
      <alignment vertical="top"/>
    </xf>
    <xf numFmtId="0" fontId="0" fillId="0" borderId="2" xfId="4" applyFont="1">
      <alignment vertical="top"/>
    </xf>
    <xf numFmtId="0" fontId="0" fillId="0" borderId="0" xfId="0" quotePrefix="1">
      <alignment vertical="top"/>
    </xf>
    <xf numFmtId="0" fontId="11" fillId="0" borderId="2" xfId="10" applyNumberFormat="1" applyAlignment="1">
      <alignment vertical="top"/>
    </xf>
    <xf numFmtId="166" fontId="11" fillId="0" borderId="2" xfId="18" applyFont="1" applyBorder="1" applyAlignment="1">
      <alignment vertical="top"/>
    </xf>
    <xf numFmtId="3" fontId="11" fillId="0" borderId="2" xfId="19" applyFont="1" applyBorder="1" applyAlignment="1">
      <alignment vertical="top"/>
    </xf>
    <xf numFmtId="165" fontId="11" fillId="0" borderId="2" xfId="10" applyNumberFormat="1" applyAlignment="1">
      <alignment vertical="top"/>
    </xf>
    <xf numFmtId="0" fontId="5" fillId="6" borderId="2" xfId="11" applyAlignment="1" applyProtection="1">
      <alignment vertical="top"/>
      <protection locked="0"/>
    </xf>
    <xf numFmtId="0" fontId="1" fillId="8" borderId="2" xfId="15" applyAlignment="1">
      <alignment vertical="top"/>
    </xf>
    <xf numFmtId="0" fontId="5" fillId="6" borderId="2" xfId="11" applyAlignment="1">
      <alignment vertical="top"/>
    </xf>
    <xf numFmtId="166" fontId="11" fillId="0" borderId="2" xfId="10" applyNumberFormat="1" applyAlignment="1">
      <alignment vertical="top"/>
    </xf>
    <xf numFmtId="0" fontId="1" fillId="24" borderId="0" xfId="35" applyAlignment="1">
      <alignment vertical="top"/>
    </xf>
    <xf numFmtId="0" fontId="19" fillId="29" borderId="0" xfId="24" applyFont="1" applyFill="1" applyProtection="1">
      <alignment vertical="top"/>
    </xf>
    <xf numFmtId="0" fontId="19" fillId="29" borderId="0" xfId="2" applyFont="1" applyFill="1">
      <alignment vertical="top"/>
    </xf>
    <xf numFmtId="0" fontId="14" fillId="29" borderId="0" xfId="0" applyFont="1" applyFill="1">
      <alignment vertical="top"/>
    </xf>
    <xf numFmtId="0" fontId="10" fillId="30" borderId="0" xfId="2" applyFill="1">
      <alignment vertical="top"/>
    </xf>
    <xf numFmtId="0" fontId="1" fillId="30" borderId="0" xfId="23" applyFill="1" applyAlignment="1" applyProtection="1"/>
    <xf numFmtId="0" fontId="1" fillId="21" borderId="0" xfId="23" applyFill="1" applyAlignment="1">
      <alignment horizontal="left" vertical="top"/>
    </xf>
    <xf numFmtId="0" fontId="1" fillId="30" borderId="0" xfId="23" applyFill="1" applyAlignment="1">
      <alignment horizontal="left" vertical="top"/>
    </xf>
    <xf numFmtId="0" fontId="14" fillId="29" borderId="0" xfId="23" applyFont="1" applyFill="1" applyAlignment="1">
      <alignment horizontal="left" vertical="top"/>
    </xf>
    <xf numFmtId="0" fontId="10" fillId="19" borderId="0" xfId="2" applyFill="1" applyProtection="1">
      <alignment vertical="top"/>
    </xf>
    <xf numFmtId="0" fontId="1" fillId="28" borderId="0" xfId="36" applyAlignment="1" applyProtection="1"/>
    <xf numFmtId="0" fontId="0" fillId="0" borderId="0" xfId="0" applyFill="1">
      <alignment vertical="top"/>
    </xf>
    <xf numFmtId="0" fontId="5" fillId="6" borderId="2" xfId="11" applyBorder="1" applyAlignment="1">
      <alignment vertical="top"/>
    </xf>
    <xf numFmtId="0" fontId="5" fillId="6" borderId="2" xfId="11" applyNumberFormat="1" applyBorder="1" applyAlignment="1">
      <alignment vertical="top"/>
    </xf>
    <xf numFmtId="0" fontId="0" fillId="0" borderId="5" xfId="4" applyFont="1" applyBorder="1">
      <alignment vertical="top"/>
    </xf>
    <xf numFmtId="0" fontId="0" fillId="0" borderId="0" xfId="0" applyNumberFormat="1" applyProtection="1">
      <alignment vertical="top"/>
      <protection locked="0"/>
    </xf>
    <xf numFmtId="12" fontId="11" fillId="0" borderId="2" xfId="10" applyNumberFormat="1" applyAlignment="1" applyProtection="1">
      <alignment horizontal="right" vertical="top"/>
    </xf>
    <xf numFmtId="165" fontId="11" fillId="0" borderId="2" xfId="10" applyNumberFormat="1" applyAlignment="1" applyProtection="1">
      <alignment horizontal="right" vertical="top"/>
    </xf>
    <xf numFmtId="166" fontId="11" fillId="0" borderId="2" xfId="18" applyFont="1" applyBorder="1" applyAlignment="1" applyProtection="1">
      <alignment horizontal="right" vertical="top"/>
    </xf>
    <xf numFmtId="0" fontId="0" fillId="0" borderId="2" xfId="4" applyFont="1" applyProtection="1">
      <alignment vertical="top"/>
      <protection locked="0"/>
    </xf>
    <xf numFmtId="3" fontId="11" fillId="0" borderId="2" xfId="19" applyFont="1" applyBorder="1" applyAlignment="1" applyProtection="1">
      <alignment horizontal="right" vertical="top"/>
    </xf>
    <xf numFmtId="0" fontId="11" fillId="0" borderId="2" xfId="10" applyNumberFormat="1" applyAlignment="1" applyProtection="1">
      <alignment vertical="top"/>
      <protection locked="0"/>
    </xf>
    <xf numFmtId="165" fontId="11" fillId="0" borderId="2" xfId="10" applyNumberFormat="1" applyAlignment="1" applyProtection="1">
      <alignment vertical="top"/>
      <protection locked="0"/>
    </xf>
    <xf numFmtId="166" fontId="11" fillId="0" borderId="2" xfId="10" applyNumberFormat="1" applyAlignment="1" applyProtection="1">
      <alignment vertical="top"/>
      <protection locked="0"/>
    </xf>
    <xf numFmtId="3" fontId="11" fillId="0" borderId="2" xfId="19" applyFont="1" applyBorder="1" applyAlignment="1" applyProtection="1">
      <alignment vertical="top"/>
      <protection locked="0"/>
    </xf>
    <xf numFmtId="165" fontId="11" fillId="0" borderId="2" xfId="22" applyFont="1" applyBorder="1" applyAlignment="1" applyProtection="1">
      <alignment vertical="top"/>
      <protection locked="0"/>
    </xf>
    <xf numFmtId="166" fontId="11" fillId="0" borderId="2" xfId="18" applyFont="1" applyBorder="1" applyAlignment="1" applyProtection="1">
      <alignment vertical="top"/>
      <protection locked="0"/>
    </xf>
    <xf numFmtId="0" fontId="0" fillId="0" borderId="0" xfId="0" applyBorder="1" applyProtection="1">
      <alignment vertical="top"/>
    </xf>
    <xf numFmtId="166" fontId="1" fillId="8" borderId="4" xfId="15" applyNumberFormat="1" applyBorder="1" applyAlignment="1" applyProtection="1">
      <alignment vertical="top"/>
    </xf>
    <xf numFmtId="0" fontId="7" fillId="11" borderId="8" xfId="0" applyFont="1" applyFill="1" applyBorder="1">
      <alignment vertical="top"/>
    </xf>
    <xf numFmtId="0" fontId="10" fillId="0" borderId="2" xfId="2" applyBorder="1">
      <alignment vertical="top"/>
    </xf>
    <xf numFmtId="165" fontId="11" fillId="0" borderId="2" xfId="10" applyNumberFormat="1" applyAlignment="1">
      <alignment horizontal="right" vertical="top"/>
    </xf>
    <xf numFmtId="166" fontId="11" fillId="0" borderId="0" xfId="18" applyFont="1" applyBorder="1" applyAlignment="1">
      <alignment horizontal="right" vertical="top"/>
    </xf>
    <xf numFmtId="165" fontId="11" fillId="0" borderId="0" xfId="22" applyFont="1" applyBorder="1" applyAlignment="1">
      <alignment horizontal="right" vertical="top"/>
    </xf>
    <xf numFmtId="0" fontId="7" fillId="7" borderId="2" xfId="13" applyAlignment="1">
      <alignment vertical="top"/>
    </xf>
    <xf numFmtId="0" fontId="5" fillId="0" borderId="2" xfId="24" applyFont="1" applyBorder="1" applyAlignment="1">
      <alignment vertical="top"/>
    </xf>
    <xf numFmtId="165" fontId="5" fillId="6" borderId="2" xfId="22" applyFont="1" applyFill="1" applyBorder="1" applyAlignment="1">
      <alignment vertical="top"/>
    </xf>
    <xf numFmtId="166" fontId="0" fillId="0" borderId="0" xfId="18" applyNumberFormat="1" applyFont="1" applyAlignment="1" applyProtection="1">
      <alignment vertical="top"/>
      <protection locked="0"/>
    </xf>
    <xf numFmtId="0" fontId="0" fillId="0" borderId="0" xfId="24" applyFont="1" applyBorder="1">
      <alignment vertical="top"/>
    </xf>
    <xf numFmtId="166" fontId="5" fillId="6" borderId="2" xfId="18" applyFont="1" applyFill="1" applyBorder="1" applyAlignment="1">
      <alignment vertical="top"/>
    </xf>
    <xf numFmtId="166" fontId="5" fillId="0" borderId="2" xfId="18" applyFont="1" applyBorder="1" applyAlignment="1">
      <alignment vertical="top"/>
    </xf>
    <xf numFmtId="9" fontId="0" fillId="0" borderId="0" xfId="0" applyNumberFormat="1">
      <alignment vertical="top"/>
    </xf>
    <xf numFmtId="0" fontId="0" fillId="0" borderId="0" xfId="0" applyAlignment="1">
      <alignment vertical="top"/>
    </xf>
    <xf numFmtId="165" fontId="11" fillId="0" borderId="2" xfId="22" applyFont="1" applyBorder="1" applyAlignment="1">
      <alignment vertical="top"/>
    </xf>
    <xf numFmtId="0" fontId="0" fillId="0" borderId="0" xfId="0" applyFont="1">
      <alignment vertical="top"/>
    </xf>
    <xf numFmtId="0" fontId="17" fillId="0" borderId="0" xfId="0" applyFont="1">
      <alignment vertical="top"/>
    </xf>
    <xf numFmtId="166" fontId="17" fillId="0" borderId="0" xfId="18" applyFont="1" applyAlignment="1">
      <alignment vertical="top"/>
    </xf>
    <xf numFmtId="0" fontId="0" fillId="0" borderId="0" xfId="0" quotePrefix="1" applyFont="1">
      <alignment vertical="top"/>
    </xf>
    <xf numFmtId="9" fontId="0" fillId="0" borderId="0" xfId="0" applyNumberFormat="1" applyFont="1">
      <alignment vertical="top"/>
    </xf>
    <xf numFmtId="166" fontId="1" fillId="0" borderId="0" xfId="18" applyFont="1" applyAlignment="1">
      <alignment vertical="top"/>
    </xf>
    <xf numFmtId="165" fontId="1" fillId="0" borderId="0" xfId="22" applyFont="1" applyAlignment="1">
      <alignment vertical="top"/>
    </xf>
    <xf numFmtId="169" fontId="0" fillId="0" borderId="0" xfId="18" applyNumberFormat="1" applyFont="1" applyAlignment="1" applyProtection="1">
      <alignment vertical="top"/>
      <protection locked="0"/>
    </xf>
    <xf numFmtId="169" fontId="0" fillId="0" borderId="0" xfId="0" applyNumberFormat="1" applyProtection="1">
      <alignment vertical="top"/>
      <protection locked="0"/>
    </xf>
    <xf numFmtId="166" fontId="0" fillId="0" borderId="0" xfId="0" applyNumberFormat="1" applyFont="1">
      <alignment vertical="top"/>
    </xf>
    <xf numFmtId="3" fontId="5" fillId="5" borderId="2" xfId="18" applyNumberFormat="1" applyFont="1" applyFill="1" applyBorder="1" applyAlignment="1" applyProtection="1">
      <alignment vertical="top"/>
      <protection locked="0"/>
    </xf>
    <xf numFmtId="3" fontId="11" fillId="0" borderId="2" xfId="10" applyNumberFormat="1" applyAlignment="1">
      <alignment vertical="top"/>
    </xf>
    <xf numFmtId="0" fontId="0" fillId="0" borderId="9" xfId="0" applyBorder="1">
      <alignment vertical="top"/>
    </xf>
    <xf numFmtId="0" fontId="11" fillId="0" borderId="2" xfId="10" applyNumberFormat="1" applyBorder="1" applyAlignment="1">
      <alignment vertical="top"/>
    </xf>
    <xf numFmtId="0" fontId="0" fillId="0" borderId="0" xfId="0" applyFill="1" applyBorder="1">
      <alignment vertical="top"/>
    </xf>
    <xf numFmtId="0" fontId="0" fillId="0" borderId="4" xfId="0" applyBorder="1">
      <alignment vertical="top"/>
    </xf>
    <xf numFmtId="0" fontId="5" fillId="6" borderId="2" xfId="11" applyNumberFormat="1" applyAlignment="1" applyProtection="1">
      <alignment vertical="top"/>
      <protection locked="0"/>
    </xf>
    <xf numFmtId="166" fontId="0" fillId="0" borderId="2" xfId="4" applyNumberFormat="1" applyFont="1" applyAlignment="1" applyProtection="1">
      <alignment vertical="top"/>
      <protection locked="0"/>
    </xf>
    <xf numFmtId="0" fontId="0" fillId="0" borderId="2" xfId="4" applyFont="1" applyAlignment="1" applyProtection="1">
      <alignment vertical="top"/>
      <protection locked="0"/>
    </xf>
    <xf numFmtId="0" fontId="0" fillId="0" borderId="2" xfId="4" applyNumberFormat="1" applyFont="1" applyAlignment="1" applyProtection="1">
      <alignment vertical="top"/>
      <protection locked="0"/>
    </xf>
    <xf numFmtId="0" fontId="0" fillId="0" borderId="0" xfId="0" applyAlignment="1">
      <alignment vertical="top" wrapText="1"/>
    </xf>
    <xf numFmtId="0" fontId="0" fillId="0" borderId="2" xfId="4" applyFont="1" applyFill="1" applyAlignment="1" applyProtection="1">
      <alignment vertical="top"/>
      <protection locked="0"/>
    </xf>
    <xf numFmtId="0" fontId="0" fillId="0" borderId="2" xfId="4" applyFont="1" applyAlignment="1">
      <alignment vertical="top"/>
    </xf>
    <xf numFmtId="166" fontId="0" fillId="0" borderId="2" xfId="4" applyNumberFormat="1" applyFont="1" applyAlignment="1" applyProtection="1">
      <alignment vertical="top"/>
    </xf>
    <xf numFmtId="0" fontId="0" fillId="0" borderId="0" xfId="0" applyNumberFormat="1" applyAlignment="1" applyProtection="1">
      <alignment vertical="top"/>
      <protection locked="0"/>
    </xf>
    <xf numFmtId="166" fontId="0" fillId="0" borderId="0" xfId="0" applyNumberFormat="1" applyAlignment="1" applyProtection="1">
      <alignment vertical="top"/>
    </xf>
    <xf numFmtId="0" fontId="0" fillId="0" borderId="0" xfId="0" quotePrefix="1" applyAlignment="1">
      <alignment vertical="top"/>
    </xf>
    <xf numFmtId="0" fontId="0" fillId="0" borderId="0" xfId="0" applyNumberFormat="1">
      <alignment vertical="top"/>
    </xf>
    <xf numFmtId="166" fontId="5" fillId="6" borderId="2" xfId="11" applyNumberFormat="1" applyAlignment="1" applyProtection="1">
      <alignment vertical="top"/>
      <protection locked="0"/>
    </xf>
    <xf numFmtId="0" fontId="5" fillId="6" borderId="2" xfId="18" applyNumberFormat="1" applyFont="1" applyFill="1" applyBorder="1" applyAlignment="1" applyProtection="1">
      <alignment vertical="top"/>
      <protection locked="0"/>
    </xf>
    <xf numFmtId="165" fontId="5" fillId="6" borderId="2" xfId="11" applyNumberFormat="1" applyAlignment="1" applyProtection="1">
      <alignment vertical="top"/>
      <protection locked="0"/>
    </xf>
    <xf numFmtId="0" fontId="0" fillId="0" borderId="0" xfId="18" applyNumberFormat="1" applyFont="1" applyAlignment="1" applyProtection="1">
      <alignment vertical="top"/>
      <protection locked="0"/>
    </xf>
    <xf numFmtId="0" fontId="0" fillId="0" borderId="5" xfId="4" applyFont="1" applyBorder="1" applyAlignment="1" applyProtection="1">
      <alignment vertical="top"/>
      <protection locked="0"/>
    </xf>
    <xf numFmtId="0" fontId="0" fillId="0" borderId="5" xfId="4" applyFont="1" applyBorder="1" applyProtection="1">
      <alignment vertical="top"/>
      <protection locked="0"/>
    </xf>
    <xf numFmtId="0" fontId="0" fillId="0" borderId="7" xfId="4" applyFont="1" applyBorder="1" applyProtection="1">
      <alignment vertical="top"/>
      <protection locked="0"/>
    </xf>
    <xf numFmtId="0" fontId="0" fillId="0" borderId="2" xfId="4" applyFont="1" applyBorder="1">
      <alignment vertical="top"/>
    </xf>
    <xf numFmtId="0" fontId="0" fillId="0" borderId="2" xfId="4" applyFont="1" applyBorder="1" applyProtection="1">
      <alignment vertical="top"/>
      <protection locked="0"/>
    </xf>
    <xf numFmtId="0" fontId="5" fillId="5" borderId="2" xfId="9" applyBorder="1" applyAlignment="1" applyProtection="1">
      <alignment vertical="top"/>
      <protection locked="0"/>
    </xf>
    <xf numFmtId="0" fontId="5" fillId="5" borderId="4" xfId="9" applyBorder="1" applyAlignment="1" applyProtection="1">
      <alignment vertical="top"/>
      <protection locked="0"/>
    </xf>
    <xf numFmtId="0" fontId="11" fillId="0" borderId="5" xfId="10" applyNumberFormat="1" applyBorder="1" applyAlignment="1" applyProtection="1">
      <alignment vertical="top"/>
      <protection locked="0"/>
    </xf>
    <xf numFmtId="0" fontId="11" fillId="0" borderId="6" xfId="10" applyNumberFormat="1" applyBorder="1" applyAlignment="1" applyProtection="1">
      <alignment vertical="top"/>
      <protection locked="0"/>
    </xf>
    <xf numFmtId="0" fontId="11" fillId="0" borderId="7" xfId="10" applyNumberFormat="1" applyBorder="1" applyAlignment="1" applyProtection="1">
      <alignment vertical="top"/>
      <protection locked="0"/>
    </xf>
    <xf numFmtId="0" fontId="0" fillId="0" borderId="2" xfId="4" applyFont="1" applyFill="1">
      <alignment vertical="top"/>
    </xf>
    <xf numFmtId="166" fontId="5" fillId="6" borderId="2" xfId="11" applyNumberFormat="1" applyAlignment="1">
      <alignment vertical="top"/>
    </xf>
    <xf numFmtId="3" fontId="5" fillId="6" borderId="2" xfId="11" applyNumberFormat="1" applyAlignment="1">
      <alignment vertical="top"/>
    </xf>
    <xf numFmtId="0" fontId="16" fillId="0" borderId="2" xfId="3" applyFont="1" applyBorder="1">
      <alignment vertical="top"/>
    </xf>
    <xf numFmtId="0" fontId="23" fillId="31" borderId="2" xfId="10" applyNumberFormat="1" applyFont="1" applyFill="1" applyAlignment="1">
      <alignment vertical="top"/>
    </xf>
    <xf numFmtId="0" fontId="11" fillId="5" borderId="2" xfId="3" applyFill="1" applyBorder="1">
      <alignment vertical="top"/>
    </xf>
    <xf numFmtId="0" fontId="11" fillId="0" borderId="0" xfId="5" applyProtection="1">
      <alignment horizontal="centerContinuous" vertical="top" wrapText="1"/>
      <protection locked="0"/>
    </xf>
    <xf numFmtId="10" fontId="5" fillId="6" borderId="2" xfId="11" applyNumberFormat="1" applyAlignment="1" applyProtection="1">
      <alignment vertical="top"/>
      <protection locked="0"/>
    </xf>
    <xf numFmtId="165" fontId="5" fillId="6" borderId="2" xfId="22" applyFont="1" applyFill="1" applyBorder="1" applyAlignment="1" applyProtection="1">
      <alignment vertical="top"/>
      <protection locked="0"/>
    </xf>
    <xf numFmtId="165" fontId="5" fillId="6" borderId="2" xfId="11" applyNumberFormat="1" applyAlignment="1">
      <alignment vertical="top"/>
    </xf>
    <xf numFmtId="3" fontId="5" fillId="6" borderId="2" xfId="11" applyNumberFormat="1" applyAlignment="1" applyProtection="1">
      <alignment vertical="top"/>
      <protection locked="0"/>
    </xf>
    <xf numFmtId="2" fontId="5" fillId="6" borderId="2" xfId="11" applyNumberFormat="1" applyAlignment="1" applyProtection="1">
      <alignment vertical="top"/>
      <protection locked="0"/>
    </xf>
    <xf numFmtId="2" fontId="11" fillId="0" borderId="2" xfId="10" applyNumberFormat="1" applyAlignment="1" applyProtection="1">
      <alignment vertical="top"/>
      <protection locked="0"/>
    </xf>
    <xf numFmtId="170" fontId="5" fillId="6" borderId="2" xfId="11" applyNumberFormat="1" applyAlignment="1">
      <alignment vertical="top"/>
    </xf>
    <xf numFmtId="171" fontId="5" fillId="6" borderId="2" xfId="11" applyNumberFormat="1" applyAlignment="1">
      <alignment vertical="top"/>
    </xf>
    <xf numFmtId="3" fontId="5" fillId="0" borderId="2" xfId="24" applyNumberFormat="1" applyFont="1" applyBorder="1" applyAlignment="1" applyProtection="1">
      <alignment vertical="top"/>
      <protection locked="0"/>
    </xf>
    <xf numFmtId="2" fontId="5" fillId="0" borderId="2" xfId="24" applyNumberFormat="1" applyFont="1" applyBorder="1" applyAlignment="1" applyProtection="1">
      <alignment vertical="top"/>
      <protection locked="0"/>
    </xf>
    <xf numFmtId="166" fontId="5" fillId="6" borderId="2" xfId="11" applyNumberFormat="1" applyAlignment="1">
      <alignment horizontal="right" vertical="top"/>
    </xf>
    <xf numFmtId="165" fontId="5" fillId="6" borderId="2" xfId="11" applyNumberFormat="1" applyAlignment="1">
      <alignment horizontal="right" vertical="top"/>
    </xf>
    <xf numFmtId="166" fontId="11" fillId="0" borderId="2" xfId="10" applyNumberFormat="1" applyAlignment="1">
      <alignment horizontal="right" vertical="top"/>
    </xf>
    <xf numFmtId="0" fontId="1" fillId="18" borderId="0" xfId="23" applyFill="1" applyAlignment="1" applyProtection="1">
      <alignment horizontal="left"/>
    </xf>
  </cellXfs>
  <cellStyles count="37">
    <cellStyle name="20% - Accent1" xfId="30" builtinId="30"/>
    <cellStyle name="20% - Accent2" xfId="35" builtinId="34"/>
    <cellStyle name="20% - Accent3" xfId="32" builtinId="38"/>
    <cellStyle name="20% - Accent4" xfId="33" builtinId="42"/>
    <cellStyle name="20% - Accent5" xfId="34" builtinId="46"/>
    <cellStyle name="40% - Accent6" xfId="36" builtinId="51"/>
    <cellStyle name="60% - Accent1" xfId="26" builtinId="32"/>
    <cellStyle name="60% - Accent4" xfId="27" builtinId="44"/>
    <cellStyle name="60% - Accent5" xfId="28" builtinId="48"/>
    <cellStyle name="Accent2" xfId="31" builtinId="33"/>
    <cellStyle name="Accent6" xfId="25" builtinId="49" customBuiltin="1"/>
    <cellStyle name="Bad" xfId="7" builtinId="27" hidden="1"/>
    <cellStyle name="Calculation" xfId="11" builtinId="22" customBuiltin="1"/>
    <cellStyle name="Check Cell" xfId="13" builtinId="23" customBuiltin="1"/>
    <cellStyle name="Comma" xfId="18" builtinId="3" customBuiltin="1"/>
    <cellStyle name="Comma [0]" xfId="19" builtinId="6" customBuiltin="1"/>
    <cellStyle name="Currency" xfId="20" builtinId="4" customBuiltin="1"/>
    <cellStyle name="Currency [0]" xfId="21" builtinId="7" customBuiltin="1"/>
    <cellStyle name="Explanatory Text" xfId="17" builtinId="53" customBuiltin="1"/>
    <cellStyle name="Good" xfId="6" builtinId="26" hidden="1"/>
    <cellStyle name="Heading 1" xfId="2" builtinId="16" customBuiltin="1"/>
    <cellStyle name="Heading 2" xfId="3" builtinId="17" customBuiltin="1"/>
    <cellStyle name="Heading 3" xfId="4" builtinId="18" customBuiltin="1"/>
    <cellStyle name="Heading 4" xfId="5" builtinId="19" customBuiltin="1"/>
    <cellStyle name="Hyperlink" xfId="29" builtinId="8"/>
    <cellStyle name="Input" xfId="9" builtinId="20" customBuiltin="1"/>
    <cellStyle name="Linked Cell" xfId="12" builtinId="24" hidden="1"/>
    <cellStyle name="Neutral" xfId="8" builtinId="28" hidden="1"/>
    <cellStyle name="Normal" xfId="0" builtinId="0" customBuiltin="1"/>
    <cellStyle name="Normal Fill" xfId="24" xr:uid="{F8B51D0D-85A6-44BC-88ED-53A39908D51E}"/>
    <cellStyle name="Normal Font" xfId="23" xr:uid="{38BB73A8-EBB3-49D5-98B5-B3C1275E03C2}"/>
    <cellStyle name="Note" xfId="15" builtinId="10" customBuiltin="1"/>
    <cellStyle name="Output" xfId="10" builtinId="21" customBuiltin="1"/>
    <cellStyle name="Percent" xfId="22" builtinId="5" customBuiltin="1"/>
    <cellStyle name="Title" xfId="1" builtinId="15" hidden="1" customBuiltin="1"/>
    <cellStyle name="Total" xfId="16" builtinId="25" customBuiltin="1"/>
    <cellStyle name="Warning Text" xfId="14" builtinId="11" hidden="1"/>
  </cellStyles>
  <dxfs count="325">
    <dxf>
      <font>
        <color rgb="FF006100"/>
      </font>
      <fill>
        <patternFill>
          <bgColor rgb="FFC6EFCE"/>
        </patternFill>
      </fill>
    </dxf>
    <dxf>
      <font>
        <color rgb="FF006100"/>
      </font>
      <fill>
        <patternFill>
          <bgColor rgb="FFC6EFCE"/>
        </patternFill>
      </fill>
    </dxf>
    <dxf>
      <border>
        <left/>
        <right/>
        <bottom/>
        <vertical/>
        <horizontal/>
      </border>
    </dxf>
    <dxf>
      <font>
        <color rgb="FF9C0006"/>
      </font>
      <fill>
        <patternFill>
          <bgColor rgb="FFFFC7CE"/>
        </patternFill>
      </fill>
    </dxf>
    <dxf>
      <font>
        <color rgb="FF9C0006"/>
      </font>
      <fill>
        <patternFill>
          <bgColor rgb="FFFFC7CE"/>
        </patternFill>
      </fill>
    </dxf>
    <dxf>
      <font>
        <color theme="0"/>
      </font>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patternFill>
      </fill>
    </dxf>
    <dxf>
      <font>
        <b/>
        <i val="0"/>
        <color theme="0"/>
      </font>
      <fill>
        <patternFill>
          <bgColor rgb="FFFF0000"/>
        </patternFill>
      </fill>
    </dxf>
    <dxf>
      <fill>
        <patternFill>
          <bgColor theme="0"/>
        </patternFill>
      </fill>
    </dxf>
    <dxf>
      <font>
        <b/>
        <i val="0"/>
        <color theme="0"/>
      </font>
      <fill>
        <patternFill>
          <bgColor rgb="FFFF0000"/>
        </patternFill>
      </fill>
    </dxf>
    <dxf>
      <font>
        <b/>
        <i val="0"/>
        <color theme="0"/>
      </font>
      <fill>
        <patternFill>
          <bgColor rgb="FFFF00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border diagonalUp="0" diagonalDown="0">
        <left style="thin">
          <color theme="0" tint="-0.24994659260841701"/>
        </left>
        <right style="thin">
          <color theme="0" tint="-0.24994659260841701"/>
        </right>
        <top/>
        <bottom/>
        <vertical style="thin">
          <color theme="0" tint="-0.24994659260841701"/>
        </vertical>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numFmt numFmtId="0" formatCode="General"/>
    </dxf>
    <dxf>
      <numFmt numFmtId="0" formatCode="General"/>
    </dxf>
    <dxf>
      <border outline="0">
        <top style="thin">
          <color theme="4" tint="0.39994506668294322"/>
        </top>
      </border>
    </dxf>
    <dxf>
      <border outline="0">
        <bottom style="thin">
          <color theme="4" tint="0.39994506668294322"/>
        </bottom>
      </border>
    </dxf>
    <dxf>
      <font>
        <b/>
        <i val="0"/>
        <strike val="0"/>
        <condense val="0"/>
        <extend val="0"/>
        <outline val="0"/>
        <shadow val="0"/>
        <u val="none"/>
        <vertAlign val="baseline"/>
        <sz val="11"/>
        <color theme="0"/>
        <name val="Tw Cen MT"/>
        <family val="2"/>
        <scheme val="minor"/>
      </font>
      <fill>
        <patternFill patternType="solid">
          <fgColor indexed="64"/>
          <bgColor theme="4"/>
        </patternFill>
      </fill>
      <border diagonalUp="0" diagonalDown="0" outline="0">
        <left style="thin">
          <color theme="4" tint="0.39994506668294322"/>
        </left>
        <right style="thin">
          <color theme="4" tint="0.39994506668294322"/>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dxf>
    <dxf>
      <numFmt numFmtId="0" formatCode="General"/>
    </dxf>
    <dxf>
      <numFmt numFmtId="0" formatCode="General"/>
    </dxf>
    <dxf>
      <numFmt numFmtId="166" formatCode="#,##0.000"/>
      <alignment horizontal="general" vertical="top" textRotation="0" wrapText="0"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protection locked="1" hidden="0"/>
    </dxf>
    <dxf>
      <protection locked="1" hidden="0"/>
    </dxf>
    <dxf>
      <protection locked="1" hidden="0"/>
    </dxf>
    <dxf>
      <numFmt numFmtId="166" formatCode="#,##0.000"/>
      <alignment horizontal="general" vertical="top" textRotation="0" wrapText="0"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protection locked="1" hidden="0"/>
    </dxf>
    <dxf>
      <protection locked="1" hidden="0"/>
    </dxf>
    <dxf>
      <protection locked="1" hidden="0"/>
    </dxf>
    <dxf>
      <numFmt numFmtId="0" formatCode="General"/>
      <protection locked="1" hidden="0"/>
    </dxf>
    <dxf>
      <numFmt numFmtId="165" formatCode="0.000%"/>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166" formatCode="#,##0.000"/>
      <alignment horizontal="general" vertical="top" textRotation="0" wrapText="0"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protection locked="1" hidden="0"/>
    </dxf>
    <dxf>
      <protection locked="1" hidden="0"/>
    </dxf>
    <dxf>
      <protection locked="1" hidden="0"/>
    </dxf>
    <dxf>
      <numFmt numFmtId="166" formatCode="#,##0.000"/>
      <alignment horizontal="general" vertical="top" textRotation="0" wrapText="0"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protection locked="1" hidden="0"/>
    </dxf>
    <dxf>
      <protection locked="1" hidden="0"/>
    </dxf>
    <dxf>
      <protection locked="1" hidden="0"/>
    </dxf>
    <dxf>
      <numFmt numFmtId="166" formatCode="#,##0.000"/>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166" formatCode="#,##0.000"/>
      <alignment horizontal="general" vertical="top" textRotation="0" wrapText="0"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protection locked="1" hidden="0"/>
    </dxf>
    <dxf>
      <protection locked="1" hidden="0"/>
    </dxf>
    <dxf>
      <protection locked="1" hidden="0"/>
    </dxf>
    <dxf>
      <fill>
        <patternFill>
          <bgColor theme="3" tint="0.79998168889431442"/>
        </patternFill>
      </fill>
    </dxf>
    <dxf>
      <fill>
        <patternFill>
          <bgColor theme="3" tint="0.79998168889431442"/>
        </patternFill>
      </fill>
    </dxf>
    <dxf>
      <fill>
        <patternFill patternType="none">
          <bgColor auto="1"/>
        </patternFill>
      </fill>
      <border>
        <left style="thick">
          <color theme="3" tint="-0.24994659260841701"/>
        </left>
      </border>
    </dxf>
    <dxf>
      <font>
        <b/>
        <i val="0"/>
        <color theme="0"/>
      </font>
      <fill>
        <patternFill>
          <bgColor theme="3"/>
        </patternFill>
      </fill>
    </dxf>
    <dxf>
      <border>
        <top style="thick">
          <color theme="3" tint="-0.24994659260841701"/>
        </top>
      </border>
    </dxf>
    <dxf>
      <font>
        <b/>
        <i val="0"/>
        <color theme="0"/>
      </font>
      <fill>
        <patternFill>
          <bgColor theme="3"/>
        </patternFill>
      </fill>
    </dxf>
    <dxf>
      <border>
        <left style="thin">
          <color theme="3" tint="0.39994506668294322"/>
        </left>
        <right style="thin">
          <color theme="3" tint="0.39994506668294322"/>
        </right>
        <top style="thin">
          <color theme="3" tint="0.39994506668294322"/>
        </top>
        <bottom style="thin">
          <color theme="3" tint="0.39994506668294322"/>
        </bottom>
        <vertical style="thin">
          <color theme="3" tint="0.39994506668294322"/>
        </vertical>
        <horizontal style="thin">
          <color theme="3" tint="0.39994506668294322"/>
        </horizontal>
      </border>
    </dxf>
    <dxf>
      <fill>
        <patternFill>
          <bgColor theme="9" tint="0.79998168889431442"/>
        </patternFill>
      </fill>
    </dxf>
    <dxf>
      <fill>
        <patternFill>
          <bgColor theme="9" tint="0.79998168889431442"/>
        </patternFill>
      </fill>
    </dxf>
    <dxf>
      <fill>
        <patternFill patternType="none">
          <bgColor auto="1"/>
        </patternFill>
      </fill>
      <border>
        <left style="thick">
          <color theme="9" tint="-0.24994659260841701"/>
        </left>
      </border>
    </dxf>
    <dxf>
      <font>
        <b/>
        <i val="0"/>
        <color theme="0"/>
      </font>
      <fill>
        <patternFill>
          <bgColor theme="9"/>
        </patternFill>
      </fill>
    </dxf>
    <dxf>
      <border>
        <top style="thick">
          <color theme="9" tint="-0.24994659260841701"/>
        </top>
      </border>
    </dxf>
    <dxf>
      <font>
        <b/>
        <i val="0"/>
        <color theme="0"/>
      </font>
      <fill>
        <patternFill>
          <bgColor theme="9"/>
        </patternFill>
      </fill>
    </dxf>
    <dxf>
      <border>
        <left style="thin">
          <color theme="9" tint="0.39994506668294322"/>
        </left>
        <right style="thin">
          <color theme="9" tint="0.39994506668294322"/>
        </right>
        <top style="thin">
          <color theme="9" tint="0.39994506668294322"/>
        </top>
        <bottom style="thin">
          <color theme="9" tint="0.39994506668294322"/>
        </bottom>
        <vertical style="thin">
          <color theme="9" tint="0.39994506668294322"/>
        </vertical>
        <horizontal style="thin">
          <color theme="9" tint="0.39994506668294322"/>
        </horizontal>
      </border>
    </dxf>
    <dxf>
      <fill>
        <patternFill>
          <bgColor theme="8" tint="0.79998168889431442"/>
        </patternFill>
      </fill>
    </dxf>
    <dxf>
      <fill>
        <patternFill>
          <bgColor theme="8" tint="0.79998168889431442"/>
        </patternFill>
      </fill>
    </dxf>
    <dxf>
      <fill>
        <patternFill patternType="none">
          <bgColor auto="1"/>
        </patternFill>
      </fill>
      <border>
        <left style="thick">
          <color theme="8" tint="-0.24994659260841701"/>
        </left>
      </border>
    </dxf>
    <dxf>
      <font>
        <b/>
        <i val="0"/>
        <color theme="0"/>
      </font>
      <fill>
        <patternFill>
          <bgColor theme="8"/>
        </patternFill>
      </fill>
    </dxf>
    <dxf>
      <border>
        <top style="thick">
          <color theme="8" tint="-0.24994659260841701"/>
        </top>
      </border>
    </dxf>
    <dxf>
      <font>
        <b/>
        <i val="0"/>
        <color theme="0"/>
      </font>
      <fill>
        <patternFill>
          <bgColor theme="8"/>
        </patternFill>
      </fill>
    </dxf>
    <dxf>
      <border>
        <left style="thin">
          <color theme="8" tint="0.39994506668294322"/>
        </left>
        <right style="thin">
          <color theme="8" tint="0.39994506668294322"/>
        </right>
        <top style="thin">
          <color theme="8" tint="0.39994506668294322"/>
        </top>
        <bottom style="thin">
          <color theme="8" tint="0.39994506668294322"/>
        </bottom>
        <vertical style="thin">
          <color theme="8" tint="0.39994506668294322"/>
        </vertical>
        <horizontal style="thin">
          <color theme="8" tint="0.39994506668294322"/>
        </horizontal>
      </border>
    </dxf>
    <dxf>
      <fill>
        <patternFill>
          <bgColor theme="7" tint="0.79998168889431442"/>
        </patternFill>
      </fill>
    </dxf>
    <dxf>
      <fill>
        <patternFill>
          <bgColor theme="7" tint="0.79998168889431442"/>
        </patternFill>
      </fill>
    </dxf>
    <dxf>
      <fill>
        <patternFill patternType="none">
          <bgColor auto="1"/>
        </patternFill>
      </fill>
      <border>
        <left style="thick">
          <color theme="7" tint="-0.24994659260841701"/>
        </left>
      </border>
    </dxf>
    <dxf>
      <font>
        <b/>
        <i val="0"/>
        <color theme="0"/>
      </font>
      <fill>
        <patternFill>
          <bgColor theme="7"/>
        </patternFill>
      </fill>
    </dxf>
    <dxf>
      <border>
        <top style="thick">
          <color theme="7" tint="-0.24994659260841701"/>
        </top>
      </border>
    </dxf>
    <dxf>
      <font>
        <b/>
        <i val="0"/>
        <color theme="0"/>
      </font>
      <fill>
        <patternFill>
          <bgColor theme="7"/>
        </patternFill>
      </fill>
    </dxf>
    <dxf>
      <border>
        <left style="thin">
          <color theme="7" tint="0.39994506668294322"/>
        </left>
        <right style="thin">
          <color theme="7" tint="0.39994506668294322"/>
        </right>
        <top style="thin">
          <color theme="7" tint="0.39994506668294322"/>
        </top>
        <bottom style="thin">
          <color theme="7" tint="0.39994506668294322"/>
        </bottom>
        <vertical style="thin">
          <color theme="7" tint="0.39994506668294322"/>
        </vertical>
        <horizontal style="thin">
          <color theme="7" tint="0.39994506668294322"/>
        </horizontal>
      </border>
    </dxf>
    <dxf>
      <fill>
        <patternFill>
          <bgColor theme="6" tint="0.79998168889431442"/>
        </patternFill>
      </fill>
    </dxf>
    <dxf>
      <fill>
        <patternFill>
          <bgColor theme="6" tint="0.79998168889431442"/>
        </patternFill>
      </fill>
    </dxf>
    <dxf>
      <fill>
        <patternFill patternType="none">
          <bgColor auto="1"/>
        </patternFill>
      </fill>
      <border>
        <left style="thick">
          <color theme="6" tint="-0.24994659260841701"/>
        </left>
      </border>
    </dxf>
    <dxf>
      <font>
        <b/>
        <i val="0"/>
        <color theme="0"/>
      </font>
      <fill>
        <patternFill>
          <bgColor theme="6"/>
        </patternFill>
      </fill>
    </dxf>
    <dxf>
      <border>
        <top style="thick">
          <color theme="6" tint="-0.24994659260841701"/>
        </top>
      </border>
    </dxf>
    <dxf>
      <font>
        <b/>
        <i val="0"/>
        <color theme="0"/>
      </font>
      <fill>
        <patternFill>
          <bgColor theme="6"/>
        </patternFill>
      </fill>
    </dxf>
    <dxf>
      <border>
        <left style="thin">
          <color theme="6" tint="0.39994506668294322"/>
        </left>
        <right style="thin">
          <color theme="6" tint="0.39994506668294322"/>
        </right>
        <top style="thin">
          <color theme="6" tint="0.39994506668294322"/>
        </top>
        <bottom style="thin">
          <color theme="6" tint="0.39994506668294322"/>
        </bottom>
        <vertical style="thin">
          <color theme="6" tint="0.39994506668294322"/>
        </vertical>
        <horizontal style="thin">
          <color theme="6" tint="0.39994506668294322"/>
        </horizontal>
      </border>
    </dxf>
    <dxf>
      <fill>
        <patternFill>
          <bgColor theme="5" tint="0.79998168889431442"/>
        </patternFill>
      </fill>
    </dxf>
    <dxf>
      <fill>
        <patternFill>
          <bgColor theme="5" tint="0.79998168889431442"/>
        </patternFill>
      </fill>
    </dxf>
    <dxf>
      <fill>
        <patternFill patternType="none">
          <bgColor auto="1"/>
        </patternFill>
      </fill>
      <border>
        <left style="thick">
          <color theme="5" tint="-0.24994659260841701"/>
        </left>
      </border>
    </dxf>
    <dxf>
      <font>
        <b/>
        <i val="0"/>
        <color theme="0"/>
      </font>
      <fill>
        <patternFill>
          <bgColor theme="5"/>
        </patternFill>
      </fill>
    </dxf>
    <dxf>
      <border>
        <top style="thick">
          <color theme="5" tint="-0.24994659260841701"/>
        </top>
      </border>
    </dxf>
    <dxf>
      <font>
        <b/>
        <i val="0"/>
        <color theme="0"/>
      </font>
      <fill>
        <patternFill>
          <bgColor theme="5"/>
        </patternFill>
      </fill>
    </dxf>
    <dxf>
      <border>
        <left style="thin">
          <color theme="5" tint="0.39994506668294322"/>
        </left>
        <right style="thin">
          <color theme="5" tint="0.39994506668294322"/>
        </right>
        <top style="thin">
          <color theme="5" tint="0.39994506668294322"/>
        </top>
        <bottom style="thin">
          <color theme="5" tint="0.39994506668294322"/>
        </bottom>
        <vertical style="thin">
          <color theme="5" tint="0.39994506668294322"/>
        </vertical>
        <horizontal style="thin">
          <color theme="5" tint="0.39994506668294322"/>
        </horizontal>
      </border>
    </dxf>
    <dxf>
      <fill>
        <patternFill>
          <bgColor theme="4" tint="0.79998168889431442"/>
        </patternFill>
      </fill>
    </dxf>
    <dxf>
      <fill>
        <patternFill>
          <bgColor theme="4" tint="0.79998168889431442"/>
        </patternFill>
      </fill>
    </dxf>
    <dxf>
      <fill>
        <patternFill patternType="none">
          <bgColor auto="1"/>
        </patternFill>
      </fill>
      <border>
        <left style="thick">
          <color theme="4" tint="-0.24994659260841701"/>
        </left>
      </border>
    </dxf>
    <dxf>
      <font>
        <b/>
        <i val="0"/>
        <color theme="0"/>
      </font>
      <fill>
        <patternFill>
          <bgColor theme="4"/>
        </patternFill>
      </fill>
    </dxf>
    <dxf>
      <border>
        <top style="thick">
          <color theme="4" tint="-0.24994659260841701"/>
        </top>
      </border>
    </dxf>
    <dxf>
      <font>
        <b/>
        <i val="0"/>
        <color theme="0"/>
      </font>
      <fill>
        <patternFill>
          <bgColor theme="4"/>
        </patternFill>
      </fill>
    </dxf>
    <dxf>
      <border>
        <left style="thin">
          <color theme="4" tint="0.39994506668294322"/>
        </left>
        <right style="thin">
          <color theme="4" tint="0.39994506668294322"/>
        </right>
        <top style="thin">
          <color theme="4" tint="0.39994506668294322"/>
        </top>
        <bottom style="thin">
          <color theme="4" tint="0.39994506668294322"/>
        </bottom>
        <vertical style="thin">
          <color theme="4" tint="0.39994506668294322"/>
        </vertical>
        <horizontal style="thin">
          <color theme="4" tint="0.39994506668294322"/>
        </horizontal>
      </border>
    </dxf>
    <dxf>
      <fill>
        <patternFill>
          <bgColor theme="0" tint="-0.24994659260841701"/>
        </patternFill>
      </fill>
    </dxf>
    <dxf>
      <fill>
        <patternFill>
          <bgColor theme="0" tint="-0.24994659260841701"/>
        </patternFill>
      </fill>
    </dxf>
    <dxf>
      <fill>
        <patternFill patternType="none">
          <bgColor auto="1"/>
        </patternFill>
      </fill>
      <border>
        <left style="thick">
          <color theme="1" tint="0.24994659260841701"/>
        </left>
      </border>
    </dxf>
    <dxf>
      <font>
        <b/>
        <i val="0"/>
        <color theme="0"/>
      </font>
      <fill>
        <patternFill>
          <bgColor theme="1"/>
        </patternFill>
      </fill>
    </dxf>
    <dxf>
      <border>
        <top style="thick">
          <color theme="1" tint="0.24994659260841701"/>
        </top>
      </border>
    </dxf>
    <dxf>
      <font>
        <b/>
        <i val="0"/>
        <color theme="0"/>
      </font>
      <fill>
        <patternFill>
          <bgColor theme="1"/>
        </patternFill>
      </fill>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9" tint="0.39994506668294322"/>
        </left>
        <right style="thin">
          <color theme="9" tint="0.39994506668294322"/>
        </right>
        <vertical style="thin">
          <color theme="9" tint="0.39994506668294322"/>
        </vertical>
      </border>
    </dxf>
    <dxf>
      <border>
        <left style="thin">
          <color theme="9" tint="0.39994506668294322"/>
        </left>
        <right style="thin">
          <color theme="9" tint="0.39994506668294322"/>
        </right>
        <vertical style="thin">
          <color theme="9" tint="0.39994506668294322"/>
        </vertical>
      </border>
    </dxf>
    <dxf>
      <border>
        <top style="thin">
          <color theme="9" tint="0.39994506668294322"/>
        </top>
        <bottom style="thin">
          <color theme="9" tint="0.39994506668294322"/>
        </bottom>
        <horizontal style="thin">
          <color theme="9" tint="0.39994506668294322"/>
        </horizontal>
      </border>
    </dxf>
    <dxf>
      <border>
        <top style="thin">
          <color theme="9" tint="0.39994506668294322"/>
        </top>
        <bottom style="thin">
          <color theme="9" tint="0.39994506668294322"/>
        </bottom>
        <horizontal style="thin">
          <color theme="9" tint="0.39994506668294322"/>
        </horizontal>
      </border>
    </dxf>
    <dxf>
      <fill>
        <patternFill patternType="none">
          <bgColor auto="1"/>
        </patternFill>
      </fill>
      <border>
        <left style="thick">
          <color theme="9" tint="-0.24994659260841701"/>
        </left>
      </border>
    </dxf>
    <dxf>
      <border>
        <top style="thick">
          <color theme="9" tint="-0.24994659260841701"/>
        </top>
      </border>
    </dxf>
    <dxf>
      <font>
        <b/>
        <i val="0"/>
        <color theme="0"/>
      </font>
      <fill>
        <patternFill>
          <bgColor theme="9"/>
        </patternFill>
      </fill>
    </dxf>
    <dxf>
      <border>
        <left style="thin">
          <color theme="9" tint="0.39994506668294322"/>
        </left>
        <right style="thin">
          <color theme="9" tint="0.39994506668294322"/>
        </right>
        <top style="thin">
          <color theme="9" tint="0.39994506668294322"/>
        </top>
        <bottom style="thin">
          <color theme="9" tint="0.39994506668294322"/>
        </bottom>
        <vertical/>
        <horizontal/>
      </border>
    </dxf>
    <dxf>
      <border>
        <left style="thin">
          <color theme="8" tint="0.39994506668294322"/>
        </left>
        <right style="thin">
          <color theme="8" tint="0.39994506668294322"/>
        </right>
        <vertical style="thin">
          <color theme="8" tint="0.39994506668294322"/>
        </vertical>
      </border>
    </dxf>
    <dxf>
      <border>
        <left style="thin">
          <color theme="8" tint="0.39994506668294322"/>
        </left>
        <right style="thin">
          <color theme="8" tint="0.39994506668294322"/>
        </right>
        <vertical style="thin">
          <color theme="8" tint="0.39994506668294322"/>
        </vertical>
      </border>
    </dxf>
    <dxf>
      <border>
        <top style="thin">
          <color theme="8" tint="0.39994506668294322"/>
        </top>
        <bottom style="thin">
          <color theme="8" tint="0.39994506668294322"/>
        </bottom>
        <horizontal style="thin">
          <color theme="8" tint="0.39994506668294322"/>
        </horizontal>
      </border>
    </dxf>
    <dxf>
      <border>
        <top style="thin">
          <color theme="8" tint="0.39994506668294322"/>
        </top>
        <bottom style="thin">
          <color theme="8" tint="0.39994506668294322"/>
        </bottom>
        <horizontal style="thin">
          <color theme="8" tint="0.39994506668294322"/>
        </horizontal>
      </border>
    </dxf>
    <dxf>
      <fill>
        <patternFill patternType="none">
          <bgColor auto="1"/>
        </patternFill>
      </fill>
      <border>
        <left style="thick">
          <color theme="8" tint="-0.24994659260841701"/>
        </left>
      </border>
    </dxf>
    <dxf>
      <border>
        <top style="thick">
          <color theme="8" tint="-0.24994659260841701"/>
        </top>
      </border>
    </dxf>
    <dxf>
      <font>
        <b/>
        <i val="0"/>
        <color theme="0"/>
      </font>
      <fill>
        <patternFill>
          <bgColor theme="8"/>
        </patternFill>
      </fill>
    </dxf>
    <dxf>
      <border>
        <left style="thin">
          <color theme="8" tint="0.39994506668294322"/>
        </left>
        <right style="thin">
          <color theme="8" tint="0.39994506668294322"/>
        </right>
        <top style="thin">
          <color theme="8" tint="0.39994506668294322"/>
        </top>
        <bottom style="thin">
          <color theme="8" tint="0.39994506668294322"/>
        </bottom>
        <vertical/>
        <horizontal/>
      </border>
    </dxf>
    <dxf>
      <border>
        <left style="thin">
          <color theme="7" tint="0.39994506668294322"/>
        </left>
        <right style="thin">
          <color theme="7" tint="0.39994506668294322"/>
        </right>
        <vertical style="thin">
          <color theme="7" tint="0.39994506668294322"/>
        </vertical>
      </border>
    </dxf>
    <dxf>
      <border>
        <left style="thin">
          <color theme="7" tint="0.39994506668294322"/>
        </left>
        <right style="thin">
          <color theme="7" tint="0.39994506668294322"/>
        </right>
        <vertical style="thin">
          <color theme="7" tint="0.39994506668294322"/>
        </vertical>
      </border>
    </dxf>
    <dxf>
      <border>
        <top style="thin">
          <color theme="7" tint="0.39994506668294322"/>
        </top>
        <bottom style="thin">
          <color theme="7" tint="0.39994506668294322"/>
        </bottom>
        <horizontal style="thin">
          <color theme="7" tint="0.39994506668294322"/>
        </horizontal>
      </border>
    </dxf>
    <dxf>
      <border>
        <top style="thin">
          <color theme="7" tint="0.39994506668294322"/>
        </top>
        <bottom style="thin">
          <color theme="7" tint="0.39994506668294322"/>
        </bottom>
        <horizontal style="thin">
          <color theme="7" tint="0.39994506668294322"/>
        </horizontal>
      </border>
    </dxf>
    <dxf>
      <fill>
        <patternFill patternType="none">
          <bgColor auto="1"/>
        </patternFill>
      </fill>
      <border>
        <left style="thick">
          <color theme="7" tint="-0.24994659260841701"/>
        </left>
      </border>
    </dxf>
    <dxf>
      <border>
        <top style="thick">
          <color theme="7" tint="-0.24994659260841701"/>
        </top>
      </border>
    </dxf>
    <dxf>
      <font>
        <b/>
        <i val="0"/>
        <color theme="0"/>
      </font>
      <fill>
        <patternFill>
          <bgColor theme="7"/>
        </patternFill>
      </fill>
    </dxf>
    <dxf>
      <border>
        <left style="thin">
          <color theme="7" tint="0.39994506668294322"/>
        </left>
        <right style="thin">
          <color theme="7" tint="0.39994506668294322"/>
        </right>
        <top style="thin">
          <color theme="7" tint="0.39994506668294322"/>
        </top>
        <bottom style="thin">
          <color theme="7" tint="0.39994506668294322"/>
        </bottom>
        <vertical/>
        <horizontal/>
      </border>
    </dxf>
    <dxf>
      <border>
        <left style="thin">
          <color theme="6" tint="0.39994506668294322"/>
        </left>
        <right style="thin">
          <color theme="6" tint="0.39994506668294322"/>
        </right>
        <vertical style="thin">
          <color theme="6" tint="0.39994506668294322"/>
        </vertical>
      </border>
    </dxf>
    <dxf>
      <border>
        <left style="thin">
          <color theme="6" tint="0.39994506668294322"/>
        </left>
        <right style="thin">
          <color theme="6" tint="0.39994506668294322"/>
        </right>
        <vertical style="thin">
          <color theme="6" tint="0.39994506668294322"/>
        </vertical>
      </border>
    </dxf>
    <dxf>
      <border>
        <top style="thin">
          <color theme="6" tint="0.39994506668294322"/>
        </top>
        <bottom style="thin">
          <color theme="6" tint="0.39994506668294322"/>
        </bottom>
        <horizontal style="thin">
          <color theme="6" tint="0.39994506668294322"/>
        </horizontal>
      </border>
    </dxf>
    <dxf>
      <border>
        <top style="thin">
          <color theme="6" tint="0.39994506668294322"/>
        </top>
        <bottom style="thin">
          <color theme="6" tint="0.39994506668294322"/>
        </bottom>
        <horizontal style="thin">
          <color theme="6" tint="0.39994506668294322"/>
        </horizontal>
      </border>
    </dxf>
    <dxf>
      <fill>
        <patternFill patternType="none">
          <bgColor auto="1"/>
        </patternFill>
      </fill>
      <border>
        <left style="thick">
          <color theme="6" tint="-0.24994659260841701"/>
        </left>
      </border>
    </dxf>
    <dxf>
      <border>
        <top style="thick">
          <color theme="6" tint="-0.24994659260841701"/>
        </top>
      </border>
    </dxf>
    <dxf>
      <font>
        <b/>
        <i val="0"/>
        <color theme="0"/>
      </font>
      <fill>
        <patternFill>
          <bgColor theme="6"/>
        </patternFill>
      </fill>
    </dxf>
    <dxf>
      <border>
        <left style="thin">
          <color theme="6" tint="0.39994506668294322"/>
        </left>
        <right style="thin">
          <color theme="6" tint="0.39994506668294322"/>
        </right>
        <top style="thin">
          <color theme="6" tint="0.39994506668294322"/>
        </top>
        <bottom style="thin">
          <color theme="6" tint="0.39994506668294322"/>
        </bottom>
        <vertical/>
        <horizontal/>
      </border>
    </dxf>
    <dxf>
      <border>
        <left style="thin">
          <color theme="5" tint="0.39994506668294322"/>
        </left>
        <right style="thin">
          <color theme="5" tint="0.39994506668294322"/>
        </right>
        <vertical style="thin">
          <color theme="5" tint="0.39994506668294322"/>
        </vertical>
      </border>
    </dxf>
    <dxf>
      <border>
        <left style="thin">
          <color theme="5" tint="0.39994506668294322"/>
        </left>
        <right style="thin">
          <color theme="5" tint="0.39994506668294322"/>
        </right>
        <vertical style="thin">
          <color theme="5" tint="0.39994506668294322"/>
        </vertical>
      </border>
    </dxf>
    <dxf>
      <border>
        <top style="thin">
          <color theme="5" tint="0.39994506668294322"/>
        </top>
        <bottom style="thin">
          <color theme="5" tint="0.39994506668294322"/>
        </bottom>
        <horizontal style="thin">
          <color theme="5" tint="0.39994506668294322"/>
        </horizontal>
      </border>
    </dxf>
    <dxf>
      <border>
        <top style="thin">
          <color theme="5" tint="0.39994506668294322"/>
        </top>
        <bottom style="thin">
          <color theme="5" tint="0.39994506668294322"/>
        </bottom>
        <horizontal style="thin">
          <color theme="5" tint="0.39994506668294322"/>
        </horizontal>
      </border>
    </dxf>
    <dxf>
      <fill>
        <patternFill patternType="none">
          <bgColor auto="1"/>
        </patternFill>
      </fill>
      <border>
        <left style="thick">
          <color theme="5" tint="-0.24994659260841701"/>
        </left>
      </border>
    </dxf>
    <dxf>
      <border>
        <top style="thick">
          <color theme="5" tint="-0.24994659260841701"/>
        </top>
      </border>
    </dxf>
    <dxf>
      <font>
        <b/>
        <i val="0"/>
        <color theme="0"/>
      </font>
      <fill>
        <patternFill>
          <bgColor theme="5"/>
        </patternFill>
      </fill>
    </dxf>
    <dxf>
      <border>
        <left style="thin">
          <color theme="5" tint="0.39994506668294322"/>
        </left>
        <right style="thin">
          <color theme="5" tint="0.39994506668294322"/>
        </right>
        <top style="thin">
          <color theme="5" tint="0.39994506668294322"/>
        </top>
        <bottom style="thin">
          <color theme="5" tint="0.39994506668294322"/>
        </bottom>
        <vertical/>
        <horizontal/>
      </border>
    </dxf>
    <dxf>
      <border>
        <left style="thin">
          <color theme="4" tint="0.39994506668294322"/>
        </left>
        <right style="thin">
          <color theme="4" tint="0.39994506668294322"/>
        </right>
        <vertical style="thin">
          <color theme="4" tint="0.39994506668294322"/>
        </vertical>
      </border>
    </dxf>
    <dxf>
      <border>
        <left style="thin">
          <color theme="4" tint="0.39994506668294322"/>
        </left>
        <right style="thin">
          <color theme="4" tint="0.39994506668294322"/>
        </right>
        <vertical style="thin">
          <color theme="4" tint="0.39994506668294322"/>
        </vertical>
      </border>
    </dxf>
    <dxf>
      <border>
        <top style="thin">
          <color theme="4" tint="0.39994506668294322"/>
        </top>
        <bottom style="thin">
          <color theme="4" tint="0.39994506668294322"/>
        </bottom>
        <horizontal style="thin">
          <color theme="4" tint="0.39994506668294322"/>
        </horizontal>
      </border>
    </dxf>
    <dxf>
      <border>
        <top style="thin">
          <color theme="4" tint="0.39994506668294322"/>
        </top>
        <bottom style="thin">
          <color theme="4" tint="0.39994506668294322"/>
        </bottom>
        <horizontal style="thin">
          <color theme="4" tint="0.39994506668294322"/>
        </horizontal>
      </border>
    </dxf>
    <dxf>
      <fill>
        <patternFill patternType="none">
          <bgColor auto="1"/>
        </patternFill>
      </fill>
      <border>
        <left style="thick">
          <color theme="4" tint="-0.24994659260841701"/>
        </left>
      </border>
    </dxf>
    <dxf>
      <border>
        <top style="thick">
          <color theme="4" tint="-0.24994659260841701"/>
        </top>
      </border>
    </dxf>
    <dxf>
      <font>
        <b/>
        <i val="0"/>
        <color theme="0"/>
      </font>
      <fill>
        <patternFill>
          <bgColor theme="4"/>
        </patternFill>
      </fill>
    </dxf>
    <dxf>
      <border>
        <left style="thin">
          <color theme="4" tint="0.39994506668294322"/>
        </left>
        <right style="thin">
          <color theme="4" tint="0.39994506668294322"/>
        </right>
        <top style="thin">
          <color theme="4" tint="0.39994506668294322"/>
        </top>
        <bottom style="thin">
          <color theme="4" tint="0.39994506668294322"/>
        </bottom>
        <vertical/>
        <horizontal/>
      </border>
    </dxf>
    <dxf>
      <border>
        <left style="thin">
          <color theme="1" tint="0.34998626667073579"/>
        </left>
        <right style="thin">
          <color theme="1" tint="0.34998626667073579"/>
        </right>
        <vertical style="thin">
          <color theme="1" tint="0.34998626667073579"/>
        </vertical>
      </border>
    </dxf>
    <dxf>
      <border>
        <left style="thin">
          <color theme="1" tint="0.34998626667073579"/>
        </left>
        <right style="thin">
          <color theme="1" tint="0.34998626667073579"/>
        </right>
        <vertical style="thin">
          <color theme="1" tint="0.34998626667073579"/>
        </vertical>
      </border>
    </dxf>
    <dxf>
      <border>
        <top style="thin">
          <color theme="1" tint="0.34998626667073579"/>
        </top>
        <bottom style="thin">
          <color theme="1" tint="0.34998626667073579"/>
        </bottom>
        <horizontal style="thin">
          <color theme="1" tint="0.34998626667073579"/>
        </horizontal>
      </border>
    </dxf>
    <dxf>
      <border>
        <top style="thin">
          <color theme="1" tint="0.34998626667073579"/>
        </top>
        <bottom style="thin">
          <color theme="1" tint="0.34998626667073579"/>
        </bottom>
        <horizontal style="thin">
          <color theme="1" tint="0.34998626667073579"/>
        </horizontal>
      </border>
    </dxf>
    <dxf>
      <fill>
        <patternFill patternType="none">
          <bgColor auto="1"/>
        </patternFill>
      </fill>
      <border>
        <left style="thick">
          <color theme="1" tint="0.24994659260841701"/>
        </left>
      </border>
    </dxf>
    <dxf>
      <border>
        <top style="thick">
          <color theme="1" tint="0.24994659260841701"/>
        </top>
      </border>
    </dxf>
    <dxf>
      <font>
        <b/>
        <i val="0"/>
        <color theme="0"/>
      </font>
      <fill>
        <patternFill>
          <bgColor theme="1"/>
        </patternFill>
      </fill>
    </dxf>
    <dxf>
      <border>
        <left style="thin">
          <color theme="1" tint="0.34998626667073579"/>
        </left>
        <right style="thin">
          <color theme="1" tint="0.34998626667073579"/>
        </right>
        <top style="thin">
          <color theme="1" tint="0.34998626667073579"/>
        </top>
        <bottom style="thin">
          <color theme="1" tint="0.34998626667073579"/>
        </bottom>
        <vertical/>
        <horizontal/>
      </border>
    </dxf>
  </dxfs>
  <tableStyles count="15" defaultTableStyle="Table 1" defaultPivotStyle="PivotStyleLight16">
    <tableStyle name="List 0" pivot="0" count="8" xr9:uid="{00000000-0011-0000-FFFF-FFFF00000000}">
      <tableStyleElement type="wholeTable" dxfId="324"/>
      <tableStyleElement type="headerRow" dxfId="323"/>
      <tableStyleElement type="totalRow" dxfId="322"/>
      <tableStyleElement type="lastColumn" dxfId="321"/>
      <tableStyleElement type="firstRowStripe" dxfId="320"/>
      <tableStyleElement type="secondRowStripe" dxfId="319"/>
      <tableStyleElement type="firstColumnStripe" dxfId="318"/>
      <tableStyleElement type="secondColumnStripe" dxfId="317"/>
    </tableStyle>
    <tableStyle name="List 1" pivot="0" count="8" xr9:uid="{00000000-0011-0000-FFFF-FFFF01000000}">
      <tableStyleElement type="wholeTable" dxfId="316"/>
      <tableStyleElement type="headerRow" dxfId="315"/>
      <tableStyleElement type="totalRow" dxfId="314"/>
      <tableStyleElement type="lastColumn" dxfId="313"/>
      <tableStyleElement type="firstRowStripe" dxfId="312"/>
      <tableStyleElement type="secondRowStripe" dxfId="311"/>
      <tableStyleElement type="firstColumnStripe" dxfId="310"/>
      <tableStyleElement type="secondColumnStripe" dxfId="309"/>
    </tableStyle>
    <tableStyle name="List 2" pivot="0" count="8" xr9:uid="{00000000-0011-0000-FFFF-FFFF02000000}">
      <tableStyleElement type="wholeTable" dxfId="308"/>
      <tableStyleElement type="headerRow" dxfId="307"/>
      <tableStyleElement type="totalRow" dxfId="306"/>
      <tableStyleElement type="lastColumn" dxfId="305"/>
      <tableStyleElement type="firstRowStripe" dxfId="304"/>
      <tableStyleElement type="secondRowStripe" dxfId="303"/>
      <tableStyleElement type="firstColumnStripe" dxfId="302"/>
      <tableStyleElement type="secondColumnStripe" dxfId="301"/>
    </tableStyle>
    <tableStyle name="List 3" pivot="0" count="8" xr9:uid="{00000000-0011-0000-FFFF-FFFF03000000}">
      <tableStyleElement type="wholeTable" dxfId="300"/>
      <tableStyleElement type="headerRow" dxfId="299"/>
      <tableStyleElement type="totalRow" dxfId="298"/>
      <tableStyleElement type="lastColumn" dxfId="297"/>
      <tableStyleElement type="firstRowStripe" dxfId="296"/>
      <tableStyleElement type="secondRowStripe" dxfId="295"/>
      <tableStyleElement type="firstColumnStripe" dxfId="294"/>
      <tableStyleElement type="secondColumnStripe" dxfId="293"/>
    </tableStyle>
    <tableStyle name="List 4" pivot="0" count="8" xr9:uid="{00000000-0011-0000-FFFF-FFFF04000000}">
      <tableStyleElement type="wholeTable" dxfId="292"/>
      <tableStyleElement type="headerRow" dxfId="291"/>
      <tableStyleElement type="totalRow" dxfId="290"/>
      <tableStyleElement type="lastColumn" dxfId="289"/>
      <tableStyleElement type="firstRowStripe" dxfId="288"/>
      <tableStyleElement type="secondRowStripe" dxfId="287"/>
      <tableStyleElement type="firstColumnStripe" dxfId="286"/>
      <tableStyleElement type="secondColumnStripe" dxfId="285"/>
    </tableStyle>
    <tableStyle name="List 5" pivot="0" count="8" xr9:uid="{00000000-0011-0000-FFFF-FFFF05000000}">
      <tableStyleElement type="wholeTable" dxfId="284"/>
      <tableStyleElement type="headerRow" dxfId="283"/>
      <tableStyleElement type="totalRow" dxfId="282"/>
      <tableStyleElement type="lastColumn" dxfId="281"/>
      <tableStyleElement type="firstRowStripe" dxfId="280"/>
      <tableStyleElement type="secondRowStripe" dxfId="279"/>
      <tableStyleElement type="firstColumnStripe" dxfId="278"/>
      <tableStyleElement type="secondColumnStripe" dxfId="277"/>
    </tableStyle>
    <tableStyle name="List 6" pivot="0" count="8" xr9:uid="{00000000-0011-0000-FFFF-FFFF06000000}">
      <tableStyleElement type="wholeTable" dxfId="276"/>
      <tableStyleElement type="headerRow" dxfId="275"/>
      <tableStyleElement type="totalRow" dxfId="274"/>
      <tableStyleElement type="lastColumn" dxfId="273"/>
      <tableStyleElement type="firstRowStripe" dxfId="272"/>
      <tableStyleElement type="secondRowStripe" dxfId="271"/>
      <tableStyleElement type="firstColumnStripe" dxfId="270"/>
      <tableStyleElement type="secondColumnStripe" dxfId="269"/>
    </tableStyle>
    <tableStyle name="Table 0" pivot="0" count="7" xr9:uid="{00000000-0011-0000-FFFF-FFFF07000000}">
      <tableStyleElement type="wholeTable" dxfId="268"/>
      <tableStyleElement type="headerRow" dxfId="267"/>
      <tableStyleElement type="totalRow" dxfId="266"/>
      <tableStyleElement type="firstColumn" dxfId="265"/>
      <tableStyleElement type="lastColumn" dxfId="264"/>
      <tableStyleElement type="secondRowStripe" dxfId="263"/>
      <tableStyleElement type="secondColumnStripe" dxfId="262"/>
    </tableStyle>
    <tableStyle name="Table 1" pivot="0" count="7" xr9:uid="{00000000-0011-0000-FFFF-FFFF08000000}">
      <tableStyleElement type="wholeTable" dxfId="261"/>
      <tableStyleElement type="headerRow" dxfId="260"/>
      <tableStyleElement type="totalRow" dxfId="259"/>
      <tableStyleElement type="firstColumn" dxfId="258"/>
      <tableStyleElement type="lastColumn" dxfId="257"/>
      <tableStyleElement type="secondRowStripe" dxfId="256"/>
      <tableStyleElement type="secondColumnStripe" dxfId="255"/>
    </tableStyle>
    <tableStyle name="Table 2" pivot="0" count="7" xr9:uid="{00000000-0011-0000-FFFF-FFFF09000000}">
      <tableStyleElement type="wholeTable" dxfId="254"/>
      <tableStyleElement type="headerRow" dxfId="253"/>
      <tableStyleElement type="totalRow" dxfId="252"/>
      <tableStyleElement type="firstColumn" dxfId="251"/>
      <tableStyleElement type="lastColumn" dxfId="250"/>
      <tableStyleElement type="secondRowStripe" dxfId="249"/>
      <tableStyleElement type="secondColumnStripe" dxfId="248"/>
    </tableStyle>
    <tableStyle name="Table 3" pivot="0" count="7" xr9:uid="{00000000-0011-0000-FFFF-FFFF0A000000}">
      <tableStyleElement type="wholeTable" dxfId="247"/>
      <tableStyleElement type="headerRow" dxfId="246"/>
      <tableStyleElement type="totalRow" dxfId="245"/>
      <tableStyleElement type="firstColumn" dxfId="244"/>
      <tableStyleElement type="lastColumn" dxfId="243"/>
      <tableStyleElement type="secondRowStripe" dxfId="242"/>
      <tableStyleElement type="secondColumnStripe" dxfId="241"/>
    </tableStyle>
    <tableStyle name="Table 4" pivot="0" count="7" xr9:uid="{00000000-0011-0000-FFFF-FFFF0B000000}">
      <tableStyleElement type="wholeTable" dxfId="240"/>
      <tableStyleElement type="headerRow" dxfId="239"/>
      <tableStyleElement type="totalRow" dxfId="238"/>
      <tableStyleElement type="firstColumn" dxfId="237"/>
      <tableStyleElement type="lastColumn" dxfId="236"/>
      <tableStyleElement type="secondRowStripe" dxfId="235"/>
      <tableStyleElement type="secondColumnStripe" dxfId="234"/>
    </tableStyle>
    <tableStyle name="Table 5" pivot="0" count="7" xr9:uid="{00000000-0011-0000-FFFF-FFFF0C000000}">
      <tableStyleElement type="wholeTable" dxfId="233"/>
      <tableStyleElement type="headerRow" dxfId="232"/>
      <tableStyleElement type="totalRow" dxfId="231"/>
      <tableStyleElement type="firstColumn" dxfId="230"/>
      <tableStyleElement type="lastColumn" dxfId="229"/>
      <tableStyleElement type="secondRowStripe" dxfId="228"/>
      <tableStyleElement type="secondColumnStripe" dxfId="227"/>
    </tableStyle>
    <tableStyle name="Table 6" pivot="0" count="7" xr9:uid="{00000000-0011-0000-FFFF-FFFF0D000000}">
      <tableStyleElement type="wholeTable" dxfId="226"/>
      <tableStyleElement type="headerRow" dxfId="225"/>
      <tableStyleElement type="totalRow" dxfId="224"/>
      <tableStyleElement type="firstColumn" dxfId="223"/>
      <tableStyleElement type="lastColumn" dxfId="222"/>
      <tableStyleElement type="secondRowStripe" dxfId="221"/>
      <tableStyleElement type="secondColumnStripe" dxfId="220"/>
    </tableStyle>
    <tableStyle name="Table 7" pivot="0" count="7" xr9:uid="{6BE13D90-1AF0-4518-A1F1-60987CE17347}">
      <tableStyleElement type="wholeTable" dxfId="219"/>
      <tableStyleElement type="headerRow" dxfId="218"/>
      <tableStyleElement type="totalRow" dxfId="217"/>
      <tableStyleElement type="firstColumn" dxfId="216"/>
      <tableStyleElement type="lastColumn" dxfId="215"/>
      <tableStyleElement type="secondRowStripe" dxfId="214"/>
      <tableStyleElement type="secondColumnStripe" dxfId="213"/>
    </tableStyle>
  </tableStyles>
  <colors>
    <mruColors>
      <color rgb="FFFFC7CE"/>
      <color rgb="FF9C0006"/>
      <color rgb="FFD9D9D9"/>
      <color rgb="FF7F7F7F"/>
      <color rgb="FF3F3F76"/>
      <color rgb="FFBFBFBF"/>
      <color rgb="FF3F3F6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microsoft.com/office/2007/relationships/slicerCache" Target="slicerCaches/slicerCache4.xml"/><Relationship Id="rId26" Type="http://schemas.microsoft.com/office/2007/relationships/slicerCache" Target="slicerCaches/slicerCache12.xml"/><Relationship Id="rId39" Type="http://schemas.openxmlformats.org/officeDocument/2006/relationships/customXml" Target="../customXml/item4.xml"/><Relationship Id="rId21" Type="http://schemas.microsoft.com/office/2007/relationships/slicerCache" Target="slicerCaches/slicerCache7.xml"/><Relationship Id="rId34"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3.xml"/><Relationship Id="rId25" Type="http://schemas.microsoft.com/office/2007/relationships/slicerCache" Target="slicerCaches/slicerCache11.xml"/><Relationship Id="rId33" Type="http://schemas.microsoft.com/office/2017/06/relationships/rdRichValueStructure" Target="richData/rdrichvaluestructure.xml"/><Relationship Id="rId38" Type="http://schemas.openxmlformats.org/officeDocument/2006/relationships/customXml" Target="../customXml/item3.xml"/><Relationship Id="rId2" Type="http://schemas.openxmlformats.org/officeDocument/2006/relationships/worksheet" Target="worksheets/sheet2.xml"/><Relationship Id="rId16" Type="http://schemas.microsoft.com/office/2007/relationships/slicerCache" Target="slicerCaches/slicerCache2.xml"/><Relationship Id="rId20" Type="http://schemas.microsoft.com/office/2007/relationships/slicerCache" Target="slicerCaches/slicerCache6.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0.xml"/><Relationship Id="rId32" Type="http://schemas.microsoft.com/office/2017/06/relationships/rdRichValue" Target="richData/rdrichvalue.xml"/><Relationship Id="rId37" Type="http://schemas.openxmlformats.org/officeDocument/2006/relationships/customXml" Target="../customXml/item2.xml"/><Relationship Id="rId5" Type="http://schemas.openxmlformats.org/officeDocument/2006/relationships/worksheet" Target="worksheets/sheet5.xml"/><Relationship Id="rId15" Type="http://schemas.microsoft.com/office/2007/relationships/slicerCache" Target="slicerCaches/slicerCache1.xml"/><Relationship Id="rId23" Type="http://schemas.microsoft.com/office/2007/relationships/slicerCache" Target="slicerCaches/slicerCache9.xml"/><Relationship Id="rId28" Type="http://schemas.openxmlformats.org/officeDocument/2006/relationships/theme" Target="theme/theme1.xml"/><Relationship Id="rId36" Type="http://schemas.openxmlformats.org/officeDocument/2006/relationships/customXml" Target="../customXml/item1.xml"/><Relationship Id="rId10" Type="http://schemas.openxmlformats.org/officeDocument/2006/relationships/worksheet" Target="worksheets/sheet10.xml"/><Relationship Id="rId19" Type="http://schemas.microsoft.com/office/2007/relationships/slicerCache" Target="slicerCaches/slicerCache5.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8.xml"/><Relationship Id="rId27" Type="http://schemas.microsoft.com/office/2007/relationships/slicerCache" Target="slicerCaches/slicerCache13.xml"/><Relationship Id="rId30" Type="http://schemas.openxmlformats.org/officeDocument/2006/relationships/sharedStrings" Target="sharedStrings.xml"/><Relationship Id="rId35"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BeskrivendeStatistik!$DN$6</c:f>
          <c:strCache>
            <c:ptCount val="1"/>
            <c:pt idx="0">
              <c:v>Fraktildiagram med 6 intervaller
for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BeskrivendeStatistik!$DN$26</c:f>
              <c:strCache>
                <c:ptCount val="1"/>
                <c:pt idx="0">
                  <c:v>Fraktiler</c:v>
                </c:pt>
              </c:strCache>
            </c:strRef>
          </c:tx>
          <c:spPr>
            <a:solidFill>
              <a:schemeClr val="accent1"/>
            </a:solidFill>
            <a:ln>
              <a:noFill/>
            </a:ln>
            <a:effectLst/>
          </c:spPr>
          <c:invertIfNegative val="0"/>
          <c:cat>
            <c:strRef>
              <c:f>[0]!BxF</c:f>
              <c:strCache>
                <c:ptCount val="252"/>
                <c:pt idx="0">
                  <c:v>-1.5 (0%)</c:v>
                </c:pt>
                <c:pt idx="9">
                  <c:v>-0.9 (17%)</c:v>
                </c:pt>
                <c:pt idx="20">
                  <c:v>-0.3 (33%)</c:v>
                </c:pt>
                <c:pt idx="34">
                  <c:v>0.5 (50%)</c:v>
                </c:pt>
                <c:pt idx="49">
                  <c:v>1.3 (67%)</c:v>
                </c:pt>
                <c:pt idx="75">
                  <c:v>2.8 (83%)</c:v>
                </c:pt>
                <c:pt idx="251">
                  <c:v>13 (100%)</c:v>
                </c:pt>
              </c:strCache>
            </c:strRef>
          </c:cat>
          <c:val>
            <c:numRef>
              <c:f>[0]!ByF</c:f>
              <c:numCache>
                <c:formatCode>General</c:formatCode>
                <c:ptCount val="252"/>
                <c:pt idx="0">
                  <c:v>1.7350867949805218</c:v>
                </c:pt>
                <c:pt idx="1">
                  <c:v>1.7350867949805218</c:v>
                </c:pt>
                <c:pt idx="2">
                  <c:v>1.7350867949805218</c:v>
                </c:pt>
                <c:pt idx="3">
                  <c:v>1.7350867949805218</c:v>
                </c:pt>
                <c:pt idx="4">
                  <c:v>1.7350867949805218</c:v>
                </c:pt>
                <c:pt idx="5">
                  <c:v>1.7350867949805218</c:v>
                </c:pt>
                <c:pt idx="6">
                  <c:v>1.7350867949805218</c:v>
                </c:pt>
                <c:pt idx="7">
                  <c:v>1.7350867949805218</c:v>
                </c:pt>
                <c:pt idx="8">
                  <c:v>1.7350867949805218</c:v>
                </c:pt>
                <c:pt idx="9">
                  <c:v>1.4196164686204271</c:v>
                </c:pt>
                <c:pt idx="10">
                  <c:v>1.4196164686204271</c:v>
                </c:pt>
                <c:pt idx="11">
                  <c:v>1.4196164686204271</c:v>
                </c:pt>
                <c:pt idx="12">
                  <c:v>1.4196164686204271</c:v>
                </c:pt>
                <c:pt idx="13">
                  <c:v>1.4196164686204271</c:v>
                </c:pt>
                <c:pt idx="14">
                  <c:v>1.4196164686204271</c:v>
                </c:pt>
                <c:pt idx="15">
                  <c:v>1.4196164686204271</c:v>
                </c:pt>
                <c:pt idx="16">
                  <c:v>1.4196164686204271</c:v>
                </c:pt>
                <c:pt idx="17">
                  <c:v>1.4196164686204271</c:v>
                </c:pt>
                <c:pt idx="18">
                  <c:v>1.4196164686204271</c:v>
                </c:pt>
                <c:pt idx="19">
                  <c:v>1.4196164686204271</c:v>
                </c:pt>
                <c:pt idx="20">
                  <c:v>1.1154129396303354</c:v>
                </c:pt>
                <c:pt idx="21">
                  <c:v>1.1154129396303354</c:v>
                </c:pt>
                <c:pt idx="22">
                  <c:v>1.1154129396303354</c:v>
                </c:pt>
                <c:pt idx="23">
                  <c:v>1.1154129396303354</c:v>
                </c:pt>
                <c:pt idx="24">
                  <c:v>1.1154129396303354</c:v>
                </c:pt>
                <c:pt idx="25">
                  <c:v>1.1154129396303354</c:v>
                </c:pt>
                <c:pt idx="26">
                  <c:v>1.1154129396303354</c:v>
                </c:pt>
                <c:pt idx="27">
                  <c:v>1.1154129396303354</c:v>
                </c:pt>
                <c:pt idx="28">
                  <c:v>1.1154129396303354</c:v>
                </c:pt>
                <c:pt idx="29">
                  <c:v>1.1154129396303354</c:v>
                </c:pt>
                <c:pt idx="30">
                  <c:v>1.1154129396303354</c:v>
                </c:pt>
                <c:pt idx="31">
                  <c:v>1.1154129396303354</c:v>
                </c:pt>
                <c:pt idx="32">
                  <c:v>1.1154129396303354</c:v>
                </c:pt>
                <c:pt idx="33">
                  <c:v>1.1154129396303354</c:v>
                </c:pt>
                <c:pt idx="34">
                  <c:v>1.0410520769883131</c:v>
                </c:pt>
                <c:pt idx="35">
                  <c:v>1.0410520769883131</c:v>
                </c:pt>
                <c:pt idx="36">
                  <c:v>1.0410520769883131</c:v>
                </c:pt>
                <c:pt idx="37">
                  <c:v>1.0410520769883131</c:v>
                </c:pt>
                <c:pt idx="38">
                  <c:v>1.0410520769883131</c:v>
                </c:pt>
                <c:pt idx="39">
                  <c:v>1.0410520769883131</c:v>
                </c:pt>
                <c:pt idx="40">
                  <c:v>1.0410520769883131</c:v>
                </c:pt>
                <c:pt idx="41">
                  <c:v>1.0410520769883131</c:v>
                </c:pt>
                <c:pt idx="42">
                  <c:v>1.0410520769883131</c:v>
                </c:pt>
                <c:pt idx="43">
                  <c:v>1.0410520769883131</c:v>
                </c:pt>
                <c:pt idx="44">
                  <c:v>1.0410520769883131</c:v>
                </c:pt>
                <c:pt idx="45">
                  <c:v>1.0410520769883131</c:v>
                </c:pt>
                <c:pt idx="46">
                  <c:v>1.0410520769883131</c:v>
                </c:pt>
                <c:pt idx="47">
                  <c:v>1.0410520769883131</c:v>
                </c:pt>
                <c:pt idx="48">
                  <c:v>1.0410520769883131</c:v>
                </c:pt>
                <c:pt idx="49">
                  <c:v>0.60060696749325759</c:v>
                </c:pt>
                <c:pt idx="50">
                  <c:v>0.60060696749325759</c:v>
                </c:pt>
                <c:pt idx="51">
                  <c:v>0.60060696749325759</c:v>
                </c:pt>
                <c:pt idx="52">
                  <c:v>0.60060696749325759</c:v>
                </c:pt>
                <c:pt idx="53">
                  <c:v>0.60060696749325759</c:v>
                </c:pt>
                <c:pt idx="54">
                  <c:v>0.60060696749325759</c:v>
                </c:pt>
                <c:pt idx="55">
                  <c:v>0.60060696749325759</c:v>
                </c:pt>
                <c:pt idx="56">
                  <c:v>0.60060696749325759</c:v>
                </c:pt>
                <c:pt idx="57">
                  <c:v>0.60060696749325759</c:v>
                </c:pt>
                <c:pt idx="58">
                  <c:v>0.60060696749325759</c:v>
                </c:pt>
                <c:pt idx="59">
                  <c:v>0.60060696749325759</c:v>
                </c:pt>
                <c:pt idx="60">
                  <c:v>0.60060696749325759</c:v>
                </c:pt>
                <c:pt idx="61">
                  <c:v>0.60060696749325759</c:v>
                </c:pt>
                <c:pt idx="62">
                  <c:v>0.60060696749325759</c:v>
                </c:pt>
                <c:pt idx="63">
                  <c:v>0.60060696749325759</c:v>
                </c:pt>
                <c:pt idx="64">
                  <c:v>0.60060696749325759</c:v>
                </c:pt>
                <c:pt idx="65">
                  <c:v>0.60060696749325759</c:v>
                </c:pt>
                <c:pt idx="66">
                  <c:v>0.60060696749325759</c:v>
                </c:pt>
                <c:pt idx="67">
                  <c:v>0.60060696749325759</c:v>
                </c:pt>
                <c:pt idx="68">
                  <c:v>0.60060696749325759</c:v>
                </c:pt>
                <c:pt idx="69">
                  <c:v>0.60060696749325759</c:v>
                </c:pt>
                <c:pt idx="70">
                  <c:v>0.60060696749325759</c:v>
                </c:pt>
                <c:pt idx="71">
                  <c:v>0.60060696749325759</c:v>
                </c:pt>
                <c:pt idx="72">
                  <c:v>0.60060696749325759</c:v>
                </c:pt>
                <c:pt idx="73">
                  <c:v>0.60060696749325759</c:v>
                </c:pt>
                <c:pt idx="74">
                  <c:v>0.60060696749325759</c:v>
                </c:pt>
                <c:pt idx="75">
                  <c:v>8.8224752287145186E-2</c:v>
                </c:pt>
                <c:pt idx="76">
                  <c:v>8.8224752287145186E-2</c:v>
                </c:pt>
                <c:pt idx="77">
                  <c:v>8.8224752287145186E-2</c:v>
                </c:pt>
                <c:pt idx="78">
                  <c:v>8.8224752287145186E-2</c:v>
                </c:pt>
                <c:pt idx="79">
                  <c:v>8.8224752287145186E-2</c:v>
                </c:pt>
                <c:pt idx="80">
                  <c:v>8.8224752287145186E-2</c:v>
                </c:pt>
                <c:pt idx="81">
                  <c:v>8.8224752287145186E-2</c:v>
                </c:pt>
                <c:pt idx="82">
                  <c:v>8.8224752287145186E-2</c:v>
                </c:pt>
                <c:pt idx="83">
                  <c:v>8.8224752287145186E-2</c:v>
                </c:pt>
                <c:pt idx="84">
                  <c:v>8.8224752287145186E-2</c:v>
                </c:pt>
                <c:pt idx="85">
                  <c:v>8.8224752287145186E-2</c:v>
                </c:pt>
                <c:pt idx="86">
                  <c:v>8.8224752287145186E-2</c:v>
                </c:pt>
                <c:pt idx="87">
                  <c:v>8.8224752287145186E-2</c:v>
                </c:pt>
                <c:pt idx="88">
                  <c:v>8.8224752287145186E-2</c:v>
                </c:pt>
                <c:pt idx="89">
                  <c:v>8.8224752287145186E-2</c:v>
                </c:pt>
                <c:pt idx="90">
                  <c:v>8.8224752287145186E-2</c:v>
                </c:pt>
                <c:pt idx="91">
                  <c:v>8.8224752287145186E-2</c:v>
                </c:pt>
                <c:pt idx="92">
                  <c:v>8.8224752287145186E-2</c:v>
                </c:pt>
                <c:pt idx="93">
                  <c:v>8.8224752287145186E-2</c:v>
                </c:pt>
                <c:pt idx="94">
                  <c:v>8.8224752287145186E-2</c:v>
                </c:pt>
                <c:pt idx="95">
                  <c:v>8.8224752287145186E-2</c:v>
                </c:pt>
                <c:pt idx="96">
                  <c:v>8.8224752287145186E-2</c:v>
                </c:pt>
                <c:pt idx="97">
                  <c:v>8.8224752287145186E-2</c:v>
                </c:pt>
                <c:pt idx="98">
                  <c:v>8.8224752287145186E-2</c:v>
                </c:pt>
                <c:pt idx="99">
                  <c:v>8.8224752287145186E-2</c:v>
                </c:pt>
                <c:pt idx="100">
                  <c:v>8.8224752287145186E-2</c:v>
                </c:pt>
                <c:pt idx="101">
                  <c:v>8.8224752287145186E-2</c:v>
                </c:pt>
                <c:pt idx="102">
                  <c:v>8.8224752287145186E-2</c:v>
                </c:pt>
                <c:pt idx="103">
                  <c:v>8.8224752287145186E-2</c:v>
                </c:pt>
                <c:pt idx="104">
                  <c:v>8.8224752287145186E-2</c:v>
                </c:pt>
                <c:pt idx="105">
                  <c:v>8.8224752287145186E-2</c:v>
                </c:pt>
                <c:pt idx="106">
                  <c:v>8.8224752287145186E-2</c:v>
                </c:pt>
                <c:pt idx="107">
                  <c:v>8.8224752287145186E-2</c:v>
                </c:pt>
                <c:pt idx="108">
                  <c:v>8.8224752287145186E-2</c:v>
                </c:pt>
                <c:pt idx="109">
                  <c:v>8.8224752287145186E-2</c:v>
                </c:pt>
                <c:pt idx="110">
                  <c:v>8.8224752287145186E-2</c:v>
                </c:pt>
                <c:pt idx="111">
                  <c:v>8.8224752287145186E-2</c:v>
                </c:pt>
                <c:pt idx="112">
                  <c:v>8.8224752287145186E-2</c:v>
                </c:pt>
                <c:pt idx="113">
                  <c:v>8.8224752287145186E-2</c:v>
                </c:pt>
                <c:pt idx="114">
                  <c:v>8.8224752287145186E-2</c:v>
                </c:pt>
                <c:pt idx="115">
                  <c:v>8.8224752287145186E-2</c:v>
                </c:pt>
                <c:pt idx="116">
                  <c:v>8.8224752287145186E-2</c:v>
                </c:pt>
                <c:pt idx="117">
                  <c:v>8.8224752287145186E-2</c:v>
                </c:pt>
                <c:pt idx="118">
                  <c:v>8.8224752287145186E-2</c:v>
                </c:pt>
                <c:pt idx="119">
                  <c:v>8.8224752287145186E-2</c:v>
                </c:pt>
                <c:pt idx="120">
                  <c:v>8.8224752287145186E-2</c:v>
                </c:pt>
                <c:pt idx="121">
                  <c:v>8.8224752287145186E-2</c:v>
                </c:pt>
                <c:pt idx="122">
                  <c:v>8.8224752287145186E-2</c:v>
                </c:pt>
                <c:pt idx="123">
                  <c:v>8.8224752287145186E-2</c:v>
                </c:pt>
                <c:pt idx="124">
                  <c:v>8.8224752287145186E-2</c:v>
                </c:pt>
                <c:pt idx="125">
                  <c:v>8.8224752287145186E-2</c:v>
                </c:pt>
                <c:pt idx="126">
                  <c:v>8.8224752287145186E-2</c:v>
                </c:pt>
                <c:pt idx="127">
                  <c:v>8.8224752287145186E-2</c:v>
                </c:pt>
                <c:pt idx="128">
                  <c:v>8.8224752287145186E-2</c:v>
                </c:pt>
                <c:pt idx="129">
                  <c:v>8.8224752287145186E-2</c:v>
                </c:pt>
                <c:pt idx="130">
                  <c:v>8.8224752287145186E-2</c:v>
                </c:pt>
                <c:pt idx="131">
                  <c:v>8.8224752287145186E-2</c:v>
                </c:pt>
                <c:pt idx="132">
                  <c:v>8.8224752287145186E-2</c:v>
                </c:pt>
                <c:pt idx="133">
                  <c:v>8.8224752287145186E-2</c:v>
                </c:pt>
                <c:pt idx="134">
                  <c:v>8.8224752287145186E-2</c:v>
                </c:pt>
                <c:pt idx="135">
                  <c:v>8.8224752287145186E-2</c:v>
                </c:pt>
                <c:pt idx="136">
                  <c:v>8.8224752287145186E-2</c:v>
                </c:pt>
                <c:pt idx="137">
                  <c:v>8.8224752287145186E-2</c:v>
                </c:pt>
                <c:pt idx="138">
                  <c:v>8.8224752287145186E-2</c:v>
                </c:pt>
                <c:pt idx="139">
                  <c:v>8.8224752287145186E-2</c:v>
                </c:pt>
                <c:pt idx="140">
                  <c:v>8.8224752287145186E-2</c:v>
                </c:pt>
                <c:pt idx="141">
                  <c:v>8.8224752287145186E-2</c:v>
                </c:pt>
                <c:pt idx="142">
                  <c:v>8.8224752287145186E-2</c:v>
                </c:pt>
                <c:pt idx="143">
                  <c:v>8.8224752287145186E-2</c:v>
                </c:pt>
                <c:pt idx="144">
                  <c:v>8.8224752287145186E-2</c:v>
                </c:pt>
                <c:pt idx="145">
                  <c:v>8.8224752287145186E-2</c:v>
                </c:pt>
                <c:pt idx="146">
                  <c:v>8.8224752287145186E-2</c:v>
                </c:pt>
                <c:pt idx="147">
                  <c:v>8.8224752287145186E-2</c:v>
                </c:pt>
                <c:pt idx="148">
                  <c:v>8.8224752287145186E-2</c:v>
                </c:pt>
                <c:pt idx="149">
                  <c:v>8.8224752287145186E-2</c:v>
                </c:pt>
                <c:pt idx="150">
                  <c:v>8.8224752287145186E-2</c:v>
                </c:pt>
                <c:pt idx="151">
                  <c:v>8.8224752287145186E-2</c:v>
                </c:pt>
                <c:pt idx="152">
                  <c:v>8.8224752287145186E-2</c:v>
                </c:pt>
                <c:pt idx="153">
                  <c:v>8.8224752287145186E-2</c:v>
                </c:pt>
                <c:pt idx="154">
                  <c:v>8.8224752287145186E-2</c:v>
                </c:pt>
                <c:pt idx="155">
                  <c:v>8.8224752287145186E-2</c:v>
                </c:pt>
                <c:pt idx="156">
                  <c:v>8.8224752287145186E-2</c:v>
                </c:pt>
                <c:pt idx="157">
                  <c:v>8.8224752287145186E-2</c:v>
                </c:pt>
                <c:pt idx="158">
                  <c:v>8.8224752287145186E-2</c:v>
                </c:pt>
                <c:pt idx="159">
                  <c:v>8.8224752287145186E-2</c:v>
                </c:pt>
                <c:pt idx="160">
                  <c:v>8.8224752287145186E-2</c:v>
                </c:pt>
                <c:pt idx="161">
                  <c:v>8.8224752287145186E-2</c:v>
                </c:pt>
                <c:pt idx="162">
                  <c:v>8.8224752287145186E-2</c:v>
                </c:pt>
                <c:pt idx="163">
                  <c:v>8.8224752287145186E-2</c:v>
                </c:pt>
                <c:pt idx="164">
                  <c:v>8.8224752287145186E-2</c:v>
                </c:pt>
                <c:pt idx="165">
                  <c:v>8.8224752287145186E-2</c:v>
                </c:pt>
                <c:pt idx="166">
                  <c:v>8.8224752287145186E-2</c:v>
                </c:pt>
                <c:pt idx="167">
                  <c:v>8.8224752287145186E-2</c:v>
                </c:pt>
                <c:pt idx="168">
                  <c:v>8.8224752287145186E-2</c:v>
                </c:pt>
                <c:pt idx="169">
                  <c:v>8.8224752287145186E-2</c:v>
                </c:pt>
                <c:pt idx="170">
                  <c:v>8.8224752287145186E-2</c:v>
                </c:pt>
                <c:pt idx="171">
                  <c:v>8.8224752287145186E-2</c:v>
                </c:pt>
                <c:pt idx="172">
                  <c:v>8.8224752287145186E-2</c:v>
                </c:pt>
                <c:pt idx="173">
                  <c:v>8.8224752287145186E-2</c:v>
                </c:pt>
                <c:pt idx="174">
                  <c:v>8.8224752287145186E-2</c:v>
                </c:pt>
                <c:pt idx="175">
                  <c:v>8.8224752287145186E-2</c:v>
                </c:pt>
                <c:pt idx="176">
                  <c:v>8.8224752287145186E-2</c:v>
                </c:pt>
                <c:pt idx="177">
                  <c:v>8.8224752287145186E-2</c:v>
                </c:pt>
                <c:pt idx="178">
                  <c:v>8.8224752287145186E-2</c:v>
                </c:pt>
                <c:pt idx="179">
                  <c:v>8.8224752287145186E-2</c:v>
                </c:pt>
                <c:pt idx="180">
                  <c:v>8.8224752287145186E-2</c:v>
                </c:pt>
                <c:pt idx="181">
                  <c:v>8.8224752287145186E-2</c:v>
                </c:pt>
                <c:pt idx="182">
                  <c:v>8.8224752287145186E-2</c:v>
                </c:pt>
                <c:pt idx="183">
                  <c:v>8.8224752287145186E-2</c:v>
                </c:pt>
                <c:pt idx="184">
                  <c:v>8.8224752287145186E-2</c:v>
                </c:pt>
                <c:pt idx="185">
                  <c:v>8.8224752287145186E-2</c:v>
                </c:pt>
                <c:pt idx="186">
                  <c:v>8.8224752287145186E-2</c:v>
                </c:pt>
                <c:pt idx="187">
                  <c:v>8.8224752287145186E-2</c:v>
                </c:pt>
                <c:pt idx="188">
                  <c:v>8.8224752287145186E-2</c:v>
                </c:pt>
                <c:pt idx="189">
                  <c:v>8.8224752287145186E-2</c:v>
                </c:pt>
                <c:pt idx="190">
                  <c:v>8.8224752287145186E-2</c:v>
                </c:pt>
                <c:pt idx="191">
                  <c:v>8.8224752287145186E-2</c:v>
                </c:pt>
                <c:pt idx="192">
                  <c:v>8.8224752287145186E-2</c:v>
                </c:pt>
                <c:pt idx="193">
                  <c:v>8.8224752287145186E-2</c:v>
                </c:pt>
                <c:pt idx="194">
                  <c:v>8.8224752287145186E-2</c:v>
                </c:pt>
                <c:pt idx="195">
                  <c:v>8.8224752287145186E-2</c:v>
                </c:pt>
                <c:pt idx="196">
                  <c:v>8.8224752287145186E-2</c:v>
                </c:pt>
                <c:pt idx="197">
                  <c:v>8.8224752287145186E-2</c:v>
                </c:pt>
                <c:pt idx="198">
                  <c:v>8.8224752287145186E-2</c:v>
                </c:pt>
                <c:pt idx="199">
                  <c:v>8.8224752287145186E-2</c:v>
                </c:pt>
                <c:pt idx="200">
                  <c:v>8.8224752287145186E-2</c:v>
                </c:pt>
                <c:pt idx="201">
                  <c:v>8.8224752287145186E-2</c:v>
                </c:pt>
                <c:pt idx="202">
                  <c:v>8.8224752287145186E-2</c:v>
                </c:pt>
                <c:pt idx="203">
                  <c:v>8.8224752287145186E-2</c:v>
                </c:pt>
                <c:pt idx="204">
                  <c:v>8.8224752287145186E-2</c:v>
                </c:pt>
                <c:pt idx="205">
                  <c:v>8.8224752287145186E-2</c:v>
                </c:pt>
                <c:pt idx="206">
                  <c:v>8.8224752287145186E-2</c:v>
                </c:pt>
                <c:pt idx="207">
                  <c:v>8.8224752287145186E-2</c:v>
                </c:pt>
                <c:pt idx="208">
                  <c:v>8.8224752287145186E-2</c:v>
                </c:pt>
                <c:pt idx="209">
                  <c:v>8.8224752287145186E-2</c:v>
                </c:pt>
                <c:pt idx="210">
                  <c:v>8.8224752287145186E-2</c:v>
                </c:pt>
                <c:pt idx="211">
                  <c:v>8.8224752287145186E-2</c:v>
                </c:pt>
                <c:pt idx="212">
                  <c:v>8.8224752287145186E-2</c:v>
                </c:pt>
                <c:pt idx="213">
                  <c:v>8.8224752287145186E-2</c:v>
                </c:pt>
                <c:pt idx="214">
                  <c:v>8.8224752287145186E-2</c:v>
                </c:pt>
                <c:pt idx="215">
                  <c:v>8.8224752287145186E-2</c:v>
                </c:pt>
                <c:pt idx="216">
                  <c:v>8.8224752287145186E-2</c:v>
                </c:pt>
                <c:pt idx="217">
                  <c:v>8.8224752287145186E-2</c:v>
                </c:pt>
                <c:pt idx="218">
                  <c:v>8.8224752287145186E-2</c:v>
                </c:pt>
                <c:pt idx="219">
                  <c:v>8.8224752287145186E-2</c:v>
                </c:pt>
                <c:pt idx="220">
                  <c:v>8.8224752287145186E-2</c:v>
                </c:pt>
                <c:pt idx="221">
                  <c:v>8.8224752287145186E-2</c:v>
                </c:pt>
                <c:pt idx="222">
                  <c:v>8.8224752287145186E-2</c:v>
                </c:pt>
                <c:pt idx="223">
                  <c:v>8.8224752287145186E-2</c:v>
                </c:pt>
                <c:pt idx="224">
                  <c:v>8.8224752287145186E-2</c:v>
                </c:pt>
                <c:pt idx="225">
                  <c:v>8.8224752287145186E-2</c:v>
                </c:pt>
                <c:pt idx="226">
                  <c:v>8.8224752287145186E-2</c:v>
                </c:pt>
                <c:pt idx="227">
                  <c:v>8.8224752287145186E-2</c:v>
                </c:pt>
                <c:pt idx="228">
                  <c:v>8.8224752287145186E-2</c:v>
                </c:pt>
                <c:pt idx="229">
                  <c:v>8.8224752287145186E-2</c:v>
                </c:pt>
                <c:pt idx="230">
                  <c:v>8.8224752287145186E-2</c:v>
                </c:pt>
                <c:pt idx="231">
                  <c:v>8.8224752287145186E-2</c:v>
                </c:pt>
                <c:pt idx="232">
                  <c:v>8.8224752287145186E-2</c:v>
                </c:pt>
                <c:pt idx="233">
                  <c:v>8.8224752287145186E-2</c:v>
                </c:pt>
                <c:pt idx="234">
                  <c:v>8.8224752287145186E-2</c:v>
                </c:pt>
                <c:pt idx="235">
                  <c:v>8.8224752287145186E-2</c:v>
                </c:pt>
                <c:pt idx="236">
                  <c:v>8.8224752287145186E-2</c:v>
                </c:pt>
                <c:pt idx="237">
                  <c:v>8.8224752287145186E-2</c:v>
                </c:pt>
                <c:pt idx="238">
                  <c:v>8.8224752287145186E-2</c:v>
                </c:pt>
                <c:pt idx="239">
                  <c:v>8.8224752287145186E-2</c:v>
                </c:pt>
                <c:pt idx="240">
                  <c:v>8.8224752287145186E-2</c:v>
                </c:pt>
                <c:pt idx="241">
                  <c:v>8.8224752287145186E-2</c:v>
                </c:pt>
                <c:pt idx="242">
                  <c:v>8.8224752287145186E-2</c:v>
                </c:pt>
                <c:pt idx="243">
                  <c:v>8.8224752287145186E-2</c:v>
                </c:pt>
                <c:pt idx="244">
                  <c:v>8.8224752287145186E-2</c:v>
                </c:pt>
                <c:pt idx="245">
                  <c:v>8.8224752287145186E-2</c:v>
                </c:pt>
                <c:pt idx="246">
                  <c:v>8.8224752287145186E-2</c:v>
                </c:pt>
                <c:pt idx="247">
                  <c:v>8.8224752287145186E-2</c:v>
                </c:pt>
                <c:pt idx="248">
                  <c:v>8.8224752287145186E-2</c:v>
                </c:pt>
                <c:pt idx="249">
                  <c:v>8.8224752287145186E-2</c:v>
                </c:pt>
                <c:pt idx="250">
                  <c:v>8.8224752287145186E-2</c:v>
                </c:pt>
                <c:pt idx="251">
                  <c:v>8.8224752287145186E-2</c:v>
                </c:pt>
              </c:numCache>
            </c:numRef>
          </c:val>
          <c:extLst>
            <c:ext xmlns:c16="http://schemas.microsoft.com/office/drawing/2014/chart" uri="{C3380CC4-5D6E-409C-BE32-E72D297353CC}">
              <c16:uniqueId val="{00000000-B967-43BA-A2FC-788A7AA5873F}"/>
            </c:ext>
          </c:extLst>
        </c:ser>
        <c:dLbls>
          <c:showLegendKey val="0"/>
          <c:showVal val="0"/>
          <c:showCatName val="0"/>
          <c:showSerName val="0"/>
          <c:showPercent val="0"/>
          <c:showBubbleSize val="0"/>
        </c:dLbls>
        <c:gapWidth val="0"/>
        <c:overlap val="100"/>
        <c:axId val="29358096"/>
        <c:axId val="457071392"/>
      </c:barChart>
      <c:catAx>
        <c:axId val="29358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57071392"/>
        <c:crosses val="autoZero"/>
        <c:auto val="1"/>
        <c:lblAlgn val="ctr"/>
        <c:lblOffset val="100"/>
        <c:noMultiLvlLbl val="0"/>
      </c:catAx>
      <c:valAx>
        <c:axId val="457071392"/>
        <c:scaling>
          <c:orientation val="minMax"/>
        </c:scaling>
        <c:delete val="1"/>
        <c:axPos val="l"/>
        <c:numFmt formatCode="General" sourceLinked="1"/>
        <c:majorTickMark val="out"/>
        <c:minorTickMark val="none"/>
        <c:tickLblPos val="nextTo"/>
        <c:crossAx val="29358096"/>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BeskrivendeStatistik!$DD$6</c:f>
          <c:strCache>
            <c:ptCount val="1"/>
            <c:pt idx="0">
              <c:v>Boksplot af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0"/>
          <c:order val="0"/>
          <c:tx>
            <c:strRef>
              <c:f>BeskrivendeStatistik!$DD$8</c:f>
              <c:strCache>
                <c:ptCount val="1"/>
                <c:pt idx="0">
                  <c:v>Outlier</c:v>
                </c:pt>
              </c:strCache>
            </c:strRef>
          </c:tx>
          <c:spPr>
            <a:ln w="28575" cap="rnd">
              <a:noFill/>
              <a:round/>
            </a:ln>
            <a:effectLst/>
          </c:spPr>
          <c:marker>
            <c:symbol val="circle"/>
            <c:size val="7"/>
            <c:spPr>
              <a:solidFill>
                <a:schemeClr val="accent1">
                  <a:alpha val="70000"/>
                </a:schemeClr>
              </a:solidFill>
              <a:ln w="9525">
                <a:noFill/>
              </a:ln>
              <a:effectLst/>
            </c:spPr>
          </c:marker>
          <c:xVal>
            <c:numRef>
              <c:f>[0]!Bo</c:f>
              <c:numCache>
                <c:formatCode>General</c:formatCode>
                <c:ptCount val="2"/>
                <c:pt idx="0">
                  <c:v>8</c:v>
                </c:pt>
                <c:pt idx="1">
                  <c:v>13</c:v>
                </c:pt>
              </c:numCache>
            </c:numRef>
          </c:xVal>
          <c:yVal>
            <c:numRef>
              <c:f>[0]!BoY</c:f>
              <c:numCache>
                <c:formatCode>General</c:formatCode>
                <c:ptCount val="2"/>
                <c:pt idx="0">
                  <c:v>0</c:v>
                </c:pt>
                <c:pt idx="1">
                  <c:v>0</c:v>
                </c:pt>
              </c:numCache>
            </c:numRef>
          </c:yVal>
          <c:smooth val="0"/>
          <c:extLst>
            <c:ext xmlns:c16="http://schemas.microsoft.com/office/drawing/2014/chart" uri="{C3380CC4-5D6E-409C-BE32-E72D297353CC}">
              <c16:uniqueId val="{00000000-8A21-4F7B-B762-E5F372A3DC4B}"/>
            </c:ext>
          </c:extLst>
        </c:ser>
        <c:ser>
          <c:idx val="2"/>
          <c:order val="1"/>
          <c:tx>
            <c:strRef>
              <c:f>BeskrivendeStatistik!$DD$10</c:f>
              <c:strCache>
                <c:ptCount val="1"/>
                <c:pt idx="0">
                  <c:v>Boksplot</c:v>
                </c:pt>
              </c:strCache>
            </c:strRef>
          </c:tx>
          <c:spPr>
            <a:ln w="28575" cap="rnd">
              <a:solidFill>
                <a:schemeClr val="accent3"/>
              </a:solidFill>
              <a:round/>
            </a:ln>
            <a:effectLst/>
          </c:spPr>
          <c:marker>
            <c:symbol val="none"/>
          </c:marker>
          <c:xVal>
            <c:numRef>
              <c:f>BeskrivendeStatistik!$DE$6:$DE$19</c:f>
              <c:numCache>
                <c:formatCode>General</c:formatCode>
                <c:ptCount val="14"/>
                <c:pt idx="0">
                  <c:v>-1.479592604535932</c:v>
                </c:pt>
                <c:pt idx="1">
                  <c:v>-1.479592604535932</c:v>
                </c:pt>
                <c:pt idx="2">
                  <c:v>-1.479592604535932</c:v>
                </c:pt>
                <c:pt idx="3">
                  <c:v>-0.77564154305867694</c:v>
                </c:pt>
                <c:pt idx="4">
                  <c:v>-0.77564154305867694</c:v>
                </c:pt>
                <c:pt idx="5">
                  <c:v>1.7034016755912118</c:v>
                </c:pt>
                <c:pt idx="6">
                  <c:v>1.7034016755912118</c:v>
                </c:pt>
                <c:pt idx="7">
                  <c:v>-0.77564154305867694</c:v>
                </c:pt>
                <c:pt idx="8">
                  <c:v>-0.77564154305867694</c:v>
                </c:pt>
                <c:pt idx="9">
                  <c:v>1.7034016755912118</c:v>
                </c:pt>
                <c:pt idx="10">
                  <c:v>1.7034016755912118</c:v>
                </c:pt>
                <c:pt idx="11">
                  <c:v>1.8110756828005981</c:v>
                </c:pt>
                <c:pt idx="12">
                  <c:v>1.8110756828005981</c:v>
                </c:pt>
                <c:pt idx="13">
                  <c:v>1.8110756828005981</c:v>
                </c:pt>
              </c:numCache>
            </c:numRef>
          </c:xVal>
          <c:yVal>
            <c:numRef>
              <c:f>BeskrivendeStatistik!$DF$6:$DF$19</c:f>
              <c:numCache>
                <c:formatCode>General</c:formatCode>
                <c:ptCount val="14"/>
                <c:pt idx="0">
                  <c:v>-1</c:v>
                </c:pt>
                <c:pt idx="1">
                  <c:v>1</c:v>
                </c:pt>
                <c:pt idx="2">
                  <c:v>0</c:v>
                </c:pt>
                <c:pt idx="3">
                  <c:v>0</c:v>
                </c:pt>
                <c:pt idx="4">
                  <c:v>-1</c:v>
                </c:pt>
                <c:pt idx="5">
                  <c:v>-1</c:v>
                </c:pt>
                <c:pt idx="6">
                  <c:v>1</c:v>
                </c:pt>
                <c:pt idx="7">
                  <c:v>1</c:v>
                </c:pt>
                <c:pt idx="8">
                  <c:v>-1</c:v>
                </c:pt>
                <c:pt idx="9">
                  <c:v>-1</c:v>
                </c:pt>
                <c:pt idx="10">
                  <c:v>0</c:v>
                </c:pt>
                <c:pt idx="11">
                  <c:v>0</c:v>
                </c:pt>
                <c:pt idx="12">
                  <c:v>-1</c:v>
                </c:pt>
                <c:pt idx="13">
                  <c:v>1</c:v>
                </c:pt>
              </c:numCache>
            </c:numRef>
          </c:yVal>
          <c:smooth val="0"/>
          <c:extLst>
            <c:ext xmlns:c16="http://schemas.microsoft.com/office/drawing/2014/chart" uri="{C3380CC4-5D6E-409C-BE32-E72D297353CC}">
              <c16:uniqueId val="{00000001-8A21-4F7B-B762-E5F372A3DC4B}"/>
            </c:ext>
          </c:extLst>
        </c:ser>
        <c:ser>
          <c:idx val="1"/>
          <c:order val="2"/>
          <c:tx>
            <c:strRef>
              <c:f>BeskrivendeStatistik!$DD$12</c:f>
              <c:strCache>
                <c:ptCount val="1"/>
                <c:pt idx="0">
                  <c:v>Median</c:v>
                </c:pt>
              </c:strCache>
            </c:strRef>
          </c:tx>
          <c:spPr>
            <a:ln w="28575" cap="rnd">
              <a:solidFill>
                <a:schemeClr val="accent2"/>
              </a:solidFill>
              <a:round/>
            </a:ln>
            <a:effectLst/>
          </c:spPr>
          <c:marker>
            <c:symbol val="none"/>
          </c:marker>
          <c:xVal>
            <c:numRef>
              <c:f>BeskrivendeStatistik!$DE$21:$DE$22</c:f>
              <c:numCache>
                <c:formatCode>General</c:formatCode>
                <c:ptCount val="2"/>
                <c:pt idx="0">
                  <c:v>0.49925963399512074</c:v>
                </c:pt>
                <c:pt idx="1">
                  <c:v>0.49925963399512074</c:v>
                </c:pt>
              </c:numCache>
            </c:numRef>
          </c:xVal>
          <c:yVal>
            <c:numRef>
              <c:f>BeskrivendeStatistik!$DF$21:$DF$22</c:f>
              <c:numCache>
                <c:formatCode>General</c:formatCode>
                <c:ptCount val="2"/>
                <c:pt idx="0">
                  <c:v>-1</c:v>
                </c:pt>
                <c:pt idx="1">
                  <c:v>1</c:v>
                </c:pt>
              </c:numCache>
            </c:numRef>
          </c:yVal>
          <c:smooth val="0"/>
          <c:extLst>
            <c:ext xmlns:c16="http://schemas.microsoft.com/office/drawing/2014/chart" uri="{C3380CC4-5D6E-409C-BE32-E72D297353CC}">
              <c16:uniqueId val="{00000002-8A21-4F7B-B762-E5F372A3DC4B}"/>
            </c:ext>
          </c:extLst>
        </c:ser>
        <c:dLbls>
          <c:showLegendKey val="0"/>
          <c:showVal val="0"/>
          <c:showCatName val="0"/>
          <c:showSerName val="0"/>
          <c:showPercent val="0"/>
          <c:showBubbleSize val="0"/>
        </c:dLbls>
        <c:axId val="31931263"/>
        <c:axId val="247937903"/>
      </c:scatterChart>
      <c:valAx>
        <c:axId val="247937903"/>
        <c:scaling>
          <c:orientation val="minMax"/>
          <c:max val="1.5"/>
          <c:min val="-1.5"/>
        </c:scaling>
        <c:delete val="1"/>
        <c:axPos val="l"/>
        <c:numFmt formatCode="General" sourceLinked="1"/>
        <c:majorTickMark val="out"/>
        <c:minorTickMark val="none"/>
        <c:tickLblPos val="nextTo"/>
        <c:crossAx val="31931263"/>
        <c:crosses val="autoZero"/>
        <c:crossBetween val="midCat"/>
      </c:valAx>
      <c:valAx>
        <c:axId val="31931263"/>
        <c:scaling>
          <c:orientation val="minMax"/>
        </c:scaling>
        <c:delete val="0"/>
        <c:axPos val="b"/>
        <c:numFmt formatCode="General" sourceLinked="1"/>
        <c:majorTickMark val="none"/>
        <c:minorTickMark val="none"/>
        <c:tickLblPos val="nextTo"/>
        <c:spPr>
          <a:noFill/>
          <a:ln>
            <a:solidFill>
              <a:srgbClr val="D9D9D9"/>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7937903"/>
        <c:crossesAt val="-1.5"/>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BeskrivendeStatistik!$CL$6</c:f>
          <c:strCache>
            <c:ptCount val="1"/>
            <c:pt idx="0">
              <c:v>Kvartilsæt for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BeskrivendeStatistik!$CL$8</c:f>
              <c:strCache>
                <c:ptCount val="1"/>
                <c:pt idx="0">
                  <c:v>1. kvartil</c:v>
                </c:pt>
              </c:strCache>
            </c:strRef>
          </c:tx>
          <c:spPr>
            <a:solidFill>
              <a:schemeClr val="accent1"/>
            </a:solidFill>
            <a:ln>
              <a:noFill/>
            </a:ln>
            <a:effectLst/>
          </c:spPr>
          <c:invertIfNegative val="0"/>
          <c:cat>
            <c:strRef>
              <c:f>[0]!BxK</c:f>
              <c:strCache>
                <c:ptCount val="5000"/>
                <c:pt idx="0">
                  <c:v>-1.48</c:v>
                </c:pt>
                <c:pt idx="243">
                  <c:v>-0.776</c:v>
                </c:pt>
                <c:pt idx="683">
                  <c:v>0.499</c:v>
                </c:pt>
                <c:pt idx="1099">
                  <c:v>1.703</c:v>
                </c:pt>
                <c:pt idx="4999">
                  <c:v>13</c:v>
                </c:pt>
              </c:strCache>
            </c:strRef>
          </c:cat>
          <c:val>
            <c:numRef>
              <c:f>[0]!Bk_1</c:f>
              <c:numCache>
                <c:formatCode>General</c:formatCode>
                <c:ptCount val="5000"/>
                <c:pt idx="0">
                  <c:v>1.8192576091040986</c:v>
                </c:pt>
                <c:pt idx="1">
                  <c:v>1.8192576091040986</c:v>
                </c:pt>
                <c:pt idx="2">
                  <c:v>1.8192576091040986</c:v>
                </c:pt>
                <c:pt idx="3">
                  <c:v>1.8192576091040986</c:v>
                </c:pt>
                <c:pt idx="4">
                  <c:v>1.8192576091040986</c:v>
                </c:pt>
                <c:pt idx="5">
                  <c:v>1.8192576091040986</c:v>
                </c:pt>
                <c:pt idx="6">
                  <c:v>1.8192576091040986</c:v>
                </c:pt>
                <c:pt idx="7">
                  <c:v>1.8192576091040986</c:v>
                </c:pt>
                <c:pt idx="8">
                  <c:v>1.8192576091040986</c:v>
                </c:pt>
                <c:pt idx="9">
                  <c:v>1.8192576091040986</c:v>
                </c:pt>
                <c:pt idx="10">
                  <c:v>1.8192576091040986</c:v>
                </c:pt>
                <c:pt idx="11">
                  <c:v>1.8192576091040986</c:v>
                </c:pt>
                <c:pt idx="12">
                  <c:v>1.8192576091040986</c:v>
                </c:pt>
                <c:pt idx="13">
                  <c:v>1.8192576091040986</c:v>
                </c:pt>
                <c:pt idx="14">
                  <c:v>1.8192576091040986</c:v>
                </c:pt>
                <c:pt idx="15">
                  <c:v>1.8192576091040986</c:v>
                </c:pt>
                <c:pt idx="16">
                  <c:v>1.8192576091040986</c:v>
                </c:pt>
                <c:pt idx="17">
                  <c:v>1.8192576091040986</c:v>
                </c:pt>
                <c:pt idx="18">
                  <c:v>1.8192576091040986</c:v>
                </c:pt>
                <c:pt idx="19">
                  <c:v>1.8192576091040986</c:v>
                </c:pt>
                <c:pt idx="20">
                  <c:v>1.8192576091040986</c:v>
                </c:pt>
                <c:pt idx="21">
                  <c:v>1.8192576091040986</c:v>
                </c:pt>
                <c:pt idx="22">
                  <c:v>1.8192576091040986</c:v>
                </c:pt>
                <c:pt idx="23">
                  <c:v>1.8192576091040986</c:v>
                </c:pt>
                <c:pt idx="24">
                  <c:v>1.8192576091040986</c:v>
                </c:pt>
                <c:pt idx="25">
                  <c:v>1.8192576091040986</c:v>
                </c:pt>
                <c:pt idx="26">
                  <c:v>1.8192576091040986</c:v>
                </c:pt>
                <c:pt idx="27">
                  <c:v>1.8192576091040986</c:v>
                </c:pt>
                <c:pt idx="28">
                  <c:v>1.8192576091040986</c:v>
                </c:pt>
                <c:pt idx="29">
                  <c:v>1.8192576091040986</c:v>
                </c:pt>
                <c:pt idx="30">
                  <c:v>1.8192576091040986</c:v>
                </c:pt>
                <c:pt idx="31">
                  <c:v>1.8192576091040986</c:v>
                </c:pt>
                <c:pt idx="32">
                  <c:v>1.8192576091040986</c:v>
                </c:pt>
                <c:pt idx="33">
                  <c:v>1.8192576091040986</c:v>
                </c:pt>
                <c:pt idx="34">
                  <c:v>1.8192576091040986</c:v>
                </c:pt>
                <c:pt idx="35">
                  <c:v>1.8192576091040986</c:v>
                </c:pt>
                <c:pt idx="36">
                  <c:v>1.8192576091040986</c:v>
                </c:pt>
                <c:pt idx="37">
                  <c:v>1.8192576091040986</c:v>
                </c:pt>
                <c:pt idx="38">
                  <c:v>1.8192576091040986</c:v>
                </c:pt>
                <c:pt idx="39">
                  <c:v>1.8192576091040986</c:v>
                </c:pt>
                <c:pt idx="40">
                  <c:v>1.8192576091040986</c:v>
                </c:pt>
                <c:pt idx="41">
                  <c:v>1.8192576091040986</c:v>
                </c:pt>
                <c:pt idx="42">
                  <c:v>1.8192576091040986</c:v>
                </c:pt>
                <c:pt idx="43">
                  <c:v>1.8192576091040986</c:v>
                </c:pt>
                <c:pt idx="44">
                  <c:v>1.8192576091040986</c:v>
                </c:pt>
                <c:pt idx="45">
                  <c:v>1.8192576091040986</c:v>
                </c:pt>
                <c:pt idx="46">
                  <c:v>1.8192576091040986</c:v>
                </c:pt>
                <c:pt idx="47">
                  <c:v>1.8192576091040986</c:v>
                </c:pt>
                <c:pt idx="48">
                  <c:v>1.8192576091040986</c:v>
                </c:pt>
                <c:pt idx="49">
                  <c:v>1.8192576091040986</c:v>
                </c:pt>
                <c:pt idx="50">
                  <c:v>1.8192576091040986</c:v>
                </c:pt>
                <c:pt idx="51">
                  <c:v>1.8192576091040986</c:v>
                </c:pt>
                <c:pt idx="52">
                  <c:v>1.8192576091040986</c:v>
                </c:pt>
                <c:pt idx="53">
                  <c:v>1.8192576091040986</c:v>
                </c:pt>
                <c:pt idx="54">
                  <c:v>1.8192576091040986</c:v>
                </c:pt>
                <c:pt idx="55">
                  <c:v>1.8192576091040986</c:v>
                </c:pt>
                <c:pt idx="56">
                  <c:v>1.8192576091040986</c:v>
                </c:pt>
                <c:pt idx="57">
                  <c:v>1.8192576091040986</c:v>
                </c:pt>
                <c:pt idx="58">
                  <c:v>1.8192576091040986</c:v>
                </c:pt>
                <c:pt idx="59">
                  <c:v>1.8192576091040986</c:v>
                </c:pt>
                <c:pt idx="60">
                  <c:v>1.8192576091040986</c:v>
                </c:pt>
                <c:pt idx="61">
                  <c:v>1.8192576091040986</c:v>
                </c:pt>
                <c:pt idx="62">
                  <c:v>1.8192576091040986</c:v>
                </c:pt>
                <c:pt idx="63">
                  <c:v>1.8192576091040986</c:v>
                </c:pt>
                <c:pt idx="64">
                  <c:v>1.8192576091040986</c:v>
                </c:pt>
                <c:pt idx="65">
                  <c:v>1.8192576091040986</c:v>
                </c:pt>
                <c:pt idx="66">
                  <c:v>1.8192576091040986</c:v>
                </c:pt>
                <c:pt idx="67">
                  <c:v>1.8192576091040986</c:v>
                </c:pt>
                <c:pt idx="68">
                  <c:v>1.8192576091040986</c:v>
                </c:pt>
                <c:pt idx="69">
                  <c:v>1.8192576091040986</c:v>
                </c:pt>
                <c:pt idx="70">
                  <c:v>1.8192576091040986</c:v>
                </c:pt>
                <c:pt idx="71">
                  <c:v>1.8192576091040986</c:v>
                </c:pt>
                <c:pt idx="72">
                  <c:v>1.8192576091040986</c:v>
                </c:pt>
                <c:pt idx="73">
                  <c:v>1.8192576091040986</c:v>
                </c:pt>
                <c:pt idx="74">
                  <c:v>1.8192576091040986</c:v>
                </c:pt>
                <c:pt idx="75">
                  <c:v>1.8192576091040986</c:v>
                </c:pt>
                <c:pt idx="76">
                  <c:v>1.8192576091040986</c:v>
                </c:pt>
                <c:pt idx="77">
                  <c:v>1.8192576091040986</c:v>
                </c:pt>
                <c:pt idx="78">
                  <c:v>1.8192576091040986</c:v>
                </c:pt>
                <c:pt idx="79">
                  <c:v>1.8192576091040986</c:v>
                </c:pt>
                <c:pt idx="80">
                  <c:v>1.8192576091040986</c:v>
                </c:pt>
                <c:pt idx="81">
                  <c:v>1.8192576091040986</c:v>
                </c:pt>
                <c:pt idx="82">
                  <c:v>1.8192576091040986</c:v>
                </c:pt>
                <c:pt idx="83">
                  <c:v>1.8192576091040986</c:v>
                </c:pt>
                <c:pt idx="84">
                  <c:v>1.8192576091040986</c:v>
                </c:pt>
                <c:pt idx="85">
                  <c:v>1.8192576091040986</c:v>
                </c:pt>
                <c:pt idx="86">
                  <c:v>1.8192576091040986</c:v>
                </c:pt>
                <c:pt idx="87">
                  <c:v>1.8192576091040986</c:v>
                </c:pt>
                <c:pt idx="88">
                  <c:v>1.8192576091040986</c:v>
                </c:pt>
                <c:pt idx="89">
                  <c:v>1.8192576091040986</c:v>
                </c:pt>
                <c:pt idx="90">
                  <c:v>1.8192576091040986</c:v>
                </c:pt>
                <c:pt idx="91">
                  <c:v>1.8192576091040986</c:v>
                </c:pt>
                <c:pt idx="92">
                  <c:v>1.8192576091040986</c:v>
                </c:pt>
                <c:pt idx="93">
                  <c:v>1.8192576091040986</c:v>
                </c:pt>
                <c:pt idx="94">
                  <c:v>1.8192576091040986</c:v>
                </c:pt>
                <c:pt idx="95">
                  <c:v>1.8192576091040986</c:v>
                </c:pt>
                <c:pt idx="96">
                  <c:v>1.8192576091040986</c:v>
                </c:pt>
                <c:pt idx="97">
                  <c:v>1.8192576091040986</c:v>
                </c:pt>
                <c:pt idx="98">
                  <c:v>1.8192576091040986</c:v>
                </c:pt>
                <c:pt idx="99">
                  <c:v>1.8192576091040986</c:v>
                </c:pt>
                <c:pt idx="100">
                  <c:v>1.8192576091040986</c:v>
                </c:pt>
                <c:pt idx="101">
                  <c:v>1.8192576091040986</c:v>
                </c:pt>
                <c:pt idx="102">
                  <c:v>1.8192576091040986</c:v>
                </c:pt>
                <c:pt idx="103">
                  <c:v>1.8192576091040986</c:v>
                </c:pt>
                <c:pt idx="104">
                  <c:v>1.8192576091040986</c:v>
                </c:pt>
                <c:pt idx="105">
                  <c:v>1.8192576091040986</c:v>
                </c:pt>
                <c:pt idx="106">
                  <c:v>1.8192576091040986</c:v>
                </c:pt>
                <c:pt idx="107">
                  <c:v>1.8192576091040986</c:v>
                </c:pt>
                <c:pt idx="108">
                  <c:v>1.8192576091040986</c:v>
                </c:pt>
                <c:pt idx="109">
                  <c:v>1.8192576091040986</c:v>
                </c:pt>
                <c:pt idx="110">
                  <c:v>1.8192576091040986</c:v>
                </c:pt>
                <c:pt idx="111">
                  <c:v>1.8192576091040986</c:v>
                </c:pt>
                <c:pt idx="112">
                  <c:v>1.8192576091040986</c:v>
                </c:pt>
                <c:pt idx="113">
                  <c:v>1.8192576091040986</c:v>
                </c:pt>
                <c:pt idx="114">
                  <c:v>1.8192576091040986</c:v>
                </c:pt>
                <c:pt idx="115">
                  <c:v>1.8192576091040986</c:v>
                </c:pt>
                <c:pt idx="116">
                  <c:v>1.8192576091040986</c:v>
                </c:pt>
                <c:pt idx="117">
                  <c:v>1.8192576091040986</c:v>
                </c:pt>
                <c:pt idx="118">
                  <c:v>1.8192576091040986</c:v>
                </c:pt>
                <c:pt idx="119">
                  <c:v>1.8192576091040986</c:v>
                </c:pt>
                <c:pt idx="120">
                  <c:v>1.8192576091040986</c:v>
                </c:pt>
                <c:pt idx="121">
                  <c:v>1.8192576091040986</c:v>
                </c:pt>
                <c:pt idx="122">
                  <c:v>1.8192576091040986</c:v>
                </c:pt>
                <c:pt idx="123">
                  <c:v>1.8192576091040986</c:v>
                </c:pt>
                <c:pt idx="124">
                  <c:v>1.8192576091040986</c:v>
                </c:pt>
                <c:pt idx="125">
                  <c:v>1.8192576091040986</c:v>
                </c:pt>
                <c:pt idx="126">
                  <c:v>1.8192576091040986</c:v>
                </c:pt>
                <c:pt idx="127">
                  <c:v>1.8192576091040986</c:v>
                </c:pt>
                <c:pt idx="128">
                  <c:v>1.8192576091040986</c:v>
                </c:pt>
                <c:pt idx="129">
                  <c:v>1.8192576091040986</c:v>
                </c:pt>
                <c:pt idx="130">
                  <c:v>1.8192576091040986</c:v>
                </c:pt>
                <c:pt idx="131">
                  <c:v>1.8192576091040986</c:v>
                </c:pt>
                <c:pt idx="132">
                  <c:v>1.8192576091040986</c:v>
                </c:pt>
                <c:pt idx="133">
                  <c:v>1.8192576091040986</c:v>
                </c:pt>
                <c:pt idx="134">
                  <c:v>1.8192576091040986</c:v>
                </c:pt>
                <c:pt idx="135">
                  <c:v>1.8192576091040986</c:v>
                </c:pt>
                <c:pt idx="136">
                  <c:v>1.8192576091040986</c:v>
                </c:pt>
                <c:pt idx="137">
                  <c:v>1.8192576091040986</c:v>
                </c:pt>
                <c:pt idx="138">
                  <c:v>1.8192576091040986</c:v>
                </c:pt>
                <c:pt idx="139">
                  <c:v>1.8192576091040986</c:v>
                </c:pt>
                <c:pt idx="140">
                  <c:v>1.8192576091040986</c:v>
                </c:pt>
                <c:pt idx="141">
                  <c:v>1.8192576091040986</c:v>
                </c:pt>
                <c:pt idx="142">
                  <c:v>1.8192576091040986</c:v>
                </c:pt>
                <c:pt idx="143">
                  <c:v>1.8192576091040986</c:v>
                </c:pt>
                <c:pt idx="144">
                  <c:v>1.8192576091040986</c:v>
                </c:pt>
                <c:pt idx="145">
                  <c:v>1.8192576091040986</c:v>
                </c:pt>
                <c:pt idx="146">
                  <c:v>1.8192576091040986</c:v>
                </c:pt>
                <c:pt idx="147">
                  <c:v>1.8192576091040986</c:v>
                </c:pt>
                <c:pt idx="148">
                  <c:v>1.8192576091040986</c:v>
                </c:pt>
                <c:pt idx="149">
                  <c:v>1.8192576091040986</c:v>
                </c:pt>
                <c:pt idx="150">
                  <c:v>1.8192576091040986</c:v>
                </c:pt>
                <c:pt idx="151">
                  <c:v>1.8192576091040986</c:v>
                </c:pt>
                <c:pt idx="152">
                  <c:v>1.8192576091040986</c:v>
                </c:pt>
                <c:pt idx="153">
                  <c:v>1.8192576091040986</c:v>
                </c:pt>
                <c:pt idx="154">
                  <c:v>1.8192576091040986</c:v>
                </c:pt>
                <c:pt idx="155">
                  <c:v>1.8192576091040986</c:v>
                </c:pt>
                <c:pt idx="156">
                  <c:v>1.8192576091040986</c:v>
                </c:pt>
                <c:pt idx="157">
                  <c:v>1.8192576091040986</c:v>
                </c:pt>
                <c:pt idx="158">
                  <c:v>1.8192576091040986</c:v>
                </c:pt>
                <c:pt idx="159">
                  <c:v>1.8192576091040986</c:v>
                </c:pt>
                <c:pt idx="160">
                  <c:v>1.8192576091040986</c:v>
                </c:pt>
                <c:pt idx="161">
                  <c:v>1.8192576091040986</c:v>
                </c:pt>
                <c:pt idx="162">
                  <c:v>1.8192576091040986</c:v>
                </c:pt>
                <c:pt idx="163">
                  <c:v>1.8192576091040986</c:v>
                </c:pt>
                <c:pt idx="164">
                  <c:v>1.8192576091040986</c:v>
                </c:pt>
                <c:pt idx="165">
                  <c:v>1.8192576091040986</c:v>
                </c:pt>
                <c:pt idx="166">
                  <c:v>1.8192576091040986</c:v>
                </c:pt>
                <c:pt idx="167">
                  <c:v>1.8192576091040986</c:v>
                </c:pt>
                <c:pt idx="168">
                  <c:v>1.8192576091040986</c:v>
                </c:pt>
                <c:pt idx="169">
                  <c:v>1.8192576091040986</c:v>
                </c:pt>
                <c:pt idx="170">
                  <c:v>1.8192576091040986</c:v>
                </c:pt>
                <c:pt idx="171">
                  <c:v>1.8192576091040986</c:v>
                </c:pt>
                <c:pt idx="172">
                  <c:v>1.8192576091040986</c:v>
                </c:pt>
                <c:pt idx="173">
                  <c:v>1.8192576091040986</c:v>
                </c:pt>
                <c:pt idx="174">
                  <c:v>1.8192576091040986</c:v>
                </c:pt>
                <c:pt idx="175">
                  <c:v>1.8192576091040986</c:v>
                </c:pt>
                <c:pt idx="176">
                  <c:v>1.8192576091040986</c:v>
                </c:pt>
                <c:pt idx="177">
                  <c:v>1.8192576091040986</c:v>
                </c:pt>
                <c:pt idx="178">
                  <c:v>1.8192576091040986</c:v>
                </c:pt>
                <c:pt idx="179">
                  <c:v>1.8192576091040986</c:v>
                </c:pt>
                <c:pt idx="180">
                  <c:v>1.8192576091040986</c:v>
                </c:pt>
                <c:pt idx="181">
                  <c:v>1.8192576091040986</c:v>
                </c:pt>
                <c:pt idx="182">
                  <c:v>1.8192576091040986</c:v>
                </c:pt>
                <c:pt idx="183">
                  <c:v>1.8192576091040986</c:v>
                </c:pt>
                <c:pt idx="184">
                  <c:v>1.8192576091040986</c:v>
                </c:pt>
                <c:pt idx="185">
                  <c:v>1.8192576091040986</c:v>
                </c:pt>
                <c:pt idx="186">
                  <c:v>1.8192576091040986</c:v>
                </c:pt>
                <c:pt idx="187">
                  <c:v>1.8192576091040986</c:v>
                </c:pt>
                <c:pt idx="188">
                  <c:v>1.8192576091040986</c:v>
                </c:pt>
                <c:pt idx="189">
                  <c:v>1.8192576091040986</c:v>
                </c:pt>
                <c:pt idx="190">
                  <c:v>1.8192576091040986</c:v>
                </c:pt>
                <c:pt idx="191">
                  <c:v>1.8192576091040986</c:v>
                </c:pt>
                <c:pt idx="192">
                  <c:v>1.8192576091040986</c:v>
                </c:pt>
                <c:pt idx="193">
                  <c:v>1.8192576091040986</c:v>
                </c:pt>
                <c:pt idx="194">
                  <c:v>1.8192576091040986</c:v>
                </c:pt>
                <c:pt idx="195">
                  <c:v>1.8192576091040986</c:v>
                </c:pt>
                <c:pt idx="196">
                  <c:v>1.8192576091040986</c:v>
                </c:pt>
                <c:pt idx="197">
                  <c:v>1.8192576091040986</c:v>
                </c:pt>
                <c:pt idx="198">
                  <c:v>1.8192576091040986</c:v>
                </c:pt>
                <c:pt idx="199">
                  <c:v>1.8192576091040986</c:v>
                </c:pt>
                <c:pt idx="200">
                  <c:v>1.8192576091040986</c:v>
                </c:pt>
                <c:pt idx="201">
                  <c:v>1.8192576091040986</c:v>
                </c:pt>
                <c:pt idx="202">
                  <c:v>1.8192576091040986</c:v>
                </c:pt>
                <c:pt idx="203">
                  <c:v>1.8192576091040986</c:v>
                </c:pt>
                <c:pt idx="204">
                  <c:v>1.8192576091040986</c:v>
                </c:pt>
                <c:pt idx="205">
                  <c:v>1.8192576091040986</c:v>
                </c:pt>
                <c:pt idx="206">
                  <c:v>1.8192576091040986</c:v>
                </c:pt>
                <c:pt idx="207">
                  <c:v>1.8192576091040986</c:v>
                </c:pt>
                <c:pt idx="208">
                  <c:v>1.8192576091040986</c:v>
                </c:pt>
                <c:pt idx="209">
                  <c:v>1.8192576091040986</c:v>
                </c:pt>
                <c:pt idx="210">
                  <c:v>1.8192576091040986</c:v>
                </c:pt>
                <c:pt idx="211">
                  <c:v>1.8192576091040986</c:v>
                </c:pt>
                <c:pt idx="212">
                  <c:v>1.8192576091040986</c:v>
                </c:pt>
                <c:pt idx="213">
                  <c:v>1.8192576091040986</c:v>
                </c:pt>
                <c:pt idx="214">
                  <c:v>1.8192576091040986</c:v>
                </c:pt>
                <c:pt idx="215">
                  <c:v>1.8192576091040986</c:v>
                </c:pt>
                <c:pt idx="216">
                  <c:v>1.8192576091040986</c:v>
                </c:pt>
                <c:pt idx="217">
                  <c:v>1.8192576091040986</c:v>
                </c:pt>
                <c:pt idx="218">
                  <c:v>1.8192576091040986</c:v>
                </c:pt>
                <c:pt idx="219">
                  <c:v>1.8192576091040986</c:v>
                </c:pt>
                <c:pt idx="220">
                  <c:v>1.8192576091040986</c:v>
                </c:pt>
                <c:pt idx="221">
                  <c:v>1.8192576091040986</c:v>
                </c:pt>
                <c:pt idx="222">
                  <c:v>1.8192576091040986</c:v>
                </c:pt>
                <c:pt idx="223">
                  <c:v>1.8192576091040986</c:v>
                </c:pt>
                <c:pt idx="224">
                  <c:v>1.8192576091040986</c:v>
                </c:pt>
                <c:pt idx="225">
                  <c:v>1.8192576091040986</c:v>
                </c:pt>
                <c:pt idx="226">
                  <c:v>1.8192576091040986</c:v>
                </c:pt>
                <c:pt idx="227">
                  <c:v>1.8192576091040986</c:v>
                </c:pt>
                <c:pt idx="228">
                  <c:v>1.8192576091040986</c:v>
                </c:pt>
                <c:pt idx="229">
                  <c:v>1.8192576091040986</c:v>
                </c:pt>
                <c:pt idx="230">
                  <c:v>1.8192576091040986</c:v>
                </c:pt>
                <c:pt idx="231">
                  <c:v>1.8192576091040986</c:v>
                </c:pt>
                <c:pt idx="232">
                  <c:v>1.8192576091040986</c:v>
                </c:pt>
                <c:pt idx="233">
                  <c:v>1.8192576091040986</c:v>
                </c:pt>
                <c:pt idx="234">
                  <c:v>1.8192576091040986</c:v>
                </c:pt>
                <c:pt idx="235">
                  <c:v>1.8192576091040986</c:v>
                </c:pt>
                <c:pt idx="236">
                  <c:v>1.8192576091040986</c:v>
                </c:pt>
                <c:pt idx="237">
                  <c:v>1.8192576091040986</c:v>
                </c:pt>
                <c:pt idx="238">
                  <c:v>1.8192576091040986</c:v>
                </c:pt>
                <c:pt idx="239">
                  <c:v>1.8192576091040986</c:v>
                </c:pt>
                <c:pt idx="240">
                  <c:v>1.8192576091040986</c:v>
                </c:pt>
                <c:pt idx="241">
                  <c:v>1.8192576091040986</c:v>
                </c:pt>
                <c:pt idx="242">
                  <c:v>1.8192576091040986</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pt idx="3534">
                  <c:v>#N/A</c:v>
                </c:pt>
                <c:pt idx="3535">
                  <c:v>#N/A</c:v>
                </c:pt>
                <c:pt idx="3536">
                  <c:v>#N/A</c:v>
                </c:pt>
                <c:pt idx="3537">
                  <c:v>#N/A</c:v>
                </c:pt>
                <c:pt idx="3538">
                  <c:v>#N/A</c:v>
                </c:pt>
                <c:pt idx="3539">
                  <c:v>#N/A</c:v>
                </c:pt>
                <c:pt idx="3540">
                  <c:v>#N/A</c:v>
                </c:pt>
                <c:pt idx="3541">
                  <c:v>#N/A</c:v>
                </c:pt>
                <c:pt idx="3542">
                  <c:v>#N/A</c:v>
                </c:pt>
                <c:pt idx="3543">
                  <c:v>#N/A</c:v>
                </c:pt>
                <c:pt idx="3544">
                  <c:v>#N/A</c:v>
                </c:pt>
                <c:pt idx="3545">
                  <c:v>#N/A</c:v>
                </c:pt>
                <c:pt idx="3546">
                  <c:v>#N/A</c:v>
                </c:pt>
                <c:pt idx="3547">
                  <c:v>#N/A</c:v>
                </c:pt>
                <c:pt idx="3548">
                  <c:v>#N/A</c:v>
                </c:pt>
                <c:pt idx="3549">
                  <c:v>#N/A</c:v>
                </c:pt>
                <c:pt idx="3550">
                  <c:v>#N/A</c:v>
                </c:pt>
                <c:pt idx="3551">
                  <c:v>#N/A</c:v>
                </c:pt>
                <c:pt idx="3552">
                  <c:v>#N/A</c:v>
                </c:pt>
                <c:pt idx="3553">
                  <c:v>#N/A</c:v>
                </c:pt>
                <c:pt idx="3554">
                  <c:v>#N/A</c:v>
                </c:pt>
                <c:pt idx="3555">
                  <c:v>#N/A</c:v>
                </c:pt>
                <c:pt idx="3556">
                  <c:v>#N/A</c:v>
                </c:pt>
                <c:pt idx="3557">
                  <c:v>#N/A</c:v>
                </c:pt>
                <c:pt idx="3558">
                  <c:v>#N/A</c:v>
                </c:pt>
                <c:pt idx="3559">
                  <c:v>#N/A</c:v>
                </c:pt>
                <c:pt idx="3560">
                  <c:v>#N/A</c:v>
                </c:pt>
                <c:pt idx="3561">
                  <c:v>#N/A</c:v>
                </c:pt>
                <c:pt idx="3562">
                  <c:v>#N/A</c:v>
                </c:pt>
                <c:pt idx="3563">
                  <c:v>#N/A</c:v>
                </c:pt>
                <c:pt idx="3564">
                  <c:v>#N/A</c:v>
                </c:pt>
                <c:pt idx="3565">
                  <c:v>#N/A</c:v>
                </c:pt>
                <c:pt idx="3566">
                  <c:v>#N/A</c:v>
                </c:pt>
                <c:pt idx="3567">
                  <c:v>#N/A</c:v>
                </c:pt>
                <c:pt idx="3568">
                  <c:v>#N/A</c:v>
                </c:pt>
                <c:pt idx="3569">
                  <c:v>#N/A</c:v>
                </c:pt>
                <c:pt idx="3570">
                  <c:v>#N/A</c:v>
                </c:pt>
                <c:pt idx="3571">
                  <c:v>#N/A</c:v>
                </c:pt>
                <c:pt idx="3572">
                  <c:v>#N/A</c:v>
                </c:pt>
                <c:pt idx="3573">
                  <c:v>#N/A</c:v>
                </c:pt>
                <c:pt idx="3574">
                  <c:v>#N/A</c:v>
                </c:pt>
                <c:pt idx="3575">
                  <c:v>#N/A</c:v>
                </c:pt>
                <c:pt idx="3576">
                  <c:v>#N/A</c:v>
                </c:pt>
                <c:pt idx="3577">
                  <c:v>#N/A</c:v>
                </c:pt>
                <c:pt idx="3578">
                  <c:v>#N/A</c:v>
                </c:pt>
                <c:pt idx="3579">
                  <c:v>#N/A</c:v>
                </c:pt>
                <c:pt idx="3580">
                  <c:v>#N/A</c:v>
                </c:pt>
                <c:pt idx="3581">
                  <c:v>#N/A</c:v>
                </c:pt>
                <c:pt idx="3582">
                  <c:v>#N/A</c:v>
                </c:pt>
                <c:pt idx="3583">
                  <c:v>#N/A</c:v>
                </c:pt>
                <c:pt idx="3584">
                  <c:v>#N/A</c:v>
                </c:pt>
                <c:pt idx="3585">
                  <c:v>#N/A</c:v>
                </c:pt>
                <c:pt idx="3586">
                  <c:v>#N/A</c:v>
                </c:pt>
                <c:pt idx="3587">
                  <c:v>#N/A</c:v>
                </c:pt>
                <c:pt idx="3588">
                  <c:v>#N/A</c:v>
                </c:pt>
                <c:pt idx="3589">
                  <c:v>#N/A</c:v>
                </c:pt>
                <c:pt idx="3590">
                  <c:v>#N/A</c:v>
                </c:pt>
                <c:pt idx="3591">
                  <c:v>#N/A</c:v>
                </c:pt>
                <c:pt idx="3592">
                  <c:v>#N/A</c:v>
                </c:pt>
                <c:pt idx="3593">
                  <c:v>#N/A</c:v>
                </c:pt>
                <c:pt idx="3594">
                  <c:v>#N/A</c:v>
                </c:pt>
                <c:pt idx="3595">
                  <c:v>#N/A</c:v>
                </c:pt>
                <c:pt idx="3596">
                  <c:v>#N/A</c:v>
                </c:pt>
                <c:pt idx="3597">
                  <c:v>#N/A</c:v>
                </c:pt>
                <c:pt idx="3598">
                  <c:v>#N/A</c:v>
                </c:pt>
                <c:pt idx="3599">
                  <c:v>#N/A</c:v>
                </c:pt>
                <c:pt idx="3600">
                  <c:v>#N/A</c:v>
                </c:pt>
                <c:pt idx="3601">
                  <c:v>#N/A</c:v>
                </c:pt>
                <c:pt idx="3602">
                  <c:v>#N/A</c:v>
                </c:pt>
                <c:pt idx="3603">
                  <c:v>#N/A</c:v>
                </c:pt>
                <c:pt idx="3604">
                  <c:v>#N/A</c:v>
                </c:pt>
                <c:pt idx="3605">
                  <c:v>#N/A</c:v>
                </c:pt>
                <c:pt idx="3606">
                  <c:v>#N/A</c:v>
                </c:pt>
                <c:pt idx="3607">
                  <c:v>#N/A</c:v>
                </c:pt>
                <c:pt idx="3608">
                  <c:v>#N/A</c:v>
                </c:pt>
                <c:pt idx="3609">
                  <c:v>#N/A</c:v>
                </c:pt>
                <c:pt idx="3610">
                  <c:v>#N/A</c:v>
                </c:pt>
                <c:pt idx="3611">
                  <c:v>#N/A</c:v>
                </c:pt>
                <c:pt idx="3612">
                  <c:v>#N/A</c:v>
                </c:pt>
                <c:pt idx="3613">
                  <c:v>#N/A</c:v>
                </c:pt>
                <c:pt idx="3614">
                  <c:v>#N/A</c:v>
                </c:pt>
                <c:pt idx="3615">
                  <c:v>#N/A</c:v>
                </c:pt>
                <c:pt idx="3616">
                  <c:v>#N/A</c:v>
                </c:pt>
                <c:pt idx="3617">
                  <c:v>#N/A</c:v>
                </c:pt>
                <c:pt idx="3618">
                  <c:v>#N/A</c:v>
                </c:pt>
                <c:pt idx="3619">
                  <c:v>#N/A</c:v>
                </c:pt>
                <c:pt idx="3620">
                  <c:v>#N/A</c:v>
                </c:pt>
                <c:pt idx="3621">
                  <c:v>#N/A</c:v>
                </c:pt>
                <c:pt idx="3622">
                  <c:v>#N/A</c:v>
                </c:pt>
                <c:pt idx="3623">
                  <c:v>#N/A</c:v>
                </c:pt>
                <c:pt idx="3624">
                  <c:v>#N/A</c:v>
                </c:pt>
                <c:pt idx="3625">
                  <c:v>#N/A</c:v>
                </c:pt>
                <c:pt idx="3626">
                  <c:v>#N/A</c:v>
                </c:pt>
                <c:pt idx="3627">
                  <c:v>#N/A</c:v>
                </c:pt>
                <c:pt idx="3628">
                  <c:v>#N/A</c:v>
                </c:pt>
                <c:pt idx="3629">
                  <c:v>#N/A</c:v>
                </c:pt>
                <c:pt idx="3630">
                  <c:v>#N/A</c:v>
                </c:pt>
                <c:pt idx="3631">
                  <c:v>#N/A</c:v>
                </c:pt>
                <c:pt idx="3632">
                  <c:v>#N/A</c:v>
                </c:pt>
                <c:pt idx="3633">
                  <c:v>#N/A</c:v>
                </c:pt>
                <c:pt idx="3634">
                  <c:v>#N/A</c:v>
                </c:pt>
                <c:pt idx="3635">
                  <c:v>#N/A</c:v>
                </c:pt>
                <c:pt idx="3636">
                  <c:v>#N/A</c:v>
                </c:pt>
                <c:pt idx="3637">
                  <c:v>#N/A</c:v>
                </c:pt>
                <c:pt idx="3638">
                  <c:v>#N/A</c:v>
                </c:pt>
                <c:pt idx="3639">
                  <c:v>#N/A</c:v>
                </c:pt>
                <c:pt idx="3640">
                  <c:v>#N/A</c:v>
                </c:pt>
                <c:pt idx="3641">
                  <c:v>#N/A</c:v>
                </c:pt>
                <c:pt idx="3642">
                  <c:v>#N/A</c:v>
                </c:pt>
                <c:pt idx="3643">
                  <c:v>#N/A</c:v>
                </c:pt>
                <c:pt idx="3644">
                  <c:v>#N/A</c:v>
                </c:pt>
                <c:pt idx="3645">
                  <c:v>#N/A</c:v>
                </c:pt>
                <c:pt idx="3646">
                  <c:v>#N/A</c:v>
                </c:pt>
                <c:pt idx="3647">
                  <c:v>#N/A</c:v>
                </c:pt>
                <c:pt idx="3648">
                  <c:v>#N/A</c:v>
                </c:pt>
                <c:pt idx="3649">
                  <c:v>#N/A</c:v>
                </c:pt>
                <c:pt idx="3650">
                  <c:v>#N/A</c:v>
                </c:pt>
                <c:pt idx="3651">
                  <c:v>#N/A</c:v>
                </c:pt>
                <c:pt idx="3652">
                  <c:v>#N/A</c:v>
                </c:pt>
                <c:pt idx="3653">
                  <c:v>#N/A</c:v>
                </c:pt>
                <c:pt idx="3654">
                  <c:v>#N/A</c:v>
                </c:pt>
                <c:pt idx="3655">
                  <c:v>#N/A</c:v>
                </c:pt>
                <c:pt idx="3656">
                  <c:v>#N/A</c:v>
                </c:pt>
                <c:pt idx="3657">
                  <c:v>#N/A</c:v>
                </c:pt>
                <c:pt idx="3658">
                  <c:v>#N/A</c:v>
                </c:pt>
                <c:pt idx="3659">
                  <c:v>#N/A</c:v>
                </c:pt>
                <c:pt idx="3660">
                  <c:v>#N/A</c:v>
                </c:pt>
                <c:pt idx="3661">
                  <c:v>#N/A</c:v>
                </c:pt>
                <c:pt idx="3662">
                  <c:v>#N/A</c:v>
                </c:pt>
                <c:pt idx="3663">
                  <c:v>#N/A</c:v>
                </c:pt>
                <c:pt idx="3664">
                  <c:v>#N/A</c:v>
                </c:pt>
                <c:pt idx="3665">
                  <c:v>#N/A</c:v>
                </c:pt>
                <c:pt idx="3666">
                  <c:v>#N/A</c:v>
                </c:pt>
                <c:pt idx="3667">
                  <c:v>#N/A</c:v>
                </c:pt>
                <c:pt idx="3668">
                  <c:v>#N/A</c:v>
                </c:pt>
                <c:pt idx="3669">
                  <c:v>#N/A</c:v>
                </c:pt>
                <c:pt idx="3670">
                  <c:v>#N/A</c:v>
                </c:pt>
                <c:pt idx="3671">
                  <c:v>#N/A</c:v>
                </c:pt>
                <c:pt idx="3672">
                  <c:v>#N/A</c:v>
                </c:pt>
                <c:pt idx="3673">
                  <c:v>#N/A</c:v>
                </c:pt>
                <c:pt idx="3674">
                  <c:v>#N/A</c:v>
                </c:pt>
                <c:pt idx="3675">
                  <c:v>#N/A</c:v>
                </c:pt>
                <c:pt idx="3676">
                  <c:v>#N/A</c:v>
                </c:pt>
                <c:pt idx="3677">
                  <c:v>#N/A</c:v>
                </c:pt>
                <c:pt idx="3678">
                  <c:v>#N/A</c:v>
                </c:pt>
                <c:pt idx="3679">
                  <c:v>#N/A</c:v>
                </c:pt>
                <c:pt idx="3680">
                  <c:v>#N/A</c:v>
                </c:pt>
                <c:pt idx="3681">
                  <c:v>#N/A</c:v>
                </c:pt>
                <c:pt idx="3682">
                  <c:v>#N/A</c:v>
                </c:pt>
                <c:pt idx="3683">
                  <c:v>#N/A</c:v>
                </c:pt>
                <c:pt idx="3684">
                  <c:v>#N/A</c:v>
                </c:pt>
                <c:pt idx="3685">
                  <c:v>#N/A</c:v>
                </c:pt>
                <c:pt idx="3686">
                  <c:v>#N/A</c:v>
                </c:pt>
                <c:pt idx="3687">
                  <c:v>#N/A</c:v>
                </c:pt>
                <c:pt idx="3688">
                  <c:v>#N/A</c:v>
                </c:pt>
                <c:pt idx="3689">
                  <c:v>#N/A</c:v>
                </c:pt>
                <c:pt idx="3690">
                  <c:v>#N/A</c:v>
                </c:pt>
                <c:pt idx="3691">
                  <c:v>#N/A</c:v>
                </c:pt>
                <c:pt idx="3692">
                  <c:v>#N/A</c:v>
                </c:pt>
                <c:pt idx="3693">
                  <c:v>#N/A</c:v>
                </c:pt>
                <c:pt idx="3694">
                  <c:v>#N/A</c:v>
                </c:pt>
                <c:pt idx="3695">
                  <c:v>#N/A</c:v>
                </c:pt>
                <c:pt idx="3696">
                  <c:v>#N/A</c:v>
                </c:pt>
                <c:pt idx="3697">
                  <c:v>#N/A</c:v>
                </c:pt>
                <c:pt idx="3698">
                  <c:v>#N/A</c:v>
                </c:pt>
                <c:pt idx="3699">
                  <c:v>#N/A</c:v>
                </c:pt>
                <c:pt idx="3700">
                  <c:v>#N/A</c:v>
                </c:pt>
                <c:pt idx="3701">
                  <c:v>#N/A</c:v>
                </c:pt>
                <c:pt idx="3702">
                  <c:v>#N/A</c:v>
                </c:pt>
                <c:pt idx="3703">
                  <c:v>#N/A</c:v>
                </c:pt>
                <c:pt idx="3704">
                  <c:v>#N/A</c:v>
                </c:pt>
                <c:pt idx="3705">
                  <c:v>#N/A</c:v>
                </c:pt>
                <c:pt idx="3706">
                  <c:v>#N/A</c:v>
                </c:pt>
                <c:pt idx="3707">
                  <c:v>#N/A</c:v>
                </c:pt>
                <c:pt idx="3708">
                  <c:v>#N/A</c:v>
                </c:pt>
                <c:pt idx="3709">
                  <c:v>#N/A</c:v>
                </c:pt>
                <c:pt idx="3710">
                  <c:v>#N/A</c:v>
                </c:pt>
                <c:pt idx="3711">
                  <c:v>#N/A</c:v>
                </c:pt>
                <c:pt idx="3712">
                  <c:v>#N/A</c:v>
                </c:pt>
                <c:pt idx="3713">
                  <c:v>#N/A</c:v>
                </c:pt>
                <c:pt idx="3714">
                  <c:v>#N/A</c:v>
                </c:pt>
                <c:pt idx="3715">
                  <c:v>#N/A</c:v>
                </c:pt>
                <c:pt idx="3716">
                  <c:v>#N/A</c:v>
                </c:pt>
                <c:pt idx="3717">
                  <c:v>#N/A</c:v>
                </c:pt>
                <c:pt idx="3718">
                  <c:v>#N/A</c:v>
                </c:pt>
                <c:pt idx="3719">
                  <c:v>#N/A</c:v>
                </c:pt>
                <c:pt idx="3720">
                  <c:v>#N/A</c:v>
                </c:pt>
                <c:pt idx="3721">
                  <c:v>#N/A</c:v>
                </c:pt>
                <c:pt idx="3722">
                  <c:v>#N/A</c:v>
                </c:pt>
                <c:pt idx="3723">
                  <c:v>#N/A</c:v>
                </c:pt>
                <c:pt idx="3724">
                  <c:v>#N/A</c:v>
                </c:pt>
                <c:pt idx="3725">
                  <c:v>#N/A</c:v>
                </c:pt>
                <c:pt idx="3726">
                  <c:v>#N/A</c:v>
                </c:pt>
                <c:pt idx="3727">
                  <c:v>#N/A</c:v>
                </c:pt>
                <c:pt idx="3728">
                  <c:v>#N/A</c:v>
                </c:pt>
                <c:pt idx="3729">
                  <c:v>#N/A</c:v>
                </c:pt>
                <c:pt idx="3730">
                  <c:v>#N/A</c:v>
                </c:pt>
                <c:pt idx="3731">
                  <c:v>#N/A</c:v>
                </c:pt>
                <c:pt idx="3732">
                  <c:v>#N/A</c:v>
                </c:pt>
                <c:pt idx="3733">
                  <c:v>#N/A</c:v>
                </c:pt>
                <c:pt idx="3734">
                  <c:v>#N/A</c:v>
                </c:pt>
                <c:pt idx="3735">
                  <c:v>#N/A</c:v>
                </c:pt>
                <c:pt idx="3736">
                  <c:v>#N/A</c:v>
                </c:pt>
                <c:pt idx="3737">
                  <c:v>#N/A</c:v>
                </c:pt>
                <c:pt idx="3738">
                  <c:v>#N/A</c:v>
                </c:pt>
                <c:pt idx="3739">
                  <c:v>#N/A</c:v>
                </c:pt>
                <c:pt idx="3740">
                  <c:v>#N/A</c:v>
                </c:pt>
                <c:pt idx="3741">
                  <c:v>#N/A</c:v>
                </c:pt>
                <c:pt idx="3742">
                  <c:v>#N/A</c:v>
                </c:pt>
                <c:pt idx="3743">
                  <c:v>#N/A</c:v>
                </c:pt>
                <c:pt idx="3744">
                  <c:v>#N/A</c:v>
                </c:pt>
                <c:pt idx="3745">
                  <c:v>#N/A</c:v>
                </c:pt>
                <c:pt idx="3746">
                  <c:v>#N/A</c:v>
                </c:pt>
                <c:pt idx="3747">
                  <c:v>#N/A</c:v>
                </c:pt>
                <c:pt idx="3748">
                  <c:v>#N/A</c:v>
                </c:pt>
                <c:pt idx="3749">
                  <c:v>#N/A</c:v>
                </c:pt>
                <c:pt idx="3750">
                  <c:v>#N/A</c:v>
                </c:pt>
                <c:pt idx="3751">
                  <c:v>#N/A</c:v>
                </c:pt>
                <c:pt idx="3752">
                  <c:v>#N/A</c:v>
                </c:pt>
                <c:pt idx="3753">
                  <c:v>#N/A</c:v>
                </c:pt>
                <c:pt idx="3754">
                  <c:v>#N/A</c:v>
                </c:pt>
                <c:pt idx="3755">
                  <c:v>#N/A</c:v>
                </c:pt>
                <c:pt idx="3756">
                  <c:v>#N/A</c:v>
                </c:pt>
                <c:pt idx="3757">
                  <c:v>#N/A</c:v>
                </c:pt>
                <c:pt idx="3758">
                  <c:v>#N/A</c:v>
                </c:pt>
                <c:pt idx="3759">
                  <c:v>#N/A</c:v>
                </c:pt>
                <c:pt idx="3760">
                  <c:v>#N/A</c:v>
                </c:pt>
                <c:pt idx="3761">
                  <c:v>#N/A</c:v>
                </c:pt>
                <c:pt idx="3762">
                  <c:v>#N/A</c:v>
                </c:pt>
                <c:pt idx="3763">
                  <c:v>#N/A</c:v>
                </c:pt>
                <c:pt idx="3764">
                  <c:v>#N/A</c:v>
                </c:pt>
                <c:pt idx="3765">
                  <c:v>#N/A</c:v>
                </c:pt>
                <c:pt idx="3766">
                  <c:v>#N/A</c:v>
                </c:pt>
                <c:pt idx="3767">
                  <c:v>#N/A</c:v>
                </c:pt>
                <c:pt idx="3768">
                  <c:v>#N/A</c:v>
                </c:pt>
                <c:pt idx="3769">
                  <c:v>#N/A</c:v>
                </c:pt>
                <c:pt idx="3770">
                  <c:v>#N/A</c:v>
                </c:pt>
                <c:pt idx="3771">
                  <c:v>#N/A</c:v>
                </c:pt>
                <c:pt idx="3772">
                  <c:v>#N/A</c:v>
                </c:pt>
                <c:pt idx="3773">
                  <c:v>#N/A</c:v>
                </c:pt>
                <c:pt idx="3774">
                  <c:v>#N/A</c:v>
                </c:pt>
                <c:pt idx="3775">
                  <c:v>#N/A</c:v>
                </c:pt>
                <c:pt idx="3776">
                  <c:v>#N/A</c:v>
                </c:pt>
                <c:pt idx="3777">
                  <c:v>#N/A</c:v>
                </c:pt>
                <c:pt idx="3778">
                  <c:v>#N/A</c:v>
                </c:pt>
                <c:pt idx="3779">
                  <c:v>#N/A</c:v>
                </c:pt>
                <c:pt idx="3780">
                  <c:v>#N/A</c:v>
                </c:pt>
                <c:pt idx="3781">
                  <c:v>#N/A</c:v>
                </c:pt>
                <c:pt idx="3782">
                  <c:v>#N/A</c:v>
                </c:pt>
                <c:pt idx="3783">
                  <c:v>#N/A</c:v>
                </c:pt>
                <c:pt idx="3784">
                  <c:v>#N/A</c:v>
                </c:pt>
                <c:pt idx="3785">
                  <c:v>#N/A</c:v>
                </c:pt>
                <c:pt idx="3786">
                  <c:v>#N/A</c:v>
                </c:pt>
                <c:pt idx="3787">
                  <c:v>#N/A</c:v>
                </c:pt>
                <c:pt idx="3788">
                  <c:v>#N/A</c:v>
                </c:pt>
                <c:pt idx="3789">
                  <c:v>#N/A</c:v>
                </c:pt>
                <c:pt idx="3790">
                  <c:v>#N/A</c:v>
                </c:pt>
                <c:pt idx="3791">
                  <c:v>#N/A</c:v>
                </c:pt>
                <c:pt idx="3792">
                  <c:v>#N/A</c:v>
                </c:pt>
                <c:pt idx="3793">
                  <c:v>#N/A</c:v>
                </c:pt>
                <c:pt idx="3794">
                  <c:v>#N/A</c:v>
                </c:pt>
                <c:pt idx="3795">
                  <c:v>#N/A</c:v>
                </c:pt>
                <c:pt idx="3796">
                  <c:v>#N/A</c:v>
                </c:pt>
                <c:pt idx="3797">
                  <c:v>#N/A</c:v>
                </c:pt>
                <c:pt idx="3798">
                  <c:v>#N/A</c:v>
                </c:pt>
                <c:pt idx="3799">
                  <c:v>#N/A</c:v>
                </c:pt>
                <c:pt idx="3800">
                  <c:v>#N/A</c:v>
                </c:pt>
                <c:pt idx="3801">
                  <c:v>#N/A</c:v>
                </c:pt>
                <c:pt idx="3802">
                  <c:v>#N/A</c:v>
                </c:pt>
                <c:pt idx="3803">
                  <c:v>#N/A</c:v>
                </c:pt>
                <c:pt idx="3804">
                  <c:v>#N/A</c:v>
                </c:pt>
                <c:pt idx="3805">
                  <c:v>#N/A</c:v>
                </c:pt>
                <c:pt idx="3806">
                  <c:v>#N/A</c:v>
                </c:pt>
                <c:pt idx="3807">
                  <c:v>#N/A</c:v>
                </c:pt>
                <c:pt idx="3808">
                  <c:v>#N/A</c:v>
                </c:pt>
                <c:pt idx="3809">
                  <c:v>#N/A</c:v>
                </c:pt>
                <c:pt idx="3810">
                  <c:v>#N/A</c:v>
                </c:pt>
                <c:pt idx="3811">
                  <c:v>#N/A</c:v>
                </c:pt>
                <c:pt idx="3812">
                  <c:v>#N/A</c:v>
                </c:pt>
                <c:pt idx="3813">
                  <c:v>#N/A</c:v>
                </c:pt>
                <c:pt idx="3814">
                  <c:v>#N/A</c:v>
                </c:pt>
                <c:pt idx="3815">
                  <c:v>#N/A</c:v>
                </c:pt>
                <c:pt idx="3816">
                  <c:v>#N/A</c:v>
                </c:pt>
                <c:pt idx="3817">
                  <c:v>#N/A</c:v>
                </c:pt>
                <c:pt idx="3818">
                  <c:v>#N/A</c:v>
                </c:pt>
                <c:pt idx="3819">
                  <c:v>#N/A</c:v>
                </c:pt>
                <c:pt idx="3820">
                  <c:v>#N/A</c:v>
                </c:pt>
                <c:pt idx="3821">
                  <c:v>#N/A</c:v>
                </c:pt>
                <c:pt idx="3822">
                  <c:v>#N/A</c:v>
                </c:pt>
                <c:pt idx="3823">
                  <c:v>#N/A</c:v>
                </c:pt>
                <c:pt idx="3824">
                  <c:v>#N/A</c:v>
                </c:pt>
                <c:pt idx="3825">
                  <c:v>#N/A</c:v>
                </c:pt>
                <c:pt idx="3826">
                  <c:v>#N/A</c:v>
                </c:pt>
                <c:pt idx="3827">
                  <c:v>#N/A</c:v>
                </c:pt>
                <c:pt idx="3828">
                  <c:v>#N/A</c:v>
                </c:pt>
                <c:pt idx="3829">
                  <c:v>#N/A</c:v>
                </c:pt>
                <c:pt idx="3830">
                  <c:v>#N/A</c:v>
                </c:pt>
                <c:pt idx="3831">
                  <c:v>#N/A</c:v>
                </c:pt>
                <c:pt idx="3832">
                  <c:v>#N/A</c:v>
                </c:pt>
                <c:pt idx="3833">
                  <c:v>#N/A</c:v>
                </c:pt>
                <c:pt idx="3834">
                  <c:v>#N/A</c:v>
                </c:pt>
                <c:pt idx="3835">
                  <c:v>#N/A</c:v>
                </c:pt>
                <c:pt idx="3836">
                  <c:v>#N/A</c:v>
                </c:pt>
                <c:pt idx="3837">
                  <c:v>#N/A</c:v>
                </c:pt>
                <c:pt idx="3838">
                  <c:v>#N/A</c:v>
                </c:pt>
                <c:pt idx="3839">
                  <c:v>#N/A</c:v>
                </c:pt>
                <c:pt idx="3840">
                  <c:v>#N/A</c:v>
                </c:pt>
                <c:pt idx="3841">
                  <c:v>#N/A</c:v>
                </c:pt>
                <c:pt idx="3842">
                  <c:v>#N/A</c:v>
                </c:pt>
                <c:pt idx="3843">
                  <c:v>#N/A</c:v>
                </c:pt>
                <c:pt idx="3844">
                  <c:v>#N/A</c:v>
                </c:pt>
                <c:pt idx="3845">
                  <c:v>#N/A</c:v>
                </c:pt>
                <c:pt idx="3846">
                  <c:v>#N/A</c:v>
                </c:pt>
                <c:pt idx="3847">
                  <c:v>#N/A</c:v>
                </c:pt>
                <c:pt idx="3848">
                  <c:v>#N/A</c:v>
                </c:pt>
                <c:pt idx="3849">
                  <c:v>#N/A</c:v>
                </c:pt>
                <c:pt idx="3850">
                  <c:v>#N/A</c:v>
                </c:pt>
                <c:pt idx="3851">
                  <c:v>#N/A</c:v>
                </c:pt>
                <c:pt idx="3852">
                  <c:v>#N/A</c:v>
                </c:pt>
                <c:pt idx="3853">
                  <c:v>#N/A</c:v>
                </c:pt>
                <c:pt idx="3854">
                  <c:v>#N/A</c:v>
                </c:pt>
                <c:pt idx="3855">
                  <c:v>#N/A</c:v>
                </c:pt>
                <c:pt idx="3856">
                  <c:v>#N/A</c:v>
                </c:pt>
                <c:pt idx="3857">
                  <c:v>#N/A</c:v>
                </c:pt>
                <c:pt idx="3858">
                  <c:v>#N/A</c:v>
                </c:pt>
                <c:pt idx="3859">
                  <c:v>#N/A</c:v>
                </c:pt>
                <c:pt idx="3860">
                  <c:v>#N/A</c:v>
                </c:pt>
                <c:pt idx="3861">
                  <c:v>#N/A</c:v>
                </c:pt>
                <c:pt idx="3862">
                  <c:v>#N/A</c:v>
                </c:pt>
                <c:pt idx="3863">
                  <c:v>#N/A</c:v>
                </c:pt>
                <c:pt idx="3864">
                  <c:v>#N/A</c:v>
                </c:pt>
                <c:pt idx="3865">
                  <c:v>#N/A</c:v>
                </c:pt>
                <c:pt idx="3866">
                  <c:v>#N/A</c:v>
                </c:pt>
                <c:pt idx="3867">
                  <c:v>#N/A</c:v>
                </c:pt>
                <c:pt idx="3868">
                  <c:v>#N/A</c:v>
                </c:pt>
                <c:pt idx="3869">
                  <c:v>#N/A</c:v>
                </c:pt>
                <c:pt idx="3870">
                  <c:v>#N/A</c:v>
                </c:pt>
                <c:pt idx="3871">
                  <c:v>#N/A</c:v>
                </c:pt>
                <c:pt idx="3872">
                  <c:v>#N/A</c:v>
                </c:pt>
                <c:pt idx="3873">
                  <c:v>#N/A</c:v>
                </c:pt>
                <c:pt idx="3874">
                  <c:v>#N/A</c:v>
                </c:pt>
                <c:pt idx="3875">
                  <c:v>#N/A</c:v>
                </c:pt>
                <c:pt idx="3876">
                  <c:v>#N/A</c:v>
                </c:pt>
                <c:pt idx="3877">
                  <c:v>#N/A</c:v>
                </c:pt>
                <c:pt idx="3878">
                  <c:v>#N/A</c:v>
                </c:pt>
                <c:pt idx="3879">
                  <c:v>#N/A</c:v>
                </c:pt>
                <c:pt idx="3880">
                  <c:v>#N/A</c:v>
                </c:pt>
                <c:pt idx="3881">
                  <c:v>#N/A</c:v>
                </c:pt>
                <c:pt idx="3882">
                  <c:v>#N/A</c:v>
                </c:pt>
                <c:pt idx="3883">
                  <c:v>#N/A</c:v>
                </c:pt>
                <c:pt idx="3884">
                  <c:v>#N/A</c:v>
                </c:pt>
                <c:pt idx="3885">
                  <c:v>#N/A</c:v>
                </c:pt>
                <c:pt idx="3886">
                  <c:v>#N/A</c:v>
                </c:pt>
                <c:pt idx="3887">
                  <c:v>#N/A</c:v>
                </c:pt>
                <c:pt idx="3888">
                  <c:v>#N/A</c:v>
                </c:pt>
                <c:pt idx="3889">
                  <c:v>#N/A</c:v>
                </c:pt>
                <c:pt idx="3890">
                  <c:v>#N/A</c:v>
                </c:pt>
                <c:pt idx="3891">
                  <c:v>#N/A</c:v>
                </c:pt>
                <c:pt idx="3892">
                  <c:v>#N/A</c:v>
                </c:pt>
                <c:pt idx="3893">
                  <c:v>#N/A</c:v>
                </c:pt>
                <c:pt idx="3894">
                  <c:v>#N/A</c:v>
                </c:pt>
                <c:pt idx="3895">
                  <c:v>#N/A</c:v>
                </c:pt>
                <c:pt idx="3896">
                  <c:v>#N/A</c:v>
                </c:pt>
                <c:pt idx="3897">
                  <c:v>#N/A</c:v>
                </c:pt>
                <c:pt idx="3898">
                  <c:v>#N/A</c:v>
                </c:pt>
                <c:pt idx="3899">
                  <c:v>#N/A</c:v>
                </c:pt>
                <c:pt idx="3900">
                  <c:v>#N/A</c:v>
                </c:pt>
                <c:pt idx="3901">
                  <c:v>#N/A</c:v>
                </c:pt>
                <c:pt idx="3902">
                  <c:v>#N/A</c:v>
                </c:pt>
                <c:pt idx="3903">
                  <c:v>#N/A</c:v>
                </c:pt>
                <c:pt idx="3904">
                  <c:v>#N/A</c:v>
                </c:pt>
                <c:pt idx="3905">
                  <c:v>#N/A</c:v>
                </c:pt>
                <c:pt idx="3906">
                  <c:v>#N/A</c:v>
                </c:pt>
                <c:pt idx="3907">
                  <c:v>#N/A</c:v>
                </c:pt>
                <c:pt idx="3908">
                  <c:v>#N/A</c:v>
                </c:pt>
                <c:pt idx="3909">
                  <c:v>#N/A</c:v>
                </c:pt>
                <c:pt idx="3910">
                  <c:v>#N/A</c:v>
                </c:pt>
                <c:pt idx="3911">
                  <c:v>#N/A</c:v>
                </c:pt>
                <c:pt idx="3912">
                  <c:v>#N/A</c:v>
                </c:pt>
                <c:pt idx="3913">
                  <c:v>#N/A</c:v>
                </c:pt>
                <c:pt idx="3914">
                  <c:v>#N/A</c:v>
                </c:pt>
                <c:pt idx="3915">
                  <c:v>#N/A</c:v>
                </c:pt>
                <c:pt idx="3916">
                  <c:v>#N/A</c:v>
                </c:pt>
                <c:pt idx="3917">
                  <c:v>#N/A</c:v>
                </c:pt>
                <c:pt idx="3918">
                  <c:v>#N/A</c:v>
                </c:pt>
                <c:pt idx="3919">
                  <c:v>#N/A</c:v>
                </c:pt>
                <c:pt idx="3920">
                  <c:v>#N/A</c:v>
                </c:pt>
                <c:pt idx="3921">
                  <c:v>#N/A</c:v>
                </c:pt>
                <c:pt idx="3922">
                  <c:v>#N/A</c:v>
                </c:pt>
                <c:pt idx="3923">
                  <c:v>#N/A</c:v>
                </c:pt>
                <c:pt idx="3924">
                  <c:v>#N/A</c:v>
                </c:pt>
                <c:pt idx="3925">
                  <c:v>#N/A</c:v>
                </c:pt>
                <c:pt idx="3926">
                  <c:v>#N/A</c:v>
                </c:pt>
                <c:pt idx="3927">
                  <c:v>#N/A</c:v>
                </c:pt>
                <c:pt idx="3928">
                  <c:v>#N/A</c:v>
                </c:pt>
                <c:pt idx="3929">
                  <c:v>#N/A</c:v>
                </c:pt>
                <c:pt idx="3930">
                  <c:v>#N/A</c:v>
                </c:pt>
                <c:pt idx="3931">
                  <c:v>#N/A</c:v>
                </c:pt>
                <c:pt idx="3932">
                  <c:v>#N/A</c:v>
                </c:pt>
                <c:pt idx="3933">
                  <c:v>#N/A</c:v>
                </c:pt>
                <c:pt idx="3934">
                  <c:v>#N/A</c:v>
                </c:pt>
                <c:pt idx="3935">
                  <c:v>#N/A</c:v>
                </c:pt>
                <c:pt idx="3936">
                  <c:v>#N/A</c:v>
                </c:pt>
                <c:pt idx="3937">
                  <c:v>#N/A</c:v>
                </c:pt>
                <c:pt idx="3938">
                  <c:v>#N/A</c:v>
                </c:pt>
                <c:pt idx="3939">
                  <c:v>#N/A</c:v>
                </c:pt>
                <c:pt idx="3940">
                  <c:v>#N/A</c:v>
                </c:pt>
                <c:pt idx="3941">
                  <c:v>#N/A</c:v>
                </c:pt>
                <c:pt idx="3942">
                  <c:v>#N/A</c:v>
                </c:pt>
                <c:pt idx="3943">
                  <c:v>#N/A</c:v>
                </c:pt>
                <c:pt idx="3944">
                  <c:v>#N/A</c:v>
                </c:pt>
                <c:pt idx="3945">
                  <c:v>#N/A</c:v>
                </c:pt>
                <c:pt idx="3946">
                  <c:v>#N/A</c:v>
                </c:pt>
                <c:pt idx="3947">
                  <c:v>#N/A</c:v>
                </c:pt>
                <c:pt idx="3948">
                  <c:v>#N/A</c:v>
                </c:pt>
                <c:pt idx="3949">
                  <c:v>#N/A</c:v>
                </c:pt>
                <c:pt idx="3950">
                  <c:v>#N/A</c:v>
                </c:pt>
                <c:pt idx="3951">
                  <c:v>#N/A</c:v>
                </c:pt>
                <c:pt idx="3952">
                  <c:v>#N/A</c:v>
                </c:pt>
                <c:pt idx="3953">
                  <c:v>#N/A</c:v>
                </c:pt>
                <c:pt idx="3954">
                  <c:v>#N/A</c:v>
                </c:pt>
                <c:pt idx="3955">
                  <c:v>#N/A</c:v>
                </c:pt>
                <c:pt idx="3956">
                  <c:v>#N/A</c:v>
                </c:pt>
                <c:pt idx="3957">
                  <c:v>#N/A</c:v>
                </c:pt>
                <c:pt idx="3958">
                  <c:v>#N/A</c:v>
                </c:pt>
                <c:pt idx="3959">
                  <c:v>#N/A</c:v>
                </c:pt>
                <c:pt idx="3960">
                  <c:v>#N/A</c:v>
                </c:pt>
                <c:pt idx="3961">
                  <c:v>#N/A</c:v>
                </c:pt>
                <c:pt idx="3962">
                  <c:v>#N/A</c:v>
                </c:pt>
                <c:pt idx="3963">
                  <c:v>#N/A</c:v>
                </c:pt>
                <c:pt idx="3964">
                  <c:v>#N/A</c:v>
                </c:pt>
                <c:pt idx="3965">
                  <c:v>#N/A</c:v>
                </c:pt>
                <c:pt idx="3966">
                  <c:v>#N/A</c:v>
                </c:pt>
                <c:pt idx="3967">
                  <c:v>#N/A</c:v>
                </c:pt>
                <c:pt idx="3968">
                  <c:v>#N/A</c:v>
                </c:pt>
                <c:pt idx="3969">
                  <c:v>#N/A</c:v>
                </c:pt>
                <c:pt idx="3970">
                  <c:v>#N/A</c:v>
                </c:pt>
                <c:pt idx="3971">
                  <c:v>#N/A</c:v>
                </c:pt>
                <c:pt idx="3972">
                  <c:v>#N/A</c:v>
                </c:pt>
                <c:pt idx="3973">
                  <c:v>#N/A</c:v>
                </c:pt>
                <c:pt idx="3974">
                  <c:v>#N/A</c:v>
                </c:pt>
                <c:pt idx="3975">
                  <c:v>#N/A</c:v>
                </c:pt>
                <c:pt idx="3976">
                  <c:v>#N/A</c:v>
                </c:pt>
                <c:pt idx="3977">
                  <c:v>#N/A</c:v>
                </c:pt>
                <c:pt idx="3978">
                  <c:v>#N/A</c:v>
                </c:pt>
                <c:pt idx="3979">
                  <c:v>#N/A</c:v>
                </c:pt>
                <c:pt idx="3980">
                  <c:v>#N/A</c:v>
                </c:pt>
                <c:pt idx="3981">
                  <c:v>#N/A</c:v>
                </c:pt>
                <c:pt idx="3982">
                  <c:v>#N/A</c:v>
                </c:pt>
                <c:pt idx="3983">
                  <c:v>#N/A</c:v>
                </c:pt>
                <c:pt idx="3984">
                  <c:v>#N/A</c:v>
                </c:pt>
                <c:pt idx="3985">
                  <c:v>#N/A</c:v>
                </c:pt>
                <c:pt idx="3986">
                  <c:v>#N/A</c:v>
                </c:pt>
                <c:pt idx="3987">
                  <c:v>#N/A</c:v>
                </c:pt>
                <c:pt idx="3988">
                  <c:v>#N/A</c:v>
                </c:pt>
                <c:pt idx="3989">
                  <c:v>#N/A</c:v>
                </c:pt>
                <c:pt idx="3990">
                  <c:v>#N/A</c:v>
                </c:pt>
                <c:pt idx="3991">
                  <c:v>#N/A</c:v>
                </c:pt>
                <c:pt idx="3992">
                  <c:v>#N/A</c:v>
                </c:pt>
                <c:pt idx="3993">
                  <c:v>#N/A</c:v>
                </c:pt>
                <c:pt idx="3994">
                  <c:v>#N/A</c:v>
                </c:pt>
                <c:pt idx="3995">
                  <c:v>#N/A</c:v>
                </c:pt>
                <c:pt idx="3996">
                  <c:v>#N/A</c:v>
                </c:pt>
                <c:pt idx="3997">
                  <c:v>#N/A</c:v>
                </c:pt>
                <c:pt idx="3998">
                  <c:v>#N/A</c:v>
                </c:pt>
                <c:pt idx="3999">
                  <c:v>#N/A</c:v>
                </c:pt>
                <c:pt idx="4000">
                  <c:v>#N/A</c:v>
                </c:pt>
                <c:pt idx="4001">
                  <c:v>#N/A</c:v>
                </c:pt>
                <c:pt idx="4002">
                  <c:v>#N/A</c:v>
                </c:pt>
                <c:pt idx="4003">
                  <c:v>#N/A</c:v>
                </c:pt>
                <c:pt idx="4004">
                  <c:v>#N/A</c:v>
                </c:pt>
                <c:pt idx="4005">
                  <c:v>#N/A</c:v>
                </c:pt>
                <c:pt idx="4006">
                  <c:v>#N/A</c:v>
                </c:pt>
                <c:pt idx="4007">
                  <c:v>#N/A</c:v>
                </c:pt>
                <c:pt idx="4008">
                  <c:v>#N/A</c:v>
                </c:pt>
                <c:pt idx="4009">
                  <c:v>#N/A</c:v>
                </c:pt>
                <c:pt idx="4010">
                  <c:v>#N/A</c:v>
                </c:pt>
                <c:pt idx="4011">
                  <c:v>#N/A</c:v>
                </c:pt>
                <c:pt idx="4012">
                  <c:v>#N/A</c:v>
                </c:pt>
                <c:pt idx="4013">
                  <c:v>#N/A</c:v>
                </c:pt>
                <c:pt idx="4014">
                  <c:v>#N/A</c:v>
                </c:pt>
                <c:pt idx="4015">
                  <c:v>#N/A</c:v>
                </c:pt>
                <c:pt idx="4016">
                  <c:v>#N/A</c:v>
                </c:pt>
                <c:pt idx="4017">
                  <c:v>#N/A</c:v>
                </c:pt>
                <c:pt idx="4018">
                  <c:v>#N/A</c:v>
                </c:pt>
                <c:pt idx="4019">
                  <c:v>#N/A</c:v>
                </c:pt>
                <c:pt idx="4020">
                  <c:v>#N/A</c:v>
                </c:pt>
                <c:pt idx="4021">
                  <c:v>#N/A</c:v>
                </c:pt>
                <c:pt idx="4022">
                  <c:v>#N/A</c:v>
                </c:pt>
                <c:pt idx="4023">
                  <c:v>#N/A</c:v>
                </c:pt>
                <c:pt idx="4024">
                  <c:v>#N/A</c:v>
                </c:pt>
                <c:pt idx="4025">
                  <c:v>#N/A</c:v>
                </c:pt>
                <c:pt idx="4026">
                  <c:v>#N/A</c:v>
                </c:pt>
                <c:pt idx="4027">
                  <c:v>#N/A</c:v>
                </c:pt>
                <c:pt idx="4028">
                  <c:v>#N/A</c:v>
                </c:pt>
                <c:pt idx="4029">
                  <c:v>#N/A</c:v>
                </c:pt>
                <c:pt idx="4030">
                  <c:v>#N/A</c:v>
                </c:pt>
                <c:pt idx="4031">
                  <c:v>#N/A</c:v>
                </c:pt>
                <c:pt idx="4032">
                  <c:v>#N/A</c:v>
                </c:pt>
                <c:pt idx="4033">
                  <c:v>#N/A</c:v>
                </c:pt>
                <c:pt idx="4034">
                  <c:v>#N/A</c:v>
                </c:pt>
                <c:pt idx="4035">
                  <c:v>#N/A</c:v>
                </c:pt>
                <c:pt idx="4036">
                  <c:v>#N/A</c:v>
                </c:pt>
                <c:pt idx="4037">
                  <c:v>#N/A</c:v>
                </c:pt>
                <c:pt idx="4038">
                  <c:v>#N/A</c:v>
                </c:pt>
                <c:pt idx="4039">
                  <c:v>#N/A</c:v>
                </c:pt>
                <c:pt idx="4040">
                  <c:v>#N/A</c:v>
                </c:pt>
                <c:pt idx="4041">
                  <c:v>#N/A</c:v>
                </c:pt>
                <c:pt idx="4042">
                  <c:v>#N/A</c:v>
                </c:pt>
                <c:pt idx="4043">
                  <c:v>#N/A</c:v>
                </c:pt>
                <c:pt idx="4044">
                  <c:v>#N/A</c:v>
                </c:pt>
                <c:pt idx="4045">
                  <c:v>#N/A</c:v>
                </c:pt>
                <c:pt idx="4046">
                  <c:v>#N/A</c:v>
                </c:pt>
                <c:pt idx="4047">
                  <c:v>#N/A</c:v>
                </c:pt>
                <c:pt idx="4048">
                  <c:v>#N/A</c:v>
                </c:pt>
                <c:pt idx="4049">
                  <c:v>#N/A</c:v>
                </c:pt>
                <c:pt idx="4050">
                  <c:v>#N/A</c:v>
                </c:pt>
                <c:pt idx="4051">
                  <c:v>#N/A</c:v>
                </c:pt>
                <c:pt idx="4052">
                  <c:v>#N/A</c:v>
                </c:pt>
                <c:pt idx="4053">
                  <c:v>#N/A</c:v>
                </c:pt>
                <c:pt idx="4054">
                  <c:v>#N/A</c:v>
                </c:pt>
                <c:pt idx="4055">
                  <c:v>#N/A</c:v>
                </c:pt>
                <c:pt idx="4056">
                  <c:v>#N/A</c:v>
                </c:pt>
                <c:pt idx="4057">
                  <c:v>#N/A</c:v>
                </c:pt>
                <c:pt idx="4058">
                  <c:v>#N/A</c:v>
                </c:pt>
                <c:pt idx="4059">
                  <c:v>#N/A</c:v>
                </c:pt>
                <c:pt idx="4060">
                  <c:v>#N/A</c:v>
                </c:pt>
                <c:pt idx="4061">
                  <c:v>#N/A</c:v>
                </c:pt>
                <c:pt idx="4062">
                  <c:v>#N/A</c:v>
                </c:pt>
                <c:pt idx="4063">
                  <c:v>#N/A</c:v>
                </c:pt>
                <c:pt idx="4064">
                  <c:v>#N/A</c:v>
                </c:pt>
                <c:pt idx="4065">
                  <c:v>#N/A</c:v>
                </c:pt>
                <c:pt idx="4066">
                  <c:v>#N/A</c:v>
                </c:pt>
                <c:pt idx="4067">
                  <c:v>#N/A</c:v>
                </c:pt>
                <c:pt idx="4068">
                  <c:v>#N/A</c:v>
                </c:pt>
                <c:pt idx="4069">
                  <c:v>#N/A</c:v>
                </c:pt>
                <c:pt idx="4070">
                  <c:v>#N/A</c:v>
                </c:pt>
                <c:pt idx="4071">
                  <c:v>#N/A</c:v>
                </c:pt>
                <c:pt idx="4072">
                  <c:v>#N/A</c:v>
                </c:pt>
                <c:pt idx="4073">
                  <c:v>#N/A</c:v>
                </c:pt>
                <c:pt idx="4074">
                  <c:v>#N/A</c:v>
                </c:pt>
                <c:pt idx="4075">
                  <c:v>#N/A</c:v>
                </c:pt>
                <c:pt idx="4076">
                  <c:v>#N/A</c:v>
                </c:pt>
                <c:pt idx="4077">
                  <c:v>#N/A</c:v>
                </c:pt>
                <c:pt idx="4078">
                  <c:v>#N/A</c:v>
                </c:pt>
                <c:pt idx="4079">
                  <c:v>#N/A</c:v>
                </c:pt>
                <c:pt idx="4080">
                  <c:v>#N/A</c:v>
                </c:pt>
                <c:pt idx="4081">
                  <c:v>#N/A</c:v>
                </c:pt>
                <c:pt idx="4082">
                  <c:v>#N/A</c:v>
                </c:pt>
                <c:pt idx="4083">
                  <c:v>#N/A</c:v>
                </c:pt>
                <c:pt idx="4084">
                  <c:v>#N/A</c:v>
                </c:pt>
                <c:pt idx="4085">
                  <c:v>#N/A</c:v>
                </c:pt>
                <c:pt idx="4086">
                  <c:v>#N/A</c:v>
                </c:pt>
                <c:pt idx="4087">
                  <c:v>#N/A</c:v>
                </c:pt>
                <c:pt idx="4088">
                  <c:v>#N/A</c:v>
                </c:pt>
                <c:pt idx="4089">
                  <c:v>#N/A</c:v>
                </c:pt>
                <c:pt idx="4090">
                  <c:v>#N/A</c:v>
                </c:pt>
                <c:pt idx="4091">
                  <c:v>#N/A</c:v>
                </c:pt>
                <c:pt idx="4092">
                  <c:v>#N/A</c:v>
                </c:pt>
                <c:pt idx="4093">
                  <c:v>#N/A</c:v>
                </c:pt>
                <c:pt idx="4094">
                  <c:v>#N/A</c:v>
                </c:pt>
                <c:pt idx="4095">
                  <c:v>#N/A</c:v>
                </c:pt>
                <c:pt idx="4096">
                  <c:v>#N/A</c:v>
                </c:pt>
                <c:pt idx="4097">
                  <c:v>#N/A</c:v>
                </c:pt>
                <c:pt idx="4098">
                  <c:v>#N/A</c:v>
                </c:pt>
                <c:pt idx="4099">
                  <c:v>#N/A</c:v>
                </c:pt>
                <c:pt idx="4100">
                  <c:v>#N/A</c:v>
                </c:pt>
                <c:pt idx="4101">
                  <c:v>#N/A</c:v>
                </c:pt>
                <c:pt idx="4102">
                  <c:v>#N/A</c:v>
                </c:pt>
                <c:pt idx="4103">
                  <c:v>#N/A</c:v>
                </c:pt>
                <c:pt idx="4104">
                  <c:v>#N/A</c:v>
                </c:pt>
                <c:pt idx="4105">
                  <c:v>#N/A</c:v>
                </c:pt>
                <c:pt idx="4106">
                  <c:v>#N/A</c:v>
                </c:pt>
                <c:pt idx="4107">
                  <c:v>#N/A</c:v>
                </c:pt>
                <c:pt idx="4108">
                  <c:v>#N/A</c:v>
                </c:pt>
                <c:pt idx="4109">
                  <c:v>#N/A</c:v>
                </c:pt>
                <c:pt idx="4110">
                  <c:v>#N/A</c:v>
                </c:pt>
                <c:pt idx="4111">
                  <c:v>#N/A</c:v>
                </c:pt>
                <c:pt idx="4112">
                  <c:v>#N/A</c:v>
                </c:pt>
                <c:pt idx="4113">
                  <c:v>#N/A</c:v>
                </c:pt>
                <c:pt idx="4114">
                  <c:v>#N/A</c:v>
                </c:pt>
                <c:pt idx="4115">
                  <c:v>#N/A</c:v>
                </c:pt>
                <c:pt idx="4116">
                  <c:v>#N/A</c:v>
                </c:pt>
                <c:pt idx="4117">
                  <c:v>#N/A</c:v>
                </c:pt>
                <c:pt idx="4118">
                  <c:v>#N/A</c:v>
                </c:pt>
                <c:pt idx="4119">
                  <c:v>#N/A</c:v>
                </c:pt>
                <c:pt idx="4120">
                  <c:v>#N/A</c:v>
                </c:pt>
                <c:pt idx="4121">
                  <c:v>#N/A</c:v>
                </c:pt>
                <c:pt idx="4122">
                  <c:v>#N/A</c:v>
                </c:pt>
                <c:pt idx="4123">
                  <c:v>#N/A</c:v>
                </c:pt>
                <c:pt idx="4124">
                  <c:v>#N/A</c:v>
                </c:pt>
                <c:pt idx="4125">
                  <c:v>#N/A</c:v>
                </c:pt>
                <c:pt idx="4126">
                  <c:v>#N/A</c:v>
                </c:pt>
                <c:pt idx="4127">
                  <c:v>#N/A</c:v>
                </c:pt>
                <c:pt idx="4128">
                  <c:v>#N/A</c:v>
                </c:pt>
                <c:pt idx="4129">
                  <c:v>#N/A</c:v>
                </c:pt>
                <c:pt idx="4130">
                  <c:v>#N/A</c:v>
                </c:pt>
                <c:pt idx="4131">
                  <c:v>#N/A</c:v>
                </c:pt>
                <c:pt idx="4132">
                  <c:v>#N/A</c:v>
                </c:pt>
                <c:pt idx="4133">
                  <c:v>#N/A</c:v>
                </c:pt>
                <c:pt idx="4134">
                  <c:v>#N/A</c:v>
                </c:pt>
                <c:pt idx="4135">
                  <c:v>#N/A</c:v>
                </c:pt>
                <c:pt idx="4136">
                  <c:v>#N/A</c:v>
                </c:pt>
                <c:pt idx="4137">
                  <c:v>#N/A</c:v>
                </c:pt>
                <c:pt idx="4138">
                  <c:v>#N/A</c:v>
                </c:pt>
                <c:pt idx="4139">
                  <c:v>#N/A</c:v>
                </c:pt>
                <c:pt idx="4140">
                  <c:v>#N/A</c:v>
                </c:pt>
                <c:pt idx="4141">
                  <c:v>#N/A</c:v>
                </c:pt>
                <c:pt idx="4142">
                  <c:v>#N/A</c:v>
                </c:pt>
                <c:pt idx="4143">
                  <c:v>#N/A</c:v>
                </c:pt>
                <c:pt idx="4144">
                  <c:v>#N/A</c:v>
                </c:pt>
                <c:pt idx="4145">
                  <c:v>#N/A</c:v>
                </c:pt>
                <c:pt idx="4146">
                  <c:v>#N/A</c:v>
                </c:pt>
                <c:pt idx="4147">
                  <c:v>#N/A</c:v>
                </c:pt>
                <c:pt idx="4148">
                  <c:v>#N/A</c:v>
                </c:pt>
                <c:pt idx="4149">
                  <c:v>#N/A</c:v>
                </c:pt>
                <c:pt idx="4150">
                  <c:v>#N/A</c:v>
                </c:pt>
                <c:pt idx="4151">
                  <c:v>#N/A</c:v>
                </c:pt>
                <c:pt idx="4152">
                  <c:v>#N/A</c:v>
                </c:pt>
                <c:pt idx="4153">
                  <c:v>#N/A</c:v>
                </c:pt>
                <c:pt idx="4154">
                  <c:v>#N/A</c:v>
                </c:pt>
                <c:pt idx="4155">
                  <c:v>#N/A</c:v>
                </c:pt>
                <c:pt idx="4156">
                  <c:v>#N/A</c:v>
                </c:pt>
                <c:pt idx="4157">
                  <c:v>#N/A</c:v>
                </c:pt>
                <c:pt idx="4158">
                  <c:v>#N/A</c:v>
                </c:pt>
                <c:pt idx="4159">
                  <c:v>#N/A</c:v>
                </c:pt>
                <c:pt idx="4160">
                  <c:v>#N/A</c:v>
                </c:pt>
                <c:pt idx="4161">
                  <c:v>#N/A</c:v>
                </c:pt>
                <c:pt idx="4162">
                  <c:v>#N/A</c:v>
                </c:pt>
                <c:pt idx="4163">
                  <c:v>#N/A</c:v>
                </c:pt>
                <c:pt idx="4164">
                  <c:v>#N/A</c:v>
                </c:pt>
                <c:pt idx="4165">
                  <c:v>#N/A</c:v>
                </c:pt>
                <c:pt idx="4166">
                  <c:v>#N/A</c:v>
                </c:pt>
                <c:pt idx="4167">
                  <c:v>#N/A</c:v>
                </c:pt>
                <c:pt idx="4168">
                  <c:v>#N/A</c:v>
                </c:pt>
                <c:pt idx="4169">
                  <c:v>#N/A</c:v>
                </c:pt>
                <c:pt idx="4170">
                  <c:v>#N/A</c:v>
                </c:pt>
                <c:pt idx="4171">
                  <c:v>#N/A</c:v>
                </c:pt>
                <c:pt idx="4172">
                  <c:v>#N/A</c:v>
                </c:pt>
                <c:pt idx="4173">
                  <c:v>#N/A</c:v>
                </c:pt>
                <c:pt idx="4174">
                  <c:v>#N/A</c:v>
                </c:pt>
                <c:pt idx="4175">
                  <c:v>#N/A</c:v>
                </c:pt>
                <c:pt idx="4176">
                  <c:v>#N/A</c:v>
                </c:pt>
                <c:pt idx="4177">
                  <c:v>#N/A</c:v>
                </c:pt>
                <c:pt idx="4178">
                  <c:v>#N/A</c:v>
                </c:pt>
                <c:pt idx="4179">
                  <c:v>#N/A</c:v>
                </c:pt>
                <c:pt idx="4180">
                  <c:v>#N/A</c:v>
                </c:pt>
                <c:pt idx="4181">
                  <c:v>#N/A</c:v>
                </c:pt>
                <c:pt idx="4182">
                  <c:v>#N/A</c:v>
                </c:pt>
                <c:pt idx="4183">
                  <c:v>#N/A</c:v>
                </c:pt>
                <c:pt idx="4184">
                  <c:v>#N/A</c:v>
                </c:pt>
                <c:pt idx="4185">
                  <c:v>#N/A</c:v>
                </c:pt>
                <c:pt idx="4186">
                  <c:v>#N/A</c:v>
                </c:pt>
                <c:pt idx="4187">
                  <c:v>#N/A</c:v>
                </c:pt>
                <c:pt idx="4188">
                  <c:v>#N/A</c:v>
                </c:pt>
                <c:pt idx="4189">
                  <c:v>#N/A</c:v>
                </c:pt>
                <c:pt idx="4190">
                  <c:v>#N/A</c:v>
                </c:pt>
                <c:pt idx="4191">
                  <c:v>#N/A</c:v>
                </c:pt>
                <c:pt idx="4192">
                  <c:v>#N/A</c:v>
                </c:pt>
                <c:pt idx="4193">
                  <c:v>#N/A</c:v>
                </c:pt>
                <c:pt idx="4194">
                  <c:v>#N/A</c:v>
                </c:pt>
                <c:pt idx="4195">
                  <c:v>#N/A</c:v>
                </c:pt>
                <c:pt idx="4196">
                  <c:v>#N/A</c:v>
                </c:pt>
                <c:pt idx="4197">
                  <c:v>#N/A</c:v>
                </c:pt>
                <c:pt idx="4198">
                  <c:v>#N/A</c:v>
                </c:pt>
                <c:pt idx="4199">
                  <c:v>#N/A</c:v>
                </c:pt>
                <c:pt idx="4200">
                  <c:v>#N/A</c:v>
                </c:pt>
                <c:pt idx="4201">
                  <c:v>#N/A</c:v>
                </c:pt>
                <c:pt idx="4202">
                  <c:v>#N/A</c:v>
                </c:pt>
                <c:pt idx="4203">
                  <c:v>#N/A</c:v>
                </c:pt>
                <c:pt idx="4204">
                  <c:v>#N/A</c:v>
                </c:pt>
                <c:pt idx="4205">
                  <c:v>#N/A</c:v>
                </c:pt>
                <c:pt idx="4206">
                  <c:v>#N/A</c:v>
                </c:pt>
                <c:pt idx="4207">
                  <c:v>#N/A</c:v>
                </c:pt>
                <c:pt idx="4208">
                  <c:v>#N/A</c:v>
                </c:pt>
                <c:pt idx="4209">
                  <c:v>#N/A</c:v>
                </c:pt>
                <c:pt idx="4210">
                  <c:v>#N/A</c:v>
                </c:pt>
                <c:pt idx="4211">
                  <c:v>#N/A</c:v>
                </c:pt>
                <c:pt idx="4212">
                  <c:v>#N/A</c:v>
                </c:pt>
                <c:pt idx="4213">
                  <c:v>#N/A</c:v>
                </c:pt>
                <c:pt idx="4214">
                  <c:v>#N/A</c:v>
                </c:pt>
                <c:pt idx="4215">
                  <c:v>#N/A</c:v>
                </c:pt>
                <c:pt idx="4216">
                  <c:v>#N/A</c:v>
                </c:pt>
                <c:pt idx="4217">
                  <c:v>#N/A</c:v>
                </c:pt>
                <c:pt idx="4218">
                  <c:v>#N/A</c:v>
                </c:pt>
                <c:pt idx="4219">
                  <c:v>#N/A</c:v>
                </c:pt>
                <c:pt idx="4220">
                  <c:v>#N/A</c:v>
                </c:pt>
                <c:pt idx="4221">
                  <c:v>#N/A</c:v>
                </c:pt>
                <c:pt idx="4222">
                  <c:v>#N/A</c:v>
                </c:pt>
                <c:pt idx="4223">
                  <c:v>#N/A</c:v>
                </c:pt>
                <c:pt idx="4224">
                  <c:v>#N/A</c:v>
                </c:pt>
                <c:pt idx="4225">
                  <c:v>#N/A</c:v>
                </c:pt>
                <c:pt idx="4226">
                  <c:v>#N/A</c:v>
                </c:pt>
                <c:pt idx="4227">
                  <c:v>#N/A</c:v>
                </c:pt>
                <c:pt idx="4228">
                  <c:v>#N/A</c:v>
                </c:pt>
                <c:pt idx="4229">
                  <c:v>#N/A</c:v>
                </c:pt>
                <c:pt idx="4230">
                  <c:v>#N/A</c:v>
                </c:pt>
                <c:pt idx="4231">
                  <c:v>#N/A</c:v>
                </c:pt>
                <c:pt idx="4232">
                  <c:v>#N/A</c:v>
                </c:pt>
                <c:pt idx="4233">
                  <c:v>#N/A</c:v>
                </c:pt>
                <c:pt idx="4234">
                  <c:v>#N/A</c:v>
                </c:pt>
                <c:pt idx="4235">
                  <c:v>#N/A</c:v>
                </c:pt>
                <c:pt idx="4236">
                  <c:v>#N/A</c:v>
                </c:pt>
                <c:pt idx="4237">
                  <c:v>#N/A</c:v>
                </c:pt>
                <c:pt idx="4238">
                  <c:v>#N/A</c:v>
                </c:pt>
                <c:pt idx="4239">
                  <c:v>#N/A</c:v>
                </c:pt>
                <c:pt idx="4240">
                  <c:v>#N/A</c:v>
                </c:pt>
                <c:pt idx="4241">
                  <c:v>#N/A</c:v>
                </c:pt>
                <c:pt idx="4242">
                  <c:v>#N/A</c:v>
                </c:pt>
                <c:pt idx="4243">
                  <c:v>#N/A</c:v>
                </c:pt>
                <c:pt idx="4244">
                  <c:v>#N/A</c:v>
                </c:pt>
                <c:pt idx="4245">
                  <c:v>#N/A</c:v>
                </c:pt>
                <c:pt idx="4246">
                  <c:v>#N/A</c:v>
                </c:pt>
                <c:pt idx="4247">
                  <c:v>#N/A</c:v>
                </c:pt>
                <c:pt idx="4248">
                  <c:v>#N/A</c:v>
                </c:pt>
                <c:pt idx="4249">
                  <c:v>#N/A</c:v>
                </c:pt>
                <c:pt idx="4250">
                  <c:v>#N/A</c:v>
                </c:pt>
                <c:pt idx="4251">
                  <c:v>#N/A</c:v>
                </c:pt>
                <c:pt idx="4252">
                  <c:v>#N/A</c:v>
                </c:pt>
                <c:pt idx="4253">
                  <c:v>#N/A</c:v>
                </c:pt>
                <c:pt idx="4254">
                  <c:v>#N/A</c:v>
                </c:pt>
                <c:pt idx="4255">
                  <c:v>#N/A</c:v>
                </c:pt>
                <c:pt idx="4256">
                  <c:v>#N/A</c:v>
                </c:pt>
                <c:pt idx="4257">
                  <c:v>#N/A</c:v>
                </c:pt>
                <c:pt idx="4258">
                  <c:v>#N/A</c:v>
                </c:pt>
                <c:pt idx="4259">
                  <c:v>#N/A</c:v>
                </c:pt>
                <c:pt idx="4260">
                  <c:v>#N/A</c:v>
                </c:pt>
                <c:pt idx="4261">
                  <c:v>#N/A</c:v>
                </c:pt>
                <c:pt idx="4262">
                  <c:v>#N/A</c:v>
                </c:pt>
                <c:pt idx="4263">
                  <c:v>#N/A</c:v>
                </c:pt>
                <c:pt idx="4264">
                  <c:v>#N/A</c:v>
                </c:pt>
                <c:pt idx="4265">
                  <c:v>#N/A</c:v>
                </c:pt>
                <c:pt idx="4266">
                  <c:v>#N/A</c:v>
                </c:pt>
                <c:pt idx="4267">
                  <c:v>#N/A</c:v>
                </c:pt>
                <c:pt idx="4268">
                  <c:v>#N/A</c:v>
                </c:pt>
                <c:pt idx="4269">
                  <c:v>#N/A</c:v>
                </c:pt>
                <c:pt idx="4270">
                  <c:v>#N/A</c:v>
                </c:pt>
                <c:pt idx="4271">
                  <c:v>#N/A</c:v>
                </c:pt>
                <c:pt idx="4272">
                  <c:v>#N/A</c:v>
                </c:pt>
                <c:pt idx="4273">
                  <c:v>#N/A</c:v>
                </c:pt>
                <c:pt idx="4274">
                  <c:v>#N/A</c:v>
                </c:pt>
                <c:pt idx="4275">
                  <c:v>#N/A</c:v>
                </c:pt>
                <c:pt idx="4276">
                  <c:v>#N/A</c:v>
                </c:pt>
                <c:pt idx="4277">
                  <c:v>#N/A</c:v>
                </c:pt>
                <c:pt idx="4278">
                  <c:v>#N/A</c:v>
                </c:pt>
                <c:pt idx="4279">
                  <c:v>#N/A</c:v>
                </c:pt>
                <c:pt idx="4280">
                  <c:v>#N/A</c:v>
                </c:pt>
                <c:pt idx="4281">
                  <c:v>#N/A</c:v>
                </c:pt>
                <c:pt idx="4282">
                  <c:v>#N/A</c:v>
                </c:pt>
                <c:pt idx="4283">
                  <c:v>#N/A</c:v>
                </c:pt>
                <c:pt idx="4284">
                  <c:v>#N/A</c:v>
                </c:pt>
                <c:pt idx="4285">
                  <c:v>#N/A</c:v>
                </c:pt>
                <c:pt idx="4286">
                  <c:v>#N/A</c:v>
                </c:pt>
                <c:pt idx="4287">
                  <c:v>#N/A</c:v>
                </c:pt>
                <c:pt idx="4288">
                  <c:v>#N/A</c:v>
                </c:pt>
                <c:pt idx="4289">
                  <c:v>#N/A</c:v>
                </c:pt>
                <c:pt idx="4290">
                  <c:v>#N/A</c:v>
                </c:pt>
                <c:pt idx="4291">
                  <c:v>#N/A</c:v>
                </c:pt>
                <c:pt idx="4292">
                  <c:v>#N/A</c:v>
                </c:pt>
                <c:pt idx="4293">
                  <c:v>#N/A</c:v>
                </c:pt>
                <c:pt idx="4294">
                  <c:v>#N/A</c:v>
                </c:pt>
                <c:pt idx="4295">
                  <c:v>#N/A</c:v>
                </c:pt>
                <c:pt idx="4296">
                  <c:v>#N/A</c:v>
                </c:pt>
                <c:pt idx="4297">
                  <c:v>#N/A</c:v>
                </c:pt>
                <c:pt idx="4298">
                  <c:v>#N/A</c:v>
                </c:pt>
                <c:pt idx="4299">
                  <c:v>#N/A</c:v>
                </c:pt>
                <c:pt idx="4300">
                  <c:v>#N/A</c:v>
                </c:pt>
                <c:pt idx="4301">
                  <c:v>#N/A</c:v>
                </c:pt>
                <c:pt idx="4302">
                  <c:v>#N/A</c:v>
                </c:pt>
                <c:pt idx="4303">
                  <c:v>#N/A</c:v>
                </c:pt>
                <c:pt idx="4304">
                  <c:v>#N/A</c:v>
                </c:pt>
                <c:pt idx="4305">
                  <c:v>#N/A</c:v>
                </c:pt>
                <c:pt idx="4306">
                  <c:v>#N/A</c:v>
                </c:pt>
                <c:pt idx="4307">
                  <c:v>#N/A</c:v>
                </c:pt>
                <c:pt idx="4308">
                  <c:v>#N/A</c:v>
                </c:pt>
                <c:pt idx="4309">
                  <c:v>#N/A</c:v>
                </c:pt>
                <c:pt idx="4310">
                  <c:v>#N/A</c:v>
                </c:pt>
                <c:pt idx="4311">
                  <c:v>#N/A</c:v>
                </c:pt>
                <c:pt idx="4312">
                  <c:v>#N/A</c:v>
                </c:pt>
                <c:pt idx="4313">
                  <c:v>#N/A</c:v>
                </c:pt>
                <c:pt idx="4314">
                  <c:v>#N/A</c:v>
                </c:pt>
                <c:pt idx="4315">
                  <c:v>#N/A</c:v>
                </c:pt>
                <c:pt idx="4316">
                  <c:v>#N/A</c:v>
                </c:pt>
                <c:pt idx="4317">
                  <c:v>#N/A</c:v>
                </c:pt>
                <c:pt idx="4318">
                  <c:v>#N/A</c:v>
                </c:pt>
                <c:pt idx="4319">
                  <c:v>#N/A</c:v>
                </c:pt>
                <c:pt idx="4320">
                  <c:v>#N/A</c:v>
                </c:pt>
                <c:pt idx="4321">
                  <c:v>#N/A</c:v>
                </c:pt>
                <c:pt idx="4322">
                  <c:v>#N/A</c:v>
                </c:pt>
                <c:pt idx="4323">
                  <c:v>#N/A</c:v>
                </c:pt>
                <c:pt idx="4324">
                  <c:v>#N/A</c:v>
                </c:pt>
                <c:pt idx="4325">
                  <c:v>#N/A</c:v>
                </c:pt>
                <c:pt idx="4326">
                  <c:v>#N/A</c:v>
                </c:pt>
                <c:pt idx="4327">
                  <c:v>#N/A</c:v>
                </c:pt>
                <c:pt idx="4328">
                  <c:v>#N/A</c:v>
                </c:pt>
                <c:pt idx="4329">
                  <c:v>#N/A</c:v>
                </c:pt>
                <c:pt idx="4330">
                  <c:v>#N/A</c:v>
                </c:pt>
                <c:pt idx="4331">
                  <c:v>#N/A</c:v>
                </c:pt>
                <c:pt idx="4332">
                  <c:v>#N/A</c:v>
                </c:pt>
                <c:pt idx="4333">
                  <c:v>#N/A</c:v>
                </c:pt>
                <c:pt idx="4334">
                  <c:v>#N/A</c:v>
                </c:pt>
                <c:pt idx="4335">
                  <c:v>#N/A</c:v>
                </c:pt>
                <c:pt idx="4336">
                  <c:v>#N/A</c:v>
                </c:pt>
                <c:pt idx="4337">
                  <c:v>#N/A</c:v>
                </c:pt>
                <c:pt idx="4338">
                  <c:v>#N/A</c:v>
                </c:pt>
                <c:pt idx="4339">
                  <c:v>#N/A</c:v>
                </c:pt>
                <c:pt idx="4340">
                  <c:v>#N/A</c:v>
                </c:pt>
                <c:pt idx="4341">
                  <c:v>#N/A</c:v>
                </c:pt>
                <c:pt idx="4342">
                  <c:v>#N/A</c:v>
                </c:pt>
                <c:pt idx="4343">
                  <c:v>#N/A</c:v>
                </c:pt>
                <c:pt idx="4344">
                  <c:v>#N/A</c:v>
                </c:pt>
                <c:pt idx="4345">
                  <c:v>#N/A</c:v>
                </c:pt>
                <c:pt idx="4346">
                  <c:v>#N/A</c:v>
                </c:pt>
                <c:pt idx="4347">
                  <c:v>#N/A</c:v>
                </c:pt>
                <c:pt idx="4348">
                  <c:v>#N/A</c:v>
                </c:pt>
                <c:pt idx="4349">
                  <c:v>#N/A</c:v>
                </c:pt>
                <c:pt idx="4350">
                  <c:v>#N/A</c:v>
                </c:pt>
                <c:pt idx="4351">
                  <c:v>#N/A</c:v>
                </c:pt>
                <c:pt idx="4352">
                  <c:v>#N/A</c:v>
                </c:pt>
                <c:pt idx="4353">
                  <c:v>#N/A</c:v>
                </c:pt>
                <c:pt idx="4354">
                  <c:v>#N/A</c:v>
                </c:pt>
                <c:pt idx="4355">
                  <c:v>#N/A</c:v>
                </c:pt>
                <c:pt idx="4356">
                  <c:v>#N/A</c:v>
                </c:pt>
                <c:pt idx="4357">
                  <c:v>#N/A</c:v>
                </c:pt>
                <c:pt idx="4358">
                  <c:v>#N/A</c:v>
                </c:pt>
                <c:pt idx="4359">
                  <c:v>#N/A</c:v>
                </c:pt>
                <c:pt idx="4360">
                  <c:v>#N/A</c:v>
                </c:pt>
                <c:pt idx="4361">
                  <c:v>#N/A</c:v>
                </c:pt>
                <c:pt idx="4362">
                  <c:v>#N/A</c:v>
                </c:pt>
                <c:pt idx="4363">
                  <c:v>#N/A</c:v>
                </c:pt>
                <c:pt idx="4364">
                  <c:v>#N/A</c:v>
                </c:pt>
                <c:pt idx="4365">
                  <c:v>#N/A</c:v>
                </c:pt>
                <c:pt idx="4366">
                  <c:v>#N/A</c:v>
                </c:pt>
                <c:pt idx="4367">
                  <c:v>#N/A</c:v>
                </c:pt>
                <c:pt idx="4368">
                  <c:v>#N/A</c:v>
                </c:pt>
                <c:pt idx="4369">
                  <c:v>#N/A</c:v>
                </c:pt>
                <c:pt idx="4370">
                  <c:v>#N/A</c:v>
                </c:pt>
                <c:pt idx="4371">
                  <c:v>#N/A</c:v>
                </c:pt>
                <c:pt idx="4372">
                  <c:v>#N/A</c:v>
                </c:pt>
                <c:pt idx="4373">
                  <c:v>#N/A</c:v>
                </c:pt>
                <c:pt idx="4374">
                  <c:v>#N/A</c:v>
                </c:pt>
                <c:pt idx="4375">
                  <c:v>#N/A</c:v>
                </c:pt>
                <c:pt idx="4376">
                  <c:v>#N/A</c:v>
                </c:pt>
                <c:pt idx="4377">
                  <c:v>#N/A</c:v>
                </c:pt>
                <c:pt idx="4378">
                  <c:v>#N/A</c:v>
                </c:pt>
                <c:pt idx="4379">
                  <c:v>#N/A</c:v>
                </c:pt>
                <c:pt idx="4380">
                  <c:v>#N/A</c:v>
                </c:pt>
                <c:pt idx="4381">
                  <c:v>#N/A</c:v>
                </c:pt>
                <c:pt idx="4382">
                  <c:v>#N/A</c:v>
                </c:pt>
                <c:pt idx="4383">
                  <c:v>#N/A</c:v>
                </c:pt>
                <c:pt idx="4384">
                  <c:v>#N/A</c:v>
                </c:pt>
                <c:pt idx="4385">
                  <c:v>#N/A</c:v>
                </c:pt>
                <c:pt idx="4386">
                  <c:v>#N/A</c:v>
                </c:pt>
                <c:pt idx="4387">
                  <c:v>#N/A</c:v>
                </c:pt>
                <c:pt idx="4388">
                  <c:v>#N/A</c:v>
                </c:pt>
                <c:pt idx="4389">
                  <c:v>#N/A</c:v>
                </c:pt>
                <c:pt idx="4390">
                  <c:v>#N/A</c:v>
                </c:pt>
                <c:pt idx="4391">
                  <c:v>#N/A</c:v>
                </c:pt>
                <c:pt idx="4392">
                  <c:v>#N/A</c:v>
                </c:pt>
                <c:pt idx="4393">
                  <c:v>#N/A</c:v>
                </c:pt>
                <c:pt idx="4394">
                  <c:v>#N/A</c:v>
                </c:pt>
                <c:pt idx="4395">
                  <c:v>#N/A</c:v>
                </c:pt>
                <c:pt idx="4396">
                  <c:v>#N/A</c:v>
                </c:pt>
                <c:pt idx="4397">
                  <c:v>#N/A</c:v>
                </c:pt>
                <c:pt idx="4398">
                  <c:v>#N/A</c:v>
                </c:pt>
                <c:pt idx="4399">
                  <c:v>#N/A</c:v>
                </c:pt>
                <c:pt idx="4400">
                  <c:v>#N/A</c:v>
                </c:pt>
                <c:pt idx="4401">
                  <c:v>#N/A</c:v>
                </c:pt>
                <c:pt idx="4402">
                  <c:v>#N/A</c:v>
                </c:pt>
                <c:pt idx="4403">
                  <c:v>#N/A</c:v>
                </c:pt>
                <c:pt idx="4404">
                  <c:v>#N/A</c:v>
                </c:pt>
                <c:pt idx="4405">
                  <c:v>#N/A</c:v>
                </c:pt>
                <c:pt idx="4406">
                  <c:v>#N/A</c:v>
                </c:pt>
                <c:pt idx="4407">
                  <c:v>#N/A</c:v>
                </c:pt>
                <c:pt idx="4408">
                  <c:v>#N/A</c:v>
                </c:pt>
                <c:pt idx="4409">
                  <c:v>#N/A</c:v>
                </c:pt>
                <c:pt idx="4410">
                  <c:v>#N/A</c:v>
                </c:pt>
                <c:pt idx="4411">
                  <c:v>#N/A</c:v>
                </c:pt>
                <c:pt idx="4412">
                  <c:v>#N/A</c:v>
                </c:pt>
                <c:pt idx="4413">
                  <c:v>#N/A</c:v>
                </c:pt>
                <c:pt idx="4414">
                  <c:v>#N/A</c:v>
                </c:pt>
                <c:pt idx="4415">
                  <c:v>#N/A</c:v>
                </c:pt>
                <c:pt idx="4416">
                  <c:v>#N/A</c:v>
                </c:pt>
                <c:pt idx="4417">
                  <c:v>#N/A</c:v>
                </c:pt>
                <c:pt idx="4418">
                  <c:v>#N/A</c:v>
                </c:pt>
                <c:pt idx="4419">
                  <c:v>#N/A</c:v>
                </c:pt>
                <c:pt idx="4420">
                  <c:v>#N/A</c:v>
                </c:pt>
                <c:pt idx="4421">
                  <c:v>#N/A</c:v>
                </c:pt>
                <c:pt idx="4422">
                  <c:v>#N/A</c:v>
                </c:pt>
                <c:pt idx="4423">
                  <c:v>#N/A</c:v>
                </c:pt>
                <c:pt idx="4424">
                  <c:v>#N/A</c:v>
                </c:pt>
                <c:pt idx="4425">
                  <c:v>#N/A</c:v>
                </c:pt>
                <c:pt idx="4426">
                  <c:v>#N/A</c:v>
                </c:pt>
                <c:pt idx="4427">
                  <c:v>#N/A</c:v>
                </c:pt>
                <c:pt idx="4428">
                  <c:v>#N/A</c:v>
                </c:pt>
                <c:pt idx="4429">
                  <c:v>#N/A</c:v>
                </c:pt>
                <c:pt idx="4430">
                  <c:v>#N/A</c:v>
                </c:pt>
                <c:pt idx="4431">
                  <c:v>#N/A</c:v>
                </c:pt>
                <c:pt idx="4432">
                  <c:v>#N/A</c:v>
                </c:pt>
                <c:pt idx="4433">
                  <c:v>#N/A</c:v>
                </c:pt>
                <c:pt idx="4434">
                  <c:v>#N/A</c:v>
                </c:pt>
                <c:pt idx="4435">
                  <c:v>#N/A</c:v>
                </c:pt>
                <c:pt idx="4436">
                  <c:v>#N/A</c:v>
                </c:pt>
                <c:pt idx="4437">
                  <c:v>#N/A</c:v>
                </c:pt>
                <c:pt idx="4438">
                  <c:v>#N/A</c:v>
                </c:pt>
                <c:pt idx="4439">
                  <c:v>#N/A</c:v>
                </c:pt>
                <c:pt idx="4440">
                  <c:v>#N/A</c:v>
                </c:pt>
                <c:pt idx="4441">
                  <c:v>#N/A</c:v>
                </c:pt>
                <c:pt idx="4442">
                  <c:v>#N/A</c:v>
                </c:pt>
                <c:pt idx="4443">
                  <c:v>#N/A</c:v>
                </c:pt>
                <c:pt idx="4444">
                  <c:v>#N/A</c:v>
                </c:pt>
                <c:pt idx="4445">
                  <c:v>#N/A</c:v>
                </c:pt>
                <c:pt idx="4446">
                  <c:v>#N/A</c:v>
                </c:pt>
                <c:pt idx="4447">
                  <c:v>#N/A</c:v>
                </c:pt>
                <c:pt idx="4448">
                  <c:v>#N/A</c:v>
                </c:pt>
                <c:pt idx="4449">
                  <c:v>#N/A</c:v>
                </c:pt>
                <c:pt idx="4450">
                  <c:v>#N/A</c:v>
                </c:pt>
                <c:pt idx="4451">
                  <c:v>#N/A</c:v>
                </c:pt>
                <c:pt idx="4452">
                  <c:v>#N/A</c:v>
                </c:pt>
                <c:pt idx="4453">
                  <c:v>#N/A</c:v>
                </c:pt>
                <c:pt idx="4454">
                  <c:v>#N/A</c:v>
                </c:pt>
                <c:pt idx="4455">
                  <c:v>#N/A</c:v>
                </c:pt>
                <c:pt idx="4456">
                  <c:v>#N/A</c:v>
                </c:pt>
                <c:pt idx="4457">
                  <c:v>#N/A</c:v>
                </c:pt>
                <c:pt idx="4458">
                  <c:v>#N/A</c:v>
                </c:pt>
                <c:pt idx="4459">
                  <c:v>#N/A</c:v>
                </c:pt>
                <c:pt idx="4460">
                  <c:v>#N/A</c:v>
                </c:pt>
                <c:pt idx="4461">
                  <c:v>#N/A</c:v>
                </c:pt>
                <c:pt idx="4462">
                  <c:v>#N/A</c:v>
                </c:pt>
                <c:pt idx="4463">
                  <c:v>#N/A</c:v>
                </c:pt>
                <c:pt idx="4464">
                  <c:v>#N/A</c:v>
                </c:pt>
                <c:pt idx="4465">
                  <c:v>#N/A</c:v>
                </c:pt>
                <c:pt idx="4466">
                  <c:v>#N/A</c:v>
                </c:pt>
                <c:pt idx="4467">
                  <c:v>#N/A</c:v>
                </c:pt>
                <c:pt idx="4468">
                  <c:v>#N/A</c:v>
                </c:pt>
                <c:pt idx="4469">
                  <c:v>#N/A</c:v>
                </c:pt>
                <c:pt idx="4470">
                  <c:v>#N/A</c:v>
                </c:pt>
                <c:pt idx="4471">
                  <c:v>#N/A</c:v>
                </c:pt>
                <c:pt idx="4472">
                  <c:v>#N/A</c:v>
                </c:pt>
                <c:pt idx="4473">
                  <c:v>#N/A</c:v>
                </c:pt>
                <c:pt idx="4474">
                  <c:v>#N/A</c:v>
                </c:pt>
                <c:pt idx="4475">
                  <c:v>#N/A</c:v>
                </c:pt>
                <c:pt idx="4476">
                  <c:v>#N/A</c:v>
                </c:pt>
                <c:pt idx="4477">
                  <c:v>#N/A</c:v>
                </c:pt>
                <c:pt idx="4478">
                  <c:v>#N/A</c:v>
                </c:pt>
                <c:pt idx="4479">
                  <c:v>#N/A</c:v>
                </c:pt>
                <c:pt idx="4480">
                  <c:v>#N/A</c:v>
                </c:pt>
                <c:pt idx="4481">
                  <c:v>#N/A</c:v>
                </c:pt>
                <c:pt idx="4482">
                  <c:v>#N/A</c:v>
                </c:pt>
                <c:pt idx="4483">
                  <c:v>#N/A</c:v>
                </c:pt>
                <c:pt idx="4484">
                  <c:v>#N/A</c:v>
                </c:pt>
                <c:pt idx="4485">
                  <c:v>#N/A</c:v>
                </c:pt>
                <c:pt idx="4486">
                  <c:v>#N/A</c:v>
                </c:pt>
                <c:pt idx="4487">
                  <c:v>#N/A</c:v>
                </c:pt>
                <c:pt idx="4488">
                  <c:v>#N/A</c:v>
                </c:pt>
                <c:pt idx="4489">
                  <c:v>#N/A</c:v>
                </c:pt>
                <c:pt idx="4490">
                  <c:v>#N/A</c:v>
                </c:pt>
                <c:pt idx="4491">
                  <c:v>#N/A</c:v>
                </c:pt>
                <c:pt idx="4492">
                  <c:v>#N/A</c:v>
                </c:pt>
                <c:pt idx="4493">
                  <c:v>#N/A</c:v>
                </c:pt>
                <c:pt idx="4494">
                  <c:v>#N/A</c:v>
                </c:pt>
                <c:pt idx="4495">
                  <c:v>#N/A</c:v>
                </c:pt>
                <c:pt idx="4496">
                  <c:v>#N/A</c:v>
                </c:pt>
                <c:pt idx="4497">
                  <c:v>#N/A</c:v>
                </c:pt>
                <c:pt idx="4498">
                  <c:v>#N/A</c:v>
                </c:pt>
                <c:pt idx="4499">
                  <c:v>#N/A</c:v>
                </c:pt>
                <c:pt idx="4500">
                  <c:v>#N/A</c:v>
                </c:pt>
                <c:pt idx="4501">
                  <c:v>#N/A</c:v>
                </c:pt>
                <c:pt idx="4502">
                  <c:v>#N/A</c:v>
                </c:pt>
                <c:pt idx="4503">
                  <c:v>#N/A</c:v>
                </c:pt>
                <c:pt idx="4504">
                  <c:v>#N/A</c:v>
                </c:pt>
                <c:pt idx="4505">
                  <c:v>#N/A</c:v>
                </c:pt>
                <c:pt idx="4506">
                  <c:v>#N/A</c:v>
                </c:pt>
                <c:pt idx="4507">
                  <c:v>#N/A</c:v>
                </c:pt>
                <c:pt idx="4508">
                  <c:v>#N/A</c:v>
                </c:pt>
                <c:pt idx="4509">
                  <c:v>#N/A</c:v>
                </c:pt>
                <c:pt idx="4510">
                  <c:v>#N/A</c:v>
                </c:pt>
                <c:pt idx="4511">
                  <c:v>#N/A</c:v>
                </c:pt>
                <c:pt idx="4512">
                  <c:v>#N/A</c:v>
                </c:pt>
                <c:pt idx="4513">
                  <c:v>#N/A</c:v>
                </c:pt>
                <c:pt idx="4514">
                  <c:v>#N/A</c:v>
                </c:pt>
                <c:pt idx="4515">
                  <c:v>#N/A</c:v>
                </c:pt>
                <c:pt idx="4516">
                  <c:v>#N/A</c:v>
                </c:pt>
                <c:pt idx="4517">
                  <c:v>#N/A</c:v>
                </c:pt>
                <c:pt idx="4518">
                  <c:v>#N/A</c:v>
                </c:pt>
                <c:pt idx="4519">
                  <c:v>#N/A</c:v>
                </c:pt>
                <c:pt idx="4520">
                  <c:v>#N/A</c:v>
                </c:pt>
                <c:pt idx="4521">
                  <c:v>#N/A</c:v>
                </c:pt>
                <c:pt idx="4522">
                  <c:v>#N/A</c:v>
                </c:pt>
                <c:pt idx="4523">
                  <c:v>#N/A</c:v>
                </c:pt>
                <c:pt idx="4524">
                  <c:v>#N/A</c:v>
                </c:pt>
                <c:pt idx="4525">
                  <c:v>#N/A</c:v>
                </c:pt>
                <c:pt idx="4526">
                  <c:v>#N/A</c:v>
                </c:pt>
                <c:pt idx="4527">
                  <c:v>#N/A</c:v>
                </c:pt>
                <c:pt idx="4528">
                  <c:v>#N/A</c:v>
                </c:pt>
                <c:pt idx="4529">
                  <c:v>#N/A</c:v>
                </c:pt>
                <c:pt idx="4530">
                  <c:v>#N/A</c:v>
                </c:pt>
                <c:pt idx="4531">
                  <c:v>#N/A</c:v>
                </c:pt>
                <c:pt idx="4532">
                  <c:v>#N/A</c:v>
                </c:pt>
                <c:pt idx="4533">
                  <c:v>#N/A</c:v>
                </c:pt>
                <c:pt idx="4534">
                  <c:v>#N/A</c:v>
                </c:pt>
                <c:pt idx="4535">
                  <c:v>#N/A</c:v>
                </c:pt>
                <c:pt idx="4536">
                  <c:v>#N/A</c:v>
                </c:pt>
                <c:pt idx="4537">
                  <c:v>#N/A</c:v>
                </c:pt>
                <c:pt idx="4538">
                  <c:v>#N/A</c:v>
                </c:pt>
                <c:pt idx="4539">
                  <c:v>#N/A</c:v>
                </c:pt>
                <c:pt idx="4540">
                  <c:v>#N/A</c:v>
                </c:pt>
                <c:pt idx="4541">
                  <c:v>#N/A</c:v>
                </c:pt>
                <c:pt idx="4542">
                  <c:v>#N/A</c:v>
                </c:pt>
                <c:pt idx="4543">
                  <c:v>#N/A</c:v>
                </c:pt>
                <c:pt idx="4544">
                  <c:v>#N/A</c:v>
                </c:pt>
                <c:pt idx="4545">
                  <c:v>#N/A</c:v>
                </c:pt>
                <c:pt idx="4546">
                  <c:v>#N/A</c:v>
                </c:pt>
                <c:pt idx="4547">
                  <c:v>#N/A</c:v>
                </c:pt>
                <c:pt idx="4548">
                  <c:v>#N/A</c:v>
                </c:pt>
                <c:pt idx="4549">
                  <c:v>#N/A</c:v>
                </c:pt>
                <c:pt idx="4550">
                  <c:v>#N/A</c:v>
                </c:pt>
                <c:pt idx="4551">
                  <c:v>#N/A</c:v>
                </c:pt>
                <c:pt idx="4552">
                  <c:v>#N/A</c:v>
                </c:pt>
                <c:pt idx="4553">
                  <c:v>#N/A</c:v>
                </c:pt>
                <c:pt idx="4554">
                  <c:v>#N/A</c:v>
                </c:pt>
                <c:pt idx="4555">
                  <c:v>#N/A</c:v>
                </c:pt>
                <c:pt idx="4556">
                  <c:v>#N/A</c:v>
                </c:pt>
                <c:pt idx="4557">
                  <c:v>#N/A</c:v>
                </c:pt>
                <c:pt idx="4558">
                  <c:v>#N/A</c:v>
                </c:pt>
                <c:pt idx="4559">
                  <c:v>#N/A</c:v>
                </c:pt>
                <c:pt idx="4560">
                  <c:v>#N/A</c:v>
                </c:pt>
                <c:pt idx="4561">
                  <c:v>#N/A</c:v>
                </c:pt>
                <c:pt idx="4562">
                  <c:v>#N/A</c:v>
                </c:pt>
                <c:pt idx="4563">
                  <c:v>#N/A</c:v>
                </c:pt>
                <c:pt idx="4564">
                  <c:v>#N/A</c:v>
                </c:pt>
                <c:pt idx="4565">
                  <c:v>#N/A</c:v>
                </c:pt>
                <c:pt idx="4566">
                  <c:v>#N/A</c:v>
                </c:pt>
                <c:pt idx="4567">
                  <c:v>#N/A</c:v>
                </c:pt>
                <c:pt idx="4568">
                  <c:v>#N/A</c:v>
                </c:pt>
                <c:pt idx="4569">
                  <c:v>#N/A</c:v>
                </c:pt>
                <c:pt idx="4570">
                  <c:v>#N/A</c:v>
                </c:pt>
                <c:pt idx="4571">
                  <c:v>#N/A</c:v>
                </c:pt>
                <c:pt idx="4572">
                  <c:v>#N/A</c:v>
                </c:pt>
                <c:pt idx="4573">
                  <c:v>#N/A</c:v>
                </c:pt>
                <c:pt idx="4574">
                  <c:v>#N/A</c:v>
                </c:pt>
                <c:pt idx="4575">
                  <c:v>#N/A</c:v>
                </c:pt>
                <c:pt idx="4576">
                  <c:v>#N/A</c:v>
                </c:pt>
                <c:pt idx="4577">
                  <c:v>#N/A</c:v>
                </c:pt>
                <c:pt idx="4578">
                  <c:v>#N/A</c:v>
                </c:pt>
                <c:pt idx="4579">
                  <c:v>#N/A</c:v>
                </c:pt>
                <c:pt idx="4580">
                  <c:v>#N/A</c:v>
                </c:pt>
                <c:pt idx="4581">
                  <c:v>#N/A</c:v>
                </c:pt>
                <c:pt idx="4582">
                  <c:v>#N/A</c:v>
                </c:pt>
                <c:pt idx="4583">
                  <c:v>#N/A</c:v>
                </c:pt>
                <c:pt idx="4584">
                  <c:v>#N/A</c:v>
                </c:pt>
                <c:pt idx="4585">
                  <c:v>#N/A</c:v>
                </c:pt>
                <c:pt idx="4586">
                  <c:v>#N/A</c:v>
                </c:pt>
                <c:pt idx="4587">
                  <c:v>#N/A</c:v>
                </c:pt>
                <c:pt idx="4588">
                  <c:v>#N/A</c:v>
                </c:pt>
                <c:pt idx="4589">
                  <c:v>#N/A</c:v>
                </c:pt>
                <c:pt idx="4590">
                  <c:v>#N/A</c:v>
                </c:pt>
                <c:pt idx="4591">
                  <c:v>#N/A</c:v>
                </c:pt>
                <c:pt idx="4592">
                  <c:v>#N/A</c:v>
                </c:pt>
                <c:pt idx="4593">
                  <c:v>#N/A</c:v>
                </c:pt>
                <c:pt idx="4594">
                  <c:v>#N/A</c:v>
                </c:pt>
                <c:pt idx="4595">
                  <c:v>#N/A</c:v>
                </c:pt>
                <c:pt idx="4596">
                  <c:v>#N/A</c:v>
                </c:pt>
                <c:pt idx="4597">
                  <c:v>#N/A</c:v>
                </c:pt>
                <c:pt idx="4598">
                  <c:v>#N/A</c:v>
                </c:pt>
                <c:pt idx="4599">
                  <c:v>#N/A</c:v>
                </c:pt>
                <c:pt idx="4600">
                  <c:v>#N/A</c:v>
                </c:pt>
                <c:pt idx="4601">
                  <c:v>#N/A</c:v>
                </c:pt>
                <c:pt idx="4602">
                  <c:v>#N/A</c:v>
                </c:pt>
                <c:pt idx="4603">
                  <c:v>#N/A</c:v>
                </c:pt>
                <c:pt idx="4604">
                  <c:v>#N/A</c:v>
                </c:pt>
                <c:pt idx="4605">
                  <c:v>#N/A</c:v>
                </c:pt>
                <c:pt idx="4606">
                  <c:v>#N/A</c:v>
                </c:pt>
                <c:pt idx="4607">
                  <c:v>#N/A</c:v>
                </c:pt>
                <c:pt idx="4608">
                  <c:v>#N/A</c:v>
                </c:pt>
                <c:pt idx="4609">
                  <c:v>#N/A</c:v>
                </c:pt>
                <c:pt idx="4610">
                  <c:v>#N/A</c:v>
                </c:pt>
                <c:pt idx="4611">
                  <c:v>#N/A</c:v>
                </c:pt>
                <c:pt idx="4612">
                  <c:v>#N/A</c:v>
                </c:pt>
                <c:pt idx="4613">
                  <c:v>#N/A</c:v>
                </c:pt>
                <c:pt idx="4614">
                  <c:v>#N/A</c:v>
                </c:pt>
                <c:pt idx="4615">
                  <c:v>#N/A</c:v>
                </c:pt>
                <c:pt idx="4616">
                  <c:v>#N/A</c:v>
                </c:pt>
                <c:pt idx="4617">
                  <c:v>#N/A</c:v>
                </c:pt>
                <c:pt idx="4618">
                  <c:v>#N/A</c:v>
                </c:pt>
                <c:pt idx="4619">
                  <c:v>#N/A</c:v>
                </c:pt>
                <c:pt idx="4620">
                  <c:v>#N/A</c:v>
                </c:pt>
                <c:pt idx="4621">
                  <c:v>#N/A</c:v>
                </c:pt>
                <c:pt idx="4622">
                  <c:v>#N/A</c:v>
                </c:pt>
                <c:pt idx="4623">
                  <c:v>#N/A</c:v>
                </c:pt>
                <c:pt idx="4624">
                  <c:v>#N/A</c:v>
                </c:pt>
                <c:pt idx="4625">
                  <c:v>#N/A</c:v>
                </c:pt>
                <c:pt idx="4626">
                  <c:v>#N/A</c:v>
                </c:pt>
                <c:pt idx="4627">
                  <c:v>#N/A</c:v>
                </c:pt>
                <c:pt idx="4628">
                  <c:v>#N/A</c:v>
                </c:pt>
                <c:pt idx="4629">
                  <c:v>#N/A</c:v>
                </c:pt>
                <c:pt idx="4630">
                  <c:v>#N/A</c:v>
                </c:pt>
                <c:pt idx="4631">
                  <c:v>#N/A</c:v>
                </c:pt>
                <c:pt idx="4632">
                  <c:v>#N/A</c:v>
                </c:pt>
                <c:pt idx="4633">
                  <c:v>#N/A</c:v>
                </c:pt>
                <c:pt idx="4634">
                  <c:v>#N/A</c:v>
                </c:pt>
                <c:pt idx="4635">
                  <c:v>#N/A</c:v>
                </c:pt>
                <c:pt idx="4636">
                  <c:v>#N/A</c:v>
                </c:pt>
                <c:pt idx="4637">
                  <c:v>#N/A</c:v>
                </c:pt>
                <c:pt idx="4638">
                  <c:v>#N/A</c:v>
                </c:pt>
                <c:pt idx="4639">
                  <c:v>#N/A</c:v>
                </c:pt>
                <c:pt idx="4640">
                  <c:v>#N/A</c:v>
                </c:pt>
                <c:pt idx="4641">
                  <c:v>#N/A</c:v>
                </c:pt>
                <c:pt idx="4642">
                  <c:v>#N/A</c:v>
                </c:pt>
                <c:pt idx="4643">
                  <c:v>#N/A</c:v>
                </c:pt>
                <c:pt idx="4644">
                  <c:v>#N/A</c:v>
                </c:pt>
                <c:pt idx="4645">
                  <c:v>#N/A</c:v>
                </c:pt>
                <c:pt idx="4646">
                  <c:v>#N/A</c:v>
                </c:pt>
                <c:pt idx="4647">
                  <c:v>#N/A</c:v>
                </c:pt>
                <c:pt idx="4648">
                  <c:v>#N/A</c:v>
                </c:pt>
                <c:pt idx="4649">
                  <c:v>#N/A</c:v>
                </c:pt>
                <c:pt idx="4650">
                  <c:v>#N/A</c:v>
                </c:pt>
                <c:pt idx="4651">
                  <c:v>#N/A</c:v>
                </c:pt>
                <c:pt idx="4652">
                  <c:v>#N/A</c:v>
                </c:pt>
                <c:pt idx="4653">
                  <c:v>#N/A</c:v>
                </c:pt>
                <c:pt idx="4654">
                  <c:v>#N/A</c:v>
                </c:pt>
                <c:pt idx="4655">
                  <c:v>#N/A</c:v>
                </c:pt>
                <c:pt idx="4656">
                  <c:v>#N/A</c:v>
                </c:pt>
                <c:pt idx="4657">
                  <c:v>#N/A</c:v>
                </c:pt>
                <c:pt idx="4658">
                  <c:v>#N/A</c:v>
                </c:pt>
                <c:pt idx="4659">
                  <c:v>#N/A</c:v>
                </c:pt>
                <c:pt idx="4660">
                  <c:v>#N/A</c:v>
                </c:pt>
                <c:pt idx="4661">
                  <c:v>#N/A</c:v>
                </c:pt>
                <c:pt idx="4662">
                  <c:v>#N/A</c:v>
                </c:pt>
                <c:pt idx="4663">
                  <c:v>#N/A</c:v>
                </c:pt>
                <c:pt idx="4664">
                  <c:v>#N/A</c:v>
                </c:pt>
                <c:pt idx="4665">
                  <c:v>#N/A</c:v>
                </c:pt>
                <c:pt idx="4666">
                  <c:v>#N/A</c:v>
                </c:pt>
                <c:pt idx="4667">
                  <c:v>#N/A</c:v>
                </c:pt>
                <c:pt idx="4668">
                  <c:v>#N/A</c:v>
                </c:pt>
                <c:pt idx="4669">
                  <c:v>#N/A</c:v>
                </c:pt>
                <c:pt idx="4670">
                  <c:v>#N/A</c:v>
                </c:pt>
                <c:pt idx="4671">
                  <c:v>#N/A</c:v>
                </c:pt>
                <c:pt idx="4672">
                  <c:v>#N/A</c:v>
                </c:pt>
                <c:pt idx="4673">
                  <c:v>#N/A</c:v>
                </c:pt>
                <c:pt idx="4674">
                  <c:v>#N/A</c:v>
                </c:pt>
                <c:pt idx="4675">
                  <c:v>#N/A</c:v>
                </c:pt>
                <c:pt idx="4676">
                  <c:v>#N/A</c:v>
                </c:pt>
                <c:pt idx="4677">
                  <c:v>#N/A</c:v>
                </c:pt>
                <c:pt idx="4678">
                  <c:v>#N/A</c:v>
                </c:pt>
                <c:pt idx="4679">
                  <c:v>#N/A</c:v>
                </c:pt>
                <c:pt idx="4680">
                  <c:v>#N/A</c:v>
                </c:pt>
                <c:pt idx="4681">
                  <c:v>#N/A</c:v>
                </c:pt>
                <c:pt idx="4682">
                  <c:v>#N/A</c:v>
                </c:pt>
                <c:pt idx="4683">
                  <c:v>#N/A</c:v>
                </c:pt>
                <c:pt idx="4684">
                  <c:v>#N/A</c:v>
                </c:pt>
                <c:pt idx="4685">
                  <c:v>#N/A</c:v>
                </c:pt>
                <c:pt idx="4686">
                  <c:v>#N/A</c:v>
                </c:pt>
                <c:pt idx="4687">
                  <c:v>#N/A</c:v>
                </c:pt>
                <c:pt idx="4688">
                  <c:v>#N/A</c:v>
                </c:pt>
                <c:pt idx="4689">
                  <c:v>#N/A</c:v>
                </c:pt>
                <c:pt idx="4690">
                  <c:v>#N/A</c:v>
                </c:pt>
                <c:pt idx="4691">
                  <c:v>#N/A</c:v>
                </c:pt>
                <c:pt idx="4692">
                  <c:v>#N/A</c:v>
                </c:pt>
                <c:pt idx="4693">
                  <c:v>#N/A</c:v>
                </c:pt>
                <c:pt idx="4694">
                  <c:v>#N/A</c:v>
                </c:pt>
                <c:pt idx="4695">
                  <c:v>#N/A</c:v>
                </c:pt>
                <c:pt idx="4696">
                  <c:v>#N/A</c:v>
                </c:pt>
                <c:pt idx="4697">
                  <c:v>#N/A</c:v>
                </c:pt>
                <c:pt idx="4698">
                  <c:v>#N/A</c:v>
                </c:pt>
                <c:pt idx="4699">
                  <c:v>#N/A</c:v>
                </c:pt>
                <c:pt idx="4700">
                  <c:v>#N/A</c:v>
                </c:pt>
                <c:pt idx="4701">
                  <c:v>#N/A</c:v>
                </c:pt>
                <c:pt idx="4702">
                  <c:v>#N/A</c:v>
                </c:pt>
                <c:pt idx="4703">
                  <c:v>#N/A</c:v>
                </c:pt>
                <c:pt idx="4704">
                  <c:v>#N/A</c:v>
                </c:pt>
                <c:pt idx="4705">
                  <c:v>#N/A</c:v>
                </c:pt>
                <c:pt idx="4706">
                  <c:v>#N/A</c:v>
                </c:pt>
                <c:pt idx="4707">
                  <c:v>#N/A</c:v>
                </c:pt>
                <c:pt idx="4708">
                  <c:v>#N/A</c:v>
                </c:pt>
                <c:pt idx="4709">
                  <c:v>#N/A</c:v>
                </c:pt>
                <c:pt idx="4710">
                  <c:v>#N/A</c:v>
                </c:pt>
                <c:pt idx="4711">
                  <c:v>#N/A</c:v>
                </c:pt>
                <c:pt idx="4712">
                  <c:v>#N/A</c:v>
                </c:pt>
                <c:pt idx="4713">
                  <c:v>#N/A</c:v>
                </c:pt>
                <c:pt idx="4714">
                  <c:v>#N/A</c:v>
                </c:pt>
                <c:pt idx="4715">
                  <c:v>#N/A</c:v>
                </c:pt>
                <c:pt idx="4716">
                  <c:v>#N/A</c:v>
                </c:pt>
                <c:pt idx="4717">
                  <c:v>#N/A</c:v>
                </c:pt>
                <c:pt idx="4718">
                  <c:v>#N/A</c:v>
                </c:pt>
                <c:pt idx="4719">
                  <c:v>#N/A</c:v>
                </c:pt>
                <c:pt idx="4720">
                  <c:v>#N/A</c:v>
                </c:pt>
                <c:pt idx="4721">
                  <c:v>#N/A</c:v>
                </c:pt>
                <c:pt idx="4722">
                  <c:v>#N/A</c:v>
                </c:pt>
                <c:pt idx="4723">
                  <c:v>#N/A</c:v>
                </c:pt>
                <c:pt idx="4724">
                  <c:v>#N/A</c:v>
                </c:pt>
                <c:pt idx="4725">
                  <c:v>#N/A</c:v>
                </c:pt>
                <c:pt idx="4726">
                  <c:v>#N/A</c:v>
                </c:pt>
                <c:pt idx="4727">
                  <c:v>#N/A</c:v>
                </c:pt>
                <c:pt idx="4728">
                  <c:v>#N/A</c:v>
                </c:pt>
                <c:pt idx="4729">
                  <c:v>#N/A</c:v>
                </c:pt>
                <c:pt idx="4730">
                  <c:v>#N/A</c:v>
                </c:pt>
                <c:pt idx="4731">
                  <c:v>#N/A</c:v>
                </c:pt>
                <c:pt idx="4732">
                  <c:v>#N/A</c:v>
                </c:pt>
                <c:pt idx="4733">
                  <c:v>#N/A</c:v>
                </c:pt>
                <c:pt idx="4734">
                  <c:v>#N/A</c:v>
                </c:pt>
                <c:pt idx="4735">
                  <c:v>#N/A</c:v>
                </c:pt>
                <c:pt idx="4736">
                  <c:v>#N/A</c:v>
                </c:pt>
                <c:pt idx="4737">
                  <c:v>#N/A</c:v>
                </c:pt>
                <c:pt idx="4738">
                  <c:v>#N/A</c:v>
                </c:pt>
                <c:pt idx="4739">
                  <c:v>#N/A</c:v>
                </c:pt>
                <c:pt idx="4740">
                  <c:v>#N/A</c:v>
                </c:pt>
                <c:pt idx="4741">
                  <c:v>#N/A</c:v>
                </c:pt>
                <c:pt idx="4742">
                  <c:v>#N/A</c:v>
                </c:pt>
                <c:pt idx="4743">
                  <c:v>#N/A</c:v>
                </c:pt>
                <c:pt idx="4744">
                  <c:v>#N/A</c:v>
                </c:pt>
                <c:pt idx="4745">
                  <c:v>#N/A</c:v>
                </c:pt>
                <c:pt idx="4746">
                  <c:v>#N/A</c:v>
                </c:pt>
                <c:pt idx="4747">
                  <c:v>#N/A</c:v>
                </c:pt>
                <c:pt idx="4748">
                  <c:v>#N/A</c:v>
                </c:pt>
                <c:pt idx="4749">
                  <c:v>#N/A</c:v>
                </c:pt>
                <c:pt idx="4750">
                  <c:v>#N/A</c:v>
                </c:pt>
                <c:pt idx="4751">
                  <c:v>#N/A</c:v>
                </c:pt>
                <c:pt idx="4752">
                  <c:v>#N/A</c:v>
                </c:pt>
                <c:pt idx="4753">
                  <c:v>#N/A</c:v>
                </c:pt>
                <c:pt idx="4754">
                  <c:v>#N/A</c:v>
                </c:pt>
                <c:pt idx="4755">
                  <c:v>#N/A</c:v>
                </c:pt>
                <c:pt idx="4756">
                  <c:v>#N/A</c:v>
                </c:pt>
                <c:pt idx="4757">
                  <c:v>#N/A</c:v>
                </c:pt>
                <c:pt idx="4758">
                  <c:v>#N/A</c:v>
                </c:pt>
                <c:pt idx="4759">
                  <c:v>#N/A</c:v>
                </c:pt>
                <c:pt idx="4760">
                  <c:v>#N/A</c:v>
                </c:pt>
                <c:pt idx="4761">
                  <c:v>#N/A</c:v>
                </c:pt>
                <c:pt idx="4762">
                  <c:v>#N/A</c:v>
                </c:pt>
                <c:pt idx="4763">
                  <c:v>#N/A</c:v>
                </c:pt>
                <c:pt idx="4764">
                  <c:v>#N/A</c:v>
                </c:pt>
                <c:pt idx="4765">
                  <c:v>#N/A</c:v>
                </c:pt>
                <c:pt idx="4766">
                  <c:v>#N/A</c:v>
                </c:pt>
                <c:pt idx="4767">
                  <c:v>#N/A</c:v>
                </c:pt>
                <c:pt idx="4768">
                  <c:v>#N/A</c:v>
                </c:pt>
                <c:pt idx="4769">
                  <c:v>#N/A</c:v>
                </c:pt>
                <c:pt idx="4770">
                  <c:v>#N/A</c:v>
                </c:pt>
                <c:pt idx="4771">
                  <c:v>#N/A</c:v>
                </c:pt>
                <c:pt idx="4772">
                  <c:v>#N/A</c:v>
                </c:pt>
                <c:pt idx="4773">
                  <c:v>#N/A</c:v>
                </c:pt>
                <c:pt idx="4774">
                  <c:v>#N/A</c:v>
                </c:pt>
                <c:pt idx="4775">
                  <c:v>#N/A</c:v>
                </c:pt>
                <c:pt idx="4776">
                  <c:v>#N/A</c:v>
                </c:pt>
                <c:pt idx="4777">
                  <c:v>#N/A</c:v>
                </c:pt>
                <c:pt idx="4778">
                  <c:v>#N/A</c:v>
                </c:pt>
                <c:pt idx="4779">
                  <c:v>#N/A</c:v>
                </c:pt>
                <c:pt idx="4780">
                  <c:v>#N/A</c:v>
                </c:pt>
                <c:pt idx="4781">
                  <c:v>#N/A</c:v>
                </c:pt>
                <c:pt idx="4782">
                  <c:v>#N/A</c:v>
                </c:pt>
                <c:pt idx="4783">
                  <c:v>#N/A</c:v>
                </c:pt>
                <c:pt idx="4784">
                  <c:v>#N/A</c:v>
                </c:pt>
                <c:pt idx="4785">
                  <c:v>#N/A</c:v>
                </c:pt>
                <c:pt idx="4786">
                  <c:v>#N/A</c:v>
                </c:pt>
                <c:pt idx="4787">
                  <c:v>#N/A</c:v>
                </c:pt>
                <c:pt idx="4788">
                  <c:v>#N/A</c:v>
                </c:pt>
                <c:pt idx="4789">
                  <c:v>#N/A</c:v>
                </c:pt>
                <c:pt idx="4790">
                  <c:v>#N/A</c:v>
                </c:pt>
                <c:pt idx="4791">
                  <c:v>#N/A</c:v>
                </c:pt>
                <c:pt idx="4792">
                  <c:v>#N/A</c:v>
                </c:pt>
                <c:pt idx="4793">
                  <c:v>#N/A</c:v>
                </c:pt>
                <c:pt idx="4794">
                  <c:v>#N/A</c:v>
                </c:pt>
                <c:pt idx="4795">
                  <c:v>#N/A</c:v>
                </c:pt>
                <c:pt idx="4796">
                  <c:v>#N/A</c:v>
                </c:pt>
                <c:pt idx="4797">
                  <c:v>#N/A</c:v>
                </c:pt>
                <c:pt idx="4798">
                  <c:v>#N/A</c:v>
                </c:pt>
                <c:pt idx="4799">
                  <c:v>#N/A</c:v>
                </c:pt>
                <c:pt idx="4800">
                  <c:v>#N/A</c:v>
                </c:pt>
                <c:pt idx="4801">
                  <c:v>#N/A</c:v>
                </c:pt>
                <c:pt idx="4802">
                  <c:v>#N/A</c:v>
                </c:pt>
                <c:pt idx="4803">
                  <c:v>#N/A</c:v>
                </c:pt>
                <c:pt idx="4804">
                  <c:v>#N/A</c:v>
                </c:pt>
                <c:pt idx="4805">
                  <c:v>#N/A</c:v>
                </c:pt>
                <c:pt idx="4806">
                  <c:v>#N/A</c:v>
                </c:pt>
                <c:pt idx="4807">
                  <c:v>#N/A</c:v>
                </c:pt>
                <c:pt idx="4808">
                  <c:v>#N/A</c:v>
                </c:pt>
                <c:pt idx="4809">
                  <c:v>#N/A</c:v>
                </c:pt>
                <c:pt idx="4810">
                  <c:v>#N/A</c:v>
                </c:pt>
                <c:pt idx="4811">
                  <c:v>#N/A</c:v>
                </c:pt>
                <c:pt idx="4812">
                  <c:v>#N/A</c:v>
                </c:pt>
                <c:pt idx="4813">
                  <c:v>#N/A</c:v>
                </c:pt>
                <c:pt idx="4814">
                  <c:v>#N/A</c:v>
                </c:pt>
                <c:pt idx="4815">
                  <c:v>#N/A</c:v>
                </c:pt>
                <c:pt idx="4816">
                  <c:v>#N/A</c:v>
                </c:pt>
                <c:pt idx="4817">
                  <c:v>#N/A</c:v>
                </c:pt>
                <c:pt idx="4818">
                  <c:v>#N/A</c:v>
                </c:pt>
                <c:pt idx="4819">
                  <c:v>#N/A</c:v>
                </c:pt>
                <c:pt idx="4820">
                  <c:v>#N/A</c:v>
                </c:pt>
                <c:pt idx="4821">
                  <c:v>#N/A</c:v>
                </c:pt>
                <c:pt idx="4822">
                  <c:v>#N/A</c:v>
                </c:pt>
                <c:pt idx="4823">
                  <c:v>#N/A</c:v>
                </c:pt>
                <c:pt idx="4824">
                  <c:v>#N/A</c:v>
                </c:pt>
                <c:pt idx="4825">
                  <c:v>#N/A</c:v>
                </c:pt>
                <c:pt idx="4826">
                  <c:v>#N/A</c:v>
                </c:pt>
                <c:pt idx="4827">
                  <c:v>#N/A</c:v>
                </c:pt>
                <c:pt idx="4828">
                  <c:v>#N/A</c:v>
                </c:pt>
                <c:pt idx="4829">
                  <c:v>#N/A</c:v>
                </c:pt>
                <c:pt idx="4830">
                  <c:v>#N/A</c:v>
                </c:pt>
                <c:pt idx="4831">
                  <c:v>#N/A</c:v>
                </c:pt>
                <c:pt idx="4832">
                  <c:v>#N/A</c:v>
                </c:pt>
                <c:pt idx="4833">
                  <c:v>#N/A</c:v>
                </c:pt>
                <c:pt idx="4834">
                  <c:v>#N/A</c:v>
                </c:pt>
                <c:pt idx="4835">
                  <c:v>#N/A</c:v>
                </c:pt>
                <c:pt idx="4836">
                  <c:v>#N/A</c:v>
                </c:pt>
                <c:pt idx="4837">
                  <c:v>#N/A</c:v>
                </c:pt>
                <c:pt idx="4838">
                  <c:v>#N/A</c:v>
                </c:pt>
                <c:pt idx="4839">
                  <c:v>#N/A</c:v>
                </c:pt>
                <c:pt idx="4840">
                  <c:v>#N/A</c:v>
                </c:pt>
                <c:pt idx="4841">
                  <c:v>#N/A</c:v>
                </c:pt>
                <c:pt idx="4842">
                  <c:v>#N/A</c:v>
                </c:pt>
                <c:pt idx="4843">
                  <c:v>#N/A</c:v>
                </c:pt>
                <c:pt idx="4844">
                  <c:v>#N/A</c:v>
                </c:pt>
                <c:pt idx="4845">
                  <c:v>#N/A</c:v>
                </c:pt>
                <c:pt idx="4846">
                  <c:v>#N/A</c:v>
                </c:pt>
                <c:pt idx="4847">
                  <c:v>#N/A</c:v>
                </c:pt>
                <c:pt idx="4848">
                  <c:v>#N/A</c:v>
                </c:pt>
                <c:pt idx="4849">
                  <c:v>#N/A</c:v>
                </c:pt>
                <c:pt idx="4850">
                  <c:v>#N/A</c:v>
                </c:pt>
                <c:pt idx="4851">
                  <c:v>#N/A</c:v>
                </c:pt>
                <c:pt idx="4852">
                  <c:v>#N/A</c:v>
                </c:pt>
                <c:pt idx="4853">
                  <c:v>#N/A</c:v>
                </c:pt>
                <c:pt idx="4854">
                  <c:v>#N/A</c:v>
                </c:pt>
                <c:pt idx="4855">
                  <c:v>#N/A</c:v>
                </c:pt>
                <c:pt idx="4856">
                  <c:v>#N/A</c:v>
                </c:pt>
                <c:pt idx="4857">
                  <c:v>#N/A</c:v>
                </c:pt>
                <c:pt idx="4858">
                  <c:v>#N/A</c:v>
                </c:pt>
                <c:pt idx="4859">
                  <c:v>#N/A</c:v>
                </c:pt>
                <c:pt idx="4860">
                  <c:v>#N/A</c:v>
                </c:pt>
                <c:pt idx="4861">
                  <c:v>#N/A</c:v>
                </c:pt>
                <c:pt idx="4862">
                  <c:v>#N/A</c:v>
                </c:pt>
                <c:pt idx="4863">
                  <c:v>#N/A</c:v>
                </c:pt>
                <c:pt idx="4864">
                  <c:v>#N/A</c:v>
                </c:pt>
                <c:pt idx="4865">
                  <c:v>#N/A</c:v>
                </c:pt>
                <c:pt idx="4866">
                  <c:v>#N/A</c:v>
                </c:pt>
                <c:pt idx="4867">
                  <c:v>#N/A</c:v>
                </c:pt>
                <c:pt idx="4868">
                  <c:v>#N/A</c:v>
                </c:pt>
                <c:pt idx="4869">
                  <c:v>#N/A</c:v>
                </c:pt>
                <c:pt idx="4870">
                  <c:v>#N/A</c:v>
                </c:pt>
                <c:pt idx="4871">
                  <c:v>#N/A</c:v>
                </c:pt>
                <c:pt idx="4872">
                  <c:v>#N/A</c:v>
                </c:pt>
                <c:pt idx="4873">
                  <c:v>#N/A</c:v>
                </c:pt>
                <c:pt idx="4874">
                  <c:v>#N/A</c:v>
                </c:pt>
                <c:pt idx="4875">
                  <c:v>#N/A</c:v>
                </c:pt>
                <c:pt idx="4876">
                  <c:v>#N/A</c:v>
                </c:pt>
                <c:pt idx="4877">
                  <c:v>#N/A</c:v>
                </c:pt>
                <c:pt idx="4878">
                  <c:v>#N/A</c:v>
                </c:pt>
                <c:pt idx="4879">
                  <c:v>#N/A</c:v>
                </c:pt>
                <c:pt idx="4880">
                  <c:v>#N/A</c:v>
                </c:pt>
                <c:pt idx="4881">
                  <c:v>#N/A</c:v>
                </c:pt>
                <c:pt idx="4882">
                  <c:v>#N/A</c:v>
                </c:pt>
                <c:pt idx="4883">
                  <c:v>#N/A</c:v>
                </c:pt>
                <c:pt idx="4884">
                  <c:v>#N/A</c:v>
                </c:pt>
                <c:pt idx="4885">
                  <c:v>#N/A</c:v>
                </c:pt>
                <c:pt idx="4886">
                  <c:v>#N/A</c:v>
                </c:pt>
                <c:pt idx="4887">
                  <c:v>#N/A</c:v>
                </c:pt>
                <c:pt idx="4888">
                  <c:v>#N/A</c:v>
                </c:pt>
                <c:pt idx="4889">
                  <c:v>#N/A</c:v>
                </c:pt>
                <c:pt idx="4890">
                  <c:v>#N/A</c:v>
                </c:pt>
                <c:pt idx="4891">
                  <c:v>#N/A</c:v>
                </c:pt>
                <c:pt idx="4892">
                  <c:v>#N/A</c:v>
                </c:pt>
                <c:pt idx="4893">
                  <c:v>#N/A</c:v>
                </c:pt>
                <c:pt idx="4894">
                  <c:v>#N/A</c:v>
                </c:pt>
                <c:pt idx="4895">
                  <c:v>#N/A</c:v>
                </c:pt>
                <c:pt idx="4896">
                  <c:v>#N/A</c:v>
                </c:pt>
                <c:pt idx="4897">
                  <c:v>#N/A</c:v>
                </c:pt>
                <c:pt idx="4898">
                  <c:v>#N/A</c:v>
                </c:pt>
                <c:pt idx="4899">
                  <c:v>#N/A</c:v>
                </c:pt>
                <c:pt idx="4900">
                  <c:v>#N/A</c:v>
                </c:pt>
                <c:pt idx="4901">
                  <c:v>#N/A</c:v>
                </c:pt>
                <c:pt idx="4902">
                  <c:v>#N/A</c:v>
                </c:pt>
                <c:pt idx="4903">
                  <c:v>#N/A</c:v>
                </c:pt>
                <c:pt idx="4904">
                  <c:v>#N/A</c:v>
                </c:pt>
                <c:pt idx="4905">
                  <c:v>#N/A</c:v>
                </c:pt>
                <c:pt idx="4906">
                  <c:v>#N/A</c:v>
                </c:pt>
                <c:pt idx="4907">
                  <c:v>#N/A</c:v>
                </c:pt>
                <c:pt idx="4908">
                  <c:v>#N/A</c:v>
                </c:pt>
                <c:pt idx="4909">
                  <c:v>#N/A</c:v>
                </c:pt>
                <c:pt idx="4910">
                  <c:v>#N/A</c:v>
                </c:pt>
                <c:pt idx="4911">
                  <c:v>#N/A</c:v>
                </c:pt>
                <c:pt idx="4912">
                  <c:v>#N/A</c:v>
                </c:pt>
                <c:pt idx="4913">
                  <c:v>#N/A</c:v>
                </c:pt>
                <c:pt idx="4914">
                  <c:v>#N/A</c:v>
                </c:pt>
                <c:pt idx="4915">
                  <c:v>#N/A</c:v>
                </c:pt>
                <c:pt idx="4916">
                  <c:v>#N/A</c:v>
                </c:pt>
                <c:pt idx="4917">
                  <c:v>#N/A</c:v>
                </c:pt>
                <c:pt idx="4918">
                  <c:v>#N/A</c:v>
                </c:pt>
                <c:pt idx="4919">
                  <c:v>#N/A</c:v>
                </c:pt>
                <c:pt idx="4920">
                  <c:v>#N/A</c:v>
                </c:pt>
                <c:pt idx="4921">
                  <c:v>#N/A</c:v>
                </c:pt>
                <c:pt idx="4922">
                  <c:v>#N/A</c:v>
                </c:pt>
                <c:pt idx="4923">
                  <c:v>#N/A</c:v>
                </c:pt>
                <c:pt idx="4924">
                  <c:v>#N/A</c:v>
                </c:pt>
                <c:pt idx="4925">
                  <c:v>#N/A</c:v>
                </c:pt>
                <c:pt idx="4926">
                  <c:v>#N/A</c:v>
                </c:pt>
                <c:pt idx="4927">
                  <c:v>#N/A</c:v>
                </c:pt>
                <c:pt idx="4928">
                  <c:v>#N/A</c:v>
                </c:pt>
                <c:pt idx="4929">
                  <c:v>#N/A</c:v>
                </c:pt>
                <c:pt idx="4930">
                  <c:v>#N/A</c:v>
                </c:pt>
                <c:pt idx="4931">
                  <c:v>#N/A</c:v>
                </c:pt>
                <c:pt idx="4932">
                  <c:v>#N/A</c:v>
                </c:pt>
                <c:pt idx="4933">
                  <c:v>#N/A</c:v>
                </c:pt>
                <c:pt idx="4934">
                  <c:v>#N/A</c:v>
                </c:pt>
                <c:pt idx="4935">
                  <c:v>#N/A</c:v>
                </c:pt>
                <c:pt idx="4936">
                  <c:v>#N/A</c:v>
                </c:pt>
                <c:pt idx="4937">
                  <c:v>#N/A</c:v>
                </c:pt>
                <c:pt idx="4938">
                  <c:v>#N/A</c:v>
                </c:pt>
                <c:pt idx="4939">
                  <c:v>#N/A</c:v>
                </c:pt>
                <c:pt idx="4940">
                  <c:v>#N/A</c:v>
                </c:pt>
                <c:pt idx="4941">
                  <c:v>#N/A</c:v>
                </c:pt>
                <c:pt idx="4942">
                  <c:v>#N/A</c:v>
                </c:pt>
                <c:pt idx="4943">
                  <c:v>#N/A</c:v>
                </c:pt>
                <c:pt idx="4944">
                  <c:v>#N/A</c:v>
                </c:pt>
                <c:pt idx="4945">
                  <c:v>#N/A</c:v>
                </c:pt>
                <c:pt idx="4946">
                  <c:v>#N/A</c:v>
                </c:pt>
                <c:pt idx="4947">
                  <c:v>#N/A</c:v>
                </c:pt>
                <c:pt idx="4948">
                  <c:v>#N/A</c:v>
                </c:pt>
                <c:pt idx="4949">
                  <c:v>#N/A</c:v>
                </c:pt>
                <c:pt idx="4950">
                  <c:v>#N/A</c:v>
                </c:pt>
                <c:pt idx="4951">
                  <c:v>#N/A</c:v>
                </c:pt>
                <c:pt idx="4952">
                  <c:v>#N/A</c:v>
                </c:pt>
                <c:pt idx="4953">
                  <c:v>#N/A</c:v>
                </c:pt>
                <c:pt idx="4954">
                  <c:v>#N/A</c:v>
                </c:pt>
                <c:pt idx="4955">
                  <c:v>#N/A</c:v>
                </c:pt>
                <c:pt idx="4956">
                  <c:v>#N/A</c:v>
                </c:pt>
                <c:pt idx="4957">
                  <c:v>#N/A</c:v>
                </c:pt>
                <c:pt idx="4958">
                  <c:v>#N/A</c:v>
                </c:pt>
                <c:pt idx="4959">
                  <c:v>#N/A</c:v>
                </c:pt>
                <c:pt idx="4960">
                  <c:v>#N/A</c:v>
                </c:pt>
                <c:pt idx="4961">
                  <c:v>#N/A</c:v>
                </c:pt>
                <c:pt idx="4962">
                  <c:v>#N/A</c:v>
                </c:pt>
                <c:pt idx="4963">
                  <c:v>#N/A</c:v>
                </c:pt>
                <c:pt idx="4964">
                  <c:v>#N/A</c:v>
                </c:pt>
                <c:pt idx="4965">
                  <c:v>#N/A</c:v>
                </c:pt>
                <c:pt idx="4966">
                  <c:v>#N/A</c:v>
                </c:pt>
                <c:pt idx="4967">
                  <c:v>#N/A</c:v>
                </c:pt>
                <c:pt idx="4968">
                  <c:v>#N/A</c:v>
                </c:pt>
                <c:pt idx="4969">
                  <c:v>#N/A</c:v>
                </c:pt>
                <c:pt idx="4970">
                  <c:v>#N/A</c:v>
                </c:pt>
                <c:pt idx="4971">
                  <c:v>#N/A</c:v>
                </c:pt>
                <c:pt idx="4972">
                  <c:v>#N/A</c:v>
                </c:pt>
                <c:pt idx="4973">
                  <c:v>#N/A</c:v>
                </c:pt>
                <c:pt idx="4974">
                  <c:v>#N/A</c:v>
                </c:pt>
                <c:pt idx="4975">
                  <c:v>#N/A</c:v>
                </c:pt>
                <c:pt idx="4976">
                  <c:v>#N/A</c:v>
                </c:pt>
                <c:pt idx="4977">
                  <c:v>#N/A</c:v>
                </c:pt>
                <c:pt idx="4978">
                  <c:v>#N/A</c:v>
                </c:pt>
                <c:pt idx="4979">
                  <c:v>#N/A</c:v>
                </c:pt>
                <c:pt idx="4980">
                  <c:v>#N/A</c:v>
                </c:pt>
                <c:pt idx="4981">
                  <c:v>#N/A</c:v>
                </c:pt>
                <c:pt idx="4982">
                  <c:v>#N/A</c:v>
                </c:pt>
                <c:pt idx="4983">
                  <c:v>#N/A</c:v>
                </c:pt>
                <c:pt idx="4984">
                  <c:v>#N/A</c:v>
                </c:pt>
                <c:pt idx="4985">
                  <c:v>#N/A</c:v>
                </c:pt>
                <c:pt idx="4986">
                  <c:v>#N/A</c:v>
                </c:pt>
                <c:pt idx="4987">
                  <c:v>#N/A</c:v>
                </c:pt>
                <c:pt idx="4988">
                  <c:v>#N/A</c:v>
                </c:pt>
                <c:pt idx="4989">
                  <c:v>#N/A</c:v>
                </c:pt>
                <c:pt idx="4990">
                  <c:v>#N/A</c:v>
                </c:pt>
                <c:pt idx="4991">
                  <c:v>#N/A</c:v>
                </c:pt>
                <c:pt idx="4992">
                  <c:v>#N/A</c:v>
                </c:pt>
                <c:pt idx="4993">
                  <c:v>#N/A</c:v>
                </c:pt>
                <c:pt idx="4994">
                  <c:v>#N/A</c:v>
                </c:pt>
                <c:pt idx="4995">
                  <c:v>#N/A</c:v>
                </c:pt>
                <c:pt idx="4996">
                  <c:v>#N/A</c:v>
                </c:pt>
                <c:pt idx="4997">
                  <c:v>#N/A</c:v>
                </c:pt>
                <c:pt idx="4998">
                  <c:v>#N/A</c:v>
                </c:pt>
                <c:pt idx="4999">
                  <c:v>#N/A</c:v>
                </c:pt>
              </c:numCache>
            </c:numRef>
          </c:val>
          <c:extLst>
            <c:ext xmlns:c16="http://schemas.microsoft.com/office/drawing/2014/chart" uri="{C3380CC4-5D6E-409C-BE32-E72D297353CC}">
              <c16:uniqueId val="{00000000-A3B8-4A7A-88F9-3FB27C46CC0F}"/>
            </c:ext>
          </c:extLst>
        </c:ser>
        <c:ser>
          <c:idx val="1"/>
          <c:order val="1"/>
          <c:tx>
            <c:strRef>
              <c:f>BeskrivendeStatistik!$CL$9</c:f>
              <c:strCache>
                <c:ptCount val="1"/>
                <c:pt idx="0">
                  <c:v>2. kvartil</c:v>
                </c:pt>
              </c:strCache>
            </c:strRef>
          </c:tx>
          <c:spPr>
            <a:solidFill>
              <a:schemeClr val="accent2"/>
            </a:solidFill>
            <a:ln>
              <a:noFill/>
            </a:ln>
            <a:effectLst/>
          </c:spPr>
          <c:invertIfNegative val="0"/>
          <c:cat>
            <c:strRef>
              <c:f>[0]!BxK</c:f>
              <c:strCache>
                <c:ptCount val="5000"/>
                <c:pt idx="0">
                  <c:v>-1.48</c:v>
                </c:pt>
                <c:pt idx="243">
                  <c:v>-0.776</c:v>
                </c:pt>
                <c:pt idx="683">
                  <c:v>0.499</c:v>
                </c:pt>
                <c:pt idx="1099">
                  <c:v>1.703</c:v>
                </c:pt>
                <c:pt idx="4999">
                  <c:v>13</c:v>
                </c:pt>
              </c:strCache>
            </c:strRef>
          </c:cat>
          <c:val>
            <c:numRef>
              <c:f>[0]!Bk_2</c:f>
              <c:numCache>
                <c:formatCode>General</c:formatCode>
                <c:ptCount val="50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1.0047263613915816</c:v>
                </c:pt>
                <c:pt idx="244">
                  <c:v>1.0047263613915816</c:v>
                </c:pt>
                <c:pt idx="245">
                  <c:v>1.0047263613915816</c:v>
                </c:pt>
                <c:pt idx="246">
                  <c:v>1.0047263613915816</c:v>
                </c:pt>
                <c:pt idx="247">
                  <c:v>1.0047263613915816</c:v>
                </c:pt>
                <c:pt idx="248">
                  <c:v>1.0047263613915816</c:v>
                </c:pt>
                <c:pt idx="249">
                  <c:v>1.0047263613915816</c:v>
                </c:pt>
                <c:pt idx="250">
                  <c:v>1.0047263613915816</c:v>
                </c:pt>
                <c:pt idx="251">
                  <c:v>1.0047263613915816</c:v>
                </c:pt>
                <c:pt idx="252">
                  <c:v>1.0047263613915816</c:v>
                </c:pt>
                <c:pt idx="253">
                  <c:v>1.0047263613915816</c:v>
                </c:pt>
                <c:pt idx="254">
                  <c:v>1.0047263613915816</c:v>
                </c:pt>
                <c:pt idx="255">
                  <c:v>1.0047263613915816</c:v>
                </c:pt>
                <c:pt idx="256">
                  <c:v>1.0047263613915816</c:v>
                </c:pt>
                <c:pt idx="257">
                  <c:v>1.0047263613915816</c:v>
                </c:pt>
                <c:pt idx="258">
                  <c:v>1.0047263613915816</c:v>
                </c:pt>
                <c:pt idx="259">
                  <c:v>1.0047263613915816</c:v>
                </c:pt>
                <c:pt idx="260">
                  <c:v>1.0047263613915816</c:v>
                </c:pt>
                <c:pt idx="261">
                  <c:v>1.0047263613915816</c:v>
                </c:pt>
                <c:pt idx="262">
                  <c:v>1.0047263613915816</c:v>
                </c:pt>
                <c:pt idx="263">
                  <c:v>1.0047263613915816</c:v>
                </c:pt>
                <c:pt idx="264">
                  <c:v>1.0047263613915816</c:v>
                </c:pt>
                <c:pt idx="265">
                  <c:v>1.0047263613915816</c:v>
                </c:pt>
                <c:pt idx="266">
                  <c:v>1.0047263613915816</c:v>
                </c:pt>
                <c:pt idx="267">
                  <c:v>1.0047263613915816</c:v>
                </c:pt>
                <c:pt idx="268">
                  <c:v>1.0047263613915816</c:v>
                </c:pt>
                <c:pt idx="269">
                  <c:v>1.0047263613915816</c:v>
                </c:pt>
                <c:pt idx="270">
                  <c:v>1.0047263613915816</c:v>
                </c:pt>
                <c:pt idx="271">
                  <c:v>1.0047263613915816</c:v>
                </c:pt>
                <c:pt idx="272">
                  <c:v>1.0047263613915816</c:v>
                </c:pt>
                <c:pt idx="273">
                  <c:v>1.0047263613915816</c:v>
                </c:pt>
                <c:pt idx="274">
                  <c:v>1.0047263613915816</c:v>
                </c:pt>
                <c:pt idx="275">
                  <c:v>1.0047263613915816</c:v>
                </c:pt>
                <c:pt idx="276">
                  <c:v>1.0047263613915816</c:v>
                </c:pt>
                <c:pt idx="277">
                  <c:v>1.0047263613915816</c:v>
                </c:pt>
                <c:pt idx="278">
                  <c:v>1.0047263613915816</c:v>
                </c:pt>
                <c:pt idx="279">
                  <c:v>1.0047263613915816</c:v>
                </c:pt>
                <c:pt idx="280">
                  <c:v>1.0047263613915816</c:v>
                </c:pt>
                <c:pt idx="281">
                  <c:v>1.0047263613915816</c:v>
                </c:pt>
                <c:pt idx="282">
                  <c:v>1.0047263613915816</c:v>
                </c:pt>
                <c:pt idx="283">
                  <c:v>1.0047263613915816</c:v>
                </c:pt>
                <c:pt idx="284">
                  <c:v>1.0047263613915816</c:v>
                </c:pt>
                <c:pt idx="285">
                  <c:v>1.0047263613915816</c:v>
                </c:pt>
                <c:pt idx="286">
                  <c:v>1.0047263613915816</c:v>
                </c:pt>
                <c:pt idx="287">
                  <c:v>1.0047263613915816</c:v>
                </c:pt>
                <c:pt idx="288">
                  <c:v>1.0047263613915816</c:v>
                </c:pt>
                <c:pt idx="289">
                  <c:v>1.0047263613915816</c:v>
                </c:pt>
                <c:pt idx="290">
                  <c:v>1.0047263613915816</c:v>
                </c:pt>
                <c:pt idx="291">
                  <c:v>1.0047263613915816</c:v>
                </c:pt>
                <c:pt idx="292">
                  <c:v>1.0047263613915816</c:v>
                </c:pt>
                <c:pt idx="293">
                  <c:v>1.0047263613915816</c:v>
                </c:pt>
                <c:pt idx="294">
                  <c:v>1.0047263613915816</c:v>
                </c:pt>
                <c:pt idx="295">
                  <c:v>1.0047263613915816</c:v>
                </c:pt>
                <c:pt idx="296">
                  <c:v>1.0047263613915816</c:v>
                </c:pt>
                <c:pt idx="297">
                  <c:v>1.0047263613915816</c:v>
                </c:pt>
                <c:pt idx="298">
                  <c:v>1.0047263613915816</c:v>
                </c:pt>
                <c:pt idx="299">
                  <c:v>1.0047263613915816</c:v>
                </c:pt>
                <c:pt idx="300">
                  <c:v>1.0047263613915816</c:v>
                </c:pt>
                <c:pt idx="301">
                  <c:v>1.0047263613915816</c:v>
                </c:pt>
                <c:pt idx="302">
                  <c:v>1.0047263613915816</c:v>
                </c:pt>
                <c:pt idx="303">
                  <c:v>1.0047263613915816</c:v>
                </c:pt>
                <c:pt idx="304">
                  <c:v>1.0047263613915816</c:v>
                </c:pt>
                <c:pt idx="305">
                  <c:v>1.0047263613915816</c:v>
                </c:pt>
                <c:pt idx="306">
                  <c:v>1.0047263613915816</c:v>
                </c:pt>
                <c:pt idx="307">
                  <c:v>1.0047263613915816</c:v>
                </c:pt>
                <c:pt idx="308">
                  <c:v>1.0047263613915816</c:v>
                </c:pt>
                <c:pt idx="309">
                  <c:v>1.0047263613915816</c:v>
                </c:pt>
                <c:pt idx="310">
                  <c:v>1.0047263613915816</c:v>
                </c:pt>
                <c:pt idx="311">
                  <c:v>1.0047263613915816</c:v>
                </c:pt>
                <c:pt idx="312">
                  <c:v>1.0047263613915816</c:v>
                </c:pt>
                <c:pt idx="313">
                  <c:v>1.0047263613915816</c:v>
                </c:pt>
                <c:pt idx="314">
                  <c:v>1.0047263613915816</c:v>
                </c:pt>
                <c:pt idx="315">
                  <c:v>1.0047263613915816</c:v>
                </c:pt>
                <c:pt idx="316">
                  <c:v>1.0047263613915816</c:v>
                </c:pt>
                <c:pt idx="317">
                  <c:v>1.0047263613915816</c:v>
                </c:pt>
                <c:pt idx="318">
                  <c:v>1.0047263613915816</c:v>
                </c:pt>
                <c:pt idx="319">
                  <c:v>1.0047263613915816</c:v>
                </c:pt>
                <c:pt idx="320">
                  <c:v>1.0047263613915816</c:v>
                </c:pt>
                <c:pt idx="321">
                  <c:v>1.0047263613915816</c:v>
                </c:pt>
                <c:pt idx="322">
                  <c:v>1.0047263613915816</c:v>
                </c:pt>
                <c:pt idx="323">
                  <c:v>1.0047263613915816</c:v>
                </c:pt>
                <c:pt idx="324">
                  <c:v>1.0047263613915816</c:v>
                </c:pt>
                <c:pt idx="325">
                  <c:v>1.0047263613915816</c:v>
                </c:pt>
                <c:pt idx="326">
                  <c:v>1.0047263613915816</c:v>
                </c:pt>
                <c:pt idx="327">
                  <c:v>1.0047263613915816</c:v>
                </c:pt>
                <c:pt idx="328">
                  <c:v>1.0047263613915816</c:v>
                </c:pt>
                <c:pt idx="329">
                  <c:v>1.0047263613915816</c:v>
                </c:pt>
                <c:pt idx="330">
                  <c:v>1.0047263613915816</c:v>
                </c:pt>
                <c:pt idx="331">
                  <c:v>1.0047263613915816</c:v>
                </c:pt>
                <c:pt idx="332">
                  <c:v>1.0047263613915816</c:v>
                </c:pt>
                <c:pt idx="333">
                  <c:v>1.0047263613915816</c:v>
                </c:pt>
                <c:pt idx="334">
                  <c:v>1.0047263613915816</c:v>
                </c:pt>
                <c:pt idx="335">
                  <c:v>1.0047263613915816</c:v>
                </c:pt>
                <c:pt idx="336">
                  <c:v>1.0047263613915816</c:v>
                </c:pt>
                <c:pt idx="337">
                  <c:v>1.0047263613915816</c:v>
                </c:pt>
                <c:pt idx="338">
                  <c:v>1.0047263613915816</c:v>
                </c:pt>
                <c:pt idx="339">
                  <c:v>1.0047263613915816</c:v>
                </c:pt>
                <c:pt idx="340">
                  <c:v>1.0047263613915816</c:v>
                </c:pt>
                <c:pt idx="341">
                  <c:v>1.0047263613915816</c:v>
                </c:pt>
                <c:pt idx="342">
                  <c:v>1.0047263613915816</c:v>
                </c:pt>
                <c:pt idx="343">
                  <c:v>1.0047263613915816</c:v>
                </c:pt>
                <c:pt idx="344">
                  <c:v>1.0047263613915816</c:v>
                </c:pt>
                <c:pt idx="345">
                  <c:v>1.0047263613915816</c:v>
                </c:pt>
                <c:pt idx="346">
                  <c:v>1.0047263613915816</c:v>
                </c:pt>
                <c:pt idx="347">
                  <c:v>1.0047263613915816</c:v>
                </c:pt>
                <c:pt idx="348">
                  <c:v>1.0047263613915816</c:v>
                </c:pt>
                <c:pt idx="349">
                  <c:v>1.0047263613915816</c:v>
                </c:pt>
                <c:pt idx="350">
                  <c:v>1.0047263613915816</c:v>
                </c:pt>
                <c:pt idx="351">
                  <c:v>1.0047263613915816</c:v>
                </c:pt>
                <c:pt idx="352">
                  <c:v>1.0047263613915816</c:v>
                </c:pt>
                <c:pt idx="353">
                  <c:v>1.0047263613915816</c:v>
                </c:pt>
                <c:pt idx="354">
                  <c:v>1.0047263613915816</c:v>
                </c:pt>
                <c:pt idx="355">
                  <c:v>1.0047263613915816</c:v>
                </c:pt>
                <c:pt idx="356">
                  <c:v>1.0047263613915816</c:v>
                </c:pt>
                <c:pt idx="357">
                  <c:v>1.0047263613915816</c:v>
                </c:pt>
                <c:pt idx="358">
                  <c:v>1.0047263613915816</c:v>
                </c:pt>
                <c:pt idx="359">
                  <c:v>1.0047263613915816</c:v>
                </c:pt>
                <c:pt idx="360">
                  <c:v>1.0047263613915816</c:v>
                </c:pt>
                <c:pt idx="361">
                  <c:v>1.0047263613915816</c:v>
                </c:pt>
                <c:pt idx="362">
                  <c:v>1.0047263613915816</c:v>
                </c:pt>
                <c:pt idx="363">
                  <c:v>1.0047263613915816</c:v>
                </c:pt>
                <c:pt idx="364">
                  <c:v>1.0047263613915816</c:v>
                </c:pt>
                <c:pt idx="365">
                  <c:v>1.0047263613915816</c:v>
                </c:pt>
                <c:pt idx="366">
                  <c:v>1.0047263613915816</c:v>
                </c:pt>
                <c:pt idx="367">
                  <c:v>1.0047263613915816</c:v>
                </c:pt>
                <c:pt idx="368">
                  <c:v>1.0047263613915816</c:v>
                </c:pt>
                <c:pt idx="369">
                  <c:v>1.0047263613915816</c:v>
                </c:pt>
                <c:pt idx="370">
                  <c:v>1.0047263613915816</c:v>
                </c:pt>
                <c:pt idx="371">
                  <c:v>1.0047263613915816</c:v>
                </c:pt>
                <c:pt idx="372">
                  <c:v>1.0047263613915816</c:v>
                </c:pt>
                <c:pt idx="373">
                  <c:v>1.0047263613915816</c:v>
                </c:pt>
                <c:pt idx="374">
                  <c:v>1.0047263613915816</c:v>
                </c:pt>
                <c:pt idx="375">
                  <c:v>1.0047263613915816</c:v>
                </c:pt>
                <c:pt idx="376">
                  <c:v>1.0047263613915816</c:v>
                </c:pt>
                <c:pt idx="377">
                  <c:v>1.0047263613915816</c:v>
                </c:pt>
                <c:pt idx="378">
                  <c:v>1.0047263613915816</c:v>
                </c:pt>
                <c:pt idx="379">
                  <c:v>1.0047263613915816</c:v>
                </c:pt>
                <c:pt idx="380">
                  <c:v>1.0047263613915816</c:v>
                </c:pt>
                <c:pt idx="381">
                  <c:v>1.0047263613915816</c:v>
                </c:pt>
                <c:pt idx="382">
                  <c:v>1.0047263613915816</c:v>
                </c:pt>
                <c:pt idx="383">
                  <c:v>1.0047263613915816</c:v>
                </c:pt>
                <c:pt idx="384">
                  <c:v>1.0047263613915816</c:v>
                </c:pt>
                <c:pt idx="385">
                  <c:v>1.0047263613915816</c:v>
                </c:pt>
                <c:pt idx="386">
                  <c:v>1.0047263613915816</c:v>
                </c:pt>
                <c:pt idx="387">
                  <c:v>1.0047263613915816</c:v>
                </c:pt>
                <c:pt idx="388">
                  <c:v>1.0047263613915816</c:v>
                </c:pt>
                <c:pt idx="389">
                  <c:v>1.0047263613915816</c:v>
                </c:pt>
                <c:pt idx="390">
                  <c:v>1.0047263613915816</c:v>
                </c:pt>
                <c:pt idx="391">
                  <c:v>1.0047263613915816</c:v>
                </c:pt>
                <c:pt idx="392">
                  <c:v>1.0047263613915816</c:v>
                </c:pt>
                <c:pt idx="393">
                  <c:v>1.0047263613915816</c:v>
                </c:pt>
                <c:pt idx="394">
                  <c:v>1.0047263613915816</c:v>
                </c:pt>
                <c:pt idx="395">
                  <c:v>1.0047263613915816</c:v>
                </c:pt>
                <c:pt idx="396">
                  <c:v>1.0047263613915816</c:v>
                </c:pt>
                <c:pt idx="397">
                  <c:v>1.0047263613915816</c:v>
                </c:pt>
                <c:pt idx="398">
                  <c:v>1.0047263613915816</c:v>
                </c:pt>
                <c:pt idx="399">
                  <c:v>1.0047263613915816</c:v>
                </c:pt>
                <c:pt idx="400">
                  <c:v>1.0047263613915816</c:v>
                </c:pt>
                <c:pt idx="401">
                  <c:v>1.0047263613915816</c:v>
                </c:pt>
                <c:pt idx="402">
                  <c:v>1.0047263613915816</c:v>
                </c:pt>
                <c:pt idx="403">
                  <c:v>1.0047263613915816</c:v>
                </c:pt>
                <c:pt idx="404">
                  <c:v>1.0047263613915816</c:v>
                </c:pt>
                <c:pt idx="405">
                  <c:v>1.0047263613915816</c:v>
                </c:pt>
                <c:pt idx="406">
                  <c:v>1.0047263613915816</c:v>
                </c:pt>
                <c:pt idx="407">
                  <c:v>1.0047263613915816</c:v>
                </c:pt>
                <c:pt idx="408">
                  <c:v>1.0047263613915816</c:v>
                </c:pt>
                <c:pt idx="409">
                  <c:v>1.0047263613915816</c:v>
                </c:pt>
                <c:pt idx="410">
                  <c:v>1.0047263613915816</c:v>
                </c:pt>
                <c:pt idx="411">
                  <c:v>1.0047263613915816</c:v>
                </c:pt>
                <c:pt idx="412">
                  <c:v>1.0047263613915816</c:v>
                </c:pt>
                <c:pt idx="413">
                  <c:v>1.0047263613915816</c:v>
                </c:pt>
                <c:pt idx="414">
                  <c:v>1.0047263613915816</c:v>
                </c:pt>
                <c:pt idx="415">
                  <c:v>1.0047263613915816</c:v>
                </c:pt>
                <c:pt idx="416">
                  <c:v>1.0047263613915816</c:v>
                </c:pt>
                <c:pt idx="417">
                  <c:v>1.0047263613915816</c:v>
                </c:pt>
                <c:pt idx="418">
                  <c:v>1.0047263613915816</c:v>
                </c:pt>
                <c:pt idx="419">
                  <c:v>1.0047263613915816</c:v>
                </c:pt>
                <c:pt idx="420">
                  <c:v>1.0047263613915816</c:v>
                </c:pt>
                <c:pt idx="421">
                  <c:v>1.0047263613915816</c:v>
                </c:pt>
                <c:pt idx="422">
                  <c:v>1.0047263613915816</c:v>
                </c:pt>
                <c:pt idx="423">
                  <c:v>1.0047263613915816</c:v>
                </c:pt>
                <c:pt idx="424">
                  <c:v>1.0047263613915816</c:v>
                </c:pt>
                <c:pt idx="425">
                  <c:v>1.0047263613915816</c:v>
                </c:pt>
                <c:pt idx="426">
                  <c:v>1.0047263613915816</c:v>
                </c:pt>
                <c:pt idx="427">
                  <c:v>1.0047263613915816</c:v>
                </c:pt>
                <c:pt idx="428">
                  <c:v>1.0047263613915816</c:v>
                </c:pt>
                <c:pt idx="429">
                  <c:v>1.0047263613915816</c:v>
                </c:pt>
                <c:pt idx="430">
                  <c:v>1.0047263613915816</c:v>
                </c:pt>
                <c:pt idx="431">
                  <c:v>1.0047263613915816</c:v>
                </c:pt>
                <c:pt idx="432">
                  <c:v>1.0047263613915816</c:v>
                </c:pt>
                <c:pt idx="433">
                  <c:v>1.0047263613915816</c:v>
                </c:pt>
                <c:pt idx="434">
                  <c:v>1.0047263613915816</c:v>
                </c:pt>
                <c:pt idx="435">
                  <c:v>1.0047263613915816</c:v>
                </c:pt>
                <c:pt idx="436">
                  <c:v>1.0047263613915816</c:v>
                </c:pt>
                <c:pt idx="437">
                  <c:v>1.0047263613915816</c:v>
                </c:pt>
                <c:pt idx="438">
                  <c:v>1.0047263613915816</c:v>
                </c:pt>
                <c:pt idx="439">
                  <c:v>1.0047263613915816</c:v>
                </c:pt>
                <c:pt idx="440">
                  <c:v>1.0047263613915816</c:v>
                </c:pt>
                <c:pt idx="441">
                  <c:v>1.0047263613915816</c:v>
                </c:pt>
                <c:pt idx="442">
                  <c:v>1.0047263613915816</c:v>
                </c:pt>
                <c:pt idx="443">
                  <c:v>1.0047263613915816</c:v>
                </c:pt>
                <c:pt idx="444">
                  <c:v>1.0047263613915816</c:v>
                </c:pt>
                <c:pt idx="445">
                  <c:v>1.0047263613915816</c:v>
                </c:pt>
                <c:pt idx="446">
                  <c:v>1.0047263613915816</c:v>
                </c:pt>
                <c:pt idx="447">
                  <c:v>1.0047263613915816</c:v>
                </c:pt>
                <c:pt idx="448">
                  <c:v>1.0047263613915816</c:v>
                </c:pt>
                <c:pt idx="449">
                  <c:v>1.0047263613915816</c:v>
                </c:pt>
                <c:pt idx="450">
                  <c:v>1.0047263613915816</c:v>
                </c:pt>
                <c:pt idx="451">
                  <c:v>1.0047263613915816</c:v>
                </c:pt>
                <c:pt idx="452">
                  <c:v>1.0047263613915816</c:v>
                </c:pt>
                <c:pt idx="453">
                  <c:v>1.0047263613915816</c:v>
                </c:pt>
                <c:pt idx="454">
                  <c:v>1.0047263613915816</c:v>
                </c:pt>
                <c:pt idx="455">
                  <c:v>1.0047263613915816</c:v>
                </c:pt>
                <c:pt idx="456">
                  <c:v>1.0047263613915816</c:v>
                </c:pt>
                <c:pt idx="457">
                  <c:v>1.0047263613915816</c:v>
                </c:pt>
                <c:pt idx="458">
                  <c:v>1.0047263613915816</c:v>
                </c:pt>
                <c:pt idx="459">
                  <c:v>1.0047263613915816</c:v>
                </c:pt>
                <c:pt idx="460">
                  <c:v>1.0047263613915816</c:v>
                </c:pt>
                <c:pt idx="461">
                  <c:v>1.0047263613915816</c:v>
                </c:pt>
                <c:pt idx="462">
                  <c:v>1.0047263613915816</c:v>
                </c:pt>
                <c:pt idx="463">
                  <c:v>1.0047263613915816</c:v>
                </c:pt>
                <c:pt idx="464">
                  <c:v>1.0047263613915816</c:v>
                </c:pt>
                <c:pt idx="465">
                  <c:v>1.0047263613915816</c:v>
                </c:pt>
                <c:pt idx="466">
                  <c:v>1.0047263613915816</c:v>
                </c:pt>
                <c:pt idx="467">
                  <c:v>1.0047263613915816</c:v>
                </c:pt>
                <c:pt idx="468">
                  <c:v>1.0047263613915816</c:v>
                </c:pt>
                <c:pt idx="469">
                  <c:v>1.0047263613915816</c:v>
                </c:pt>
                <c:pt idx="470">
                  <c:v>1.0047263613915816</c:v>
                </c:pt>
                <c:pt idx="471">
                  <c:v>1.0047263613915816</c:v>
                </c:pt>
                <c:pt idx="472">
                  <c:v>1.0047263613915816</c:v>
                </c:pt>
                <c:pt idx="473">
                  <c:v>1.0047263613915816</c:v>
                </c:pt>
                <c:pt idx="474">
                  <c:v>1.0047263613915816</c:v>
                </c:pt>
                <c:pt idx="475">
                  <c:v>1.0047263613915816</c:v>
                </c:pt>
                <c:pt idx="476">
                  <c:v>1.0047263613915816</c:v>
                </c:pt>
                <c:pt idx="477">
                  <c:v>1.0047263613915816</c:v>
                </c:pt>
                <c:pt idx="478">
                  <c:v>1.0047263613915816</c:v>
                </c:pt>
                <c:pt idx="479">
                  <c:v>1.0047263613915816</c:v>
                </c:pt>
                <c:pt idx="480">
                  <c:v>1.0047263613915816</c:v>
                </c:pt>
                <c:pt idx="481">
                  <c:v>1.0047263613915816</c:v>
                </c:pt>
                <c:pt idx="482">
                  <c:v>1.0047263613915816</c:v>
                </c:pt>
                <c:pt idx="483">
                  <c:v>1.0047263613915816</c:v>
                </c:pt>
                <c:pt idx="484">
                  <c:v>1.0047263613915816</c:v>
                </c:pt>
                <c:pt idx="485">
                  <c:v>1.0047263613915816</c:v>
                </c:pt>
                <c:pt idx="486">
                  <c:v>1.0047263613915816</c:v>
                </c:pt>
                <c:pt idx="487">
                  <c:v>1.0047263613915816</c:v>
                </c:pt>
                <c:pt idx="488">
                  <c:v>1.0047263613915816</c:v>
                </c:pt>
                <c:pt idx="489">
                  <c:v>1.0047263613915816</c:v>
                </c:pt>
                <c:pt idx="490">
                  <c:v>1.0047263613915816</c:v>
                </c:pt>
                <c:pt idx="491">
                  <c:v>1.0047263613915816</c:v>
                </c:pt>
                <c:pt idx="492">
                  <c:v>1.0047263613915816</c:v>
                </c:pt>
                <c:pt idx="493">
                  <c:v>1.0047263613915816</c:v>
                </c:pt>
                <c:pt idx="494">
                  <c:v>1.0047263613915816</c:v>
                </c:pt>
                <c:pt idx="495">
                  <c:v>1.0047263613915816</c:v>
                </c:pt>
                <c:pt idx="496">
                  <c:v>1.0047263613915816</c:v>
                </c:pt>
                <c:pt idx="497">
                  <c:v>1.0047263613915816</c:v>
                </c:pt>
                <c:pt idx="498">
                  <c:v>1.0047263613915816</c:v>
                </c:pt>
                <c:pt idx="499">
                  <c:v>1.0047263613915816</c:v>
                </c:pt>
                <c:pt idx="500">
                  <c:v>1.0047263613915816</c:v>
                </c:pt>
                <c:pt idx="501">
                  <c:v>1.0047263613915816</c:v>
                </c:pt>
                <c:pt idx="502">
                  <c:v>1.0047263613915816</c:v>
                </c:pt>
                <c:pt idx="503">
                  <c:v>1.0047263613915816</c:v>
                </c:pt>
                <c:pt idx="504">
                  <c:v>1.0047263613915816</c:v>
                </c:pt>
                <c:pt idx="505">
                  <c:v>1.0047263613915816</c:v>
                </c:pt>
                <c:pt idx="506">
                  <c:v>1.0047263613915816</c:v>
                </c:pt>
                <c:pt idx="507">
                  <c:v>1.0047263613915816</c:v>
                </c:pt>
                <c:pt idx="508">
                  <c:v>1.0047263613915816</c:v>
                </c:pt>
                <c:pt idx="509">
                  <c:v>1.0047263613915816</c:v>
                </c:pt>
                <c:pt idx="510">
                  <c:v>1.0047263613915816</c:v>
                </c:pt>
                <c:pt idx="511">
                  <c:v>1.0047263613915816</c:v>
                </c:pt>
                <c:pt idx="512">
                  <c:v>1.0047263613915816</c:v>
                </c:pt>
                <c:pt idx="513">
                  <c:v>1.0047263613915816</c:v>
                </c:pt>
                <c:pt idx="514">
                  <c:v>1.0047263613915816</c:v>
                </c:pt>
                <c:pt idx="515">
                  <c:v>1.0047263613915816</c:v>
                </c:pt>
                <c:pt idx="516">
                  <c:v>1.0047263613915816</c:v>
                </c:pt>
                <c:pt idx="517">
                  <c:v>1.0047263613915816</c:v>
                </c:pt>
                <c:pt idx="518">
                  <c:v>1.0047263613915816</c:v>
                </c:pt>
                <c:pt idx="519">
                  <c:v>1.0047263613915816</c:v>
                </c:pt>
                <c:pt idx="520">
                  <c:v>1.0047263613915816</c:v>
                </c:pt>
                <c:pt idx="521">
                  <c:v>1.0047263613915816</c:v>
                </c:pt>
                <c:pt idx="522">
                  <c:v>1.0047263613915816</c:v>
                </c:pt>
                <c:pt idx="523">
                  <c:v>1.0047263613915816</c:v>
                </c:pt>
                <c:pt idx="524">
                  <c:v>1.0047263613915816</c:v>
                </c:pt>
                <c:pt idx="525">
                  <c:v>1.0047263613915816</c:v>
                </c:pt>
                <c:pt idx="526">
                  <c:v>1.0047263613915816</c:v>
                </c:pt>
                <c:pt idx="527">
                  <c:v>1.0047263613915816</c:v>
                </c:pt>
                <c:pt idx="528">
                  <c:v>1.0047263613915816</c:v>
                </c:pt>
                <c:pt idx="529">
                  <c:v>1.0047263613915816</c:v>
                </c:pt>
                <c:pt idx="530">
                  <c:v>1.0047263613915816</c:v>
                </c:pt>
                <c:pt idx="531">
                  <c:v>1.0047263613915816</c:v>
                </c:pt>
                <c:pt idx="532">
                  <c:v>1.0047263613915816</c:v>
                </c:pt>
                <c:pt idx="533">
                  <c:v>1.0047263613915816</c:v>
                </c:pt>
                <c:pt idx="534">
                  <c:v>1.0047263613915816</c:v>
                </c:pt>
                <c:pt idx="535">
                  <c:v>1.0047263613915816</c:v>
                </c:pt>
                <c:pt idx="536">
                  <c:v>1.0047263613915816</c:v>
                </c:pt>
                <c:pt idx="537">
                  <c:v>1.0047263613915816</c:v>
                </c:pt>
                <c:pt idx="538">
                  <c:v>1.0047263613915816</c:v>
                </c:pt>
                <c:pt idx="539">
                  <c:v>1.0047263613915816</c:v>
                </c:pt>
                <c:pt idx="540">
                  <c:v>1.0047263613915816</c:v>
                </c:pt>
                <c:pt idx="541">
                  <c:v>1.0047263613915816</c:v>
                </c:pt>
                <c:pt idx="542">
                  <c:v>1.0047263613915816</c:v>
                </c:pt>
                <c:pt idx="543">
                  <c:v>1.0047263613915816</c:v>
                </c:pt>
                <c:pt idx="544">
                  <c:v>1.0047263613915816</c:v>
                </c:pt>
                <c:pt idx="545">
                  <c:v>1.0047263613915816</c:v>
                </c:pt>
                <c:pt idx="546">
                  <c:v>1.0047263613915816</c:v>
                </c:pt>
                <c:pt idx="547">
                  <c:v>1.0047263613915816</c:v>
                </c:pt>
                <c:pt idx="548">
                  <c:v>1.0047263613915816</c:v>
                </c:pt>
                <c:pt idx="549">
                  <c:v>1.0047263613915816</c:v>
                </c:pt>
                <c:pt idx="550">
                  <c:v>1.0047263613915816</c:v>
                </c:pt>
                <c:pt idx="551">
                  <c:v>1.0047263613915816</c:v>
                </c:pt>
                <c:pt idx="552">
                  <c:v>1.0047263613915816</c:v>
                </c:pt>
                <c:pt idx="553">
                  <c:v>1.0047263613915816</c:v>
                </c:pt>
                <c:pt idx="554">
                  <c:v>1.0047263613915816</c:v>
                </c:pt>
                <c:pt idx="555">
                  <c:v>1.0047263613915816</c:v>
                </c:pt>
                <c:pt idx="556">
                  <c:v>1.0047263613915816</c:v>
                </c:pt>
                <c:pt idx="557">
                  <c:v>1.0047263613915816</c:v>
                </c:pt>
                <c:pt idx="558">
                  <c:v>1.0047263613915816</c:v>
                </c:pt>
                <c:pt idx="559">
                  <c:v>1.0047263613915816</c:v>
                </c:pt>
                <c:pt idx="560">
                  <c:v>1.0047263613915816</c:v>
                </c:pt>
                <c:pt idx="561">
                  <c:v>1.0047263613915816</c:v>
                </c:pt>
                <c:pt idx="562">
                  <c:v>1.0047263613915816</c:v>
                </c:pt>
                <c:pt idx="563">
                  <c:v>1.0047263613915816</c:v>
                </c:pt>
                <c:pt idx="564">
                  <c:v>1.0047263613915816</c:v>
                </c:pt>
                <c:pt idx="565">
                  <c:v>1.0047263613915816</c:v>
                </c:pt>
                <c:pt idx="566">
                  <c:v>1.0047263613915816</c:v>
                </c:pt>
                <c:pt idx="567">
                  <c:v>1.0047263613915816</c:v>
                </c:pt>
                <c:pt idx="568">
                  <c:v>1.0047263613915816</c:v>
                </c:pt>
                <c:pt idx="569">
                  <c:v>1.0047263613915816</c:v>
                </c:pt>
                <c:pt idx="570">
                  <c:v>1.0047263613915816</c:v>
                </c:pt>
                <c:pt idx="571">
                  <c:v>1.0047263613915816</c:v>
                </c:pt>
                <c:pt idx="572">
                  <c:v>1.0047263613915816</c:v>
                </c:pt>
                <c:pt idx="573">
                  <c:v>1.0047263613915816</c:v>
                </c:pt>
                <c:pt idx="574">
                  <c:v>1.0047263613915816</c:v>
                </c:pt>
                <c:pt idx="575">
                  <c:v>1.0047263613915816</c:v>
                </c:pt>
                <c:pt idx="576">
                  <c:v>1.0047263613915816</c:v>
                </c:pt>
                <c:pt idx="577">
                  <c:v>1.0047263613915816</c:v>
                </c:pt>
                <c:pt idx="578">
                  <c:v>1.0047263613915816</c:v>
                </c:pt>
                <c:pt idx="579">
                  <c:v>1.0047263613915816</c:v>
                </c:pt>
                <c:pt idx="580">
                  <c:v>1.0047263613915816</c:v>
                </c:pt>
                <c:pt idx="581">
                  <c:v>1.0047263613915816</c:v>
                </c:pt>
                <c:pt idx="582">
                  <c:v>1.0047263613915816</c:v>
                </c:pt>
                <c:pt idx="583">
                  <c:v>1.0047263613915816</c:v>
                </c:pt>
                <c:pt idx="584">
                  <c:v>1.0047263613915816</c:v>
                </c:pt>
                <c:pt idx="585">
                  <c:v>1.0047263613915816</c:v>
                </c:pt>
                <c:pt idx="586">
                  <c:v>1.0047263613915816</c:v>
                </c:pt>
                <c:pt idx="587">
                  <c:v>1.0047263613915816</c:v>
                </c:pt>
                <c:pt idx="588">
                  <c:v>1.0047263613915816</c:v>
                </c:pt>
                <c:pt idx="589">
                  <c:v>1.0047263613915816</c:v>
                </c:pt>
                <c:pt idx="590">
                  <c:v>1.0047263613915816</c:v>
                </c:pt>
                <c:pt idx="591">
                  <c:v>1.0047263613915816</c:v>
                </c:pt>
                <c:pt idx="592">
                  <c:v>1.0047263613915816</c:v>
                </c:pt>
                <c:pt idx="593">
                  <c:v>1.0047263613915816</c:v>
                </c:pt>
                <c:pt idx="594">
                  <c:v>1.0047263613915816</c:v>
                </c:pt>
                <c:pt idx="595">
                  <c:v>1.0047263613915816</c:v>
                </c:pt>
                <c:pt idx="596">
                  <c:v>1.0047263613915816</c:v>
                </c:pt>
                <c:pt idx="597">
                  <c:v>1.0047263613915816</c:v>
                </c:pt>
                <c:pt idx="598">
                  <c:v>1.0047263613915816</c:v>
                </c:pt>
                <c:pt idx="599">
                  <c:v>1.0047263613915816</c:v>
                </c:pt>
                <c:pt idx="600">
                  <c:v>1.0047263613915816</c:v>
                </c:pt>
                <c:pt idx="601">
                  <c:v>1.0047263613915816</c:v>
                </c:pt>
                <c:pt idx="602">
                  <c:v>1.0047263613915816</c:v>
                </c:pt>
                <c:pt idx="603">
                  <c:v>1.0047263613915816</c:v>
                </c:pt>
                <c:pt idx="604">
                  <c:v>1.0047263613915816</c:v>
                </c:pt>
                <c:pt idx="605">
                  <c:v>1.0047263613915816</c:v>
                </c:pt>
                <c:pt idx="606">
                  <c:v>1.0047263613915816</c:v>
                </c:pt>
                <c:pt idx="607">
                  <c:v>1.0047263613915816</c:v>
                </c:pt>
                <c:pt idx="608">
                  <c:v>1.0047263613915816</c:v>
                </c:pt>
                <c:pt idx="609">
                  <c:v>1.0047263613915816</c:v>
                </c:pt>
                <c:pt idx="610">
                  <c:v>1.0047263613915816</c:v>
                </c:pt>
                <c:pt idx="611">
                  <c:v>1.0047263613915816</c:v>
                </c:pt>
                <c:pt idx="612">
                  <c:v>1.0047263613915816</c:v>
                </c:pt>
                <c:pt idx="613">
                  <c:v>1.0047263613915816</c:v>
                </c:pt>
                <c:pt idx="614">
                  <c:v>1.0047263613915816</c:v>
                </c:pt>
                <c:pt idx="615">
                  <c:v>1.0047263613915816</c:v>
                </c:pt>
                <c:pt idx="616">
                  <c:v>1.0047263613915816</c:v>
                </c:pt>
                <c:pt idx="617">
                  <c:v>1.0047263613915816</c:v>
                </c:pt>
                <c:pt idx="618">
                  <c:v>1.0047263613915816</c:v>
                </c:pt>
                <c:pt idx="619">
                  <c:v>1.0047263613915816</c:v>
                </c:pt>
                <c:pt idx="620">
                  <c:v>1.0047263613915816</c:v>
                </c:pt>
                <c:pt idx="621">
                  <c:v>1.0047263613915816</c:v>
                </c:pt>
                <c:pt idx="622">
                  <c:v>1.0047263613915816</c:v>
                </c:pt>
                <c:pt idx="623">
                  <c:v>1.0047263613915816</c:v>
                </c:pt>
                <c:pt idx="624">
                  <c:v>1.0047263613915816</c:v>
                </c:pt>
                <c:pt idx="625">
                  <c:v>1.0047263613915816</c:v>
                </c:pt>
                <c:pt idx="626">
                  <c:v>1.0047263613915816</c:v>
                </c:pt>
                <c:pt idx="627">
                  <c:v>1.0047263613915816</c:v>
                </c:pt>
                <c:pt idx="628">
                  <c:v>1.0047263613915816</c:v>
                </c:pt>
                <c:pt idx="629">
                  <c:v>1.0047263613915816</c:v>
                </c:pt>
                <c:pt idx="630">
                  <c:v>1.0047263613915816</c:v>
                </c:pt>
                <c:pt idx="631">
                  <c:v>1.0047263613915816</c:v>
                </c:pt>
                <c:pt idx="632">
                  <c:v>1.0047263613915816</c:v>
                </c:pt>
                <c:pt idx="633">
                  <c:v>1.0047263613915816</c:v>
                </c:pt>
                <c:pt idx="634">
                  <c:v>1.0047263613915816</c:v>
                </c:pt>
                <c:pt idx="635">
                  <c:v>1.0047263613915816</c:v>
                </c:pt>
                <c:pt idx="636">
                  <c:v>1.0047263613915816</c:v>
                </c:pt>
                <c:pt idx="637">
                  <c:v>1.0047263613915816</c:v>
                </c:pt>
                <c:pt idx="638">
                  <c:v>1.0047263613915816</c:v>
                </c:pt>
                <c:pt idx="639">
                  <c:v>1.0047263613915816</c:v>
                </c:pt>
                <c:pt idx="640">
                  <c:v>1.0047263613915816</c:v>
                </c:pt>
                <c:pt idx="641">
                  <c:v>1.0047263613915816</c:v>
                </c:pt>
                <c:pt idx="642">
                  <c:v>1.0047263613915816</c:v>
                </c:pt>
                <c:pt idx="643">
                  <c:v>1.0047263613915816</c:v>
                </c:pt>
                <c:pt idx="644">
                  <c:v>1.0047263613915816</c:v>
                </c:pt>
                <c:pt idx="645">
                  <c:v>1.0047263613915816</c:v>
                </c:pt>
                <c:pt idx="646">
                  <c:v>1.0047263613915816</c:v>
                </c:pt>
                <c:pt idx="647">
                  <c:v>1.0047263613915816</c:v>
                </c:pt>
                <c:pt idx="648">
                  <c:v>1.0047263613915816</c:v>
                </c:pt>
                <c:pt idx="649">
                  <c:v>1.0047263613915816</c:v>
                </c:pt>
                <c:pt idx="650">
                  <c:v>1.0047263613915816</c:v>
                </c:pt>
                <c:pt idx="651">
                  <c:v>1.0047263613915816</c:v>
                </c:pt>
                <c:pt idx="652">
                  <c:v>1.0047263613915816</c:v>
                </c:pt>
                <c:pt idx="653">
                  <c:v>1.0047263613915816</c:v>
                </c:pt>
                <c:pt idx="654">
                  <c:v>1.0047263613915816</c:v>
                </c:pt>
                <c:pt idx="655">
                  <c:v>1.0047263613915816</c:v>
                </c:pt>
                <c:pt idx="656">
                  <c:v>1.0047263613915816</c:v>
                </c:pt>
                <c:pt idx="657">
                  <c:v>1.0047263613915816</c:v>
                </c:pt>
                <c:pt idx="658">
                  <c:v>1.0047263613915816</c:v>
                </c:pt>
                <c:pt idx="659">
                  <c:v>1.0047263613915816</c:v>
                </c:pt>
                <c:pt idx="660">
                  <c:v>1.0047263613915816</c:v>
                </c:pt>
                <c:pt idx="661">
                  <c:v>1.0047263613915816</c:v>
                </c:pt>
                <c:pt idx="662">
                  <c:v>1.0047263613915816</c:v>
                </c:pt>
                <c:pt idx="663">
                  <c:v>1.0047263613915816</c:v>
                </c:pt>
                <c:pt idx="664">
                  <c:v>1.0047263613915816</c:v>
                </c:pt>
                <c:pt idx="665">
                  <c:v>1.0047263613915816</c:v>
                </c:pt>
                <c:pt idx="666">
                  <c:v>1.0047263613915816</c:v>
                </c:pt>
                <c:pt idx="667">
                  <c:v>1.0047263613915816</c:v>
                </c:pt>
                <c:pt idx="668">
                  <c:v>1.0047263613915816</c:v>
                </c:pt>
                <c:pt idx="669">
                  <c:v>1.0047263613915816</c:v>
                </c:pt>
                <c:pt idx="670">
                  <c:v>1.0047263613915816</c:v>
                </c:pt>
                <c:pt idx="671">
                  <c:v>1.0047263613915816</c:v>
                </c:pt>
                <c:pt idx="672">
                  <c:v>1.0047263613915816</c:v>
                </c:pt>
                <c:pt idx="673">
                  <c:v>1.0047263613915816</c:v>
                </c:pt>
                <c:pt idx="674">
                  <c:v>1.0047263613915816</c:v>
                </c:pt>
                <c:pt idx="675">
                  <c:v>1.0047263613915816</c:v>
                </c:pt>
                <c:pt idx="676">
                  <c:v>1.0047263613915816</c:v>
                </c:pt>
                <c:pt idx="677">
                  <c:v>1.0047263613915816</c:v>
                </c:pt>
                <c:pt idx="678">
                  <c:v>1.0047263613915816</c:v>
                </c:pt>
                <c:pt idx="679">
                  <c:v>1.0047263613915816</c:v>
                </c:pt>
                <c:pt idx="680">
                  <c:v>1.0047263613915816</c:v>
                </c:pt>
                <c:pt idx="681">
                  <c:v>1.0047263613915816</c:v>
                </c:pt>
                <c:pt idx="682">
                  <c:v>1.0047263613915816</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pt idx="3534">
                  <c:v>#N/A</c:v>
                </c:pt>
                <c:pt idx="3535">
                  <c:v>#N/A</c:v>
                </c:pt>
                <c:pt idx="3536">
                  <c:v>#N/A</c:v>
                </c:pt>
                <c:pt idx="3537">
                  <c:v>#N/A</c:v>
                </c:pt>
                <c:pt idx="3538">
                  <c:v>#N/A</c:v>
                </c:pt>
                <c:pt idx="3539">
                  <c:v>#N/A</c:v>
                </c:pt>
                <c:pt idx="3540">
                  <c:v>#N/A</c:v>
                </c:pt>
                <c:pt idx="3541">
                  <c:v>#N/A</c:v>
                </c:pt>
                <c:pt idx="3542">
                  <c:v>#N/A</c:v>
                </c:pt>
                <c:pt idx="3543">
                  <c:v>#N/A</c:v>
                </c:pt>
                <c:pt idx="3544">
                  <c:v>#N/A</c:v>
                </c:pt>
                <c:pt idx="3545">
                  <c:v>#N/A</c:v>
                </c:pt>
                <c:pt idx="3546">
                  <c:v>#N/A</c:v>
                </c:pt>
                <c:pt idx="3547">
                  <c:v>#N/A</c:v>
                </c:pt>
                <c:pt idx="3548">
                  <c:v>#N/A</c:v>
                </c:pt>
                <c:pt idx="3549">
                  <c:v>#N/A</c:v>
                </c:pt>
                <c:pt idx="3550">
                  <c:v>#N/A</c:v>
                </c:pt>
                <c:pt idx="3551">
                  <c:v>#N/A</c:v>
                </c:pt>
                <c:pt idx="3552">
                  <c:v>#N/A</c:v>
                </c:pt>
                <c:pt idx="3553">
                  <c:v>#N/A</c:v>
                </c:pt>
                <c:pt idx="3554">
                  <c:v>#N/A</c:v>
                </c:pt>
                <c:pt idx="3555">
                  <c:v>#N/A</c:v>
                </c:pt>
                <c:pt idx="3556">
                  <c:v>#N/A</c:v>
                </c:pt>
                <c:pt idx="3557">
                  <c:v>#N/A</c:v>
                </c:pt>
                <c:pt idx="3558">
                  <c:v>#N/A</c:v>
                </c:pt>
                <c:pt idx="3559">
                  <c:v>#N/A</c:v>
                </c:pt>
                <c:pt idx="3560">
                  <c:v>#N/A</c:v>
                </c:pt>
                <c:pt idx="3561">
                  <c:v>#N/A</c:v>
                </c:pt>
                <c:pt idx="3562">
                  <c:v>#N/A</c:v>
                </c:pt>
                <c:pt idx="3563">
                  <c:v>#N/A</c:v>
                </c:pt>
                <c:pt idx="3564">
                  <c:v>#N/A</c:v>
                </c:pt>
                <c:pt idx="3565">
                  <c:v>#N/A</c:v>
                </c:pt>
                <c:pt idx="3566">
                  <c:v>#N/A</c:v>
                </c:pt>
                <c:pt idx="3567">
                  <c:v>#N/A</c:v>
                </c:pt>
                <c:pt idx="3568">
                  <c:v>#N/A</c:v>
                </c:pt>
                <c:pt idx="3569">
                  <c:v>#N/A</c:v>
                </c:pt>
                <c:pt idx="3570">
                  <c:v>#N/A</c:v>
                </c:pt>
                <c:pt idx="3571">
                  <c:v>#N/A</c:v>
                </c:pt>
                <c:pt idx="3572">
                  <c:v>#N/A</c:v>
                </c:pt>
                <c:pt idx="3573">
                  <c:v>#N/A</c:v>
                </c:pt>
                <c:pt idx="3574">
                  <c:v>#N/A</c:v>
                </c:pt>
                <c:pt idx="3575">
                  <c:v>#N/A</c:v>
                </c:pt>
                <c:pt idx="3576">
                  <c:v>#N/A</c:v>
                </c:pt>
                <c:pt idx="3577">
                  <c:v>#N/A</c:v>
                </c:pt>
                <c:pt idx="3578">
                  <c:v>#N/A</c:v>
                </c:pt>
                <c:pt idx="3579">
                  <c:v>#N/A</c:v>
                </c:pt>
                <c:pt idx="3580">
                  <c:v>#N/A</c:v>
                </c:pt>
                <c:pt idx="3581">
                  <c:v>#N/A</c:v>
                </c:pt>
                <c:pt idx="3582">
                  <c:v>#N/A</c:v>
                </c:pt>
                <c:pt idx="3583">
                  <c:v>#N/A</c:v>
                </c:pt>
                <c:pt idx="3584">
                  <c:v>#N/A</c:v>
                </c:pt>
                <c:pt idx="3585">
                  <c:v>#N/A</c:v>
                </c:pt>
                <c:pt idx="3586">
                  <c:v>#N/A</c:v>
                </c:pt>
                <c:pt idx="3587">
                  <c:v>#N/A</c:v>
                </c:pt>
                <c:pt idx="3588">
                  <c:v>#N/A</c:v>
                </c:pt>
                <c:pt idx="3589">
                  <c:v>#N/A</c:v>
                </c:pt>
                <c:pt idx="3590">
                  <c:v>#N/A</c:v>
                </c:pt>
                <c:pt idx="3591">
                  <c:v>#N/A</c:v>
                </c:pt>
                <c:pt idx="3592">
                  <c:v>#N/A</c:v>
                </c:pt>
                <c:pt idx="3593">
                  <c:v>#N/A</c:v>
                </c:pt>
                <c:pt idx="3594">
                  <c:v>#N/A</c:v>
                </c:pt>
                <c:pt idx="3595">
                  <c:v>#N/A</c:v>
                </c:pt>
                <c:pt idx="3596">
                  <c:v>#N/A</c:v>
                </c:pt>
                <c:pt idx="3597">
                  <c:v>#N/A</c:v>
                </c:pt>
                <c:pt idx="3598">
                  <c:v>#N/A</c:v>
                </c:pt>
                <c:pt idx="3599">
                  <c:v>#N/A</c:v>
                </c:pt>
                <c:pt idx="3600">
                  <c:v>#N/A</c:v>
                </c:pt>
                <c:pt idx="3601">
                  <c:v>#N/A</c:v>
                </c:pt>
                <c:pt idx="3602">
                  <c:v>#N/A</c:v>
                </c:pt>
                <c:pt idx="3603">
                  <c:v>#N/A</c:v>
                </c:pt>
                <c:pt idx="3604">
                  <c:v>#N/A</c:v>
                </c:pt>
                <c:pt idx="3605">
                  <c:v>#N/A</c:v>
                </c:pt>
                <c:pt idx="3606">
                  <c:v>#N/A</c:v>
                </c:pt>
                <c:pt idx="3607">
                  <c:v>#N/A</c:v>
                </c:pt>
                <c:pt idx="3608">
                  <c:v>#N/A</c:v>
                </c:pt>
                <c:pt idx="3609">
                  <c:v>#N/A</c:v>
                </c:pt>
                <c:pt idx="3610">
                  <c:v>#N/A</c:v>
                </c:pt>
                <c:pt idx="3611">
                  <c:v>#N/A</c:v>
                </c:pt>
                <c:pt idx="3612">
                  <c:v>#N/A</c:v>
                </c:pt>
                <c:pt idx="3613">
                  <c:v>#N/A</c:v>
                </c:pt>
                <c:pt idx="3614">
                  <c:v>#N/A</c:v>
                </c:pt>
                <c:pt idx="3615">
                  <c:v>#N/A</c:v>
                </c:pt>
                <c:pt idx="3616">
                  <c:v>#N/A</c:v>
                </c:pt>
                <c:pt idx="3617">
                  <c:v>#N/A</c:v>
                </c:pt>
                <c:pt idx="3618">
                  <c:v>#N/A</c:v>
                </c:pt>
                <c:pt idx="3619">
                  <c:v>#N/A</c:v>
                </c:pt>
                <c:pt idx="3620">
                  <c:v>#N/A</c:v>
                </c:pt>
                <c:pt idx="3621">
                  <c:v>#N/A</c:v>
                </c:pt>
                <c:pt idx="3622">
                  <c:v>#N/A</c:v>
                </c:pt>
                <c:pt idx="3623">
                  <c:v>#N/A</c:v>
                </c:pt>
                <c:pt idx="3624">
                  <c:v>#N/A</c:v>
                </c:pt>
                <c:pt idx="3625">
                  <c:v>#N/A</c:v>
                </c:pt>
                <c:pt idx="3626">
                  <c:v>#N/A</c:v>
                </c:pt>
                <c:pt idx="3627">
                  <c:v>#N/A</c:v>
                </c:pt>
                <c:pt idx="3628">
                  <c:v>#N/A</c:v>
                </c:pt>
                <c:pt idx="3629">
                  <c:v>#N/A</c:v>
                </c:pt>
                <c:pt idx="3630">
                  <c:v>#N/A</c:v>
                </c:pt>
                <c:pt idx="3631">
                  <c:v>#N/A</c:v>
                </c:pt>
                <c:pt idx="3632">
                  <c:v>#N/A</c:v>
                </c:pt>
                <c:pt idx="3633">
                  <c:v>#N/A</c:v>
                </c:pt>
                <c:pt idx="3634">
                  <c:v>#N/A</c:v>
                </c:pt>
                <c:pt idx="3635">
                  <c:v>#N/A</c:v>
                </c:pt>
                <c:pt idx="3636">
                  <c:v>#N/A</c:v>
                </c:pt>
                <c:pt idx="3637">
                  <c:v>#N/A</c:v>
                </c:pt>
                <c:pt idx="3638">
                  <c:v>#N/A</c:v>
                </c:pt>
                <c:pt idx="3639">
                  <c:v>#N/A</c:v>
                </c:pt>
                <c:pt idx="3640">
                  <c:v>#N/A</c:v>
                </c:pt>
                <c:pt idx="3641">
                  <c:v>#N/A</c:v>
                </c:pt>
                <c:pt idx="3642">
                  <c:v>#N/A</c:v>
                </c:pt>
                <c:pt idx="3643">
                  <c:v>#N/A</c:v>
                </c:pt>
                <c:pt idx="3644">
                  <c:v>#N/A</c:v>
                </c:pt>
                <c:pt idx="3645">
                  <c:v>#N/A</c:v>
                </c:pt>
                <c:pt idx="3646">
                  <c:v>#N/A</c:v>
                </c:pt>
                <c:pt idx="3647">
                  <c:v>#N/A</c:v>
                </c:pt>
                <c:pt idx="3648">
                  <c:v>#N/A</c:v>
                </c:pt>
                <c:pt idx="3649">
                  <c:v>#N/A</c:v>
                </c:pt>
                <c:pt idx="3650">
                  <c:v>#N/A</c:v>
                </c:pt>
                <c:pt idx="3651">
                  <c:v>#N/A</c:v>
                </c:pt>
                <c:pt idx="3652">
                  <c:v>#N/A</c:v>
                </c:pt>
                <c:pt idx="3653">
                  <c:v>#N/A</c:v>
                </c:pt>
                <c:pt idx="3654">
                  <c:v>#N/A</c:v>
                </c:pt>
                <c:pt idx="3655">
                  <c:v>#N/A</c:v>
                </c:pt>
                <c:pt idx="3656">
                  <c:v>#N/A</c:v>
                </c:pt>
                <c:pt idx="3657">
                  <c:v>#N/A</c:v>
                </c:pt>
                <c:pt idx="3658">
                  <c:v>#N/A</c:v>
                </c:pt>
                <c:pt idx="3659">
                  <c:v>#N/A</c:v>
                </c:pt>
                <c:pt idx="3660">
                  <c:v>#N/A</c:v>
                </c:pt>
                <c:pt idx="3661">
                  <c:v>#N/A</c:v>
                </c:pt>
                <c:pt idx="3662">
                  <c:v>#N/A</c:v>
                </c:pt>
                <c:pt idx="3663">
                  <c:v>#N/A</c:v>
                </c:pt>
                <c:pt idx="3664">
                  <c:v>#N/A</c:v>
                </c:pt>
                <c:pt idx="3665">
                  <c:v>#N/A</c:v>
                </c:pt>
                <c:pt idx="3666">
                  <c:v>#N/A</c:v>
                </c:pt>
                <c:pt idx="3667">
                  <c:v>#N/A</c:v>
                </c:pt>
                <c:pt idx="3668">
                  <c:v>#N/A</c:v>
                </c:pt>
                <c:pt idx="3669">
                  <c:v>#N/A</c:v>
                </c:pt>
                <c:pt idx="3670">
                  <c:v>#N/A</c:v>
                </c:pt>
                <c:pt idx="3671">
                  <c:v>#N/A</c:v>
                </c:pt>
                <c:pt idx="3672">
                  <c:v>#N/A</c:v>
                </c:pt>
                <c:pt idx="3673">
                  <c:v>#N/A</c:v>
                </c:pt>
                <c:pt idx="3674">
                  <c:v>#N/A</c:v>
                </c:pt>
                <c:pt idx="3675">
                  <c:v>#N/A</c:v>
                </c:pt>
                <c:pt idx="3676">
                  <c:v>#N/A</c:v>
                </c:pt>
                <c:pt idx="3677">
                  <c:v>#N/A</c:v>
                </c:pt>
                <c:pt idx="3678">
                  <c:v>#N/A</c:v>
                </c:pt>
                <c:pt idx="3679">
                  <c:v>#N/A</c:v>
                </c:pt>
                <c:pt idx="3680">
                  <c:v>#N/A</c:v>
                </c:pt>
                <c:pt idx="3681">
                  <c:v>#N/A</c:v>
                </c:pt>
                <c:pt idx="3682">
                  <c:v>#N/A</c:v>
                </c:pt>
                <c:pt idx="3683">
                  <c:v>#N/A</c:v>
                </c:pt>
                <c:pt idx="3684">
                  <c:v>#N/A</c:v>
                </c:pt>
                <c:pt idx="3685">
                  <c:v>#N/A</c:v>
                </c:pt>
                <c:pt idx="3686">
                  <c:v>#N/A</c:v>
                </c:pt>
                <c:pt idx="3687">
                  <c:v>#N/A</c:v>
                </c:pt>
                <c:pt idx="3688">
                  <c:v>#N/A</c:v>
                </c:pt>
                <c:pt idx="3689">
                  <c:v>#N/A</c:v>
                </c:pt>
                <c:pt idx="3690">
                  <c:v>#N/A</c:v>
                </c:pt>
                <c:pt idx="3691">
                  <c:v>#N/A</c:v>
                </c:pt>
                <c:pt idx="3692">
                  <c:v>#N/A</c:v>
                </c:pt>
                <c:pt idx="3693">
                  <c:v>#N/A</c:v>
                </c:pt>
                <c:pt idx="3694">
                  <c:v>#N/A</c:v>
                </c:pt>
                <c:pt idx="3695">
                  <c:v>#N/A</c:v>
                </c:pt>
                <c:pt idx="3696">
                  <c:v>#N/A</c:v>
                </c:pt>
                <c:pt idx="3697">
                  <c:v>#N/A</c:v>
                </c:pt>
                <c:pt idx="3698">
                  <c:v>#N/A</c:v>
                </c:pt>
                <c:pt idx="3699">
                  <c:v>#N/A</c:v>
                </c:pt>
                <c:pt idx="3700">
                  <c:v>#N/A</c:v>
                </c:pt>
                <c:pt idx="3701">
                  <c:v>#N/A</c:v>
                </c:pt>
                <c:pt idx="3702">
                  <c:v>#N/A</c:v>
                </c:pt>
                <c:pt idx="3703">
                  <c:v>#N/A</c:v>
                </c:pt>
                <c:pt idx="3704">
                  <c:v>#N/A</c:v>
                </c:pt>
                <c:pt idx="3705">
                  <c:v>#N/A</c:v>
                </c:pt>
                <c:pt idx="3706">
                  <c:v>#N/A</c:v>
                </c:pt>
                <c:pt idx="3707">
                  <c:v>#N/A</c:v>
                </c:pt>
                <c:pt idx="3708">
                  <c:v>#N/A</c:v>
                </c:pt>
                <c:pt idx="3709">
                  <c:v>#N/A</c:v>
                </c:pt>
                <c:pt idx="3710">
                  <c:v>#N/A</c:v>
                </c:pt>
                <c:pt idx="3711">
                  <c:v>#N/A</c:v>
                </c:pt>
                <c:pt idx="3712">
                  <c:v>#N/A</c:v>
                </c:pt>
                <c:pt idx="3713">
                  <c:v>#N/A</c:v>
                </c:pt>
                <c:pt idx="3714">
                  <c:v>#N/A</c:v>
                </c:pt>
                <c:pt idx="3715">
                  <c:v>#N/A</c:v>
                </c:pt>
                <c:pt idx="3716">
                  <c:v>#N/A</c:v>
                </c:pt>
                <c:pt idx="3717">
                  <c:v>#N/A</c:v>
                </c:pt>
                <c:pt idx="3718">
                  <c:v>#N/A</c:v>
                </c:pt>
                <c:pt idx="3719">
                  <c:v>#N/A</c:v>
                </c:pt>
                <c:pt idx="3720">
                  <c:v>#N/A</c:v>
                </c:pt>
                <c:pt idx="3721">
                  <c:v>#N/A</c:v>
                </c:pt>
                <c:pt idx="3722">
                  <c:v>#N/A</c:v>
                </c:pt>
                <c:pt idx="3723">
                  <c:v>#N/A</c:v>
                </c:pt>
                <c:pt idx="3724">
                  <c:v>#N/A</c:v>
                </c:pt>
                <c:pt idx="3725">
                  <c:v>#N/A</c:v>
                </c:pt>
                <c:pt idx="3726">
                  <c:v>#N/A</c:v>
                </c:pt>
                <c:pt idx="3727">
                  <c:v>#N/A</c:v>
                </c:pt>
                <c:pt idx="3728">
                  <c:v>#N/A</c:v>
                </c:pt>
                <c:pt idx="3729">
                  <c:v>#N/A</c:v>
                </c:pt>
                <c:pt idx="3730">
                  <c:v>#N/A</c:v>
                </c:pt>
                <c:pt idx="3731">
                  <c:v>#N/A</c:v>
                </c:pt>
                <c:pt idx="3732">
                  <c:v>#N/A</c:v>
                </c:pt>
                <c:pt idx="3733">
                  <c:v>#N/A</c:v>
                </c:pt>
                <c:pt idx="3734">
                  <c:v>#N/A</c:v>
                </c:pt>
                <c:pt idx="3735">
                  <c:v>#N/A</c:v>
                </c:pt>
                <c:pt idx="3736">
                  <c:v>#N/A</c:v>
                </c:pt>
                <c:pt idx="3737">
                  <c:v>#N/A</c:v>
                </c:pt>
                <c:pt idx="3738">
                  <c:v>#N/A</c:v>
                </c:pt>
                <c:pt idx="3739">
                  <c:v>#N/A</c:v>
                </c:pt>
                <c:pt idx="3740">
                  <c:v>#N/A</c:v>
                </c:pt>
                <c:pt idx="3741">
                  <c:v>#N/A</c:v>
                </c:pt>
                <c:pt idx="3742">
                  <c:v>#N/A</c:v>
                </c:pt>
                <c:pt idx="3743">
                  <c:v>#N/A</c:v>
                </c:pt>
                <c:pt idx="3744">
                  <c:v>#N/A</c:v>
                </c:pt>
                <c:pt idx="3745">
                  <c:v>#N/A</c:v>
                </c:pt>
                <c:pt idx="3746">
                  <c:v>#N/A</c:v>
                </c:pt>
                <c:pt idx="3747">
                  <c:v>#N/A</c:v>
                </c:pt>
                <c:pt idx="3748">
                  <c:v>#N/A</c:v>
                </c:pt>
                <c:pt idx="3749">
                  <c:v>#N/A</c:v>
                </c:pt>
                <c:pt idx="3750">
                  <c:v>#N/A</c:v>
                </c:pt>
                <c:pt idx="3751">
                  <c:v>#N/A</c:v>
                </c:pt>
                <c:pt idx="3752">
                  <c:v>#N/A</c:v>
                </c:pt>
                <c:pt idx="3753">
                  <c:v>#N/A</c:v>
                </c:pt>
                <c:pt idx="3754">
                  <c:v>#N/A</c:v>
                </c:pt>
                <c:pt idx="3755">
                  <c:v>#N/A</c:v>
                </c:pt>
                <c:pt idx="3756">
                  <c:v>#N/A</c:v>
                </c:pt>
                <c:pt idx="3757">
                  <c:v>#N/A</c:v>
                </c:pt>
                <c:pt idx="3758">
                  <c:v>#N/A</c:v>
                </c:pt>
                <c:pt idx="3759">
                  <c:v>#N/A</c:v>
                </c:pt>
                <c:pt idx="3760">
                  <c:v>#N/A</c:v>
                </c:pt>
                <c:pt idx="3761">
                  <c:v>#N/A</c:v>
                </c:pt>
                <c:pt idx="3762">
                  <c:v>#N/A</c:v>
                </c:pt>
                <c:pt idx="3763">
                  <c:v>#N/A</c:v>
                </c:pt>
                <c:pt idx="3764">
                  <c:v>#N/A</c:v>
                </c:pt>
                <c:pt idx="3765">
                  <c:v>#N/A</c:v>
                </c:pt>
                <c:pt idx="3766">
                  <c:v>#N/A</c:v>
                </c:pt>
                <c:pt idx="3767">
                  <c:v>#N/A</c:v>
                </c:pt>
                <c:pt idx="3768">
                  <c:v>#N/A</c:v>
                </c:pt>
                <c:pt idx="3769">
                  <c:v>#N/A</c:v>
                </c:pt>
                <c:pt idx="3770">
                  <c:v>#N/A</c:v>
                </c:pt>
                <c:pt idx="3771">
                  <c:v>#N/A</c:v>
                </c:pt>
                <c:pt idx="3772">
                  <c:v>#N/A</c:v>
                </c:pt>
                <c:pt idx="3773">
                  <c:v>#N/A</c:v>
                </c:pt>
                <c:pt idx="3774">
                  <c:v>#N/A</c:v>
                </c:pt>
                <c:pt idx="3775">
                  <c:v>#N/A</c:v>
                </c:pt>
                <c:pt idx="3776">
                  <c:v>#N/A</c:v>
                </c:pt>
                <c:pt idx="3777">
                  <c:v>#N/A</c:v>
                </c:pt>
                <c:pt idx="3778">
                  <c:v>#N/A</c:v>
                </c:pt>
                <c:pt idx="3779">
                  <c:v>#N/A</c:v>
                </c:pt>
                <c:pt idx="3780">
                  <c:v>#N/A</c:v>
                </c:pt>
                <c:pt idx="3781">
                  <c:v>#N/A</c:v>
                </c:pt>
                <c:pt idx="3782">
                  <c:v>#N/A</c:v>
                </c:pt>
                <c:pt idx="3783">
                  <c:v>#N/A</c:v>
                </c:pt>
                <c:pt idx="3784">
                  <c:v>#N/A</c:v>
                </c:pt>
                <c:pt idx="3785">
                  <c:v>#N/A</c:v>
                </c:pt>
                <c:pt idx="3786">
                  <c:v>#N/A</c:v>
                </c:pt>
                <c:pt idx="3787">
                  <c:v>#N/A</c:v>
                </c:pt>
                <c:pt idx="3788">
                  <c:v>#N/A</c:v>
                </c:pt>
                <c:pt idx="3789">
                  <c:v>#N/A</c:v>
                </c:pt>
                <c:pt idx="3790">
                  <c:v>#N/A</c:v>
                </c:pt>
                <c:pt idx="3791">
                  <c:v>#N/A</c:v>
                </c:pt>
                <c:pt idx="3792">
                  <c:v>#N/A</c:v>
                </c:pt>
                <c:pt idx="3793">
                  <c:v>#N/A</c:v>
                </c:pt>
                <c:pt idx="3794">
                  <c:v>#N/A</c:v>
                </c:pt>
                <c:pt idx="3795">
                  <c:v>#N/A</c:v>
                </c:pt>
                <c:pt idx="3796">
                  <c:v>#N/A</c:v>
                </c:pt>
                <c:pt idx="3797">
                  <c:v>#N/A</c:v>
                </c:pt>
                <c:pt idx="3798">
                  <c:v>#N/A</c:v>
                </c:pt>
                <c:pt idx="3799">
                  <c:v>#N/A</c:v>
                </c:pt>
                <c:pt idx="3800">
                  <c:v>#N/A</c:v>
                </c:pt>
                <c:pt idx="3801">
                  <c:v>#N/A</c:v>
                </c:pt>
                <c:pt idx="3802">
                  <c:v>#N/A</c:v>
                </c:pt>
                <c:pt idx="3803">
                  <c:v>#N/A</c:v>
                </c:pt>
                <c:pt idx="3804">
                  <c:v>#N/A</c:v>
                </c:pt>
                <c:pt idx="3805">
                  <c:v>#N/A</c:v>
                </c:pt>
                <c:pt idx="3806">
                  <c:v>#N/A</c:v>
                </c:pt>
                <c:pt idx="3807">
                  <c:v>#N/A</c:v>
                </c:pt>
                <c:pt idx="3808">
                  <c:v>#N/A</c:v>
                </c:pt>
                <c:pt idx="3809">
                  <c:v>#N/A</c:v>
                </c:pt>
                <c:pt idx="3810">
                  <c:v>#N/A</c:v>
                </c:pt>
                <c:pt idx="3811">
                  <c:v>#N/A</c:v>
                </c:pt>
                <c:pt idx="3812">
                  <c:v>#N/A</c:v>
                </c:pt>
                <c:pt idx="3813">
                  <c:v>#N/A</c:v>
                </c:pt>
                <c:pt idx="3814">
                  <c:v>#N/A</c:v>
                </c:pt>
                <c:pt idx="3815">
                  <c:v>#N/A</c:v>
                </c:pt>
                <c:pt idx="3816">
                  <c:v>#N/A</c:v>
                </c:pt>
                <c:pt idx="3817">
                  <c:v>#N/A</c:v>
                </c:pt>
                <c:pt idx="3818">
                  <c:v>#N/A</c:v>
                </c:pt>
                <c:pt idx="3819">
                  <c:v>#N/A</c:v>
                </c:pt>
                <c:pt idx="3820">
                  <c:v>#N/A</c:v>
                </c:pt>
                <c:pt idx="3821">
                  <c:v>#N/A</c:v>
                </c:pt>
                <c:pt idx="3822">
                  <c:v>#N/A</c:v>
                </c:pt>
                <c:pt idx="3823">
                  <c:v>#N/A</c:v>
                </c:pt>
                <c:pt idx="3824">
                  <c:v>#N/A</c:v>
                </c:pt>
                <c:pt idx="3825">
                  <c:v>#N/A</c:v>
                </c:pt>
                <c:pt idx="3826">
                  <c:v>#N/A</c:v>
                </c:pt>
                <c:pt idx="3827">
                  <c:v>#N/A</c:v>
                </c:pt>
                <c:pt idx="3828">
                  <c:v>#N/A</c:v>
                </c:pt>
                <c:pt idx="3829">
                  <c:v>#N/A</c:v>
                </c:pt>
                <c:pt idx="3830">
                  <c:v>#N/A</c:v>
                </c:pt>
                <c:pt idx="3831">
                  <c:v>#N/A</c:v>
                </c:pt>
                <c:pt idx="3832">
                  <c:v>#N/A</c:v>
                </c:pt>
                <c:pt idx="3833">
                  <c:v>#N/A</c:v>
                </c:pt>
                <c:pt idx="3834">
                  <c:v>#N/A</c:v>
                </c:pt>
                <c:pt idx="3835">
                  <c:v>#N/A</c:v>
                </c:pt>
                <c:pt idx="3836">
                  <c:v>#N/A</c:v>
                </c:pt>
                <c:pt idx="3837">
                  <c:v>#N/A</c:v>
                </c:pt>
                <c:pt idx="3838">
                  <c:v>#N/A</c:v>
                </c:pt>
                <c:pt idx="3839">
                  <c:v>#N/A</c:v>
                </c:pt>
                <c:pt idx="3840">
                  <c:v>#N/A</c:v>
                </c:pt>
                <c:pt idx="3841">
                  <c:v>#N/A</c:v>
                </c:pt>
                <c:pt idx="3842">
                  <c:v>#N/A</c:v>
                </c:pt>
                <c:pt idx="3843">
                  <c:v>#N/A</c:v>
                </c:pt>
                <c:pt idx="3844">
                  <c:v>#N/A</c:v>
                </c:pt>
                <c:pt idx="3845">
                  <c:v>#N/A</c:v>
                </c:pt>
                <c:pt idx="3846">
                  <c:v>#N/A</c:v>
                </c:pt>
                <c:pt idx="3847">
                  <c:v>#N/A</c:v>
                </c:pt>
                <c:pt idx="3848">
                  <c:v>#N/A</c:v>
                </c:pt>
                <c:pt idx="3849">
                  <c:v>#N/A</c:v>
                </c:pt>
                <c:pt idx="3850">
                  <c:v>#N/A</c:v>
                </c:pt>
                <c:pt idx="3851">
                  <c:v>#N/A</c:v>
                </c:pt>
                <c:pt idx="3852">
                  <c:v>#N/A</c:v>
                </c:pt>
                <c:pt idx="3853">
                  <c:v>#N/A</c:v>
                </c:pt>
                <c:pt idx="3854">
                  <c:v>#N/A</c:v>
                </c:pt>
                <c:pt idx="3855">
                  <c:v>#N/A</c:v>
                </c:pt>
                <c:pt idx="3856">
                  <c:v>#N/A</c:v>
                </c:pt>
                <c:pt idx="3857">
                  <c:v>#N/A</c:v>
                </c:pt>
                <c:pt idx="3858">
                  <c:v>#N/A</c:v>
                </c:pt>
                <c:pt idx="3859">
                  <c:v>#N/A</c:v>
                </c:pt>
                <c:pt idx="3860">
                  <c:v>#N/A</c:v>
                </c:pt>
                <c:pt idx="3861">
                  <c:v>#N/A</c:v>
                </c:pt>
                <c:pt idx="3862">
                  <c:v>#N/A</c:v>
                </c:pt>
                <c:pt idx="3863">
                  <c:v>#N/A</c:v>
                </c:pt>
                <c:pt idx="3864">
                  <c:v>#N/A</c:v>
                </c:pt>
                <c:pt idx="3865">
                  <c:v>#N/A</c:v>
                </c:pt>
                <c:pt idx="3866">
                  <c:v>#N/A</c:v>
                </c:pt>
                <c:pt idx="3867">
                  <c:v>#N/A</c:v>
                </c:pt>
                <c:pt idx="3868">
                  <c:v>#N/A</c:v>
                </c:pt>
                <c:pt idx="3869">
                  <c:v>#N/A</c:v>
                </c:pt>
                <c:pt idx="3870">
                  <c:v>#N/A</c:v>
                </c:pt>
                <c:pt idx="3871">
                  <c:v>#N/A</c:v>
                </c:pt>
                <c:pt idx="3872">
                  <c:v>#N/A</c:v>
                </c:pt>
                <c:pt idx="3873">
                  <c:v>#N/A</c:v>
                </c:pt>
                <c:pt idx="3874">
                  <c:v>#N/A</c:v>
                </c:pt>
                <c:pt idx="3875">
                  <c:v>#N/A</c:v>
                </c:pt>
                <c:pt idx="3876">
                  <c:v>#N/A</c:v>
                </c:pt>
                <c:pt idx="3877">
                  <c:v>#N/A</c:v>
                </c:pt>
                <c:pt idx="3878">
                  <c:v>#N/A</c:v>
                </c:pt>
                <c:pt idx="3879">
                  <c:v>#N/A</c:v>
                </c:pt>
                <c:pt idx="3880">
                  <c:v>#N/A</c:v>
                </c:pt>
                <c:pt idx="3881">
                  <c:v>#N/A</c:v>
                </c:pt>
                <c:pt idx="3882">
                  <c:v>#N/A</c:v>
                </c:pt>
                <c:pt idx="3883">
                  <c:v>#N/A</c:v>
                </c:pt>
                <c:pt idx="3884">
                  <c:v>#N/A</c:v>
                </c:pt>
                <c:pt idx="3885">
                  <c:v>#N/A</c:v>
                </c:pt>
                <c:pt idx="3886">
                  <c:v>#N/A</c:v>
                </c:pt>
                <c:pt idx="3887">
                  <c:v>#N/A</c:v>
                </c:pt>
                <c:pt idx="3888">
                  <c:v>#N/A</c:v>
                </c:pt>
                <c:pt idx="3889">
                  <c:v>#N/A</c:v>
                </c:pt>
                <c:pt idx="3890">
                  <c:v>#N/A</c:v>
                </c:pt>
                <c:pt idx="3891">
                  <c:v>#N/A</c:v>
                </c:pt>
                <c:pt idx="3892">
                  <c:v>#N/A</c:v>
                </c:pt>
                <c:pt idx="3893">
                  <c:v>#N/A</c:v>
                </c:pt>
                <c:pt idx="3894">
                  <c:v>#N/A</c:v>
                </c:pt>
                <c:pt idx="3895">
                  <c:v>#N/A</c:v>
                </c:pt>
                <c:pt idx="3896">
                  <c:v>#N/A</c:v>
                </c:pt>
                <c:pt idx="3897">
                  <c:v>#N/A</c:v>
                </c:pt>
                <c:pt idx="3898">
                  <c:v>#N/A</c:v>
                </c:pt>
                <c:pt idx="3899">
                  <c:v>#N/A</c:v>
                </c:pt>
                <c:pt idx="3900">
                  <c:v>#N/A</c:v>
                </c:pt>
                <c:pt idx="3901">
                  <c:v>#N/A</c:v>
                </c:pt>
                <c:pt idx="3902">
                  <c:v>#N/A</c:v>
                </c:pt>
                <c:pt idx="3903">
                  <c:v>#N/A</c:v>
                </c:pt>
                <c:pt idx="3904">
                  <c:v>#N/A</c:v>
                </c:pt>
                <c:pt idx="3905">
                  <c:v>#N/A</c:v>
                </c:pt>
                <c:pt idx="3906">
                  <c:v>#N/A</c:v>
                </c:pt>
                <c:pt idx="3907">
                  <c:v>#N/A</c:v>
                </c:pt>
                <c:pt idx="3908">
                  <c:v>#N/A</c:v>
                </c:pt>
                <c:pt idx="3909">
                  <c:v>#N/A</c:v>
                </c:pt>
                <c:pt idx="3910">
                  <c:v>#N/A</c:v>
                </c:pt>
                <c:pt idx="3911">
                  <c:v>#N/A</c:v>
                </c:pt>
                <c:pt idx="3912">
                  <c:v>#N/A</c:v>
                </c:pt>
                <c:pt idx="3913">
                  <c:v>#N/A</c:v>
                </c:pt>
                <c:pt idx="3914">
                  <c:v>#N/A</c:v>
                </c:pt>
                <c:pt idx="3915">
                  <c:v>#N/A</c:v>
                </c:pt>
                <c:pt idx="3916">
                  <c:v>#N/A</c:v>
                </c:pt>
                <c:pt idx="3917">
                  <c:v>#N/A</c:v>
                </c:pt>
                <c:pt idx="3918">
                  <c:v>#N/A</c:v>
                </c:pt>
                <c:pt idx="3919">
                  <c:v>#N/A</c:v>
                </c:pt>
                <c:pt idx="3920">
                  <c:v>#N/A</c:v>
                </c:pt>
                <c:pt idx="3921">
                  <c:v>#N/A</c:v>
                </c:pt>
                <c:pt idx="3922">
                  <c:v>#N/A</c:v>
                </c:pt>
                <c:pt idx="3923">
                  <c:v>#N/A</c:v>
                </c:pt>
                <c:pt idx="3924">
                  <c:v>#N/A</c:v>
                </c:pt>
                <c:pt idx="3925">
                  <c:v>#N/A</c:v>
                </c:pt>
                <c:pt idx="3926">
                  <c:v>#N/A</c:v>
                </c:pt>
                <c:pt idx="3927">
                  <c:v>#N/A</c:v>
                </c:pt>
                <c:pt idx="3928">
                  <c:v>#N/A</c:v>
                </c:pt>
                <c:pt idx="3929">
                  <c:v>#N/A</c:v>
                </c:pt>
                <c:pt idx="3930">
                  <c:v>#N/A</c:v>
                </c:pt>
                <c:pt idx="3931">
                  <c:v>#N/A</c:v>
                </c:pt>
                <c:pt idx="3932">
                  <c:v>#N/A</c:v>
                </c:pt>
                <c:pt idx="3933">
                  <c:v>#N/A</c:v>
                </c:pt>
                <c:pt idx="3934">
                  <c:v>#N/A</c:v>
                </c:pt>
                <c:pt idx="3935">
                  <c:v>#N/A</c:v>
                </c:pt>
                <c:pt idx="3936">
                  <c:v>#N/A</c:v>
                </c:pt>
                <c:pt idx="3937">
                  <c:v>#N/A</c:v>
                </c:pt>
                <c:pt idx="3938">
                  <c:v>#N/A</c:v>
                </c:pt>
                <c:pt idx="3939">
                  <c:v>#N/A</c:v>
                </c:pt>
                <c:pt idx="3940">
                  <c:v>#N/A</c:v>
                </c:pt>
                <c:pt idx="3941">
                  <c:v>#N/A</c:v>
                </c:pt>
                <c:pt idx="3942">
                  <c:v>#N/A</c:v>
                </c:pt>
                <c:pt idx="3943">
                  <c:v>#N/A</c:v>
                </c:pt>
                <c:pt idx="3944">
                  <c:v>#N/A</c:v>
                </c:pt>
                <c:pt idx="3945">
                  <c:v>#N/A</c:v>
                </c:pt>
                <c:pt idx="3946">
                  <c:v>#N/A</c:v>
                </c:pt>
                <c:pt idx="3947">
                  <c:v>#N/A</c:v>
                </c:pt>
                <c:pt idx="3948">
                  <c:v>#N/A</c:v>
                </c:pt>
                <c:pt idx="3949">
                  <c:v>#N/A</c:v>
                </c:pt>
                <c:pt idx="3950">
                  <c:v>#N/A</c:v>
                </c:pt>
                <c:pt idx="3951">
                  <c:v>#N/A</c:v>
                </c:pt>
                <c:pt idx="3952">
                  <c:v>#N/A</c:v>
                </c:pt>
                <c:pt idx="3953">
                  <c:v>#N/A</c:v>
                </c:pt>
                <c:pt idx="3954">
                  <c:v>#N/A</c:v>
                </c:pt>
                <c:pt idx="3955">
                  <c:v>#N/A</c:v>
                </c:pt>
                <c:pt idx="3956">
                  <c:v>#N/A</c:v>
                </c:pt>
                <c:pt idx="3957">
                  <c:v>#N/A</c:v>
                </c:pt>
                <c:pt idx="3958">
                  <c:v>#N/A</c:v>
                </c:pt>
                <c:pt idx="3959">
                  <c:v>#N/A</c:v>
                </c:pt>
                <c:pt idx="3960">
                  <c:v>#N/A</c:v>
                </c:pt>
                <c:pt idx="3961">
                  <c:v>#N/A</c:v>
                </c:pt>
                <c:pt idx="3962">
                  <c:v>#N/A</c:v>
                </c:pt>
                <c:pt idx="3963">
                  <c:v>#N/A</c:v>
                </c:pt>
                <c:pt idx="3964">
                  <c:v>#N/A</c:v>
                </c:pt>
                <c:pt idx="3965">
                  <c:v>#N/A</c:v>
                </c:pt>
                <c:pt idx="3966">
                  <c:v>#N/A</c:v>
                </c:pt>
                <c:pt idx="3967">
                  <c:v>#N/A</c:v>
                </c:pt>
                <c:pt idx="3968">
                  <c:v>#N/A</c:v>
                </c:pt>
                <c:pt idx="3969">
                  <c:v>#N/A</c:v>
                </c:pt>
                <c:pt idx="3970">
                  <c:v>#N/A</c:v>
                </c:pt>
                <c:pt idx="3971">
                  <c:v>#N/A</c:v>
                </c:pt>
                <c:pt idx="3972">
                  <c:v>#N/A</c:v>
                </c:pt>
                <c:pt idx="3973">
                  <c:v>#N/A</c:v>
                </c:pt>
                <c:pt idx="3974">
                  <c:v>#N/A</c:v>
                </c:pt>
                <c:pt idx="3975">
                  <c:v>#N/A</c:v>
                </c:pt>
                <c:pt idx="3976">
                  <c:v>#N/A</c:v>
                </c:pt>
                <c:pt idx="3977">
                  <c:v>#N/A</c:v>
                </c:pt>
                <c:pt idx="3978">
                  <c:v>#N/A</c:v>
                </c:pt>
                <c:pt idx="3979">
                  <c:v>#N/A</c:v>
                </c:pt>
                <c:pt idx="3980">
                  <c:v>#N/A</c:v>
                </c:pt>
                <c:pt idx="3981">
                  <c:v>#N/A</c:v>
                </c:pt>
                <c:pt idx="3982">
                  <c:v>#N/A</c:v>
                </c:pt>
                <c:pt idx="3983">
                  <c:v>#N/A</c:v>
                </c:pt>
                <c:pt idx="3984">
                  <c:v>#N/A</c:v>
                </c:pt>
                <c:pt idx="3985">
                  <c:v>#N/A</c:v>
                </c:pt>
                <c:pt idx="3986">
                  <c:v>#N/A</c:v>
                </c:pt>
                <c:pt idx="3987">
                  <c:v>#N/A</c:v>
                </c:pt>
                <c:pt idx="3988">
                  <c:v>#N/A</c:v>
                </c:pt>
                <c:pt idx="3989">
                  <c:v>#N/A</c:v>
                </c:pt>
                <c:pt idx="3990">
                  <c:v>#N/A</c:v>
                </c:pt>
                <c:pt idx="3991">
                  <c:v>#N/A</c:v>
                </c:pt>
                <c:pt idx="3992">
                  <c:v>#N/A</c:v>
                </c:pt>
                <c:pt idx="3993">
                  <c:v>#N/A</c:v>
                </c:pt>
                <c:pt idx="3994">
                  <c:v>#N/A</c:v>
                </c:pt>
                <c:pt idx="3995">
                  <c:v>#N/A</c:v>
                </c:pt>
                <c:pt idx="3996">
                  <c:v>#N/A</c:v>
                </c:pt>
                <c:pt idx="3997">
                  <c:v>#N/A</c:v>
                </c:pt>
                <c:pt idx="3998">
                  <c:v>#N/A</c:v>
                </c:pt>
                <c:pt idx="3999">
                  <c:v>#N/A</c:v>
                </c:pt>
                <c:pt idx="4000">
                  <c:v>#N/A</c:v>
                </c:pt>
                <c:pt idx="4001">
                  <c:v>#N/A</c:v>
                </c:pt>
                <c:pt idx="4002">
                  <c:v>#N/A</c:v>
                </c:pt>
                <c:pt idx="4003">
                  <c:v>#N/A</c:v>
                </c:pt>
                <c:pt idx="4004">
                  <c:v>#N/A</c:v>
                </c:pt>
                <c:pt idx="4005">
                  <c:v>#N/A</c:v>
                </c:pt>
                <c:pt idx="4006">
                  <c:v>#N/A</c:v>
                </c:pt>
                <c:pt idx="4007">
                  <c:v>#N/A</c:v>
                </c:pt>
                <c:pt idx="4008">
                  <c:v>#N/A</c:v>
                </c:pt>
                <c:pt idx="4009">
                  <c:v>#N/A</c:v>
                </c:pt>
                <c:pt idx="4010">
                  <c:v>#N/A</c:v>
                </c:pt>
                <c:pt idx="4011">
                  <c:v>#N/A</c:v>
                </c:pt>
                <c:pt idx="4012">
                  <c:v>#N/A</c:v>
                </c:pt>
                <c:pt idx="4013">
                  <c:v>#N/A</c:v>
                </c:pt>
                <c:pt idx="4014">
                  <c:v>#N/A</c:v>
                </c:pt>
                <c:pt idx="4015">
                  <c:v>#N/A</c:v>
                </c:pt>
                <c:pt idx="4016">
                  <c:v>#N/A</c:v>
                </c:pt>
                <c:pt idx="4017">
                  <c:v>#N/A</c:v>
                </c:pt>
                <c:pt idx="4018">
                  <c:v>#N/A</c:v>
                </c:pt>
                <c:pt idx="4019">
                  <c:v>#N/A</c:v>
                </c:pt>
                <c:pt idx="4020">
                  <c:v>#N/A</c:v>
                </c:pt>
                <c:pt idx="4021">
                  <c:v>#N/A</c:v>
                </c:pt>
                <c:pt idx="4022">
                  <c:v>#N/A</c:v>
                </c:pt>
                <c:pt idx="4023">
                  <c:v>#N/A</c:v>
                </c:pt>
                <c:pt idx="4024">
                  <c:v>#N/A</c:v>
                </c:pt>
                <c:pt idx="4025">
                  <c:v>#N/A</c:v>
                </c:pt>
                <c:pt idx="4026">
                  <c:v>#N/A</c:v>
                </c:pt>
                <c:pt idx="4027">
                  <c:v>#N/A</c:v>
                </c:pt>
                <c:pt idx="4028">
                  <c:v>#N/A</c:v>
                </c:pt>
                <c:pt idx="4029">
                  <c:v>#N/A</c:v>
                </c:pt>
                <c:pt idx="4030">
                  <c:v>#N/A</c:v>
                </c:pt>
                <c:pt idx="4031">
                  <c:v>#N/A</c:v>
                </c:pt>
                <c:pt idx="4032">
                  <c:v>#N/A</c:v>
                </c:pt>
                <c:pt idx="4033">
                  <c:v>#N/A</c:v>
                </c:pt>
                <c:pt idx="4034">
                  <c:v>#N/A</c:v>
                </c:pt>
                <c:pt idx="4035">
                  <c:v>#N/A</c:v>
                </c:pt>
                <c:pt idx="4036">
                  <c:v>#N/A</c:v>
                </c:pt>
                <c:pt idx="4037">
                  <c:v>#N/A</c:v>
                </c:pt>
                <c:pt idx="4038">
                  <c:v>#N/A</c:v>
                </c:pt>
                <c:pt idx="4039">
                  <c:v>#N/A</c:v>
                </c:pt>
                <c:pt idx="4040">
                  <c:v>#N/A</c:v>
                </c:pt>
                <c:pt idx="4041">
                  <c:v>#N/A</c:v>
                </c:pt>
                <c:pt idx="4042">
                  <c:v>#N/A</c:v>
                </c:pt>
                <c:pt idx="4043">
                  <c:v>#N/A</c:v>
                </c:pt>
                <c:pt idx="4044">
                  <c:v>#N/A</c:v>
                </c:pt>
                <c:pt idx="4045">
                  <c:v>#N/A</c:v>
                </c:pt>
                <c:pt idx="4046">
                  <c:v>#N/A</c:v>
                </c:pt>
                <c:pt idx="4047">
                  <c:v>#N/A</c:v>
                </c:pt>
                <c:pt idx="4048">
                  <c:v>#N/A</c:v>
                </c:pt>
                <c:pt idx="4049">
                  <c:v>#N/A</c:v>
                </c:pt>
                <c:pt idx="4050">
                  <c:v>#N/A</c:v>
                </c:pt>
                <c:pt idx="4051">
                  <c:v>#N/A</c:v>
                </c:pt>
                <c:pt idx="4052">
                  <c:v>#N/A</c:v>
                </c:pt>
                <c:pt idx="4053">
                  <c:v>#N/A</c:v>
                </c:pt>
                <c:pt idx="4054">
                  <c:v>#N/A</c:v>
                </c:pt>
                <c:pt idx="4055">
                  <c:v>#N/A</c:v>
                </c:pt>
                <c:pt idx="4056">
                  <c:v>#N/A</c:v>
                </c:pt>
                <c:pt idx="4057">
                  <c:v>#N/A</c:v>
                </c:pt>
                <c:pt idx="4058">
                  <c:v>#N/A</c:v>
                </c:pt>
                <c:pt idx="4059">
                  <c:v>#N/A</c:v>
                </c:pt>
                <c:pt idx="4060">
                  <c:v>#N/A</c:v>
                </c:pt>
                <c:pt idx="4061">
                  <c:v>#N/A</c:v>
                </c:pt>
                <c:pt idx="4062">
                  <c:v>#N/A</c:v>
                </c:pt>
                <c:pt idx="4063">
                  <c:v>#N/A</c:v>
                </c:pt>
                <c:pt idx="4064">
                  <c:v>#N/A</c:v>
                </c:pt>
                <c:pt idx="4065">
                  <c:v>#N/A</c:v>
                </c:pt>
                <c:pt idx="4066">
                  <c:v>#N/A</c:v>
                </c:pt>
                <c:pt idx="4067">
                  <c:v>#N/A</c:v>
                </c:pt>
                <c:pt idx="4068">
                  <c:v>#N/A</c:v>
                </c:pt>
                <c:pt idx="4069">
                  <c:v>#N/A</c:v>
                </c:pt>
                <c:pt idx="4070">
                  <c:v>#N/A</c:v>
                </c:pt>
                <c:pt idx="4071">
                  <c:v>#N/A</c:v>
                </c:pt>
                <c:pt idx="4072">
                  <c:v>#N/A</c:v>
                </c:pt>
                <c:pt idx="4073">
                  <c:v>#N/A</c:v>
                </c:pt>
                <c:pt idx="4074">
                  <c:v>#N/A</c:v>
                </c:pt>
                <c:pt idx="4075">
                  <c:v>#N/A</c:v>
                </c:pt>
                <c:pt idx="4076">
                  <c:v>#N/A</c:v>
                </c:pt>
                <c:pt idx="4077">
                  <c:v>#N/A</c:v>
                </c:pt>
                <c:pt idx="4078">
                  <c:v>#N/A</c:v>
                </c:pt>
                <c:pt idx="4079">
                  <c:v>#N/A</c:v>
                </c:pt>
                <c:pt idx="4080">
                  <c:v>#N/A</c:v>
                </c:pt>
                <c:pt idx="4081">
                  <c:v>#N/A</c:v>
                </c:pt>
                <c:pt idx="4082">
                  <c:v>#N/A</c:v>
                </c:pt>
                <c:pt idx="4083">
                  <c:v>#N/A</c:v>
                </c:pt>
                <c:pt idx="4084">
                  <c:v>#N/A</c:v>
                </c:pt>
                <c:pt idx="4085">
                  <c:v>#N/A</c:v>
                </c:pt>
                <c:pt idx="4086">
                  <c:v>#N/A</c:v>
                </c:pt>
                <c:pt idx="4087">
                  <c:v>#N/A</c:v>
                </c:pt>
                <c:pt idx="4088">
                  <c:v>#N/A</c:v>
                </c:pt>
                <c:pt idx="4089">
                  <c:v>#N/A</c:v>
                </c:pt>
                <c:pt idx="4090">
                  <c:v>#N/A</c:v>
                </c:pt>
                <c:pt idx="4091">
                  <c:v>#N/A</c:v>
                </c:pt>
                <c:pt idx="4092">
                  <c:v>#N/A</c:v>
                </c:pt>
                <c:pt idx="4093">
                  <c:v>#N/A</c:v>
                </c:pt>
                <c:pt idx="4094">
                  <c:v>#N/A</c:v>
                </c:pt>
                <c:pt idx="4095">
                  <c:v>#N/A</c:v>
                </c:pt>
                <c:pt idx="4096">
                  <c:v>#N/A</c:v>
                </c:pt>
                <c:pt idx="4097">
                  <c:v>#N/A</c:v>
                </c:pt>
                <c:pt idx="4098">
                  <c:v>#N/A</c:v>
                </c:pt>
                <c:pt idx="4099">
                  <c:v>#N/A</c:v>
                </c:pt>
                <c:pt idx="4100">
                  <c:v>#N/A</c:v>
                </c:pt>
                <c:pt idx="4101">
                  <c:v>#N/A</c:v>
                </c:pt>
                <c:pt idx="4102">
                  <c:v>#N/A</c:v>
                </c:pt>
                <c:pt idx="4103">
                  <c:v>#N/A</c:v>
                </c:pt>
                <c:pt idx="4104">
                  <c:v>#N/A</c:v>
                </c:pt>
                <c:pt idx="4105">
                  <c:v>#N/A</c:v>
                </c:pt>
                <c:pt idx="4106">
                  <c:v>#N/A</c:v>
                </c:pt>
                <c:pt idx="4107">
                  <c:v>#N/A</c:v>
                </c:pt>
                <c:pt idx="4108">
                  <c:v>#N/A</c:v>
                </c:pt>
                <c:pt idx="4109">
                  <c:v>#N/A</c:v>
                </c:pt>
                <c:pt idx="4110">
                  <c:v>#N/A</c:v>
                </c:pt>
                <c:pt idx="4111">
                  <c:v>#N/A</c:v>
                </c:pt>
                <c:pt idx="4112">
                  <c:v>#N/A</c:v>
                </c:pt>
                <c:pt idx="4113">
                  <c:v>#N/A</c:v>
                </c:pt>
                <c:pt idx="4114">
                  <c:v>#N/A</c:v>
                </c:pt>
                <c:pt idx="4115">
                  <c:v>#N/A</c:v>
                </c:pt>
                <c:pt idx="4116">
                  <c:v>#N/A</c:v>
                </c:pt>
                <c:pt idx="4117">
                  <c:v>#N/A</c:v>
                </c:pt>
                <c:pt idx="4118">
                  <c:v>#N/A</c:v>
                </c:pt>
                <c:pt idx="4119">
                  <c:v>#N/A</c:v>
                </c:pt>
                <c:pt idx="4120">
                  <c:v>#N/A</c:v>
                </c:pt>
                <c:pt idx="4121">
                  <c:v>#N/A</c:v>
                </c:pt>
                <c:pt idx="4122">
                  <c:v>#N/A</c:v>
                </c:pt>
                <c:pt idx="4123">
                  <c:v>#N/A</c:v>
                </c:pt>
                <c:pt idx="4124">
                  <c:v>#N/A</c:v>
                </c:pt>
                <c:pt idx="4125">
                  <c:v>#N/A</c:v>
                </c:pt>
                <c:pt idx="4126">
                  <c:v>#N/A</c:v>
                </c:pt>
                <c:pt idx="4127">
                  <c:v>#N/A</c:v>
                </c:pt>
                <c:pt idx="4128">
                  <c:v>#N/A</c:v>
                </c:pt>
                <c:pt idx="4129">
                  <c:v>#N/A</c:v>
                </c:pt>
                <c:pt idx="4130">
                  <c:v>#N/A</c:v>
                </c:pt>
                <c:pt idx="4131">
                  <c:v>#N/A</c:v>
                </c:pt>
                <c:pt idx="4132">
                  <c:v>#N/A</c:v>
                </c:pt>
                <c:pt idx="4133">
                  <c:v>#N/A</c:v>
                </c:pt>
                <c:pt idx="4134">
                  <c:v>#N/A</c:v>
                </c:pt>
                <c:pt idx="4135">
                  <c:v>#N/A</c:v>
                </c:pt>
                <c:pt idx="4136">
                  <c:v>#N/A</c:v>
                </c:pt>
                <c:pt idx="4137">
                  <c:v>#N/A</c:v>
                </c:pt>
                <c:pt idx="4138">
                  <c:v>#N/A</c:v>
                </c:pt>
                <c:pt idx="4139">
                  <c:v>#N/A</c:v>
                </c:pt>
                <c:pt idx="4140">
                  <c:v>#N/A</c:v>
                </c:pt>
                <c:pt idx="4141">
                  <c:v>#N/A</c:v>
                </c:pt>
                <c:pt idx="4142">
                  <c:v>#N/A</c:v>
                </c:pt>
                <c:pt idx="4143">
                  <c:v>#N/A</c:v>
                </c:pt>
                <c:pt idx="4144">
                  <c:v>#N/A</c:v>
                </c:pt>
                <c:pt idx="4145">
                  <c:v>#N/A</c:v>
                </c:pt>
                <c:pt idx="4146">
                  <c:v>#N/A</c:v>
                </c:pt>
                <c:pt idx="4147">
                  <c:v>#N/A</c:v>
                </c:pt>
                <c:pt idx="4148">
                  <c:v>#N/A</c:v>
                </c:pt>
                <c:pt idx="4149">
                  <c:v>#N/A</c:v>
                </c:pt>
                <c:pt idx="4150">
                  <c:v>#N/A</c:v>
                </c:pt>
                <c:pt idx="4151">
                  <c:v>#N/A</c:v>
                </c:pt>
                <c:pt idx="4152">
                  <c:v>#N/A</c:v>
                </c:pt>
                <c:pt idx="4153">
                  <c:v>#N/A</c:v>
                </c:pt>
                <c:pt idx="4154">
                  <c:v>#N/A</c:v>
                </c:pt>
                <c:pt idx="4155">
                  <c:v>#N/A</c:v>
                </c:pt>
                <c:pt idx="4156">
                  <c:v>#N/A</c:v>
                </c:pt>
                <c:pt idx="4157">
                  <c:v>#N/A</c:v>
                </c:pt>
                <c:pt idx="4158">
                  <c:v>#N/A</c:v>
                </c:pt>
                <c:pt idx="4159">
                  <c:v>#N/A</c:v>
                </c:pt>
                <c:pt idx="4160">
                  <c:v>#N/A</c:v>
                </c:pt>
                <c:pt idx="4161">
                  <c:v>#N/A</c:v>
                </c:pt>
                <c:pt idx="4162">
                  <c:v>#N/A</c:v>
                </c:pt>
                <c:pt idx="4163">
                  <c:v>#N/A</c:v>
                </c:pt>
                <c:pt idx="4164">
                  <c:v>#N/A</c:v>
                </c:pt>
                <c:pt idx="4165">
                  <c:v>#N/A</c:v>
                </c:pt>
                <c:pt idx="4166">
                  <c:v>#N/A</c:v>
                </c:pt>
                <c:pt idx="4167">
                  <c:v>#N/A</c:v>
                </c:pt>
                <c:pt idx="4168">
                  <c:v>#N/A</c:v>
                </c:pt>
                <c:pt idx="4169">
                  <c:v>#N/A</c:v>
                </c:pt>
                <c:pt idx="4170">
                  <c:v>#N/A</c:v>
                </c:pt>
                <c:pt idx="4171">
                  <c:v>#N/A</c:v>
                </c:pt>
                <c:pt idx="4172">
                  <c:v>#N/A</c:v>
                </c:pt>
                <c:pt idx="4173">
                  <c:v>#N/A</c:v>
                </c:pt>
                <c:pt idx="4174">
                  <c:v>#N/A</c:v>
                </c:pt>
                <c:pt idx="4175">
                  <c:v>#N/A</c:v>
                </c:pt>
                <c:pt idx="4176">
                  <c:v>#N/A</c:v>
                </c:pt>
                <c:pt idx="4177">
                  <c:v>#N/A</c:v>
                </c:pt>
                <c:pt idx="4178">
                  <c:v>#N/A</c:v>
                </c:pt>
                <c:pt idx="4179">
                  <c:v>#N/A</c:v>
                </c:pt>
                <c:pt idx="4180">
                  <c:v>#N/A</c:v>
                </c:pt>
                <c:pt idx="4181">
                  <c:v>#N/A</c:v>
                </c:pt>
                <c:pt idx="4182">
                  <c:v>#N/A</c:v>
                </c:pt>
                <c:pt idx="4183">
                  <c:v>#N/A</c:v>
                </c:pt>
                <c:pt idx="4184">
                  <c:v>#N/A</c:v>
                </c:pt>
                <c:pt idx="4185">
                  <c:v>#N/A</c:v>
                </c:pt>
                <c:pt idx="4186">
                  <c:v>#N/A</c:v>
                </c:pt>
                <c:pt idx="4187">
                  <c:v>#N/A</c:v>
                </c:pt>
                <c:pt idx="4188">
                  <c:v>#N/A</c:v>
                </c:pt>
                <c:pt idx="4189">
                  <c:v>#N/A</c:v>
                </c:pt>
                <c:pt idx="4190">
                  <c:v>#N/A</c:v>
                </c:pt>
                <c:pt idx="4191">
                  <c:v>#N/A</c:v>
                </c:pt>
                <c:pt idx="4192">
                  <c:v>#N/A</c:v>
                </c:pt>
                <c:pt idx="4193">
                  <c:v>#N/A</c:v>
                </c:pt>
                <c:pt idx="4194">
                  <c:v>#N/A</c:v>
                </c:pt>
                <c:pt idx="4195">
                  <c:v>#N/A</c:v>
                </c:pt>
                <c:pt idx="4196">
                  <c:v>#N/A</c:v>
                </c:pt>
                <c:pt idx="4197">
                  <c:v>#N/A</c:v>
                </c:pt>
                <c:pt idx="4198">
                  <c:v>#N/A</c:v>
                </c:pt>
                <c:pt idx="4199">
                  <c:v>#N/A</c:v>
                </c:pt>
                <c:pt idx="4200">
                  <c:v>#N/A</c:v>
                </c:pt>
                <c:pt idx="4201">
                  <c:v>#N/A</c:v>
                </c:pt>
                <c:pt idx="4202">
                  <c:v>#N/A</c:v>
                </c:pt>
                <c:pt idx="4203">
                  <c:v>#N/A</c:v>
                </c:pt>
                <c:pt idx="4204">
                  <c:v>#N/A</c:v>
                </c:pt>
                <c:pt idx="4205">
                  <c:v>#N/A</c:v>
                </c:pt>
                <c:pt idx="4206">
                  <c:v>#N/A</c:v>
                </c:pt>
                <c:pt idx="4207">
                  <c:v>#N/A</c:v>
                </c:pt>
                <c:pt idx="4208">
                  <c:v>#N/A</c:v>
                </c:pt>
                <c:pt idx="4209">
                  <c:v>#N/A</c:v>
                </c:pt>
                <c:pt idx="4210">
                  <c:v>#N/A</c:v>
                </c:pt>
                <c:pt idx="4211">
                  <c:v>#N/A</c:v>
                </c:pt>
                <c:pt idx="4212">
                  <c:v>#N/A</c:v>
                </c:pt>
                <c:pt idx="4213">
                  <c:v>#N/A</c:v>
                </c:pt>
                <c:pt idx="4214">
                  <c:v>#N/A</c:v>
                </c:pt>
                <c:pt idx="4215">
                  <c:v>#N/A</c:v>
                </c:pt>
                <c:pt idx="4216">
                  <c:v>#N/A</c:v>
                </c:pt>
                <c:pt idx="4217">
                  <c:v>#N/A</c:v>
                </c:pt>
                <c:pt idx="4218">
                  <c:v>#N/A</c:v>
                </c:pt>
                <c:pt idx="4219">
                  <c:v>#N/A</c:v>
                </c:pt>
                <c:pt idx="4220">
                  <c:v>#N/A</c:v>
                </c:pt>
                <c:pt idx="4221">
                  <c:v>#N/A</c:v>
                </c:pt>
                <c:pt idx="4222">
                  <c:v>#N/A</c:v>
                </c:pt>
                <c:pt idx="4223">
                  <c:v>#N/A</c:v>
                </c:pt>
                <c:pt idx="4224">
                  <c:v>#N/A</c:v>
                </c:pt>
                <c:pt idx="4225">
                  <c:v>#N/A</c:v>
                </c:pt>
                <c:pt idx="4226">
                  <c:v>#N/A</c:v>
                </c:pt>
                <c:pt idx="4227">
                  <c:v>#N/A</c:v>
                </c:pt>
                <c:pt idx="4228">
                  <c:v>#N/A</c:v>
                </c:pt>
                <c:pt idx="4229">
                  <c:v>#N/A</c:v>
                </c:pt>
                <c:pt idx="4230">
                  <c:v>#N/A</c:v>
                </c:pt>
                <c:pt idx="4231">
                  <c:v>#N/A</c:v>
                </c:pt>
                <c:pt idx="4232">
                  <c:v>#N/A</c:v>
                </c:pt>
                <c:pt idx="4233">
                  <c:v>#N/A</c:v>
                </c:pt>
                <c:pt idx="4234">
                  <c:v>#N/A</c:v>
                </c:pt>
                <c:pt idx="4235">
                  <c:v>#N/A</c:v>
                </c:pt>
                <c:pt idx="4236">
                  <c:v>#N/A</c:v>
                </c:pt>
                <c:pt idx="4237">
                  <c:v>#N/A</c:v>
                </c:pt>
                <c:pt idx="4238">
                  <c:v>#N/A</c:v>
                </c:pt>
                <c:pt idx="4239">
                  <c:v>#N/A</c:v>
                </c:pt>
                <c:pt idx="4240">
                  <c:v>#N/A</c:v>
                </c:pt>
                <c:pt idx="4241">
                  <c:v>#N/A</c:v>
                </c:pt>
                <c:pt idx="4242">
                  <c:v>#N/A</c:v>
                </c:pt>
                <c:pt idx="4243">
                  <c:v>#N/A</c:v>
                </c:pt>
                <c:pt idx="4244">
                  <c:v>#N/A</c:v>
                </c:pt>
                <c:pt idx="4245">
                  <c:v>#N/A</c:v>
                </c:pt>
                <c:pt idx="4246">
                  <c:v>#N/A</c:v>
                </c:pt>
                <c:pt idx="4247">
                  <c:v>#N/A</c:v>
                </c:pt>
                <c:pt idx="4248">
                  <c:v>#N/A</c:v>
                </c:pt>
                <c:pt idx="4249">
                  <c:v>#N/A</c:v>
                </c:pt>
                <c:pt idx="4250">
                  <c:v>#N/A</c:v>
                </c:pt>
                <c:pt idx="4251">
                  <c:v>#N/A</c:v>
                </c:pt>
                <c:pt idx="4252">
                  <c:v>#N/A</c:v>
                </c:pt>
                <c:pt idx="4253">
                  <c:v>#N/A</c:v>
                </c:pt>
                <c:pt idx="4254">
                  <c:v>#N/A</c:v>
                </c:pt>
                <c:pt idx="4255">
                  <c:v>#N/A</c:v>
                </c:pt>
                <c:pt idx="4256">
                  <c:v>#N/A</c:v>
                </c:pt>
                <c:pt idx="4257">
                  <c:v>#N/A</c:v>
                </c:pt>
                <c:pt idx="4258">
                  <c:v>#N/A</c:v>
                </c:pt>
                <c:pt idx="4259">
                  <c:v>#N/A</c:v>
                </c:pt>
                <c:pt idx="4260">
                  <c:v>#N/A</c:v>
                </c:pt>
                <c:pt idx="4261">
                  <c:v>#N/A</c:v>
                </c:pt>
                <c:pt idx="4262">
                  <c:v>#N/A</c:v>
                </c:pt>
                <c:pt idx="4263">
                  <c:v>#N/A</c:v>
                </c:pt>
                <c:pt idx="4264">
                  <c:v>#N/A</c:v>
                </c:pt>
                <c:pt idx="4265">
                  <c:v>#N/A</c:v>
                </c:pt>
                <c:pt idx="4266">
                  <c:v>#N/A</c:v>
                </c:pt>
                <c:pt idx="4267">
                  <c:v>#N/A</c:v>
                </c:pt>
                <c:pt idx="4268">
                  <c:v>#N/A</c:v>
                </c:pt>
                <c:pt idx="4269">
                  <c:v>#N/A</c:v>
                </c:pt>
                <c:pt idx="4270">
                  <c:v>#N/A</c:v>
                </c:pt>
                <c:pt idx="4271">
                  <c:v>#N/A</c:v>
                </c:pt>
                <c:pt idx="4272">
                  <c:v>#N/A</c:v>
                </c:pt>
                <c:pt idx="4273">
                  <c:v>#N/A</c:v>
                </c:pt>
                <c:pt idx="4274">
                  <c:v>#N/A</c:v>
                </c:pt>
                <c:pt idx="4275">
                  <c:v>#N/A</c:v>
                </c:pt>
                <c:pt idx="4276">
                  <c:v>#N/A</c:v>
                </c:pt>
                <c:pt idx="4277">
                  <c:v>#N/A</c:v>
                </c:pt>
                <c:pt idx="4278">
                  <c:v>#N/A</c:v>
                </c:pt>
                <c:pt idx="4279">
                  <c:v>#N/A</c:v>
                </c:pt>
                <c:pt idx="4280">
                  <c:v>#N/A</c:v>
                </c:pt>
                <c:pt idx="4281">
                  <c:v>#N/A</c:v>
                </c:pt>
                <c:pt idx="4282">
                  <c:v>#N/A</c:v>
                </c:pt>
                <c:pt idx="4283">
                  <c:v>#N/A</c:v>
                </c:pt>
                <c:pt idx="4284">
                  <c:v>#N/A</c:v>
                </c:pt>
                <c:pt idx="4285">
                  <c:v>#N/A</c:v>
                </c:pt>
                <c:pt idx="4286">
                  <c:v>#N/A</c:v>
                </c:pt>
                <c:pt idx="4287">
                  <c:v>#N/A</c:v>
                </c:pt>
                <c:pt idx="4288">
                  <c:v>#N/A</c:v>
                </c:pt>
                <c:pt idx="4289">
                  <c:v>#N/A</c:v>
                </c:pt>
                <c:pt idx="4290">
                  <c:v>#N/A</c:v>
                </c:pt>
                <c:pt idx="4291">
                  <c:v>#N/A</c:v>
                </c:pt>
                <c:pt idx="4292">
                  <c:v>#N/A</c:v>
                </c:pt>
                <c:pt idx="4293">
                  <c:v>#N/A</c:v>
                </c:pt>
                <c:pt idx="4294">
                  <c:v>#N/A</c:v>
                </c:pt>
                <c:pt idx="4295">
                  <c:v>#N/A</c:v>
                </c:pt>
                <c:pt idx="4296">
                  <c:v>#N/A</c:v>
                </c:pt>
                <c:pt idx="4297">
                  <c:v>#N/A</c:v>
                </c:pt>
                <c:pt idx="4298">
                  <c:v>#N/A</c:v>
                </c:pt>
                <c:pt idx="4299">
                  <c:v>#N/A</c:v>
                </c:pt>
                <c:pt idx="4300">
                  <c:v>#N/A</c:v>
                </c:pt>
                <c:pt idx="4301">
                  <c:v>#N/A</c:v>
                </c:pt>
                <c:pt idx="4302">
                  <c:v>#N/A</c:v>
                </c:pt>
                <c:pt idx="4303">
                  <c:v>#N/A</c:v>
                </c:pt>
                <c:pt idx="4304">
                  <c:v>#N/A</c:v>
                </c:pt>
                <c:pt idx="4305">
                  <c:v>#N/A</c:v>
                </c:pt>
                <c:pt idx="4306">
                  <c:v>#N/A</c:v>
                </c:pt>
                <c:pt idx="4307">
                  <c:v>#N/A</c:v>
                </c:pt>
                <c:pt idx="4308">
                  <c:v>#N/A</c:v>
                </c:pt>
                <c:pt idx="4309">
                  <c:v>#N/A</c:v>
                </c:pt>
                <c:pt idx="4310">
                  <c:v>#N/A</c:v>
                </c:pt>
                <c:pt idx="4311">
                  <c:v>#N/A</c:v>
                </c:pt>
                <c:pt idx="4312">
                  <c:v>#N/A</c:v>
                </c:pt>
                <c:pt idx="4313">
                  <c:v>#N/A</c:v>
                </c:pt>
                <c:pt idx="4314">
                  <c:v>#N/A</c:v>
                </c:pt>
                <c:pt idx="4315">
                  <c:v>#N/A</c:v>
                </c:pt>
                <c:pt idx="4316">
                  <c:v>#N/A</c:v>
                </c:pt>
                <c:pt idx="4317">
                  <c:v>#N/A</c:v>
                </c:pt>
                <c:pt idx="4318">
                  <c:v>#N/A</c:v>
                </c:pt>
                <c:pt idx="4319">
                  <c:v>#N/A</c:v>
                </c:pt>
                <c:pt idx="4320">
                  <c:v>#N/A</c:v>
                </c:pt>
                <c:pt idx="4321">
                  <c:v>#N/A</c:v>
                </c:pt>
                <c:pt idx="4322">
                  <c:v>#N/A</c:v>
                </c:pt>
                <c:pt idx="4323">
                  <c:v>#N/A</c:v>
                </c:pt>
                <c:pt idx="4324">
                  <c:v>#N/A</c:v>
                </c:pt>
                <c:pt idx="4325">
                  <c:v>#N/A</c:v>
                </c:pt>
                <c:pt idx="4326">
                  <c:v>#N/A</c:v>
                </c:pt>
                <c:pt idx="4327">
                  <c:v>#N/A</c:v>
                </c:pt>
                <c:pt idx="4328">
                  <c:v>#N/A</c:v>
                </c:pt>
                <c:pt idx="4329">
                  <c:v>#N/A</c:v>
                </c:pt>
                <c:pt idx="4330">
                  <c:v>#N/A</c:v>
                </c:pt>
                <c:pt idx="4331">
                  <c:v>#N/A</c:v>
                </c:pt>
                <c:pt idx="4332">
                  <c:v>#N/A</c:v>
                </c:pt>
                <c:pt idx="4333">
                  <c:v>#N/A</c:v>
                </c:pt>
                <c:pt idx="4334">
                  <c:v>#N/A</c:v>
                </c:pt>
                <c:pt idx="4335">
                  <c:v>#N/A</c:v>
                </c:pt>
                <c:pt idx="4336">
                  <c:v>#N/A</c:v>
                </c:pt>
                <c:pt idx="4337">
                  <c:v>#N/A</c:v>
                </c:pt>
                <c:pt idx="4338">
                  <c:v>#N/A</c:v>
                </c:pt>
                <c:pt idx="4339">
                  <c:v>#N/A</c:v>
                </c:pt>
                <c:pt idx="4340">
                  <c:v>#N/A</c:v>
                </c:pt>
                <c:pt idx="4341">
                  <c:v>#N/A</c:v>
                </c:pt>
                <c:pt idx="4342">
                  <c:v>#N/A</c:v>
                </c:pt>
                <c:pt idx="4343">
                  <c:v>#N/A</c:v>
                </c:pt>
                <c:pt idx="4344">
                  <c:v>#N/A</c:v>
                </c:pt>
                <c:pt idx="4345">
                  <c:v>#N/A</c:v>
                </c:pt>
                <c:pt idx="4346">
                  <c:v>#N/A</c:v>
                </c:pt>
                <c:pt idx="4347">
                  <c:v>#N/A</c:v>
                </c:pt>
                <c:pt idx="4348">
                  <c:v>#N/A</c:v>
                </c:pt>
                <c:pt idx="4349">
                  <c:v>#N/A</c:v>
                </c:pt>
                <c:pt idx="4350">
                  <c:v>#N/A</c:v>
                </c:pt>
                <c:pt idx="4351">
                  <c:v>#N/A</c:v>
                </c:pt>
                <c:pt idx="4352">
                  <c:v>#N/A</c:v>
                </c:pt>
                <c:pt idx="4353">
                  <c:v>#N/A</c:v>
                </c:pt>
                <c:pt idx="4354">
                  <c:v>#N/A</c:v>
                </c:pt>
                <c:pt idx="4355">
                  <c:v>#N/A</c:v>
                </c:pt>
                <c:pt idx="4356">
                  <c:v>#N/A</c:v>
                </c:pt>
                <c:pt idx="4357">
                  <c:v>#N/A</c:v>
                </c:pt>
                <c:pt idx="4358">
                  <c:v>#N/A</c:v>
                </c:pt>
                <c:pt idx="4359">
                  <c:v>#N/A</c:v>
                </c:pt>
                <c:pt idx="4360">
                  <c:v>#N/A</c:v>
                </c:pt>
                <c:pt idx="4361">
                  <c:v>#N/A</c:v>
                </c:pt>
                <c:pt idx="4362">
                  <c:v>#N/A</c:v>
                </c:pt>
                <c:pt idx="4363">
                  <c:v>#N/A</c:v>
                </c:pt>
                <c:pt idx="4364">
                  <c:v>#N/A</c:v>
                </c:pt>
                <c:pt idx="4365">
                  <c:v>#N/A</c:v>
                </c:pt>
                <c:pt idx="4366">
                  <c:v>#N/A</c:v>
                </c:pt>
                <c:pt idx="4367">
                  <c:v>#N/A</c:v>
                </c:pt>
                <c:pt idx="4368">
                  <c:v>#N/A</c:v>
                </c:pt>
                <c:pt idx="4369">
                  <c:v>#N/A</c:v>
                </c:pt>
                <c:pt idx="4370">
                  <c:v>#N/A</c:v>
                </c:pt>
                <c:pt idx="4371">
                  <c:v>#N/A</c:v>
                </c:pt>
                <c:pt idx="4372">
                  <c:v>#N/A</c:v>
                </c:pt>
                <c:pt idx="4373">
                  <c:v>#N/A</c:v>
                </c:pt>
                <c:pt idx="4374">
                  <c:v>#N/A</c:v>
                </c:pt>
                <c:pt idx="4375">
                  <c:v>#N/A</c:v>
                </c:pt>
                <c:pt idx="4376">
                  <c:v>#N/A</c:v>
                </c:pt>
                <c:pt idx="4377">
                  <c:v>#N/A</c:v>
                </c:pt>
                <c:pt idx="4378">
                  <c:v>#N/A</c:v>
                </c:pt>
                <c:pt idx="4379">
                  <c:v>#N/A</c:v>
                </c:pt>
                <c:pt idx="4380">
                  <c:v>#N/A</c:v>
                </c:pt>
                <c:pt idx="4381">
                  <c:v>#N/A</c:v>
                </c:pt>
                <c:pt idx="4382">
                  <c:v>#N/A</c:v>
                </c:pt>
                <c:pt idx="4383">
                  <c:v>#N/A</c:v>
                </c:pt>
                <c:pt idx="4384">
                  <c:v>#N/A</c:v>
                </c:pt>
                <c:pt idx="4385">
                  <c:v>#N/A</c:v>
                </c:pt>
                <c:pt idx="4386">
                  <c:v>#N/A</c:v>
                </c:pt>
                <c:pt idx="4387">
                  <c:v>#N/A</c:v>
                </c:pt>
                <c:pt idx="4388">
                  <c:v>#N/A</c:v>
                </c:pt>
                <c:pt idx="4389">
                  <c:v>#N/A</c:v>
                </c:pt>
                <c:pt idx="4390">
                  <c:v>#N/A</c:v>
                </c:pt>
                <c:pt idx="4391">
                  <c:v>#N/A</c:v>
                </c:pt>
                <c:pt idx="4392">
                  <c:v>#N/A</c:v>
                </c:pt>
                <c:pt idx="4393">
                  <c:v>#N/A</c:v>
                </c:pt>
                <c:pt idx="4394">
                  <c:v>#N/A</c:v>
                </c:pt>
                <c:pt idx="4395">
                  <c:v>#N/A</c:v>
                </c:pt>
                <c:pt idx="4396">
                  <c:v>#N/A</c:v>
                </c:pt>
                <c:pt idx="4397">
                  <c:v>#N/A</c:v>
                </c:pt>
                <c:pt idx="4398">
                  <c:v>#N/A</c:v>
                </c:pt>
                <c:pt idx="4399">
                  <c:v>#N/A</c:v>
                </c:pt>
                <c:pt idx="4400">
                  <c:v>#N/A</c:v>
                </c:pt>
                <c:pt idx="4401">
                  <c:v>#N/A</c:v>
                </c:pt>
                <c:pt idx="4402">
                  <c:v>#N/A</c:v>
                </c:pt>
                <c:pt idx="4403">
                  <c:v>#N/A</c:v>
                </c:pt>
                <c:pt idx="4404">
                  <c:v>#N/A</c:v>
                </c:pt>
                <c:pt idx="4405">
                  <c:v>#N/A</c:v>
                </c:pt>
                <c:pt idx="4406">
                  <c:v>#N/A</c:v>
                </c:pt>
                <c:pt idx="4407">
                  <c:v>#N/A</c:v>
                </c:pt>
                <c:pt idx="4408">
                  <c:v>#N/A</c:v>
                </c:pt>
                <c:pt idx="4409">
                  <c:v>#N/A</c:v>
                </c:pt>
                <c:pt idx="4410">
                  <c:v>#N/A</c:v>
                </c:pt>
                <c:pt idx="4411">
                  <c:v>#N/A</c:v>
                </c:pt>
                <c:pt idx="4412">
                  <c:v>#N/A</c:v>
                </c:pt>
                <c:pt idx="4413">
                  <c:v>#N/A</c:v>
                </c:pt>
                <c:pt idx="4414">
                  <c:v>#N/A</c:v>
                </c:pt>
                <c:pt idx="4415">
                  <c:v>#N/A</c:v>
                </c:pt>
                <c:pt idx="4416">
                  <c:v>#N/A</c:v>
                </c:pt>
                <c:pt idx="4417">
                  <c:v>#N/A</c:v>
                </c:pt>
                <c:pt idx="4418">
                  <c:v>#N/A</c:v>
                </c:pt>
                <c:pt idx="4419">
                  <c:v>#N/A</c:v>
                </c:pt>
                <c:pt idx="4420">
                  <c:v>#N/A</c:v>
                </c:pt>
                <c:pt idx="4421">
                  <c:v>#N/A</c:v>
                </c:pt>
                <c:pt idx="4422">
                  <c:v>#N/A</c:v>
                </c:pt>
                <c:pt idx="4423">
                  <c:v>#N/A</c:v>
                </c:pt>
                <c:pt idx="4424">
                  <c:v>#N/A</c:v>
                </c:pt>
                <c:pt idx="4425">
                  <c:v>#N/A</c:v>
                </c:pt>
                <c:pt idx="4426">
                  <c:v>#N/A</c:v>
                </c:pt>
                <c:pt idx="4427">
                  <c:v>#N/A</c:v>
                </c:pt>
                <c:pt idx="4428">
                  <c:v>#N/A</c:v>
                </c:pt>
                <c:pt idx="4429">
                  <c:v>#N/A</c:v>
                </c:pt>
                <c:pt idx="4430">
                  <c:v>#N/A</c:v>
                </c:pt>
                <c:pt idx="4431">
                  <c:v>#N/A</c:v>
                </c:pt>
                <c:pt idx="4432">
                  <c:v>#N/A</c:v>
                </c:pt>
                <c:pt idx="4433">
                  <c:v>#N/A</c:v>
                </c:pt>
                <c:pt idx="4434">
                  <c:v>#N/A</c:v>
                </c:pt>
                <c:pt idx="4435">
                  <c:v>#N/A</c:v>
                </c:pt>
                <c:pt idx="4436">
                  <c:v>#N/A</c:v>
                </c:pt>
                <c:pt idx="4437">
                  <c:v>#N/A</c:v>
                </c:pt>
                <c:pt idx="4438">
                  <c:v>#N/A</c:v>
                </c:pt>
                <c:pt idx="4439">
                  <c:v>#N/A</c:v>
                </c:pt>
                <c:pt idx="4440">
                  <c:v>#N/A</c:v>
                </c:pt>
                <c:pt idx="4441">
                  <c:v>#N/A</c:v>
                </c:pt>
                <c:pt idx="4442">
                  <c:v>#N/A</c:v>
                </c:pt>
                <c:pt idx="4443">
                  <c:v>#N/A</c:v>
                </c:pt>
                <c:pt idx="4444">
                  <c:v>#N/A</c:v>
                </c:pt>
                <c:pt idx="4445">
                  <c:v>#N/A</c:v>
                </c:pt>
                <c:pt idx="4446">
                  <c:v>#N/A</c:v>
                </c:pt>
                <c:pt idx="4447">
                  <c:v>#N/A</c:v>
                </c:pt>
                <c:pt idx="4448">
                  <c:v>#N/A</c:v>
                </c:pt>
                <c:pt idx="4449">
                  <c:v>#N/A</c:v>
                </c:pt>
                <c:pt idx="4450">
                  <c:v>#N/A</c:v>
                </c:pt>
                <c:pt idx="4451">
                  <c:v>#N/A</c:v>
                </c:pt>
                <c:pt idx="4452">
                  <c:v>#N/A</c:v>
                </c:pt>
                <c:pt idx="4453">
                  <c:v>#N/A</c:v>
                </c:pt>
                <c:pt idx="4454">
                  <c:v>#N/A</c:v>
                </c:pt>
                <c:pt idx="4455">
                  <c:v>#N/A</c:v>
                </c:pt>
                <c:pt idx="4456">
                  <c:v>#N/A</c:v>
                </c:pt>
                <c:pt idx="4457">
                  <c:v>#N/A</c:v>
                </c:pt>
                <c:pt idx="4458">
                  <c:v>#N/A</c:v>
                </c:pt>
                <c:pt idx="4459">
                  <c:v>#N/A</c:v>
                </c:pt>
                <c:pt idx="4460">
                  <c:v>#N/A</c:v>
                </c:pt>
                <c:pt idx="4461">
                  <c:v>#N/A</c:v>
                </c:pt>
                <c:pt idx="4462">
                  <c:v>#N/A</c:v>
                </c:pt>
                <c:pt idx="4463">
                  <c:v>#N/A</c:v>
                </c:pt>
                <c:pt idx="4464">
                  <c:v>#N/A</c:v>
                </c:pt>
                <c:pt idx="4465">
                  <c:v>#N/A</c:v>
                </c:pt>
                <c:pt idx="4466">
                  <c:v>#N/A</c:v>
                </c:pt>
                <c:pt idx="4467">
                  <c:v>#N/A</c:v>
                </c:pt>
                <c:pt idx="4468">
                  <c:v>#N/A</c:v>
                </c:pt>
                <c:pt idx="4469">
                  <c:v>#N/A</c:v>
                </c:pt>
                <c:pt idx="4470">
                  <c:v>#N/A</c:v>
                </c:pt>
                <c:pt idx="4471">
                  <c:v>#N/A</c:v>
                </c:pt>
                <c:pt idx="4472">
                  <c:v>#N/A</c:v>
                </c:pt>
                <c:pt idx="4473">
                  <c:v>#N/A</c:v>
                </c:pt>
                <c:pt idx="4474">
                  <c:v>#N/A</c:v>
                </c:pt>
                <c:pt idx="4475">
                  <c:v>#N/A</c:v>
                </c:pt>
                <c:pt idx="4476">
                  <c:v>#N/A</c:v>
                </c:pt>
                <c:pt idx="4477">
                  <c:v>#N/A</c:v>
                </c:pt>
                <c:pt idx="4478">
                  <c:v>#N/A</c:v>
                </c:pt>
                <c:pt idx="4479">
                  <c:v>#N/A</c:v>
                </c:pt>
                <c:pt idx="4480">
                  <c:v>#N/A</c:v>
                </c:pt>
                <c:pt idx="4481">
                  <c:v>#N/A</c:v>
                </c:pt>
                <c:pt idx="4482">
                  <c:v>#N/A</c:v>
                </c:pt>
                <c:pt idx="4483">
                  <c:v>#N/A</c:v>
                </c:pt>
                <c:pt idx="4484">
                  <c:v>#N/A</c:v>
                </c:pt>
                <c:pt idx="4485">
                  <c:v>#N/A</c:v>
                </c:pt>
                <c:pt idx="4486">
                  <c:v>#N/A</c:v>
                </c:pt>
                <c:pt idx="4487">
                  <c:v>#N/A</c:v>
                </c:pt>
                <c:pt idx="4488">
                  <c:v>#N/A</c:v>
                </c:pt>
                <c:pt idx="4489">
                  <c:v>#N/A</c:v>
                </c:pt>
                <c:pt idx="4490">
                  <c:v>#N/A</c:v>
                </c:pt>
                <c:pt idx="4491">
                  <c:v>#N/A</c:v>
                </c:pt>
                <c:pt idx="4492">
                  <c:v>#N/A</c:v>
                </c:pt>
                <c:pt idx="4493">
                  <c:v>#N/A</c:v>
                </c:pt>
                <c:pt idx="4494">
                  <c:v>#N/A</c:v>
                </c:pt>
                <c:pt idx="4495">
                  <c:v>#N/A</c:v>
                </c:pt>
                <c:pt idx="4496">
                  <c:v>#N/A</c:v>
                </c:pt>
                <c:pt idx="4497">
                  <c:v>#N/A</c:v>
                </c:pt>
                <c:pt idx="4498">
                  <c:v>#N/A</c:v>
                </c:pt>
                <c:pt idx="4499">
                  <c:v>#N/A</c:v>
                </c:pt>
                <c:pt idx="4500">
                  <c:v>#N/A</c:v>
                </c:pt>
                <c:pt idx="4501">
                  <c:v>#N/A</c:v>
                </c:pt>
                <c:pt idx="4502">
                  <c:v>#N/A</c:v>
                </c:pt>
                <c:pt idx="4503">
                  <c:v>#N/A</c:v>
                </c:pt>
                <c:pt idx="4504">
                  <c:v>#N/A</c:v>
                </c:pt>
                <c:pt idx="4505">
                  <c:v>#N/A</c:v>
                </c:pt>
                <c:pt idx="4506">
                  <c:v>#N/A</c:v>
                </c:pt>
                <c:pt idx="4507">
                  <c:v>#N/A</c:v>
                </c:pt>
                <c:pt idx="4508">
                  <c:v>#N/A</c:v>
                </c:pt>
                <c:pt idx="4509">
                  <c:v>#N/A</c:v>
                </c:pt>
                <c:pt idx="4510">
                  <c:v>#N/A</c:v>
                </c:pt>
                <c:pt idx="4511">
                  <c:v>#N/A</c:v>
                </c:pt>
                <c:pt idx="4512">
                  <c:v>#N/A</c:v>
                </c:pt>
                <c:pt idx="4513">
                  <c:v>#N/A</c:v>
                </c:pt>
                <c:pt idx="4514">
                  <c:v>#N/A</c:v>
                </c:pt>
                <c:pt idx="4515">
                  <c:v>#N/A</c:v>
                </c:pt>
                <c:pt idx="4516">
                  <c:v>#N/A</c:v>
                </c:pt>
                <c:pt idx="4517">
                  <c:v>#N/A</c:v>
                </c:pt>
                <c:pt idx="4518">
                  <c:v>#N/A</c:v>
                </c:pt>
                <c:pt idx="4519">
                  <c:v>#N/A</c:v>
                </c:pt>
                <c:pt idx="4520">
                  <c:v>#N/A</c:v>
                </c:pt>
                <c:pt idx="4521">
                  <c:v>#N/A</c:v>
                </c:pt>
                <c:pt idx="4522">
                  <c:v>#N/A</c:v>
                </c:pt>
                <c:pt idx="4523">
                  <c:v>#N/A</c:v>
                </c:pt>
                <c:pt idx="4524">
                  <c:v>#N/A</c:v>
                </c:pt>
                <c:pt idx="4525">
                  <c:v>#N/A</c:v>
                </c:pt>
                <c:pt idx="4526">
                  <c:v>#N/A</c:v>
                </c:pt>
                <c:pt idx="4527">
                  <c:v>#N/A</c:v>
                </c:pt>
                <c:pt idx="4528">
                  <c:v>#N/A</c:v>
                </c:pt>
                <c:pt idx="4529">
                  <c:v>#N/A</c:v>
                </c:pt>
                <c:pt idx="4530">
                  <c:v>#N/A</c:v>
                </c:pt>
                <c:pt idx="4531">
                  <c:v>#N/A</c:v>
                </c:pt>
                <c:pt idx="4532">
                  <c:v>#N/A</c:v>
                </c:pt>
                <c:pt idx="4533">
                  <c:v>#N/A</c:v>
                </c:pt>
                <c:pt idx="4534">
                  <c:v>#N/A</c:v>
                </c:pt>
                <c:pt idx="4535">
                  <c:v>#N/A</c:v>
                </c:pt>
                <c:pt idx="4536">
                  <c:v>#N/A</c:v>
                </c:pt>
                <c:pt idx="4537">
                  <c:v>#N/A</c:v>
                </c:pt>
                <c:pt idx="4538">
                  <c:v>#N/A</c:v>
                </c:pt>
                <c:pt idx="4539">
                  <c:v>#N/A</c:v>
                </c:pt>
                <c:pt idx="4540">
                  <c:v>#N/A</c:v>
                </c:pt>
                <c:pt idx="4541">
                  <c:v>#N/A</c:v>
                </c:pt>
                <c:pt idx="4542">
                  <c:v>#N/A</c:v>
                </c:pt>
                <c:pt idx="4543">
                  <c:v>#N/A</c:v>
                </c:pt>
                <c:pt idx="4544">
                  <c:v>#N/A</c:v>
                </c:pt>
                <c:pt idx="4545">
                  <c:v>#N/A</c:v>
                </c:pt>
                <c:pt idx="4546">
                  <c:v>#N/A</c:v>
                </c:pt>
                <c:pt idx="4547">
                  <c:v>#N/A</c:v>
                </c:pt>
                <c:pt idx="4548">
                  <c:v>#N/A</c:v>
                </c:pt>
                <c:pt idx="4549">
                  <c:v>#N/A</c:v>
                </c:pt>
                <c:pt idx="4550">
                  <c:v>#N/A</c:v>
                </c:pt>
                <c:pt idx="4551">
                  <c:v>#N/A</c:v>
                </c:pt>
                <c:pt idx="4552">
                  <c:v>#N/A</c:v>
                </c:pt>
                <c:pt idx="4553">
                  <c:v>#N/A</c:v>
                </c:pt>
                <c:pt idx="4554">
                  <c:v>#N/A</c:v>
                </c:pt>
                <c:pt idx="4555">
                  <c:v>#N/A</c:v>
                </c:pt>
                <c:pt idx="4556">
                  <c:v>#N/A</c:v>
                </c:pt>
                <c:pt idx="4557">
                  <c:v>#N/A</c:v>
                </c:pt>
                <c:pt idx="4558">
                  <c:v>#N/A</c:v>
                </c:pt>
                <c:pt idx="4559">
                  <c:v>#N/A</c:v>
                </c:pt>
                <c:pt idx="4560">
                  <c:v>#N/A</c:v>
                </c:pt>
                <c:pt idx="4561">
                  <c:v>#N/A</c:v>
                </c:pt>
                <c:pt idx="4562">
                  <c:v>#N/A</c:v>
                </c:pt>
                <c:pt idx="4563">
                  <c:v>#N/A</c:v>
                </c:pt>
                <c:pt idx="4564">
                  <c:v>#N/A</c:v>
                </c:pt>
                <c:pt idx="4565">
                  <c:v>#N/A</c:v>
                </c:pt>
                <c:pt idx="4566">
                  <c:v>#N/A</c:v>
                </c:pt>
                <c:pt idx="4567">
                  <c:v>#N/A</c:v>
                </c:pt>
                <c:pt idx="4568">
                  <c:v>#N/A</c:v>
                </c:pt>
                <c:pt idx="4569">
                  <c:v>#N/A</c:v>
                </c:pt>
                <c:pt idx="4570">
                  <c:v>#N/A</c:v>
                </c:pt>
                <c:pt idx="4571">
                  <c:v>#N/A</c:v>
                </c:pt>
                <c:pt idx="4572">
                  <c:v>#N/A</c:v>
                </c:pt>
                <c:pt idx="4573">
                  <c:v>#N/A</c:v>
                </c:pt>
                <c:pt idx="4574">
                  <c:v>#N/A</c:v>
                </c:pt>
                <c:pt idx="4575">
                  <c:v>#N/A</c:v>
                </c:pt>
                <c:pt idx="4576">
                  <c:v>#N/A</c:v>
                </c:pt>
                <c:pt idx="4577">
                  <c:v>#N/A</c:v>
                </c:pt>
                <c:pt idx="4578">
                  <c:v>#N/A</c:v>
                </c:pt>
                <c:pt idx="4579">
                  <c:v>#N/A</c:v>
                </c:pt>
                <c:pt idx="4580">
                  <c:v>#N/A</c:v>
                </c:pt>
                <c:pt idx="4581">
                  <c:v>#N/A</c:v>
                </c:pt>
                <c:pt idx="4582">
                  <c:v>#N/A</c:v>
                </c:pt>
                <c:pt idx="4583">
                  <c:v>#N/A</c:v>
                </c:pt>
                <c:pt idx="4584">
                  <c:v>#N/A</c:v>
                </c:pt>
                <c:pt idx="4585">
                  <c:v>#N/A</c:v>
                </c:pt>
                <c:pt idx="4586">
                  <c:v>#N/A</c:v>
                </c:pt>
                <c:pt idx="4587">
                  <c:v>#N/A</c:v>
                </c:pt>
                <c:pt idx="4588">
                  <c:v>#N/A</c:v>
                </c:pt>
                <c:pt idx="4589">
                  <c:v>#N/A</c:v>
                </c:pt>
                <c:pt idx="4590">
                  <c:v>#N/A</c:v>
                </c:pt>
                <c:pt idx="4591">
                  <c:v>#N/A</c:v>
                </c:pt>
                <c:pt idx="4592">
                  <c:v>#N/A</c:v>
                </c:pt>
                <c:pt idx="4593">
                  <c:v>#N/A</c:v>
                </c:pt>
                <c:pt idx="4594">
                  <c:v>#N/A</c:v>
                </c:pt>
                <c:pt idx="4595">
                  <c:v>#N/A</c:v>
                </c:pt>
                <c:pt idx="4596">
                  <c:v>#N/A</c:v>
                </c:pt>
                <c:pt idx="4597">
                  <c:v>#N/A</c:v>
                </c:pt>
                <c:pt idx="4598">
                  <c:v>#N/A</c:v>
                </c:pt>
                <c:pt idx="4599">
                  <c:v>#N/A</c:v>
                </c:pt>
                <c:pt idx="4600">
                  <c:v>#N/A</c:v>
                </c:pt>
                <c:pt idx="4601">
                  <c:v>#N/A</c:v>
                </c:pt>
                <c:pt idx="4602">
                  <c:v>#N/A</c:v>
                </c:pt>
                <c:pt idx="4603">
                  <c:v>#N/A</c:v>
                </c:pt>
                <c:pt idx="4604">
                  <c:v>#N/A</c:v>
                </c:pt>
                <c:pt idx="4605">
                  <c:v>#N/A</c:v>
                </c:pt>
                <c:pt idx="4606">
                  <c:v>#N/A</c:v>
                </c:pt>
                <c:pt idx="4607">
                  <c:v>#N/A</c:v>
                </c:pt>
                <c:pt idx="4608">
                  <c:v>#N/A</c:v>
                </c:pt>
                <c:pt idx="4609">
                  <c:v>#N/A</c:v>
                </c:pt>
                <c:pt idx="4610">
                  <c:v>#N/A</c:v>
                </c:pt>
                <c:pt idx="4611">
                  <c:v>#N/A</c:v>
                </c:pt>
                <c:pt idx="4612">
                  <c:v>#N/A</c:v>
                </c:pt>
                <c:pt idx="4613">
                  <c:v>#N/A</c:v>
                </c:pt>
                <c:pt idx="4614">
                  <c:v>#N/A</c:v>
                </c:pt>
                <c:pt idx="4615">
                  <c:v>#N/A</c:v>
                </c:pt>
                <c:pt idx="4616">
                  <c:v>#N/A</c:v>
                </c:pt>
                <c:pt idx="4617">
                  <c:v>#N/A</c:v>
                </c:pt>
                <c:pt idx="4618">
                  <c:v>#N/A</c:v>
                </c:pt>
                <c:pt idx="4619">
                  <c:v>#N/A</c:v>
                </c:pt>
                <c:pt idx="4620">
                  <c:v>#N/A</c:v>
                </c:pt>
                <c:pt idx="4621">
                  <c:v>#N/A</c:v>
                </c:pt>
                <c:pt idx="4622">
                  <c:v>#N/A</c:v>
                </c:pt>
                <c:pt idx="4623">
                  <c:v>#N/A</c:v>
                </c:pt>
                <c:pt idx="4624">
                  <c:v>#N/A</c:v>
                </c:pt>
                <c:pt idx="4625">
                  <c:v>#N/A</c:v>
                </c:pt>
                <c:pt idx="4626">
                  <c:v>#N/A</c:v>
                </c:pt>
                <c:pt idx="4627">
                  <c:v>#N/A</c:v>
                </c:pt>
                <c:pt idx="4628">
                  <c:v>#N/A</c:v>
                </c:pt>
                <c:pt idx="4629">
                  <c:v>#N/A</c:v>
                </c:pt>
                <c:pt idx="4630">
                  <c:v>#N/A</c:v>
                </c:pt>
                <c:pt idx="4631">
                  <c:v>#N/A</c:v>
                </c:pt>
                <c:pt idx="4632">
                  <c:v>#N/A</c:v>
                </c:pt>
                <c:pt idx="4633">
                  <c:v>#N/A</c:v>
                </c:pt>
                <c:pt idx="4634">
                  <c:v>#N/A</c:v>
                </c:pt>
                <c:pt idx="4635">
                  <c:v>#N/A</c:v>
                </c:pt>
                <c:pt idx="4636">
                  <c:v>#N/A</c:v>
                </c:pt>
                <c:pt idx="4637">
                  <c:v>#N/A</c:v>
                </c:pt>
                <c:pt idx="4638">
                  <c:v>#N/A</c:v>
                </c:pt>
                <c:pt idx="4639">
                  <c:v>#N/A</c:v>
                </c:pt>
                <c:pt idx="4640">
                  <c:v>#N/A</c:v>
                </c:pt>
                <c:pt idx="4641">
                  <c:v>#N/A</c:v>
                </c:pt>
                <c:pt idx="4642">
                  <c:v>#N/A</c:v>
                </c:pt>
                <c:pt idx="4643">
                  <c:v>#N/A</c:v>
                </c:pt>
                <c:pt idx="4644">
                  <c:v>#N/A</c:v>
                </c:pt>
                <c:pt idx="4645">
                  <c:v>#N/A</c:v>
                </c:pt>
                <c:pt idx="4646">
                  <c:v>#N/A</c:v>
                </c:pt>
                <c:pt idx="4647">
                  <c:v>#N/A</c:v>
                </c:pt>
                <c:pt idx="4648">
                  <c:v>#N/A</c:v>
                </c:pt>
                <c:pt idx="4649">
                  <c:v>#N/A</c:v>
                </c:pt>
                <c:pt idx="4650">
                  <c:v>#N/A</c:v>
                </c:pt>
                <c:pt idx="4651">
                  <c:v>#N/A</c:v>
                </c:pt>
                <c:pt idx="4652">
                  <c:v>#N/A</c:v>
                </c:pt>
                <c:pt idx="4653">
                  <c:v>#N/A</c:v>
                </c:pt>
                <c:pt idx="4654">
                  <c:v>#N/A</c:v>
                </c:pt>
                <c:pt idx="4655">
                  <c:v>#N/A</c:v>
                </c:pt>
                <c:pt idx="4656">
                  <c:v>#N/A</c:v>
                </c:pt>
                <c:pt idx="4657">
                  <c:v>#N/A</c:v>
                </c:pt>
                <c:pt idx="4658">
                  <c:v>#N/A</c:v>
                </c:pt>
                <c:pt idx="4659">
                  <c:v>#N/A</c:v>
                </c:pt>
                <c:pt idx="4660">
                  <c:v>#N/A</c:v>
                </c:pt>
                <c:pt idx="4661">
                  <c:v>#N/A</c:v>
                </c:pt>
                <c:pt idx="4662">
                  <c:v>#N/A</c:v>
                </c:pt>
                <c:pt idx="4663">
                  <c:v>#N/A</c:v>
                </c:pt>
                <c:pt idx="4664">
                  <c:v>#N/A</c:v>
                </c:pt>
                <c:pt idx="4665">
                  <c:v>#N/A</c:v>
                </c:pt>
                <c:pt idx="4666">
                  <c:v>#N/A</c:v>
                </c:pt>
                <c:pt idx="4667">
                  <c:v>#N/A</c:v>
                </c:pt>
                <c:pt idx="4668">
                  <c:v>#N/A</c:v>
                </c:pt>
                <c:pt idx="4669">
                  <c:v>#N/A</c:v>
                </c:pt>
                <c:pt idx="4670">
                  <c:v>#N/A</c:v>
                </c:pt>
                <c:pt idx="4671">
                  <c:v>#N/A</c:v>
                </c:pt>
                <c:pt idx="4672">
                  <c:v>#N/A</c:v>
                </c:pt>
                <c:pt idx="4673">
                  <c:v>#N/A</c:v>
                </c:pt>
                <c:pt idx="4674">
                  <c:v>#N/A</c:v>
                </c:pt>
                <c:pt idx="4675">
                  <c:v>#N/A</c:v>
                </c:pt>
                <c:pt idx="4676">
                  <c:v>#N/A</c:v>
                </c:pt>
                <c:pt idx="4677">
                  <c:v>#N/A</c:v>
                </c:pt>
                <c:pt idx="4678">
                  <c:v>#N/A</c:v>
                </c:pt>
                <c:pt idx="4679">
                  <c:v>#N/A</c:v>
                </c:pt>
                <c:pt idx="4680">
                  <c:v>#N/A</c:v>
                </c:pt>
                <c:pt idx="4681">
                  <c:v>#N/A</c:v>
                </c:pt>
                <c:pt idx="4682">
                  <c:v>#N/A</c:v>
                </c:pt>
                <c:pt idx="4683">
                  <c:v>#N/A</c:v>
                </c:pt>
                <c:pt idx="4684">
                  <c:v>#N/A</c:v>
                </c:pt>
                <c:pt idx="4685">
                  <c:v>#N/A</c:v>
                </c:pt>
                <c:pt idx="4686">
                  <c:v>#N/A</c:v>
                </c:pt>
                <c:pt idx="4687">
                  <c:v>#N/A</c:v>
                </c:pt>
                <c:pt idx="4688">
                  <c:v>#N/A</c:v>
                </c:pt>
                <c:pt idx="4689">
                  <c:v>#N/A</c:v>
                </c:pt>
                <c:pt idx="4690">
                  <c:v>#N/A</c:v>
                </c:pt>
                <c:pt idx="4691">
                  <c:v>#N/A</c:v>
                </c:pt>
                <c:pt idx="4692">
                  <c:v>#N/A</c:v>
                </c:pt>
                <c:pt idx="4693">
                  <c:v>#N/A</c:v>
                </c:pt>
                <c:pt idx="4694">
                  <c:v>#N/A</c:v>
                </c:pt>
                <c:pt idx="4695">
                  <c:v>#N/A</c:v>
                </c:pt>
                <c:pt idx="4696">
                  <c:v>#N/A</c:v>
                </c:pt>
                <c:pt idx="4697">
                  <c:v>#N/A</c:v>
                </c:pt>
                <c:pt idx="4698">
                  <c:v>#N/A</c:v>
                </c:pt>
                <c:pt idx="4699">
                  <c:v>#N/A</c:v>
                </c:pt>
                <c:pt idx="4700">
                  <c:v>#N/A</c:v>
                </c:pt>
                <c:pt idx="4701">
                  <c:v>#N/A</c:v>
                </c:pt>
                <c:pt idx="4702">
                  <c:v>#N/A</c:v>
                </c:pt>
                <c:pt idx="4703">
                  <c:v>#N/A</c:v>
                </c:pt>
                <c:pt idx="4704">
                  <c:v>#N/A</c:v>
                </c:pt>
                <c:pt idx="4705">
                  <c:v>#N/A</c:v>
                </c:pt>
                <c:pt idx="4706">
                  <c:v>#N/A</c:v>
                </c:pt>
                <c:pt idx="4707">
                  <c:v>#N/A</c:v>
                </c:pt>
                <c:pt idx="4708">
                  <c:v>#N/A</c:v>
                </c:pt>
                <c:pt idx="4709">
                  <c:v>#N/A</c:v>
                </c:pt>
                <c:pt idx="4710">
                  <c:v>#N/A</c:v>
                </c:pt>
                <c:pt idx="4711">
                  <c:v>#N/A</c:v>
                </c:pt>
                <c:pt idx="4712">
                  <c:v>#N/A</c:v>
                </c:pt>
                <c:pt idx="4713">
                  <c:v>#N/A</c:v>
                </c:pt>
                <c:pt idx="4714">
                  <c:v>#N/A</c:v>
                </c:pt>
                <c:pt idx="4715">
                  <c:v>#N/A</c:v>
                </c:pt>
                <c:pt idx="4716">
                  <c:v>#N/A</c:v>
                </c:pt>
                <c:pt idx="4717">
                  <c:v>#N/A</c:v>
                </c:pt>
                <c:pt idx="4718">
                  <c:v>#N/A</c:v>
                </c:pt>
                <c:pt idx="4719">
                  <c:v>#N/A</c:v>
                </c:pt>
                <c:pt idx="4720">
                  <c:v>#N/A</c:v>
                </c:pt>
                <c:pt idx="4721">
                  <c:v>#N/A</c:v>
                </c:pt>
                <c:pt idx="4722">
                  <c:v>#N/A</c:v>
                </c:pt>
                <c:pt idx="4723">
                  <c:v>#N/A</c:v>
                </c:pt>
                <c:pt idx="4724">
                  <c:v>#N/A</c:v>
                </c:pt>
                <c:pt idx="4725">
                  <c:v>#N/A</c:v>
                </c:pt>
                <c:pt idx="4726">
                  <c:v>#N/A</c:v>
                </c:pt>
                <c:pt idx="4727">
                  <c:v>#N/A</c:v>
                </c:pt>
                <c:pt idx="4728">
                  <c:v>#N/A</c:v>
                </c:pt>
                <c:pt idx="4729">
                  <c:v>#N/A</c:v>
                </c:pt>
                <c:pt idx="4730">
                  <c:v>#N/A</c:v>
                </c:pt>
                <c:pt idx="4731">
                  <c:v>#N/A</c:v>
                </c:pt>
                <c:pt idx="4732">
                  <c:v>#N/A</c:v>
                </c:pt>
                <c:pt idx="4733">
                  <c:v>#N/A</c:v>
                </c:pt>
                <c:pt idx="4734">
                  <c:v>#N/A</c:v>
                </c:pt>
                <c:pt idx="4735">
                  <c:v>#N/A</c:v>
                </c:pt>
                <c:pt idx="4736">
                  <c:v>#N/A</c:v>
                </c:pt>
                <c:pt idx="4737">
                  <c:v>#N/A</c:v>
                </c:pt>
                <c:pt idx="4738">
                  <c:v>#N/A</c:v>
                </c:pt>
                <c:pt idx="4739">
                  <c:v>#N/A</c:v>
                </c:pt>
                <c:pt idx="4740">
                  <c:v>#N/A</c:v>
                </c:pt>
                <c:pt idx="4741">
                  <c:v>#N/A</c:v>
                </c:pt>
                <c:pt idx="4742">
                  <c:v>#N/A</c:v>
                </c:pt>
                <c:pt idx="4743">
                  <c:v>#N/A</c:v>
                </c:pt>
                <c:pt idx="4744">
                  <c:v>#N/A</c:v>
                </c:pt>
                <c:pt idx="4745">
                  <c:v>#N/A</c:v>
                </c:pt>
                <c:pt idx="4746">
                  <c:v>#N/A</c:v>
                </c:pt>
                <c:pt idx="4747">
                  <c:v>#N/A</c:v>
                </c:pt>
                <c:pt idx="4748">
                  <c:v>#N/A</c:v>
                </c:pt>
                <c:pt idx="4749">
                  <c:v>#N/A</c:v>
                </c:pt>
                <c:pt idx="4750">
                  <c:v>#N/A</c:v>
                </c:pt>
                <c:pt idx="4751">
                  <c:v>#N/A</c:v>
                </c:pt>
                <c:pt idx="4752">
                  <c:v>#N/A</c:v>
                </c:pt>
                <c:pt idx="4753">
                  <c:v>#N/A</c:v>
                </c:pt>
                <c:pt idx="4754">
                  <c:v>#N/A</c:v>
                </c:pt>
                <c:pt idx="4755">
                  <c:v>#N/A</c:v>
                </c:pt>
                <c:pt idx="4756">
                  <c:v>#N/A</c:v>
                </c:pt>
                <c:pt idx="4757">
                  <c:v>#N/A</c:v>
                </c:pt>
                <c:pt idx="4758">
                  <c:v>#N/A</c:v>
                </c:pt>
                <c:pt idx="4759">
                  <c:v>#N/A</c:v>
                </c:pt>
                <c:pt idx="4760">
                  <c:v>#N/A</c:v>
                </c:pt>
                <c:pt idx="4761">
                  <c:v>#N/A</c:v>
                </c:pt>
                <c:pt idx="4762">
                  <c:v>#N/A</c:v>
                </c:pt>
                <c:pt idx="4763">
                  <c:v>#N/A</c:v>
                </c:pt>
                <c:pt idx="4764">
                  <c:v>#N/A</c:v>
                </c:pt>
                <c:pt idx="4765">
                  <c:v>#N/A</c:v>
                </c:pt>
                <c:pt idx="4766">
                  <c:v>#N/A</c:v>
                </c:pt>
                <c:pt idx="4767">
                  <c:v>#N/A</c:v>
                </c:pt>
                <c:pt idx="4768">
                  <c:v>#N/A</c:v>
                </c:pt>
                <c:pt idx="4769">
                  <c:v>#N/A</c:v>
                </c:pt>
                <c:pt idx="4770">
                  <c:v>#N/A</c:v>
                </c:pt>
                <c:pt idx="4771">
                  <c:v>#N/A</c:v>
                </c:pt>
                <c:pt idx="4772">
                  <c:v>#N/A</c:v>
                </c:pt>
                <c:pt idx="4773">
                  <c:v>#N/A</c:v>
                </c:pt>
                <c:pt idx="4774">
                  <c:v>#N/A</c:v>
                </c:pt>
                <c:pt idx="4775">
                  <c:v>#N/A</c:v>
                </c:pt>
                <c:pt idx="4776">
                  <c:v>#N/A</c:v>
                </c:pt>
                <c:pt idx="4777">
                  <c:v>#N/A</c:v>
                </c:pt>
                <c:pt idx="4778">
                  <c:v>#N/A</c:v>
                </c:pt>
                <c:pt idx="4779">
                  <c:v>#N/A</c:v>
                </c:pt>
                <c:pt idx="4780">
                  <c:v>#N/A</c:v>
                </c:pt>
                <c:pt idx="4781">
                  <c:v>#N/A</c:v>
                </c:pt>
                <c:pt idx="4782">
                  <c:v>#N/A</c:v>
                </c:pt>
                <c:pt idx="4783">
                  <c:v>#N/A</c:v>
                </c:pt>
                <c:pt idx="4784">
                  <c:v>#N/A</c:v>
                </c:pt>
                <c:pt idx="4785">
                  <c:v>#N/A</c:v>
                </c:pt>
                <c:pt idx="4786">
                  <c:v>#N/A</c:v>
                </c:pt>
                <c:pt idx="4787">
                  <c:v>#N/A</c:v>
                </c:pt>
                <c:pt idx="4788">
                  <c:v>#N/A</c:v>
                </c:pt>
                <c:pt idx="4789">
                  <c:v>#N/A</c:v>
                </c:pt>
                <c:pt idx="4790">
                  <c:v>#N/A</c:v>
                </c:pt>
                <c:pt idx="4791">
                  <c:v>#N/A</c:v>
                </c:pt>
                <c:pt idx="4792">
                  <c:v>#N/A</c:v>
                </c:pt>
                <c:pt idx="4793">
                  <c:v>#N/A</c:v>
                </c:pt>
                <c:pt idx="4794">
                  <c:v>#N/A</c:v>
                </c:pt>
                <c:pt idx="4795">
                  <c:v>#N/A</c:v>
                </c:pt>
                <c:pt idx="4796">
                  <c:v>#N/A</c:v>
                </c:pt>
                <c:pt idx="4797">
                  <c:v>#N/A</c:v>
                </c:pt>
                <c:pt idx="4798">
                  <c:v>#N/A</c:v>
                </c:pt>
                <c:pt idx="4799">
                  <c:v>#N/A</c:v>
                </c:pt>
                <c:pt idx="4800">
                  <c:v>#N/A</c:v>
                </c:pt>
                <c:pt idx="4801">
                  <c:v>#N/A</c:v>
                </c:pt>
                <c:pt idx="4802">
                  <c:v>#N/A</c:v>
                </c:pt>
                <c:pt idx="4803">
                  <c:v>#N/A</c:v>
                </c:pt>
                <c:pt idx="4804">
                  <c:v>#N/A</c:v>
                </c:pt>
                <c:pt idx="4805">
                  <c:v>#N/A</c:v>
                </c:pt>
                <c:pt idx="4806">
                  <c:v>#N/A</c:v>
                </c:pt>
                <c:pt idx="4807">
                  <c:v>#N/A</c:v>
                </c:pt>
                <c:pt idx="4808">
                  <c:v>#N/A</c:v>
                </c:pt>
                <c:pt idx="4809">
                  <c:v>#N/A</c:v>
                </c:pt>
                <c:pt idx="4810">
                  <c:v>#N/A</c:v>
                </c:pt>
                <c:pt idx="4811">
                  <c:v>#N/A</c:v>
                </c:pt>
                <c:pt idx="4812">
                  <c:v>#N/A</c:v>
                </c:pt>
                <c:pt idx="4813">
                  <c:v>#N/A</c:v>
                </c:pt>
                <c:pt idx="4814">
                  <c:v>#N/A</c:v>
                </c:pt>
                <c:pt idx="4815">
                  <c:v>#N/A</c:v>
                </c:pt>
                <c:pt idx="4816">
                  <c:v>#N/A</c:v>
                </c:pt>
                <c:pt idx="4817">
                  <c:v>#N/A</c:v>
                </c:pt>
                <c:pt idx="4818">
                  <c:v>#N/A</c:v>
                </c:pt>
                <c:pt idx="4819">
                  <c:v>#N/A</c:v>
                </c:pt>
                <c:pt idx="4820">
                  <c:v>#N/A</c:v>
                </c:pt>
                <c:pt idx="4821">
                  <c:v>#N/A</c:v>
                </c:pt>
                <c:pt idx="4822">
                  <c:v>#N/A</c:v>
                </c:pt>
                <c:pt idx="4823">
                  <c:v>#N/A</c:v>
                </c:pt>
                <c:pt idx="4824">
                  <c:v>#N/A</c:v>
                </c:pt>
                <c:pt idx="4825">
                  <c:v>#N/A</c:v>
                </c:pt>
                <c:pt idx="4826">
                  <c:v>#N/A</c:v>
                </c:pt>
                <c:pt idx="4827">
                  <c:v>#N/A</c:v>
                </c:pt>
                <c:pt idx="4828">
                  <c:v>#N/A</c:v>
                </c:pt>
                <c:pt idx="4829">
                  <c:v>#N/A</c:v>
                </c:pt>
                <c:pt idx="4830">
                  <c:v>#N/A</c:v>
                </c:pt>
                <c:pt idx="4831">
                  <c:v>#N/A</c:v>
                </c:pt>
                <c:pt idx="4832">
                  <c:v>#N/A</c:v>
                </c:pt>
                <c:pt idx="4833">
                  <c:v>#N/A</c:v>
                </c:pt>
                <c:pt idx="4834">
                  <c:v>#N/A</c:v>
                </c:pt>
                <c:pt idx="4835">
                  <c:v>#N/A</c:v>
                </c:pt>
                <c:pt idx="4836">
                  <c:v>#N/A</c:v>
                </c:pt>
                <c:pt idx="4837">
                  <c:v>#N/A</c:v>
                </c:pt>
                <c:pt idx="4838">
                  <c:v>#N/A</c:v>
                </c:pt>
                <c:pt idx="4839">
                  <c:v>#N/A</c:v>
                </c:pt>
                <c:pt idx="4840">
                  <c:v>#N/A</c:v>
                </c:pt>
                <c:pt idx="4841">
                  <c:v>#N/A</c:v>
                </c:pt>
                <c:pt idx="4842">
                  <c:v>#N/A</c:v>
                </c:pt>
                <c:pt idx="4843">
                  <c:v>#N/A</c:v>
                </c:pt>
                <c:pt idx="4844">
                  <c:v>#N/A</c:v>
                </c:pt>
                <c:pt idx="4845">
                  <c:v>#N/A</c:v>
                </c:pt>
                <c:pt idx="4846">
                  <c:v>#N/A</c:v>
                </c:pt>
                <c:pt idx="4847">
                  <c:v>#N/A</c:v>
                </c:pt>
                <c:pt idx="4848">
                  <c:v>#N/A</c:v>
                </c:pt>
                <c:pt idx="4849">
                  <c:v>#N/A</c:v>
                </c:pt>
                <c:pt idx="4850">
                  <c:v>#N/A</c:v>
                </c:pt>
                <c:pt idx="4851">
                  <c:v>#N/A</c:v>
                </c:pt>
                <c:pt idx="4852">
                  <c:v>#N/A</c:v>
                </c:pt>
                <c:pt idx="4853">
                  <c:v>#N/A</c:v>
                </c:pt>
                <c:pt idx="4854">
                  <c:v>#N/A</c:v>
                </c:pt>
                <c:pt idx="4855">
                  <c:v>#N/A</c:v>
                </c:pt>
                <c:pt idx="4856">
                  <c:v>#N/A</c:v>
                </c:pt>
                <c:pt idx="4857">
                  <c:v>#N/A</c:v>
                </c:pt>
                <c:pt idx="4858">
                  <c:v>#N/A</c:v>
                </c:pt>
                <c:pt idx="4859">
                  <c:v>#N/A</c:v>
                </c:pt>
                <c:pt idx="4860">
                  <c:v>#N/A</c:v>
                </c:pt>
                <c:pt idx="4861">
                  <c:v>#N/A</c:v>
                </c:pt>
                <c:pt idx="4862">
                  <c:v>#N/A</c:v>
                </c:pt>
                <c:pt idx="4863">
                  <c:v>#N/A</c:v>
                </c:pt>
                <c:pt idx="4864">
                  <c:v>#N/A</c:v>
                </c:pt>
                <c:pt idx="4865">
                  <c:v>#N/A</c:v>
                </c:pt>
                <c:pt idx="4866">
                  <c:v>#N/A</c:v>
                </c:pt>
                <c:pt idx="4867">
                  <c:v>#N/A</c:v>
                </c:pt>
                <c:pt idx="4868">
                  <c:v>#N/A</c:v>
                </c:pt>
                <c:pt idx="4869">
                  <c:v>#N/A</c:v>
                </c:pt>
                <c:pt idx="4870">
                  <c:v>#N/A</c:v>
                </c:pt>
                <c:pt idx="4871">
                  <c:v>#N/A</c:v>
                </c:pt>
                <c:pt idx="4872">
                  <c:v>#N/A</c:v>
                </c:pt>
                <c:pt idx="4873">
                  <c:v>#N/A</c:v>
                </c:pt>
                <c:pt idx="4874">
                  <c:v>#N/A</c:v>
                </c:pt>
                <c:pt idx="4875">
                  <c:v>#N/A</c:v>
                </c:pt>
                <c:pt idx="4876">
                  <c:v>#N/A</c:v>
                </c:pt>
                <c:pt idx="4877">
                  <c:v>#N/A</c:v>
                </c:pt>
                <c:pt idx="4878">
                  <c:v>#N/A</c:v>
                </c:pt>
                <c:pt idx="4879">
                  <c:v>#N/A</c:v>
                </c:pt>
                <c:pt idx="4880">
                  <c:v>#N/A</c:v>
                </c:pt>
                <c:pt idx="4881">
                  <c:v>#N/A</c:v>
                </c:pt>
                <c:pt idx="4882">
                  <c:v>#N/A</c:v>
                </c:pt>
                <c:pt idx="4883">
                  <c:v>#N/A</c:v>
                </c:pt>
                <c:pt idx="4884">
                  <c:v>#N/A</c:v>
                </c:pt>
                <c:pt idx="4885">
                  <c:v>#N/A</c:v>
                </c:pt>
                <c:pt idx="4886">
                  <c:v>#N/A</c:v>
                </c:pt>
                <c:pt idx="4887">
                  <c:v>#N/A</c:v>
                </c:pt>
                <c:pt idx="4888">
                  <c:v>#N/A</c:v>
                </c:pt>
                <c:pt idx="4889">
                  <c:v>#N/A</c:v>
                </c:pt>
                <c:pt idx="4890">
                  <c:v>#N/A</c:v>
                </c:pt>
                <c:pt idx="4891">
                  <c:v>#N/A</c:v>
                </c:pt>
                <c:pt idx="4892">
                  <c:v>#N/A</c:v>
                </c:pt>
                <c:pt idx="4893">
                  <c:v>#N/A</c:v>
                </c:pt>
                <c:pt idx="4894">
                  <c:v>#N/A</c:v>
                </c:pt>
                <c:pt idx="4895">
                  <c:v>#N/A</c:v>
                </c:pt>
                <c:pt idx="4896">
                  <c:v>#N/A</c:v>
                </c:pt>
                <c:pt idx="4897">
                  <c:v>#N/A</c:v>
                </c:pt>
                <c:pt idx="4898">
                  <c:v>#N/A</c:v>
                </c:pt>
                <c:pt idx="4899">
                  <c:v>#N/A</c:v>
                </c:pt>
                <c:pt idx="4900">
                  <c:v>#N/A</c:v>
                </c:pt>
                <c:pt idx="4901">
                  <c:v>#N/A</c:v>
                </c:pt>
                <c:pt idx="4902">
                  <c:v>#N/A</c:v>
                </c:pt>
                <c:pt idx="4903">
                  <c:v>#N/A</c:v>
                </c:pt>
                <c:pt idx="4904">
                  <c:v>#N/A</c:v>
                </c:pt>
                <c:pt idx="4905">
                  <c:v>#N/A</c:v>
                </c:pt>
                <c:pt idx="4906">
                  <c:v>#N/A</c:v>
                </c:pt>
                <c:pt idx="4907">
                  <c:v>#N/A</c:v>
                </c:pt>
                <c:pt idx="4908">
                  <c:v>#N/A</c:v>
                </c:pt>
                <c:pt idx="4909">
                  <c:v>#N/A</c:v>
                </c:pt>
                <c:pt idx="4910">
                  <c:v>#N/A</c:v>
                </c:pt>
                <c:pt idx="4911">
                  <c:v>#N/A</c:v>
                </c:pt>
                <c:pt idx="4912">
                  <c:v>#N/A</c:v>
                </c:pt>
                <c:pt idx="4913">
                  <c:v>#N/A</c:v>
                </c:pt>
                <c:pt idx="4914">
                  <c:v>#N/A</c:v>
                </c:pt>
                <c:pt idx="4915">
                  <c:v>#N/A</c:v>
                </c:pt>
                <c:pt idx="4916">
                  <c:v>#N/A</c:v>
                </c:pt>
                <c:pt idx="4917">
                  <c:v>#N/A</c:v>
                </c:pt>
                <c:pt idx="4918">
                  <c:v>#N/A</c:v>
                </c:pt>
                <c:pt idx="4919">
                  <c:v>#N/A</c:v>
                </c:pt>
                <c:pt idx="4920">
                  <c:v>#N/A</c:v>
                </c:pt>
                <c:pt idx="4921">
                  <c:v>#N/A</c:v>
                </c:pt>
                <c:pt idx="4922">
                  <c:v>#N/A</c:v>
                </c:pt>
                <c:pt idx="4923">
                  <c:v>#N/A</c:v>
                </c:pt>
                <c:pt idx="4924">
                  <c:v>#N/A</c:v>
                </c:pt>
                <c:pt idx="4925">
                  <c:v>#N/A</c:v>
                </c:pt>
                <c:pt idx="4926">
                  <c:v>#N/A</c:v>
                </c:pt>
                <c:pt idx="4927">
                  <c:v>#N/A</c:v>
                </c:pt>
                <c:pt idx="4928">
                  <c:v>#N/A</c:v>
                </c:pt>
                <c:pt idx="4929">
                  <c:v>#N/A</c:v>
                </c:pt>
                <c:pt idx="4930">
                  <c:v>#N/A</c:v>
                </c:pt>
                <c:pt idx="4931">
                  <c:v>#N/A</c:v>
                </c:pt>
                <c:pt idx="4932">
                  <c:v>#N/A</c:v>
                </c:pt>
                <c:pt idx="4933">
                  <c:v>#N/A</c:v>
                </c:pt>
                <c:pt idx="4934">
                  <c:v>#N/A</c:v>
                </c:pt>
                <c:pt idx="4935">
                  <c:v>#N/A</c:v>
                </c:pt>
                <c:pt idx="4936">
                  <c:v>#N/A</c:v>
                </c:pt>
                <c:pt idx="4937">
                  <c:v>#N/A</c:v>
                </c:pt>
                <c:pt idx="4938">
                  <c:v>#N/A</c:v>
                </c:pt>
                <c:pt idx="4939">
                  <c:v>#N/A</c:v>
                </c:pt>
                <c:pt idx="4940">
                  <c:v>#N/A</c:v>
                </c:pt>
                <c:pt idx="4941">
                  <c:v>#N/A</c:v>
                </c:pt>
                <c:pt idx="4942">
                  <c:v>#N/A</c:v>
                </c:pt>
                <c:pt idx="4943">
                  <c:v>#N/A</c:v>
                </c:pt>
                <c:pt idx="4944">
                  <c:v>#N/A</c:v>
                </c:pt>
                <c:pt idx="4945">
                  <c:v>#N/A</c:v>
                </c:pt>
                <c:pt idx="4946">
                  <c:v>#N/A</c:v>
                </c:pt>
                <c:pt idx="4947">
                  <c:v>#N/A</c:v>
                </c:pt>
                <c:pt idx="4948">
                  <c:v>#N/A</c:v>
                </c:pt>
                <c:pt idx="4949">
                  <c:v>#N/A</c:v>
                </c:pt>
                <c:pt idx="4950">
                  <c:v>#N/A</c:v>
                </c:pt>
                <c:pt idx="4951">
                  <c:v>#N/A</c:v>
                </c:pt>
                <c:pt idx="4952">
                  <c:v>#N/A</c:v>
                </c:pt>
                <c:pt idx="4953">
                  <c:v>#N/A</c:v>
                </c:pt>
                <c:pt idx="4954">
                  <c:v>#N/A</c:v>
                </c:pt>
                <c:pt idx="4955">
                  <c:v>#N/A</c:v>
                </c:pt>
                <c:pt idx="4956">
                  <c:v>#N/A</c:v>
                </c:pt>
                <c:pt idx="4957">
                  <c:v>#N/A</c:v>
                </c:pt>
                <c:pt idx="4958">
                  <c:v>#N/A</c:v>
                </c:pt>
                <c:pt idx="4959">
                  <c:v>#N/A</c:v>
                </c:pt>
                <c:pt idx="4960">
                  <c:v>#N/A</c:v>
                </c:pt>
                <c:pt idx="4961">
                  <c:v>#N/A</c:v>
                </c:pt>
                <c:pt idx="4962">
                  <c:v>#N/A</c:v>
                </c:pt>
                <c:pt idx="4963">
                  <c:v>#N/A</c:v>
                </c:pt>
                <c:pt idx="4964">
                  <c:v>#N/A</c:v>
                </c:pt>
                <c:pt idx="4965">
                  <c:v>#N/A</c:v>
                </c:pt>
                <c:pt idx="4966">
                  <c:v>#N/A</c:v>
                </c:pt>
                <c:pt idx="4967">
                  <c:v>#N/A</c:v>
                </c:pt>
                <c:pt idx="4968">
                  <c:v>#N/A</c:v>
                </c:pt>
                <c:pt idx="4969">
                  <c:v>#N/A</c:v>
                </c:pt>
                <c:pt idx="4970">
                  <c:v>#N/A</c:v>
                </c:pt>
                <c:pt idx="4971">
                  <c:v>#N/A</c:v>
                </c:pt>
                <c:pt idx="4972">
                  <c:v>#N/A</c:v>
                </c:pt>
                <c:pt idx="4973">
                  <c:v>#N/A</c:v>
                </c:pt>
                <c:pt idx="4974">
                  <c:v>#N/A</c:v>
                </c:pt>
                <c:pt idx="4975">
                  <c:v>#N/A</c:v>
                </c:pt>
                <c:pt idx="4976">
                  <c:v>#N/A</c:v>
                </c:pt>
                <c:pt idx="4977">
                  <c:v>#N/A</c:v>
                </c:pt>
                <c:pt idx="4978">
                  <c:v>#N/A</c:v>
                </c:pt>
                <c:pt idx="4979">
                  <c:v>#N/A</c:v>
                </c:pt>
                <c:pt idx="4980">
                  <c:v>#N/A</c:v>
                </c:pt>
                <c:pt idx="4981">
                  <c:v>#N/A</c:v>
                </c:pt>
                <c:pt idx="4982">
                  <c:v>#N/A</c:v>
                </c:pt>
                <c:pt idx="4983">
                  <c:v>#N/A</c:v>
                </c:pt>
                <c:pt idx="4984">
                  <c:v>#N/A</c:v>
                </c:pt>
                <c:pt idx="4985">
                  <c:v>#N/A</c:v>
                </c:pt>
                <c:pt idx="4986">
                  <c:v>#N/A</c:v>
                </c:pt>
                <c:pt idx="4987">
                  <c:v>#N/A</c:v>
                </c:pt>
                <c:pt idx="4988">
                  <c:v>#N/A</c:v>
                </c:pt>
                <c:pt idx="4989">
                  <c:v>#N/A</c:v>
                </c:pt>
                <c:pt idx="4990">
                  <c:v>#N/A</c:v>
                </c:pt>
                <c:pt idx="4991">
                  <c:v>#N/A</c:v>
                </c:pt>
                <c:pt idx="4992">
                  <c:v>#N/A</c:v>
                </c:pt>
                <c:pt idx="4993">
                  <c:v>#N/A</c:v>
                </c:pt>
                <c:pt idx="4994">
                  <c:v>#N/A</c:v>
                </c:pt>
                <c:pt idx="4995">
                  <c:v>#N/A</c:v>
                </c:pt>
                <c:pt idx="4996">
                  <c:v>#N/A</c:v>
                </c:pt>
                <c:pt idx="4997">
                  <c:v>#N/A</c:v>
                </c:pt>
                <c:pt idx="4998">
                  <c:v>#N/A</c:v>
                </c:pt>
                <c:pt idx="4999">
                  <c:v>#N/A</c:v>
                </c:pt>
              </c:numCache>
            </c:numRef>
          </c:val>
          <c:extLst>
            <c:ext xmlns:c16="http://schemas.microsoft.com/office/drawing/2014/chart" uri="{C3380CC4-5D6E-409C-BE32-E72D297353CC}">
              <c16:uniqueId val="{00000001-A3B8-4A7A-88F9-3FB27C46CC0F}"/>
            </c:ext>
          </c:extLst>
        </c:ser>
        <c:ser>
          <c:idx val="2"/>
          <c:order val="2"/>
          <c:tx>
            <c:strRef>
              <c:f>BeskrivendeStatistik!$CL$10</c:f>
              <c:strCache>
                <c:ptCount val="1"/>
                <c:pt idx="0">
                  <c:v>3. kvartil</c:v>
                </c:pt>
              </c:strCache>
            </c:strRef>
          </c:tx>
          <c:spPr>
            <a:solidFill>
              <a:schemeClr val="accent3"/>
            </a:solidFill>
            <a:ln>
              <a:noFill/>
            </a:ln>
            <a:effectLst/>
          </c:spPr>
          <c:invertIfNegative val="0"/>
          <c:cat>
            <c:strRef>
              <c:f>[0]!BxK</c:f>
              <c:strCache>
                <c:ptCount val="5000"/>
                <c:pt idx="0">
                  <c:v>-1.48</c:v>
                </c:pt>
                <c:pt idx="243">
                  <c:v>-0.776</c:v>
                </c:pt>
                <c:pt idx="683">
                  <c:v>0.499</c:v>
                </c:pt>
                <c:pt idx="1099">
                  <c:v>1.703</c:v>
                </c:pt>
                <c:pt idx="4999">
                  <c:v>13</c:v>
                </c:pt>
              </c:strCache>
            </c:strRef>
          </c:cat>
          <c:val>
            <c:numRef>
              <c:f>[0]!Bk_3</c:f>
              <c:numCache>
                <c:formatCode>General</c:formatCode>
                <c:ptCount val="50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formatCode="#,##0.000">
                  <c:v>#N/A</c:v>
                </c:pt>
                <c:pt idx="315" formatCode="#,##0.000">
                  <c:v>#N/A</c:v>
                </c:pt>
                <c:pt idx="316" formatCode="#,##0.000">
                  <c:v>#N/A</c:v>
                </c:pt>
                <c:pt idx="317" formatCode="#,##0.000">
                  <c:v>#N/A</c:v>
                </c:pt>
                <c:pt idx="318" formatCode="#,##0.000">
                  <c:v>#N/A</c:v>
                </c:pt>
                <c:pt idx="319" formatCode="#,##0.000">
                  <c:v>#N/A</c:v>
                </c:pt>
                <c:pt idx="320" formatCode="#,##0.000">
                  <c:v>#N/A</c:v>
                </c:pt>
                <c:pt idx="321" formatCode="#,##0.000">
                  <c:v>#N/A</c:v>
                </c:pt>
                <c:pt idx="322" formatCode="#,##0.000">
                  <c:v>#N/A</c:v>
                </c:pt>
                <c:pt idx="323" formatCode="#,##0.000">
                  <c:v>#N/A</c:v>
                </c:pt>
                <c:pt idx="324" formatCode="#,##0.000">
                  <c:v>#N/A</c:v>
                </c:pt>
                <c:pt idx="325" formatCode="#,##0.000">
                  <c:v>#N/A</c:v>
                </c:pt>
                <c:pt idx="326" formatCode="#,##0.000">
                  <c:v>#N/A</c:v>
                </c:pt>
                <c:pt idx="327" formatCode="#,##0.000">
                  <c:v>#N/A</c:v>
                </c:pt>
                <c:pt idx="328" formatCode="#,##0.000">
                  <c:v>#N/A</c:v>
                </c:pt>
                <c:pt idx="329" formatCode="#,##0.000">
                  <c:v>#N/A</c:v>
                </c:pt>
                <c:pt idx="330" formatCode="#,##0.000">
                  <c:v>#N/A</c:v>
                </c:pt>
                <c:pt idx="331" formatCode="#,##0.000">
                  <c:v>#N/A</c:v>
                </c:pt>
                <c:pt idx="332" formatCode="#,##0.000">
                  <c:v>#N/A</c:v>
                </c:pt>
                <c:pt idx="333" formatCode="#,##0.000">
                  <c:v>#N/A</c:v>
                </c:pt>
                <c:pt idx="334" formatCode="#,##0.000">
                  <c:v>#N/A</c:v>
                </c:pt>
                <c:pt idx="335" formatCode="#,##0.000">
                  <c:v>#N/A</c:v>
                </c:pt>
                <c:pt idx="336" formatCode="#,##0.000">
                  <c:v>#N/A</c:v>
                </c:pt>
                <c:pt idx="337" formatCode="#,##0.000">
                  <c:v>#N/A</c:v>
                </c:pt>
                <c:pt idx="338" formatCode="#,##0.000">
                  <c:v>#N/A</c:v>
                </c:pt>
                <c:pt idx="339" formatCode="#,##0.000">
                  <c:v>#N/A</c:v>
                </c:pt>
                <c:pt idx="340" formatCode="#,##0.000">
                  <c:v>#N/A</c:v>
                </c:pt>
                <c:pt idx="341" formatCode="#,##0.000">
                  <c:v>#N/A</c:v>
                </c:pt>
                <c:pt idx="342" formatCode="#,##0.000">
                  <c:v>#N/A</c:v>
                </c:pt>
                <c:pt idx="343" formatCode="#,##0.000">
                  <c:v>#N/A</c:v>
                </c:pt>
                <c:pt idx="344" formatCode="#,##0.000">
                  <c:v>#N/A</c:v>
                </c:pt>
                <c:pt idx="345" formatCode="#,##0.000">
                  <c:v>#N/A</c:v>
                </c:pt>
                <c:pt idx="346" formatCode="#,##0.000">
                  <c:v>#N/A</c:v>
                </c:pt>
                <c:pt idx="347" formatCode="#,##0.000">
                  <c:v>#N/A</c:v>
                </c:pt>
                <c:pt idx="348" formatCode="#,##0.000">
                  <c:v>#N/A</c:v>
                </c:pt>
                <c:pt idx="349" formatCode="#,##0.000">
                  <c:v>#N/A</c:v>
                </c:pt>
                <c:pt idx="350" formatCode="#,##0.000">
                  <c:v>#N/A</c:v>
                </c:pt>
                <c:pt idx="351" formatCode="#,##0.000">
                  <c:v>#N/A</c:v>
                </c:pt>
                <c:pt idx="352" formatCode="#,##0.000">
                  <c:v>#N/A</c:v>
                </c:pt>
                <c:pt idx="353" formatCode="#,##0.000">
                  <c:v>#N/A</c:v>
                </c:pt>
                <c:pt idx="354" formatCode="#,##0.000">
                  <c:v>#N/A</c:v>
                </c:pt>
                <c:pt idx="355" formatCode="#,##0.000">
                  <c:v>#N/A</c:v>
                </c:pt>
                <c:pt idx="356" formatCode="#,##0.000">
                  <c:v>#N/A</c:v>
                </c:pt>
                <c:pt idx="357" formatCode="#,##0.000">
                  <c:v>#N/A</c:v>
                </c:pt>
                <c:pt idx="358" formatCode="#,##0.000">
                  <c:v>#N/A</c:v>
                </c:pt>
                <c:pt idx="359" formatCode="#,##0.000">
                  <c:v>#N/A</c:v>
                </c:pt>
                <c:pt idx="360" formatCode="#,##0.000">
                  <c:v>#N/A</c:v>
                </c:pt>
                <c:pt idx="361" formatCode="#,##0.000">
                  <c:v>#N/A</c:v>
                </c:pt>
                <c:pt idx="362" formatCode="#,##0.000">
                  <c:v>#N/A</c:v>
                </c:pt>
                <c:pt idx="363" formatCode="#,##0.000">
                  <c:v>#N/A</c:v>
                </c:pt>
                <c:pt idx="364" formatCode="#,##0.000">
                  <c:v>#N/A</c:v>
                </c:pt>
                <c:pt idx="365" formatCode="#,##0.000">
                  <c:v>#N/A</c:v>
                </c:pt>
                <c:pt idx="366" formatCode="#,##0.000">
                  <c:v>#N/A</c:v>
                </c:pt>
                <c:pt idx="367" formatCode="#,##0.000">
                  <c:v>#N/A</c:v>
                </c:pt>
                <c:pt idx="368" formatCode="#,##0.000">
                  <c:v>#N/A</c:v>
                </c:pt>
                <c:pt idx="369" formatCode="#,##0.000">
                  <c:v>#N/A</c:v>
                </c:pt>
                <c:pt idx="370" formatCode="#,##0.000">
                  <c:v>#N/A</c:v>
                </c:pt>
                <c:pt idx="371" formatCode="#,##0.000">
                  <c:v>#N/A</c:v>
                </c:pt>
                <c:pt idx="372" formatCode="#,##0.000">
                  <c:v>#N/A</c:v>
                </c:pt>
                <c:pt idx="373" formatCode="#,##0.000">
                  <c:v>#N/A</c:v>
                </c:pt>
                <c:pt idx="374" formatCode="#,##0.000">
                  <c:v>#N/A</c:v>
                </c:pt>
                <c:pt idx="375" formatCode="#,##0.000">
                  <c:v>#N/A</c:v>
                </c:pt>
                <c:pt idx="376" formatCode="#,##0.000">
                  <c:v>#N/A</c:v>
                </c:pt>
                <c:pt idx="377" formatCode="#,##0.000">
                  <c:v>#N/A</c:v>
                </c:pt>
                <c:pt idx="378" formatCode="#,##0.000">
                  <c:v>#N/A</c:v>
                </c:pt>
                <c:pt idx="379" formatCode="#,##0.000">
                  <c:v>#N/A</c:v>
                </c:pt>
                <c:pt idx="380" formatCode="#,##0.000">
                  <c:v>#N/A</c:v>
                </c:pt>
                <c:pt idx="381" formatCode="#,##0.000">
                  <c:v>#N/A</c:v>
                </c:pt>
                <c:pt idx="382" formatCode="#,##0.000">
                  <c:v>#N/A</c:v>
                </c:pt>
                <c:pt idx="383" formatCode="#,##0.000">
                  <c:v>#N/A</c:v>
                </c:pt>
                <c:pt idx="384" formatCode="#,##0.000">
                  <c:v>#N/A</c:v>
                </c:pt>
                <c:pt idx="385" formatCode="#,##0.000">
                  <c:v>#N/A</c:v>
                </c:pt>
                <c:pt idx="386" formatCode="#,##0.000">
                  <c:v>#N/A</c:v>
                </c:pt>
                <c:pt idx="387" formatCode="#,##0.000">
                  <c:v>#N/A</c:v>
                </c:pt>
                <c:pt idx="388" formatCode="#,##0.000">
                  <c:v>#N/A</c:v>
                </c:pt>
                <c:pt idx="389" formatCode="#,##0.000">
                  <c:v>#N/A</c:v>
                </c:pt>
                <c:pt idx="390" formatCode="#,##0.000">
                  <c:v>#N/A</c:v>
                </c:pt>
                <c:pt idx="391" formatCode="#,##0.000">
                  <c:v>#N/A</c:v>
                </c:pt>
                <c:pt idx="392" formatCode="#,##0.000">
                  <c:v>#N/A</c:v>
                </c:pt>
                <c:pt idx="393" formatCode="#,##0.000">
                  <c:v>#N/A</c:v>
                </c:pt>
                <c:pt idx="394" formatCode="#,##0.000">
                  <c:v>#N/A</c:v>
                </c:pt>
                <c:pt idx="395" formatCode="#,##0.000">
                  <c:v>#N/A</c:v>
                </c:pt>
                <c:pt idx="396" formatCode="#,##0.000">
                  <c:v>#N/A</c:v>
                </c:pt>
                <c:pt idx="397" formatCode="#,##0.000">
                  <c:v>#N/A</c:v>
                </c:pt>
                <c:pt idx="398" formatCode="#,##0.000">
                  <c:v>#N/A</c:v>
                </c:pt>
                <c:pt idx="399" formatCode="#,##0.000">
                  <c:v>#N/A</c:v>
                </c:pt>
                <c:pt idx="400" formatCode="#,##0.000">
                  <c:v>#N/A</c:v>
                </c:pt>
                <c:pt idx="401" formatCode="#,##0.000">
                  <c:v>#N/A</c:v>
                </c:pt>
                <c:pt idx="402" formatCode="#,##0.000">
                  <c:v>#N/A</c:v>
                </c:pt>
                <c:pt idx="403" formatCode="#,##0.000">
                  <c:v>#N/A</c:v>
                </c:pt>
                <c:pt idx="404" formatCode="#,##0.000">
                  <c:v>#N/A</c:v>
                </c:pt>
                <c:pt idx="405" formatCode="#,##0.000">
                  <c:v>#N/A</c:v>
                </c:pt>
                <c:pt idx="406" formatCode="#,##0.000">
                  <c:v>#N/A</c:v>
                </c:pt>
                <c:pt idx="407" formatCode="#,##0.000">
                  <c:v>#N/A</c:v>
                </c:pt>
                <c:pt idx="408" formatCode="#,##0.000">
                  <c:v>#N/A</c:v>
                </c:pt>
                <c:pt idx="409" formatCode="#,##0.000">
                  <c:v>#N/A</c:v>
                </c:pt>
                <c:pt idx="410" formatCode="#,##0.000">
                  <c:v>#N/A</c:v>
                </c:pt>
                <c:pt idx="411" formatCode="#,##0.000">
                  <c:v>#N/A</c:v>
                </c:pt>
                <c:pt idx="412" formatCode="#,##0.000">
                  <c:v>#N/A</c:v>
                </c:pt>
                <c:pt idx="413" formatCode="#,##0.000">
                  <c:v>#N/A</c:v>
                </c:pt>
                <c:pt idx="414" formatCode="#,##0.000">
                  <c:v>#N/A</c:v>
                </c:pt>
                <c:pt idx="415" formatCode="#,##0.000">
                  <c:v>#N/A</c:v>
                </c:pt>
                <c:pt idx="416" formatCode="#,##0.000">
                  <c:v>#N/A</c:v>
                </c:pt>
                <c:pt idx="417" formatCode="#,##0.000">
                  <c:v>#N/A</c:v>
                </c:pt>
                <c:pt idx="418" formatCode="#,##0.000">
                  <c:v>#N/A</c:v>
                </c:pt>
                <c:pt idx="419" formatCode="#,##0.000">
                  <c:v>#N/A</c:v>
                </c:pt>
                <c:pt idx="420" formatCode="#,##0.000">
                  <c:v>#N/A</c:v>
                </c:pt>
                <c:pt idx="421" formatCode="#,##0.000">
                  <c:v>#N/A</c:v>
                </c:pt>
                <c:pt idx="422" formatCode="#,##0.000">
                  <c:v>#N/A</c:v>
                </c:pt>
                <c:pt idx="423" formatCode="#,##0.000">
                  <c:v>#N/A</c:v>
                </c:pt>
                <c:pt idx="424" formatCode="#,##0.000">
                  <c:v>#N/A</c:v>
                </c:pt>
                <c:pt idx="425" formatCode="#,##0.000">
                  <c:v>#N/A</c:v>
                </c:pt>
                <c:pt idx="426" formatCode="#,##0.000">
                  <c:v>#N/A</c:v>
                </c:pt>
                <c:pt idx="427" formatCode="#,##0.000">
                  <c:v>#N/A</c:v>
                </c:pt>
                <c:pt idx="428" formatCode="#,##0.000">
                  <c:v>#N/A</c:v>
                </c:pt>
                <c:pt idx="429" formatCode="#,##0.000">
                  <c:v>#N/A</c:v>
                </c:pt>
                <c:pt idx="430" formatCode="#,##0.000">
                  <c:v>#N/A</c:v>
                </c:pt>
                <c:pt idx="431" formatCode="#,##0.000">
                  <c:v>#N/A</c:v>
                </c:pt>
                <c:pt idx="432" formatCode="#,##0.000">
                  <c:v>#N/A</c:v>
                </c:pt>
                <c:pt idx="433" formatCode="#,##0.000">
                  <c:v>#N/A</c:v>
                </c:pt>
                <c:pt idx="434" formatCode="#,##0.000">
                  <c:v>#N/A</c:v>
                </c:pt>
                <c:pt idx="435" formatCode="#,##0.000">
                  <c:v>#N/A</c:v>
                </c:pt>
                <c:pt idx="436" formatCode="#,##0.000">
                  <c:v>#N/A</c:v>
                </c:pt>
                <c:pt idx="437" formatCode="#,##0.000">
                  <c:v>#N/A</c:v>
                </c:pt>
                <c:pt idx="438" formatCode="#,##0.000">
                  <c:v>#N/A</c:v>
                </c:pt>
                <c:pt idx="439" formatCode="#,##0.000">
                  <c:v>#N/A</c:v>
                </c:pt>
                <c:pt idx="440" formatCode="#,##0.000">
                  <c:v>#N/A</c:v>
                </c:pt>
                <c:pt idx="441" formatCode="#,##0.000">
                  <c:v>#N/A</c:v>
                </c:pt>
                <c:pt idx="442" formatCode="#,##0.000">
                  <c:v>#N/A</c:v>
                </c:pt>
                <c:pt idx="443" formatCode="#,##0.000">
                  <c:v>#N/A</c:v>
                </c:pt>
                <c:pt idx="444" formatCode="#,##0.000">
                  <c:v>#N/A</c:v>
                </c:pt>
                <c:pt idx="445" formatCode="#,##0.000">
                  <c:v>#N/A</c:v>
                </c:pt>
                <c:pt idx="446" formatCode="#,##0.000">
                  <c:v>#N/A</c:v>
                </c:pt>
                <c:pt idx="447" formatCode="#,##0.000">
                  <c:v>#N/A</c:v>
                </c:pt>
                <c:pt idx="448" formatCode="#,##0.000">
                  <c:v>#N/A</c:v>
                </c:pt>
                <c:pt idx="449" formatCode="#,##0.000">
                  <c:v>#N/A</c:v>
                </c:pt>
                <c:pt idx="450" formatCode="#,##0.000">
                  <c:v>#N/A</c:v>
                </c:pt>
                <c:pt idx="451" formatCode="#,##0.000">
                  <c:v>#N/A</c:v>
                </c:pt>
                <c:pt idx="452" formatCode="#,##0.000">
                  <c:v>#N/A</c:v>
                </c:pt>
                <c:pt idx="453" formatCode="#,##0.000">
                  <c:v>#N/A</c:v>
                </c:pt>
                <c:pt idx="454" formatCode="#,##0.000">
                  <c:v>#N/A</c:v>
                </c:pt>
                <c:pt idx="455" formatCode="#,##0.000">
                  <c:v>#N/A</c:v>
                </c:pt>
                <c:pt idx="456" formatCode="#,##0.000">
                  <c:v>#N/A</c:v>
                </c:pt>
                <c:pt idx="457" formatCode="#,##0.000">
                  <c:v>#N/A</c:v>
                </c:pt>
                <c:pt idx="458" formatCode="#,##0.000">
                  <c:v>#N/A</c:v>
                </c:pt>
                <c:pt idx="459" formatCode="#,##0.000">
                  <c:v>#N/A</c:v>
                </c:pt>
                <c:pt idx="460" formatCode="#,##0.000">
                  <c:v>#N/A</c:v>
                </c:pt>
                <c:pt idx="461" formatCode="#,##0.000">
                  <c:v>#N/A</c:v>
                </c:pt>
                <c:pt idx="462" formatCode="#,##0.000">
                  <c:v>#N/A</c:v>
                </c:pt>
                <c:pt idx="463" formatCode="#,##0.000">
                  <c:v>#N/A</c:v>
                </c:pt>
                <c:pt idx="464" formatCode="#,##0.000">
                  <c:v>#N/A</c:v>
                </c:pt>
                <c:pt idx="465" formatCode="#,##0.000">
                  <c:v>#N/A</c:v>
                </c:pt>
                <c:pt idx="466" formatCode="#,##0.000">
                  <c:v>#N/A</c:v>
                </c:pt>
                <c:pt idx="467" formatCode="#,##0.000">
                  <c:v>#N/A</c:v>
                </c:pt>
                <c:pt idx="468" formatCode="#,##0.000">
                  <c:v>#N/A</c:v>
                </c:pt>
                <c:pt idx="469" formatCode="#,##0.000">
                  <c:v>#N/A</c:v>
                </c:pt>
                <c:pt idx="470" formatCode="#,##0.000">
                  <c:v>#N/A</c:v>
                </c:pt>
                <c:pt idx="471" formatCode="#,##0.000">
                  <c:v>#N/A</c:v>
                </c:pt>
                <c:pt idx="472" formatCode="#,##0.000">
                  <c:v>#N/A</c:v>
                </c:pt>
                <c:pt idx="473" formatCode="#,##0.000">
                  <c:v>#N/A</c:v>
                </c:pt>
                <c:pt idx="474" formatCode="#,##0.000">
                  <c:v>#N/A</c:v>
                </c:pt>
                <c:pt idx="475" formatCode="#,##0.000">
                  <c:v>#N/A</c:v>
                </c:pt>
                <c:pt idx="476" formatCode="#,##0.000">
                  <c:v>#N/A</c:v>
                </c:pt>
                <c:pt idx="477" formatCode="#,##0.000">
                  <c:v>#N/A</c:v>
                </c:pt>
                <c:pt idx="478" formatCode="#,##0.000">
                  <c:v>#N/A</c:v>
                </c:pt>
                <c:pt idx="479" formatCode="#,##0.000">
                  <c:v>#N/A</c:v>
                </c:pt>
                <c:pt idx="480" formatCode="#,##0.000">
                  <c:v>#N/A</c:v>
                </c:pt>
                <c:pt idx="481" formatCode="#,##0.000">
                  <c:v>#N/A</c:v>
                </c:pt>
                <c:pt idx="482" formatCode="#,##0.000">
                  <c:v>#N/A</c:v>
                </c:pt>
                <c:pt idx="483" formatCode="#,##0.000">
                  <c:v>#N/A</c:v>
                </c:pt>
                <c:pt idx="484" formatCode="#,##0.000">
                  <c:v>#N/A</c:v>
                </c:pt>
                <c:pt idx="485" formatCode="#,##0.000">
                  <c:v>#N/A</c:v>
                </c:pt>
                <c:pt idx="486" formatCode="#,##0.000">
                  <c:v>#N/A</c:v>
                </c:pt>
                <c:pt idx="487" formatCode="#,##0.000">
                  <c:v>#N/A</c:v>
                </c:pt>
                <c:pt idx="488" formatCode="#,##0.000">
                  <c:v>#N/A</c:v>
                </c:pt>
                <c:pt idx="489" formatCode="#,##0.000">
                  <c:v>#N/A</c:v>
                </c:pt>
                <c:pt idx="490" formatCode="#,##0.000">
                  <c:v>#N/A</c:v>
                </c:pt>
                <c:pt idx="491" formatCode="#,##0.000">
                  <c:v>#N/A</c:v>
                </c:pt>
                <c:pt idx="492" formatCode="#,##0.000">
                  <c:v>#N/A</c:v>
                </c:pt>
                <c:pt idx="493" formatCode="#,##0.000">
                  <c:v>#N/A</c:v>
                </c:pt>
                <c:pt idx="494" formatCode="#,##0.000">
                  <c:v>#N/A</c:v>
                </c:pt>
                <c:pt idx="495" formatCode="#,##0.000">
                  <c:v>#N/A</c:v>
                </c:pt>
                <c:pt idx="496" formatCode="#,##0.000">
                  <c:v>#N/A</c:v>
                </c:pt>
                <c:pt idx="497" formatCode="#,##0.000">
                  <c:v>#N/A</c:v>
                </c:pt>
                <c:pt idx="498" formatCode="#,##0.000">
                  <c:v>#N/A</c:v>
                </c:pt>
                <c:pt idx="499" formatCode="#,##0.000">
                  <c:v>#N/A</c:v>
                </c:pt>
                <c:pt idx="500" formatCode="#,##0.000">
                  <c:v>#N/A</c:v>
                </c:pt>
                <c:pt idx="501" formatCode="#,##0.000">
                  <c:v>#N/A</c:v>
                </c:pt>
                <c:pt idx="502" formatCode="#,##0.000">
                  <c:v>#N/A</c:v>
                </c:pt>
                <c:pt idx="503" formatCode="#,##0.000">
                  <c:v>#N/A</c:v>
                </c:pt>
                <c:pt idx="504" formatCode="#,##0.000">
                  <c:v>#N/A</c:v>
                </c:pt>
                <c:pt idx="505" formatCode="#,##0.000">
                  <c:v>#N/A</c:v>
                </c:pt>
                <c:pt idx="506" formatCode="#,##0.000">
                  <c:v>#N/A</c:v>
                </c:pt>
                <c:pt idx="507" formatCode="#,##0.000">
                  <c:v>#N/A</c:v>
                </c:pt>
                <c:pt idx="508" formatCode="#,##0.000">
                  <c:v>#N/A</c:v>
                </c:pt>
                <c:pt idx="509" formatCode="#,##0.000">
                  <c:v>#N/A</c:v>
                </c:pt>
                <c:pt idx="510" formatCode="#,##0.000">
                  <c:v>#N/A</c:v>
                </c:pt>
                <c:pt idx="511" formatCode="#,##0.000">
                  <c:v>#N/A</c:v>
                </c:pt>
                <c:pt idx="512" formatCode="#,##0.000">
                  <c:v>#N/A</c:v>
                </c:pt>
                <c:pt idx="513" formatCode="#,##0.000">
                  <c:v>#N/A</c:v>
                </c:pt>
                <c:pt idx="514" formatCode="#,##0.000">
                  <c:v>#N/A</c:v>
                </c:pt>
                <c:pt idx="515" formatCode="#,##0.000">
                  <c:v>#N/A</c:v>
                </c:pt>
                <c:pt idx="516" formatCode="#,##0.000">
                  <c:v>#N/A</c:v>
                </c:pt>
                <c:pt idx="517" formatCode="#,##0.000">
                  <c:v>#N/A</c:v>
                </c:pt>
                <c:pt idx="518" formatCode="#,##0.000">
                  <c:v>#N/A</c:v>
                </c:pt>
                <c:pt idx="519" formatCode="#,##0.000">
                  <c:v>#N/A</c:v>
                </c:pt>
                <c:pt idx="520" formatCode="#,##0.000">
                  <c:v>#N/A</c:v>
                </c:pt>
                <c:pt idx="521" formatCode="#,##0.000">
                  <c:v>#N/A</c:v>
                </c:pt>
                <c:pt idx="522" formatCode="#,##0.000">
                  <c:v>#N/A</c:v>
                </c:pt>
                <c:pt idx="523" formatCode="#,##0.000">
                  <c:v>#N/A</c:v>
                </c:pt>
                <c:pt idx="524" formatCode="#,##0.000">
                  <c:v>#N/A</c:v>
                </c:pt>
                <c:pt idx="525" formatCode="#,##0.000">
                  <c:v>#N/A</c:v>
                </c:pt>
                <c:pt idx="526" formatCode="#,##0.000">
                  <c:v>#N/A</c:v>
                </c:pt>
                <c:pt idx="527" formatCode="#,##0.000">
                  <c:v>#N/A</c:v>
                </c:pt>
                <c:pt idx="528" formatCode="#,##0.000">
                  <c:v>#N/A</c:v>
                </c:pt>
                <c:pt idx="529" formatCode="#,##0.000">
                  <c:v>#N/A</c:v>
                </c:pt>
                <c:pt idx="530" formatCode="#,##0.000">
                  <c:v>#N/A</c:v>
                </c:pt>
                <c:pt idx="531" formatCode="#,##0.000">
                  <c:v>#N/A</c:v>
                </c:pt>
                <c:pt idx="532" formatCode="#,##0.000">
                  <c:v>#N/A</c:v>
                </c:pt>
                <c:pt idx="533" formatCode="#,##0.000">
                  <c:v>#N/A</c:v>
                </c:pt>
                <c:pt idx="534" formatCode="#,##0.000">
                  <c:v>#N/A</c:v>
                </c:pt>
                <c:pt idx="535" formatCode="#,##0.000">
                  <c:v>#N/A</c:v>
                </c:pt>
                <c:pt idx="536" formatCode="#,##0.000">
                  <c:v>#N/A</c:v>
                </c:pt>
                <c:pt idx="537" formatCode="#,##0.000">
                  <c:v>#N/A</c:v>
                </c:pt>
                <c:pt idx="538" formatCode="#,##0.000">
                  <c:v>#N/A</c:v>
                </c:pt>
                <c:pt idx="539" formatCode="#,##0.000">
                  <c:v>#N/A</c:v>
                </c:pt>
                <c:pt idx="540" formatCode="#,##0.000">
                  <c:v>#N/A</c:v>
                </c:pt>
                <c:pt idx="541" formatCode="#,##0.000">
                  <c:v>#N/A</c:v>
                </c:pt>
                <c:pt idx="542" formatCode="#,##0.000">
                  <c:v>#N/A</c:v>
                </c:pt>
                <c:pt idx="543" formatCode="#,##0.000">
                  <c:v>#N/A</c:v>
                </c:pt>
                <c:pt idx="544" formatCode="#,##0.000">
                  <c:v>#N/A</c:v>
                </c:pt>
                <c:pt idx="545" formatCode="#,##0.000">
                  <c:v>#N/A</c:v>
                </c:pt>
                <c:pt idx="546" formatCode="#,##0.000">
                  <c:v>#N/A</c:v>
                </c:pt>
                <c:pt idx="547" formatCode="#,##0.000">
                  <c:v>#N/A</c:v>
                </c:pt>
                <c:pt idx="548" formatCode="#,##0.000">
                  <c:v>#N/A</c:v>
                </c:pt>
                <c:pt idx="549" formatCode="#,##0.000">
                  <c:v>#N/A</c:v>
                </c:pt>
                <c:pt idx="550" formatCode="#,##0.000">
                  <c:v>#N/A</c:v>
                </c:pt>
                <c:pt idx="551" formatCode="#,##0.000">
                  <c:v>#N/A</c:v>
                </c:pt>
                <c:pt idx="552" formatCode="#,##0.000">
                  <c:v>#N/A</c:v>
                </c:pt>
                <c:pt idx="553" formatCode="#,##0.000">
                  <c:v>#N/A</c:v>
                </c:pt>
                <c:pt idx="554" formatCode="#,##0.000">
                  <c:v>#N/A</c:v>
                </c:pt>
                <c:pt idx="555" formatCode="#,##0.000">
                  <c:v>#N/A</c:v>
                </c:pt>
                <c:pt idx="556" formatCode="#,##0.000">
                  <c:v>#N/A</c:v>
                </c:pt>
                <c:pt idx="557" formatCode="#,##0.000">
                  <c:v>#N/A</c:v>
                </c:pt>
                <c:pt idx="558" formatCode="#,##0.000">
                  <c:v>#N/A</c:v>
                </c:pt>
                <c:pt idx="559" formatCode="#,##0.000">
                  <c:v>#N/A</c:v>
                </c:pt>
                <c:pt idx="560" formatCode="#,##0.000">
                  <c:v>#N/A</c:v>
                </c:pt>
                <c:pt idx="561" formatCode="#,##0.000">
                  <c:v>#N/A</c:v>
                </c:pt>
                <c:pt idx="562" formatCode="#,##0.000">
                  <c:v>#N/A</c:v>
                </c:pt>
                <c:pt idx="563" formatCode="#,##0.000">
                  <c:v>#N/A</c:v>
                </c:pt>
                <c:pt idx="564" formatCode="#,##0.000">
                  <c:v>#N/A</c:v>
                </c:pt>
                <c:pt idx="565" formatCode="#,##0.000">
                  <c:v>#N/A</c:v>
                </c:pt>
                <c:pt idx="566" formatCode="#,##0.000">
                  <c:v>#N/A</c:v>
                </c:pt>
                <c:pt idx="567" formatCode="#,##0.000">
                  <c:v>#N/A</c:v>
                </c:pt>
                <c:pt idx="568" formatCode="#,##0.000">
                  <c:v>#N/A</c:v>
                </c:pt>
                <c:pt idx="569" formatCode="#,##0.000">
                  <c:v>#N/A</c:v>
                </c:pt>
                <c:pt idx="570" formatCode="#,##0.000">
                  <c:v>#N/A</c:v>
                </c:pt>
                <c:pt idx="571" formatCode="#,##0.000">
                  <c:v>#N/A</c:v>
                </c:pt>
                <c:pt idx="572" formatCode="#,##0.000">
                  <c:v>#N/A</c:v>
                </c:pt>
                <c:pt idx="573" formatCode="#,##0.000">
                  <c:v>#N/A</c:v>
                </c:pt>
                <c:pt idx="574" formatCode="#,##0.000">
                  <c:v>#N/A</c:v>
                </c:pt>
                <c:pt idx="575" formatCode="#,##0.000">
                  <c:v>#N/A</c:v>
                </c:pt>
                <c:pt idx="576" formatCode="#,##0.000">
                  <c:v>#N/A</c:v>
                </c:pt>
                <c:pt idx="577" formatCode="#,##0.000">
                  <c:v>#N/A</c:v>
                </c:pt>
                <c:pt idx="578" formatCode="#,##0.000">
                  <c:v>#N/A</c:v>
                </c:pt>
                <c:pt idx="579" formatCode="#,##0.000">
                  <c:v>#N/A</c:v>
                </c:pt>
                <c:pt idx="580" formatCode="#,##0.000">
                  <c:v>#N/A</c:v>
                </c:pt>
                <c:pt idx="581" formatCode="#,##0.000">
                  <c:v>#N/A</c:v>
                </c:pt>
                <c:pt idx="582" formatCode="#,##0.000">
                  <c:v>#N/A</c:v>
                </c:pt>
                <c:pt idx="583" formatCode="#,##0.000">
                  <c:v>#N/A</c:v>
                </c:pt>
                <c:pt idx="584" formatCode="#,##0.000">
                  <c:v>#N/A</c:v>
                </c:pt>
                <c:pt idx="585" formatCode="#,##0.000">
                  <c:v>#N/A</c:v>
                </c:pt>
                <c:pt idx="586" formatCode="#,##0.000">
                  <c:v>#N/A</c:v>
                </c:pt>
                <c:pt idx="587" formatCode="#,##0.000">
                  <c:v>#N/A</c:v>
                </c:pt>
                <c:pt idx="588" formatCode="#,##0.000">
                  <c:v>#N/A</c:v>
                </c:pt>
                <c:pt idx="589" formatCode="#,##0.000">
                  <c:v>#N/A</c:v>
                </c:pt>
                <c:pt idx="590" formatCode="#,##0.000">
                  <c:v>#N/A</c:v>
                </c:pt>
                <c:pt idx="591" formatCode="#,##0.000">
                  <c:v>#N/A</c:v>
                </c:pt>
                <c:pt idx="592" formatCode="#,##0.000">
                  <c:v>#N/A</c:v>
                </c:pt>
                <c:pt idx="593" formatCode="#,##0.000">
                  <c:v>#N/A</c:v>
                </c:pt>
                <c:pt idx="594" formatCode="#,##0.000">
                  <c:v>#N/A</c:v>
                </c:pt>
                <c:pt idx="595" formatCode="#,##0.000">
                  <c:v>#N/A</c:v>
                </c:pt>
                <c:pt idx="596" formatCode="#,##0.000">
                  <c:v>#N/A</c:v>
                </c:pt>
                <c:pt idx="597" formatCode="#,##0.000">
                  <c:v>#N/A</c:v>
                </c:pt>
                <c:pt idx="598" formatCode="#,##0.000">
                  <c:v>#N/A</c:v>
                </c:pt>
                <c:pt idx="599" formatCode="#,##0.000">
                  <c:v>#N/A</c:v>
                </c:pt>
                <c:pt idx="600" formatCode="#,##0.000">
                  <c:v>#N/A</c:v>
                </c:pt>
                <c:pt idx="601" formatCode="#,##0.000">
                  <c:v>#N/A</c:v>
                </c:pt>
                <c:pt idx="602" formatCode="#,##0.000">
                  <c:v>#N/A</c:v>
                </c:pt>
                <c:pt idx="603" formatCode="#,##0.000">
                  <c:v>#N/A</c:v>
                </c:pt>
                <c:pt idx="604" formatCode="#,##0.000">
                  <c:v>#N/A</c:v>
                </c:pt>
                <c:pt idx="605" formatCode="#,##0.000">
                  <c:v>#N/A</c:v>
                </c:pt>
                <c:pt idx="606" formatCode="#,##0.000">
                  <c:v>#N/A</c:v>
                </c:pt>
                <c:pt idx="607" formatCode="#,##0.000">
                  <c:v>#N/A</c:v>
                </c:pt>
                <c:pt idx="608" formatCode="#,##0.000">
                  <c:v>#N/A</c:v>
                </c:pt>
                <c:pt idx="609" formatCode="#,##0.000">
                  <c:v>#N/A</c:v>
                </c:pt>
                <c:pt idx="610" formatCode="#,##0.000">
                  <c:v>#N/A</c:v>
                </c:pt>
                <c:pt idx="611" formatCode="#,##0.000">
                  <c:v>#N/A</c:v>
                </c:pt>
                <c:pt idx="612" formatCode="#,##0.000">
                  <c:v>#N/A</c:v>
                </c:pt>
                <c:pt idx="613" formatCode="#,##0.000">
                  <c:v>#N/A</c:v>
                </c:pt>
                <c:pt idx="614" formatCode="#,##0.000">
                  <c:v>#N/A</c:v>
                </c:pt>
                <c:pt idx="615" formatCode="#,##0.000">
                  <c:v>#N/A</c:v>
                </c:pt>
                <c:pt idx="616" formatCode="#,##0.000">
                  <c:v>#N/A</c:v>
                </c:pt>
                <c:pt idx="617" formatCode="#,##0.000">
                  <c:v>#N/A</c:v>
                </c:pt>
                <c:pt idx="618" formatCode="#,##0.000">
                  <c:v>#N/A</c:v>
                </c:pt>
                <c:pt idx="619" formatCode="#,##0.000">
                  <c:v>#N/A</c:v>
                </c:pt>
                <c:pt idx="620" formatCode="#,##0.000">
                  <c:v>#N/A</c:v>
                </c:pt>
                <c:pt idx="621" formatCode="#,##0.000">
                  <c:v>#N/A</c:v>
                </c:pt>
                <c:pt idx="622" formatCode="#,##0.000">
                  <c:v>#N/A</c:v>
                </c:pt>
                <c:pt idx="623" formatCode="#,##0.000">
                  <c:v>#N/A</c:v>
                </c:pt>
                <c:pt idx="624" formatCode="#,##0.000">
                  <c:v>#N/A</c:v>
                </c:pt>
                <c:pt idx="625" formatCode="#,##0.000">
                  <c:v>#N/A</c:v>
                </c:pt>
                <c:pt idx="626" formatCode="#,##0.000">
                  <c:v>#N/A</c:v>
                </c:pt>
                <c:pt idx="627" formatCode="#,##0.000">
                  <c:v>#N/A</c:v>
                </c:pt>
                <c:pt idx="628" formatCode="#,##0.000">
                  <c:v>#N/A</c:v>
                </c:pt>
                <c:pt idx="629" formatCode="#,##0.000">
                  <c:v>#N/A</c:v>
                </c:pt>
                <c:pt idx="630" formatCode="#,##0.000">
                  <c:v>#N/A</c:v>
                </c:pt>
                <c:pt idx="631" formatCode="#,##0.000">
                  <c:v>#N/A</c:v>
                </c:pt>
                <c:pt idx="632" formatCode="#,##0.000">
                  <c:v>#N/A</c:v>
                </c:pt>
                <c:pt idx="633" formatCode="#,##0.000">
                  <c:v>#N/A</c:v>
                </c:pt>
                <c:pt idx="634" formatCode="#,##0.000">
                  <c:v>#N/A</c:v>
                </c:pt>
                <c:pt idx="635" formatCode="#,##0.000">
                  <c:v>#N/A</c:v>
                </c:pt>
                <c:pt idx="636" formatCode="#,##0.000">
                  <c:v>#N/A</c:v>
                </c:pt>
                <c:pt idx="637" formatCode="#,##0.000">
                  <c:v>#N/A</c:v>
                </c:pt>
                <c:pt idx="638" formatCode="#,##0.000">
                  <c:v>#N/A</c:v>
                </c:pt>
                <c:pt idx="639" formatCode="#,##0.000">
                  <c:v>#N/A</c:v>
                </c:pt>
                <c:pt idx="640" formatCode="#,##0.000">
                  <c:v>#N/A</c:v>
                </c:pt>
                <c:pt idx="641" formatCode="#,##0.000">
                  <c:v>#N/A</c:v>
                </c:pt>
                <c:pt idx="642" formatCode="#,##0.000">
                  <c:v>#N/A</c:v>
                </c:pt>
                <c:pt idx="643" formatCode="#,##0.000">
                  <c:v>#N/A</c:v>
                </c:pt>
                <c:pt idx="644" formatCode="#,##0.000">
                  <c:v>#N/A</c:v>
                </c:pt>
                <c:pt idx="645" formatCode="#,##0.000">
                  <c:v>#N/A</c:v>
                </c:pt>
                <c:pt idx="646" formatCode="#,##0.000">
                  <c:v>#N/A</c:v>
                </c:pt>
                <c:pt idx="647" formatCode="#,##0.000">
                  <c:v>#N/A</c:v>
                </c:pt>
                <c:pt idx="648" formatCode="#,##0.000">
                  <c:v>#N/A</c:v>
                </c:pt>
                <c:pt idx="649" formatCode="#,##0.000">
                  <c:v>#N/A</c:v>
                </c:pt>
                <c:pt idx="650" formatCode="#,##0.000">
                  <c:v>#N/A</c:v>
                </c:pt>
                <c:pt idx="651" formatCode="#,##0.000">
                  <c:v>#N/A</c:v>
                </c:pt>
                <c:pt idx="652" formatCode="#,##0.000">
                  <c:v>#N/A</c:v>
                </c:pt>
                <c:pt idx="653" formatCode="#,##0.000">
                  <c:v>#N/A</c:v>
                </c:pt>
                <c:pt idx="654" formatCode="#,##0.000">
                  <c:v>#N/A</c:v>
                </c:pt>
                <c:pt idx="655" formatCode="#,##0.000">
                  <c:v>#N/A</c:v>
                </c:pt>
                <c:pt idx="656" formatCode="#,##0.000">
                  <c:v>#N/A</c:v>
                </c:pt>
                <c:pt idx="657" formatCode="#,##0.000">
                  <c:v>#N/A</c:v>
                </c:pt>
                <c:pt idx="658" formatCode="#,##0.000">
                  <c:v>#N/A</c:v>
                </c:pt>
                <c:pt idx="659" formatCode="#,##0.000">
                  <c:v>#N/A</c:v>
                </c:pt>
                <c:pt idx="660" formatCode="#,##0.000">
                  <c:v>#N/A</c:v>
                </c:pt>
                <c:pt idx="661" formatCode="#,##0.000">
                  <c:v>#N/A</c:v>
                </c:pt>
                <c:pt idx="662" formatCode="#,##0.000">
                  <c:v>#N/A</c:v>
                </c:pt>
                <c:pt idx="663" formatCode="#,##0.000">
                  <c:v>#N/A</c:v>
                </c:pt>
                <c:pt idx="664" formatCode="#,##0.000">
                  <c:v>#N/A</c:v>
                </c:pt>
                <c:pt idx="665" formatCode="#,##0.000">
                  <c:v>#N/A</c:v>
                </c:pt>
                <c:pt idx="666" formatCode="#,##0.000">
                  <c:v>#N/A</c:v>
                </c:pt>
                <c:pt idx="667" formatCode="#,##0.000">
                  <c:v>#N/A</c:v>
                </c:pt>
                <c:pt idx="668" formatCode="#,##0.000">
                  <c:v>#N/A</c:v>
                </c:pt>
                <c:pt idx="669" formatCode="#,##0.000">
                  <c:v>#N/A</c:v>
                </c:pt>
                <c:pt idx="670" formatCode="#,##0.000">
                  <c:v>#N/A</c:v>
                </c:pt>
                <c:pt idx="671" formatCode="#,##0.000">
                  <c:v>#N/A</c:v>
                </c:pt>
                <c:pt idx="672" formatCode="#,##0.000">
                  <c:v>#N/A</c:v>
                </c:pt>
                <c:pt idx="673" formatCode="#,##0.000">
                  <c:v>#N/A</c:v>
                </c:pt>
                <c:pt idx="674" formatCode="#,##0.000">
                  <c:v>#N/A</c:v>
                </c:pt>
                <c:pt idx="675" formatCode="#,##0.000">
                  <c:v>#N/A</c:v>
                </c:pt>
                <c:pt idx="676" formatCode="#,##0.000">
                  <c:v>#N/A</c:v>
                </c:pt>
                <c:pt idx="677" formatCode="#,##0.000">
                  <c:v>#N/A</c:v>
                </c:pt>
                <c:pt idx="678" formatCode="#,##0.000">
                  <c:v>#N/A</c:v>
                </c:pt>
                <c:pt idx="679" formatCode="#,##0.000">
                  <c:v>#N/A</c:v>
                </c:pt>
                <c:pt idx="680" formatCode="#,##0.000">
                  <c:v>#N/A</c:v>
                </c:pt>
                <c:pt idx="681" formatCode="#,##0.000">
                  <c:v>#N/A</c:v>
                </c:pt>
                <c:pt idx="682" formatCode="#,##0.000">
                  <c:v>#N/A</c:v>
                </c:pt>
                <c:pt idx="683" formatCode="#,##0.000">
                  <c:v>1.0626913437795575</c:v>
                </c:pt>
                <c:pt idx="684" formatCode="#,##0.000">
                  <c:v>1.0626913437795575</c:v>
                </c:pt>
                <c:pt idx="685" formatCode="#,##0.000">
                  <c:v>1.0626913437795575</c:v>
                </c:pt>
                <c:pt idx="686" formatCode="#,##0.000">
                  <c:v>1.0626913437795575</c:v>
                </c:pt>
                <c:pt idx="687" formatCode="#,##0.000">
                  <c:v>1.0626913437795575</c:v>
                </c:pt>
                <c:pt idx="688" formatCode="#,##0.000">
                  <c:v>1.0626913437795575</c:v>
                </c:pt>
                <c:pt idx="689" formatCode="#,##0.000">
                  <c:v>1.0626913437795575</c:v>
                </c:pt>
                <c:pt idx="690" formatCode="#,##0.000">
                  <c:v>1.0626913437795575</c:v>
                </c:pt>
                <c:pt idx="691" formatCode="#,##0.000">
                  <c:v>1.0626913437795575</c:v>
                </c:pt>
                <c:pt idx="692" formatCode="#,##0.000">
                  <c:v>1.0626913437795575</c:v>
                </c:pt>
                <c:pt idx="693" formatCode="#,##0.000">
                  <c:v>1.0626913437795575</c:v>
                </c:pt>
                <c:pt idx="694" formatCode="#,##0.000">
                  <c:v>1.0626913437795575</c:v>
                </c:pt>
                <c:pt idx="695" formatCode="#,##0.000">
                  <c:v>1.0626913437795575</c:v>
                </c:pt>
                <c:pt idx="696" formatCode="#,##0.000">
                  <c:v>1.0626913437795575</c:v>
                </c:pt>
                <c:pt idx="697" formatCode="#,##0.000">
                  <c:v>1.0626913437795575</c:v>
                </c:pt>
                <c:pt idx="698" formatCode="#,##0.000">
                  <c:v>1.0626913437795575</c:v>
                </c:pt>
                <c:pt idx="699" formatCode="#,##0.000">
                  <c:v>1.0626913437795575</c:v>
                </c:pt>
                <c:pt idx="700" formatCode="#,##0.000">
                  <c:v>1.0626913437795575</c:v>
                </c:pt>
                <c:pt idx="701" formatCode="#,##0.000">
                  <c:v>1.0626913437795575</c:v>
                </c:pt>
                <c:pt idx="702" formatCode="#,##0.000">
                  <c:v>1.0626913437795575</c:v>
                </c:pt>
                <c:pt idx="703" formatCode="#,##0.000">
                  <c:v>1.0626913437795575</c:v>
                </c:pt>
                <c:pt idx="704" formatCode="#,##0.000">
                  <c:v>1.0626913437795575</c:v>
                </c:pt>
                <c:pt idx="705" formatCode="#,##0.000">
                  <c:v>1.0626913437795575</c:v>
                </c:pt>
                <c:pt idx="706" formatCode="#,##0.000">
                  <c:v>1.0626913437795575</c:v>
                </c:pt>
                <c:pt idx="707" formatCode="#,##0.000">
                  <c:v>1.0626913437795575</c:v>
                </c:pt>
                <c:pt idx="708" formatCode="#,##0.000">
                  <c:v>1.0626913437795575</c:v>
                </c:pt>
                <c:pt idx="709" formatCode="#,##0.000">
                  <c:v>1.0626913437795575</c:v>
                </c:pt>
                <c:pt idx="710" formatCode="#,##0.000">
                  <c:v>1.0626913437795575</c:v>
                </c:pt>
                <c:pt idx="711" formatCode="#,##0.000">
                  <c:v>1.0626913437795575</c:v>
                </c:pt>
                <c:pt idx="712" formatCode="#,##0.000">
                  <c:v>1.0626913437795575</c:v>
                </c:pt>
                <c:pt idx="713" formatCode="#,##0.000">
                  <c:v>1.0626913437795575</c:v>
                </c:pt>
                <c:pt idx="714" formatCode="#,##0.000">
                  <c:v>1.0626913437795575</c:v>
                </c:pt>
                <c:pt idx="715" formatCode="#,##0.000">
                  <c:v>1.0626913437795575</c:v>
                </c:pt>
                <c:pt idx="716" formatCode="#,##0.000">
                  <c:v>1.0626913437795575</c:v>
                </c:pt>
                <c:pt idx="717" formatCode="#,##0.000">
                  <c:v>1.0626913437795575</c:v>
                </c:pt>
                <c:pt idx="718" formatCode="#,##0.000">
                  <c:v>1.0626913437795575</c:v>
                </c:pt>
                <c:pt idx="719" formatCode="#,##0.000">
                  <c:v>1.0626913437795575</c:v>
                </c:pt>
                <c:pt idx="720" formatCode="#,##0.000">
                  <c:v>1.0626913437795575</c:v>
                </c:pt>
                <c:pt idx="721" formatCode="#,##0.000">
                  <c:v>1.0626913437795575</c:v>
                </c:pt>
                <c:pt idx="722" formatCode="#,##0.000">
                  <c:v>1.0626913437795575</c:v>
                </c:pt>
                <c:pt idx="723" formatCode="#,##0.000">
                  <c:v>1.0626913437795575</c:v>
                </c:pt>
                <c:pt idx="724" formatCode="#,##0.000">
                  <c:v>1.0626913437795575</c:v>
                </c:pt>
                <c:pt idx="725" formatCode="#,##0.000">
                  <c:v>1.0626913437795575</c:v>
                </c:pt>
                <c:pt idx="726" formatCode="#,##0.000">
                  <c:v>1.0626913437795575</c:v>
                </c:pt>
                <c:pt idx="727" formatCode="#,##0.000">
                  <c:v>1.0626913437795575</c:v>
                </c:pt>
                <c:pt idx="728" formatCode="#,##0.000">
                  <c:v>1.0626913437795575</c:v>
                </c:pt>
                <c:pt idx="729" formatCode="#,##0.000">
                  <c:v>1.0626913437795575</c:v>
                </c:pt>
                <c:pt idx="730" formatCode="#,##0.000">
                  <c:v>1.0626913437795575</c:v>
                </c:pt>
                <c:pt idx="731" formatCode="#,##0.000">
                  <c:v>1.0626913437795575</c:v>
                </c:pt>
                <c:pt idx="732" formatCode="#,##0.000">
                  <c:v>1.0626913437795575</c:v>
                </c:pt>
                <c:pt idx="733" formatCode="#,##0.000">
                  <c:v>1.0626913437795575</c:v>
                </c:pt>
                <c:pt idx="734" formatCode="#,##0.000">
                  <c:v>1.0626913437795575</c:v>
                </c:pt>
                <c:pt idx="735" formatCode="#,##0.000">
                  <c:v>1.0626913437795575</c:v>
                </c:pt>
                <c:pt idx="736" formatCode="#,##0.000">
                  <c:v>1.0626913437795575</c:v>
                </c:pt>
                <c:pt idx="737" formatCode="#,##0.000">
                  <c:v>1.0626913437795575</c:v>
                </c:pt>
                <c:pt idx="738" formatCode="#,##0.000">
                  <c:v>1.0626913437795575</c:v>
                </c:pt>
                <c:pt idx="739" formatCode="#,##0.000">
                  <c:v>1.0626913437795575</c:v>
                </c:pt>
                <c:pt idx="740" formatCode="#,##0.000">
                  <c:v>1.0626913437795575</c:v>
                </c:pt>
                <c:pt idx="741" formatCode="#,##0.000">
                  <c:v>1.0626913437795575</c:v>
                </c:pt>
                <c:pt idx="742" formatCode="#,##0.000">
                  <c:v>1.0626913437795575</c:v>
                </c:pt>
                <c:pt idx="743" formatCode="#,##0.000">
                  <c:v>1.0626913437795575</c:v>
                </c:pt>
                <c:pt idx="744" formatCode="#,##0.000">
                  <c:v>1.0626913437795575</c:v>
                </c:pt>
                <c:pt idx="745" formatCode="#,##0.000">
                  <c:v>1.0626913437795575</c:v>
                </c:pt>
                <c:pt idx="746" formatCode="#,##0.000">
                  <c:v>1.0626913437795575</c:v>
                </c:pt>
                <c:pt idx="747" formatCode="#,##0.000">
                  <c:v>1.0626913437795575</c:v>
                </c:pt>
                <c:pt idx="748" formatCode="#,##0.000">
                  <c:v>1.0626913437795575</c:v>
                </c:pt>
                <c:pt idx="749" formatCode="#,##0.000">
                  <c:v>1.0626913437795575</c:v>
                </c:pt>
                <c:pt idx="750" formatCode="#,##0.000">
                  <c:v>1.0626913437795575</c:v>
                </c:pt>
                <c:pt idx="751" formatCode="#,##0.000">
                  <c:v>1.0626913437795575</c:v>
                </c:pt>
                <c:pt idx="752" formatCode="#,##0.000">
                  <c:v>1.0626913437795575</c:v>
                </c:pt>
                <c:pt idx="753" formatCode="#,##0.000">
                  <c:v>1.0626913437795575</c:v>
                </c:pt>
                <c:pt idx="754" formatCode="#,##0.000">
                  <c:v>1.0626913437795575</c:v>
                </c:pt>
                <c:pt idx="755" formatCode="#,##0.000">
                  <c:v>1.0626913437795575</c:v>
                </c:pt>
                <c:pt idx="756" formatCode="#,##0.000">
                  <c:v>1.0626913437795575</c:v>
                </c:pt>
                <c:pt idx="757" formatCode="#,##0.000">
                  <c:v>1.0626913437795575</c:v>
                </c:pt>
                <c:pt idx="758" formatCode="#,##0.000">
                  <c:v>1.0626913437795575</c:v>
                </c:pt>
                <c:pt idx="759" formatCode="#,##0.000">
                  <c:v>1.0626913437795575</c:v>
                </c:pt>
                <c:pt idx="760" formatCode="#,##0.000">
                  <c:v>1.0626913437795575</c:v>
                </c:pt>
                <c:pt idx="761" formatCode="#,##0.000">
                  <c:v>1.0626913437795575</c:v>
                </c:pt>
                <c:pt idx="762" formatCode="#,##0.000">
                  <c:v>1.0626913437795575</c:v>
                </c:pt>
                <c:pt idx="763" formatCode="#,##0.000">
                  <c:v>1.0626913437795575</c:v>
                </c:pt>
                <c:pt idx="764" formatCode="#,##0.000">
                  <c:v>1.0626913437795575</c:v>
                </c:pt>
                <c:pt idx="765" formatCode="#,##0.000">
                  <c:v>1.0626913437795575</c:v>
                </c:pt>
                <c:pt idx="766" formatCode="#,##0.000">
                  <c:v>1.0626913437795575</c:v>
                </c:pt>
                <c:pt idx="767" formatCode="#,##0.000">
                  <c:v>1.0626913437795575</c:v>
                </c:pt>
                <c:pt idx="768" formatCode="#,##0.000">
                  <c:v>1.0626913437795575</c:v>
                </c:pt>
                <c:pt idx="769" formatCode="#,##0.000">
                  <c:v>1.0626913437795575</c:v>
                </c:pt>
                <c:pt idx="770" formatCode="#,##0.000">
                  <c:v>1.0626913437795575</c:v>
                </c:pt>
                <c:pt idx="771" formatCode="#,##0.000">
                  <c:v>1.0626913437795575</c:v>
                </c:pt>
                <c:pt idx="772" formatCode="#,##0.000">
                  <c:v>1.0626913437795575</c:v>
                </c:pt>
                <c:pt idx="773" formatCode="#,##0.000">
                  <c:v>1.0626913437795575</c:v>
                </c:pt>
                <c:pt idx="774" formatCode="#,##0.000">
                  <c:v>1.0626913437795575</c:v>
                </c:pt>
                <c:pt idx="775" formatCode="#,##0.000">
                  <c:v>1.0626913437795575</c:v>
                </c:pt>
                <c:pt idx="776" formatCode="#,##0.000">
                  <c:v>1.0626913437795575</c:v>
                </c:pt>
                <c:pt idx="777" formatCode="#,##0.000">
                  <c:v>1.0626913437795575</c:v>
                </c:pt>
                <c:pt idx="778" formatCode="#,##0.000">
                  <c:v>1.0626913437795575</c:v>
                </c:pt>
                <c:pt idx="779" formatCode="#,##0.000">
                  <c:v>1.0626913437795575</c:v>
                </c:pt>
                <c:pt idx="780" formatCode="#,##0.000">
                  <c:v>1.0626913437795575</c:v>
                </c:pt>
                <c:pt idx="781" formatCode="#,##0.000">
                  <c:v>1.0626913437795575</c:v>
                </c:pt>
                <c:pt idx="782" formatCode="#,##0.000">
                  <c:v>1.0626913437795575</c:v>
                </c:pt>
                <c:pt idx="783" formatCode="#,##0.000">
                  <c:v>1.0626913437795575</c:v>
                </c:pt>
                <c:pt idx="784" formatCode="#,##0.000">
                  <c:v>1.0626913437795575</c:v>
                </c:pt>
                <c:pt idx="785" formatCode="#,##0.000">
                  <c:v>1.0626913437795575</c:v>
                </c:pt>
                <c:pt idx="786" formatCode="#,##0.000">
                  <c:v>1.0626913437795575</c:v>
                </c:pt>
                <c:pt idx="787" formatCode="#,##0.000">
                  <c:v>1.0626913437795575</c:v>
                </c:pt>
                <c:pt idx="788" formatCode="#,##0.000">
                  <c:v>1.0626913437795575</c:v>
                </c:pt>
                <c:pt idx="789" formatCode="#,##0.000">
                  <c:v>1.0626913437795575</c:v>
                </c:pt>
                <c:pt idx="790" formatCode="#,##0.000">
                  <c:v>1.0626913437795575</c:v>
                </c:pt>
                <c:pt idx="791" formatCode="#,##0.000">
                  <c:v>1.0626913437795575</c:v>
                </c:pt>
                <c:pt idx="792" formatCode="#,##0.000">
                  <c:v>1.0626913437795575</c:v>
                </c:pt>
                <c:pt idx="793" formatCode="#,##0.000">
                  <c:v>1.0626913437795575</c:v>
                </c:pt>
                <c:pt idx="794" formatCode="#,##0.000">
                  <c:v>1.0626913437795575</c:v>
                </c:pt>
                <c:pt idx="795" formatCode="#,##0.000">
                  <c:v>1.0626913437795575</c:v>
                </c:pt>
                <c:pt idx="796" formatCode="#,##0.000">
                  <c:v>1.0626913437795575</c:v>
                </c:pt>
                <c:pt idx="797" formatCode="#,##0.000">
                  <c:v>1.0626913437795575</c:v>
                </c:pt>
                <c:pt idx="798" formatCode="#,##0.000">
                  <c:v>1.0626913437795575</c:v>
                </c:pt>
                <c:pt idx="799" formatCode="#,##0.000">
                  <c:v>1.0626913437795575</c:v>
                </c:pt>
                <c:pt idx="800" formatCode="#,##0.000">
                  <c:v>1.0626913437795575</c:v>
                </c:pt>
                <c:pt idx="801" formatCode="#,##0.000">
                  <c:v>1.0626913437795575</c:v>
                </c:pt>
                <c:pt idx="802" formatCode="#,##0.000">
                  <c:v>1.0626913437795575</c:v>
                </c:pt>
                <c:pt idx="803" formatCode="#,##0.000">
                  <c:v>1.0626913437795575</c:v>
                </c:pt>
                <c:pt idx="804" formatCode="#,##0.000">
                  <c:v>1.0626913437795575</c:v>
                </c:pt>
                <c:pt idx="805" formatCode="#,##0.000">
                  <c:v>1.0626913437795575</c:v>
                </c:pt>
                <c:pt idx="806" formatCode="#,##0.000">
                  <c:v>1.0626913437795575</c:v>
                </c:pt>
                <c:pt idx="807" formatCode="#,##0.000">
                  <c:v>1.0626913437795575</c:v>
                </c:pt>
                <c:pt idx="808" formatCode="#,##0.000">
                  <c:v>1.0626913437795575</c:v>
                </c:pt>
                <c:pt idx="809" formatCode="#,##0.000">
                  <c:v>1.0626913437795575</c:v>
                </c:pt>
                <c:pt idx="810" formatCode="#,##0.000">
                  <c:v>1.0626913437795575</c:v>
                </c:pt>
                <c:pt idx="811" formatCode="#,##0.000">
                  <c:v>1.0626913437795575</c:v>
                </c:pt>
                <c:pt idx="812" formatCode="#,##0.000">
                  <c:v>1.0626913437795575</c:v>
                </c:pt>
                <c:pt idx="813" formatCode="#,##0.000">
                  <c:v>1.0626913437795575</c:v>
                </c:pt>
                <c:pt idx="814" formatCode="#,##0.000">
                  <c:v>1.0626913437795575</c:v>
                </c:pt>
                <c:pt idx="815" formatCode="#,##0.000">
                  <c:v>1.0626913437795575</c:v>
                </c:pt>
                <c:pt idx="816" formatCode="#,##0.000">
                  <c:v>1.0626913437795575</c:v>
                </c:pt>
                <c:pt idx="817" formatCode="#,##0.000">
                  <c:v>1.0626913437795575</c:v>
                </c:pt>
                <c:pt idx="818" formatCode="#,##0.000">
                  <c:v>1.0626913437795575</c:v>
                </c:pt>
                <c:pt idx="819" formatCode="#,##0.000">
                  <c:v>1.0626913437795575</c:v>
                </c:pt>
                <c:pt idx="820" formatCode="#,##0.000">
                  <c:v>1.0626913437795575</c:v>
                </c:pt>
                <c:pt idx="821" formatCode="#,##0.000">
                  <c:v>1.0626913437795575</c:v>
                </c:pt>
                <c:pt idx="822" formatCode="#,##0.000">
                  <c:v>1.0626913437795575</c:v>
                </c:pt>
                <c:pt idx="823" formatCode="#,##0.000">
                  <c:v>1.0626913437795575</c:v>
                </c:pt>
                <c:pt idx="824" formatCode="#,##0.000">
                  <c:v>1.0626913437795575</c:v>
                </c:pt>
                <c:pt idx="825" formatCode="#,##0.000">
                  <c:v>1.0626913437795575</c:v>
                </c:pt>
                <c:pt idx="826" formatCode="#,##0.000">
                  <c:v>1.0626913437795575</c:v>
                </c:pt>
                <c:pt idx="827" formatCode="#,##0.000">
                  <c:v>1.0626913437795575</c:v>
                </c:pt>
                <c:pt idx="828" formatCode="#,##0.000">
                  <c:v>1.0626913437795575</c:v>
                </c:pt>
                <c:pt idx="829" formatCode="#,##0.000">
                  <c:v>1.0626913437795575</c:v>
                </c:pt>
                <c:pt idx="830" formatCode="#,##0.000">
                  <c:v>1.0626913437795575</c:v>
                </c:pt>
                <c:pt idx="831" formatCode="#,##0.000">
                  <c:v>1.0626913437795575</c:v>
                </c:pt>
                <c:pt idx="832" formatCode="#,##0.000">
                  <c:v>1.0626913437795575</c:v>
                </c:pt>
                <c:pt idx="833" formatCode="#,##0.000">
                  <c:v>1.0626913437795575</c:v>
                </c:pt>
                <c:pt idx="834" formatCode="#,##0.000">
                  <c:v>1.0626913437795575</c:v>
                </c:pt>
                <c:pt idx="835" formatCode="#,##0.000">
                  <c:v>1.0626913437795575</c:v>
                </c:pt>
                <c:pt idx="836" formatCode="#,##0.000">
                  <c:v>1.0626913437795575</c:v>
                </c:pt>
                <c:pt idx="837" formatCode="#,##0.000">
                  <c:v>1.0626913437795575</c:v>
                </c:pt>
                <c:pt idx="838" formatCode="#,##0.000">
                  <c:v>1.0626913437795575</c:v>
                </c:pt>
                <c:pt idx="839" formatCode="#,##0.000">
                  <c:v>1.0626913437795575</c:v>
                </c:pt>
                <c:pt idx="840" formatCode="#,##0.000">
                  <c:v>1.0626913437795575</c:v>
                </c:pt>
                <c:pt idx="841" formatCode="#,##0.000">
                  <c:v>1.0626913437795575</c:v>
                </c:pt>
                <c:pt idx="842" formatCode="#,##0.000">
                  <c:v>1.0626913437795575</c:v>
                </c:pt>
                <c:pt idx="843" formatCode="#,##0.000">
                  <c:v>1.0626913437795575</c:v>
                </c:pt>
                <c:pt idx="844" formatCode="#,##0.000">
                  <c:v>1.0626913437795575</c:v>
                </c:pt>
                <c:pt idx="845" formatCode="#,##0.000">
                  <c:v>1.0626913437795575</c:v>
                </c:pt>
                <c:pt idx="846" formatCode="#,##0.000">
                  <c:v>1.0626913437795575</c:v>
                </c:pt>
                <c:pt idx="847" formatCode="#,##0.000">
                  <c:v>1.0626913437795575</c:v>
                </c:pt>
                <c:pt idx="848" formatCode="#,##0.000">
                  <c:v>1.0626913437795575</c:v>
                </c:pt>
                <c:pt idx="849" formatCode="#,##0.000">
                  <c:v>1.0626913437795575</c:v>
                </c:pt>
                <c:pt idx="850" formatCode="#,##0.000">
                  <c:v>1.0626913437795575</c:v>
                </c:pt>
                <c:pt idx="851" formatCode="#,##0.000">
                  <c:v>1.0626913437795575</c:v>
                </c:pt>
                <c:pt idx="852" formatCode="#,##0.000">
                  <c:v>1.0626913437795575</c:v>
                </c:pt>
                <c:pt idx="853" formatCode="#,##0.000">
                  <c:v>1.0626913437795575</c:v>
                </c:pt>
                <c:pt idx="854" formatCode="#,##0.000">
                  <c:v>1.0626913437795575</c:v>
                </c:pt>
                <c:pt idx="855" formatCode="#,##0.000">
                  <c:v>1.0626913437795575</c:v>
                </c:pt>
                <c:pt idx="856" formatCode="#,##0.000">
                  <c:v>1.0626913437795575</c:v>
                </c:pt>
                <c:pt idx="857" formatCode="#,##0.000">
                  <c:v>1.0626913437795575</c:v>
                </c:pt>
                <c:pt idx="858" formatCode="#,##0.000">
                  <c:v>1.0626913437795575</c:v>
                </c:pt>
                <c:pt idx="859" formatCode="#,##0.000">
                  <c:v>1.0626913437795575</c:v>
                </c:pt>
                <c:pt idx="860" formatCode="#,##0.000">
                  <c:v>1.0626913437795575</c:v>
                </c:pt>
                <c:pt idx="861" formatCode="#,##0.000">
                  <c:v>1.0626913437795575</c:v>
                </c:pt>
                <c:pt idx="862" formatCode="#,##0.000">
                  <c:v>1.0626913437795575</c:v>
                </c:pt>
                <c:pt idx="863" formatCode="#,##0.000">
                  <c:v>1.0626913437795575</c:v>
                </c:pt>
                <c:pt idx="864" formatCode="#,##0.000">
                  <c:v>1.0626913437795575</c:v>
                </c:pt>
                <c:pt idx="865" formatCode="#,##0.000">
                  <c:v>1.0626913437795575</c:v>
                </c:pt>
                <c:pt idx="866" formatCode="#,##0.000">
                  <c:v>1.0626913437795575</c:v>
                </c:pt>
                <c:pt idx="867" formatCode="#,##0.000">
                  <c:v>1.0626913437795575</c:v>
                </c:pt>
                <c:pt idx="868" formatCode="#,##0.000">
                  <c:v>1.0626913437795575</c:v>
                </c:pt>
                <c:pt idx="869" formatCode="#,##0.000">
                  <c:v>1.0626913437795575</c:v>
                </c:pt>
                <c:pt idx="870" formatCode="#,##0.000">
                  <c:v>1.0626913437795575</c:v>
                </c:pt>
                <c:pt idx="871" formatCode="#,##0.000">
                  <c:v>1.0626913437795575</c:v>
                </c:pt>
                <c:pt idx="872" formatCode="#,##0.000">
                  <c:v>1.0626913437795575</c:v>
                </c:pt>
                <c:pt idx="873" formatCode="#,##0.000">
                  <c:v>1.0626913437795575</c:v>
                </c:pt>
                <c:pt idx="874" formatCode="#,##0.000">
                  <c:v>1.0626913437795575</c:v>
                </c:pt>
                <c:pt idx="875" formatCode="#,##0.000">
                  <c:v>1.0626913437795575</c:v>
                </c:pt>
                <c:pt idx="876" formatCode="#,##0.000">
                  <c:v>1.0626913437795575</c:v>
                </c:pt>
                <c:pt idx="877" formatCode="#,##0.000">
                  <c:v>1.0626913437795575</c:v>
                </c:pt>
                <c:pt idx="878" formatCode="#,##0.000">
                  <c:v>1.0626913437795575</c:v>
                </c:pt>
                <c:pt idx="879" formatCode="#,##0.000">
                  <c:v>1.0626913437795575</c:v>
                </c:pt>
                <c:pt idx="880" formatCode="#,##0.000">
                  <c:v>1.0626913437795575</c:v>
                </c:pt>
                <c:pt idx="881" formatCode="#,##0.000">
                  <c:v>1.0626913437795575</c:v>
                </c:pt>
                <c:pt idx="882" formatCode="#,##0.000">
                  <c:v>1.0626913437795575</c:v>
                </c:pt>
                <c:pt idx="883" formatCode="#,##0.000">
                  <c:v>1.0626913437795575</c:v>
                </c:pt>
                <c:pt idx="884" formatCode="#,##0.000">
                  <c:v>1.0626913437795575</c:v>
                </c:pt>
                <c:pt idx="885" formatCode="#,##0.000">
                  <c:v>1.0626913437795575</c:v>
                </c:pt>
                <c:pt idx="886" formatCode="#,##0.000">
                  <c:v>1.0626913437795575</c:v>
                </c:pt>
                <c:pt idx="887" formatCode="#,##0.000">
                  <c:v>1.0626913437795575</c:v>
                </c:pt>
                <c:pt idx="888" formatCode="#,##0.000">
                  <c:v>1.0626913437795575</c:v>
                </c:pt>
                <c:pt idx="889" formatCode="#,##0.000">
                  <c:v>1.0626913437795575</c:v>
                </c:pt>
                <c:pt idx="890" formatCode="#,##0.000">
                  <c:v>1.0626913437795575</c:v>
                </c:pt>
                <c:pt idx="891" formatCode="#,##0.000">
                  <c:v>1.0626913437795575</c:v>
                </c:pt>
                <c:pt idx="892" formatCode="#,##0.000">
                  <c:v>1.0626913437795575</c:v>
                </c:pt>
                <c:pt idx="893" formatCode="#,##0.000">
                  <c:v>1.0626913437795575</c:v>
                </c:pt>
                <c:pt idx="894" formatCode="#,##0.000">
                  <c:v>1.0626913437795575</c:v>
                </c:pt>
                <c:pt idx="895" formatCode="#,##0.000">
                  <c:v>1.0626913437795575</c:v>
                </c:pt>
                <c:pt idx="896" formatCode="#,##0.000">
                  <c:v>1.0626913437795575</c:v>
                </c:pt>
                <c:pt idx="897" formatCode="#,##0.000">
                  <c:v>1.0626913437795575</c:v>
                </c:pt>
                <c:pt idx="898" formatCode="#,##0.000">
                  <c:v>1.0626913437795575</c:v>
                </c:pt>
                <c:pt idx="899" formatCode="#,##0.000">
                  <c:v>1.0626913437795575</c:v>
                </c:pt>
                <c:pt idx="900" formatCode="#,##0.000">
                  <c:v>1.0626913437795575</c:v>
                </c:pt>
                <c:pt idx="901" formatCode="#,##0.000">
                  <c:v>1.0626913437795575</c:v>
                </c:pt>
                <c:pt idx="902" formatCode="#,##0.000">
                  <c:v>1.0626913437795575</c:v>
                </c:pt>
                <c:pt idx="903" formatCode="#,##0.000">
                  <c:v>1.0626913437795575</c:v>
                </c:pt>
                <c:pt idx="904" formatCode="#,##0.000">
                  <c:v>1.0626913437795575</c:v>
                </c:pt>
                <c:pt idx="905" formatCode="#,##0.000">
                  <c:v>1.0626913437795575</c:v>
                </c:pt>
                <c:pt idx="906" formatCode="#,##0.000">
                  <c:v>1.0626913437795575</c:v>
                </c:pt>
                <c:pt idx="907" formatCode="#,##0.000">
                  <c:v>1.0626913437795575</c:v>
                </c:pt>
                <c:pt idx="908" formatCode="#,##0.000">
                  <c:v>1.0626913437795575</c:v>
                </c:pt>
                <c:pt idx="909" formatCode="#,##0.000">
                  <c:v>1.0626913437795575</c:v>
                </c:pt>
                <c:pt idx="910" formatCode="#,##0.000">
                  <c:v>1.0626913437795575</c:v>
                </c:pt>
                <c:pt idx="911" formatCode="#,##0.000">
                  <c:v>1.0626913437795575</c:v>
                </c:pt>
                <c:pt idx="912" formatCode="#,##0.000">
                  <c:v>1.0626913437795575</c:v>
                </c:pt>
                <c:pt idx="913" formatCode="#,##0.000">
                  <c:v>1.0626913437795575</c:v>
                </c:pt>
                <c:pt idx="914" formatCode="#,##0.000">
                  <c:v>1.0626913437795575</c:v>
                </c:pt>
                <c:pt idx="915" formatCode="#,##0.000">
                  <c:v>1.0626913437795575</c:v>
                </c:pt>
                <c:pt idx="916" formatCode="#,##0.000">
                  <c:v>1.0626913437795575</c:v>
                </c:pt>
                <c:pt idx="917" formatCode="#,##0.000">
                  <c:v>1.0626913437795575</c:v>
                </c:pt>
                <c:pt idx="918" formatCode="#,##0.000">
                  <c:v>1.0626913437795575</c:v>
                </c:pt>
                <c:pt idx="919" formatCode="#,##0.000">
                  <c:v>1.0626913437795575</c:v>
                </c:pt>
                <c:pt idx="920" formatCode="#,##0.000">
                  <c:v>1.0626913437795575</c:v>
                </c:pt>
                <c:pt idx="921" formatCode="#,##0.000">
                  <c:v>1.0626913437795575</c:v>
                </c:pt>
                <c:pt idx="922" formatCode="#,##0.000">
                  <c:v>1.0626913437795575</c:v>
                </c:pt>
                <c:pt idx="923" formatCode="#,##0.000">
                  <c:v>1.0626913437795575</c:v>
                </c:pt>
                <c:pt idx="924" formatCode="#,##0.000">
                  <c:v>1.0626913437795575</c:v>
                </c:pt>
                <c:pt idx="925" formatCode="#,##0.000">
                  <c:v>1.0626913437795575</c:v>
                </c:pt>
                <c:pt idx="926" formatCode="#,##0.000">
                  <c:v>1.0626913437795575</c:v>
                </c:pt>
                <c:pt idx="927" formatCode="#,##0.000">
                  <c:v>1.0626913437795575</c:v>
                </c:pt>
                <c:pt idx="928" formatCode="#,##0.000">
                  <c:v>1.0626913437795575</c:v>
                </c:pt>
                <c:pt idx="929" formatCode="#,##0.000">
                  <c:v>1.0626913437795575</c:v>
                </c:pt>
                <c:pt idx="930" formatCode="#,##0.000">
                  <c:v>1.0626913437795575</c:v>
                </c:pt>
                <c:pt idx="931" formatCode="#,##0.000">
                  <c:v>1.0626913437795575</c:v>
                </c:pt>
                <c:pt idx="932" formatCode="#,##0.000">
                  <c:v>1.0626913437795575</c:v>
                </c:pt>
                <c:pt idx="933" formatCode="#,##0.000">
                  <c:v>1.0626913437795575</c:v>
                </c:pt>
                <c:pt idx="934" formatCode="#,##0.000">
                  <c:v>1.0626913437795575</c:v>
                </c:pt>
                <c:pt idx="935" formatCode="#,##0.000">
                  <c:v>1.0626913437795575</c:v>
                </c:pt>
                <c:pt idx="936" formatCode="#,##0.000">
                  <c:v>1.0626913437795575</c:v>
                </c:pt>
                <c:pt idx="937" formatCode="#,##0.000">
                  <c:v>1.0626913437795575</c:v>
                </c:pt>
                <c:pt idx="938" formatCode="#,##0.000">
                  <c:v>1.0626913437795575</c:v>
                </c:pt>
                <c:pt idx="939" formatCode="#,##0.000">
                  <c:v>1.0626913437795575</c:v>
                </c:pt>
                <c:pt idx="940" formatCode="#,##0.000">
                  <c:v>1.0626913437795575</c:v>
                </c:pt>
                <c:pt idx="941" formatCode="#,##0.000">
                  <c:v>1.0626913437795575</c:v>
                </c:pt>
                <c:pt idx="942" formatCode="#,##0.000">
                  <c:v>1.0626913437795575</c:v>
                </c:pt>
                <c:pt idx="943" formatCode="#,##0.000">
                  <c:v>1.0626913437795575</c:v>
                </c:pt>
                <c:pt idx="944" formatCode="#,##0.000">
                  <c:v>1.0626913437795575</c:v>
                </c:pt>
                <c:pt idx="945" formatCode="#,##0.000">
                  <c:v>1.0626913437795575</c:v>
                </c:pt>
                <c:pt idx="946" formatCode="#,##0.000">
                  <c:v>1.0626913437795575</c:v>
                </c:pt>
                <c:pt idx="947" formatCode="#,##0.000">
                  <c:v>1.0626913437795575</c:v>
                </c:pt>
                <c:pt idx="948" formatCode="#,##0.000">
                  <c:v>1.0626913437795575</c:v>
                </c:pt>
                <c:pt idx="949" formatCode="#,##0.000">
                  <c:v>1.0626913437795575</c:v>
                </c:pt>
                <c:pt idx="950" formatCode="#,##0.000">
                  <c:v>1.0626913437795575</c:v>
                </c:pt>
                <c:pt idx="951" formatCode="#,##0.000">
                  <c:v>1.0626913437795575</c:v>
                </c:pt>
                <c:pt idx="952" formatCode="#,##0.000">
                  <c:v>1.0626913437795575</c:v>
                </c:pt>
                <c:pt idx="953" formatCode="#,##0.000">
                  <c:v>1.0626913437795575</c:v>
                </c:pt>
                <c:pt idx="954" formatCode="#,##0.000">
                  <c:v>1.0626913437795575</c:v>
                </c:pt>
                <c:pt idx="955" formatCode="#,##0.000">
                  <c:v>1.0626913437795575</c:v>
                </c:pt>
                <c:pt idx="956" formatCode="#,##0.000">
                  <c:v>1.0626913437795575</c:v>
                </c:pt>
                <c:pt idx="957" formatCode="#,##0.000">
                  <c:v>1.0626913437795575</c:v>
                </c:pt>
                <c:pt idx="958" formatCode="#,##0.000">
                  <c:v>1.0626913437795575</c:v>
                </c:pt>
                <c:pt idx="959" formatCode="#,##0.000">
                  <c:v>1.0626913437795575</c:v>
                </c:pt>
                <c:pt idx="960" formatCode="#,##0.000">
                  <c:v>1.0626913437795575</c:v>
                </c:pt>
                <c:pt idx="961" formatCode="#,##0.000">
                  <c:v>1.0626913437795575</c:v>
                </c:pt>
                <c:pt idx="962" formatCode="#,##0.000">
                  <c:v>1.0626913437795575</c:v>
                </c:pt>
                <c:pt idx="963" formatCode="#,##0.000">
                  <c:v>1.0626913437795575</c:v>
                </c:pt>
                <c:pt idx="964" formatCode="#,##0.000">
                  <c:v>1.0626913437795575</c:v>
                </c:pt>
                <c:pt idx="965" formatCode="#,##0.000">
                  <c:v>1.0626913437795575</c:v>
                </c:pt>
                <c:pt idx="966" formatCode="#,##0.000">
                  <c:v>1.0626913437795575</c:v>
                </c:pt>
                <c:pt idx="967" formatCode="#,##0.000">
                  <c:v>1.0626913437795575</c:v>
                </c:pt>
                <c:pt idx="968" formatCode="#,##0.000">
                  <c:v>1.0626913437795575</c:v>
                </c:pt>
                <c:pt idx="969" formatCode="#,##0.000">
                  <c:v>1.0626913437795575</c:v>
                </c:pt>
                <c:pt idx="970" formatCode="#,##0.000">
                  <c:v>1.0626913437795575</c:v>
                </c:pt>
                <c:pt idx="971" formatCode="#,##0.000">
                  <c:v>1.0626913437795575</c:v>
                </c:pt>
                <c:pt idx="972" formatCode="#,##0.000">
                  <c:v>1.0626913437795575</c:v>
                </c:pt>
                <c:pt idx="973" formatCode="#,##0.000">
                  <c:v>1.0626913437795575</c:v>
                </c:pt>
                <c:pt idx="974" formatCode="#,##0.000">
                  <c:v>1.0626913437795575</c:v>
                </c:pt>
                <c:pt idx="975" formatCode="#,##0.000">
                  <c:v>1.0626913437795575</c:v>
                </c:pt>
                <c:pt idx="976" formatCode="#,##0.000">
                  <c:v>1.0626913437795575</c:v>
                </c:pt>
                <c:pt idx="977" formatCode="#,##0.000">
                  <c:v>1.0626913437795575</c:v>
                </c:pt>
                <c:pt idx="978" formatCode="#,##0.000">
                  <c:v>1.0626913437795575</c:v>
                </c:pt>
                <c:pt idx="979" formatCode="#,##0.000">
                  <c:v>1.0626913437795575</c:v>
                </c:pt>
                <c:pt idx="980" formatCode="#,##0.000">
                  <c:v>1.0626913437795575</c:v>
                </c:pt>
                <c:pt idx="981" formatCode="#,##0.000">
                  <c:v>1.0626913437795575</c:v>
                </c:pt>
                <c:pt idx="982" formatCode="#,##0.000">
                  <c:v>1.0626913437795575</c:v>
                </c:pt>
                <c:pt idx="983" formatCode="#,##0.000">
                  <c:v>1.0626913437795575</c:v>
                </c:pt>
                <c:pt idx="984" formatCode="#,##0.000">
                  <c:v>1.0626913437795575</c:v>
                </c:pt>
                <c:pt idx="985" formatCode="#,##0.000">
                  <c:v>1.0626913437795575</c:v>
                </c:pt>
                <c:pt idx="986" formatCode="#,##0.000">
                  <c:v>1.0626913437795575</c:v>
                </c:pt>
                <c:pt idx="987" formatCode="#,##0.000">
                  <c:v>1.0626913437795575</c:v>
                </c:pt>
                <c:pt idx="988" formatCode="#,##0.000">
                  <c:v>1.0626913437795575</c:v>
                </c:pt>
                <c:pt idx="989" formatCode="#,##0.000">
                  <c:v>1.0626913437795575</c:v>
                </c:pt>
                <c:pt idx="990" formatCode="#,##0.000">
                  <c:v>1.0626913437795575</c:v>
                </c:pt>
                <c:pt idx="991" formatCode="#,##0.000">
                  <c:v>1.0626913437795575</c:v>
                </c:pt>
                <c:pt idx="992" formatCode="#,##0.000">
                  <c:v>1.0626913437795575</c:v>
                </c:pt>
                <c:pt idx="993" formatCode="#,##0.000">
                  <c:v>1.0626913437795575</c:v>
                </c:pt>
                <c:pt idx="994" formatCode="#,##0.000">
                  <c:v>1.0626913437795575</c:v>
                </c:pt>
                <c:pt idx="995" formatCode="#,##0.000">
                  <c:v>1.0626913437795575</c:v>
                </c:pt>
                <c:pt idx="996" formatCode="#,##0.000">
                  <c:v>1.0626913437795575</c:v>
                </c:pt>
                <c:pt idx="997" formatCode="#,##0.000">
                  <c:v>1.0626913437795575</c:v>
                </c:pt>
                <c:pt idx="998" formatCode="#,##0.000">
                  <c:v>1.0626913437795575</c:v>
                </c:pt>
                <c:pt idx="999" formatCode="#,##0.000">
                  <c:v>1.0626913437795575</c:v>
                </c:pt>
                <c:pt idx="1000" formatCode="#,##0.000">
                  <c:v>1.0626913437795575</c:v>
                </c:pt>
                <c:pt idx="1001" formatCode="#,##0.000">
                  <c:v>1.0626913437795575</c:v>
                </c:pt>
                <c:pt idx="1002" formatCode="#,##0.000">
                  <c:v>1.0626913437795575</c:v>
                </c:pt>
                <c:pt idx="1003" formatCode="#,##0.000">
                  <c:v>1.0626913437795575</c:v>
                </c:pt>
                <c:pt idx="1004" formatCode="#,##0.000">
                  <c:v>1.0626913437795575</c:v>
                </c:pt>
                <c:pt idx="1005" formatCode="#,##0.000">
                  <c:v>1.0626913437795575</c:v>
                </c:pt>
                <c:pt idx="1006" formatCode="#,##0.000">
                  <c:v>1.0626913437795575</c:v>
                </c:pt>
                <c:pt idx="1007" formatCode="#,##0.000">
                  <c:v>1.0626913437795575</c:v>
                </c:pt>
                <c:pt idx="1008" formatCode="#,##0.000">
                  <c:v>1.0626913437795575</c:v>
                </c:pt>
                <c:pt idx="1009" formatCode="#,##0.000">
                  <c:v>1.0626913437795575</c:v>
                </c:pt>
                <c:pt idx="1010" formatCode="#,##0.000">
                  <c:v>1.0626913437795575</c:v>
                </c:pt>
                <c:pt idx="1011" formatCode="#,##0.000">
                  <c:v>1.0626913437795575</c:v>
                </c:pt>
                <c:pt idx="1012" formatCode="#,##0.000">
                  <c:v>1.0626913437795575</c:v>
                </c:pt>
                <c:pt idx="1013" formatCode="#,##0.000">
                  <c:v>1.0626913437795575</c:v>
                </c:pt>
                <c:pt idx="1014" formatCode="#,##0.000">
                  <c:v>1.0626913437795575</c:v>
                </c:pt>
                <c:pt idx="1015" formatCode="#,##0.000">
                  <c:v>1.0626913437795575</c:v>
                </c:pt>
                <c:pt idx="1016" formatCode="#,##0.000">
                  <c:v>1.0626913437795575</c:v>
                </c:pt>
                <c:pt idx="1017" formatCode="#,##0.000">
                  <c:v>1.0626913437795575</c:v>
                </c:pt>
                <c:pt idx="1018" formatCode="#,##0.000">
                  <c:v>1.0626913437795575</c:v>
                </c:pt>
                <c:pt idx="1019" formatCode="#,##0.000">
                  <c:v>1.0626913437795575</c:v>
                </c:pt>
                <c:pt idx="1020" formatCode="#,##0.000">
                  <c:v>1.0626913437795575</c:v>
                </c:pt>
                <c:pt idx="1021" formatCode="#,##0.000">
                  <c:v>1.0626913437795575</c:v>
                </c:pt>
                <c:pt idx="1022" formatCode="#,##0.000">
                  <c:v>1.0626913437795575</c:v>
                </c:pt>
                <c:pt idx="1023" formatCode="#,##0.000">
                  <c:v>1.0626913437795575</c:v>
                </c:pt>
                <c:pt idx="1024" formatCode="#,##0.000">
                  <c:v>1.0626913437795575</c:v>
                </c:pt>
                <c:pt idx="1025" formatCode="#,##0.000">
                  <c:v>1.0626913437795575</c:v>
                </c:pt>
                <c:pt idx="1026" formatCode="#,##0.000">
                  <c:v>1.0626913437795575</c:v>
                </c:pt>
                <c:pt idx="1027" formatCode="#,##0.000">
                  <c:v>1.0626913437795575</c:v>
                </c:pt>
                <c:pt idx="1028" formatCode="#,##0.000">
                  <c:v>1.0626913437795575</c:v>
                </c:pt>
                <c:pt idx="1029" formatCode="#,##0.000">
                  <c:v>1.0626913437795575</c:v>
                </c:pt>
                <c:pt idx="1030" formatCode="#,##0.000">
                  <c:v>1.0626913437795575</c:v>
                </c:pt>
                <c:pt idx="1031" formatCode="#,##0.000">
                  <c:v>1.0626913437795575</c:v>
                </c:pt>
                <c:pt idx="1032" formatCode="#,##0.000">
                  <c:v>1.0626913437795575</c:v>
                </c:pt>
                <c:pt idx="1033" formatCode="#,##0.000">
                  <c:v>1.0626913437795575</c:v>
                </c:pt>
                <c:pt idx="1034" formatCode="#,##0.000">
                  <c:v>1.0626913437795575</c:v>
                </c:pt>
                <c:pt idx="1035" formatCode="#,##0.000">
                  <c:v>1.0626913437795575</c:v>
                </c:pt>
                <c:pt idx="1036" formatCode="#,##0.000">
                  <c:v>1.0626913437795575</c:v>
                </c:pt>
                <c:pt idx="1037" formatCode="#,##0.000">
                  <c:v>1.0626913437795575</c:v>
                </c:pt>
                <c:pt idx="1038" formatCode="#,##0.000">
                  <c:v>1.0626913437795575</c:v>
                </c:pt>
                <c:pt idx="1039" formatCode="#,##0.000">
                  <c:v>1.0626913437795575</c:v>
                </c:pt>
                <c:pt idx="1040" formatCode="#,##0.000">
                  <c:v>1.0626913437795575</c:v>
                </c:pt>
                <c:pt idx="1041" formatCode="#,##0.000">
                  <c:v>1.0626913437795575</c:v>
                </c:pt>
                <c:pt idx="1042" formatCode="#,##0.000">
                  <c:v>1.0626913437795575</c:v>
                </c:pt>
                <c:pt idx="1043" formatCode="#,##0.000">
                  <c:v>1.0626913437795575</c:v>
                </c:pt>
                <c:pt idx="1044" formatCode="#,##0.000">
                  <c:v>1.0626913437795575</c:v>
                </c:pt>
                <c:pt idx="1045" formatCode="#,##0.000">
                  <c:v>1.0626913437795575</c:v>
                </c:pt>
                <c:pt idx="1046" formatCode="#,##0.000">
                  <c:v>1.0626913437795575</c:v>
                </c:pt>
                <c:pt idx="1047" formatCode="#,##0.000">
                  <c:v>1.0626913437795575</c:v>
                </c:pt>
                <c:pt idx="1048" formatCode="#,##0.000">
                  <c:v>1.0626913437795575</c:v>
                </c:pt>
                <c:pt idx="1049" formatCode="#,##0.000">
                  <c:v>1.0626913437795575</c:v>
                </c:pt>
                <c:pt idx="1050" formatCode="#,##0.000">
                  <c:v>1.0626913437795575</c:v>
                </c:pt>
                <c:pt idx="1051" formatCode="#,##0.000">
                  <c:v>1.0626913437795575</c:v>
                </c:pt>
                <c:pt idx="1052" formatCode="#,##0.000">
                  <c:v>1.0626913437795575</c:v>
                </c:pt>
                <c:pt idx="1053" formatCode="#,##0.000">
                  <c:v>1.0626913437795575</c:v>
                </c:pt>
                <c:pt idx="1054" formatCode="#,##0.000">
                  <c:v>1.0626913437795575</c:v>
                </c:pt>
                <c:pt idx="1055" formatCode="#,##0.000">
                  <c:v>1.0626913437795575</c:v>
                </c:pt>
                <c:pt idx="1056" formatCode="#,##0.000">
                  <c:v>1.0626913437795575</c:v>
                </c:pt>
                <c:pt idx="1057" formatCode="#,##0.000">
                  <c:v>1.0626913437795575</c:v>
                </c:pt>
                <c:pt idx="1058" formatCode="#,##0.000">
                  <c:v>1.0626913437795575</c:v>
                </c:pt>
                <c:pt idx="1059" formatCode="#,##0.000">
                  <c:v>1.0626913437795575</c:v>
                </c:pt>
                <c:pt idx="1060" formatCode="#,##0.000">
                  <c:v>1.0626913437795575</c:v>
                </c:pt>
                <c:pt idx="1061" formatCode="#,##0.000">
                  <c:v>1.0626913437795575</c:v>
                </c:pt>
                <c:pt idx="1062" formatCode="#,##0.000">
                  <c:v>1.0626913437795575</c:v>
                </c:pt>
                <c:pt idx="1063" formatCode="#,##0.000">
                  <c:v>1.0626913437795575</c:v>
                </c:pt>
                <c:pt idx="1064" formatCode="#,##0.000">
                  <c:v>1.0626913437795575</c:v>
                </c:pt>
                <c:pt idx="1065" formatCode="#,##0.000">
                  <c:v>1.0626913437795575</c:v>
                </c:pt>
                <c:pt idx="1066" formatCode="#,##0.000">
                  <c:v>1.0626913437795575</c:v>
                </c:pt>
                <c:pt idx="1067" formatCode="#,##0.000">
                  <c:v>1.0626913437795575</c:v>
                </c:pt>
                <c:pt idx="1068" formatCode="#,##0.000">
                  <c:v>1.0626913437795575</c:v>
                </c:pt>
                <c:pt idx="1069" formatCode="#,##0.000">
                  <c:v>1.0626913437795575</c:v>
                </c:pt>
                <c:pt idx="1070" formatCode="#,##0.000">
                  <c:v>1.0626913437795575</c:v>
                </c:pt>
                <c:pt idx="1071" formatCode="#,##0.000">
                  <c:v>1.0626913437795575</c:v>
                </c:pt>
                <c:pt idx="1072" formatCode="#,##0.000">
                  <c:v>1.0626913437795575</c:v>
                </c:pt>
                <c:pt idx="1073" formatCode="#,##0.000">
                  <c:v>1.0626913437795575</c:v>
                </c:pt>
                <c:pt idx="1074" formatCode="#,##0.000">
                  <c:v>1.0626913437795575</c:v>
                </c:pt>
                <c:pt idx="1075" formatCode="#,##0.000">
                  <c:v>1.0626913437795575</c:v>
                </c:pt>
                <c:pt idx="1076" formatCode="#,##0.000">
                  <c:v>1.0626913437795575</c:v>
                </c:pt>
                <c:pt idx="1077" formatCode="#,##0.000">
                  <c:v>1.0626913437795575</c:v>
                </c:pt>
                <c:pt idx="1078" formatCode="#,##0.000">
                  <c:v>1.0626913437795575</c:v>
                </c:pt>
                <c:pt idx="1079" formatCode="#,##0.000">
                  <c:v>1.0626913437795575</c:v>
                </c:pt>
                <c:pt idx="1080" formatCode="#,##0.000">
                  <c:v>1.0626913437795575</c:v>
                </c:pt>
                <c:pt idx="1081" formatCode="#,##0.000">
                  <c:v>1.0626913437795575</c:v>
                </c:pt>
                <c:pt idx="1082" formatCode="#,##0.000">
                  <c:v>1.0626913437795575</c:v>
                </c:pt>
                <c:pt idx="1083" formatCode="#,##0.000">
                  <c:v>1.0626913437795575</c:v>
                </c:pt>
                <c:pt idx="1084" formatCode="#,##0.000">
                  <c:v>1.0626913437795575</c:v>
                </c:pt>
                <c:pt idx="1085" formatCode="#,##0.000">
                  <c:v>1.0626913437795575</c:v>
                </c:pt>
                <c:pt idx="1086" formatCode="#,##0.000">
                  <c:v>1.0626913437795575</c:v>
                </c:pt>
                <c:pt idx="1087" formatCode="#,##0.000">
                  <c:v>1.0626913437795575</c:v>
                </c:pt>
                <c:pt idx="1088" formatCode="#,##0.000">
                  <c:v>1.0626913437795575</c:v>
                </c:pt>
                <c:pt idx="1089" formatCode="#,##0.000">
                  <c:v>1.0626913437795575</c:v>
                </c:pt>
                <c:pt idx="1090" formatCode="#,##0.000">
                  <c:v>1.0626913437795575</c:v>
                </c:pt>
                <c:pt idx="1091" formatCode="#,##0.000">
                  <c:v>1.0626913437795575</c:v>
                </c:pt>
                <c:pt idx="1092" formatCode="#,##0.000">
                  <c:v>1.0626913437795575</c:v>
                </c:pt>
                <c:pt idx="1093" formatCode="#,##0.000">
                  <c:v>1.0626913437795575</c:v>
                </c:pt>
                <c:pt idx="1094" formatCode="#,##0.000">
                  <c:v>1.0626913437795575</c:v>
                </c:pt>
                <c:pt idx="1095" formatCode="#,##0.000">
                  <c:v>1.0626913437795575</c:v>
                </c:pt>
                <c:pt idx="1096" formatCode="#,##0.000">
                  <c:v>1.0626913437795575</c:v>
                </c:pt>
                <c:pt idx="1097" formatCode="#,##0.000">
                  <c:v>1.0626913437795575</c:v>
                </c:pt>
                <c:pt idx="1098" formatCode="#,##0.000">
                  <c:v>1.0626913437795575</c:v>
                </c:pt>
                <c:pt idx="1099" formatCode="#,##0.000">
                  <c:v>#N/A</c:v>
                </c:pt>
                <c:pt idx="1100" formatCode="#,##0.000">
                  <c:v>#N/A</c:v>
                </c:pt>
                <c:pt idx="1101" formatCode="#,##0.000">
                  <c:v>#N/A</c:v>
                </c:pt>
                <c:pt idx="1102" formatCode="#,##0.000">
                  <c:v>#N/A</c:v>
                </c:pt>
                <c:pt idx="1103" formatCode="#,##0.000">
                  <c:v>#N/A</c:v>
                </c:pt>
                <c:pt idx="1104" formatCode="#,##0.000">
                  <c:v>#N/A</c:v>
                </c:pt>
                <c:pt idx="1105" formatCode="#,##0.000">
                  <c:v>#N/A</c:v>
                </c:pt>
                <c:pt idx="1106" formatCode="#,##0.000">
                  <c:v>#N/A</c:v>
                </c:pt>
                <c:pt idx="1107" formatCode="#,##0.000">
                  <c:v>#N/A</c:v>
                </c:pt>
                <c:pt idx="1108" formatCode="#,##0.000">
                  <c:v>#N/A</c:v>
                </c:pt>
                <c:pt idx="1109" formatCode="#,##0.000">
                  <c:v>#N/A</c:v>
                </c:pt>
                <c:pt idx="1110" formatCode="#,##0.000">
                  <c:v>#N/A</c:v>
                </c:pt>
                <c:pt idx="1111" formatCode="#,##0.000">
                  <c:v>#N/A</c:v>
                </c:pt>
                <c:pt idx="1112" formatCode="#,##0.000">
                  <c:v>#N/A</c:v>
                </c:pt>
                <c:pt idx="1113" formatCode="#,##0.000">
                  <c:v>#N/A</c:v>
                </c:pt>
                <c:pt idx="1114" formatCode="#,##0.000">
                  <c:v>#N/A</c:v>
                </c:pt>
                <c:pt idx="1115" formatCode="#,##0.000">
                  <c:v>#N/A</c:v>
                </c:pt>
                <c:pt idx="1116" formatCode="#,##0.000">
                  <c:v>#N/A</c:v>
                </c:pt>
                <c:pt idx="1117" formatCode="#,##0.000">
                  <c:v>#N/A</c:v>
                </c:pt>
                <c:pt idx="1118" formatCode="#,##0.000">
                  <c:v>#N/A</c:v>
                </c:pt>
                <c:pt idx="1119" formatCode="#,##0.000">
                  <c:v>#N/A</c:v>
                </c:pt>
                <c:pt idx="1120" formatCode="#,##0.000">
                  <c:v>#N/A</c:v>
                </c:pt>
                <c:pt idx="1121" formatCode="#,##0.000">
                  <c:v>#N/A</c:v>
                </c:pt>
                <c:pt idx="1122" formatCode="#,##0.000">
                  <c:v>#N/A</c:v>
                </c:pt>
                <c:pt idx="1123" formatCode="#,##0.000">
                  <c:v>#N/A</c:v>
                </c:pt>
                <c:pt idx="1124" formatCode="#,##0.000">
                  <c:v>#N/A</c:v>
                </c:pt>
                <c:pt idx="1125" formatCode="#,##0.000">
                  <c:v>#N/A</c:v>
                </c:pt>
                <c:pt idx="1126" formatCode="#,##0.000">
                  <c:v>#N/A</c:v>
                </c:pt>
                <c:pt idx="1127" formatCode="#,##0.000">
                  <c:v>#N/A</c:v>
                </c:pt>
                <c:pt idx="1128" formatCode="#,##0.000">
                  <c:v>#N/A</c:v>
                </c:pt>
                <c:pt idx="1129" formatCode="#,##0.000">
                  <c:v>#N/A</c:v>
                </c:pt>
                <c:pt idx="1130" formatCode="#,##0.000">
                  <c:v>#N/A</c:v>
                </c:pt>
                <c:pt idx="1131" formatCode="#,##0.000">
                  <c:v>#N/A</c:v>
                </c:pt>
                <c:pt idx="1132" formatCode="#,##0.000">
                  <c:v>#N/A</c:v>
                </c:pt>
                <c:pt idx="1133" formatCode="#,##0.000">
                  <c:v>#N/A</c:v>
                </c:pt>
                <c:pt idx="1134" formatCode="#,##0.000">
                  <c:v>#N/A</c:v>
                </c:pt>
                <c:pt idx="1135" formatCode="#,##0.000">
                  <c:v>#N/A</c:v>
                </c:pt>
                <c:pt idx="1136" formatCode="#,##0.000">
                  <c:v>#N/A</c:v>
                </c:pt>
                <c:pt idx="1137" formatCode="#,##0.000">
                  <c:v>#N/A</c:v>
                </c:pt>
                <c:pt idx="1138" formatCode="#,##0.000">
                  <c:v>#N/A</c:v>
                </c:pt>
                <c:pt idx="1139" formatCode="#,##0.000">
                  <c:v>#N/A</c:v>
                </c:pt>
                <c:pt idx="1140" formatCode="#,##0.000">
                  <c:v>#N/A</c:v>
                </c:pt>
                <c:pt idx="1141" formatCode="#,##0.000">
                  <c:v>#N/A</c:v>
                </c:pt>
                <c:pt idx="1142" formatCode="#,##0.000">
                  <c:v>#N/A</c:v>
                </c:pt>
                <c:pt idx="1143" formatCode="#,##0.000">
                  <c:v>#N/A</c:v>
                </c:pt>
                <c:pt idx="1144" formatCode="#,##0.000">
                  <c:v>#N/A</c:v>
                </c:pt>
                <c:pt idx="1145" formatCode="#,##0.000">
                  <c:v>#N/A</c:v>
                </c:pt>
                <c:pt idx="1146" formatCode="#,##0.000">
                  <c:v>#N/A</c:v>
                </c:pt>
                <c:pt idx="1147" formatCode="#,##0.000">
                  <c:v>#N/A</c:v>
                </c:pt>
                <c:pt idx="1148" formatCode="#,##0.000">
                  <c:v>#N/A</c:v>
                </c:pt>
                <c:pt idx="1149" formatCode="#,##0.000">
                  <c:v>#N/A</c:v>
                </c:pt>
                <c:pt idx="1150" formatCode="#,##0.000">
                  <c:v>#N/A</c:v>
                </c:pt>
                <c:pt idx="1151" formatCode="#,##0.000">
                  <c:v>#N/A</c:v>
                </c:pt>
                <c:pt idx="1152" formatCode="#,##0.000">
                  <c:v>#N/A</c:v>
                </c:pt>
                <c:pt idx="1153" formatCode="#,##0.000">
                  <c:v>#N/A</c:v>
                </c:pt>
                <c:pt idx="1154" formatCode="#,##0.000">
                  <c:v>#N/A</c:v>
                </c:pt>
                <c:pt idx="1155" formatCode="#,##0.000">
                  <c:v>#N/A</c:v>
                </c:pt>
                <c:pt idx="1156" formatCode="#,##0.000">
                  <c:v>#N/A</c:v>
                </c:pt>
                <c:pt idx="1157" formatCode="#,##0.000">
                  <c:v>#N/A</c:v>
                </c:pt>
                <c:pt idx="1158" formatCode="#,##0.000">
                  <c:v>#N/A</c:v>
                </c:pt>
                <c:pt idx="1159" formatCode="#,##0.000">
                  <c:v>#N/A</c:v>
                </c:pt>
                <c:pt idx="1160" formatCode="#,##0.000">
                  <c:v>#N/A</c:v>
                </c:pt>
                <c:pt idx="1161" formatCode="#,##0.000">
                  <c:v>#N/A</c:v>
                </c:pt>
                <c:pt idx="1162" formatCode="#,##0.000">
                  <c:v>#N/A</c:v>
                </c:pt>
                <c:pt idx="1163" formatCode="#,##0.000">
                  <c:v>#N/A</c:v>
                </c:pt>
                <c:pt idx="1164" formatCode="#,##0.000">
                  <c:v>#N/A</c:v>
                </c:pt>
                <c:pt idx="1165" formatCode="#,##0.000">
                  <c:v>#N/A</c:v>
                </c:pt>
                <c:pt idx="1166" formatCode="#,##0.000">
                  <c:v>#N/A</c:v>
                </c:pt>
                <c:pt idx="1167" formatCode="#,##0.000">
                  <c:v>#N/A</c:v>
                </c:pt>
                <c:pt idx="1168" formatCode="#,##0.000">
                  <c:v>#N/A</c:v>
                </c:pt>
                <c:pt idx="1169" formatCode="#,##0.000">
                  <c:v>#N/A</c:v>
                </c:pt>
                <c:pt idx="1170" formatCode="#,##0.000">
                  <c:v>#N/A</c:v>
                </c:pt>
                <c:pt idx="1171" formatCode="#,##0.000">
                  <c:v>#N/A</c:v>
                </c:pt>
                <c:pt idx="1172" formatCode="#,##0.000">
                  <c:v>#N/A</c:v>
                </c:pt>
                <c:pt idx="1173" formatCode="#,##0.000">
                  <c:v>#N/A</c:v>
                </c:pt>
                <c:pt idx="1174" formatCode="#,##0.000">
                  <c:v>#N/A</c:v>
                </c:pt>
                <c:pt idx="1175" formatCode="#,##0.000">
                  <c:v>#N/A</c:v>
                </c:pt>
                <c:pt idx="1176" formatCode="#,##0.000">
                  <c:v>#N/A</c:v>
                </c:pt>
                <c:pt idx="1177" formatCode="#,##0.000">
                  <c:v>#N/A</c:v>
                </c:pt>
                <c:pt idx="1178" formatCode="#,##0.000">
                  <c:v>#N/A</c:v>
                </c:pt>
                <c:pt idx="1179" formatCode="#,##0.000">
                  <c:v>#N/A</c:v>
                </c:pt>
                <c:pt idx="1180" formatCode="#,##0.000">
                  <c:v>#N/A</c:v>
                </c:pt>
                <c:pt idx="1181" formatCode="#,##0.000">
                  <c:v>#N/A</c:v>
                </c:pt>
                <c:pt idx="1182" formatCode="#,##0.000">
                  <c:v>#N/A</c:v>
                </c:pt>
                <c:pt idx="1183" formatCode="#,##0.000">
                  <c:v>#N/A</c:v>
                </c:pt>
                <c:pt idx="1184" formatCode="#,##0.000">
                  <c:v>#N/A</c:v>
                </c:pt>
                <c:pt idx="1185" formatCode="#,##0.000">
                  <c:v>#N/A</c:v>
                </c:pt>
                <c:pt idx="1186" formatCode="#,##0.000">
                  <c:v>#N/A</c:v>
                </c:pt>
                <c:pt idx="1187" formatCode="#,##0.000">
                  <c:v>#N/A</c:v>
                </c:pt>
                <c:pt idx="1188" formatCode="#,##0.000">
                  <c:v>#N/A</c:v>
                </c:pt>
                <c:pt idx="1189" formatCode="#,##0.000">
                  <c:v>#N/A</c:v>
                </c:pt>
                <c:pt idx="1190" formatCode="#,##0.000">
                  <c:v>#N/A</c:v>
                </c:pt>
                <c:pt idx="1191" formatCode="#,##0.000">
                  <c:v>#N/A</c:v>
                </c:pt>
                <c:pt idx="1192" formatCode="#,##0.000">
                  <c:v>#N/A</c:v>
                </c:pt>
                <c:pt idx="1193" formatCode="#,##0.000">
                  <c:v>#N/A</c:v>
                </c:pt>
                <c:pt idx="1194" formatCode="#,##0.000">
                  <c:v>#N/A</c:v>
                </c:pt>
                <c:pt idx="1195" formatCode="#,##0.000">
                  <c:v>#N/A</c:v>
                </c:pt>
                <c:pt idx="1196" formatCode="#,##0.000">
                  <c:v>#N/A</c:v>
                </c:pt>
                <c:pt idx="1197" formatCode="#,##0.000">
                  <c:v>#N/A</c:v>
                </c:pt>
                <c:pt idx="1198" formatCode="#,##0.000">
                  <c:v>#N/A</c:v>
                </c:pt>
                <c:pt idx="1199" formatCode="#,##0.000">
                  <c:v>#N/A</c:v>
                </c:pt>
                <c:pt idx="1200" formatCode="#,##0.000">
                  <c:v>#N/A</c:v>
                </c:pt>
                <c:pt idx="1201" formatCode="#,##0.000">
                  <c:v>#N/A</c:v>
                </c:pt>
                <c:pt idx="1202" formatCode="#,##0.000">
                  <c:v>#N/A</c:v>
                </c:pt>
                <c:pt idx="1203" formatCode="#,##0.000">
                  <c:v>#N/A</c:v>
                </c:pt>
                <c:pt idx="1204" formatCode="#,##0.000">
                  <c:v>#N/A</c:v>
                </c:pt>
                <c:pt idx="1205" formatCode="#,##0.000">
                  <c:v>#N/A</c:v>
                </c:pt>
                <c:pt idx="1206" formatCode="#,##0.000">
                  <c:v>#N/A</c:v>
                </c:pt>
                <c:pt idx="1207" formatCode="#,##0.000">
                  <c:v>#N/A</c:v>
                </c:pt>
                <c:pt idx="1208" formatCode="#,##0.000">
                  <c:v>#N/A</c:v>
                </c:pt>
                <c:pt idx="1209" formatCode="#,##0.000">
                  <c:v>#N/A</c:v>
                </c:pt>
                <c:pt idx="1210" formatCode="#,##0.000">
                  <c:v>#N/A</c:v>
                </c:pt>
                <c:pt idx="1211" formatCode="#,##0.000">
                  <c:v>#N/A</c:v>
                </c:pt>
                <c:pt idx="1212" formatCode="#,##0.000">
                  <c:v>#N/A</c:v>
                </c:pt>
                <c:pt idx="1213" formatCode="#,##0.000">
                  <c:v>#N/A</c:v>
                </c:pt>
                <c:pt idx="1214" formatCode="#,##0.000">
                  <c:v>#N/A</c:v>
                </c:pt>
                <c:pt idx="1215" formatCode="#,##0.000">
                  <c:v>#N/A</c:v>
                </c:pt>
                <c:pt idx="1216" formatCode="#,##0.000">
                  <c:v>#N/A</c:v>
                </c:pt>
                <c:pt idx="1217" formatCode="#,##0.000">
                  <c:v>#N/A</c:v>
                </c:pt>
                <c:pt idx="1218" formatCode="#,##0.000">
                  <c:v>#N/A</c:v>
                </c:pt>
                <c:pt idx="1219" formatCode="#,##0.000">
                  <c:v>#N/A</c:v>
                </c:pt>
                <c:pt idx="1220" formatCode="#,##0.000">
                  <c:v>#N/A</c:v>
                </c:pt>
                <c:pt idx="1221" formatCode="#,##0.000">
                  <c:v>#N/A</c:v>
                </c:pt>
                <c:pt idx="1222" formatCode="#,##0.000">
                  <c:v>#N/A</c:v>
                </c:pt>
                <c:pt idx="1223" formatCode="#,##0.000">
                  <c:v>#N/A</c:v>
                </c:pt>
                <c:pt idx="1224" formatCode="#,##0.000">
                  <c:v>#N/A</c:v>
                </c:pt>
                <c:pt idx="1225" formatCode="#,##0.000">
                  <c:v>#N/A</c:v>
                </c:pt>
                <c:pt idx="1226" formatCode="#,##0.000">
                  <c:v>#N/A</c:v>
                </c:pt>
                <c:pt idx="1227" formatCode="#,##0.000">
                  <c:v>#N/A</c:v>
                </c:pt>
                <c:pt idx="1228" formatCode="#,##0.000">
                  <c:v>#N/A</c:v>
                </c:pt>
                <c:pt idx="1229" formatCode="#,##0.000">
                  <c:v>#N/A</c:v>
                </c:pt>
                <c:pt idx="1230" formatCode="#,##0.000">
                  <c:v>#N/A</c:v>
                </c:pt>
                <c:pt idx="1231" formatCode="#,##0.000">
                  <c:v>#N/A</c:v>
                </c:pt>
                <c:pt idx="1232" formatCode="#,##0.000">
                  <c:v>#N/A</c:v>
                </c:pt>
                <c:pt idx="1233" formatCode="#,##0.000">
                  <c:v>#N/A</c:v>
                </c:pt>
                <c:pt idx="1234" formatCode="#,##0.000">
                  <c:v>#N/A</c:v>
                </c:pt>
                <c:pt idx="1235" formatCode="#,##0.000">
                  <c:v>#N/A</c:v>
                </c:pt>
                <c:pt idx="1236" formatCode="#,##0.000">
                  <c:v>#N/A</c:v>
                </c:pt>
                <c:pt idx="1237" formatCode="#,##0.000">
                  <c:v>#N/A</c:v>
                </c:pt>
                <c:pt idx="1238" formatCode="#,##0.000">
                  <c:v>#N/A</c:v>
                </c:pt>
                <c:pt idx="1239" formatCode="#,##0.000">
                  <c:v>#N/A</c:v>
                </c:pt>
                <c:pt idx="1240" formatCode="#,##0.000">
                  <c:v>#N/A</c:v>
                </c:pt>
                <c:pt idx="1241" formatCode="#,##0.000">
                  <c:v>#N/A</c:v>
                </c:pt>
                <c:pt idx="1242" formatCode="#,##0.000">
                  <c:v>#N/A</c:v>
                </c:pt>
                <c:pt idx="1243" formatCode="#,##0.000">
                  <c:v>#N/A</c:v>
                </c:pt>
                <c:pt idx="1244" formatCode="#,##0.000">
                  <c:v>#N/A</c:v>
                </c:pt>
                <c:pt idx="1245" formatCode="#,##0.000">
                  <c:v>#N/A</c:v>
                </c:pt>
                <c:pt idx="1246" formatCode="#,##0.000">
                  <c:v>#N/A</c:v>
                </c:pt>
                <c:pt idx="1247" formatCode="#,##0.000">
                  <c:v>#N/A</c:v>
                </c:pt>
                <c:pt idx="1248" formatCode="#,##0.000">
                  <c:v>#N/A</c:v>
                </c:pt>
                <c:pt idx="1249" formatCode="#,##0.000">
                  <c:v>#N/A</c:v>
                </c:pt>
                <c:pt idx="1250" formatCode="#,##0.000">
                  <c:v>#N/A</c:v>
                </c:pt>
                <c:pt idx="1251" formatCode="#,##0.000">
                  <c:v>#N/A</c:v>
                </c:pt>
                <c:pt idx="1252" formatCode="#,##0.000">
                  <c:v>#N/A</c:v>
                </c:pt>
                <c:pt idx="1253" formatCode="#,##0.000">
                  <c:v>#N/A</c:v>
                </c:pt>
                <c:pt idx="1254" formatCode="#,##0.000">
                  <c:v>#N/A</c:v>
                </c:pt>
                <c:pt idx="1255" formatCode="#,##0.000">
                  <c:v>#N/A</c:v>
                </c:pt>
                <c:pt idx="1256" formatCode="#,##0.000">
                  <c:v>#N/A</c:v>
                </c:pt>
                <c:pt idx="1257" formatCode="#,##0.000">
                  <c:v>#N/A</c:v>
                </c:pt>
                <c:pt idx="1258" formatCode="#,##0.000">
                  <c:v>#N/A</c:v>
                </c:pt>
                <c:pt idx="1259" formatCode="#,##0.000">
                  <c:v>#N/A</c:v>
                </c:pt>
                <c:pt idx="1260" formatCode="#,##0.000">
                  <c:v>#N/A</c:v>
                </c:pt>
                <c:pt idx="1261" formatCode="#,##0.000">
                  <c:v>#N/A</c:v>
                </c:pt>
                <c:pt idx="1262" formatCode="#,##0.000">
                  <c:v>#N/A</c:v>
                </c:pt>
                <c:pt idx="1263" formatCode="#,##0.000">
                  <c:v>#N/A</c:v>
                </c:pt>
                <c:pt idx="1264" formatCode="#,##0.000">
                  <c:v>#N/A</c:v>
                </c:pt>
                <c:pt idx="1265" formatCode="#,##0.000">
                  <c:v>#N/A</c:v>
                </c:pt>
                <c:pt idx="1266" formatCode="#,##0.000">
                  <c:v>#N/A</c:v>
                </c:pt>
                <c:pt idx="1267" formatCode="#,##0.000">
                  <c:v>#N/A</c:v>
                </c:pt>
                <c:pt idx="1268" formatCode="#,##0.000">
                  <c:v>#N/A</c:v>
                </c:pt>
                <c:pt idx="1269" formatCode="#,##0.000">
                  <c:v>#N/A</c:v>
                </c:pt>
                <c:pt idx="1270" formatCode="#,##0.000">
                  <c:v>#N/A</c:v>
                </c:pt>
                <c:pt idx="1271" formatCode="#,##0.000">
                  <c:v>#N/A</c:v>
                </c:pt>
                <c:pt idx="1272" formatCode="#,##0.000">
                  <c:v>#N/A</c:v>
                </c:pt>
                <c:pt idx="1273" formatCode="#,##0.000">
                  <c:v>#N/A</c:v>
                </c:pt>
                <c:pt idx="1274" formatCode="#,##0.000">
                  <c:v>#N/A</c:v>
                </c:pt>
                <c:pt idx="1275" formatCode="#,##0.000">
                  <c:v>#N/A</c:v>
                </c:pt>
                <c:pt idx="1276" formatCode="#,##0.000">
                  <c:v>#N/A</c:v>
                </c:pt>
                <c:pt idx="1277" formatCode="#,##0.000">
                  <c:v>#N/A</c:v>
                </c:pt>
                <c:pt idx="1278" formatCode="#,##0.000">
                  <c:v>#N/A</c:v>
                </c:pt>
                <c:pt idx="1279" formatCode="#,##0.000">
                  <c:v>#N/A</c:v>
                </c:pt>
                <c:pt idx="1280" formatCode="#,##0.000">
                  <c:v>#N/A</c:v>
                </c:pt>
                <c:pt idx="1281" formatCode="#,##0.000">
                  <c:v>#N/A</c:v>
                </c:pt>
                <c:pt idx="1282" formatCode="#,##0.000">
                  <c:v>#N/A</c:v>
                </c:pt>
                <c:pt idx="1283" formatCode="#,##0.000">
                  <c:v>#N/A</c:v>
                </c:pt>
                <c:pt idx="1284" formatCode="#,##0.000">
                  <c:v>#N/A</c:v>
                </c:pt>
                <c:pt idx="1285" formatCode="#,##0.000">
                  <c:v>#N/A</c:v>
                </c:pt>
                <c:pt idx="1286" formatCode="#,##0.000">
                  <c:v>#N/A</c:v>
                </c:pt>
                <c:pt idx="1287" formatCode="#,##0.000">
                  <c:v>#N/A</c:v>
                </c:pt>
                <c:pt idx="1288" formatCode="#,##0.000">
                  <c:v>#N/A</c:v>
                </c:pt>
                <c:pt idx="1289" formatCode="#,##0.000">
                  <c:v>#N/A</c:v>
                </c:pt>
                <c:pt idx="1290" formatCode="#,##0.000">
                  <c:v>#N/A</c:v>
                </c:pt>
                <c:pt idx="1291" formatCode="#,##0.000">
                  <c:v>#N/A</c:v>
                </c:pt>
                <c:pt idx="1292" formatCode="#,##0.000">
                  <c:v>#N/A</c:v>
                </c:pt>
                <c:pt idx="1293" formatCode="#,##0.000">
                  <c:v>#N/A</c:v>
                </c:pt>
                <c:pt idx="1294" formatCode="#,##0.000">
                  <c:v>#N/A</c:v>
                </c:pt>
                <c:pt idx="1295" formatCode="#,##0.000">
                  <c:v>#N/A</c:v>
                </c:pt>
                <c:pt idx="1296" formatCode="#,##0.000">
                  <c:v>#N/A</c:v>
                </c:pt>
                <c:pt idx="1297" formatCode="#,##0.000">
                  <c:v>#N/A</c:v>
                </c:pt>
                <c:pt idx="1298" formatCode="#,##0.000">
                  <c:v>#N/A</c:v>
                </c:pt>
                <c:pt idx="1299" formatCode="#,##0.000">
                  <c:v>#N/A</c:v>
                </c:pt>
                <c:pt idx="1300" formatCode="#,##0.000">
                  <c:v>#N/A</c:v>
                </c:pt>
                <c:pt idx="1301" formatCode="#,##0.000">
                  <c:v>#N/A</c:v>
                </c:pt>
                <c:pt idx="1302" formatCode="#,##0.000">
                  <c:v>#N/A</c:v>
                </c:pt>
                <c:pt idx="1303" formatCode="#,##0.000">
                  <c:v>#N/A</c:v>
                </c:pt>
                <c:pt idx="1304" formatCode="#,##0.000">
                  <c:v>#N/A</c:v>
                </c:pt>
                <c:pt idx="1305" formatCode="#,##0.000">
                  <c:v>#N/A</c:v>
                </c:pt>
                <c:pt idx="1306" formatCode="#,##0.000">
                  <c:v>#N/A</c:v>
                </c:pt>
                <c:pt idx="1307" formatCode="#,##0.000">
                  <c:v>#N/A</c:v>
                </c:pt>
                <c:pt idx="1308" formatCode="#,##0.000">
                  <c:v>#N/A</c:v>
                </c:pt>
                <c:pt idx="1309" formatCode="#,##0.000">
                  <c:v>#N/A</c:v>
                </c:pt>
                <c:pt idx="1310" formatCode="#,##0.000">
                  <c:v>#N/A</c:v>
                </c:pt>
                <c:pt idx="1311" formatCode="#,##0.000">
                  <c:v>#N/A</c:v>
                </c:pt>
                <c:pt idx="1312" formatCode="#,##0.000">
                  <c:v>#N/A</c:v>
                </c:pt>
                <c:pt idx="1313" formatCode="#,##0.000">
                  <c:v>#N/A</c:v>
                </c:pt>
                <c:pt idx="1314" formatCode="#,##0.000">
                  <c:v>#N/A</c:v>
                </c:pt>
                <c:pt idx="1315" formatCode="#,##0.000">
                  <c:v>#N/A</c:v>
                </c:pt>
                <c:pt idx="1316" formatCode="#,##0.000">
                  <c:v>#N/A</c:v>
                </c:pt>
                <c:pt idx="1317" formatCode="#,##0.000">
                  <c:v>#N/A</c:v>
                </c:pt>
                <c:pt idx="1318" formatCode="#,##0.000">
                  <c:v>#N/A</c:v>
                </c:pt>
                <c:pt idx="1319" formatCode="#,##0.000">
                  <c:v>#N/A</c:v>
                </c:pt>
                <c:pt idx="1320" formatCode="#,##0.000">
                  <c:v>#N/A</c:v>
                </c:pt>
                <c:pt idx="1321" formatCode="#,##0.000">
                  <c:v>#N/A</c:v>
                </c:pt>
                <c:pt idx="1322" formatCode="#,##0.000">
                  <c:v>#N/A</c:v>
                </c:pt>
                <c:pt idx="1323" formatCode="#,##0.000">
                  <c:v>#N/A</c:v>
                </c:pt>
                <c:pt idx="1324" formatCode="#,##0.000">
                  <c:v>#N/A</c:v>
                </c:pt>
                <c:pt idx="1325" formatCode="#,##0.000">
                  <c:v>#N/A</c:v>
                </c:pt>
                <c:pt idx="1326" formatCode="#,##0.000">
                  <c:v>#N/A</c:v>
                </c:pt>
                <c:pt idx="1327" formatCode="#,##0.000">
                  <c:v>#N/A</c:v>
                </c:pt>
                <c:pt idx="1328" formatCode="#,##0.000">
                  <c:v>#N/A</c:v>
                </c:pt>
                <c:pt idx="1329" formatCode="#,##0.000">
                  <c:v>#N/A</c:v>
                </c:pt>
                <c:pt idx="1330" formatCode="#,##0.000">
                  <c:v>#N/A</c:v>
                </c:pt>
                <c:pt idx="1331" formatCode="#,##0.000">
                  <c:v>#N/A</c:v>
                </c:pt>
                <c:pt idx="1332" formatCode="#,##0.000">
                  <c:v>#N/A</c:v>
                </c:pt>
                <c:pt idx="1333" formatCode="#,##0.000">
                  <c:v>#N/A</c:v>
                </c:pt>
                <c:pt idx="1334" formatCode="#,##0.000">
                  <c:v>#N/A</c:v>
                </c:pt>
                <c:pt idx="1335" formatCode="#,##0.000">
                  <c:v>#N/A</c:v>
                </c:pt>
                <c:pt idx="1336" formatCode="#,##0.000">
                  <c:v>#N/A</c:v>
                </c:pt>
                <c:pt idx="1337" formatCode="#,##0.000">
                  <c:v>#N/A</c:v>
                </c:pt>
                <c:pt idx="1338" formatCode="#,##0.000">
                  <c:v>#N/A</c:v>
                </c:pt>
                <c:pt idx="1339" formatCode="#,##0.000">
                  <c:v>#N/A</c:v>
                </c:pt>
                <c:pt idx="1340" formatCode="#,##0.000">
                  <c:v>#N/A</c:v>
                </c:pt>
                <c:pt idx="1341" formatCode="#,##0.000">
                  <c:v>#N/A</c:v>
                </c:pt>
                <c:pt idx="1342" formatCode="#,##0.000">
                  <c:v>#N/A</c:v>
                </c:pt>
                <c:pt idx="1343" formatCode="#,##0.000">
                  <c:v>#N/A</c:v>
                </c:pt>
                <c:pt idx="1344" formatCode="#,##0.000">
                  <c:v>#N/A</c:v>
                </c:pt>
                <c:pt idx="1345" formatCode="#,##0.000">
                  <c:v>#N/A</c:v>
                </c:pt>
                <c:pt idx="1346" formatCode="#,##0.000">
                  <c:v>#N/A</c:v>
                </c:pt>
                <c:pt idx="1347" formatCode="#,##0.000">
                  <c:v>#N/A</c:v>
                </c:pt>
                <c:pt idx="1348" formatCode="#,##0.000">
                  <c:v>#N/A</c:v>
                </c:pt>
                <c:pt idx="1349" formatCode="#,##0.000">
                  <c:v>#N/A</c:v>
                </c:pt>
                <c:pt idx="1350" formatCode="#,##0.000">
                  <c:v>#N/A</c:v>
                </c:pt>
                <c:pt idx="1351" formatCode="#,##0.000">
                  <c:v>#N/A</c:v>
                </c:pt>
                <c:pt idx="1352" formatCode="#,##0.000">
                  <c:v>#N/A</c:v>
                </c:pt>
                <c:pt idx="1353" formatCode="#,##0.000">
                  <c:v>#N/A</c:v>
                </c:pt>
                <c:pt idx="1354" formatCode="#,##0.000">
                  <c:v>#N/A</c:v>
                </c:pt>
                <c:pt idx="1355" formatCode="#,##0.000">
                  <c:v>#N/A</c:v>
                </c:pt>
                <c:pt idx="1356" formatCode="#,##0.000">
                  <c:v>#N/A</c:v>
                </c:pt>
                <c:pt idx="1357" formatCode="#,##0.000">
                  <c:v>#N/A</c:v>
                </c:pt>
                <c:pt idx="1358" formatCode="#,##0.000">
                  <c:v>#N/A</c:v>
                </c:pt>
                <c:pt idx="1359" formatCode="#,##0.000">
                  <c:v>#N/A</c:v>
                </c:pt>
                <c:pt idx="1360" formatCode="#,##0.000">
                  <c:v>#N/A</c:v>
                </c:pt>
                <c:pt idx="1361" formatCode="#,##0.000">
                  <c:v>#N/A</c:v>
                </c:pt>
                <c:pt idx="1362" formatCode="#,##0.000">
                  <c:v>#N/A</c:v>
                </c:pt>
                <c:pt idx="1363" formatCode="#,##0.000">
                  <c:v>#N/A</c:v>
                </c:pt>
                <c:pt idx="1364" formatCode="#,##0.000">
                  <c:v>#N/A</c:v>
                </c:pt>
                <c:pt idx="1365" formatCode="#,##0.000">
                  <c:v>#N/A</c:v>
                </c:pt>
                <c:pt idx="1366" formatCode="#,##0.000">
                  <c:v>#N/A</c:v>
                </c:pt>
                <c:pt idx="1367" formatCode="#,##0.000">
                  <c:v>#N/A</c:v>
                </c:pt>
                <c:pt idx="1368" formatCode="#,##0.000">
                  <c:v>#N/A</c:v>
                </c:pt>
                <c:pt idx="1369" formatCode="#,##0.000">
                  <c:v>#N/A</c:v>
                </c:pt>
                <c:pt idx="1370" formatCode="#,##0.000">
                  <c:v>#N/A</c:v>
                </c:pt>
                <c:pt idx="1371" formatCode="#,##0.000">
                  <c:v>#N/A</c:v>
                </c:pt>
                <c:pt idx="1372" formatCode="#,##0.000">
                  <c:v>#N/A</c:v>
                </c:pt>
                <c:pt idx="1373" formatCode="#,##0.000">
                  <c:v>#N/A</c:v>
                </c:pt>
                <c:pt idx="1374" formatCode="#,##0.000">
                  <c:v>#N/A</c:v>
                </c:pt>
                <c:pt idx="1375" formatCode="#,##0.000">
                  <c:v>#N/A</c:v>
                </c:pt>
                <c:pt idx="1376" formatCode="#,##0.000">
                  <c:v>#N/A</c:v>
                </c:pt>
                <c:pt idx="1377" formatCode="#,##0.000">
                  <c:v>#N/A</c:v>
                </c:pt>
                <c:pt idx="1378" formatCode="#,##0.000">
                  <c:v>#N/A</c:v>
                </c:pt>
                <c:pt idx="1379" formatCode="#,##0.000">
                  <c:v>#N/A</c:v>
                </c:pt>
                <c:pt idx="1380" formatCode="#,##0.000">
                  <c:v>#N/A</c:v>
                </c:pt>
                <c:pt idx="1381" formatCode="#,##0.000">
                  <c:v>#N/A</c:v>
                </c:pt>
                <c:pt idx="1382" formatCode="#,##0.000">
                  <c:v>#N/A</c:v>
                </c:pt>
                <c:pt idx="1383" formatCode="#,##0.000">
                  <c:v>#N/A</c:v>
                </c:pt>
                <c:pt idx="1384" formatCode="#,##0.000">
                  <c:v>#N/A</c:v>
                </c:pt>
                <c:pt idx="1385" formatCode="#,##0.000">
                  <c:v>#N/A</c:v>
                </c:pt>
                <c:pt idx="1386" formatCode="#,##0.000">
                  <c:v>#N/A</c:v>
                </c:pt>
                <c:pt idx="1387" formatCode="#,##0.000">
                  <c:v>#N/A</c:v>
                </c:pt>
                <c:pt idx="1388" formatCode="#,##0.000">
                  <c:v>#N/A</c:v>
                </c:pt>
                <c:pt idx="1389" formatCode="#,##0.000">
                  <c:v>#N/A</c:v>
                </c:pt>
                <c:pt idx="1390" formatCode="#,##0.000">
                  <c:v>#N/A</c:v>
                </c:pt>
                <c:pt idx="1391" formatCode="#,##0.000">
                  <c:v>#N/A</c:v>
                </c:pt>
                <c:pt idx="1392" formatCode="#,##0.000">
                  <c:v>#N/A</c:v>
                </c:pt>
                <c:pt idx="1393" formatCode="#,##0.000">
                  <c:v>#N/A</c:v>
                </c:pt>
                <c:pt idx="1394" formatCode="#,##0.000">
                  <c:v>#N/A</c:v>
                </c:pt>
                <c:pt idx="1395" formatCode="#,##0.000">
                  <c:v>#N/A</c:v>
                </c:pt>
                <c:pt idx="1396" formatCode="#,##0.000">
                  <c:v>#N/A</c:v>
                </c:pt>
                <c:pt idx="1397" formatCode="#,##0.000">
                  <c:v>#N/A</c:v>
                </c:pt>
                <c:pt idx="1398" formatCode="#,##0.000">
                  <c:v>#N/A</c:v>
                </c:pt>
                <c:pt idx="1399" formatCode="#,##0.000">
                  <c:v>#N/A</c:v>
                </c:pt>
                <c:pt idx="1400" formatCode="#,##0.000">
                  <c:v>#N/A</c:v>
                </c:pt>
                <c:pt idx="1401" formatCode="#,##0.000">
                  <c:v>#N/A</c:v>
                </c:pt>
                <c:pt idx="1402" formatCode="#,##0.000">
                  <c:v>#N/A</c:v>
                </c:pt>
                <c:pt idx="1403" formatCode="#,##0.000">
                  <c:v>#N/A</c:v>
                </c:pt>
                <c:pt idx="1404" formatCode="#,##0.000">
                  <c:v>#N/A</c:v>
                </c:pt>
                <c:pt idx="1405" formatCode="#,##0.000">
                  <c:v>#N/A</c:v>
                </c:pt>
                <c:pt idx="1406" formatCode="#,##0.000">
                  <c:v>#N/A</c:v>
                </c:pt>
                <c:pt idx="1407" formatCode="#,##0.000">
                  <c:v>#N/A</c:v>
                </c:pt>
                <c:pt idx="1408" formatCode="#,##0.000">
                  <c:v>#N/A</c:v>
                </c:pt>
                <c:pt idx="1409" formatCode="#,##0.000">
                  <c:v>#N/A</c:v>
                </c:pt>
                <c:pt idx="1410" formatCode="#,##0.000">
                  <c:v>#N/A</c:v>
                </c:pt>
                <c:pt idx="1411" formatCode="#,##0.000">
                  <c:v>#N/A</c:v>
                </c:pt>
                <c:pt idx="1412" formatCode="#,##0.000">
                  <c:v>#N/A</c:v>
                </c:pt>
                <c:pt idx="1413" formatCode="#,##0.000">
                  <c:v>#N/A</c:v>
                </c:pt>
                <c:pt idx="1414" formatCode="#,##0.000">
                  <c:v>#N/A</c:v>
                </c:pt>
                <c:pt idx="1415" formatCode="#,##0.000">
                  <c:v>#N/A</c:v>
                </c:pt>
                <c:pt idx="1416" formatCode="#,##0.000">
                  <c:v>#N/A</c:v>
                </c:pt>
                <c:pt idx="1417" formatCode="#,##0.000">
                  <c:v>#N/A</c:v>
                </c:pt>
                <c:pt idx="1418" formatCode="#,##0.000">
                  <c:v>#N/A</c:v>
                </c:pt>
                <c:pt idx="1419" formatCode="#,##0.000">
                  <c:v>#N/A</c:v>
                </c:pt>
                <c:pt idx="1420" formatCode="#,##0.000">
                  <c:v>#N/A</c:v>
                </c:pt>
                <c:pt idx="1421" formatCode="#,##0.000">
                  <c:v>#N/A</c:v>
                </c:pt>
                <c:pt idx="1422" formatCode="#,##0.000">
                  <c:v>#N/A</c:v>
                </c:pt>
                <c:pt idx="1423" formatCode="#,##0.000">
                  <c:v>#N/A</c:v>
                </c:pt>
                <c:pt idx="1424" formatCode="#,##0.000">
                  <c:v>#N/A</c:v>
                </c:pt>
                <c:pt idx="1425" formatCode="#,##0.000">
                  <c:v>#N/A</c:v>
                </c:pt>
                <c:pt idx="1426" formatCode="#,##0.000">
                  <c:v>#N/A</c:v>
                </c:pt>
                <c:pt idx="1427" formatCode="#,##0.000">
                  <c:v>#N/A</c:v>
                </c:pt>
                <c:pt idx="1428" formatCode="#,##0.000">
                  <c:v>#N/A</c:v>
                </c:pt>
                <c:pt idx="1429" formatCode="#,##0.000">
                  <c:v>#N/A</c:v>
                </c:pt>
                <c:pt idx="1430" formatCode="#,##0.000">
                  <c:v>#N/A</c:v>
                </c:pt>
                <c:pt idx="1431" formatCode="#,##0.000">
                  <c:v>#N/A</c:v>
                </c:pt>
                <c:pt idx="1432" formatCode="#,##0.000">
                  <c:v>#N/A</c:v>
                </c:pt>
                <c:pt idx="1433" formatCode="#,##0.000">
                  <c:v>#N/A</c:v>
                </c:pt>
                <c:pt idx="1434" formatCode="#,##0.000">
                  <c:v>#N/A</c:v>
                </c:pt>
                <c:pt idx="1435" formatCode="#,##0.000">
                  <c:v>#N/A</c:v>
                </c:pt>
                <c:pt idx="1436" formatCode="#,##0.000">
                  <c:v>#N/A</c:v>
                </c:pt>
                <c:pt idx="1437" formatCode="#,##0.000">
                  <c:v>#N/A</c:v>
                </c:pt>
                <c:pt idx="1438" formatCode="#,##0.000">
                  <c:v>#N/A</c:v>
                </c:pt>
                <c:pt idx="1439" formatCode="#,##0.000">
                  <c:v>#N/A</c:v>
                </c:pt>
                <c:pt idx="1440" formatCode="#,##0.000">
                  <c:v>#N/A</c:v>
                </c:pt>
                <c:pt idx="1441" formatCode="#,##0.000">
                  <c:v>#N/A</c:v>
                </c:pt>
                <c:pt idx="1442" formatCode="#,##0.000">
                  <c:v>#N/A</c:v>
                </c:pt>
                <c:pt idx="1443" formatCode="#,##0.000">
                  <c:v>#N/A</c:v>
                </c:pt>
                <c:pt idx="1444" formatCode="#,##0.000">
                  <c:v>#N/A</c:v>
                </c:pt>
                <c:pt idx="1445" formatCode="#,##0.000">
                  <c:v>#N/A</c:v>
                </c:pt>
                <c:pt idx="1446" formatCode="#,##0.000">
                  <c:v>#N/A</c:v>
                </c:pt>
                <c:pt idx="1447" formatCode="#,##0.000">
                  <c:v>#N/A</c:v>
                </c:pt>
                <c:pt idx="1448" formatCode="#,##0.000">
                  <c:v>#N/A</c:v>
                </c:pt>
                <c:pt idx="1449" formatCode="#,##0.000">
                  <c:v>#N/A</c:v>
                </c:pt>
                <c:pt idx="1450" formatCode="#,##0.000">
                  <c:v>#N/A</c:v>
                </c:pt>
                <c:pt idx="1451" formatCode="#,##0.000">
                  <c:v>#N/A</c:v>
                </c:pt>
                <c:pt idx="1452" formatCode="#,##0.000">
                  <c:v>#N/A</c:v>
                </c:pt>
                <c:pt idx="1453" formatCode="#,##0.000">
                  <c:v>#N/A</c:v>
                </c:pt>
                <c:pt idx="1454" formatCode="#,##0.000">
                  <c:v>#N/A</c:v>
                </c:pt>
                <c:pt idx="1455" formatCode="#,##0.000">
                  <c:v>#N/A</c:v>
                </c:pt>
                <c:pt idx="1456" formatCode="#,##0.000">
                  <c:v>#N/A</c:v>
                </c:pt>
                <c:pt idx="1457" formatCode="#,##0.000">
                  <c:v>#N/A</c:v>
                </c:pt>
                <c:pt idx="1458" formatCode="#,##0.000">
                  <c:v>#N/A</c:v>
                </c:pt>
                <c:pt idx="1459" formatCode="#,##0.000">
                  <c:v>#N/A</c:v>
                </c:pt>
                <c:pt idx="1460" formatCode="#,##0.000">
                  <c:v>#N/A</c:v>
                </c:pt>
                <c:pt idx="1461" formatCode="#,##0.000">
                  <c:v>#N/A</c:v>
                </c:pt>
                <c:pt idx="1462" formatCode="#,##0.000">
                  <c:v>#N/A</c:v>
                </c:pt>
                <c:pt idx="1463" formatCode="#,##0.000">
                  <c:v>#N/A</c:v>
                </c:pt>
                <c:pt idx="1464" formatCode="#,##0.000">
                  <c:v>#N/A</c:v>
                </c:pt>
                <c:pt idx="1465" formatCode="#,##0.000">
                  <c:v>#N/A</c:v>
                </c:pt>
                <c:pt idx="1466" formatCode="#,##0.000">
                  <c:v>#N/A</c:v>
                </c:pt>
                <c:pt idx="1467" formatCode="#,##0.000">
                  <c:v>#N/A</c:v>
                </c:pt>
                <c:pt idx="1468" formatCode="#,##0.000">
                  <c:v>#N/A</c:v>
                </c:pt>
                <c:pt idx="1469" formatCode="#,##0.000">
                  <c:v>#N/A</c:v>
                </c:pt>
                <c:pt idx="1470" formatCode="#,##0.000">
                  <c:v>#N/A</c:v>
                </c:pt>
                <c:pt idx="1471" formatCode="#,##0.000">
                  <c:v>#N/A</c:v>
                </c:pt>
                <c:pt idx="1472" formatCode="#,##0.000">
                  <c:v>#N/A</c:v>
                </c:pt>
                <c:pt idx="1473" formatCode="#,##0.000">
                  <c:v>#N/A</c:v>
                </c:pt>
                <c:pt idx="1474" formatCode="#,##0.000">
                  <c:v>#N/A</c:v>
                </c:pt>
                <c:pt idx="1475" formatCode="#,##0.000">
                  <c:v>#N/A</c:v>
                </c:pt>
                <c:pt idx="1476" formatCode="#,##0.000">
                  <c:v>#N/A</c:v>
                </c:pt>
                <c:pt idx="1477" formatCode="#,##0.000">
                  <c:v>#N/A</c:v>
                </c:pt>
                <c:pt idx="1478" formatCode="#,##0.000">
                  <c:v>#N/A</c:v>
                </c:pt>
                <c:pt idx="1479" formatCode="#,##0.000">
                  <c:v>#N/A</c:v>
                </c:pt>
                <c:pt idx="1480" formatCode="#,##0.000">
                  <c:v>#N/A</c:v>
                </c:pt>
                <c:pt idx="1481" formatCode="#,##0.000">
                  <c:v>#N/A</c:v>
                </c:pt>
                <c:pt idx="1482" formatCode="#,##0.000">
                  <c:v>#N/A</c:v>
                </c:pt>
                <c:pt idx="1483" formatCode="#,##0.000">
                  <c:v>#N/A</c:v>
                </c:pt>
                <c:pt idx="1484" formatCode="#,##0.000">
                  <c:v>#N/A</c:v>
                </c:pt>
                <c:pt idx="1485" formatCode="#,##0.000">
                  <c:v>#N/A</c:v>
                </c:pt>
                <c:pt idx="1486" formatCode="#,##0.000">
                  <c:v>#N/A</c:v>
                </c:pt>
                <c:pt idx="1487" formatCode="#,##0.000">
                  <c:v>#N/A</c:v>
                </c:pt>
                <c:pt idx="1488" formatCode="#,##0.000">
                  <c:v>#N/A</c:v>
                </c:pt>
                <c:pt idx="1489" formatCode="#,##0.000">
                  <c:v>#N/A</c:v>
                </c:pt>
                <c:pt idx="1490" formatCode="#,##0.000">
                  <c:v>#N/A</c:v>
                </c:pt>
                <c:pt idx="1491" formatCode="#,##0.000">
                  <c:v>#N/A</c:v>
                </c:pt>
                <c:pt idx="1492" formatCode="#,##0.000">
                  <c:v>#N/A</c:v>
                </c:pt>
                <c:pt idx="1493" formatCode="#,##0.000">
                  <c:v>#N/A</c:v>
                </c:pt>
                <c:pt idx="1494" formatCode="#,##0.000">
                  <c:v>#N/A</c:v>
                </c:pt>
                <c:pt idx="1495" formatCode="#,##0.000">
                  <c:v>#N/A</c:v>
                </c:pt>
                <c:pt idx="1496" formatCode="#,##0.000">
                  <c:v>#N/A</c:v>
                </c:pt>
                <c:pt idx="1497" formatCode="#,##0.000">
                  <c:v>#N/A</c:v>
                </c:pt>
                <c:pt idx="1498" formatCode="#,##0.000">
                  <c:v>#N/A</c:v>
                </c:pt>
                <c:pt idx="1499" formatCode="#,##0.000">
                  <c:v>#N/A</c:v>
                </c:pt>
                <c:pt idx="1500" formatCode="#,##0.000">
                  <c:v>#N/A</c:v>
                </c:pt>
                <c:pt idx="1501" formatCode="#,##0.000">
                  <c:v>#N/A</c:v>
                </c:pt>
                <c:pt idx="1502" formatCode="#,##0.000">
                  <c:v>#N/A</c:v>
                </c:pt>
                <c:pt idx="1503" formatCode="#,##0.000">
                  <c:v>#N/A</c:v>
                </c:pt>
                <c:pt idx="1504" formatCode="#,##0.000">
                  <c:v>#N/A</c:v>
                </c:pt>
                <c:pt idx="1505" formatCode="#,##0.000">
                  <c:v>#N/A</c:v>
                </c:pt>
                <c:pt idx="1506" formatCode="#,##0.000">
                  <c:v>#N/A</c:v>
                </c:pt>
                <c:pt idx="1507" formatCode="#,##0.000">
                  <c:v>#N/A</c:v>
                </c:pt>
                <c:pt idx="1508" formatCode="#,##0.000">
                  <c:v>#N/A</c:v>
                </c:pt>
                <c:pt idx="1509" formatCode="#,##0.000">
                  <c:v>#N/A</c:v>
                </c:pt>
                <c:pt idx="1510" formatCode="#,##0.000">
                  <c:v>#N/A</c:v>
                </c:pt>
                <c:pt idx="1511" formatCode="#,##0.000">
                  <c:v>#N/A</c:v>
                </c:pt>
                <c:pt idx="1512" formatCode="#,##0.000">
                  <c:v>#N/A</c:v>
                </c:pt>
                <c:pt idx="1513" formatCode="#,##0.000">
                  <c:v>#N/A</c:v>
                </c:pt>
                <c:pt idx="1514" formatCode="#,##0.000">
                  <c:v>#N/A</c:v>
                </c:pt>
                <c:pt idx="1515" formatCode="#,##0.000">
                  <c:v>#N/A</c:v>
                </c:pt>
                <c:pt idx="1516" formatCode="#,##0.000">
                  <c:v>#N/A</c:v>
                </c:pt>
                <c:pt idx="1517" formatCode="#,##0.000">
                  <c:v>#N/A</c:v>
                </c:pt>
                <c:pt idx="1518" formatCode="#,##0.000">
                  <c:v>#N/A</c:v>
                </c:pt>
                <c:pt idx="1519" formatCode="#,##0.000">
                  <c:v>#N/A</c:v>
                </c:pt>
                <c:pt idx="1520" formatCode="#,##0.000">
                  <c:v>#N/A</c:v>
                </c:pt>
                <c:pt idx="1521" formatCode="#,##0.000">
                  <c:v>#N/A</c:v>
                </c:pt>
                <c:pt idx="1522" formatCode="#,##0.000">
                  <c:v>#N/A</c:v>
                </c:pt>
                <c:pt idx="1523" formatCode="#,##0.000">
                  <c:v>#N/A</c:v>
                </c:pt>
                <c:pt idx="1524" formatCode="#,##0.000">
                  <c:v>#N/A</c:v>
                </c:pt>
                <c:pt idx="1525" formatCode="#,##0.000">
                  <c:v>#N/A</c:v>
                </c:pt>
                <c:pt idx="1526" formatCode="#,##0.000">
                  <c:v>#N/A</c:v>
                </c:pt>
                <c:pt idx="1527" formatCode="#,##0.000">
                  <c:v>#N/A</c:v>
                </c:pt>
                <c:pt idx="1528" formatCode="#,##0.000">
                  <c:v>#N/A</c:v>
                </c:pt>
                <c:pt idx="1529" formatCode="#,##0.000">
                  <c:v>#N/A</c:v>
                </c:pt>
                <c:pt idx="1530" formatCode="#,##0.000">
                  <c:v>#N/A</c:v>
                </c:pt>
                <c:pt idx="1531" formatCode="#,##0.000">
                  <c:v>#N/A</c:v>
                </c:pt>
                <c:pt idx="1532" formatCode="#,##0.000">
                  <c:v>#N/A</c:v>
                </c:pt>
                <c:pt idx="1533" formatCode="#,##0.000">
                  <c:v>#N/A</c:v>
                </c:pt>
                <c:pt idx="1534" formatCode="#,##0.000">
                  <c:v>#N/A</c:v>
                </c:pt>
                <c:pt idx="1535" formatCode="#,##0.000">
                  <c:v>#N/A</c:v>
                </c:pt>
                <c:pt idx="1536" formatCode="#,##0.000">
                  <c:v>#N/A</c:v>
                </c:pt>
                <c:pt idx="1537" formatCode="#,##0.000">
                  <c:v>#N/A</c:v>
                </c:pt>
                <c:pt idx="1538" formatCode="#,##0.000">
                  <c:v>#N/A</c:v>
                </c:pt>
                <c:pt idx="1539" formatCode="#,##0.000">
                  <c:v>#N/A</c:v>
                </c:pt>
                <c:pt idx="1540" formatCode="#,##0.000">
                  <c:v>#N/A</c:v>
                </c:pt>
                <c:pt idx="1541" formatCode="#,##0.000">
                  <c:v>#N/A</c:v>
                </c:pt>
                <c:pt idx="1542" formatCode="#,##0.000">
                  <c:v>#N/A</c:v>
                </c:pt>
                <c:pt idx="1543" formatCode="#,##0.000">
                  <c:v>#N/A</c:v>
                </c:pt>
                <c:pt idx="1544" formatCode="#,##0.000">
                  <c:v>#N/A</c:v>
                </c:pt>
                <c:pt idx="1545" formatCode="#,##0.000">
                  <c:v>#N/A</c:v>
                </c:pt>
                <c:pt idx="1546" formatCode="#,##0.000">
                  <c:v>#N/A</c:v>
                </c:pt>
                <c:pt idx="1547" formatCode="#,##0.000">
                  <c:v>#N/A</c:v>
                </c:pt>
                <c:pt idx="1548" formatCode="#,##0.000">
                  <c:v>#N/A</c:v>
                </c:pt>
                <c:pt idx="1549" formatCode="#,##0.000">
                  <c:v>#N/A</c:v>
                </c:pt>
                <c:pt idx="1550" formatCode="#,##0.000">
                  <c:v>#N/A</c:v>
                </c:pt>
                <c:pt idx="1551" formatCode="#,##0.000">
                  <c:v>#N/A</c:v>
                </c:pt>
                <c:pt idx="1552" formatCode="#,##0.000">
                  <c:v>#N/A</c:v>
                </c:pt>
                <c:pt idx="1553" formatCode="#,##0.000">
                  <c:v>#N/A</c:v>
                </c:pt>
                <c:pt idx="1554" formatCode="#,##0.000">
                  <c:v>#N/A</c:v>
                </c:pt>
                <c:pt idx="1555" formatCode="#,##0.000">
                  <c:v>#N/A</c:v>
                </c:pt>
                <c:pt idx="1556" formatCode="#,##0.000">
                  <c:v>#N/A</c:v>
                </c:pt>
                <c:pt idx="1557" formatCode="#,##0.000">
                  <c:v>#N/A</c:v>
                </c:pt>
                <c:pt idx="1558" formatCode="#,##0.000">
                  <c:v>#N/A</c:v>
                </c:pt>
                <c:pt idx="1559" formatCode="#,##0.000">
                  <c:v>#N/A</c:v>
                </c:pt>
                <c:pt idx="1560" formatCode="#,##0.000">
                  <c:v>#N/A</c:v>
                </c:pt>
                <c:pt idx="1561" formatCode="#,##0.000">
                  <c:v>#N/A</c:v>
                </c:pt>
                <c:pt idx="1562" formatCode="#,##0.000">
                  <c:v>#N/A</c:v>
                </c:pt>
                <c:pt idx="1563" formatCode="#,##0.000">
                  <c:v>#N/A</c:v>
                </c:pt>
                <c:pt idx="1564" formatCode="#,##0.000">
                  <c:v>#N/A</c:v>
                </c:pt>
                <c:pt idx="1565" formatCode="#,##0.000">
                  <c:v>#N/A</c:v>
                </c:pt>
                <c:pt idx="1566" formatCode="#,##0.000">
                  <c:v>#N/A</c:v>
                </c:pt>
                <c:pt idx="1567" formatCode="#,##0.000">
                  <c:v>#N/A</c:v>
                </c:pt>
                <c:pt idx="1568" formatCode="#,##0.000">
                  <c:v>#N/A</c:v>
                </c:pt>
                <c:pt idx="1569" formatCode="#,##0.000">
                  <c:v>#N/A</c:v>
                </c:pt>
                <c:pt idx="1570" formatCode="#,##0.000">
                  <c:v>#N/A</c:v>
                </c:pt>
                <c:pt idx="1571" formatCode="#,##0.000">
                  <c:v>#N/A</c:v>
                </c:pt>
                <c:pt idx="1572" formatCode="#,##0.000">
                  <c:v>#N/A</c:v>
                </c:pt>
                <c:pt idx="1573" formatCode="#,##0.000">
                  <c:v>#N/A</c:v>
                </c:pt>
                <c:pt idx="1574" formatCode="#,##0.000">
                  <c:v>#N/A</c:v>
                </c:pt>
                <c:pt idx="1575" formatCode="#,##0.000">
                  <c:v>#N/A</c:v>
                </c:pt>
                <c:pt idx="1576" formatCode="#,##0.000">
                  <c:v>#N/A</c:v>
                </c:pt>
                <c:pt idx="1577" formatCode="#,##0.000">
                  <c:v>#N/A</c:v>
                </c:pt>
                <c:pt idx="1578" formatCode="#,##0.000">
                  <c:v>#N/A</c:v>
                </c:pt>
                <c:pt idx="1579" formatCode="#,##0.000">
                  <c:v>#N/A</c:v>
                </c:pt>
                <c:pt idx="1580" formatCode="#,##0.000">
                  <c:v>#N/A</c:v>
                </c:pt>
                <c:pt idx="1581" formatCode="#,##0.000">
                  <c:v>#N/A</c:v>
                </c:pt>
                <c:pt idx="1582" formatCode="#,##0.000">
                  <c:v>#N/A</c:v>
                </c:pt>
                <c:pt idx="1583" formatCode="#,##0.000">
                  <c:v>#N/A</c:v>
                </c:pt>
                <c:pt idx="1584" formatCode="#,##0.000">
                  <c:v>#N/A</c:v>
                </c:pt>
                <c:pt idx="1585" formatCode="#,##0.000">
                  <c:v>#N/A</c:v>
                </c:pt>
                <c:pt idx="1586" formatCode="#,##0.000">
                  <c:v>#N/A</c:v>
                </c:pt>
                <c:pt idx="1587" formatCode="#,##0.000">
                  <c:v>#N/A</c:v>
                </c:pt>
                <c:pt idx="1588" formatCode="#,##0.000">
                  <c:v>#N/A</c:v>
                </c:pt>
                <c:pt idx="1589" formatCode="#,##0.000">
                  <c:v>#N/A</c:v>
                </c:pt>
                <c:pt idx="1590" formatCode="#,##0.000">
                  <c:v>#N/A</c:v>
                </c:pt>
                <c:pt idx="1591" formatCode="#,##0.000">
                  <c:v>#N/A</c:v>
                </c:pt>
                <c:pt idx="1592" formatCode="#,##0.000">
                  <c:v>#N/A</c:v>
                </c:pt>
                <c:pt idx="1593" formatCode="#,##0.000">
                  <c:v>#N/A</c:v>
                </c:pt>
                <c:pt idx="1594" formatCode="#,##0.000">
                  <c:v>#N/A</c:v>
                </c:pt>
                <c:pt idx="1595" formatCode="#,##0.000">
                  <c:v>#N/A</c:v>
                </c:pt>
                <c:pt idx="1596" formatCode="#,##0.000">
                  <c:v>#N/A</c:v>
                </c:pt>
                <c:pt idx="1597" formatCode="#,##0.000">
                  <c:v>#N/A</c:v>
                </c:pt>
                <c:pt idx="1598" formatCode="#,##0.000">
                  <c:v>#N/A</c:v>
                </c:pt>
                <c:pt idx="1599" formatCode="#,##0.000">
                  <c:v>#N/A</c:v>
                </c:pt>
                <c:pt idx="1600" formatCode="#,##0.000">
                  <c:v>#N/A</c:v>
                </c:pt>
                <c:pt idx="1601" formatCode="#,##0.000">
                  <c:v>#N/A</c:v>
                </c:pt>
                <c:pt idx="1602" formatCode="#,##0.000">
                  <c:v>#N/A</c:v>
                </c:pt>
                <c:pt idx="1603" formatCode="#,##0.000">
                  <c:v>#N/A</c:v>
                </c:pt>
                <c:pt idx="1604" formatCode="#,##0.000">
                  <c:v>#N/A</c:v>
                </c:pt>
                <c:pt idx="1605" formatCode="#,##0.000">
                  <c:v>#N/A</c:v>
                </c:pt>
                <c:pt idx="1606" formatCode="#,##0.000">
                  <c:v>#N/A</c:v>
                </c:pt>
                <c:pt idx="1607" formatCode="#,##0.000">
                  <c:v>#N/A</c:v>
                </c:pt>
                <c:pt idx="1608" formatCode="#,##0.000">
                  <c:v>#N/A</c:v>
                </c:pt>
                <c:pt idx="1609" formatCode="#,##0.000">
                  <c:v>#N/A</c:v>
                </c:pt>
                <c:pt idx="1610" formatCode="#,##0.000">
                  <c:v>#N/A</c:v>
                </c:pt>
                <c:pt idx="1611" formatCode="#,##0.000">
                  <c:v>#N/A</c:v>
                </c:pt>
                <c:pt idx="1612" formatCode="#,##0.000">
                  <c:v>#N/A</c:v>
                </c:pt>
                <c:pt idx="1613" formatCode="#,##0.000">
                  <c:v>#N/A</c:v>
                </c:pt>
                <c:pt idx="1614" formatCode="#,##0.000">
                  <c:v>#N/A</c:v>
                </c:pt>
                <c:pt idx="1615" formatCode="#,##0.000">
                  <c:v>#N/A</c:v>
                </c:pt>
                <c:pt idx="1616" formatCode="#,##0.000">
                  <c:v>#N/A</c:v>
                </c:pt>
                <c:pt idx="1617" formatCode="#,##0.000">
                  <c:v>#N/A</c:v>
                </c:pt>
                <c:pt idx="1618" formatCode="#,##0.000">
                  <c:v>#N/A</c:v>
                </c:pt>
                <c:pt idx="1619" formatCode="#,##0.000">
                  <c:v>#N/A</c:v>
                </c:pt>
                <c:pt idx="1620" formatCode="#,##0.000">
                  <c:v>#N/A</c:v>
                </c:pt>
                <c:pt idx="1621" formatCode="#,##0.000">
                  <c:v>#N/A</c:v>
                </c:pt>
                <c:pt idx="1622" formatCode="#,##0.000">
                  <c:v>#N/A</c:v>
                </c:pt>
                <c:pt idx="1623" formatCode="#,##0.000">
                  <c:v>#N/A</c:v>
                </c:pt>
                <c:pt idx="1624" formatCode="#,##0.000">
                  <c:v>#N/A</c:v>
                </c:pt>
                <c:pt idx="1625" formatCode="#,##0.000">
                  <c:v>#N/A</c:v>
                </c:pt>
                <c:pt idx="1626" formatCode="#,##0.000">
                  <c:v>#N/A</c:v>
                </c:pt>
                <c:pt idx="1627" formatCode="#,##0.000">
                  <c:v>#N/A</c:v>
                </c:pt>
                <c:pt idx="1628" formatCode="#,##0.000">
                  <c:v>#N/A</c:v>
                </c:pt>
                <c:pt idx="1629" formatCode="#,##0.000">
                  <c:v>#N/A</c:v>
                </c:pt>
                <c:pt idx="1630" formatCode="#,##0.000">
                  <c:v>#N/A</c:v>
                </c:pt>
                <c:pt idx="1631" formatCode="#,##0.000">
                  <c:v>#N/A</c:v>
                </c:pt>
                <c:pt idx="1632" formatCode="#,##0.000">
                  <c:v>#N/A</c:v>
                </c:pt>
                <c:pt idx="1633" formatCode="#,##0.000">
                  <c:v>#N/A</c:v>
                </c:pt>
                <c:pt idx="1634" formatCode="#,##0.000">
                  <c:v>#N/A</c:v>
                </c:pt>
                <c:pt idx="1635" formatCode="#,##0.000">
                  <c:v>#N/A</c:v>
                </c:pt>
                <c:pt idx="1636" formatCode="#,##0.000">
                  <c:v>#N/A</c:v>
                </c:pt>
                <c:pt idx="1637" formatCode="#,##0.000">
                  <c:v>#N/A</c:v>
                </c:pt>
                <c:pt idx="1638" formatCode="#,##0.000">
                  <c:v>#N/A</c:v>
                </c:pt>
                <c:pt idx="1639" formatCode="#,##0.000">
                  <c:v>#N/A</c:v>
                </c:pt>
                <c:pt idx="1640" formatCode="#,##0.000">
                  <c:v>#N/A</c:v>
                </c:pt>
                <c:pt idx="1641" formatCode="#,##0.000">
                  <c:v>#N/A</c:v>
                </c:pt>
                <c:pt idx="1642" formatCode="#,##0.000">
                  <c:v>#N/A</c:v>
                </c:pt>
                <c:pt idx="1643" formatCode="#,##0.000">
                  <c:v>#N/A</c:v>
                </c:pt>
                <c:pt idx="1644" formatCode="#,##0.000">
                  <c:v>#N/A</c:v>
                </c:pt>
                <c:pt idx="1645" formatCode="#,##0.000">
                  <c:v>#N/A</c:v>
                </c:pt>
                <c:pt idx="1646" formatCode="#,##0.000">
                  <c:v>#N/A</c:v>
                </c:pt>
                <c:pt idx="1647" formatCode="#,##0.000">
                  <c:v>#N/A</c:v>
                </c:pt>
                <c:pt idx="1648" formatCode="#,##0.000">
                  <c:v>#N/A</c:v>
                </c:pt>
                <c:pt idx="1649" formatCode="#,##0.000">
                  <c:v>#N/A</c:v>
                </c:pt>
                <c:pt idx="1650" formatCode="#,##0.000">
                  <c:v>#N/A</c:v>
                </c:pt>
                <c:pt idx="1651" formatCode="#,##0.000">
                  <c:v>#N/A</c:v>
                </c:pt>
                <c:pt idx="1652" formatCode="#,##0.000">
                  <c:v>#N/A</c:v>
                </c:pt>
                <c:pt idx="1653" formatCode="#,##0.000">
                  <c:v>#N/A</c:v>
                </c:pt>
                <c:pt idx="1654" formatCode="#,##0.000">
                  <c:v>#N/A</c:v>
                </c:pt>
                <c:pt idx="1655" formatCode="#,##0.000">
                  <c:v>#N/A</c:v>
                </c:pt>
                <c:pt idx="1656" formatCode="#,##0.000">
                  <c:v>#N/A</c:v>
                </c:pt>
                <c:pt idx="1657" formatCode="#,##0.000">
                  <c:v>#N/A</c:v>
                </c:pt>
                <c:pt idx="1658" formatCode="#,##0.000">
                  <c:v>#N/A</c:v>
                </c:pt>
                <c:pt idx="1659" formatCode="#,##0.000">
                  <c:v>#N/A</c:v>
                </c:pt>
                <c:pt idx="1660" formatCode="#,##0.000">
                  <c:v>#N/A</c:v>
                </c:pt>
                <c:pt idx="1661" formatCode="#,##0.000">
                  <c:v>#N/A</c:v>
                </c:pt>
                <c:pt idx="1662" formatCode="#,##0.000">
                  <c:v>#N/A</c:v>
                </c:pt>
                <c:pt idx="1663" formatCode="#,##0.000">
                  <c:v>#N/A</c:v>
                </c:pt>
                <c:pt idx="1664" formatCode="#,##0.000">
                  <c:v>#N/A</c:v>
                </c:pt>
                <c:pt idx="1665" formatCode="#,##0.000">
                  <c:v>#N/A</c:v>
                </c:pt>
                <c:pt idx="1666" formatCode="#,##0.000">
                  <c:v>#N/A</c:v>
                </c:pt>
                <c:pt idx="1667" formatCode="#,##0.000">
                  <c:v>#N/A</c:v>
                </c:pt>
                <c:pt idx="1668" formatCode="#,##0.000">
                  <c:v>#N/A</c:v>
                </c:pt>
                <c:pt idx="1669" formatCode="#,##0.000">
                  <c:v>#N/A</c:v>
                </c:pt>
                <c:pt idx="1670" formatCode="#,##0.000">
                  <c:v>#N/A</c:v>
                </c:pt>
                <c:pt idx="1671" formatCode="#,##0.000">
                  <c:v>#N/A</c:v>
                </c:pt>
                <c:pt idx="1672" formatCode="#,##0.000">
                  <c:v>#N/A</c:v>
                </c:pt>
                <c:pt idx="1673" formatCode="#,##0.000">
                  <c:v>#N/A</c:v>
                </c:pt>
                <c:pt idx="1674" formatCode="#,##0.000">
                  <c:v>#N/A</c:v>
                </c:pt>
                <c:pt idx="1675" formatCode="#,##0.000">
                  <c:v>#N/A</c:v>
                </c:pt>
                <c:pt idx="1676" formatCode="#,##0.000">
                  <c:v>#N/A</c:v>
                </c:pt>
                <c:pt idx="1677" formatCode="#,##0.000">
                  <c:v>#N/A</c:v>
                </c:pt>
                <c:pt idx="1678" formatCode="#,##0.000">
                  <c:v>#N/A</c:v>
                </c:pt>
                <c:pt idx="1679" formatCode="#,##0.000">
                  <c:v>#N/A</c:v>
                </c:pt>
                <c:pt idx="1680" formatCode="#,##0.000">
                  <c:v>#N/A</c:v>
                </c:pt>
                <c:pt idx="1681" formatCode="#,##0.000">
                  <c:v>#N/A</c:v>
                </c:pt>
                <c:pt idx="1682" formatCode="#,##0.000">
                  <c:v>#N/A</c:v>
                </c:pt>
                <c:pt idx="1683" formatCode="#,##0.000">
                  <c:v>#N/A</c:v>
                </c:pt>
                <c:pt idx="1684" formatCode="#,##0.000">
                  <c:v>#N/A</c:v>
                </c:pt>
                <c:pt idx="1685" formatCode="#,##0.000">
                  <c:v>#N/A</c:v>
                </c:pt>
                <c:pt idx="1686" formatCode="#,##0.000">
                  <c:v>#N/A</c:v>
                </c:pt>
                <c:pt idx="1687" formatCode="#,##0.000">
                  <c:v>#N/A</c:v>
                </c:pt>
                <c:pt idx="1688" formatCode="#,##0.000">
                  <c:v>#N/A</c:v>
                </c:pt>
                <c:pt idx="1689" formatCode="#,##0.000">
                  <c:v>#N/A</c:v>
                </c:pt>
                <c:pt idx="1690" formatCode="#,##0.000">
                  <c:v>#N/A</c:v>
                </c:pt>
                <c:pt idx="1691" formatCode="#,##0.000">
                  <c:v>#N/A</c:v>
                </c:pt>
                <c:pt idx="1692" formatCode="#,##0.000">
                  <c:v>#N/A</c:v>
                </c:pt>
                <c:pt idx="1693" formatCode="#,##0.000">
                  <c:v>#N/A</c:v>
                </c:pt>
                <c:pt idx="1694" formatCode="#,##0.000">
                  <c:v>#N/A</c:v>
                </c:pt>
                <c:pt idx="1695" formatCode="#,##0.000">
                  <c:v>#N/A</c:v>
                </c:pt>
                <c:pt idx="1696" formatCode="#,##0.000">
                  <c:v>#N/A</c:v>
                </c:pt>
                <c:pt idx="1697" formatCode="#,##0.000">
                  <c:v>#N/A</c:v>
                </c:pt>
                <c:pt idx="1698" formatCode="#,##0.000">
                  <c:v>#N/A</c:v>
                </c:pt>
                <c:pt idx="1699" formatCode="#,##0.000">
                  <c:v>#N/A</c:v>
                </c:pt>
                <c:pt idx="1700" formatCode="#,##0.000">
                  <c:v>#N/A</c:v>
                </c:pt>
                <c:pt idx="1701" formatCode="#,##0.000">
                  <c:v>#N/A</c:v>
                </c:pt>
                <c:pt idx="1702" formatCode="#,##0.000">
                  <c:v>#N/A</c:v>
                </c:pt>
                <c:pt idx="1703" formatCode="#,##0.000">
                  <c:v>#N/A</c:v>
                </c:pt>
                <c:pt idx="1704" formatCode="#,##0.000">
                  <c:v>#N/A</c:v>
                </c:pt>
                <c:pt idx="1705" formatCode="#,##0.000">
                  <c:v>#N/A</c:v>
                </c:pt>
                <c:pt idx="1706" formatCode="#,##0.000">
                  <c:v>#N/A</c:v>
                </c:pt>
                <c:pt idx="1707" formatCode="#,##0.000">
                  <c:v>#N/A</c:v>
                </c:pt>
                <c:pt idx="1708" formatCode="#,##0.000">
                  <c:v>#N/A</c:v>
                </c:pt>
                <c:pt idx="1709" formatCode="#,##0.000">
                  <c:v>#N/A</c:v>
                </c:pt>
                <c:pt idx="1710" formatCode="#,##0.000">
                  <c:v>#N/A</c:v>
                </c:pt>
                <c:pt idx="1711" formatCode="#,##0.000">
                  <c:v>#N/A</c:v>
                </c:pt>
                <c:pt idx="1712" formatCode="#,##0.000">
                  <c:v>#N/A</c:v>
                </c:pt>
                <c:pt idx="1713" formatCode="#,##0.000">
                  <c:v>#N/A</c:v>
                </c:pt>
                <c:pt idx="1714" formatCode="#,##0.000">
                  <c:v>#N/A</c:v>
                </c:pt>
                <c:pt idx="1715" formatCode="#,##0.000">
                  <c:v>#N/A</c:v>
                </c:pt>
                <c:pt idx="1716" formatCode="#,##0.000">
                  <c:v>#N/A</c:v>
                </c:pt>
                <c:pt idx="1717" formatCode="#,##0.000">
                  <c:v>#N/A</c:v>
                </c:pt>
                <c:pt idx="1718" formatCode="#,##0.000">
                  <c:v>#N/A</c:v>
                </c:pt>
                <c:pt idx="1719" formatCode="#,##0.000">
                  <c:v>#N/A</c:v>
                </c:pt>
                <c:pt idx="1720" formatCode="#,##0.000">
                  <c:v>#N/A</c:v>
                </c:pt>
                <c:pt idx="1721" formatCode="#,##0.000">
                  <c:v>#N/A</c:v>
                </c:pt>
                <c:pt idx="1722" formatCode="#,##0.000">
                  <c:v>#N/A</c:v>
                </c:pt>
                <c:pt idx="1723" formatCode="#,##0.000">
                  <c:v>#N/A</c:v>
                </c:pt>
                <c:pt idx="1724" formatCode="#,##0.000">
                  <c:v>#N/A</c:v>
                </c:pt>
                <c:pt idx="1725" formatCode="#,##0.000">
                  <c:v>#N/A</c:v>
                </c:pt>
                <c:pt idx="1726" formatCode="#,##0.000">
                  <c:v>#N/A</c:v>
                </c:pt>
                <c:pt idx="1727" formatCode="#,##0.000">
                  <c:v>#N/A</c:v>
                </c:pt>
                <c:pt idx="1728" formatCode="#,##0.000">
                  <c:v>#N/A</c:v>
                </c:pt>
                <c:pt idx="1729" formatCode="#,##0.000">
                  <c:v>#N/A</c:v>
                </c:pt>
                <c:pt idx="1730" formatCode="#,##0.000">
                  <c:v>#N/A</c:v>
                </c:pt>
                <c:pt idx="1731" formatCode="#,##0.000">
                  <c:v>#N/A</c:v>
                </c:pt>
                <c:pt idx="1732" formatCode="#,##0.000">
                  <c:v>#N/A</c:v>
                </c:pt>
                <c:pt idx="1733" formatCode="#,##0.000">
                  <c:v>#N/A</c:v>
                </c:pt>
                <c:pt idx="1734" formatCode="#,##0.000">
                  <c:v>#N/A</c:v>
                </c:pt>
                <c:pt idx="1735" formatCode="#,##0.000">
                  <c:v>#N/A</c:v>
                </c:pt>
                <c:pt idx="1736" formatCode="#,##0.000">
                  <c:v>#N/A</c:v>
                </c:pt>
                <c:pt idx="1737" formatCode="#,##0.000">
                  <c:v>#N/A</c:v>
                </c:pt>
                <c:pt idx="1738" formatCode="#,##0.000">
                  <c:v>#N/A</c:v>
                </c:pt>
                <c:pt idx="1739" formatCode="#,##0.000">
                  <c:v>#N/A</c:v>
                </c:pt>
                <c:pt idx="1740" formatCode="#,##0.000">
                  <c:v>#N/A</c:v>
                </c:pt>
                <c:pt idx="1741" formatCode="#,##0.000">
                  <c:v>#N/A</c:v>
                </c:pt>
                <c:pt idx="1742" formatCode="#,##0.000">
                  <c:v>#N/A</c:v>
                </c:pt>
                <c:pt idx="1743" formatCode="#,##0.000">
                  <c:v>#N/A</c:v>
                </c:pt>
                <c:pt idx="1744" formatCode="#,##0.000">
                  <c:v>#N/A</c:v>
                </c:pt>
                <c:pt idx="1745" formatCode="#,##0.000">
                  <c:v>#N/A</c:v>
                </c:pt>
                <c:pt idx="1746" formatCode="#,##0.000">
                  <c:v>#N/A</c:v>
                </c:pt>
                <c:pt idx="1747" formatCode="#,##0.000">
                  <c:v>#N/A</c:v>
                </c:pt>
                <c:pt idx="1748" formatCode="#,##0.000">
                  <c:v>#N/A</c:v>
                </c:pt>
                <c:pt idx="1749" formatCode="#,##0.000">
                  <c:v>#N/A</c:v>
                </c:pt>
                <c:pt idx="1750" formatCode="#,##0.000">
                  <c:v>#N/A</c:v>
                </c:pt>
                <c:pt idx="1751" formatCode="#,##0.000">
                  <c:v>#N/A</c:v>
                </c:pt>
                <c:pt idx="1752" formatCode="#,##0.000">
                  <c:v>#N/A</c:v>
                </c:pt>
                <c:pt idx="1753" formatCode="#,##0.000">
                  <c:v>#N/A</c:v>
                </c:pt>
                <c:pt idx="1754" formatCode="#,##0.000">
                  <c:v>#N/A</c:v>
                </c:pt>
                <c:pt idx="1755" formatCode="#,##0.000">
                  <c:v>#N/A</c:v>
                </c:pt>
                <c:pt idx="1756" formatCode="#,##0.000">
                  <c:v>#N/A</c:v>
                </c:pt>
                <c:pt idx="1757" formatCode="#,##0.000">
                  <c:v>#N/A</c:v>
                </c:pt>
                <c:pt idx="1758" formatCode="#,##0.000">
                  <c:v>#N/A</c:v>
                </c:pt>
                <c:pt idx="1759" formatCode="#,##0.000">
                  <c:v>#N/A</c:v>
                </c:pt>
                <c:pt idx="1760" formatCode="#,##0.000">
                  <c:v>#N/A</c:v>
                </c:pt>
                <c:pt idx="1761" formatCode="#,##0.000">
                  <c:v>#N/A</c:v>
                </c:pt>
                <c:pt idx="1762" formatCode="#,##0.000">
                  <c:v>#N/A</c:v>
                </c:pt>
                <c:pt idx="1763" formatCode="#,##0.000">
                  <c:v>#N/A</c:v>
                </c:pt>
                <c:pt idx="1764" formatCode="#,##0.000">
                  <c:v>#N/A</c:v>
                </c:pt>
                <c:pt idx="1765" formatCode="#,##0.000">
                  <c:v>#N/A</c:v>
                </c:pt>
                <c:pt idx="1766" formatCode="#,##0.000">
                  <c:v>#N/A</c:v>
                </c:pt>
                <c:pt idx="1767" formatCode="#,##0.000">
                  <c:v>#N/A</c:v>
                </c:pt>
                <c:pt idx="1768" formatCode="#,##0.000">
                  <c:v>#N/A</c:v>
                </c:pt>
                <c:pt idx="1769" formatCode="#,##0.000">
                  <c:v>#N/A</c:v>
                </c:pt>
                <c:pt idx="1770" formatCode="#,##0.000">
                  <c:v>#N/A</c:v>
                </c:pt>
                <c:pt idx="1771" formatCode="#,##0.000">
                  <c:v>#N/A</c:v>
                </c:pt>
                <c:pt idx="1772" formatCode="#,##0.000">
                  <c:v>#N/A</c:v>
                </c:pt>
                <c:pt idx="1773" formatCode="#,##0.000">
                  <c:v>#N/A</c:v>
                </c:pt>
                <c:pt idx="1774" formatCode="#,##0.000">
                  <c:v>#N/A</c:v>
                </c:pt>
                <c:pt idx="1775" formatCode="#,##0.000">
                  <c:v>#N/A</c:v>
                </c:pt>
                <c:pt idx="1776" formatCode="#,##0.000">
                  <c:v>#N/A</c:v>
                </c:pt>
                <c:pt idx="1777" formatCode="#,##0.000">
                  <c:v>#N/A</c:v>
                </c:pt>
                <c:pt idx="1778" formatCode="#,##0.000">
                  <c:v>#N/A</c:v>
                </c:pt>
                <c:pt idx="1779" formatCode="#,##0.000">
                  <c:v>#N/A</c:v>
                </c:pt>
                <c:pt idx="1780" formatCode="#,##0.000">
                  <c:v>#N/A</c:v>
                </c:pt>
                <c:pt idx="1781" formatCode="#,##0.000">
                  <c:v>#N/A</c:v>
                </c:pt>
                <c:pt idx="1782" formatCode="#,##0.000">
                  <c:v>#N/A</c:v>
                </c:pt>
                <c:pt idx="1783" formatCode="#,##0.000">
                  <c:v>#N/A</c:v>
                </c:pt>
                <c:pt idx="1784" formatCode="#,##0.000">
                  <c:v>#N/A</c:v>
                </c:pt>
                <c:pt idx="1785" formatCode="#,##0.000">
                  <c:v>#N/A</c:v>
                </c:pt>
                <c:pt idx="1786" formatCode="#,##0.000">
                  <c:v>#N/A</c:v>
                </c:pt>
                <c:pt idx="1787" formatCode="#,##0.000">
                  <c:v>#N/A</c:v>
                </c:pt>
                <c:pt idx="1788" formatCode="#,##0.000">
                  <c:v>#N/A</c:v>
                </c:pt>
                <c:pt idx="1789" formatCode="#,##0.000">
                  <c:v>#N/A</c:v>
                </c:pt>
                <c:pt idx="1790" formatCode="#,##0.000">
                  <c:v>#N/A</c:v>
                </c:pt>
                <c:pt idx="1791" formatCode="#,##0.000">
                  <c:v>#N/A</c:v>
                </c:pt>
                <c:pt idx="1792" formatCode="#,##0.000">
                  <c:v>#N/A</c:v>
                </c:pt>
                <c:pt idx="1793" formatCode="#,##0.000">
                  <c:v>#N/A</c:v>
                </c:pt>
                <c:pt idx="1794" formatCode="#,##0.000">
                  <c:v>#N/A</c:v>
                </c:pt>
                <c:pt idx="1795" formatCode="#,##0.000">
                  <c:v>#N/A</c:v>
                </c:pt>
                <c:pt idx="1796" formatCode="#,##0.000">
                  <c:v>#N/A</c:v>
                </c:pt>
                <c:pt idx="1797" formatCode="#,##0.000">
                  <c:v>#N/A</c:v>
                </c:pt>
                <c:pt idx="1798" formatCode="#,##0.000">
                  <c:v>#N/A</c:v>
                </c:pt>
                <c:pt idx="1799" formatCode="#,##0.000">
                  <c:v>#N/A</c:v>
                </c:pt>
                <c:pt idx="1800" formatCode="#,##0.000">
                  <c:v>#N/A</c:v>
                </c:pt>
                <c:pt idx="1801" formatCode="#,##0.000">
                  <c:v>#N/A</c:v>
                </c:pt>
                <c:pt idx="1802" formatCode="#,##0.000">
                  <c:v>#N/A</c:v>
                </c:pt>
                <c:pt idx="1803" formatCode="#,##0.000">
                  <c:v>#N/A</c:v>
                </c:pt>
                <c:pt idx="1804" formatCode="#,##0.000">
                  <c:v>#N/A</c:v>
                </c:pt>
                <c:pt idx="1805" formatCode="#,##0.000">
                  <c:v>#N/A</c:v>
                </c:pt>
                <c:pt idx="1806" formatCode="#,##0.000">
                  <c:v>#N/A</c:v>
                </c:pt>
                <c:pt idx="1807" formatCode="#,##0.000">
                  <c:v>#N/A</c:v>
                </c:pt>
                <c:pt idx="1808" formatCode="#,##0.000">
                  <c:v>#N/A</c:v>
                </c:pt>
                <c:pt idx="1809" formatCode="#,##0.000">
                  <c:v>#N/A</c:v>
                </c:pt>
                <c:pt idx="1810" formatCode="#,##0.000">
                  <c:v>#N/A</c:v>
                </c:pt>
                <c:pt idx="1811" formatCode="#,##0.000">
                  <c:v>#N/A</c:v>
                </c:pt>
                <c:pt idx="1812" formatCode="#,##0.000">
                  <c:v>#N/A</c:v>
                </c:pt>
                <c:pt idx="1813" formatCode="#,##0.000">
                  <c:v>#N/A</c:v>
                </c:pt>
                <c:pt idx="1814" formatCode="#,##0.000">
                  <c:v>#N/A</c:v>
                </c:pt>
                <c:pt idx="1815" formatCode="#,##0.000">
                  <c:v>#N/A</c:v>
                </c:pt>
                <c:pt idx="1816" formatCode="#,##0.000">
                  <c:v>#N/A</c:v>
                </c:pt>
                <c:pt idx="1817" formatCode="#,##0.000">
                  <c:v>#N/A</c:v>
                </c:pt>
                <c:pt idx="1818" formatCode="#,##0.000">
                  <c:v>#N/A</c:v>
                </c:pt>
                <c:pt idx="1819" formatCode="#,##0.000">
                  <c:v>#N/A</c:v>
                </c:pt>
                <c:pt idx="1820" formatCode="#,##0.000">
                  <c:v>#N/A</c:v>
                </c:pt>
                <c:pt idx="1821" formatCode="#,##0.000">
                  <c:v>#N/A</c:v>
                </c:pt>
                <c:pt idx="1822" formatCode="#,##0.000">
                  <c:v>#N/A</c:v>
                </c:pt>
                <c:pt idx="1823" formatCode="#,##0.000">
                  <c:v>#N/A</c:v>
                </c:pt>
                <c:pt idx="1824" formatCode="#,##0.000">
                  <c:v>#N/A</c:v>
                </c:pt>
                <c:pt idx="1825" formatCode="#,##0.000">
                  <c:v>#N/A</c:v>
                </c:pt>
                <c:pt idx="1826" formatCode="#,##0.000">
                  <c:v>#N/A</c:v>
                </c:pt>
                <c:pt idx="1827" formatCode="#,##0.000">
                  <c:v>#N/A</c:v>
                </c:pt>
                <c:pt idx="1828" formatCode="#,##0.000">
                  <c:v>#N/A</c:v>
                </c:pt>
                <c:pt idx="1829" formatCode="#,##0.000">
                  <c:v>#N/A</c:v>
                </c:pt>
                <c:pt idx="1830" formatCode="#,##0.000">
                  <c:v>#N/A</c:v>
                </c:pt>
                <c:pt idx="1831" formatCode="#,##0.000">
                  <c:v>#N/A</c:v>
                </c:pt>
                <c:pt idx="1832" formatCode="#,##0.000">
                  <c:v>#N/A</c:v>
                </c:pt>
                <c:pt idx="1833" formatCode="#,##0.000">
                  <c:v>#N/A</c:v>
                </c:pt>
                <c:pt idx="1834" formatCode="#,##0.000">
                  <c:v>#N/A</c:v>
                </c:pt>
                <c:pt idx="1835" formatCode="#,##0.000">
                  <c:v>#N/A</c:v>
                </c:pt>
                <c:pt idx="1836" formatCode="#,##0.000">
                  <c:v>#N/A</c:v>
                </c:pt>
                <c:pt idx="1837" formatCode="#,##0.000">
                  <c:v>#N/A</c:v>
                </c:pt>
                <c:pt idx="1838" formatCode="#,##0.000">
                  <c:v>#N/A</c:v>
                </c:pt>
                <c:pt idx="1839" formatCode="#,##0.000">
                  <c:v>#N/A</c:v>
                </c:pt>
                <c:pt idx="1840" formatCode="#,##0.000">
                  <c:v>#N/A</c:v>
                </c:pt>
                <c:pt idx="1841" formatCode="#,##0.000">
                  <c:v>#N/A</c:v>
                </c:pt>
                <c:pt idx="1842" formatCode="#,##0.000">
                  <c:v>#N/A</c:v>
                </c:pt>
                <c:pt idx="1843" formatCode="#,##0.000">
                  <c:v>#N/A</c:v>
                </c:pt>
                <c:pt idx="1844" formatCode="#,##0.000">
                  <c:v>#N/A</c:v>
                </c:pt>
                <c:pt idx="1845" formatCode="#,##0.000">
                  <c:v>#N/A</c:v>
                </c:pt>
                <c:pt idx="1846" formatCode="#,##0.000">
                  <c:v>#N/A</c:v>
                </c:pt>
                <c:pt idx="1847" formatCode="#,##0.000">
                  <c:v>#N/A</c:v>
                </c:pt>
                <c:pt idx="1848" formatCode="#,##0.000">
                  <c:v>#N/A</c:v>
                </c:pt>
                <c:pt idx="1849" formatCode="#,##0.000">
                  <c:v>#N/A</c:v>
                </c:pt>
                <c:pt idx="1850" formatCode="#,##0.000">
                  <c:v>#N/A</c:v>
                </c:pt>
                <c:pt idx="1851" formatCode="#,##0.000">
                  <c:v>#N/A</c:v>
                </c:pt>
                <c:pt idx="1852" formatCode="#,##0.000">
                  <c:v>#N/A</c:v>
                </c:pt>
                <c:pt idx="1853" formatCode="#,##0.000">
                  <c:v>#N/A</c:v>
                </c:pt>
                <c:pt idx="1854" formatCode="#,##0.000">
                  <c:v>#N/A</c:v>
                </c:pt>
                <c:pt idx="1855" formatCode="#,##0.000">
                  <c:v>#N/A</c:v>
                </c:pt>
                <c:pt idx="1856" formatCode="#,##0.000">
                  <c:v>#N/A</c:v>
                </c:pt>
                <c:pt idx="1857" formatCode="#,##0.000">
                  <c:v>#N/A</c:v>
                </c:pt>
                <c:pt idx="1858" formatCode="#,##0.000">
                  <c:v>#N/A</c:v>
                </c:pt>
                <c:pt idx="1859" formatCode="#,##0.000">
                  <c:v>#N/A</c:v>
                </c:pt>
                <c:pt idx="1860" formatCode="#,##0.000">
                  <c:v>#N/A</c:v>
                </c:pt>
                <c:pt idx="1861" formatCode="#,##0.000">
                  <c:v>#N/A</c:v>
                </c:pt>
                <c:pt idx="1862" formatCode="#,##0.000">
                  <c:v>#N/A</c:v>
                </c:pt>
                <c:pt idx="1863" formatCode="#,##0.000">
                  <c:v>#N/A</c:v>
                </c:pt>
                <c:pt idx="1864" formatCode="#,##0.000">
                  <c:v>#N/A</c:v>
                </c:pt>
                <c:pt idx="1865" formatCode="#,##0.000">
                  <c:v>#N/A</c:v>
                </c:pt>
                <c:pt idx="1866" formatCode="#,##0.000">
                  <c:v>#N/A</c:v>
                </c:pt>
                <c:pt idx="1867" formatCode="#,##0.000">
                  <c:v>#N/A</c:v>
                </c:pt>
                <c:pt idx="1868" formatCode="#,##0.000">
                  <c:v>#N/A</c:v>
                </c:pt>
                <c:pt idx="1869" formatCode="#,##0.000">
                  <c:v>#N/A</c:v>
                </c:pt>
                <c:pt idx="1870" formatCode="#,##0.000">
                  <c:v>#N/A</c:v>
                </c:pt>
                <c:pt idx="1871" formatCode="#,##0.000">
                  <c:v>#N/A</c:v>
                </c:pt>
                <c:pt idx="1872" formatCode="#,##0.000">
                  <c:v>#N/A</c:v>
                </c:pt>
                <c:pt idx="1873" formatCode="#,##0.000">
                  <c:v>#N/A</c:v>
                </c:pt>
                <c:pt idx="1874" formatCode="#,##0.000">
                  <c:v>#N/A</c:v>
                </c:pt>
                <c:pt idx="1875" formatCode="#,##0.000">
                  <c:v>#N/A</c:v>
                </c:pt>
                <c:pt idx="1876" formatCode="#,##0.000">
                  <c:v>#N/A</c:v>
                </c:pt>
                <c:pt idx="1877" formatCode="#,##0.000">
                  <c:v>#N/A</c:v>
                </c:pt>
                <c:pt idx="1878" formatCode="#,##0.000">
                  <c:v>#N/A</c:v>
                </c:pt>
                <c:pt idx="1879" formatCode="#,##0.000">
                  <c:v>#N/A</c:v>
                </c:pt>
                <c:pt idx="1880" formatCode="#,##0.000">
                  <c:v>#N/A</c:v>
                </c:pt>
                <c:pt idx="1881" formatCode="#,##0.000">
                  <c:v>#N/A</c:v>
                </c:pt>
                <c:pt idx="1882" formatCode="#,##0.000">
                  <c:v>#N/A</c:v>
                </c:pt>
                <c:pt idx="1883" formatCode="#,##0.000">
                  <c:v>#N/A</c:v>
                </c:pt>
                <c:pt idx="1884" formatCode="#,##0.000">
                  <c:v>#N/A</c:v>
                </c:pt>
                <c:pt idx="1885" formatCode="#,##0.000">
                  <c:v>#N/A</c:v>
                </c:pt>
                <c:pt idx="1886" formatCode="#,##0.000">
                  <c:v>#N/A</c:v>
                </c:pt>
                <c:pt idx="1887" formatCode="#,##0.000">
                  <c:v>#N/A</c:v>
                </c:pt>
                <c:pt idx="1888" formatCode="#,##0.000">
                  <c:v>#N/A</c:v>
                </c:pt>
                <c:pt idx="1889" formatCode="#,##0.000">
                  <c:v>#N/A</c:v>
                </c:pt>
                <c:pt idx="1890" formatCode="#,##0.000">
                  <c:v>#N/A</c:v>
                </c:pt>
                <c:pt idx="1891" formatCode="#,##0.000">
                  <c:v>#N/A</c:v>
                </c:pt>
                <c:pt idx="1892" formatCode="#,##0.000">
                  <c:v>#N/A</c:v>
                </c:pt>
                <c:pt idx="1893" formatCode="#,##0.000">
                  <c:v>#N/A</c:v>
                </c:pt>
                <c:pt idx="1894" formatCode="#,##0.000">
                  <c:v>#N/A</c:v>
                </c:pt>
                <c:pt idx="1895" formatCode="#,##0.000">
                  <c:v>#N/A</c:v>
                </c:pt>
                <c:pt idx="1896" formatCode="#,##0.000">
                  <c:v>#N/A</c:v>
                </c:pt>
                <c:pt idx="1897" formatCode="#,##0.000">
                  <c:v>#N/A</c:v>
                </c:pt>
                <c:pt idx="1898" formatCode="#,##0.000">
                  <c:v>#N/A</c:v>
                </c:pt>
                <c:pt idx="1899" formatCode="#,##0.000">
                  <c:v>#N/A</c:v>
                </c:pt>
                <c:pt idx="1900" formatCode="#,##0.000">
                  <c:v>#N/A</c:v>
                </c:pt>
                <c:pt idx="1901" formatCode="#,##0.000">
                  <c:v>#N/A</c:v>
                </c:pt>
                <c:pt idx="1902" formatCode="#,##0.000">
                  <c:v>#N/A</c:v>
                </c:pt>
                <c:pt idx="1903" formatCode="#,##0.000">
                  <c:v>#N/A</c:v>
                </c:pt>
                <c:pt idx="1904" formatCode="#,##0.000">
                  <c:v>#N/A</c:v>
                </c:pt>
                <c:pt idx="1905" formatCode="#,##0.000">
                  <c:v>#N/A</c:v>
                </c:pt>
                <c:pt idx="1906" formatCode="#,##0.000">
                  <c:v>#N/A</c:v>
                </c:pt>
                <c:pt idx="1907" formatCode="#,##0.000">
                  <c:v>#N/A</c:v>
                </c:pt>
                <c:pt idx="1908" formatCode="#,##0.000">
                  <c:v>#N/A</c:v>
                </c:pt>
                <c:pt idx="1909" formatCode="#,##0.000">
                  <c:v>#N/A</c:v>
                </c:pt>
                <c:pt idx="1910" formatCode="#,##0.000">
                  <c:v>#N/A</c:v>
                </c:pt>
                <c:pt idx="1911" formatCode="#,##0.000">
                  <c:v>#N/A</c:v>
                </c:pt>
                <c:pt idx="1912" formatCode="#,##0.000">
                  <c:v>#N/A</c:v>
                </c:pt>
                <c:pt idx="1913" formatCode="#,##0.000">
                  <c:v>#N/A</c:v>
                </c:pt>
                <c:pt idx="1914" formatCode="#,##0.000">
                  <c:v>#N/A</c:v>
                </c:pt>
                <c:pt idx="1915" formatCode="#,##0.000">
                  <c:v>#N/A</c:v>
                </c:pt>
                <c:pt idx="1916" formatCode="#,##0.000">
                  <c:v>#N/A</c:v>
                </c:pt>
                <c:pt idx="1917" formatCode="#,##0.000">
                  <c:v>#N/A</c:v>
                </c:pt>
                <c:pt idx="1918" formatCode="#,##0.000">
                  <c:v>#N/A</c:v>
                </c:pt>
                <c:pt idx="1919" formatCode="#,##0.000">
                  <c:v>#N/A</c:v>
                </c:pt>
                <c:pt idx="1920" formatCode="#,##0.000">
                  <c:v>#N/A</c:v>
                </c:pt>
                <c:pt idx="1921" formatCode="#,##0.000">
                  <c:v>#N/A</c:v>
                </c:pt>
                <c:pt idx="1922" formatCode="#,##0.000">
                  <c:v>#N/A</c:v>
                </c:pt>
                <c:pt idx="1923" formatCode="#,##0.000">
                  <c:v>#N/A</c:v>
                </c:pt>
                <c:pt idx="1924" formatCode="#,##0.000">
                  <c:v>#N/A</c:v>
                </c:pt>
                <c:pt idx="1925" formatCode="#,##0.000">
                  <c:v>#N/A</c:v>
                </c:pt>
                <c:pt idx="1926" formatCode="#,##0.000">
                  <c:v>#N/A</c:v>
                </c:pt>
                <c:pt idx="1927" formatCode="#,##0.000">
                  <c:v>#N/A</c:v>
                </c:pt>
                <c:pt idx="1928" formatCode="#,##0.000">
                  <c:v>#N/A</c:v>
                </c:pt>
                <c:pt idx="1929" formatCode="#,##0.000">
                  <c:v>#N/A</c:v>
                </c:pt>
                <c:pt idx="1930" formatCode="#,##0.000">
                  <c:v>#N/A</c:v>
                </c:pt>
                <c:pt idx="1931" formatCode="#,##0.000">
                  <c:v>#N/A</c:v>
                </c:pt>
                <c:pt idx="1932" formatCode="#,##0.000">
                  <c:v>#N/A</c:v>
                </c:pt>
                <c:pt idx="1933" formatCode="#,##0.000">
                  <c:v>#N/A</c:v>
                </c:pt>
                <c:pt idx="1934" formatCode="#,##0.000">
                  <c:v>#N/A</c:v>
                </c:pt>
                <c:pt idx="1935" formatCode="#,##0.000">
                  <c:v>#N/A</c:v>
                </c:pt>
                <c:pt idx="1936" formatCode="#,##0.000">
                  <c:v>#N/A</c:v>
                </c:pt>
                <c:pt idx="1937" formatCode="#,##0.000">
                  <c:v>#N/A</c:v>
                </c:pt>
                <c:pt idx="1938" formatCode="#,##0.000">
                  <c:v>#N/A</c:v>
                </c:pt>
                <c:pt idx="1939" formatCode="#,##0.000">
                  <c:v>#N/A</c:v>
                </c:pt>
                <c:pt idx="1940" formatCode="#,##0.000">
                  <c:v>#N/A</c:v>
                </c:pt>
                <c:pt idx="1941" formatCode="#,##0.000">
                  <c:v>#N/A</c:v>
                </c:pt>
                <c:pt idx="1942" formatCode="#,##0.000">
                  <c:v>#N/A</c:v>
                </c:pt>
                <c:pt idx="1943" formatCode="#,##0.000">
                  <c:v>#N/A</c:v>
                </c:pt>
                <c:pt idx="1944" formatCode="#,##0.000">
                  <c:v>#N/A</c:v>
                </c:pt>
                <c:pt idx="1945" formatCode="#,##0.000">
                  <c:v>#N/A</c:v>
                </c:pt>
                <c:pt idx="1946" formatCode="#,##0.000">
                  <c:v>#N/A</c:v>
                </c:pt>
                <c:pt idx="1947" formatCode="#,##0.000">
                  <c:v>#N/A</c:v>
                </c:pt>
                <c:pt idx="1948" formatCode="#,##0.000">
                  <c:v>#N/A</c:v>
                </c:pt>
                <c:pt idx="1949" formatCode="#,##0.000">
                  <c:v>#N/A</c:v>
                </c:pt>
                <c:pt idx="1950" formatCode="#,##0.000">
                  <c:v>#N/A</c:v>
                </c:pt>
                <c:pt idx="1951" formatCode="#,##0.000">
                  <c:v>#N/A</c:v>
                </c:pt>
                <c:pt idx="1952" formatCode="#,##0.000">
                  <c:v>#N/A</c:v>
                </c:pt>
                <c:pt idx="1953" formatCode="#,##0.000">
                  <c:v>#N/A</c:v>
                </c:pt>
                <c:pt idx="1954" formatCode="#,##0.000">
                  <c:v>#N/A</c:v>
                </c:pt>
                <c:pt idx="1955" formatCode="#,##0.000">
                  <c:v>#N/A</c:v>
                </c:pt>
                <c:pt idx="1956" formatCode="#,##0.000">
                  <c:v>#N/A</c:v>
                </c:pt>
                <c:pt idx="1957" formatCode="#,##0.000">
                  <c:v>#N/A</c:v>
                </c:pt>
                <c:pt idx="1958" formatCode="#,##0.000">
                  <c:v>#N/A</c:v>
                </c:pt>
                <c:pt idx="1959" formatCode="#,##0.000">
                  <c:v>#N/A</c:v>
                </c:pt>
                <c:pt idx="1960" formatCode="#,##0.000">
                  <c:v>#N/A</c:v>
                </c:pt>
                <c:pt idx="1961" formatCode="#,##0.000">
                  <c:v>#N/A</c:v>
                </c:pt>
                <c:pt idx="1962" formatCode="#,##0.000">
                  <c:v>#N/A</c:v>
                </c:pt>
                <c:pt idx="1963" formatCode="#,##0.000">
                  <c:v>#N/A</c:v>
                </c:pt>
                <c:pt idx="1964" formatCode="#,##0.000">
                  <c:v>#N/A</c:v>
                </c:pt>
                <c:pt idx="1965" formatCode="#,##0.000">
                  <c:v>#N/A</c:v>
                </c:pt>
                <c:pt idx="1966" formatCode="#,##0.000">
                  <c:v>#N/A</c:v>
                </c:pt>
                <c:pt idx="1967" formatCode="#,##0.000">
                  <c:v>#N/A</c:v>
                </c:pt>
                <c:pt idx="1968" formatCode="#,##0.000">
                  <c:v>#N/A</c:v>
                </c:pt>
                <c:pt idx="1969" formatCode="#,##0.000">
                  <c:v>#N/A</c:v>
                </c:pt>
                <c:pt idx="1970" formatCode="#,##0.000">
                  <c:v>#N/A</c:v>
                </c:pt>
                <c:pt idx="1971" formatCode="#,##0.000">
                  <c:v>#N/A</c:v>
                </c:pt>
                <c:pt idx="1972" formatCode="#,##0.000">
                  <c:v>#N/A</c:v>
                </c:pt>
                <c:pt idx="1973" formatCode="#,##0.000">
                  <c:v>#N/A</c:v>
                </c:pt>
                <c:pt idx="1974" formatCode="#,##0.000">
                  <c:v>#N/A</c:v>
                </c:pt>
                <c:pt idx="1975" formatCode="#,##0.000">
                  <c:v>#N/A</c:v>
                </c:pt>
                <c:pt idx="1976" formatCode="#,##0.000">
                  <c:v>#N/A</c:v>
                </c:pt>
                <c:pt idx="1977" formatCode="#,##0.000">
                  <c:v>#N/A</c:v>
                </c:pt>
                <c:pt idx="1978" formatCode="#,##0.000">
                  <c:v>#N/A</c:v>
                </c:pt>
                <c:pt idx="1979" formatCode="#,##0.000">
                  <c:v>#N/A</c:v>
                </c:pt>
                <c:pt idx="1980" formatCode="#,##0.000">
                  <c:v>#N/A</c:v>
                </c:pt>
                <c:pt idx="1981" formatCode="#,##0.000">
                  <c:v>#N/A</c:v>
                </c:pt>
                <c:pt idx="1982" formatCode="#,##0.000">
                  <c:v>#N/A</c:v>
                </c:pt>
                <c:pt idx="1983" formatCode="#,##0.000">
                  <c:v>#N/A</c:v>
                </c:pt>
                <c:pt idx="1984" formatCode="#,##0.000">
                  <c:v>#N/A</c:v>
                </c:pt>
                <c:pt idx="1985" formatCode="#,##0.000">
                  <c:v>#N/A</c:v>
                </c:pt>
                <c:pt idx="1986" formatCode="#,##0.000">
                  <c:v>#N/A</c:v>
                </c:pt>
                <c:pt idx="1987" formatCode="#,##0.000">
                  <c:v>#N/A</c:v>
                </c:pt>
                <c:pt idx="1988" formatCode="#,##0.000">
                  <c:v>#N/A</c:v>
                </c:pt>
                <c:pt idx="1989" formatCode="#,##0.000">
                  <c:v>#N/A</c:v>
                </c:pt>
                <c:pt idx="1990" formatCode="#,##0.000">
                  <c:v>#N/A</c:v>
                </c:pt>
                <c:pt idx="1991" formatCode="#,##0.000">
                  <c:v>#N/A</c:v>
                </c:pt>
                <c:pt idx="1992" formatCode="#,##0.000">
                  <c:v>#N/A</c:v>
                </c:pt>
                <c:pt idx="1993" formatCode="#,##0.000">
                  <c:v>#N/A</c:v>
                </c:pt>
                <c:pt idx="1994" formatCode="#,##0.000">
                  <c:v>#N/A</c:v>
                </c:pt>
                <c:pt idx="1995" formatCode="#,##0.000">
                  <c:v>#N/A</c:v>
                </c:pt>
                <c:pt idx="1996" formatCode="#,##0.000">
                  <c:v>#N/A</c:v>
                </c:pt>
                <c:pt idx="1997" formatCode="#,##0.000">
                  <c:v>#N/A</c:v>
                </c:pt>
                <c:pt idx="1998" formatCode="#,##0.000">
                  <c:v>#N/A</c:v>
                </c:pt>
                <c:pt idx="1999" formatCode="#,##0.000">
                  <c:v>#N/A</c:v>
                </c:pt>
                <c:pt idx="2000" formatCode="#,##0.000">
                  <c:v>#N/A</c:v>
                </c:pt>
                <c:pt idx="2001" formatCode="#,##0.000">
                  <c:v>#N/A</c:v>
                </c:pt>
                <c:pt idx="2002" formatCode="#,##0.000">
                  <c:v>#N/A</c:v>
                </c:pt>
                <c:pt idx="2003" formatCode="#,##0.000">
                  <c:v>#N/A</c:v>
                </c:pt>
                <c:pt idx="2004" formatCode="#,##0.000">
                  <c:v>#N/A</c:v>
                </c:pt>
                <c:pt idx="2005" formatCode="#,##0.000">
                  <c:v>#N/A</c:v>
                </c:pt>
                <c:pt idx="2006" formatCode="#,##0.000">
                  <c:v>#N/A</c:v>
                </c:pt>
                <c:pt idx="2007" formatCode="#,##0.000">
                  <c:v>#N/A</c:v>
                </c:pt>
                <c:pt idx="2008" formatCode="#,##0.000">
                  <c:v>#N/A</c:v>
                </c:pt>
                <c:pt idx="2009" formatCode="#,##0.000">
                  <c:v>#N/A</c:v>
                </c:pt>
                <c:pt idx="2010" formatCode="#,##0.000">
                  <c:v>#N/A</c:v>
                </c:pt>
                <c:pt idx="2011" formatCode="#,##0.000">
                  <c:v>#N/A</c:v>
                </c:pt>
                <c:pt idx="2012" formatCode="#,##0.000">
                  <c:v>#N/A</c:v>
                </c:pt>
                <c:pt idx="2013" formatCode="#,##0.000">
                  <c:v>#N/A</c:v>
                </c:pt>
                <c:pt idx="2014" formatCode="#,##0.000">
                  <c:v>#N/A</c:v>
                </c:pt>
                <c:pt idx="2015" formatCode="#,##0.000">
                  <c:v>#N/A</c:v>
                </c:pt>
                <c:pt idx="2016" formatCode="#,##0.000">
                  <c:v>#N/A</c:v>
                </c:pt>
                <c:pt idx="2017" formatCode="#,##0.000">
                  <c:v>#N/A</c:v>
                </c:pt>
                <c:pt idx="2018" formatCode="#,##0.000">
                  <c:v>#N/A</c:v>
                </c:pt>
                <c:pt idx="2019" formatCode="#,##0.000">
                  <c:v>#N/A</c:v>
                </c:pt>
                <c:pt idx="2020" formatCode="#,##0.000">
                  <c:v>#N/A</c:v>
                </c:pt>
                <c:pt idx="2021" formatCode="#,##0.000">
                  <c:v>#N/A</c:v>
                </c:pt>
                <c:pt idx="2022" formatCode="#,##0.000">
                  <c:v>#N/A</c:v>
                </c:pt>
                <c:pt idx="2023" formatCode="#,##0.000">
                  <c:v>#N/A</c:v>
                </c:pt>
                <c:pt idx="2024" formatCode="#,##0.000">
                  <c:v>#N/A</c:v>
                </c:pt>
                <c:pt idx="2025" formatCode="#,##0.000">
                  <c:v>#N/A</c:v>
                </c:pt>
                <c:pt idx="2026" formatCode="#,##0.000">
                  <c:v>#N/A</c:v>
                </c:pt>
                <c:pt idx="2027" formatCode="#,##0.000">
                  <c:v>#N/A</c:v>
                </c:pt>
                <c:pt idx="2028" formatCode="#,##0.000">
                  <c:v>#N/A</c:v>
                </c:pt>
                <c:pt idx="2029" formatCode="#,##0.000">
                  <c:v>#N/A</c:v>
                </c:pt>
                <c:pt idx="2030" formatCode="#,##0.000">
                  <c:v>#N/A</c:v>
                </c:pt>
                <c:pt idx="2031" formatCode="#,##0.000">
                  <c:v>#N/A</c:v>
                </c:pt>
                <c:pt idx="2032" formatCode="#,##0.000">
                  <c:v>#N/A</c:v>
                </c:pt>
                <c:pt idx="2033" formatCode="#,##0.000">
                  <c:v>#N/A</c:v>
                </c:pt>
                <c:pt idx="2034" formatCode="#,##0.000">
                  <c:v>#N/A</c:v>
                </c:pt>
                <c:pt idx="2035" formatCode="#,##0.000">
                  <c:v>#N/A</c:v>
                </c:pt>
                <c:pt idx="2036" formatCode="#,##0.000">
                  <c:v>#N/A</c:v>
                </c:pt>
                <c:pt idx="2037" formatCode="#,##0.000">
                  <c:v>#N/A</c:v>
                </c:pt>
                <c:pt idx="2038" formatCode="#,##0.000">
                  <c:v>#N/A</c:v>
                </c:pt>
                <c:pt idx="2039" formatCode="#,##0.000">
                  <c:v>#N/A</c:v>
                </c:pt>
                <c:pt idx="2040" formatCode="#,##0.000">
                  <c:v>#N/A</c:v>
                </c:pt>
                <c:pt idx="2041" formatCode="#,##0.000">
                  <c:v>#N/A</c:v>
                </c:pt>
                <c:pt idx="2042" formatCode="#,##0.000">
                  <c:v>#N/A</c:v>
                </c:pt>
                <c:pt idx="2043" formatCode="#,##0.000">
                  <c:v>#N/A</c:v>
                </c:pt>
                <c:pt idx="2044" formatCode="#,##0.000">
                  <c:v>#N/A</c:v>
                </c:pt>
                <c:pt idx="2045" formatCode="#,##0.000">
                  <c:v>#N/A</c:v>
                </c:pt>
                <c:pt idx="2046" formatCode="#,##0.000">
                  <c:v>#N/A</c:v>
                </c:pt>
                <c:pt idx="2047" formatCode="#,##0.000">
                  <c:v>#N/A</c:v>
                </c:pt>
                <c:pt idx="2048" formatCode="#,##0.000">
                  <c:v>#N/A</c:v>
                </c:pt>
                <c:pt idx="2049" formatCode="#,##0.000">
                  <c:v>#N/A</c:v>
                </c:pt>
                <c:pt idx="2050" formatCode="#,##0.000">
                  <c:v>#N/A</c:v>
                </c:pt>
                <c:pt idx="2051" formatCode="#,##0.000">
                  <c:v>#N/A</c:v>
                </c:pt>
                <c:pt idx="2052" formatCode="#,##0.000">
                  <c:v>#N/A</c:v>
                </c:pt>
                <c:pt idx="2053" formatCode="#,##0.000">
                  <c:v>#N/A</c:v>
                </c:pt>
                <c:pt idx="2054" formatCode="#,##0.000">
                  <c:v>#N/A</c:v>
                </c:pt>
                <c:pt idx="2055" formatCode="#,##0.000">
                  <c:v>#N/A</c:v>
                </c:pt>
                <c:pt idx="2056" formatCode="#,##0.000">
                  <c:v>#N/A</c:v>
                </c:pt>
                <c:pt idx="2057" formatCode="#,##0.000">
                  <c:v>#N/A</c:v>
                </c:pt>
                <c:pt idx="2058" formatCode="#,##0.000">
                  <c:v>#N/A</c:v>
                </c:pt>
                <c:pt idx="2059" formatCode="#,##0.000">
                  <c:v>#N/A</c:v>
                </c:pt>
                <c:pt idx="2060" formatCode="#,##0.000">
                  <c:v>#N/A</c:v>
                </c:pt>
                <c:pt idx="2061" formatCode="#,##0.000">
                  <c:v>#N/A</c:v>
                </c:pt>
                <c:pt idx="2062" formatCode="#,##0.000">
                  <c:v>#N/A</c:v>
                </c:pt>
                <c:pt idx="2063" formatCode="#,##0.000">
                  <c:v>#N/A</c:v>
                </c:pt>
                <c:pt idx="2064" formatCode="#,##0.000">
                  <c:v>#N/A</c:v>
                </c:pt>
                <c:pt idx="2065" formatCode="#,##0.000">
                  <c:v>#N/A</c:v>
                </c:pt>
                <c:pt idx="2066" formatCode="#,##0.000">
                  <c:v>#N/A</c:v>
                </c:pt>
                <c:pt idx="2067" formatCode="#,##0.000">
                  <c:v>#N/A</c:v>
                </c:pt>
                <c:pt idx="2068" formatCode="#,##0.000">
                  <c:v>#N/A</c:v>
                </c:pt>
                <c:pt idx="2069" formatCode="#,##0.000">
                  <c:v>#N/A</c:v>
                </c:pt>
                <c:pt idx="2070" formatCode="#,##0.000">
                  <c:v>#N/A</c:v>
                </c:pt>
                <c:pt idx="2071" formatCode="#,##0.000">
                  <c:v>#N/A</c:v>
                </c:pt>
                <c:pt idx="2072" formatCode="#,##0.000">
                  <c:v>#N/A</c:v>
                </c:pt>
                <c:pt idx="2073" formatCode="#,##0.000">
                  <c:v>#N/A</c:v>
                </c:pt>
                <c:pt idx="2074" formatCode="#,##0.000">
                  <c:v>#N/A</c:v>
                </c:pt>
                <c:pt idx="2075" formatCode="#,##0.000">
                  <c:v>#N/A</c:v>
                </c:pt>
                <c:pt idx="2076" formatCode="#,##0.000">
                  <c:v>#N/A</c:v>
                </c:pt>
                <c:pt idx="2077" formatCode="#,##0.000">
                  <c:v>#N/A</c:v>
                </c:pt>
                <c:pt idx="2078" formatCode="#,##0.000">
                  <c:v>#N/A</c:v>
                </c:pt>
                <c:pt idx="2079" formatCode="#,##0.000">
                  <c:v>#N/A</c:v>
                </c:pt>
                <c:pt idx="2080" formatCode="#,##0.000">
                  <c:v>#N/A</c:v>
                </c:pt>
                <c:pt idx="2081" formatCode="#,##0.000">
                  <c:v>#N/A</c:v>
                </c:pt>
                <c:pt idx="2082" formatCode="#,##0.000">
                  <c:v>#N/A</c:v>
                </c:pt>
                <c:pt idx="2083" formatCode="#,##0.000">
                  <c:v>#N/A</c:v>
                </c:pt>
                <c:pt idx="2084" formatCode="#,##0.000">
                  <c:v>#N/A</c:v>
                </c:pt>
                <c:pt idx="2085" formatCode="#,##0.000">
                  <c:v>#N/A</c:v>
                </c:pt>
                <c:pt idx="2086" formatCode="#,##0.000">
                  <c:v>#N/A</c:v>
                </c:pt>
                <c:pt idx="2087" formatCode="#,##0.000">
                  <c:v>#N/A</c:v>
                </c:pt>
                <c:pt idx="2088" formatCode="#,##0.000">
                  <c:v>#N/A</c:v>
                </c:pt>
                <c:pt idx="2089" formatCode="#,##0.000">
                  <c:v>#N/A</c:v>
                </c:pt>
                <c:pt idx="2090" formatCode="#,##0.000">
                  <c:v>#N/A</c:v>
                </c:pt>
                <c:pt idx="2091" formatCode="#,##0.000">
                  <c:v>#N/A</c:v>
                </c:pt>
                <c:pt idx="2092" formatCode="#,##0.000">
                  <c:v>#N/A</c:v>
                </c:pt>
                <c:pt idx="2093" formatCode="#,##0.000">
                  <c:v>#N/A</c:v>
                </c:pt>
                <c:pt idx="2094" formatCode="#,##0.000">
                  <c:v>#N/A</c:v>
                </c:pt>
                <c:pt idx="2095" formatCode="#,##0.000">
                  <c:v>#N/A</c:v>
                </c:pt>
                <c:pt idx="2096" formatCode="#,##0.000">
                  <c:v>#N/A</c:v>
                </c:pt>
                <c:pt idx="2097" formatCode="#,##0.000">
                  <c:v>#N/A</c:v>
                </c:pt>
                <c:pt idx="2098" formatCode="#,##0.000">
                  <c:v>#N/A</c:v>
                </c:pt>
                <c:pt idx="2099" formatCode="#,##0.000">
                  <c:v>#N/A</c:v>
                </c:pt>
                <c:pt idx="2100" formatCode="#,##0.000">
                  <c:v>#N/A</c:v>
                </c:pt>
                <c:pt idx="2101" formatCode="#,##0.000">
                  <c:v>#N/A</c:v>
                </c:pt>
                <c:pt idx="2102" formatCode="#,##0.000">
                  <c:v>#N/A</c:v>
                </c:pt>
                <c:pt idx="2103" formatCode="#,##0.000">
                  <c:v>#N/A</c:v>
                </c:pt>
                <c:pt idx="2104" formatCode="#,##0.000">
                  <c:v>#N/A</c:v>
                </c:pt>
                <c:pt idx="2105" formatCode="#,##0.000">
                  <c:v>#N/A</c:v>
                </c:pt>
                <c:pt idx="2106" formatCode="#,##0.000">
                  <c:v>#N/A</c:v>
                </c:pt>
                <c:pt idx="2107" formatCode="#,##0.000">
                  <c:v>#N/A</c:v>
                </c:pt>
                <c:pt idx="2108" formatCode="#,##0.000">
                  <c:v>#N/A</c:v>
                </c:pt>
                <c:pt idx="2109" formatCode="#,##0.000">
                  <c:v>#N/A</c:v>
                </c:pt>
                <c:pt idx="2110" formatCode="#,##0.000">
                  <c:v>#N/A</c:v>
                </c:pt>
                <c:pt idx="2111" formatCode="#,##0.000">
                  <c:v>#N/A</c:v>
                </c:pt>
                <c:pt idx="2112" formatCode="#,##0.000">
                  <c:v>#N/A</c:v>
                </c:pt>
                <c:pt idx="2113" formatCode="#,##0.000">
                  <c:v>#N/A</c:v>
                </c:pt>
                <c:pt idx="2114" formatCode="#,##0.000">
                  <c:v>#N/A</c:v>
                </c:pt>
                <c:pt idx="2115" formatCode="#,##0.000">
                  <c:v>#N/A</c:v>
                </c:pt>
                <c:pt idx="2116" formatCode="#,##0.000">
                  <c:v>#N/A</c:v>
                </c:pt>
                <c:pt idx="2117" formatCode="#,##0.000">
                  <c:v>#N/A</c:v>
                </c:pt>
                <c:pt idx="2118" formatCode="#,##0.000">
                  <c:v>#N/A</c:v>
                </c:pt>
                <c:pt idx="2119" formatCode="#,##0.000">
                  <c:v>#N/A</c:v>
                </c:pt>
                <c:pt idx="2120" formatCode="#,##0.000">
                  <c:v>#N/A</c:v>
                </c:pt>
                <c:pt idx="2121" formatCode="#,##0.000">
                  <c:v>#N/A</c:v>
                </c:pt>
                <c:pt idx="2122" formatCode="#,##0.000">
                  <c:v>#N/A</c:v>
                </c:pt>
                <c:pt idx="2123" formatCode="#,##0.000">
                  <c:v>#N/A</c:v>
                </c:pt>
                <c:pt idx="2124" formatCode="#,##0.000">
                  <c:v>#N/A</c:v>
                </c:pt>
                <c:pt idx="2125" formatCode="#,##0.000">
                  <c:v>#N/A</c:v>
                </c:pt>
                <c:pt idx="2126" formatCode="#,##0.000">
                  <c:v>#N/A</c:v>
                </c:pt>
                <c:pt idx="2127" formatCode="#,##0.000">
                  <c:v>#N/A</c:v>
                </c:pt>
                <c:pt idx="2128" formatCode="#,##0.000">
                  <c:v>#N/A</c:v>
                </c:pt>
                <c:pt idx="2129" formatCode="#,##0.000">
                  <c:v>#N/A</c:v>
                </c:pt>
                <c:pt idx="2130" formatCode="#,##0.000">
                  <c:v>#N/A</c:v>
                </c:pt>
                <c:pt idx="2131" formatCode="#,##0.000">
                  <c:v>#N/A</c:v>
                </c:pt>
                <c:pt idx="2132" formatCode="#,##0.000">
                  <c:v>#N/A</c:v>
                </c:pt>
                <c:pt idx="2133" formatCode="#,##0.000">
                  <c:v>#N/A</c:v>
                </c:pt>
                <c:pt idx="2134" formatCode="#,##0.000">
                  <c:v>#N/A</c:v>
                </c:pt>
                <c:pt idx="2135" formatCode="#,##0.000">
                  <c:v>#N/A</c:v>
                </c:pt>
                <c:pt idx="2136" formatCode="#,##0.000">
                  <c:v>#N/A</c:v>
                </c:pt>
                <c:pt idx="2137" formatCode="#,##0.000">
                  <c:v>#N/A</c:v>
                </c:pt>
                <c:pt idx="2138" formatCode="#,##0.000">
                  <c:v>#N/A</c:v>
                </c:pt>
                <c:pt idx="2139" formatCode="#,##0.000">
                  <c:v>#N/A</c:v>
                </c:pt>
                <c:pt idx="2140" formatCode="#,##0.000">
                  <c:v>#N/A</c:v>
                </c:pt>
                <c:pt idx="2141" formatCode="#,##0.000">
                  <c:v>#N/A</c:v>
                </c:pt>
                <c:pt idx="2142" formatCode="#,##0.000">
                  <c:v>#N/A</c:v>
                </c:pt>
                <c:pt idx="2143" formatCode="#,##0.000">
                  <c:v>#N/A</c:v>
                </c:pt>
                <c:pt idx="2144" formatCode="#,##0.000">
                  <c:v>#N/A</c:v>
                </c:pt>
                <c:pt idx="2145" formatCode="#,##0.000">
                  <c:v>#N/A</c:v>
                </c:pt>
                <c:pt idx="2146" formatCode="#,##0.000">
                  <c:v>#N/A</c:v>
                </c:pt>
                <c:pt idx="2147" formatCode="#,##0.000">
                  <c:v>#N/A</c:v>
                </c:pt>
                <c:pt idx="2148" formatCode="#,##0.000">
                  <c:v>#N/A</c:v>
                </c:pt>
                <c:pt idx="2149" formatCode="#,##0.000">
                  <c:v>#N/A</c:v>
                </c:pt>
                <c:pt idx="2150" formatCode="#,##0.000">
                  <c:v>#N/A</c:v>
                </c:pt>
                <c:pt idx="2151" formatCode="#,##0.000">
                  <c:v>#N/A</c:v>
                </c:pt>
                <c:pt idx="2152" formatCode="#,##0.000">
                  <c:v>#N/A</c:v>
                </c:pt>
                <c:pt idx="2153" formatCode="#,##0.000">
                  <c:v>#N/A</c:v>
                </c:pt>
                <c:pt idx="2154" formatCode="#,##0.000">
                  <c:v>#N/A</c:v>
                </c:pt>
                <c:pt idx="2155" formatCode="#,##0.000">
                  <c:v>#N/A</c:v>
                </c:pt>
                <c:pt idx="2156" formatCode="#,##0.000">
                  <c:v>#N/A</c:v>
                </c:pt>
                <c:pt idx="2157" formatCode="#,##0.000">
                  <c:v>#N/A</c:v>
                </c:pt>
                <c:pt idx="2158" formatCode="#,##0.000">
                  <c:v>#N/A</c:v>
                </c:pt>
                <c:pt idx="2159" formatCode="#,##0.000">
                  <c:v>#N/A</c:v>
                </c:pt>
                <c:pt idx="2160" formatCode="#,##0.000">
                  <c:v>#N/A</c:v>
                </c:pt>
                <c:pt idx="2161" formatCode="#,##0.000">
                  <c:v>#N/A</c:v>
                </c:pt>
                <c:pt idx="2162" formatCode="#,##0.000">
                  <c:v>#N/A</c:v>
                </c:pt>
                <c:pt idx="2163" formatCode="#,##0.000">
                  <c:v>#N/A</c:v>
                </c:pt>
                <c:pt idx="2164" formatCode="#,##0.000">
                  <c:v>#N/A</c:v>
                </c:pt>
                <c:pt idx="2165" formatCode="#,##0.000">
                  <c:v>#N/A</c:v>
                </c:pt>
                <c:pt idx="2166" formatCode="#,##0.000">
                  <c:v>#N/A</c:v>
                </c:pt>
                <c:pt idx="2167" formatCode="#,##0.000">
                  <c:v>#N/A</c:v>
                </c:pt>
                <c:pt idx="2168" formatCode="#,##0.000">
                  <c:v>#N/A</c:v>
                </c:pt>
                <c:pt idx="2169" formatCode="#,##0.000">
                  <c:v>#N/A</c:v>
                </c:pt>
                <c:pt idx="2170" formatCode="#,##0.000">
                  <c:v>#N/A</c:v>
                </c:pt>
                <c:pt idx="2171" formatCode="#,##0.000">
                  <c:v>#N/A</c:v>
                </c:pt>
                <c:pt idx="2172" formatCode="#,##0.000">
                  <c:v>#N/A</c:v>
                </c:pt>
                <c:pt idx="2173" formatCode="#,##0.000">
                  <c:v>#N/A</c:v>
                </c:pt>
                <c:pt idx="2174" formatCode="#,##0.000">
                  <c:v>#N/A</c:v>
                </c:pt>
                <c:pt idx="2175" formatCode="#,##0.000">
                  <c:v>#N/A</c:v>
                </c:pt>
                <c:pt idx="2176" formatCode="#,##0.000">
                  <c:v>#N/A</c:v>
                </c:pt>
                <c:pt idx="2177" formatCode="#,##0.000">
                  <c:v>#N/A</c:v>
                </c:pt>
                <c:pt idx="2178" formatCode="#,##0.000">
                  <c:v>#N/A</c:v>
                </c:pt>
                <c:pt idx="2179" formatCode="#,##0.000">
                  <c:v>#N/A</c:v>
                </c:pt>
                <c:pt idx="2180" formatCode="#,##0.000">
                  <c:v>#N/A</c:v>
                </c:pt>
                <c:pt idx="2181" formatCode="#,##0.000">
                  <c:v>#N/A</c:v>
                </c:pt>
                <c:pt idx="2182" formatCode="#,##0.000">
                  <c:v>#N/A</c:v>
                </c:pt>
                <c:pt idx="2183" formatCode="#,##0.000">
                  <c:v>#N/A</c:v>
                </c:pt>
                <c:pt idx="2184" formatCode="#,##0.000">
                  <c:v>#N/A</c:v>
                </c:pt>
                <c:pt idx="2185" formatCode="#,##0.000">
                  <c:v>#N/A</c:v>
                </c:pt>
                <c:pt idx="2186" formatCode="#,##0.000">
                  <c:v>#N/A</c:v>
                </c:pt>
                <c:pt idx="2187" formatCode="#,##0.000">
                  <c:v>#N/A</c:v>
                </c:pt>
                <c:pt idx="2188" formatCode="#,##0.000">
                  <c:v>#N/A</c:v>
                </c:pt>
                <c:pt idx="2189" formatCode="#,##0.000">
                  <c:v>#N/A</c:v>
                </c:pt>
                <c:pt idx="2190" formatCode="#,##0.000">
                  <c:v>#N/A</c:v>
                </c:pt>
                <c:pt idx="2191" formatCode="#,##0.000">
                  <c:v>#N/A</c:v>
                </c:pt>
                <c:pt idx="2192" formatCode="#,##0.000">
                  <c:v>#N/A</c:v>
                </c:pt>
                <c:pt idx="2193" formatCode="#,##0.000">
                  <c:v>#N/A</c:v>
                </c:pt>
                <c:pt idx="2194" formatCode="#,##0.000">
                  <c:v>#N/A</c:v>
                </c:pt>
                <c:pt idx="2195" formatCode="#,##0.000">
                  <c:v>#N/A</c:v>
                </c:pt>
                <c:pt idx="2196" formatCode="#,##0.000">
                  <c:v>#N/A</c:v>
                </c:pt>
                <c:pt idx="2197" formatCode="#,##0.000">
                  <c:v>#N/A</c:v>
                </c:pt>
                <c:pt idx="2198" formatCode="#,##0.000">
                  <c:v>#N/A</c:v>
                </c:pt>
                <c:pt idx="2199" formatCode="#,##0.000">
                  <c:v>#N/A</c:v>
                </c:pt>
                <c:pt idx="2200" formatCode="#,##0.000">
                  <c:v>#N/A</c:v>
                </c:pt>
                <c:pt idx="2201" formatCode="#,##0.000">
                  <c:v>#N/A</c:v>
                </c:pt>
                <c:pt idx="2202" formatCode="#,##0.000">
                  <c:v>#N/A</c:v>
                </c:pt>
                <c:pt idx="2203" formatCode="#,##0.000">
                  <c:v>#N/A</c:v>
                </c:pt>
                <c:pt idx="2204" formatCode="#,##0.000">
                  <c:v>#N/A</c:v>
                </c:pt>
                <c:pt idx="2205" formatCode="#,##0.000">
                  <c:v>#N/A</c:v>
                </c:pt>
                <c:pt idx="2206" formatCode="#,##0.000">
                  <c:v>#N/A</c:v>
                </c:pt>
                <c:pt idx="2207" formatCode="#,##0.000">
                  <c:v>#N/A</c:v>
                </c:pt>
                <c:pt idx="2208" formatCode="#,##0.000">
                  <c:v>#N/A</c:v>
                </c:pt>
                <c:pt idx="2209" formatCode="#,##0.000">
                  <c:v>#N/A</c:v>
                </c:pt>
                <c:pt idx="2210" formatCode="#,##0.000">
                  <c:v>#N/A</c:v>
                </c:pt>
                <c:pt idx="2211" formatCode="#,##0.000">
                  <c:v>#N/A</c:v>
                </c:pt>
                <c:pt idx="2212" formatCode="#,##0.000">
                  <c:v>#N/A</c:v>
                </c:pt>
                <c:pt idx="2213" formatCode="#,##0.000">
                  <c:v>#N/A</c:v>
                </c:pt>
                <c:pt idx="2214" formatCode="#,##0.000">
                  <c:v>#N/A</c:v>
                </c:pt>
                <c:pt idx="2215" formatCode="#,##0.000">
                  <c:v>#N/A</c:v>
                </c:pt>
                <c:pt idx="2216" formatCode="#,##0.000">
                  <c:v>#N/A</c:v>
                </c:pt>
                <c:pt idx="2217" formatCode="#,##0.000">
                  <c:v>#N/A</c:v>
                </c:pt>
                <c:pt idx="2218" formatCode="#,##0.000">
                  <c:v>#N/A</c:v>
                </c:pt>
                <c:pt idx="2219" formatCode="#,##0.000">
                  <c:v>#N/A</c:v>
                </c:pt>
                <c:pt idx="2220" formatCode="#,##0.000">
                  <c:v>#N/A</c:v>
                </c:pt>
                <c:pt idx="2221" formatCode="#,##0.000">
                  <c:v>#N/A</c:v>
                </c:pt>
                <c:pt idx="2222" formatCode="#,##0.000">
                  <c:v>#N/A</c:v>
                </c:pt>
                <c:pt idx="2223" formatCode="#,##0.000">
                  <c:v>#N/A</c:v>
                </c:pt>
                <c:pt idx="2224" formatCode="#,##0.000">
                  <c:v>#N/A</c:v>
                </c:pt>
                <c:pt idx="2225" formatCode="#,##0.000">
                  <c:v>#N/A</c:v>
                </c:pt>
                <c:pt idx="2226" formatCode="#,##0.000">
                  <c:v>#N/A</c:v>
                </c:pt>
                <c:pt idx="2227" formatCode="#,##0.000">
                  <c:v>#N/A</c:v>
                </c:pt>
                <c:pt idx="2228" formatCode="#,##0.000">
                  <c:v>#N/A</c:v>
                </c:pt>
                <c:pt idx="2229" formatCode="#,##0.000">
                  <c:v>#N/A</c:v>
                </c:pt>
                <c:pt idx="2230" formatCode="#,##0.000">
                  <c:v>#N/A</c:v>
                </c:pt>
                <c:pt idx="2231" formatCode="#,##0.000">
                  <c:v>#N/A</c:v>
                </c:pt>
                <c:pt idx="2232" formatCode="#,##0.000">
                  <c:v>#N/A</c:v>
                </c:pt>
                <c:pt idx="2233" formatCode="#,##0.000">
                  <c:v>#N/A</c:v>
                </c:pt>
                <c:pt idx="2234" formatCode="#,##0.000">
                  <c:v>#N/A</c:v>
                </c:pt>
                <c:pt idx="2235" formatCode="#,##0.000">
                  <c:v>#N/A</c:v>
                </c:pt>
                <c:pt idx="2236" formatCode="#,##0.000">
                  <c:v>#N/A</c:v>
                </c:pt>
                <c:pt idx="2237" formatCode="#,##0.000">
                  <c:v>#N/A</c:v>
                </c:pt>
                <c:pt idx="2238" formatCode="#,##0.000">
                  <c:v>#N/A</c:v>
                </c:pt>
                <c:pt idx="2239" formatCode="#,##0.000">
                  <c:v>#N/A</c:v>
                </c:pt>
                <c:pt idx="2240" formatCode="#,##0.000">
                  <c:v>#N/A</c:v>
                </c:pt>
                <c:pt idx="2241" formatCode="#,##0.000">
                  <c:v>#N/A</c:v>
                </c:pt>
                <c:pt idx="2242" formatCode="#,##0.000">
                  <c:v>#N/A</c:v>
                </c:pt>
                <c:pt idx="2243" formatCode="#,##0.000">
                  <c:v>#N/A</c:v>
                </c:pt>
                <c:pt idx="2244" formatCode="#,##0.000">
                  <c:v>#N/A</c:v>
                </c:pt>
                <c:pt idx="2245" formatCode="#,##0.000">
                  <c:v>#N/A</c:v>
                </c:pt>
                <c:pt idx="2246" formatCode="#,##0.000">
                  <c:v>#N/A</c:v>
                </c:pt>
                <c:pt idx="2247" formatCode="#,##0.000">
                  <c:v>#N/A</c:v>
                </c:pt>
                <c:pt idx="2248" formatCode="#,##0.000">
                  <c:v>#N/A</c:v>
                </c:pt>
                <c:pt idx="2249" formatCode="#,##0.000">
                  <c:v>#N/A</c:v>
                </c:pt>
                <c:pt idx="2250" formatCode="#,##0.000">
                  <c:v>#N/A</c:v>
                </c:pt>
                <c:pt idx="2251" formatCode="#,##0.000">
                  <c:v>#N/A</c:v>
                </c:pt>
                <c:pt idx="2252" formatCode="#,##0.000">
                  <c:v>#N/A</c:v>
                </c:pt>
                <c:pt idx="2253" formatCode="#,##0.000">
                  <c:v>#N/A</c:v>
                </c:pt>
                <c:pt idx="2254" formatCode="#,##0.000">
                  <c:v>#N/A</c:v>
                </c:pt>
                <c:pt idx="2255" formatCode="#,##0.000">
                  <c:v>#N/A</c:v>
                </c:pt>
                <c:pt idx="2256" formatCode="#,##0.000">
                  <c:v>#N/A</c:v>
                </c:pt>
                <c:pt idx="2257" formatCode="#,##0.000">
                  <c:v>#N/A</c:v>
                </c:pt>
                <c:pt idx="2258" formatCode="#,##0.000">
                  <c:v>#N/A</c:v>
                </c:pt>
                <c:pt idx="2259" formatCode="#,##0.000">
                  <c:v>#N/A</c:v>
                </c:pt>
                <c:pt idx="2260" formatCode="#,##0.000">
                  <c:v>#N/A</c:v>
                </c:pt>
                <c:pt idx="2261" formatCode="#,##0.000">
                  <c:v>#N/A</c:v>
                </c:pt>
                <c:pt idx="2262" formatCode="#,##0.000">
                  <c:v>#N/A</c:v>
                </c:pt>
                <c:pt idx="2263" formatCode="#,##0.000">
                  <c:v>#N/A</c:v>
                </c:pt>
                <c:pt idx="2264" formatCode="#,##0.000">
                  <c:v>#N/A</c:v>
                </c:pt>
                <c:pt idx="2265" formatCode="#,##0.000">
                  <c:v>#N/A</c:v>
                </c:pt>
                <c:pt idx="2266" formatCode="#,##0.000">
                  <c:v>#N/A</c:v>
                </c:pt>
                <c:pt idx="2267" formatCode="#,##0.000">
                  <c:v>#N/A</c:v>
                </c:pt>
                <c:pt idx="2268" formatCode="#,##0.000">
                  <c:v>#N/A</c:v>
                </c:pt>
                <c:pt idx="2269" formatCode="#,##0.000">
                  <c:v>#N/A</c:v>
                </c:pt>
                <c:pt idx="2270" formatCode="#,##0.000">
                  <c:v>#N/A</c:v>
                </c:pt>
                <c:pt idx="2271" formatCode="#,##0.000">
                  <c:v>#N/A</c:v>
                </c:pt>
                <c:pt idx="2272" formatCode="#,##0.000">
                  <c:v>#N/A</c:v>
                </c:pt>
                <c:pt idx="2273" formatCode="#,##0.000">
                  <c:v>#N/A</c:v>
                </c:pt>
                <c:pt idx="2274" formatCode="#,##0.000">
                  <c:v>#N/A</c:v>
                </c:pt>
                <c:pt idx="2275" formatCode="#,##0.000">
                  <c:v>#N/A</c:v>
                </c:pt>
                <c:pt idx="2276" formatCode="#,##0.000">
                  <c:v>#N/A</c:v>
                </c:pt>
                <c:pt idx="2277" formatCode="#,##0.000">
                  <c:v>#N/A</c:v>
                </c:pt>
                <c:pt idx="2278" formatCode="#,##0.000">
                  <c:v>#N/A</c:v>
                </c:pt>
                <c:pt idx="2279" formatCode="#,##0.000">
                  <c:v>#N/A</c:v>
                </c:pt>
                <c:pt idx="2280" formatCode="#,##0.000">
                  <c:v>#N/A</c:v>
                </c:pt>
                <c:pt idx="2281" formatCode="#,##0.000">
                  <c:v>#N/A</c:v>
                </c:pt>
                <c:pt idx="2282" formatCode="#,##0.000">
                  <c:v>#N/A</c:v>
                </c:pt>
                <c:pt idx="2283" formatCode="#,##0.000">
                  <c:v>#N/A</c:v>
                </c:pt>
                <c:pt idx="2284" formatCode="#,##0.000">
                  <c:v>#N/A</c:v>
                </c:pt>
                <c:pt idx="2285" formatCode="#,##0.000">
                  <c:v>#N/A</c:v>
                </c:pt>
                <c:pt idx="2286" formatCode="#,##0.000">
                  <c:v>#N/A</c:v>
                </c:pt>
                <c:pt idx="2287" formatCode="#,##0.000">
                  <c:v>#N/A</c:v>
                </c:pt>
                <c:pt idx="2288" formatCode="#,##0.000">
                  <c:v>#N/A</c:v>
                </c:pt>
                <c:pt idx="2289" formatCode="#,##0.000">
                  <c:v>#N/A</c:v>
                </c:pt>
                <c:pt idx="2290" formatCode="#,##0.000">
                  <c:v>#N/A</c:v>
                </c:pt>
                <c:pt idx="2291" formatCode="#,##0.000">
                  <c:v>#N/A</c:v>
                </c:pt>
                <c:pt idx="2292" formatCode="#,##0.000">
                  <c:v>#N/A</c:v>
                </c:pt>
                <c:pt idx="2293" formatCode="#,##0.000">
                  <c:v>#N/A</c:v>
                </c:pt>
                <c:pt idx="2294" formatCode="#,##0.000">
                  <c:v>#N/A</c:v>
                </c:pt>
                <c:pt idx="2295" formatCode="#,##0.000">
                  <c:v>#N/A</c:v>
                </c:pt>
                <c:pt idx="2296" formatCode="#,##0.000">
                  <c:v>#N/A</c:v>
                </c:pt>
                <c:pt idx="2297" formatCode="#,##0.000">
                  <c:v>#N/A</c:v>
                </c:pt>
                <c:pt idx="2298" formatCode="#,##0.000">
                  <c:v>#N/A</c:v>
                </c:pt>
                <c:pt idx="2299" formatCode="#,##0.000">
                  <c:v>#N/A</c:v>
                </c:pt>
                <c:pt idx="2300" formatCode="#,##0.000">
                  <c:v>#N/A</c:v>
                </c:pt>
                <c:pt idx="2301" formatCode="#,##0.000">
                  <c:v>#N/A</c:v>
                </c:pt>
                <c:pt idx="2302" formatCode="#,##0.000">
                  <c:v>#N/A</c:v>
                </c:pt>
                <c:pt idx="2303" formatCode="#,##0.000">
                  <c:v>#N/A</c:v>
                </c:pt>
                <c:pt idx="2304" formatCode="#,##0.000">
                  <c:v>#N/A</c:v>
                </c:pt>
                <c:pt idx="2305" formatCode="#,##0.000">
                  <c:v>#N/A</c:v>
                </c:pt>
                <c:pt idx="2306" formatCode="#,##0.000">
                  <c:v>#N/A</c:v>
                </c:pt>
                <c:pt idx="2307" formatCode="#,##0.000">
                  <c:v>#N/A</c:v>
                </c:pt>
                <c:pt idx="2308" formatCode="#,##0.000">
                  <c:v>#N/A</c:v>
                </c:pt>
                <c:pt idx="2309" formatCode="#,##0.000">
                  <c:v>#N/A</c:v>
                </c:pt>
                <c:pt idx="2310" formatCode="#,##0.000">
                  <c:v>#N/A</c:v>
                </c:pt>
                <c:pt idx="2311" formatCode="#,##0.000">
                  <c:v>#N/A</c:v>
                </c:pt>
                <c:pt idx="2312" formatCode="#,##0.000">
                  <c:v>#N/A</c:v>
                </c:pt>
                <c:pt idx="2313" formatCode="#,##0.000">
                  <c:v>#N/A</c:v>
                </c:pt>
                <c:pt idx="2314" formatCode="#,##0.000">
                  <c:v>#N/A</c:v>
                </c:pt>
                <c:pt idx="2315" formatCode="#,##0.000">
                  <c:v>#N/A</c:v>
                </c:pt>
                <c:pt idx="2316" formatCode="#,##0.000">
                  <c:v>#N/A</c:v>
                </c:pt>
                <c:pt idx="2317" formatCode="#,##0.000">
                  <c:v>#N/A</c:v>
                </c:pt>
                <c:pt idx="2318" formatCode="#,##0.000">
                  <c:v>#N/A</c:v>
                </c:pt>
                <c:pt idx="2319" formatCode="#,##0.000">
                  <c:v>#N/A</c:v>
                </c:pt>
                <c:pt idx="2320" formatCode="#,##0.000">
                  <c:v>#N/A</c:v>
                </c:pt>
                <c:pt idx="2321" formatCode="#,##0.000">
                  <c:v>#N/A</c:v>
                </c:pt>
                <c:pt idx="2322" formatCode="#,##0.000">
                  <c:v>#N/A</c:v>
                </c:pt>
                <c:pt idx="2323" formatCode="#,##0.000">
                  <c:v>#N/A</c:v>
                </c:pt>
                <c:pt idx="2324" formatCode="#,##0.000">
                  <c:v>#N/A</c:v>
                </c:pt>
                <c:pt idx="2325" formatCode="#,##0.000">
                  <c:v>#N/A</c:v>
                </c:pt>
                <c:pt idx="2326" formatCode="#,##0.000">
                  <c:v>#N/A</c:v>
                </c:pt>
                <c:pt idx="2327" formatCode="#,##0.000">
                  <c:v>#N/A</c:v>
                </c:pt>
                <c:pt idx="2328" formatCode="#,##0.000">
                  <c:v>#N/A</c:v>
                </c:pt>
                <c:pt idx="2329" formatCode="#,##0.000">
                  <c:v>#N/A</c:v>
                </c:pt>
                <c:pt idx="2330" formatCode="#,##0.000">
                  <c:v>#N/A</c:v>
                </c:pt>
                <c:pt idx="2331" formatCode="#,##0.000">
                  <c:v>#N/A</c:v>
                </c:pt>
                <c:pt idx="2332" formatCode="#,##0.000">
                  <c:v>#N/A</c:v>
                </c:pt>
                <c:pt idx="2333" formatCode="#,##0.000">
                  <c:v>#N/A</c:v>
                </c:pt>
                <c:pt idx="2334" formatCode="#,##0.000">
                  <c:v>#N/A</c:v>
                </c:pt>
                <c:pt idx="2335" formatCode="#,##0.000">
                  <c:v>#N/A</c:v>
                </c:pt>
                <c:pt idx="2336" formatCode="#,##0.000">
                  <c:v>#N/A</c:v>
                </c:pt>
                <c:pt idx="2337" formatCode="#,##0.000">
                  <c:v>#N/A</c:v>
                </c:pt>
                <c:pt idx="2338" formatCode="#,##0.000">
                  <c:v>#N/A</c:v>
                </c:pt>
                <c:pt idx="2339" formatCode="#,##0.000">
                  <c:v>#N/A</c:v>
                </c:pt>
                <c:pt idx="2340" formatCode="#,##0.000">
                  <c:v>#N/A</c:v>
                </c:pt>
                <c:pt idx="2341" formatCode="#,##0.000">
                  <c:v>#N/A</c:v>
                </c:pt>
                <c:pt idx="2342" formatCode="#,##0.000">
                  <c:v>#N/A</c:v>
                </c:pt>
                <c:pt idx="2343" formatCode="#,##0.000">
                  <c:v>#N/A</c:v>
                </c:pt>
                <c:pt idx="2344" formatCode="#,##0.000">
                  <c:v>#N/A</c:v>
                </c:pt>
                <c:pt idx="2345" formatCode="#,##0.000">
                  <c:v>#N/A</c:v>
                </c:pt>
                <c:pt idx="2346" formatCode="#,##0.000">
                  <c:v>#N/A</c:v>
                </c:pt>
                <c:pt idx="2347" formatCode="#,##0.000">
                  <c:v>#N/A</c:v>
                </c:pt>
                <c:pt idx="2348" formatCode="#,##0.000">
                  <c:v>#N/A</c:v>
                </c:pt>
                <c:pt idx="2349" formatCode="#,##0.000">
                  <c:v>#N/A</c:v>
                </c:pt>
                <c:pt idx="2350" formatCode="#,##0.000">
                  <c:v>#N/A</c:v>
                </c:pt>
                <c:pt idx="2351" formatCode="#,##0.000">
                  <c:v>#N/A</c:v>
                </c:pt>
                <c:pt idx="2352" formatCode="#,##0.000">
                  <c:v>#N/A</c:v>
                </c:pt>
                <c:pt idx="2353" formatCode="#,##0.000">
                  <c:v>#N/A</c:v>
                </c:pt>
                <c:pt idx="2354" formatCode="#,##0.000">
                  <c:v>#N/A</c:v>
                </c:pt>
                <c:pt idx="2355" formatCode="#,##0.000">
                  <c:v>#N/A</c:v>
                </c:pt>
                <c:pt idx="2356" formatCode="#,##0.000">
                  <c:v>#N/A</c:v>
                </c:pt>
                <c:pt idx="2357" formatCode="#,##0.000">
                  <c:v>#N/A</c:v>
                </c:pt>
                <c:pt idx="2358" formatCode="#,##0.000">
                  <c:v>#N/A</c:v>
                </c:pt>
                <c:pt idx="2359" formatCode="#,##0.000">
                  <c:v>#N/A</c:v>
                </c:pt>
                <c:pt idx="2360" formatCode="#,##0.000">
                  <c:v>#N/A</c:v>
                </c:pt>
                <c:pt idx="2361" formatCode="#,##0.000">
                  <c:v>#N/A</c:v>
                </c:pt>
                <c:pt idx="2362" formatCode="#,##0.000">
                  <c:v>#N/A</c:v>
                </c:pt>
                <c:pt idx="2363" formatCode="#,##0.000">
                  <c:v>#N/A</c:v>
                </c:pt>
                <c:pt idx="2364" formatCode="#,##0.000">
                  <c:v>#N/A</c:v>
                </c:pt>
                <c:pt idx="2365" formatCode="#,##0.000">
                  <c:v>#N/A</c:v>
                </c:pt>
                <c:pt idx="2366" formatCode="#,##0.000">
                  <c:v>#N/A</c:v>
                </c:pt>
                <c:pt idx="2367" formatCode="#,##0.000">
                  <c:v>#N/A</c:v>
                </c:pt>
                <c:pt idx="2368" formatCode="#,##0.000">
                  <c:v>#N/A</c:v>
                </c:pt>
                <c:pt idx="2369" formatCode="#,##0.000">
                  <c:v>#N/A</c:v>
                </c:pt>
                <c:pt idx="2370" formatCode="#,##0.000">
                  <c:v>#N/A</c:v>
                </c:pt>
                <c:pt idx="2371" formatCode="#,##0.000">
                  <c:v>#N/A</c:v>
                </c:pt>
                <c:pt idx="2372" formatCode="#,##0.000">
                  <c:v>#N/A</c:v>
                </c:pt>
                <c:pt idx="2373" formatCode="#,##0.000">
                  <c:v>#N/A</c:v>
                </c:pt>
                <c:pt idx="2374" formatCode="#,##0.000">
                  <c:v>#N/A</c:v>
                </c:pt>
                <c:pt idx="2375" formatCode="#,##0.000">
                  <c:v>#N/A</c:v>
                </c:pt>
                <c:pt idx="2376" formatCode="#,##0.000">
                  <c:v>#N/A</c:v>
                </c:pt>
                <c:pt idx="2377" formatCode="#,##0.000">
                  <c:v>#N/A</c:v>
                </c:pt>
                <c:pt idx="2378" formatCode="#,##0.000">
                  <c:v>#N/A</c:v>
                </c:pt>
                <c:pt idx="2379" formatCode="#,##0.000">
                  <c:v>#N/A</c:v>
                </c:pt>
                <c:pt idx="2380" formatCode="#,##0.000">
                  <c:v>#N/A</c:v>
                </c:pt>
                <c:pt idx="2381" formatCode="#,##0.000">
                  <c:v>#N/A</c:v>
                </c:pt>
                <c:pt idx="2382" formatCode="#,##0.000">
                  <c:v>#N/A</c:v>
                </c:pt>
                <c:pt idx="2383" formatCode="#,##0.000">
                  <c:v>#N/A</c:v>
                </c:pt>
                <c:pt idx="2384" formatCode="#,##0.000">
                  <c:v>#N/A</c:v>
                </c:pt>
                <c:pt idx="2385" formatCode="#,##0.000">
                  <c:v>#N/A</c:v>
                </c:pt>
                <c:pt idx="2386" formatCode="#,##0.000">
                  <c:v>#N/A</c:v>
                </c:pt>
                <c:pt idx="2387" formatCode="#,##0.000">
                  <c:v>#N/A</c:v>
                </c:pt>
                <c:pt idx="2388" formatCode="#,##0.000">
                  <c:v>#N/A</c:v>
                </c:pt>
                <c:pt idx="2389" formatCode="#,##0.000">
                  <c:v>#N/A</c:v>
                </c:pt>
                <c:pt idx="2390" formatCode="#,##0.000">
                  <c:v>#N/A</c:v>
                </c:pt>
                <c:pt idx="2391" formatCode="#,##0.000">
                  <c:v>#N/A</c:v>
                </c:pt>
                <c:pt idx="2392" formatCode="#,##0.000">
                  <c:v>#N/A</c:v>
                </c:pt>
                <c:pt idx="2393" formatCode="#,##0.000">
                  <c:v>#N/A</c:v>
                </c:pt>
                <c:pt idx="2394" formatCode="#,##0.000">
                  <c:v>#N/A</c:v>
                </c:pt>
                <c:pt idx="2395" formatCode="#,##0.000">
                  <c:v>#N/A</c:v>
                </c:pt>
                <c:pt idx="2396" formatCode="#,##0.000">
                  <c:v>#N/A</c:v>
                </c:pt>
                <c:pt idx="2397" formatCode="#,##0.000">
                  <c:v>#N/A</c:v>
                </c:pt>
                <c:pt idx="2398" formatCode="#,##0.000">
                  <c:v>#N/A</c:v>
                </c:pt>
                <c:pt idx="2399" formatCode="#,##0.000">
                  <c:v>#N/A</c:v>
                </c:pt>
                <c:pt idx="2400" formatCode="#,##0.000">
                  <c:v>#N/A</c:v>
                </c:pt>
                <c:pt idx="2401" formatCode="#,##0.000">
                  <c:v>#N/A</c:v>
                </c:pt>
                <c:pt idx="2402" formatCode="#,##0.000">
                  <c:v>#N/A</c:v>
                </c:pt>
                <c:pt idx="2403" formatCode="#,##0.000">
                  <c:v>#N/A</c:v>
                </c:pt>
                <c:pt idx="2404" formatCode="#,##0.000">
                  <c:v>#N/A</c:v>
                </c:pt>
                <c:pt idx="2405" formatCode="#,##0.000">
                  <c:v>#N/A</c:v>
                </c:pt>
                <c:pt idx="2406" formatCode="#,##0.000">
                  <c:v>#N/A</c:v>
                </c:pt>
                <c:pt idx="2407" formatCode="#,##0.000">
                  <c:v>#N/A</c:v>
                </c:pt>
                <c:pt idx="2408" formatCode="#,##0.000">
                  <c:v>#N/A</c:v>
                </c:pt>
                <c:pt idx="2409" formatCode="#,##0.000">
                  <c:v>#N/A</c:v>
                </c:pt>
                <c:pt idx="2410" formatCode="#,##0.000">
                  <c:v>#N/A</c:v>
                </c:pt>
                <c:pt idx="2411" formatCode="#,##0.000">
                  <c:v>#N/A</c:v>
                </c:pt>
                <c:pt idx="2412" formatCode="#,##0.000">
                  <c:v>#N/A</c:v>
                </c:pt>
                <c:pt idx="2413" formatCode="#,##0.000">
                  <c:v>#N/A</c:v>
                </c:pt>
                <c:pt idx="2414" formatCode="#,##0.000">
                  <c:v>#N/A</c:v>
                </c:pt>
                <c:pt idx="2415" formatCode="#,##0.000">
                  <c:v>#N/A</c:v>
                </c:pt>
                <c:pt idx="2416" formatCode="#,##0.000">
                  <c:v>#N/A</c:v>
                </c:pt>
                <c:pt idx="2417" formatCode="#,##0.000">
                  <c:v>#N/A</c:v>
                </c:pt>
                <c:pt idx="2418" formatCode="#,##0.000">
                  <c:v>#N/A</c:v>
                </c:pt>
                <c:pt idx="2419" formatCode="#,##0.000">
                  <c:v>#N/A</c:v>
                </c:pt>
                <c:pt idx="2420" formatCode="#,##0.000">
                  <c:v>#N/A</c:v>
                </c:pt>
                <c:pt idx="2421" formatCode="#,##0.000">
                  <c:v>#N/A</c:v>
                </c:pt>
                <c:pt idx="2422" formatCode="#,##0.000">
                  <c:v>#N/A</c:v>
                </c:pt>
                <c:pt idx="2423" formatCode="#,##0.000">
                  <c:v>#N/A</c:v>
                </c:pt>
                <c:pt idx="2424" formatCode="#,##0.000">
                  <c:v>#N/A</c:v>
                </c:pt>
                <c:pt idx="2425" formatCode="#,##0.000">
                  <c:v>#N/A</c:v>
                </c:pt>
                <c:pt idx="2426" formatCode="#,##0.000">
                  <c:v>#N/A</c:v>
                </c:pt>
                <c:pt idx="2427" formatCode="#,##0.000">
                  <c:v>#N/A</c:v>
                </c:pt>
                <c:pt idx="2428" formatCode="#,##0.000">
                  <c:v>#N/A</c:v>
                </c:pt>
                <c:pt idx="2429" formatCode="#,##0.000">
                  <c:v>#N/A</c:v>
                </c:pt>
                <c:pt idx="2430" formatCode="#,##0.000">
                  <c:v>#N/A</c:v>
                </c:pt>
                <c:pt idx="2431" formatCode="#,##0.000">
                  <c:v>#N/A</c:v>
                </c:pt>
                <c:pt idx="2432" formatCode="#,##0.000">
                  <c:v>#N/A</c:v>
                </c:pt>
                <c:pt idx="2433" formatCode="#,##0.000">
                  <c:v>#N/A</c:v>
                </c:pt>
                <c:pt idx="2434" formatCode="#,##0.000">
                  <c:v>#N/A</c:v>
                </c:pt>
                <c:pt idx="2435" formatCode="#,##0.000">
                  <c:v>#N/A</c:v>
                </c:pt>
                <c:pt idx="2436" formatCode="#,##0.000">
                  <c:v>#N/A</c:v>
                </c:pt>
                <c:pt idx="2437" formatCode="#,##0.000">
                  <c:v>#N/A</c:v>
                </c:pt>
                <c:pt idx="2438" formatCode="#,##0.000">
                  <c:v>#N/A</c:v>
                </c:pt>
                <c:pt idx="2439" formatCode="#,##0.000">
                  <c:v>#N/A</c:v>
                </c:pt>
                <c:pt idx="2440" formatCode="#,##0.000">
                  <c:v>#N/A</c:v>
                </c:pt>
                <c:pt idx="2441" formatCode="#,##0.000">
                  <c:v>#N/A</c:v>
                </c:pt>
                <c:pt idx="2442" formatCode="#,##0.000">
                  <c:v>#N/A</c:v>
                </c:pt>
                <c:pt idx="2443" formatCode="#,##0.000">
                  <c:v>#N/A</c:v>
                </c:pt>
                <c:pt idx="2444" formatCode="#,##0.000">
                  <c:v>#N/A</c:v>
                </c:pt>
                <c:pt idx="2445" formatCode="#,##0.000">
                  <c:v>#N/A</c:v>
                </c:pt>
                <c:pt idx="2446" formatCode="#,##0.000">
                  <c:v>#N/A</c:v>
                </c:pt>
                <c:pt idx="2447" formatCode="#,##0.000">
                  <c:v>#N/A</c:v>
                </c:pt>
                <c:pt idx="2448" formatCode="#,##0.000">
                  <c:v>#N/A</c:v>
                </c:pt>
                <c:pt idx="2449" formatCode="#,##0.000">
                  <c:v>#N/A</c:v>
                </c:pt>
                <c:pt idx="2450" formatCode="#,##0.000">
                  <c:v>#N/A</c:v>
                </c:pt>
                <c:pt idx="2451" formatCode="#,##0.000">
                  <c:v>#N/A</c:v>
                </c:pt>
                <c:pt idx="2452" formatCode="#,##0.000">
                  <c:v>#N/A</c:v>
                </c:pt>
                <c:pt idx="2453" formatCode="#,##0.000">
                  <c:v>#N/A</c:v>
                </c:pt>
                <c:pt idx="2454" formatCode="#,##0.000">
                  <c:v>#N/A</c:v>
                </c:pt>
                <c:pt idx="2455" formatCode="#,##0.000">
                  <c:v>#N/A</c:v>
                </c:pt>
                <c:pt idx="2456" formatCode="#,##0.000">
                  <c:v>#N/A</c:v>
                </c:pt>
                <c:pt idx="2457" formatCode="#,##0.000">
                  <c:v>#N/A</c:v>
                </c:pt>
                <c:pt idx="2458" formatCode="#,##0.000">
                  <c:v>#N/A</c:v>
                </c:pt>
                <c:pt idx="2459" formatCode="#,##0.000">
                  <c:v>#N/A</c:v>
                </c:pt>
                <c:pt idx="2460" formatCode="#,##0.000">
                  <c:v>#N/A</c:v>
                </c:pt>
                <c:pt idx="2461" formatCode="#,##0.000">
                  <c:v>#N/A</c:v>
                </c:pt>
                <c:pt idx="2462" formatCode="#,##0.000">
                  <c:v>#N/A</c:v>
                </c:pt>
                <c:pt idx="2463" formatCode="#,##0.000">
                  <c:v>#N/A</c:v>
                </c:pt>
                <c:pt idx="2464" formatCode="#,##0.000">
                  <c:v>#N/A</c:v>
                </c:pt>
                <c:pt idx="2465" formatCode="#,##0.000">
                  <c:v>#N/A</c:v>
                </c:pt>
                <c:pt idx="2466" formatCode="#,##0.000">
                  <c:v>#N/A</c:v>
                </c:pt>
                <c:pt idx="2467" formatCode="#,##0.000">
                  <c:v>#N/A</c:v>
                </c:pt>
                <c:pt idx="2468" formatCode="#,##0.000">
                  <c:v>#N/A</c:v>
                </c:pt>
                <c:pt idx="2469" formatCode="#,##0.000">
                  <c:v>#N/A</c:v>
                </c:pt>
                <c:pt idx="2470" formatCode="#,##0.000">
                  <c:v>#N/A</c:v>
                </c:pt>
                <c:pt idx="2471" formatCode="#,##0.000">
                  <c:v>#N/A</c:v>
                </c:pt>
                <c:pt idx="2472" formatCode="#,##0.000">
                  <c:v>#N/A</c:v>
                </c:pt>
                <c:pt idx="2473" formatCode="#,##0.000">
                  <c:v>#N/A</c:v>
                </c:pt>
                <c:pt idx="2474" formatCode="#,##0.000">
                  <c:v>#N/A</c:v>
                </c:pt>
                <c:pt idx="2475" formatCode="#,##0.000">
                  <c:v>#N/A</c:v>
                </c:pt>
                <c:pt idx="2476" formatCode="#,##0.000">
                  <c:v>#N/A</c:v>
                </c:pt>
                <c:pt idx="2477" formatCode="#,##0.000">
                  <c:v>#N/A</c:v>
                </c:pt>
                <c:pt idx="2478" formatCode="#,##0.000">
                  <c:v>#N/A</c:v>
                </c:pt>
                <c:pt idx="2479" formatCode="#,##0.000">
                  <c:v>#N/A</c:v>
                </c:pt>
                <c:pt idx="2480" formatCode="#,##0.000">
                  <c:v>#N/A</c:v>
                </c:pt>
                <c:pt idx="2481" formatCode="#,##0.000">
                  <c:v>#N/A</c:v>
                </c:pt>
                <c:pt idx="2482" formatCode="#,##0.000">
                  <c:v>#N/A</c:v>
                </c:pt>
                <c:pt idx="2483" formatCode="#,##0.000">
                  <c:v>#N/A</c:v>
                </c:pt>
                <c:pt idx="2484" formatCode="#,##0.000">
                  <c:v>#N/A</c:v>
                </c:pt>
                <c:pt idx="2485" formatCode="#,##0.000">
                  <c:v>#N/A</c:v>
                </c:pt>
                <c:pt idx="2486" formatCode="#,##0.000">
                  <c:v>#N/A</c:v>
                </c:pt>
                <c:pt idx="2487" formatCode="#,##0.000">
                  <c:v>#N/A</c:v>
                </c:pt>
                <c:pt idx="2488" formatCode="#,##0.000">
                  <c:v>#N/A</c:v>
                </c:pt>
                <c:pt idx="2489" formatCode="#,##0.000">
                  <c:v>#N/A</c:v>
                </c:pt>
                <c:pt idx="2490" formatCode="#,##0.000">
                  <c:v>#N/A</c:v>
                </c:pt>
                <c:pt idx="2491" formatCode="#,##0.000">
                  <c:v>#N/A</c:v>
                </c:pt>
                <c:pt idx="2492" formatCode="#,##0.000">
                  <c:v>#N/A</c:v>
                </c:pt>
                <c:pt idx="2493" formatCode="#,##0.000">
                  <c:v>#N/A</c:v>
                </c:pt>
                <c:pt idx="2494" formatCode="#,##0.000">
                  <c:v>#N/A</c:v>
                </c:pt>
                <c:pt idx="2495" formatCode="#,##0.000">
                  <c:v>#N/A</c:v>
                </c:pt>
                <c:pt idx="2496" formatCode="#,##0.000">
                  <c:v>#N/A</c:v>
                </c:pt>
                <c:pt idx="2497" formatCode="#,##0.000">
                  <c:v>#N/A</c:v>
                </c:pt>
                <c:pt idx="2498" formatCode="#,##0.000">
                  <c:v>#N/A</c:v>
                </c:pt>
                <c:pt idx="2499" formatCode="#,##0.000">
                  <c:v>#N/A</c:v>
                </c:pt>
                <c:pt idx="2500" formatCode="#,##0.000">
                  <c:v>#N/A</c:v>
                </c:pt>
                <c:pt idx="2501" formatCode="#,##0.000">
                  <c:v>#N/A</c:v>
                </c:pt>
                <c:pt idx="2502" formatCode="#,##0.000">
                  <c:v>#N/A</c:v>
                </c:pt>
                <c:pt idx="2503" formatCode="#,##0.000">
                  <c:v>#N/A</c:v>
                </c:pt>
                <c:pt idx="2504" formatCode="#,##0.000">
                  <c:v>#N/A</c:v>
                </c:pt>
                <c:pt idx="2505" formatCode="#,##0.000">
                  <c:v>#N/A</c:v>
                </c:pt>
                <c:pt idx="2506" formatCode="#,##0.000">
                  <c:v>#N/A</c:v>
                </c:pt>
                <c:pt idx="2507" formatCode="#,##0.000">
                  <c:v>#N/A</c:v>
                </c:pt>
                <c:pt idx="2508" formatCode="#,##0.000">
                  <c:v>#N/A</c:v>
                </c:pt>
                <c:pt idx="2509" formatCode="#,##0.000">
                  <c:v>#N/A</c:v>
                </c:pt>
                <c:pt idx="2510" formatCode="#,##0.000">
                  <c:v>#N/A</c:v>
                </c:pt>
                <c:pt idx="2511" formatCode="#,##0.000">
                  <c:v>#N/A</c:v>
                </c:pt>
                <c:pt idx="2512" formatCode="#,##0.000">
                  <c:v>#N/A</c:v>
                </c:pt>
                <c:pt idx="2513" formatCode="#,##0.000">
                  <c:v>#N/A</c:v>
                </c:pt>
                <c:pt idx="2514" formatCode="#,##0.000">
                  <c:v>#N/A</c:v>
                </c:pt>
                <c:pt idx="2515" formatCode="#,##0.000">
                  <c:v>#N/A</c:v>
                </c:pt>
                <c:pt idx="2516" formatCode="#,##0.000">
                  <c:v>#N/A</c:v>
                </c:pt>
                <c:pt idx="2517" formatCode="#,##0.000">
                  <c:v>#N/A</c:v>
                </c:pt>
                <c:pt idx="2518" formatCode="#,##0.000">
                  <c:v>#N/A</c:v>
                </c:pt>
                <c:pt idx="2519" formatCode="#,##0.000">
                  <c:v>#N/A</c:v>
                </c:pt>
                <c:pt idx="2520" formatCode="#,##0.000">
                  <c:v>#N/A</c:v>
                </c:pt>
                <c:pt idx="2521" formatCode="#,##0.000">
                  <c:v>#N/A</c:v>
                </c:pt>
                <c:pt idx="2522" formatCode="#,##0.000">
                  <c:v>#N/A</c:v>
                </c:pt>
                <c:pt idx="2523" formatCode="#,##0.000">
                  <c:v>#N/A</c:v>
                </c:pt>
                <c:pt idx="2524" formatCode="#,##0.000">
                  <c:v>#N/A</c:v>
                </c:pt>
                <c:pt idx="2525" formatCode="#,##0.000">
                  <c:v>#N/A</c:v>
                </c:pt>
                <c:pt idx="2526" formatCode="#,##0.000">
                  <c:v>#N/A</c:v>
                </c:pt>
                <c:pt idx="2527" formatCode="#,##0.000">
                  <c:v>#N/A</c:v>
                </c:pt>
                <c:pt idx="2528" formatCode="#,##0.000">
                  <c:v>#N/A</c:v>
                </c:pt>
                <c:pt idx="2529" formatCode="#,##0.000">
                  <c:v>#N/A</c:v>
                </c:pt>
                <c:pt idx="2530" formatCode="#,##0.000">
                  <c:v>#N/A</c:v>
                </c:pt>
                <c:pt idx="2531" formatCode="#,##0.000">
                  <c:v>#N/A</c:v>
                </c:pt>
                <c:pt idx="2532" formatCode="#,##0.000">
                  <c:v>#N/A</c:v>
                </c:pt>
                <c:pt idx="2533" formatCode="#,##0.000">
                  <c:v>#N/A</c:v>
                </c:pt>
                <c:pt idx="2534" formatCode="#,##0.000">
                  <c:v>#N/A</c:v>
                </c:pt>
                <c:pt idx="2535" formatCode="#,##0.000">
                  <c:v>#N/A</c:v>
                </c:pt>
                <c:pt idx="2536" formatCode="#,##0.000">
                  <c:v>#N/A</c:v>
                </c:pt>
                <c:pt idx="2537" formatCode="#,##0.000">
                  <c:v>#N/A</c:v>
                </c:pt>
                <c:pt idx="2538" formatCode="#,##0.000">
                  <c:v>#N/A</c:v>
                </c:pt>
                <c:pt idx="2539" formatCode="#,##0.000">
                  <c:v>#N/A</c:v>
                </c:pt>
                <c:pt idx="2540" formatCode="#,##0.000">
                  <c:v>#N/A</c:v>
                </c:pt>
                <c:pt idx="2541" formatCode="#,##0.000">
                  <c:v>#N/A</c:v>
                </c:pt>
                <c:pt idx="2542" formatCode="#,##0.000">
                  <c:v>#N/A</c:v>
                </c:pt>
                <c:pt idx="2543" formatCode="#,##0.000">
                  <c:v>#N/A</c:v>
                </c:pt>
                <c:pt idx="2544" formatCode="#,##0.000">
                  <c:v>#N/A</c:v>
                </c:pt>
                <c:pt idx="2545" formatCode="#,##0.000">
                  <c:v>#N/A</c:v>
                </c:pt>
                <c:pt idx="2546" formatCode="#,##0.000">
                  <c:v>#N/A</c:v>
                </c:pt>
                <c:pt idx="2547" formatCode="#,##0.000">
                  <c:v>#N/A</c:v>
                </c:pt>
                <c:pt idx="2548" formatCode="#,##0.000">
                  <c:v>#N/A</c:v>
                </c:pt>
                <c:pt idx="2549" formatCode="#,##0.000">
                  <c:v>#N/A</c:v>
                </c:pt>
                <c:pt idx="2550" formatCode="#,##0.000">
                  <c:v>#N/A</c:v>
                </c:pt>
                <c:pt idx="2551" formatCode="#,##0.000">
                  <c:v>#N/A</c:v>
                </c:pt>
                <c:pt idx="2552" formatCode="#,##0.000">
                  <c:v>#N/A</c:v>
                </c:pt>
                <c:pt idx="2553" formatCode="#,##0.000">
                  <c:v>#N/A</c:v>
                </c:pt>
                <c:pt idx="2554" formatCode="#,##0.000">
                  <c:v>#N/A</c:v>
                </c:pt>
                <c:pt idx="2555" formatCode="#,##0.000">
                  <c:v>#N/A</c:v>
                </c:pt>
                <c:pt idx="2556" formatCode="#,##0.000">
                  <c:v>#N/A</c:v>
                </c:pt>
                <c:pt idx="2557" formatCode="#,##0.000">
                  <c:v>#N/A</c:v>
                </c:pt>
                <c:pt idx="2558" formatCode="#,##0.000">
                  <c:v>#N/A</c:v>
                </c:pt>
                <c:pt idx="2559" formatCode="#,##0.000">
                  <c:v>#N/A</c:v>
                </c:pt>
                <c:pt idx="2560" formatCode="#,##0.000">
                  <c:v>#N/A</c:v>
                </c:pt>
                <c:pt idx="2561" formatCode="#,##0.000">
                  <c:v>#N/A</c:v>
                </c:pt>
                <c:pt idx="2562" formatCode="#,##0.000">
                  <c:v>#N/A</c:v>
                </c:pt>
                <c:pt idx="2563" formatCode="#,##0.000">
                  <c:v>#N/A</c:v>
                </c:pt>
                <c:pt idx="2564" formatCode="#,##0.000">
                  <c:v>#N/A</c:v>
                </c:pt>
                <c:pt idx="2565" formatCode="#,##0.000">
                  <c:v>#N/A</c:v>
                </c:pt>
                <c:pt idx="2566" formatCode="#,##0.000">
                  <c:v>#N/A</c:v>
                </c:pt>
                <c:pt idx="2567" formatCode="#,##0.000">
                  <c:v>#N/A</c:v>
                </c:pt>
                <c:pt idx="2568" formatCode="#,##0.000">
                  <c:v>#N/A</c:v>
                </c:pt>
                <c:pt idx="2569" formatCode="#,##0.000">
                  <c:v>#N/A</c:v>
                </c:pt>
                <c:pt idx="2570" formatCode="#,##0.000">
                  <c:v>#N/A</c:v>
                </c:pt>
                <c:pt idx="2571" formatCode="#,##0.000">
                  <c:v>#N/A</c:v>
                </c:pt>
                <c:pt idx="2572" formatCode="#,##0.000">
                  <c:v>#N/A</c:v>
                </c:pt>
                <c:pt idx="2573" formatCode="#,##0.000">
                  <c:v>#N/A</c:v>
                </c:pt>
                <c:pt idx="2574" formatCode="#,##0.000">
                  <c:v>#N/A</c:v>
                </c:pt>
                <c:pt idx="2575" formatCode="#,##0.000">
                  <c:v>#N/A</c:v>
                </c:pt>
                <c:pt idx="2576" formatCode="#,##0.000">
                  <c:v>#N/A</c:v>
                </c:pt>
                <c:pt idx="2577" formatCode="#,##0.000">
                  <c:v>#N/A</c:v>
                </c:pt>
                <c:pt idx="2578" formatCode="#,##0.000">
                  <c:v>#N/A</c:v>
                </c:pt>
                <c:pt idx="2579" formatCode="#,##0.000">
                  <c:v>#N/A</c:v>
                </c:pt>
                <c:pt idx="2580" formatCode="#,##0.000">
                  <c:v>#N/A</c:v>
                </c:pt>
                <c:pt idx="2581" formatCode="#,##0.000">
                  <c:v>#N/A</c:v>
                </c:pt>
                <c:pt idx="2582" formatCode="#,##0.000">
                  <c:v>#N/A</c:v>
                </c:pt>
                <c:pt idx="2583" formatCode="#,##0.000">
                  <c:v>#N/A</c:v>
                </c:pt>
                <c:pt idx="2584" formatCode="#,##0.000">
                  <c:v>#N/A</c:v>
                </c:pt>
                <c:pt idx="2585" formatCode="#,##0.000">
                  <c:v>#N/A</c:v>
                </c:pt>
                <c:pt idx="2586" formatCode="#,##0.000">
                  <c:v>#N/A</c:v>
                </c:pt>
                <c:pt idx="2587" formatCode="#,##0.000">
                  <c:v>#N/A</c:v>
                </c:pt>
                <c:pt idx="2588" formatCode="#,##0.000">
                  <c:v>#N/A</c:v>
                </c:pt>
                <c:pt idx="2589" formatCode="#,##0.000">
                  <c:v>#N/A</c:v>
                </c:pt>
                <c:pt idx="2590" formatCode="#,##0.000">
                  <c:v>#N/A</c:v>
                </c:pt>
                <c:pt idx="2591" formatCode="#,##0.000">
                  <c:v>#N/A</c:v>
                </c:pt>
                <c:pt idx="2592" formatCode="#,##0.000">
                  <c:v>#N/A</c:v>
                </c:pt>
                <c:pt idx="2593" formatCode="#,##0.000">
                  <c:v>#N/A</c:v>
                </c:pt>
                <c:pt idx="2594" formatCode="#,##0.000">
                  <c:v>#N/A</c:v>
                </c:pt>
                <c:pt idx="2595" formatCode="#,##0.000">
                  <c:v>#N/A</c:v>
                </c:pt>
                <c:pt idx="2596" formatCode="#,##0.000">
                  <c:v>#N/A</c:v>
                </c:pt>
                <c:pt idx="2597" formatCode="#,##0.000">
                  <c:v>#N/A</c:v>
                </c:pt>
                <c:pt idx="2598" formatCode="#,##0.000">
                  <c:v>#N/A</c:v>
                </c:pt>
                <c:pt idx="2599" formatCode="#,##0.000">
                  <c:v>#N/A</c:v>
                </c:pt>
                <c:pt idx="2600" formatCode="#,##0.000">
                  <c:v>#N/A</c:v>
                </c:pt>
                <c:pt idx="2601" formatCode="#,##0.000">
                  <c:v>#N/A</c:v>
                </c:pt>
                <c:pt idx="2602" formatCode="#,##0.000">
                  <c:v>#N/A</c:v>
                </c:pt>
                <c:pt idx="2603" formatCode="#,##0.000">
                  <c:v>#N/A</c:v>
                </c:pt>
                <c:pt idx="2604" formatCode="#,##0.000">
                  <c:v>#N/A</c:v>
                </c:pt>
                <c:pt idx="2605" formatCode="#,##0.000">
                  <c:v>#N/A</c:v>
                </c:pt>
                <c:pt idx="2606" formatCode="#,##0.000">
                  <c:v>#N/A</c:v>
                </c:pt>
                <c:pt idx="2607" formatCode="#,##0.000">
                  <c:v>#N/A</c:v>
                </c:pt>
                <c:pt idx="2608" formatCode="#,##0.000">
                  <c:v>#N/A</c:v>
                </c:pt>
                <c:pt idx="2609" formatCode="#,##0.000">
                  <c:v>#N/A</c:v>
                </c:pt>
                <c:pt idx="2610" formatCode="#,##0.000">
                  <c:v>#N/A</c:v>
                </c:pt>
                <c:pt idx="2611" formatCode="#,##0.000">
                  <c:v>#N/A</c:v>
                </c:pt>
                <c:pt idx="2612" formatCode="#,##0.000">
                  <c:v>#N/A</c:v>
                </c:pt>
                <c:pt idx="2613" formatCode="#,##0.000">
                  <c:v>#N/A</c:v>
                </c:pt>
                <c:pt idx="2614" formatCode="#,##0.000">
                  <c:v>#N/A</c:v>
                </c:pt>
                <c:pt idx="2615" formatCode="#,##0.000">
                  <c:v>#N/A</c:v>
                </c:pt>
                <c:pt idx="2616" formatCode="#,##0.000">
                  <c:v>#N/A</c:v>
                </c:pt>
                <c:pt idx="2617" formatCode="#,##0.000">
                  <c:v>#N/A</c:v>
                </c:pt>
                <c:pt idx="2618" formatCode="#,##0.000">
                  <c:v>#N/A</c:v>
                </c:pt>
                <c:pt idx="2619" formatCode="#,##0.000">
                  <c:v>#N/A</c:v>
                </c:pt>
                <c:pt idx="2620" formatCode="#,##0.000">
                  <c:v>#N/A</c:v>
                </c:pt>
                <c:pt idx="2621" formatCode="#,##0.000">
                  <c:v>#N/A</c:v>
                </c:pt>
                <c:pt idx="2622" formatCode="#,##0.000">
                  <c:v>#N/A</c:v>
                </c:pt>
                <c:pt idx="2623" formatCode="#,##0.000">
                  <c:v>#N/A</c:v>
                </c:pt>
                <c:pt idx="2624" formatCode="#,##0.000">
                  <c:v>#N/A</c:v>
                </c:pt>
                <c:pt idx="2625" formatCode="#,##0.000">
                  <c:v>#N/A</c:v>
                </c:pt>
                <c:pt idx="2626" formatCode="#,##0.000">
                  <c:v>#N/A</c:v>
                </c:pt>
                <c:pt idx="2627" formatCode="#,##0.000">
                  <c:v>#N/A</c:v>
                </c:pt>
                <c:pt idx="2628" formatCode="#,##0.000">
                  <c:v>#N/A</c:v>
                </c:pt>
                <c:pt idx="2629" formatCode="#,##0.000">
                  <c:v>#N/A</c:v>
                </c:pt>
                <c:pt idx="2630" formatCode="#,##0.000">
                  <c:v>#N/A</c:v>
                </c:pt>
                <c:pt idx="2631" formatCode="#,##0.000">
                  <c:v>#N/A</c:v>
                </c:pt>
                <c:pt idx="2632" formatCode="#,##0.000">
                  <c:v>#N/A</c:v>
                </c:pt>
                <c:pt idx="2633" formatCode="#,##0.000">
                  <c:v>#N/A</c:v>
                </c:pt>
                <c:pt idx="2634" formatCode="#,##0.000">
                  <c:v>#N/A</c:v>
                </c:pt>
                <c:pt idx="2635" formatCode="#,##0.000">
                  <c:v>#N/A</c:v>
                </c:pt>
                <c:pt idx="2636" formatCode="#,##0.000">
                  <c:v>#N/A</c:v>
                </c:pt>
                <c:pt idx="2637" formatCode="#,##0.000">
                  <c:v>#N/A</c:v>
                </c:pt>
                <c:pt idx="2638" formatCode="#,##0.000">
                  <c:v>#N/A</c:v>
                </c:pt>
                <c:pt idx="2639" formatCode="#,##0.000">
                  <c:v>#N/A</c:v>
                </c:pt>
                <c:pt idx="2640" formatCode="#,##0.000">
                  <c:v>#N/A</c:v>
                </c:pt>
                <c:pt idx="2641" formatCode="#,##0.000">
                  <c:v>#N/A</c:v>
                </c:pt>
                <c:pt idx="2642" formatCode="#,##0.000">
                  <c:v>#N/A</c:v>
                </c:pt>
                <c:pt idx="2643" formatCode="#,##0.000">
                  <c:v>#N/A</c:v>
                </c:pt>
                <c:pt idx="2644" formatCode="#,##0.000">
                  <c:v>#N/A</c:v>
                </c:pt>
                <c:pt idx="2645" formatCode="#,##0.000">
                  <c:v>#N/A</c:v>
                </c:pt>
                <c:pt idx="2646" formatCode="#,##0.000">
                  <c:v>#N/A</c:v>
                </c:pt>
                <c:pt idx="2647" formatCode="#,##0.000">
                  <c:v>#N/A</c:v>
                </c:pt>
                <c:pt idx="2648" formatCode="#,##0.000">
                  <c:v>#N/A</c:v>
                </c:pt>
                <c:pt idx="2649" formatCode="#,##0.000">
                  <c:v>#N/A</c:v>
                </c:pt>
                <c:pt idx="2650" formatCode="#,##0.000">
                  <c:v>#N/A</c:v>
                </c:pt>
                <c:pt idx="2651" formatCode="#,##0.000">
                  <c:v>#N/A</c:v>
                </c:pt>
                <c:pt idx="2652" formatCode="#,##0.000">
                  <c:v>#N/A</c:v>
                </c:pt>
                <c:pt idx="2653" formatCode="#,##0.000">
                  <c:v>#N/A</c:v>
                </c:pt>
                <c:pt idx="2654" formatCode="#,##0.000">
                  <c:v>#N/A</c:v>
                </c:pt>
                <c:pt idx="2655" formatCode="#,##0.000">
                  <c:v>#N/A</c:v>
                </c:pt>
                <c:pt idx="2656" formatCode="#,##0.000">
                  <c:v>#N/A</c:v>
                </c:pt>
                <c:pt idx="2657" formatCode="#,##0.000">
                  <c:v>#N/A</c:v>
                </c:pt>
                <c:pt idx="2658" formatCode="#,##0.000">
                  <c:v>#N/A</c:v>
                </c:pt>
                <c:pt idx="2659" formatCode="#,##0.000">
                  <c:v>#N/A</c:v>
                </c:pt>
                <c:pt idx="2660" formatCode="#,##0.000">
                  <c:v>#N/A</c:v>
                </c:pt>
                <c:pt idx="2661" formatCode="#,##0.000">
                  <c:v>#N/A</c:v>
                </c:pt>
                <c:pt idx="2662" formatCode="#,##0.000">
                  <c:v>#N/A</c:v>
                </c:pt>
                <c:pt idx="2663" formatCode="#,##0.000">
                  <c:v>#N/A</c:v>
                </c:pt>
                <c:pt idx="2664" formatCode="#,##0.000">
                  <c:v>#N/A</c:v>
                </c:pt>
                <c:pt idx="2665" formatCode="#,##0.000">
                  <c:v>#N/A</c:v>
                </c:pt>
                <c:pt idx="2666" formatCode="#,##0.000">
                  <c:v>#N/A</c:v>
                </c:pt>
                <c:pt idx="2667" formatCode="#,##0.000">
                  <c:v>#N/A</c:v>
                </c:pt>
                <c:pt idx="2668" formatCode="#,##0.000">
                  <c:v>#N/A</c:v>
                </c:pt>
                <c:pt idx="2669" formatCode="#,##0.000">
                  <c:v>#N/A</c:v>
                </c:pt>
                <c:pt idx="2670" formatCode="#,##0.000">
                  <c:v>#N/A</c:v>
                </c:pt>
                <c:pt idx="2671" formatCode="#,##0.000">
                  <c:v>#N/A</c:v>
                </c:pt>
                <c:pt idx="2672" formatCode="#,##0.000">
                  <c:v>#N/A</c:v>
                </c:pt>
                <c:pt idx="2673" formatCode="#,##0.000">
                  <c:v>#N/A</c:v>
                </c:pt>
                <c:pt idx="2674" formatCode="#,##0.000">
                  <c:v>#N/A</c:v>
                </c:pt>
                <c:pt idx="2675" formatCode="#,##0.000">
                  <c:v>#N/A</c:v>
                </c:pt>
                <c:pt idx="2676" formatCode="#,##0.000">
                  <c:v>#N/A</c:v>
                </c:pt>
                <c:pt idx="2677" formatCode="#,##0.000">
                  <c:v>#N/A</c:v>
                </c:pt>
                <c:pt idx="2678" formatCode="#,##0.000">
                  <c:v>#N/A</c:v>
                </c:pt>
                <c:pt idx="2679" formatCode="#,##0.000">
                  <c:v>#N/A</c:v>
                </c:pt>
                <c:pt idx="2680" formatCode="#,##0.000">
                  <c:v>#N/A</c:v>
                </c:pt>
                <c:pt idx="2681" formatCode="#,##0.000">
                  <c:v>#N/A</c:v>
                </c:pt>
                <c:pt idx="2682" formatCode="#,##0.000">
                  <c:v>#N/A</c:v>
                </c:pt>
                <c:pt idx="2683" formatCode="#,##0.000">
                  <c:v>#N/A</c:v>
                </c:pt>
                <c:pt idx="2684" formatCode="#,##0.000">
                  <c:v>#N/A</c:v>
                </c:pt>
                <c:pt idx="2685" formatCode="#,##0.000">
                  <c:v>#N/A</c:v>
                </c:pt>
                <c:pt idx="2686" formatCode="#,##0.000">
                  <c:v>#N/A</c:v>
                </c:pt>
                <c:pt idx="2687" formatCode="#,##0.000">
                  <c:v>#N/A</c:v>
                </c:pt>
                <c:pt idx="2688" formatCode="#,##0.000">
                  <c:v>#N/A</c:v>
                </c:pt>
                <c:pt idx="2689" formatCode="#,##0.000">
                  <c:v>#N/A</c:v>
                </c:pt>
                <c:pt idx="2690" formatCode="#,##0.000">
                  <c:v>#N/A</c:v>
                </c:pt>
                <c:pt idx="2691" formatCode="#,##0.000">
                  <c:v>#N/A</c:v>
                </c:pt>
                <c:pt idx="2692" formatCode="#,##0.000">
                  <c:v>#N/A</c:v>
                </c:pt>
                <c:pt idx="2693" formatCode="#,##0.000">
                  <c:v>#N/A</c:v>
                </c:pt>
                <c:pt idx="2694" formatCode="#,##0.000">
                  <c:v>#N/A</c:v>
                </c:pt>
                <c:pt idx="2695" formatCode="#,##0.000">
                  <c:v>#N/A</c:v>
                </c:pt>
                <c:pt idx="2696" formatCode="#,##0.000">
                  <c:v>#N/A</c:v>
                </c:pt>
                <c:pt idx="2697" formatCode="#,##0.000">
                  <c:v>#N/A</c:v>
                </c:pt>
                <c:pt idx="2698" formatCode="#,##0.000">
                  <c:v>#N/A</c:v>
                </c:pt>
                <c:pt idx="2699" formatCode="#,##0.000">
                  <c:v>#N/A</c:v>
                </c:pt>
                <c:pt idx="2700" formatCode="#,##0.000">
                  <c:v>#N/A</c:v>
                </c:pt>
                <c:pt idx="2701" formatCode="#,##0.000">
                  <c:v>#N/A</c:v>
                </c:pt>
                <c:pt idx="2702" formatCode="#,##0.000">
                  <c:v>#N/A</c:v>
                </c:pt>
                <c:pt idx="2703" formatCode="#,##0.000">
                  <c:v>#N/A</c:v>
                </c:pt>
                <c:pt idx="2704" formatCode="#,##0.000">
                  <c:v>#N/A</c:v>
                </c:pt>
                <c:pt idx="2705" formatCode="#,##0.000">
                  <c:v>#N/A</c:v>
                </c:pt>
                <c:pt idx="2706" formatCode="#,##0.000">
                  <c:v>#N/A</c:v>
                </c:pt>
                <c:pt idx="2707" formatCode="#,##0.000">
                  <c:v>#N/A</c:v>
                </c:pt>
                <c:pt idx="2708" formatCode="#,##0.000">
                  <c:v>#N/A</c:v>
                </c:pt>
                <c:pt idx="2709" formatCode="#,##0.000">
                  <c:v>#N/A</c:v>
                </c:pt>
                <c:pt idx="2710" formatCode="#,##0.000">
                  <c:v>#N/A</c:v>
                </c:pt>
                <c:pt idx="2711" formatCode="#,##0.000">
                  <c:v>#N/A</c:v>
                </c:pt>
                <c:pt idx="2712" formatCode="#,##0.000">
                  <c:v>#N/A</c:v>
                </c:pt>
                <c:pt idx="2713" formatCode="#,##0.000">
                  <c:v>#N/A</c:v>
                </c:pt>
                <c:pt idx="2714" formatCode="#,##0.000">
                  <c:v>#N/A</c:v>
                </c:pt>
                <c:pt idx="2715" formatCode="#,##0.000">
                  <c:v>#N/A</c:v>
                </c:pt>
                <c:pt idx="2716" formatCode="#,##0.000">
                  <c:v>#N/A</c:v>
                </c:pt>
                <c:pt idx="2717" formatCode="#,##0.000">
                  <c:v>#N/A</c:v>
                </c:pt>
                <c:pt idx="2718" formatCode="#,##0.000">
                  <c:v>#N/A</c:v>
                </c:pt>
                <c:pt idx="2719" formatCode="#,##0.000">
                  <c:v>#N/A</c:v>
                </c:pt>
                <c:pt idx="2720" formatCode="#,##0.000">
                  <c:v>#N/A</c:v>
                </c:pt>
                <c:pt idx="2721" formatCode="#,##0.000">
                  <c:v>#N/A</c:v>
                </c:pt>
                <c:pt idx="2722" formatCode="#,##0.000">
                  <c:v>#N/A</c:v>
                </c:pt>
                <c:pt idx="2723" formatCode="#,##0.000">
                  <c:v>#N/A</c:v>
                </c:pt>
                <c:pt idx="2724" formatCode="#,##0.000">
                  <c:v>#N/A</c:v>
                </c:pt>
                <c:pt idx="2725" formatCode="#,##0.000">
                  <c:v>#N/A</c:v>
                </c:pt>
                <c:pt idx="2726" formatCode="#,##0.000">
                  <c:v>#N/A</c:v>
                </c:pt>
                <c:pt idx="2727" formatCode="#,##0.000">
                  <c:v>#N/A</c:v>
                </c:pt>
                <c:pt idx="2728" formatCode="#,##0.000">
                  <c:v>#N/A</c:v>
                </c:pt>
                <c:pt idx="2729" formatCode="#,##0.000">
                  <c:v>#N/A</c:v>
                </c:pt>
                <c:pt idx="2730" formatCode="#,##0.000">
                  <c:v>#N/A</c:v>
                </c:pt>
                <c:pt idx="2731" formatCode="#,##0.000">
                  <c:v>#N/A</c:v>
                </c:pt>
                <c:pt idx="2732" formatCode="#,##0.000">
                  <c:v>#N/A</c:v>
                </c:pt>
                <c:pt idx="2733" formatCode="#,##0.000">
                  <c:v>#N/A</c:v>
                </c:pt>
                <c:pt idx="2734" formatCode="#,##0.000">
                  <c:v>#N/A</c:v>
                </c:pt>
                <c:pt idx="2735" formatCode="#,##0.000">
                  <c:v>#N/A</c:v>
                </c:pt>
                <c:pt idx="2736" formatCode="#,##0.000">
                  <c:v>#N/A</c:v>
                </c:pt>
                <c:pt idx="2737" formatCode="#,##0.000">
                  <c:v>#N/A</c:v>
                </c:pt>
                <c:pt idx="2738" formatCode="#,##0.000">
                  <c:v>#N/A</c:v>
                </c:pt>
                <c:pt idx="2739" formatCode="#,##0.000">
                  <c:v>#N/A</c:v>
                </c:pt>
                <c:pt idx="2740" formatCode="#,##0.000">
                  <c:v>#N/A</c:v>
                </c:pt>
                <c:pt idx="2741" formatCode="#,##0.000">
                  <c:v>#N/A</c:v>
                </c:pt>
                <c:pt idx="2742" formatCode="#,##0.000">
                  <c:v>#N/A</c:v>
                </c:pt>
                <c:pt idx="2743" formatCode="#,##0.000">
                  <c:v>#N/A</c:v>
                </c:pt>
                <c:pt idx="2744" formatCode="#,##0.000">
                  <c:v>#N/A</c:v>
                </c:pt>
                <c:pt idx="2745" formatCode="#,##0.000">
                  <c:v>#N/A</c:v>
                </c:pt>
                <c:pt idx="2746" formatCode="#,##0.000">
                  <c:v>#N/A</c:v>
                </c:pt>
                <c:pt idx="2747" formatCode="#,##0.000">
                  <c:v>#N/A</c:v>
                </c:pt>
                <c:pt idx="2748" formatCode="#,##0.000">
                  <c:v>#N/A</c:v>
                </c:pt>
                <c:pt idx="2749" formatCode="#,##0.000">
                  <c:v>#N/A</c:v>
                </c:pt>
                <c:pt idx="2750" formatCode="#,##0.000">
                  <c:v>#N/A</c:v>
                </c:pt>
                <c:pt idx="2751" formatCode="#,##0.000">
                  <c:v>#N/A</c:v>
                </c:pt>
                <c:pt idx="2752" formatCode="#,##0.000">
                  <c:v>#N/A</c:v>
                </c:pt>
                <c:pt idx="2753" formatCode="#,##0.000">
                  <c:v>#N/A</c:v>
                </c:pt>
                <c:pt idx="2754" formatCode="#,##0.000">
                  <c:v>#N/A</c:v>
                </c:pt>
                <c:pt idx="2755" formatCode="#,##0.000">
                  <c:v>#N/A</c:v>
                </c:pt>
                <c:pt idx="2756" formatCode="#,##0.000">
                  <c:v>#N/A</c:v>
                </c:pt>
                <c:pt idx="2757" formatCode="#,##0.000">
                  <c:v>#N/A</c:v>
                </c:pt>
                <c:pt idx="2758" formatCode="#,##0.000">
                  <c:v>#N/A</c:v>
                </c:pt>
                <c:pt idx="2759" formatCode="#,##0.000">
                  <c:v>#N/A</c:v>
                </c:pt>
                <c:pt idx="2760" formatCode="#,##0.000">
                  <c:v>#N/A</c:v>
                </c:pt>
                <c:pt idx="2761" formatCode="#,##0.000">
                  <c:v>#N/A</c:v>
                </c:pt>
                <c:pt idx="2762" formatCode="#,##0.000">
                  <c:v>#N/A</c:v>
                </c:pt>
                <c:pt idx="2763" formatCode="#,##0.000">
                  <c:v>#N/A</c:v>
                </c:pt>
                <c:pt idx="2764" formatCode="#,##0.000">
                  <c:v>#N/A</c:v>
                </c:pt>
                <c:pt idx="2765" formatCode="#,##0.000">
                  <c:v>#N/A</c:v>
                </c:pt>
                <c:pt idx="2766" formatCode="#,##0.000">
                  <c:v>#N/A</c:v>
                </c:pt>
                <c:pt idx="2767" formatCode="#,##0.000">
                  <c:v>#N/A</c:v>
                </c:pt>
                <c:pt idx="2768" formatCode="#,##0.000">
                  <c:v>#N/A</c:v>
                </c:pt>
                <c:pt idx="2769" formatCode="#,##0.000">
                  <c:v>#N/A</c:v>
                </c:pt>
                <c:pt idx="2770" formatCode="#,##0.000">
                  <c:v>#N/A</c:v>
                </c:pt>
                <c:pt idx="2771" formatCode="#,##0.000">
                  <c:v>#N/A</c:v>
                </c:pt>
                <c:pt idx="2772" formatCode="#,##0.000">
                  <c:v>#N/A</c:v>
                </c:pt>
                <c:pt idx="2773" formatCode="#,##0.000">
                  <c:v>#N/A</c:v>
                </c:pt>
                <c:pt idx="2774" formatCode="#,##0.000">
                  <c:v>#N/A</c:v>
                </c:pt>
                <c:pt idx="2775" formatCode="#,##0.000">
                  <c:v>#N/A</c:v>
                </c:pt>
                <c:pt idx="2776" formatCode="#,##0.000">
                  <c:v>#N/A</c:v>
                </c:pt>
                <c:pt idx="2777" formatCode="#,##0.000">
                  <c:v>#N/A</c:v>
                </c:pt>
                <c:pt idx="2778" formatCode="#,##0.000">
                  <c:v>#N/A</c:v>
                </c:pt>
                <c:pt idx="2779" formatCode="#,##0.000">
                  <c:v>#N/A</c:v>
                </c:pt>
                <c:pt idx="2780" formatCode="#,##0.000">
                  <c:v>#N/A</c:v>
                </c:pt>
                <c:pt idx="2781" formatCode="#,##0.000">
                  <c:v>#N/A</c:v>
                </c:pt>
                <c:pt idx="2782" formatCode="#,##0.000">
                  <c:v>#N/A</c:v>
                </c:pt>
                <c:pt idx="2783" formatCode="#,##0.000">
                  <c:v>#N/A</c:v>
                </c:pt>
                <c:pt idx="2784" formatCode="#,##0.000">
                  <c:v>#N/A</c:v>
                </c:pt>
                <c:pt idx="2785" formatCode="#,##0.000">
                  <c:v>#N/A</c:v>
                </c:pt>
                <c:pt idx="2786" formatCode="#,##0.000">
                  <c:v>#N/A</c:v>
                </c:pt>
                <c:pt idx="2787" formatCode="#,##0.000">
                  <c:v>#N/A</c:v>
                </c:pt>
                <c:pt idx="2788" formatCode="#,##0.000">
                  <c:v>#N/A</c:v>
                </c:pt>
                <c:pt idx="2789" formatCode="#,##0.000">
                  <c:v>#N/A</c:v>
                </c:pt>
                <c:pt idx="2790" formatCode="#,##0.000">
                  <c:v>#N/A</c:v>
                </c:pt>
                <c:pt idx="2791" formatCode="#,##0.000">
                  <c:v>#N/A</c:v>
                </c:pt>
                <c:pt idx="2792" formatCode="#,##0.000">
                  <c:v>#N/A</c:v>
                </c:pt>
                <c:pt idx="2793" formatCode="#,##0.000">
                  <c:v>#N/A</c:v>
                </c:pt>
                <c:pt idx="2794" formatCode="#,##0.000">
                  <c:v>#N/A</c:v>
                </c:pt>
                <c:pt idx="2795" formatCode="#,##0.000">
                  <c:v>#N/A</c:v>
                </c:pt>
                <c:pt idx="2796" formatCode="#,##0.000">
                  <c:v>#N/A</c:v>
                </c:pt>
                <c:pt idx="2797" formatCode="#,##0.000">
                  <c:v>#N/A</c:v>
                </c:pt>
                <c:pt idx="2798" formatCode="#,##0.000">
                  <c:v>#N/A</c:v>
                </c:pt>
                <c:pt idx="2799" formatCode="#,##0.000">
                  <c:v>#N/A</c:v>
                </c:pt>
                <c:pt idx="2800" formatCode="#,##0.000">
                  <c:v>#N/A</c:v>
                </c:pt>
                <c:pt idx="2801" formatCode="#,##0.000">
                  <c:v>#N/A</c:v>
                </c:pt>
                <c:pt idx="2802" formatCode="#,##0.000">
                  <c:v>#N/A</c:v>
                </c:pt>
                <c:pt idx="2803" formatCode="#,##0.000">
                  <c:v>#N/A</c:v>
                </c:pt>
                <c:pt idx="2804" formatCode="#,##0.000">
                  <c:v>#N/A</c:v>
                </c:pt>
                <c:pt idx="2805" formatCode="#,##0.000">
                  <c:v>#N/A</c:v>
                </c:pt>
                <c:pt idx="2806" formatCode="#,##0.000">
                  <c:v>#N/A</c:v>
                </c:pt>
                <c:pt idx="2807" formatCode="#,##0.000">
                  <c:v>#N/A</c:v>
                </c:pt>
                <c:pt idx="2808" formatCode="#,##0.000">
                  <c:v>#N/A</c:v>
                </c:pt>
                <c:pt idx="2809" formatCode="#,##0.000">
                  <c:v>#N/A</c:v>
                </c:pt>
                <c:pt idx="2810" formatCode="#,##0.000">
                  <c:v>#N/A</c:v>
                </c:pt>
                <c:pt idx="2811" formatCode="#,##0.000">
                  <c:v>#N/A</c:v>
                </c:pt>
                <c:pt idx="2812" formatCode="#,##0.000">
                  <c:v>#N/A</c:v>
                </c:pt>
                <c:pt idx="2813" formatCode="#,##0.000">
                  <c:v>#N/A</c:v>
                </c:pt>
                <c:pt idx="2814" formatCode="#,##0.000">
                  <c:v>#N/A</c:v>
                </c:pt>
                <c:pt idx="2815" formatCode="#,##0.000">
                  <c:v>#N/A</c:v>
                </c:pt>
                <c:pt idx="2816" formatCode="#,##0.000">
                  <c:v>#N/A</c:v>
                </c:pt>
                <c:pt idx="2817" formatCode="#,##0.000">
                  <c:v>#N/A</c:v>
                </c:pt>
                <c:pt idx="2818" formatCode="#,##0.000">
                  <c:v>#N/A</c:v>
                </c:pt>
                <c:pt idx="2819" formatCode="#,##0.000">
                  <c:v>#N/A</c:v>
                </c:pt>
                <c:pt idx="2820" formatCode="#,##0.000">
                  <c:v>#N/A</c:v>
                </c:pt>
                <c:pt idx="2821" formatCode="#,##0.000">
                  <c:v>#N/A</c:v>
                </c:pt>
                <c:pt idx="2822" formatCode="#,##0.000">
                  <c:v>#N/A</c:v>
                </c:pt>
                <c:pt idx="2823" formatCode="#,##0.000">
                  <c:v>#N/A</c:v>
                </c:pt>
                <c:pt idx="2824" formatCode="#,##0.000">
                  <c:v>#N/A</c:v>
                </c:pt>
                <c:pt idx="2825" formatCode="#,##0.000">
                  <c:v>#N/A</c:v>
                </c:pt>
                <c:pt idx="2826" formatCode="#,##0.000">
                  <c:v>#N/A</c:v>
                </c:pt>
                <c:pt idx="2827" formatCode="#,##0.000">
                  <c:v>#N/A</c:v>
                </c:pt>
                <c:pt idx="2828" formatCode="#,##0.000">
                  <c:v>#N/A</c:v>
                </c:pt>
                <c:pt idx="2829" formatCode="#,##0.000">
                  <c:v>#N/A</c:v>
                </c:pt>
                <c:pt idx="2830" formatCode="#,##0.000">
                  <c:v>#N/A</c:v>
                </c:pt>
                <c:pt idx="2831" formatCode="#,##0.000">
                  <c:v>#N/A</c:v>
                </c:pt>
                <c:pt idx="2832" formatCode="#,##0.000">
                  <c:v>#N/A</c:v>
                </c:pt>
                <c:pt idx="2833" formatCode="#,##0.000">
                  <c:v>#N/A</c:v>
                </c:pt>
                <c:pt idx="2834" formatCode="#,##0.000">
                  <c:v>#N/A</c:v>
                </c:pt>
                <c:pt idx="2835" formatCode="#,##0.000">
                  <c:v>#N/A</c:v>
                </c:pt>
                <c:pt idx="2836" formatCode="#,##0.000">
                  <c:v>#N/A</c:v>
                </c:pt>
                <c:pt idx="2837" formatCode="#,##0.000">
                  <c:v>#N/A</c:v>
                </c:pt>
                <c:pt idx="2838" formatCode="#,##0.000">
                  <c:v>#N/A</c:v>
                </c:pt>
                <c:pt idx="2839" formatCode="#,##0.000">
                  <c:v>#N/A</c:v>
                </c:pt>
                <c:pt idx="2840" formatCode="#,##0.000">
                  <c:v>#N/A</c:v>
                </c:pt>
                <c:pt idx="2841" formatCode="#,##0.000">
                  <c:v>#N/A</c:v>
                </c:pt>
                <c:pt idx="2842" formatCode="#,##0.000">
                  <c:v>#N/A</c:v>
                </c:pt>
                <c:pt idx="2843" formatCode="#,##0.000">
                  <c:v>#N/A</c:v>
                </c:pt>
                <c:pt idx="2844" formatCode="#,##0.000">
                  <c:v>#N/A</c:v>
                </c:pt>
                <c:pt idx="2845" formatCode="#,##0.000">
                  <c:v>#N/A</c:v>
                </c:pt>
                <c:pt idx="2846" formatCode="#,##0.000">
                  <c:v>#N/A</c:v>
                </c:pt>
                <c:pt idx="2847" formatCode="#,##0.000">
                  <c:v>#N/A</c:v>
                </c:pt>
                <c:pt idx="2848" formatCode="#,##0.000">
                  <c:v>#N/A</c:v>
                </c:pt>
                <c:pt idx="2849" formatCode="#,##0.000">
                  <c:v>#N/A</c:v>
                </c:pt>
                <c:pt idx="2850" formatCode="#,##0.000">
                  <c:v>#N/A</c:v>
                </c:pt>
                <c:pt idx="2851" formatCode="#,##0.000">
                  <c:v>#N/A</c:v>
                </c:pt>
                <c:pt idx="2852" formatCode="#,##0.000">
                  <c:v>#N/A</c:v>
                </c:pt>
                <c:pt idx="2853" formatCode="#,##0.000">
                  <c:v>#N/A</c:v>
                </c:pt>
                <c:pt idx="2854" formatCode="#,##0.000">
                  <c:v>#N/A</c:v>
                </c:pt>
                <c:pt idx="2855" formatCode="#,##0.000">
                  <c:v>#N/A</c:v>
                </c:pt>
                <c:pt idx="2856" formatCode="#,##0.000">
                  <c:v>#N/A</c:v>
                </c:pt>
                <c:pt idx="2857" formatCode="#,##0.000">
                  <c:v>#N/A</c:v>
                </c:pt>
                <c:pt idx="2858" formatCode="#,##0.000">
                  <c:v>#N/A</c:v>
                </c:pt>
                <c:pt idx="2859" formatCode="#,##0.000">
                  <c:v>#N/A</c:v>
                </c:pt>
                <c:pt idx="2860" formatCode="#,##0.000">
                  <c:v>#N/A</c:v>
                </c:pt>
                <c:pt idx="2861" formatCode="#,##0.000">
                  <c:v>#N/A</c:v>
                </c:pt>
                <c:pt idx="2862" formatCode="#,##0.000">
                  <c:v>#N/A</c:v>
                </c:pt>
                <c:pt idx="2863" formatCode="#,##0.000">
                  <c:v>#N/A</c:v>
                </c:pt>
                <c:pt idx="2864" formatCode="#,##0.000">
                  <c:v>#N/A</c:v>
                </c:pt>
                <c:pt idx="2865" formatCode="#,##0.000">
                  <c:v>#N/A</c:v>
                </c:pt>
                <c:pt idx="2866" formatCode="#,##0.000">
                  <c:v>#N/A</c:v>
                </c:pt>
                <c:pt idx="2867" formatCode="#,##0.000">
                  <c:v>#N/A</c:v>
                </c:pt>
                <c:pt idx="2868" formatCode="#,##0.000">
                  <c:v>#N/A</c:v>
                </c:pt>
                <c:pt idx="2869" formatCode="#,##0.000">
                  <c:v>#N/A</c:v>
                </c:pt>
                <c:pt idx="2870" formatCode="#,##0.000">
                  <c:v>#N/A</c:v>
                </c:pt>
                <c:pt idx="2871" formatCode="#,##0.000">
                  <c:v>#N/A</c:v>
                </c:pt>
                <c:pt idx="2872" formatCode="#,##0.000">
                  <c:v>#N/A</c:v>
                </c:pt>
                <c:pt idx="2873" formatCode="#,##0.000">
                  <c:v>#N/A</c:v>
                </c:pt>
                <c:pt idx="2874" formatCode="#,##0.000">
                  <c:v>#N/A</c:v>
                </c:pt>
                <c:pt idx="2875" formatCode="#,##0.000">
                  <c:v>#N/A</c:v>
                </c:pt>
                <c:pt idx="2876" formatCode="#,##0.000">
                  <c:v>#N/A</c:v>
                </c:pt>
                <c:pt idx="2877" formatCode="#,##0.000">
                  <c:v>#N/A</c:v>
                </c:pt>
                <c:pt idx="2878" formatCode="#,##0.000">
                  <c:v>#N/A</c:v>
                </c:pt>
                <c:pt idx="2879" formatCode="#,##0.000">
                  <c:v>#N/A</c:v>
                </c:pt>
                <c:pt idx="2880" formatCode="#,##0.000">
                  <c:v>#N/A</c:v>
                </c:pt>
                <c:pt idx="2881" formatCode="#,##0.000">
                  <c:v>#N/A</c:v>
                </c:pt>
                <c:pt idx="2882" formatCode="#,##0.000">
                  <c:v>#N/A</c:v>
                </c:pt>
                <c:pt idx="2883" formatCode="#,##0.000">
                  <c:v>#N/A</c:v>
                </c:pt>
                <c:pt idx="2884" formatCode="#,##0.000">
                  <c:v>#N/A</c:v>
                </c:pt>
                <c:pt idx="2885" formatCode="#,##0.000">
                  <c:v>#N/A</c:v>
                </c:pt>
                <c:pt idx="2886" formatCode="#,##0.000">
                  <c:v>#N/A</c:v>
                </c:pt>
                <c:pt idx="2887" formatCode="#,##0.000">
                  <c:v>#N/A</c:v>
                </c:pt>
                <c:pt idx="2888" formatCode="#,##0.000">
                  <c:v>#N/A</c:v>
                </c:pt>
                <c:pt idx="2889" formatCode="#,##0.000">
                  <c:v>#N/A</c:v>
                </c:pt>
                <c:pt idx="2890" formatCode="#,##0.000">
                  <c:v>#N/A</c:v>
                </c:pt>
                <c:pt idx="2891" formatCode="#,##0.000">
                  <c:v>#N/A</c:v>
                </c:pt>
                <c:pt idx="2892" formatCode="#,##0.000">
                  <c:v>#N/A</c:v>
                </c:pt>
                <c:pt idx="2893" formatCode="#,##0.000">
                  <c:v>#N/A</c:v>
                </c:pt>
                <c:pt idx="2894" formatCode="#,##0.000">
                  <c:v>#N/A</c:v>
                </c:pt>
                <c:pt idx="2895" formatCode="#,##0.000">
                  <c:v>#N/A</c:v>
                </c:pt>
                <c:pt idx="2896" formatCode="#,##0.000">
                  <c:v>#N/A</c:v>
                </c:pt>
                <c:pt idx="2897" formatCode="#,##0.000">
                  <c:v>#N/A</c:v>
                </c:pt>
                <c:pt idx="2898" formatCode="#,##0.000">
                  <c:v>#N/A</c:v>
                </c:pt>
                <c:pt idx="2899" formatCode="#,##0.000">
                  <c:v>#N/A</c:v>
                </c:pt>
                <c:pt idx="2900" formatCode="#,##0.000">
                  <c:v>#N/A</c:v>
                </c:pt>
                <c:pt idx="2901" formatCode="#,##0.000">
                  <c:v>#N/A</c:v>
                </c:pt>
                <c:pt idx="2902" formatCode="#,##0.000">
                  <c:v>#N/A</c:v>
                </c:pt>
                <c:pt idx="2903" formatCode="#,##0.000">
                  <c:v>#N/A</c:v>
                </c:pt>
                <c:pt idx="2904" formatCode="#,##0.000">
                  <c:v>#N/A</c:v>
                </c:pt>
                <c:pt idx="2905" formatCode="#,##0.000">
                  <c:v>#N/A</c:v>
                </c:pt>
                <c:pt idx="2906" formatCode="#,##0.000">
                  <c:v>#N/A</c:v>
                </c:pt>
                <c:pt idx="2907" formatCode="#,##0.000">
                  <c:v>#N/A</c:v>
                </c:pt>
                <c:pt idx="2908" formatCode="#,##0.000">
                  <c:v>#N/A</c:v>
                </c:pt>
                <c:pt idx="2909" formatCode="#,##0.000">
                  <c:v>#N/A</c:v>
                </c:pt>
                <c:pt idx="2910" formatCode="#,##0.000">
                  <c:v>#N/A</c:v>
                </c:pt>
                <c:pt idx="2911" formatCode="#,##0.000">
                  <c:v>#N/A</c:v>
                </c:pt>
                <c:pt idx="2912" formatCode="#,##0.000">
                  <c:v>#N/A</c:v>
                </c:pt>
                <c:pt idx="2913" formatCode="#,##0.000">
                  <c:v>#N/A</c:v>
                </c:pt>
                <c:pt idx="2914" formatCode="#,##0.000">
                  <c:v>#N/A</c:v>
                </c:pt>
                <c:pt idx="2915" formatCode="#,##0.000">
                  <c:v>#N/A</c:v>
                </c:pt>
                <c:pt idx="2916" formatCode="#,##0.000">
                  <c:v>#N/A</c:v>
                </c:pt>
                <c:pt idx="2917" formatCode="#,##0.000">
                  <c:v>#N/A</c:v>
                </c:pt>
                <c:pt idx="2918" formatCode="#,##0.000">
                  <c:v>#N/A</c:v>
                </c:pt>
                <c:pt idx="2919" formatCode="#,##0.000">
                  <c:v>#N/A</c:v>
                </c:pt>
                <c:pt idx="2920" formatCode="#,##0.000">
                  <c:v>#N/A</c:v>
                </c:pt>
                <c:pt idx="2921" formatCode="#,##0.000">
                  <c:v>#N/A</c:v>
                </c:pt>
                <c:pt idx="2922" formatCode="#,##0.000">
                  <c:v>#N/A</c:v>
                </c:pt>
                <c:pt idx="2923" formatCode="#,##0.000">
                  <c:v>#N/A</c:v>
                </c:pt>
                <c:pt idx="2924" formatCode="#,##0.000">
                  <c:v>#N/A</c:v>
                </c:pt>
                <c:pt idx="2925" formatCode="#,##0.000">
                  <c:v>#N/A</c:v>
                </c:pt>
                <c:pt idx="2926" formatCode="#,##0.000">
                  <c:v>#N/A</c:v>
                </c:pt>
                <c:pt idx="2927" formatCode="#,##0.000">
                  <c:v>#N/A</c:v>
                </c:pt>
                <c:pt idx="2928" formatCode="#,##0.000">
                  <c:v>#N/A</c:v>
                </c:pt>
                <c:pt idx="2929" formatCode="#,##0.000">
                  <c:v>#N/A</c:v>
                </c:pt>
                <c:pt idx="2930" formatCode="#,##0.000">
                  <c:v>#N/A</c:v>
                </c:pt>
                <c:pt idx="2931" formatCode="#,##0.000">
                  <c:v>#N/A</c:v>
                </c:pt>
                <c:pt idx="2932" formatCode="#,##0.000">
                  <c:v>#N/A</c:v>
                </c:pt>
                <c:pt idx="2933" formatCode="#,##0.000">
                  <c:v>#N/A</c:v>
                </c:pt>
                <c:pt idx="2934" formatCode="#,##0.000">
                  <c:v>#N/A</c:v>
                </c:pt>
                <c:pt idx="2935" formatCode="#,##0.000">
                  <c:v>#N/A</c:v>
                </c:pt>
                <c:pt idx="2936" formatCode="#,##0.000">
                  <c:v>#N/A</c:v>
                </c:pt>
                <c:pt idx="2937" formatCode="#,##0.000">
                  <c:v>#N/A</c:v>
                </c:pt>
                <c:pt idx="2938" formatCode="#,##0.000">
                  <c:v>#N/A</c:v>
                </c:pt>
                <c:pt idx="2939" formatCode="#,##0.000">
                  <c:v>#N/A</c:v>
                </c:pt>
                <c:pt idx="2940" formatCode="#,##0.000">
                  <c:v>#N/A</c:v>
                </c:pt>
                <c:pt idx="2941" formatCode="#,##0.000">
                  <c:v>#N/A</c:v>
                </c:pt>
                <c:pt idx="2942" formatCode="#,##0.000">
                  <c:v>#N/A</c:v>
                </c:pt>
                <c:pt idx="2943" formatCode="#,##0.000">
                  <c:v>#N/A</c:v>
                </c:pt>
                <c:pt idx="2944" formatCode="#,##0.000">
                  <c:v>#N/A</c:v>
                </c:pt>
                <c:pt idx="2945" formatCode="#,##0.000">
                  <c:v>#N/A</c:v>
                </c:pt>
                <c:pt idx="2946" formatCode="#,##0.000">
                  <c:v>#N/A</c:v>
                </c:pt>
                <c:pt idx="2947" formatCode="#,##0.000">
                  <c:v>#N/A</c:v>
                </c:pt>
                <c:pt idx="2948" formatCode="#,##0.000">
                  <c:v>#N/A</c:v>
                </c:pt>
                <c:pt idx="2949" formatCode="#,##0.000">
                  <c:v>#N/A</c:v>
                </c:pt>
                <c:pt idx="2950" formatCode="#,##0.000">
                  <c:v>#N/A</c:v>
                </c:pt>
                <c:pt idx="2951" formatCode="#,##0.000">
                  <c:v>#N/A</c:v>
                </c:pt>
                <c:pt idx="2952" formatCode="#,##0.000">
                  <c:v>#N/A</c:v>
                </c:pt>
                <c:pt idx="2953" formatCode="#,##0.000">
                  <c:v>#N/A</c:v>
                </c:pt>
                <c:pt idx="2954" formatCode="#,##0.000">
                  <c:v>#N/A</c:v>
                </c:pt>
                <c:pt idx="2955" formatCode="#,##0.000">
                  <c:v>#N/A</c:v>
                </c:pt>
                <c:pt idx="2956" formatCode="#,##0.000">
                  <c:v>#N/A</c:v>
                </c:pt>
                <c:pt idx="2957" formatCode="#,##0.000">
                  <c:v>#N/A</c:v>
                </c:pt>
                <c:pt idx="2958" formatCode="#,##0.000">
                  <c:v>#N/A</c:v>
                </c:pt>
                <c:pt idx="2959" formatCode="#,##0.000">
                  <c:v>#N/A</c:v>
                </c:pt>
                <c:pt idx="2960" formatCode="#,##0.000">
                  <c:v>#N/A</c:v>
                </c:pt>
                <c:pt idx="2961" formatCode="#,##0.000">
                  <c:v>#N/A</c:v>
                </c:pt>
                <c:pt idx="2962" formatCode="#,##0.000">
                  <c:v>#N/A</c:v>
                </c:pt>
                <c:pt idx="2963" formatCode="#,##0.000">
                  <c:v>#N/A</c:v>
                </c:pt>
                <c:pt idx="2964" formatCode="#,##0.000">
                  <c:v>#N/A</c:v>
                </c:pt>
                <c:pt idx="2965" formatCode="#,##0.000">
                  <c:v>#N/A</c:v>
                </c:pt>
                <c:pt idx="2966" formatCode="#,##0.000">
                  <c:v>#N/A</c:v>
                </c:pt>
                <c:pt idx="2967" formatCode="#,##0.000">
                  <c:v>#N/A</c:v>
                </c:pt>
                <c:pt idx="2968" formatCode="#,##0.000">
                  <c:v>#N/A</c:v>
                </c:pt>
                <c:pt idx="2969" formatCode="#,##0.000">
                  <c:v>#N/A</c:v>
                </c:pt>
                <c:pt idx="2970" formatCode="#,##0.000">
                  <c:v>#N/A</c:v>
                </c:pt>
                <c:pt idx="2971" formatCode="#,##0.000">
                  <c:v>#N/A</c:v>
                </c:pt>
                <c:pt idx="2972" formatCode="#,##0.000">
                  <c:v>#N/A</c:v>
                </c:pt>
                <c:pt idx="2973" formatCode="#,##0.000">
                  <c:v>#N/A</c:v>
                </c:pt>
                <c:pt idx="2974" formatCode="#,##0.000">
                  <c:v>#N/A</c:v>
                </c:pt>
                <c:pt idx="2975" formatCode="#,##0.000">
                  <c:v>#N/A</c:v>
                </c:pt>
                <c:pt idx="2976" formatCode="#,##0.000">
                  <c:v>#N/A</c:v>
                </c:pt>
                <c:pt idx="2977" formatCode="#,##0.000">
                  <c:v>#N/A</c:v>
                </c:pt>
                <c:pt idx="2978" formatCode="#,##0.000">
                  <c:v>#N/A</c:v>
                </c:pt>
                <c:pt idx="2979" formatCode="#,##0.000">
                  <c:v>#N/A</c:v>
                </c:pt>
                <c:pt idx="2980" formatCode="#,##0.000">
                  <c:v>#N/A</c:v>
                </c:pt>
                <c:pt idx="2981" formatCode="#,##0.000">
                  <c:v>#N/A</c:v>
                </c:pt>
                <c:pt idx="2982" formatCode="#,##0.000">
                  <c:v>#N/A</c:v>
                </c:pt>
                <c:pt idx="2983" formatCode="#,##0.000">
                  <c:v>#N/A</c:v>
                </c:pt>
                <c:pt idx="2984" formatCode="#,##0.000">
                  <c:v>#N/A</c:v>
                </c:pt>
                <c:pt idx="2985" formatCode="#,##0.000">
                  <c:v>#N/A</c:v>
                </c:pt>
                <c:pt idx="2986" formatCode="#,##0.000">
                  <c:v>#N/A</c:v>
                </c:pt>
                <c:pt idx="2987" formatCode="#,##0.000">
                  <c:v>#N/A</c:v>
                </c:pt>
                <c:pt idx="2988" formatCode="#,##0.000">
                  <c:v>#N/A</c:v>
                </c:pt>
                <c:pt idx="2989" formatCode="#,##0.000">
                  <c:v>#N/A</c:v>
                </c:pt>
                <c:pt idx="2990" formatCode="#,##0.000">
                  <c:v>#N/A</c:v>
                </c:pt>
                <c:pt idx="2991" formatCode="#,##0.000">
                  <c:v>#N/A</c:v>
                </c:pt>
                <c:pt idx="2992" formatCode="#,##0.000">
                  <c:v>#N/A</c:v>
                </c:pt>
                <c:pt idx="2993" formatCode="#,##0.000">
                  <c:v>#N/A</c:v>
                </c:pt>
                <c:pt idx="2994" formatCode="#,##0.000">
                  <c:v>#N/A</c:v>
                </c:pt>
                <c:pt idx="2995" formatCode="#,##0.000">
                  <c:v>#N/A</c:v>
                </c:pt>
                <c:pt idx="2996" formatCode="#,##0.000">
                  <c:v>#N/A</c:v>
                </c:pt>
                <c:pt idx="2997" formatCode="#,##0.000">
                  <c:v>#N/A</c:v>
                </c:pt>
                <c:pt idx="2998" formatCode="#,##0.000">
                  <c:v>#N/A</c:v>
                </c:pt>
                <c:pt idx="2999" formatCode="#,##0.000">
                  <c:v>#N/A</c:v>
                </c:pt>
                <c:pt idx="3000" formatCode="#,##0.000">
                  <c:v>#N/A</c:v>
                </c:pt>
                <c:pt idx="3001" formatCode="#,##0.000">
                  <c:v>#N/A</c:v>
                </c:pt>
                <c:pt idx="3002" formatCode="#,##0.000">
                  <c:v>#N/A</c:v>
                </c:pt>
                <c:pt idx="3003" formatCode="#,##0.000">
                  <c:v>#N/A</c:v>
                </c:pt>
                <c:pt idx="3004" formatCode="#,##0.000">
                  <c:v>#N/A</c:v>
                </c:pt>
                <c:pt idx="3005" formatCode="#,##0.000">
                  <c:v>#N/A</c:v>
                </c:pt>
                <c:pt idx="3006" formatCode="#,##0.000">
                  <c:v>#N/A</c:v>
                </c:pt>
                <c:pt idx="3007" formatCode="#,##0.000">
                  <c:v>#N/A</c:v>
                </c:pt>
                <c:pt idx="3008" formatCode="#,##0.000">
                  <c:v>#N/A</c:v>
                </c:pt>
                <c:pt idx="3009" formatCode="#,##0.000">
                  <c:v>#N/A</c:v>
                </c:pt>
                <c:pt idx="3010" formatCode="#,##0.000">
                  <c:v>#N/A</c:v>
                </c:pt>
                <c:pt idx="3011" formatCode="#,##0.000">
                  <c:v>#N/A</c:v>
                </c:pt>
                <c:pt idx="3012" formatCode="#,##0.000">
                  <c:v>#N/A</c:v>
                </c:pt>
                <c:pt idx="3013" formatCode="#,##0.000">
                  <c:v>#N/A</c:v>
                </c:pt>
                <c:pt idx="3014" formatCode="#,##0.000">
                  <c:v>#N/A</c:v>
                </c:pt>
                <c:pt idx="3015" formatCode="#,##0.000">
                  <c:v>#N/A</c:v>
                </c:pt>
                <c:pt idx="3016" formatCode="#,##0.000">
                  <c:v>#N/A</c:v>
                </c:pt>
                <c:pt idx="3017" formatCode="#,##0.000">
                  <c:v>#N/A</c:v>
                </c:pt>
                <c:pt idx="3018" formatCode="#,##0.000">
                  <c:v>#N/A</c:v>
                </c:pt>
                <c:pt idx="3019" formatCode="#,##0.000">
                  <c:v>#N/A</c:v>
                </c:pt>
                <c:pt idx="3020" formatCode="#,##0.000">
                  <c:v>#N/A</c:v>
                </c:pt>
                <c:pt idx="3021" formatCode="#,##0.000">
                  <c:v>#N/A</c:v>
                </c:pt>
                <c:pt idx="3022" formatCode="#,##0.000">
                  <c:v>#N/A</c:v>
                </c:pt>
                <c:pt idx="3023" formatCode="#,##0.000">
                  <c:v>#N/A</c:v>
                </c:pt>
                <c:pt idx="3024" formatCode="#,##0.000">
                  <c:v>#N/A</c:v>
                </c:pt>
                <c:pt idx="3025" formatCode="#,##0.000">
                  <c:v>#N/A</c:v>
                </c:pt>
                <c:pt idx="3026" formatCode="#,##0.000">
                  <c:v>#N/A</c:v>
                </c:pt>
                <c:pt idx="3027" formatCode="#,##0.000">
                  <c:v>#N/A</c:v>
                </c:pt>
                <c:pt idx="3028" formatCode="#,##0.000">
                  <c:v>#N/A</c:v>
                </c:pt>
                <c:pt idx="3029" formatCode="#,##0.000">
                  <c:v>#N/A</c:v>
                </c:pt>
                <c:pt idx="3030" formatCode="#,##0.000">
                  <c:v>#N/A</c:v>
                </c:pt>
                <c:pt idx="3031" formatCode="#,##0.000">
                  <c:v>#N/A</c:v>
                </c:pt>
                <c:pt idx="3032" formatCode="#,##0.000">
                  <c:v>#N/A</c:v>
                </c:pt>
                <c:pt idx="3033" formatCode="#,##0.000">
                  <c:v>#N/A</c:v>
                </c:pt>
                <c:pt idx="3034" formatCode="#,##0.000">
                  <c:v>#N/A</c:v>
                </c:pt>
                <c:pt idx="3035" formatCode="#,##0.000">
                  <c:v>#N/A</c:v>
                </c:pt>
                <c:pt idx="3036" formatCode="#,##0.000">
                  <c:v>#N/A</c:v>
                </c:pt>
                <c:pt idx="3037" formatCode="#,##0.000">
                  <c:v>#N/A</c:v>
                </c:pt>
                <c:pt idx="3038" formatCode="#,##0.000">
                  <c:v>#N/A</c:v>
                </c:pt>
                <c:pt idx="3039" formatCode="#,##0.000">
                  <c:v>#N/A</c:v>
                </c:pt>
                <c:pt idx="3040" formatCode="#,##0.000">
                  <c:v>#N/A</c:v>
                </c:pt>
                <c:pt idx="3041" formatCode="#,##0.000">
                  <c:v>#N/A</c:v>
                </c:pt>
                <c:pt idx="3042" formatCode="#,##0.000">
                  <c:v>#N/A</c:v>
                </c:pt>
                <c:pt idx="3043" formatCode="#,##0.000">
                  <c:v>#N/A</c:v>
                </c:pt>
                <c:pt idx="3044" formatCode="#,##0.000">
                  <c:v>#N/A</c:v>
                </c:pt>
                <c:pt idx="3045" formatCode="#,##0.000">
                  <c:v>#N/A</c:v>
                </c:pt>
                <c:pt idx="3046" formatCode="#,##0.000">
                  <c:v>#N/A</c:v>
                </c:pt>
                <c:pt idx="3047" formatCode="#,##0.000">
                  <c:v>#N/A</c:v>
                </c:pt>
                <c:pt idx="3048" formatCode="#,##0.000">
                  <c:v>#N/A</c:v>
                </c:pt>
                <c:pt idx="3049" formatCode="#,##0.000">
                  <c:v>#N/A</c:v>
                </c:pt>
                <c:pt idx="3050" formatCode="#,##0.000">
                  <c:v>#N/A</c:v>
                </c:pt>
                <c:pt idx="3051" formatCode="#,##0.000">
                  <c:v>#N/A</c:v>
                </c:pt>
                <c:pt idx="3052" formatCode="#,##0.000">
                  <c:v>#N/A</c:v>
                </c:pt>
                <c:pt idx="3053" formatCode="#,##0.000">
                  <c:v>#N/A</c:v>
                </c:pt>
                <c:pt idx="3054" formatCode="#,##0.000">
                  <c:v>#N/A</c:v>
                </c:pt>
                <c:pt idx="3055" formatCode="#,##0.000">
                  <c:v>#N/A</c:v>
                </c:pt>
                <c:pt idx="3056" formatCode="#,##0.000">
                  <c:v>#N/A</c:v>
                </c:pt>
                <c:pt idx="3057" formatCode="#,##0.000">
                  <c:v>#N/A</c:v>
                </c:pt>
                <c:pt idx="3058" formatCode="#,##0.000">
                  <c:v>#N/A</c:v>
                </c:pt>
                <c:pt idx="3059" formatCode="#,##0.000">
                  <c:v>#N/A</c:v>
                </c:pt>
                <c:pt idx="3060" formatCode="#,##0.000">
                  <c:v>#N/A</c:v>
                </c:pt>
                <c:pt idx="3061" formatCode="#,##0.000">
                  <c:v>#N/A</c:v>
                </c:pt>
                <c:pt idx="3062" formatCode="#,##0.000">
                  <c:v>#N/A</c:v>
                </c:pt>
                <c:pt idx="3063" formatCode="#,##0.000">
                  <c:v>#N/A</c:v>
                </c:pt>
                <c:pt idx="3064" formatCode="#,##0.000">
                  <c:v>#N/A</c:v>
                </c:pt>
                <c:pt idx="3065" formatCode="#,##0.000">
                  <c:v>#N/A</c:v>
                </c:pt>
                <c:pt idx="3066" formatCode="#,##0.000">
                  <c:v>#N/A</c:v>
                </c:pt>
                <c:pt idx="3067" formatCode="#,##0.000">
                  <c:v>#N/A</c:v>
                </c:pt>
                <c:pt idx="3068" formatCode="#,##0.000">
                  <c:v>#N/A</c:v>
                </c:pt>
                <c:pt idx="3069" formatCode="#,##0.000">
                  <c:v>#N/A</c:v>
                </c:pt>
                <c:pt idx="3070" formatCode="#,##0.000">
                  <c:v>#N/A</c:v>
                </c:pt>
                <c:pt idx="3071" formatCode="#,##0.000">
                  <c:v>#N/A</c:v>
                </c:pt>
                <c:pt idx="3072" formatCode="#,##0.000">
                  <c:v>#N/A</c:v>
                </c:pt>
                <c:pt idx="3073" formatCode="#,##0.000">
                  <c:v>#N/A</c:v>
                </c:pt>
                <c:pt idx="3074" formatCode="#,##0.000">
                  <c:v>#N/A</c:v>
                </c:pt>
                <c:pt idx="3075" formatCode="#,##0.000">
                  <c:v>#N/A</c:v>
                </c:pt>
                <c:pt idx="3076" formatCode="#,##0.000">
                  <c:v>#N/A</c:v>
                </c:pt>
                <c:pt idx="3077" formatCode="#,##0.000">
                  <c:v>#N/A</c:v>
                </c:pt>
                <c:pt idx="3078" formatCode="#,##0.000">
                  <c:v>#N/A</c:v>
                </c:pt>
                <c:pt idx="3079" formatCode="#,##0.000">
                  <c:v>#N/A</c:v>
                </c:pt>
                <c:pt idx="3080" formatCode="#,##0.000">
                  <c:v>#N/A</c:v>
                </c:pt>
                <c:pt idx="3081" formatCode="#,##0.000">
                  <c:v>#N/A</c:v>
                </c:pt>
                <c:pt idx="3082" formatCode="#,##0.000">
                  <c:v>#N/A</c:v>
                </c:pt>
                <c:pt idx="3083" formatCode="#,##0.000">
                  <c:v>#N/A</c:v>
                </c:pt>
                <c:pt idx="3084" formatCode="#,##0.000">
                  <c:v>#N/A</c:v>
                </c:pt>
                <c:pt idx="3085" formatCode="#,##0.000">
                  <c:v>#N/A</c:v>
                </c:pt>
                <c:pt idx="3086" formatCode="#,##0.000">
                  <c:v>#N/A</c:v>
                </c:pt>
                <c:pt idx="3087" formatCode="#,##0.000">
                  <c:v>#N/A</c:v>
                </c:pt>
                <c:pt idx="3088" formatCode="#,##0.000">
                  <c:v>#N/A</c:v>
                </c:pt>
                <c:pt idx="3089" formatCode="#,##0.000">
                  <c:v>#N/A</c:v>
                </c:pt>
                <c:pt idx="3090" formatCode="#,##0.000">
                  <c:v>#N/A</c:v>
                </c:pt>
                <c:pt idx="3091" formatCode="#,##0.000">
                  <c:v>#N/A</c:v>
                </c:pt>
                <c:pt idx="3092" formatCode="#,##0.000">
                  <c:v>#N/A</c:v>
                </c:pt>
                <c:pt idx="3093" formatCode="#,##0.000">
                  <c:v>#N/A</c:v>
                </c:pt>
                <c:pt idx="3094" formatCode="#,##0.000">
                  <c:v>#N/A</c:v>
                </c:pt>
                <c:pt idx="3095" formatCode="#,##0.000">
                  <c:v>#N/A</c:v>
                </c:pt>
                <c:pt idx="3096" formatCode="#,##0.000">
                  <c:v>#N/A</c:v>
                </c:pt>
                <c:pt idx="3097" formatCode="#,##0.000">
                  <c:v>#N/A</c:v>
                </c:pt>
                <c:pt idx="3098" formatCode="#,##0.000">
                  <c:v>#N/A</c:v>
                </c:pt>
                <c:pt idx="3099" formatCode="#,##0.000">
                  <c:v>#N/A</c:v>
                </c:pt>
                <c:pt idx="3100" formatCode="#,##0.000">
                  <c:v>#N/A</c:v>
                </c:pt>
                <c:pt idx="3101" formatCode="#,##0.000">
                  <c:v>#N/A</c:v>
                </c:pt>
                <c:pt idx="3102" formatCode="#,##0.000">
                  <c:v>#N/A</c:v>
                </c:pt>
                <c:pt idx="3103" formatCode="#,##0.000">
                  <c:v>#N/A</c:v>
                </c:pt>
                <c:pt idx="3104" formatCode="#,##0.000">
                  <c:v>#N/A</c:v>
                </c:pt>
                <c:pt idx="3105" formatCode="#,##0.000">
                  <c:v>#N/A</c:v>
                </c:pt>
                <c:pt idx="3106" formatCode="#,##0.000">
                  <c:v>#N/A</c:v>
                </c:pt>
                <c:pt idx="3107" formatCode="#,##0.000">
                  <c:v>#N/A</c:v>
                </c:pt>
                <c:pt idx="3108" formatCode="#,##0.000">
                  <c:v>#N/A</c:v>
                </c:pt>
                <c:pt idx="3109" formatCode="#,##0.000">
                  <c:v>#N/A</c:v>
                </c:pt>
                <c:pt idx="3110" formatCode="#,##0.000">
                  <c:v>#N/A</c:v>
                </c:pt>
                <c:pt idx="3111" formatCode="#,##0.000">
                  <c:v>#N/A</c:v>
                </c:pt>
                <c:pt idx="3112" formatCode="#,##0.000">
                  <c:v>#N/A</c:v>
                </c:pt>
                <c:pt idx="3113" formatCode="#,##0.000">
                  <c:v>#N/A</c:v>
                </c:pt>
                <c:pt idx="3114" formatCode="#,##0.000">
                  <c:v>#N/A</c:v>
                </c:pt>
                <c:pt idx="3115" formatCode="#,##0.000">
                  <c:v>#N/A</c:v>
                </c:pt>
                <c:pt idx="3116" formatCode="#,##0.000">
                  <c:v>#N/A</c:v>
                </c:pt>
                <c:pt idx="3117" formatCode="#,##0.000">
                  <c:v>#N/A</c:v>
                </c:pt>
                <c:pt idx="3118" formatCode="#,##0.000">
                  <c:v>#N/A</c:v>
                </c:pt>
                <c:pt idx="3119" formatCode="#,##0.000">
                  <c:v>#N/A</c:v>
                </c:pt>
                <c:pt idx="3120" formatCode="#,##0.000">
                  <c:v>#N/A</c:v>
                </c:pt>
                <c:pt idx="3121" formatCode="#,##0.000">
                  <c:v>#N/A</c:v>
                </c:pt>
                <c:pt idx="3122" formatCode="#,##0.000">
                  <c:v>#N/A</c:v>
                </c:pt>
                <c:pt idx="3123" formatCode="#,##0.000">
                  <c:v>#N/A</c:v>
                </c:pt>
                <c:pt idx="3124" formatCode="#,##0.000">
                  <c:v>#N/A</c:v>
                </c:pt>
                <c:pt idx="3125" formatCode="#,##0.000">
                  <c:v>#N/A</c:v>
                </c:pt>
                <c:pt idx="3126" formatCode="#,##0.000">
                  <c:v>#N/A</c:v>
                </c:pt>
                <c:pt idx="3127" formatCode="#,##0.000">
                  <c:v>#N/A</c:v>
                </c:pt>
                <c:pt idx="3128" formatCode="#,##0.000">
                  <c:v>#N/A</c:v>
                </c:pt>
                <c:pt idx="3129" formatCode="#,##0.000">
                  <c:v>#N/A</c:v>
                </c:pt>
                <c:pt idx="3130" formatCode="#,##0.000">
                  <c:v>#N/A</c:v>
                </c:pt>
                <c:pt idx="3131" formatCode="#,##0.000">
                  <c:v>#N/A</c:v>
                </c:pt>
                <c:pt idx="3132" formatCode="#,##0.000">
                  <c:v>#N/A</c:v>
                </c:pt>
                <c:pt idx="3133" formatCode="#,##0.000">
                  <c:v>#N/A</c:v>
                </c:pt>
                <c:pt idx="3134" formatCode="#,##0.000">
                  <c:v>#N/A</c:v>
                </c:pt>
                <c:pt idx="3135" formatCode="#,##0.000">
                  <c:v>#N/A</c:v>
                </c:pt>
                <c:pt idx="3136" formatCode="#,##0.000">
                  <c:v>#N/A</c:v>
                </c:pt>
                <c:pt idx="3137" formatCode="#,##0.000">
                  <c:v>#N/A</c:v>
                </c:pt>
                <c:pt idx="3138" formatCode="#,##0.000">
                  <c:v>#N/A</c:v>
                </c:pt>
                <c:pt idx="3139" formatCode="#,##0.000">
                  <c:v>#N/A</c:v>
                </c:pt>
                <c:pt idx="3140" formatCode="#,##0.000">
                  <c:v>#N/A</c:v>
                </c:pt>
                <c:pt idx="3141" formatCode="#,##0.000">
                  <c:v>#N/A</c:v>
                </c:pt>
                <c:pt idx="3142" formatCode="#,##0.000">
                  <c:v>#N/A</c:v>
                </c:pt>
                <c:pt idx="3143" formatCode="#,##0.000">
                  <c:v>#N/A</c:v>
                </c:pt>
                <c:pt idx="3144" formatCode="#,##0.000">
                  <c:v>#N/A</c:v>
                </c:pt>
                <c:pt idx="3145" formatCode="#,##0.000">
                  <c:v>#N/A</c:v>
                </c:pt>
                <c:pt idx="3146" formatCode="#,##0.000">
                  <c:v>#N/A</c:v>
                </c:pt>
                <c:pt idx="3147" formatCode="#,##0.000">
                  <c:v>#N/A</c:v>
                </c:pt>
                <c:pt idx="3148" formatCode="#,##0.000">
                  <c:v>#N/A</c:v>
                </c:pt>
                <c:pt idx="3149" formatCode="#,##0.000">
                  <c:v>#N/A</c:v>
                </c:pt>
                <c:pt idx="3150" formatCode="#,##0.000">
                  <c:v>#N/A</c:v>
                </c:pt>
                <c:pt idx="3151" formatCode="#,##0.000">
                  <c:v>#N/A</c:v>
                </c:pt>
                <c:pt idx="3152" formatCode="#,##0.000">
                  <c:v>#N/A</c:v>
                </c:pt>
                <c:pt idx="3153" formatCode="#,##0.000">
                  <c:v>#N/A</c:v>
                </c:pt>
                <c:pt idx="3154" formatCode="#,##0.000">
                  <c:v>#N/A</c:v>
                </c:pt>
                <c:pt idx="3155" formatCode="#,##0.000">
                  <c:v>#N/A</c:v>
                </c:pt>
                <c:pt idx="3156" formatCode="#,##0.000">
                  <c:v>#N/A</c:v>
                </c:pt>
                <c:pt idx="3157" formatCode="#,##0.000">
                  <c:v>#N/A</c:v>
                </c:pt>
                <c:pt idx="3158" formatCode="#,##0.000">
                  <c:v>#N/A</c:v>
                </c:pt>
                <c:pt idx="3159" formatCode="#,##0.000">
                  <c:v>#N/A</c:v>
                </c:pt>
                <c:pt idx="3160" formatCode="#,##0.000">
                  <c:v>#N/A</c:v>
                </c:pt>
                <c:pt idx="3161" formatCode="#,##0.000">
                  <c:v>#N/A</c:v>
                </c:pt>
                <c:pt idx="3162" formatCode="#,##0.000">
                  <c:v>#N/A</c:v>
                </c:pt>
                <c:pt idx="3163" formatCode="#,##0.000">
                  <c:v>#N/A</c:v>
                </c:pt>
                <c:pt idx="3164" formatCode="#,##0.000">
                  <c:v>#N/A</c:v>
                </c:pt>
                <c:pt idx="3165" formatCode="#,##0.000">
                  <c:v>#N/A</c:v>
                </c:pt>
                <c:pt idx="3166" formatCode="#,##0.000">
                  <c:v>#N/A</c:v>
                </c:pt>
                <c:pt idx="3167" formatCode="#,##0.000">
                  <c:v>#N/A</c:v>
                </c:pt>
                <c:pt idx="3168" formatCode="#,##0.000">
                  <c:v>#N/A</c:v>
                </c:pt>
                <c:pt idx="3169" formatCode="#,##0.000">
                  <c:v>#N/A</c:v>
                </c:pt>
                <c:pt idx="3170" formatCode="#,##0.000">
                  <c:v>#N/A</c:v>
                </c:pt>
                <c:pt idx="3171" formatCode="#,##0.000">
                  <c:v>#N/A</c:v>
                </c:pt>
                <c:pt idx="3172" formatCode="#,##0.000">
                  <c:v>#N/A</c:v>
                </c:pt>
                <c:pt idx="3173" formatCode="#,##0.000">
                  <c:v>#N/A</c:v>
                </c:pt>
                <c:pt idx="3174" formatCode="#,##0.000">
                  <c:v>#N/A</c:v>
                </c:pt>
                <c:pt idx="3175" formatCode="#,##0.000">
                  <c:v>#N/A</c:v>
                </c:pt>
                <c:pt idx="3176" formatCode="#,##0.000">
                  <c:v>#N/A</c:v>
                </c:pt>
                <c:pt idx="3177" formatCode="#,##0.000">
                  <c:v>#N/A</c:v>
                </c:pt>
                <c:pt idx="3178" formatCode="#,##0.000">
                  <c:v>#N/A</c:v>
                </c:pt>
                <c:pt idx="3179" formatCode="#,##0.000">
                  <c:v>#N/A</c:v>
                </c:pt>
                <c:pt idx="3180" formatCode="#,##0.000">
                  <c:v>#N/A</c:v>
                </c:pt>
                <c:pt idx="3181" formatCode="#,##0.000">
                  <c:v>#N/A</c:v>
                </c:pt>
                <c:pt idx="3182" formatCode="#,##0.000">
                  <c:v>#N/A</c:v>
                </c:pt>
                <c:pt idx="3183" formatCode="#,##0.000">
                  <c:v>#N/A</c:v>
                </c:pt>
                <c:pt idx="3184" formatCode="#,##0.000">
                  <c:v>#N/A</c:v>
                </c:pt>
                <c:pt idx="3185" formatCode="#,##0.000">
                  <c:v>#N/A</c:v>
                </c:pt>
                <c:pt idx="3186" formatCode="#,##0.000">
                  <c:v>#N/A</c:v>
                </c:pt>
                <c:pt idx="3187" formatCode="#,##0.000">
                  <c:v>#N/A</c:v>
                </c:pt>
                <c:pt idx="3188" formatCode="#,##0.000">
                  <c:v>#N/A</c:v>
                </c:pt>
                <c:pt idx="3189" formatCode="#,##0.000">
                  <c:v>#N/A</c:v>
                </c:pt>
                <c:pt idx="3190" formatCode="#,##0.000">
                  <c:v>#N/A</c:v>
                </c:pt>
                <c:pt idx="3191" formatCode="#,##0.000">
                  <c:v>#N/A</c:v>
                </c:pt>
                <c:pt idx="3192" formatCode="#,##0.000">
                  <c:v>#N/A</c:v>
                </c:pt>
                <c:pt idx="3193" formatCode="#,##0.000">
                  <c:v>#N/A</c:v>
                </c:pt>
                <c:pt idx="3194" formatCode="#,##0.000">
                  <c:v>#N/A</c:v>
                </c:pt>
                <c:pt idx="3195" formatCode="#,##0.000">
                  <c:v>#N/A</c:v>
                </c:pt>
                <c:pt idx="3196" formatCode="#,##0.000">
                  <c:v>#N/A</c:v>
                </c:pt>
                <c:pt idx="3197" formatCode="#,##0.000">
                  <c:v>#N/A</c:v>
                </c:pt>
                <c:pt idx="3198" formatCode="#,##0.000">
                  <c:v>#N/A</c:v>
                </c:pt>
                <c:pt idx="3199" formatCode="#,##0.000">
                  <c:v>#N/A</c:v>
                </c:pt>
                <c:pt idx="3200" formatCode="#,##0.000">
                  <c:v>#N/A</c:v>
                </c:pt>
                <c:pt idx="3201" formatCode="#,##0.000">
                  <c:v>#N/A</c:v>
                </c:pt>
                <c:pt idx="3202" formatCode="#,##0.000">
                  <c:v>#N/A</c:v>
                </c:pt>
                <c:pt idx="3203" formatCode="#,##0.000">
                  <c:v>#N/A</c:v>
                </c:pt>
                <c:pt idx="3204" formatCode="#,##0.000">
                  <c:v>#N/A</c:v>
                </c:pt>
                <c:pt idx="3205" formatCode="#,##0.000">
                  <c:v>#N/A</c:v>
                </c:pt>
                <c:pt idx="3206" formatCode="#,##0.000">
                  <c:v>#N/A</c:v>
                </c:pt>
                <c:pt idx="3207" formatCode="#,##0.000">
                  <c:v>#N/A</c:v>
                </c:pt>
                <c:pt idx="3208" formatCode="#,##0.000">
                  <c:v>#N/A</c:v>
                </c:pt>
                <c:pt idx="3209" formatCode="#,##0.000">
                  <c:v>#N/A</c:v>
                </c:pt>
                <c:pt idx="3210" formatCode="#,##0.000">
                  <c:v>#N/A</c:v>
                </c:pt>
                <c:pt idx="3211" formatCode="#,##0.000">
                  <c:v>#N/A</c:v>
                </c:pt>
                <c:pt idx="3212" formatCode="#,##0.000">
                  <c:v>#N/A</c:v>
                </c:pt>
                <c:pt idx="3213" formatCode="#,##0.000">
                  <c:v>#N/A</c:v>
                </c:pt>
                <c:pt idx="3214" formatCode="#,##0.000">
                  <c:v>#N/A</c:v>
                </c:pt>
                <c:pt idx="3215" formatCode="#,##0.000">
                  <c:v>#N/A</c:v>
                </c:pt>
                <c:pt idx="3216" formatCode="#,##0.000">
                  <c:v>#N/A</c:v>
                </c:pt>
                <c:pt idx="3217" formatCode="#,##0.000">
                  <c:v>#N/A</c:v>
                </c:pt>
                <c:pt idx="3218" formatCode="#,##0.000">
                  <c:v>#N/A</c:v>
                </c:pt>
                <c:pt idx="3219" formatCode="#,##0.000">
                  <c:v>#N/A</c:v>
                </c:pt>
                <c:pt idx="3220" formatCode="#,##0.000">
                  <c:v>#N/A</c:v>
                </c:pt>
                <c:pt idx="3221" formatCode="#,##0.000">
                  <c:v>#N/A</c:v>
                </c:pt>
                <c:pt idx="3222" formatCode="#,##0.000">
                  <c:v>#N/A</c:v>
                </c:pt>
                <c:pt idx="3223" formatCode="#,##0.000">
                  <c:v>#N/A</c:v>
                </c:pt>
                <c:pt idx="3224" formatCode="#,##0.000">
                  <c:v>#N/A</c:v>
                </c:pt>
                <c:pt idx="3225" formatCode="#,##0.000">
                  <c:v>#N/A</c:v>
                </c:pt>
                <c:pt idx="3226" formatCode="#,##0.000">
                  <c:v>#N/A</c:v>
                </c:pt>
                <c:pt idx="3227" formatCode="#,##0.000">
                  <c:v>#N/A</c:v>
                </c:pt>
                <c:pt idx="3228" formatCode="#,##0.000">
                  <c:v>#N/A</c:v>
                </c:pt>
                <c:pt idx="3229" formatCode="#,##0.000">
                  <c:v>#N/A</c:v>
                </c:pt>
                <c:pt idx="3230" formatCode="#,##0.000">
                  <c:v>#N/A</c:v>
                </c:pt>
                <c:pt idx="3231" formatCode="#,##0.000">
                  <c:v>#N/A</c:v>
                </c:pt>
                <c:pt idx="3232" formatCode="#,##0.000">
                  <c:v>#N/A</c:v>
                </c:pt>
                <c:pt idx="3233" formatCode="#,##0.000">
                  <c:v>#N/A</c:v>
                </c:pt>
                <c:pt idx="3234" formatCode="#,##0.000">
                  <c:v>#N/A</c:v>
                </c:pt>
                <c:pt idx="3235" formatCode="#,##0.000">
                  <c:v>#N/A</c:v>
                </c:pt>
                <c:pt idx="3236" formatCode="#,##0.000">
                  <c:v>#N/A</c:v>
                </c:pt>
                <c:pt idx="3237" formatCode="#,##0.000">
                  <c:v>#N/A</c:v>
                </c:pt>
                <c:pt idx="3238" formatCode="#,##0.000">
                  <c:v>#N/A</c:v>
                </c:pt>
                <c:pt idx="3239" formatCode="#,##0.000">
                  <c:v>#N/A</c:v>
                </c:pt>
                <c:pt idx="3240" formatCode="#,##0.000">
                  <c:v>#N/A</c:v>
                </c:pt>
                <c:pt idx="3241" formatCode="#,##0.000">
                  <c:v>#N/A</c:v>
                </c:pt>
                <c:pt idx="3242" formatCode="#,##0.000">
                  <c:v>#N/A</c:v>
                </c:pt>
                <c:pt idx="3243" formatCode="#,##0.000">
                  <c:v>#N/A</c:v>
                </c:pt>
                <c:pt idx="3244" formatCode="#,##0.000">
                  <c:v>#N/A</c:v>
                </c:pt>
                <c:pt idx="3245" formatCode="#,##0.000">
                  <c:v>#N/A</c:v>
                </c:pt>
                <c:pt idx="3246" formatCode="#,##0.000">
                  <c:v>#N/A</c:v>
                </c:pt>
                <c:pt idx="3247" formatCode="#,##0.000">
                  <c:v>#N/A</c:v>
                </c:pt>
                <c:pt idx="3248" formatCode="#,##0.000">
                  <c:v>#N/A</c:v>
                </c:pt>
                <c:pt idx="3249" formatCode="#,##0.000">
                  <c:v>#N/A</c:v>
                </c:pt>
                <c:pt idx="3250" formatCode="#,##0.000">
                  <c:v>#N/A</c:v>
                </c:pt>
                <c:pt idx="3251" formatCode="#,##0.000">
                  <c:v>#N/A</c:v>
                </c:pt>
                <c:pt idx="3252" formatCode="#,##0.000">
                  <c:v>#N/A</c:v>
                </c:pt>
                <c:pt idx="3253" formatCode="#,##0.000">
                  <c:v>#N/A</c:v>
                </c:pt>
                <c:pt idx="3254" formatCode="#,##0.000">
                  <c:v>#N/A</c:v>
                </c:pt>
                <c:pt idx="3255" formatCode="#,##0.000">
                  <c:v>#N/A</c:v>
                </c:pt>
                <c:pt idx="3256" formatCode="#,##0.000">
                  <c:v>#N/A</c:v>
                </c:pt>
                <c:pt idx="3257" formatCode="#,##0.000">
                  <c:v>#N/A</c:v>
                </c:pt>
                <c:pt idx="3258" formatCode="#,##0.000">
                  <c:v>#N/A</c:v>
                </c:pt>
                <c:pt idx="3259" formatCode="#,##0.000">
                  <c:v>#N/A</c:v>
                </c:pt>
                <c:pt idx="3260" formatCode="#,##0.000">
                  <c:v>#N/A</c:v>
                </c:pt>
                <c:pt idx="3261" formatCode="#,##0.000">
                  <c:v>#N/A</c:v>
                </c:pt>
                <c:pt idx="3262" formatCode="#,##0.000">
                  <c:v>#N/A</c:v>
                </c:pt>
                <c:pt idx="3263" formatCode="#,##0.000">
                  <c:v>#N/A</c:v>
                </c:pt>
                <c:pt idx="3264" formatCode="#,##0.000">
                  <c:v>#N/A</c:v>
                </c:pt>
                <c:pt idx="3265" formatCode="#,##0.000">
                  <c:v>#N/A</c:v>
                </c:pt>
                <c:pt idx="3266" formatCode="#,##0.000">
                  <c:v>#N/A</c:v>
                </c:pt>
                <c:pt idx="3267" formatCode="#,##0.000">
                  <c:v>#N/A</c:v>
                </c:pt>
                <c:pt idx="3268" formatCode="#,##0.000">
                  <c:v>#N/A</c:v>
                </c:pt>
                <c:pt idx="3269" formatCode="#,##0.000">
                  <c:v>#N/A</c:v>
                </c:pt>
                <c:pt idx="3270" formatCode="#,##0.000">
                  <c:v>#N/A</c:v>
                </c:pt>
                <c:pt idx="3271" formatCode="#,##0.000">
                  <c:v>#N/A</c:v>
                </c:pt>
                <c:pt idx="3272" formatCode="#,##0.000">
                  <c:v>#N/A</c:v>
                </c:pt>
                <c:pt idx="3273" formatCode="#,##0.000">
                  <c:v>#N/A</c:v>
                </c:pt>
                <c:pt idx="3274" formatCode="#,##0.000">
                  <c:v>#N/A</c:v>
                </c:pt>
                <c:pt idx="3275" formatCode="#,##0.000">
                  <c:v>#N/A</c:v>
                </c:pt>
                <c:pt idx="3276" formatCode="#,##0.000">
                  <c:v>#N/A</c:v>
                </c:pt>
                <c:pt idx="3277" formatCode="#,##0.000">
                  <c:v>#N/A</c:v>
                </c:pt>
                <c:pt idx="3278" formatCode="#,##0.000">
                  <c:v>#N/A</c:v>
                </c:pt>
                <c:pt idx="3279" formatCode="#,##0.000">
                  <c:v>#N/A</c:v>
                </c:pt>
                <c:pt idx="3280" formatCode="#,##0.000">
                  <c:v>#N/A</c:v>
                </c:pt>
                <c:pt idx="3281" formatCode="#,##0.000">
                  <c:v>#N/A</c:v>
                </c:pt>
                <c:pt idx="3282" formatCode="#,##0.000">
                  <c:v>#N/A</c:v>
                </c:pt>
                <c:pt idx="3283" formatCode="#,##0.000">
                  <c:v>#N/A</c:v>
                </c:pt>
                <c:pt idx="3284" formatCode="#,##0.000">
                  <c:v>#N/A</c:v>
                </c:pt>
                <c:pt idx="3285" formatCode="#,##0.000">
                  <c:v>#N/A</c:v>
                </c:pt>
                <c:pt idx="3286" formatCode="#,##0.000">
                  <c:v>#N/A</c:v>
                </c:pt>
                <c:pt idx="3287" formatCode="#,##0.000">
                  <c:v>#N/A</c:v>
                </c:pt>
                <c:pt idx="3288" formatCode="#,##0.000">
                  <c:v>#N/A</c:v>
                </c:pt>
                <c:pt idx="3289" formatCode="#,##0.000">
                  <c:v>#N/A</c:v>
                </c:pt>
                <c:pt idx="3290" formatCode="#,##0.000">
                  <c:v>#N/A</c:v>
                </c:pt>
                <c:pt idx="3291" formatCode="#,##0.000">
                  <c:v>#N/A</c:v>
                </c:pt>
                <c:pt idx="3292" formatCode="#,##0.000">
                  <c:v>#N/A</c:v>
                </c:pt>
                <c:pt idx="3293" formatCode="#,##0.000">
                  <c:v>#N/A</c:v>
                </c:pt>
                <c:pt idx="3294" formatCode="#,##0.000">
                  <c:v>#N/A</c:v>
                </c:pt>
                <c:pt idx="3295" formatCode="#,##0.000">
                  <c:v>#N/A</c:v>
                </c:pt>
                <c:pt idx="3296" formatCode="#,##0.000">
                  <c:v>#N/A</c:v>
                </c:pt>
                <c:pt idx="3297" formatCode="#,##0.000">
                  <c:v>#N/A</c:v>
                </c:pt>
                <c:pt idx="3298" formatCode="#,##0.000">
                  <c:v>#N/A</c:v>
                </c:pt>
                <c:pt idx="3299" formatCode="#,##0.000">
                  <c:v>#N/A</c:v>
                </c:pt>
                <c:pt idx="3300" formatCode="#,##0.000">
                  <c:v>#N/A</c:v>
                </c:pt>
                <c:pt idx="3301" formatCode="#,##0.000">
                  <c:v>#N/A</c:v>
                </c:pt>
                <c:pt idx="3302" formatCode="#,##0.000">
                  <c:v>#N/A</c:v>
                </c:pt>
                <c:pt idx="3303" formatCode="#,##0.000">
                  <c:v>#N/A</c:v>
                </c:pt>
                <c:pt idx="3304" formatCode="#,##0.000">
                  <c:v>#N/A</c:v>
                </c:pt>
                <c:pt idx="3305" formatCode="#,##0.000">
                  <c:v>#N/A</c:v>
                </c:pt>
                <c:pt idx="3306" formatCode="#,##0.000">
                  <c:v>#N/A</c:v>
                </c:pt>
                <c:pt idx="3307" formatCode="#,##0.000">
                  <c:v>#N/A</c:v>
                </c:pt>
                <c:pt idx="3308" formatCode="#,##0.000">
                  <c:v>#N/A</c:v>
                </c:pt>
                <c:pt idx="3309" formatCode="#,##0.000">
                  <c:v>#N/A</c:v>
                </c:pt>
                <c:pt idx="3310" formatCode="#,##0.000">
                  <c:v>#N/A</c:v>
                </c:pt>
                <c:pt idx="3311" formatCode="#,##0.000">
                  <c:v>#N/A</c:v>
                </c:pt>
                <c:pt idx="3312" formatCode="#,##0.000">
                  <c:v>#N/A</c:v>
                </c:pt>
                <c:pt idx="3313" formatCode="#,##0.000">
                  <c:v>#N/A</c:v>
                </c:pt>
                <c:pt idx="3314" formatCode="#,##0.000">
                  <c:v>#N/A</c:v>
                </c:pt>
                <c:pt idx="3315" formatCode="#,##0.000">
                  <c:v>#N/A</c:v>
                </c:pt>
                <c:pt idx="3316" formatCode="#,##0.000">
                  <c:v>#N/A</c:v>
                </c:pt>
                <c:pt idx="3317" formatCode="#,##0.000">
                  <c:v>#N/A</c:v>
                </c:pt>
                <c:pt idx="3318" formatCode="#,##0.000">
                  <c:v>#N/A</c:v>
                </c:pt>
                <c:pt idx="3319" formatCode="#,##0.000">
                  <c:v>#N/A</c:v>
                </c:pt>
                <c:pt idx="3320" formatCode="#,##0.000">
                  <c:v>#N/A</c:v>
                </c:pt>
                <c:pt idx="3321" formatCode="#,##0.000">
                  <c:v>#N/A</c:v>
                </c:pt>
                <c:pt idx="3322" formatCode="#,##0.000">
                  <c:v>#N/A</c:v>
                </c:pt>
                <c:pt idx="3323" formatCode="#,##0.000">
                  <c:v>#N/A</c:v>
                </c:pt>
                <c:pt idx="3324" formatCode="#,##0.000">
                  <c:v>#N/A</c:v>
                </c:pt>
                <c:pt idx="3325" formatCode="#,##0.000">
                  <c:v>#N/A</c:v>
                </c:pt>
                <c:pt idx="3326" formatCode="#,##0.000">
                  <c:v>#N/A</c:v>
                </c:pt>
                <c:pt idx="3327" formatCode="#,##0.000">
                  <c:v>#N/A</c:v>
                </c:pt>
                <c:pt idx="3328" formatCode="#,##0.000">
                  <c:v>#N/A</c:v>
                </c:pt>
                <c:pt idx="3329" formatCode="#,##0.000">
                  <c:v>#N/A</c:v>
                </c:pt>
                <c:pt idx="3330" formatCode="#,##0.000">
                  <c:v>#N/A</c:v>
                </c:pt>
                <c:pt idx="3331" formatCode="#,##0.000">
                  <c:v>#N/A</c:v>
                </c:pt>
                <c:pt idx="3332" formatCode="#,##0.000">
                  <c:v>#N/A</c:v>
                </c:pt>
                <c:pt idx="3333" formatCode="#,##0.000">
                  <c:v>#N/A</c:v>
                </c:pt>
                <c:pt idx="3334" formatCode="#,##0.000">
                  <c:v>#N/A</c:v>
                </c:pt>
                <c:pt idx="3335" formatCode="#,##0.000">
                  <c:v>#N/A</c:v>
                </c:pt>
                <c:pt idx="3336" formatCode="#,##0.000">
                  <c:v>#N/A</c:v>
                </c:pt>
                <c:pt idx="3337" formatCode="#,##0.000">
                  <c:v>#N/A</c:v>
                </c:pt>
                <c:pt idx="3338" formatCode="#,##0.000">
                  <c:v>#N/A</c:v>
                </c:pt>
                <c:pt idx="3339" formatCode="#,##0.000">
                  <c:v>#N/A</c:v>
                </c:pt>
                <c:pt idx="3340" formatCode="#,##0.000">
                  <c:v>#N/A</c:v>
                </c:pt>
                <c:pt idx="3341" formatCode="#,##0.000">
                  <c:v>#N/A</c:v>
                </c:pt>
                <c:pt idx="3342" formatCode="#,##0.000">
                  <c:v>#N/A</c:v>
                </c:pt>
                <c:pt idx="3343" formatCode="#,##0.000">
                  <c:v>#N/A</c:v>
                </c:pt>
                <c:pt idx="3344" formatCode="#,##0.000">
                  <c:v>#N/A</c:v>
                </c:pt>
                <c:pt idx="3345" formatCode="#,##0.000">
                  <c:v>#N/A</c:v>
                </c:pt>
                <c:pt idx="3346" formatCode="#,##0.000">
                  <c:v>#N/A</c:v>
                </c:pt>
                <c:pt idx="3347" formatCode="#,##0.000">
                  <c:v>#N/A</c:v>
                </c:pt>
                <c:pt idx="3348" formatCode="#,##0.000">
                  <c:v>#N/A</c:v>
                </c:pt>
                <c:pt idx="3349" formatCode="#,##0.000">
                  <c:v>#N/A</c:v>
                </c:pt>
                <c:pt idx="3350" formatCode="#,##0.000">
                  <c:v>#N/A</c:v>
                </c:pt>
                <c:pt idx="3351" formatCode="#,##0.000">
                  <c:v>#N/A</c:v>
                </c:pt>
                <c:pt idx="3352" formatCode="#,##0.000">
                  <c:v>#N/A</c:v>
                </c:pt>
                <c:pt idx="3353" formatCode="#,##0.000">
                  <c:v>#N/A</c:v>
                </c:pt>
                <c:pt idx="3354" formatCode="#,##0.000">
                  <c:v>#N/A</c:v>
                </c:pt>
                <c:pt idx="3355" formatCode="#,##0.000">
                  <c:v>#N/A</c:v>
                </c:pt>
                <c:pt idx="3356" formatCode="#,##0.000">
                  <c:v>#N/A</c:v>
                </c:pt>
                <c:pt idx="3357" formatCode="#,##0.000">
                  <c:v>#N/A</c:v>
                </c:pt>
                <c:pt idx="3358" formatCode="#,##0.000">
                  <c:v>#N/A</c:v>
                </c:pt>
                <c:pt idx="3359" formatCode="#,##0.000">
                  <c:v>#N/A</c:v>
                </c:pt>
                <c:pt idx="3360" formatCode="#,##0.000">
                  <c:v>#N/A</c:v>
                </c:pt>
                <c:pt idx="3361" formatCode="#,##0.000">
                  <c:v>#N/A</c:v>
                </c:pt>
                <c:pt idx="3362" formatCode="#,##0.000">
                  <c:v>#N/A</c:v>
                </c:pt>
                <c:pt idx="3363" formatCode="#,##0.000">
                  <c:v>#N/A</c:v>
                </c:pt>
                <c:pt idx="3364" formatCode="#,##0.000">
                  <c:v>#N/A</c:v>
                </c:pt>
                <c:pt idx="3365" formatCode="#,##0.000">
                  <c:v>#N/A</c:v>
                </c:pt>
                <c:pt idx="3366" formatCode="#,##0.000">
                  <c:v>#N/A</c:v>
                </c:pt>
                <c:pt idx="3367" formatCode="#,##0.000">
                  <c:v>#N/A</c:v>
                </c:pt>
                <c:pt idx="3368" formatCode="#,##0.000">
                  <c:v>#N/A</c:v>
                </c:pt>
                <c:pt idx="3369" formatCode="#,##0.000">
                  <c:v>#N/A</c:v>
                </c:pt>
                <c:pt idx="3370" formatCode="#,##0.000">
                  <c:v>#N/A</c:v>
                </c:pt>
                <c:pt idx="3371" formatCode="#,##0.000">
                  <c:v>#N/A</c:v>
                </c:pt>
                <c:pt idx="3372" formatCode="#,##0.000">
                  <c:v>#N/A</c:v>
                </c:pt>
                <c:pt idx="3373" formatCode="#,##0.000">
                  <c:v>#N/A</c:v>
                </c:pt>
                <c:pt idx="3374" formatCode="#,##0.000">
                  <c:v>#N/A</c:v>
                </c:pt>
                <c:pt idx="3375" formatCode="#,##0.000">
                  <c:v>#N/A</c:v>
                </c:pt>
                <c:pt idx="3376" formatCode="#,##0.000">
                  <c:v>#N/A</c:v>
                </c:pt>
                <c:pt idx="3377" formatCode="#,##0.000">
                  <c:v>#N/A</c:v>
                </c:pt>
                <c:pt idx="3378" formatCode="#,##0.000">
                  <c:v>#N/A</c:v>
                </c:pt>
                <c:pt idx="3379" formatCode="#,##0.000">
                  <c:v>#N/A</c:v>
                </c:pt>
                <c:pt idx="3380" formatCode="#,##0.000">
                  <c:v>#N/A</c:v>
                </c:pt>
                <c:pt idx="3381" formatCode="#,##0.000">
                  <c:v>#N/A</c:v>
                </c:pt>
                <c:pt idx="3382" formatCode="#,##0.000">
                  <c:v>#N/A</c:v>
                </c:pt>
                <c:pt idx="3383" formatCode="#,##0.000">
                  <c:v>#N/A</c:v>
                </c:pt>
                <c:pt idx="3384" formatCode="#,##0.000">
                  <c:v>#N/A</c:v>
                </c:pt>
                <c:pt idx="3385" formatCode="#,##0.000">
                  <c:v>#N/A</c:v>
                </c:pt>
                <c:pt idx="3386" formatCode="#,##0.000">
                  <c:v>#N/A</c:v>
                </c:pt>
                <c:pt idx="3387" formatCode="#,##0.000">
                  <c:v>#N/A</c:v>
                </c:pt>
                <c:pt idx="3388" formatCode="#,##0.000">
                  <c:v>#N/A</c:v>
                </c:pt>
                <c:pt idx="3389" formatCode="#,##0.000">
                  <c:v>#N/A</c:v>
                </c:pt>
                <c:pt idx="3390" formatCode="#,##0.000">
                  <c:v>#N/A</c:v>
                </c:pt>
                <c:pt idx="3391" formatCode="#,##0.000">
                  <c:v>#N/A</c:v>
                </c:pt>
                <c:pt idx="3392" formatCode="#,##0.000">
                  <c:v>#N/A</c:v>
                </c:pt>
                <c:pt idx="3393" formatCode="#,##0.000">
                  <c:v>#N/A</c:v>
                </c:pt>
                <c:pt idx="3394" formatCode="#,##0.000">
                  <c:v>#N/A</c:v>
                </c:pt>
                <c:pt idx="3395" formatCode="#,##0.000">
                  <c:v>#N/A</c:v>
                </c:pt>
                <c:pt idx="3396" formatCode="#,##0.000">
                  <c:v>#N/A</c:v>
                </c:pt>
                <c:pt idx="3397" formatCode="#,##0.000">
                  <c:v>#N/A</c:v>
                </c:pt>
                <c:pt idx="3398" formatCode="#,##0.000">
                  <c:v>#N/A</c:v>
                </c:pt>
                <c:pt idx="3399" formatCode="#,##0.000">
                  <c:v>#N/A</c:v>
                </c:pt>
                <c:pt idx="3400" formatCode="#,##0.000">
                  <c:v>#N/A</c:v>
                </c:pt>
                <c:pt idx="3401" formatCode="#,##0.000">
                  <c:v>#N/A</c:v>
                </c:pt>
                <c:pt idx="3402" formatCode="#,##0.000">
                  <c:v>#N/A</c:v>
                </c:pt>
                <c:pt idx="3403" formatCode="#,##0.000">
                  <c:v>#N/A</c:v>
                </c:pt>
                <c:pt idx="3404" formatCode="#,##0.000">
                  <c:v>#N/A</c:v>
                </c:pt>
                <c:pt idx="3405" formatCode="#,##0.000">
                  <c:v>#N/A</c:v>
                </c:pt>
                <c:pt idx="3406" formatCode="#,##0.000">
                  <c:v>#N/A</c:v>
                </c:pt>
                <c:pt idx="3407" formatCode="#,##0.000">
                  <c:v>#N/A</c:v>
                </c:pt>
                <c:pt idx="3408" formatCode="#,##0.000">
                  <c:v>#N/A</c:v>
                </c:pt>
                <c:pt idx="3409" formatCode="#,##0.000">
                  <c:v>#N/A</c:v>
                </c:pt>
                <c:pt idx="3410" formatCode="#,##0.000">
                  <c:v>#N/A</c:v>
                </c:pt>
                <c:pt idx="3411" formatCode="#,##0.000">
                  <c:v>#N/A</c:v>
                </c:pt>
                <c:pt idx="3412" formatCode="#,##0.000">
                  <c:v>#N/A</c:v>
                </c:pt>
                <c:pt idx="3413" formatCode="#,##0.000">
                  <c:v>#N/A</c:v>
                </c:pt>
                <c:pt idx="3414" formatCode="#,##0.000">
                  <c:v>#N/A</c:v>
                </c:pt>
                <c:pt idx="3415" formatCode="#,##0.000">
                  <c:v>#N/A</c:v>
                </c:pt>
                <c:pt idx="3416" formatCode="#,##0.000">
                  <c:v>#N/A</c:v>
                </c:pt>
                <c:pt idx="3417" formatCode="#,##0.000">
                  <c:v>#N/A</c:v>
                </c:pt>
                <c:pt idx="3418" formatCode="#,##0.000">
                  <c:v>#N/A</c:v>
                </c:pt>
                <c:pt idx="3419" formatCode="#,##0.000">
                  <c:v>#N/A</c:v>
                </c:pt>
                <c:pt idx="3420" formatCode="#,##0.000">
                  <c:v>#N/A</c:v>
                </c:pt>
                <c:pt idx="3421" formatCode="#,##0.000">
                  <c:v>#N/A</c:v>
                </c:pt>
                <c:pt idx="3422" formatCode="#,##0.000">
                  <c:v>#N/A</c:v>
                </c:pt>
                <c:pt idx="3423" formatCode="#,##0.000">
                  <c:v>#N/A</c:v>
                </c:pt>
                <c:pt idx="3424" formatCode="#,##0.000">
                  <c:v>#N/A</c:v>
                </c:pt>
                <c:pt idx="3425" formatCode="#,##0.000">
                  <c:v>#N/A</c:v>
                </c:pt>
                <c:pt idx="3426" formatCode="#,##0.000">
                  <c:v>#N/A</c:v>
                </c:pt>
                <c:pt idx="3427" formatCode="#,##0.000">
                  <c:v>#N/A</c:v>
                </c:pt>
                <c:pt idx="3428" formatCode="#,##0.000">
                  <c:v>#N/A</c:v>
                </c:pt>
                <c:pt idx="3429" formatCode="#,##0.000">
                  <c:v>#N/A</c:v>
                </c:pt>
                <c:pt idx="3430" formatCode="#,##0.000">
                  <c:v>#N/A</c:v>
                </c:pt>
                <c:pt idx="3431" formatCode="#,##0.000">
                  <c:v>#N/A</c:v>
                </c:pt>
                <c:pt idx="3432" formatCode="#,##0.000">
                  <c:v>#N/A</c:v>
                </c:pt>
                <c:pt idx="3433" formatCode="#,##0.000">
                  <c:v>#N/A</c:v>
                </c:pt>
                <c:pt idx="3434" formatCode="#,##0.000">
                  <c:v>#N/A</c:v>
                </c:pt>
                <c:pt idx="3435" formatCode="#,##0.000">
                  <c:v>#N/A</c:v>
                </c:pt>
                <c:pt idx="3436" formatCode="#,##0.000">
                  <c:v>#N/A</c:v>
                </c:pt>
                <c:pt idx="3437" formatCode="#,##0.000">
                  <c:v>#N/A</c:v>
                </c:pt>
                <c:pt idx="3438" formatCode="#,##0.000">
                  <c:v>#N/A</c:v>
                </c:pt>
                <c:pt idx="3439" formatCode="#,##0.000">
                  <c:v>#N/A</c:v>
                </c:pt>
                <c:pt idx="3440" formatCode="#,##0.000">
                  <c:v>#N/A</c:v>
                </c:pt>
                <c:pt idx="3441" formatCode="#,##0.000">
                  <c:v>#N/A</c:v>
                </c:pt>
                <c:pt idx="3442" formatCode="#,##0.000">
                  <c:v>#N/A</c:v>
                </c:pt>
                <c:pt idx="3443" formatCode="#,##0.000">
                  <c:v>#N/A</c:v>
                </c:pt>
                <c:pt idx="3444" formatCode="#,##0.000">
                  <c:v>#N/A</c:v>
                </c:pt>
                <c:pt idx="3445" formatCode="#,##0.000">
                  <c:v>#N/A</c:v>
                </c:pt>
                <c:pt idx="3446" formatCode="#,##0.000">
                  <c:v>#N/A</c:v>
                </c:pt>
                <c:pt idx="3447" formatCode="#,##0.000">
                  <c:v>#N/A</c:v>
                </c:pt>
                <c:pt idx="3448" formatCode="#,##0.000">
                  <c:v>#N/A</c:v>
                </c:pt>
                <c:pt idx="3449" formatCode="#,##0.000">
                  <c:v>#N/A</c:v>
                </c:pt>
                <c:pt idx="3450" formatCode="#,##0.000">
                  <c:v>#N/A</c:v>
                </c:pt>
                <c:pt idx="3451" formatCode="#,##0.000">
                  <c:v>#N/A</c:v>
                </c:pt>
                <c:pt idx="3452" formatCode="#,##0.000">
                  <c:v>#N/A</c:v>
                </c:pt>
                <c:pt idx="3453" formatCode="#,##0.000">
                  <c:v>#N/A</c:v>
                </c:pt>
                <c:pt idx="3454" formatCode="#,##0.000">
                  <c:v>#N/A</c:v>
                </c:pt>
                <c:pt idx="3455" formatCode="#,##0.000">
                  <c:v>#N/A</c:v>
                </c:pt>
                <c:pt idx="3456" formatCode="#,##0.000">
                  <c:v>#N/A</c:v>
                </c:pt>
                <c:pt idx="3457" formatCode="#,##0.000">
                  <c:v>#N/A</c:v>
                </c:pt>
                <c:pt idx="3458" formatCode="#,##0.000">
                  <c:v>#N/A</c:v>
                </c:pt>
                <c:pt idx="3459" formatCode="#,##0.000">
                  <c:v>#N/A</c:v>
                </c:pt>
                <c:pt idx="3460" formatCode="#,##0.000">
                  <c:v>#N/A</c:v>
                </c:pt>
                <c:pt idx="3461" formatCode="#,##0.000">
                  <c:v>#N/A</c:v>
                </c:pt>
                <c:pt idx="3462" formatCode="#,##0.000">
                  <c:v>#N/A</c:v>
                </c:pt>
                <c:pt idx="3463" formatCode="#,##0.000">
                  <c:v>#N/A</c:v>
                </c:pt>
                <c:pt idx="3464" formatCode="#,##0.000">
                  <c:v>#N/A</c:v>
                </c:pt>
                <c:pt idx="3465" formatCode="#,##0.000">
                  <c:v>#N/A</c:v>
                </c:pt>
                <c:pt idx="3466" formatCode="#,##0.000">
                  <c:v>#N/A</c:v>
                </c:pt>
                <c:pt idx="3467" formatCode="#,##0.000">
                  <c:v>#N/A</c:v>
                </c:pt>
                <c:pt idx="3468" formatCode="#,##0.000">
                  <c:v>#N/A</c:v>
                </c:pt>
                <c:pt idx="3469" formatCode="#,##0.000">
                  <c:v>#N/A</c:v>
                </c:pt>
                <c:pt idx="3470" formatCode="#,##0.000">
                  <c:v>#N/A</c:v>
                </c:pt>
                <c:pt idx="3471" formatCode="#,##0.000">
                  <c:v>#N/A</c:v>
                </c:pt>
                <c:pt idx="3472" formatCode="#,##0.000">
                  <c:v>#N/A</c:v>
                </c:pt>
                <c:pt idx="3473" formatCode="#,##0.000">
                  <c:v>#N/A</c:v>
                </c:pt>
                <c:pt idx="3474" formatCode="#,##0.000">
                  <c:v>#N/A</c:v>
                </c:pt>
                <c:pt idx="3475" formatCode="#,##0.000">
                  <c:v>#N/A</c:v>
                </c:pt>
                <c:pt idx="3476" formatCode="#,##0.000">
                  <c:v>#N/A</c:v>
                </c:pt>
                <c:pt idx="3477" formatCode="#,##0.000">
                  <c:v>#N/A</c:v>
                </c:pt>
                <c:pt idx="3478" formatCode="#,##0.000">
                  <c:v>#N/A</c:v>
                </c:pt>
                <c:pt idx="3479" formatCode="#,##0.000">
                  <c:v>#N/A</c:v>
                </c:pt>
                <c:pt idx="3480" formatCode="#,##0.000">
                  <c:v>#N/A</c:v>
                </c:pt>
                <c:pt idx="3481" formatCode="#,##0.000">
                  <c:v>#N/A</c:v>
                </c:pt>
                <c:pt idx="3482" formatCode="#,##0.000">
                  <c:v>#N/A</c:v>
                </c:pt>
                <c:pt idx="3483" formatCode="#,##0.000">
                  <c:v>#N/A</c:v>
                </c:pt>
                <c:pt idx="3484" formatCode="#,##0.000">
                  <c:v>#N/A</c:v>
                </c:pt>
                <c:pt idx="3485" formatCode="#,##0.000">
                  <c:v>#N/A</c:v>
                </c:pt>
                <c:pt idx="3486" formatCode="#,##0.000">
                  <c:v>#N/A</c:v>
                </c:pt>
                <c:pt idx="3487" formatCode="#,##0.000">
                  <c:v>#N/A</c:v>
                </c:pt>
                <c:pt idx="3488" formatCode="#,##0.000">
                  <c:v>#N/A</c:v>
                </c:pt>
                <c:pt idx="3489" formatCode="#,##0.000">
                  <c:v>#N/A</c:v>
                </c:pt>
                <c:pt idx="3490" formatCode="#,##0.000">
                  <c:v>#N/A</c:v>
                </c:pt>
                <c:pt idx="3491" formatCode="#,##0.000">
                  <c:v>#N/A</c:v>
                </c:pt>
                <c:pt idx="3492" formatCode="#,##0.000">
                  <c:v>#N/A</c:v>
                </c:pt>
                <c:pt idx="3493" formatCode="#,##0.000">
                  <c:v>#N/A</c:v>
                </c:pt>
                <c:pt idx="3494" formatCode="#,##0.000">
                  <c:v>#N/A</c:v>
                </c:pt>
                <c:pt idx="3495" formatCode="#,##0.000">
                  <c:v>#N/A</c:v>
                </c:pt>
                <c:pt idx="3496" formatCode="#,##0.000">
                  <c:v>#N/A</c:v>
                </c:pt>
                <c:pt idx="3497" formatCode="#,##0.000">
                  <c:v>#N/A</c:v>
                </c:pt>
                <c:pt idx="3498" formatCode="#,##0.000">
                  <c:v>#N/A</c:v>
                </c:pt>
                <c:pt idx="3499" formatCode="#,##0.000">
                  <c:v>#N/A</c:v>
                </c:pt>
                <c:pt idx="3500" formatCode="#,##0.000">
                  <c:v>#N/A</c:v>
                </c:pt>
                <c:pt idx="3501" formatCode="#,##0.000">
                  <c:v>#N/A</c:v>
                </c:pt>
                <c:pt idx="3502" formatCode="#,##0.000">
                  <c:v>#N/A</c:v>
                </c:pt>
                <c:pt idx="3503" formatCode="#,##0.000">
                  <c:v>#N/A</c:v>
                </c:pt>
                <c:pt idx="3504" formatCode="#,##0.000">
                  <c:v>#N/A</c:v>
                </c:pt>
                <c:pt idx="3505" formatCode="#,##0.000">
                  <c:v>#N/A</c:v>
                </c:pt>
                <c:pt idx="3506" formatCode="#,##0.000">
                  <c:v>#N/A</c:v>
                </c:pt>
                <c:pt idx="3507" formatCode="#,##0.000">
                  <c:v>#N/A</c:v>
                </c:pt>
                <c:pt idx="3508" formatCode="#,##0.000">
                  <c:v>#N/A</c:v>
                </c:pt>
                <c:pt idx="3509" formatCode="#,##0.000">
                  <c:v>#N/A</c:v>
                </c:pt>
                <c:pt idx="3510" formatCode="#,##0.000">
                  <c:v>#N/A</c:v>
                </c:pt>
                <c:pt idx="3511" formatCode="#,##0.000">
                  <c:v>#N/A</c:v>
                </c:pt>
                <c:pt idx="3512" formatCode="#,##0.000">
                  <c:v>#N/A</c:v>
                </c:pt>
                <c:pt idx="3513" formatCode="#,##0.000">
                  <c:v>#N/A</c:v>
                </c:pt>
                <c:pt idx="3514" formatCode="#,##0.000">
                  <c:v>#N/A</c:v>
                </c:pt>
                <c:pt idx="3515" formatCode="#,##0.000">
                  <c:v>#N/A</c:v>
                </c:pt>
                <c:pt idx="3516" formatCode="#,##0.000">
                  <c:v>#N/A</c:v>
                </c:pt>
                <c:pt idx="3517" formatCode="#,##0.000">
                  <c:v>#N/A</c:v>
                </c:pt>
                <c:pt idx="3518" formatCode="#,##0.000">
                  <c:v>#N/A</c:v>
                </c:pt>
                <c:pt idx="3519" formatCode="#,##0.000">
                  <c:v>#N/A</c:v>
                </c:pt>
                <c:pt idx="3520" formatCode="#,##0.000">
                  <c:v>#N/A</c:v>
                </c:pt>
                <c:pt idx="3521" formatCode="#,##0.000">
                  <c:v>#N/A</c:v>
                </c:pt>
                <c:pt idx="3522" formatCode="#,##0.000">
                  <c:v>#N/A</c:v>
                </c:pt>
                <c:pt idx="3523" formatCode="#,##0.000">
                  <c:v>#N/A</c:v>
                </c:pt>
                <c:pt idx="3524" formatCode="#,##0.000">
                  <c:v>#N/A</c:v>
                </c:pt>
                <c:pt idx="3525" formatCode="#,##0.000">
                  <c:v>#N/A</c:v>
                </c:pt>
                <c:pt idx="3526" formatCode="#,##0.000">
                  <c:v>#N/A</c:v>
                </c:pt>
                <c:pt idx="3527" formatCode="#,##0.000">
                  <c:v>#N/A</c:v>
                </c:pt>
                <c:pt idx="3528" formatCode="#,##0.000">
                  <c:v>#N/A</c:v>
                </c:pt>
                <c:pt idx="3529" formatCode="#,##0.000">
                  <c:v>#N/A</c:v>
                </c:pt>
                <c:pt idx="3530" formatCode="#,##0.000">
                  <c:v>#N/A</c:v>
                </c:pt>
                <c:pt idx="3531" formatCode="#,##0.000">
                  <c:v>#N/A</c:v>
                </c:pt>
                <c:pt idx="3532" formatCode="#,##0.000">
                  <c:v>#N/A</c:v>
                </c:pt>
                <c:pt idx="3533" formatCode="#,##0.000">
                  <c:v>#N/A</c:v>
                </c:pt>
                <c:pt idx="3534" formatCode="#,##0.000">
                  <c:v>#N/A</c:v>
                </c:pt>
                <c:pt idx="3535" formatCode="#,##0.000">
                  <c:v>#N/A</c:v>
                </c:pt>
                <c:pt idx="3536" formatCode="#,##0.000">
                  <c:v>#N/A</c:v>
                </c:pt>
                <c:pt idx="3537" formatCode="#,##0.000">
                  <c:v>#N/A</c:v>
                </c:pt>
                <c:pt idx="3538" formatCode="#,##0.000">
                  <c:v>#N/A</c:v>
                </c:pt>
                <c:pt idx="3539" formatCode="#,##0.000">
                  <c:v>#N/A</c:v>
                </c:pt>
                <c:pt idx="3540" formatCode="#,##0.000">
                  <c:v>#N/A</c:v>
                </c:pt>
                <c:pt idx="3541" formatCode="#,##0.000">
                  <c:v>#N/A</c:v>
                </c:pt>
                <c:pt idx="3542" formatCode="#,##0.000">
                  <c:v>#N/A</c:v>
                </c:pt>
                <c:pt idx="3543" formatCode="#,##0.000">
                  <c:v>#N/A</c:v>
                </c:pt>
                <c:pt idx="3544" formatCode="#,##0.000">
                  <c:v>#N/A</c:v>
                </c:pt>
                <c:pt idx="3545" formatCode="#,##0.000">
                  <c:v>#N/A</c:v>
                </c:pt>
                <c:pt idx="3546" formatCode="#,##0.000">
                  <c:v>#N/A</c:v>
                </c:pt>
                <c:pt idx="3547" formatCode="#,##0.000">
                  <c:v>#N/A</c:v>
                </c:pt>
                <c:pt idx="3548" formatCode="#,##0.000">
                  <c:v>#N/A</c:v>
                </c:pt>
                <c:pt idx="3549" formatCode="#,##0.000">
                  <c:v>#N/A</c:v>
                </c:pt>
                <c:pt idx="3550" formatCode="#,##0.000">
                  <c:v>#N/A</c:v>
                </c:pt>
                <c:pt idx="3551" formatCode="#,##0.000">
                  <c:v>#N/A</c:v>
                </c:pt>
                <c:pt idx="3552" formatCode="#,##0.000">
                  <c:v>#N/A</c:v>
                </c:pt>
                <c:pt idx="3553" formatCode="#,##0.000">
                  <c:v>#N/A</c:v>
                </c:pt>
                <c:pt idx="3554" formatCode="#,##0.000">
                  <c:v>#N/A</c:v>
                </c:pt>
                <c:pt idx="3555" formatCode="#,##0.000">
                  <c:v>#N/A</c:v>
                </c:pt>
                <c:pt idx="3556" formatCode="#,##0.000">
                  <c:v>#N/A</c:v>
                </c:pt>
                <c:pt idx="3557" formatCode="#,##0.000">
                  <c:v>#N/A</c:v>
                </c:pt>
                <c:pt idx="3558" formatCode="#,##0.000">
                  <c:v>#N/A</c:v>
                </c:pt>
                <c:pt idx="3559" formatCode="#,##0.000">
                  <c:v>#N/A</c:v>
                </c:pt>
                <c:pt idx="3560" formatCode="#,##0.000">
                  <c:v>#N/A</c:v>
                </c:pt>
                <c:pt idx="3561" formatCode="#,##0.000">
                  <c:v>#N/A</c:v>
                </c:pt>
                <c:pt idx="3562" formatCode="#,##0.000">
                  <c:v>#N/A</c:v>
                </c:pt>
                <c:pt idx="3563" formatCode="#,##0.000">
                  <c:v>#N/A</c:v>
                </c:pt>
                <c:pt idx="3564" formatCode="#,##0.000">
                  <c:v>#N/A</c:v>
                </c:pt>
                <c:pt idx="3565" formatCode="#,##0.000">
                  <c:v>#N/A</c:v>
                </c:pt>
                <c:pt idx="3566" formatCode="#,##0.000">
                  <c:v>#N/A</c:v>
                </c:pt>
                <c:pt idx="3567" formatCode="#,##0.000">
                  <c:v>#N/A</c:v>
                </c:pt>
                <c:pt idx="3568" formatCode="#,##0.000">
                  <c:v>#N/A</c:v>
                </c:pt>
                <c:pt idx="3569" formatCode="#,##0.000">
                  <c:v>#N/A</c:v>
                </c:pt>
                <c:pt idx="3570" formatCode="#,##0.000">
                  <c:v>#N/A</c:v>
                </c:pt>
                <c:pt idx="3571" formatCode="#,##0.000">
                  <c:v>#N/A</c:v>
                </c:pt>
                <c:pt idx="3572" formatCode="#,##0.000">
                  <c:v>#N/A</c:v>
                </c:pt>
                <c:pt idx="3573" formatCode="#,##0.000">
                  <c:v>#N/A</c:v>
                </c:pt>
                <c:pt idx="3574" formatCode="#,##0.000">
                  <c:v>#N/A</c:v>
                </c:pt>
                <c:pt idx="3575" formatCode="#,##0.000">
                  <c:v>#N/A</c:v>
                </c:pt>
                <c:pt idx="3576" formatCode="#,##0.000">
                  <c:v>#N/A</c:v>
                </c:pt>
                <c:pt idx="3577" formatCode="#,##0.000">
                  <c:v>#N/A</c:v>
                </c:pt>
                <c:pt idx="3578" formatCode="#,##0.000">
                  <c:v>#N/A</c:v>
                </c:pt>
                <c:pt idx="3579" formatCode="#,##0.000">
                  <c:v>#N/A</c:v>
                </c:pt>
                <c:pt idx="3580" formatCode="#,##0.000">
                  <c:v>#N/A</c:v>
                </c:pt>
                <c:pt idx="3581" formatCode="#,##0.000">
                  <c:v>#N/A</c:v>
                </c:pt>
                <c:pt idx="3582" formatCode="#,##0.000">
                  <c:v>#N/A</c:v>
                </c:pt>
                <c:pt idx="3583" formatCode="#,##0.000">
                  <c:v>#N/A</c:v>
                </c:pt>
                <c:pt idx="3584" formatCode="#,##0.000">
                  <c:v>#N/A</c:v>
                </c:pt>
                <c:pt idx="3585" formatCode="#,##0.000">
                  <c:v>#N/A</c:v>
                </c:pt>
                <c:pt idx="3586" formatCode="#,##0.000">
                  <c:v>#N/A</c:v>
                </c:pt>
                <c:pt idx="3587" formatCode="#,##0.000">
                  <c:v>#N/A</c:v>
                </c:pt>
                <c:pt idx="3588" formatCode="#,##0.000">
                  <c:v>#N/A</c:v>
                </c:pt>
                <c:pt idx="3589" formatCode="#,##0.000">
                  <c:v>#N/A</c:v>
                </c:pt>
                <c:pt idx="3590" formatCode="#,##0.000">
                  <c:v>#N/A</c:v>
                </c:pt>
                <c:pt idx="3591" formatCode="#,##0.000">
                  <c:v>#N/A</c:v>
                </c:pt>
                <c:pt idx="3592" formatCode="#,##0.000">
                  <c:v>#N/A</c:v>
                </c:pt>
                <c:pt idx="3593" formatCode="#,##0.000">
                  <c:v>#N/A</c:v>
                </c:pt>
                <c:pt idx="3594" formatCode="#,##0.000">
                  <c:v>#N/A</c:v>
                </c:pt>
                <c:pt idx="3595" formatCode="#,##0.000">
                  <c:v>#N/A</c:v>
                </c:pt>
                <c:pt idx="3596" formatCode="#,##0.000">
                  <c:v>#N/A</c:v>
                </c:pt>
                <c:pt idx="3597" formatCode="#,##0.000">
                  <c:v>#N/A</c:v>
                </c:pt>
                <c:pt idx="3598" formatCode="#,##0.000">
                  <c:v>#N/A</c:v>
                </c:pt>
                <c:pt idx="3599" formatCode="#,##0.000">
                  <c:v>#N/A</c:v>
                </c:pt>
                <c:pt idx="3600" formatCode="#,##0.000">
                  <c:v>#N/A</c:v>
                </c:pt>
                <c:pt idx="3601" formatCode="#,##0.000">
                  <c:v>#N/A</c:v>
                </c:pt>
                <c:pt idx="3602" formatCode="#,##0.000">
                  <c:v>#N/A</c:v>
                </c:pt>
                <c:pt idx="3603" formatCode="#,##0.000">
                  <c:v>#N/A</c:v>
                </c:pt>
                <c:pt idx="3604" formatCode="#,##0.000">
                  <c:v>#N/A</c:v>
                </c:pt>
                <c:pt idx="3605" formatCode="#,##0.000">
                  <c:v>#N/A</c:v>
                </c:pt>
                <c:pt idx="3606" formatCode="#,##0.000">
                  <c:v>#N/A</c:v>
                </c:pt>
                <c:pt idx="3607" formatCode="#,##0.000">
                  <c:v>#N/A</c:v>
                </c:pt>
                <c:pt idx="3608" formatCode="#,##0.000">
                  <c:v>#N/A</c:v>
                </c:pt>
                <c:pt idx="3609" formatCode="#,##0.000">
                  <c:v>#N/A</c:v>
                </c:pt>
                <c:pt idx="3610" formatCode="#,##0.000">
                  <c:v>#N/A</c:v>
                </c:pt>
                <c:pt idx="3611" formatCode="#,##0.000">
                  <c:v>#N/A</c:v>
                </c:pt>
                <c:pt idx="3612" formatCode="#,##0.000">
                  <c:v>#N/A</c:v>
                </c:pt>
                <c:pt idx="3613" formatCode="#,##0.000">
                  <c:v>#N/A</c:v>
                </c:pt>
                <c:pt idx="3614" formatCode="#,##0.000">
                  <c:v>#N/A</c:v>
                </c:pt>
                <c:pt idx="3615" formatCode="#,##0.000">
                  <c:v>#N/A</c:v>
                </c:pt>
                <c:pt idx="3616" formatCode="#,##0.000">
                  <c:v>#N/A</c:v>
                </c:pt>
                <c:pt idx="3617" formatCode="#,##0.000">
                  <c:v>#N/A</c:v>
                </c:pt>
                <c:pt idx="3618" formatCode="#,##0.000">
                  <c:v>#N/A</c:v>
                </c:pt>
                <c:pt idx="3619" formatCode="#,##0.000">
                  <c:v>#N/A</c:v>
                </c:pt>
                <c:pt idx="3620" formatCode="#,##0.000">
                  <c:v>#N/A</c:v>
                </c:pt>
                <c:pt idx="3621" formatCode="#,##0.000">
                  <c:v>#N/A</c:v>
                </c:pt>
                <c:pt idx="3622" formatCode="#,##0.000">
                  <c:v>#N/A</c:v>
                </c:pt>
                <c:pt idx="3623" formatCode="#,##0.000">
                  <c:v>#N/A</c:v>
                </c:pt>
                <c:pt idx="3624" formatCode="#,##0.000">
                  <c:v>#N/A</c:v>
                </c:pt>
                <c:pt idx="3625" formatCode="#,##0.000">
                  <c:v>#N/A</c:v>
                </c:pt>
                <c:pt idx="3626" formatCode="#,##0.000">
                  <c:v>#N/A</c:v>
                </c:pt>
                <c:pt idx="3627" formatCode="#,##0.000">
                  <c:v>#N/A</c:v>
                </c:pt>
                <c:pt idx="3628" formatCode="#,##0.000">
                  <c:v>#N/A</c:v>
                </c:pt>
                <c:pt idx="3629" formatCode="#,##0.000">
                  <c:v>#N/A</c:v>
                </c:pt>
                <c:pt idx="3630" formatCode="#,##0.000">
                  <c:v>#N/A</c:v>
                </c:pt>
                <c:pt idx="3631" formatCode="#,##0.000">
                  <c:v>#N/A</c:v>
                </c:pt>
                <c:pt idx="3632" formatCode="#,##0.000">
                  <c:v>#N/A</c:v>
                </c:pt>
                <c:pt idx="3633" formatCode="#,##0.000">
                  <c:v>#N/A</c:v>
                </c:pt>
                <c:pt idx="3634" formatCode="#,##0.000">
                  <c:v>#N/A</c:v>
                </c:pt>
                <c:pt idx="3635" formatCode="#,##0.000">
                  <c:v>#N/A</c:v>
                </c:pt>
                <c:pt idx="3636" formatCode="#,##0.000">
                  <c:v>#N/A</c:v>
                </c:pt>
                <c:pt idx="3637" formatCode="#,##0.000">
                  <c:v>#N/A</c:v>
                </c:pt>
                <c:pt idx="3638" formatCode="#,##0.000">
                  <c:v>#N/A</c:v>
                </c:pt>
                <c:pt idx="3639" formatCode="#,##0.000">
                  <c:v>#N/A</c:v>
                </c:pt>
                <c:pt idx="3640" formatCode="#,##0.000">
                  <c:v>#N/A</c:v>
                </c:pt>
                <c:pt idx="3641" formatCode="#,##0.000">
                  <c:v>#N/A</c:v>
                </c:pt>
                <c:pt idx="3642" formatCode="#,##0.000">
                  <c:v>#N/A</c:v>
                </c:pt>
                <c:pt idx="3643" formatCode="#,##0.000">
                  <c:v>#N/A</c:v>
                </c:pt>
                <c:pt idx="3644" formatCode="#,##0.000">
                  <c:v>#N/A</c:v>
                </c:pt>
                <c:pt idx="3645" formatCode="#,##0.000">
                  <c:v>#N/A</c:v>
                </c:pt>
                <c:pt idx="3646" formatCode="#,##0.000">
                  <c:v>#N/A</c:v>
                </c:pt>
                <c:pt idx="3647" formatCode="#,##0.000">
                  <c:v>#N/A</c:v>
                </c:pt>
                <c:pt idx="3648" formatCode="#,##0.000">
                  <c:v>#N/A</c:v>
                </c:pt>
                <c:pt idx="3649" formatCode="#,##0.000">
                  <c:v>#N/A</c:v>
                </c:pt>
                <c:pt idx="3650" formatCode="#,##0.000">
                  <c:v>#N/A</c:v>
                </c:pt>
                <c:pt idx="3651" formatCode="#,##0.000">
                  <c:v>#N/A</c:v>
                </c:pt>
                <c:pt idx="3652" formatCode="#,##0.000">
                  <c:v>#N/A</c:v>
                </c:pt>
                <c:pt idx="3653" formatCode="#,##0.000">
                  <c:v>#N/A</c:v>
                </c:pt>
                <c:pt idx="3654" formatCode="#,##0.000">
                  <c:v>#N/A</c:v>
                </c:pt>
                <c:pt idx="3655" formatCode="#,##0.000">
                  <c:v>#N/A</c:v>
                </c:pt>
                <c:pt idx="3656" formatCode="#,##0.000">
                  <c:v>#N/A</c:v>
                </c:pt>
                <c:pt idx="3657" formatCode="#,##0.000">
                  <c:v>#N/A</c:v>
                </c:pt>
                <c:pt idx="3658" formatCode="#,##0.000">
                  <c:v>#N/A</c:v>
                </c:pt>
                <c:pt idx="3659" formatCode="#,##0.000">
                  <c:v>#N/A</c:v>
                </c:pt>
                <c:pt idx="3660" formatCode="#,##0.000">
                  <c:v>#N/A</c:v>
                </c:pt>
                <c:pt idx="3661" formatCode="#,##0.000">
                  <c:v>#N/A</c:v>
                </c:pt>
                <c:pt idx="3662" formatCode="#,##0.000">
                  <c:v>#N/A</c:v>
                </c:pt>
                <c:pt idx="3663" formatCode="#,##0.000">
                  <c:v>#N/A</c:v>
                </c:pt>
                <c:pt idx="3664" formatCode="#,##0.000">
                  <c:v>#N/A</c:v>
                </c:pt>
                <c:pt idx="3665" formatCode="#,##0.000">
                  <c:v>#N/A</c:v>
                </c:pt>
                <c:pt idx="3666" formatCode="#,##0.000">
                  <c:v>#N/A</c:v>
                </c:pt>
                <c:pt idx="3667" formatCode="#,##0.000">
                  <c:v>#N/A</c:v>
                </c:pt>
                <c:pt idx="3668" formatCode="#,##0.000">
                  <c:v>#N/A</c:v>
                </c:pt>
                <c:pt idx="3669" formatCode="#,##0.000">
                  <c:v>#N/A</c:v>
                </c:pt>
                <c:pt idx="3670" formatCode="#,##0.000">
                  <c:v>#N/A</c:v>
                </c:pt>
                <c:pt idx="3671" formatCode="#,##0.000">
                  <c:v>#N/A</c:v>
                </c:pt>
                <c:pt idx="3672" formatCode="#,##0.000">
                  <c:v>#N/A</c:v>
                </c:pt>
                <c:pt idx="3673" formatCode="#,##0.000">
                  <c:v>#N/A</c:v>
                </c:pt>
                <c:pt idx="3674" formatCode="#,##0.000">
                  <c:v>#N/A</c:v>
                </c:pt>
                <c:pt idx="3675" formatCode="#,##0.000">
                  <c:v>#N/A</c:v>
                </c:pt>
                <c:pt idx="3676" formatCode="#,##0.000">
                  <c:v>#N/A</c:v>
                </c:pt>
                <c:pt idx="3677" formatCode="#,##0.000">
                  <c:v>#N/A</c:v>
                </c:pt>
                <c:pt idx="3678" formatCode="#,##0.000">
                  <c:v>#N/A</c:v>
                </c:pt>
                <c:pt idx="3679" formatCode="#,##0.000">
                  <c:v>#N/A</c:v>
                </c:pt>
                <c:pt idx="3680" formatCode="#,##0.000">
                  <c:v>#N/A</c:v>
                </c:pt>
                <c:pt idx="3681" formatCode="#,##0.000">
                  <c:v>#N/A</c:v>
                </c:pt>
                <c:pt idx="3682" formatCode="#,##0.000">
                  <c:v>#N/A</c:v>
                </c:pt>
                <c:pt idx="3683" formatCode="#,##0.000">
                  <c:v>#N/A</c:v>
                </c:pt>
                <c:pt idx="3684" formatCode="#,##0.000">
                  <c:v>#N/A</c:v>
                </c:pt>
                <c:pt idx="3685" formatCode="#,##0.000">
                  <c:v>#N/A</c:v>
                </c:pt>
                <c:pt idx="3686" formatCode="#,##0.000">
                  <c:v>#N/A</c:v>
                </c:pt>
                <c:pt idx="3687" formatCode="#,##0.000">
                  <c:v>#N/A</c:v>
                </c:pt>
                <c:pt idx="3688" formatCode="#,##0.000">
                  <c:v>#N/A</c:v>
                </c:pt>
                <c:pt idx="3689" formatCode="#,##0.000">
                  <c:v>#N/A</c:v>
                </c:pt>
                <c:pt idx="3690" formatCode="#,##0.000">
                  <c:v>#N/A</c:v>
                </c:pt>
                <c:pt idx="3691" formatCode="#,##0.000">
                  <c:v>#N/A</c:v>
                </c:pt>
                <c:pt idx="3692" formatCode="#,##0.000">
                  <c:v>#N/A</c:v>
                </c:pt>
                <c:pt idx="3693" formatCode="#,##0.000">
                  <c:v>#N/A</c:v>
                </c:pt>
                <c:pt idx="3694" formatCode="#,##0.000">
                  <c:v>#N/A</c:v>
                </c:pt>
                <c:pt idx="3695" formatCode="#,##0.000">
                  <c:v>#N/A</c:v>
                </c:pt>
                <c:pt idx="3696" formatCode="#,##0.000">
                  <c:v>#N/A</c:v>
                </c:pt>
                <c:pt idx="3697" formatCode="#,##0.000">
                  <c:v>#N/A</c:v>
                </c:pt>
                <c:pt idx="3698" formatCode="#,##0.000">
                  <c:v>#N/A</c:v>
                </c:pt>
                <c:pt idx="3699" formatCode="#,##0.000">
                  <c:v>#N/A</c:v>
                </c:pt>
                <c:pt idx="3700" formatCode="#,##0.000">
                  <c:v>#N/A</c:v>
                </c:pt>
                <c:pt idx="3701" formatCode="#,##0.000">
                  <c:v>#N/A</c:v>
                </c:pt>
                <c:pt idx="3702" formatCode="#,##0.000">
                  <c:v>#N/A</c:v>
                </c:pt>
                <c:pt idx="3703" formatCode="#,##0.000">
                  <c:v>#N/A</c:v>
                </c:pt>
                <c:pt idx="3704" formatCode="#,##0.000">
                  <c:v>#N/A</c:v>
                </c:pt>
                <c:pt idx="3705" formatCode="#,##0.000">
                  <c:v>#N/A</c:v>
                </c:pt>
                <c:pt idx="3706" formatCode="#,##0.000">
                  <c:v>#N/A</c:v>
                </c:pt>
                <c:pt idx="3707" formatCode="#,##0.000">
                  <c:v>#N/A</c:v>
                </c:pt>
                <c:pt idx="3708" formatCode="#,##0.000">
                  <c:v>#N/A</c:v>
                </c:pt>
                <c:pt idx="3709" formatCode="#,##0.000">
                  <c:v>#N/A</c:v>
                </c:pt>
                <c:pt idx="3710" formatCode="#,##0.000">
                  <c:v>#N/A</c:v>
                </c:pt>
                <c:pt idx="3711" formatCode="#,##0.000">
                  <c:v>#N/A</c:v>
                </c:pt>
                <c:pt idx="3712" formatCode="#,##0.000">
                  <c:v>#N/A</c:v>
                </c:pt>
                <c:pt idx="3713" formatCode="#,##0.000">
                  <c:v>#N/A</c:v>
                </c:pt>
                <c:pt idx="3714" formatCode="#,##0.000">
                  <c:v>#N/A</c:v>
                </c:pt>
                <c:pt idx="3715" formatCode="#,##0.000">
                  <c:v>#N/A</c:v>
                </c:pt>
                <c:pt idx="3716" formatCode="#,##0.000">
                  <c:v>#N/A</c:v>
                </c:pt>
                <c:pt idx="3717" formatCode="#,##0.000">
                  <c:v>#N/A</c:v>
                </c:pt>
                <c:pt idx="3718" formatCode="#,##0.000">
                  <c:v>#N/A</c:v>
                </c:pt>
                <c:pt idx="3719" formatCode="#,##0.000">
                  <c:v>#N/A</c:v>
                </c:pt>
                <c:pt idx="3720" formatCode="#,##0.000">
                  <c:v>#N/A</c:v>
                </c:pt>
                <c:pt idx="3721" formatCode="#,##0.000">
                  <c:v>#N/A</c:v>
                </c:pt>
                <c:pt idx="3722" formatCode="#,##0.000">
                  <c:v>#N/A</c:v>
                </c:pt>
                <c:pt idx="3723" formatCode="#,##0.000">
                  <c:v>#N/A</c:v>
                </c:pt>
                <c:pt idx="3724" formatCode="#,##0.000">
                  <c:v>#N/A</c:v>
                </c:pt>
                <c:pt idx="3725" formatCode="#,##0.000">
                  <c:v>#N/A</c:v>
                </c:pt>
                <c:pt idx="3726" formatCode="#,##0.000">
                  <c:v>#N/A</c:v>
                </c:pt>
                <c:pt idx="3727" formatCode="#,##0.000">
                  <c:v>#N/A</c:v>
                </c:pt>
                <c:pt idx="3728" formatCode="#,##0.000">
                  <c:v>#N/A</c:v>
                </c:pt>
                <c:pt idx="3729" formatCode="#,##0.000">
                  <c:v>#N/A</c:v>
                </c:pt>
                <c:pt idx="3730" formatCode="#,##0.000">
                  <c:v>#N/A</c:v>
                </c:pt>
                <c:pt idx="3731" formatCode="#,##0.000">
                  <c:v>#N/A</c:v>
                </c:pt>
                <c:pt idx="3732" formatCode="#,##0.000">
                  <c:v>#N/A</c:v>
                </c:pt>
                <c:pt idx="3733" formatCode="#,##0.000">
                  <c:v>#N/A</c:v>
                </c:pt>
                <c:pt idx="3734" formatCode="#,##0.000">
                  <c:v>#N/A</c:v>
                </c:pt>
                <c:pt idx="3735" formatCode="#,##0.000">
                  <c:v>#N/A</c:v>
                </c:pt>
                <c:pt idx="3736" formatCode="#,##0.000">
                  <c:v>#N/A</c:v>
                </c:pt>
                <c:pt idx="3737" formatCode="#,##0.000">
                  <c:v>#N/A</c:v>
                </c:pt>
                <c:pt idx="3738" formatCode="#,##0.000">
                  <c:v>#N/A</c:v>
                </c:pt>
                <c:pt idx="3739" formatCode="#,##0.000">
                  <c:v>#N/A</c:v>
                </c:pt>
                <c:pt idx="3740" formatCode="#,##0.000">
                  <c:v>#N/A</c:v>
                </c:pt>
                <c:pt idx="3741" formatCode="#,##0.000">
                  <c:v>#N/A</c:v>
                </c:pt>
                <c:pt idx="3742" formatCode="#,##0.000">
                  <c:v>#N/A</c:v>
                </c:pt>
                <c:pt idx="3743" formatCode="#,##0.000">
                  <c:v>#N/A</c:v>
                </c:pt>
                <c:pt idx="3744" formatCode="#,##0.000">
                  <c:v>#N/A</c:v>
                </c:pt>
                <c:pt idx="3745" formatCode="#,##0.000">
                  <c:v>#N/A</c:v>
                </c:pt>
                <c:pt idx="3746" formatCode="#,##0.000">
                  <c:v>#N/A</c:v>
                </c:pt>
                <c:pt idx="3747" formatCode="#,##0.000">
                  <c:v>#N/A</c:v>
                </c:pt>
                <c:pt idx="3748" formatCode="#,##0.000">
                  <c:v>#N/A</c:v>
                </c:pt>
                <c:pt idx="3749" formatCode="#,##0.000">
                  <c:v>#N/A</c:v>
                </c:pt>
                <c:pt idx="3750" formatCode="#,##0.000">
                  <c:v>#N/A</c:v>
                </c:pt>
                <c:pt idx="3751" formatCode="#,##0.000">
                  <c:v>#N/A</c:v>
                </c:pt>
                <c:pt idx="3752" formatCode="#,##0.000">
                  <c:v>#N/A</c:v>
                </c:pt>
                <c:pt idx="3753" formatCode="#,##0.000">
                  <c:v>#N/A</c:v>
                </c:pt>
                <c:pt idx="3754" formatCode="#,##0.000">
                  <c:v>#N/A</c:v>
                </c:pt>
                <c:pt idx="3755" formatCode="#,##0.000">
                  <c:v>#N/A</c:v>
                </c:pt>
                <c:pt idx="3756" formatCode="#,##0.000">
                  <c:v>#N/A</c:v>
                </c:pt>
                <c:pt idx="3757" formatCode="#,##0.000">
                  <c:v>#N/A</c:v>
                </c:pt>
                <c:pt idx="3758" formatCode="#,##0.000">
                  <c:v>#N/A</c:v>
                </c:pt>
                <c:pt idx="3759" formatCode="#,##0.000">
                  <c:v>#N/A</c:v>
                </c:pt>
                <c:pt idx="3760" formatCode="#,##0.000">
                  <c:v>#N/A</c:v>
                </c:pt>
                <c:pt idx="3761" formatCode="#,##0.000">
                  <c:v>#N/A</c:v>
                </c:pt>
                <c:pt idx="3762" formatCode="#,##0.000">
                  <c:v>#N/A</c:v>
                </c:pt>
                <c:pt idx="3763" formatCode="#,##0.000">
                  <c:v>#N/A</c:v>
                </c:pt>
                <c:pt idx="3764" formatCode="#,##0.000">
                  <c:v>#N/A</c:v>
                </c:pt>
                <c:pt idx="3765" formatCode="#,##0.000">
                  <c:v>#N/A</c:v>
                </c:pt>
                <c:pt idx="3766" formatCode="#,##0.000">
                  <c:v>#N/A</c:v>
                </c:pt>
                <c:pt idx="3767" formatCode="#,##0.000">
                  <c:v>#N/A</c:v>
                </c:pt>
                <c:pt idx="3768" formatCode="#,##0.000">
                  <c:v>#N/A</c:v>
                </c:pt>
                <c:pt idx="3769" formatCode="#,##0.000">
                  <c:v>#N/A</c:v>
                </c:pt>
                <c:pt idx="3770" formatCode="#,##0.000">
                  <c:v>#N/A</c:v>
                </c:pt>
                <c:pt idx="3771" formatCode="#,##0.000">
                  <c:v>#N/A</c:v>
                </c:pt>
                <c:pt idx="3772" formatCode="#,##0.000">
                  <c:v>#N/A</c:v>
                </c:pt>
                <c:pt idx="3773" formatCode="#,##0.000">
                  <c:v>#N/A</c:v>
                </c:pt>
                <c:pt idx="3774" formatCode="#,##0.000">
                  <c:v>#N/A</c:v>
                </c:pt>
                <c:pt idx="3775" formatCode="#,##0.000">
                  <c:v>#N/A</c:v>
                </c:pt>
                <c:pt idx="3776" formatCode="#,##0.000">
                  <c:v>#N/A</c:v>
                </c:pt>
                <c:pt idx="3777" formatCode="#,##0.000">
                  <c:v>#N/A</c:v>
                </c:pt>
                <c:pt idx="3778" formatCode="#,##0.000">
                  <c:v>#N/A</c:v>
                </c:pt>
                <c:pt idx="3779" formatCode="#,##0.000">
                  <c:v>#N/A</c:v>
                </c:pt>
                <c:pt idx="3780" formatCode="#,##0.000">
                  <c:v>#N/A</c:v>
                </c:pt>
                <c:pt idx="3781" formatCode="#,##0.000">
                  <c:v>#N/A</c:v>
                </c:pt>
                <c:pt idx="3782" formatCode="#,##0.000">
                  <c:v>#N/A</c:v>
                </c:pt>
                <c:pt idx="3783" formatCode="#,##0.000">
                  <c:v>#N/A</c:v>
                </c:pt>
                <c:pt idx="3784" formatCode="#,##0.000">
                  <c:v>#N/A</c:v>
                </c:pt>
                <c:pt idx="3785" formatCode="#,##0.000">
                  <c:v>#N/A</c:v>
                </c:pt>
                <c:pt idx="3786" formatCode="#,##0.000">
                  <c:v>#N/A</c:v>
                </c:pt>
                <c:pt idx="3787" formatCode="#,##0.000">
                  <c:v>#N/A</c:v>
                </c:pt>
                <c:pt idx="3788" formatCode="#,##0.000">
                  <c:v>#N/A</c:v>
                </c:pt>
                <c:pt idx="3789" formatCode="#,##0.000">
                  <c:v>#N/A</c:v>
                </c:pt>
                <c:pt idx="3790" formatCode="#,##0.000">
                  <c:v>#N/A</c:v>
                </c:pt>
                <c:pt idx="3791" formatCode="#,##0.000">
                  <c:v>#N/A</c:v>
                </c:pt>
                <c:pt idx="3792" formatCode="#,##0.000">
                  <c:v>#N/A</c:v>
                </c:pt>
                <c:pt idx="3793" formatCode="#,##0.000">
                  <c:v>#N/A</c:v>
                </c:pt>
                <c:pt idx="3794" formatCode="#,##0.000">
                  <c:v>#N/A</c:v>
                </c:pt>
                <c:pt idx="3795" formatCode="#,##0.000">
                  <c:v>#N/A</c:v>
                </c:pt>
                <c:pt idx="3796" formatCode="#,##0.000">
                  <c:v>#N/A</c:v>
                </c:pt>
                <c:pt idx="3797" formatCode="#,##0.000">
                  <c:v>#N/A</c:v>
                </c:pt>
                <c:pt idx="3798" formatCode="#,##0.000">
                  <c:v>#N/A</c:v>
                </c:pt>
                <c:pt idx="3799" formatCode="#,##0.000">
                  <c:v>#N/A</c:v>
                </c:pt>
                <c:pt idx="3800" formatCode="#,##0.000">
                  <c:v>#N/A</c:v>
                </c:pt>
                <c:pt idx="3801" formatCode="#,##0.000">
                  <c:v>#N/A</c:v>
                </c:pt>
                <c:pt idx="3802" formatCode="#,##0.000">
                  <c:v>#N/A</c:v>
                </c:pt>
                <c:pt idx="3803" formatCode="#,##0.000">
                  <c:v>#N/A</c:v>
                </c:pt>
                <c:pt idx="3804" formatCode="#,##0.000">
                  <c:v>#N/A</c:v>
                </c:pt>
                <c:pt idx="3805" formatCode="#,##0.000">
                  <c:v>#N/A</c:v>
                </c:pt>
                <c:pt idx="3806" formatCode="#,##0.000">
                  <c:v>#N/A</c:v>
                </c:pt>
                <c:pt idx="3807" formatCode="#,##0.000">
                  <c:v>#N/A</c:v>
                </c:pt>
                <c:pt idx="3808" formatCode="#,##0.000">
                  <c:v>#N/A</c:v>
                </c:pt>
                <c:pt idx="3809" formatCode="#,##0.000">
                  <c:v>#N/A</c:v>
                </c:pt>
                <c:pt idx="3810" formatCode="#,##0.000">
                  <c:v>#N/A</c:v>
                </c:pt>
                <c:pt idx="3811" formatCode="#,##0.000">
                  <c:v>#N/A</c:v>
                </c:pt>
                <c:pt idx="3812" formatCode="#,##0.000">
                  <c:v>#N/A</c:v>
                </c:pt>
                <c:pt idx="3813" formatCode="#,##0.000">
                  <c:v>#N/A</c:v>
                </c:pt>
                <c:pt idx="3814" formatCode="#,##0.000">
                  <c:v>#N/A</c:v>
                </c:pt>
                <c:pt idx="3815" formatCode="#,##0.000">
                  <c:v>#N/A</c:v>
                </c:pt>
                <c:pt idx="3816" formatCode="#,##0.000">
                  <c:v>#N/A</c:v>
                </c:pt>
                <c:pt idx="3817" formatCode="#,##0.000">
                  <c:v>#N/A</c:v>
                </c:pt>
                <c:pt idx="3818" formatCode="#,##0.000">
                  <c:v>#N/A</c:v>
                </c:pt>
                <c:pt idx="3819" formatCode="#,##0.000">
                  <c:v>#N/A</c:v>
                </c:pt>
                <c:pt idx="3820" formatCode="#,##0.000">
                  <c:v>#N/A</c:v>
                </c:pt>
                <c:pt idx="3821" formatCode="#,##0.000">
                  <c:v>#N/A</c:v>
                </c:pt>
                <c:pt idx="3822" formatCode="#,##0.000">
                  <c:v>#N/A</c:v>
                </c:pt>
                <c:pt idx="3823" formatCode="#,##0.000">
                  <c:v>#N/A</c:v>
                </c:pt>
                <c:pt idx="3824" formatCode="#,##0.000">
                  <c:v>#N/A</c:v>
                </c:pt>
                <c:pt idx="3825" formatCode="#,##0.000">
                  <c:v>#N/A</c:v>
                </c:pt>
                <c:pt idx="3826" formatCode="#,##0.000">
                  <c:v>#N/A</c:v>
                </c:pt>
                <c:pt idx="3827" formatCode="#,##0.000">
                  <c:v>#N/A</c:v>
                </c:pt>
                <c:pt idx="3828" formatCode="#,##0.000">
                  <c:v>#N/A</c:v>
                </c:pt>
                <c:pt idx="3829" formatCode="#,##0.000">
                  <c:v>#N/A</c:v>
                </c:pt>
                <c:pt idx="3830" formatCode="#,##0.000">
                  <c:v>#N/A</c:v>
                </c:pt>
                <c:pt idx="3831" formatCode="#,##0.000">
                  <c:v>#N/A</c:v>
                </c:pt>
                <c:pt idx="3832" formatCode="#,##0.000">
                  <c:v>#N/A</c:v>
                </c:pt>
                <c:pt idx="3833" formatCode="#,##0.000">
                  <c:v>#N/A</c:v>
                </c:pt>
                <c:pt idx="3834" formatCode="#,##0.000">
                  <c:v>#N/A</c:v>
                </c:pt>
                <c:pt idx="3835" formatCode="#,##0.000">
                  <c:v>#N/A</c:v>
                </c:pt>
                <c:pt idx="3836" formatCode="#,##0.000">
                  <c:v>#N/A</c:v>
                </c:pt>
                <c:pt idx="3837" formatCode="#,##0.000">
                  <c:v>#N/A</c:v>
                </c:pt>
                <c:pt idx="3838" formatCode="#,##0.000">
                  <c:v>#N/A</c:v>
                </c:pt>
                <c:pt idx="3839" formatCode="#,##0.000">
                  <c:v>#N/A</c:v>
                </c:pt>
                <c:pt idx="3840" formatCode="#,##0.000">
                  <c:v>#N/A</c:v>
                </c:pt>
                <c:pt idx="3841" formatCode="#,##0.000">
                  <c:v>#N/A</c:v>
                </c:pt>
                <c:pt idx="3842" formatCode="#,##0.000">
                  <c:v>#N/A</c:v>
                </c:pt>
                <c:pt idx="3843" formatCode="#,##0.000">
                  <c:v>#N/A</c:v>
                </c:pt>
                <c:pt idx="3844" formatCode="#,##0.000">
                  <c:v>#N/A</c:v>
                </c:pt>
                <c:pt idx="3845" formatCode="#,##0.000">
                  <c:v>#N/A</c:v>
                </c:pt>
                <c:pt idx="3846" formatCode="#,##0.000">
                  <c:v>#N/A</c:v>
                </c:pt>
                <c:pt idx="3847" formatCode="#,##0.000">
                  <c:v>#N/A</c:v>
                </c:pt>
                <c:pt idx="3848" formatCode="#,##0.000">
                  <c:v>#N/A</c:v>
                </c:pt>
                <c:pt idx="3849" formatCode="#,##0.000">
                  <c:v>#N/A</c:v>
                </c:pt>
                <c:pt idx="3850" formatCode="#,##0.000">
                  <c:v>#N/A</c:v>
                </c:pt>
                <c:pt idx="3851" formatCode="#,##0.000">
                  <c:v>#N/A</c:v>
                </c:pt>
                <c:pt idx="3852" formatCode="#,##0.000">
                  <c:v>#N/A</c:v>
                </c:pt>
                <c:pt idx="3853" formatCode="#,##0.000">
                  <c:v>#N/A</c:v>
                </c:pt>
                <c:pt idx="3854" formatCode="#,##0.000">
                  <c:v>#N/A</c:v>
                </c:pt>
                <c:pt idx="3855" formatCode="#,##0.000">
                  <c:v>#N/A</c:v>
                </c:pt>
                <c:pt idx="3856" formatCode="#,##0.000">
                  <c:v>#N/A</c:v>
                </c:pt>
                <c:pt idx="3857" formatCode="#,##0.000">
                  <c:v>#N/A</c:v>
                </c:pt>
                <c:pt idx="3858" formatCode="#,##0.000">
                  <c:v>#N/A</c:v>
                </c:pt>
                <c:pt idx="3859" formatCode="#,##0.000">
                  <c:v>#N/A</c:v>
                </c:pt>
                <c:pt idx="3860" formatCode="#,##0.000">
                  <c:v>#N/A</c:v>
                </c:pt>
                <c:pt idx="3861" formatCode="#,##0.000">
                  <c:v>#N/A</c:v>
                </c:pt>
                <c:pt idx="3862" formatCode="#,##0.000">
                  <c:v>#N/A</c:v>
                </c:pt>
                <c:pt idx="3863" formatCode="#,##0.000">
                  <c:v>#N/A</c:v>
                </c:pt>
                <c:pt idx="3864" formatCode="#,##0.000">
                  <c:v>#N/A</c:v>
                </c:pt>
                <c:pt idx="3865" formatCode="#,##0.000">
                  <c:v>#N/A</c:v>
                </c:pt>
                <c:pt idx="3866" formatCode="#,##0.000">
                  <c:v>#N/A</c:v>
                </c:pt>
                <c:pt idx="3867" formatCode="#,##0.000">
                  <c:v>#N/A</c:v>
                </c:pt>
                <c:pt idx="3868" formatCode="#,##0.000">
                  <c:v>#N/A</c:v>
                </c:pt>
                <c:pt idx="3869" formatCode="#,##0.000">
                  <c:v>#N/A</c:v>
                </c:pt>
                <c:pt idx="3870" formatCode="#,##0.000">
                  <c:v>#N/A</c:v>
                </c:pt>
                <c:pt idx="3871" formatCode="#,##0.000">
                  <c:v>#N/A</c:v>
                </c:pt>
                <c:pt idx="3872" formatCode="#,##0.000">
                  <c:v>#N/A</c:v>
                </c:pt>
                <c:pt idx="3873" formatCode="#,##0.000">
                  <c:v>#N/A</c:v>
                </c:pt>
                <c:pt idx="3874" formatCode="#,##0.000">
                  <c:v>#N/A</c:v>
                </c:pt>
                <c:pt idx="3875" formatCode="#,##0.000">
                  <c:v>#N/A</c:v>
                </c:pt>
                <c:pt idx="3876" formatCode="#,##0.000">
                  <c:v>#N/A</c:v>
                </c:pt>
                <c:pt idx="3877" formatCode="#,##0.000">
                  <c:v>#N/A</c:v>
                </c:pt>
                <c:pt idx="3878" formatCode="#,##0.000">
                  <c:v>#N/A</c:v>
                </c:pt>
                <c:pt idx="3879" formatCode="#,##0.000">
                  <c:v>#N/A</c:v>
                </c:pt>
                <c:pt idx="3880" formatCode="#,##0.000">
                  <c:v>#N/A</c:v>
                </c:pt>
                <c:pt idx="3881" formatCode="#,##0.000">
                  <c:v>#N/A</c:v>
                </c:pt>
                <c:pt idx="3882" formatCode="#,##0.000">
                  <c:v>#N/A</c:v>
                </c:pt>
                <c:pt idx="3883" formatCode="#,##0.000">
                  <c:v>#N/A</c:v>
                </c:pt>
                <c:pt idx="3884" formatCode="#,##0.000">
                  <c:v>#N/A</c:v>
                </c:pt>
                <c:pt idx="3885" formatCode="#,##0.000">
                  <c:v>#N/A</c:v>
                </c:pt>
                <c:pt idx="3886" formatCode="#,##0.000">
                  <c:v>#N/A</c:v>
                </c:pt>
                <c:pt idx="3887" formatCode="#,##0.000">
                  <c:v>#N/A</c:v>
                </c:pt>
                <c:pt idx="3888" formatCode="#,##0.000">
                  <c:v>#N/A</c:v>
                </c:pt>
                <c:pt idx="3889" formatCode="#,##0.000">
                  <c:v>#N/A</c:v>
                </c:pt>
                <c:pt idx="3890" formatCode="#,##0.000">
                  <c:v>#N/A</c:v>
                </c:pt>
                <c:pt idx="3891" formatCode="#,##0.000">
                  <c:v>#N/A</c:v>
                </c:pt>
                <c:pt idx="3892" formatCode="#,##0.000">
                  <c:v>#N/A</c:v>
                </c:pt>
                <c:pt idx="3893" formatCode="#,##0.000">
                  <c:v>#N/A</c:v>
                </c:pt>
                <c:pt idx="3894" formatCode="#,##0.000">
                  <c:v>#N/A</c:v>
                </c:pt>
                <c:pt idx="3895" formatCode="#,##0.000">
                  <c:v>#N/A</c:v>
                </c:pt>
                <c:pt idx="3896" formatCode="#,##0.000">
                  <c:v>#N/A</c:v>
                </c:pt>
                <c:pt idx="3897" formatCode="#,##0.000">
                  <c:v>#N/A</c:v>
                </c:pt>
                <c:pt idx="3898" formatCode="#,##0.000">
                  <c:v>#N/A</c:v>
                </c:pt>
                <c:pt idx="3899" formatCode="#,##0.000">
                  <c:v>#N/A</c:v>
                </c:pt>
                <c:pt idx="3900" formatCode="#,##0.000">
                  <c:v>#N/A</c:v>
                </c:pt>
                <c:pt idx="3901" formatCode="#,##0.000">
                  <c:v>#N/A</c:v>
                </c:pt>
                <c:pt idx="3902" formatCode="#,##0.000">
                  <c:v>#N/A</c:v>
                </c:pt>
                <c:pt idx="3903" formatCode="#,##0.000">
                  <c:v>#N/A</c:v>
                </c:pt>
                <c:pt idx="3904" formatCode="#,##0.000">
                  <c:v>#N/A</c:v>
                </c:pt>
                <c:pt idx="3905" formatCode="#,##0.000">
                  <c:v>#N/A</c:v>
                </c:pt>
                <c:pt idx="3906" formatCode="#,##0.000">
                  <c:v>#N/A</c:v>
                </c:pt>
                <c:pt idx="3907" formatCode="#,##0.000">
                  <c:v>#N/A</c:v>
                </c:pt>
                <c:pt idx="3908" formatCode="#,##0.000">
                  <c:v>#N/A</c:v>
                </c:pt>
                <c:pt idx="3909" formatCode="#,##0.000">
                  <c:v>#N/A</c:v>
                </c:pt>
                <c:pt idx="3910" formatCode="#,##0.000">
                  <c:v>#N/A</c:v>
                </c:pt>
                <c:pt idx="3911" formatCode="#,##0.000">
                  <c:v>#N/A</c:v>
                </c:pt>
                <c:pt idx="3912" formatCode="#,##0.000">
                  <c:v>#N/A</c:v>
                </c:pt>
                <c:pt idx="3913" formatCode="#,##0.000">
                  <c:v>#N/A</c:v>
                </c:pt>
                <c:pt idx="3914" formatCode="#,##0.000">
                  <c:v>#N/A</c:v>
                </c:pt>
                <c:pt idx="3915" formatCode="#,##0.000">
                  <c:v>#N/A</c:v>
                </c:pt>
                <c:pt idx="3916" formatCode="#,##0.000">
                  <c:v>#N/A</c:v>
                </c:pt>
                <c:pt idx="3917" formatCode="#,##0.000">
                  <c:v>#N/A</c:v>
                </c:pt>
                <c:pt idx="3918" formatCode="#,##0.000">
                  <c:v>#N/A</c:v>
                </c:pt>
                <c:pt idx="3919" formatCode="#,##0.000">
                  <c:v>#N/A</c:v>
                </c:pt>
                <c:pt idx="3920" formatCode="#,##0.000">
                  <c:v>#N/A</c:v>
                </c:pt>
                <c:pt idx="3921" formatCode="#,##0.000">
                  <c:v>#N/A</c:v>
                </c:pt>
                <c:pt idx="3922" formatCode="#,##0.000">
                  <c:v>#N/A</c:v>
                </c:pt>
                <c:pt idx="3923" formatCode="#,##0.000">
                  <c:v>#N/A</c:v>
                </c:pt>
                <c:pt idx="3924" formatCode="#,##0.000">
                  <c:v>#N/A</c:v>
                </c:pt>
                <c:pt idx="3925" formatCode="#,##0.000">
                  <c:v>#N/A</c:v>
                </c:pt>
                <c:pt idx="3926" formatCode="#,##0.000">
                  <c:v>#N/A</c:v>
                </c:pt>
                <c:pt idx="3927" formatCode="#,##0.000">
                  <c:v>#N/A</c:v>
                </c:pt>
                <c:pt idx="3928" formatCode="#,##0.000">
                  <c:v>#N/A</c:v>
                </c:pt>
                <c:pt idx="3929" formatCode="#,##0.000">
                  <c:v>#N/A</c:v>
                </c:pt>
                <c:pt idx="3930" formatCode="#,##0.000">
                  <c:v>#N/A</c:v>
                </c:pt>
                <c:pt idx="3931" formatCode="#,##0.000">
                  <c:v>#N/A</c:v>
                </c:pt>
                <c:pt idx="3932" formatCode="#,##0.000">
                  <c:v>#N/A</c:v>
                </c:pt>
                <c:pt idx="3933" formatCode="#,##0.000">
                  <c:v>#N/A</c:v>
                </c:pt>
                <c:pt idx="3934" formatCode="#,##0.000">
                  <c:v>#N/A</c:v>
                </c:pt>
                <c:pt idx="3935" formatCode="#,##0.000">
                  <c:v>#N/A</c:v>
                </c:pt>
                <c:pt idx="3936" formatCode="#,##0.000">
                  <c:v>#N/A</c:v>
                </c:pt>
                <c:pt idx="3937" formatCode="#,##0.000">
                  <c:v>#N/A</c:v>
                </c:pt>
                <c:pt idx="3938" formatCode="#,##0.000">
                  <c:v>#N/A</c:v>
                </c:pt>
                <c:pt idx="3939" formatCode="#,##0.000">
                  <c:v>#N/A</c:v>
                </c:pt>
                <c:pt idx="3940" formatCode="#,##0.000">
                  <c:v>#N/A</c:v>
                </c:pt>
                <c:pt idx="3941" formatCode="#,##0.000">
                  <c:v>#N/A</c:v>
                </c:pt>
                <c:pt idx="3942" formatCode="#,##0.000">
                  <c:v>#N/A</c:v>
                </c:pt>
                <c:pt idx="3943" formatCode="#,##0.000">
                  <c:v>#N/A</c:v>
                </c:pt>
                <c:pt idx="3944" formatCode="#,##0.000">
                  <c:v>#N/A</c:v>
                </c:pt>
                <c:pt idx="3945" formatCode="#,##0.000">
                  <c:v>#N/A</c:v>
                </c:pt>
                <c:pt idx="3946" formatCode="#,##0.000">
                  <c:v>#N/A</c:v>
                </c:pt>
                <c:pt idx="3947" formatCode="#,##0.000">
                  <c:v>#N/A</c:v>
                </c:pt>
                <c:pt idx="3948" formatCode="#,##0.000">
                  <c:v>#N/A</c:v>
                </c:pt>
                <c:pt idx="3949" formatCode="#,##0.000">
                  <c:v>#N/A</c:v>
                </c:pt>
                <c:pt idx="3950" formatCode="#,##0.000">
                  <c:v>#N/A</c:v>
                </c:pt>
                <c:pt idx="3951" formatCode="#,##0.000">
                  <c:v>#N/A</c:v>
                </c:pt>
                <c:pt idx="3952" formatCode="#,##0.000">
                  <c:v>#N/A</c:v>
                </c:pt>
                <c:pt idx="3953" formatCode="#,##0.000">
                  <c:v>#N/A</c:v>
                </c:pt>
                <c:pt idx="3954" formatCode="#,##0.000">
                  <c:v>#N/A</c:v>
                </c:pt>
                <c:pt idx="3955" formatCode="#,##0.000">
                  <c:v>#N/A</c:v>
                </c:pt>
                <c:pt idx="3956" formatCode="#,##0.000">
                  <c:v>#N/A</c:v>
                </c:pt>
                <c:pt idx="3957" formatCode="#,##0.000">
                  <c:v>#N/A</c:v>
                </c:pt>
                <c:pt idx="3958" formatCode="#,##0.000">
                  <c:v>#N/A</c:v>
                </c:pt>
                <c:pt idx="3959" formatCode="#,##0.000">
                  <c:v>#N/A</c:v>
                </c:pt>
                <c:pt idx="3960" formatCode="#,##0.000">
                  <c:v>#N/A</c:v>
                </c:pt>
                <c:pt idx="3961" formatCode="#,##0.000">
                  <c:v>#N/A</c:v>
                </c:pt>
                <c:pt idx="3962" formatCode="#,##0.000">
                  <c:v>#N/A</c:v>
                </c:pt>
                <c:pt idx="3963" formatCode="#,##0.000">
                  <c:v>#N/A</c:v>
                </c:pt>
                <c:pt idx="3964" formatCode="#,##0.000">
                  <c:v>#N/A</c:v>
                </c:pt>
                <c:pt idx="3965" formatCode="#,##0.000">
                  <c:v>#N/A</c:v>
                </c:pt>
                <c:pt idx="3966" formatCode="#,##0.000">
                  <c:v>#N/A</c:v>
                </c:pt>
                <c:pt idx="3967" formatCode="#,##0.000">
                  <c:v>#N/A</c:v>
                </c:pt>
                <c:pt idx="3968" formatCode="#,##0.000">
                  <c:v>#N/A</c:v>
                </c:pt>
                <c:pt idx="3969" formatCode="#,##0.000">
                  <c:v>#N/A</c:v>
                </c:pt>
                <c:pt idx="3970" formatCode="#,##0.000">
                  <c:v>#N/A</c:v>
                </c:pt>
                <c:pt idx="3971" formatCode="#,##0.000">
                  <c:v>#N/A</c:v>
                </c:pt>
                <c:pt idx="3972" formatCode="#,##0.000">
                  <c:v>#N/A</c:v>
                </c:pt>
                <c:pt idx="3973" formatCode="#,##0.000">
                  <c:v>#N/A</c:v>
                </c:pt>
                <c:pt idx="3974" formatCode="#,##0.000">
                  <c:v>#N/A</c:v>
                </c:pt>
                <c:pt idx="3975" formatCode="#,##0.000">
                  <c:v>#N/A</c:v>
                </c:pt>
                <c:pt idx="3976" formatCode="#,##0.000">
                  <c:v>#N/A</c:v>
                </c:pt>
                <c:pt idx="3977" formatCode="#,##0.000">
                  <c:v>#N/A</c:v>
                </c:pt>
                <c:pt idx="3978" formatCode="#,##0.000">
                  <c:v>#N/A</c:v>
                </c:pt>
                <c:pt idx="3979" formatCode="#,##0.000">
                  <c:v>#N/A</c:v>
                </c:pt>
                <c:pt idx="3980" formatCode="#,##0.000">
                  <c:v>#N/A</c:v>
                </c:pt>
                <c:pt idx="3981" formatCode="#,##0.000">
                  <c:v>#N/A</c:v>
                </c:pt>
                <c:pt idx="3982" formatCode="#,##0.000">
                  <c:v>#N/A</c:v>
                </c:pt>
                <c:pt idx="3983" formatCode="#,##0.000">
                  <c:v>#N/A</c:v>
                </c:pt>
                <c:pt idx="3984" formatCode="#,##0.000">
                  <c:v>#N/A</c:v>
                </c:pt>
                <c:pt idx="3985" formatCode="#,##0.000">
                  <c:v>#N/A</c:v>
                </c:pt>
                <c:pt idx="3986" formatCode="#,##0.000">
                  <c:v>#N/A</c:v>
                </c:pt>
                <c:pt idx="3987" formatCode="#,##0.000">
                  <c:v>#N/A</c:v>
                </c:pt>
                <c:pt idx="3988" formatCode="#,##0.000">
                  <c:v>#N/A</c:v>
                </c:pt>
                <c:pt idx="3989" formatCode="#,##0.000">
                  <c:v>#N/A</c:v>
                </c:pt>
                <c:pt idx="3990" formatCode="#,##0.000">
                  <c:v>#N/A</c:v>
                </c:pt>
                <c:pt idx="3991" formatCode="#,##0.000">
                  <c:v>#N/A</c:v>
                </c:pt>
                <c:pt idx="3992" formatCode="#,##0.000">
                  <c:v>#N/A</c:v>
                </c:pt>
                <c:pt idx="3993" formatCode="#,##0.000">
                  <c:v>#N/A</c:v>
                </c:pt>
                <c:pt idx="3994" formatCode="#,##0.000">
                  <c:v>#N/A</c:v>
                </c:pt>
                <c:pt idx="3995" formatCode="#,##0.000">
                  <c:v>#N/A</c:v>
                </c:pt>
                <c:pt idx="3996" formatCode="#,##0.000">
                  <c:v>#N/A</c:v>
                </c:pt>
                <c:pt idx="3997" formatCode="#,##0.000">
                  <c:v>#N/A</c:v>
                </c:pt>
                <c:pt idx="3998" formatCode="#,##0.000">
                  <c:v>#N/A</c:v>
                </c:pt>
                <c:pt idx="3999" formatCode="#,##0.000">
                  <c:v>#N/A</c:v>
                </c:pt>
                <c:pt idx="4000" formatCode="#,##0.000">
                  <c:v>#N/A</c:v>
                </c:pt>
                <c:pt idx="4001" formatCode="#,##0.000">
                  <c:v>#N/A</c:v>
                </c:pt>
                <c:pt idx="4002" formatCode="#,##0.000">
                  <c:v>#N/A</c:v>
                </c:pt>
                <c:pt idx="4003" formatCode="#,##0.000">
                  <c:v>#N/A</c:v>
                </c:pt>
                <c:pt idx="4004" formatCode="#,##0.000">
                  <c:v>#N/A</c:v>
                </c:pt>
                <c:pt idx="4005" formatCode="#,##0.000">
                  <c:v>#N/A</c:v>
                </c:pt>
                <c:pt idx="4006" formatCode="#,##0.000">
                  <c:v>#N/A</c:v>
                </c:pt>
                <c:pt idx="4007" formatCode="#,##0.000">
                  <c:v>#N/A</c:v>
                </c:pt>
                <c:pt idx="4008" formatCode="#,##0.000">
                  <c:v>#N/A</c:v>
                </c:pt>
                <c:pt idx="4009" formatCode="#,##0.000">
                  <c:v>#N/A</c:v>
                </c:pt>
                <c:pt idx="4010" formatCode="#,##0.000">
                  <c:v>#N/A</c:v>
                </c:pt>
                <c:pt idx="4011" formatCode="#,##0.000">
                  <c:v>#N/A</c:v>
                </c:pt>
                <c:pt idx="4012" formatCode="#,##0.000">
                  <c:v>#N/A</c:v>
                </c:pt>
                <c:pt idx="4013" formatCode="#,##0.000">
                  <c:v>#N/A</c:v>
                </c:pt>
                <c:pt idx="4014" formatCode="#,##0.000">
                  <c:v>#N/A</c:v>
                </c:pt>
                <c:pt idx="4015" formatCode="#,##0.000">
                  <c:v>#N/A</c:v>
                </c:pt>
                <c:pt idx="4016" formatCode="#,##0.000">
                  <c:v>#N/A</c:v>
                </c:pt>
                <c:pt idx="4017" formatCode="#,##0.000">
                  <c:v>#N/A</c:v>
                </c:pt>
                <c:pt idx="4018" formatCode="#,##0.000">
                  <c:v>#N/A</c:v>
                </c:pt>
                <c:pt idx="4019" formatCode="#,##0.000">
                  <c:v>#N/A</c:v>
                </c:pt>
                <c:pt idx="4020" formatCode="#,##0.000">
                  <c:v>#N/A</c:v>
                </c:pt>
                <c:pt idx="4021" formatCode="#,##0.000">
                  <c:v>#N/A</c:v>
                </c:pt>
                <c:pt idx="4022" formatCode="#,##0.000">
                  <c:v>#N/A</c:v>
                </c:pt>
                <c:pt idx="4023" formatCode="#,##0.000">
                  <c:v>#N/A</c:v>
                </c:pt>
                <c:pt idx="4024" formatCode="#,##0.000">
                  <c:v>#N/A</c:v>
                </c:pt>
                <c:pt idx="4025" formatCode="#,##0.000">
                  <c:v>#N/A</c:v>
                </c:pt>
                <c:pt idx="4026" formatCode="#,##0.000">
                  <c:v>#N/A</c:v>
                </c:pt>
                <c:pt idx="4027" formatCode="#,##0.000">
                  <c:v>#N/A</c:v>
                </c:pt>
                <c:pt idx="4028" formatCode="#,##0.000">
                  <c:v>#N/A</c:v>
                </c:pt>
                <c:pt idx="4029" formatCode="#,##0.000">
                  <c:v>#N/A</c:v>
                </c:pt>
                <c:pt idx="4030" formatCode="#,##0.000">
                  <c:v>#N/A</c:v>
                </c:pt>
                <c:pt idx="4031" formatCode="#,##0.000">
                  <c:v>#N/A</c:v>
                </c:pt>
                <c:pt idx="4032" formatCode="#,##0.000">
                  <c:v>#N/A</c:v>
                </c:pt>
                <c:pt idx="4033" formatCode="#,##0.000">
                  <c:v>#N/A</c:v>
                </c:pt>
                <c:pt idx="4034" formatCode="#,##0.000">
                  <c:v>#N/A</c:v>
                </c:pt>
                <c:pt idx="4035" formatCode="#,##0.000">
                  <c:v>#N/A</c:v>
                </c:pt>
                <c:pt idx="4036" formatCode="#,##0.000">
                  <c:v>#N/A</c:v>
                </c:pt>
                <c:pt idx="4037" formatCode="#,##0.000">
                  <c:v>#N/A</c:v>
                </c:pt>
                <c:pt idx="4038" formatCode="#,##0.000">
                  <c:v>#N/A</c:v>
                </c:pt>
                <c:pt idx="4039" formatCode="#,##0.000">
                  <c:v>#N/A</c:v>
                </c:pt>
                <c:pt idx="4040" formatCode="#,##0.000">
                  <c:v>#N/A</c:v>
                </c:pt>
                <c:pt idx="4041" formatCode="#,##0.000">
                  <c:v>#N/A</c:v>
                </c:pt>
                <c:pt idx="4042" formatCode="#,##0.000">
                  <c:v>#N/A</c:v>
                </c:pt>
                <c:pt idx="4043" formatCode="#,##0.000">
                  <c:v>#N/A</c:v>
                </c:pt>
                <c:pt idx="4044" formatCode="#,##0.000">
                  <c:v>#N/A</c:v>
                </c:pt>
                <c:pt idx="4045" formatCode="#,##0.000">
                  <c:v>#N/A</c:v>
                </c:pt>
                <c:pt idx="4046" formatCode="#,##0.000">
                  <c:v>#N/A</c:v>
                </c:pt>
                <c:pt idx="4047" formatCode="#,##0.000">
                  <c:v>#N/A</c:v>
                </c:pt>
                <c:pt idx="4048" formatCode="#,##0.000">
                  <c:v>#N/A</c:v>
                </c:pt>
                <c:pt idx="4049" formatCode="#,##0.000">
                  <c:v>#N/A</c:v>
                </c:pt>
                <c:pt idx="4050" formatCode="#,##0.000">
                  <c:v>#N/A</c:v>
                </c:pt>
                <c:pt idx="4051" formatCode="#,##0.000">
                  <c:v>#N/A</c:v>
                </c:pt>
                <c:pt idx="4052" formatCode="#,##0.000">
                  <c:v>#N/A</c:v>
                </c:pt>
                <c:pt idx="4053" formatCode="#,##0.000">
                  <c:v>#N/A</c:v>
                </c:pt>
                <c:pt idx="4054" formatCode="#,##0.000">
                  <c:v>#N/A</c:v>
                </c:pt>
                <c:pt idx="4055" formatCode="#,##0.000">
                  <c:v>#N/A</c:v>
                </c:pt>
                <c:pt idx="4056" formatCode="#,##0.000">
                  <c:v>#N/A</c:v>
                </c:pt>
                <c:pt idx="4057" formatCode="#,##0.000">
                  <c:v>#N/A</c:v>
                </c:pt>
                <c:pt idx="4058" formatCode="#,##0.000">
                  <c:v>#N/A</c:v>
                </c:pt>
                <c:pt idx="4059" formatCode="#,##0.000">
                  <c:v>#N/A</c:v>
                </c:pt>
                <c:pt idx="4060" formatCode="#,##0.000">
                  <c:v>#N/A</c:v>
                </c:pt>
                <c:pt idx="4061" formatCode="#,##0.000">
                  <c:v>#N/A</c:v>
                </c:pt>
                <c:pt idx="4062" formatCode="#,##0.000">
                  <c:v>#N/A</c:v>
                </c:pt>
                <c:pt idx="4063" formatCode="#,##0.000">
                  <c:v>#N/A</c:v>
                </c:pt>
                <c:pt idx="4064" formatCode="#,##0.000">
                  <c:v>#N/A</c:v>
                </c:pt>
                <c:pt idx="4065" formatCode="#,##0.000">
                  <c:v>#N/A</c:v>
                </c:pt>
                <c:pt idx="4066" formatCode="#,##0.000">
                  <c:v>#N/A</c:v>
                </c:pt>
                <c:pt idx="4067" formatCode="#,##0.000">
                  <c:v>#N/A</c:v>
                </c:pt>
                <c:pt idx="4068" formatCode="#,##0.000">
                  <c:v>#N/A</c:v>
                </c:pt>
                <c:pt idx="4069" formatCode="#,##0.000">
                  <c:v>#N/A</c:v>
                </c:pt>
                <c:pt idx="4070" formatCode="#,##0.000">
                  <c:v>#N/A</c:v>
                </c:pt>
                <c:pt idx="4071" formatCode="#,##0.000">
                  <c:v>#N/A</c:v>
                </c:pt>
                <c:pt idx="4072" formatCode="#,##0.000">
                  <c:v>#N/A</c:v>
                </c:pt>
                <c:pt idx="4073" formatCode="#,##0.000">
                  <c:v>#N/A</c:v>
                </c:pt>
                <c:pt idx="4074" formatCode="#,##0.000">
                  <c:v>#N/A</c:v>
                </c:pt>
                <c:pt idx="4075" formatCode="#,##0.000">
                  <c:v>#N/A</c:v>
                </c:pt>
                <c:pt idx="4076" formatCode="#,##0.000">
                  <c:v>#N/A</c:v>
                </c:pt>
                <c:pt idx="4077" formatCode="#,##0.000">
                  <c:v>#N/A</c:v>
                </c:pt>
                <c:pt idx="4078" formatCode="#,##0.000">
                  <c:v>#N/A</c:v>
                </c:pt>
                <c:pt idx="4079" formatCode="#,##0.000">
                  <c:v>#N/A</c:v>
                </c:pt>
                <c:pt idx="4080" formatCode="#,##0.000">
                  <c:v>#N/A</c:v>
                </c:pt>
                <c:pt idx="4081" formatCode="#,##0.000">
                  <c:v>#N/A</c:v>
                </c:pt>
                <c:pt idx="4082" formatCode="#,##0.000">
                  <c:v>#N/A</c:v>
                </c:pt>
                <c:pt idx="4083" formatCode="#,##0.000">
                  <c:v>#N/A</c:v>
                </c:pt>
                <c:pt idx="4084" formatCode="#,##0.000">
                  <c:v>#N/A</c:v>
                </c:pt>
                <c:pt idx="4085" formatCode="#,##0.000">
                  <c:v>#N/A</c:v>
                </c:pt>
                <c:pt idx="4086" formatCode="#,##0.000">
                  <c:v>#N/A</c:v>
                </c:pt>
                <c:pt idx="4087" formatCode="#,##0.000">
                  <c:v>#N/A</c:v>
                </c:pt>
                <c:pt idx="4088" formatCode="#,##0.000">
                  <c:v>#N/A</c:v>
                </c:pt>
                <c:pt idx="4089" formatCode="#,##0.000">
                  <c:v>#N/A</c:v>
                </c:pt>
                <c:pt idx="4090" formatCode="#,##0.000">
                  <c:v>#N/A</c:v>
                </c:pt>
                <c:pt idx="4091" formatCode="#,##0.000">
                  <c:v>#N/A</c:v>
                </c:pt>
                <c:pt idx="4092" formatCode="#,##0.000">
                  <c:v>#N/A</c:v>
                </c:pt>
                <c:pt idx="4093" formatCode="#,##0.000">
                  <c:v>#N/A</c:v>
                </c:pt>
                <c:pt idx="4094" formatCode="#,##0.000">
                  <c:v>#N/A</c:v>
                </c:pt>
                <c:pt idx="4095" formatCode="#,##0.000">
                  <c:v>#N/A</c:v>
                </c:pt>
                <c:pt idx="4096" formatCode="#,##0.000">
                  <c:v>#N/A</c:v>
                </c:pt>
                <c:pt idx="4097" formatCode="#,##0.000">
                  <c:v>#N/A</c:v>
                </c:pt>
                <c:pt idx="4098" formatCode="#,##0.000">
                  <c:v>#N/A</c:v>
                </c:pt>
                <c:pt idx="4099" formatCode="#,##0.000">
                  <c:v>#N/A</c:v>
                </c:pt>
                <c:pt idx="4100" formatCode="#,##0.000">
                  <c:v>#N/A</c:v>
                </c:pt>
                <c:pt idx="4101" formatCode="#,##0.000">
                  <c:v>#N/A</c:v>
                </c:pt>
                <c:pt idx="4102" formatCode="#,##0.000">
                  <c:v>#N/A</c:v>
                </c:pt>
                <c:pt idx="4103" formatCode="#,##0.000">
                  <c:v>#N/A</c:v>
                </c:pt>
                <c:pt idx="4104" formatCode="#,##0.000">
                  <c:v>#N/A</c:v>
                </c:pt>
                <c:pt idx="4105" formatCode="#,##0.000">
                  <c:v>#N/A</c:v>
                </c:pt>
                <c:pt idx="4106" formatCode="#,##0.000">
                  <c:v>#N/A</c:v>
                </c:pt>
                <c:pt idx="4107" formatCode="#,##0.000">
                  <c:v>#N/A</c:v>
                </c:pt>
                <c:pt idx="4108" formatCode="#,##0.000">
                  <c:v>#N/A</c:v>
                </c:pt>
                <c:pt idx="4109" formatCode="#,##0.000">
                  <c:v>#N/A</c:v>
                </c:pt>
                <c:pt idx="4110" formatCode="#,##0.000">
                  <c:v>#N/A</c:v>
                </c:pt>
                <c:pt idx="4111" formatCode="#,##0.000">
                  <c:v>#N/A</c:v>
                </c:pt>
                <c:pt idx="4112" formatCode="#,##0.000">
                  <c:v>#N/A</c:v>
                </c:pt>
                <c:pt idx="4113" formatCode="#,##0.000">
                  <c:v>#N/A</c:v>
                </c:pt>
                <c:pt idx="4114" formatCode="#,##0.000">
                  <c:v>#N/A</c:v>
                </c:pt>
                <c:pt idx="4115" formatCode="#,##0.000">
                  <c:v>#N/A</c:v>
                </c:pt>
                <c:pt idx="4116" formatCode="#,##0.000">
                  <c:v>#N/A</c:v>
                </c:pt>
                <c:pt idx="4117" formatCode="#,##0.000">
                  <c:v>#N/A</c:v>
                </c:pt>
                <c:pt idx="4118" formatCode="#,##0.000">
                  <c:v>#N/A</c:v>
                </c:pt>
                <c:pt idx="4119" formatCode="#,##0.000">
                  <c:v>#N/A</c:v>
                </c:pt>
                <c:pt idx="4120" formatCode="#,##0.000">
                  <c:v>#N/A</c:v>
                </c:pt>
                <c:pt idx="4121" formatCode="#,##0.000">
                  <c:v>#N/A</c:v>
                </c:pt>
                <c:pt idx="4122" formatCode="#,##0.000">
                  <c:v>#N/A</c:v>
                </c:pt>
                <c:pt idx="4123" formatCode="#,##0.000">
                  <c:v>#N/A</c:v>
                </c:pt>
                <c:pt idx="4124" formatCode="#,##0.000">
                  <c:v>#N/A</c:v>
                </c:pt>
                <c:pt idx="4125" formatCode="#,##0.000">
                  <c:v>#N/A</c:v>
                </c:pt>
                <c:pt idx="4126" formatCode="#,##0.000">
                  <c:v>#N/A</c:v>
                </c:pt>
                <c:pt idx="4127" formatCode="#,##0.000">
                  <c:v>#N/A</c:v>
                </c:pt>
                <c:pt idx="4128" formatCode="#,##0.000">
                  <c:v>#N/A</c:v>
                </c:pt>
                <c:pt idx="4129" formatCode="#,##0.000">
                  <c:v>#N/A</c:v>
                </c:pt>
                <c:pt idx="4130" formatCode="#,##0.000">
                  <c:v>#N/A</c:v>
                </c:pt>
                <c:pt idx="4131" formatCode="#,##0.000">
                  <c:v>#N/A</c:v>
                </c:pt>
                <c:pt idx="4132" formatCode="#,##0.000">
                  <c:v>#N/A</c:v>
                </c:pt>
                <c:pt idx="4133" formatCode="#,##0.000">
                  <c:v>#N/A</c:v>
                </c:pt>
                <c:pt idx="4134" formatCode="#,##0.000">
                  <c:v>#N/A</c:v>
                </c:pt>
                <c:pt idx="4135" formatCode="#,##0.000">
                  <c:v>#N/A</c:v>
                </c:pt>
                <c:pt idx="4136" formatCode="#,##0.000">
                  <c:v>#N/A</c:v>
                </c:pt>
                <c:pt idx="4137" formatCode="#,##0.000">
                  <c:v>#N/A</c:v>
                </c:pt>
                <c:pt idx="4138" formatCode="#,##0.000">
                  <c:v>#N/A</c:v>
                </c:pt>
                <c:pt idx="4139" formatCode="#,##0.000">
                  <c:v>#N/A</c:v>
                </c:pt>
                <c:pt idx="4140" formatCode="#,##0.000">
                  <c:v>#N/A</c:v>
                </c:pt>
                <c:pt idx="4141" formatCode="#,##0.000">
                  <c:v>#N/A</c:v>
                </c:pt>
                <c:pt idx="4142" formatCode="#,##0.000">
                  <c:v>#N/A</c:v>
                </c:pt>
                <c:pt idx="4143" formatCode="#,##0.000">
                  <c:v>#N/A</c:v>
                </c:pt>
                <c:pt idx="4144" formatCode="#,##0.000">
                  <c:v>#N/A</c:v>
                </c:pt>
                <c:pt idx="4145" formatCode="#,##0.000">
                  <c:v>#N/A</c:v>
                </c:pt>
                <c:pt idx="4146" formatCode="#,##0.000">
                  <c:v>#N/A</c:v>
                </c:pt>
                <c:pt idx="4147" formatCode="#,##0.000">
                  <c:v>#N/A</c:v>
                </c:pt>
                <c:pt idx="4148" formatCode="#,##0.000">
                  <c:v>#N/A</c:v>
                </c:pt>
                <c:pt idx="4149" formatCode="#,##0.000">
                  <c:v>#N/A</c:v>
                </c:pt>
                <c:pt idx="4150" formatCode="#,##0.000">
                  <c:v>#N/A</c:v>
                </c:pt>
                <c:pt idx="4151" formatCode="#,##0.000">
                  <c:v>#N/A</c:v>
                </c:pt>
                <c:pt idx="4152" formatCode="#,##0.000">
                  <c:v>#N/A</c:v>
                </c:pt>
                <c:pt idx="4153" formatCode="#,##0.000">
                  <c:v>#N/A</c:v>
                </c:pt>
                <c:pt idx="4154" formatCode="#,##0.000">
                  <c:v>#N/A</c:v>
                </c:pt>
                <c:pt idx="4155" formatCode="#,##0.000">
                  <c:v>#N/A</c:v>
                </c:pt>
                <c:pt idx="4156" formatCode="#,##0.000">
                  <c:v>#N/A</c:v>
                </c:pt>
                <c:pt idx="4157" formatCode="#,##0.000">
                  <c:v>#N/A</c:v>
                </c:pt>
                <c:pt idx="4158" formatCode="#,##0.000">
                  <c:v>#N/A</c:v>
                </c:pt>
                <c:pt idx="4159" formatCode="#,##0.000">
                  <c:v>#N/A</c:v>
                </c:pt>
                <c:pt idx="4160" formatCode="#,##0.000">
                  <c:v>#N/A</c:v>
                </c:pt>
                <c:pt idx="4161" formatCode="#,##0.000">
                  <c:v>#N/A</c:v>
                </c:pt>
                <c:pt idx="4162" formatCode="#,##0.000">
                  <c:v>#N/A</c:v>
                </c:pt>
                <c:pt idx="4163" formatCode="#,##0.000">
                  <c:v>#N/A</c:v>
                </c:pt>
                <c:pt idx="4164" formatCode="#,##0.000">
                  <c:v>#N/A</c:v>
                </c:pt>
                <c:pt idx="4165" formatCode="#,##0.000">
                  <c:v>#N/A</c:v>
                </c:pt>
                <c:pt idx="4166" formatCode="#,##0.000">
                  <c:v>#N/A</c:v>
                </c:pt>
                <c:pt idx="4167" formatCode="#,##0.000">
                  <c:v>#N/A</c:v>
                </c:pt>
                <c:pt idx="4168" formatCode="#,##0.000">
                  <c:v>#N/A</c:v>
                </c:pt>
                <c:pt idx="4169" formatCode="#,##0.000">
                  <c:v>#N/A</c:v>
                </c:pt>
                <c:pt idx="4170" formatCode="#,##0.000">
                  <c:v>#N/A</c:v>
                </c:pt>
                <c:pt idx="4171" formatCode="#,##0.000">
                  <c:v>#N/A</c:v>
                </c:pt>
                <c:pt idx="4172" formatCode="#,##0.000">
                  <c:v>#N/A</c:v>
                </c:pt>
                <c:pt idx="4173" formatCode="#,##0.000">
                  <c:v>#N/A</c:v>
                </c:pt>
                <c:pt idx="4174" formatCode="#,##0.000">
                  <c:v>#N/A</c:v>
                </c:pt>
                <c:pt idx="4175" formatCode="#,##0.000">
                  <c:v>#N/A</c:v>
                </c:pt>
                <c:pt idx="4176" formatCode="#,##0.000">
                  <c:v>#N/A</c:v>
                </c:pt>
                <c:pt idx="4177" formatCode="#,##0.000">
                  <c:v>#N/A</c:v>
                </c:pt>
                <c:pt idx="4178" formatCode="#,##0.000">
                  <c:v>#N/A</c:v>
                </c:pt>
                <c:pt idx="4179" formatCode="#,##0.000">
                  <c:v>#N/A</c:v>
                </c:pt>
                <c:pt idx="4180" formatCode="#,##0.000">
                  <c:v>#N/A</c:v>
                </c:pt>
                <c:pt idx="4181" formatCode="#,##0.000">
                  <c:v>#N/A</c:v>
                </c:pt>
                <c:pt idx="4182" formatCode="#,##0.000">
                  <c:v>#N/A</c:v>
                </c:pt>
                <c:pt idx="4183" formatCode="#,##0.000">
                  <c:v>#N/A</c:v>
                </c:pt>
                <c:pt idx="4184" formatCode="#,##0.000">
                  <c:v>#N/A</c:v>
                </c:pt>
                <c:pt idx="4185" formatCode="#,##0.000">
                  <c:v>#N/A</c:v>
                </c:pt>
                <c:pt idx="4186" formatCode="#,##0.000">
                  <c:v>#N/A</c:v>
                </c:pt>
                <c:pt idx="4187" formatCode="#,##0.000">
                  <c:v>#N/A</c:v>
                </c:pt>
                <c:pt idx="4188" formatCode="#,##0.000">
                  <c:v>#N/A</c:v>
                </c:pt>
                <c:pt idx="4189" formatCode="#,##0.000">
                  <c:v>#N/A</c:v>
                </c:pt>
                <c:pt idx="4190" formatCode="#,##0.000">
                  <c:v>#N/A</c:v>
                </c:pt>
                <c:pt idx="4191" formatCode="#,##0.000">
                  <c:v>#N/A</c:v>
                </c:pt>
                <c:pt idx="4192" formatCode="#,##0.000">
                  <c:v>#N/A</c:v>
                </c:pt>
                <c:pt idx="4193" formatCode="#,##0.000">
                  <c:v>#N/A</c:v>
                </c:pt>
                <c:pt idx="4194" formatCode="#,##0.000">
                  <c:v>#N/A</c:v>
                </c:pt>
                <c:pt idx="4195" formatCode="#,##0.000">
                  <c:v>#N/A</c:v>
                </c:pt>
                <c:pt idx="4196" formatCode="#,##0.000">
                  <c:v>#N/A</c:v>
                </c:pt>
                <c:pt idx="4197" formatCode="#,##0.000">
                  <c:v>#N/A</c:v>
                </c:pt>
                <c:pt idx="4198" formatCode="#,##0.000">
                  <c:v>#N/A</c:v>
                </c:pt>
                <c:pt idx="4199" formatCode="#,##0.000">
                  <c:v>#N/A</c:v>
                </c:pt>
                <c:pt idx="4200" formatCode="#,##0.000">
                  <c:v>#N/A</c:v>
                </c:pt>
                <c:pt idx="4201" formatCode="#,##0.000">
                  <c:v>#N/A</c:v>
                </c:pt>
                <c:pt idx="4202" formatCode="#,##0.000">
                  <c:v>#N/A</c:v>
                </c:pt>
                <c:pt idx="4203" formatCode="#,##0.000">
                  <c:v>#N/A</c:v>
                </c:pt>
                <c:pt idx="4204" formatCode="#,##0.000">
                  <c:v>#N/A</c:v>
                </c:pt>
                <c:pt idx="4205" formatCode="#,##0.000">
                  <c:v>#N/A</c:v>
                </c:pt>
                <c:pt idx="4206" formatCode="#,##0.000">
                  <c:v>#N/A</c:v>
                </c:pt>
                <c:pt idx="4207" formatCode="#,##0.000">
                  <c:v>#N/A</c:v>
                </c:pt>
                <c:pt idx="4208" formatCode="#,##0.000">
                  <c:v>#N/A</c:v>
                </c:pt>
                <c:pt idx="4209" formatCode="#,##0.000">
                  <c:v>#N/A</c:v>
                </c:pt>
                <c:pt idx="4210" formatCode="#,##0.000">
                  <c:v>#N/A</c:v>
                </c:pt>
                <c:pt idx="4211" formatCode="#,##0.000">
                  <c:v>#N/A</c:v>
                </c:pt>
                <c:pt idx="4212" formatCode="#,##0.000">
                  <c:v>#N/A</c:v>
                </c:pt>
                <c:pt idx="4213" formatCode="#,##0.000">
                  <c:v>#N/A</c:v>
                </c:pt>
                <c:pt idx="4214" formatCode="#,##0.000">
                  <c:v>#N/A</c:v>
                </c:pt>
                <c:pt idx="4215" formatCode="#,##0.000">
                  <c:v>#N/A</c:v>
                </c:pt>
                <c:pt idx="4216" formatCode="#,##0.000">
                  <c:v>#N/A</c:v>
                </c:pt>
                <c:pt idx="4217" formatCode="#,##0.000">
                  <c:v>#N/A</c:v>
                </c:pt>
                <c:pt idx="4218" formatCode="#,##0.000">
                  <c:v>#N/A</c:v>
                </c:pt>
                <c:pt idx="4219" formatCode="#,##0.000">
                  <c:v>#N/A</c:v>
                </c:pt>
                <c:pt idx="4220" formatCode="#,##0.000">
                  <c:v>#N/A</c:v>
                </c:pt>
                <c:pt idx="4221" formatCode="#,##0.000">
                  <c:v>#N/A</c:v>
                </c:pt>
                <c:pt idx="4222" formatCode="#,##0.000">
                  <c:v>#N/A</c:v>
                </c:pt>
                <c:pt idx="4223" formatCode="#,##0.000">
                  <c:v>#N/A</c:v>
                </c:pt>
                <c:pt idx="4224" formatCode="#,##0.000">
                  <c:v>#N/A</c:v>
                </c:pt>
                <c:pt idx="4225" formatCode="#,##0.000">
                  <c:v>#N/A</c:v>
                </c:pt>
                <c:pt idx="4226" formatCode="#,##0.000">
                  <c:v>#N/A</c:v>
                </c:pt>
                <c:pt idx="4227" formatCode="#,##0.000">
                  <c:v>#N/A</c:v>
                </c:pt>
                <c:pt idx="4228" formatCode="#,##0.000">
                  <c:v>#N/A</c:v>
                </c:pt>
                <c:pt idx="4229" formatCode="#,##0.000">
                  <c:v>#N/A</c:v>
                </c:pt>
                <c:pt idx="4230" formatCode="#,##0.000">
                  <c:v>#N/A</c:v>
                </c:pt>
                <c:pt idx="4231" formatCode="#,##0.000">
                  <c:v>#N/A</c:v>
                </c:pt>
                <c:pt idx="4232" formatCode="#,##0.000">
                  <c:v>#N/A</c:v>
                </c:pt>
                <c:pt idx="4233" formatCode="#,##0.000">
                  <c:v>#N/A</c:v>
                </c:pt>
                <c:pt idx="4234" formatCode="#,##0.000">
                  <c:v>#N/A</c:v>
                </c:pt>
                <c:pt idx="4235" formatCode="#,##0.000">
                  <c:v>#N/A</c:v>
                </c:pt>
                <c:pt idx="4236" formatCode="#,##0.000">
                  <c:v>#N/A</c:v>
                </c:pt>
                <c:pt idx="4237" formatCode="#,##0.000">
                  <c:v>#N/A</c:v>
                </c:pt>
                <c:pt idx="4238" formatCode="#,##0.000">
                  <c:v>#N/A</c:v>
                </c:pt>
                <c:pt idx="4239" formatCode="#,##0.000">
                  <c:v>#N/A</c:v>
                </c:pt>
                <c:pt idx="4240" formatCode="#,##0.000">
                  <c:v>#N/A</c:v>
                </c:pt>
                <c:pt idx="4241" formatCode="#,##0.000">
                  <c:v>#N/A</c:v>
                </c:pt>
                <c:pt idx="4242" formatCode="#,##0.000">
                  <c:v>#N/A</c:v>
                </c:pt>
                <c:pt idx="4243" formatCode="#,##0.000">
                  <c:v>#N/A</c:v>
                </c:pt>
                <c:pt idx="4244" formatCode="#,##0.000">
                  <c:v>#N/A</c:v>
                </c:pt>
                <c:pt idx="4245" formatCode="#,##0.000">
                  <c:v>#N/A</c:v>
                </c:pt>
                <c:pt idx="4246" formatCode="#,##0.000">
                  <c:v>#N/A</c:v>
                </c:pt>
                <c:pt idx="4247" formatCode="#,##0.000">
                  <c:v>#N/A</c:v>
                </c:pt>
                <c:pt idx="4248" formatCode="#,##0.000">
                  <c:v>#N/A</c:v>
                </c:pt>
                <c:pt idx="4249" formatCode="#,##0.000">
                  <c:v>#N/A</c:v>
                </c:pt>
                <c:pt idx="4250" formatCode="#,##0.000">
                  <c:v>#N/A</c:v>
                </c:pt>
                <c:pt idx="4251" formatCode="#,##0.000">
                  <c:v>#N/A</c:v>
                </c:pt>
                <c:pt idx="4252" formatCode="#,##0.000">
                  <c:v>#N/A</c:v>
                </c:pt>
                <c:pt idx="4253" formatCode="#,##0.000">
                  <c:v>#N/A</c:v>
                </c:pt>
                <c:pt idx="4254" formatCode="#,##0.000">
                  <c:v>#N/A</c:v>
                </c:pt>
                <c:pt idx="4255" formatCode="#,##0.000">
                  <c:v>#N/A</c:v>
                </c:pt>
                <c:pt idx="4256" formatCode="#,##0.000">
                  <c:v>#N/A</c:v>
                </c:pt>
                <c:pt idx="4257" formatCode="#,##0.000">
                  <c:v>#N/A</c:v>
                </c:pt>
                <c:pt idx="4258" formatCode="#,##0.000">
                  <c:v>#N/A</c:v>
                </c:pt>
                <c:pt idx="4259" formatCode="#,##0.000">
                  <c:v>#N/A</c:v>
                </c:pt>
                <c:pt idx="4260" formatCode="#,##0.000">
                  <c:v>#N/A</c:v>
                </c:pt>
                <c:pt idx="4261" formatCode="#,##0.000">
                  <c:v>#N/A</c:v>
                </c:pt>
                <c:pt idx="4262" formatCode="#,##0.000">
                  <c:v>#N/A</c:v>
                </c:pt>
                <c:pt idx="4263" formatCode="#,##0.000">
                  <c:v>#N/A</c:v>
                </c:pt>
                <c:pt idx="4264" formatCode="#,##0.000">
                  <c:v>#N/A</c:v>
                </c:pt>
                <c:pt idx="4265" formatCode="#,##0.000">
                  <c:v>#N/A</c:v>
                </c:pt>
                <c:pt idx="4266" formatCode="#,##0.000">
                  <c:v>#N/A</c:v>
                </c:pt>
                <c:pt idx="4267" formatCode="#,##0.000">
                  <c:v>#N/A</c:v>
                </c:pt>
                <c:pt idx="4268" formatCode="#,##0.000">
                  <c:v>#N/A</c:v>
                </c:pt>
                <c:pt idx="4269" formatCode="#,##0.000">
                  <c:v>#N/A</c:v>
                </c:pt>
                <c:pt idx="4270" formatCode="#,##0.000">
                  <c:v>#N/A</c:v>
                </c:pt>
                <c:pt idx="4271" formatCode="#,##0.000">
                  <c:v>#N/A</c:v>
                </c:pt>
                <c:pt idx="4272" formatCode="#,##0.000">
                  <c:v>#N/A</c:v>
                </c:pt>
                <c:pt idx="4273" formatCode="#,##0.000">
                  <c:v>#N/A</c:v>
                </c:pt>
                <c:pt idx="4274" formatCode="#,##0.000">
                  <c:v>#N/A</c:v>
                </c:pt>
                <c:pt idx="4275" formatCode="#,##0.000">
                  <c:v>#N/A</c:v>
                </c:pt>
                <c:pt idx="4276" formatCode="#,##0.000">
                  <c:v>#N/A</c:v>
                </c:pt>
                <c:pt idx="4277" formatCode="#,##0.000">
                  <c:v>#N/A</c:v>
                </c:pt>
                <c:pt idx="4278" formatCode="#,##0.000">
                  <c:v>#N/A</c:v>
                </c:pt>
                <c:pt idx="4279" formatCode="#,##0.000">
                  <c:v>#N/A</c:v>
                </c:pt>
                <c:pt idx="4280" formatCode="#,##0.000">
                  <c:v>#N/A</c:v>
                </c:pt>
                <c:pt idx="4281" formatCode="#,##0.000">
                  <c:v>#N/A</c:v>
                </c:pt>
                <c:pt idx="4282" formatCode="#,##0.000">
                  <c:v>#N/A</c:v>
                </c:pt>
                <c:pt idx="4283" formatCode="#,##0.000">
                  <c:v>#N/A</c:v>
                </c:pt>
                <c:pt idx="4284" formatCode="#,##0.000">
                  <c:v>#N/A</c:v>
                </c:pt>
                <c:pt idx="4285" formatCode="#,##0.000">
                  <c:v>#N/A</c:v>
                </c:pt>
                <c:pt idx="4286" formatCode="#,##0.000">
                  <c:v>#N/A</c:v>
                </c:pt>
                <c:pt idx="4287" formatCode="#,##0.000">
                  <c:v>#N/A</c:v>
                </c:pt>
                <c:pt idx="4288" formatCode="#,##0.000">
                  <c:v>#N/A</c:v>
                </c:pt>
                <c:pt idx="4289" formatCode="#,##0.000">
                  <c:v>#N/A</c:v>
                </c:pt>
                <c:pt idx="4290" formatCode="#,##0.000">
                  <c:v>#N/A</c:v>
                </c:pt>
                <c:pt idx="4291" formatCode="#,##0.000">
                  <c:v>#N/A</c:v>
                </c:pt>
                <c:pt idx="4292" formatCode="#,##0.000">
                  <c:v>#N/A</c:v>
                </c:pt>
                <c:pt idx="4293" formatCode="#,##0.000">
                  <c:v>#N/A</c:v>
                </c:pt>
                <c:pt idx="4294" formatCode="#,##0.000">
                  <c:v>#N/A</c:v>
                </c:pt>
                <c:pt idx="4295" formatCode="#,##0.000">
                  <c:v>#N/A</c:v>
                </c:pt>
                <c:pt idx="4296" formatCode="#,##0.000">
                  <c:v>#N/A</c:v>
                </c:pt>
                <c:pt idx="4297" formatCode="#,##0.000">
                  <c:v>#N/A</c:v>
                </c:pt>
                <c:pt idx="4298" formatCode="#,##0.000">
                  <c:v>#N/A</c:v>
                </c:pt>
                <c:pt idx="4299" formatCode="#,##0.000">
                  <c:v>#N/A</c:v>
                </c:pt>
                <c:pt idx="4300" formatCode="#,##0.000">
                  <c:v>#N/A</c:v>
                </c:pt>
                <c:pt idx="4301" formatCode="#,##0.000">
                  <c:v>#N/A</c:v>
                </c:pt>
                <c:pt idx="4302" formatCode="#,##0.000">
                  <c:v>#N/A</c:v>
                </c:pt>
                <c:pt idx="4303" formatCode="#,##0.000">
                  <c:v>#N/A</c:v>
                </c:pt>
                <c:pt idx="4304" formatCode="#,##0.000">
                  <c:v>#N/A</c:v>
                </c:pt>
                <c:pt idx="4305" formatCode="#,##0.000">
                  <c:v>#N/A</c:v>
                </c:pt>
                <c:pt idx="4306" formatCode="#,##0.000">
                  <c:v>#N/A</c:v>
                </c:pt>
                <c:pt idx="4307" formatCode="#,##0.000">
                  <c:v>#N/A</c:v>
                </c:pt>
                <c:pt idx="4308" formatCode="#,##0.000">
                  <c:v>#N/A</c:v>
                </c:pt>
                <c:pt idx="4309" formatCode="#,##0.000">
                  <c:v>#N/A</c:v>
                </c:pt>
                <c:pt idx="4310" formatCode="#,##0.000">
                  <c:v>#N/A</c:v>
                </c:pt>
                <c:pt idx="4311" formatCode="#,##0.000">
                  <c:v>#N/A</c:v>
                </c:pt>
                <c:pt idx="4312" formatCode="#,##0.000">
                  <c:v>#N/A</c:v>
                </c:pt>
                <c:pt idx="4313" formatCode="#,##0.000">
                  <c:v>#N/A</c:v>
                </c:pt>
                <c:pt idx="4314" formatCode="#,##0.000">
                  <c:v>#N/A</c:v>
                </c:pt>
                <c:pt idx="4315" formatCode="#,##0.000">
                  <c:v>#N/A</c:v>
                </c:pt>
                <c:pt idx="4316" formatCode="#,##0.000">
                  <c:v>#N/A</c:v>
                </c:pt>
                <c:pt idx="4317" formatCode="#,##0.000">
                  <c:v>#N/A</c:v>
                </c:pt>
                <c:pt idx="4318" formatCode="#,##0.000">
                  <c:v>#N/A</c:v>
                </c:pt>
                <c:pt idx="4319" formatCode="#,##0.000">
                  <c:v>#N/A</c:v>
                </c:pt>
                <c:pt idx="4320" formatCode="#,##0.000">
                  <c:v>#N/A</c:v>
                </c:pt>
                <c:pt idx="4321" formatCode="#,##0.000">
                  <c:v>#N/A</c:v>
                </c:pt>
                <c:pt idx="4322" formatCode="#,##0.000">
                  <c:v>#N/A</c:v>
                </c:pt>
                <c:pt idx="4323" formatCode="#,##0.000">
                  <c:v>#N/A</c:v>
                </c:pt>
                <c:pt idx="4324" formatCode="#,##0.000">
                  <c:v>#N/A</c:v>
                </c:pt>
                <c:pt idx="4325" formatCode="#,##0.000">
                  <c:v>#N/A</c:v>
                </c:pt>
                <c:pt idx="4326" formatCode="#,##0.000">
                  <c:v>#N/A</c:v>
                </c:pt>
                <c:pt idx="4327" formatCode="#,##0.000">
                  <c:v>#N/A</c:v>
                </c:pt>
                <c:pt idx="4328" formatCode="#,##0.000">
                  <c:v>#N/A</c:v>
                </c:pt>
                <c:pt idx="4329" formatCode="#,##0.000">
                  <c:v>#N/A</c:v>
                </c:pt>
                <c:pt idx="4330" formatCode="#,##0.000">
                  <c:v>#N/A</c:v>
                </c:pt>
                <c:pt idx="4331" formatCode="#,##0.000">
                  <c:v>#N/A</c:v>
                </c:pt>
                <c:pt idx="4332" formatCode="#,##0.000">
                  <c:v>#N/A</c:v>
                </c:pt>
                <c:pt idx="4333" formatCode="#,##0.000">
                  <c:v>#N/A</c:v>
                </c:pt>
                <c:pt idx="4334" formatCode="#,##0.000">
                  <c:v>#N/A</c:v>
                </c:pt>
                <c:pt idx="4335" formatCode="#,##0.000">
                  <c:v>#N/A</c:v>
                </c:pt>
                <c:pt idx="4336" formatCode="#,##0.000">
                  <c:v>#N/A</c:v>
                </c:pt>
                <c:pt idx="4337" formatCode="#,##0.000">
                  <c:v>#N/A</c:v>
                </c:pt>
                <c:pt idx="4338" formatCode="#,##0.000">
                  <c:v>#N/A</c:v>
                </c:pt>
                <c:pt idx="4339" formatCode="#,##0.000">
                  <c:v>#N/A</c:v>
                </c:pt>
                <c:pt idx="4340" formatCode="#,##0.000">
                  <c:v>#N/A</c:v>
                </c:pt>
                <c:pt idx="4341" formatCode="#,##0.000">
                  <c:v>#N/A</c:v>
                </c:pt>
                <c:pt idx="4342" formatCode="#,##0.000">
                  <c:v>#N/A</c:v>
                </c:pt>
                <c:pt idx="4343" formatCode="#,##0.000">
                  <c:v>#N/A</c:v>
                </c:pt>
                <c:pt idx="4344" formatCode="#,##0.000">
                  <c:v>#N/A</c:v>
                </c:pt>
                <c:pt idx="4345" formatCode="#,##0.000">
                  <c:v>#N/A</c:v>
                </c:pt>
                <c:pt idx="4346" formatCode="#,##0.000">
                  <c:v>#N/A</c:v>
                </c:pt>
                <c:pt idx="4347" formatCode="#,##0.000">
                  <c:v>#N/A</c:v>
                </c:pt>
                <c:pt idx="4348" formatCode="#,##0.000">
                  <c:v>#N/A</c:v>
                </c:pt>
                <c:pt idx="4349" formatCode="#,##0.000">
                  <c:v>#N/A</c:v>
                </c:pt>
                <c:pt idx="4350" formatCode="#,##0.000">
                  <c:v>#N/A</c:v>
                </c:pt>
                <c:pt idx="4351" formatCode="#,##0.000">
                  <c:v>#N/A</c:v>
                </c:pt>
                <c:pt idx="4352" formatCode="#,##0.000">
                  <c:v>#N/A</c:v>
                </c:pt>
                <c:pt idx="4353" formatCode="#,##0.000">
                  <c:v>#N/A</c:v>
                </c:pt>
                <c:pt idx="4354" formatCode="#,##0.000">
                  <c:v>#N/A</c:v>
                </c:pt>
                <c:pt idx="4355" formatCode="#,##0.000">
                  <c:v>#N/A</c:v>
                </c:pt>
                <c:pt idx="4356" formatCode="#,##0.000">
                  <c:v>#N/A</c:v>
                </c:pt>
                <c:pt idx="4357" formatCode="#,##0.000">
                  <c:v>#N/A</c:v>
                </c:pt>
                <c:pt idx="4358" formatCode="#,##0.000">
                  <c:v>#N/A</c:v>
                </c:pt>
                <c:pt idx="4359" formatCode="#,##0.000">
                  <c:v>#N/A</c:v>
                </c:pt>
                <c:pt idx="4360" formatCode="#,##0.000">
                  <c:v>#N/A</c:v>
                </c:pt>
                <c:pt idx="4361" formatCode="#,##0.000">
                  <c:v>#N/A</c:v>
                </c:pt>
                <c:pt idx="4362" formatCode="#,##0.000">
                  <c:v>#N/A</c:v>
                </c:pt>
                <c:pt idx="4363" formatCode="#,##0.000">
                  <c:v>#N/A</c:v>
                </c:pt>
                <c:pt idx="4364" formatCode="#,##0.000">
                  <c:v>#N/A</c:v>
                </c:pt>
                <c:pt idx="4365" formatCode="#,##0.000">
                  <c:v>#N/A</c:v>
                </c:pt>
                <c:pt idx="4366" formatCode="#,##0.000">
                  <c:v>#N/A</c:v>
                </c:pt>
                <c:pt idx="4367" formatCode="#,##0.000">
                  <c:v>#N/A</c:v>
                </c:pt>
                <c:pt idx="4368" formatCode="#,##0.000">
                  <c:v>#N/A</c:v>
                </c:pt>
                <c:pt idx="4369" formatCode="#,##0.000">
                  <c:v>#N/A</c:v>
                </c:pt>
                <c:pt idx="4370" formatCode="#,##0.000">
                  <c:v>#N/A</c:v>
                </c:pt>
                <c:pt idx="4371" formatCode="#,##0.000">
                  <c:v>#N/A</c:v>
                </c:pt>
                <c:pt idx="4372" formatCode="#,##0.000">
                  <c:v>#N/A</c:v>
                </c:pt>
                <c:pt idx="4373" formatCode="#,##0.000">
                  <c:v>#N/A</c:v>
                </c:pt>
                <c:pt idx="4374" formatCode="#,##0.000">
                  <c:v>#N/A</c:v>
                </c:pt>
                <c:pt idx="4375" formatCode="#,##0.000">
                  <c:v>#N/A</c:v>
                </c:pt>
                <c:pt idx="4376" formatCode="#,##0.000">
                  <c:v>#N/A</c:v>
                </c:pt>
                <c:pt idx="4377" formatCode="#,##0.000">
                  <c:v>#N/A</c:v>
                </c:pt>
                <c:pt idx="4378" formatCode="#,##0.000">
                  <c:v>#N/A</c:v>
                </c:pt>
                <c:pt idx="4379" formatCode="#,##0.000">
                  <c:v>#N/A</c:v>
                </c:pt>
                <c:pt idx="4380" formatCode="#,##0.000">
                  <c:v>#N/A</c:v>
                </c:pt>
                <c:pt idx="4381" formatCode="#,##0.000">
                  <c:v>#N/A</c:v>
                </c:pt>
                <c:pt idx="4382" formatCode="#,##0.000">
                  <c:v>#N/A</c:v>
                </c:pt>
                <c:pt idx="4383" formatCode="#,##0.000">
                  <c:v>#N/A</c:v>
                </c:pt>
                <c:pt idx="4384" formatCode="#,##0.000">
                  <c:v>#N/A</c:v>
                </c:pt>
                <c:pt idx="4385" formatCode="#,##0.000">
                  <c:v>#N/A</c:v>
                </c:pt>
                <c:pt idx="4386" formatCode="#,##0.000">
                  <c:v>#N/A</c:v>
                </c:pt>
                <c:pt idx="4387" formatCode="#,##0.000">
                  <c:v>#N/A</c:v>
                </c:pt>
                <c:pt idx="4388" formatCode="#,##0.000">
                  <c:v>#N/A</c:v>
                </c:pt>
                <c:pt idx="4389" formatCode="#,##0.000">
                  <c:v>#N/A</c:v>
                </c:pt>
                <c:pt idx="4390" formatCode="#,##0.000">
                  <c:v>#N/A</c:v>
                </c:pt>
                <c:pt idx="4391" formatCode="#,##0.000">
                  <c:v>#N/A</c:v>
                </c:pt>
                <c:pt idx="4392" formatCode="#,##0.000">
                  <c:v>#N/A</c:v>
                </c:pt>
                <c:pt idx="4393" formatCode="#,##0.000">
                  <c:v>#N/A</c:v>
                </c:pt>
                <c:pt idx="4394" formatCode="#,##0.000">
                  <c:v>#N/A</c:v>
                </c:pt>
                <c:pt idx="4395" formatCode="#,##0.000">
                  <c:v>#N/A</c:v>
                </c:pt>
                <c:pt idx="4396" formatCode="#,##0.000">
                  <c:v>#N/A</c:v>
                </c:pt>
                <c:pt idx="4397" formatCode="#,##0.000">
                  <c:v>#N/A</c:v>
                </c:pt>
                <c:pt idx="4398" formatCode="#,##0.000">
                  <c:v>#N/A</c:v>
                </c:pt>
                <c:pt idx="4399" formatCode="#,##0.000">
                  <c:v>#N/A</c:v>
                </c:pt>
                <c:pt idx="4400" formatCode="#,##0.000">
                  <c:v>#N/A</c:v>
                </c:pt>
                <c:pt idx="4401" formatCode="#,##0.000">
                  <c:v>#N/A</c:v>
                </c:pt>
                <c:pt idx="4402" formatCode="#,##0.000">
                  <c:v>#N/A</c:v>
                </c:pt>
                <c:pt idx="4403" formatCode="#,##0.000">
                  <c:v>#N/A</c:v>
                </c:pt>
                <c:pt idx="4404" formatCode="#,##0.000">
                  <c:v>#N/A</c:v>
                </c:pt>
                <c:pt idx="4405" formatCode="#,##0.000">
                  <c:v>#N/A</c:v>
                </c:pt>
                <c:pt idx="4406" formatCode="#,##0.000">
                  <c:v>#N/A</c:v>
                </c:pt>
                <c:pt idx="4407" formatCode="#,##0.000">
                  <c:v>#N/A</c:v>
                </c:pt>
                <c:pt idx="4408" formatCode="#,##0.000">
                  <c:v>#N/A</c:v>
                </c:pt>
                <c:pt idx="4409" formatCode="#,##0.000">
                  <c:v>#N/A</c:v>
                </c:pt>
                <c:pt idx="4410" formatCode="#,##0.000">
                  <c:v>#N/A</c:v>
                </c:pt>
                <c:pt idx="4411" formatCode="#,##0.000">
                  <c:v>#N/A</c:v>
                </c:pt>
                <c:pt idx="4412" formatCode="#,##0.000">
                  <c:v>#N/A</c:v>
                </c:pt>
                <c:pt idx="4413" formatCode="#,##0.000">
                  <c:v>#N/A</c:v>
                </c:pt>
                <c:pt idx="4414" formatCode="#,##0.000">
                  <c:v>#N/A</c:v>
                </c:pt>
                <c:pt idx="4415" formatCode="#,##0.000">
                  <c:v>#N/A</c:v>
                </c:pt>
                <c:pt idx="4416" formatCode="#,##0.000">
                  <c:v>#N/A</c:v>
                </c:pt>
                <c:pt idx="4417" formatCode="#,##0.000">
                  <c:v>#N/A</c:v>
                </c:pt>
                <c:pt idx="4418" formatCode="#,##0.000">
                  <c:v>#N/A</c:v>
                </c:pt>
                <c:pt idx="4419" formatCode="#,##0.000">
                  <c:v>#N/A</c:v>
                </c:pt>
                <c:pt idx="4420" formatCode="#,##0.000">
                  <c:v>#N/A</c:v>
                </c:pt>
                <c:pt idx="4421" formatCode="#,##0.000">
                  <c:v>#N/A</c:v>
                </c:pt>
                <c:pt idx="4422" formatCode="#,##0.000">
                  <c:v>#N/A</c:v>
                </c:pt>
                <c:pt idx="4423" formatCode="#,##0.000">
                  <c:v>#N/A</c:v>
                </c:pt>
                <c:pt idx="4424" formatCode="#,##0.000">
                  <c:v>#N/A</c:v>
                </c:pt>
                <c:pt idx="4425" formatCode="#,##0.000">
                  <c:v>#N/A</c:v>
                </c:pt>
                <c:pt idx="4426" formatCode="#,##0.000">
                  <c:v>#N/A</c:v>
                </c:pt>
                <c:pt idx="4427" formatCode="#,##0.000">
                  <c:v>#N/A</c:v>
                </c:pt>
                <c:pt idx="4428" formatCode="#,##0.000">
                  <c:v>#N/A</c:v>
                </c:pt>
                <c:pt idx="4429" formatCode="#,##0.000">
                  <c:v>#N/A</c:v>
                </c:pt>
                <c:pt idx="4430" formatCode="#,##0.000">
                  <c:v>#N/A</c:v>
                </c:pt>
                <c:pt idx="4431" formatCode="#,##0.000">
                  <c:v>#N/A</c:v>
                </c:pt>
                <c:pt idx="4432" formatCode="#,##0.000">
                  <c:v>#N/A</c:v>
                </c:pt>
                <c:pt idx="4433" formatCode="#,##0.000">
                  <c:v>#N/A</c:v>
                </c:pt>
                <c:pt idx="4434" formatCode="#,##0.000">
                  <c:v>#N/A</c:v>
                </c:pt>
                <c:pt idx="4435" formatCode="#,##0.000">
                  <c:v>#N/A</c:v>
                </c:pt>
                <c:pt idx="4436" formatCode="#,##0.000">
                  <c:v>#N/A</c:v>
                </c:pt>
                <c:pt idx="4437" formatCode="#,##0.000">
                  <c:v>#N/A</c:v>
                </c:pt>
                <c:pt idx="4438" formatCode="#,##0.000">
                  <c:v>#N/A</c:v>
                </c:pt>
                <c:pt idx="4439" formatCode="#,##0.000">
                  <c:v>#N/A</c:v>
                </c:pt>
                <c:pt idx="4440" formatCode="#,##0.000">
                  <c:v>#N/A</c:v>
                </c:pt>
                <c:pt idx="4441" formatCode="#,##0.000">
                  <c:v>#N/A</c:v>
                </c:pt>
                <c:pt idx="4442" formatCode="#,##0.000">
                  <c:v>#N/A</c:v>
                </c:pt>
                <c:pt idx="4443" formatCode="#,##0.000">
                  <c:v>#N/A</c:v>
                </c:pt>
                <c:pt idx="4444" formatCode="#,##0.000">
                  <c:v>#N/A</c:v>
                </c:pt>
                <c:pt idx="4445" formatCode="#,##0.000">
                  <c:v>#N/A</c:v>
                </c:pt>
                <c:pt idx="4446" formatCode="#,##0.000">
                  <c:v>#N/A</c:v>
                </c:pt>
                <c:pt idx="4447" formatCode="#,##0.000">
                  <c:v>#N/A</c:v>
                </c:pt>
                <c:pt idx="4448" formatCode="#,##0.000">
                  <c:v>#N/A</c:v>
                </c:pt>
                <c:pt idx="4449" formatCode="#,##0.000">
                  <c:v>#N/A</c:v>
                </c:pt>
                <c:pt idx="4450" formatCode="#,##0.000">
                  <c:v>#N/A</c:v>
                </c:pt>
                <c:pt idx="4451" formatCode="#,##0.000">
                  <c:v>#N/A</c:v>
                </c:pt>
                <c:pt idx="4452" formatCode="#,##0.000">
                  <c:v>#N/A</c:v>
                </c:pt>
                <c:pt idx="4453" formatCode="#,##0.000">
                  <c:v>#N/A</c:v>
                </c:pt>
                <c:pt idx="4454" formatCode="#,##0.000">
                  <c:v>#N/A</c:v>
                </c:pt>
                <c:pt idx="4455" formatCode="#,##0.000">
                  <c:v>#N/A</c:v>
                </c:pt>
                <c:pt idx="4456" formatCode="#,##0.000">
                  <c:v>#N/A</c:v>
                </c:pt>
                <c:pt idx="4457" formatCode="#,##0.000">
                  <c:v>#N/A</c:v>
                </c:pt>
                <c:pt idx="4458" formatCode="#,##0.000">
                  <c:v>#N/A</c:v>
                </c:pt>
                <c:pt idx="4459" formatCode="#,##0.000">
                  <c:v>#N/A</c:v>
                </c:pt>
                <c:pt idx="4460" formatCode="#,##0.000">
                  <c:v>#N/A</c:v>
                </c:pt>
                <c:pt idx="4461" formatCode="#,##0.000">
                  <c:v>#N/A</c:v>
                </c:pt>
                <c:pt idx="4462" formatCode="#,##0.000">
                  <c:v>#N/A</c:v>
                </c:pt>
                <c:pt idx="4463" formatCode="#,##0.000">
                  <c:v>#N/A</c:v>
                </c:pt>
                <c:pt idx="4464" formatCode="#,##0.000">
                  <c:v>#N/A</c:v>
                </c:pt>
                <c:pt idx="4465" formatCode="#,##0.000">
                  <c:v>#N/A</c:v>
                </c:pt>
                <c:pt idx="4466" formatCode="#,##0.000">
                  <c:v>#N/A</c:v>
                </c:pt>
                <c:pt idx="4467" formatCode="#,##0.000">
                  <c:v>#N/A</c:v>
                </c:pt>
                <c:pt idx="4468" formatCode="#,##0.000">
                  <c:v>#N/A</c:v>
                </c:pt>
                <c:pt idx="4469" formatCode="#,##0.000">
                  <c:v>#N/A</c:v>
                </c:pt>
                <c:pt idx="4470" formatCode="#,##0.000">
                  <c:v>#N/A</c:v>
                </c:pt>
                <c:pt idx="4471" formatCode="#,##0.000">
                  <c:v>#N/A</c:v>
                </c:pt>
                <c:pt idx="4472" formatCode="#,##0.000">
                  <c:v>#N/A</c:v>
                </c:pt>
                <c:pt idx="4473" formatCode="#,##0.000">
                  <c:v>#N/A</c:v>
                </c:pt>
                <c:pt idx="4474" formatCode="#,##0.000">
                  <c:v>#N/A</c:v>
                </c:pt>
                <c:pt idx="4475" formatCode="#,##0.000">
                  <c:v>#N/A</c:v>
                </c:pt>
                <c:pt idx="4476" formatCode="#,##0.000">
                  <c:v>#N/A</c:v>
                </c:pt>
                <c:pt idx="4477" formatCode="#,##0.000">
                  <c:v>#N/A</c:v>
                </c:pt>
                <c:pt idx="4478" formatCode="#,##0.000">
                  <c:v>#N/A</c:v>
                </c:pt>
                <c:pt idx="4479" formatCode="#,##0.000">
                  <c:v>#N/A</c:v>
                </c:pt>
                <c:pt idx="4480" formatCode="#,##0.000">
                  <c:v>#N/A</c:v>
                </c:pt>
                <c:pt idx="4481" formatCode="#,##0.000">
                  <c:v>#N/A</c:v>
                </c:pt>
                <c:pt idx="4482" formatCode="#,##0.000">
                  <c:v>#N/A</c:v>
                </c:pt>
                <c:pt idx="4483" formatCode="#,##0.000">
                  <c:v>#N/A</c:v>
                </c:pt>
                <c:pt idx="4484" formatCode="#,##0.000">
                  <c:v>#N/A</c:v>
                </c:pt>
                <c:pt idx="4485" formatCode="#,##0.000">
                  <c:v>#N/A</c:v>
                </c:pt>
                <c:pt idx="4486" formatCode="#,##0.000">
                  <c:v>#N/A</c:v>
                </c:pt>
                <c:pt idx="4487" formatCode="#,##0.000">
                  <c:v>#N/A</c:v>
                </c:pt>
                <c:pt idx="4488" formatCode="#,##0.000">
                  <c:v>#N/A</c:v>
                </c:pt>
                <c:pt idx="4489" formatCode="#,##0.000">
                  <c:v>#N/A</c:v>
                </c:pt>
                <c:pt idx="4490" formatCode="#,##0.000">
                  <c:v>#N/A</c:v>
                </c:pt>
                <c:pt idx="4491" formatCode="#,##0.000">
                  <c:v>#N/A</c:v>
                </c:pt>
                <c:pt idx="4492" formatCode="#,##0.000">
                  <c:v>#N/A</c:v>
                </c:pt>
                <c:pt idx="4493" formatCode="#,##0.000">
                  <c:v>#N/A</c:v>
                </c:pt>
                <c:pt idx="4494" formatCode="#,##0.000">
                  <c:v>#N/A</c:v>
                </c:pt>
                <c:pt idx="4495" formatCode="#,##0.000">
                  <c:v>#N/A</c:v>
                </c:pt>
                <c:pt idx="4496" formatCode="#,##0.000">
                  <c:v>#N/A</c:v>
                </c:pt>
                <c:pt idx="4497" formatCode="#,##0.000">
                  <c:v>#N/A</c:v>
                </c:pt>
                <c:pt idx="4498" formatCode="#,##0.000">
                  <c:v>#N/A</c:v>
                </c:pt>
                <c:pt idx="4499" formatCode="#,##0.000">
                  <c:v>#N/A</c:v>
                </c:pt>
                <c:pt idx="4500" formatCode="#,##0.000">
                  <c:v>#N/A</c:v>
                </c:pt>
                <c:pt idx="4501" formatCode="#,##0.000">
                  <c:v>#N/A</c:v>
                </c:pt>
                <c:pt idx="4502" formatCode="#,##0.000">
                  <c:v>#N/A</c:v>
                </c:pt>
                <c:pt idx="4503" formatCode="#,##0.000">
                  <c:v>#N/A</c:v>
                </c:pt>
                <c:pt idx="4504" formatCode="#,##0.000">
                  <c:v>#N/A</c:v>
                </c:pt>
                <c:pt idx="4505" formatCode="#,##0.000">
                  <c:v>#N/A</c:v>
                </c:pt>
                <c:pt idx="4506" formatCode="#,##0.000">
                  <c:v>#N/A</c:v>
                </c:pt>
                <c:pt idx="4507" formatCode="#,##0.000">
                  <c:v>#N/A</c:v>
                </c:pt>
                <c:pt idx="4508" formatCode="#,##0.000">
                  <c:v>#N/A</c:v>
                </c:pt>
                <c:pt idx="4509" formatCode="#,##0.000">
                  <c:v>#N/A</c:v>
                </c:pt>
                <c:pt idx="4510" formatCode="#,##0.000">
                  <c:v>#N/A</c:v>
                </c:pt>
                <c:pt idx="4511" formatCode="#,##0.000">
                  <c:v>#N/A</c:v>
                </c:pt>
                <c:pt idx="4512" formatCode="#,##0.000">
                  <c:v>#N/A</c:v>
                </c:pt>
                <c:pt idx="4513" formatCode="#,##0.000">
                  <c:v>#N/A</c:v>
                </c:pt>
                <c:pt idx="4514" formatCode="#,##0.000">
                  <c:v>#N/A</c:v>
                </c:pt>
                <c:pt idx="4515" formatCode="#,##0.000">
                  <c:v>#N/A</c:v>
                </c:pt>
                <c:pt idx="4516" formatCode="#,##0.000">
                  <c:v>#N/A</c:v>
                </c:pt>
                <c:pt idx="4517" formatCode="#,##0.000">
                  <c:v>#N/A</c:v>
                </c:pt>
                <c:pt idx="4518" formatCode="#,##0.000">
                  <c:v>#N/A</c:v>
                </c:pt>
                <c:pt idx="4519" formatCode="#,##0.000">
                  <c:v>#N/A</c:v>
                </c:pt>
                <c:pt idx="4520" formatCode="#,##0.000">
                  <c:v>#N/A</c:v>
                </c:pt>
                <c:pt idx="4521" formatCode="#,##0.000">
                  <c:v>#N/A</c:v>
                </c:pt>
                <c:pt idx="4522" formatCode="#,##0.000">
                  <c:v>#N/A</c:v>
                </c:pt>
                <c:pt idx="4523" formatCode="#,##0.000">
                  <c:v>#N/A</c:v>
                </c:pt>
                <c:pt idx="4524" formatCode="#,##0.000">
                  <c:v>#N/A</c:v>
                </c:pt>
                <c:pt idx="4525" formatCode="#,##0.000">
                  <c:v>#N/A</c:v>
                </c:pt>
                <c:pt idx="4526" formatCode="#,##0.000">
                  <c:v>#N/A</c:v>
                </c:pt>
                <c:pt idx="4527" formatCode="#,##0.000">
                  <c:v>#N/A</c:v>
                </c:pt>
                <c:pt idx="4528" formatCode="#,##0.000">
                  <c:v>#N/A</c:v>
                </c:pt>
                <c:pt idx="4529" formatCode="#,##0.000">
                  <c:v>#N/A</c:v>
                </c:pt>
                <c:pt idx="4530" formatCode="#,##0.000">
                  <c:v>#N/A</c:v>
                </c:pt>
                <c:pt idx="4531" formatCode="#,##0.000">
                  <c:v>#N/A</c:v>
                </c:pt>
                <c:pt idx="4532" formatCode="#,##0.000">
                  <c:v>#N/A</c:v>
                </c:pt>
                <c:pt idx="4533" formatCode="#,##0.000">
                  <c:v>#N/A</c:v>
                </c:pt>
                <c:pt idx="4534" formatCode="#,##0.000">
                  <c:v>#N/A</c:v>
                </c:pt>
                <c:pt idx="4535" formatCode="#,##0.000">
                  <c:v>#N/A</c:v>
                </c:pt>
                <c:pt idx="4536" formatCode="#,##0.000">
                  <c:v>#N/A</c:v>
                </c:pt>
                <c:pt idx="4537" formatCode="#,##0.000">
                  <c:v>#N/A</c:v>
                </c:pt>
                <c:pt idx="4538" formatCode="#,##0.000">
                  <c:v>#N/A</c:v>
                </c:pt>
                <c:pt idx="4539" formatCode="#,##0.000">
                  <c:v>#N/A</c:v>
                </c:pt>
                <c:pt idx="4540" formatCode="#,##0.000">
                  <c:v>#N/A</c:v>
                </c:pt>
                <c:pt idx="4541" formatCode="#,##0.000">
                  <c:v>#N/A</c:v>
                </c:pt>
                <c:pt idx="4542" formatCode="#,##0.000">
                  <c:v>#N/A</c:v>
                </c:pt>
                <c:pt idx="4543" formatCode="#,##0.000">
                  <c:v>#N/A</c:v>
                </c:pt>
                <c:pt idx="4544" formatCode="#,##0.000">
                  <c:v>#N/A</c:v>
                </c:pt>
                <c:pt idx="4545" formatCode="#,##0.000">
                  <c:v>#N/A</c:v>
                </c:pt>
                <c:pt idx="4546" formatCode="#,##0.000">
                  <c:v>#N/A</c:v>
                </c:pt>
                <c:pt idx="4547" formatCode="#,##0.000">
                  <c:v>#N/A</c:v>
                </c:pt>
                <c:pt idx="4548" formatCode="#,##0.000">
                  <c:v>#N/A</c:v>
                </c:pt>
                <c:pt idx="4549" formatCode="#,##0.000">
                  <c:v>#N/A</c:v>
                </c:pt>
                <c:pt idx="4550" formatCode="#,##0.000">
                  <c:v>#N/A</c:v>
                </c:pt>
                <c:pt idx="4551" formatCode="#,##0.000">
                  <c:v>#N/A</c:v>
                </c:pt>
                <c:pt idx="4552" formatCode="#,##0.000">
                  <c:v>#N/A</c:v>
                </c:pt>
                <c:pt idx="4553" formatCode="#,##0.000">
                  <c:v>#N/A</c:v>
                </c:pt>
                <c:pt idx="4554" formatCode="#,##0.000">
                  <c:v>#N/A</c:v>
                </c:pt>
                <c:pt idx="4555" formatCode="#,##0.000">
                  <c:v>#N/A</c:v>
                </c:pt>
                <c:pt idx="4556" formatCode="#,##0.000">
                  <c:v>#N/A</c:v>
                </c:pt>
                <c:pt idx="4557" formatCode="#,##0.000">
                  <c:v>#N/A</c:v>
                </c:pt>
                <c:pt idx="4558" formatCode="#,##0.000">
                  <c:v>#N/A</c:v>
                </c:pt>
                <c:pt idx="4559" formatCode="#,##0.000">
                  <c:v>#N/A</c:v>
                </c:pt>
                <c:pt idx="4560" formatCode="#,##0.000">
                  <c:v>#N/A</c:v>
                </c:pt>
                <c:pt idx="4561" formatCode="#,##0.000">
                  <c:v>#N/A</c:v>
                </c:pt>
                <c:pt idx="4562" formatCode="#,##0.000">
                  <c:v>#N/A</c:v>
                </c:pt>
                <c:pt idx="4563" formatCode="#,##0.000">
                  <c:v>#N/A</c:v>
                </c:pt>
                <c:pt idx="4564" formatCode="#,##0.000">
                  <c:v>#N/A</c:v>
                </c:pt>
                <c:pt idx="4565" formatCode="#,##0.000">
                  <c:v>#N/A</c:v>
                </c:pt>
                <c:pt idx="4566" formatCode="#,##0.000">
                  <c:v>#N/A</c:v>
                </c:pt>
                <c:pt idx="4567" formatCode="#,##0.000">
                  <c:v>#N/A</c:v>
                </c:pt>
                <c:pt idx="4568" formatCode="#,##0.000">
                  <c:v>#N/A</c:v>
                </c:pt>
                <c:pt idx="4569" formatCode="#,##0.000">
                  <c:v>#N/A</c:v>
                </c:pt>
                <c:pt idx="4570" formatCode="#,##0.000">
                  <c:v>#N/A</c:v>
                </c:pt>
                <c:pt idx="4571" formatCode="#,##0.000">
                  <c:v>#N/A</c:v>
                </c:pt>
                <c:pt idx="4572" formatCode="#,##0.000">
                  <c:v>#N/A</c:v>
                </c:pt>
                <c:pt idx="4573" formatCode="#,##0.000">
                  <c:v>#N/A</c:v>
                </c:pt>
                <c:pt idx="4574" formatCode="#,##0.000">
                  <c:v>#N/A</c:v>
                </c:pt>
                <c:pt idx="4575" formatCode="#,##0.000">
                  <c:v>#N/A</c:v>
                </c:pt>
                <c:pt idx="4576" formatCode="#,##0.000">
                  <c:v>#N/A</c:v>
                </c:pt>
                <c:pt idx="4577" formatCode="#,##0.000">
                  <c:v>#N/A</c:v>
                </c:pt>
                <c:pt idx="4578" formatCode="#,##0.000">
                  <c:v>#N/A</c:v>
                </c:pt>
                <c:pt idx="4579" formatCode="#,##0.000">
                  <c:v>#N/A</c:v>
                </c:pt>
                <c:pt idx="4580" formatCode="#,##0.000">
                  <c:v>#N/A</c:v>
                </c:pt>
                <c:pt idx="4581" formatCode="#,##0.000">
                  <c:v>#N/A</c:v>
                </c:pt>
                <c:pt idx="4582" formatCode="#,##0.000">
                  <c:v>#N/A</c:v>
                </c:pt>
                <c:pt idx="4583" formatCode="#,##0.000">
                  <c:v>#N/A</c:v>
                </c:pt>
                <c:pt idx="4584" formatCode="#,##0.000">
                  <c:v>#N/A</c:v>
                </c:pt>
                <c:pt idx="4585" formatCode="#,##0.000">
                  <c:v>#N/A</c:v>
                </c:pt>
                <c:pt idx="4586" formatCode="#,##0.000">
                  <c:v>#N/A</c:v>
                </c:pt>
                <c:pt idx="4587" formatCode="#,##0.000">
                  <c:v>#N/A</c:v>
                </c:pt>
                <c:pt idx="4588" formatCode="#,##0.000">
                  <c:v>#N/A</c:v>
                </c:pt>
                <c:pt idx="4589" formatCode="#,##0.000">
                  <c:v>#N/A</c:v>
                </c:pt>
                <c:pt idx="4590" formatCode="#,##0.000">
                  <c:v>#N/A</c:v>
                </c:pt>
                <c:pt idx="4591" formatCode="#,##0.000">
                  <c:v>#N/A</c:v>
                </c:pt>
                <c:pt idx="4592" formatCode="#,##0.000">
                  <c:v>#N/A</c:v>
                </c:pt>
                <c:pt idx="4593" formatCode="#,##0.000">
                  <c:v>#N/A</c:v>
                </c:pt>
                <c:pt idx="4594" formatCode="#,##0.000">
                  <c:v>#N/A</c:v>
                </c:pt>
                <c:pt idx="4595" formatCode="#,##0.000">
                  <c:v>#N/A</c:v>
                </c:pt>
                <c:pt idx="4596" formatCode="#,##0.000">
                  <c:v>#N/A</c:v>
                </c:pt>
                <c:pt idx="4597" formatCode="#,##0.000">
                  <c:v>#N/A</c:v>
                </c:pt>
                <c:pt idx="4598" formatCode="#,##0.000">
                  <c:v>#N/A</c:v>
                </c:pt>
                <c:pt idx="4599" formatCode="#,##0.000">
                  <c:v>#N/A</c:v>
                </c:pt>
                <c:pt idx="4600" formatCode="#,##0.000">
                  <c:v>#N/A</c:v>
                </c:pt>
                <c:pt idx="4601" formatCode="#,##0.000">
                  <c:v>#N/A</c:v>
                </c:pt>
                <c:pt idx="4602" formatCode="#,##0.000">
                  <c:v>#N/A</c:v>
                </c:pt>
                <c:pt idx="4603" formatCode="#,##0.000">
                  <c:v>#N/A</c:v>
                </c:pt>
                <c:pt idx="4604" formatCode="#,##0.000">
                  <c:v>#N/A</c:v>
                </c:pt>
                <c:pt idx="4605" formatCode="#,##0.000">
                  <c:v>#N/A</c:v>
                </c:pt>
                <c:pt idx="4606" formatCode="#,##0.000">
                  <c:v>#N/A</c:v>
                </c:pt>
                <c:pt idx="4607" formatCode="#,##0.000">
                  <c:v>#N/A</c:v>
                </c:pt>
                <c:pt idx="4608" formatCode="#,##0.000">
                  <c:v>#N/A</c:v>
                </c:pt>
                <c:pt idx="4609" formatCode="#,##0.000">
                  <c:v>#N/A</c:v>
                </c:pt>
                <c:pt idx="4610" formatCode="#,##0.000">
                  <c:v>#N/A</c:v>
                </c:pt>
                <c:pt idx="4611" formatCode="#,##0.000">
                  <c:v>#N/A</c:v>
                </c:pt>
                <c:pt idx="4612" formatCode="#,##0.000">
                  <c:v>#N/A</c:v>
                </c:pt>
                <c:pt idx="4613" formatCode="#,##0.000">
                  <c:v>#N/A</c:v>
                </c:pt>
                <c:pt idx="4614" formatCode="#,##0.000">
                  <c:v>#N/A</c:v>
                </c:pt>
                <c:pt idx="4615" formatCode="#,##0.000">
                  <c:v>#N/A</c:v>
                </c:pt>
                <c:pt idx="4616" formatCode="#,##0.000">
                  <c:v>#N/A</c:v>
                </c:pt>
                <c:pt idx="4617" formatCode="#,##0.000">
                  <c:v>#N/A</c:v>
                </c:pt>
                <c:pt idx="4618" formatCode="#,##0.000">
                  <c:v>#N/A</c:v>
                </c:pt>
                <c:pt idx="4619" formatCode="#,##0.000">
                  <c:v>#N/A</c:v>
                </c:pt>
                <c:pt idx="4620" formatCode="#,##0.000">
                  <c:v>#N/A</c:v>
                </c:pt>
                <c:pt idx="4621" formatCode="#,##0.000">
                  <c:v>#N/A</c:v>
                </c:pt>
                <c:pt idx="4622">
                  <c:v>#N/A</c:v>
                </c:pt>
                <c:pt idx="4623">
                  <c:v>#N/A</c:v>
                </c:pt>
                <c:pt idx="4624">
                  <c:v>#N/A</c:v>
                </c:pt>
                <c:pt idx="4625">
                  <c:v>#N/A</c:v>
                </c:pt>
                <c:pt idx="4626">
                  <c:v>#N/A</c:v>
                </c:pt>
                <c:pt idx="4627">
                  <c:v>#N/A</c:v>
                </c:pt>
                <c:pt idx="4628">
                  <c:v>#N/A</c:v>
                </c:pt>
                <c:pt idx="4629">
                  <c:v>#N/A</c:v>
                </c:pt>
                <c:pt idx="4630">
                  <c:v>#N/A</c:v>
                </c:pt>
                <c:pt idx="4631">
                  <c:v>#N/A</c:v>
                </c:pt>
                <c:pt idx="4632">
                  <c:v>#N/A</c:v>
                </c:pt>
                <c:pt idx="4633">
                  <c:v>#N/A</c:v>
                </c:pt>
                <c:pt idx="4634">
                  <c:v>#N/A</c:v>
                </c:pt>
                <c:pt idx="4635">
                  <c:v>#N/A</c:v>
                </c:pt>
                <c:pt idx="4636">
                  <c:v>#N/A</c:v>
                </c:pt>
                <c:pt idx="4637">
                  <c:v>#N/A</c:v>
                </c:pt>
                <c:pt idx="4638">
                  <c:v>#N/A</c:v>
                </c:pt>
                <c:pt idx="4639">
                  <c:v>#N/A</c:v>
                </c:pt>
                <c:pt idx="4640">
                  <c:v>#N/A</c:v>
                </c:pt>
                <c:pt idx="4641">
                  <c:v>#N/A</c:v>
                </c:pt>
                <c:pt idx="4642">
                  <c:v>#N/A</c:v>
                </c:pt>
                <c:pt idx="4643">
                  <c:v>#N/A</c:v>
                </c:pt>
                <c:pt idx="4644">
                  <c:v>#N/A</c:v>
                </c:pt>
                <c:pt idx="4645">
                  <c:v>#N/A</c:v>
                </c:pt>
                <c:pt idx="4646">
                  <c:v>#N/A</c:v>
                </c:pt>
                <c:pt idx="4647">
                  <c:v>#N/A</c:v>
                </c:pt>
                <c:pt idx="4648">
                  <c:v>#N/A</c:v>
                </c:pt>
                <c:pt idx="4649">
                  <c:v>#N/A</c:v>
                </c:pt>
                <c:pt idx="4650">
                  <c:v>#N/A</c:v>
                </c:pt>
                <c:pt idx="4651">
                  <c:v>#N/A</c:v>
                </c:pt>
                <c:pt idx="4652">
                  <c:v>#N/A</c:v>
                </c:pt>
                <c:pt idx="4653">
                  <c:v>#N/A</c:v>
                </c:pt>
                <c:pt idx="4654">
                  <c:v>#N/A</c:v>
                </c:pt>
                <c:pt idx="4655">
                  <c:v>#N/A</c:v>
                </c:pt>
                <c:pt idx="4656">
                  <c:v>#N/A</c:v>
                </c:pt>
                <c:pt idx="4657">
                  <c:v>#N/A</c:v>
                </c:pt>
                <c:pt idx="4658">
                  <c:v>#N/A</c:v>
                </c:pt>
                <c:pt idx="4659">
                  <c:v>#N/A</c:v>
                </c:pt>
                <c:pt idx="4660">
                  <c:v>#N/A</c:v>
                </c:pt>
                <c:pt idx="4661">
                  <c:v>#N/A</c:v>
                </c:pt>
                <c:pt idx="4662">
                  <c:v>#N/A</c:v>
                </c:pt>
                <c:pt idx="4663">
                  <c:v>#N/A</c:v>
                </c:pt>
                <c:pt idx="4664">
                  <c:v>#N/A</c:v>
                </c:pt>
                <c:pt idx="4665">
                  <c:v>#N/A</c:v>
                </c:pt>
                <c:pt idx="4666">
                  <c:v>#N/A</c:v>
                </c:pt>
                <c:pt idx="4667">
                  <c:v>#N/A</c:v>
                </c:pt>
                <c:pt idx="4668">
                  <c:v>#N/A</c:v>
                </c:pt>
                <c:pt idx="4669">
                  <c:v>#N/A</c:v>
                </c:pt>
                <c:pt idx="4670">
                  <c:v>#N/A</c:v>
                </c:pt>
                <c:pt idx="4671">
                  <c:v>#N/A</c:v>
                </c:pt>
                <c:pt idx="4672">
                  <c:v>#N/A</c:v>
                </c:pt>
                <c:pt idx="4673">
                  <c:v>#N/A</c:v>
                </c:pt>
                <c:pt idx="4674">
                  <c:v>#N/A</c:v>
                </c:pt>
                <c:pt idx="4675">
                  <c:v>#N/A</c:v>
                </c:pt>
                <c:pt idx="4676">
                  <c:v>#N/A</c:v>
                </c:pt>
                <c:pt idx="4677">
                  <c:v>#N/A</c:v>
                </c:pt>
                <c:pt idx="4678">
                  <c:v>#N/A</c:v>
                </c:pt>
                <c:pt idx="4679">
                  <c:v>#N/A</c:v>
                </c:pt>
                <c:pt idx="4680">
                  <c:v>#N/A</c:v>
                </c:pt>
                <c:pt idx="4681">
                  <c:v>#N/A</c:v>
                </c:pt>
                <c:pt idx="4682">
                  <c:v>#N/A</c:v>
                </c:pt>
                <c:pt idx="4683">
                  <c:v>#N/A</c:v>
                </c:pt>
                <c:pt idx="4684">
                  <c:v>#N/A</c:v>
                </c:pt>
                <c:pt idx="4685">
                  <c:v>#N/A</c:v>
                </c:pt>
                <c:pt idx="4686">
                  <c:v>#N/A</c:v>
                </c:pt>
                <c:pt idx="4687">
                  <c:v>#N/A</c:v>
                </c:pt>
                <c:pt idx="4688">
                  <c:v>#N/A</c:v>
                </c:pt>
                <c:pt idx="4689">
                  <c:v>#N/A</c:v>
                </c:pt>
                <c:pt idx="4690">
                  <c:v>#N/A</c:v>
                </c:pt>
                <c:pt idx="4691">
                  <c:v>#N/A</c:v>
                </c:pt>
                <c:pt idx="4692">
                  <c:v>#N/A</c:v>
                </c:pt>
                <c:pt idx="4693">
                  <c:v>#N/A</c:v>
                </c:pt>
                <c:pt idx="4694">
                  <c:v>#N/A</c:v>
                </c:pt>
                <c:pt idx="4695">
                  <c:v>#N/A</c:v>
                </c:pt>
                <c:pt idx="4696">
                  <c:v>#N/A</c:v>
                </c:pt>
                <c:pt idx="4697">
                  <c:v>#N/A</c:v>
                </c:pt>
                <c:pt idx="4698">
                  <c:v>#N/A</c:v>
                </c:pt>
                <c:pt idx="4699">
                  <c:v>#N/A</c:v>
                </c:pt>
                <c:pt idx="4700">
                  <c:v>#N/A</c:v>
                </c:pt>
                <c:pt idx="4701">
                  <c:v>#N/A</c:v>
                </c:pt>
                <c:pt idx="4702">
                  <c:v>#N/A</c:v>
                </c:pt>
                <c:pt idx="4703">
                  <c:v>#N/A</c:v>
                </c:pt>
                <c:pt idx="4704">
                  <c:v>#N/A</c:v>
                </c:pt>
                <c:pt idx="4705">
                  <c:v>#N/A</c:v>
                </c:pt>
                <c:pt idx="4706">
                  <c:v>#N/A</c:v>
                </c:pt>
                <c:pt idx="4707">
                  <c:v>#N/A</c:v>
                </c:pt>
                <c:pt idx="4708">
                  <c:v>#N/A</c:v>
                </c:pt>
                <c:pt idx="4709">
                  <c:v>#N/A</c:v>
                </c:pt>
                <c:pt idx="4710">
                  <c:v>#N/A</c:v>
                </c:pt>
                <c:pt idx="4711">
                  <c:v>#N/A</c:v>
                </c:pt>
                <c:pt idx="4712">
                  <c:v>#N/A</c:v>
                </c:pt>
                <c:pt idx="4713">
                  <c:v>#N/A</c:v>
                </c:pt>
                <c:pt idx="4714">
                  <c:v>#N/A</c:v>
                </c:pt>
                <c:pt idx="4715">
                  <c:v>#N/A</c:v>
                </c:pt>
                <c:pt idx="4716">
                  <c:v>#N/A</c:v>
                </c:pt>
                <c:pt idx="4717">
                  <c:v>#N/A</c:v>
                </c:pt>
                <c:pt idx="4718">
                  <c:v>#N/A</c:v>
                </c:pt>
                <c:pt idx="4719">
                  <c:v>#N/A</c:v>
                </c:pt>
                <c:pt idx="4720">
                  <c:v>#N/A</c:v>
                </c:pt>
                <c:pt idx="4721">
                  <c:v>#N/A</c:v>
                </c:pt>
                <c:pt idx="4722">
                  <c:v>#N/A</c:v>
                </c:pt>
                <c:pt idx="4723">
                  <c:v>#N/A</c:v>
                </c:pt>
                <c:pt idx="4724">
                  <c:v>#N/A</c:v>
                </c:pt>
                <c:pt idx="4725">
                  <c:v>#N/A</c:v>
                </c:pt>
                <c:pt idx="4726">
                  <c:v>#N/A</c:v>
                </c:pt>
                <c:pt idx="4727">
                  <c:v>#N/A</c:v>
                </c:pt>
                <c:pt idx="4728">
                  <c:v>#N/A</c:v>
                </c:pt>
                <c:pt idx="4729">
                  <c:v>#N/A</c:v>
                </c:pt>
                <c:pt idx="4730">
                  <c:v>#N/A</c:v>
                </c:pt>
                <c:pt idx="4731">
                  <c:v>#N/A</c:v>
                </c:pt>
                <c:pt idx="4732">
                  <c:v>#N/A</c:v>
                </c:pt>
                <c:pt idx="4733">
                  <c:v>#N/A</c:v>
                </c:pt>
                <c:pt idx="4734">
                  <c:v>#N/A</c:v>
                </c:pt>
                <c:pt idx="4735">
                  <c:v>#N/A</c:v>
                </c:pt>
                <c:pt idx="4736">
                  <c:v>#N/A</c:v>
                </c:pt>
                <c:pt idx="4737">
                  <c:v>#N/A</c:v>
                </c:pt>
                <c:pt idx="4738">
                  <c:v>#N/A</c:v>
                </c:pt>
                <c:pt idx="4739">
                  <c:v>#N/A</c:v>
                </c:pt>
                <c:pt idx="4740">
                  <c:v>#N/A</c:v>
                </c:pt>
                <c:pt idx="4741">
                  <c:v>#N/A</c:v>
                </c:pt>
                <c:pt idx="4742">
                  <c:v>#N/A</c:v>
                </c:pt>
                <c:pt idx="4743">
                  <c:v>#N/A</c:v>
                </c:pt>
                <c:pt idx="4744">
                  <c:v>#N/A</c:v>
                </c:pt>
                <c:pt idx="4745">
                  <c:v>#N/A</c:v>
                </c:pt>
                <c:pt idx="4746">
                  <c:v>#N/A</c:v>
                </c:pt>
                <c:pt idx="4747">
                  <c:v>#N/A</c:v>
                </c:pt>
                <c:pt idx="4748">
                  <c:v>#N/A</c:v>
                </c:pt>
                <c:pt idx="4749">
                  <c:v>#N/A</c:v>
                </c:pt>
                <c:pt idx="4750">
                  <c:v>#N/A</c:v>
                </c:pt>
                <c:pt idx="4751">
                  <c:v>#N/A</c:v>
                </c:pt>
                <c:pt idx="4752">
                  <c:v>#N/A</c:v>
                </c:pt>
                <c:pt idx="4753">
                  <c:v>#N/A</c:v>
                </c:pt>
                <c:pt idx="4754">
                  <c:v>#N/A</c:v>
                </c:pt>
                <c:pt idx="4755">
                  <c:v>#N/A</c:v>
                </c:pt>
                <c:pt idx="4756">
                  <c:v>#N/A</c:v>
                </c:pt>
                <c:pt idx="4757">
                  <c:v>#N/A</c:v>
                </c:pt>
                <c:pt idx="4758">
                  <c:v>#N/A</c:v>
                </c:pt>
                <c:pt idx="4759">
                  <c:v>#N/A</c:v>
                </c:pt>
                <c:pt idx="4760">
                  <c:v>#N/A</c:v>
                </c:pt>
                <c:pt idx="4761">
                  <c:v>#N/A</c:v>
                </c:pt>
                <c:pt idx="4762">
                  <c:v>#N/A</c:v>
                </c:pt>
                <c:pt idx="4763">
                  <c:v>#N/A</c:v>
                </c:pt>
                <c:pt idx="4764">
                  <c:v>#N/A</c:v>
                </c:pt>
                <c:pt idx="4765">
                  <c:v>#N/A</c:v>
                </c:pt>
                <c:pt idx="4766">
                  <c:v>#N/A</c:v>
                </c:pt>
                <c:pt idx="4767">
                  <c:v>#N/A</c:v>
                </c:pt>
                <c:pt idx="4768">
                  <c:v>#N/A</c:v>
                </c:pt>
                <c:pt idx="4769">
                  <c:v>#N/A</c:v>
                </c:pt>
                <c:pt idx="4770">
                  <c:v>#N/A</c:v>
                </c:pt>
                <c:pt idx="4771">
                  <c:v>#N/A</c:v>
                </c:pt>
                <c:pt idx="4772">
                  <c:v>#N/A</c:v>
                </c:pt>
                <c:pt idx="4773">
                  <c:v>#N/A</c:v>
                </c:pt>
                <c:pt idx="4774">
                  <c:v>#N/A</c:v>
                </c:pt>
                <c:pt idx="4775">
                  <c:v>#N/A</c:v>
                </c:pt>
                <c:pt idx="4776">
                  <c:v>#N/A</c:v>
                </c:pt>
                <c:pt idx="4777">
                  <c:v>#N/A</c:v>
                </c:pt>
                <c:pt idx="4778">
                  <c:v>#N/A</c:v>
                </c:pt>
                <c:pt idx="4779">
                  <c:v>#N/A</c:v>
                </c:pt>
                <c:pt idx="4780">
                  <c:v>#N/A</c:v>
                </c:pt>
                <c:pt idx="4781">
                  <c:v>#N/A</c:v>
                </c:pt>
                <c:pt idx="4782">
                  <c:v>#N/A</c:v>
                </c:pt>
                <c:pt idx="4783">
                  <c:v>#N/A</c:v>
                </c:pt>
                <c:pt idx="4784">
                  <c:v>#N/A</c:v>
                </c:pt>
                <c:pt idx="4785">
                  <c:v>#N/A</c:v>
                </c:pt>
                <c:pt idx="4786">
                  <c:v>#N/A</c:v>
                </c:pt>
                <c:pt idx="4787">
                  <c:v>#N/A</c:v>
                </c:pt>
                <c:pt idx="4788">
                  <c:v>#N/A</c:v>
                </c:pt>
                <c:pt idx="4789">
                  <c:v>#N/A</c:v>
                </c:pt>
                <c:pt idx="4790">
                  <c:v>#N/A</c:v>
                </c:pt>
                <c:pt idx="4791">
                  <c:v>#N/A</c:v>
                </c:pt>
                <c:pt idx="4792">
                  <c:v>#N/A</c:v>
                </c:pt>
                <c:pt idx="4793">
                  <c:v>#N/A</c:v>
                </c:pt>
                <c:pt idx="4794">
                  <c:v>#N/A</c:v>
                </c:pt>
                <c:pt idx="4795">
                  <c:v>#N/A</c:v>
                </c:pt>
                <c:pt idx="4796">
                  <c:v>#N/A</c:v>
                </c:pt>
                <c:pt idx="4797">
                  <c:v>#N/A</c:v>
                </c:pt>
                <c:pt idx="4798">
                  <c:v>#N/A</c:v>
                </c:pt>
                <c:pt idx="4799">
                  <c:v>#N/A</c:v>
                </c:pt>
                <c:pt idx="4800">
                  <c:v>#N/A</c:v>
                </c:pt>
                <c:pt idx="4801">
                  <c:v>#N/A</c:v>
                </c:pt>
                <c:pt idx="4802">
                  <c:v>#N/A</c:v>
                </c:pt>
                <c:pt idx="4803">
                  <c:v>#N/A</c:v>
                </c:pt>
                <c:pt idx="4804">
                  <c:v>#N/A</c:v>
                </c:pt>
                <c:pt idx="4805">
                  <c:v>#N/A</c:v>
                </c:pt>
                <c:pt idx="4806">
                  <c:v>#N/A</c:v>
                </c:pt>
                <c:pt idx="4807">
                  <c:v>#N/A</c:v>
                </c:pt>
                <c:pt idx="4808">
                  <c:v>#N/A</c:v>
                </c:pt>
                <c:pt idx="4809">
                  <c:v>#N/A</c:v>
                </c:pt>
                <c:pt idx="4810">
                  <c:v>#N/A</c:v>
                </c:pt>
                <c:pt idx="4811">
                  <c:v>#N/A</c:v>
                </c:pt>
                <c:pt idx="4812">
                  <c:v>#N/A</c:v>
                </c:pt>
                <c:pt idx="4813">
                  <c:v>#N/A</c:v>
                </c:pt>
                <c:pt idx="4814">
                  <c:v>#N/A</c:v>
                </c:pt>
                <c:pt idx="4815">
                  <c:v>#N/A</c:v>
                </c:pt>
                <c:pt idx="4816">
                  <c:v>#N/A</c:v>
                </c:pt>
                <c:pt idx="4817">
                  <c:v>#N/A</c:v>
                </c:pt>
                <c:pt idx="4818">
                  <c:v>#N/A</c:v>
                </c:pt>
                <c:pt idx="4819">
                  <c:v>#N/A</c:v>
                </c:pt>
                <c:pt idx="4820">
                  <c:v>#N/A</c:v>
                </c:pt>
                <c:pt idx="4821">
                  <c:v>#N/A</c:v>
                </c:pt>
                <c:pt idx="4822">
                  <c:v>#N/A</c:v>
                </c:pt>
                <c:pt idx="4823">
                  <c:v>#N/A</c:v>
                </c:pt>
                <c:pt idx="4824">
                  <c:v>#N/A</c:v>
                </c:pt>
                <c:pt idx="4825">
                  <c:v>#N/A</c:v>
                </c:pt>
                <c:pt idx="4826">
                  <c:v>#N/A</c:v>
                </c:pt>
                <c:pt idx="4827">
                  <c:v>#N/A</c:v>
                </c:pt>
                <c:pt idx="4828">
                  <c:v>#N/A</c:v>
                </c:pt>
                <c:pt idx="4829">
                  <c:v>#N/A</c:v>
                </c:pt>
                <c:pt idx="4830">
                  <c:v>#N/A</c:v>
                </c:pt>
                <c:pt idx="4831">
                  <c:v>#N/A</c:v>
                </c:pt>
                <c:pt idx="4832">
                  <c:v>#N/A</c:v>
                </c:pt>
                <c:pt idx="4833">
                  <c:v>#N/A</c:v>
                </c:pt>
                <c:pt idx="4834">
                  <c:v>#N/A</c:v>
                </c:pt>
                <c:pt idx="4835">
                  <c:v>#N/A</c:v>
                </c:pt>
                <c:pt idx="4836">
                  <c:v>#N/A</c:v>
                </c:pt>
                <c:pt idx="4837">
                  <c:v>#N/A</c:v>
                </c:pt>
                <c:pt idx="4838">
                  <c:v>#N/A</c:v>
                </c:pt>
                <c:pt idx="4839">
                  <c:v>#N/A</c:v>
                </c:pt>
                <c:pt idx="4840">
                  <c:v>#N/A</c:v>
                </c:pt>
                <c:pt idx="4841">
                  <c:v>#N/A</c:v>
                </c:pt>
                <c:pt idx="4842">
                  <c:v>#N/A</c:v>
                </c:pt>
                <c:pt idx="4843">
                  <c:v>#N/A</c:v>
                </c:pt>
                <c:pt idx="4844">
                  <c:v>#N/A</c:v>
                </c:pt>
                <c:pt idx="4845">
                  <c:v>#N/A</c:v>
                </c:pt>
                <c:pt idx="4846">
                  <c:v>#N/A</c:v>
                </c:pt>
                <c:pt idx="4847">
                  <c:v>#N/A</c:v>
                </c:pt>
                <c:pt idx="4848">
                  <c:v>#N/A</c:v>
                </c:pt>
                <c:pt idx="4849">
                  <c:v>#N/A</c:v>
                </c:pt>
                <c:pt idx="4850">
                  <c:v>#N/A</c:v>
                </c:pt>
                <c:pt idx="4851">
                  <c:v>#N/A</c:v>
                </c:pt>
                <c:pt idx="4852">
                  <c:v>#N/A</c:v>
                </c:pt>
                <c:pt idx="4853">
                  <c:v>#N/A</c:v>
                </c:pt>
                <c:pt idx="4854">
                  <c:v>#N/A</c:v>
                </c:pt>
                <c:pt idx="4855">
                  <c:v>#N/A</c:v>
                </c:pt>
                <c:pt idx="4856">
                  <c:v>#N/A</c:v>
                </c:pt>
                <c:pt idx="4857">
                  <c:v>#N/A</c:v>
                </c:pt>
                <c:pt idx="4858">
                  <c:v>#N/A</c:v>
                </c:pt>
                <c:pt idx="4859">
                  <c:v>#N/A</c:v>
                </c:pt>
                <c:pt idx="4860">
                  <c:v>#N/A</c:v>
                </c:pt>
                <c:pt idx="4861">
                  <c:v>#N/A</c:v>
                </c:pt>
                <c:pt idx="4862">
                  <c:v>#N/A</c:v>
                </c:pt>
                <c:pt idx="4863">
                  <c:v>#N/A</c:v>
                </c:pt>
                <c:pt idx="4864">
                  <c:v>#N/A</c:v>
                </c:pt>
                <c:pt idx="4865">
                  <c:v>#N/A</c:v>
                </c:pt>
                <c:pt idx="4866">
                  <c:v>#N/A</c:v>
                </c:pt>
                <c:pt idx="4867">
                  <c:v>#N/A</c:v>
                </c:pt>
                <c:pt idx="4868">
                  <c:v>#N/A</c:v>
                </c:pt>
                <c:pt idx="4869">
                  <c:v>#N/A</c:v>
                </c:pt>
                <c:pt idx="4870">
                  <c:v>#N/A</c:v>
                </c:pt>
                <c:pt idx="4871">
                  <c:v>#N/A</c:v>
                </c:pt>
                <c:pt idx="4872">
                  <c:v>#N/A</c:v>
                </c:pt>
                <c:pt idx="4873">
                  <c:v>#N/A</c:v>
                </c:pt>
                <c:pt idx="4874">
                  <c:v>#N/A</c:v>
                </c:pt>
                <c:pt idx="4875">
                  <c:v>#N/A</c:v>
                </c:pt>
                <c:pt idx="4876">
                  <c:v>#N/A</c:v>
                </c:pt>
                <c:pt idx="4877">
                  <c:v>#N/A</c:v>
                </c:pt>
                <c:pt idx="4878">
                  <c:v>#N/A</c:v>
                </c:pt>
                <c:pt idx="4879">
                  <c:v>#N/A</c:v>
                </c:pt>
                <c:pt idx="4880">
                  <c:v>#N/A</c:v>
                </c:pt>
                <c:pt idx="4881">
                  <c:v>#N/A</c:v>
                </c:pt>
                <c:pt idx="4882">
                  <c:v>#N/A</c:v>
                </c:pt>
                <c:pt idx="4883">
                  <c:v>#N/A</c:v>
                </c:pt>
                <c:pt idx="4884">
                  <c:v>#N/A</c:v>
                </c:pt>
                <c:pt idx="4885">
                  <c:v>#N/A</c:v>
                </c:pt>
                <c:pt idx="4886">
                  <c:v>#N/A</c:v>
                </c:pt>
                <c:pt idx="4887">
                  <c:v>#N/A</c:v>
                </c:pt>
                <c:pt idx="4888">
                  <c:v>#N/A</c:v>
                </c:pt>
                <c:pt idx="4889">
                  <c:v>#N/A</c:v>
                </c:pt>
                <c:pt idx="4890">
                  <c:v>#N/A</c:v>
                </c:pt>
                <c:pt idx="4891">
                  <c:v>#N/A</c:v>
                </c:pt>
                <c:pt idx="4892">
                  <c:v>#N/A</c:v>
                </c:pt>
                <c:pt idx="4893">
                  <c:v>#N/A</c:v>
                </c:pt>
                <c:pt idx="4894">
                  <c:v>#N/A</c:v>
                </c:pt>
                <c:pt idx="4895">
                  <c:v>#N/A</c:v>
                </c:pt>
                <c:pt idx="4896">
                  <c:v>#N/A</c:v>
                </c:pt>
                <c:pt idx="4897">
                  <c:v>#N/A</c:v>
                </c:pt>
                <c:pt idx="4898">
                  <c:v>#N/A</c:v>
                </c:pt>
                <c:pt idx="4899">
                  <c:v>#N/A</c:v>
                </c:pt>
                <c:pt idx="4900">
                  <c:v>#N/A</c:v>
                </c:pt>
                <c:pt idx="4901">
                  <c:v>#N/A</c:v>
                </c:pt>
                <c:pt idx="4902">
                  <c:v>#N/A</c:v>
                </c:pt>
                <c:pt idx="4903">
                  <c:v>#N/A</c:v>
                </c:pt>
                <c:pt idx="4904">
                  <c:v>#N/A</c:v>
                </c:pt>
                <c:pt idx="4905">
                  <c:v>#N/A</c:v>
                </c:pt>
                <c:pt idx="4906">
                  <c:v>#N/A</c:v>
                </c:pt>
                <c:pt idx="4907">
                  <c:v>#N/A</c:v>
                </c:pt>
                <c:pt idx="4908">
                  <c:v>#N/A</c:v>
                </c:pt>
                <c:pt idx="4909">
                  <c:v>#N/A</c:v>
                </c:pt>
                <c:pt idx="4910">
                  <c:v>#N/A</c:v>
                </c:pt>
                <c:pt idx="4911">
                  <c:v>#N/A</c:v>
                </c:pt>
                <c:pt idx="4912">
                  <c:v>#N/A</c:v>
                </c:pt>
                <c:pt idx="4913">
                  <c:v>#N/A</c:v>
                </c:pt>
                <c:pt idx="4914">
                  <c:v>#N/A</c:v>
                </c:pt>
                <c:pt idx="4915">
                  <c:v>#N/A</c:v>
                </c:pt>
                <c:pt idx="4916">
                  <c:v>#N/A</c:v>
                </c:pt>
                <c:pt idx="4917">
                  <c:v>#N/A</c:v>
                </c:pt>
                <c:pt idx="4918">
                  <c:v>#N/A</c:v>
                </c:pt>
                <c:pt idx="4919">
                  <c:v>#N/A</c:v>
                </c:pt>
                <c:pt idx="4920">
                  <c:v>#N/A</c:v>
                </c:pt>
                <c:pt idx="4921">
                  <c:v>#N/A</c:v>
                </c:pt>
                <c:pt idx="4922">
                  <c:v>#N/A</c:v>
                </c:pt>
                <c:pt idx="4923">
                  <c:v>#N/A</c:v>
                </c:pt>
                <c:pt idx="4924">
                  <c:v>#N/A</c:v>
                </c:pt>
                <c:pt idx="4925">
                  <c:v>#N/A</c:v>
                </c:pt>
                <c:pt idx="4926">
                  <c:v>#N/A</c:v>
                </c:pt>
                <c:pt idx="4927">
                  <c:v>#N/A</c:v>
                </c:pt>
                <c:pt idx="4928">
                  <c:v>#N/A</c:v>
                </c:pt>
                <c:pt idx="4929">
                  <c:v>#N/A</c:v>
                </c:pt>
                <c:pt idx="4930">
                  <c:v>#N/A</c:v>
                </c:pt>
                <c:pt idx="4931">
                  <c:v>#N/A</c:v>
                </c:pt>
                <c:pt idx="4932">
                  <c:v>#N/A</c:v>
                </c:pt>
                <c:pt idx="4933">
                  <c:v>#N/A</c:v>
                </c:pt>
                <c:pt idx="4934">
                  <c:v>#N/A</c:v>
                </c:pt>
                <c:pt idx="4935">
                  <c:v>#N/A</c:v>
                </c:pt>
                <c:pt idx="4936">
                  <c:v>#N/A</c:v>
                </c:pt>
                <c:pt idx="4937">
                  <c:v>#N/A</c:v>
                </c:pt>
                <c:pt idx="4938">
                  <c:v>#N/A</c:v>
                </c:pt>
                <c:pt idx="4939">
                  <c:v>#N/A</c:v>
                </c:pt>
                <c:pt idx="4940">
                  <c:v>#N/A</c:v>
                </c:pt>
                <c:pt idx="4941">
                  <c:v>#N/A</c:v>
                </c:pt>
                <c:pt idx="4942">
                  <c:v>#N/A</c:v>
                </c:pt>
                <c:pt idx="4943">
                  <c:v>#N/A</c:v>
                </c:pt>
                <c:pt idx="4944">
                  <c:v>#N/A</c:v>
                </c:pt>
                <c:pt idx="4945">
                  <c:v>#N/A</c:v>
                </c:pt>
                <c:pt idx="4946">
                  <c:v>#N/A</c:v>
                </c:pt>
                <c:pt idx="4947">
                  <c:v>#N/A</c:v>
                </c:pt>
                <c:pt idx="4948">
                  <c:v>#N/A</c:v>
                </c:pt>
                <c:pt idx="4949">
                  <c:v>#N/A</c:v>
                </c:pt>
                <c:pt idx="4950">
                  <c:v>#N/A</c:v>
                </c:pt>
                <c:pt idx="4951">
                  <c:v>#N/A</c:v>
                </c:pt>
                <c:pt idx="4952">
                  <c:v>#N/A</c:v>
                </c:pt>
                <c:pt idx="4953">
                  <c:v>#N/A</c:v>
                </c:pt>
                <c:pt idx="4954">
                  <c:v>#N/A</c:v>
                </c:pt>
                <c:pt idx="4955">
                  <c:v>#N/A</c:v>
                </c:pt>
                <c:pt idx="4956">
                  <c:v>#N/A</c:v>
                </c:pt>
                <c:pt idx="4957">
                  <c:v>#N/A</c:v>
                </c:pt>
                <c:pt idx="4958">
                  <c:v>#N/A</c:v>
                </c:pt>
                <c:pt idx="4959">
                  <c:v>#N/A</c:v>
                </c:pt>
                <c:pt idx="4960">
                  <c:v>#N/A</c:v>
                </c:pt>
                <c:pt idx="4961">
                  <c:v>#N/A</c:v>
                </c:pt>
                <c:pt idx="4962">
                  <c:v>#N/A</c:v>
                </c:pt>
                <c:pt idx="4963">
                  <c:v>#N/A</c:v>
                </c:pt>
                <c:pt idx="4964">
                  <c:v>#N/A</c:v>
                </c:pt>
                <c:pt idx="4965">
                  <c:v>#N/A</c:v>
                </c:pt>
                <c:pt idx="4966">
                  <c:v>#N/A</c:v>
                </c:pt>
                <c:pt idx="4967">
                  <c:v>#N/A</c:v>
                </c:pt>
                <c:pt idx="4968">
                  <c:v>#N/A</c:v>
                </c:pt>
                <c:pt idx="4969">
                  <c:v>#N/A</c:v>
                </c:pt>
                <c:pt idx="4970">
                  <c:v>#N/A</c:v>
                </c:pt>
                <c:pt idx="4971">
                  <c:v>#N/A</c:v>
                </c:pt>
                <c:pt idx="4972">
                  <c:v>#N/A</c:v>
                </c:pt>
                <c:pt idx="4973">
                  <c:v>#N/A</c:v>
                </c:pt>
                <c:pt idx="4974">
                  <c:v>#N/A</c:v>
                </c:pt>
                <c:pt idx="4975">
                  <c:v>#N/A</c:v>
                </c:pt>
                <c:pt idx="4976">
                  <c:v>#N/A</c:v>
                </c:pt>
                <c:pt idx="4977">
                  <c:v>#N/A</c:v>
                </c:pt>
                <c:pt idx="4978">
                  <c:v>#N/A</c:v>
                </c:pt>
                <c:pt idx="4979">
                  <c:v>#N/A</c:v>
                </c:pt>
                <c:pt idx="4980">
                  <c:v>#N/A</c:v>
                </c:pt>
                <c:pt idx="4981">
                  <c:v>#N/A</c:v>
                </c:pt>
                <c:pt idx="4982">
                  <c:v>#N/A</c:v>
                </c:pt>
                <c:pt idx="4983">
                  <c:v>#N/A</c:v>
                </c:pt>
                <c:pt idx="4984">
                  <c:v>#N/A</c:v>
                </c:pt>
                <c:pt idx="4985">
                  <c:v>#N/A</c:v>
                </c:pt>
                <c:pt idx="4986">
                  <c:v>#N/A</c:v>
                </c:pt>
                <c:pt idx="4987">
                  <c:v>#N/A</c:v>
                </c:pt>
                <c:pt idx="4988">
                  <c:v>#N/A</c:v>
                </c:pt>
                <c:pt idx="4989">
                  <c:v>#N/A</c:v>
                </c:pt>
                <c:pt idx="4990">
                  <c:v>#N/A</c:v>
                </c:pt>
                <c:pt idx="4991">
                  <c:v>#N/A</c:v>
                </c:pt>
                <c:pt idx="4992">
                  <c:v>#N/A</c:v>
                </c:pt>
                <c:pt idx="4993">
                  <c:v>#N/A</c:v>
                </c:pt>
                <c:pt idx="4994">
                  <c:v>#N/A</c:v>
                </c:pt>
                <c:pt idx="4995">
                  <c:v>#N/A</c:v>
                </c:pt>
                <c:pt idx="4996">
                  <c:v>#N/A</c:v>
                </c:pt>
                <c:pt idx="4997">
                  <c:v>#N/A</c:v>
                </c:pt>
                <c:pt idx="4998">
                  <c:v>#N/A</c:v>
                </c:pt>
                <c:pt idx="4999">
                  <c:v>#N/A</c:v>
                </c:pt>
              </c:numCache>
            </c:numRef>
          </c:val>
          <c:extLst>
            <c:ext xmlns:c16="http://schemas.microsoft.com/office/drawing/2014/chart" uri="{C3380CC4-5D6E-409C-BE32-E72D297353CC}">
              <c16:uniqueId val="{00000002-A3B8-4A7A-88F9-3FB27C46CC0F}"/>
            </c:ext>
          </c:extLst>
        </c:ser>
        <c:ser>
          <c:idx val="3"/>
          <c:order val="3"/>
          <c:tx>
            <c:strRef>
              <c:f>BeskrivendeStatistik!$CL$11</c:f>
              <c:strCache>
                <c:ptCount val="1"/>
                <c:pt idx="0">
                  <c:v>4. kvartil</c:v>
                </c:pt>
              </c:strCache>
            </c:strRef>
          </c:tx>
          <c:spPr>
            <a:solidFill>
              <a:schemeClr val="accent4"/>
            </a:solidFill>
            <a:ln>
              <a:noFill/>
            </a:ln>
            <a:effectLst/>
          </c:spPr>
          <c:invertIfNegative val="0"/>
          <c:cat>
            <c:strRef>
              <c:f>[0]!BxK</c:f>
              <c:strCache>
                <c:ptCount val="5000"/>
                <c:pt idx="0">
                  <c:v>-1.48</c:v>
                </c:pt>
                <c:pt idx="243">
                  <c:v>-0.776</c:v>
                </c:pt>
                <c:pt idx="683">
                  <c:v>0.499</c:v>
                </c:pt>
                <c:pt idx="1099">
                  <c:v>1.703</c:v>
                </c:pt>
                <c:pt idx="4999">
                  <c:v>13</c:v>
                </c:pt>
              </c:strCache>
            </c:strRef>
          </c:cat>
          <c:val>
            <c:numRef>
              <c:f>[0]!Bk_4</c:f>
              <c:numCache>
                <c:formatCode>General</c:formatCode>
                <c:ptCount val="50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0.11332468572476186</c:v>
                </c:pt>
                <c:pt idx="1100">
                  <c:v>0.11332468572476186</c:v>
                </c:pt>
                <c:pt idx="1101">
                  <c:v>0.11332468572476186</c:v>
                </c:pt>
                <c:pt idx="1102">
                  <c:v>0.11332468572476186</c:v>
                </c:pt>
                <c:pt idx="1103">
                  <c:v>0.11332468572476186</c:v>
                </c:pt>
                <c:pt idx="1104">
                  <c:v>0.11332468572476186</c:v>
                </c:pt>
                <c:pt idx="1105">
                  <c:v>0.11332468572476186</c:v>
                </c:pt>
                <c:pt idx="1106">
                  <c:v>0.11332468572476186</c:v>
                </c:pt>
                <c:pt idx="1107">
                  <c:v>0.11332468572476186</c:v>
                </c:pt>
                <c:pt idx="1108">
                  <c:v>0.11332468572476186</c:v>
                </c:pt>
                <c:pt idx="1109">
                  <c:v>0.11332468572476186</c:v>
                </c:pt>
                <c:pt idx="1110">
                  <c:v>0.11332468572476186</c:v>
                </c:pt>
                <c:pt idx="1111">
                  <c:v>0.11332468572476186</c:v>
                </c:pt>
                <c:pt idx="1112">
                  <c:v>0.11332468572476186</c:v>
                </c:pt>
                <c:pt idx="1113">
                  <c:v>0.11332468572476186</c:v>
                </c:pt>
                <c:pt idx="1114">
                  <c:v>0.11332468572476186</c:v>
                </c:pt>
                <c:pt idx="1115">
                  <c:v>0.11332468572476186</c:v>
                </c:pt>
                <c:pt idx="1116">
                  <c:v>0.11332468572476186</c:v>
                </c:pt>
                <c:pt idx="1117">
                  <c:v>0.11332468572476186</c:v>
                </c:pt>
                <c:pt idx="1118">
                  <c:v>0.11332468572476186</c:v>
                </c:pt>
                <c:pt idx="1119">
                  <c:v>0.11332468572476186</c:v>
                </c:pt>
                <c:pt idx="1120">
                  <c:v>0.11332468572476186</c:v>
                </c:pt>
                <c:pt idx="1121">
                  <c:v>0.11332468572476186</c:v>
                </c:pt>
                <c:pt idx="1122">
                  <c:v>0.11332468572476186</c:v>
                </c:pt>
                <c:pt idx="1123">
                  <c:v>0.11332468572476186</c:v>
                </c:pt>
                <c:pt idx="1124">
                  <c:v>0.11332468572476186</c:v>
                </c:pt>
                <c:pt idx="1125">
                  <c:v>0.11332468572476186</c:v>
                </c:pt>
                <c:pt idx="1126">
                  <c:v>0.11332468572476186</c:v>
                </c:pt>
                <c:pt idx="1127">
                  <c:v>0.11332468572476186</c:v>
                </c:pt>
                <c:pt idx="1128">
                  <c:v>0.11332468572476186</c:v>
                </c:pt>
                <c:pt idx="1129">
                  <c:v>0.11332468572476186</c:v>
                </c:pt>
                <c:pt idx="1130">
                  <c:v>0.11332468572476186</c:v>
                </c:pt>
                <c:pt idx="1131">
                  <c:v>0.11332468572476186</c:v>
                </c:pt>
                <c:pt idx="1132">
                  <c:v>0.11332468572476186</c:v>
                </c:pt>
                <c:pt idx="1133">
                  <c:v>0.11332468572476186</c:v>
                </c:pt>
                <c:pt idx="1134">
                  <c:v>0.11332468572476186</c:v>
                </c:pt>
                <c:pt idx="1135">
                  <c:v>0.11332468572476186</c:v>
                </c:pt>
                <c:pt idx="1136">
                  <c:v>0.11332468572476186</c:v>
                </c:pt>
                <c:pt idx="1137">
                  <c:v>0.11332468572476186</c:v>
                </c:pt>
                <c:pt idx="1138">
                  <c:v>0.11332468572476186</c:v>
                </c:pt>
                <c:pt idx="1139">
                  <c:v>0.11332468572476186</c:v>
                </c:pt>
                <c:pt idx="1140">
                  <c:v>0.11332468572476186</c:v>
                </c:pt>
                <c:pt idx="1141">
                  <c:v>0.11332468572476186</c:v>
                </c:pt>
                <c:pt idx="1142">
                  <c:v>0.11332468572476186</c:v>
                </c:pt>
                <c:pt idx="1143">
                  <c:v>0.11332468572476186</c:v>
                </c:pt>
                <c:pt idx="1144">
                  <c:v>0.11332468572476186</c:v>
                </c:pt>
                <c:pt idx="1145">
                  <c:v>0.11332468572476186</c:v>
                </c:pt>
                <c:pt idx="1146">
                  <c:v>0.11332468572476186</c:v>
                </c:pt>
                <c:pt idx="1147">
                  <c:v>0.11332468572476186</c:v>
                </c:pt>
                <c:pt idx="1148">
                  <c:v>0.11332468572476186</c:v>
                </c:pt>
                <c:pt idx="1149">
                  <c:v>0.11332468572476186</c:v>
                </c:pt>
                <c:pt idx="1150">
                  <c:v>0.11332468572476186</c:v>
                </c:pt>
                <c:pt idx="1151">
                  <c:v>0.11332468572476186</c:v>
                </c:pt>
                <c:pt idx="1152">
                  <c:v>0.11332468572476186</c:v>
                </c:pt>
                <c:pt idx="1153">
                  <c:v>0.11332468572476186</c:v>
                </c:pt>
                <c:pt idx="1154">
                  <c:v>0.11332468572476186</c:v>
                </c:pt>
                <c:pt idx="1155">
                  <c:v>0.11332468572476186</c:v>
                </c:pt>
                <c:pt idx="1156">
                  <c:v>0.11332468572476186</c:v>
                </c:pt>
                <c:pt idx="1157">
                  <c:v>0.11332468572476186</c:v>
                </c:pt>
                <c:pt idx="1158">
                  <c:v>0.11332468572476186</c:v>
                </c:pt>
                <c:pt idx="1159">
                  <c:v>0.11332468572476186</c:v>
                </c:pt>
                <c:pt idx="1160">
                  <c:v>0.11332468572476186</c:v>
                </c:pt>
                <c:pt idx="1161">
                  <c:v>0.11332468572476186</c:v>
                </c:pt>
                <c:pt idx="1162">
                  <c:v>0.11332468572476186</c:v>
                </c:pt>
                <c:pt idx="1163">
                  <c:v>0.11332468572476186</c:v>
                </c:pt>
                <c:pt idx="1164">
                  <c:v>0.11332468572476186</c:v>
                </c:pt>
                <c:pt idx="1165">
                  <c:v>0.11332468572476186</c:v>
                </c:pt>
                <c:pt idx="1166">
                  <c:v>0.11332468572476186</c:v>
                </c:pt>
                <c:pt idx="1167">
                  <c:v>0.11332468572476186</c:v>
                </c:pt>
                <c:pt idx="1168">
                  <c:v>0.11332468572476186</c:v>
                </c:pt>
                <c:pt idx="1169">
                  <c:v>0.11332468572476186</c:v>
                </c:pt>
                <c:pt idx="1170">
                  <c:v>0.11332468572476186</c:v>
                </c:pt>
                <c:pt idx="1171">
                  <c:v>0.11332468572476186</c:v>
                </c:pt>
                <c:pt idx="1172">
                  <c:v>0.11332468572476186</c:v>
                </c:pt>
                <c:pt idx="1173">
                  <c:v>0.11332468572476186</c:v>
                </c:pt>
                <c:pt idx="1174">
                  <c:v>0.11332468572476186</c:v>
                </c:pt>
                <c:pt idx="1175">
                  <c:v>0.11332468572476186</c:v>
                </c:pt>
                <c:pt idx="1176">
                  <c:v>0.11332468572476186</c:v>
                </c:pt>
                <c:pt idx="1177">
                  <c:v>0.11332468572476186</c:v>
                </c:pt>
                <c:pt idx="1178">
                  <c:v>0.11332468572476186</c:v>
                </c:pt>
                <c:pt idx="1179">
                  <c:v>0.11332468572476186</c:v>
                </c:pt>
                <c:pt idx="1180">
                  <c:v>0.11332468572476186</c:v>
                </c:pt>
                <c:pt idx="1181">
                  <c:v>0.11332468572476186</c:v>
                </c:pt>
                <c:pt idx="1182">
                  <c:v>0.11332468572476186</c:v>
                </c:pt>
                <c:pt idx="1183">
                  <c:v>0.11332468572476186</c:v>
                </c:pt>
                <c:pt idx="1184">
                  <c:v>0.11332468572476186</c:v>
                </c:pt>
                <c:pt idx="1185">
                  <c:v>0.11332468572476186</c:v>
                </c:pt>
                <c:pt idx="1186">
                  <c:v>0.11332468572476186</c:v>
                </c:pt>
                <c:pt idx="1187">
                  <c:v>0.11332468572476186</c:v>
                </c:pt>
                <c:pt idx="1188">
                  <c:v>0.11332468572476186</c:v>
                </c:pt>
                <c:pt idx="1189">
                  <c:v>0.11332468572476186</c:v>
                </c:pt>
                <c:pt idx="1190">
                  <c:v>0.11332468572476186</c:v>
                </c:pt>
                <c:pt idx="1191">
                  <c:v>0.11332468572476186</c:v>
                </c:pt>
                <c:pt idx="1192">
                  <c:v>0.11332468572476186</c:v>
                </c:pt>
                <c:pt idx="1193">
                  <c:v>0.11332468572476186</c:v>
                </c:pt>
                <c:pt idx="1194">
                  <c:v>0.11332468572476186</c:v>
                </c:pt>
                <c:pt idx="1195">
                  <c:v>0.11332468572476186</c:v>
                </c:pt>
                <c:pt idx="1196">
                  <c:v>0.11332468572476186</c:v>
                </c:pt>
                <c:pt idx="1197">
                  <c:v>0.11332468572476186</c:v>
                </c:pt>
                <c:pt idx="1198">
                  <c:v>0.11332468572476186</c:v>
                </c:pt>
                <c:pt idx="1199">
                  <c:v>0.11332468572476186</c:v>
                </c:pt>
                <c:pt idx="1200">
                  <c:v>0.11332468572476186</c:v>
                </c:pt>
                <c:pt idx="1201">
                  <c:v>0.11332468572476186</c:v>
                </c:pt>
                <c:pt idx="1202">
                  <c:v>0.11332468572476186</c:v>
                </c:pt>
                <c:pt idx="1203">
                  <c:v>0.11332468572476186</c:v>
                </c:pt>
                <c:pt idx="1204">
                  <c:v>0.11332468572476186</c:v>
                </c:pt>
                <c:pt idx="1205">
                  <c:v>0.11332468572476186</c:v>
                </c:pt>
                <c:pt idx="1206">
                  <c:v>0.11332468572476186</c:v>
                </c:pt>
                <c:pt idx="1207">
                  <c:v>0.11332468572476186</c:v>
                </c:pt>
                <c:pt idx="1208">
                  <c:v>0.11332468572476186</c:v>
                </c:pt>
                <c:pt idx="1209">
                  <c:v>0.11332468572476186</c:v>
                </c:pt>
                <c:pt idx="1210">
                  <c:v>0.11332468572476186</c:v>
                </c:pt>
                <c:pt idx="1211">
                  <c:v>0.11332468572476186</c:v>
                </c:pt>
                <c:pt idx="1212">
                  <c:v>0.11332468572476186</c:v>
                </c:pt>
                <c:pt idx="1213">
                  <c:v>0.11332468572476186</c:v>
                </c:pt>
                <c:pt idx="1214">
                  <c:v>0.11332468572476186</c:v>
                </c:pt>
                <c:pt idx="1215">
                  <c:v>0.11332468572476186</c:v>
                </c:pt>
                <c:pt idx="1216">
                  <c:v>0.11332468572476186</c:v>
                </c:pt>
                <c:pt idx="1217">
                  <c:v>0.11332468572476186</c:v>
                </c:pt>
                <c:pt idx="1218">
                  <c:v>0.11332468572476186</c:v>
                </c:pt>
                <c:pt idx="1219">
                  <c:v>0.11332468572476186</c:v>
                </c:pt>
                <c:pt idx="1220">
                  <c:v>0.11332468572476186</c:v>
                </c:pt>
                <c:pt idx="1221">
                  <c:v>0.11332468572476186</c:v>
                </c:pt>
                <c:pt idx="1222">
                  <c:v>0.11332468572476186</c:v>
                </c:pt>
                <c:pt idx="1223">
                  <c:v>0.11332468572476186</c:v>
                </c:pt>
                <c:pt idx="1224">
                  <c:v>0.11332468572476186</c:v>
                </c:pt>
                <c:pt idx="1225">
                  <c:v>0.11332468572476186</c:v>
                </c:pt>
                <c:pt idx="1226">
                  <c:v>0.11332468572476186</c:v>
                </c:pt>
                <c:pt idx="1227">
                  <c:v>0.11332468572476186</c:v>
                </c:pt>
                <c:pt idx="1228">
                  <c:v>0.11332468572476186</c:v>
                </c:pt>
                <c:pt idx="1229">
                  <c:v>0.11332468572476186</c:v>
                </c:pt>
                <c:pt idx="1230">
                  <c:v>0.11332468572476186</c:v>
                </c:pt>
                <c:pt idx="1231">
                  <c:v>0.11332468572476186</c:v>
                </c:pt>
                <c:pt idx="1232">
                  <c:v>0.11332468572476186</c:v>
                </c:pt>
                <c:pt idx="1233">
                  <c:v>0.11332468572476186</c:v>
                </c:pt>
                <c:pt idx="1234">
                  <c:v>0.11332468572476186</c:v>
                </c:pt>
                <c:pt idx="1235">
                  <c:v>0.11332468572476186</c:v>
                </c:pt>
                <c:pt idx="1236">
                  <c:v>0.11332468572476186</c:v>
                </c:pt>
                <c:pt idx="1237">
                  <c:v>0.11332468572476186</c:v>
                </c:pt>
                <c:pt idx="1238">
                  <c:v>0.11332468572476186</c:v>
                </c:pt>
                <c:pt idx="1239">
                  <c:v>0.11332468572476186</c:v>
                </c:pt>
                <c:pt idx="1240">
                  <c:v>0.11332468572476186</c:v>
                </c:pt>
                <c:pt idx="1241">
                  <c:v>0.11332468572476186</c:v>
                </c:pt>
                <c:pt idx="1242">
                  <c:v>0.11332468572476186</c:v>
                </c:pt>
                <c:pt idx="1243">
                  <c:v>0.11332468572476186</c:v>
                </c:pt>
                <c:pt idx="1244">
                  <c:v>0.11332468572476186</c:v>
                </c:pt>
                <c:pt idx="1245">
                  <c:v>0.11332468572476186</c:v>
                </c:pt>
                <c:pt idx="1246">
                  <c:v>0.11332468572476186</c:v>
                </c:pt>
                <c:pt idx="1247">
                  <c:v>0.11332468572476186</c:v>
                </c:pt>
                <c:pt idx="1248">
                  <c:v>0.11332468572476186</c:v>
                </c:pt>
                <c:pt idx="1249">
                  <c:v>0.11332468572476186</c:v>
                </c:pt>
                <c:pt idx="1250">
                  <c:v>0.11332468572476186</c:v>
                </c:pt>
                <c:pt idx="1251">
                  <c:v>0.11332468572476186</c:v>
                </c:pt>
                <c:pt idx="1252">
                  <c:v>0.11332468572476186</c:v>
                </c:pt>
                <c:pt idx="1253">
                  <c:v>0.11332468572476186</c:v>
                </c:pt>
                <c:pt idx="1254">
                  <c:v>0.11332468572476186</c:v>
                </c:pt>
                <c:pt idx="1255">
                  <c:v>0.11332468572476186</c:v>
                </c:pt>
                <c:pt idx="1256">
                  <c:v>0.11332468572476186</c:v>
                </c:pt>
                <c:pt idx="1257">
                  <c:v>0.11332468572476186</c:v>
                </c:pt>
                <c:pt idx="1258">
                  <c:v>0.11332468572476186</c:v>
                </c:pt>
                <c:pt idx="1259">
                  <c:v>0.11332468572476186</c:v>
                </c:pt>
                <c:pt idx="1260">
                  <c:v>0.11332468572476186</c:v>
                </c:pt>
                <c:pt idx="1261">
                  <c:v>0.11332468572476186</c:v>
                </c:pt>
                <c:pt idx="1262">
                  <c:v>0.11332468572476186</c:v>
                </c:pt>
                <c:pt idx="1263">
                  <c:v>0.11332468572476186</c:v>
                </c:pt>
                <c:pt idx="1264">
                  <c:v>0.11332468572476186</c:v>
                </c:pt>
                <c:pt idx="1265">
                  <c:v>0.11332468572476186</c:v>
                </c:pt>
                <c:pt idx="1266">
                  <c:v>0.11332468572476186</c:v>
                </c:pt>
                <c:pt idx="1267">
                  <c:v>0.11332468572476186</c:v>
                </c:pt>
                <c:pt idx="1268">
                  <c:v>0.11332468572476186</c:v>
                </c:pt>
                <c:pt idx="1269">
                  <c:v>0.11332468572476186</c:v>
                </c:pt>
                <c:pt idx="1270">
                  <c:v>0.11332468572476186</c:v>
                </c:pt>
                <c:pt idx="1271">
                  <c:v>0.11332468572476186</c:v>
                </c:pt>
                <c:pt idx="1272">
                  <c:v>0.11332468572476186</c:v>
                </c:pt>
                <c:pt idx="1273">
                  <c:v>0.11332468572476186</c:v>
                </c:pt>
                <c:pt idx="1274">
                  <c:v>0.11332468572476186</c:v>
                </c:pt>
                <c:pt idx="1275">
                  <c:v>0.11332468572476186</c:v>
                </c:pt>
                <c:pt idx="1276">
                  <c:v>0.11332468572476186</c:v>
                </c:pt>
                <c:pt idx="1277">
                  <c:v>0.11332468572476186</c:v>
                </c:pt>
                <c:pt idx="1278">
                  <c:v>0.11332468572476186</c:v>
                </c:pt>
                <c:pt idx="1279">
                  <c:v>0.11332468572476186</c:v>
                </c:pt>
                <c:pt idx="1280">
                  <c:v>0.11332468572476186</c:v>
                </c:pt>
                <c:pt idx="1281">
                  <c:v>0.11332468572476186</c:v>
                </c:pt>
                <c:pt idx="1282">
                  <c:v>0.11332468572476186</c:v>
                </c:pt>
                <c:pt idx="1283">
                  <c:v>0.11332468572476186</c:v>
                </c:pt>
                <c:pt idx="1284">
                  <c:v>0.11332468572476186</c:v>
                </c:pt>
                <c:pt idx="1285">
                  <c:v>0.11332468572476186</c:v>
                </c:pt>
                <c:pt idx="1286">
                  <c:v>0.11332468572476186</c:v>
                </c:pt>
                <c:pt idx="1287">
                  <c:v>0.11332468572476186</c:v>
                </c:pt>
                <c:pt idx="1288">
                  <c:v>0.11332468572476186</c:v>
                </c:pt>
                <c:pt idx="1289">
                  <c:v>0.11332468572476186</c:v>
                </c:pt>
                <c:pt idx="1290">
                  <c:v>0.11332468572476186</c:v>
                </c:pt>
                <c:pt idx="1291">
                  <c:v>0.11332468572476186</c:v>
                </c:pt>
                <c:pt idx="1292">
                  <c:v>0.11332468572476186</c:v>
                </c:pt>
                <c:pt idx="1293">
                  <c:v>0.11332468572476186</c:v>
                </c:pt>
                <c:pt idx="1294">
                  <c:v>0.11332468572476186</c:v>
                </c:pt>
                <c:pt idx="1295">
                  <c:v>0.11332468572476186</c:v>
                </c:pt>
                <c:pt idx="1296">
                  <c:v>0.11332468572476186</c:v>
                </c:pt>
                <c:pt idx="1297">
                  <c:v>0.11332468572476186</c:v>
                </c:pt>
                <c:pt idx="1298">
                  <c:v>0.11332468572476186</c:v>
                </c:pt>
                <c:pt idx="1299">
                  <c:v>0.11332468572476186</c:v>
                </c:pt>
                <c:pt idx="1300">
                  <c:v>0.11332468572476186</c:v>
                </c:pt>
                <c:pt idx="1301">
                  <c:v>0.11332468572476186</c:v>
                </c:pt>
                <c:pt idx="1302">
                  <c:v>0.11332468572476186</c:v>
                </c:pt>
                <c:pt idx="1303">
                  <c:v>0.11332468572476186</c:v>
                </c:pt>
                <c:pt idx="1304">
                  <c:v>0.11332468572476186</c:v>
                </c:pt>
                <c:pt idx="1305">
                  <c:v>0.11332468572476186</c:v>
                </c:pt>
                <c:pt idx="1306">
                  <c:v>0.11332468572476186</c:v>
                </c:pt>
                <c:pt idx="1307">
                  <c:v>0.11332468572476186</c:v>
                </c:pt>
                <c:pt idx="1308">
                  <c:v>0.11332468572476186</c:v>
                </c:pt>
                <c:pt idx="1309">
                  <c:v>0.11332468572476186</c:v>
                </c:pt>
                <c:pt idx="1310">
                  <c:v>0.11332468572476186</c:v>
                </c:pt>
                <c:pt idx="1311">
                  <c:v>0.11332468572476186</c:v>
                </c:pt>
                <c:pt idx="1312">
                  <c:v>0.11332468572476186</c:v>
                </c:pt>
                <c:pt idx="1313">
                  <c:v>0.11332468572476186</c:v>
                </c:pt>
                <c:pt idx="1314">
                  <c:v>0.11332468572476186</c:v>
                </c:pt>
                <c:pt idx="1315">
                  <c:v>0.11332468572476186</c:v>
                </c:pt>
                <c:pt idx="1316">
                  <c:v>0.11332468572476186</c:v>
                </c:pt>
                <c:pt idx="1317">
                  <c:v>0.11332468572476186</c:v>
                </c:pt>
                <c:pt idx="1318">
                  <c:v>0.11332468572476186</c:v>
                </c:pt>
                <c:pt idx="1319">
                  <c:v>0.11332468572476186</c:v>
                </c:pt>
                <c:pt idx="1320">
                  <c:v>0.11332468572476186</c:v>
                </c:pt>
                <c:pt idx="1321">
                  <c:v>0.11332468572476186</c:v>
                </c:pt>
                <c:pt idx="1322">
                  <c:v>0.11332468572476186</c:v>
                </c:pt>
                <c:pt idx="1323">
                  <c:v>0.11332468572476186</c:v>
                </c:pt>
                <c:pt idx="1324">
                  <c:v>0.11332468572476186</c:v>
                </c:pt>
                <c:pt idx="1325">
                  <c:v>0.11332468572476186</c:v>
                </c:pt>
                <c:pt idx="1326">
                  <c:v>0.11332468572476186</c:v>
                </c:pt>
                <c:pt idx="1327">
                  <c:v>0.11332468572476186</c:v>
                </c:pt>
                <c:pt idx="1328">
                  <c:v>0.11332468572476186</c:v>
                </c:pt>
                <c:pt idx="1329">
                  <c:v>0.11332468572476186</c:v>
                </c:pt>
                <c:pt idx="1330">
                  <c:v>0.11332468572476186</c:v>
                </c:pt>
                <c:pt idx="1331">
                  <c:v>0.11332468572476186</c:v>
                </c:pt>
                <c:pt idx="1332">
                  <c:v>0.11332468572476186</c:v>
                </c:pt>
                <c:pt idx="1333">
                  <c:v>0.11332468572476186</c:v>
                </c:pt>
                <c:pt idx="1334">
                  <c:v>0.11332468572476186</c:v>
                </c:pt>
                <c:pt idx="1335">
                  <c:v>0.11332468572476186</c:v>
                </c:pt>
                <c:pt idx="1336">
                  <c:v>0.11332468572476186</c:v>
                </c:pt>
                <c:pt idx="1337">
                  <c:v>0.11332468572476186</c:v>
                </c:pt>
                <c:pt idx="1338">
                  <c:v>0.11332468572476186</c:v>
                </c:pt>
                <c:pt idx="1339">
                  <c:v>0.11332468572476186</c:v>
                </c:pt>
                <c:pt idx="1340">
                  <c:v>0.11332468572476186</c:v>
                </c:pt>
                <c:pt idx="1341">
                  <c:v>0.11332468572476186</c:v>
                </c:pt>
                <c:pt idx="1342">
                  <c:v>0.11332468572476186</c:v>
                </c:pt>
                <c:pt idx="1343">
                  <c:v>0.11332468572476186</c:v>
                </c:pt>
                <c:pt idx="1344">
                  <c:v>0.11332468572476186</c:v>
                </c:pt>
                <c:pt idx="1345">
                  <c:v>0.11332468572476186</c:v>
                </c:pt>
                <c:pt idx="1346">
                  <c:v>0.11332468572476186</c:v>
                </c:pt>
                <c:pt idx="1347">
                  <c:v>0.11332468572476186</c:v>
                </c:pt>
                <c:pt idx="1348">
                  <c:v>0.11332468572476186</c:v>
                </c:pt>
                <c:pt idx="1349">
                  <c:v>0.11332468572476186</c:v>
                </c:pt>
                <c:pt idx="1350">
                  <c:v>0.11332468572476186</c:v>
                </c:pt>
                <c:pt idx="1351">
                  <c:v>0.11332468572476186</c:v>
                </c:pt>
                <c:pt idx="1352">
                  <c:v>0.11332468572476186</c:v>
                </c:pt>
                <c:pt idx="1353">
                  <c:v>0.11332468572476186</c:v>
                </c:pt>
                <c:pt idx="1354">
                  <c:v>0.11332468572476186</c:v>
                </c:pt>
                <c:pt idx="1355">
                  <c:v>0.11332468572476186</c:v>
                </c:pt>
                <c:pt idx="1356">
                  <c:v>0.11332468572476186</c:v>
                </c:pt>
                <c:pt idx="1357">
                  <c:v>0.11332468572476186</c:v>
                </c:pt>
                <c:pt idx="1358">
                  <c:v>0.11332468572476186</c:v>
                </c:pt>
                <c:pt idx="1359">
                  <c:v>0.11332468572476186</c:v>
                </c:pt>
                <c:pt idx="1360">
                  <c:v>0.11332468572476186</c:v>
                </c:pt>
                <c:pt idx="1361">
                  <c:v>0.11332468572476186</c:v>
                </c:pt>
                <c:pt idx="1362">
                  <c:v>0.11332468572476186</c:v>
                </c:pt>
                <c:pt idx="1363">
                  <c:v>0.11332468572476186</c:v>
                </c:pt>
                <c:pt idx="1364">
                  <c:v>0.11332468572476186</c:v>
                </c:pt>
                <c:pt idx="1365">
                  <c:v>0.11332468572476186</c:v>
                </c:pt>
                <c:pt idx="1366">
                  <c:v>0.11332468572476186</c:v>
                </c:pt>
                <c:pt idx="1367">
                  <c:v>0.11332468572476186</c:v>
                </c:pt>
                <c:pt idx="1368">
                  <c:v>0.11332468572476186</c:v>
                </c:pt>
                <c:pt idx="1369">
                  <c:v>0.11332468572476186</c:v>
                </c:pt>
                <c:pt idx="1370">
                  <c:v>0.11332468572476186</c:v>
                </c:pt>
                <c:pt idx="1371">
                  <c:v>0.11332468572476186</c:v>
                </c:pt>
                <c:pt idx="1372">
                  <c:v>0.11332468572476186</c:v>
                </c:pt>
                <c:pt idx="1373">
                  <c:v>0.11332468572476186</c:v>
                </c:pt>
                <c:pt idx="1374">
                  <c:v>0.11332468572476186</c:v>
                </c:pt>
                <c:pt idx="1375">
                  <c:v>0.11332468572476186</c:v>
                </c:pt>
                <c:pt idx="1376">
                  <c:v>0.11332468572476186</c:v>
                </c:pt>
                <c:pt idx="1377">
                  <c:v>0.11332468572476186</c:v>
                </c:pt>
                <c:pt idx="1378">
                  <c:v>0.11332468572476186</c:v>
                </c:pt>
                <c:pt idx="1379">
                  <c:v>0.11332468572476186</c:v>
                </c:pt>
                <c:pt idx="1380">
                  <c:v>0.11332468572476186</c:v>
                </c:pt>
                <c:pt idx="1381">
                  <c:v>0.11332468572476186</c:v>
                </c:pt>
                <c:pt idx="1382">
                  <c:v>0.11332468572476186</c:v>
                </c:pt>
                <c:pt idx="1383">
                  <c:v>0.11332468572476186</c:v>
                </c:pt>
                <c:pt idx="1384">
                  <c:v>0.11332468572476186</c:v>
                </c:pt>
                <c:pt idx="1385">
                  <c:v>0.11332468572476186</c:v>
                </c:pt>
                <c:pt idx="1386">
                  <c:v>0.11332468572476186</c:v>
                </c:pt>
                <c:pt idx="1387">
                  <c:v>0.11332468572476186</c:v>
                </c:pt>
                <c:pt idx="1388">
                  <c:v>0.11332468572476186</c:v>
                </c:pt>
                <c:pt idx="1389">
                  <c:v>0.11332468572476186</c:v>
                </c:pt>
                <c:pt idx="1390">
                  <c:v>0.11332468572476186</c:v>
                </c:pt>
                <c:pt idx="1391">
                  <c:v>0.11332468572476186</c:v>
                </c:pt>
                <c:pt idx="1392">
                  <c:v>0.11332468572476186</c:v>
                </c:pt>
                <c:pt idx="1393">
                  <c:v>0.11332468572476186</c:v>
                </c:pt>
                <c:pt idx="1394">
                  <c:v>0.11332468572476186</c:v>
                </c:pt>
                <c:pt idx="1395">
                  <c:v>0.11332468572476186</c:v>
                </c:pt>
                <c:pt idx="1396">
                  <c:v>0.11332468572476186</c:v>
                </c:pt>
                <c:pt idx="1397">
                  <c:v>0.11332468572476186</c:v>
                </c:pt>
                <c:pt idx="1398">
                  <c:v>0.11332468572476186</c:v>
                </c:pt>
                <c:pt idx="1399">
                  <c:v>0.11332468572476186</c:v>
                </c:pt>
                <c:pt idx="1400">
                  <c:v>0.11332468572476186</c:v>
                </c:pt>
                <c:pt idx="1401">
                  <c:v>0.11332468572476186</c:v>
                </c:pt>
                <c:pt idx="1402">
                  <c:v>0.11332468572476186</c:v>
                </c:pt>
                <c:pt idx="1403">
                  <c:v>0.11332468572476186</c:v>
                </c:pt>
                <c:pt idx="1404">
                  <c:v>0.11332468572476186</c:v>
                </c:pt>
                <c:pt idx="1405">
                  <c:v>0.11332468572476186</c:v>
                </c:pt>
                <c:pt idx="1406">
                  <c:v>0.11332468572476186</c:v>
                </c:pt>
                <c:pt idx="1407">
                  <c:v>0.11332468572476186</c:v>
                </c:pt>
                <c:pt idx="1408">
                  <c:v>0.11332468572476186</c:v>
                </c:pt>
                <c:pt idx="1409">
                  <c:v>0.11332468572476186</c:v>
                </c:pt>
                <c:pt idx="1410">
                  <c:v>0.11332468572476186</c:v>
                </c:pt>
                <c:pt idx="1411">
                  <c:v>0.11332468572476186</c:v>
                </c:pt>
                <c:pt idx="1412">
                  <c:v>0.11332468572476186</c:v>
                </c:pt>
                <c:pt idx="1413">
                  <c:v>0.11332468572476186</c:v>
                </c:pt>
                <c:pt idx="1414">
                  <c:v>0.11332468572476186</c:v>
                </c:pt>
                <c:pt idx="1415">
                  <c:v>0.11332468572476186</c:v>
                </c:pt>
                <c:pt idx="1416">
                  <c:v>0.11332468572476186</c:v>
                </c:pt>
                <c:pt idx="1417">
                  <c:v>0.11332468572476186</c:v>
                </c:pt>
                <c:pt idx="1418">
                  <c:v>0.11332468572476186</c:v>
                </c:pt>
                <c:pt idx="1419">
                  <c:v>0.11332468572476186</c:v>
                </c:pt>
                <c:pt idx="1420">
                  <c:v>0.11332468572476186</c:v>
                </c:pt>
                <c:pt idx="1421">
                  <c:v>0.11332468572476186</c:v>
                </c:pt>
                <c:pt idx="1422">
                  <c:v>0.11332468572476186</c:v>
                </c:pt>
                <c:pt idx="1423">
                  <c:v>0.11332468572476186</c:v>
                </c:pt>
                <c:pt idx="1424">
                  <c:v>0.11332468572476186</c:v>
                </c:pt>
                <c:pt idx="1425">
                  <c:v>0.11332468572476186</c:v>
                </c:pt>
                <c:pt idx="1426">
                  <c:v>0.11332468572476186</c:v>
                </c:pt>
                <c:pt idx="1427">
                  <c:v>0.11332468572476186</c:v>
                </c:pt>
                <c:pt idx="1428">
                  <c:v>0.11332468572476186</c:v>
                </c:pt>
                <c:pt idx="1429">
                  <c:v>0.11332468572476186</c:v>
                </c:pt>
                <c:pt idx="1430">
                  <c:v>0.11332468572476186</c:v>
                </c:pt>
                <c:pt idx="1431">
                  <c:v>0.11332468572476186</c:v>
                </c:pt>
                <c:pt idx="1432">
                  <c:v>0.11332468572476186</c:v>
                </c:pt>
                <c:pt idx="1433">
                  <c:v>0.11332468572476186</c:v>
                </c:pt>
                <c:pt idx="1434">
                  <c:v>0.11332468572476186</c:v>
                </c:pt>
                <c:pt idx="1435">
                  <c:v>0.11332468572476186</c:v>
                </c:pt>
                <c:pt idx="1436">
                  <c:v>0.11332468572476186</c:v>
                </c:pt>
                <c:pt idx="1437">
                  <c:v>0.11332468572476186</c:v>
                </c:pt>
                <c:pt idx="1438">
                  <c:v>0.11332468572476186</c:v>
                </c:pt>
                <c:pt idx="1439">
                  <c:v>0.11332468572476186</c:v>
                </c:pt>
                <c:pt idx="1440">
                  <c:v>0.11332468572476186</c:v>
                </c:pt>
                <c:pt idx="1441">
                  <c:v>0.11332468572476186</c:v>
                </c:pt>
                <c:pt idx="1442">
                  <c:v>0.11332468572476186</c:v>
                </c:pt>
                <c:pt idx="1443">
                  <c:v>0.11332468572476186</c:v>
                </c:pt>
                <c:pt idx="1444">
                  <c:v>0.11332468572476186</c:v>
                </c:pt>
                <c:pt idx="1445">
                  <c:v>0.11332468572476186</c:v>
                </c:pt>
                <c:pt idx="1446">
                  <c:v>0.11332468572476186</c:v>
                </c:pt>
                <c:pt idx="1447">
                  <c:v>0.11332468572476186</c:v>
                </c:pt>
                <c:pt idx="1448">
                  <c:v>0.11332468572476186</c:v>
                </c:pt>
                <c:pt idx="1449">
                  <c:v>0.11332468572476186</c:v>
                </c:pt>
                <c:pt idx="1450">
                  <c:v>0.11332468572476186</c:v>
                </c:pt>
                <c:pt idx="1451">
                  <c:v>0.11332468572476186</c:v>
                </c:pt>
                <c:pt idx="1452">
                  <c:v>0.11332468572476186</c:v>
                </c:pt>
                <c:pt idx="1453">
                  <c:v>0.11332468572476186</c:v>
                </c:pt>
                <c:pt idx="1454">
                  <c:v>0.11332468572476186</c:v>
                </c:pt>
                <c:pt idx="1455">
                  <c:v>0.11332468572476186</c:v>
                </c:pt>
                <c:pt idx="1456">
                  <c:v>0.11332468572476186</c:v>
                </c:pt>
                <c:pt idx="1457">
                  <c:v>0.11332468572476186</c:v>
                </c:pt>
                <c:pt idx="1458">
                  <c:v>0.11332468572476186</c:v>
                </c:pt>
                <c:pt idx="1459">
                  <c:v>0.11332468572476186</c:v>
                </c:pt>
                <c:pt idx="1460">
                  <c:v>0.11332468572476186</c:v>
                </c:pt>
                <c:pt idx="1461">
                  <c:v>0.11332468572476186</c:v>
                </c:pt>
                <c:pt idx="1462">
                  <c:v>0.11332468572476186</c:v>
                </c:pt>
                <c:pt idx="1463">
                  <c:v>0.11332468572476186</c:v>
                </c:pt>
                <c:pt idx="1464">
                  <c:v>0.11332468572476186</c:v>
                </c:pt>
                <c:pt idx="1465">
                  <c:v>0.11332468572476186</c:v>
                </c:pt>
                <c:pt idx="1466">
                  <c:v>0.11332468572476186</c:v>
                </c:pt>
                <c:pt idx="1467">
                  <c:v>0.11332468572476186</c:v>
                </c:pt>
                <c:pt idx="1468">
                  <c:v>0.11332468572476186</c:v>
                </c:pt>
                <c:pt idx="1469">
                  <c:v>0.11332468572476186</c:v>
                </c:pt>
                <c:pt idx="1470">
                  <c:v>0.11332468572476186</c:v>
                </c:pt>
                <c:pt idx="1471">
                  <c:v>0.11332468572476186</c:v>
                </c:pt>
                <c:pt idx="1472">
                  <c:v>0.11332468572476186</c:v>
                </c:pt>
                <c:pt idx="1473">
                  <c:v>0.11332468572476186</c:v>
                </c:pt>
                <c:pt idx="1474">
                  <c:v>0.11332468572476186</c:v>
                </c:pt>
                <c:pt idx="1475">
                  <c:v>0.11332468572476186</c:v>
                </c:pt>
                <c:pt idx="1476">
                  <c:v>0.11332468572476186</c:v>
                </c:pt>
                <c:pt idx="1477">
                  <c:v>0.11332468572476186</c:v>
                </c:pt>
                <c:pt idx="1478">
                  <c:v>0.11332468572476186</c:v>
                </c:pt>
                <c:pt idx="1479">
                  <c:v>0.11332468572476186</c:v>
                </c:pt>
                <c:pt idx="1480">
                  <c:v>0.11332468572476186</c:v>
                </c:pt>
                <c:pt idx="1481">
                  <c:v>0.11332468572476186</c:v>
                </c:pt>
                <c:pt idx="1482">
                  <c:v>0.11332468572476186</c:v>
                </c:pt>
                <c:pt idx="1483">
                  <c:v>0.11332468572476186</c:v>
                </c:pt>
                <c:pt idx="1484">
                  <c:v>0.11332468572476186</c:v>
                </c:pt>
                <c:pt idx="1485">
                  <c:v>0.11332468572476186</c:v>
                </c:pt>
                <c:pt idx="1486">
                  <c:v>0.11332468572476186</c:v>
                </c:pt>
                <c:pt idx="1487">
                  <c:v>0.11332468572476186</c:v>
                </c:pt>
                <c:pt idx="1488">
                  <c:v>0.11332468572476186</c:v>
                </c:pt>
                <c:pt idx="1489">
                  <c:v>0.11332468572476186</c:v>
                </c:pt>
                <c:pt idx="1490">
                  <c:v>0.11332468572476186</c:v>
                </c:pt>
                <c:pt idx="1491">
                  <c:v>0.11332468572476186</c:v>
                </c:pt>
                <c:pt idx="1492">
                  <c:v>0.11332468572476186</c:v>
                </c:pt>
                <c:pt idx="1493">
                  <c:v>0.11332468572476186</c:v>
                </c:pt>
                <c:pt idx="1494">
                  <c:v>0.11332468572476186</c:v>
                </c:pt>
                <c:pt idx="1495">
                  <c:v>0.11332468572476186</c:v>
                </c:pt>
                <c:pt idx="1496">
                  <c:v>0.11332468572476186</c:v>
                </c:pt>
                <c:pt idx="1497">
                  <c:v>0.11332468572476186</c:v>
                </c:pt>
                <c:pt idx="1498">
                  <c:v>0.11332468572476186</c:v>
                </c:pt>
                <c:pt idx="1499">
                  <c:v>0.11332468572476186</c:v>
                </c:pt>
                <c:pt idx="1500">
                  <c:v>0.11332468572476186</c:v>
                </c:pt>
                <c:pt idx="1501">
                  <c:v>0.11332468572476186</c:v>
                </c:pt>
                <c:pt idx="1502">
                  <c:v>0.11332468572476186</c:v>
                </c:pt>
                <c:pt idx="1503">
                  <c:v>0.11332468572476186</c:v>
                </c:pt>
                <c:pt idx="1504">
                  <c:v>0.11332468572476186</c:v>
                </c:pt>
                <c:pt idx="1505">
                  <c:v>0.11332468572476186</c:v>
                </c:pt>
                <c:pt idx="1506">
                  <c:v>0.11332468572476186</c:v>
                </c:pt>
                <c:pt idx="1507">
                  <c:v>0.11332468572476186</c:v>
                </c:pt>
                <c:pt idx="1508">
                  <c:v>0.11332468572476186</c:v>
                </c:pt>
                <c:pt idx="1509">
                  <c:v>0.11332468572476186</c:v>
                </c:pt>
                <c:pt idx="1510">
                  <c:v>0.11332468572476186</c:v>
                </c:pt>
                <c:pt idx="1511">
                  <c:v>0.11332468572476186</c:v>
                </c:pt>
                <c:pt idx="1512">
                  <c:v>0.11332468572476186</c:v>
                </c:pt>
                <c:pt idx="1513">
                  <c:v>0.11332468572476186</c:v>
                </c:pt>
                <c:pt idx="1514">
                  <c:v>0.11332468572476186</c:v>
                </c:pt>
                <c:pt idx="1515">
                  <c:v>0.11332468572476186</c:v>
                </c:pt>
                <c:pt idx="1516">
                  <c:v>0.11332468572476186</c:v>
                </c:pt>
                <c:pt idx="1517">
                  <c:v>0.11332468572476186</c:v>
                </c:pt>
                <c:pt idx="1518">
                  <c:v>0.11332468572476186</c:v>
                </c:pt>
                <c:pt idx="1519">
                  <c:v>0.11332468572476186</c:v>
                </c:pt>
                <c:pt idx="1520">
                  <c:v>0.11332468572476186</c:v>
                </c:pt>
                <c:pt idx="1521">
                  <c:v>0.11332468572476186</c:v>
                </c:pt>
                <c:pt idx="1522">
                  <c:v>0.11332468572476186</c:v>
                </c:pt>
                <c:pt idx="1523">
                  <c:v>0.11332468572476186</c:v>
                </c:pt>
                <c:pt idx="1524">
                  <c:v>0.11332468572476186</c:v>
                </c:pt>
                <c:pt idx="1525">
                  <c:v>0.11332468572476186</c:v>
                </c:pt>
                <c:pt idx="1526">
                  <c:v>0.11332468572476186</c:v>
                </c:pt>
                <c:pt idx="1527">
                  <c:v>0.11332468572476186</c:v>
                </c:pt>
                <c:pt idx="1528">
                  <c:v>0.11332468572476186</c:v>
                </c:pt>
                <c:pt idx="1529">
                  <c:v>0.11332468572476186</c:v>
                </c:pt>
                <c:pt idx="1530">
                  <c:v>0.11332468572476186</c:v>
                </c:pt>
                <c:pt idx="1531">
                  <c:v>0.11332468572476186</c:v>
                </c:pt>
                <c:pt idx="1532">
                  <c:v>0.11332468572476186</c:v>
                </c:pt>
                <c:pt idx="1533">
                  <c:v>0.11332468572476186</c:v>
                </c:pt>
                <c:pt idx="1534">
                  <c:v>0.11332468572476186</c:v>
                </c:pt>
                <c:pt idx="1535">
                  <c:v>0.11332468572476186</c:v>
                </c:pt>
                <c:pt idx="1536">
                  <c:v>0.11332468572476186</c:v>
                </c:pt>
                <c:pt idx="1537">
                  <c:v>0.11332468572476186</c:v>
                </c:pt>
                <c:pt idx="1538">
                  <c:v>0.11332468572476186</c:v>
                </c:pt>
                <c:pt idx="1539">
                  <c:v>0.11332468572476186</c:v>
                </c:pt>
                <c:pt idx="1540">
                  <c:v>0.11332468572476186</c:v>
                </c:pt>
                <c:pt idx="1541">
                  <c:v>0.11332468572476186</c:v>
                </c:pt>
                <c:pt idx="1542">
                  <c:v>0.11332468572476186</c:v>
                </c:pt>
                <c:pt idx="1543">
                  <c:v>0.11332468572476186</c:v>
                </c:pt>
                <c:pt idx="1544">
                  <c:v>0.11332468572476186</c:v>
                </c:pt>
                <c:pt idx="1545">
                  <c:v>0.11332468572476186</c:v>
                </c:pt>
                <c:pt idx="1546">
                  <c:v>0.11332468572476186</c:v>
                </c:pt>
                <c:pt idx="1547">
                  <c:v>0.11332468572476186</c:v>
                </c:pt>
                <c:pt idx="1548">
                  <c:v>0.11332468572476186</c:v>
                </c:pt>
                <c:pt idx="1549">
                  <c:v>0.11332468572476186</c:v>
                </c:pt>
                <c:pt idx="1550">
                  <c:v>0.11332468572476186</c:v>
                </c:pt>
                <c:pt idx="1551">
                  <c:v>0.11332468572476186</c:v>
                </c:pt>
                <c:pt idx="1552">
                  <c:v>0.11332468572476186</c:v>
                </c:pt>
                <c:pt idx="1553">
                  <c:v>0.11332468572476186</c:v>
                </c:pt>
                <c:pt idx="1554">
                  <c:v>0.11332468572476186</c:v>
                </c:pt>
                <c:pt idx="1555">
                  <c:v>0.11332468572476186</c:v>
                </c:pt>
                <c:pt idx="1556">
                  <c:v>0.11332468572476186</c:v>
                </c:pt>
                <c:pt idx="1557">
                  <c:v>0.11332468572476186</c:v>
                </c:pt>
                <c:pt idx="1558">
                  <c:v>0.11332468572476186</c:v>
                </c:pt>
                <c:pt idx="1559">
                  <c:v>0.11332468572476186</c:v>
                </c:pt>
                <c:pt idx="1560">
                  <c:v>0.11332468572476186</c:v>
                </c:pt>
                <c:pt idx="1561">
                  <c:v>0.11332468572476186</c:v>
                </c:pt>
                <c:pt idx="1562">
                  <c:v>0.11332468572476186</c:v>
                </c:pt>
                <c:pt idx="1563">
                  <c:v>0.11332468572476186</c:v>
                </c:pt>
                <c:pt idx="1564">
                  <c:v>0.11332468572476186</c:v>
                </c:pt>
                <c:pt idx="1565">
                  <c:v>0.11332468572476186</c:v>
                </c:pt>
                <c:pt idx="1566">
                  <c:v>0.11332468572476186</c:v>
                </c:pt>
                <c:pt idx="1567">
                  <c:v>0.11332468572476186</c:v>
                </c:pt>
                <c:pt idx="1568">
                  <c:v>0.11332468572476186</c:v>
                </c:pt>
                <c:pt idx="1569">
                  <c:v>0.11332468572476186</c:v>
                </c:pt>
                <c:pt idx="1570">
                  <c:v>0.11332468572476186</c:v>
                </c:pt>
                <c:pt idx="1571">
                  <c:v>0.11332468572476186</c:v>
                </c:pt>
                <c:pt idx="1572">
                  <c:v>0.11332468572476186</c:v>
                </c:pt>
                <c:pt idx="1573">
                  <c:v>0.11332468572476186</c:v>
                </c:pt>
                <c:pt idx="1574">
                  <c:v>0.11332468572476186</c:v>
                </c:pt>
                <c:pt idx="1575">
                  <c:v>0.11332468572476186</c:v>
                </c:pt>
                <c:pt idx="1576">
                  <c:v>0.11332468572476186</c:v>
                </c:pt>
                <c:pt idx="1577">
                  <c:v>0.11332468572476186</c:v>
                </c:pt>
                <c:pt idx="1578">
                  <c:v>0.11332468572476186</c:v>
                </c:pt>
                <c:pt idx="1579">
                  <c:v>0.11332468572476186</c:v>
                </c:pt>
                <c:pt idx="1580">
                  <c:v>0.11332468572476186</c:v>
                </c:pt>
                <c:pt idx="1581">
                  <c:v>0.11332468572476186</c:v>
                </c:pt>
                <c:pt idx="1582">
                  <c:v>0.11332468572476186</c:v>
                </c:pt>
                <c:pt idx="1583">
                  <c:v>0.11332468572476186</c:v>
                </c:pt>
                <c:pt idx="1584">
                  <c:v>0.11332468572476186</c:v>
                </c:pt>
                <c:pt idx="1585">
                  <c:v>0.11332468572476186</c:v>
                </c:pt>
                <c:pt idx="1586">
                  <c:v>0.11332468572476186</c:v>
                </c:pt>
                <c:pt idx="1587">
                  <c:v>0.11332468572476186</c:v>
                </c:pt>
                <c:pt idx="1588">
                  <c:v>0.11332468572476186</c:v>
                </c:pt>
                <c:pt idx="1589">
                  <c:v>0.11332468572476186</c:v>
                </c:pt>
                <c:pt idx="1590">
                  <c:v>0.11332468572476186</c:v>
                </c:pt>
                <c:pt idx="1591">
                  <c:v>0.11332468572476186</c:v>
                </c:pt>
                <c:pt idx="1592">
                  <c:v>0.11332468572476186</c:v>
                </c:pt>
                <c:pt idx="1593">
                  <c:v>0.11332468572476186</c:v>
                </c:pt>
                <c:pt idx="1594">
                  <c:v>0.11332468572476186</c:v>
                </c:pt>
                <c:pt idx="1595">
                  <c:v>0.11332468572476186</c:v>
                </c:pt>
                <c:pt idx="1596">
                  <c:v>0.11332468572476186</c:v>
                </c:pt>
                <c:pt idx="1597">
                  <c:v>0.11332468572476186</c:v>
                </c:pt>
                <c:pt idx="1598">
                  <c:v>0.11332468572476186</c:v>
                </c:pt>
                <c:pt idx="1599">
                  <c:v>0.11332468572476186</c:v>
                </c:pt>
                <c:pt idx="1600">
                  <c:v>0.11332468572476186</c:v>
                </c:pt>
                <c:pt idx="1601">
                  <c:v>0.11332468572476186</c:v>
                </c:pt>
                <c:pt idx="1602">
                  <c:v>0.11332468572476186</c:v>
                </c:pt>
                <c:pt idx="1603">
                  <c:v>0.11332468572476186</c:v>
                </c:pt>
                <c:pt idx="1604">
                  <c:v>0.11332468572476186</c:v>
                </c:pt>
                <c:pt idx="1605">
                  <c:v>0.11332468572476186</c:v>
                </c:pt>
                <c:pt idx="1606">
                  <c:v>0.11332468572476186</c:v>
                </c:pt>
                <c:pt idx="1607">
                  <c:v>0.11332468572476186</c:v>
                </c:pt>
                <c:pt idx="1608">
                  <c:v>0.11332468572476186</c:v>
                </c:pt>
                <c:pt idx="1609">
                  <c:v>0.11332468572476186</c:v>
                </c:pt>
                <c:pt idx="1610">
                  <c:v>0.11332468572476186</c:v>
                </c:pt>
                <c:pt idx="1611">
                  <c:v>0.11332468572476186</c:v>
                </c:pt>
                <c:pt idx="1612">
                  <c:v>0.11332468572476186</c:v>
                </c:pt>
                <c:pt idx="1613">
                  <c:v>0.11332468572476186</c:v>
                </c:pt>
                <c:pt idx="1614">
                  <c:v>0.11332468572476186</c:v>
                </c:pt>
                <c:pt idx="1615">
                  <c:v>0.11332468572476186</c:v>
                </c:pt>
                <c:pt idx="1616">
                  <c:v>0.11332468572476186</c:v>
                </c:pt>
                <c:pt idx="1617">
                  <c:v>0.11332468572476186</c:v>
                </c:pt>
                <c:pt idx="1618">
                  <c:v>0.11332468572476186</c:v>
                </c:pt>
                <c:pt idx="1619">
                  <c:v>0.11332468572476186</c:v>
                </c:pt>
                <c:pt idx="1620">
                  <c:v>0.11332468572476186</c:v>
                </c:pt>
                <c:pt idx="1621">
                  <c:v>0.11332468572476186</c:v>
                </c:pt>
                <c:pt idx="1622">
                  <c:v>0.11332468572476186</c:v>
                </c:pt>
                <c:pt idx="1623">
                  <c:v>0.11332468572476186</c:v>
                </c:pt>
                <c:pt idx="1624">
                  <c:v>0.11332468572476186</c:v>
                </c:pt>
                <c:pt idx="1625">
                  <c:v>0.11332468572476186</c:v>
                </c:pt>
                <c:pt idx="1626">
                  <c:v>0.11332468572476186</c:v>
                </c:pt>
                <c:pt idx="1627">
                  <c:v>0.11332468572476186</c:v>
                </c:pt>
                <c:pt idx="1628">
                  <c:v>0.11332468572476186</c:v>
                </c:pt>
                <c:pt idx="1629">
                  <c:v>0.11332468572476186</c:v>
                </c:pt>
                <c:pt idx="1630">
                  <c:v>0.11332468572476186</c:v>
                </c:pt>
                <c:pt idx="1631">
                  <c:v>0.11332468572476186</c:v>
                </c:pt>
                <c:pt idx="1632">
                  <c:v>0.11332468572476186</c:v>
                </c:pt>
                <c:pt idx="1633">
                  <c:v>0.11332468572476186</c:v>
                </c:pt>
                <c:pt idx="1634">
                  <c:v>0.11332468572476186</c:v>
                </c:pt>
                <c:pt idx="1635">
                  <c:v>0.11332468572476186</c:v>
                </c:pt>
                <c:pt idx="1636">
                  <c:v>0.11332468572476186</c:v>
                </c:pt>
                <c:pt idx="1637">
                  <c:v>0.11332468572476186</c:v>
                </c:pt>
                <c:pt idx="1638">
                  <c:v>0.11332468572476186</c:v>
                </c:pt>
                <c:pt idx="1639">
                  <c:v>0.11332468572476186</c:v>
                </c:pt>
                <c:pt idx="1640">
                  <c:v>0.11332468572476186</c:v>
                </c:pt>
                <c:pt idx="1641">
                  <c:v>0.11332468572476186</c:v>
                </c:pt>
                <c:pt idx="1642">
                  <c:v>0.11332468572476186</c:v>
                </c:pt>
                <c:pt idx="1643">
                  <c:v>0.11332468572476186</c:v>
                </c:pt>
                <c:pt idx="1644">
                  <c:v>0.11332468572476186</c:v>
                </c:pt>
                <c:pt idx="1645">
                  <c:v>0.11332468572476186</c:v>
                </c:pt>
                <c:pt idx="1646">
                  <c:v>0.11332468572476186</c:v>
                </c:pt>
                <c:pt idx="1647">
                  <c:v>0.11332468572476186</c:v>
                </c:pt>
                <c:pt idx="1648">
                  <c:v>0.11332468572476186</c:v>
                </c:pt>
                <c:pt idx="1649">
                  <c:v>0.11332468572476186</c:v>
                </c:pt>
                <c:pt idx="1650">
                  <c:v>0.11332468572476186</c:v>
                </c:pt>
                <c:pt idx="1651">
                  <c:v>0.11332468572476186</c:v>
                </c:pt>
                <c:pt idx="1652">
                  <c:v>0.11332468572476186</c:v>
                </c:pt>
                <c:pt idx="1653">
                  <c:v>0.11332468572476186</c:v>
                </c:pt>
                <c:pt idx="1654">
                  <c:v>0.11332468572476186</c:v>
                </c:pt>
                <c:pt idx="1655">
                  <c:v>0.11332468572476186</c:v>
                </c:pt>
                <c:pt idx="1656">
                  <c:v>0.11332468572476186</c:v>
                </c:pt>
                <c:pt idx="1657">
                  <c:v>0.11332468572476186</c:v>
                </c:pt>
                <c:pt idx="1658">
                  <c:v>0.11332468572476186</c:v>
                </c:pt>
                <c:pt idx="1659">
                  <c:v>0.11332468572476186</c:v>
                </c:pt>
                <c:pt idx="1660">
                  <c:v>0.11332468572476186</c:v>
                </c:pt>
                <c:pt idx="1661">
                  <c:v>0.11332468572476186</c:v>
                </c:pt>
                <c:pt idx="1662">
                  <c:v>0.11332468572476186</c:v>
                </c:pt>
                <c:pt idx="1663">
                  <c:v>0.11332468572476186</c:v>
                </c:pt>
                <c:pt idx="1664">
                  <c:v>0.11332468572476186</c:v>
                </c:pt>
                <c:pt idx="1665">
                  <c:v>0.11332468572476186</c:v>
                </c:pt>
                <c:pt idx="1666">
                  <c:v>0.11332468572476186</c:v>
                </c:pt>
                <c:pt idx="1667">
                  <c:v>0.11332468572476186</c:v>
                </c:pt>
                <c:pt idx="1668">
                  <c:v>0.11332468572476186</c:v>
                </c:pt>
                <c:pt idx="1669">
                  <c:v>0.11332468572476186</c:v>
                </c:pt>
                <c:pt idx="1670">
                  <c:v>0.11332468572476186</c:v>
                </c:pt>
                <c:pt idx="1671">
                  <c:v>0.11332468572476186</c:v>
                </c:pt>
                <c:pt idx="1672">
                  <c:v>0.11332468572476186</c:v>
                </c:pt>
                <c:pt idx="1673">
                  <c:v>0.11332468572476186</c:v>
                </c:pt>
                <c:pt idx="1674">
                  <c:v>0.11332468572476186</c:v>
                </c:pt>
                <c:pt idx="1675">
                  <c:v>0.11332468572476186</c:v>
                </c:pt>
                <c:pt idx="1676">
                  <c:v>0.11332468572476186</c:v>
                </c:pt>
                <c:pt idx="1677">
                  <c:v>0.11332468572476186</c:v>
                </c:pt>
                <c:pt idx="1678">
                  <c:v>0.11332468572476186</c:v>
                </c:pt>
                <c:pt idx="1679">
                  <c:v>0.11332468572476186</c:v>
                </c:pt>
                <c:pt idx="1680">
                  <c:v>0.11332468572476186</c:v>
                </c:pt>
                <c:pt idx="1681">
                  <c:v>0.11332468572476186</c:v>
                </c:pt>
                <c:pt idx="1682">
                  <c:v>0.11332468572476186</c:v>
                </c:pt>
                <c:pt idx="1683">
                  <c:v>0.11332468572476186</c:v>
                </c:pt>
                <c:pt idx="1684">
                  <c:v>0.11332468572476186</c:v>
                </c:pt>
                <c:pt idx="1685">
                  <c:v>0.11332468572476186</c:v>
                </c:pt>
                <c:pt idx="1686">
                  <c:v>0.11332468572476186</c:v>
                </c:pt>
                <c:pt idx="1687">
                  <c:v>0.11332468572476186</c:v>
                </c:pt>
                <c:pt idx="1688">
                  <c:v>0.11332468572476186</c:v>
                </c:pt>
                <c:pt idx="1689">
                  <c:v>0.11332468572476186</c:v>
                </c:pt>
                <c:pt idx="1690">
                  <c:v>0.11332468572476186</c:v>
                </c:pt>
                <c:pt idx="1691">
                  <c:v>0.11332468572476186</c:v>
                </c:pt>
                <c:pt idx="1692">
                  <c:v>0.11332468572476186</c:v>
                </c:pt>
                <c:pt idx="1693">
                  <c:v>0.11332468572476186</c:v>
                </c:pt>
                <c:pt idx="1694">
                  <c:v>0.11332468572476186</c:v>
                </c:pt>
                <c:pt idx="1695">
                  <c:v>0.11332468572476186</c:v>
                </c:pt>
                <c:pt idx="1696">
                  <c:v>0.11332468572476186</c:v>
                </c:pt>
                <c:pt idx="1697">
                  <c:v>0.11332468572476186</c:v>
                </c:pt>
                <c:pt idx="1698">
                  <c:v>0.11332468572476186</c:v>
                </c:pt>
                <c:pt idx="1699">
                  <c:v>0.11332468572476186</c:v>
                </c:pt>
                <c:pt idx="1700">
                  <c:v>0.11332468572476186</c:v>
                </c:pt>
                <c:pt idx="1701">
                  <c:v>0.11332468572476186</c:v>
                </c:pt>
                <c:pt idx="1702">
                  <c:v>0.11332468572476186</c:v>
                </c:pt>
                <c:pt idx="1703">
                  <c:v>0.11332468572476186</c:v>
                </c:pt>
                <c:pt idx="1704">
                  <c:v>0.11332468572476186</c:v>
                </c:pt>
                <c:pt idx="1705">
                  <c:v>0.11332468572476186</c:v>
                </c:pt>
                <c:pt idx="1706">
                  <c:v>0.11332468572476186</c:v>
                </c:pt>
                <c:pt idx="1707">
                  <c:v>0.11332468572476186</c:v>
                </c:pt>
                <c:pt idx="1708">
                  <c:v>0.11332468572476186</c:v>
                </c:pt>
                <c:pt idx="1709">
                  <c:v>0.11332468572476186</c:v>
                </c:pt>
                <c:pt idx="1710">
                  <c:v>0.11332468572476186</c:v>
                </c:pt>
                <c:pt idx="1711">
                  <c:v>0.11332468572476186</c:v>
                </c:pt>
                <c:pt idx="1712">
                  <c:v>0.11332468572476186</c:v>
                </c:pt>
                <c:pt idx="1713">
                  <c:v>0.11332468572476186</c:v>
                </c:pt>
                <c:pt idx="1714">
                  <c:v>0.11332468572476186</c:v>
                </c:pt>
                <c:pt idx="1715">
                  <c:v>0.11332468572476186</c:v>
                </c:pt>
                <c:pt idx="1716">
                  <c:v>0.11332468572476186</c:v>
                </c:pt>
                <c:pt idx="1717">
                  <c:v>0.11332468572476186</c:v>
                </c:pt>
                <c:pt idx="1718">
                  <c:v>0.11332468572476186</c:v>
                </c:pt>
                <c:pt idx="1719">
                  <c:v>0.11332468572476186</c:v>
                </c:pt>
                <c:pt idx="1720">
                  <c:v>0.11332468572476186</c:v>
                </c:pt>
                <c:pt idx="1721">
                  <c:v>0.11332468572476186</c:v>
                </c:pt>
                <c:pt idx="1722">
                  <c:v>0.11332468572476186</c:v>
                </c:pt>
                <c:pt idx="1723">
                  <c:v>0.11332468572476186</c:v>
                </c:pt>
                <c:pt idx="1724">
                  <c:v>0.11332468572476186</c:v>
                </c:pt>
                <c:pt idx="1725">
                  <c:v>0.11332468572476186</c:v>
                </c:pt>
                <c:pt idx="1726">
                  <c:v>0.11332468572476186</c:v>
                </c:pt>
                <c:pt idx="1727">
                  <c:v>0.11332468572476186</c:v>
                </c:pt>
                <c:pt idx="1728">
                  <c:v>0.11332468572476186</c:v>
                </c:pt>
                <c:pt idx="1729">
                  <c:v>0.11332468572476186</c:v>
                </c:pt>
                <c:pt idx="1730">
                  <c:v>0.11332468572476186</c:v>
                </c:pt>
                <c:pt idx="1731">
                  <c:v>0.11332468572476186</c:v>
                </c:pt>
                <c:pt idx="1732">
                  <c:v>0.11332468572476186</c:v>
                </c:pt>
                <c:pt idx="1733">
                  <c:v>0.11332468572476186</c:v>
                </c:pt>
                <c:pt idx="1734">
                  <c:v>0.11332468572476186</c:v>
                </c:pt>
                <c:pt idx="1735">
                  <c:v>0.11332468572476186</c:v>
                </c:pt>
                <c:pt idx="1736">
                  <c:v>0.11332468572476186</c:v>
                </c:pt>
                <c:pt idx="1737">
                  <c:v>0.11332468572476186</c:v>
                </c:pt>
                <c:pt idx="1738">
                  <c:v>0.11332468572476186</c:v>
                </c:pt>
                <c:pt idx="1739">
                  <c:v>0.11332468572476186</c:v>
                </c:pt>
                <c:pt idx="1740">
                  <c:v>0.11332468572476186</c:v>
                </c:pt>
                <c:pt idx="1741">
                  <c:v>0.11332468572476186</c:v>
                </c:pt>
                <c:pt idx="1742">
                  <c:v>0.11332468572476186</c:v>
                </c:pt>
                <c:pt idx="1743">
                  <c:v>0.11332468572476186</c:v>
                </c:pt>
                <c:pt idx="1744">
                  <c:v>0.11332468572476186</c:v>
                </c:pt>
                <c:pt idx="1745">
                  <c:v>0.11332468572476186</c:v>
                </c:pt>
                <c:pt idx="1746">
                  <c:v>0.11332468572476186</c:v>
                </c:pt>
                <c:pt idx="1747">
                  <c:v>0.11332468572476186</c:v>
                </c:pt>
                <c:pt idx="1748">
                  <c:v>0.11332468572476186</c:v>
                </c:pt>
                <c:pt idx="1749">
                  <c:v>0.11332468572476186</c:v>
                </c:pt>
                <c:pt idx="1750">
                  <c:v>0.11332468572476186</c:v>
                </c:pt>
                <c:pt idx="1751">
                  <c:v>0.11332468572476186</c:v>
                </c:pt>
                <c:pt idx="1752">
                  <c:v>0.11332468572476186</c:v>
                </c:pt>
                <c:pt idx="1753">
                  <c:v>0.11332468572476186</c:v>
                </c:pt>
                <c:pt idx="1754">
                  <c:v>0.11332468572476186</c:v>
                </c:pt>
                <c:pt idx="1755">
                  <c:v>0.11332468572476186</c:v>
                </c:pt>
                <c:pt idx="1756">
                  <c:v>0.11332468572476186</c:v>
                </c:pt>
                <c:pt idx="1757">
                  <c:v>0.11332468572476186</c:v>
                </c:pt>
                <c:pt idx="1758">
                  <c:v>0.11332468572476186</c:v>
                </c:pt>
                <c:pt idx="1759">
                  <c:v>0.11332468572476186</c:v>
                </c:pt>
                <c:pt idx="1760">
                  <c:v>0.11332468572476186</c:v>
                </c:pt>
                <c:pt idx="1761">
                  <c:v>0.11332468572476186</c:v>
                </c:pt>
                <c:pt idx="1762">
                  <c:v>0.11332468572476186</c:v>
                </c:pt>
                <c:pt idx="1763">
                  <c:v>0.11332468572476186</c:v>
                </c:pt>
                <c:pt idx="1764">
                  <c:v>0.11332468572476186</c:v>
                </c:pt>
                <c:pt idx="1765">
                  <c:v>0.11332468572476186</c:v>
                </c:pt>
                <c:pt idx="1766">
                  <c:v>0.11332468572476186</c:v>
                </c:pt>
                <c:pt idx="1767">
                  <c:v>0.11332468572476186</c:v>
                </c:pt>
                <c:pt idx="1768">
                  <c:v>0.11332468572476186</c:v>
                </c:pt>
                <c:pt idx="1769">
                  <c:v>0.11332468572476186</c:v>
                </c:pt>
                <c:pt idx="1770">
                  <c:v>0.11332468572476186</c:v>
                </c:pt>
                <c:pt idx="1771">
                  <c:v>0.11332468572476186</c:v>
                </c:pt>
                <c:pt idx="1772">
                  <c:v>0.11332468572476186</c:v>
                </c:pt>
                <c:pt idx="1773">
                  <c:v>0.11332468572476186</c:v>
                </c:pt>
                <c:pt idx="1774">
                  <c:v>0.11332468572476186</c:v>
                </c:pt>
                <c:pt idx="1775">
                  <c:v>0.11332468572476186</c:v>
                </c:pt>
                <c:pt idx="1776">
                  <c:v>0.11332468572476186</c:v>
                </c:pt>
                <c:pt idx="1777">
                  <c:v>0.11332468572476186</c:v>
                </c:pt>
                <c:pt idx="1778">
                  <c:v>0.11332468572476186</c:v>
                </c:pt>
                <c:pt idx="1779">
                  <c:v>0.11332468572476186</c:v>
                </c:pt>
                <c:pt idx="1780">
                  <c:v>0.11332468572476186</c:v>
                </c:pt>
                <c:pt idx="1781">
                  <c:v>0.11332468572476186</c:v>
                </c:pt>
                <c:pt idx="1782">
                  <c:v>0.11332468572476186</c:v>
                </c:pt>
                <c:pt idx="1783">
                  <c:v>0.11332468572476186</c:v>
                </c:pt>
                <c:pt idx="1784">
                  <c:v>0.11332468572476186</c:v>
                </c:pt>
                <c:pt idx="1785">
                  <c:v>0.11332468572476186</c:v>
                </c:pt>
                <c:pt idx="1786">
                  <c:v>0.11332468572476186</c:v>
                </c:pt>
                <c:pt idx="1787">
                  <c:v>0.11332468572476186</c:v>
                </c:pt>
                <c:pt idx="1788">
                  <c:v>0.11332468572476186</c:v>
                </c:pt>
                <c:pt idx="1789">
                  <c:v>0.11332468572476186</c:v>
                </c:pt>
                <c:pt idx="1790">
                  <c:v>0.11332468572476186</c:v>
                </c:pt>
                <c:pt idx="1791">
                  <c:v>0.11332468572476186</c:v>
                </c:pt>
                <c:pt idx="1792">
                  <c:v>0.11332468572476186</c:v>
                </c:pt>
                <c:pt idx="1793">
                  <c:v>0.11332468572476186</c:v>
                </c:pt>
                <c:pt idx="1794">
                  <c:v>0.11332468572476186</c:v>
                </c:pt>
                <c:pt idx="1795">
                  <c:v>0.11332468572476186</c:v>
                </c:pt>
                <c:pt idx="1796">
                  <c:v>0.11332468572476186</c:v>
                </c:pt>
                <c:pt idx="1797">
                  <c:v>0.11332468572476186</c:v>
                </c:pt>
                <c:pt idx="1798">
                  <c:v>0.11332468572476186</c:v>
                </c:pt>
                <c:pt idx="1799">
                  <c:v>0.11332468572476186</c:v>
                </c:pt>
                <c:pt idx="1800">
                  <c:v>0.11332468572476186</c:v>
                </c:pt>
                <c:pt idx="1801">
                  <c:v>0.11332468572476186</c:v>
                </c:pt>
                <c:pt idx="1802">
                  <c:v>0.11332468572476186</c:v>
                </c:pt>
                <c:pt idx="1803">
                  <c:v>0.11332468572476186</c:v>
                </c:pt>
                <c:pt idx="1804">
                  <c:v>0.11332468572476186</c:v>
                </c:pt>
                <c:pt idx="1805">
                  <c:v>0.11332468572476186</c:v>
                </c:pt>
                <c:pt idx="1806">
                  <c:v>0.11332468572476186</c:v>
                </c:pt>
                <c:pt idx="1807">
                  <c:v>0.11332468572476186</c:v>
                </c:pt>
                <c:pt idx="1808">
                  <c:v>0.11332468572476186</c:v>
                </c:pt>
                <c:pt idx="1809">
                  <c:v>0.11332468572476186</c:v>
                </c:pt>
                <c:pt idx="1810">
                  <c:v>0.11332468572476186</c:v>
                </c:pt>
                <c:pt idx="1811">
                  <c:v>0.11332468572476186</c:v>
                </c:pt>
                <c:pt idx="1812">
                  <c:v>0.11332468572476186</c:v>
                </c:pt>
                <c:pt idx="1813">
                  <c:v>0.11332468572476186</c:v>
                </c:pt>
                <c:pt idx="1814">
                  <c:v>0.11332468572476186</c:v>
                </c:pt>
                <c:pt idx="1815">
                  <c:v>0.11332468572476186</c:v>
                </c:pt>
                <c:pt idx="1816">
                  <c:v>0.11332468572476186</c:v>
                </c:pt>
                <c:pt idx="1817">
                  <c:v>0.11332468572476186</c:v>
                </c:pt>
                <c:pt idx="1818">
                  <c:v>0.11332468572476186</c:v>
                </c:pt>
                <c:pt idx="1819">
                  <c:v>0.11332468572476186</c:v>
                </c:pt>
                <c:pt idx="1820">
                  <c:v>0.11332468572476186</c:v>
                </c:pt>
                <c:pt idx="1821">
                  <c:v>0.11332468572476186</c:v>
                </c:pt>
                <c:pt idx="1822">
                  <c:v>0.11332468572476186</c:v>
                </c:pt>
                <c:pt idx="1823">
                  <c:v>0.11332468572476186</c:v>
                </c:pt>
                <c:pt idx="1824">
                  <c:v>0.11332468572476186</c:v>
                </c:pt>
                <c:pt idx="1825">
                  <c:v>0.11332468572476186</c:v>
                </c:pt>
                <c:pt idx="1826">
                  <c:v>0.11332468572476186</c:v>
                </c:pt>
                <c:pt idx="1827">
                  <c:v>0.11332468572476186</c:v>
                </c:pt>
                <c:pt idx="1828">
                  <c:v>0.11332468572476186</c:v>
                </c:pt>
                <c:pt idx="1829">
                  <c:v>0.11332468572476186</c:v>
                </c:pt>
                <c:pt idx="1830">
                  <c:v>0.11332468572476186</c:v>
                </c:pt>
                <c:pt idx="1831">
                  <c:v>0.11332468572476186</c:v>
                </c:pt>
                <c:pt idx="1832">
                  <c:v>0.11332468572476186</c:v>
                </c:pt>
                <c:pt idx="1833">
                  <c:v>0.11332468572476186</c:v>
                </c:pt>
                <c:pt idx="1834">
                  <c:v>0.11332468572476186</c:v>
                </c:pt>
                <c:pt idx="1835">
                  <c:v>0.11332468572476186</c:v>
                </c:pt>
                <c:pt idx="1836">
                  <c:v>0.11332468572476186</c:v>
                </c:pt>
                <c:pt idx="1837">
                  <c:v>0.11332468572476186</c:v>
                </c:pt>
                <c:pt idx="1838">
                  <c:v>0.11332468572476186</c:v>
                </c:pt>
                <c:pt idx="1839">
                  <c:v>0.11332468572476186</c:v>
                </c:pt>
                <c:pt idx="1840">
                  <c:v>0.11332468572476186</c:v>
                </c:pt>
                <c:pt idx="1841">
                  <c:v>0.11332468572476186</c:v>
                </c:pt>
                <c:pt idx="1842">
                  <c:v>0.11332468572476186</c:v>
                </c:pt>
                <c:pt idx="1843">
                  <c:v>0.11332468572476186</c:v>
                </c:pt>
                <c:pt idx="1844">
                  <c:v>0.11332468572476186</c:v>
                </c:pt>
                <c:pt idx="1845">
                  <c:v>0.11332468572476186</c:v>
                </c:pt>
                <c:pt idx="1846">
                  <c:v>0.11332468572476186</c:v>
                </c:pt>
                <c:pt idx="1847">
                  <c:v>0.11332468572476186</c:v>
                </c:pt>
                <c:pt idx="1848">
                  <c:v>0.11332468572476186</c:v>
                </c:pt>
                <c:pt idx="1849">
                  <c:v>0.11332468572476186</c:v>
                </c:pt>
                <c:pt idx="1850">
                  <c:v>0.11332468572476186</c:v>
                </c:pt>
                <c:pt idx="1851">
                  <c:v>0.11332468572476186</c:v>
                </c:pt>
                <c:pt idx="1852">
                  <c:v>0.11332468572476186</c:v>
                </c:pt>
                <c:pt idx="1853">
                  <c:v>0.11332468572476186</c:v>
                </c:pt>
                <c:pt idx="1854">
                  <c:v>0.11332468572476186</c:v>
                </c:pt>
                <c:pt idx="1855">
                  <c:v>0.11332468572476186</c:v>
                </c:pt>
                <c:pt idx="1856">
                  <c:v>0.11332468572476186</c:v>
                </c:pt>
                <c:pt idx="1857">
                  <c:v>0.11332468572476186</c:v>
                </c:pt>
                <c:pt idx="1858">
                  <c:v>0.11332468572476186</c:v>
                </c:pt>
                <c:pt idx="1859">
                  <c:v>0.11332468572476186</c:v>
                </c:pt>
                <c:pt idx="1860">
                  <c:v>0.11332468572476186</c:v>
                </c:pt>
                <c:pt idx="1861">
                  <c:v>0.11332468572476186</c:v>
                </c:pt>
                <c:pt idx="1862">
                  <c:v>0.11332468572476186</c:v>
                </c:pt>
                <c:pt idx="1863">
                  <c:v>0.11332468572476186</c:v>
                </c:pt>
                <c:pt idx="1864">
                  <c:v>0.11332468572476186</c:v>
                </c:pt>
                <c:pt idx="1865">
                  <c:v>0.11332468572476186</c:v>
                </c:pt>
                <c:pt idx="1866">
                  <c:v>0.11332468572476186</c:v>
                </c:pt>
                <c:pt idx="1867">
                  <c:v>0.11332468572476186</c:v>
                </c:pt>
                <c:pt idx="1868">
                  <c:v>0.11332468572476186</c:v>
                </c:pt>
                <c:pt idx="1869">
                  <c:v>0.11332468572476186</c:v>
                </c:pt>
                <c:pt idx="1870">
                  <c:v>0.11332468572476186</c:v>
                </c:pt>
                <c:pt idx="1871">
                  <c:v>0.11332468572476186</c:v>
                </c:pt>
                <c:pt idx="1872">
                  <c:v>0.11332468572476186</c:v>
                </c:pt>
                <c:pt idx="1873">
                  <c:v>0.11332468572476186</c:v>
                </c:pt>
                <c:pt idx="1874">
                  <c:v>0.11332468572476186</c:v>
                </c:pt>
                <c:pt idx="1875">
                  <c:v>0.11332468572476186</c:v>
                </c:pt>
                <c:pt idx="1876">
                  <c:v>0.11332468572476186</c:v>
                </c:pt>
                <c:pt idx="1877">
                  <c:v>0.11332468572476186</c:v>
                </c:pt>
                <c:pt idx="1878">
                  <c:v>0.11332468572476186</c:v>
                </c:pt>
                <c:pt idx="1879">
                  <c:v>0.11332468572476186</c:v>
                </c:pt>
                <c:pt idx="1880">
                  <c:v>0.11332468572476186</c:v>
                </c:pt>
                <c:pt idx="1881">
                  <c:v>0.11332468572476186</c:v>
                </c:pt>
                <c:pt idx="1882">
                  <c:v>0.11332468572476186</c:v>
                </c:pt>
                <c:pt idx="1883">
                  <c:v>0.11332468572476186</c:v>
                </c:pt>
                <c:pt idx="1884">
                  <c:v>0.11332468572476186</c:v>
                </c:pt>
                <c:pt idx="1885">
                  <c:v>0.11332468572476186</c:v>
                </c:pt>
                <c:pt idx="1886">
                  <c:v>0.11332468572476186</c:v>
                </c:pt>
                <c:pt idx="1887">
                  <c:v>0.11332468572476186</c:v>
                </c:pt>
                <c:pt idx="1888">
                  <c:v>0.11332468572476186</c:v>
                </c:pt>
                <c:pt idx="1889">
                  <c:v>0.11332468572476186</c:v>
                </c:pt>
                <c:pt idx="1890">
                  <c:v>0.11332468572476186</c:v>
                </c:pt>
                <c:pt idx="1891">
                  <c:v>0.11332468572476186</c:v>
                </c:pt>
                <c:pt idx="1892">
                  <c:v>0.11332468572476186</c:v>
                </c:pt>
                <c:pt idx="1893">
                  <c:v>0.11332468572476186</c:v>
                </c:pt>
                <c:pt idx="1894">
                  <c:v>0.11332468572476186</c:v>
                </c:pt>
                <c:pt idx="1895">
                  <c:v>0.11332468572476186</c:v>
                </c:pt>
                <c:pt idx="1896">
                  <c:v>0.11332468572476186</c:v>
                </c:pt>
                <c:pt idx="1897">
                  <c:v>0.11332468572476186</c:v>
                </c:pt>
                <c:pt idx="1898">
                  <c:v>0.11332468572476186</c:v>
                </c:pt>
                <c:pt idx="1899">
                  <c:v>0.11332468572476186</c:v>
                </c:pt>
                <c:pt idx="1900">
                  <c:v>0.11332468572476186</c:v>
                </c:pt>
                <c:pt idx="1901">
                  <c:v>0.11332468572476186</c:v>
                </c:pt>
                <c:pt idx="1902">
                  <c:v>0.11332468572476186</c:v>
                </c:pt>
                <c:pt idx="1903">
                  <c:v>0.11332468572476186</c:v>
                </c:pt>
                <c:pt idx="1904">
                  <c:v>0.11332468572476186</c:v>
                </c:pt>
                <c:pt idx="1905">
                  <c:v>0.11332468572476186</c:v>
                </c:pt>
                <c:pt idx="1906">
                  <c:v>0.11332468572476186</c:v>
                </c:pt>
                <c:pt idx="1907">
                  <c:v>0.11332468572476186</c:v>
                </c:pt>
                <c:pt idx="1908">
                  <c:v>0.11332468572476186</c:v>
                </c:pt>
                <c:pt idx="1909">
                  <c:v>0.11332468572476186</c:v>
                </c:pt>
                <c:pt idx="1910">
                  <c:v>0.11332468572476186</c:v>
                </c:pt>
                <c:pt idx="1911">
                  <c:v>0.11332468572476186</c:v>
                </c:pt>
                <c:pt idx="1912">
                  <c:v>0.11332468572476186</c:v>
                </c:pt>
                <c:pt idx="1913">
                  <c:v>0.11332468572476186</c:v>
                </c:pt>
                <c:pt idx="1914">
                  <c:v>0.11332468572476186</c:v>
                </c:pt>
                <c:pt idx="1915">
                  <c:v>0.11332468572476186</c:v>
                </c:pt>
                <c:pt idx="1916">
                  <c:v>0.11332468572476186</c:v>
                </c:pt>
                <c:pt idx="1917">
                  <c:v>0.11332468572476186</c:v>
                </c:pt>
                <c:pt idx="1918">
                  <c:v>0.11332468572476186</c:v>
                </c:pt>
                <c:pt idx="1919">
                  <c:v>0.11332468572476186</c:v>
                </c:pt>
                <c:pt idx="1920">
                  <c:v>0.11332468572476186</c:v>
                </c:pt>
                <c:pt idx="1921">
                  <c:v>0.11332468572476186</c:v>
                </c:pt>
                <c:pt idx="1922">
                  <c:v>0.11332468572476186</c:v>
                </c:pt>
                <c:pt idx="1923">
                  <c:v>0.11332468572476186</c:v>
                </c:pt>
                <c:pt idx="1924">
                  <c:v>0.11332468572476186</c:v>
                </c:pt>
                <c:pt idx="1925">
                  <c:v>0.11332468572476186</c:v>
                </c:pt>
                <c:pt idx="1926">
                  <c:v>0.11332468572476186</c:v>
                </c:pt>
                <c:pt idx="1927">
                  <c:v>0.11332468572476186</c:v>
                </c:pt>
                <c:pt idx="1928">
                  <c:v>0.11332468572476186</c:v>
                </c:pt>
                <c:pt idx="1929">
                  <c:v>0.11332468572476186</c:v>
                </c:pt>
                <c:pt idx="1930">
                  <c:v>0.11332468572476186</c:v>
                </c:pt>
                <c:pt idx="1931">
                  <c:v>0.11332468572476186</c:v>
                </c:pt>
                <c:pt idx="1932">
                  <c:v>0.11332468572476186</c:v>
                </c:pt>
                <c:pt idx="1933">
                  <c:v>0.11332468572476186</c:v>
                </c:pt>
                <c:pt idx="1934">
                  <c:v>0.11332468572476186</c:v>
                </c:pt>
                <c:pt idx="1935">
                  <c:v>0.11332468572476186</c:v>
                </c:pt>
                <c:pt idx="1936">
                  <c:v>0.11332468572476186</c:v>
                </c:pt>
                <c:pt idx="1937">
                  <c:v>0.11332468572476186</c:v>
                </c:pt>
                <c:pt idx="1938">
                  <c:v>0.11332468572476186</c:v>
                </c:pt>
                <c:pt idx="1939">
                  <c:v>0.11332468572476186</c:v>
                </c:pt>
                <c:pt idx="1940">
                  <c:v>0.11332468572476186</c:v>
                </c:pt>
                <c:pt idx="1941">
                  <c:v>0.11332468572476186</c:v>
                </c:pt>
                <c:pt idx="1942">
                  <c:v>0.11332468572476186</c:v>
                </c:pt>
                <c:pt idx="1943">
                  <c:v>0.11332468572476186</c:v>
                </c:pt>
                <c:pt idx="1944">
                  <c:v>0.11332468572476186</c:v>
                </c:pt>
                <c:pt idx="1945">
                  <c:v>0.11332468572476186</c:v>
                </c:pt>
                <c:pt idx="1946">
                  <c:v>0.11332468572476186</c:v>
                </c:pt>
                <c:pt idx="1947">
                  <c:v>0.11332468572476186</c:v>
                </c:pt>
                <c:pt idx="1948">
                  <c:v>0.11332468572476186</c:v>
                </c:pt>
                <c:pt idx="1949">
                  <c:v>0.11332468572476186</c:v>
                </c:pt>
                <c:pt idx="1950">
                  <c:v>0.11332468572476186</c:v>
                </c:pt>
                <c:pt idx="1951">
                  <c:v>0.11332468572476186</c:v>
                </c:pt>
                <c:pt idx="1952">
                  <c:v>0.11332468572476186</c:v>
                </c:pt>
                <c:pt idx="1953">
                  <c:v>0.11332468572476186</c:v>
                </c:pt>
                <c:pt idx="1954">
                  <c:v>0.11332468572476186</c:v>
                </c:pt>
                <c:pt idx="1955">
                  <c:v>0.11332468572476186</c:v>
                </c:pt>
                <c:pt idx="1956">
                  <c:v>0.11332468572476186</c:v>
                </c:pt>
                <c:pt idx="1957">
                  <c:v>0.11332468572476186</c:v>
                </c:pt>
                <c:pt idx="1958">
                  <c:v>0.11332468572476186</c:v>
                </c:pt>
                <c:pt idx="1959">
                  <c:v>0.11332468572476186</c:v>
                </c:pt>
                <c:pt idx="1960">
                  <c:v>0.11332468572476186</c:v>
                </c:pt>
                <c:pt idx="1961">
                  <c:v>0.11332468572476186</c:v>
                </c:pt>
                <c:pt idx="1962">
                  <c:v>0.11332468572476186</c:v>
                </c:pt>
                <c:pt idx="1963">
                  <c:v>0.11332468572476186</c:v>
                </c:pt>
                <c:pt idx="1964">
                  <c:v>0.11332468572476186</c:v>
                </c:pt>
                <c:pt idx="1965">
                  <c:v>0.11332468572476186</c:v>
                </c:pt>
                <c:pt idx="1966">
                  <c:v>0.11332468572476186</c:v>
                </c:pt>
                <c:pt idx="1967">
                  <c:v>0.11332468572476186</c:v>
                </c:pt>
                <c:pt idx="1968">
                  <c:v>0.11332468572476186</c:v>
                </c:pt>
                <c:pt idx="1969">
                  <c:v>0.11332468572476186</c:v>
                </c:pt>
                <c:pt idx="1970">
                  <c:v>0.11332468572476186</c:v>
                </c:pt>
                <c:pt idx="1971">
                  <c:v>0.11332468572476186</c:v>
                </c:pt>
                <c:pt idx="1972">
                  <c:v>0.11332468572476186</c:v>
                </c:pt>
                <c:pt idx="1973">
                  <c:v>0.11332468572476186</c:v>
                </c:pt>
                <c:pt idx="1974">
                  <c:v>0.11332468572476186</c:v>
                </c:pt>
                <c:pt idx="1975">
                  <c:v>0.11332468572476186</c:v>
                </c:pt>
                <c:pt idx="1976">
                  <c:v>0.11332468572476186</c:v>
                </c:pt>
                <c:pt idx="1977">
                  <c:v>0.11332468572476186</c:v>
                </c:pt>
                <c:pt idx="1978">
                  <c:v>0.11332468572476186</c:v>
                </c:pt>
                <c:pt idx="1979">
                  <c:v>0.11332468572476186</c:v>
                </c:pt>
                <c:pt idx="1980">
                  <c:v>0.11332468572476186</c:v>
                </c:pt>
                <c:pt idx="1981">
                  <c:v>0.11332468572476186</c:v>
                </c:pt>
                <c:pt idx="1982">
                  <c:v>0.11332468572476186</c:v>
                </c:pt>
                <c:pt idx="1983">
                  <c:v>0.11332468572476186</c:v>
                </c:pt>
                <c:pt idx="1984">
                  <c:v>0.11332468572476186</c:v>
                </c:pt>
                <c:pt idx="1985">
                  <c:v>0.11332468572476186</c:v>
                </c:pt>
                <c:pt idx="1986">
                  <c:v>0.11332468572476186</c:v>
                </c:pt>
                <c:pt idx="1987">
                  <c:v>0.11332468572476186</c:v>
                </c:pt>
                <c:pt idx="1988">
                  <c:v>0.11332468572476186</c:v>
                </c:pt>
                <c:pt idx="1989">
                  <c:v>0.11332468572476186</c:v>
                </c:pt>
                <c:pt idx="1990">
                  <c:v>0.11332468572476186</c:v>
                </c:pt>
                <c:pt idx="1991">
                  <c:v>0.11332468572476186</c:v>
                </c:pt>
                <c:pt idx="1992">
                  <c:v>0.11332468572476186</c:v>
                </c:pt>
                <c:pt idx="1993">
                  <c:v>0.11332468572476186</c:v>
                </c:pt>
                <c:pt idx="1994">
                  <c:v>0.11332468572476186</c:v>
                </c:pt>
                <c:pt idx="1995">
                  <c:v>0.11332468572476186</c:v>
                </c:pt>
                <c:pt idx="1996">
                  <c:v>0.11332468572476186</c:v>
                </c:pt>
                <c:pt idx="1997">
                  <c:v>0.11332468572476186</c:v>
                </c:pt>
                <c:pt idx="1998">
                  <c:v>0.11332468572476186</c:v>
                </c:pt>
                <c:pt idx="1999">
                  <c:v>0.11332468572476186</c:v>
                </c:pt>
                <c:pt idx="2000">
                  <c:v>0.11332468572476186</c:v>
                </c:pt>
                <c:pt idx="2001">
                  <c:v>0.11332468572476186</c:v>
                </c:pt>
                <c:pt idx="2002">
                  <c:v>0.11332468572476186</c:v>
                </c:pt>
                <c:pt idx="2003">
                  <c:v>0.11332468572476186</c:v>
                </c:pt>
                <c:pt idx="2004">
                  <c:v>0.11332468572476186</c:v>
                </c:pt>
                <c:pt idx="2005">
                  <c:v>0.11332468572476186</c:v>
                </c:pt>
                <c:pt idx="2006">
                  <c:v>0.11332468572476186</c:v>
                </c:pt>
                <c:pt idx="2007">
                  <c:v>0.11332468572476186</c:v>
                </c:pt>
                <c:pt idx="2008">
                  <c:v>0.11332468572476186</c:v>
                </c:pt>
                <c:pt idx="2009">
                  <c:v>0.11332468572476186</c:v>
                </c:pt>
                <c:pt idx="2010">
                  <c:v>0.11332468572476186</c:v>
                </c:pt>
                <c:pt idx="2011">
                  <c:v>0.11332468572476186</c:v>
                </c:pt>
                <c:pt idx="2012">
                  <c:v>0.11332468572476186</c:v>
                </c:pt>
                <c:pt idx="2013">
                  <c:v>0.11332468572476186</c:v>
                </c:pt>
                <c:pt idx="2014">
                  <c:v>0.11332468572476186</c:v>
                </c:pt>
                <c:pt idx="2015">
                  <c:v>0.11332468572476186</c:v>
                </c:pt>
                <c:pt idx="2016">
                  <c:v>0.11332468572476186</c:v>
                </c:pt>
                <c:pt idx="2017">
                  <c:v>0.11332468572476186</c:v>
                </c:pt>
                <c:pt idx="2018">
                  <c:v>0.11332468572476186</c:v>
                </c:pt>
                <c:pt idx="2019">
                  <c:v>0.11332468572476186</c:v>
                </c:pt>
                <c:pt idx="2020">
                  <c:v>0.11332468572476186</c:v>
                </c:pt>
                <c:pt idx="2021">
                  <c:v>0.11332468572476186</c:v>
                </c:pt>
                <c:pt idx="2022">
                  <c:v>0.11332468572476186</c:v>
                </c:pt>
                <c:pt idx="2023">
                  <c:v>0.11332468572476186</c:v>
                </c:pt>
                <c:pt idx="2024">
                  <c:v>0.11332468572476186</c:v>
                </c:pt>
                <c:pt idx="2025">
                  <c:v>0.11332468572476186</c:v>
                </c:pt>
                <c:pt idx="2026">
                  <c:v>0.11332468572476186</c:v>
                </c:pt>
                <c:pt idx="2027">
                  <c:v>0.11332468572476186</c:v>
                </c:pt>
                <c:pt idx="2028">
                  <c:v>0.11332468572476186</c:v>
                </c:pt>
                <c:pt idx="2029">
                  <c:v>0.11332468572476186</c:v>
                </c:pt>
                <c:pt idx="2030">
                  <c:v>0.11332468572476186</c:v>
                </c:pt>
                <c:pt idx="2031">
                  <c:v>0.11332468572476186</c:v>
                </c:pt>
                <c:pt idx="2032">
                  <c:v>0.11332468572476186</c:v>
                </c:pt>
                <c:pt idx="2033">
                  <c:v>0.11332468572476186</c:v>
                </c:pt>
                <c:pt idx="2034">
                  <c:v>0.11332468572476186</c:v>
                </c:pt>
                <c:pt idx="2035">
                  <c:v>0.11332468572476186</c:v>
                </c:pt>
                <c:pt idx="2036">
                  <c:v>0.11332468572476186</c:v>
                </c:pt>
                <c:pt idx="2037">
                  <c:v>0.11332468572476186</c:v>
                </c:pt>
                <c:pt idx="2038">
                  <c:v>0.11332468572476186</c:v>
                </c:pt>
                <c:pt idx="2039">
                  <c:v>0.11332468572476186</c:v>
                </c:pt>
                <c:pt idx="2040">
                  <c:v>0.11332468572476186</c:v>
                </c:pt>
                <c:pt idx="2041">
                  <c:v>0.11332468572476186</c:v>
                </c:pt>
                <c:pt idx="2042">
                  <c:v>0.11332468572476186</c:v>
                </c:pt>
                <c:pt idx="2043">
                  <c:v>0.11332468572476186</c:v>
                </c:pt>
                <c:pt idx="2044">
                  <c:v>0.11332468572476186</c:v>
                </c:pt>
                <c:pt idx="2045">
                  <c:v>0.11332468572476186</c:v>
                </c:pt>
                <c:pt idx="2046">
                  <c:v>0.11332468572476186</c:v>
                </c:pt>
                <c:pt idx="2047">
                  <c:v>0.11332468572476186</c:v>
                </c:pt>
                <c:pt idx="2048">
                  <c:v>0.11332468572476186</c:v>
                </c:pt>
                <c:pt idx="2049">
                  <c:v>0.11332468572476186</c:v>
                </c:pt>
                <c:pt idx="2050">
                  <c:v>0.11332468572476186</c:v>
                </c:pt>
                <c:pt idx="2051">
                  <c:v>0.11332468572476186</c:v>
                </c:pt>
                <c:pt idx="2052">
                  <c:v>0.11332468572476186</c:v>
                </c:pt>
                <c:pt idx="2053">
                  <c:v>0.11332468572476186</c:v>
                </c:pt>
                <c:pt idx="2054">
                  <c:v>0.11332468572476186</c:v>
                </c:pt>
                <c:pt idx="2055">
                  <c:v>0.11332468572476186</c:v>
                </c:pt>
                <c:pt idx="2056">
                  <c:v>0.11332468572476186</c:v>
                </c:pt>
                <c:pt idx="2057">
                  <c:v>0.11332468572476186</c:v>
                </c:pt>
                <c:pt idx="2058">
                  <c:v>0.11332468572476186</c:v>
                </c:pt>
                <c:pt idx="2059">
                  <c:v>0.11332468572476186</c:v>
                </c:pt>
                <c:pt idx="2060">
                  <c:v>0.11332468572476186</c:v>
                </c:pt>
                <c:pt idx="2061">
                  <c:v>0.11332468572476186</c:v>
                </c:pt>
                <c:pt idx="2062">
                  <c:v>0.11332468572476186</c:v>
                </c:pt>
                <c:pt idx="2063">
                  <c:v>0.11332468572476186</c:v>
                </c:pt>
                <c:pt idx="2064">
                  <c:v>0.11332468572476186</c:v>
                </c:pt>
                <c:pt idx="2065">
                  <c:v>0.11332468572476186</c:v>
                </c:pt>
                <c:pt idx="2066">
                  <c:v>0.11332468572476186</c:v>
                </c:pt>
                <c:pt idx="2067">
                  <c:v>0.11332468572476186</c:v>
                </c:pt>
                <c:pt idx="2068">
                  <c:v>0.11332468572476186</c:v>
                </c:pt>
                <c:pt idx="2069">
                  <c:v>0.11332468572476186</c:v>
                </c:pt>
                <c:pt idx="2070">
                  <c:v>0.11332468572476186</c:v>
                </c:pt>
                <c:pt idx="2071">
                  <c:v>0.11332468572476186</c:v>
                </c:pt>
                <c:pt idx="2072">
                  <c:v>0.11332468572476186</c:v>
                </c:pt>
                <c:pt idx="2073">
                  <c:v>0.11332468572476186</c:v>
                </c:pt>
                <c:pt idx="2074">
                  <c:v>0.11332468572476186</c:v>
                </c:pt>
                <c:pt idx="2075">
                  <c:v>0.11332468572476186</c:v>
                </c:pt>
                <c:pt idx="2076">
                  <c:v>0.11332468572476186</c:v>
                </c:pt>
                <c:pt idx="2077">
                  <c:v>0.11332468572476186</c:v>
                </c:pt>
                <c:pt idx="2078">
                  <c:v>0.11332468572476186</c:v>
                </c:pt>
                <c:pt idx="2079">
                  <c:v>0.11332468572476186</c:v>
                </c:pt>
                <c:pt idx="2080">
                  <c:v>0.11332468572476186</c:v>
                </c:pt>
                <c:pt idx="2081">
                  <c:v>0.11332468572476186</c:v>
                </c:pt>
                <c:pt idx="2082">
                  <c:v>0.11332468572476186</c:v>
                </c:pt>
                <c:pt idx="2083">
                  <c:v>0.11332468572476186</c:v>
                </c:pt>
                <c:pt idx="2084">
                  <c:v>0.11332468572476186</c:v>
                </c:pt>
                <c:pt idx="2085">
                  <c:v>0.11332468572476186</c:v>
                </c:pt>
                <c:pt idx="2086">
                  <c:v>0.11332468572476186</c:v>
                </c:pt>
                <c:pt idx="2087">
                  <c:v>0.11332468572476186</c:v>
                </c:pt>
                <c:pt idx="2088">
                  <c:v>0.11332468572476186</c:v>
                </c:pt>
                <c:pt idx="2089">
                  <c:v>0.11332468572476186</c:v>
                </c:pt>
                <c:pt idx="2090">
                  <c:v>0.11332468572476186</c:v>
                </c:pt>
                <c:pt idx="2091">
                  <c:v>0.11332468572476186</c:v>
                </c:pt>
                <c:pt idx="2092">
                  <c:v>0.11332468572476186</c:v>
                </c:pt>
                <c:pt idx="2093">
                  <c:v>0.11332468572476186</c:v>
                </c:pt>
                <c:pt idx="2094">
                  <c:v>0.11332468572476186</c:v>
                </c:pt>
                <c:pt idx="2095">
                  <c:v>0.11332468572476186</c:v>
                </c:pt>
                <c:pt idx="2096">
                  <c:v>0.11332468572476186</c:v>
                </c:pt>
                <c:pt idx="2097">
                  <c:v>0.11332468572476186</c:v>
                </c:pt>
                <c:pt idx="2098">
                  <c:v>0.11332468572476186</c:v>
                </c:pt>
                <c:pt idx="2099">
                  <c:v>0.11332468572476186</c:v>
                </c:pt>
                <c:pt idx="2100">
                  <c:v>0.11332468572476186</c:v>
                </c:pt>
                <c:pt idx="2101">
                  <c:v>0.11332468572476186</c:v>
                </c:pt>
                <c:pt idx="2102">
                  <c:v>0.11332468572476186</c:v>
                </c:pt>
                <c:pt idx="2103">
                  <c:v>0.11332468572476186</c:v>
                </c:pt>
                <c:pt idx="2104">
                  <c:v>0.11332468572476186</c:v>
                </c:pt>
                <c:pt idx="2105">
                  <c:v>0.11332468572476186</c:v>
                </c:pt>
                <c:pt idx="2106">
                  <c:v>0.11332468572476186</c:v>
                </c:pt>
                <c:pt idx="2107">
                  <c:v>0.11332468572476186</c:v>
                </c:pt>
                <c:pt idx="2108">
                  <c:v>0.11332468572476186</c:v>
                </c:pt>
                <c:pt idx="2109">
                  <c:v>0.11332468572476186</c:v>
                </c:pt>
                <c:pt idx="2110">
                  <c:v>0.11332468572476186</c:v>
                </c:pt>
                <c:pt idx="2111">
                  <c:v>0.11332468572476186</c:v>
                </c:pt>
                <c:pt idx="2112">
                  <c:v>0.11332468572476186</c:v>
                </c:pt>
                <c:pt idx="2113">
                  <c:v>0.11332468572476186</c:v>
                </c:pt>
                <c:pt idx="2114">
                  <c:v>0.11332468572476186</c:v>
                </c:pt>
                <c:pt idx="2115">
                  <c:v>0.11332468572476186</c:v>
                </c:pt>
                <c:pt idx="2116">
                  <c:v>0.11332468572476186</c:v>
                </c:pt>
                <c:pt idx="2117">
                  <c:v>0.11332468572476186</c:v>
                </c:pt>
                <c:pt idx="2118">
                  <c:v>0.11332468572476186</c:v>
                </c:pt>
                <c:pt idx="2119">
                  <c:v>0.11332468572476186</c:v>
                </c:pt>
                <c:pt idx="2120">
                  <c:v>0.11332468572476186</c:v>
                </c:pt>
                <c:pt idx="2121">
                  <c:v>0.11332468572476186</c:v>
                </c:pt>
                <c:pt idx="2122">
                  <c:v>0.11332468572476186</c:v>
                </c:pt>
                <c:pt idx="2123">
                  <c:v>0.11332468572476186</c:v>
                </c:pt>
                <c:pt idx="2124">
                  <c:v>0.11332468572476186</c:v>
                </c:pt>
                <c:pt idx="2125">
                  <c:v>0.11332468572476186</c:v>
                </c:pt>
                <c:pt idx="2126">
                  <c:v>0.11332468572476186</c:v>
                </c:pt>
                <c:pt idx="2127">
                  <c:v>0.11332468572476186</c:v>
                </c:pt>
                <c:pt idx="2128">
                  <c:v>0.11332468572476186</c:v>
                </c:pt>
                <c:pt idx="2129">
                  <c:v>0.11332468572476186</c:v>
                </c:pt>
                <c:pt idx="2130">
                  <c:v>0.11332468572476186</c:v>
                </c:pt>
                <c:pt idx="2131">
                  <c:v>0.11332468572476186</c:v>
                </c:pt>
                <c:pt idx="2132">
                  <c:v>0.11332468572476186</c:v>
                </c:pt>
                <c:pt idx="2133">
                  <c:v>0.11332468572476186</c:v>
                </c:pt>
                <c:pt idx="2134">
                  <c:v>0.11332468572476186</c:v>
                </c:pt>
                <c:pt idx="2135">
                  <c:v>0.11332468572476186</c:v>
                </c:pt>
                <c:pt idx="2136">
                  <c:v>0.11332468572476186</c:v>
                </c:pt>
                <c:pt idx="2137">
                  <c:v>0.11332468572476186</c:v>
                </c:pt>
                <c:pt idx="2138">
                  <c:v>0.11332468572476186</c:v>
                </c:pt>
                <c:pt idx="2139">
                  <c:v>0.11332468572476186</c:v>
                </c:pt>
                <c:pt idx="2140">
                  <c:v>0.11332468572476186</c:v>
                </c:pt>
                <c:pt idx="2141">
                  <c:v>0.11332468572476186</c:v>
                </c:pt>
                <c:pt idx="2142">
                  <c:v>0.11332468572476186</c:v>
                </c:pt>
                <c:pt idx="2143">
                  <c:v>0.11332468572476186</c:v>
                </c:pt>
                <c:pt idx="2144">
                  <c:v>0.11332468572476186</c:v>
                </c:pt>
                <c:pt idx="2145">
                  <c:v>0.11332468572476186</c:v>
                </c:pt>
                <c:pt idx="2146">
                  <c:v>0.11332468572476186</c:v>
                </c:pt>
                <c:pt idx="2147">
                  <c:v>0.11332468572476186</c:v>
                </c:pt>
                <c:pt idx="2148">
                  <c:v>0.11332468572476186</c:v>
                </c:pt>
                <c:pt idx="2149">
                  <c:v>0.11332468572476186</c:v>
                </c:pt>
                <c:pt idx="2150">
                  <c:v>0.11332468572476186</c:v>
                </c:pt>
                <c:pt idx="2151">
                  <c:v>0.11332468572476186</c:v>
                </c:pt>
                <c:pt idx="2152">
                  <c:v>0.11332468572476186</c:v>
                </c:pt>
                <c:pt idx="2153">
                  <c:v>0.11332468572476186</c:v>
                </c:pt>
                <c:pt idx="2154">
                  <c:v>0.11332468572476186</c:v>
                </c:pt>
                <c:pt idx="2155">
                  <c:v>0.11332468572476186</c:v>
                </c:pt>
                <c:pt idx="2156">
                  <c:v>0.11332468572476186</c:v>
                </c:pt>
                <c:pt idx="2157">
                  <c:v>0.11332468572476186</c:v>
                </c:pt>
                <c:pt idx="2158">
                  <c:v>0.11332468572476186</c:v>
                </c:pt>
                <c:pt idx="2159">
                  <c:v>0.11332468572476186</c:v>
                </c:pt>
                <c:pt idx="2160">
                  <c:v>0.11332468572476186</c:v>
                </c:pt>
                <c:pt idx="2161">
                  <c:v>0.11332468572476186</c:v>
                </c:pt>
                <c:pt idx="2162">
                  <c:v>0.11332468572476186</c:v>
                </c:pt>
                <c:pt idx="2163">
                  <c:v>0.11332468572476186</c:v>
                </c:pt>
                <c:pt idx="2164">
                  <c:v>0.11332468572476186</c:v>
                </c:pt>
                <c:pt idx="2165">
                  <c:v>0.11332468572476186</c:v>
                </c:pt>
                <c:pt idx="2166">
                  <c:v>0.11332468572476186</c:v>
                </c:pt>
                <c:pt idx="2167">
                  <c:v>0.11332468572476186</c:v>
                </c:pt>
                <c:pt idx="2168">
                  <c:v>0.11332468572476186</c:v>
                </c:pt>
                <c:pt idx="2169">
                  <c:v>0.11332468572476186</c:v>
                </c:pt>
                <c:pt idx="2170">
                  <c:v>0.11332468572476186</c:v>
                </c:pt>
                <c:pt idx="2171">
                  <c:v>0.11332468572476186</c:v>
                </c:pt>
                <c:pt idx="2172">
                  <c:v>0.11332468572476186</c:v>
                </c:pt>
                <c:pt idx="2173">
                  <c:v>0.11332468572476186</c:v>
                </c:pt>
                <c:pt idx="2174">
                  <c:v>0.11332468572476186</c:v>
                </c:pt>
                <c:pt idx="2175">
                  <c:v>0.11332468572476186</c:v>
                </c:pt>
                <c:pt idx="2176">
                  <c:v>0.11332468572476186</c:v>
                </c:pt>
                <c:pt idx="2177">
                  <c:v>0.11332468572476186</c:v>
                </c:pt>
                <c:pt idx="2178">
                  <c:v>0.11332468572476186</c:v>
                </c:pt>
                <c:pt idx="2179">
                  <c:v>0.11332468572476186</c:v>
                </c:pt>
                <c:pt idx="2180">
                  <c:v>0.11332468572476186</c:v>
                </c:pt>
                <c:pt idx="2181">
                  <c:v>0.11332468572476186</c:v>
                </c:pt>
                <c:pt idx="2182">
                  <c:v>0.11332468572476186</c:v>
                </c:pt>
                <c:pt idx="2183">
                  <c:v>0.11332468572476186</c:v>
                </c:pt>
                <c:pt idx="2184">
                  <c:v>0.11332468572476186</c:v>
                </c:pt>
                <c:pt idx="2185">
                  <c:v>0.11332468572476186</c:v>
                </c:pt>
                <c:pt idx="2186">
                  <c:v>0.11332468572476186</c:v>
                </c:pt>
                <c:pt idx="2187">
                  <c:v>0.11332468572476186</c:v>
                </c:pt>
                <c:pt idx="2188">
                  <c:v>0.11332468572476186</c:v>
                </c:pt>
                <c:pt idx="2189">
                  <c:v>0.11332468572476186</c:v>
                </c:pt>
                <c:pt idx="2190">
                  <c:v>0.11332468572476186</c:v>
                </c:pt>
                <c:pt idx="2191">
                  <c:v>0.11332468572476186</c:v>
                </c:pt>
                <c:pt idx="2192">
                  <c:v>0.11332468572476186</c:v>
                </c:pt>
                <c:pt idx="2193">
                  <c:v>0.11332468572476186</c:v>
                </c:pt>
                <c:pt idx="2194">
                  <c:v>0.11332468572476186</c:v>
                </c:pt>
                <c:pt idx="2195">
                  <c:v>0.11332468572476186</c:v>
                </c:pt>
                <c:pt idx="2196">
                  <c:v>0.11332468572476186</c:v>
                </c:pt>
                <c:pt idx="2197">
                  <c:v>0.11332468572476186</c:v>
                </c:pt>
                <c:pt idx="2198">
                  <c:v>0.11332468572476186</c:v>
                </c:pt>
                <c:pt idx="2199">
                  <c:v>0.11332468572476186</c:v>
                </c:pt>
                <c:pt idx="2200">
                  <c:v>0.11332468572476186</c:v>
                </c:pt>
                <c:pt idx="2201">
                  <c:v>0.11332468572476186</c:v>
                </c:pt>
                <c:pt idx="2202">
                  <c:v>0.11332468572476186</c:v>
                </c:pt>
                <c:pt idx="2203">
                  <c:v>0.11332468572476186</c:v>
                </c:pt>
                <c:pt idx="2204">
                  <c:v>0.11332468572476186</c:v>
                </c:pt>
                <c:pt idx="2205">
                  <c:v>0.11332468572476186</c:v>
                </c:pt>
                <c:pt idx="2206">
                  <c:v>0.11332468572476186</c:v>
                </c:pt>
                <c:pt idx="2207">
                  <c:v>0.11332468572476186</c:v>
                </c:pt>
                <c:pt idx="2208">
                  <c:v>0.11332468572476186</c:v>
                </c:pt>
                <c:pt idx="2209">
                  <c:v>0.11332468572476186</c:v>
                </c:pt>
                <c:pt idx="2210">
                  <c:v>0.11332468572476186</c:v>
                </c:pt>
                <c:pt idx="2211">
                  <c:v>0.11332468572476186</c:v>
                </c:pt>
                <c:pt idx="2212">
                  <c:v>0.11332468572476186</c:v>
                </c:pt>
                <c:pt idx="2213">
                  <c:v>0.11332468572476186</c:v>
                </c:pt>
                <c:pt idx="2214">
                  <c:v>0.11332468572476186</c:v>
                </c:pt>
                <c:pt idx="2215">
                  <c:v>0.11332468572476186</c:v>
                </c:pt>
                <c:pt idx="2216">
                  <c:v>0.11332468572476186</c:v>
                </c:pt>
                <c:pt idx="2217">
                  <c:v>0.11332468572476186</c:v>
                </c:pt>
                <c:pt idx="2218">
                  <c:v>0.11332468572476186</c:v>
                </c:pt>
                <c:pt idx="2219">
                  <c:v>0.11332468572476186</c:v>
                </c:pt>
                <c:pt idx="2220">
                  <c:v>0.11332468572476186</c:v>
                </c:pt>
                <c:pt idx="2221">
                  <c:v>0.11332468572476186</c:v>
                </c:pt>
                <c:pt idx="2222">
                  <c:v>0.11332468572476186</c:v>
                </c:pt>
                <c:pt idx="2223">
                  <c:v>0.11332468572476186</c:v>
                </c:pt>
                <c:pt idx="2224">
                  <c:v>0.11332468572476186</c:v>
                </c:pt>
                <c:pt idx="2225">
                  <c:v>0.11332468572476186</c:v>
                </c:pt>
                <c:pt idx="2226">
                  <c:v>0.11332468572476186</c:v>
                </c:pt>
                <c:pt idx="2227">
                  <c:v>0.11332468572476186</c:v>
                </c:pt>
                <c:pt idx="2228">
                  <c:v>0.11332468572476186</c:v>
                </c:pt>
                <c:pt idx="2229">
                  <c:v>0.11332468572476186</c:v>
                </c:pt>
                <c:pt idx="2230">
                  <c:v>0.11332468572476186</c:v>
                </c:pt>
                <c:pt idx="2231">
                  <c:v>0.11332468572476186</c:v>
                </c:pt>
                <c:pt idx="2232">
                  <c:v>0.11332468572476186</c:v>
                </c:pt>
                <c:pt idx="2233">
                  <c:v>0.11332468572476186</c:v>
                </c:pt>
                <c:pt idx="2234">
                  <c:v>0.11332468572476186</c:v>
                </c:pt>
                <c:pt idx="2235">
                  <c:v>0.11332468572476186</c:v>
                </c:pt>
                <c:pt idx="2236">
                  <c:v>0.11332468572476186</c:v>
                </c:pt>
                <c:pt idx="2237">
                  <c:v>0.11332468572476186</c:v>
                </c:pt>
                <c:pt idx="2238">
                  <c:v>0.11332468572476186</c:v>
                </c:pt>
                <c:pt idx="2239">
                  <c:v>0.11332468572476186</c:v>
                </c:pt>
                <c:pt idx="2240">
                  <c:v>0.11332468572476186</c:v>
                </c:pt>
                <c:pt idx="2241">
                  <c:v>0.11332468572476186</c:v>
                </c:pt>
                <c:pt idx="2242">
                  <c:v>0.11332468572476186</c:v>
                </c:pt>
                <c:pt idx="2243">
                  <c:v>0.11332468572476186</c:v>
                </c:pt>
                <c:pt idx="2244">
                  <c:v>0.11332468572476186</c:v>
                </c:pt>
                <c:pt idx="2245">
                  <c:v>0.11332468572476186</c:v>
                </c:pt>
                <c:pt idx="2246">
                  <c:v>0.11332468572476186</c:v>
                </c:pt>
                <c:pt idx="2247">
                  <c:v>0.11332468572476186</c:v>
                </c:pt>
                <c:pt idx="2248">
                  <c:v>0.11332468572476186</c:v>
                </c:pt>
                <c:pt idx="2249">
                  <c:v>0.11332468572476186</c:v>
                </c:pt>
                <c:pt idx="2250">
                  <c:v>0.11332468572476186</c:v>
                </c:pt>
                <c:pt idx="2251">
                  <c:v>0.11332468572476186</c:v>
                </c:pt>
                <c:pt idx="2252">
                  <c:v>0.11332468572476186</c:v>
                </c:pt>
                <c:pt idx="2253">
                  <c:v>0.11332468572476186</c:v>
                </c:pt>
                <c:pt idx="2254">
                  <c:v>0.11332468572476186</c:v>
                </c:pt>
                <c:pt idx="2255">
                  <c:v>0.11332468572476186</c:v>
                </c:pt>
                <c:pt idx="2256">
                  <c:v>0.11332468572476186</c:v>
                </c:pt>
                <c:pt idx="2257">
                  <c:v>0.11332468572476186</c:v>
                </c:pt>
                <c:pt idx="2258">
                  <c:v>0.11332468572476186</c:v>
                </c:pt>
                <c:pt idx="2259">
                  <c:v>0.11332468572476186</c:v>
                </c:pt>
                <c:pt idx="2260">
                  <c:v>0.11332468572476186</c:v>
                </c:pt>
                <c:pt idx="2261">
                  <c:v>0.11332468572476186</c:v>
                </c:pt>
                <c:pt idx="2262">
                  <c:v>0.11332468572476186</c:v>
                </c:pt>
                <c:pt idx="2263">
                  <c:v>0.11332468572476186</c:v>
                </c:pt>
                <c:pt idx="2264">
                  <c:v>0.11332468572476186</c:v>
                </c:pt>
                <c:pt idx="2265">
                  <c:v>0.11332468572476186</c:v>
                </c:pt>
                <c:pt idx="2266">
                  <c:v>0.11332468572476186</c:v>
                </c:pt>
                <c:pt idx="2267">
                  <c:v>0.11332468572476186</c:v>
                </c:pt>
                <c:pt idx="2268">
                  <c:v>0.11332468572476186</c:v>
                </c:pt>
                <c:pt idx="2269">
                  <c:v>0.11332468572476186</c:v>
                </c:pt>
                <c:pt idx="2270">
                  <c:v>0.11332468572476186</c:v>
                </c:pt>
                <c:pt idx="2271">
                  <c:v>0.11332468572476186</c:v>
                </c:pt>
                <c:pt idx="2272">
                  <c:v>0.11332468572476186</c:v>
                </c:pt>
                <c:pt idx="2273">
                  <c:v>0.11332468572476186</c:v>
                </c:pt>
                <c:pt idx="2274">
                  <c:v>0.11332468572476186</c:v>
                </c:pt>
                <c:pt idx="2275">
                  <c:v>0.11332468572476186</c:v>
                </c:pt>
                <c:pt idx="2276">
                  <c:v>0.11332468572476186</c:v>
                </c:pt>
                <c:pt idx="2277">
                  <c:v>0.11332468572476186</c:v>
                </c:pt>
                <c:pt idx="2278">
                  <c:v>0.11332468572476186</c:v>
                </c:pt>
                <c:pt idx="2279">
                  <c:v>0.11332468572476186</c:v>
                </c:pt>
                <c:pt idx="2280">
                  <c:v>0.11332468572476186</c:v>
                </c:pt>
                <c:pt idx="2281">
                  <c:v>0.11332468572476186</c:v>
                </c:pt>
                <c:pt idx="2282">
                  <c:v>0.11332468572476186</c:v>
                </c:pt>
                <c:pt idx="2283">
                  <c:v>0.11332468572476186</c:v>
                </c:pt>
                <c:pt idx="2284">
                  <c:v>0.11332468572476186</c:v>
                </c:pt>
                <c:pt idx="2285">
                  <c:v>0.11332468572476186</c:v>
                </c:pt>
                <c:pt idx="2286">
                  <c:v>0.11332468572476186</c:v>
                </c:pt>
                <c:pt idx="2287">
                  <c:v>0.11332468572476186</c:v>
                </c:pt>
                <c:pt idx="2288">
                  <c:v>0.11332468572476186</c:v>
                </c:pt>
                <c:pt idx="2289">
                  <c:v>0.11332468572476186</c:v>
                </c:pt>
                <c:pt idx="2290">
                  <c:v>0.11332468572476186</c:v>
                </c:pt>
                <c:pt idx="2291">
                  <c:v>0.11332468572476186</c:v>
                </c:pt>
                <c:pt idx="2292">
                  <c:v>0.11332468572476186</c:v>
                </c:pt>
                <c:pt idx="2293">
                  <c:v>0.11332468572476186</c:v>
                </c:pt>
                <c:pt idx="2294">
                  <c:v>0.11332468572476186</c:v>
                </c:pt>
                <c:pt idx="2295">
                  <c:v>0.11332468572476186</c:v>
                </c:pt>
                <c:pt idx="2296">
                  <c:v>0.11332468572476186</c:v>
                </c:pt>
                <c:pt idx="2297">
                  <c:v>0.11332468572476186</c:v>
                </c:pt>
                <c:pt idx="2298">
                  <c:v>0.11332468572476186</c:v>
                </c:pt>
                <c:pt idx="2299">
                  <c:v>0.11332468572476186</c:v>
                </c:pt>
                <c:pt idx="2300">
                  <c:v>0.11332468572476186</c:v>
                </c:pt>
                <c:pt idx="2301">
                  <c:v>0.11332468572476186</c:v>
                </c:pt>
                <c:pt idx="2302">
                  <c:v>0.11332468572476186</c:v>
                </c:pt>
                <c:pt idx="2303">
                  <c:v>0.11332468572476186</c:v>
                </c:pt>
                <c:pt idx="2304">
                  <c:v>0.11332468572476186</c:v>
                </c:pt>
                <c:pt idx="2305">
                  <c:v>0.11332468572476186</c:v>
                </c:pt>
                <c:pt idx="2306">
                  <c:v>0.11332468572476186</c:v>
                </c:pt>
                <c:pt idx="2307">
                  <c:v>0.11332468572476186</c:v>
                </c:pt>
                <c:pt idx="2308">
                  <c:v>0.11332468572476186</c:v>
                </c:pt>
                <c:pt idx="2309">
                  <c:v>0.11332468572476186</c:v>
                </c:pt>
                <c:pt idx="2310">
                  <c:v>0.11332468572476186</c:v>
                </c:pt>
                <c:pt idx="2311">
                  <c:v>0.11332468572476186</c:v>
                </c:pt>
                <c:pt idx="2312">
                  <c:v>0.11332468572476186</c:v>
                </c:pt>
                <c:pt idx="2313">
                  <c:v>0.11332468572476186</c:v>
                </c:pt>
                <c:pt idx="2314">
                  <c:v>0.11332468572476186</c:v>
                </c:pt>
                <c:pt idx="2315">
                  <c:v>0.11332468572476186</c:v>
                </c:pt>
                <c:pt idx="2316">
                  <c:v>0.11332468572476186</c:v>
                </c:pt>
                <c:pt idx="2317">
                  <c:v>0.11332468572476186</c:v>
                </c:pt>
                <c:pt idx="2318">
                  <c:v>0.11332468572476186</c:v>
                </c:pt>
                <c:pt idx="2319">
                  <c:v>0.11332468572476186</c:v>
                </c:pt>
                <c:pt idx="2320">
                  <c:v>0.11332468572476186</c:v>
                </c:pt>
                <c:pt idx="2321">
                  <c:v>0.11332468572476186</c:v>
                </c:pt>
                <c:pt idx="2322">
                  <c:v>0.11332468572476186</c:v>
                </c:pt>
                <c:pt idx="2323">
                  <c:v>0.11332468572476186</c:v>
                </c:pt>
                <c:pt idx="2324">
                  <c:v>0.11332468572476186</c:v>
                </c:pt>
                <c:pt idx="2325">
                  <c:v>0.11332468572476186</c:v>
                </c:pt>
                <c:pt idx="2326">
                  <c:v>0.11332468572476186</c:v>
                </c:pt>
                <c:pt idx="2327">
                  <c:v>0.11332468572476186</c:v>
                </c:pt>
                <c:pt idx="2328">
                  <c:v>0.11332468572476186</c:v>
                </c:pt>
                <c:pt idx="2329">
                  <c:v>0.11332468572476186</c:v>
                </c:pt>
                <c:pt idx="2330">
                  <c:v>0.11332468572476186</c:v>
                </c:pt>
                <c:pt idx="2331">
                  <c:v>0.11332468572476186</c:v>
                </c:pt>
                <c:pt idx="2332">
                  <c:v>0.11332468572476186</c:v>
                </c:pt>
                <c:pt idx="2333">
                  <c:v>0.11332468572476186</c:v>
                </c:pt>
                <c:pt idx="2334">
                  <c:v>0.11332468572476186</c:v>
                </c:pt>
                <c:pt idx="2335">
                  <c:v>0.11332468572476186</c:v>
                </c:pt>
                <c:pt idx="2336">
                  <c:v>0.11332468572476186</c:v>
                </c:pt>
                <c:pt idx="2337">
                  <c:v>0.11332468572476186</c:v>
                </c:pt>
                <c:pt idx="2338">
                  <c:v>0.11332468572476186</c:v>
                </c:pt>
                <c:pt idx="2339">
                  <c:v>0.11332468572476186</c:v>
                </c:pt>
                <c:pt idx="2340">
                  <c:v>0.11332468572476186</c:v>
                </c:pt>
                <c:pt idx="2341">
                  <c:v>0.11332468572476186</c:v>
                </c:pt>
                <c:pt idx="2342">
                  <c:v>0.11332468572476186</c:v>
                </c:pt>
                <c:pt idx="2343">
                  <c:v>0.11332468572476186</c:v>
                </c:pt>
                <c:pt idx="2344">
                  <c:v>0.11332468572476186</c:v>
                </c:pt>
                <c:pt idx="2345">
                  <c:v>0.11332468572476186</c:v>
                </c:pt>
                <c:pt idx="2346">
                  <c:v>0.11332468572476186</c:v>
                </c:pt>
                <c:pt idx="2347">
                  <c:v>0.11332468572476186</c:v>
                </c:pt>
                <c:pt idx="2348">
                  <c:v>0.11332468572476186</c:v>
                </c:pt>
                <c:pt idx="2349">
                  <c:v>0.11332468572476186</c:v>
                </c:pt>
                <c:pt idx="2350">
                  <c:v>0.11332468572476186</c:v>
                </c:pt>
                <c:pt idx="2351">
                  <c:v>0.11332468572476186</c:v>
                </c:pt>
                <c:pt idx="2352">
                  <c:v>0.11332468572476186</c:v>
                </c:pt>
                <c:pt idx="2353">
                  <c:v>0.11332468572476186</c:v>
                </c:pt>
                <c:pt idx="2354">
                  <c:v>0.11332468572476186</c:v>
                </c:pt>
                <c:pt idx="2355">
                  <c:v>0.11332468572476186</c:v>
                </c:pt>
                <c:pt idx="2356">
                  <c:v>0.11332468572476186</c:v>
                </c:pt>
                <c:pt idx="2357">
                  <c:v>0.11332468572476186</c:v>
                </c:pt>
                <c:pt idx="2358">
                  <c:v>0.11332468572476186</c:v>
                </c:pt>
                <c:pt idx="2359">
                  <c:v>0.11332468572476186</c:v>
                </c:pt>
                <c:pt idx="2360">
                  <c:v>0.11332468572476186</c:v>
                </c:pt>
                <c:pt idx="2361">
                  <c:v>0.11332468572476186</c:v>
                </c:pt>
                <c:pt idx="2362">
                  <c:v>0.11332468572476186</c:v>
                </c:pt>
                <c:pt idx="2363">
                  <c:v>0.11332468572476186</c:v>
                </c:pt>
                <c:pt idx="2364">
                  <c:v>0.11332468572476186</c:v>
                </c:pt>
                <c:pt idx="2365">
                  <c:v>0.11332468572476186</c:v>
                </c:pt>
                <c:pt idx="2366">
                  <c:v>0.11332468572476186</c:v>
                </c:pt>
                <c:pt idx="2367">
                  <c:v>0.11332468572476186</c:v>
                </c:pt>
                <c:pt idx="2368">
                  <c:v>0.11332468572476186</c:v>
                </c:pt>
                <c:pt idx="2369">
                  <c:v>0.11332468572476186</c:v>
                </c:pt>
                <c:pt idx="2370">
                  <c:v>0.11332468572476186</c:v>
                </c:pt>
                <c:pt idx="2371">
                  <c:v>0.11332468572476186</c:v>
                </c:pt>
                <c:pt idx="2372">
                  <c:v>0.11332468572476186</c:v>
                </c:pt>
                <c:pt idx="2373">
                  <c:v>0.11332468572476186</c:v>
                </c:pt>
                <c:pt idx="2374">
                  <c:v>0.11332468572476186</c:v>
                </c:pt>
                <c:pt idx="2375">
                  <c:v>0.11332468572476186</c:v>
                </c:pt>
                <c:pt idx="2376">
                  <c:v>0.11332468572476186</c:v>
                </c:pt>
                <c:pt idx="2377">
                  <c:v>0.11332468572476186</c:v>
                </c:pt>
                <c:pt idx="2378">
                  <c:v>0.11332468572476186</c:v>
                </c:pt>
                <c:pt idx="2379">
                  <c:v>0.11332468572476186</c:v>
                </c:pt>
                <c:pt idx="2380">
                  <c:v>0.11332468572476186</c:v>
                </c:pt>
                <c:pt idx="2381">
                  <c:v>0.11332468572476186</c:v>
                </c:pt>
                <c:pt idx="2382">
                  <c:v>0.11332468572476186</c:v>
                </c:pt>
                <c:pt idx="2383">
                  <c:v>0.11332468572476186</c:v>
                </c:pt>
                <c:pt idx="2384">
                  <c:v>0.11332468572476186</c:v>
                </c:pt>
                <c:pt idx="2385">
                  <c:v>0.11332468572476186</c:v>
                </c:pt>
                <c:pt idx="2386">
                  <c:v>0.11332468572476186</c:v>
                </c:pt>
                <c:pt idx="2387">
                  <c:v>0.11332468572476186</c:v>
                </c:pt>
                <c:pt idx="2388">
                  <c:v>0.11332468572476186</c:v>
                </c:pt>
                <c:pt idx="2389">
                  <c:v>0.11332468572476186</c:v>
                </c:pt>
                <c:pt idx="2390">
                  <c:v>0.11332468572476186</c:v>
                </c:pt>
                <c:pt idx="2391">
                  <c:v>0.11332468572476186</c:v>
                </c:pt>
                <c:pt idx="2392">
                  <c:v>0.11332468572476186</c:v>
                </c:pt>
                <c:pt idx="2393">
                  <c:v>0.11332468572476186</c:v>
                </c:pt>
                <c:pt idx="2394">
                  <c:v>0.11332468572476186</c:v>
                </c:pt>
                <c:pt idx="2395">
                  <c:v>0.11332468572476186</c:v>
                </c:pt>
                <c:pt idx="2396">
                  <c:v>0.11332468572476186</c:v>
                </c:pt>
                <c:pt idx="2397">
                  <c:v>0.11332468572476186</c:v>
                </c:pt>
                <c:pt idx="2398">
                  <c:v>0.11332468572476186</c:v>
                </c:pt>
                <c:pt idx="2399">
                  <c:v>0.11332468572476186</c:v>
                </c:pt>
                <c:pt idx="2400">
                  <c:v>0.11332468572476186</c:v>
                </c:pt>
                <c:pt idx="2401">
                  <c:v>0.11332468572476186</c:v>
                </c:pt>
                <c:pt idx="2402">
                  <c:v>0.11332468572476186</c:v>
                </c:pt>
                <c:pt idx="2403">
                  <c:v>0.11332468572476186</c:v>
                </c:pt>
                <c:pt idx="2404">
                  <c:v>0.11332468572476186</c:v>
                </c:pt>
                <c:pt idx="2405">
                  <c:v>0.11332468572476186</c:v>
                </c:pt>
                <c:pt idx="2406">
                  <c:v>0.11332468572476186</c:v>
                </c:pt>
                <c:pt idx="2407">
                  <c:v>0.11332468572476186</c:v>
                </c:pt>
                <c:pt idx="2408">
                  <c:v>0.11332468572476186</c:v>
                </c:pt>
                <c:pt idx="2409">
                  <c:v>0.11332468572476186</c:v>
                </c:pt>
                <c:pt idx="2410">
                  <c:v>0.11332468572476186</c:v>
                </c:pt>
                <c:pt idx="2411">
                  <c:v>0.11332468572476186</c:v>
                </c:pt>
                <c:pt idx="2412">
                  <c:v>0.11332468572476186</c:v>
                </c:pt>
                <c:pt idx="2413">
                  <c:v>0.11332468572476186</c:v>
                </c:pt>
                <c:pt idx="2414">
                  <c:v>0.11332468572476186</c:v>
                </c:pt>
                <c:pt idx="2415">
                  <c:v>0.11332468572476186</c:v>
                </c:pt>
                <c:pt idx="2416">
                  <c:v>0.11332468572476186</c:v>
                </c:pt>
                <c:pt idx="2417">
                  <c:v>0.11332468572476186</c:v>
                </c:pt>
                <c:pt idx="2418">
                  <c:v>0.11332468572476186</c:v>
                </c:pt>
                <c:pt idx="2419">
                  <c:v>0.11332468572476186</c:v>
                </c:pt>
                <c:pt idx="2420">
                  <c:v>0.11332468572476186</c:v>
                </c:pt>
                <c:pt idx="2421">
                  <c:v>0.11332468572476186</c:v>
                </c:pt>
                <c:pt idx="2422">
                  <c:v>0.11332468572476186</c:v>
                </c:pt>
                <c:pt idx="2423">
                  <c:v>0.11332468572476186</c:v>
                </c:pt>
                <c:pt idx="2424">
                  <c:v>0.11332468572476186</c:v>
                </c:pt>
                <c:pt idx="2425">
                  <c:v>0.11332468572476186</c:v>
                </c:pt>
                <c:pt idx="2426">
                  <c:v>0.11332468572476186</c:v>
                </c:pt>
                <c:pt idx="2427">
                  <c:v>0.11332468572476186</c:v>
                </c:pt>
                <c:pt idx="2428">
                  <c:v>0.11332468572476186</c:v>
                </c:pt>
                <c:pt idx="2429">
                  <c:v>0.11332468572476186</c:v>
                </c:pt>
                <c:pt idx="2430">
                  <c:v>0.11332468572476186</c:v>
                </c:pt>
                <c:pt idx="2431">
                  <c:v>0.11332468572476186</c:v>
                </c:pt>
                <c:pt idx="2432">
                  <c:v>0.11332468572476186</c:v>
                </c:pt>
                <c:pt idx="2433">
                  <c:v>0.11332468572476186</c:v>
                </c:pt>
                <c:pt idx="2434">
                  <c:v>0.11332468572476186</c:v>
                </c:pt>
                <c:pt idx="2435">
                  <c:v>0.11332468572476186</c:v>
                </c:pt>
                <c:pt idx="2436">
                  <c:v>0.11332468572476186</c:v>
                </c:pt>
                <c:pt idx="2437">
                  <c:v>0.11332468572476186</c:v>
                </c:pt>
                <c:pt idx="2438">
                  <c:v>0.11332468572476186</c:v>
                </c:pt>
                <c:pt idx="2439">
                  <c:v>0.11332468572476186</c:v>
                </c:pt>
                <c:pt idx="2440">
                  <c:v>0.11332468572476186</c:v>
                </c:pt>
                <c:pt idx="2441">
                  <c:v>0.11332468572476186</c:v>
                </c:pt>
                <c:pt idx="2442">
                  <c:v>0.11332468572476186</c:v>
                </c:pt>
                <c:pt idx="2443">
                  <c:v>0.11332468572476186</c:v>
                </c:pt>
                <c:pt idx="2444">
                  <c:v>0.11332468572476186</c:v>
                </c:pt>
                <c:pt idx="2445">
                  <c:v>0.11332468572476186</c:v>
                </c:pt>
                <c:pt idx="2446">
                  <c:v>0.11332468572476186</c:v>
                </c:pt>
                <c:pt idx="2447">
                  <c:v>0.11332468572476186</c:v>
                </c:pt>
                <c:pt idx="2448">
                  <c:v>0.11332468572476186</c:v>
                </c:pt>
                <c:pt idx="2449">
                  <c:v>0.11332468572476186</c:v>
                </c:pt>
                <c:pt idx="2450">
                  <c:v>0.11332468572476186</c:v>
                </c:pt>
                <c:pt idx="2451">
                  <c:v>0.11332468572476186</c:v>
                </c:pt>
                <c:pt idx="2452">
                  <c:v>0.11332468572476186</c:v>
                </c:pt>
                <c:pt idx="2453">
                  <c:v>0.11332468572476186</c:v>
                </c:pt>
                <c:pt idx="2454">
                  <c:v>0.11332468572476186</c:v>
                </c:pt>
                <c:pt idx="2455">
                  <c:v>0.11332468572476186</c:v>
                </c:pt>
                <c:pt idx="2456">
                  <c:v>0.11332468572476186</c:v>
                </c:pt>
                <c:pt idx="2457">
                  <c:v>0.11332468572476186</c:v>
                </c:pt>
                <c:pt idx="2458">
                  <c:v>0.11332468572476186</c:v>
                </c:pt>
                <c:pt idx="2459">
                  <c:v>0.11332468572476186</c:v>
                </c:pt>
                <c:pt idx="2460">
                  <c:v>0.11332468572476186</c:v>
                </c:pt>
                <c:pt idx="2461">
                  <c:v>0.11332468572476186</c:v>
                </c:pt>
                <c:pt idx="2462">
                  <c:v>0.11332468572476186</c:v>
                </c:pt>
                <c:pt idx="2463">
                  <c:v>0.11332468572476186</c:v>
                </c:pt>
                <c:pt idx="2464">
                  <c:v>0.11332468572476186</c:v>
                </c:pt>
                <c:pt idx="2465">
                  <c:v>0.11332468572476186</c:v>
                </c:pt>
                <c:pt idx="2466">
                  <c:v>0.11332468572476186</c:v>
                </c:pt>
                <c:pt idx="2467">
                  <c:v>0.11332468572476186</c:v>
                </c:pt>
                <c:pt idx="2468">
                  <c:v>0.11332468572476186</c:v>
                </c:pt>
                <c:pt idx="2469">
                  <c:v>0.11332468572476186</c:v>
                </c:pt>
                <c:pt idx="2470">
                  <c:v>0.11332468572476186</c:v>
                </c:pt>
                <c:pt idx="2471">
                  <c:v>0.11332468572476186</c:v>
                </c:pt>
                <c:pt idx="2472">
                  <c:v>0.11332468572476186</c:v>
                </c:pt>
                <c:pt idx="2473">
                  <c:v>0.11332468572476186</c:v>
                </c:pt>
                <c:pt idx="2474">
                  <c:v>0.11332468572476186</c:v>
                </c:pt>
                <c:pt idx="2475">
                  <c:v>0.11332468572476186</c:v>
                </c:pt>
                <c:pt idx="2476">
                  <c:v>0.11332468572476186</c:v>
                </c:pt>
                <c:pt idx="2477">
                  <c:v>0.11332468572476186</c:v>
                </c:pt>
                <c:pt idx="2478">
                  <c:v>0.11332468572476186</c:v>
                </c:pt>
                <c:pt idx="2479">
                  <c:v>0.11332468572476186</c:v>
                </c:pt>
                <c:pt idx="2480">
                  <c:v>0.11332468572476186</c:v>
                </c:pt>
                <c:pt idx="2481">
                  <c:v>0.11332468572476186</c:v>
                </c:pt>
                <c:pt idx="2482">
                  <c:v>0.11332468572476186</c:v>
                </c:pt>
                <c:pt idx="2483">
                  <c:v>0.11332468572476186</c:v>
                </c:pt>
                <c:pt idx="2484">
                  <c:v>0.11332468572476186</c:v>
                </c:pt>
                <c:pt idx="2485">
                  <c:v>0.11332468572476186</c:v>
                </c:pt>
                <c:pt idx="2486">
                  <c:v>0.11332468572476186</c:v>
                </c:pt>
                <c:pt idx="2487">
                  <c:v>0.11332468572476186</c:v>
                </c:pt>
                <c:pt idx="2488">
                  <c:v>0.11332468572476186</c:v>
                </c:pt>
                <c:pt idx="2489">
                  <c:v>0.11332468572476186</c:v>
                </c:pt>
                <c:pt idx="2490">
                  <c:v>0.11332468572476186</c:v>
                </c:pt>
                <c:pt idx="2491">
                  <c:v>0.11332468572476186</c:v>
                </c:pt>
                <c:pt idx="2492">
                  <c:v>0.11332468572476186</c:v>
                </c:pt>
                <c:pt idx="2493">
                  <c:v>0.11332468572476186</c:v>
                </c:pt>
                <c:pt idx="2494">
                  <c:v>0.11332468572476186</c:v>
                </c:pt>
                <c:pt idx="2495">
                  <c:v>0.11332468572476186</c:v>
                </c:pt>
                <c:pt idx="2496">
                  <c:v>0.11332468572476186</c:v>
                </c:pt>
                <c:pt idx="2497">
                  <c:v>0.11332468572476186</c:v>
                </c:pt>
                <c:pt idx="2498">
                  <c:v>0.11332468572476186</c:v>
                </c:pt>
                <c:pt idx="2499">
                  <c:v>0.11332468572476186</c:v>
                </c:pt>
                <c:pt idx="2500">
                  <c:v>0.11332468572476186</c:v>
                </c:pt>
                <c:pt idx="2501">
                  <c:v>0.11332468572476186</c:v>
                </c:pt>
                <c:pt idx="2502">
                  <c:v>0.11332468572476186</c:v>
                </c:pt>
                <c:pt idx="2503">
                  <c:v>0.11332468572476186</c:v>
                </c:pt>
                <c:pt idx="2504">
                  <c:v>0.11332468572476186</c:v>
                </c:pt>
                <c:pt idx="2505">
                  <c:v>0.11332468572476186</c:v>
                </c:pt>
                <c:pt idx="2506">
                  <c:v>0.11332468572476186</c:v>
                </c:pt>
                <c:pt idx="2507">
                  <c:v>0.11332468572476186</c:v>
                </c:pt>
                <c:pt idx="2508">
                  <c:v>0.11332468572476186</c:v>
                </c:pt>
                <c:pt idx="2509">
                  <c:v>0.11332468572476186</c:v>
                </c:pt>
                <c:pt idx="2510">
                  <c:v>0.11332468572476186</c:v>
                </c:pt>
                <c:pt idx="2511">
                  <c:v>0.11332468572476186</c:v>
                </c:pt>
                <c:pt idx="2512">
                  <c:v>0.11332468572476186</c:v>
                </c:pt>
                <c:pt idx="2513">
                  <c:v>0.11332468572476186</c:v>
                </c:pt>
                <c:pt idx="2514">
                  <c:v>0.11332468572476186</c:v>
                </c:pt>
                <c:pt idx="2515">
                  <c:v>0.11332468572476186</c:v>
                </c:pt>
                <c:pt idx="2516">
                  <c:v>0.11332468572476186</c:v>
                </c:pt>
                <c:pt idx="2517">
                  <c:v>0.11332468572476186</c:v>
                </c:pt>
                <c:pt idx="2518">
                  <c:v>0.11332468572476186</c:v>
                </c:pt>
                <c:pt idx="2519">
                  <c:v>0.11332468572476186</c:v>
                </c:pt>
                <c:pt idx="2520">
                  <c:v>0.11332468572476186</c:v>
                </c:pt>
                <c:pt idx="2521">
                  <c:v>0.11332468572476186</c:v>
                </c:pt>
                <c:pt idx="2522">
                  <c:v>0.11332468572476186</c:v>
                </c:pt>
                <c:pt idx="2523">
                  <c:v>0.11332468572476186</c:v>
                </c:pt>
                <c:pt idx="2524">
                  <c:v>0.11332468572476186</c:v>
                </c:pt>
                <c:pt idx="2525">
                  <c:v>0.11332468572476186</c:v>
                </c:pt>
                <c:pt idx="2526">
                  <c:v>0.11332468572476186</c:v>
                </c:pt>
                <c:pt idx="2527">
                  <c:v>0.11332468572476186</c:v>
                </c:pt>
                <c:pt idx="2528">
                  <c:v>0.11332468572476186</c:v>
                </c:pt>
                <c:pt idx="2529">
                  <c:v>0.11332468572476186</c:v>
                </c:pt>
                <c:pt idx="2530">
                  <c:v>0.11332468572476186</c:v>
                </c:pt>
                <c:pt idx="2531">
                  <c:v>0.11332468572476186</c:v>
                </c:pt>
                <c:pt idx="2532">
                  <c:v>0.11332468572476186</c:v>
                </c:pt>
                <c:pt idx="2533">
                  <c:v>0.11332468572476186</c:v>
                </c:pt>
                <c:pt idx="2534">
                  <c:v>0.11332468572476186</c:v>
                </c:pt>
                <c:pt idx="2535">
                  <c:v>0.11332468572476186</c:v>
                </c:pt>
                <c:pt idx="2536">
                  <c:v>0.11332468572476186</c:v>
                </c:pt>
                <c:pt idx="2537">
                  <c:v>0.11332468572476186</c:v>
                </c:pt>
                <c:pt idx="2538">
                  <c:v>0.11332468572476186</c:v>
                </c:pt>
                <c:pt idx="2539">
                  <c:v>0.11332468572476186</c:v>
                </c:pt>
                <c:pt idx="2540">
                  <c:v>0.11332468572476186</c:v>
                </c:pt>
                <c:pt idx="2541">
                  <c:v>0.11332468572476186</c:v>
                </c:pt>
                <c:pt idx="2542">
                  <c:v>0.11332468572476186</c:v>
                </c:pt>
                <c:pt idx="2543">
                  <c:v>0.11332468572476186</c:v>
                </c:pt>
                <c:pt idx="2544">
                  <c:v>0.11332468572476186</c:v>
                </c:pt>
                <c:pt idx="2545">
                  <c:v>0.11332468572476186</c:v>
                </c:pt>
                <c:pt idx="2546">
                  <c:v>0.11332468572476186</c:v>
                </c:pt>
                <c:pt idx="2547">
                  <c:v>0.11332468572476186</c:v>
                </c:pt>
                <c:pt idx="2548">
                  <c:v>0.11332468572476186</c:v>
                </c:pt>
                <c:pt idx="2549">
                  <c:v>0.11332468572476186</c:v>
                </c:pt>
                <c:pt idx="2550">
                  <c:v>0.11332468572476186</c:v>
                </c:pt>
                <c:pt idx="2551">
                  <c:v>0.11332468572476186</c:v>
                </c:pt>
                <c:pt idx="2552">
                  <c:v>0.11332468572476186</c:v>
                </c:pt>
                <c:pt idx="2553">
                  <c:v>0.11332468572476186</c:v>
                </c:pt>
                <c:pt idx="2554">
                  <c:v>0.11332468572476186</c:v>
                </c:pt>
                <c:pt idx="2555">
                  <c:v>0.11332468572476186</c:v>
                </c:pt>
                <c:pt idx="2556">
                  <c:v>0.11332468572476186</c:v>
                </c:pt>
                <c:pt idx="2557">
                  <c:v>0.11332468572476186</c:v>
                </c:pt>
                <c:pt idx="2558">
                  <c:v>0.11332468572476186</c:v>
                </c:pt>
                <c:pt idx="2559">
                  <c:v>0.11332468572476186</c:v>
                </c:pt>
                <c:pt idx="2560">
                  <c:v>0.11332468572476186</c:v>
                </c:pt>
                <c:pt idx="2561">
                  <c:v>0.11332468572476186</c:v>
                </c:pt>
                <c:pt idx="2562">
                  <c:v>0.11332468572476186</c:v>
                </c:pt>
                <c:pt idx="2563">
                  <c:v>0.11332468572476186</c:v>
                </c:pt>
                <c:pt idx="2564">
                  <c:v>0.11332468572476186</c:v>
                </c:pt>
                <c:pt idx="2565">
                  <c:v>0.11332468572476186</c:v>
                </c:pt>
                <c:pt idx="2566">
                  <c:v>0.11332468572476186</c:v>
                </c:pt>
                <c:pt idx="2567">
                  <c:v>0.11332468572476186</c:v>
                </c:pt>
                <c:pt idx="2568">
                  <c:v>0.11332468572476186</c:v>
                </c:pt>
                <c:pt idx="2569">
                  <c:v>0.11332468572476186</c:v>
                </c:pt>
                <c:pt idx="2570">
                  <c:v>0.11332468572476186</c:v>
                </c:pt>
                <c:pt idx="2571">
                  <c:v>0.11332468572476186</c:v>
                </c:pt>
                <c:pt idx="2572">
                  <c:v>0.11332468572476186</c:v>
                </c:pt>
                <c:pt idx="2573">
                  <c:v>0.11332468572476186</c:v>
                </c:pt>
                <c:pt idx="2574">
                  <c:v>0.11332468572476186</c:v>
                </c:pt>
                <c:pt idx="2575">
                  <c:v>0.11332468572476186</c:v>
                </c:pt>
                <c:pt idx="2576">
                  <c:v>0.11332468572476186</c:v>
                </c:pt>
                <c:pt idx="2577">
                  <c:v>0.11332468572476186</c:v>
                </c:pt>
                <c:pt idx="2578">
                  <c:v>0.11332468572476186</c:v>
                </c:pt>
                <c:pt idx="2579">
                  <c:v>0.11332468572476186</c:v>
                </c:pt>
                <c:pt idx="2580">
                  <c:v>0.11332468572476186</c:v>
                </c:pt>
                <c:pt idx="2581">
                  <c:v>0.11332468572476186</c:v>
                </c:pt>
                <c:pt idx="2582">
                  <c:v>0.11332468572476186</c:v>
                </c:pt>
                <c:pt idx="2583">
                  <c:v>0.11332468572476186</c:v>
                </c:pt>
                <c:pt idx="2584">
                  <c:v>0.11332468572476186</c:v>
                </c:pt>
                <c:pt idx="2585">
                  <c:v>0.11332468572476186</c:v>
                </c:pt>
                <c:pt idx="2586">
                  <c:v>0.11332468572476186</c:v>
                </c:pt>
                <c:pt idx="2587">
                  <c:v>0.11332468572476186</c:v>
                </c:pt>
                <c:pt idx="2588">
                  <c:v>0.11332468572476186</c:v>
                </c:pt>
                <c:pt idx="2589">
                  <c:v>0.11332468572476186</c:v>
                </c:pt>
                <c:pt idx="2590">
                  <c:v>0.11332468572476186</c:v>
                </c:pt>
                <c:pt idx="2591">
                  <c:v>0.11332468572476186</c:v>
                </c:pt>
                <c:pt idx="2592">
                  <c:v>0.11332468572476186</c:v>
                </c:pt>
                <c:pt idx="2593">
                  <c:v>0.11332468572476186</c:v>
                </c:pt>
                <c:pt idx="2594">
                  <c:v>0.11332468572476186</c:v>
                </c:pt>
                <c:pt idx="2595">
                  <c:v>0.11332468572476186</c:v>
                </c:pt>
                <c:pt idx="2596">
                  <c:v>0.11332468572476186</c:v>
                </c:pt>
                <c:pt idx="2597">
                  <c:v>0.11332468572476186</c:v>
                </c:pt>
                <c:pt idx="2598">
                  <c:v>0.11332468572476186</c:v>
                </c:pt>
                <c:pt idx="2599">
                  <c:v>0.11332468572476186</c:v>
                </c:pt>
                <c:pt idx="2600">
                  <c:v>0.11332468572476186</c:v>
                </c:pt>
                <c:pt idx="2601">
                  <c:v>0.11332468572476186</c:v>
                </c:pt>
                <c:pt idx="2602">
                  <c:v>0.11332468572476186</c:v>
                </c:pt>
                <c:pt idx="2603">
                  <c:v>0.11332468572476186</c:v>
                </c:pt>
                <c:pt idx="2604">
                  <c:v>0.11332468572476186</c:v>
                </c:pt>
                <c:pt idx="2605">
                  <c:v>0.11332468572476186</c:v>
                </c:pt>
                <c:pt idx="2606">
                  <c:v>0.11332468572476186</c:v>
                </c:pt>
                <c:pt idx="2607">
                  <c:v>0.11332468572476186</c:v>
                </c:pt>
                <c:pt idx="2608">
                  <c:v>0.11332468572476186</c:v>
                </c:pt>
                <c:pt idx="2609">
                  <c:v>0.11332468572476186</c:v>
                </c:pt>
                <c:pt idx="2610">
                  <c:v>0.11332468572476186</c:v>
                </c:pt>
                <c:pt idx="2611">
                  <c:v>0.11332468572476186</c:v>
                </c:pt>
                <c:pt idx="2612">
                  <c:v>0.11332468572476186</c:v>
                </c:pt>
                <c:pt idx="2613">
                  <c:v>0.11332468572476186</c:v>
                </c:pt>
                <c:pt idx="2614">
                  <c:v>0.11332468572476186</c:v>
                </c:pt>
                <c:pt idx="2615">
                  <c:v>0.11332468572476186</c:v>
                </c:pt>
                <c:pt idx="2616">
                  <c:v>0.11332468572476186</c:v>
                </c:pt>
                <c:pt idx="2617">
                  <c:v>0.11332468572476186</c:v>
                </c:pt>
                <c:pt idx="2618">
                  <c:v>0.11332468572476186</c:v>
                </c:pt>
                <c:pt idx="2619">
                  <c:v>0.11332468572476186</c:v>
                </c:pt>
                <c:pt idx="2620">
                  <c:v>0.11332468572476186</c:v>
                </c:pt>
                <c:pt idx="2621">
                  <c:v>0.11332468572476186</c:v>
                </c:pt>
                <c:pt idx="2622">
                  <c:v>0.11332468572476186</c:v>
                </c:pt>
                <c:pt idx="2623">
                  <c:v>0.11332468572476186</c:v>
                </c:pt>
                <c:pt idx="2624">
                  <c:v>0.11332468572476186</c:v>
                </c:pt>
                <c:pt idx="2625">
                  <c:v>0.11332468572476186</c:v>
                </c:pt>
                <c:pt idx="2626">
                  <c:v>0.11332468572476186</c:v>
                </c:pt>
                <c:pt idx="2627">
                  <c:v>0.11332468572476186</c:v>
                </c:pt>
                <c:pt idx="2628">
                  <c:v>0.11332468572476186</c:v>
                </c:pt>
                <c:pt idx="2629">
                  <c:v>0.11332468572476186</c:v>
                </c:pt>
                <c:pt idx="2630">
                  <c:v>0.11332468572476186</c:v>
                </c:pt>
                <c:pt idx="2631">
                  <c:v>0.11332468572476186</c:v>
                </c:pt>
                <c:pt idx="2632">
                  <c:v>0.11332468572476186</c:v>
                </c:pt>
                <c:pt idx="2633">
                  <c:v>0.11332468572476186</c:v>
                </c:pt>
                <c:pt idx="2634">
                  <c:v>0.11332468572476186</c:v>
                </c:pt>
                <c:pt idx="2635">
                  <c:v>0.11332468572476186</c:v>
                </c:pt>
                <c:pt idx="2636">
                  <c:v>0.11332468572476186</c:v>
                </c:pt>
                <c:pt idx="2637">
                  <c:v>0.11332468572476186</c:v>
                </c:pt>
                <c:pt idx="2638">
                  <c:v>0.11332468572476186</c:v>
                </c:pt>
                <c:pt idx="2639">
                  <c:v>0.11332468572476186</c:v>
                </c:pt>
                <c:pt idx="2640">
                  <c:v>0.11332468572476186</c:v>
                </c:pt>
                <c:pt idx="2641">
                  <c:v>0.11332468572476186</c:v>
                </c:pt>
                <c:pt idx="2642">
                  <c:v>0.11332468572476186</c:v>
                </c:pt>
                <c:pt idx="2643">
                  <c:v>0.11332468572476186</c:v>
                </c:pt>
                <c:pt idx="2644">
                  <c:v>0.11332468572476186</c:v>
                </c:pt>
                <c:pt idx="2645">
                  <c:v>0.11332468572476186</c:v>
                </c:pt>
                <c:pt idx="2646">
                  <c:v>0.11332468572476186</c:v>
                </c:pt>
                <c:pt idx="2647">
                  <c:v>0.11332468572476186</c:v>
                </c:pt>
                <c:pt idx="2648">
                  <c:v>0.11332468572476186</c:v>
                </c:pt>
                <c:pt idx="2649">
                  <c:v>0.11332468572476186</c:v>
                </c:pt>
                <c:pt idx="2650">
                  <c:v>0.11332468572476186</c:v>
                </c:pt>
                <c:pt idx="2651">
                  <c:v>0.11332468572476186</c:v>
                </c:pt>
                <c:pt idx="2652">
                  <c:v>0.11332468572476186</c:v>
                </c:pt>
                <c:pt idx="2653">
                  <c:v>0.11332468572476186</c:v>
                </c:pt>
                <c:pt idx="2654">
                  <c:v>0.11332468572476186</c:v>
                </c:pt>
                <c:pt idx="2655">
                  <c:v>0.11332468572476186</c:v>
                </c:pt>
                <c:pt idx="2656">
                  <c:v>0.11332468572476186</c:v>
                </c:pt>
                <c:pt idx="2657">
                  <c:v>0.11332468572476186</c:v>
                </c:pt>
                <c:pt idx="2658">
                  <c:v>0.11332468572476186</c:v>
                </c:pt>
                <c:pt idx="2659">
                  <c:v>0.11332468572476186</c:v>
                </c:pt>
                <c:pt idx="2660">
                  <c:v>0.11332468572476186</c:v>
                </c:pt>
                <c:pt idx="2661">
                  <c:v>0.11332468572476186</c:v>
                </c:pt>
                <c:pt idx="2662">
                  <c:v>0.11332468572476186</c:v>
                </c:pt>
                <c:pt idx="2663">
                  <c:v>0.11332468572476186</c:v>
                </c:pt>
                <c:pt idx="2664">
                  <c:v>0.11332468572476186</c:v>
                </c:pt>
                <c:pt idx="2665">
                  <c:v>0.11332468572476186</c:v>
                </c:pt>
                <c:pt idx="2666">
                  <c:v>0.11332468572476186</c:v>
                </c:pt>
                <c:pt idx="2667">
                  <c:v>0.11332468572476186</c:v>
                </c:pt>
                <c:pt idx="2668">
                  <c:v>0.11332468572476186</c:v>
                </c:pt>
                <c:pt idx="2669">
                  <c:v>0.11332468572476186</c:v>
                </c:pt>
                <c:pt idx="2670">
                  <c:v>0.11332468572476186</c:v>
                </c:pt>
                <c:pt idx="2671">
                  <c:v>0.11332468572476186</c:v>
                </c:pt>
                <c:pt idx="2672">
                  <c:v>0.11332468572476186</c:v>
                </c:pt>
                <c:pt idx="2673">
                  <c:v>0.11332468572476186</c:v>
                </c:pt>
                <c:pt idx="2674">
                  <c:v>0.11332468572476186</c:v>
                </c:pt>
                <c:pt idx="2675">
                  <c:v>0.11332468572476186</c:v>
                </c:pt>
                <c:pt idx="2676">
                  <c:v>0.11332468572476186</c:v>
                </c:pt>
                <c:pt idx="2677">
                  <c:v>0.11332468572476186</c:v>
                </c:pt>
                <c:pt idx="2678">
                  <c:v>0.11332468572476186</c:v>
                </c:pt>
                <c:pt idx="2679">
                  <c:v>0.11332468572476186</c:v>
                </c:pt>
                <c:pt idx="2680">
                  <c:v>0.11332468572476186</c:v>
                </c:pt>
                <c:pt idx="2681">
                  <c:v>0.11332468572476186</c:v>
                </c:pt>
                <c:pt idx="2682">
                  <c:v>0.11332468572476186</c:v>
                </c:pt>
                <c:pt idx="2683">
                  <c:v>0.11332468572476186</c:v>
                </c:pt>
                <c:pt idx="2684">
                  <c:v>0.11332468572476186</c:v>
                </c:pt>
                <c:pt idx="2685">
                  <c:v>0.11332468572476186</c:v>
                </c:pt>
                <c:pt idx="2686">
                  <c:v>0.11332468572476186</c:v>
                </c:pt>
                <c:pt idx="2687">
                  <c:v>0.11332468572476186</c:v>
                </c:pt>
                <c:pt idx="2688">
                  <c:v>0.11332468572476186</c:v>
                </c:pt>
                <c:pt idx="2689">
                  <c:v>0.11332468572476186</c:v>
                </c:pt>
                <c:pt idx="2690">
                  <c:v>0.11332468572476186</c:v>
                </c:pt>
                <c:pt idx="2691">
                  <c:v>0.11332468572476186</c:v>
                </c:pt>
                <c:pt idx="2692">
                  <c:v>0.11332468572476186</c:v>
                </c:pt>
                <c:pt idx="2693">
                  <c:v>0.11332468572476186</c:v>
                </c:pt>
                <c:pt idx="2694">
                  <c:v>0.11332468572476186</c:v>
                </c:pt>
                <c:pt idx="2695">
                  <c:v>0.11332468572476186</c:v>
                </c:pt>
                <c:pt idx="2696">
                  <c:v>0.11332468572476186</c:v>
                </c:pt>
                <c:pt idx="2697">
                  <c:v>0.11332468572476186</c:v>
                </c:pt>
                <c:pt idx="2698">
                  <c:v>0.11332468572476186</c:v>
                </c:pt>
                <c:pt idx="2699">
                  <c:v>0.11332468572476186</c:v>
                </c:pt>
                <c:pt idx="2700">
                  <c:v>0.11332468572476186</c:v>
                </c:pt>
                <c:pt idx="2701">
                  <c:v>0.11332468572476186</c:v>
                </c:pt>
                <c:pt idx="2702">
                  <c:v>0.11332468572476186</c:v>
                </c:pt>
                <c:pt idx="2703">
                  <c:v>0.11332468572476186</c:v>
                </c:pt>
                <c:pt idx="2704">
                  <c:v>0.11332468572476186</c:v>
                </c:pt>
                <c:pt idx="2705">
                  <c:v>0.11332468572476186</c:v>
                </c:pt>
                <c:pt idx="2706">
                  <c:v>0.11332468572476186</c:v>
                </c:pt>
                <c:pt idx="2707">
                  <c:v>0.11332468572476186</c:v>
                </c:pt>
                <c:pt idx="2708">
                  <c:v>0.11332468572476186</c:v>
                </c:pt>
                <c:pt idx="2709">
                  <c:v>0.11332468572476186</c:v>
                </c:pt>
                <c:pt idx="2710">
                  <c:v>0.11332468572476186</c:v>
                </c:pt>
                <c:pt idx="2711">
                  <c:v>0.11332468572476186</c:v>
                </c:pt>
                <c:pt idx="2712">
                  <c:v>0.11332468572476186</c:v>
                </c:pt>
                <c:pt idx="2713">
                  <c:v>0.11332468572476186</c:v>
                </c:pt>
                <c:pt idx="2714">
                  <c:v>0.11332468572476186</c:v>
                </c:pt>
                <c:pt idx="2715">
                  <c:v>0.11332468572476186</c:v>
                </c:pt>
                <c:pt idx="2716">
                  <c:v>0.11332468572476186</c:v>
                </c:pt>
                <c:pt idx="2717">
                  <c:v>0.11332468572476186</c:v>
                </c:pt>
                <c:pt idx="2718">
                  <c:v>0.11332468572476186</c:v>
                </c:pt>
                <c:pt idx="2719">
                  <c:v>0.11332468572476186</c:v>
                </c:pt>
                <c:pt idx="2720">
                  <c:v>0.11332468572476186</c:v>
                </c:pt>
                <c:pt idx="2721">
                  <c:v>0.11332468572476186</c:v>
                </c:pt>
                <c:pt idx="2722">
                  <c:v>0.11332468572476186</c:v>
                </c:pt>
                <c:pt idx="2723">
                  <c:v>0.11332468572476186</c:v>
                </c:pt>
                <c:pt idx="2724">
                  <c:v>0.11332468572476186</c:v>
                </c:pt>
                <c:pt idx="2725">
                  <c:v>0.11332468572476186</c:v>
                </c:pt>
                <c:pt idx="2726">
                  <c:v>0.11332468572476186</c:v>
                </c:pt>
                <c:pt idx="2727">
                  <c:v>0.11332468572476186</c:v>
                </c:pt>
                <c:pt idx="2728">
                  <c:v>0.11332468572476186</c:v>
                </c:pt>
                <c:pt idx="2729">
                  <c:v>0.11332468572476186</c:v>
                </c:pt>
                <c:pt idx="2730">
                  <c:v>0.11332468572476186</c:v>
                </c:pt>
                <c:pt idx="2731">
                  <c:v>0.11332468572476186</c:v>
                </c:pt>
                <c:pt idx="2732">
                  <c:v>0.11332468572476186</c:v>
                </c:pt>
                <c:pt idx="2733">
                  <c:v>0.11332468572476186</c:v>
                </c:pt>
                <c:pt idx="2734">
                  <c:v>0.11332468572476186</c:v>
                </c:pt>
                <c:pt idx="2735">
                  <c:v>0.11332468572476186</c:v>
                </c:pt>
                <c:pt idx="2736">
                  <c:v>0.11332468572476186</c:v>
                </c:pt>
                <c:pt idx="2737">
                  <c:v>0.11332468572476186</c:v>
                </c:pt>
                <c:pt idx="2738">
                  <c:v>0.11332468572476186</c:v>
                </c:pt>
                <c:pt idx="2739">
                  <c:v>0.11332468572476186</c:v>
                </c:pt>
                <c:pt idx="2740">
                  <c:v>0.11332468572476186</c:v>
                </c:pt>
                <c:pt idx="2741">
                  <c:v>0.11332468572476186</c:v>
                </c:pt>
                <c:pt idx="2742">
                  <c:v>0.11332468572476186</c:v>
                </c:pt>
                <c:pt idx="2743">
                  <c:v>0.11332468572476186</c:v>
                </c:pt>
                <c:pt idx="2744">
                  <c:v>0.11332468572476186</c:v>
                </c:pt>
                <c:pt idx="2745">
                  <c:v>0.11332468572476186</c:v>
                </c:pt>
                <c:pt idx="2746">
                  <c:v>0.11332468572476186</c:v>
                </c:pt>
                <c:pt idx="2747">
                  <c:v>0.11332468572476186</c:v>
                </c:pt>
                <c:pt idx="2748">
                  <c:v>0.11332468572476186</c:v>
                </c:pt>
                <c:pt idx="2749">
                  <c:v>0.11332468572476186</c:v>
                </c:pt>
                <c:pt idx="2750">
                  <c:v>0.11332468572476186</c:v>
                </c:pt>
                <c:pt idx="2751">
                  <c:v>0.11332468572476186</c:v>
                </c:pt>
                <c:pt idx="2752">
                  <c:v>0.11332468572476186</c:v>
                </c:pt>
                <c:pt idx="2753">
                  <c:v>0.11332468572476186</c:v>
                </c:pt>
                <c:pt idx="2754">
                  <c:v>0.11332468572476186</c:v>
                </c:pt>
                <c:pt idx="2755">
                  <c:v>0.11332468572476186</c:v>
                </c:pt>
                <c:pt idx="2756">
                  <c:v>0.11332468572476186</c:v>
                </c:pt>
                <c:pt idx="2757">
                  <c:v>0.11332468572476186</c:v>
                </c:pt>
                <c:pt idx="2758">
                  <c:v>0.11332468572476186</c:v>
                </c:pt>
                <c:pt idx="2759">
                  <c:v>0.11332468572476186</c:v>
                </c:pt>
                <c:pt idx="2760">
                  <c:v>0.11332468572476186</c:v>
                </c:pt>
                <c:pt idx="2761">
                  <c:v>0.11332468572476186</c:v>
                </c:pt>
                <c:pt idx="2762">
                  <c:v>0.11332468572476186</c:v>
                </c:pt>
                <c:pt idx="2763">
                  <c:v>0.11332468572476186</c:v>
                </c:pt>
                <c:pt idx="2764">
                  <c:v>0.11332468572476186</c:v>
                </c:pt>
                <c:pt idx="2765">
                  <c:v>0.11332468572476186</c:v>
                </c:pt>
                <c:pt idx="2766">
                  <c:v>0.11332468572476186</c:v>
                </c:pt>
                <c:pt idx="2767">
                  <c:v>0.11332468572476186</c:v>
                </c:pt>
                <c:pt idx="2768">
                  <c:v>0.11332468572476186</c:v>
                </c:pt>
                <c:pt idx="2769">
                  <c:v>0.11332468572476186</c:v>
                </c:pt>
                <c:pt idx="2770">
                  <c:v>0.11332468572476186</c:v>
                </c:pt>
                <c:pt idx="2771">
                  <c:v>0.11332468572476186</c:v>
                </c:pt>
                <c:pt idx="2772">
                  <c:v>0.11332468572476186</c:v>
                </c:pt>
                <c:pt idx="2773">
                  <c:v>0.11332468572476186</c:v>
                </c:pt>
                <c:pt idx="2774">
                  <c:v>0.11332468572476186</c:v>
                </c:pt>
                <c:pt idx="2775">
                  <c:v>0.11332468572476186</c:v>
                </c:pt>
                <c:pt idx="2776">
                  <c:v>0.11332468572476186</c:v>
                </c:pt>
                <c:pt idx="2777">
                  <c:v>0.11332468572476186</c:v>
                </c:pt>
                <c:pt idx="2778">
                  <c:v>0.11332468572476186</c:v>
                </c:pt>
                <c:pt idx="2779">
                  <c:v>0.11332468572476186</c:v>
                </c:pt>
                <c:pt idx="2780">
                  <c:v>0.11332468572476186</c:v>
                </c:pt>
                <c:pt idx="2781">
                  <c:v>0.11332468572476186</c:v>
                </c:pt>
                <c:pt idx="2782">
                  <c:v>0.11332468572476186</c:v>
                </c:pt>
                <c:pt idx="2783">
                  <c:v>0.11332468572476186</c:v>
                </c:pt>
                <c:pt idx="2784">
                  <c:v>0.11332468572476186</c:v>
                </c:pt>
                <c:pt idx="2785">
                  <c:v>0.11332468572476186</c:v>
                </c:pt>
                <c:pt idx="2786">
                  <c:v>0.11332468572476186</c:v>
                </c:pt>
                <c:pt idx="2787">
                  <c:v>0.11332468572476186</c:v>
                </c:pt>
                <c:pt idx="2788">
                  <c:v>0.11332468572476186</c:v>
                </c:pt>
                <c:pt idx="2789">
                  <c:v>0.11332468572476186</c:v>
                </c:pt>
                <c:pt idx="2790">
                  <c:v>0.11332468572476186</c:v>
                </c:pt>
                <c:pt idx="2791">
                  <c:v>0.11332468572476186</c:v>
                </c:pt>
                <c:pt idx="2792">
                  <c:v>0.11332468572476186</c:v>
                </c:pt>
                <c:pt idx="2793">
                  <c:v>0.11332468572476186</c:v>
                </c:pt>
                <c:pt idx="2794">
                  <c:v>0.11332468572476186</c:v>
                </c:pt>
                <c:pt idx="2795">
                  <c:v>0.11332468572476186</c:v>
                </c:pt>
                <c:pt idx="2796">
                  <c:v>0.11332468572476186</c:v>
                </c:pt>
                <c:pt idx="2797">
                  <c:v>0.11332468572476186</c:v>
                </c:pt>
                <c:pt idx="2798">
                  <c:v>0.11332468572476186</c:v>
                </c:pt>
                <c:pt idx="2799">
                  <c:v>0.11332468572476186</c:v>
                </c:pt>
                <c:pt idx="2800">
                  <c:v>0.11332468572476186</c:v>
                </c:pt>
                <c:pt idx="2801">
                  <c:v>0.11332468572476186</c:v>
                </c:pt>
                <c:pt idx="2802">
                  <c:v>0.11332468572476186</c:v>
                </c:pt>
                <c:pt idx="2803">
                  <c:v>0.11332468572476186</c:v>
                </c:pt>
                <c:pt idx="2804">
                  <c:v>0.11332468572476186</c:v>
                </c:pt>
                <c:pt idx="2805">
                  <c:v>0.11332468572476186</c:v>
                </c:pt>
                <c:pt idx="2806">
                  <c:v>0.11332468572476186</c:v>
                </c:pt>
                <c:pt idx="2807">
                  <c:v>0.11332468572476186</c:v>
                </c:pt>
                <c:pt idx="2808">
                  <c:v>0.11332468572476186</c:v>
                </c:pt>
                <c:pt idx="2809">
                  <c:v>0.11332468572476186</c:v>
                </c:pt>
                <c:pt idx="2810">
                  <c:v>0.11332468572476186</c:v>
                </c:pt>
                <c:pt idx="2811">
                  <c:v>0.11332468572476186</c:v>
                </c:pt>
                <c:pt idx="2812">
                  <c:v>0.11332468572476186</c:v>
                </c:pt>
                <c:pt idx="2813">
                  <c:v>0.11332468572476186</c:v>
                </c:pt>
                <c:pt idx="2814">
                  <c:v>0.11332468572476186</c:v>
                </c:pt>
                <c:pt idx="2815">
                  <c:v>0.11332468572476186</c:v>
                </c:pt>
                <c:pt idx="2816">
                  <c:v>0.11332468572476186</c:v>
                </c:pt>
                <c:pt idx="2817">
                  <c:v>0.11332468572476186</c:v>
                </c:pt>
                <c:pt idx="2818">
                  <c:v>0.11332468572476186</c:v>
                </c:pt>
                <c:pt idx="2819">
                  <c:v>0.11332468572476186</c:v>
                </c:pt>
                <c:pt idx="2820">
                  <c:v>0.11332468572476186</c:v>
                </c:pt>
                <c:pt idx="2821">
                  <c:v>0.11332468572476186</c:v>
                </c:pt>
                <c:pt idx="2822">
                  <c:v>0.11332468572476186</c:v>
                </c:pt>
                <c:pt idx="2823">
                  <c:v>0.11332468572476186</c:v>
                </c:pt>
                <c:pt idx="2824">
                  <c:v>0.11332468572476186</c:v>
                </c:pt>
                <c:pt idx="2825">
                  <c:v>0.11332468572476186</c:v>
                </c:pt>
                <c:pt idx="2826">
                  <c:v>0.11332468572476186</c:v>
                </c:pt>
                <c:pt idx="2827">
                  <c:v>0.11332468572476186</c:v>
                </c:pt>
                <c:pt idx="2828">
                  <c:v>0.11332468572476186</c:v>
                </c:pt>
                <c:pt idx="2829">
                  <c:v>0.11332468572476186</c:v>
                </c:pt>
                <c:pt idx="2830">
                  <c:v>0.11332468572476186</c:v>
                </c:pt>
                <c:pt idx="2831">
                  <c:v>0.11332468572476186</c:v>
                </c:pt>
                <c:pt idx="2832">
                  <c:v>0.11332468572476186</c:v>
                </c:pt>
                <c:pt idx="2833">
                  <c:v>0.11332468572476186</c:v>
                </c:pt>
                <c:pt idx="2834">
                  <c:v>0.11332468572476186</c:v>
                </c:pt>
                <c:pt idx="2835">
                  <c:v>0.11332468572476186</c:v>
                </c:pt>
                <c:pt idx="2836">
                  <c:v>0.11332468572476186</c:v>
                </c:pt>
                <c:pt idx="2837">
                  <c:v>0.11332468572476186</c:v>
                </c:pt>
                <c:pt idx="2838">
                  <c:v>0.11332468572476186</c:v>
                </c:pt>
                <c:pt idx="2839">
                  <c:v>0.11332468572476186</c:v>
                </c:pt>
                <c:pt idx="2840">
                  <c:v>0.11332468572476186</c:v>
                </c:pt>
                <c:pt idx="2841">
                  <c:v>0.11332468572476186</c:v>
                </c:pt>
                <c:pt idx="2842">
                  <c:v>0.11332468572476186</c:v>
                </c:pt>
                <c:pt idx="2843">
                  <c:v>0.11332468572476186</c:v>
                </c:pt>
                <c:pt idx="2844">
                  <c:v>0.11332468572476186</c:v>
                </c:pt>
                <c:pt idx="2845">
                  <c:v>0.11332468572476186</c:v>
                </c:pt>
                <c:pt idx="2846">
                  <c:v>0.11332468572476186</c:v>
                </c:pt>
                <c:pt idx="2847">
                  <c:v>0.11332468572476186</c:v>
                </c:pt>
                <c:pt idx="2848">
                  <c:v>0.11332468572476186</c:v>
                </c:pt>
                <c:pt idx="2849">
                  <c:v>0.11332468572476186</c:v>
                </c:pt>
                <c:pt idx="2850">
                  <c:v>0.11332468572476186</c:v>
                </c:pt>
                <c:pt idx="2851">
                  <c:v>0.11332468572476186</c:v>
                </c:pt>
                <c:pt idx="2852">
                  <c:v>0.11332468572476186</c:v>
                </c:pt>
                <c:pt idx="2853">
                  <c:v>0.11332468572476186</c:v>
                </c:pt>
                <c:pt idx="2854">
                  <c:v>0.11332468572476186</c:v>
                </c:pt>
                <c:pt idx="2855">
                  <c:v>0.11332468572476186</c:v>
                </c:pt>
                <c:pt idx="2856">
                  <c:v>0.11332468572476186</c:v>
                </c:pt>
                <c:pt idx="2857">
                  <c:v>0.11332468572476186</c:v>
                </c:pt>
                <c:pt idx="2858">
                  <c:v>0.11332468572476186</c:v>
                </c:pt>
                <c:pt idx="2859">
                  <c:v>0.11332468572476186</c:v>
                </c:pt>
                <c:pt idx="2860">
                  <c:v>0.11332468572476186</c:v>
                </c:pt>
                <c:pt idx="2861">
                  <c:v>0.11332468572476186</c:v>
                </c:pt>
                <c:pt idx="2862">
                  <c:v>0.11332468572476186</c:v>
                </c:pt>
                <c:pt idx="2863">
                  <c:v>0.11332468572476186</c:v>
                </c:pt>
                <c:pt idx="2864">
                  <c:v>0.11332468572476186</c:v>
                </c:pt>
                <c:pt idx="2865">
                  <c:v>0.11332468572476186</c:v>
                </c:pt>
                <c:pt idx="2866">
                  <c:v>0.11332468572476186</c:v>
                </c:pt>
                <c:pt idx="2867">
                  <c:v>0.11332468572476186</c:v>
                </c:pt>
                <c:pt idx="2868">
                  <c:v>0.11332468572476186</c:v>
                </c:pt>
                <c:pt idx="2869">
                  <c:v>0.11332468572476186</c:v>
                </c:pt>
                <c:pt idx="2870">
                  <c:v>0.11332468572476186</c:v>
                </c:pt>
                <c:pt idx="2871">
                  <c:v>0.11332468572476186</c:v>
                </c:pt>
                <c:pt idx="2872">
                  <c:v>0.11332468572476186</c:v>
                </c:pt>
                <c:pt idx="2873">
                  <c:v>0.11332468572476186</c:v>
                </c:pt>
                <c:pt idx="2874">
                  <c:v>0.11332468572476186</c:v>
                </c:pt>
                <c:pt idx="2875">
                  <c:v>0.11332468572476186</c:v>
                </c:pt>
                <c:pt idx="2876">
                  <c:v>0.11332468572476186</c:v>
                </c:pt>
                <c:pt idx="2877">
                  <c:v>0.11332468572476186</c:v>
                </c:pt>
                <c:pt idx="2878">
                  <c:v>0.11332468572476186</c:v>
                </c:pt>
                <c:pt idx="2879">
                  <c:v>0.11332468572476186</c:v>
                </c:pt>
                <c:pt idx="2880">
                  <c:v>0.11332468572476186</c:v>
                </c:pt>
                <c:pt idx="2881">
                  <c:v>0.11332468572476186</c:v>
                </c:pt>
                <c:pt idx="2882">
                  <c:v>0.11332468572476186</c:v>
                </c:pt>
                <c:pt idx="2883">
                  <c:v>0.11332468572476186</c:v>
                </c:pt>
                <c:pt idx="2884">
                  <c:v>0.11332468572476186</c:v>
                </c:pt>
                <c:pt idx="2885">
                  <c:v>0.11332468572476186</c:v>
                </c:pt>
                <c:pt idx="2886">
                  <c:v>0.11332468572476186</c:v>
                </c:pt>
                <c:pt idx="2887">
                  <c:v>0.11332468572476186</c:v>
                </c:pt>
                <c:pt idx="2888">
                  <c:v>0.11332468572476186</c:v>
                </c:pt>
                <c:pt idx="2889">
                  <c:v>0.11332468572476186</c:v>
                </c:pt>
                <c:pt idx="2890">
                  <c:v>0.11332468572476186</c:v>
                </c:pt>
                <c:pt idx="2891">
                  <c:v>0.11332468572476186</c:v>
                </c:pt>
                <c:pt idx="2892">
                  <c:v>0.11332468572476186</c:v>
                </c:pt>
                <c:pt idx="2893">
                  <c:v>0.11332468572476186</c:v>
                </c:pt>
                <c:pt idx="2894">
                  <c:v>0.11332468572476186</c:v>
                </c:pt>
                <c:pt idx="2895">
                  <c:v>0.11332468572476186</c:v>
                </c:pt>
                <c:pt idx="2896">
                  <c:v>0.11332468572476186</c:v>
                </c:pt>
                <c:pt idx="2897">
                  <c:v>0.11332468572476186</c:v>
                </c:pt>
                <c:pt idx="2898">
                  <c:v>0.11332468572476186</c:v>
                </c:pt>
                <c:pt idx="2899">
                  <c:v>0.11332468572476186</c:v>
                </c:pt>
                <c:pt idx="2900">
                  <c:v>0.11332468572476186</c:v>
                </c:pt>
                <c:pt idx="2901">
                  <c:v>0.11332468572476186</c:v>
                </c:pt>
                <c:pt idx="2902">
                  <c:v>0.11332468572476186</c:v>
                </c:pt>
                <c:pt idx="2903">
                  <c:v>0.11332468572476186</c:v>
                </c:pt>
                <c:pt idx="2904">
                  <c:v>0.11332468572476186</c:v>
                </c:pt>
                <c:pt idx="2905">
                  <c:v>0.11332468572476186</c:v>
                </c:pt>
                <c:pt idx="2906">
                  <c:v>0.11332468572476186</c:v>
                </c:pt>
                <c:pt idx="2907">
                  <c:v>0.11332468572476186</c:v>
                </c:pt>
                <c:pt idx="2908">
                  <c:v>0.11332468572476186</c:v>
                </c:pt>
                <c:pt idx="2909">
                  <c:v>0.11332468572476186</c:v>
                </c:pt>
                <c:pt idx="2910">
                  <c:v>0.11332468572476186</c:v>
                </c:pt>
                <c:pt idx="2911">
                  <c:v>0.11332468572476186</c:v>
                </c:pt>
                <c:pt idx="2912">
                  <c:v>0.11332468572476186</c:v>
                </c:pt>
                <c:pt idx="2913">
                  <c:v>0.11332468572476186</c:v>
                </c:pt>
                <c:pt idx="2914">
                  <c:v>0.11332468572476186</c:v>
                </c:pt>
                <c:pt idx="2915">
                  <c:v>0.11332468572476186</c:v>
                </c:pt>
                <c:pt idx="2916">
                  <c:v>0.11332468572476186</c:v>
                </c:pt>
                <c:pt idx="2917">
                  <c:v>0.11332468572476186</c:v>
                </c:pt>
                <c:pt idx="2918">
                  <c:v>0.11332468572476186</c:v>
                </c:pt>
                <c:pt idx="2919">
                  <c:v>0.11332468572476186</c:v>
                </c:pt>
                <c:pt idx="2920">
                  <c:v>0.11332468572476186</c:v>
                </c:pt>
                <c:pt idx="2921">
                  <c:v>0.11332468572476186</c:v>
                </c:pt>
                <c:pt idx="2922">
                  <c:v>0.11332468572476186</c:v>
                </c:pt>
                <c:pt idx="2923">
                  <c:v>0.11332468572476186</c:v>
                </c:pt>
                <c:pt idx="2924">
                  <c:v>0.11332468572476186</c:v>
                </c:pt>
                <c:pt idx="2925">
                  <c:v>0.11332468572476186</c:v>
                </c:pt>
                <c:pt idx="2926">
                  <c:v>0.11332468572476186</c:v>
                </c:pt>
                <c:pt idx="2927">
                  <c:v>0.11332468572476186</c:v>
                </c:pt>
                <c:pt idx="2928">
                  <c:v>0.11332468572476186</c:v>
                </c:pt>
                <c:pt idx="2929">
                  <c:v>0.11332468572476186</c:v>
                </c:pt>
                <c:pt idx="2930">
                  <c:v>0.11332468572476186</c:v>
                </c:pt>
                <c:pt idx="2931">
                  <c:v>0.11332468572476186</c:v>
                </c:pt>
                <c:pt idx="2932">
                  <c:v>0.11332468572476186</c:v>
                </c:pt>
                <c:pt idx="2933">
                  <c:v>0.11332468572476186</c:v>
                </c:pt>
                <c:pt idx="2934">
                  <c:v>0.11332468572476186</c:v>
                </c:pt>
                <c:pt idx="2935">
                  <c:v>0.11332468572476186</c:v>
                </c:pt>
                <c:pt idx="2936">
                  <c:v>0.11332468572476186</c:v>
                </c:pt>
                <c:pt idx="2937">
                  <c:v>0.11332468572476186</c:v>
                </c:pt>
                <c:pt idx="2938">
                  <c:v>0.11332468572476186</c:v>
                </c:pt>
                <c:pt idx="2939">
                  <c:v>0.11332468572476186</c:v>
                </c:pt>
                <c:pt idx="2940">
                  <c:v>0.11332468572476186</c:v>
                </c:pt>
                <c:pt idx="2941">
                  <c:v>0.11332468572476186</c:v>
                </c:pt>
                <c:pt idx="2942">
                  <c:v>0.11332468572476186</c:v>
                </c:pt>
                <c:pt idx="2943">
                  <c:v>0.11332468572476186</c:v>
                </c:pt>
                <c:pt idx="2944">
                  <c:v>0.11332468572476186</c:v>
                </c:pt>
                <c:pt idx="2945">
                  <c:v>0.11332468572476186</c:v>
                </c:pt>
                <c:pt idx="2946">
                  <c:v>0.11332468572476186</c:v>
                </c:pt>
                <c:pt idx="2947">
                  <c:v>0.11332468572476186</c:v>
                </c:pt>
                <c:pt idx="2948">
                  <c:v>0.11332468572476186</c:v>
                </c:pt>
                <c:pt idx="2949">
                  <c:v>0.11332468572476186</c:v>
                </c:pt>
                <c:pt idx="2950">
                  <c:v>0.11332468572476186</c:v>
                </c:pt>
                <c:pt idx="2951">
                  <c:v>0.11332468572476186</c:v>
                </c:pt>
                <c:pt idx="2952">
                  <c:v>0.11332468572476186</c:v>
                </c:pt>
                <c:pt idx="2953">
                  <c:v>0.11332468572476186</c:v>
                </c:pt>
                <c:pt idx="2954">
                  <c:v>0.11332468572476186</c:v>
                </c:pt>
                <c:pt idx="2955">
                  <c:v>0.11332468572476186</c:v>
                </c:pt>
                <c:pt idx="2956">
                  <c:v>0.11332468572476186</c:v>
                </c:pt>
                <c:pt idx="2957">
                  <c:v>0.11332468572476186</c:v>
                </c:pt>
                <c:pt idx="2958">
                  <c:v>0.11332468572476186</c:v>
                </c:pt>
                <c:pt idx="2959">
                  <c:v>0.11332468572476186</c:v>
                </c:pt>
                <c:pt idx="2960">
                  <c:v>0.11332468572476186</c:v>
                </c:pt>
                <c:pt idx="2961">
                  <c:v>0.11332468572476186</c:v>
                </c:pt>
                <c:pt idx="2962">
                  <c:v>0.11332468572476186</c:v>
                </c:pt>
                <c:pt idx="2963">
                  <c:v>0.11332468572476186</c:v>
                </c:pt>
                <c:pt idx="2964">
                  <c:v>0.11332468572476186</c:v>
                </c:pt>
                <c:pt idx="2965">
                  <c:v>0.11332468572476186</c:v>
                </c:pt>
                <c:pt idx="2966">
                  <c:v>0.11332468572476186</c:v>
                </c:pt>
                <c:pt idx="2967">
                  <c:v>0.11332468572476186</c:v>
                </c:pt>
                <c:pt idx="2968">
                  <c:v>0.11332468572476186</c:v>
                </c:pt>
                <c:pt idx="2969">
                  <c:v>0.11332468572476186</c:v>
                </c:pt>
                <c:pt idx="2970">
                  <c:v>0.11332468572476186</c:v>
                </c:pt>
                <c:pt idx="2971">
                  <c:v>0.11332468572476186</c:v>
                </c:pt>
                <c:pt idx="2972">
                  <c:v>0.11332468572476186</c:v>
                </c:pt>
                <c:pt idx="2973">
                  <c:v>0.11332468572476186</c:v>
                </c:pt>
                <c:pt idx="2974">
                  <c:v>0.11332468572476186</c:v>
                </c:pt>
                <c:pt idx="2975">
                  <c:v>0.11332468572476186</c:v>
                </c:pt>
                <c:pt idx="2976">
                  <c:v>0.11332468572476186</c:v>
                </c:pt>
                <c:pt idx="2977">
                  <c:v>0.11332468572476186</c:v>
                </c:pt>
                <c:pt idx="2978">
                  <c:v>0.11332468572476186</c:v>
                </c:pt>
                <c:pt idx="2979">
                  <c:v>0.11332468572476186</c:v>
                </c:pt>
                <c:pt idx="2980">
                  <c:v>0.11332468572476186</c:v>
                </c:pt>
                <c:pt idx="2981">
                  <c:v>0.11332468572476186</c:v>
                </c:pt>
                <c:pt idx="2982">
                  <c:v>0.11332468572476186</c:v>
                </c:pt>
                <c:pt idx="2983">
                  <c:v>0.11332468572476186</c:v>
                </c:pt>
                <c:pt idx="2984">
                  <c:v>0.11332468572476186</c:v>
                </c:pt>
                <c:pt idx="2985">
                  <c:v>0.11332468572476186</c:v>
                </c:pt>
                <c:pt idx="2986">
                  <c:v>0.11332468572476186</c:v>
                </c:pt>
                <c:pt idx="2987">
                  <c:v>0.11332468572476186</c:v>
                </c:pt>
                <c:pt idx="2988">
                  <c:v>0.11332468572476186</c:v>
                </c:pt>
                <c:pt idx="2989">
                  <c:v>0.11332468572476186</c:v>
                </c:pt>
                <c:pt idx="2990">
                  <c:v>0.11332468572476186</c:v>
                </c:pt>
                <c:pt idx="2991">
                  <c:v>0.11332468572476186</c:v>
                </c:pt>
                <c:pt idx="2992">
                  <c:v>0.11332468572476186</c:v>
                </c:pt>
                <c:pt idx="2993">
                  <c:v>0.11332468572476186</c:v>
                </c:pt>
                <c:pt idx="2994">
                  <c:v>0.11332468572476186</c:v>
                </c:pt>
                <c:pt idx="2995">
                  <c:v>0.11332468572476186</c:v>
                </c:pt>
                <c:pt idx="2996">
                  <c:v>0.11332468572476186</c:v>
                </c:pt>
                <c:pt idx="2997">
                  <c:v>0.11332468572476186</c:v>
                </c:pt>
                <c:pt idx="2998">
                  <c:v>0.11332468572476186</c:v>
                </c:pt>
                <c:pt idx="2999">
                  <c:v>0.11332468572476186</c:v>
                </c:pt>
                <c:pt idx="3000">
                  <c:v>0.11332468572476186</c:v>
                </c:pt>
                <c:pt idx="3001">
                  <c:v>0.11332468572476186</c:v>
                </c:pt>
                <c:pt idx="3002">
                  <c:v>0.11332468572476186</c:v>
                </c:pt>
                <c:pt idx="3003">
                  <c:v>0.11332468572476186</c:v>
                </c:pt>
                <c:pt idx="3004">
                  <c:v>0.11332468572476186</c:v>
                </c:pt>
                <c:pt idx="3005">
                  <c:v>0.11332468572476186</c:v>
                </c:pt>
                <c:pt idx="3006">
                  <c:v>0.11332468572476186</c:v>
                </c:pt>
                <c:pt idx="3007">
                  <c:v>0.11332468572476186</c:v>
                </c:pt>
                <c:pt idx="3008">
                  <c:v>0.11332468572476186</c:v>
                </c:pt>
                <c:pt idx="3009">
                  <c:v>0.11332468572476186</c:v>
                </c:pt>
                <c:pt idx="3010">
                  <c:v>0.11332468572476186</c:v>
                </c:pt>
                <c:pt idx="3011">
                  <c:v>0.11332468572476186</c:v>
                </c:pt>
                <c:pt idx="3012">
                  <c:v>0.11332468572476186</c:v>
                </c:pt>
                <c:pt idx="3013">
                  <c:v>0.11332468572476186</c:v>
                </c:pt>
                <c:pt idx="3014">
                  <c:v>0.11332468572476186</c:v>
                </c:pt>
                <c:pt idx="3015">
                  <c:v>0.11332468572476186</c:v>
                </c:pt>
                <c:pt idx="3016">
                  <c:v>0.11332468572476186</c:v>
                </c:pt>
                <c:pt idx="3017">
                  <c:v>0.11332468572476186</c:v>
                </c:pt>
                <c:pt idx="3018">
                  <c:v>0.11332468572476186</c:v>
                </c:pt>
                <c:pt idx="3019">
                  <c:v>0.11332468572476186</c:v>
                </c:pt>
                <c:pt idx="3020">
                  <c:v>0.11332468572476186</c:v>
                </c:pt>
                <c:pt idx="3021">
                  <c:v>0.11332468572476186</c:v>
                </c:pt>
                <c:pt idx="3022">
                  <c:v>0.11332468572476186</c:v>
                </c:pt>
                <c:pt idx="3023">
                  <c:v>0.11332468572476186</c:v>
                </c:pt>
                <c:pt idx="3024">
                  <c:v>0.11332468572476186</c:v>
                </c:pt>
                <c:pt idx="3025">
                  <c:v>0.11332468572476186</c:v>
                </c:pt>
                <c:pt idx="3026">
                  <c:v>0.11332468572476186</c:v>
                </c:pt>
                <c:pt idx="3027">
                  <c:v>0.11332468572476186</c:v>
                </c:pt>
                <c:pt idx="3028">
                  <c:v>0.11332468572476186</c:v>
                </c:pt>
                <c:pt idx="3029">
                  <c:v>0.11332468572476186</c:v>
                </c:pt>
                <c:pt idx="3030">
                  <c:v>0.11332468572476186</c:v>
                </c:pt>
                <c:pt idx="3031">
                  <c:v>0.11332468572476186</c:v>
                </c:pt>
                <c:pt idx="3032">
                  <c:v>0.11332468572476186</c:v>
                </c:pt>
                <c:pt idx="3033">
                  <c:v>0.11332468572476186</c:v>
                </c:pt>
                <c:pt idx="3034">
                  <c:v>0.11332468572476186</c:v>
                </c:pt>
                <c:pt idx="3035">
                  <c:v>0.11332468572476186</c:v>
                </c:pt>
                <c:pt idx="3036">
                  <c:v>0.11332468572476186</c:v>
                </c:pt>
                <c:pt idx="3037">
                  <c:v>0.11332468572476186</c:v>
                </c:pt>
                <c:pt idx="3038">
                  <c:v>0.11332468572476186</c:v>
                </c:pt>
                <c:pt idx="3039">
                  <c:v>0.11332468572476186</c:v>
                </c:pt>
                <c:pt idx="3040">
                  <c:v>0.11332468572476186</c:v>
                </c:pt>
                <c:pt idx="3041">
                  <c:v>0.11332468572476186</c:v>
                </c:pt>
                <c:pt idx="3042">
                  <c:v>0.11332468572476186</c:v>
                </c:pt>
                <c:pt idx="3043">
                  <c:v>0.11332468572476186</c:v>
                </c:pt>
                <c:pt idx="3044">
                  <c:v>0.11332468572476186</c:v>
                </c:pt>
                <c:pt idx="3045">
                  <c:v>0.11332468572476186</c:v>
                </c:pt>
                <c:pt idx="3046">
                  <c:v>0.11332468572476186</c:v>
                </c:pt>
                <c:pt idx="3047">
                  <c:v>0.11332468572476186</c:v>
                </c:pt>
                <c:pt idx="3048">
                  <c:v>0.11332468572476186</c:v>
                </c:pt>
                <c:pt idx="3049">
                  <c:v>0.11332468572476186</c:v>
                </c:pt>
                <c:pt idx="3050">
                  <c:v>0.11332468572476186</c:v>
                </c:pt>
                <c:pt idx="3051">
                  <c:v>0.11332468572476186</c:v>
                </c:pt>
                <c:pt idx="3052">
                  <c:v>0.11332468572476186</c:v>
                </c:pt>
                <c:pt idx="3053">
                  <c:v>0.11332468572476186</c:v>
                </c:pt>
                <c:pt idx="3054">
                  <c:v>0.11332468572476186</c:v>
                </c:pt>
                <c:pt idx="3055">
                  <c:v>0.11332468572476186</c:v>
                </c:pt>
                <c:pt idx="3056">
                  <c:v>0.11332468572476186</c:v>
                </c:pt>
                <c:pt idx="3057">
                  <c:v>0.11332468572476186</c:v>
                </c:pt>
                <c:pt idx="3058">
                  <c:v>0.11332468572476186</c:v>
                </c:pt>
                <c:pt idx="3059">
                  <c:v>0.11332468572476186</c:v>
                </c:pt>
                <c:pt idx="3060">
                  <c:v>0.11332468572476186</c:v>
                </c:pt>
                <c:pt idx="3061">
                  <c:v>0.11332468572476186</c:v>
                </c:pt>
                <c:pt idx="3062">
                  <c:v>0.11332468572476186</c:v>
                </c:pt>
                <c:pt idx="3063">
                  <c:v>0.11332468572476186</c:v>
                </c:pt>
                <c:pt idx="3064">
                  <c:v>0.11332468572476186</c:v>
                </c:pt>
                <c:pt idx="3065">
                  <c:v>0.11332468572476186</c:v>
                </c:pt>
                <c:pt idx="3066">
                  <c:v>0.11332468572476186</c:v>
                </c:pt>
                <c:pt idx="3067">
                  <c:v>0.11332468572476186</c:v>
                </c:pt>
                <c:pt idx="3068">
                  <c:v>0.11332468572476186</c:v>
                </c:pt>
                <c:pt idx="3069">
                  <c:v>0.11332468572476186</c:v>
                </c:pt>
                <c:pt idx="3070">
                  <c:v>0.11332468572476186</c:v>
                </c:pt>
                <c:pt idx="3071">
                  <c:v>0.11332468572476186</c:v>
                </c:pt>
                <c:pt idx="3072">
                  <c:v>0.11332468572476186</c:v>
                </c:pt>
                <c:pt idx="3073">
                  <c:v>0.11332468572476186</c:v>
                </c:pt>
                <c:pt idx="3074">
                  <c:v>0.11332468572476186</c:v>
                </c:pt>
                <c:pt idx="3075">
                  <c:v>0.11332468572476186</c:v>
                </c:pt>
                <c:pt idx="3076">
                  <c:v>0.11332468572476186</c:v>
                </c:pt>
                <c:pt idx="3077">
                  <c:v>0.11332468572476186</c:v>
                </c:pt>
                <c:pt idx="3078">
                  <c:v>0.11332468572476186</c:v>
                </c:pt>
                <c:pt idx="3079">
                  <c:v>0.11332468572476186</c:v>
                </c:pt>
                <c:pt idx="3080">
                  <c:v>0.11332468572476186</c:v>
                </c:pt>
                <c:pt idx="3081">
                  <c:v>0.11332468572476186</c:v>
                </c:pt>
                <c:pt idx="3082">
                  <c:v>0.11332468572476186</c:v>
                </c:pt>
                <c:pt idx="3083">
                  <c:v>0.11332468572476186</c:v>
                </c:pt>
                <c:pt idx="3084">
                  <c:v>0.11332468572476186</c:v>
                </c:pt>
                <c:pt idx="3085">
                  <c:v>0.11332468572476186</c:v>
                </c:pt>
                <c:pt idx="3086">
                  <c:v>0.11332468572476186</c:v>
                </c:pt>
                <c:pt idx="3087">
                  <c:v>0.11332468572476186</c:v>
                </c:pt>
                <c:pt idx="3088">
                  <c:v>0.11332468572476186</c:v>
                </c:pt>
                <c:pt idx="3089">
                  <c:v>0.11332468572476186</c:v>
                </c:pt>
                <c:pt idx="3090">
                  <c:v>0.11332468572476186</c:v>
                </c:pt>
                <c:pt idx="3091">
                  <c:v>0.11332468572476186</c:v>
                </c:pt>
                <c:pt idx="3092">
                  <c:v>0.11332468572476186</c:v>
                </c:pt>
                <c:pt idx="3093">
                  <c:v>0.11332468572476186</c:v>
                </c:pt>
                <c:pt idx="3094">
                  <c:v>0.11332468572476186</c:v>
                </c:pt>
                <c:pt idx="3095">
                  <c:v>0.11332468572476186</c:v>
                </c:pt>
                <c:pt idx="3096">
                  <c:v>0.11332468572476186</c:v>
                </c:pt>
                <c:pt idx="3097">
                  <c:v>0.11332468572476186</c:v>
                </c:pt>
                <c:pt idx="3098">
                  <c:v>0.11332468572476186</c:v>
                </c:pt>
                <c:pt idx="3099">
                  <c:v>0.11332468572476186</c:v>
                </c:pt>
                <c:pt idx="3100">
                  <c:v>0.11332468572476186</c:v>
                </c:pt>
                <c:pt idx="3101">
                  <c:v>0.11332468572476186</c:v>
                </c:pt>
                <c:pt idx="3102">
                  <c:v>0.11332468572476186</c:v>
                </c:pt>
                <c:pt idx="3103">
                  <c:v>0.11332468572476186</c:v>
                </c:pt>
                <c:pt idx="3104">
                  <c:v>0.11332468572476186</c:v>
                </c:pt>
                <c:pt idx="3105">
                  <c:v>0.11332468572476186</c:v>
                </c:pt>
                <c:pt idx="3106">
                  <c:v>0.11332468572476186</c:v>
                </c:pt>
                <c:pt idx="3107">
                  <c:v>0.11332468572476186</c:v>
                </c:pt>
                <c:pt idx="3108">
                  <c:v>0.11332468572476186</c:v>
                </c:pt>
                <c:pt idx="3109">
                  <c:v>0.11332468572476186</c:v>
                </c:pt>
                <c:pt idx="3110">
                  <c:v>0.11332468572476186</c:v>
                </c:pt>
                <c:pt idx="3111">
                  <c:v>0.11332468572476186</c:v>
                </c:pt>
                <c:pt idx="3112">
                  <c:v>0.11332468572476186</c:v>
                </c:pt>
                <c:pt idx="3113">
                  <c:v>0.11332468572476186</c:v>
                </c:pt>
                <c:pt idx="3114">
                  <c:v>0.11332468572476186</c:v>
                </c:pt>
                <c:pt idx="3115">
                  <c:v>0.11332468572476186</c:v>
                </c:pt>
                <c:pt idx="3116">
                  <c:v>0.11332468572476186</c:v>
                </c:pt>
                <c:pt idx="3117">
                  <c:v>0.11332468572476186</c:v>
                </c:pt>
                <c:pt idx="3118">
                  <c:v>0.11332468572476186</c:v>
                </c:pt>
                <c:pt idx="3119">
                  <c:v>0.11332468572476186</c:v>
                </c:pt>
                <c:pt idx="3120">
                  <c:v>0.11332468572476186</c:v>
                </c:pt>
                <c:pt idx="3121">
                  <c:v>0.11332468572476186</c:v>
                </c:pt>
                <c:pt idx="3122">
                  <c:v>0.11332468572476186</c:v>
                </c:pt>
                <c:pt idx="3123">
                  <c:v>0.11332468572476186</c:v>
                </c:pt>
                <c:pt idx="3124">
                  <c:v>0.11332468572476186</c:v>
                </c:pt>
                <c:pt idx="3125">
                  <c:v>0.11332468572476186</c:v>
                </c:pt>
                <c:pt idx="3126">
                  <c:v>0.11332468572476186</c:v>
                </c:pt>
                <c:pt idx="3127">
                  <c:v>0.11332468572476186</c:v>
                </c:pt>
                <c:pt idx="3128">
                  <c:v>0.11332468572476186</c:v>
                </c:pt>
                <c:pt idx="3129">
                  <c:v>0.11332468572476186</c:v>
                </c:pt>
                <c:pt idx="3130">
                  <c:v>0.11332468572476186</c:v>
                </c:pt>
                <c:pt idx="3131">
                  <c:v>0.11332468572476186</c:v>
                </c:pt>
                <c:pt idx="3132">
                  <c:v>0.11332468572476186</c:v>
                </c:pt>
                <c:pt idx="3133">
                  <c:v>0.11332468572476186</c:v>
                </c:pt>
                <c:pt idx="3134">
                  <c:v>0.11332468572476186</c:v>
                </c:pt>
                <c:pt idx="3135">
                  <c:v>0.11332468572476186</c:v>
                </c:pt>
                <c:pt idx="3136">
                  <c:v>0.11332468572476186</c:v>
                </c:pt>
                <c:pt idx="3137">
                  <c:v>0.11332468572476186</c:v>
                </c:pt>
                <c:pt idx="3138">
                  <c:v>0.11332468572476186</c:v>
                </c:pt>
                <c:pt idx="3139">
                  <c:v>0.11332468572476186</c:v>
                </c:pt>
                <c:pt idx="3140">
                  <c:v>0.11332468572476186</c:v>
                </c:pt>
                <c:pt idx="3141">
                  <c:v>0.11332468572476186</c:v>
                </c:pt>
                <c:pt idx="3142">
                  <c:v>0.11332468572476186</c:v>
                </c:pt>
                <c:pt idx="3143">
                  <c:v>0.11332468572476186</c:v>
                </c:pt>
                <c:pt idx="3144">
                  <c:v>0.11332468572476186</c:v>
                </c:pt>
                <c:pt idx="3145">
                  <c:v>0.11332468572476186</c:v>
                </c:pt>
                <c:pt idx="3146">
                  <c:v>0.11332468572476186</c:v>
                </c:pt>
                <c:pt idx="3147">
                  <c:v>0.11332468572476186</c:v>
                </c:pt>
                <c:pt idx="3148">
                  <c:v>0.11332468572476186</c:v>
                </c:pt>
                <c:pt idx="3149">
                  <c:v>0.11332468572476186</c:v>
                </c:pt>
                <c:pt idx="3150">
                  <c:v>0.11332468572476186</c:v>
                </c:pt>
                <c:pt idx="3151">
                  <c:v>0.11332468572476186</c:v>
                </c:pt>
                <c:pt idx="3152">
                  <c:v>0.11332468572476186</c:v>
                </c:pt>
                <c:pt idx="3153">
                  <c:v>0.11332468572476186</c:v>
                </c:pt>
                <c:pt idx="3154">
                  <c:v>0.11332468572476186</c:v>
                </c:pt>
                <c:pt idx="3155">
                  <c:v>0.11332468572476186</c:v>
                </c:pt>
                <c:pt idx="3156">
                  <c:v>0.11332468572476186</c:v>
                </c:pt>
                <c:pt idx="3157">
                  <c:v>0.11332468572476186</c:v>
                </c:pt>
                <c:pt idx="3158">
                  <c:v>0.11332468572476186</c:v>
                </c:pt>
                <c:pt idx="3159">
                  <c:v>0.11332468572476186</c:v>
                </c:pt>
                <c:pt idx="3160">
                  <c:v>0.11332468572476186</c:v>
                </c:pt>
                <c:pt idx="3161">
                  <c:v>0.11332468572476186</c:v>
                </c:pt>
                <c:pt idx="3162">
                  <c:v>0.11332468572476186</c:v>
                </c:pt>
                <c:pt idx="3163">
                  <c:v>0.11332468572476186</c:v>
                </c:pt>
                <c:pt idx="3164">
                  <c:v>0.11332468572476186</c:v>
                </c:pt>
                <c:pt idx="3165">
                  <c:v>0.11332468572476186</c:v>
                </c:pt>
                <c:pt idx="3166">
                  <c:v>0.11332468572476186</c:v>
                </c:pt>
                <c:pt idx="3167">
                  <c:v>0.11332468572476186</c:v>
                </c:pt>
                <c:pt idx="3168">
                  <c:v>0.11332468572476186</c:v>
                </c:pt>
                <c:pt idx="3169">
                  <c:v>0.11332468572476186</c:v>
                </c:pt>
                <c:pt idx="3170">
                  <c:v>0.11332468572476186</c:v>
                </c:pt>
                <c:pt idx="3171">
                  <c:v>0.11332468572476186</c:v>
                </c:pt>
                <c:pt idx="3172">
                  <c:v>0.11332468572476186</c:v>
                </c:pt>
                <c:pt idx="3173">
                  <c:v>0.11332468572476186</c:v>
                </c:pt>
                <c:pt idx="3174">
                  <c:v>0.11332468572476186</c:v>
                </c:pt>
                <c:pt idx="3175">
                  <c:v>0.11332468572476186</c:v>
                </c:pt>
                <c:pt idx="3176">
                  <c:v>0.11332468572476186</c:v>
                </c:pt>
                <c:pt idx="3177">
                  <c:v>0.11332468572476186</c:v>
                </c:pt>
                <c:pt idx="3178">
                  <c:v>0.11332468572476186</c:v>
                </c:pt>
                <c:pt idx="3179">
                  <c:v>0.11332468572476186</c:v>
                </c:pt>
                <c:pt idx="3180">
                  <c:v>0.11332468572476186</c:v>
                </c:pt>
                <c:pt idx="3181">
                  <c:v>0.11332468572476186</c:v>
                </c:pt>
                <c:pt idx="3182">
                  <c:v>0.11332468572476186</c:v>
                </c:pt>
                <c:pt idx="3183">
                  <c:v>0.11332468572476186</c:v>
                </c:pt>
                <c:pt idx="3184">
                  <c:v>0.11332468572476186</c:v>
                </c:pt>
                <c:pt idx="3185">
                  <c:v>0.11332468572476186</c:v>
                </c:pt>
                <c:pt idx="3186">
                  <c:v>0.11332468572476186</c:v>
                </c:pt>
                <c:pt idx="3187">
                  <c:v>0.11332468572476186</c:v>
                </c:pt>
                <c:pt idx="3188">
                  <c:v>0.11332468572476186</c:v>
                </c:pt>
                <c:pt idx="3189">
                  <c:v>0.11332468572476186</c:v>
                </c:pt>
                <c:pt idx="3190">
                  <c:v>0.11332468572476186</c:v>
                </c:pt>
                <c:pt idx="3191">
                  <c:v>0.11332468572476186</c:v>
                </c:pt>
                <c:pt idx="3192">
                  <c:v>0.11332468572476186</c:v>
                </c:pt>
                <c:pt idx="3193">
                  <c:v>0.11332468572476186</c:v>
                </c:pt>
                <c:pt idx="3194">
                  <c:v>0.11332468572476186</c:v>
                </c:pt>
                <c:pt idx="3195">
                  <c:v>0.11332468572476186</c:v>
                </c:pt>
                <c:pt idx="3196">
                  <c:v>0.11332468572476186</c:v>
                </c:pt>
                <c:pt idx="3197">
                  <c:v>0.11332468572476186</c:v>
                </c:pt>
                <c:pt idx="3198">
                  <c:v>0.11332468572476186</c:v>
                </c:pt>
                <c:pt idx="3199">
                  <c:v>0.11332468572476186</c:v>
                </c:pt>
                <c:pt idx="3200">
                  <c:v>0.11332468572476186</c:v>
                </c:pt>
                <c:pt idx="3201">
                  <c:v>0.11332468572476186</c:v>
                </c:pt>
                <c:pt idx="3202">
                  <c:v>0.11332468572476186</c:v>
                </c:pt>
                <c:pt idx="3203">
                  <c:v>0.11332468572476186</c:v>
                </c:pt>
                <c:pt idx="3204">
                  <c:v>0.11332468572476186</c:v>
                </c:pt>
                <c:pt idx="3205">
                  <c:v>0.11332468572476186</c:v>
                </c:pt>
                <c:pt idx="3206">
                  <c:v>0.11332468572476186</c:v>
                </c:pt>
                <c:pt idx="3207">
                  <c:v>0.11332468572476186</c:v>
                </c:pt>
                <c:pt idx="3208">
                  <c:v>0.11332468572476186</c:v>
                </c:pt>
                <c:pt idx="3209">
                  <c:v>0.11332468572476186</c:v>
                </c:pt>
                <c:pt idx="3210">
                  <c:v>0.11332468572476186</c:v>
                </c:pt>
                <c:pt idx="3211">
                  <c:v>0.11332468572476186</c:v>
                </c:pt>
                <c:pt idx="3212">
                  <c:v>0.11332468572476186</c:v>
                </c:pt>
                <c:pt idx="3213">
                  <c:v>0.11332468572476186</c:v>
                </c:pt>
                <c:pt idx="3214">
                  <c:v>0.11332468572476186</c:v>
                </c:pt>
                <c:pt idx="3215">
                  <c:v>0.11332468572476186</c:v>
                </c:pt>
                <c:pt idx="3216">
                  <c:v>0.11332468572476186</c:v>
                </c:pt>
                <c:pt idx="3217">
                  <c:v>0.11332468572476186</c:v>
                </c:pt>
                <c:pt idx="3218">
                  <c:v>0.11332468572476186</c:v>
                </c:pt>
                <c:pt idx="3219">
                  <c:v>0.11332468572476186</c:v>
                </c:pt>
                <c:pt idx="3220">
                  <c:v>0.11332468572476186</c:v>
                </c:pt>
                <c:pt idx="3221">
                  <c:v>0.11332468572476186</c:v>
                </c:pt>
                <c:pt idx="3222">
                  <c:v>0.11332468572476186</c:v>
                </c:pt>
                <c:pt idx="3223">
                  <c:v>0.11332468572476186</c:v>
                </c:pt>
                <c:pt idx="3224">
                  <c:v>0.11332468572476186</c:v>
                </c:pt>
                <c:pt idx="3225">
                  <c:v>0.11332468572476186</c:v>
                </c:pt>
                <c:pt idx="3226">
                  <c:v>0.11332468572476186</c:v>
                </c:pt>
                <c:pt idx="3227">
                  <c:v>0.11332468572476186</c:v>
                </c:pt>
                <c:pt idx="3228">
                  <c:v>0.11332468572476186</c:v>
                </c:pt>
                <c:pt idx="3229">
                  <c:v>0.11332468572476186</c:v>
                </c:pt>
                <c:pt idx="3230">
                  <c:v>0.11332468572476186</c:v>
                </c:pt>
                <c:pt idx="3231">
                  <c:v>0.11332468572476186</c:v>
                </c:pt>
                <c:pt idx="3232">
                  <c:v>0.11332468572476186</c:v>
                </c:pt>
                <c:pt idx="3233">
                  <c:v>0.11332468572476186</c:v>
                </c:pt>
                <c:pt idx="3234">
                  <c:v>0.11332468572476186</c:v>
                </c:pt>
                <c:pt idx="3235">
                  <c:v>0.11332468572476186</c:v>
                </c:pt>
                <c:pt idx="3236">
                  <c:v>0.11332468572476186</c:v>
                </c:pt>
                <c:pt idx="3237">
                  <c:v>0.11332468572476186</c:v>
                </c:pt>
                <c:pt idx="3238">
                  <c:v>0.11332468572476186</c:v>
                </c:pt>
                <c:pt idx="3239">
                  <c:v>0.11332468572476186</c:v>
                </c:pt>
                <c:pt idx="3240">
                  <c:v>0.11332468572476186</c:v>
                </c:pt>
                <c:pt idx="3241">
                  <c:v>0.11332468572476186</c:v>
                </c:pt>
                <c:pt idx="3242">
                  <c:v>0.11332468572476186</c:v>
                </c:pt>
                <c:pt idx="3243">
                  <c:v>0.11332468572476186</c:v>
                </c:pt>
                <c:pt idx="3244">
                  <c:v>0.11332468572476186</c:v>
                </c:pt>
                <c:pt idx="3245">
                  <c:v>0.11332468572476186</c:v>
                </c:pt>
                <c:pt idx="3246">
                  <c:v>0.11332468572476186</c:v>
                </c:pt>
                <c:pt idx="3247">
                  <c:v>0.11332468572476186</c:v>
                </c:pt>
                <c:pt idx="3248">
                  <c:v>0.11332468572476186</c:v>
                </c:pt>
                <c:pt idx="3249">
                  <c:v>0.11332468572476186</c:v>
                </c:pt>
                <c:pt idx="3250">
                  <c:v>0.11332468572476186</c:v>
                </c:pt>
                <c:pt idx="3251">
                  <c:v>0.11332468572476186</c:v>
                </c:pt>
                <c:pt idx="3252">
                  <c:v>0.11332468572476186</c:v>
                </c:pt>
                <c:pt idx="3253">
                  <c:v>0.11332468572476186</c:v>
                </c:pt>
                <c:pt idx="3254">
                  <c:v>0.11332468572476186</c:v>
                </c:pt>
                <c:pt idx="3255">
                  <c:v>0.11332468572476186</c:v>
                </c:pt>
                <c:pt idx="3256">
                  <c:v>0.11332468572476186</c:v>
                </c:pt>
                <c:pt idx="3257">
                  <c:v>0.11332468572476186</c:v>
                </c:pt>
                <c:pt idx="3258">
                  <c:v>0.11332468572476186</c:v>
                </c:pt>
                <c:pt idx="3259">
                  <c:v>0.11332468572476186</c:v>
                </c:pt>
                <c:pt idx="3260">
                  <c:v>0.11332468572476186</c:v>
                </c:pt>
                <c:pt idx="3261">
                  <c:v>0.11332468572476186</c:v>
                </c:pt>
                <c:pt idx="3262">
                  <c:v>0.11332468572476186</c:v>
                </c:pt>
                <c:pt idx="3263">
                  <c:v>0.11332468572476186</c:v>
                </c:pt>
                <c:pt idx="3264">
                  <c:v>0.11332468572476186</c:v>
                </c:pt>
                <c:pt idx="3265">
                  <c:v>0.11332468572476186</c:v>
                </c:pt>
                <c:pt idx="3266">
                  <c:v>0.11332468572476186</c:v>
                </c:pt>
                <c:pt idx="3267">
                  <c:v>0.11332468572476186</c:v>
                </c:pt>
                <c:pt idx="3268">
                  <c:v>0.11332468572476186</c:v>
                </c:pt>
                <c:pt idx="3269">
                  <c:v>0.11332468572476186</c:v>
                </c:pt>
                <c:pt idx="3270">
                  <c:v>0.11332468572476186</c:v>
                </c:pt>
                <c:pt idx="3271">
                  <c:v>0.11332468572476186</c:v>
                </c:pt>
                <c:pt idx="3272">
                  <c:v>0.11332468572476186</c:v>
                </c:pt>
                <c:pt idx="3273">
                  <c:v>0.11332468572476186</c:v>
                </c:pt>
                <c:pt idx="3274">
                  <c:v>0.11332468572476186</c:v>
                </c:pt>
                <c:pt idx="3275">
                  <c:v>0.11332468572476186</c:v>
                </c:pt>
                <c:pt idx="3276">
                  <c:v>0.11332468572476186</c:v>
                </c:pt>
                <c:pt idx="3277">
                  <c:v>0.11332468572476186</c:v>
                </c:pt>
                <c:pt idx="3278">
                  <c:v>0.11332468572476186</c:v>
                </c:pt>
                <c:pt idx="3279">
                  <c:v>0.11332468572476186</c:v>
                </c:pt>
                <c:pt idx="3280">
                  <c:v>0.11332468572476186</c:v>
                </c:pt>
                <c:pt idx="3281">
                  <c:v>0.11332468572476186</c:v>
                </c:pt>
                <c:pt idx="3282">
                  <c:v>0.11332468572476186</c:v>
                </c:pt>
                <c:pt idx="3283">
                  <c:v>0.11332468572476186</c:v>
                </c:pt>
                <c:pt idx="3284">
                  <c:v>0.11332468572476186</c:v>
                </c:pt>
                <c:pt idx="3285">
                  <c:v>0.11332468572476186</c:v>
                </c:pt>
                <c:pt idx="3286">
                  <c:v>0.11332468572476186</c:v>
                </c:pt>
                <c:pt idx="3287">
                  <c:v>0.11332468572476186</c:v>
                </c:pt>
                <c:pt idx="3288">
                  <c:v>0.11332468572476186</c:v>
                </c:pt>
                <c:pt idx="3289">
                  <c:v>0.11332468572476186</c:v>
                </c:pt>
                <c:pt idx="3290">
                  <c:v>0.11332468572476186</c:v>
                </c:pt>
                <c:pt idx="3291">
                  <c:v>0.11332468572476186</c:v>
                </c:pt>
                <c:pt idx="3292">
                  <c:v>0.11332468572476186</c:v>
                </c:pt>
                <c:pt idx="3293">
                  <c:v>0.11332468572476186</c:v>
                </c:pt>
                <c:pt idx="3294">
                  <c:v>0.11332468572476186</c:v>
                </c:pt>
                <c:pt idx="3295">
                  <c:v>0.11332468572476186</c:v>
                </c:pt>
                <c:pt idx="3296">
                  <c:v>0.11332468572476186</c:v>
                </c:pt>
                <c:pt idx="3297">
                  <c:v>0.11332468572476186</c:v>
                </c:pt>
                <c:pt idx="3298">
                  <c:v>0.11332468572476186</c:v>
                </c:pt>
                <c:pt idx="3299">
                  <c:v>0.11332468572476186</c:v>
                </c:pt>
                <c:pt idx="3300">
                  <c:v>0.11332468572476186</c:v>
                </c:pt>
                <c:pt idx="3301">
                  <c:v>0.11332468572476186</c:v>
                </c:pt>
                <c:pt idx="3302">
                  <c:v>0.11332468572476186</c:v>
                </c:pt>
                <c:pt idx="3303">
                  <c:v>0.11332468572476186</c:v>
                </c:pt>
                <c:pt idx="3304">
                  <c:v>0.11332468572476186</c:v>
                </c:pt>
                <c:pt idx="3305">
                  <c:v>0.11332468572476186</c:v>
                </c:pt>
                <c:pt idx="3306">
                  <c:v>0.11332468572476186</c:v>
                </c:pt>
                <c:pt idx="3307">
                  <c:v>0.11332468572476186</c:v>
                </c:pt>
                <c:pt idx="3308">
                  <c:v>0.11332468572476186</c:v>
                </c:pt>
                <c:pt idx="3309">
                  <c:v>0.11332468572476186</c:v>
                </c:pt>
                <c:pt idx="3310">
                  <c:v>0.11332468572476186</c:v>
                </c:pt>
                <c:pt idx="3311">
                  <c:v>0.11332468572476186</c:v>
                </c:pt>
                <c:pt idx="3312">
                  <c:v>0.11332468572476186</c:v>
                </c:pt>
                <c:pt idx="3313">
                  <c:v>0.11332468572476186</c:v>
                </c:pt>
                <c:pt idx="3314">
                  <c:v>0.11332468572476186</c:v>
                </c:pt>
                <c:pt idx="3315">
                  <c:v>0.11332468572476186</c:v>
                </c:pt>
                <c:pt idx="3316">
                  <c:v>0.11332468572476186</c:v>
                </c:pt>
                <c:pt idx="3317">
                  <c:v>0.11332468572476186</c:v>
                </c:pt>
                <c:pt idx="3318">
                  <c:v>0.11332468572476186</c:v>
                </c:pt>
                <c:pt idx="3319">
                  <c:v>0.11332468572476186</c:v>
                </c:pt>
                <c:pt idx="3320">
                  <c:v>0.11332468572476186</c:v>
                </c:pt>
                <c:pt idx="3321">
                  <c:v>0.11332468572476186</c:v>
                </c:pt>
                <c:pt idx="3322">
                  <c:v>0.11332468572476186</c:v>
                </c:pt>
                <c:pt idx="3323">
                  <c:v>0.11332468572476186</c:v>
                </c:pt>
                <c:pt idx="3324">
                  <c:v>0.11332468572476186</c:v>
                </c:pt>
                <c:pt idx="3325">
                  <c:v>0.11332468572476186</c:v>
                </c:pt>
                <c:pt idx="3326">
                  <c:v>0.11332468572476186</c:v>
                </c:pt>
                <c:pt idx="3327">
                  <c:v>0.11332468572476186</c:v>
                </c:pt>
                <c:pt idx="3328">
                  <c:v>0.11332468572476186</c:v>
                </c:pt>
                <c:pt idx="3329">
                  <c:v>0.11332468572476186</c:v>
                </c:pt>
                <c:pt idx="3330">
                  <c:v>0.11332468572476186</c:v>
                </c:pt>
                <c:pt idx="3331">
                  <c:v>0.11332468572476186</c:v>
                </c:pt>
                <c:pt idx="3332">
                  <c:v>0.11332468572476186</c:v>
                </c:pt>
                <c:pt idx="3333">
                  <c:v>0.11332468572476186</c:v>
                </c:pt>
                <c:pt idx="3334">
                  <c:v>0.11332468572476186</c:v>
                </c:pt>
                <c:pt idx="3335">
                  <c:v>0.11332468572476186</c:v>
                </c:pt>
                <c:pt idx="3336">
                  <c:v>0.11332468572476186</c:v>
                </c:pt>
                <c:pt idx="3337">
                  <c:v>0.11332468572476186</c:v>
                </c:pt>
                <c:pt idx="3338">
                  <c:v>0.11332468572476186</c:v>
                </c:pt>
                <c:pt idx="3339">
                  <c:v>0.11332468572476186</c:v>
                </c:pt>
                <c:pt idx="3340">
                  <c:v>0.11332468572476186</c:v>
                </c:pt>
                <c:pt idx="3341">
                  <c:v>0.11332468572476186</c:v>
                </c:pt>
                <c:pt idx="3342">
                  <c:v>0.11332468572476186</c:v>
                </c:pt>
                <c:pt idx="3343">
                  <c:v>0.11332468572476186</c:v>
                </c:pt>
                <c:pt idx="3344">
                  <c:v>0.11332468572476186</c:v>
                </c:pt>
                <c:pt idx="3345">
                  <c:v>0.11332468572476186</c:v>
                </c:pt>
                <c:pt idx="3346">
                  <c:v>0.11332468572476186</c:v>
                </c:pt>
                <c:pt idx="3347">
                  <c:v>0.11332468572476186</c:v>
                </c:pt>
                <c:pt idx="3348">
                  <c:v>0.11332468572476186</c:v>
                </c:pt>
                <c:pt idx="3349">
                  <c:v>0.11332468572476186</c:v>
                </c:pt>
                <c:pt idx="3350">
                  <c:v>0.11332468572476186</c:v>
                </c:pt>
                <c:pt idx="3351">
                  <c:v>0.11332468572476186</c:v>
                </c:pt>
                <c:pt idx="3352">
                  <c:v>0.11332468572476186</c:v>
                </c:pt>
                <c:pt idx="3353">
                  <c:v>0.11332468572476186</c:v>
                </c:pt>
                <c:pt idx="3354">
                  <c:v>0.11332468572476186</c:v>
                </c:pt>
                <c:pt idx="3355">
                  <c:v>0.11332468572476186</c:v>
                </c:pt>
                <c:pt idx="3356">
                  <c:v>0.11332468572476186</c:v>
                </c:pt>
                <c:pt idx="3357">
                  <c:v>0.11332468572476186</c:v>
                </c:pt>
                <c:pt idx="3358">
                  <c:v>0.11332468572476186</c:v>
                </c:pt>
                <c:pt idx="3359">
                  <c:v>0.11332468572476186</c:v>
                </c:pt>
                <c:pt idx="3360">
                  <c:v>0.11332468572476186</c:v>
                </c:pt>
                <c:pt idx="3361">
                  <c:v>0.11332468572476186</c:v>
                </c:pt>
                <c:pt idx="3362">
                  <c:v>0.11332468572476186</c:v>
                </c:pt>
                <c:pt idx="3363">
                  <c:v>0.11332468572476186</c:v>
                </c:pt>
                <c:pt idx="3364">
                  <c:v>0.11332468572476186</c:v>
                </c:pt>
                <c:pt idx="3365">
                  <c:v>0.11332468572476186</c:v>
                </c:pt>
                <c:pt idx="3366">
                  <c:v>0.11332468572476186</c:v>
                </c:pt>
                <c:pt idx="3367">
                  <c:v>0.11332468572476186</c:v>
                </c:pt>
                <c:pt idx="3368">
                  <c:v>0.11332468572476186</c:v>
                </c:pt>
                <c:pt idx="3369">
                  <c:v>0.11332468572476186</c:v>
                </c:pt>
                <c:pt idx="3370">
                  <c:v>0.11332468572476186</c:v>
                </c:pt>
                <c:pt idx="3371">
                  <c:v>0.11332468572476186</c:v>
                </c:pt>
                <c:pt idx="3372">
                  <c:v>0.11332468572476186</c:v>
                </c:pt>
                <c:pt idx="3373">
                  <c:v>0.11332468572476186</c:v>
                </c:pt>
                <c:pt idx="3374">
                  <c:v>0.11332468572476186</c:v>
                </c:pt>
                <c:pt idx="3375">
                  <c:v>0.11332468572476186</c:v>
                </c:pt>
                <c:pt idx="3376">
                  <c:v>0.11332468572476186</c:v>
                </c:pt>
                <c:pt idx="3377">
                  <c:v>0.11332468572476186</c:v>
                </c:pt>
                <c:pt idx="3378">
                  <c:v>0.11332468572476186</c:v>
                </c:pt>
                <c:pt idx="3379">
                  <c:v>0.11332468572476186</c:v>
                </c:pt>
                <c:pt idx="3380">
                  <c:v>0.11332468572476186</c:v>
                </c:pt>
                <c:pt idx="3381">
                  <c:v>0.11332468572476186</c:v>
                </c:pt>
                <c:pt idx="3382">
                  <c:v>0.11332468572476186</c:v>
                </c:pt>
                <c:pt idx="3383">
                  <c:v>0.11332468572476186</c:v>
                </c:pt>
                <c:pt idx="3384">
                  <c:v>0.11332468572476186</c:v>
                </c:pt>
                <c:pt idx="3385">
                  <c:v>0.11332468572476186</c:v>
                </c:pt>
                <c:pt idx="3386">
                  <c:v>0.11332468572476186</c:v>
                </c:pt>
                <c:pt idx="3387">
                  <c:v>0.11332468572476186</c:v>
                </c:pt>
                <c:pt idx="3388">
                  <c:v>0.11332468572476186</c:v>
                </c:pt>
                <c:pt idx="3389">
                  <c:v>0.11332468572476186</c:v>
                </c:pt>
                <c:pt idx="3390">
                  <c:v>0.11332468572476186</c:v>
                </c:pt>
                <c:pt idx="3391">
                  <c:v>0.11332468572476186</c:v>
                </c:pt>
                <c:pt idx="3392">
                  <c:v>0.11332468572476186</c:v>
                </c:pt>
                <c:pt idx="3393">
                  <c:v>0.11332468572476186</c:v>
                </c:pt>
                <c:pt idx="3394">
                  <c:v>0.11332468572476186</c:v>
                </c:pt>
                <c:pt idx="3395">
                  <c:v>0.11332468572476186</c:v>
                </c:pt>
                <c:pt idx="3396">
                  <c:v>0.11332468572476186</c:v>
                </c:pt>
                <c:pt idx="3397">
                  <c:v>0.11332468572476186</c:v>
                </c:pt>
                <c:pt idx="3398">
                  <c:v>0.11332468572476186</c:v>
                </c:pt>
                <c:pt idx="3399">
                  <c:v>0.11332468572476186</c:v>
                </c:pt>
                <c:pt idx="3400">
                  <c:v>0.11332468572476186</c:v>
                </c:pt>
                <c:pt idx="3401">
                  <c:v>0.11332468572476186</c:v>
                </c:pt>
                <c:pt idx="3402">
                  <c:v>0.11332468572476186</c:v>
                </c:pt>
                <c:pt idx="3403">
                  <c:v>0.11332468572476186</c:v>
                </c:pt>
                <c:pt idx="3404">
                  <c:v>0.11332468572476186</c:v>
                </c:pt>
                <c:pt idx="3405">
                  <c:v>0.11332468572476186</c:v>
                </c:pt>
                <c:pt idx="3406">
                  <c:v>0.11332468572476186</c:v>
                </c:pt>
                <c:pt idx="3407">
                  <c:v>0.11332468572476186</c:v>
                </c:pt>
                <c:pt idx="3408">
                  <c:v>0.11332468572476186</c:v>
                </c:pt>
                <c:pt idx="3409">
                  <c:v>0.11332468572476186</c:v>
                </c:pt>
                <c:pt idx="3410">
                  <c:v>0.11332468572476186</c:v>
                </c:pt>
                <c:pt idx="3411">
                  <c:v>0.11332468572476186</c:v>
                </c:pt>
                <c:pt idx="3412">
                  <c:v>0.11332468572476186</c:v>
                </c:pt>
                <c:pt idx="3413">
                  <c:v>0.11332468572476186</c:v>
                </c:pt>
                <c:pt idx="3414">
                  <c:v>0.11332468572476186</c:v>
                </c:pt>
                <c:pt idx="3415">
                  <c:v>0.11332468572476186</c:v>
                </c:pt>
                <c:pt idx="3416">
                  <c:v>0.11332468572476186</c:v>
                </c:pt>
                <c:pt idx="3417">
                  <c:v>0.11332468572476186</c:v>
                </c:pt>
                <c:pt idx="3418">
                  <c:v>0.11332468572476186</c:v>
                </c:pt>
                <c:pt idx="3419">
                  <c:v>0.11332468572476186</c:v>
                </c:pt>
                <c:pt idx="3420">
                  <c:v>0.11332468572476186</c:v>
                </c:pt>
                <c:pt idx="3421">
                  <c:v>0.11332468572476186</c:v>
                </c:pt>
                <c:pt idx="3422">
                  <c:v>0.11332468572476186</c:v>
                </c:pt>
                <c:pt idx="3423">
                  <c:v>0.11332468572476186</c:v>
                </c:pt>
                <c:pt idx="3424">
                  <c:v>0.11332468572476186</c:v>
                </c:pt>
                <c:pt idx="3425">
                  <c:v>0.11332468572476186</c:v>
                </c:pt>
                <c:pt idx="3426">
                  <c:v>0.11332468572476186</c:v>
                </c:pt>
                <c:pt idx="3427">
                  <c:v>0.11332468572476186</c:v>
                </c:pt>
                <c:pt idx="3428">
                  <c:v>0.11332468572476186</c:v>
                </c:pt>
                <c:pt idx="3429">
                  <c:v>0.11332468572476186</c:v>
                </c:pt>
                <c:pt idx="3430">
                  <c:v>0.11332468572476186</c:v>
                </c:pt>
                <c:pt idx="3431">
                  <c:v>0.11332468572476186</c:v>
                </c:pt>
                <c:pt idx="3432">
                  <c:v>0.11332468572476186</c:v>
                </c:pt>
                <c:pt idx="3433">
                  <c:v>0.11332468572476186</c:v>
                </c:pt>
                <c:pt idx="3434">
                  <c:v>0.11332468572476186</c:v>
                </c:pt>
                <c:pt idx="3435">
                  <c:v>0.11332468572476186</c:v>
                </c:pt>
                <c:pt idx="3436">
                  <c:v>0.11332468572476186</c:v>
                </c:pt>
                <c:pt idx="3437">
                  <c:v>0.11332468572476186</c:v>
                </c:pt>
                <c:pt idx="3438">
                  <c:v>0.11332468572476186</c:v>
                </c:pt>
                <c:pt idx="3439">
                  <c:v>0.11332468572476186</c:v>
                </c:pt>
                <c:pt idx="3440">
                  <c:v>0.11332468572476186</c:v>
                </c:pt>
                <c:pt idx="3441">
                  <c:v>0.11332468572476186</c:v>
                </c:pt>
                <c:pt idx="3442">
                  <c:v>0.11332468572476186</c:v>
                </c:pt>
                <c:pt idx="3443">
                  <c:v>0.11332468572476186</c:v>
                </c:pt>
                <c:pt idx="3444">
                  <c:v>0.11332468572476186</c:v>
                </c:pt>
                <c:pt idx="3445">
                  <c:v>0.11332468572476186</c:v>
                </c:pt>
                <c:pt idx="3446">
                  <c:v>0.11332468572476186</c:v>
                </c:pt>
                <c:pt idx="3447">
                  <c:v>0.11332468572476186</c:v>
                </c:pt>
                <c:pt idx="3448">
                  <c:v>0.11332468572476186</c:v>
                </c:pt>
                <c:pt idx="3449">
                  <c:v>0.11332468572476186</c:v>
                </c:pt>
                <c:pt idx="3450">
                  <c:v>0.11332468572476186</c:v>
                </c:pt>
                <c:pt idx="3451">
                  <c:v>0.11332468572476186</c:v>
                </c:pt>
                <c:pt idx="3452">
                  <c:v>0.11332468572476186</c:v>
                </c:pt>
                <c:pt idx="3453">
                  <c:v>0.11332468572476186</c:v>
                </c:pt>
                <c:pt idx="3454">
                  <c:v>0.11332468572476186</c:v>
                </c:pt>
                <c:pt idx="3455">
                  <c:v>0.11332468572476186</c:v>
                </c:pt>
                <c:pt idx="3456">
                  <c:v>0.11332468572476186</c:v>
                </c:pt>
                <c:pt idx="3457">
                  <c:v>0.11332468572476186</c:v>
                </c:pt>
                <c:pt idx="3458">
                  <c:v>0.11332468572476186</c:v>
                </c:pt>
                <c:pt idx="3459">
                  <c:v>0.11332468572476186</c:v>
                </c:pt>
                <c:pt idx="3460">
                  <c:v>0.11332468572476186</c:v>
                </c:pt>
                <c:pt idx="3461">
                  <c:v>0.11332468572476186</c:v>
                </c:pt>
                <c:pt idx="3462">
                  <c:v>0.11332468572476186</c:v>
                </c:pt>
                <c:pt idx="3463">
                  <c:v>0.11332468572476186</c:v>
                </c:pt>
                <c:pt idx="3464">
                  <c:v>0.11332468572476186</c:v>
                </c:pt>
                <c:pt idx="3465">
                  <c:v>0.11332468572476186</c:v>
                </c:pt>
                <c:pt idx="3466">
                  <c:v>0.11332468572476186</c:v>
                </c:pt>
                <c:pt idx="3467">
                  <c:v>0.11332468572476186</c:v>
                </c:pt>
                <c:pt idx="3468">
                  <c:v>0.11332468572476186</c:v>
                </c:pt>
                <c:pt idx="3469">
                  <c:v>0.11332468572476186</c:v>
                </c:pt>
                <c:pt idx="3470">
                  <c:v>0.11332468572476186</c:v>
                </c:pt>
                <c:pt idx="3471">
                  <c:v>0.11332468572476186</c:v>
                </c:pt>
                <c:pt idx="3472">
                  <c:v>0.11332468572476186</c:v>
                </c:pt>
                <c:pt idx="3473">
                  <c:v>0.11332468572476186</c:v>
                </c:pt>
                <c:pt idx="3474">
                  <c:v>0.11332468572476186</c:v>
                </c:pt>
                <c:pt idx="3475">
                  <c:v>0.11332468572476186</c:v>
                </c:pt>
                <c:pt idx="3476">
                  <c:v>0.11332468572476186</c:v>
                </c:pt>
                <c:pt idx="3477">
                  <c:v>0.11332468572476186</c:v>
                </c:pt>
                <c:pt idx="3478">
                  <c:v>0.11332468572476186</c:v>
                </c:pt>
                <c:pt idx="3479">
                  <c:v>0.11332468572476186</c:v>
                </c:pt>
                <c:pt idx="3480">
                  <c:v>0.11332468572476186</c:v>
                </c:pt>
                <c:pt idx="3481">
                  <c:v>0.11332468572476186</c:v>
                </c:pt>
                <c:pt idx="3482">
                  <c:v>0.11332468572476186</c:v>
                </c:pt>
                <c:pt idx="3483">
                  <c:v>0.11332468572476186</c:v>
                </c:pt>
                <c:pt idx="3484">
                  <c:v>0.11332468572476186</c:v>
                </c:pt>
                <c:pt idx="3485">
                  <c:v>0.11332468572476186</c:v>
                </c:pt>
                <c:pt idx="3486">
                  <c:v>0.11332468572476186</c:v>
                </c:pt>
                <c:pt idx="3487">
                  <c:v>0.11332468572476186</c:v>
                </c:pt>
                <c:pt idx="3488">
                  <c:v>0.11332468572476186</c:v>
                </c:pt>
                <c:pt idx="3489">
                  <c:v>0.11332468572476186</c:v>
                </c:pt>
                <c:pt idx="3490">
                  <c:v>0.11332468572476186</c:v>
                </c:pt>
                <c:pt idx="3491">
                  <c:v>0.11332468572476186</c:v>
                </c:pt>
                <c:pt idx="3492">
                  <c:v>0.11332468572476186</c:v>
                </c:pt>
                <c:pt idx="3493">
                  <c:v>0.11332468572476186</c:v>
                </c:pt>
                <c:pt idx="3494">
                  <c:v>0.11332468572476186</c:v>
                </c:pt>
                <c:pt idx="3495">
                  <c:v>0.11332468572476186</c:v>
                </c:pt>
                <c:pt idx="3496">
                  <c:v>0.11332468572476186</c:v>
                </c:pt>
                <c:pt idx="3497">
                  <c:v>0.11332468572476186</c:v>
                </c:pt>
                <c:pt idx="3498">
                  <c:v>0.11332468572476186</c:v>
                </c:pt>
                <c:pt idx="3499">
                  <c:v>0.11332468572476186</c:v>
                </c:pt>
                <c:pt idx="3500">
                  <c:v>0.11332468572476186</c:v>
                </c:pt>
                <c:pt idx="3501">
                  <c:v>0.11332468572476186</c:v>
                </c:pt>
                <c:pt idx="3502">
                  <c:v>0.11332468572476186</c:v>
                </c:pt>
                <c:pt idx="3503">
                  <c:v>0.11332468572476186</c:v>
                </c:pt>
                <c:pt idx="3504">
                  <c:v>0.11332468572476186</c:v>
                </c:pt>
                <c:pt idx="3505">
                  <c:v>0.11332468572476186</c:v>
                </c:pt>
                <c:pt idx="3506">
                  <c:v>0.11332468572476186</c:v>
                </c:pt>
                <c:pt idx="3507">
                  <c:v>0.11332468572476186</c:v>
                </c:pt>
                <c:pt idx="3508">
                  <c:v>0.11332468572476186</c:v>
                </c:pt>
                <c:pt idx="3509">
                  <c:v>0.11332468572476186</c:v>
                </c:pt>
                <c:pt idx="3510">
                  <c:v>0.11332468572476186</c:v>
                </c:pt>
                <c:pt idx="3511">
                  <c:v>0.11332468572476186</c:v>
                </c:pt>
                <c:pt idx="3512">
                  <c:v>0.11332468572476186</c:v>
                </c:pt>
                <c:pt idx="3513">
                  <c:v>0.11332468572476186</c:v>
                </c:pt>
                <c:pt idx="3514">
                  <c:v>0.11332468572476186</c:v>
                </c:pt>
                <c:pt idx="3515">
                  <c:v>0.11332468572476186</c:v>
                </c:pt>
                <c:pt idx="3516">
                  <c:v>0.11332468572476186</c:v>
                </c:pt>
                <c:pt idx="3517">
                  <c:v>0.11332468572476186</c:v>
                </c:pt>
                <c:pt idx="3518">
                  <c:v>0.11332468572476186</c:v>
                </c:pt>
                <c:pt idx="3519">
                  <c:v>0.11332468572476186</c:v>
                </c:pt>
                <c:pt idx="3520">
                  <c:v>0.11332468572476186</c:v>
                </c:pt>
                <c:pt idx="3521">
                  <c:v>0.11332468572476186</c:v>
                </c:pt>
                <c:pt idx="3522">
                  <c:v>0.11332468572476186</c:v>
                </c:pt>
                <c:pt idx="3523">
                  <c:v>0.11332468572476186</c:v>
                </c:pt>
                <c:pt idx="3524">
                  <c:v>0.11332468572476186</c:v>
                </c:pt>
                <c:pt idx="3525">
                  <c:v>0.11332468572476186</c:v>
                </c:pt>
                <c:pt idx="3526">
                  <c:v>0.11332468572476186</c:v>
                </c:pt>
                <c:pt idx="3527">
                  <c:v>0.11332468572476186</c:v>
                </c:pt>
                <c:pt idx="3528">
                  <c:v>0.11332468572476186</c:v>
                </c:pt>
                <c:pt idx="3529">
                  <c:v>0.11332468572476186</c:v>
                </c:pt>
                <c:pt idx="3530">
                  <c:v>0.11332468572476186</c:v>
                </c:pt>
                <c:pt idx="3531">
                  <c:v>0.11332468572476186</c:v>
                </c:pt>
                <c:pt idx="3532">
                  <c:v>0.11332468572476186</c:v>
                </c:pt>
                <c:pt idx="3533">
                  <c:v>0.11332468572476186</c:v>
                </c:pt>
                <c:pt idx="3534">
                  <c:v>0.11332468572476186</c:v>
                </c:pt>
                <c:pt idx="3535">
                  <c:v>0.11332468572476186</c:v>
                </c:pt>
                <c:pt idx="3536">
                  <c:v>0.11332468572476186</c:v>
                </c:pt>
                <c:pt idx="3537">
                  <c:v>0.11332468572476186</c:v>
                </c:pt>
                <c:pt idx="3538">
                  <c:v>0.11332468572476186</c:v>
                </c:pt>
                <c:pt idx="3539">
                  <c:v>0.11332468572476186</c:v>
                </c:pt>
                <c:pt idx="3540">
                  <c:v>0.11332468572476186</c:v>
                </c:pt>
                <c:pt idx="3541">
                  <c:v>0.11332468572476186</c:v>
                </c:pt>
                <c:pt idx="3542">
                  <c:v>0.11332468572476186</c:v>
                </c:pt>
                <c:pt idx="3543">
                  <c:v>0.11332468572476186</c:v>
                </c:pt>
                <c:pt idx="3544">
                  <c:v>0.11332468572476186</c:v>
                </c:pt>
                <c:pt idx="3545">
                  <c:v>0.11332468572476186</c:v>
                </c:pt>
                <c:pt idx="3546">
                  <c:v>0.11332468572476186</c:v>
                </c:pt>
                <c:pt idx="3547">
                  <c:v>0.11332468572476186</c:v>
                </c:pt>
                <c:pt idx="3548">
                  <c:v>0.11332468572476186</c:v>
                </c:pt>
                <c:pt idx="3549">
                  <c:v>0.11332468572476186</c:v>
                </c:pt>
                <c:pt idx="3550">
                  <c:v>0.11332468572476186</c:v>
                </c:pt>
                <c:pt idx="3551">
                  <c:v>0.11332468572476186</c:v>
                </c:pt>
                <c:pt idx="3552">
                  <c:v>0.11332468572476186</c:v>
                </c:pt>
                <c:pt idx="3553">
                  <c:v>0.11332468572476186</c:v>
                </c:pt>
                <c:pt idx="3554">
                  <c:v>0.11332468572476186</c:v>
                </c:pt>
                <c:pt idx="3555">
                  <c:v>0.11332468572476186</c:v>
                </c:pt>
                <c:pt idx="3556">
                  <c:v>0.11332468572476186</c:v>
                </c:pt>
                <c:pt idx="3557">
                  <c:v>0.11332468572476186</c:v>
                </c:pt>
                <c:pt idx="3558">
                  <c:v>0.11332468572476186</c:v>
                </c:pt>
                <c:pt idx="3559">
                  <c:v>0.11332468572476186</c:v>
                </c:pt>
                <c:pt idx="3560">
                  <c:v>0.11332468572476186</c:v>
                </c:pt>
                <c:pt idx="3561">
                  <c:v>0.11332468572476186</c:v>
                </c:pt>
                <c:pt idx="3562">
                  <c:v>0.11332468572476186</c:v>
                </c:pt>
                <c:pt idx="3563">
                  <c:v>0.11332468572476186</c:v>
                </c:pt>
                <c:pt idx="3564">
                  <c:v>0.11332468572476186</c:v>
                </c:pt>
                <c:pt idx="3565">
                  <c:v>0.11332468572476186</c:v>
                </c:pt>
                <c:pt idx="3566">
                  <c:v>0.11332468572476186</c:v>
                </c:pt>
                <c:pt idx="3567">
                  <c:v>0.11332468572476186</c:v>
                </c:pt>
                <c:pt idx="3568">
                  <c:v>0.11332468572476186</c:v>
                </c:pt>
                <c:pt idx="3569">
                  <c:v>0.11332468572476186</c:v>
                </c:pt>
                <c:pt idx="3570">
                  <c:v>0.11332468572476186</c:v>
                </c:pt>
                <c:pt idx="3571">
                  <c:v>0.11332468572476186</c:v>
                </c:pt>
                <c:pt idx="3572">
                  <c:v>0.11332468572476186</c:v>
                </c:pt>
                <c:pt idx="3573">
                  <c:v>0.11332468572476186</c:v>
                </c:pt>
                <c:pt idx="3574">
                  <c:v>0.11332468572476186</c:v>
                </c:pt>
                <c:pt idx="3575">
                  <c:v>0.11332468572476186</c:v>
                </c:pt>
                <c:pt idx="3576">
                  <c:v>0.11332468572476186</c:v>
                </c:pt>
                <c:pt idx="3577">
                  <c:v>0.11332468572476186</c:v>
                </c:pt>
                <c:pt idx="3578">
                  <c:v>0.11332468572476186</c:v>
                </c:pt>
                <c:pt idx="3579">
                  <c:v>0.11332468572476186</c:v>
                </c:pt>
                <c:pt idx="3580">
                  <c:v>0.11332468572476186</c:v>
                </c:pt>
                <c:pt idx="3581">
                  <c:v>0.11332468572476186</c:v>
                </c:pt>
                <c:pt idx="3582">
                  <c:v>0.11332468572476186</c:v>
                </c:pt>
                <c:pt idx="3583">
                  <c:v>0.11332468572476186</c:v>
                </c:pt>
                <c:pt idx="3584">
                  <c:v>0.11332468572476186</c:v>
                </c:pt>
                <c:pt idx="3585">
                  <c:v>0.11332468572476186</c:v>
                </c:pt>
                <c:pt idx="3586">
                  <c:v>0.11332468572476186</c:v>
                </c:pt>
                <c:pt idx="3587">
                  <c:v>0.11332468572476186</c:v>
                </c:pt>
                <c:pt idx="3588">
                  <c:v>0.11332468572476186</c:v>
                </c:pt>
                <c:pt idx="3589">
                  <c:v>0.11332468572476186</c:v>
                </c:pt>
                <c:pt idx="3590">
                  <c:v>0.11332468572476186</c:v>
                </c:pt>
                <c:pt idx="3591">
                  <c:v>0.11332468572476186</c:v>
                </c:pt>
                <c:pt idx="3592">
                  <c:v>0.11332468572476186</c:v>
                </c:pt>
                <c:pt idx="3593">
                  <c:v>0.11332468572476186</c:v>
                </c:pt>
                <c:pt idx="3594">
                  <c:v>0.11332468572476186</c:v>
                </c:pt>
                <c:pt idx="3595">
                  <c:v>0.11332468572476186</c:v>
                </c:pt>
                <c:pt idx="3596">
                  <c:v>0.11332468572476186</c:v>
                </c:pt>
                <c:pt idx="3597">
                  <c:v>0.11332468572476186</c:v>
                </c:pt>
                <c:pt idx="3598">
                  <c:v>0.11332468572476186</c:v>
                </c:pt>
                <c:pt idx="3599">
                  <c:v>0.11332468572476186</c:v>
                </c:pt>
                <c:pt idx="3600">
                  <c:v>0.11332468572476186</c:v>
                </c:pt>
                <c:pt idx="3601">
                  <c:v>0.11332468572476186</c:v>
                </c:pt>
                <c:pt idx="3602">
                  <c:v>0.11332468572476186</c:v>
                </c:pt>
                <c:pt idx="3603">
                  <c:v>0.11332468572476186</c:v>
                </c:pt>
                <c:pt idx="3604">
                  <c:v>0.11332468572476186</c:v>
                </c:pt>
                <c:pt idx="3605">
                  <c:v>0.11332468572476186</c:v>
                </c:pt>
                <c:pt idx="3606">
                  <c:v>0.11332468572476186</c:v>
                </c:pt>
                <c:pt idx="3607">
                  <c:v>0.11332468572476186</c:v>
                </c:pt>
                <c:pt idx="3608">
                  <c:v>0.11332468572476186</c:v>
                </c:pt>
                <c:pt idx="3609">
                  <c:v>0.11332468572476186</c:v>
                </c:pt>
                <c:pt idx="3610">
                  <c:v>0.11332468572476186</c:v>
                </c:pt>
                <c:pt idx="3611">
                  <c:v>0.11332468572476186</c:v>
                </c:pt>
                <c:pt idx="3612">
                  <c:v>0.11332468572476186</c:v>
                </c:pt>
                <c:pt idx="3613">
                  <c:v>0.11332468572476186</c:v>
                </c:pt>
                <c:pt idx="3614">
                  <c:v>0.11332468572476186</c:v>
                </c:pt>
                <c:pt idx="3615">
                  <c:v>0.11332468572476186</c:v>
                </c:pt>
                <c:pt idx="3616">
                  <c:v>0.11332468572476186</c:v>
                </c:pt>
                <c:pt idx="3617">
                  <c:v>0.11332468572476186</c:v>
                </c:pt>
                <c:pt idx="3618">
                  <c:v>0.11332468572476186</c:v>
                </c:pt>
                <c:pt idx="3619">
                  <c:v>0.11332468572476186</c:v>
                </c:pt>
                <c:pt idx="3620">
                  <c:v>0.11332468572476186</c:v>
                </c:pt>
                <c:pt idx="3621">
                  <c:v>0.11332468572476186</c:v>
                </c:pt>
                <c:pt idx="3622">
                  <c:v>0.11332468572476186</c:v>
                </c:pt>
                <c:pt idx="3623">
                  <c:v>0.11332468572476186</c:v>
                </c:pt>
                <c:pt idx="3624">
                  <c:v>0.11332468572476186</c:v>
                </c:pt>
                <c:pt idx="3625">
                  <c:v>0.11332468572476186</c:v>
                </c:pt>
                <c:pt idx="3626">
                  <c:v>0.11332468572476186</c:v>
                </c:pt>
                <c:pt idx="3627">
                  <c:v>0.11332468572476186</c:v>
                </c:pt>
                <c:pt idx="3628">
                  <c:v>0.11332468572476186</c:v>
                </c:pt>
                <c:pt idx="3629">
                  <c:v>0.11332468572476186</c:v>
                </c:pt>
                <c:pt idx="3630">
                  <c:v>0.11332468572476186</c:v>
                </c:pt>
                <c:pt idx="3631">
                  <c:v>0.11332468572476186</c:v>
                </c:pt>
                <c:pt idx="3632">
                  <c:v>0.11332468572476186</c:v>
                </c:pt>
                <c:pt idx="3633">
                  <c:v>0.11332468572476186</c:v>
                </c:pt>
                <c:pt idx="3634">
                  <c:v>0.11332468572476186</c:v>
                </c:pt>
                <c:pt idx="3635">
                  <c:v>0.11332468572476186</c:v>
                </c:pt>
                <c:pt idx="3636">
                  <c:v>0.11332468572476186</c:v>
                </c:pt>
                <c:pt idx="3637">
                  <c:v>0.11332468572476186</c:v>
                </c:pt>
                <c:pt idx="3638">
                  <c:v>0.11332468572476186</c:v>
                </c:pt>
                <c:pt idx="3639">
                  <c:v>0.11332468572476186</c:v>
                </c:pt>
                <c:pt idx="3640">
                  <c:v>0.11332468572476186</c:v>
                </c:pt>
                <c:pt idx="3641">
                  <c:v>0.11332468572476186</c:v>
                </c:pt>
                <c:pt idx="3642">
                  <c:v>0.11332468572476186</c:v>
                </c:pt>
                <c:pt idx="3643">
                  <c:v>0.11332468572476186</c:v>
                </c:pt>
                <c:pt idx="3644">
                  <c:v>0.11332468572476186</c:v>
                </c:pt>
                <c:pt idx="3645">
                  <c:v>0.11332468572476186</c:v>
                </c:pt>
                <c:pt idx="3646">
                  <c:v>0.11332468572476186</c:v>
                </c:pt>
                <c:pt idx="3647">
                  <c:v>0.11332468572476186</c:v>
                </c:pt>
                <c:pt idx="3648">
                  <c:v>0.11332468572476186</c:v>
                </c:pt>
                <c:pt idx="3649">
                  <c:v>0.11332468572476186</c:v>
                </c:pt>
                <c:pt idx="3650">
                  <c:v>0.11332468572476186</c:v>
                </c:pt>
                <c:pt idx="3651">
                  <c:v>0.11332468572476186</c:v>
                </c:pt>
                <c:pt idx="3652">
                  <c:v>0.11332468572476186</c:v>
                </c:pt>
                <c:pt idx="3653">
                  <c:v>0.11332468572476186</c:v>
                </c:pt>
                <c:pt idx="3654">
                  <c:v>0.11332468572476186</c:v>
                </c:pt>
                <c:pt idx="3655">
                  <c:v>0.11332468572476186</c:v>
                </c:pt>
                <c:pt idx="3656">
                  <c:v>0.11332468572476186</c:v>
                </c:pt>
                <c:pt idx="3657">
                  <c:v>0.11332468572476186</c:v>
                </c:pt>
                <c:pt idx="3658">
                  <c:v>0.11332468572476186</c:v>
                </c:pt>
                <c:pt idx="3659">
                  <c:v>0.11332468572476186</c:v>
                </c:pt>
                <c:pt idx="3660">
                  <c:v>0.11332468572476186</c:v>
                </c:pt>
                <c:pt idx="3661">
                  <c:v>0.11332468572476186</c:v>
                </c:pt>
                <c:pt idx="3662">
                  <c:v>0.11332468572476186</c:v>
                </c:pt>
                <c:pt idx="3663">
                  <c:v>0.11332468572476186</c:v>
                </c:pt>
                <c:pt idx="3664">
                  <c:v>0.11332468572476186</c:v>
                </c:pt>
                <c:pt idx="3665">
                  <c:v>0.11332468572476186</c:v>
                </c:pt>
                <c:pt idx="3666">
                  <c:v>0.11332468572476186</c:v>
                </c:pt>
                <c:pt idx="3667">
                  <c:v>0.11332468572476186</c:v>
                </c:pt>
                <c:pt idx="3668">
                  <c:v>0.11332468572476186</c:v>
                </c:pt>
                <c:pt idx="3669">
                  <c:v>0.11332468572476186</c:v>
                </c:pt>
                <c:pt idx="3670">
                  <c:v>0.11332468572476186</c:v>
                </c:pt>
                <c:pt idx="3671">
                  <c:v>0.11332468572476186</c:v>
                </c:pt>
                <c:pt idx="3672">
                  <c:v>0.11332468572476186</c:v>
                </c:pt>
                <c:pt idx="3673">
                  <c:v>0.11332468572476186</c:v>
                </c:pt>
                <c:pt idx="3674">
                  <c:v>0.11332468572476186</c:v>
                </c:pt>
                <c:pt idx="3675">
                  <c:v>0.11332468572476186</c:v>
                </c:pt>
                <c:pt idx="3676">
                  <c:v>0.11332468572476186</c:v>
                </c:pt>
                <c:pt idx="3677">
                  <c:v>0.11332468572476186</c:v>
                </c:pt>
                <c:pt idx="3678">
                  <c:v>0.11332468572476186</c:v>
                </c:pt>
                <c:pt idx="3679">
                  <c:v>0.11332468572476186</c:v>
                </c:pt>
                <c:pt idx="3680">
                  <c:v>0.11332468572476186</c:v>
                </c:pt>
                <c:pt idx="3681">
                  <c:v>0.11332468572476186</c:v>
                </c:pt>
                <c:pt idx="3682">
                  <c:v>0.11332468572476186</c:v>
                </c:pt>
                <c:pt idx="3683">
                  <c:v>0.11332468572476186</c:v>
                </c:pt>
                <c:pt idx="3684">
                  <c:v>0.11332468572476186</c:v>
                </c:pt>
                <c:pt idx="3685">
                  <c:v>0.11332468572476186</c:v>
                </c:pt>
                <c:pt idx="3686">
                  <c:v>0.11332468572476186</c:v>
                </c:pt>
                <c:pt idx="3687">
                  <c:v>0.11332468572476186</c:v>
                </c:pt>
                <c:pt idx="3688">
                  <c:v>0.11332468572476186</c:v>
                </c:pt>
                <c:pt idx="3689">
                  <c:v>0.11332468572476186</c:v>
                </c:pt>
                <c:pt idx="3690">
                  <c:v>0.11332468572476186</c:v>
                </c:pt>
                <c:pt idx="3691">
                  <c:v>0.11332468572476186</c:v>
                </c:pt>
                <c:pt idx="3692">
                  <c:v>0.11332468572476186</c:v>
                </c:pt>
                <c:pt idx="3693">
                  <c:v>0.11332468572476186</c:v>
                </c:pt>
                <c:pt idx="3694">
                  <c:v>0.11332468572476186</c:v>
                </c:pt>
                <c:pt idx="3695">
                  <c:v>0.11332468572476186</c:v>
                </c:pt>
                <c:pt idx="3696">
                  <c:v>0.11332468572476186</c:v>
                </c:pt>
                <c:pt idx="3697">
                  <c:v>0.11332468572476186</c:v>
                </c:pt>
                <c:pt idx="3698">
                  <c:v>0.11332468572476186</c:v>
                </c:pt>
                <c:pt idx="3699">
                  <c:v>0.11332468572476186</c:v>
                </c:pt>
                <c:pt idx="3700">
                  <c:v>0.11332468572476186</c:v>
                </c:pt>
                <c:pt idx="3701">
                  <c:v>0.11332468572476186</c:v>
                </c:pt>
                <c:pt idx="3702">
                  <c:v>0.11332468572476186</c:v>
                </c:pt>
                <c:pt idx="3703">
                  <c:v>0.11332468572476186</c:v>
                </c:pt>
                <c:pt idx="3704">
                  <c:v>0.11332468572476186</c:v>
                </c:pt>
                <c:pt idx="3705">
                  <c:v>0.11332468572476186</c:v>
                </c:pt>
                <c:pt idx="3706">
                  <c:v>0.11332468572476186</c:v>
                </c:pt>
                <c:pt idx="3707">
                  <c:v>0.11332468572476186</c:v>
                </c:pt>
                <c:pt idx="3708">
                  <c:v>0.11332468572476186</c:v>
                </c:pt>
                <c:pt idx="3709">
                  <c:v>0.11332468572476186</c:v>
                </c:pt>
                <c:pt idx="3710">
                  <c:v>0.11332468572476186</c:v>
                </c:pt>
                <c:pt idx="3711">
                  <c:v>0.11332468572476186</c:v>
                </c:pt>
                <c:pt idx="3712">
                  <c:v>0.11332468572476186</c:v>
                </c:pt>
                <c:pt idx="3713">
                  <c:v>0.11332468572476186</c:v>
                </c:pt>
                <c:pt idx="3714">
                  <c:v>0.11332468572476186</c:v>
                </c:pt>
                <c:pt idx="3715">
                  <c:v>0.11332468572476186</c:v>
                </c:pt>
                <c:pt idx="3716">
                  <c:v>0.11332468572476186</c:v>
                </c:pt>
                <c:pt idx="3717">
                  <c:v>0.11332468572476186</c:v>
                </c:pt>
                <c:pt idx="3718">
                  <c:v>0.11332468572476186</c:v>
                </c:pt>
                <c:pt idx="3719">
                  <c:v>0.11332468572476186</c:v>
                </c:pt>
                <c:pt idx="3720">
                  <c:v>0.11332468572476186</c:v>
                </c:pt>
                <c:pt idx="3721">
                  <c:v>0.11332468572476186</c:v>
                </c:pt>
                <c:pt idx="3722">
                  <c:v>0.11332468572476186</c:v>
                </c:pt>
                <c:pt idx="3723">
                  <c:v>0.11332468572476186</c:v>
                </c:pt>
                <c:pt idx="3724">
                  <c:v>0.11332468572476186</c:v>
                </c:pt>
                <c:pt idx="3725">
                  <c:v>0.11332468572476186</c:v>
                </c:pt>
                <c:pt idx="3726">
                  <c:v>0.11332468572476186</c:v>
                </c:pt>
                <c:pt idx="3727">
                  <c:v>0.11332468572476186</c:v>
                </c:pt>
                <c:pt idx="3728">
                  <c:v>0.11332468572476186</c:v>
                </c:pt>
                <c:pt idx="3729">
                  <c:v>0.11332468572476186</c:v>
                </c:pt>
                <c:pt idx="3730">
                  <c:v>0.11332468572476186</c:v>
                </c:pt>
                <c:pt idx="3731">
                  <c:v>0.11332468572476186</c:v>
                </c:pt>
                <c:pt idx="3732">
                  <c:v>0.11332468572476186</c:v>
                </c:pt>
                <c:pt idx="3733">
                  <c:v>0.11332468572476186</c:v>
                </c:pt>
                <c:pt idx="3734">
                  <c:v>0.11332468572476186</c:v>
                </c:pt>
                <c:pt idx="3735">
                  <c:v>0.11332468572476186</c:v>
                </c:pt>
                <c:pt idx="3736">
                  <c:v>0.11332468572476186</c:v>
                </c:pt>
                <c:pt idx="3737">
                  <c:v>0.11332468572476186</c:v>
                </c:pt>
                <c:pt idx="3738">
                  <c:v>0.11332468572476186</c:v>
                </c:pt>
                <c:pt idx="3739">
                  <c:v>0.11332468572476186</c:v>
                </c:pt>
                <c:pt idx="3740">
                  <c:v>0.11332468572476186</c:v>
                </c:pt>
                <c:pt idx="3741">
                  <c:v>0.11332468572476186</c:v>
                </c:pt>
                <c:pt idx="3742">
                  <c:v>0.11332468572476186</c:v>
                </c:pt>
                <c:pt idx="3743">
                  <c:v>0.11332468572476186</c:v>
                </c:pt>
                <c:pt idx="3744">
                  <c:v>0.11332468572476186</c:v>
                </c:pt>
                <c:pt idx="3745">
                  <c:v>0.11332468572476186</c:v>
                </c:pt>
                <c:pt idx="3746">
                  <c:v>0.11332468572476186</c:v>
                </c:pt>
                <c:pt idx="3747">
                  <c:v>0.11332468572476186</c:v>
                </c:pt>
                <c:pt idx="3748">
                  <c:v>0.11332468572476186</c:v>
                </c:pt>
                <c:pt idx="3749">
                  <c:v>0.11332468572476186</c:v>
                </c:pt>
                <c:pt idx="3750">
                  <c:v>0.11332468572476186</c:v>
                </c:pt>
                <c:pt idx="3751">
                  <c:v>0.11332468572476186</c:v>
                </c:pt>
                <c:pt idx="3752">
                  <c:v>0.11332468572476186</c:v>
                </c:pt>
                <c:pt idx="3753">
                  <c:v>0.11332468572476186</c:v>
                </c:pt>
                <c:pt idx="3754">
                  <c:v>0.11332468572476186</c:v>
                </c:pt>
                <c:pt idx="3755">
                  <c:v>0.11332468572476186</c:v>
                </c:pt>
                <c:pt idx="3756">
                  <c:v>0.11332468572476186</c:v>
                </c:pt>
                <c:pt idx="3757">
                  <c:v>0.11332468572476186</c:v>
                </c:pt>
                <c:pt idx="3758">
                  <c:v>0.11332468572476186</c:v>
                </c:pt>
                <c:pt idx="3759">
                  <c:v>0.11332468572476186</c:v>
                </c:pt>
                <c:pt idx="3760">
                  <c:v>0.11332468572476186</c:v>
                </c:pt>
                <c:pt idx="3761">
                  <c:v>0.11332468572476186</c:v>
                </c:pt>
                <c:pt idx="3762">
                  <c:v>0.11332468572476186</c:v>
                </c:pt>
                <c:pt idx="3763">
                  <c:v>0.11332468572476186</c:v>
                </c:pt>
                <c:pt idx="3764">
                  <c:v>0.11332468572476186</c:v>
                </c:pt>
                <c:pt idx="3765">
                  <c:v>0.11332468572476186</c:v>
                </c:pt>
                <c:pt idx="3766">
                  <c:v>0.11332468572476186</c:v>
                </c:pt>
                <c:pt idx="3767">
                  <c:v>0.11332468572476186</c:v>
                </c:pt>
                <c:pt idx="3768">
                  <c:v>0.11332468572476186</c:v>
                </c:pt>
                <c:pt idx="3769">
                  <c:v>0.11332468572476186</c:v>
                </c:pt>
                <c:pt idx="3770">
                  <c:v>0.11332468572476186</c:v>
                </c:pt>
                <c:pt idx="3771">
                  <c:v>0.11332468572476186</c:v>
                </c:pt>
                <c:pt idx="3772">
                  <c:v>0.11332468572476186</c:v>
                </c:pt>
                <c:pt idx="3773">
                  <c:v>0.11332468572476186</c:v>
                </c:pt>
                <c:pt idx="3774">
                  <c:v>0.11332468572476186</c:v>
                </c:pt>
                <c:pt idx="3775">
                  <c:v>0.11332468572476186</c:v>
                </c:pt>
                <c:pt idx="3776">
                  <c:v>0.11332468572476186</c:v>
                </c:pt>
                <c:pt idx="3777">
                  <c:v>0.11332468572476186</c:v>
                </c:pt>
                <c:pt idx="3778">
                  <c:v>0.11332468572476186</c:v>
                </c:pt>
                <c:pt idx="3779">
                  <c:v>0.11332468572476186</c:v>
                </c:pt>
                <c:pt idx="3780">
                  <c:v>0.11332468572476186</c:v>
                </c:pt>
                <c:pt idx="3781">
                  <c:v>0.11332468572476186</c:v>
                </c:pt>
                <c:pt idx="3782">
                  <c:v>0.11332468572476186</c:v>
                </c:pt>
                <c:pt idx="3783">
                  <c:v>0.11332468572476186</c:v>
                </c:pt>
                <c:pt idx="3784">
                  <c:v>0.11332468572476186</c:v>
                </c:pt>
                <c:pt idx="3785">
                  <c:v>0.11332468572476186</c:v>
                </c:pt>
                <c:pt idx="3786">
                  <c:v>0.11332468572476186</c:v>
                </c:pt>
                <c:pt idx="3787">
                  <c:v>0.11332468572476186</c:v>
                </c:pt>
                <c:pt idx="3788">
                  <c:v>0.11332468572476186</c:v>
                </c:pt>
                <c:pt idx="3789">
                  <c:v>0.11332468572476186</c:v>
                </c:pt>
                <c:pt idx="3790">
                  <c:v>0.11332468572476186</c:v>
                </c:pt>
                <c:pt idx="3791">
                  <c:v>0.11332468572476186</c:v>
                </c:pt>
                <c:pt idx="3792">
                  <c:v>0.11332468572476186</c:v>
                </c:pt>
                <c:pt idx="3793">
                  <c:v>0.11332468572476186</c:v>
                </c:pt>
                <c:pt idx="3794">
                  <c:v>0.11332468572476186</c:v>
                </c:pt>
                <c:pt idx="3795">
                  <c:v>0.11332468572476186</c:v>
                </c:pt>
                <c:pt idx="3796">
                  <c:v>0.11332468572476186</c:v>
                </c:pt>
                <c:pt idx="3797">
                  <c:v>0.11332468572476186</c:v>
                </c:pt>
                <c:pt idx="3798">
                  <c:v>0.11332468572476186</c:v>
                </c:pt>
                <c:pt idx="3799">
                  <c:v>0.11332468572476186</c:v>
                </c:pt>
                <c:pt idx="3800">
                  <c:v>0.11332468572476186</c:v>
                </c:pt>
                <c:pt idx="3801">
                  <c:v>0.11332468572476186</c:v>
                </c:pt>
                <c:pt idx="3802">
                  <c:v>0.11332468572476186</c:v>
                </c:pt>
                <c:pt idx="3803">
                  <c:v>0.11332468572476186</c:v>
                </c:pt>
                <c:pt idx="3804">
                  <c:v>0.11332468572476186</c:v>
                </c:pt>
                <c:pt idx="3805">
                  <c:v>0.11332468572476186</c:v>
                </c:pt>
                <c:pt idx="3806">
                  <c:v>0.11332468572476186</c:v>
                </c:pt>
                <c:pt idx="3807">
                  <c:v>0.11332468572476186</c:v>
                </c:pt>
                <c:pt idx="3808">
                  <c:v>0.11332468572476186</c:v>
                </c:pt>
                <c:pt idx="3809">
                  <c:v>0.11332468572476186</c:v>
                </c:pt>
                <c:pt idx="3810">
                  <c:v>0.11332468572476186</c:v>
                </c:pt>
                <c:pt idx="3811">
                  <c:v>0.11332468572476186</c:v>
                </c:pt>
                <c:pt idx="3812">
                  <c:v>0.11332468572476186</c:v>
                </c:pt>
                <c:pt idx="3813">
                  <c:v>0.11332468572476186</c:v>
                </c:pt>
                <c:pt idx="3814">
                  <c:v>0.11332468572476186</c:v>
                </c:pt>
                <c:pt idx="3815">
                  <c:v>0.11332468572476186</c:v>
                </c:pt>
                <c:pt idx="3816">
                  <c:v>0.11332468572476186</c:v>
                </c:pt>
                <c:pt idx="3817">
                  <c:v>0.11332468572476186</c:v>
                </c:pt>
                <c:pt idx="3818">
                  <c:v>0.11332468572476186</c:v>
                </c:pt>
                <c:pt idx="3819">
                  <c:v>0.11332468572476186</c:v>
                </c:pt>
                <c:pt idx="3820">
                  <c:v>0.11332468572476186</c:v>
                </c:pt>
                <c:pt idx="3821">
                  <c:v>0.11332468572476186</c:v>
                </c:pt>
                <c:pt idx="3822">
                  <c:v>0.11332468572476186</c:v>
                </c:pt>
                <c:pt idx="3823">
                  <c:v>0.11332468572476186</c:v>
                </c:pt>
                <c:pt idx="3824">
                  <c:v>0.11332468572476186</c:v>
                </c:pt>
                <c:pt idx="3825">
                  <c:v>0.11332468572476186</c:v>
                </c:pt>
                <c:pt idx="3826">
                  <c:v>0.11332468572476186</c:v>
                </c:pt>
                <c:pt idx="3827">
                  <c:v>0.11332468572476186</c:v>
                </c:pt>
                <c:pt idx="3828">
                  <c:v>0.11332468572476186</c:v>
                </c:pt>
                <c:pt idx="3829">
                  <c:v>0.11332468572476186</c:v>
                </c:pt>
                <c:pt idx="3830">
                  <c:v>0.11332468572476186</c:v>
                </c:pt>
                <c:pt idx="3831">
                  <c:v>0.11332468572476186</c:v>
                </c:pt>
                <c:pt idx="3832">
                  <c:v>0.11332468572476186</c:v>
                </c:pt>
                <c:pt idx="3833">
                  <c:v>0.11332468572476186</c:v>
                </c:pt>
                <c:pt idx="3834">
                  <c:v>0.11332468572476186</c:v>
                </c:pt>
                <c:pt idx="3835">
                  <c:v>0.11332468572476186</c:v>
                </c:pt>
                <c:pt idx="3836">
                  <c:v>0.11332468572476186</c:v>
                </c:pt>
                <c:pt idx="3837">
                  <c:v>0.11332468572476186</c:v>
                </c:pt>
                <c:pt idx="3838">
                  <c:v>0.11332468572476186</c:v>
                </c:pt>
                <c:pt idx="3839">
                  <c:v>0.11332468572476186</c:v>
                </c:pt>
                <c:pt idx="3840">
                  <c:v>0.11332468572476186</c:v>
                </c:pt>
                <c:pt idx="3841">
                  <c:v>0.11332468572476186</c:v>
                </c:pt>
                <c:pt idx="3842">
                  <c:v>0.11332468572476186</c:v>
                </c:pt>
                <c:pt idx="3843">
                  <c:v>0.11332468572476186</c:v>
                </c:pt>
                <c:pt idx="3844">
                  <c:v>0.11332468572476186</c:v>
                </c:pt>
                <c:pt idx="3845">
                  <c:v>0.11332468572476186</c:v>
                </c:pt>
                <c:pt idx="3846">
                  <c:v>0.11332468572476186</c:v>
                </c:pt>
                <c:pt idx="3847">
                  <c:v>0.11332468572476186</c:v>
                </c:pt>
                <c:pt idx="3848">
                  <c:v>0.11332468572476186</c:v>
                </c:pt>
                <c:pt idx="3849">
                  <c:v>0.11332468572476186</c:v>
                </c:pt>
                <c:pt idx="3850">
                  <c:v>0.11332468572476186</c:v>
                </c:pt>
                <c:pt idx="3851">
                  <c:v>0.11332468572476186</c:v>
                </c:pt>
                <c:pt idx="3852">
                  <c:v>0.11332468572476186</c:v>
                </c:pt>
                <c:pt idx="3853">
                  <c:v>0.11332468572476186</c:v>
                </c:pt>
                <c:pt idx="3854">
                  <c:v>0.11332468572476186</c:v>
                </c:pt>
                <c:pt idx="3855">
                  <c:v>0.11332468572476186</c:v>
                </c:pt>
                <c:pt idx="3856">
                  <c:v>0.11332468572476186</c:v>
                </c:pt>
                <c:pt idx="3857">
                  <c:v>0.11332468572476186</c:v>
                </c:pt>
                <c:pt idx="3858">
                  <c:v>0.11332468572476186</c:v>
                </c:pt>
                <c:pt idx="3859">
                  <c:v>0.11332468572476186</c:v>
                </c:pt>
                <c:pt idx="3860">
                  <c:v>0.11332468572476186</c:v>
                </c:pt>
                <c:pt idx="3861">
                  <c:v>0.11332468572476186</c:v>
                </c:pt>
                <c:pt idx="3862">
                  <c:v>0.11332468572476186</c:v>
                </c:pt>
                <c:pt idx="3863">
                  <c:v>0.11332468572476186</c:v>
                </c:pt>
                <c:pt idx="3864">
                  <c:v>0.11332468572476186</c:v>
                </c:pt>
                <c:pt idx="3865">
                  <c:v>0.11332468572476186</c:v>
                </c:pt>
                <c:pt idx="3866">
                  <c:v>0.11332468572476186</c:v>
                </c:pt>
                <c:pt idx="3867">
                  <c:v>0.11332468572476186</c:v>
                </c:pt>
                <c:pt idx="3868">
                  <c:v>0.11332468572476186</c:v>
                </c:pt>
                <c:pt idx="3869">
                  <c:v>0.11332468572476186</c:v>
                </c:pt>
                <c:pt idx="3870">
                  <c:v>0.11332468572476186</c:v>
                </c:pt>
                <c:pt idx="3871">
                  <c:v>0.11332468572476186</c:v>
                </c:pt>
                <c:pt idx="3872">
                  <c:v>0.11332468572476186</c:v>
                </c:pt>
                <c:pt idx="3873">
                  <c:v>0.11332468572476186</c:v>
                </c:pt>
                <c:pt idx="3874">
                  <c:v>0.11332468572476186</c:v>
                </c:pt>
                <c:pt idx="3875">
                  <c:v>0.11332468572476186</c:v>
                </c:pt>
                <c:pt idx="3876">
                  <c:v>0.11332468572476186</c:v>
                </c:pt>
                <c:pt idx="3877">
                  <c:v>0.11332468572476186</c:v>
                </c:pt>
                <c:pt idx="3878">
                  <c:v>0.11332468572476186</c:v>
                </c:pt>
                <c:pt idx="3879">
                  <c:v>0.11332468572476186</c:v>
                </c:pt>
                <c:pt idx="3880">
                  <c:v>0.11332468572476186</c:v>
                </c:pt>
                <c:pt idx="3881">
                  <c:v>0.11332468572476186</c:v>
                </c:pt>
                <c:pt idx="3882">
                  <c:v>0.11332468572476186</c:v>
                </c:pt>
                <c:pt idx="3883">
                  <c:v>0.11332468572476186</c:v>
                </c:pt>
                <c:pt idx="3884">
                  <c:v>0.11332468572476186</c:v>
                </c:pt>
                <c:pt idx="3885">
                  <c:v>0.11332468572476186</c:v>
                </c:pt>
                <c:pt idx="3886">
                  <c:v>0.11332468572476186</c:v>
                </c:pt>
                <c:pt idx="3887">
                  <c:v>0.11332468572476186</c:v>
                </c:pt>
                <c:pt idx="3888">
                  <c:v>0.11332468572476186</c:v>
                </c:pt>
                <c:pt idx="3889">
                  <c:v>0.11332468572476186</c:v>
                </c:pt>
                <c:pt idx="3890">
                  <c:v>0.11332468572476186</c:v>
                </c:pt>
                <c:pt idx="3891">
                  <c:v>0.11332468572476186</c:v>
                </c:pt>
                <c:pt idx="3892">
                  <c:v>0.11332468572476186</c:v>
                </c:pt>
                <c:pt idx="3893">
                  <c:v>0.11332468572476186</c:v>
                </c:pt>
                <c:pt idx="3894">
                  <c:v>0.11332468572476186</c:v>
                </c:pt>
                <c:pt idx="3895">
                  <c:v>0.11332468572476186</c:v>
                </c:pt>
                <c:pt idx="3896">
                  <c:v>0.11332468572476186</c:v>
                </c:pt>
                <c:pt idx="3897">
                  <c:v>0.11332468572476186</c:v>
                </c:pt>
                <c:pt idx="3898">
                  <c:v>0.11332468572476186</c:v>
                </c:pt>
                <c:pt idx="3899">
                  <c:v>0.11332468572476186</c:v>
                </c:pt>
                <c:pt idx="3900">
                  <c:v>0.11332468572476186</c:v>
                </c:pt>
                <c:pt idx="3901">
                  <c:v>0.11332468572476186</c:v>
                </c:pt>
                <c:pt idx="3902">
                  <c:v>0.11332468572476186</c:v>
                </c:pt>
                <c:pt idx="3903">
                  <c:v>0.11332468572476186</c:v>
                </c:pt>
                <c:pt idx="3904">
                  <c:v>0.11332468572476186</c:v>
                </c:pt>
                <c:pt idx="3905">
                  <c:v>0.11332468572476186</c:v>
                </c:pt>
                <c:pt idx="3906">
                  <c:v>0.11332468572476186</c:v>
                </c:pt>
                <c:pt idx="3907">
                  <c:v>0.11332468572476186</c:v>
                </c:pt>
                <c:pt idx="3908">
                  <c:v>0.11332468572476186</c:v>
                </c:pt>
                <c:pt idx="3909">
                  <c:v>0.11332468572476186</c:v>
                </c:pt>
                <c:pt idx="3910">
                  <c:v>0.11332468572476186</c:v>
                </c:pt>
                <c:pt idx="3911">
                  <c:v>0.11332468572476186</c:v>
                </c:pt>
                <c:pt idx="3912">
                  <c:v>0.11332468572476186</c:v>
                </c:pt>
                <c:pt idx="3913">
                  <c:v>0.11332468572476186</c:v>
                </c:pt>
                <c:pt idx="3914">
                  <c:v>0.11332468572476186</c:v>
                </c:pt>
                <c:pt idx="3915">
                  <c:v>0.11332468572476186</c:v>
                </c:pt>
                <c:pt idx="3916">
                  <c:v>0.11332468572476186</c:v>
                </c:pt>
                <c:pt idx="3917">
                  <c:v>0.11332468572476186</c:v>
                </c:pt>
                <c:pt idx="3918">
                  <c:v>0.11332468572476186</c:v>
                </c:pt>
                <c:pt idx="3919">
                  <c:v>0.11332468572476186</c:v>
                </c:pt>
                <c:pt idx="3920">
                  <c:v>0.11332468572476186</c:v>
                </c:pt>
                <c:pt idx="3921">
                  <c:v>0.11332468572476186</c:v>
                </c:pt>
                <c:pt idx="3922">
                  <c:v>0.11332468572476186</c:v>
                </c:pt>
                <c:pt idx="3923">
                  <c:v>0.11332468572476186</c:v>
                </c:pt>
                <c:pt idx="3924">
                  <c:v>0.11332468572476186</c:v>
                </c:pt>
                <c:pt idx="3925">
                  <c:v>0.11332468572476186</c:v>
                </c:pt>
                <c:pt idx="3926">
                  <c:v>0.11332468572476186</c:v>
                </c:pt>
                <c:pt idx="3927">
                  <c:v>0.11332468572476186</c:v>
                </c:pt>
                <c:pt idx="3928">
                  <c:v>0.11332468572476186</c:v>
                </c:pt>
                <c:pt idx="3929">
                  <c:v>0.11332468572476186</c:v>
                </c:pt>
                <c:pt idx="3930">
                  <c:v>0.11332468572476186</c:v>
                </c:pt>
                <c:pt idx="3931">
                  <c:v>0.11332468572476186</c:v>
                </c:pt>
                <c:pt idx="3932">
                  <c:v>0.11332468572476186</c:v>
                </c:pt>
                <c:pt idx="3933">
                  <c:v>0.11332468572476186</c:v>
                </c:pt>
                <c:pt idx="3934">
                  <c:v>0.11332468572476186</c:v>
                </c:pt>
                <c:pt idx="3935">
                  <c:v>0.11332468572476186</c:v>
                </c:pt>
                <c:pt idx="3936">
                  <c:v>0.11332468572476186</c:v>
                </c:pt>
                <c:pt idx="3937">
                  <c:v>0.11332468572476186</c:v>
                </c:pt>
                <c:pt idx="3938">
                  <c:v>0.11332468572476186</c:v>
                </c:pt>
                <c:pt idx="3939">
                  <c:v>0.11332468572476186</c:v>
                </c:pt>
                <c:pt idx="3940">
                  <c:v>0.11332468572476186</c:v>
                </c:pt>
                <c:pt idx="3941">
                  <c:v>0.11332468572476186</c:v>
                </c:pt>
                <c:pt idx="3942">
                  <c:v>0.11332468572476186</c:v>
                </c:pt>
                <c:pt idx="3943">
                  <c:v>0.11332468572476186</c:v>
                </c:pt>
                <c:pt idx="3944">
                  <c:v>0.11332468572476186</c:v>
                </c:pt>
                <c:pt idx="3945">
                  <c:v>0.11332468572476186</c:v>
                </c:pt>
                <c:pt idx="3946">
                  <c:v>0.11332468572476186</c:v>
                </c:pt>
                <c:pt idx="3947">
                  <c:v>0.11332468572476186</c:v>
                </c:pt>
                <c:pt idx="3948">
                  <c:v>0.11332468572476186</c:v>
                </c:pt>
                <c:pt idx="3949">
                  <c:v>0.11332468572476186</c:v>
                </c:pt>
                <c:pt idx="3950">
                  <c:v>0.11332468572476186</c:v>
                </c:pt>
                <c:pt idx="3951">
                  <c:v>0.11332468572476186</c:v>
                </c:pt>
                <c:pt idx="3952">
                  <c:v>0.11332468572476186</c:v>
                </c:pt>
                <c:pt idx="3953">
                  <c:v>0.11332468572476186</c:v>
                </c:pt>
                <c:pt idx="3954">
                  <c:v>0.11332468572476186</c:v>
                </c:pt>
                <c:pt idx="3955">
                  <c:v>0.11332468572476186</c:v>
                </c:pt>
                <c:pt idx="3956">
                  <c:v>0.11332468572476186</c:v>
                </c:pt>
                <c:pt idx="3957">
                  <c:v>0.11332468572476186</c:v>
                </c:pt>
                <c:pt idx="3958">
                  <c:v>0.11332468572476186</c:v>
                </c:pt>
                <c:pt idx="3959">
                  <c:v>0.11332468572476186</c:v>
                </c:pt>
                <c:pt idx="3960">
                  <c:v>0.11332468572476186</c:v>
                </c:pt>
                <c:pt idx="3961">
                  <c:v>0.11332468572476186</c:v>
                </c:pt>
                <c:pt idx="3962">
                  <c:v>0.11332468572476186</c:v>
                </c:pt>
                <c:pt idx="3963">
                  <c:v>0.11332468572476186</c:v>
                </c:pt>
                <c:pt idx="3964">
                  <c:v>0.11332468572476186</c:v>
                </c:pt>
                <c:pt idx="3965">
                  <c:v>0.11332468572476186</c:v>
                </c:pt>
                <c:pt idx="3966">
                  <c:v>0.11332468572476186</c:v>
                </c:pt>
                <c:pt idx="3967">
                  <c:v>0.11332468572476186</c:v>
                </c:pt>
                <c:pt idx="3968">
                  <c:v>0.11332468572476186</c:v>
                </c:pt>
                <c:pt idx="3969">
                  <c:v>0.11332468572476186</c:v>
                </c:pt>
                <c:pt idx="3970">
                  <c:v>0.11332468572476186</c:v>
                </c:pt>
                <c:pt idx="3971">
                  <c:v>0.11332468572476186</c:v>
                </c:pt>
                <c:pt idx="3972">
                  <c:v>0.11332468572476186</c:v>
                </c:pt>
                <c:pt idx="3973">
                  <c:v>0.11332468572476186</c:v>
                </c:pt>
                <c:pt idx="3974">
                  <c:v>0.11332468572476186</c:v>
                </c:pt>
                <c:pt idx="3975">
                  <c:v>0.11332468572476186</c:v>
                </c:pt>
                <c:pt idx="3976">
                  <c:v>0.11332468572476186</c:v>
                </c:pt>
                <c:pt idx="3977">
                  <c:v>0.11332468572476186</c:v>
                </c:pt>
                <c:pt idx="3978">
                  <c:v>0.11332468572476186</c:v>
                </c:pt>
                <c:pt idx="3979">
                  <c:v>0.11332468572476186</c:v>
                </c:pt>
                <c:pt idx="3980">
                  <c:v>0.11332468572476186</c:v>
                </c:pt>
                <c:pt idx="3981">
                  <c:v>0.11332468572476186</c:v>
                </c:pt>
                <c:pt idx="3982">
                  <c:v>0.11332468572476186</c:v>
                </c:pt>
                <c:pt idx="3983">
                  <c:v>0.11332468572476186</c:v>
                </c:pt>
                <c:pt idx="3984">
                  <c:v>0.11332468572476186</c:v>
                </c:pt>
                <c:pt idx="3985">
                  <c:v>0.11332468572476186</c:v>
                </c:pt>
                <c:pt idx="3986">
                  <c:v>0.11332468572476186</c:v>
                </c:pt>
                <c:pt idx="3987">
                  <c:v>0.11332468572476186</c:v>
                </c:pt>
                <c:pt idx="3988">
                  <c:v>0.11332468572476186</c:v>
                </c:pt>
                <c:pt idx="3989">
                  <c:v>0.11332468572476186</c:v>
                </c:pt>
                <c:pt idx="3990">
                  <c:v>0.11332468572476186</c:v>
                </c:pt>
                <c:pt idx="3991">
                  <c:v>0.11332468572476186</c:v>
                </c:pt>
                <c:pt idx="3992">
                  <c:v>0.11332468572476186</c:v>
                </c:pt>
                <c:pt idx="3993">
                  <c:v>0.11332468572476186</c:v>
                </c:pt>
                <c:pt idx="3994">
                  <c:v>0.11332468572476186</c:v>
                </c:pt>
                <c:pt idx="3995">
                  <c:v>0.11332468572476186</c:v>
                </c:pt>
                <c:pt idx="3996">
                  <c:v>0.11332468572476186</c:v>
                </c:pt>
                <c:pt idx="3997">
                  <c:v>0.11332468572476186</c:v>
                </c:pt>
                <c:pt idx="3998">
                  <c:v>0.11332468572476186</c:v>
                </c:pt>
                <c:pt idx="3999">
                  <c:v>0.11332468572476186</c:v>
                </c:pt>
                <c:pt idx="4000">
                  <c:v>0.11332468572476186</c:v>
                </c:pt>
                <c:pt idx="4001">
                  <c:v>0.11332468572476186</c:v>
                </c:pt>
                <c:pt idx="4002">
                  <c:v>0.11332468572476186</c:v>
                </c:pt>
                <c:pt idx="4003">
                  <c:v>0.11332468572476186</c:v>
                </c:pt>
                <c:pt idx="4004">
                  <c:v>0.11332468572476186</c:v>
                </c:pt>
                <c:pt idx="4005">
                  <c:v>0.11332468572476186</c:v>
                </c:pt>
                <c:pt idx="4006">
                  <c:v>0.11332468572476186</c:v>
                </c:pt>
                <c:pt idx="4007">
                  <c:v>0.11332468572476186</c:v>
                </c:pt>
                <c:pt idx="4008">
                  <c:v>0.11332468572476186</c:v>
                </c:pt>
                <c:pt idx="4009">
                  <c:v>0.11332468572476186</c:v>
                </c:pt>
                <c:pt idx="4010">
                  <c:v>0.11332468572476186</c:v>
                </c:pt>
                <c:pt idx="4011">
                  <c:v>0.11332468572476186</c:v>
                </c:pt>
                <c:pt idx="4012">
                  <c:v>0.11332468572476186</c:v>
                </c:pt>
                <c:pt idx="4013">
                  <c:v>0.11332468572476186</c:v>
                </c:pt>
                <c:pt idx="4014">
                  <c:v>0.11332468572476186</c:v>
                </c:pt>
                <c:pt idx="4015">
                  <c:v>0.11332468572476186</c:v>
                </c:pt>
                <c:pt idx="4016">
                  <c:v>0.11332468572476186</c:v>
                </c:pt>
                <c:pt idx="4017">
                  <c:v>0.11332468572476186</c:v>
                </c:pt>
                <c:pt idx="4018">
                  <c:v>0.11332468572476186</c:v>
                </c:pt>
                <c:pt idx="4019">
                  <c:v>0.11332468572476186</c:v>
                </c:pt>
                <c:pt idx="4020">
                  <c:v>0.11332468572476186</c:v>
                </c:pt>
                <c:pt idx="4021">
                  <c:v>0.11332468572476186</c:v>
                </c:pt>
                <c:pt idx="4022">
                  <c:v>0.11332468572476186</c:v>
                </c:pt>
                <c:pt idx="4023">
                  <c:v>0.11332468572476186</c:v>
                </c:pt>
                <c:pt idx="4024">
                  <c:v>0.11332468572476186</c:v>
                </c:pt>
                <c:pt idx="4025">
                  <c:v>0.11332468572476186</c:v>
                </c:pt>
                <c:pt idx="4026">
                  <c:v>0.11332468572476186</c:v>
                </c:pt>
                <c:pt idx="4027">
                  <c:v>0.11332468572476186</c:v>
                </c:pt>
                <c:pt idx="4028">
                  <c:v>0.11332468572476186</c:v>
                </c:pt>
                <c:pt idx="4029">
                  <c:v>0.11332468572476186</c:v>
                </c:pt>
                <c:pt idx="4030">
                  <c:v>0.11332468572476186</c:v>
                </c:pt>
                <c:pt idx="4031">
                  <c:v>0.11332468572476186</c:v>
                </c:pt>
                <c:pt idx="4032">
                  <c:v>0.11332468572476186</c:v>
                </c:pt>
                <c:pt idx="4033">
                  <c:v>0.11332468572476186</c:v>
                </c:pt>
                <c:pt idx="4034">
                  <c:v>0.11332468572476186</c:v>
                </c:pt>
                <c:pt idx="4035">
                  <c:v>0.11332468572476186</c:v>
                </c:pt>
                <c:pt idx="4036">
                  <c:v>0.11332468572476186</c:v>
                </c:pt>
                <c:pt idx="4037">
                  <c:v>0.11332468572476186</c:v>
                </c:pt>
                <c:pt idx="4038">
                  <c:v>0.11332468572476186</c:v>
                </c:pt>
                <c:pt idx="4039">
                  <c:v>0.11332468572476186</c:v>
                </c:pt>
                <c:pt idx="4040">
                  <c:v>0.11332468572476186</c:v>
                </c:pt>
                <c:pt idx="4041">
                  <c:v>0.11332468572476186</c:v>
                </c:pt>
                <c:pt idx="4042">
                  <c:v>0.11332468572476186</c:v>
                </c:pt>
                <c:pt idx="4043">
                  <c:v>0.11332468572476186</c:v>
                </c:pt>
                <c:pt idx="4044">
                  <c:v>0.11332468572476186</c:v>
                </c:pt>
                <c:pt idx="4045">
                  <c:v>0.11332468572476186</c:v>
                </c:pt>
                <c:pt idx="4046">
                  <c:v>0.11332468572476186</c:v>
                </c:pt>
                <c:pt idx="4047">
                  <c:v>0.11332468572476186</c:v>
                </c:pt>
                <c:pt idx="4048">
                  <c:v>0.11332468572476186</c:v>
                </c:pt>
                <c:pt idx="4049">
                  <c:v>0.11332468572476186</c:v>
                </c:pt>
                <c:pt idx="4050">
                  <c:v>0.11332468572476186</c:v>
                </c:pt>
                <c:pt idx="4051">
                  <c:v>0.11332468572476186</c:v>
                </c:pt>
                <c:pt idx="4052">
                  <c:v>0.11332468572476186</c:v>
                </c:pt>
                <c:pt idx="4053">
                  <c:v>0.11332468572476186</c:v>
                </c:pt>
                <c:pt idx="4054">
                  <c:v>0.11332468572476186</c:v>
                </c:pt>
                <c:pt idx="4055">
                  <c:v>0.11332468572476186</c:v>
                </c:pt>
                <c:pt idx="4056">
                  <c:v>0.11332468572476186</c:v>
                </c:pt>
                <c:pt idx="4057">
                  <c:v>0.11332468572476186</c:v>
                </c:pt>
                <c:pt idx="4058">
                  <c:v>0.11332468572476186</c:v>
                </c:pt>
                <c:pt idx="4059">
                  <c:v>0.11332468572476186</c:v>
                </c:pt>
                <c:pt idx="4060">
                  <c:v>0.11332468572476186</c:v>
                </c:pt>
                <c:pt idx="4061">
                  <c:v>0.11332468572476186</c:v>
                </c:pt>
                <c:pt idx="4062">
                  <c:v>0.11332468572476186</c:v>
                </c:pt>
                <c:pt idx="4063">
                  <c:v>0.11332468572476186</c:v>
                </c:pt>
                <c:pt idx="4064">
                  <c:v>0.11332468572476186</c:v>
                </c:pt>
                <c:pt idx="4065">
                  <c:v>0.11332468572476186</c:v>
                </c:pt>
                <c:pt idx="4066">
                  <c:v>0.11332468572476186</c:v>
                </c:pt>
                <c:pt idx="4067">
                  <c:v>0.11332468572476186</c:v>
                </c:pt>
                <c:pt idx="4068">
                  <c:v>0.11332468572476186</c:v>
                </c:pt>
                <c:pt idx="4069">
                  <c:v>0.11332468572476186</c:v>
                </c:pt>
                <c:pt idx="4070">
                  <c:v>0.11332468572476186</c:v>
                </c:pt>
                <c:pt idx="4071">
                  <c:v>0.11332468572476186</c:v>
                </c:pt>
                <c:pt idx="4072">
                  <c:v>0.11332468572476186</c:v>
                </c:pt>
                <c:pt idx="4073">
                  <c:v>0.11332468572476186</c:v>
                </c:pt>
                <c:pt idx="4074">
                  <c:v>0.11332468572476186</c:v>
                </c:pt>
                <c:pt idx="4075">
                  <c:v>0.11332468572476186</c:v>
                </c:pt>
                <c:pt idx="4076">
                  <c:v>0.11332468572476186</c:v>
                </c:pt>
                <c:pt idx="4077">
                  <c:v>0.11332468572476186</c:v>
                </c:pt>
                <c:pt idx="4078">
                  <c:v>0.11332468572476186</c:v>
                </c:pt>
                <c:pt idx="4079">
                  <c:v>0.11332468572476186</c:v>
                </c:pt>
                <c:pt idx="4080">
                  <c:v>0.11332468572476186</c:v>
                </c:pt>
                <c:pt idx="4081">
                  <c:v>0.11332468572476186</c:v>
                </c:pt>
                <c:pt idx="4082">
                  <c:v>0.11332468572476186</c:v>
                </c:pt>
                <c:pt idx="4083">
                  <c:v>0.11332468572476186</c:v>
                </c:pt>
                <c:pt idx="4084">
                  <c:v>0.11332468572476186</c:v>
                </c:pt>
                <c:pt idx="4085">
                  <c:v>0.11332468572476186</c:v>
                </c:pt>
                <c:pt idx="4086">
                  <c:v>0.11332468572476186</c:v>
                </c:pt>
                <c:pt idx="4087">
                  <c:v>0.11332468572476186</c:v>
                </c:pt>
                <c:pt idx="4088">
                  <c:v>0.11332468572476186</c:v>
                </c:pt>
                <c:pt idx="4089">
                  <c:v>0.11332468572476186</c:v>
                </c:pt>
                <c:pt idx="4090">
                  <c:v>0.11332468572476186</c:v>
                </c:pt>
                <c:pt idx="4091">
                  <c:v>0.11332468572476186</c:v>
                </c:pt>
                <c:pt idx="4092">
                  <c:v>0.11332468572476186</c:v>
                </c:pt>
                <c:pt idx="4093">
                  <c:v>0.11332468572476186</c:v>
                </c:pt>
                <c:pt idx="4094">
                  <c:v>0.11332468572476186</c:v>
                </c:pt>
                <c:pt idx="4095">
                  <c:v>0.11332468572476186</c:v>
                </c:pt>
                <c:pt idx="4096">
                  <c:v>0.11332468572476186</c:v>
                </c:pt>
                <c:pt idx="4097">
                  <c:v>0.11332468572476186</c:v>
                </c:pt>
                <c:pt idx="4098">
                  <c:v>0.11332468572476186</c:v>
                </c:pt>
                <c:pt idx="4099">
                  <c:v>0.11332468572476186</c:v>
                </c:pt>
                <c:pt idx="4100">
                  <c:v>0.11332468572476186</c:v>
                </c:pt>
                <c:pt idx="4101">
                  <c:v>0.11332468572476186</c:v>
                </c:pt>
                <c:pt idx="4102">
                  <c:v>0.11332468572476186</c:v>
                </c:pt>
                <c:pt idx="4103">
                  <c:v>0.11332468572476186</c:v>
                </c:pt>
                <c:pt idx="4104">
                  <c:v>0.11332468572476186</c:v>
                </c:pt>
                <c:pt idx="4105">
                  <c:v>0.11332468572476186</c:v>
                </c:pt>
                <c:pt idx="4106">
                  <c:v>0.11332468572476186</c:v>
                </c:pt>
                <c:pt idx="4107">
                  <c:v>0.11332468572476186</c:v>
                </c:pt>
                <c:pt idx="4108">
                  <c:v>0.11332468572476186</c:v>
                </c:pt>
                <c:pt idx="4109">
                  <c:v>0.11332468572476186</c:v>
                </c:pt>
                <c:pt idx="4110">
                  <c:v>0.11332468572476186</c:v>
                </c:pt>
                <c:pt idx="4111">
                  <c:v>0.11332468572476186</c:v>
                </c:pt>
                <c:pt idx="4112">
                  <c:v>0.11332468572476186</c:v>
                </c:pt>
                <c:pt idx="4113">
                  <c:v>0.11332468572476186</c:v>
                </c:pt>
                <c:pt idx="4114">
                  <c:v>0.11332468572476186</c:v>
                </c:pt>
                <c:pt idx="4115">
                  <c:v>0.11332468572476186</c:v>
                </c:pt>
                <c:pt idx="4116">
                  <c:v>0.11332468572476186</c:v>
                </c:pt>
                <c:pt idx="4117">
                  <c:v>0.11332468572476186</c:v>
                </c:pt>
                <c:pt idx="4118">
                  <c:v>0.11332468572476186</c:v>
                </c:pt>
                <c:pt idx="4119">
                  <c:v>0.11332468572476186</c:v>
                </c:pt>
                <c:pt idx="4120">
                  <c:v>0.11332468572476186</c:v>
                </c:pt>
                <c:pt idx="4121">
                  <c:v>0.11332468572476186</c:v>
                </c:pt>
                <c:pt idx="4122">
                  <c:v>0.11332468572476186</c:v>
                </c:pt>
                <c:pt idx="4123">
                  <c:v>0.11332468572476186</c:v>
                </c:pt>
                <c:pt idx="4124">
                  <c:v>0.11332468572476186</c:v>
                </c:pt>
                <c:pt idx="4125">
                  <c:v>0.11332468572476186</c:v>
                </c:pt>
                <c:pt idx="4126">
                  <c:v>0.11332468572476186</c:v>
                </c:pt>
                <c:pt idx="4127">
                  <c:v>0.11332468572476186</c:v>
                </c:pt>
                <c:pt idx="4128">
                  <c:v>0.11332468572476186</c:v>
                </c:pt>
                <c:pt idx="4129">
                  <c:v>0.11332468572476186</c:v>
                </c:pt>
                <c:pt idx="4130">
                  <c:v>0.11332468572476186</c:v>
                </c:pt>
                <c:pt idx="4131">
                  <c:v>0.11332468572476186</c:v>
                </c:pt>
                <c:pt idx="4132">
                  <c:v>0.11332468572476186</c:v>
                </c:pt>
                <c:pt idx="4133">
                  <c:v>0.11332468572476186</c:v>
                </c:pt>
                <c:pt idx="4134">
                  <c:v>0.11332468572476186</c:v>
                </c:pt>
                <c:pt idx="4135">
                  <c:v>0.11332468572476186</c:v>
                </c:pt>
                <c:pt idx="4136">
                  <c:v>0.11332468572476186</c:v>
                </c:pt>
                <c:pt idx="4137">
                  <c:v>0.11332468572476186</c:v>
                </c:pt>
                <c:pt idx="4138">
                  <c:v>0.11332468572476186</c:v>
                </c:pt>
                <c:pt idx="4139">
                  <c:v>0.11332468572476186</c:v>
                </c:pt>
                <c:pt idx="4140">
                  <c:v>0.11332468572476186</c:v>
                </c:pt>
                <c:pt idx="4141">
                  <c:v>0.11332468572476186</c:v>
                </c:pt>
                <c:pt idx="4142">
                  <c:v>0.11332468572476186</c:v>
                </c:pt>
                <c:pt idx="4143">
                  <c:v>0.11332468572476186</c:v>
                </c:pt>
                <c:pt idx="4144">
                  <c:v>0.11332468572476186</c:v>
                </c:pt>
                <c:pt idx="4145">
                  <c:v>0.11332468572476186</c:v>
                </c:pt>
                <c:pt idx="4146">
                  <c:v>0.11332468572476186</c:v>
                </c:pt>
                <c:pt idx="4147">
                  <c:v>0.11332468572476186</c:v>
                </c:pt>
                <c:pt idx="4148">
                  <c:v>0.11332468572476186</c:v>
                </c:pt>
                <c:pt idx="4149">
                  <c:v>0.11332468572476186</c:v>
                </c:pt>
                <c:pt idx="4150">
                  <c:v>0.11332468572476186</c:v>
                </c:pt>
                <c:pt idx="4151">
                  <c:v>0.11332468572476186</c:v>
                </c:pt>
                <c:pt idx="4152">
                  <c:v>0.11332468572476186</c:v>
                </c:pt>
                <c:pt idx="4153">
                  <c:v>0.11332468572476186</c:v>
                </c:pt>
                <c:pt idx="4154">
                  <c:v>0.11332468572476186</c:v>
                </c:pt>
                <c:pt idx="4155">
                  <c:v>0.11332468572476186</c:v>
                </c:pt>
                <c:pt idx="4156">
                  <c:v>0.11332468572476186</c:v>
                </c:pt>
                <c:pt idx="4157">
                  <c:v>0.11332468572476186</c:v>
                </c:pt>
                <c:pt idx="4158">
                  <c:v>0.11332468572476186</c:v>
                </c:pt>
                <c:pt idx="4159">
                  <c:v>0.11332468572476186</c:v>
                </c:pt>
                <c:pt idx="4160">
                  <c:v>0.11332468572476186</c:v>
                </c:pt>
                <c:pt idx="4161">
                  <c:v>0.11332468572476186</c:v>
                </c:pt>
                <c:pt idx="4162">
                  <c:v>0.11332468572476186</c:v>
                </c:pt>
                <c:pt idx="4163">
                  <c:v>0.11332468572476186</c:v>
                </c:pt>
                <c:pt idx="4164">
                  <c:v>0.11332468572476186</c:v>
                </c:pt>
                <c:pt idx="4165">
                  <c:v>0.11332468572476186</c:v>
                </c:pt>
                <c:pt idx="4166">
                  <c:v>0.11332468572476186</c:v>
                </c:pt>
                <c:pt idx="4167">
                  <c:v>0.11332468572476186</c:v>
                </c:pt>
                <c:pt idx="4168">
                  <c:v>0.11332468572476186</c:v>
                </c:pt>
                <c:pt idx="4169">
                  <c:v>0.11332468572476186</c:v>
                </c:pt>
                <c:pt idx="4170">
                  <c:v>0.11332468572476186</c:v>
                </c:pt>
                <c:pt idx="4171">
                  <c:v>0.11332468572476186</c:v>
                </c:pt>
                <c:pt idx="4172">
                  <c:v>0.11332468572476186</c:v>
                </c:pt>
                <c:pt idx="4173">
                  <c:v>0.11332468572476186</c:v>
                </c:pt>
                <c:pt idx="4174">
                  <c:v>0.11332468572476186</c:v>
                </c:pt>
                <c:pt idx="4175">
                  <c:v>0.11332468572476186</c:v>
                </c:pt>
                <c:pt idx="4176">
                  <c:v>0.11332468572476186</c:v>
                </c:pt>
                <c:pt idx="4177">
                  <c:v>0.11332468572476186</c:v>
                </c:pt>
                <c:pt idx="4178">
                  <c:v>0.11332468572476186</c:v>
                </c:pt>
                <c:pt idx="4179">
                  <c:v>0.11332468572476186</c:v>
                </c:pt>
                <c:pt idx="4180">
                  <c:v>0.11332468572476186</c:v>
                </c:pt>
                <c:pt idx="4181">
                  <c:v>0.11332468572476186</c:v>
                </c:pt>
                <c:pt idx="4182">
                  <c:v>0.11332468572476186</c:v>
                </c:pt>
                <c:pt idx="4183">
                  <c:v>0.11332468572476186</c:v>
                </c:pt>
                <c:pt idx="4184">
                  <c:v>0.11332468572476186</c:v>
                </c:pt>
                <c:pt idx="4185">
                  <c:v>0.11332468572476186</c:v>
                </c:pt>
                <c:pt idx="4186">
                  <c:v>0.11332468572476186</c:v>
                </c:pt>
                <c:pt idx="4187">
                  <c:v>0.11332468572476186</c:v>
                </c:pt>
                <c:pt idx="4188">
                  <c:v>0.11332468572476186</c:v>
                </c:pt>
                <c:pt idx="4189">
                  <c:v>0.11332468572476186</c:v>
                </c:pt>
                <c:pt idx="4190">
                  <c:v>0.11332468572476186</c:v>
                </c:pt>
                <c:pt idx="4191">
                  <c:v>0.11332468572476186</c:v>
                </c:pt>
                <c:pt idx="4192">
                  <c:v>0.11332468572476186</c:v>
                </c:pt>
                <c:pt idx="4193">
                  <c:v>0.11332468572476186</c:v>
                </c:pt>
                <c:pt idx="4194">
                  <c:v>0.11332468572476186</c:v>
                </c:pt>
                <c:pt idx="4195">
                  <c:v>0.11332468572476186</c:v>
                </c:pt>
                <c:pt idx="4196">
                  <c:v>0.11332468572476186</c:v>
                </c:pt>
                <c:pt idx="4197">
                  <c:v>0.11332468572476186</c:v>
                </c:pt>
                <c:pt idx="4198">
                  <c:v>0.11332468572476186</c:v>
                </c:pt>
                <c:pt idx="4199">
                  <c:v>0.11332468572476186</c:v>
                </c:pt>
                <c:pt idx="4200">
                  <c:v>0.11332468572476186</c:v>
                </c:pt>
                <c:pt idx="4201">
                  <c:v>0.11332468572476186</c:v>
                </c:pt>
                <c:pt idx="4202">
                  <c:v>0.11332468572476186</c:v>
                </c:pt>
                <c:pt idx="4203">
                  <c:v>0.11332468572476186</c:v>
                </c:pt>
                <c:pt idx="4204">
                  <c:v>0.11332468572476186</c:v>
                </c:pt>
                <c:pt idx="4205">
                  <c:v>0.11332468572476186</c:v>
                </c:pt>
                <c:pt idx="4206">
                  <c:v>0.11332468572476186</c:v>
                </c:pt>
                <c:pt idx="4207">
                  <c:v>0.11332468572476186</c:v>
                </c:pt>
                <c:pt idx="4208">
                  <c:v>0.11332468572476186</c:v>
                </c:pt>
                <c:pt idx="4209">
                  <c:v>0.11332468572476186</c:v>
                </c:pt>
                <c:pt idx="4210">
                  <c:v>0.11332468572476186</c:v>
                </c:pt>
                <c:pt idx="4211">
                  <c:v>0.11332468572476186</c:v>
                </c:pt>
                <c:pt idx="4212">
                  <c:v>0.11332468572476186</c:v>
                </c:pt>
                <c:pt idx="4213">
                  <c:v>0.11332468572476186</c:v>
                </c:pt>
                <c:pt idx="4214">
                  <c:v>0.11332468572476186</c:v>
                </c:pt>
                <c:pt idx="4215">
                  <c:v>0.11332468572476186</c:v>
                </c:pt>
                <c:pt idx="4216">
                  <c:v>0.11332468572476186</c:v>
                </c:pt>
                <c:pt idx="4217">
                  <c:v>0.11332468572476186</c:v>
                </c:pt>
                <c:pt idx="4218">
                  <c:v>0.11332468572476186</c:v>
                </c:pt>
                <c:pt idx="4219">
                  <c:v>0.11332468572476186</c:v>
                </c:pt>
                <c:pt idx="4220">
                  <c:v>0.11332468572476186</c:v>
                </c:pt>
                <c:pt idx="4221">
                  <c:v>0.11332468572476186</c:v>
                </c:pt>
                <c:pt idx="4222">
                  <c:v>0.11332468572476186</c:v>
                </c:pt>
                <c:pt idx="4223">
                  <c:v>0.11332468572476186</c:v>
                </c:pt>
                <c:pt idx="4224">
                  <c:v>0.11332468572476186</c:v>
                </c:pt>
                <c:pt idx="4225">
                  <c:v>0.11332468572476186</c:v>
                </c:pt>
                <c:pt idx="4226">
                  <c:v>0.11332468572476186</c:v>
                </c:pt>
                <c:pt idx="4227">
                  <c:v>0.11332468572476186</c:v>
                </c:pt>
                <c:pt idx="4228">
                  <c:v>0.11332468572476186</c:v>
                </c:pt>
                <c:pt idx="4229">
                  <c:v>0.11332468572476186</c:v>
                </c:pt>
                <c:pt idx="4230">
                  <c:v>0.11332468572476186</c:v>
                </c:pt>
                <c:pt idx="4231">
                  <c:v>0.11332468572476186</c:v>
                </c:pt>
                <c:pt idx="4232">
                  <c:v>0.11332468572476186</c:v>
                </c:pt>
                <c:pt idx="4233">
                  <c:v>0.11332468572476186</c:v>
                </c:pt>
                <c:pt idx="4234">
                  <c:v>0.11332468572476186</c:v>
                </c:pt>
                <c:pt idx="4235">
                  <c:v>0.11332468572476186</c:v>
                </c:pt>
                <c:pt idx="4236">
                  <c:v>0.11332468572476186</c:v>
                </c:pt>
                <c:pt idx="4237">
                  <c:v>0.11332468572476186</c:v>
                </c:pt>
                <c:pt idx="4238">
                  <c:v>0.11332468572476186</c:v>
                </c:pt>
                <c:pt idx="4239">
                  <c:v>0.11332468572476186</c:v>
                </c:pt>
                <c:pt idx="4240">
                  <c:v>0.11332468572476186</c:v>
                </c:pt>
                <c:pt idx="4241">
                  <c:v>0.11332468572476186</c:v>
                </c:pt>
                <c:pt idx="4242">
                  <c:v>0.11332468572476186</c:v>
                </c:pt>
                <c:pt idx="4243">
                  <c:v>0.11332468572476186</c:v>
                </c:pt>
                <c:pt idx="4244">
                  <c:v>0.11332468572476186</c:v>
                </c:pt>
                <c:pt idx="4245">
                  <c:v>0.11332468572476186</c:v>
                </c:pt>
                <c:pt idx="4246">
                  <c:v>0.11332468572476186</c:v>
                </c:pt>
                <c:pt idx="4247">
                  <c:v>0.11332468572476186</c:v>
                </c:pt>
                <c:pt idx="4248">
                  <c:v>0.11332468572476186</c:v>
                </c:pt>
                <c:pt idx="4249">
                  <c:v>0.11332468572476186</c:v>
                </c:pt>
                <c:pt idx="4250">
                  <c:v>0.11332468572476186</c:v>
                </c:pt>
                <c:pt idx="4251">
                  <c:v>0.11332468572476186</c:v>
                </c:pt>
                <c:pt idx="4252">
                  <c:v>0.11332468572476186</c:v>
                </c:pt>
                <c:pt idx="4253">
                  <c:v>0.11332468572476186</c:v>
                </c:pt>
                <c:pt idx="4254">
                  <c:v>0.11332468572476186</c:v>
                </c:pt>
                <c:pt idx="4255">
                  <c:v>0.11332468572476186</c:v>
                </c:pt>
                <c:pt idx="4256">
                  <c:v>0.11332468572476186</c:v>
                </c:pt>
                <c:pt idx="4257">
                  <c:v>0.11332468572476186</c:v>
                </c:pt>
                <c:pt idx="4258">
                  <c:v>0.11332468572476186</c:v>
                </c:pt>
                <c:pt idx="4259">
                  <c:v>0.11332468572476186</c:v>
                </c:pt>
                <c:pt idx="4260">
                  <c:v>0.11332468572476186</c:v>
                </c:pt>
                <c:pt idx="4261">
                  <c:v>0.11332468572476186</c:v>
                </c:pt>
                <c:pt idx="4262">
                  <c:v>0.11332468572476186</c:v>
                </c:pt>
                <c:pt idx="4263">
                  <c:v>0.11332468572476186</c:v>
                </c:pt>
                <c:pt idx="4264">
                  <c:v>0.11332468572476186</c:v>
                </c:pt>
                <c:pt idx="4265">
                  <c:v>0.11332468572476186</c:v>
                </c:pt>
                <c:pt idx="4266">
                  <c:v>0.11332468572476186</c:v>
                </c:pt>
                <c:pt idx="4267">
                  <c:v>0.11332468572476186</c:v>
                </c:pt>
                <c:pt idx="4268">
                  <c:v>0.11332468572476186</c:v>
                </c:pt>
                <c:pt idx="4269">
                  <c:v>0.11332468572476186</c:v>
                </c:pt>
                <c:pt idx="4270">
                  <c:v>0.11332468572476186</c:v>
                </c:pt>
                <c:pt idx="4271">
                  <c:v>0.11332468572476186</c:v>
                </c:pt>
                <c:pt idx="4272">
                  <c:v>0.11332468572476186</c:v>
                </c:pt>
                <c:pt idx="4273">
                  <c:v>0.11332468572476186</c:v>
                </c:pt>
                <c:pt idx="4274">
                  <c:v>0.11332468572476186</c:v>
                </c:pt>
                <c:pt idx="4275">
                  <c:v>0.11332468572476186</c:v>
                </c:pt>
                <c:pt idx="4276">
                  <c:v>0.11332468572476186</c:v>
                </c:pt>
                <c:pt idx="4277">
                  <c:v>0.11332468572476186</c:v>
                </c:pt>
                <c:pt idx="4278">
                  <c:v>0.11332468572476186</c:v>
                </c:pt>
                <c:pt idx="4279">
                  <c:v>0.11332468572476186</c:v>
                </c:pt>
                <c:pt idx="4280">
                  <c:v>0.11332468572476186</c:v>
                </c:pt>
                <c:pt idx="4281">
                  <c:v>0.11332468572476186</c:v>
                </c:pt>
                <c:pt idx="4282">
                  <c:v>0.11332468572476186</c:v>
                </c:pt>
                <c:pt idx="4283">
                  <c:v>0.11332468572476186</c:v>
                </c:pt>
                <c:pt idx="4284">
                  <c:v>0.11332468572476186</c:v>
                </c:pt>
                <c:pt idx="4285">
                  <c:v>0.11332468572476186</c:v>
                </c:pt>
                <c:pt idx="4286">
                  <c:v>0.11332468572476186</c:v>
                </c:pt>
                <c:pt idx="4287">
                  <c:v>0.11332468572476186</c:v>
                </c:pt>
                <c:pt idx="4288">
                  <c:v>0.11332468572476186</c:v>
                </c:pt>
                <c:pt idx="4289">
                  <c:v>0.11332468572476186</c:v>
                </c:pt>
                <c:pt idx="4290">
                  <c:v>0.11332468572476186</c:v>
                </c:pt>
                <c:pt idx="4291">
                  <c:v>0.11332468572476186</c:v>
                </c:pt>
                <c:pt idx="4292">
                  <c:v>0.11332468572476186</c:v>
                </c:pt>
                <c:pt idx="4293">
                  <c:v>0.11332468572476186</c:v>
                </c:pt>
                <c:pt idx="4294">
                  <c:v>0.11332468572476186</c:v>
                </c:pt>
                <c:pt idx="4295">
                  <c:v>0.11332468572476186</c:v>
                </c:pt>
                <c:pt idx="4296">
                  <c:v>0.11332468572476186</c:v>
                </c:pt>
                <c:pt idx="4297">
                  <c:v>0.11332468572476186</c:v>
                </c:pt>
                <c:pt idx="4298">
                  <c:v>0.11332468572476186</c:v>
                </c:pt>
                <c:pt idx="4299">
                  <c:v>0.11332468572476186</c:v>
                </c:pt>
                <c:pt idx="4300">
                  <c:v>0.11332468572476186</c:v>
                </c:pt>
                <c:pt idx="4301">
                  <c:v>0.11332468572476186</c:v>
                </c:pt>
                <c:pt idx="4302">
                  <c:v>0.11332468572476186</c:v>
                </c:pt>
                <c:pt idx="4303">
                  <c:v>0.11332468572476186</c:v>
                </c:pt>
                <c:pt idx="4304">
                  <c:v>0.11332468572476186</c:v>
                </c:pt>
                <c:pt idx="4305">
                  <c:v>0.11332468572476186</c:v>
                </c:pt>
                <c:pt idx="4306">
                  <c:v>0.11332468572476186</c:v>
                </c:pt>
                <c:pt idx="4307">
                  <c:v>0.11332468572476186</c:v>
                </c:pt>
                <c:pt idx="4308">
                  <c:v>0.11332468572476186</c:v>
                </c:pt>
                <c:pt idx="4309">
                  <c:v>0.11332468572476186</c:v>
                </c:pt>
                <c:pt idx="4310">
                  <c:v>0.11332468572476186</c:v>
                </c:pt>
                <c:pt idx="4311">
                  <c:v>0.11332468572476186</c:v>
                </c:pt>
                <c:pt idx="4312">
                  <c:v>0.11332468572476186</c:v>
                </c:pt>
                <c:pt idx="4313">
                  <c:v>0.11332468572476186</c:v>
                </c:pt>
                <c:pt idx="4314">
                  <c:v>0.11332468572476186</c:v>
                </c:pt>
                <c:pt idx="4315">
                  <c:v>0.11332468572476186</c:v>
                </c:pt>
                <c:pt idx="4316">
                  <c:v>0.11332468572476186</c:v>
                </c:pt>
                <c:pt idx="4317">
                  <c:v>0.11332468572476186</c:v>
                </c:pt>
                <c:pt idx="4318">
                  <c:v>0.11332468572476186</c:v>
                </c:pt>
                <c:pt idx="4319">
                  <c:v>0.11332468572476186</c:v>
                </c:pt>
                <c:pt idx="4320">
                  <c:v>0.11332468572476186</c:v>
                </c:pt>
                <c:pt idx="4321">
                  <c:v>0.11332468572476186</c:v>
                </c:pt>
                <c:pt idx="4322">
                  <c:v>0.11332468572476186</c:v>
                </c:pt>
                <c:pt idx="4323">
                  <c:v>0.11332468572476186</c:v>
                </c:pt>
                <c:pt idx="4324">
                  <c:v>0.11332468572476186</c:v>
                </c:pt>
                <c:pt idx="4325">
                  <c:v>0.11332468572476186</c:v>
                </c:pt>
                <c:pt idx="4326">
                  <c:v>0.11332468572476186</c:v>
                </c:pt>
                <c:pt idx="4327">
                  <c:v>0.11332468572476186</c:v>
                </c:pt>
                <c:pt idx="4328">
                  <c:v>0.11332468572476186</c:v>
                </c:pt>
                <c:pt idx="4329">
                  <c:v>0.11332468572476186</c:v>
                </c:pt>
                <c:pt idx="4330">
                  <c:v>0.11332468572476186</c:v>
                </c:pt>
                <c:pt idx="4331">
                  <c:v>0.11332468572476186</c:v>
                </c:pt>
                <c:pt idx="4332">
                  <c:v>0.11332468572476186</c:v>
                </c:pt>
                <c:pt idx="4333">
                  <c:v>0.11332468572476186</c:v>
                </c:pt>
                <c:pt idx="4334">
                  <c:v>0.11332468572476186</c:v>
                </c:pt>
                <c:pt idx="4335">
                  <c:v>0.11332468572476186</c:v>
                </c:pt>
                <c:pt idx="4336">
                  <c:v>0.11332468572476186</c:v>
                </c:pt>
                <c:pt idx="4337">
                  <c:v>0.11332468572476186</c:v>
                </c:pt>
                <c:pt idx="4338">
                  <c:v>0.11332468572476186</c:v>
                </c:pt>
                <c:pt idx="4339">
                  <c:v>0.11332468572476186</c:v>
                </c:pt>
                <c:pt idx="4340">
                  <c:v>0.11332468572476186</c:v>
                </c:pt>
                <c:pt idx="4341">
                  <c:v>0.11332468572476186</c:v>
                </c:pt>
                <c:pt idx="4342">
                  <c:v>0.11332468572476186</c:v>
                </c:pt>
                <c:pt idx="4343">
                  <c:v>0.11332468572476186</c:v>
                </c:pt>
                <c:pt idx="4344">
                  <c:v>0.11332468572476186</c:v>
                </c:pt>
                <c:pt idx="4345">
                  <c:v>0.11332468572476186</c:v>
                </c:pt>
                <c:pt idx="4346">
                  <c:v>0.11332468572476186</c:v>
                </c:pt>
                <c:pt idx="4347">
                  <c:v>0.11332468572476186</c:v>
                </c:pt>
                <c:pt idx="4348">
                  <c:v>0.11332468572476186</c:v>
                </c:pt>
                <c:pt idx="4349">
                  <c:v>0.11332468572476186</c:v>
                </c:pt>
                <c:pt idx="4350">
                  <c:v>0.11332468572476186</c:v>
                </c:pt>
                <c:pt idx="4351">
                  <c:v>0.11332468572476186</c:v>
                </c:pt>
                <c:pt idx="4352">
                  <c:v>0.11332468572476186</c:v>
                </c:pt>
                <c:pt idx="4353">
                  <c:v>0.11332468572476186</c:v>
                </c:pt>
                <c:pt idx="4354">
                  <c:v>0.11332468572476186</c:v>
                </c:pt>
                <c:pt idx="4355">
                  <c:v>0.11332468572476186</c:v>
                </c:pt>
                <c:pt idx="4356">
                  <c:v>0.11332468572476186</c:v>
                </c:pt>
                <c:pt idx="4357">
                  <c:v>0.11332468572476186</c:v>
                </c:pt>
                <c:pt idx="4358">
                  <c:v>0.11332468572476186</c:v>
                </c:pt>
                <c:pt idx="4359">
                  <c:v>0.11332468572476186</c:v>
                </c:pt>
                <c:pt idx="4360">
                  <c:v>0.11332468572476186</c:v>
                </c:pt>
                <c:pt idx="4361">
                  <c:v>0.11332468572476186</c:v>
                </c:pt>
                <c:pt idx="4362">
                  <c:v>0.11332468572476186</c:v>
                </c:pt>
                <c:pt idx="4363">
                  <c:v>0.11332468572476186</c:v>
                </c:pt>
                <c:pt idx="4364">
                  <c:v>0.11332468572476186</c:v>
                </c:pt>
                <c:pt idx="4365">
                  <c:v>0.11332468572476186</c:v>
                </c:pt>
                <c:pt idx="4366">
                  <c:v>0.11332468572476186</c:v>
                </c:pt>
                <c:pt idx="4367">
                  <c:v>0.11332468572476186</c:v>
                </c:pt>
                <c:pt idx="4368">
                  <c:v>0.11332468572476186</c:v>
                </c:pt>
                <c:pt idx="4369">
                  <c:v>0.11332468572476186</c:v>
                </c:pt>
                <c:pt idx="4370">
                  <c:v>0.11332468572476186</c:v>
                </c:pt>
                <c:pt idx="4371">
                  <c:v>0.11332468572476186</c:v>
                </c:pt>
                <c:pt idx="4372">
                  <c:v>0.11332468572476186</c:v>
                </c:pt>
                <c:pt idx="4373">
                  <c:v>0.11332468572476186</c:v>
                </c:pt>
                <c:pt idx="4374">
                  <c:v>0.11332468572476186</c:v>
                </c:pt>
                <c:pt idx="4375">
                  <c:v>0.11332468572476186</c:v>
                </c:pt>
                <c:pt idx="4376">
                  <c:v>0.11332468572476186</c:v>
                </c:pt>
                <c:pt idx="4377">
                  <c:v>0.11332468572476186</c:v>
                </c:pt>
                <c:pt idx="4378">
                  <c:v>0.11332468572476186</c:v>
                </c:pt>
                <c:pt idx="4379">
                  <c:v>0.11332468572476186</c:v>
                </c:pt>
                <c:pt idx="4380">
                  <c:v>0.11332468572476186</c:v>
                </c:pt>
                <c:pt idx="4381">
                  <c:v>0.11332468572476186</c:v>
                </c:pt>
                <c:pt idx="4382">
                  <c:v>0.11332468572476186</c:v>
                </c:pt>
                <c:pt idx="4383">
                  <c:v>0.11332468572476186</c:v>
                </c:pt>
                <c:pt idx="4384">
                  <c:v>0.11332468572476186</c:v>
                </c:pt>
                <c:pt idx="4385">
                  <c:v>0.11332468572476186</c:v>
                </c:pt>
                <c:pt idx="4386">
                  <c:v>0.11332468572476186</c:v>
                </c:pt>
                <c:pt idx="4387">
                  <c:v>0.11332468572476186</c:v>
                </c:pt>
                <c:pt idx="4388">
                  <c:v>0.11332468572476186</c:v>
                </c:pt>
                <c:pt idx="4389">
                  <c:v>0.11332468572476186</c:v>
                </c:pt>
                <c:pt idx="4390">
                  <c:v>0.11332468572476186</c:v>
                </c:pt>
                <c:pt idx="4391">
                  <c:v>0.11332468572476186</c:v>
                </c:pt>
                <c:pt idx="4392">
                  <c:v>0.11332468572476186</c:v>
                </c:pt>
                <c:pt idx="4393">
                  <c:v>0.11332468572476186</c:v>
                </c:pt>
                <c:pt idx="4394">
                  <c:v>0.11332468572476186</c:v>
                </c:pt>
                <c:pt idx="4395">
                  <c:v>0.11332468572476186</c:v>
                </c:pt>
                <c:pt idx="4396">
                  <c:v>0.11332468572476186</c:v>
                </c:pt>
                <c:pt idx="4397">
                  <c:v>0.11332468572476186</c:v>
                </c:pt>
                <c:pt idx="4398">
                  <c:v>0.11332468572476186</c:v>
                </c:pt>
                <c:pt idx="4399">
                  <c:v>0.11332468572476186</c:v>
                </c:pt>
                <c:pt idx="4400">
                  <c:v>0.11332468572476186</c:v>
                </c:pt>
                <c:pt idx="4401">
                  <c:v>0.11332468572476186</c:v>
                </c:pt>
                <c:pt idx="4402">
                  <c:v>0.11332468572476186</c:v>
                </c:pt>
                <c:pt idx="4403">
                  <c:v>0.11332468572476186</c:v>
                </c:pt>
                <c:pt idx="4404">
                  <c:v>0.11332468572476186</c:v>
                </c:pt>
                <c:pt idx="4405">
                  <c:v>0.11332468572476186</c:v>
                </c:pt>
                <c:pt idx="4406">
                  <c:v>0.11332468572476186</c:v>
                </c:pt>
                <c:pt idx="4407">
                  <c:v>0.11332468572476186</c:v>
                </c:pt>
                <c:pt idx="4408">
                  <c:v>0.11332468572476186</c:v>
                </c:pt>
                <c:pt idx="4409">
                  <c:v>0.11332468572476186</c:v>
                </c:pt>
                <c:pt idx="4410">
                  <c:v>0.11332468572476186</c:v>
                </c:pt>
                <c:pt idx="4411">
                  <c:v>0.11332468572476186</c:v>
                </c:pt>
                <c:pt idx="4412">
                  <c:v>0.11332468572476186</c:v>
                </c:pt>
                <c:pt idx="4413">
                  <c:v>0.11332468572476186</c:v>
                </c:pt>
                <c:pt idx="4414">
                  <c:v>0.11332468572476186</c:v>
                </c:pt>
                <c:pt idx="4415">
                  <c:v>0.11332468572476186</c:v>
                </c:pt>
                <c:pt idx="4416">
                  <c:v>0.11332468572476186</c:v>
                </c:pt>
                <c:pt idx="4417">
                  <c:v>0.11332468572476186</c:v>
                </c:pt>
                <c:pt idx="4418">
                  <c:v>0.11332468572476186</c:v>
                </c:pt>
                <c:pt idx="4419">
                  <c:v>0.11332468572476186</c:v>
                </c:pt>
                <c:pt idx="4420">
                  <c:v>0.11332468572476186</c:v>
                </c:pt>
                <c:pt idx="4421">
                  <c:v>0.11332468572476186</c:v>
                </c:pt>
                <c:pt idx="4422">
                  <c:v>0.11332468572476186</c:v>
                </c:pt>
                <c:pt idx="4423">
                  <c:v>0.11332468572476186</c:v>
                </c:pt>
                <c:pt idx="4424">
                  <c:v>0.11332468572476186</c:v>
                </c:pt>
                <c:pt idx="4425">
                  <c:v>0.11332468572476186</c:v>
                </c:pt>
                <c:pt idx="4426">
                  <c:v>0.11332468572476186</c:v>
                </c:pt>
                <c:pt idx="4427">
                  <c:v>0.11332468572476186</c:v>
                </c:pt>
                <c:pt idx="4428">
                  <c:v>0.11332468572476186</c:v>
                </c:pt>
                <c:pt idx="4429">
                  <c:v>0.11332468572476186</c:v>
                </c:pt>
                <c:pt idx="4430">
                  <c:v>0.11332468572476186</c:v>
                </c:pt>
                <c:pt idx="4431">
                  <c:v>0.11332468572476186</c:v>
                </c:pt>
                <c:pt idx="4432">
                  <c:v>0.11332468572476186</c:v>
                </c:pt>
                <c:pt idx="4433">
                  <c:v>0.11332468572476186</c:v>
                </c:pt>
                <c:pt idx="4434">
                  <c:v>0.11332468572476186</c:v>
                </c:pt>
                <c:pt idx="4435">
                  <c:v>0.11332468572476186</c:v>
                </c:pt>
                <c:pt idx="4436">
                  <c:v>0.11332468572476186</c:v>
                </c:pt>
                <c:pt idx="4437">
                  <c:v>0.11332468572476186</c:v>
                </c:pt>
                <c:pt idx="4438">
                  <c:v>0.11332468572476186</c:v>
                </c:pt>
                <c:pt idx="4439">
                  <c:v>0.11332468572476186</c:v>
                </c:pt>
                <c:pt idx="4440">
                  <c:v>0.11332468572476186</c:v>
                </c:pt>
                <c:pt idx="4441">
                  <c:v>0.11332468572476186</c:v>
                </c:pt>
                <c:pt idx="4442">
                  <c:v>0.11332468572476186</c:v>
                </c:pt>
                <c:pt idx="4443">
                  <c:v>0.11332468572476186</c:v>
                </c:pt>
                <c:pt idx="4444">
                  <c:v>0.11332468572476186</c:v>
                </c:pt>
                <c:pt idx="4445">
                  <c:v>0.11332468572476186</c:v>
                </c:pt>
                <c:pt idx="4446">
                  <c:v>0.11332468572476186</c:v>
                </c:pt>
                <c:pt idx="4447">
                  <c:v>0.11332468572476186</c:v>
                </c:pt>
                <c:pt idx="4448">
                  <c:v>0.11332468572476186</c:v>
                </c:pt>
                <c:pt idx="4449">
                  <c:v>0.11332468572476186</c:v>
                </c:pt>
                <c:pt idx="4450">
                  <c:v>0.11332468572476186</c:v>
                </c:pt>
                <c:pt idx="4451">
                  <c:v>0.11332468572476186</c:v>
                </c:pt>
                <c:pt idx="4452">
                  <c:v>0.11332468572476186</c:v>
                </c:pt>
                <c:pt idx="4453">
                  <c:v>0.11332468572476186</c:v>
                </c:pt>
                <c:pt idx="4454">
                  <c:v>0.11332468572476186</c:v>
                </c:pt>
                <c:pt idx="4455">
                  <c:v>0.11332468572476186</c:v>
                </c:pt>
                <c:pt idx="4456">
                  <c:v>0.11332468572476186</c:v>
                </c:pt>
                <c:pt idx="4457">
                  <c:v>0.11332468572476186</c:v>
                </c:pt>
                <c:pt idx="4458">
                  <c:v>0.11332468572476186</c:v>
                </c:pt>
                <c:pt idx="4459">
                  <c:v>0.11332468572476186</c:v>
                </c:pt>
                <c:pt idx="4460">
                  <c:v>0.11332468572476186</c:v>
                </c:pt>
                <c:pt idx="4461">
                  <c:v>0.11332468572476186</c:v>
                </c:pt>
                <c:pt idx="4462">
                  <c:v>0.11332468572476186</c:v>
                </c:pt>
                <c:pt idx="4463">
                  <c:v>0.11332468572476186</c:v>
                </c:pt>
                <c:pt idx="4464">
                  <c:v>0.11332468572476186</c:v>
                </c:pt>
                <c:pt idx="4465">
                  <c:v>0.11332468572476186</c:v>
                </c:pt>
                <c:pt idx="4466">
                  <c:v>0.11332468572476186</c:v>
                </c:pt>
                <c:pt idx="4467">
                  <c:v>0.11332468572476186</c:v>
                </c:pt>
                <c:pt idx="4468">
                  <c:v>0.11332468572476186</c:v>
                </c:pt>
                <c:pt idx="4469">
                  <c:v>0.11332468572476186</c:v>
                </c:pt>
                <c:pt idx="4470">
                  <c:v>0.11332468572476186</c:v>
                </c:pt>
                <c:pt idx="4471">
                  <c:v>0.11332468572476186</c:v>
                </c:pt>
                <c:pt idx="4472">
                  <c:v>0.11332468572476186</c:v>
                </c:pt>
                <c:pt idx="4473">
                  <c:v>0.11332468572476186</c:v>
                </c:pt>
                <c:pt idx="4474">
                  <c:v>0.11332468572476186</c:v>
                </c:pt>
                <c:pt idx="4475">
                  <c:v>0.11332468572476186</c:v>
                </c:pt>
                <c:pt idx="4476">
                  <c:v>0.11332468572476186</c:v>
                </c:pt>
                <c:pt idx="4477">
                  <c:v>0.11332468572476186</c:v>
                </c:pt>
                <c:pt idx="4478">
                  <c:v>0.11332468572476186</c:v>
                </c:pt>
                <c:pt idx="4479">
                  <c:v>0.11332468572476186</c:v>
                </c:pt>
                <c:pt idx="4480">
                  <c:v>0.11332468572476186</c:v>
                </c:pt>
                <c:pt idx="4481">
                  <c:v>0.11332468572476186</c:v>
                </c:pt>
                <c:pt idx="4482">
                  <c:v>0.11332468572476186</c:v>
                </c:pt>
                <c:pt idx="4483">
                  <c:v>0.11332468572476186</c:v>
                </c:pt>
                <c:pt idx="4484">
                  <c:v>0.11332468572476186</c:v>
                </c:pt>
                <c:pt idx="4485">
                  <c:v>0.11332468572476186</c:v>
                </c:pt>
                <c:pt idx="4486">
                  <c:v>0.11332468572476186</c:v>
                </c:pt>
                <c:pt idx="4487">
                  <c:v>0.11332468572476186</c:v>
                </c:pt>
                <c:pt idx="4488">
                  <c:v>0.11332468572476186</c:v>
                </c:pt>
                <c:pt idx="4489">
                  <c:v>0.11332468572476186</c:v>
                </c:pt>
                <c:pt idx="4490">
                  <c:v>0.11332468572476186</c:v>
                </c:pt>
                <c:pt idx="4491">
                  <c:v>0.11332468572476186</c:v>
                </c:pt>
                <c:pt idx="4492">
                  <c:v>0.11332468572476186</c:v>
                </c:pt>
                <c:pt idx="4493">
                  <c:v>0.11332468572476186</c:v>
                </c:pt>
                <c:pt idx="4494">
                  <c:v>0.11332468572476186</c:v>
                </c:pt>
                <c:pt idx="4495">
                  <c:v>0.11332468572476186</c:v>
                </c:pt>
                <c:pt idx="4496">
                  <c:v>0.11332468572476186</c:v>
                </c:pt>
                <c:pt idx="4497">
                  <c:v>0.11332468572476186</c:v>
                </c:pt>
                <c:pt idx="4498">
                  <c:v>0.11332468572476186</c:v>
                </c:pt>
                <c:pt idx="4499">
                  <c:v>0.11332468572476186</c:v>
                </c:pt>
                <c:pt idx="4500">
                  <c:v>0.11332468572476186</c:v>
                </c:pt>
                <c:pt idx="4501">
                  <c:v>0.11332468572476186</c:v>
                </c:pt>
                <c:pt idx="4502">
                  <c:v>0.11332468572476186</c:v>
                </c:pt>
                <c:pt idx="4503">
                  <c:v>0.11332468572476186</c:v>
                </c:pt>
                <c:pt idx="4504">
                  <c:v>0.11332468572476186</c:v>
                </c:pt>
                <c:pt idx="4505">
                  <c:v>0.11332468572476186</c:v>
                </c:pt>
                <c:pt idx="4506">
                  <c:v>0.11332468572476186</c:v>
                </c:pt>
                <c:pt idx="4507">
                  <c:v>0.11332468572476186</c:v>
                </c:pt>
                <c:pt idx="4508">
                  <c:v>0.11332468572476186</c:v>
                </c:pt>
                <c:pt idx="4509">
                  <c:v>0.11332468572476186</c:v>
                </c:pt>
                <c:pt idx="4510">
                  <c:v>0.11332468572476186</c:v>
                </c:pt>
                <c:pt idx="4511">
                  <c:v>0.11332468572476186</c:v>
                </c:pt>
                <c:pt idx="4512">
                  <c:v>0.11332468572476186</c:v>
                </c:pt>
                <c:pt idx="4513">
                  <c:v>0.11332468572476186</c:v>
                </c:pt>
                <c:pt idx="4514">
                  <c:v>0.11332468572476186</c:v>
                </c:pt>
                <c:pt idx="4515">
                  <c:v>0.11332468572476186</c:v>
                </c:pt>
                <c:pt idx="4516">
                  <c:v>0.11332468572476186</c:v>
                </c:pt>
                <c:pt idx="4517">
                  <c:v>0.11332468572476186</c:v>
                </c:pt>
                <c:pt idx="4518">
                  <c:v>0.11332468572476186</c:v>
                </c:pt>
                <c:pt idx="4519">
                  <c:v>0.11332468572476186</c:v>
                </c:pt>
                <c:pt idx="4520">
                  <c:v>0.11332468572476186</c:v>
                </c:pt>
                <c:pt idx="4521">
                  <c:v>0.11332468572476186</c:v>
                </c:pt>
                <c:pt idx="4522">
                  <c:v>0.11332468572476186</c:v>
                </c:pt>
                <c:pt idx="4523">
                  <c:v>0.11332468572476186</c:v>
                </c:pt>
                <c:pt idx="4524">
                  <c:v>0.11332468572476186</c:v>
                </c:pt>
                <c:pt idx="4525">
                  <c:v>0.11332468572476186</c:v>
                </c:pt>
                <c:pt idx="4526">
                  <c:v>0.11332468572476186</c:v>
                </c:pt>
                <c:pt idx="4527">
                  <c:v>0.11332468572476186</c:v>
                </c:pt>
                <c:pt idx="4528">
                  <c:v>0.11332468572476186</c:v>
                </c:pt>
                <c:pt idx="4529">
                  <c:v>0.11332468572476186</c:v>
                </c:pt>
                <c:pt idx="4530">
                  <c:v>0.11332468572476186</c:v>
                </c:pt>
                <c:pt idx="4531">
                  <c:v>0.11332468572476186</c:v>
                </c:pt>
                <c:pt idx="4532">
                  <c:v>0.11332468572476186</c:v>
                </c:pt>
                <c:pt idx="4533">
                  <c:v>0.11332468572476186</c:v>
                </c:pt>
                <c:pt idx="4534">
                  <c:v>0.11332468572476186</c:v>
                </c:pt>
                <c:pt idx="4535">
                  <c:v>0.11332468572476186</c:v>
                </c:pt>
                <c:pt idx="4536">
                  <c:v>0.11332468572476186</c:v>
                </c:pt>
                <c:pt idx="4537">
                  <c:v>0.11332468572476186</c:v>
                </c:pt>
                <c:pt idx="4538">
                  <c:v>0.11332468572476186</c:v>
                </c:pt>
                <c:pt idx="4539">
                  <c:v>0.11332468572476186</c:v>
                </c:pt>
                <c:pt idx="4540">
                  <c:v>0.11332468572476186</c:v>
                </c:pt>
                <c:pt idx="4541">
                  <c:v>0.11332468572476186</c:v>
                </c:pt>
                <c:pt idx="4542">
                  <c:v>0.11332468572476186</c:v>
                </c:pt>
                <c:pt idx="4543">
                  <c:v>0.11332468572476186</c:v>
                </c:pt>
                <c:pt idx="4544">
                  <c:v>0.11332468572476186</c:v>
                </c:pt>
                <c:pt idx="4545">
                  <c:v>0.11332468572476186</c:v>
                </c:pt>
                <c:pt idx="4546">
                  <c:v>0.11332468572476186</c:v>
                </c:pt>
                <c:pt idx="4547">
                  <c:v>0.11332468572476186</c:v>
                </c:pt>
                <c:pt idx="4548">
                  <c:v>0.11332468572476186</c:v>
                </c:pt>
                <c:pt idx="4549">
                  <c:v>0.11332468572476186</c:v>
                </c:pt>
                <c:pt idx="4550">
                  <c:v>0.11332468572476186</c:v>
                </c:pt>
                <c:pt idx="4551">
                  <c:v>0.11332468572476186</c:v>
                </c:pt>
                <c:pt idx="4552">
                  <c:v>0.11332468572476186</c:v>
                </c:pt>
                <c:pt idx="4553">
                  <c:v>0.11332468572476186</c:v>
                </c:pt>
                <c:pt idx="4554">
                  <c:v>0.11332468572476186</c:v>
                </c:pt>
                <c:pt idx="4555">
                  <c:v>0.11332468572476186</c:v>
                </c:pt>
                <c:pt idx="4556">
                  <c:v>0.11332468572476186</c:v>
                </c:pt>
                <c:pt idx="4557">
                  <c:v>0.11332468572476186</c:v>
                </c:pt>
                <c:pt idx="4558">
                  <c:v>0.11332468572476186</c:v>
                </c:pt>
                <c:pt idx="4559">
                  <c:v>0.11332468572476186</c:v>
                </c:pt>
                <c:pt idx="4560">
                  <c:v>0.11332468572476186</c:v>
                </c:pt>
                <c:pt idx="4561">
                  <c:v>0.11332468572476186</c:v>
                </c:pt>
                <c:pt idx="4562">
                  <c:v>0.11332468572476186</c:v>
                </c:pt>
                <c:pt idx="4563">
                  <c:v>0.11332468572476186</c:v>
                </c:pt>
                <c:pt idx="4564">
                  <c:v>0.11332468572476186</c:v>
                </c:pt>
                <c:pt idx="4565">
                  <c:v>0.11332468572476186</c:v>
                </c:pt>
                <c:pt idx="4566">
                  <c:v>0.11332468572476186</c:v>
                </c:pt>
                <c:pt idx="4567">
                  <c:v>0.11332468572476186</c:v>
                </c:pt>
                <c:pt idx="4568">
                  <c:v>0.11332468572476186</c:v>
                </c:pt>
                <c:pt idx="4569">
                  <c:v>0.11332468572476186</c:v>
                </c:pt>
                <c:pt idx="4570">
                  <c:v>0.11332468572476186</c:v>
                </c:pt>
                <c:pt idx="4571">
                  <c:v>0.11332468572476186</c:v>
                </c:pt>
                <c:pt idx="4572">
                  <c:v>0.11332468572476186</c:v>
                </c:pt>
                <c:pt idx="4573">
                  <c:v>0.11332468572476186</c:v>
                </c:pt>
                <c:pt idx="4574">
                  <c:v>0.11332468572476186</c:v>
                </c:pt>
                <c:pt idx="4575">
                  <c:v>0.11332468572476186</c:v>
                </c:pt>
                <c:pt idx="4576">
                  <c:v>0.11332468572476186</c:v>
                </c:pt>
                <c:pt idx="4577">
                  <c:v>0.11332468572476186</c:v>
                </c:pt>
                <c:pt idx="4578">
                  <c:v>0.11332468572476186</c:v>
                </c:pt>
                <c:pt idx="4579">
                  <c:v>0.11332468572476186</c:v>
                </c:pt>
                <c:pt idx="4580">
                  <c:v>0.11332468572476186</c:v>
                </c:pt>
                <c:pt idx="4581">
                  <c:v>0.11332468572476186</c:v>
                </c:pt>
                <c:pt idx="4582">
                  <c:v>0.11332468572476186</c:v>
                </c:pt>
                <c:pt idx="4583">
                  <c:v>0.11332468572476186</c:v>
                </c:pt>
                <c:pt idx="4584">
                  <c:v>0.11332468572476186</c:v>
                </c:pt>
                <c:pt idx="4585">
                  <c:v>0.11332468572476186</c:v>
                </c:pt>
                <c:pt idx="4586">
                  <c:v>0.11332468572476186</c:v>
                </c:pt>
                <c:pt idx="4587">
                  <c:v>0.11332468572476186</c:v>
                </c:pt>
                <c:pt idx="4588">
                  <c:v>0.11332468572476186</c:v>
                </c:pt>
                <c:pt idx="4589">
                  <c:v>0.11332468572476186</c:v>
                </c:pt>
                <c:pt idx="4590">
                  <c:v>0.11332468572476186</c:v>
                </c:pt>
                <c:pt idx="4591">
                  <c:v>0.11332468572476186</c:v>
                </c:pt>
                <c:pt idx="4592">
                  <c:v>0.11332468572476186</c:v>
                </c:pt>
                <c:pt idx="4593">
                  <c:v>0.11332468572476186</c:v>
                </c:pt>
                <c:pt idx="4594">
                  <c:v>0.11332468572476186</c:v>
                </c:pt>
                <c:pt idx="4595">
                  <c:v>0.11332468572476186</c:v>
                </c:pt>
                <c:pt idx="4596">
                  <c:v>0.11332468572476186</c:v>
                </c:pt>
                <c:pt idx="4597">
                  <c:v>0.11332468572476186</c:v>
                </c:pt>
                <c:pt idx="4598">
                  <c:v>0.11332468572476186</c:v>
                </c:pt>
                <c:pt idx="4599">
                  <c:v>0.11332468572476186</c:v>
                </c:pt>
                <c:pt idx="4600">
                  <c:v>0.11332468572476186</c:v>
                </c:pt>
                <c:pt idx="4601">
                  <c:v>0.11332468572476186</c:v>
                </c:pt>
                <c:pt idx="4602">
                  <c:v>0.11332468572476186</c:v>
                </c:pt>
                <c:pt idx="4603">
                  <c:v>0.11332468572476186</c:v>
                </c:pt>
                <c:pt idx="4604">
                  <c:v>0.11332468572476186</c:v>
                </c:pt>
                <c:pt idx="4605">
                  <c:v>0.11332468572476186</c:v>
                </c:pt>
                <c:pt idx="4606">
                  <c:v>0.11332468572476186</c:v>
                </c:pt>
                <c:pt idx="4607">
                  <c:v>0.11332468572476186</c:v>
                </c:pt>
                <c:pt idx="4608">
                  <c:v>0.11332468572476186</c:v>
                </c:pt>
                <c:pt idx="4609">
                  <c:v>0.11332468572476186</c:v>
                </c:pt>
                <c:pt idx="4610">
                  <c:v>0.11332468572476186</c:v>
                </c:pt>
                <c:pt idx="4611">
                  <c:v>0.11332468572476186</c:v>
                </c:pt>
                <c:pt idx="4612">
                  <c:v>0.11332468572476186</c:v>
                </c:pt>
                <c:pt idx="4613">
                  <c:v>0.11332468572476186</c:v>
                </c:pt>
                <c:pt idx="4614">
                  <c:v>0.11332468572476186</c:v>
                </c:pt>
                <c:pt idx="4615">
                  <c:v>0.11332468572476186</c:v>
                </c:pt>
                <c:pt idx="4616">
                  <c:v>0.11332468572476186</c:v>
                </c:pt>
                <c:pt idx="4617">
                  <c:v>0.11332468572476186</c:v>
                </c:pt>
                <c:pt idx="4618">
                  <c:v>0.11332468572476186</c:v>
                </c:pt>
                <c:pt idx="4619">
                  <c:v>0.11332468572476186</c:v>
                </c:pt>
                <c:pt idx="4620">
                  <c:v>0.11332468572476186</c:v>
                </c:pt>
                <c:pt idx="4621">
                  <c:v>0.11332468572476186</c:v>
                </c:pt>
                <c:pt idx="4622">
                  <c:v>0.11332468572476186</c:v>
                </c:pt>
                <c:pt idx="4623">
                  <c:v>0.11332468572476186</c:v>
                </c:pt>
                <c:pt idx="4624">
                  <c:v>0.11332468572476186</c:v>
                </c:pt>
                <c:pt idx="4625">
                  <c:v>0.11332468572476186</c:v>
                </c:pt>
                <c:pt idx="4626">
                  <c:v>0.11332468572476186</c:v>
                </c:pt>
                <c:pt idx="4627">
                  <c:v>0.11332468572476186</c:v>
                </c:pt>
                <c:pt idx="4628">
                  <c:v>0.11332468572476186</c:v>
                </c:pt>
                <c:pt idx="4629">
                  <c:v>0.11332468572476186</c:v>
                </c:pt>
                <c:pt idx="4630">
                  <c:v>0.11332468572476186</c:v>
                </c:pt>
                <c:pt idx="4631">
                  <c:v>0.11332468572476186</c:v>
                </c:pt>
                <c:pt idx="4632">
                  <c:v>0.11332468572476186</c:v>
                </c:pt>
                <c:pt idx="4633">
                  <c:v>0.11332468572476186</c:v>
                </c:pt>
                <c:pt idx="4634">
                  <c:v>0.11332468572476186</c:v>
                </c:pt>
                <c:pt idx="4635">
                  <c:v>0.11332468572476186</c:v>
                </c:pt>
                <c:pt idx="4636">
                  <c:v>0.11332468572476186</c:v>
                </c:pt>
                <c:pt idx="4637">
                  <c:v>0.11332468572476186</c:v>
                </c:pt>
                <c:pt idx="4638">
                  <c:v>0.11332468572476186</c:v>
                </c:pt>
                <c:pt idx="4639">
                  <c:v>0.11332468572476186</c:v>
                </c:pt>
                <c:pt idx="4640">
                  <c:v>0.11332468572476186</c:v>
                </c:pt>
                <c:pt idx="4641">
                  <c:v>0.11332468572476186</c:v>
                </c:pt>
                <c:pt idx="4642">
                  <c:v>0.11332468572476186</c:v>
                </c:pt>
                <c:pt idx="4643">
                  <c:v>0.11332468572476186</c:v>
                </c:pt>
                <c:pt idx="4644">
                  <c:v>0.11332468572476186</c:v>
                </c:pt>
                <c:pt idx="4645">
                  <c:v>0.11332468572476186</c:v>
                </c:pt>
                <c:pt idx="4646">
                  <c:v>0.11332468572476186</c:v>
                </c:pt>
                <c:pt idx="4647">
                  <c:v>0.11332468572476186</c:v>
                </c:pt>
                <c:pt idx="4648">
                  <c:v>0.11332468572476186</c:v>
                </c:pt>
                <c:pt idx="4649">
                  <c:v>0.11332468572476186</c:v>
                </c:pt>
                <c:pt idx="4650">
                  <c:v>0.11332468572476186</c:v>
                </c:pt>
                <c:pt idx="4651">
                  <c:v>0.11332468572476186</c:v>
                </c:pt>
                <c:pt idx="4652">
                  <c:v>0.11332468572476186</c:v>
                </c:pt>
                <c:pt idx="4653">
                  <c:v>0.11332468572476186</c:v>
                </c:pt>
                <c:pt idx="4654">
                  <c:v>0.11332468572476186</c:v>
                </c:pt>
                <c:pt idx="4655">
                  <c:v>0.11332468572476186</c:v>
                </c:pt>
                <c:pt idx="4656">
                  <c:v>0.11332468572476186</c:v>
                </c:pt>
                <c:pt idx="4657">
                  <c:v>0.11332468572476186</c:v>
                </c:pt>
                <c:pt idx="4658">
                  <c:v>0.11332468572476186</c:v>
                </c:pt>
                <c:pt idx="4659">
                  <c:v>0.11332468572476186</c:v>
                </c:pt>
                <c:pt idx="4660">
                  <c:v>0.11332468572476186</c:v>
                </c:pt>
                <c:pt idx="4661">
                  <c:v>0.11332468572476186</c:v>
                </c:pt>
                <c:pt idx="4662">
                  <c:v>0.11332468572476186</c:v>
                </c:pt>
                <c:pt idx="4663">
                  <c:v>0.11332468572476186</c:v>
                </c:pt>
                <c:pt idx="4664">
                  <c:v>0.11332468572476186</c:v>
                </c:pt>
                <c:pt idx="4665">
                  <c:v>0.11332468572476186</c:v>
                </c:pt>
                <c:pt idx="4666">
                  <c:v>0.11332468572476186</c:v>
                </c:pt>
                <c:pt idx="4667">
                  <c:v>0.11332468572476186</c:v>
                </c:pt>
                <c:pt idx="4668">
                  <c:v>0.11332468572476186</c:v>
                </c:pt>
                <c:pt idx="4669">
                  <c:v>0.11332468572476186</c:v>
                </c:pt>
                <c:pt idx="4670">
                  <c:v>0.11332468572476186</c:v>
                </c:pt>
                <c:pt idx="4671">
                  <c:v>0.11332468572476186</c:v>
                </c:pt>
                <c:pt idx="4672">
                  <c:v>0.11332468572476186</c:v>
                </c:pt>
                <c:pt idx="4673">
                  <c:v>0.11332468572476186</c:v>
                </c:pt>
                <c:pt idx="4674">
                  <c:v>0.11332468572476186</c:v>
                </c:pt>
                <c:pt idx="4675">
                  <c:v>0.11332468572476186</c:v>
                </c:pt>
                <c:pt idx="4676">
                  <c:v>0.11332468572476186</c:v>
                </c:pt>
                <c:pt idx="4677">
                  <c:v>0.11332468572476186</c:v>
                </c:pt>
                <c:pt idx="4678">
                  <c:v>0.11332468572476186</c:v>
                </c:pt>
                <c:pt idx="4679">
                  <c:v>0.11332468572476186</c:v>
                </c:pt>
                <c:pt idx="4680">
                  <c:v>0.11332468572476186</c:v>
                </c:pt>
                <c:pt idx="4681">
                  <c:v>0.11332468572476186</c:v>
                </c:pt>
                <c:pt idx="4682">
                  <c:v>0.11332468572476186</c:v>
                </c:pt>
                <c:pt idx="4683">
                  <c:v>0.11332468572476186</c:v>
                </c:pt>
                <c:pt idx="4684">
                  <c:v>0.11332468572476186</c:v>
                </c:pt>
                <c:pt idx="4685">
                  <c:v>0.11332468572476186</c:v>
                </c:pt>
                <c:pt idx="4686">
                  <c:v>0.11332468572476186</c:v>
                </c:pt>
                <c:pt idx="4687">
                  <c:v>0.11332468572476186</c:v>
                </c:pt>
                <c:pt idx="4688">
                  <c:v>0.11332468572476186</c:v>
                </c:pt>
                <c:pt idx="4689">
                  <c:v>0.11332468572476186</c:v>
                </c:pt>
                <c:pt idx="4690">
                  <c:v>0.11332468572476186</c:v>
                </c:pt>
                <c:pt idx="4691">
                  <c:v>0.11332468572476186</c:v>
                </c:pt>
                <c:pt idx="4692">
                  <c:v>0.11332468572476186</c:v>
                </c:pt>
                <c:pt idx="4693">
                  <c:v>0.11332468572476186</c:v>
                </c:pt>
                <c:pt idx="4694">
                  <c:v>0.11332468572476186</c:v>
                </c:pt>
                <c:pt idx="4695">
                  <c:v>0.11332468572476186</c:v>
                </c:pt>
                <c:pt idx="4696">
                  <c:v>0.11332468572476186</c:v>
                </c:pt>
                <c:pt idx="4697">
                  <c:v>0.11332468572476186</c:v>
                </c:pt>
                <c:pt idx="4698">
                  <c:v>0.11332468572476186</c:v>
                </c:pt>
                <c:pt idx="4699">
                  <c:v>0.11332468572476186</c:v>
                </c:pt>
                <c:pt idx="4700">
                  <c:v>0.11332468572476186</c:v>
                </c:pt>
                <c:pt idx="4701">
                  <c:v>0.11332468572476186</c:v>
                </c:pt>
                <c:pt idx="4702">
                  <c:v>0.11332468572476186</c:v>
                </c:pt>
                <c:pt idx="4703">
                  <c:v>0.11332468572476186</c:v>
                </c:pt>
                <c:pt idx="4704">
                  <c:v>0.11332468572476186</c:v>
                </c:pt>
                <c:pt idx="4705">
                  <c:v>0.11332468572476186</c:v>
                </c:pt>
                <c:pt idx="4706">
                  <c:v>0.11332468572476186</c:v>
                </c:pt>
                <c:pt idx="4707">
                  <c:v>0.11332468572476186</c:v>
                </c:pt>
                <c:pt idx="4708">
                  <c:v>0.11332468572476186</c:v>
                </c:pt>
                <c:pt idx="4709">
                  <c:v>0.11332468572476186</c:v>
                </c:pt>
                <c:pt idx="4710">
                  <c:v>0.11332468572476186</c:v>
                </c:pt>
                <c:pt idx="4711">
                  <c:v>0.11332468572476186</c:v>
                </c:pt>
                <c:pt idx="4712">
                  <c:v>0.11332468572476186</c:v>
                </c:pt>
                <c:pt idx="4713">
                  <c:v>0.11332468572476186</c:v>
                </c:pt>
                <c:pt idx="4714">
                  <c:v>0.11332468572476186</c:v>
                </c:pt>
                <c:pt idx="4715">
                  <c:v>0.11332468572476186</c:v>
                </c:pt>
                <c:pt idx="4716">
                  <c:v>0.11332468572476186</c:v>
                </c:pt>
                <c:pt idx="4717">
                  <c:v>0.11332468572476186</c:v>
                </c:pt>
                <c:pt idx="4718">
                  <c:v>0.11332468572476186</c:v>
                </c:pt>
                <c:pt idx="4719">
                  <c:v>0.11332468572476186</c:v>
                </c:pt>
                <c:pt idx="4720">
                  <c:v>0.11332468572476186</c:v>
                </c:pt>
                <c:pt idx="4721">
                  <c:v>0.11332468572476186</c:v>
                </c:pt>
                <c:pt idx="4722">
                  <c:v>0.11332468572476186</c:v>
                </c:pt>
                <c:pt idx="4723">
                  <c:v>0.11332468572476186</c:v>
                </c:pt>
                <c:pt idx="4724">
                  <c:v>0.11332468572476186</c:v>
                </c:pt>
                <c:pt idx="4725">
                  <c:v>0.11332468572476186</c:v>
                </c:pt>
                <c:pt idx="4726">
                  <c:v>0.11332468572476186</c:v>
                </c:pt>
                <c:pt idx="4727">
                  <c:v>0.11332468572476186</c:v>
                </c:pt>
                <c:pt idx="4728">
                  <c:v>0.11332468572476186</c:v>
                </c:pt>
                <c:pt idx="4729">
                  <c:v>0.11332468572476186</c:v>
                </c:pt>
                <c:pt idx="4730">
                  <c:v>0.11332468572476186</c:v>
                </c:pt>
                <c:pt idx="4731">
                  <c:v>0.11332468572476186</c:v>
                </c:pt>
                <c:pt idx="4732">
                  <c:v>0.11332468572476186</c:v>
                </c:pt>
                <c:pt idx="4733">
                  <c:v>0.11332468572476186</c:v>
                </c:pt>
                <c:pt idx="4734">
                  <c:v>0.11332468572476186</c:v>
                </c:pt>
                <c:pt idx="4735">
                  <c:v>0.11332468572476186</c:v>
                </c:pt>
                <c:pt idx="4736">
                  <c:v>0.11332468572476186</c:v>
                </c:pt>
                <c:pt idx="4737">
                  <c:v>0.11332468572476186</c:v>
                </c:pt>
                <c:pt idx="4738">
                  <c:v>0.11332468572476186</c:v>
                </c:pt>
                <c:pt idx="4739">
                  <c:v>0.11332468572476186</c:v>
                </c:pt>
                <c:pt idx="4740">
                  <c:v>0.11332468572476186</c:v>
                </c:pt>
                <c:pt idx="4741">
                  <c:v>0.11332468572476186</c:v>
                </c:pt>
                <c:pt idx="4742">
                  <c:v>0.11332468572476186</c:v>
                </c:pt>
                <c:pt idx="4743">
                  <c:v>0.11332468572476186</c:v>
                </c:pt>
                <c:pt idx="4744">
                  <c:v>0.11332468572476186</c:v>
                </c:pt>
                <c:pt idx="4745">
                  <c:v>0.11332468572476186</c:v>
                </c:pt>
                <c:pt idx="4746">
                  <c:v>0.11332468572476186</c:v>
                </c:pt>
                <c:pt idx="4747">
                  <c:v>0.11332468572476186</c:v>
                </c:pt>
                <c:pt idx="4748">
                  <c:v>0.11332468572476186</c:v>
                </c:pt>
                <c:pt idx="4749">
                  <c:v>0.11332468572476186</c:v>
                </c:pt>
                <c:pt idx="4750">
                  <c:v>0.11332468572476186</c:v>
                </c:pt>
                <c:pt idx="4751">
                  <c:v>0.11332468572476186</c:v>
                </c:pt>
                <c:pt idx="4752">
                  <c:v>0.11332468572476186</c:v>
                </c:pt>
                <c:pt idx="4753">
                  <c:v>0.11332468572476186</c:v>
                </c:pt>
                <c:pt idx="4754">
                  <c:v>0.11332468572476186</c:v>
                </c:pt>
                <c:pt idx="4755">
                  <c:v>0.11332468572476186</c:v>
                </c:pt>
                <c:pt idx="4756">
                  <c:v>0.11332468572476186</c:v>
                </c:pt>
                <c:pt idx="4757">
                  <c:v>0.11332468572476186</c:v>
                </c:pt>
                <c:pt idx="4758">
                  <c:v>0.11332468572476186</c:v>
                </c:pt>
                <c:pt idx="4759">
                  <c:v>0.11332468572476186</c:v>
                </c:pt>
                <c:pt idx="4760">
                  <c:v>0.11332468572476186</c:v>
                </c:pt>
                <c:pt idx="4761">
                  <c:v>0.11332468572476186</c:v>
                </c:pt>
                <c:pt idx="4762">
                  <c:v>0.11332468572476186</c:v>
                </c:pt>
                <c:pt idx="4763">
                  <c:v>0.11332468572476186</c:v>
                </c:pt>
                <c:pt idx="4764">
                  <c:v>0.11332468572476186</c:v>
                </c:pt>
                <c:pt idx="4765">
                  <c:v>0.11332468572476186</c:v>
                </c:pt>
                <c:pt idx="4766">
                  <c:v>0.11332468572476186</c:v>
                </c:pt>
                <c:pt idx="4767">
                  <c:v>0.11332468572476186</c:v>
                </c:pt>
                <c:pt idx="4768">
                  <c:v>0.11332468572476186</c:v>
                </c:pt>
                <c:pt idx="4769">
                  <c:v>0.11332468572476186</c:v>
                </c:pt>
                <c:pt idx="4770">
                  <c:v>0.11332468572476186</c:v>
                </c:pt>
                <c:pt idx="4771">
                  <c:v>0.11332468572476186</c:v>
                </c:pt>
                <c:pt idx="4772">
                  <c:v>0.11332468572476186</c:v>
                </c:pt>
                <c:pt idx="4773">
                  <c:v>0.11332468572476186</c:v>
                </c:pt>
                <c:pt idx="4774">
                  <c:v>0.11332468572476186</c:v>
                </c:pt>
                <c:pt idx="4775">
                  <c:v>0.11332468572476186</c:v>
                </c:pt>
                <c:pt idx="4776">
                  <c:v>0.11332468572476186</c:v>
                </c:pt>
                <c:pt idx="4777">
                  <c:v>0.11332468572476186</c:v>
                </c:pt>
                <c:pt idx="4778">
                  <c:v>0.11332468572476186</c:v>
                </c:pt>
                <c:pt idx="4779">
                  <c:v>0.11332468572476186</c:v>
                </c:pt>
                <c:pt idx="4780">
                  <c:v>0.11332468572476186</c:v>
                </c:pt>
                <c:pt idx="4781">
                  <c:v>0.11332468572476186</c:v>
                </c:pt>
                <c:pt idx="4782">
                  <c:v>0.11332468572476186</c:v>
                </c:pt>
                <c:pt idx="4783">
                  <c:v>0.11332468572476186</c:v>
                </c:pt>
                <c:pt idx="4784">
                  <c:v>0.11332468572476186</c:v>
                </c:pt>
                <c:pt idx="4785">
                  <c:v>0.11332468572476186</c:v>
                </c:pt>
                <c:pt idx="4786">
                  <c:v>0.11332468572476186</c:v>
                </c:pt>
                <c:pt idx="4787">
                  <c:v>0.11332468572476186</c:v>
                </c:pt>
                <c:pt idx="4788">
                  <c:v>0.11332468572476186</c:v>
                </c:pt>
                <c:pt idx="4789">
                  <c:v>0.11332468572476186</c:v>
                </c:pt>
                <c:pt idx="4790">
                  <c:v>0.11332468572476186</c:v>
                </c:pt>
                <c:pt idx="4791">
                  <c:v>0.11332468572476186</c:v>
                </c:pt>
                <c:pt idx="4792">
                  <c:v>0.11332468572476186</c:v>
                </c:pt>
                <c:pt idx="4793">
                  <c:v>0.11332468572476186</c:v>
                </c:pt>
                <c:pt idx="4794">
                  <c:v>0.11332468572476186</c:v>
                </c:pt>
                <c:pt idx="4795">
                  <c:v>0.11332468572476186</c:v>
                </c:pt>
                <c:pt idx="4796">
                  <c:v>0.11332468572476186</c:v>
                </c:pt>
                <c:pt idx="4797">
                  <c:v>0.11332468572476186</c:v>
                </c:pt>
                <c:pt idx="4798">
                  <c:v>0.11332468572476186</c:v>
                </c:pt>
                <c:pt idx="4799">
                  <c:v>0.11332468572476186</c:v>
                </c:pt>
                <c:pt idx="4800">
                  <c:v>0.11332468572476186</c:v>
                </c:pt>
                <c:pt idx="4801">
                  <c:v>0.11332468572476186</c:v>
                </c:pt>
                <c:pt idx="4802">
                  <c:v>0.11332468572476186</c:v>
                </c:pt>
                <c:pt idx="4803">
                  <c:v>0.11332468572476186</c:v>
                </c:pt>
                <c:pt idx="4804">
                  <c:v>0.11332468572476186</c:v>
                </c:pt>
                <c:pt idx="4805">
                  <c:v>0.11332468572476186</c:v>
                </c:pt>
                <c:pt idx="4806">
                  <c:v>0.11332468572476186</c:v>
                </c:pt>
                <c:pt idx="4807">
                  <c:v>0.11332468572476186</c:v>
                </c:pt>
                <c:pt idx="4808">
                  <c:v>0.11332468572476186</c:v>
                </c:pt>
                <c:pt idx="4809">
                  <c:v>0.11332468572476186</c:v>
                </c:pt>
                <c:pt idx="4810">
                  <c:v>0.11332468572476186</c:v>
                </c:pt>
                <c:pt idx="4811">
                  <c:v>0.11332468572476186</c:v>
                </c:pt>
                <c:pt idx="4812">
                  <c:v>0.11332468572476186</c:v>
                </c:pt>
                <c:pt idx="4813">
                  <c:v>0.11332468572476186</c:v>
                </c:pt>
                <c:pt idx="4814">
                  <c:v>0.11332468572476186</c:v>
                </c:pt>
                <c:pt idx="4815">
                  <c:v>0.11332468572476186</c:v>
                </c:pt>
                <c:pt idx="4816">
                  <c:v>0.11332468572476186</c:v>
                </c:pt>
                <c:pt idx="4817">
                  <c:v>0.11332468572476186</c:v>
                </c:pt>
                <c:pt idx="4818">
                  <c:v>0.11332468572476186</c:v>
                </c:pt>
                <c:pt idx="4819">
                  <c:v>0.11332468572476186</c:v>
                </c:pt>
                <c:pt idx="4820">
                  <c:v>0.11332468572476186</c:v>
                </c:pt>
                <c:pt idx="4821">
                  <c:v>0.11332468572476186</c:v>
                </c:pt>
                <c:pt idx="4822">
                  <c:v>0.11332468572476186</c:v>
                </c:pt>
                <c:pt idx="4823">
                  <c:v>0.11332468572476186</c:v>
                </c:pt>
                <c:pt idx="4824">
                  <c:v>0.11332468572476186</c:v>
                </c:pt>
                <c:pt idx="4825">
                  <c:v>0.11332468572476186</c:v>
                </c:pt>
                <c:pt idx="4826">
                  <c:v>0.11332468572476186</c:v>
                </c:pt>
                <c:pt idx="4827">
                  <c:v>0.11332468572476186</c:v>
                </c:pt>
                <c:pt idx="4828">
                  <c:v>0.11332468572476186</c:v>
                </c:pt>
                <c:pt idx="4829">
                  <c:v>0.11332468572476186</c:v>
                </c:pt>
                <c:pt idx="4830">
                  <c:v>0.11332468572476186</c:v>
                </c:pt>
                <c:pt idx="4831">
                  <c:v>0.11332468572476186</c:v>
                </c:pt>
                <c:pt idx="4832">
                  <c:v>0.11332468572476186</c:v>
                </c:pt>
                <c:pt idx="4833">
                  <c:v>0.11332468572476186</c:v>
                </c:pt>
                <c:pt idx="4834">
                  <c:v>0.11332468572476186</c:v>
                </c:pt>
                <c:pt idx="4835">
                  <c:v>0.11332468572476186</c:v>
                </c:pt>
                <c:pt idx="4836">
                  <c:v>0.11332468572476186</c:v>
                </c:pt>
                <c:pt idx="4837">
                  <c:v>0.11332468572476186</c:v>
                </c:pt>
                <c:pt idx="4838">
                  <c:v>0.11332468572476186</c:v>
                </c:pt>
                <c:pt idx="4839">
                  <c:v>0.11332468572476186</c:v>
                </c:pt>
                <c:pt idx="4840">
                  <c:v>0.11332468572476186</c:v>
                </c:pt>
                <c:pt idx="4841">
                  <c:v>0.11332468572476186</c:v>
                </c:pt>
                <c:pt idx="4842">
                  <c:v>0.11332468572476186</c:v>
                </c:pt>
                <c:pt idx="4843">
                  <c:v>0.11332468572476186</c:v>
                </c:pt>
                <c:pt idx="4844">
                  <c:v>0.11332468572476186</c:v>
                </c:pt>
                <c:pt idx="4845">
                  <c:v>0.11332468572476186</c:v>
                </c:pt>
                <c:pt idx="4846">
                  <c:v>0.11332468572476186</c:v>
                </c:pt>
                <c:pt idx="4847">
                  <c:v>0.11332468572476186</c:v>
                </c:pt>
                <c:pt idx="4848">
                  <c:v>0.11332468572476186</c:v>
                </c:pt>
                <c:pt idx="4849">
                  <c:v>0.11332468572476186</c:v>
                </c:pt>
                <c:pt idx="4850">
                  <c:v>0.11332468572476186</c:v>
                </c:pt>
                <c:pt idx="4851">
                  <c:v>0.11332468572476186</c:v>
                </c:pt>
                <c:pt idx="4852">
                  <c:v>0.11332468572476186</c:v>
                </c:pt>
                <c:pt idx="4853">
                  <c:v>0.11332468572476186</c:v>
                </c:pt>
                <c:pt idx="4854">
                  <c:v>0.11332468572476186</c:v>
                </c:pt>
                <c:pt idx="4855">
                  <c:v>0.11332468572476186</c:v>
                </c:pt>
                <c:pt idx="4856">
                  <c:v>0.11332468572476186</c:v>
                </c:pt>
                <c:pt idx="4857">
                  <c:v>0.11332468572476186</c:v>
                </c:pt>
                <c:pt idx="4858">
                  <c:v>0.11332468572476186</c:v>
                </c:pt>
                <c:pt idx="4859">
                  <c:v>0.11332468572476186</c:v>
                </c:pt>
                <c:pt idx="4860">
                  <c:v>0.11332468572476186</c:v>
                </c:pt>
                <c:pt idx="4861">
                  <c:v>0.11332468572476186</c:v>
                </c:pt>
                <c:pt idx="4862">
                  <c:v>0.11332468572476186</c:v>
                </c:pt>
                <c:pt idx="4863">
                  <c:v>0.11332468572476186</c:v>
                </c:pt>
                <c:pt idx="4864">
                  <c:v>0.11332468572476186</c:v>
                </c:pt>
                <c:pt idx="4865">
                  <c:v>0.11332468572476186</c:v>
                </c:pt>
                <c:pt idx="4866">
                  <c:v>0.11332468572476186</c:v>
                </c:pt>
                <c:pt idx="4867">
                  <c:v>0.11332468572476186</c:v>
                </c:pt>
                <c:pt idx="4868">
                  <c:v>0.11332468572476186</c:v>
                </c:pt>
                <c:pt idx="4869">
                  <c:v>0.11332468572476186</c:v>
                </c:pt>
                <c:pt idx="4870">
                  <c:v>0.11332468572476186</c:v>
                </c:pt>
                <c:pt idx="4871">
                  <c:v>0.11332468572476186</c:v>
                </c:pt>
                <c:pt idx="4872">
                  <c:v>0.11332468572476186</c:v>
                </c:pt>
                <c:pt idx="4873">
                  <c:v>0.11332468572476186</c:v>
                </c:pt>
                <c:pt idx="4874">
                  <c:v>0.11332468572476186</c:v>
                </c:pt>
                <c:pt idx="4875">
                  <c:v>0.11332468572476186</c:v>
                </c:pt>
                <c:pt idx="4876">
                  <c:v>0.11332468572476186</c:v>
                </c:pt>
                <c:pt idx="4877">
                  <c:v>0.11332468572476186</c:v>
                </c:pt>
                <c:pt idx="4878">
                  <c:v>0.11332468572476186</c:v>
                </c:pt>
                <c:pt idx="4879">
                  <c:v>0.11332468572476186</c:v>
                </c:pt>
                <c:pt idx="4880">
                  <c:v>0.11332468572476186</c:v>
                </c:pt>
                <c:pt idx="4881">
                  <c:v>0.11332468572476186</c:v>
                </c:pt>
                <c:pt idx="4882">
                  <c:v>0.11332468572476186</c:v>
                </c:pt>
                <c:pt idx="4883">
                  <c:v>0.11332468572476186</c:v>
                </c:pt>
                <c:pt idx="4884">
                  <c:v>0.11332468572476186</c:v>
                </c:pt>
                <c:pt idx="4885">
                  <c:v>0.11332468572476186</c:v>
                </c:pt>
                <c:pt idx="4886">
                  <c:v>0.11332468572476186</c:v>
                </c:pt>
                <c:pt idx="4887">
                  <c:v>0.11332468572476186</c:v>
                </c:pt>
                <c:pt idx="4888">
                  <c:v>0.11332468572476186</c:v>
                </c:pt>
                <c:pt idx="4889">
                  <c:v>0.11332468572476186</c:v>
                </c:pt>
                <c:pt idx="4890">
                  <c:v>0.11332468572476186</c:v>
                </c:pt>
                <c:pt idx="4891">
                  <c:v>0.11332468572476186</c:v>
                </c:pt>
                <c:pt idx="4892">
                  <c:v>0.11332468572476186</c:v>
                </c:pt>
                <c:pt idx="4893">
                  <c:v>0.11332468572476186</c:v>
                </c:pt>
                <c:pt idx="4894">
                  <c:v>0.11332468572476186</c:v>
                </c:pt>
                <c:pt idx="4895">
                  <c:v>0.11332468572476186</c:v>
                </c:pt>
                <c:pt idx="4896">
                  <c:v>0.11332468572476186</c:v>
                </c:pt>
                <c:pt idx="4897">
                  <c:v>0.11332468572476186</c:v>
                </c:pt>
                <c:pt idx="4898">
                  <c:v>0.11332468572476186</c:v>
                </c:pt>
                <c:pt idx="4899">
                  <c:v>0.11332468572476186</c:v>
                </c:pt>
                <c:pt idx="4900">
                  <c:v>0.11332468572476186</c:v>
                </c:pt>
                <c:pt idx="4901">
                  <c:v>0.11332468572476186</c:v>
                </c:pt>
                <c:pt idx="4902">
                  <c:v>0.11332468572476186</c:v>
                </c:pt>
                <c:pt idx="4903">
                  <c:v>0.11332468572476186</c:v>
                </c:pt>
                <c:pt idx="4904">
                  <c:v>0.11332468572476186</c:v>
                </c:pt>
                <c:pt idx="4905">
                  <c:v>0.11332468572476186</c:v>
                </c:pt>
                <c:pt idx="4906">
                  <c:v>0.11332468572476186</c:v>
                </c:pt>
                <c:pt idx="4907">
                  <c:v>0.11332468572476186</c:v>
                </c:pt>
                <c:pt idx="4908">
                  <c:v>0.11332468572476186</c:v>
                </c:pt>
                <c:pt idx="4909">
                  <c:v>0.11332468572476186</c:v>
                </c:pt>
                <c:pt idx="4910">
                  <c:v>0.11332468572476186</c:v>
                </c:pt>
                <c:pt idx="4911">
                  <c:v>0.11332468572476186</c:v>
                </c:pt>
                <c:pt idx="4912">
                  <c:v>0.11332468572476186</c:v>
                </c:pt>
                <c:pt idx="4913">
                  <c:v>0.11332468572476186</c:v>
                </c:pt>
                <c:pt idx="4914">
                  <c:v>0.11332468572476186</c:v>
                </c:pt>
                <c:pt idx="4915">
                  <c:v>0.11332468572476186</c:v>
                </c:pt>
                <c:pt idx="4916">
                  <c:v>0.11332468572476186</c:v>
                </c:pt>
                <c:pt idx="4917">
                  <c:v>0.11332468572476186</c:v>
                </c:pt>
                <c:pt idx="4918">
                  <c:v>0.11332468572476186</c:v>
                </c:pt>
                <c:pt idx="4919">
                  <c:v>0.11332468572476186</c:v>
                </c:pt>
                <c:pt idx="4920">
                  <c:v>0.11332468572476186</c:v>
                </c:pt>
                <c:pt idx="4921">
                  <c:v>0.11332468572476186</c:v>
                </c:pt>
                <c:pt idx="4922">
                  <c:v>0.11332468572476186</c:v>
                </c:pt>
                <c:pt idx="4923">
                  <c:v>0.11332468572476186</c:v>
                </c:pt>
                <c:pt idx="4924">
                  <c:v>0.11332468572476186</c:v>
                </c:pt>
                <c:pt idx="4925">
                  <c:v>0.11332468572476186</c:v>
                </c:pt>
                <c:pt idx="4926">
                  <c:v>0.11332468572476186</c:v>
                </c:pt>
                <c:pt idx="4927">
                  <c:v>0.11332468572476186</c:v>
                </c:pt>
                <c:pt idx="4928">
                  <c:v>0.11332468572476186</c:v>
                </c:pt>
                <c:pt idx="4929">
                  <c:v>0.11332468572476186</c:v>
                </c:pt>
                <c:pt idx="4930">
                  <c:v>0.11332468572476186</c:v>
                </c:pt>
                <c:pt idx="4931">
                  <c:v>0.11332468572476186</c:v>
                </c:pt>
                <c:pt idx="4932">
                  <c:v>0.11332468572476186</c:v>
                </c:pt>
                <c:pt idx="4933">
                  <c:v>0.11332468572476186</c:v>
                </c:pt>
                <c:pt idx="4934">
                  <c:v>0.11332468572476186</c:v>
                </c:pt>
                <c:pt idx="4935">
                  <c:v>0.11332468572476186</c:v>
                </c:pt>
                <c:pt idx="4936">
                  <c:v>0.11332468572476186</c:v>
                </c:pt>
                <c:pt idx="4937">
                  <c:v>0.11332468572476186</c:v>
                </c:pt>
                <c:pt idx="4938">
                  <c:v>0.11332468572476186</c:v>
                </c:pt>
                <c:pt idx="4939">
                  <c:v>0.11332468572476186</c:v>
                </c:pt>
                <c:pt idx="4940">
                  <c:v>0.11332468572476186</c:v>
                </c:pt>
                <c:pt idx="4941">
                  <c:v>0.11332468572476186</c:v>
                </c:pt>
                <c:pt idx="4942">
                  <c:v>0.11332468572476186</c:v>
                </c:pt>
                <c:pt idx="4943">
                  <c:v>0.11332468572476186</c:v>
                </c:pt>
                <c:pt idx="4944">
                  <c:v>0.11332468572476186</c:v>
                </c:pt>
                <c:pt idx="4945">
                  <c:v>0.11332468572476186</c:v>
                </c:pt>
                <c:pt idx="4946">
                  <c:v>0.11332468572476186</c:v>
                </c:pt>
                <c:pt idx="4947">
                  <c:v>0.11332468572476186</c:v>
                </c:pt>
                <c:pt idx="4948">
                  <c:v>0.11332468572476186</c:v>
                </c:pt>
                <c:pt idx="4949">
                  <c:v>0.11332468572476186</c:v>
                </c:pt>
                <c:pt idx="4950">
                  <c:v>0.11332468572476186</c:v>
                </c:pt>
                <c:pt idx="4951">
                  <c:v>0.11332468572476186</c:v>
                </c:pt>
                <c:pt idx="4952">
                  <c:v>0.11332468572476186</c:v>
                </c:pt>
                <c:pt idx="4953">
                  <c:v>0.11332468572476186</c:v>
                </c:pt>
                <c:pt idx="4954">
                  <c:v>0.11332468572476186</c:v>
                </c:pt>
                <c:pt idx="4955">
                  <c:v>0.11332468572476186</c:v>
                </c:pt>
                <c:pt idx="4956">
                  <c:v>0.11332468572476186</c:v>
                </c:pt>
                <c:pt idx="4957">
                  <c:v>0.11332468572476186</c:v>
                </c:pt>
                <c:pt idx="4958">
                  <c:v>0.11332468572476186</c:v>
                </c:pt>
                <c:pt idx="4959">
                  <c:v>0.11332468572476186</c:v>
                </c:pt>
                <c:pt idx="4960">
                  <c:v>0.11332468572476186</c:v>
                </c:pt>
                <c:pt idx="4961">
                  <c:v>0.11332468572476186</c:v>
                </c:pt>
                <c:pt idx="4962">
                  <c:v>0.11332468572476186</c:v>
                </c:pt>
                <c:pt idx="4963">
                  <c:v>0.11332468572476186</c:v>
                </c:pt>
                <c:pt idx="4964">
                  <c:v>0.11332468572476186</c:v>
                </c:pt>
                <c:pt idx="4965">
                  <c:v>0.11332468572476186</c:v>
                </c:pt>
                <c:pt idx="4966">
                  <c:v>0.11332468572476186</c:v>
                </c:pt>
                <c:pt idx="4967">
                  <c:v>0.11332468572476186</c:v>
                </c:pt>
                <c:pt idx="4968">
                  <c:v>0.11332468572476186</c:v>
                </c:pt>
                <c:pt idx="4969">
                  <c:v>0.11332468572476186</c:v>
                </c:pt>
                <c:pt idx="4970">
                  <c:v>0.11332468572476186</c:v>
                </c:pt>
                <c:pt idx="4971">
                  <c:v>0.11332468572476186</c:v>
                </c:pt>
                <c:pt idx="4972">
                  <c:v>0.11332468572476186</c:v>
                </c:pt>
                <c:pt idx="4973">
                  <c:v>0.11332468572476186</c:v>
                </c:pt>
                <c:pt idx="4974">
                  <c:v>0.11332468572476186</c:v>
                </c:pt>
                <c:pt idx="4975">
                  <c:v>0.11332468572476186</c:v>
                </c:pt>
                <c:pt idx="4976">
                  <c:v>0.11332468572476186</c:v>
                </c:pt>
                <c:pt idx="4977">
                  <c:v>0.11332468572476186</c:v>
                </c:pt>
                <c:pt idx="4978">
                  <c:v>0.11332468572476186</c:v>
                </c:pt>
                <c:pt idx="4979">
                  <c:v>0.11332468572476186</c:v>
                </c:pt>
                <c:pt idx="4980">
                  <c:v>0.11332468572476186</c:v>
                </c:pt>
                <c:pt idx="4981">
                  <c:v>0.11332468572476186</c:v>
                </c:pt>
                <c:pt idx="4982">
                  <c:v>0.11332468572476186</c:v>
                </c:pt>
                <c:pt idx="4983">
                  <c:v>0.11332468572476186</c:v>
                </c:pt>
                <c:pt idx="4984">
                  <c:v>0.11332468572476186</c:v>
                </c:pt>
                <c:pt idx="4985">
                  <c:v>0.11332468572476186</c:v>
                </c:pt>
                <c:pt idx="4986">
                  <c:v>0.11332468572476186</c:v>
                </c:pt>
                <c:pt idx="4987">
                  <c:v>0.11332468572476186</c:v>
                </c:pt>
                <c:pt idx="4988">
                  <c:v>0.11332468572476186</c:v>
                </c:pt>
                <c:pt idx="4989">
                  <c:v>0.11332468572476186</c:v>
                </c:pt>
                <c:pt idx="4990">
                  <c:v>0.11332468572476186</c:v>
                </c:pt>
                <c:pt idx="4991">
                  <c:v>0.11332468572476186</c:v>
                </c:pt>
                <c:pt idx="4992">
                  <c:v>0.11332468572476186</c:v>
                </c:pt>
                <c:pt idx="4993">
                  <c:v>0.11332468572476186</c:v>
                </c:pt>
                <c:pt idx="4994">
                  <c:v>0.11332468572476186</c:v>
                </c:pt>
                <c:pt idx="4995">
                  <c:v>0.11332468572476186</c:v>
                </c:pt>
                <c:pt idx="4996">
                  <c:v>0.11332468572476186</c:v>
                </c:pt>
                <c:pt idx="4997">
                  <c:v>0.11332468572476186</c:v>
                </c:pt>
                <c:pt idx="4998">
                  <c:v>0.11332468572476186</c:v>
                </c:pt>
                <c:pt idx="4999">
                  <c:v>0.11332468572476186</c:v>
                </c:pt>
              </c:numCache>
            </c:numRef>
          </c:val>
          <c:extLst>
            <c:ext xmlns:c16="http://schemas.microsoft.com/office/drawing/2014/chart" uri="{C3380CC4-5D6E-409C-BE32-E72D297353CC}">
              <c16:uniqueId val="{00000003-A3B8-4A7A-88F9-3FB27C46CC0F}"/>
            </c:ext>
          </c:extLst>
        </c:ser>
        <c:dLbls>
          <c:showLegendKey val="0"/>
          <c:showVal val="0"/>
          <c:showCatName val="0"/>
          <c:showSerName val="0"/>
          <c:showPercent val="0"/>
          <c:showBubbleSize val="0"/>
        </c:dLbls>
        <c:gapWidth val="0"/>
        <c:overlap val="100"/>
        <c:axId val="29358096"/>
        <c:axId val="457071392"/>
      </c:barChart>
      <c:catAx>
        <c:axId val="29358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57071392"/>
        <c:crosses val="autoZero"/>
        <c:auto val="1"/>
        <c:lblAlgn val="ctr"/>
        <c:lblOffset val="100"/>
        <c:noMultiLvlLbl val="0"/>
      </c:catAx>
      <c:valAx>
        <c:axId val="457071392"/>
        <c:scaling>
          <c:orientation val="minMax"/>
        </c:scaling>
        <c:delete val="1"/>
        <c:axPos val="l"/>
        <c:numFmt formatCode="General" sourceLinked="1"/>
        <c:majorTickMark val="out"/>
        <c:minorTickMark val="none"/>
        <c:tickLblPos val="nextTo"/>
        <c:crossAx val="29358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BeskrivendeStatistik!$CA$6</c:f>
          <c:strCache>
            <c:ptCount val="1"/>
            <c:pt idx="0">
              <c:v>Søjlediagram af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1"/>
          <c:order val="0"/>
          <c:tx>
            <c:strRef>
              <c:f>BeskrivendeStatistik!$CA$8</c:f>
              <c:strCache>
                <c:ptCount val="1"/>
                <c:pt idx="0">
                  <c:v>Observationer (n = 12)</c:v>
                </c:pt>
              </c:strCache>
            </c:strRef>
          </c:tx>
          <c:spPr>
            <a:solidFill>
              <a:schemeClr val="accent1"/>
            </a:solidFill>
            <a:ln>
              <a:noFill/>
            </a:ln>
            <a:effectLst/>
          </c:spPr>
          <c:invertIfNegative val="0"/>
          <c:cat>
            <c:strRef>
              <c:f>[0]!BxS</c:f>
              <c:strCache>
                <c:ptCount val="70"/>
                <c:pt idx="3">
                  <c:v>-1.48</c:v>
                </c:pt>
                <c:pt idx="9">
                  <c:v>-1.147</c:v>
                </c:pt>
                <c:pt idx="15">
                  <c:v>-0.898</c:v>
                </c:pt>
                <c:pt idx="21">
                  <c:v>-0.409</c:v>
                </c:pt>
                <c:pt idx="27">
                  <c:v>-0.307</c:v>
                </c:pt>
                <c:pt idx="33">
                  <c:v>0.084</c:v>
                </c:pt>
                <c:pt idx="39">
                  <c:v>0.914</c:v>
                </c:pt>
                <c:pt idx="45">
                  <c:v>1.299</c:v>
                </c:pt>
                <c:pt idx="51">
                  <c:v>1.38</c:v>
                </c:pt>
                <c:pt idx="57">
                  <c:v>1.811</c:v>
                </c:pt>
                <c:pt idx="63">
                  <c:v>8</c:v>
                </c:pt>
                <c:pt idx="69">
                  <c:v>13</c:v>
                </c:pt>
              </c:strCache>
            </c:strRef>
          </c:cat>
          <c:val>
            <c:numRef>
              <c:f>[0]!Buf</c:f>
              <c:numCache>
                <c:formatCode>General</c:formatCode>
                <c:ptCount val="72"/>
                <c:pt idx="0">
                  <c:v>#N/A</c:v>
                </c:pt>
                <c:pt idx="1">
                  <c:v>1</c:v>
                </c:pt>
                <c:pt idx="2">
                  <c:v>1</c:v>
                </c:pt>
                <c:pt idx="3">
                  <c:v>1</c:v>
                </c:pt>
                <c:pt idx="4">
                  <c:v>1</c:v>
                </c:pt>
                <c:pt idx="5">
                  <c:v>#N/A</c:v>
                </c:pt>
                <c:pt idx="6">
                  <c:v>#N/A</c:v>
                </c:pt>
                <c:pt idx="7">
                  <c:v>1</c:v>
                </c:pt>
                <c:pt idx="8">
                  <c:v>1</c:v>
                </c:pt>
                <c:pt idx="9">
                  <c:v>1</c:v>
                </c:pt>
                <c:pt idx="10">
                  <c:v>1</c:v>
                </c:pt>
                <c:pt idx="11">
                  <c:v>#N/A</c:v>
                </c:pt>
                <c:pt idx="12">
                  <c:v>#N/A</c:v>
                </c:pt>
                <c:pt idx="13">
                  <c:v>1</c:v>
                </c:pt>
                <c:pt idx="14">
                  <c:v>1</c:v>
                </c:pt>
                <c:pt idx="15">
                  <c:v>1</c:v>
                </c:pt>
                <c:pt idx="16">
                  <c:v>1</c:v>
                </c:pt>
                <c:pt idx="17">
                  <c:v>#N/A</c:v>
                </c:pt>
                <c:pt idx="18">
                  <c:v>#N/A</c:v>
                </c:pt>
                <c:pt idx="19">
                  <c:v>1</c:v>
                </c:pt>
                <c:pt idx="20">
                  <c:v>1</c:v>
                </c:pt>
                <c:pt idx="21">
                  <c:v>1</c:v>
                </c:pt>
                <c:pt idx="22">
                  <c:v>1</c:v>
                </c:pt>
                <c:pt idx="23">
                  <c:v>#N/A</c:v>
                </c:pt>
                <c:pt idx="24">
                  <c:v>#N/A</c:v>
                </c:pt>
                <c:pt idx="25">
                  <c:v>1</c:v>
                </c:pt>
                <c:pt idx="26">
                  <c:v>1</c:v>
                </c:pt>
                <c:pt idx="27">
                  <c:v>1</c:v>
                </c:pt>
                <c:pt idx="28">
                  <c:v>1</c:v>
                </c:pt>
                <c:pt idx="29">
                  <c:v>#N/A</c:v>
                </c:pt>
                <c:pt idx="30">
                  <c:v>#N/A</c:v>
                </c:pt>
                <c:pt idx="31">
                  <c:v>1</c:v>
                </c:pt>
                <c:pt idx="32">
                  <c:v>1</c:v>
                </c:pt>
                <c:pt idx="33">
                  <c:v>1</c:v>
                </c:pt>
                <c:pt idx="34">
                  <c:v>1</c:v>
                </c:pt>
                <c:pt idx="35">
                  <c:v>#N/A</c:v>
                </c:pt>
                <c:pt idx="36">
                  <c:v>#N/A</c:v>
                </c:pt>
                <c:pt idx="37">
                  <c:v>1</c:v>
                </c:pt>
                <c:pt idx="38">
                  <c:v>1</c:v>
                </c:pt>
                <c:pt idx="39">
                  <c:v>1</c:v>
                </c:pt>
                <c:pt idx="40">
                  <c:v>1</c:v>
                </c:pt>
                <c:pt idx="41">
                  <c:v>#N/A</c:v>
                </c:pt>
                <c:pt idx="42">
                  <c:v>#N/A</c:v>
                </c:pt>
                <c:pt idx="43">
                  <c:v>1</c:v>
                </c:pt>
                <c:pt idx="44">
                  <c:v>1</c:v>
                </c:pt>
                <c:pt idx="45">
                  <c:v>1</c:v>
                </c:pt>
                <c:pt idx="46">
                  <c:v>1</c:v>
                </c:pt>
                <c:pt idx="47">
                  <c:v>#N/A</c:v>
                </c:pt>
                <c:pt idx="48">
                  <c:v>#N/A</c:v>
                </c:pt>
                <c:pt idx="49">
                  <c:v>1</c:v>
                </c:pt>
                <c:pt idx="50">
                  <c:v>1</c:v>
                </c:pt>
                <c:pt idx="51">
                  <c:v>1</c:v>
                </c:pt>
                <c:pt idx="52">
                  <c:v>1</c:v>
                </c:pt>
                <c:pt idx="53">
                  <c:v>#N/A</c:v>
                </c:pt>
                <c:pt idx="54">
                  <c:v>#N/A</c:v>
                </c:pt>
                <c:pt idx="55">
                  <c:v>1</c:v>
                </c:pt>
                <c:pt idx="56">
                  <c:v>1</c:v>
                </c:pt>
                <c:pt idx="57">
                  <c:v>1</c:v>
                </c:pt>
                <c:pt idx="58">
                  <c:v>1</c:v>
                </c:pt>
                <c:pt idx="59">
                  <c:v>#N/A</c:v>
                </c:pt>
                <c:pt idx="60">
                  <c:v>#N/A</c:v>
                </c:pt>
                <c:pt idx="61">
                  <c:v>1</c:v>
                </c:pt>
                <c:pt idx="62">
                  <c:v>1</c:v>
                </c:pt>
                <c:pt idx="63">
                  <c:v>1</c:v>
                </c:pt>
                <c:pt idx="64">
                  <c:v>1</c:v>
                </c:pt>
                <c:pt idx="65">
                  <c:v>#N/A</c:v>
                </c:pt>
                <c:pt idx="66">
                  <c:v>#N/A</c:v>
                </c:pt>
                <c:pt idx="67">
                  <c:v>1</c:v>
                </c:pt>
                <c:pt idx="68">
                  <c:v>1</c:v>
                </c:pt>
                <c:pt idx="69">
                  <c:v>1</c:v>
                </c:pt>
                <c:pt idx="70">
                  <c:v>1</c:v>
                </c:pt>
                <c:pt idx="71">
                  <c:v>#N/A</c:v>
                </c:pt>
              </c:numCache>
            </c:numRef>
          </c:val>
          <c:extLst>
            <c:ext xmlns:c16="http://schemas.microsoft.com/office/drawing/2014/chart" uri="{C3380CC4-5D6E-409C-BE32-E72D297353CC}">
              <c16:uniqueId val="{00000000-3710-44A1-B30A-EFAC2C341C27}"/>
            </c:ext>
          </c:extLst>
        </c:ser>
        <c:dLbls>
          <c:showLegendKey val="0"/>
          <c:showVal val="0"/>
          <c:showCatName val="0"/>
          <c:showSerName val="0"/>
          <c:showPercent val="0"/>
          <c:showBubbleSize val="0"/>
        </c:dLbls>
        <c:gapWidth val="0"/>
        <c:axId val="247937903"/>
        <c:axId val="31931263"/>
      </c:barChart>
      <c:catAx>
        <c:axId val="247937903"/>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900000" spcFirstLastPara="1" vertOverflow="ellipsis" wrap="square" anchor="t" anchorCtr="0"/>
          <a:lstStyle/>
          <a:p>
            <a:pPr>
              <a:defRPr sz="900" b="0" i="0" u="none" strike="noStrike" kern="1200" baseline="0">
                <a:solidFill>
                  <a:schemeClr val="tx1">
                    <a:lumMod val="65000"/>
                    <a:lumOff val="35000"/>
                  </a:schemeClr>
                </a:solidFill>
                <a:latin typeface="+mn-lt"/>
                <a:ea typeface="+mn-ea"/>
                <a:cs typeface="+mn-cs"/>
              </a:defRPr>
            </a:pPr>
            <a:endParaRPr lang="da-DK"/>
          </a:p>
        </c:txPr>
        <c:crossAx val="31931263"/>
        <c:crosses val="autoZero"/>
        <c:auto val="1"/>
        <c:lblAlgn val="ctr"/>
        <c:lblOffset val="100"/>
        <c:tickLblSkip val="1"/>
        <c:noMultiLvlLbl val="0"/>
      </c:catAx>
      <c:valAx>
        <c:axId val="31931263"/>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7937903"/>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BeskrivendeStatistik!$BI$6</c:f>
          <c:strCache>
            <c:ptCount val="1"/>
            <c:pt idx="0">
              <c:v>Histogram med 15 intervaller
og normalfordeling for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1"/>
          <c:order val="1"/>
          <c:tx>
            <c:strRef>
              <c:f>BeskrivendeStatistik!$BI$8</c:f>
              <c:strCache>
                <c:ptCount val="1"/>
                <c:pt idx="0">
                  <c:v>Observationer (n = 12)</c:v>
                </c:pt>
              </c:strCache>
            </c:strRef>
          </c:tx>
          <c:spPr>
            <a:solidFill>
              <a:schemeClr val="accent1"/>
            </a:solidFill>
            <a:ln>
              <a:noFill/>
            </a:ln>
            <a:effectLst/>
          </c:spPr>
          <c:invertIfNegative val="0"/>
          <c:val>
            <c:numRef>
              <c:f>[0]!BfHist</c:f>
              <c:numCache>
                <c:formatCode>General</c:formatCode>
                <c:ptCount val="2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0.6209326687253206</c:v>
                </c:pt>
                <c:pt idx="86">
                  <c:v>0.6209326687253206</c:v>
                </c:pt>
                <c:pt idx="87">
                  <c:v>0.6209326687253206</c:v>
                </c:pt>
                <c:pt idx="88">
                  <c:v>0.6209326687253206</c:v>
                </c:pt>
                <c:pt idx="89">
                  <c:v>0.6209326687253206</c:v>
                </c:pt>
                <c:pt idx="90">
                  <c:v>0.6209326687253206</c:v>
                </c:pt>
                <c:pt idx="91">
                  <c:v>0.6209326687253206</c:v>
                </c:pt>
                <c:pt idx="92">
                  <c:v>0.6209326687253206</c:v>
                </c:pt>
                <c:pt idx="93">
                  <c:v>0.6209326687253206</c:v>
                </c:pt>
                <c:pt idx="94">
                  <c:v>0.6209326687253206</c:v>
                </c:pt>
                <c:pt idx="95">
                  <c:v>0.6209326687253206</c:v>
                </c:pt>
                <c:pt idx="96">
                  <c:v>0.6209326687253206</c:v>
                </c:pt>
                <c:pt idx="97">
                  <c:v>0.6209326687253206</c:v>
                </c:pt>
                <c:pt idx="98">
                  <c:v>0.6209326687253206</c:v>
                </c:pt>
                <c:pt idx="99">
                  <c:v>0.6209326687253206</c:v>
                </c:pt>
                <c:pt idx="100">
                  <c:v>0.6209326687253206</c:v>
                </c:pt>
                <c:pt idx="101">
                  <c:v>0.6209326687253206</c:v>
                </c:pt>
                <c:pt idx="102">
                  <c:v>0.8279102249670941</c:v>
                </c:pt>
                <c:pt idx="103">
                  <c:v>0.8279102249670941</c:v>
                </c:pt>
                <c:pt idx="104">
                  <c:v>0.8279102249670941</c:v>
                </c:pt>
                <c:pt idx="105">
                  <c:v>0.8279102249670941</c:v>
                </c:pt>
                <c:pt idx="106">
                  <c:v>0.8279102249670941</c:v>
                </c:pt>
                <c:pt idx="107">
                  <c:v>0.8279102249670941</c:v>
                </c:pt>
                <c:pt idx="108">
                  <c:v>0.8279102249670941</c:v>
                </c:pt>
                <c:pt idx="109">
                  <c:v>0.8279102249670941</c:v>
                </c:pt>
                <c:pt idx="110">
                  <c:v>0.8279102249670941</c:v>
                </c:pt>
                <c:pt idx="111">
                  <c:v>0.8279102249670941</c:v>
                </c:pt>
                <c:pt idx="112">
                  <c:v>0.8279102249670941</c:v>
                </c:pt>
                <c:pt idx="113">
                  <c:v>0.8279102249670941</c:v>
                </c:pt>
                <c:pt idx="114">
                  <c:v>0.8279102249670941</c:v>
                </c:pt>
                <c:pt idx="115">
                  <c:v>0.8279102249670941</c:v>
                </c:pt>
                <c:pt idx="116">
                  <c:v>0.8279102249670941</c:v>
                </c:pt>
                <c:pt idx="117">
                  <c:v>0.8279102249670941</c:v>
                </c:pt>
                <c:pt idx="118">
                  <c:v>0.8279102249670941</c:v>
                </c:pt>
                <c:pt idx="119">
                  <c:v>0.6209326687253206</c:v>
                </c:pt>
                <c:pt idx="120">
                  <c:v>0.6209326687253206</c:v>
                </c:pt>
                <c:pt idx="121">
                  <c:v>0.6209326687253206</c:v>
                </c:pt>
                <c:pt idx="122">
                  <c:v>0.6209326687253206</c:v>
                </c:pt>
                <c:pt idx="123">
                  <c:v>0.6209326687253206</c:v>
                </c:pt>
                <c:pt idx="124">
                  <c:v>0.6209326687253206</c:v>
                </c:pt>
                <c:pt idx="125">
                  <c:v>0.6209326687253206</c:v>
                </c:pt>
                <c:pt idx="126">
                  <c:v>0.6209326687253206</c:v>
                </c:pt>
                <c:pt idx="127">
                  <c:v>0.6209326687253206</c:v>
                </c:pt>
                <c:pt idx="128">
                  <c:v>0.6209326687253206</c:v>
                </c:pt>
                <c:pt idx="129">
                  <c:v>0.6209326687253206</c:v>
                </c:pt>
                <c:pt idx="130">
                  <c:v>0.6209326687253206</c:v>
                </c:pt>
                <c:pt idx="131">
                  <c:v>0.6209326687253206</c:v>
                </c:pt>
                <c:pt idx="132">
                  <c:v>0.6209326687253206</c:v>
                </c:pt>
                <c:pt idx="133">
                  <c:v>0.6209326687253206</c:v>
                </c:pt>
                <c:pt idx="134">
                  <c:v>0.6209326687253206</c:v>
                </c:pt>
                <c:pt idx="135">
                  <c:v>0.6209326687253206</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0.20697755624177352</c:v>
                </c:pt>
                <c:pt idx="188">
                  <c:v>0.20697755624177352</c:v>
                </c:pt>
                <c:pt idx="189">
                  <c:v>0.20697755624177352</c:v>
                </c:pt>
                <c:pt idx="190">
                  <c:v>0.20697755624177352</c:v>
                </c:pt>
                <c:pt idx="191">
                  <c:v>0.20697755624177352</c:v>
                </c:pt>
                <c:pt idx="192">
                  <c:v>0.20697755624177352</c:v>
                </c:pt>
                <c:pt idx="193">
                  <c:v>0.20697755624177352</c:v>
                </c:pt>
                <c:pt idx="194">
                  <c:v>0.20697755624177352</c:v>
                </c:pt>
                <c:pt idx="195">
                  <c:v>0.20697755624177352</c:v>
                </c:pt>
                <c:pt idx="196">
                  <c:v>0.20697755624177352</c:v>
                </c:pt>
                <c:pt idx="197">
                  <c:v>0.20697755624177352</c:v>
                </c:pt>
                <c:pt idx="198">
                  <c:v>0.20697755624177352</c:v>
                </c:pt>
                <c:pt idx="199">
                  <c:v>0.20697755624177352</c:v>
                </c:pt>
                <c:pt idx="200">
                  <c:v>0.20697755624177352</c:v>
                </c:pt>
                <c:pt idx="201">
                  <c:v>0.20697755624177352</c:v>
                </c:pt>
                <c:pt idx="202">
                  <c:v>0.20697755624177352</c:v>
                </c:pt>
                <c:pt idx="203">
                  <c:v>0.20697755624177352</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0.20697755624177352</c:v>
                </c:pt>
                <c:pt idx="222">
                  <c:v>0.20697755624177352</c:v>
                </c:pt>
                <c:pt idx="223">
                  <c:v>0.20697755624177352</c:v>
                </c:pt>
                <c:pt idx="224">
                  <c:v>0.20697755624177352</c:v>
                </c:pt>
                <c:pt idx="225">
                  <c:v>0.20697755624177352</c:v>
                </c:pt>
                <c:pt idx="226">
                  <c:v>0.20697755624177352</c:v>
                </c:pt>
                <c:pt idx="227">
                  <c:v>0.20697755624177352</c:v>
                </c:pt>
                <c:pt idx="228">
                  <c:v>0.20697755624177352</c:v>
                </c:pt>
                <c:pt idx="229">
                  <c:v>0.20697755624177352</c:v>
                </c:pt>
                <c:pt idx="230">
                  <c:v>0.20697755624177352</c:v>
                </c:pt>
                <c:pt idx="231">
                  <c:v>0.20697755624177352</c:v>
                </c:pt>
                <c:pt idx="232">
                  <c:v>0.20697755624177352</c:v>
                </c:pt>
                <c:pt idx="233">
                  <c:v>0.20697755624177352</c:v>
                </c:pt>
                <c:pt idx="234">
                  <c:v>0.20697755624177352</c:v>
                </c:pt>
                <c:pt idx="235">
                  <c:v>0.20697755624177352</c:v>
                </c:pt>
                <c:pt idx="236">
                  <c:v>0.20697755624177352</c:v>
                </c:pt>
                <c:pt idx="237">
                  <c:v>0.20697755624177352</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numCache>
            </c:numRef>
          </c:val>
          <c:extLst>
            <c:ext xmlns:c16="http://schemas.microsoft.com/office/drawing/2014/chart" uri="{C3380CC4-5D6E-409C-BE32-E72D297353CC}">
              <c16:uniqueId val="{00000000-ACA4-42F2-AF4F-DF9CBA922816}"/>
            </c:ext>
          </c:extLst>
        </c:ser>
        <c:dLbls>
          <c:showLegendKey val="0"/>
          <c:showVal val="0"/>
          <c:showCatName val="0"/>
          <c:showSerName val="0"/>
          <c:showPercent val="0"/>
          <c:showBubbleSize val="0"/>
        </c:dLbls>
        <c:gapWidth val="0"/>
        <c:axId val="247937903"/>
        <c:axId val="31931263"/>
      </c:barChart>
      <c:lineChart>
        <c:grouping val="standard"/>
        <c:varyColors val="0"/>
        <c:ser>
          <c:idx val="0"/>
          <c:order val="0"/>
          <c:tx>
            <c:strRef>
              <c:f>BeskrivendeStatistik!$BI$10</c:f>
              <c:strCache>
                <c:ptCount val="1"/>
                <c:pt idx="0">
                  <c:v>Normalfordeling (1.854 ; 4.307)</c:v>
                </c:pt>
              </c:strCache>
            </c:strRef>
          </c:tx>
          <c:spPr>
            <a:ln w="28575" cap="rnd">
              <a:solidFill>
                <a:sysClr val="windowText" lastClr="000000"/>
              </a:solidFill>
              <a:round/>
            </a:ln>
            <a:effectLst/>
          </c:spPr>
          <c:marker>
            <c:symbol val="none"/>
          </c:marker>
          <c:dLbls>
            <c:dLbl>
              <c:idx val="0"/>
              <c:tx>
                <c:rich>
                  <a:bodyPr/>
                  <a:lstStyle/>
                  <a:p>
                    <a:fld id="{CE892F54-6287-43B8-A8EC-D1BA8BF7BF6D}" type="CELLRANGE">
                      <a:rPr lang="el-GR"/>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ACA4-42F2-AF4F-DF9CBA922816}"/>
                </c:ext>
              </c:extLst>
            </c:dLbl>
            <c:dLbl>
              <c:idx val="1"/>
              <c:tx>
                <c:rich>
                  <a:bodyPr/>
                  <a:lstStyle/>
                  <a:p>
                    <a:fld id="{C58164B3-EA6B-4415-A847-AF1B6CE5B14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ACA4-42F2-AF4F-DF9CBA922816}"/>
                </c:ext>
              </c:extLst>
            </c:dLbl>
            <c:dLbl>
              <c:idx val="2"/>
              <c:tx>
                <c:rich>
                  <a:bodyPr/>
                  <a:lstStyle/>
                  <a:p>
                    <a:fld id="{E92E3637-8608-4112-A68E-E77B3D2986A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ACA4-42F2-AF4F-DF9CBA922816}"/>
                </c:ext>
              </c:extLst>
            </c:dLbl>
            <c:dLbl>
              <c:idx val="3"/>
              <c:tx>
                <c:rich>
                  <a:bodyPr/>
                  <a:lstStyle/>
                  <a:p>
                    <a:fld id="{0A672C8D-C514-4D18-B4F5-511B71A8377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ACA4-42F2-AF4F-DF9CBA922816}"/>
                </c:ext>
              </c:extLst>
            </c:dLbl>
            <c:dLbl>
              <c:idx val="4"/>
              <c:tx>
                <c:rich>
                  <a:bodyPr/>
                  <a:lstStyle/>
                  <a:p>
                    <a:fld id="{C4125401-7EB0-421F-B9E8-EBFE2C6E8E0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ACA4-42F2-AF4F-DF9CBA922816}"/>
                </c:ext>
              </c:extLst>
            </c:dLbl>
            <c:dLbl>
              <c:idx val="5"/>
              <c:tx>
                <c:rich>
                  <a:bodyPr/>
                  <a:lstStyle/>
                  <a:p>
                    <a:fld id="{F2E697F9-B817-4792-BEB5-33E7241A09B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ACA4-42F2-AF4F-DF9CBA922816}"/>
                </c:ext>
              </c:extLst>
            </c:dLbl>
            <c:dLbl>
              <c:idx val="6"/>
              <c:tx>
                <c:rich>
                  <a:bodyPr/>
                  <a:lstStyle/>
                  <a:p>
                    <a:fld id="{A6536971-9BEF-4CB8-B602-61AE4A95FDB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ACA4-42F2-AF4F-DF9CBA922816}"/>
                </c:ext>
              </c:extLst>
            </c:dLbl>
            <c:dLbl>
              <c:idx val="7"/>
              <c:tx>
                <c:rich>
                  <a:bodyPr/>
                  <a:lstStyle/>
                  <a:p>
                    <a:fld id="{FBE0C714-4199-4B41-A1EE-BBB7EAAB5C3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ACA4-42F2-AF4F-DF9CBA922816}"/>
                </c:ext>
              </c:extLst>
            </c:dLbl>
            <c:dLbl>
              <c:idx val="8"/>
              <c:tx>
                <c:rich>
                  <a:bodyPr/>
                  <a:lstStyle/>
                  <a:p>
                    <a:fld id="{80E0274D-5B95-4ECB-B2D0-DB4760AFACB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ACA4-42F2-AF4F-DF9CBA922816}"/>
                </c:ext>
              </c:extLst>
            </c:dLbl>
            <c:dLbl>
              <c:idx val="9"/>
              <c:tx>
                <c:rich>
                  <a:bodyPr/>
                  <a:lstStyle/>
                  <a:p>
                    <a:fld id="{B5A9AE67-3622-41A5-BC51-2AF0691C8F6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ACA4-42F2-AF4F-DF9CBA922816}"/>
                </c:ext>
              </c:extLst>
            </c:dLbl>
            <c:dLbl>
              <c:idx val="10"/>
              <c:tx>
                <c:rich>
                  <a:bodyPr/>
                  <a:lstStyle/>
                  <a:p>
                    <a:fld id="{E03EA51A-3EBB-4048-8AA4-072FD4683F8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ACA4-42F2-AF4F-DF9CBA922816}"/>
                </c:ext>
              </c:extLst>
            </c:dLbl>
            <c:dLbl>
              <c:idx val="11"/>
              <c:tx>
                <c:rich>
                  <a:bodyPr/>
                  <a:lstStyle/>
                  <a:p>
                    <a:fld id="{4D34ACF2-5261-42A7-A9F2-95F4C2C6909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ACA4-42F2-AF4F-DF9CBA922816}"/>
                </c:ext>
              </c:extLst>
            </c:dLbl>
            <c:dLbl>
              <c:idx val="12"/>
              <c:tx>
                <c:rich>
                  <a:bodyPr/>
                  <a:lstStyle/>
                  <a:p>
                    <a:fld id="{3A620571-F3E7-46DA-95BD-4A39E537AC5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ACA4-42F2-AF4F-DF9CBA922816}"/>
                </c:ext>
              </c:extLst>
            </c:dLbl>
            <c:dLbl>
              <c:idx val="13"/>
              <c:tx>
                <c:rich>
                  <a:bodyPr/>
                  <a:lstStyle/>
                  <a:p>
                    <a:fld id="{8F2E6383-AE2A-4875-A2F1-C982267D24E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ACA4-42F2-AF4F-DF9CBA922816}"/>
                </c:ext>
              </c:extLst>
            </c:dLbl>
            <c:dLbl>
              <c:idx val="14"/>
              <c:tx>
                <c:rich>
                  <a:bodyPr/>
                  <a:lstStyle/>
                  <a:p>
                    <a:fld id="{FDA78FE1-23F1-47A2-8ED6-CA0BD9EE86F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ACA4-42F2-AF4F-DF9CBA922816}"/>
                </c:ext>
              </c:extLst>
            </c:dLbl>
            <c:dLbl>
              <c:idx val="15"/>
              <c:tx>
                <c:rich>
                  <a:bodyPr/>
                  <a:lstStyle/>
                  <a:p>
                    <a:fld id="{3457FA78-262A-4E38-8707-8630CCBB620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ACA4-42F2-AF4F-DF9CBA922816}"/>
                </c:ext>
              </c:extLst>
            </c:dLbl>
            <c:dLbl>
              <c:idx val="16"/>
              <c:tx>
                <c:rich>
                  <a:bodyPr/>
                  <a:lstStyle/>
                  <a:p>
                    <a:fld id="{7D92AF1E-3E0F-4D11-8AD9-8C082375299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ACA4-42F2-AF4F-DF9CBA922816}"/>
                </c:ext>
              </c:extLst>
            </c:dLbl>
            <c:dLbl>
              <c:idx val="17"/>
              <c:tx>
                <c:rich>
                  <a:bodyPr/>
                  <a:lstStyle/>
                  <a:p>
                    <a:fld id="{2ADE7F7C-345A-465B-AC5D-0D7700F6581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ACA4-42F2-AF4F-DF9CBA922816}"/>
                </c:ext>
              </c:extLst>
            </c:dLbl>
            <c:dLbl>
              <c:idx val="18"/>
              <c:tx>
                <c:rich>
                  <a:bodyPr/>
                  <a:lstStyle/>
                  <a:p>
                    <a:fld id="{2ADC3C55-916B-426E-A386-55B611B5205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ACA4-42F2-AF4F-DF9CBA922816}"/>
                </c:ext>
              </c:extLst>
            </c:dLbl>
            <c:dLbl>
              <c:idx val="19"/>
              <c:tx>
                <c:rich>
                  <a:bodyPr/>
                  <a:lstStyle/>
                  <a:p>
                    <a:fld id="{8F3DB8BD-1192-4D66-8CDF-6ECF9D0C937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ACA4-42F2-AF4F-DF9CBA922816}"/>
                </c:ext>
              </c:extLst>
            </c:dLbl>
            <c:dLbl>
              <c:idx val="20"/>
              <c:tx>
                <c:rich>
                  <a:bodyPr/>
                  <a:lstStyle/>
                  <a:p>
                    <a:fld id="{96C5D0DA-F06B-48E8-97DA-D56555B01DA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ACA4-42F2-AF4F-DF9CBA922816}"/>
                </c:ext>
              </c:extLst>
            </c:dLbl>
            <c:dLbl>
              <c:idx val="21"/>
              <c:tx>
                <c:rich>
                  <a:bodyPr/>
                  <a:lstStyle/>
                  <a:p>
                    <a:fld id="{832776DD-08DB-4D70-9124-59976121D60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ACA4-42F2-AF4F-DF9CBA922816}"/>
                </c:ext>
              </c:extLst>
            </c:dLbl>
            <c:dLbl>
              <c:idx val="22"/>
              <c:tx>
                <c:rich>
                  <a:bodyPr/>
                  <a:lstStyle/>
                  <a:p>
                    <a:fld id="{EC28E2ED-C29F-4E28-8D64-4779EA2238B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ACA4-42F2-AF4F-DF9CBA922816}"/>
                </c:ext>
              </c:extLst>
            </c:dLbl>
            <c:dLbl>
              <c:idx val="23"/>
              <c:tx>
                <c:rich>
                  <a:bodyPr/>
                  <a:lstStyle/>
                  <a:p>
                    <a:fld id="{E4A18F49-E436-4EF8-A44D-15A380484E2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ACA4-42F2-AF4F-DF9CBA922816}"/>
                </c:ext>
              </c:extLst>
            </c:dLbl>
            <c:dLbl>
              <c:idx val="24"/>
              <c:tx>
                <c:rich>
                  <a:bodyPr/>
                  <a:lstStyle/>
                  <a:p>
                    <a:fld id="{16C8D571-0E5E-461B-A351-AB5C4959FE8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ACA4-42F2-AF4F-DF9CBA922816}"/>
                </c:ext>
              </c:extLst>
            </c:dLbl>
            <c:dLbl>
              <c:idx val="25"/>
              <c:tx>
                <c:rich>
                  <a:bodyPr/>
                  <a:lstStyle/>
                  <a:p>
                    <a:fld id="{FBD0CD2F-8256-4B0E-9D0E-3BAF0B6297B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ACA4-42F2-AF4F-DF9CBA922816}"/>
                </c:ext>
              </c:extLst>
            </c:dLbl>
            <c:dLbl>
              <c:idx val="26"/>
              <c:tx>
                <c:rich>
                  <a:bodyPr/>
                  <a:lstStyle/>
                  <a:p>
                    <a:fld id="{C406A549-EE7C-418E-B60E-CCA88B2112A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ACA4-42F2-AF4F-DF9CBA922816}"/>
                </c:ext>
              </c:extLst>
            </c:dLbl>
            <c:dLbl>
              <c:idx val="27"/>
              <c:tx>
                <c:rich>
                  <a:bodyPr/>
                  <a:lstStyle/>
                  <a:p>
                    <a:fld id="{EA87F1A1-CBFB-45F2-BB55-4047E7C0E22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ACA4-42F2-AF4F-DF9CBA922816}"/>
                </c:ext>
              </c:extLst>
            </c:dLbl>
            <c:dLbl>
              <c:idx val="28"/>
              <c:tx>
                <c:rich>
                  <a:bodyPr/>
                  <a:lstStyle/>
                  <a:p>
                    <a:fld id="{DE53044A-2BDA-4D55-856F-1784507EFFA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ACA4-42F2-AF4F-DF9CBA922816}"/>
                </c:ext>
              </c:extLst>
            </c:dLbl>
            <c:dLbl>
              <c:idx val="29"/>
              <c:tx>
                <c:rich>
                  <a:bodyPr/>
                  <a:lstStyle/>
                  <a:p>
                    <a:fld id="{059F417B-5AA1-4977-BA5C-3816F6FFDF8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ACA4-42F2-AF4F-DF9CBA922816}"/>
                </c:ext>
              </c:extLst>
            </c:dLbl>
            <c:dLbl>
              <c:idx val="30"/>
              <c:tx>
                <c:rich>
                  <a:bodyPr/>
                  <a:lstStyle/>
                  <a:p>
                    <a:fld id="{BA37D09A-8F62-4BEA-98E6-F3FB21DBCF4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ACA4-42F2-AF4F-DF9CBA922816}"/>
                </c:ext>
              </c:extLst>
            </c:dLbl>
            <c:dLbl>
              <c:idx val="31"/>
              <c:tx>
                <c:rich>
                  <a:bodyPr/>
                  <a:lstStyle/>
                  <a:p>
                    <a:fld id="{BAE8FEB7-7D0E-405C-828B-966B0DD4E63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ACA4-42F2-AF4F-DF9CBA922816}"/>
                </c:ext>
              </c:extLst>
            </c:dLbl>
            <c:dLbl>
              <c:idx val="32"/>
              <c:tx>
                <c:rich>
                  <a:bodyPr/>
                  <a:lstStyle/>
                  <a:p>
                    <a:fld id="{8C240222-4614-4280-8A96-5121C72B952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ACA4-42F2-AF4F-DF9CBA922816}"/>
                </c:ext>
              </c:extLst>
            </c:dLbl>
            <c:dLbl>
              <c:idx val="33"/>
              <c:tx>
                <c:rich>
                  <a:bodyPr/>
                  <a:lstStyle/>
                  <a:p>
                    <a:fld id="{B5DD3F1D-50A3-47CD-A292-73908D85779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ACA4-42F2-AF4F-DF9CBA922816}"/>
                </c:ext>
              </c:extLst>
            </c:dLbl>
            <c:dLbl>
              <c:idx val="34"/>
              <c:tx>
                <c:rich>
                  <a:bodyPr/>
                  <a:lstStyle/>
                  <a:p>
                    <a:fld id="{41549A70-C9E2-47D9-861E-AA4C1B1C4830}"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ACA4-42F2-AF4F-DF9CBA922816}"/>
                </c:ext>
              </c:extLst>
            </c:dLbl>
            <c:dLbl>
              <c:idx val="35"/>
              <c:tx>
                <c:rich>
                  <a:bodyPr/>
                  <a:lstStyle/>
                  <a:p>
                    <a:fld id="{50F0AC71-B87C-4871-80A5-39422BA4926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ACA4-42F2-AF4F-DF9CBA922816}"/>
                </c:ext>
              </c:extLst>
            </c:dLbl>
            <c:dLbl>
              <c:idx val="36"/>
              <c:tx>
                <c:rich>
                  <a:bodyPr/>
                  <a:lstStyle/>
                  <a:p>
                    <a:fld id="{A8D42630-7317-4B78-B70C-41D386C4BC0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ACA4-42F2-AF4F-DF9CBA922816}"/>
                </c:ext>
              </c:extLst>
            </c:dLbl>
            <c:dLbl>
              <c:idx val="37"/>
              <c:tx>
                <c:rich>
                  <a:bodyPr/>
                  <a:lstStyle/>
                  <a:p>
                    <a:fld id="{F78118DA-B396-4065-9C9C-3D1FCA0E625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ACA4-42F2-AF4F-DF9CBA922816}"/>
                </c:ext>
              </c:extLst>
            </c:dLbl>
            <c:dLbl>
              <c:idx val="38"/>
              <c:tx>
                <c:rich>
                  <a:bodyPr/>
                  <a:lstStyle/>
                  <a:p>
                    <a:fld id="{7B3D702C-F7C0-45E8-8D18-A4DA98A79A2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ACA4-42F2-AF4F-DF9CBA922816}"/>
                </c:ext>
              </c:extLst>
            </c:dLbl>
            <c:dLbl>
              <c:idx val="39"/>
              <c:tx>
                <c:rich>
                  <a:bodyPr/>
                  <a:lstStyle/>
                  <a:p>
                    <a:fld id="{4920B9A6-7E9E-4618-AAC1-9CAEAAC2852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ACA4-42F2-AF4F-DF9CBA922816}"/>
                </c:ext>
              </c:extLst>
            </c:dLbl>
            <c:dLbl>
              <c:idx val="40"/>
              <c:tx>
                <c:rich>
                  <a:bodyPr/>
                  <a:lstStyle/>
                  <a:p>
                    <a:fld id="{4569298B-D113-4689-904F-AF6F07CBABA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ACA4-42F2-AF4F-DF9CBA922816}"/>
                </c:ext>
              </c:extLst>
            </c:dLbl>
            <c:dLbl>
              <c:idx val="41"/>
              <c:tx>
                <c:rich>
                  <a:bodyPr/>
                  <a:lstStyle/>
                  <a:p>
                    <a:fld id="{CD1A76AD-DF35-4955-B5DE-F2F2E50AA920}"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ACA4-42F2-AF4F-DF9CBA922816}"/>
                </c:ext>
              </c:extLst>
            </c:dLbl>
            <c:dLbl>
              <c:idx val="42"/>
              <c:tx>
                <c:rich>
                  <a:bodyPr/>
                  <a:lstStyle/>
                  <a:p>
                    <a:fld id="{944FE2D5-26F4-483F-8E85-FCF08C12694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ACA4-42F2-AF4F-DF9CBA922816}"/>
                </c:ext>
              </c:extLst>
            </c:dLbl>
            <c:dLbl>
              <c:idx val="43"/>
              <c:tx>
                <c:rich>
                  <a:bodyPr/>
                  <a:lstStyle/>
                  <a:p>
                    <a:fld id="{B19C7D35-1EB7-4E27-B712-3E17ED84B83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ACA4-42F2-AF4F-DF9CBA922816}"/>
                </c:ext>
              </c:extLst>
            </c:dLbl>
            <c:dLbl>
              <c:idx val="44"/>
              <c:tx>
                <c:rich>
                  <a:bodyPr/>
                  <a:lstStyle/>
                  <a:p>
                    <a:fld id="{2C3A8891-2CF6-462C-B656-A08F9E3E5F4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ACA4-42F2-AF4F-DF9CBA922816}"/>
                </c:ext>
              </c:extLst>
            </c:dLbl>
            <c:dLbl>
              <c:idx val="45"/>
              <c:tx>
                <c:rich>
                  <a:bodyPr/>
                  <a:lstStyle/>
                  <a:p>
                    <a:fld id="{5DBE8563-C830-4124-BA31-C9E7D294B3E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ACA4-42F2-AF4F-DF9CBA922816}"/>
                </c:ext>
              </c:extLst>
            </c:dLbl>
            <c:dLbl>
              <c:idx val="46"/>
              <c:tx>
                <c:rich>
                  <a:bodyPr/>
                  <a:lstStyle/>
                  <a:p>
                    <a:fld id="{1C5F1A9E-6702-4A0A-9350-7598FB02AC5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ACA4-42F2-AF4F-DF9CBA922816}"/>
                </c:ext>
              </c:extLst>
            </c:dLbl>
            <c:dLbl>
              <c:idx val="47"/>
              <c:tx>
                <c:rich>
                  <a:bodyPr/>
                  <a:lstStyle/>
                  <a:p>
                    <a:fld id="{83A2D25D-4135-4B28-8196-AA7B5743B2E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0-ACA4-42F2-AF4F-DF9CBA922816}"/>
                </c:ext>
              </c:extLst>
            </c:dLbl>
            <c:dLbl>
              <c:idx val="48"/>
              <c:tx>
                <c:rich>
                  <a:bodyPr/>
                  <a:lstStyle/>
                  <a:p>
                    <a:fld id="{608665A5-7962-48DC-B568-2F49F194C590}"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ACA4-42F2-AF4F-DF9CBA922816}"/>
                </c:ext>
              </c:extLst>
            </c:dLbl>
            <c:dLbl>
              <c:idx val="49"/>
              <c:tx>
                <c:rich>
                  <a:bodyPr/>
                  <a:lstStyle/>
                  <a:p>
                    <a:fld id="{D0229B9C-A318-4159-9401-915B784F0CF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2-ACA4-42F2-AF4F-DF9CBA922816}"/>
                </c:ext>
              </c:extLst>
            </c:dLbl>
            <c:dLbl>
              <c:idx val="50"/>
              <c:tx>
                <c:rich>
                  <a:bodyPr/>
                  <a:lstStyle/>
                  <a:p>
                    <a:fld id="{5E28726A-910E-422E-A4BD-1B9BFF5A343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ACA4-42F2-AF4F-DF9CBA922816}"/>
                </c:ext>
              </c:extLst>
            </c:dLbl>
            <c:dLbl>
              <c:idx val="51"/>
              <c:tx>
                <c:rich>
                  <a:bodyPr/>
                  <a:lstStyle/>
                  <a:p>
                    <a:fld id="{462C1BF8-5261-4B40-BD13-6EC4F3872AF0}"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4-ACA4-42F2-AF4F-DF9CBA922816}"/>
                </c:ext>
              </c:extLst>
            </c:dLbl>
            <c:dLbl>
              <c:idx val="52"/>
              <c:tx>
                <c:rich>
                  <a:bodyPr/>
                  <a:lstStyle/>
                  <a:p>
                    <a:fld id="{D3FFEB82-51D3-4000-BA1B-CCEB0A1B830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ACA4-42F2-AF4F-DF9CBA922816}"/>
                </c:ext>
              </c:extLst>
            </c:dLbl>
            <c:dLbl>
              <c:idx val="53"/>
              <c:tx>
                <c:rich>
                  <a:bodyPr/>
                  <a:lstStyle/>
                  <a:p>
                    <a:fld id="{5D096D8E-875A-4F0C-955A-6671E3AC144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6-ACA4-42F2-AF4F-DF9CBA922816}"/>
                </c:ext>
              </c:extLst>
            </c:dLbl>
            <c:dLbl>
              <c:idx val="54"/>
              <c:tx>
                <c:rich>
                  <a:bodyPr/>
                  <a:lstStyle/>
                  <a:p>
                    <a:fld id="{D7ADB8E6-99E3-4306-A724-01A17A948D6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7-ACA4-42F2-AF4F-DF9CBA922816}"/>
                </c:ext>
              </c:extLst>
            </c:dLbl>
            <c:dLbl>
              <c:idx val="55"/>
              <c:tx>
                <c:rich>
                  <a:bodyPr/>
                  <a:lstStyle/>
                  <a:p>
                    <a:fld id="{84193D7C-160D-41FC-9991-67367F75735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8-ACA4-42F2-AF4F-DF9CBA922816}"/>
                </c:ext>
              </c:extLst>
            </c:dLbl>
            <c:dLbl>
              <c:idx val="56"/>
              <c:tx>
                <c:rich>
                  <a:bodyPr/>
                  <a:lstStyle/>
                  <a:p>
                    <a:fld id="{FD1BF953-7CC7-4E9B-859B-0B23FC0C40C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9-ACA4-42F2-AF4F-DF9CBA922816}"/>
                </c:ext>
              </c:extLst>
            </c:dLbl>
            <c:dLbl>
              <c:idx val="57"/>
              <c:tx>
                <c:rich>
                  <a:bodyPr/>
                  <a:lstStyle/>
                  <a:p>
                    <a:fld id="{A3D950CF-AD4B-4B36-8AD2-4D2624C770C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A-ACA4-42F2-AF4F-DF9CBA922816}"/>
                </c:ext>
              </c:extLst>
            </c:dLbl>
            <c:dLbl>
              <c:idx val="58"/>
              <c:tx>
                <c:rich>
                  <a:bodyPr/>
                  <a:lstStyle/>
                  <a:p>
                    <a:fld id="{4816543A-D788-41C8-9889-699F8753F84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B-ACA4-42F2-AF4F-DF9CBA922816}"/>
                </c:ext>
              </c:extLst>
            </c:dLbl>
            <c:dLbl>
              <c:idx val="59"/>
              <c:tx>
                <c:rich>
                  <a:bodyPr/>
                  <a:lstStyle/>
                  <a:p>
                    <a:fld id="{A774C06E-845B-44E0-9E57-8391D46C290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C-ACA4-42F2-AF4F-DF9CBA922816}"/>
                </c:ext>
              </c:extLst>
            </c:dLbl>
            <c:dLbl>
              <c:idx val="60"/>
              <c:tx>
                <c:rich>
                  <a:bodyPr/>
                  <a:lstStyle/>
                  <a:p>
                    <a:fld id="{0960A9A6-9C9F-4625-A807-DA1AA2F611D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D-ACA4-42F2-AF4F-DF9CBA922816}"/>
                </c:ext>
              </c:extLst>
            </c:dLbl>
            <c:dLbl>
              <c:idx val="61"/>
              <c:tx>
                <c:rich>
                  <a:bodyPr/>
                  <a:lstStyle/>
                  <a:p>
                    <a:fld id="{7E5357D9-FEC3-435F-9D77-FFE2E2AE702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E-ACA4-42F2-AF4F-DF9CBA922816}"/>
                </c:ext>
              </c:extLst>
            </c:dLbl>
            <c:dLbl>
              <c:idx val="62"/>
              <c:tx>
                <c:rich>
                  <a:bodyPr/>
                  <a:lstStyle/>
                  <a:p>
                    <a:fld id="{A37C1546-2316-442D-977B-7A2E2C57874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F-ACA4-42F2-AF4F-DF9CBA922816}"/>
                </c:ext>
              </c:extLst>
            </c:dLbl>
            <c:dLbl>
              <c:idx val="63"/>
              <c:tx>
                <c:rich>
                  <a:bodyPr/>
                  <a:lstStyle/>
                  <a:p>
                    <a:fld id="{41A7E74E-5137-4871-BD42-B731F13F325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0-ACA4-42F2-AF4F-DF9CBA922816}"/>
                </c:ext>
              </c:extLst>
            </c:dLbl>
            <c:dLbl>
              <c:idx val="64"/>
              <c:tx>
                <c:rich>
                  <a:bodyPr/>
                  <a:lstStyle/>
                  <a:p>
                    <a:fld id="{5C32C8C4-2FE6-4492-A895-6604AB0DB5A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1-ACA4-42F2-AF4F-DF9CBA922816}"/>
                </c:ext>
              </c:extLst>
            </c:dLbl>
            <c:dLbl>
              <c:idx val="65"/>
              <c:tx>
                <c:rich>
                  <a:bodyPr/>
                  <a:lstStyle/>
                  <a:p>
                    <a:fld id="{EF3B65BD-FF29-429A-A351-CDFE248656F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2-ACA4-42F2-AF4F-DF9CBA922816}"/>
                </c:ext>
              </c:extLst>
            </c:dLbl>
            <c:dLbl>
              <c:idx val="66"/>
              <c:tx>
                <c:rich>
                  <a:bodyPr/>
                  <a:lstStyle/>
                  <a:p>
                    <a:fld id="{012A1863-B16C-4DDB-A7B1-BBB4F5EA16E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3-ACA4-42F2-AF4F-DF9CBA922816}"/>
                </c:ext>
              </c:extLst>
            </c:dLbl>
            <c:dLbl>
              <c:idx val="67"/>
              <c:tx>
                <c:rich>
                  <a:bodyPr/>
                  <a:lstStyle/>
                  <a:p>
                    <a:fld id="{411BDF6F-6DB4-461C-A938-2DE050C1C1A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4-ACA4-42F2-AF4F-DF9CBA922816}"/>
                </c:ext>
              </c:extLst>
            </c:dLbl>
            <c:dLbl>
              <c:idx val="68"/>
              <c:tx>
                <c:rich>
                  <a:bodyPr/>
                  <a:lstStyle/>
                  <a:p>
                    <a:fld id="{78E1CD4B-E5D7-4A81-9134-E3B30527A15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5-ACA4-42F2-AF4F-DF9CBA922816}"/>
                </c:ext>
              </c:extLst>
            </c:dLbl>
            <c:dLbl>
              <c:idx val="69"/>
              <c:tx>
                <c:rich>
                  <a:bodyPr/>
                  <a:lstStyle/>
                  <a:p>
                    <a:fld id="{5ED72861-9383-4BD0-8849-8D415D1FCB8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6-ACA4-42F2-AF4F-DF9CBA922816}"/>
                </c:ext>
              </c:extLst>
            </c:dLbl>
            <c:dLbl>
              <c:idx val="70"/>
              <c:tx>
                <c:rich>
                  <a:bodyPr/>
                  <a:lstStyle/>
                  <a:p>
                    <a:fld id="{5D730308-E3DB-4047-81FE-0C611641CC3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7-ACA4-42F2-AF4F-DF9CBA922816}"/>
                </c:ext>
              </c:extLst>
            </c:dLbl>
            <c:dLbl>
              <c:idx val="71"/>
              <c:tx>
                <c:rich>
                  <a:bodyPr/>
                  <a:lstStyle/>
                  <a:p>
                    <a:fld id="{14EAE721-04F8-4BF5-947D-400BB74D5BA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8-ACA4-42F2-AF4F-DF9CBA922816}"/>
                </c:ext>
              </c:extLst>
            </c:dLbl>
            <c:dLbl>
              <c:idx val="72"/>
              <c:tx>
                <c:rich>
                  <a:bodyPr/>
                  <a:lstStyle/>
                  <a:p>
                    <a:fld id="{35E49696-1508-424B-BDDB-49ECDA01229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9-ACA4-42F2-AF4F-DF9CBA922816}"/>
                </c:ext>
              </c:extLst>
            </c:dLbl>
            <c:dLbl>
              <c:idx val="73"/>
              <c:tx>
                <c:rich>
                  <a:bodyPr/>
                  <a:lstStyle/>
                  <a:p>
                    <a:fld id="{CB7B12D4-60F2-4558-A9E9-BB5A66199AD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A-ACA4-42F2-AF4F-DF9CBA922816}"/>
                </c:ext>
              </c:extLst>
            </c:dLbl>
            <c:dLbl>
              <c:idx val="74"/>
              <c:tx>
                <c:rich>
                  <a:bodyPr/>
                  <a:lstStyle/>
                  <a:p>
                    <a:fld id="{B1680A9B-FF3A-4464-8DDA-4DD44FBCAD5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B-ACA4-42F2-AF4F-DF9CBA922816}"/>
                </c:ext>
              </c:extLst>
            </c:dLbl>
            <c:dLbl>
              <c:idx val="75"/>
              <c:tx>
                <c:rich>
                  <a:bodyPr/>
                  <a:lstStyle/>
                  <a:p>
                    <a:fld id="{3BAB9941-7FDE-4654-B1AE-C667ADF38B9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C-ACA4-42F2-AF4F-DF9CBA922816}"/>
                </c:ext>
              </c:extLst>
            </c:dLbl>
            <c:dLbl>
              <c:idx val="76"/>
              <c:tx>
                <c:rich>
                  <a:bodyPr/>
                  <a:lstStyle/>
                  <a:p>
                    <a:fld id="{AB3CCD70-0751-4A16-9DD0-6993E7E2E50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D-ACA4-42F2-AF4F-DF9CBA922816}"/>
                </c:ext>
              </c:extLst>
            </c:dLbl>
            <c:dLbl>
              <c:idx val="77"/>
              <c:tx>
                <c:rich>
                  <a:bodyPr/>
                  <a:lstStyle/>
                  <a:p>
                    <a:fld id="{DBF6E955-2909-462D-A504-D7BF011ACA6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E-ACA4-42F2-AF4F-DF9CBA922816}"/>
                </c:ext>
              </c:extLst>
            </c:dLbl>
            <c:dLbl>
              <c:idx val="78"/>
              <c:tx>
                <c:rich>
                  <a:bodyPr/>
                  <a:lstStyle/>
                  <a:p>
                    <a:fld id="{4F5A691C-62B9-4D34-B997-C36BFBD1132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F-ACA4-42F2-AF4F-DF9CBA922816}"/>
                </c:ext>
              </c:extLst>
            </c:dLbl>
            <c:dLbl>
              <c:idx val="79"/>
              <c:tx>
                <c:rich>
                  <a:bodyPr/>
                  <a:lstStyle/>
                  <a:p>
                    <a:fld id="{78EB6E92-B081-4A61-BA6B-C08560B8B64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0-ACA4-42F2-AF4F-DF9CBA922816}"/>
                </c:ext>
              </c:extLst>
            </c:dLbl>
            <c:dLbl>
              <c:idx val="80"/>
              <c:tx>
                <c:rich>
                  <a:bodyPr/>
                  <a:lstStyle/>
                  <a:p>
                    <a:fld id="{ACB9B269-E24E-42D8-81C8-3064009F8BA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1-ACA4-42F2-AF4F-DF9CBA922816}"/>
                </c:ext>
              </c:extLst>
            </c:dLbl>
            <c:dLbl>
              <c:idx val="81"/>
              <c:tx>
                <c:rich>
                  <a:bodyPr/>
                  <a:lstStyle/>
                  <a:p>
                    <a:fld id="{678F1FE8-E49B-4F9E-9653-74D66039E1F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2-ACA4-42F2-AF4F-DF9CBA922816}"/>
                </c:ext>
              </c:extLst>
            </c:dLbl>
            <c:dLbl>
              <c:idx val="82"/>
              <c:tx>
                <c:rich>
                  <a:bodyPr/>
                  <a:lstStyle/>
                  <a:p>
                    <a:fld id="{47125E1A-F167-4F47-88BD-397B6035B3B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3-ACA4-42F2-AF4F-DF9CBA922816}"/>
                </c:ext>
              </c:extLst>
            </c:dLbl>
            <c:dLbl>
              <c:idx val="83"/>
              <c:tx>
                <c:rich>
                  <a:bodyPr/>
                  <a:lstStyle/>
                  <a:p>
                    <a:fld id="{24453B88-28DE-46BB-B449-36C697EAA82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4-ACA4-42F2-AF4F-DF9CBA922816}"/>
                </c:ext>
              </c:extLst>
            </c:dLbl>
            <c:dLbl>
              <c:idx val="84"/>
              <c:tx>
                <c:rich>
                  <a:bodyPr/>
                  <a:lstStyle/>
                  <a:p>
                    <a:fld id="{D1EBED77-39D6-40D3-840B-22F0087AC03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5-ACA4-42F2-AF4F-DF9CBA922816}"/>
                </c:ext>
              </c:extLst>
            </c:dLbl>
            <c:dLbl>
              <c:idx val="85"/>
              <c:tx>
                <c:rich>
                  <a:bodyPr/>
                  <a:lstStyle/>
                  <a:p>
                    <a:fld id="{CFB7ED57-6199-484A-8710-B78AB3336D9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6-ACA4-42F2-AF4F-DF9CBA922816}"/>
                </c:ext>
              </c:extLst>
            </c:dLbl>
            <c:dLbl>
              <c:idx val="86"/>
              <c:tx>
                <c:rich>
                  <a:bodyPr/>
                  <a:lstStyle/>
                  <a:p>
                    <a:fld id="{5E35FF4F-09A8-4CFF-B275-132620B9C59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7-ACA4-42F2-AF4F-DF9CBA922816}"/>
                </c:ext>
              </c:extLst>
            </c:dLbl>
            <c:dLbl>
              <c:idx val="87"/>
              <c:tx>
                <c:rich>
                  <a:bodyPr/>
                  <a:lstStyle/>
                  <a:p>
                    <a:fld id="{57EB8F2F-264B-4D36-865D-431E4167D07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8-ACA4-42F2-AF4F-DF9CBA922816}"/>
                </c:ext>
              </c:extLst>
            </c:dLbl>
            <c:dLbl>
              <c:idx val="88"/>
              <c:tx>
                <c:rich>
                  <a:bodyPr/>
                  <a:lstStyle/>
                  <a:p>
                    <a:fld id="{CC3C58A6-924C-4975-973C-1180EB91A8C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9-ACA4-42F2-AF4F-DF9CBA922816}"/>
                </c:ext>
              </c:extLst>
            </c:dLbl>
            <c:dLbl>
              <c:idx val="89"/>
              <c:tx>
                <c:rich>
                  <a:bodyPr/>
                  <a:lstStyle/>
                  <a:p>
                    <a:fld id="{62196FDC-F80E-482F-8706-AC04C4F2953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A-ACA4-42F2-AF4F-DF9CBA922816}"/>
                </c:ext>
              </c:extLst>
            </c:dLbl>
            <c:dLbl>
              <c:idx val="90"/>
              <c:tx>
                <c:rich>
                  <a:bodyPr/>
                  <a:lstStyle/>
                  <a:p>
                    <a:fld id="{E3BD8F77-F5FE-40D9-A559-9EFB3395DAC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B-ACA4-42F2-AF4F-DF9CBA922816}"/>
                </c:ext>
              </c:extLst>
            </c:dLbl>
            <c:dLbl>
              <c:idx val="91"/>
              <c:tx>
                <c:rich>
                  <a:bodyPr/>
                  <a:lstStyle/>
                  <a:p>
                    <a:fld id="{A91F9319-1E19-4ADE-A63C-DD8712E690E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C-ACA4-42F2-AF4F-DF9CBA922816}"/>
                </c:ext>
              </c:extLst>
            </c:dLbl>
            <c:dLbl>
              <c:idx val="92"/>
              <c:tx>
                <c:rich>
                  <a:bodyPr/>
                  <a:lstStyle/>
                  <a:p>
                    <a:fld id="{B7DC98AE-5240-499E-BE63-44D71265018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D-ACA4-42F2-AF4F-DF9CBA922816}"/>
                </c:ext>
              </c:extLst>
            </c:dLbl>
            <c:dLbl>
              <c:idx val="93"/>
              <c:tx>
                <c:rich>
                  <a:bodyPr/>
                  <a:lstStyle/>
                  <a:p>
                    <a:fld id="{DCDF2B95-B365-4DDA-94BA-11DAD68A73A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E-ACA4-42F2-AF4F-DF9CBA922816}"/>
                </c:ext>
              </c:extLst>
            </c:dLbl>
            <c:dLbl>
              <c:idx val="94"/>
              <c:tx>
                <c:rich>
                  <a:bodyPr/>
                  <a:lstStyle/>
                  <a:p>
                    <a:fld id="{178682F1-E74D-4CD3-8C25-FC214666EF30}"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F-ACA4-42F2-AF4F-DF9CBA922816}"/>
                </c:ext>
              </c:extLst>
            </c:dLbl>
            <c:dLbl>
              <c:idx val="95"/>
              <c:tx>
                <c:rich>
                  <a:bodyPr/>
                  <a:lstStyle/>
                  <a:p>
                    <a:fld id="{4E762A90-BDFE-4B7B-B41F-81C92BCD65C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0-ACA4-42F2-AF4F-DF9CBA922816}"/>
                </c:ext>
              </c:extLst>
            </c:dLbl>
            <c:dLbl>
              <c:idx val="96"/>
              <c:tx>
                <c:rich>
                  <a:bodyPr/>
                  <a:lstStyle/>
                  <a:p>
                    <a:fld id="{B5740421-CC06-4CE7-BF78-ED101297080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1-ACA4-42F2-AF4F-DF9CBA922816}"/>
                </c:ext>
              </c:extLst>
            </c:dLbl>
            <c:dLbl>
              <c:idx val="97"/>
              <c:tx>
                <c:rich>
                  <a:bodyPr/>
                  <a:lstStyle/>
                  <a:p>
                    <a:fld id="{0390D571-CD53-498D-943F-05AD911243F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2-ACA4-42F2-AF4F-DF9CBA922816}"/>
                </c:ext>
              </c:extLst>
            </c:dLbl>
            <c:dLbl>
              <c:idx val="98"/>
              <c:tx>
                <c:rich>
                  <a:bodyPr/>
                  <a:lstStyle/>
                  <a:p>
                    <a:fld id="{F0478EBC-95E7-4E33-988A-F094BB303B8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3-ACA4-42F2-AF4F-DF9CBA922816}"/>
                </c:ext>
              </c:extLst>
            </c:dLbl>
            <c:dLbl>
              <c:idx val="99"/>
              <c:tx>
                <c:rich>
                  <a:bodyPr/>
                  <a:lstStyle/>
                  <a:p>
                    <a:fld id="{0C313F11-D1DF-421D-8716-5D3B9E978050}"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4-ACA4-42F2-AF4F-DF9CBA922816}"/>
                </c:ext>
              </c:extLst>
            </c:dLbl>
            <c:dLbl>
              <c:idx val="100"/>
              <c:tx>
                <c:rich>
                  <a:bodyPr/>
                  <a:lstStyle/>
                  <a:p>
                    <a:fld id="{421A6BBE-1C14-4939-98DB-6B6C2655783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5-ACA4-42F2-AF4F-DF9CBA922816}"/>
                </c:ext>
              </c:extLst>
            </c:dLbl>
            <c:dLbl>
              <c:idx val="101"/>
              <c:tx>
                <c:rich>
                  <a:bodyPr/>
                  <a:lstStyle/>
                  <a:p>
                    <a:fld id="{D99DF51E-A000-414F-B985-9D17CCE6E94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6-ACA4-42F2-AF4F-DF9CBA922816}"/>
                </c:ext>
              </c:extLst>
            </c:dLbl>
            <c:dLbl>
              <c:idx val="102"/>
              <c:tx>
                <c:rich>
                  <a:bodyPr/>
                  <a:lstStyle/>
                  <a:p>
                    <a:fld id="{1625D794-1B45-4306-8B32-0560093366F0}"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7-ACA4-42F2-AF4F-DF9CBA922816}"/>
                </c:ext>
              </c:extLst>
            </c:dLbl>
            <c:dLbl>
              <c:idx val="103"/>
              <c:tx>
                <c:rich>
                  <a:bodyPr/>
                  <a:lstStyle/>
                  <a:p>
                    <a:fld id="{7E404954-D227-427C-8718-745BD4ED05D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8-ACA4-42F2-AF4F-DF9CBA922816}"/>
                </c:ext>
              </c:extLst>
            </c:dLbl>
            <c:dLbl>
              <c:idx val="104"/>
              <c:tx>
                <c:rich>
                  <a:bodyPr/>
                  <a:lstStyle/>
                  <a:p>
                    <a:fld id="{E38B1E78-BF70-4189-A864-E3D1FD8F29C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9-ACA4-42F2-AF4F-DF9CBA922816}"/>
                </c:ext>
              </c:extLst>
            </c:dLbl>
            <c:dLbl>
              <c:idx val="105"/>
              <c:tx>
                <c:rich>
                  <a:bodyPr/>
                  <a:lstStyle/>
                  <a:p>
                    <a:fld id="{98E22E2D-03BC-4BEB-B9B9-08E45868809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A-ACA4-42F2-AF4F-DF9CBA922816}"/>
                </c:ext>
              </c:extLst>
            </c:dLbl>
            <c:dLbl>
              <c:idx val="106"/>
              <c:tx>
                <c:rich>
                  <a:bodyPr/>
                  <a:lstStyle/>
                  <a:p>
                    <a:fld id="{65BC3153-05AE-4AAD-9DBB-975CD1B8AC2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B-ACA4-42F2-AF4F-DF9CBA922816}"/>
                </c:ext>
              </c:extLst>
            </c:dLbl>
            <c:dLbl>
              <c:idx val="107"/>
              <c:tx>
                <c:rich>
                  <a:bodyPr/>
                  <a:lstStyle/>
                  <a:p>
                    <a:fld id="{744F004E-E9CE-44DF-8D32-DD113B99960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C-ACA4-42F2-AF4F-DF9CBA922816}"/>
                </c:ext>
              </c:extLst>
            </c:dLbl>
            <c:dLbl>
              <c:idx val="108"/>
              <c:tx>
                <c:rich>
                  <a:bodyPr/>
                  <a:lstStyle/>
                  <a:p>
                    <a:fld id="{5369D639-6C41-4E84-A07A-88A5455DDEE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D-ACA4-42F2-AF4F-DF9CBA922816}"/>
                </c:ext>
              </c:extLst>
            </c:dLbl>
            <c:dLbl>
              <c:idx val="109"/>
              <c:tx>
                <c:rich>
                  <a:bodyPr/>
                  <a:lstStyle/>
                  <a:p>
                    <a:fld id="{9E1B0614-DECB-487D-9058-02D64A6A1B8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E-ACA4-42F2-AF4F-DF9CBA922816}"/>
                </c:ext>
              </c:extLst>
            </c:dLbl>
            <c:dLbl>
              <c:idx val="110"/>
              <c:tx>
                <c:rich>
                  <a:bodyPr/>
                  <a:lstStyle/>
                  <a:p>
                    <a:fld id="{F20B2A54-9A82-42B2-9FEE-F32C71EDEA0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F-ACA4-42F2-AF4F-DF9CBA922816}"/>
                </c:ext>
              </c:extLst>
            </c:dLbl>
            <c:dLbl>
              <c:idx val="111"/>
              <c:tx>
                <c:rich>
                  <a:bodyPr/>
                  <a:lstStyle/>
                  <a:p>
                    <a:fld id="{5B506E00-9ED6-4C99-87EE-9660F7A50A6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0-ACA4-42F2-AF4F-DF9CBA922816}"/>
                </c:ext>
              </c:extLst>
            </c:dLbl>
            <c:dLbl>
              <c:idx val="112"/>
              <c:tx>
                <c:rich>
                  <a:bodyPr/>
                  <a:lstStyle/>
                  <a:p>
                    <a:fld id="{BCEABA87-C014-4F1A-902B-D3D28B01A2A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1-ACA4-42F2-AF4F-DF9CBA922816}"/>
                </c:ext>
              </c:extLst>
            </c:dLbl>
            <c:dLbl>
              <c:idx val="113"/>
              <c:tx>
                <c:rich>
                  <a:bodyPr/>
                  <a:lstStyle/>
                  <a:p>
                    <a:fld id="{146DB452-7AAD-408B-8950-16D8905F127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2-ACA4-42F2-AF4F-DF9CBA922816}"/>
                </c:ext>
              </c:extLst>
            </c:dLbl>
            <c:dLbl>
              <c:idx val="114"/>
              <c:tx>
                <c:rich>
                  <a:bodyPr/>
                  <a:lstStyle/>
                  <a:p>
                    <a:fld id="{20330FEC-209A-42FF-B78D-7FD74F44BEE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3-ACA4-42F2-AF4F-DF9CBA922816}"/>
                </c:ext>
              </c:extLst>
            </c:dLbl>
            <c:dLbl>
              <c:idx val="115"/>
              <c:tx>
                <c:rich>
                  <a:bodyPr/>
                  <a:lstStyle/>
                  <a:p>
                    <a:fld id="{E1AE6676-F6AF-4E6A-AC7E-EE1632092B5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4-ACA4-42F2-AF4F-DF9CBA922816}"/>
                </c:ext>
              </c:extLst>
            </c:dLbl>
            <c:dLbl>
              <c:idx val="116"/>
              <c:tx>
                <c:rich>
                  <a:bodyPr/>
                  <a:lstStyle/>
                  <a:p>
                    <a:fld id="{46D20431-17A9-4ADE-8C1D-0BF4838A904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5-ACA4-42F2-AF4F-DF9CBA922816}"/>
                </c:ext>
              </c:extLst>
            </c:dLbl>
            <c:dLbl>
              <c:idx val="117"/>
              <c:tx>
                <c:rich>
                  <a:bodyPr/>
                  <a:lstStyle/>
                  <a:p>
                    <a:fld id="{8B0C2DA4-354C-4AE5-906D-2A72455ABBF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6-ACA4-42F2-AF4F-DF9CBA922816}"/>
                </c:ext>
              </c:extLst>
            </c:dLbl>
            <c:dLbl>
              <c:idx val="118"/>
              <c:tx>
                <c:rich>
                  <a:bodyPr/>
                  <a:lstStyle/>
                  <a:p>
                    <a:fld id="{DDCCD5D3-D000-4B25-A232-0050790E59C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7-ACA4-42F2-AF4F-DF9CBA922816}"/>
                </c:ext>
              </c:extLst>
            </c:dLbl>
            <c:dLbl>
              <c:idx val="119"/>
              <c:tx>
                <c:rich>
                  <a:bodyPr/>
                  <a:lstStyle/>
                  <a:p>
                    <a:fld id="{10DAC608-3227-447F-AD99-661314D500E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8-ACA4-42F2-AF4F-DF9CBA922816}"/>
                </c:ext>
              </c:extLst>
            </c:dLbl>
            <c:dLbl>
              <c:idx val="120"/>
              <c:tx>
                <c:rich>
                  <a:bodyPr/>
                  <a:lstStyle/>
                  <a:p>
                    <a:fld id="{A5A08BFD-3FA5-4392-83F9-0D6310F4BC70}"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9-ACA4-42F2-AF4F-DF9CBA922816}"/>
                </c:ext>
              </c:extLst>
            </c:dLbl>
            <c:dLbl>
              <c:idx val="121"/>
              <c:tx>
                <c:rich>
                  <a:bodyPr/>
                  <a:lstStyle/>
                  <a:p>
                    <a:fld id="{942DDC05-7C4B-4DEB-BD34-4AE43F41027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A-ACA4-42F2-AF4F-DF9CBA922816}"/>
                </c:ext>
              </c:extLst>
            </c:dLbl>
            <c:dLbl>
              <c:idx val="122"/>
              <c:tx>
                <c:rich>
                  <a:bodyPr/>
                  <a:lstStyle/>
                  <a:p>
                    <a:fld id="{3145E614-51B3-4164-9E8E-5944C31F19B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B-ACA4-42F2-AF4F-DF9CBA922816}"/>
                </c:ext>
              </c:extLst>
            </c:dLbl>
            <c:dLbl>
              <c:idx val="123"/>
              <c:tx>
                <c:rich>
                  <a:bodyPr/>
                  <a:lstStyle/>
                  <a:p>
                    <a:fld id="{3E4E0C7B-8F68-4E59-A29A-5EE4F346D05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C-ACA4-42F2-AF4F-DF9CBA922816}"/>
                </c:ext>
              </c:extLst>
            </c:dLbl>
            <c:dLbl>
              <c:idx val="124"/>
              <c:tx>
                <c:rich>
                  <a:bodyPr/>
                  <a:lstStyle/>
                  <a:p>
                    <a:fld id="{6C7CD06F-27B4-4E63-A80B-0086D97F7340}"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D-ACA4-42F2-AF4F-DF9CBA922816}"/>
                </c:ext>
              </c:extLst>
            </c:dLbl>
            <c:dLbl>
              <c:idx val="125"/>
              <c:tx>
                <c:rich>
                  <a:bodyPr/>
                  <a:lstStyle/>
                  <a:p>
                    <a:fld id="{EF1C8BCF-8F0D-459F-AC25-882D24C1BFF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E-ACA4-42F2-AF4F-DF9CBA922816}"/>
                </c:ext>
              </c:extLst>
            </c:dLbl>
            <c:dLbl>
              <c:idx val="126"/>
              <c:tx>
                <c:rich>
                  <a:bodyPr/>
                  <a:lstStyle/>
                  <a:p>
                    <a:fld id="{C8E49F88-4001-48F4-979E-51245D43644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F-ACA4-42F2-AF4F-DF9CBA922816}"/>
                </c:ext>
              </c:extLst>
            </c:dLbl>
            <c:dLbl>
              <c:idx val="127"/>
              <c:tx>
                <c:rich>
                  <a:bodyPr/>
                  <a:lstStyle/>
                  <a:p>
                    <a:fld id="{13566B9F-D466-40F5-924F-26D930C4F25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0-ACA4-42F2-AF4F-DF9CBA922816}"/>
                </c:ext>
              </c:extLst>
            </c:dLbl>
            <c:dLbl>
              <c:idx val="128"/>
              <c:tx>
                <c:rich>
                  <a:bodyPr/>
                  <a:lstStyle/>
                  <a:p>
                    <a:fld id="{AD5E1C22-763E-49B5-8F41-8175EA4CCE6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1-ACA4-42F2-AF4F-DF9CBA922816}"/>
                </c:ext>
              </c:extLst>
            </c:dLbl>
            <c:dLbl>
              <c:idx val="129"/>
              <c:tx>
                <c:rich>
                  <a:bodyPr/>
                  <a:lstStyle/>
                  <a:p>
                    <a:fld id="{A1C82885-3C83-4B73-B423-2E25F3D6A47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2-ACA4-42F2-AF4F-DF9CBA922816}"/>
                </c:ext>
              </c:extLst>
            </c:dLbl>
            <c:dLbl>
              <c:idx val="130"/>
              <c:tx>
                <c:rich>
                  <a:bodyPr/>
                  <a:lstStyle/>
                  <a:p>
                    <a:fld id="{67426072-BC3C-4F99-AEA0-B80F272A2D6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3-ACA4-42F2-AF4F-DF9CBA922816}"/>
                </c:ext>
              </c:extLst>
            </c:dLbl>
            <c:dLbl>
              <c:idx val="131"/>
              <c:tx>
                <c:rich>
                  <a:bodyPr/>
                  <a:lstStyle/>
                  <a:p>
                    <a:fld id="{886E1E4E-FC2C-41BE-9B04-EBE67CA11840}"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4-ACA4-42F2-AF4F-DF9CBA922816}"/>
                </c:ext>
              </c:extLst>
            </c:dLbl>
            <c:dLbl>
              <c:idx val="132"/>
              <c:tx>
                <c:rich>
                  <a:bodyPr/>
                  <a:lstStyle/>
                  <a:p>
                    <a:fld id="{994998B5-5EDC-4A1A-9771-A2DC6E3FE38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5-ACA4-42F2-AF4F-DF9CBA922816}"/>
                </c:ext>
              </c:extLst>
            </c:dLbl>
            <c:dLbl>
              <c:idx val="133"/>
              <c:tx>
                <c:rich>
                  <a:bodyPr/>
                  <a:lstStyle/>
                  <a:p>
                    <a:fld id="{83272F9E-4207-457E-A94D-29ADB151D29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6-ACA4-42F2-AF4F-DF9CBA922816}"/>
                </c:ext>
              </c:extLst>
            </c:dLbl>
            <c:dLbl>
              <c:idx val="134"/>
              <c:tx>
                <c:rich>
                  <a:bodyPr/>
                  <a:lstStyle/>
                  <a:p>
                    <a:fld id="{CDC5B95A-CE52-4F1B-8FEB-B5B9F66D3010}"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7-ACA4-42F2-AF4F-DF9CBA922816}"/>
                </c:ext>
              </c:extLst>
            </c:dLbl>
            <c:dLbl>
              <c:idx val="135"/>
              <c:tx>
                <c:rich>
                  <a:bodyPr/>
                  <a:lstStyle/>
                  <a:p>
                    <a:fld id="{A8BF3A27-61B0-466C-A0A9-D7A54BDE1D70}"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8-ACA4-42F2-AF4F-DF9CBA922816}"/>
                </c:ext>
              </c:extLst>
            </c:dLbl>
            <c:dLbl>
              <c:idx val="136"/>
              <c:tx>
                <c:rich>
                  <a:bodyPr/>
                  <a:lstStyle/>
                  <a:p>
                    <a:fld id="{BC24AC7B-1032-43EB-B67A-26A0978BA8D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9-ACA4-42F2-AF4F-DF9CBA922816}"/>
                </c:ext>
              </c:extLst>
            </c:dLbl>
            <c:dLbl>
              <c:idx val="137"/>
              <c:tx>
                <c:rich>
                  <a:bodyPr/>
                  <a:lstStyle/>
                  <a:p>
                    <a:fld id="{F18CB097-DB2D-4B58-BF25-BBF856BF480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A-ACA4-42F2-AF4F-DF9CBA922816}"/>
                </c:ext>
              </c:extLst>
            </c:dLbl>
            <c:dLbl>
              <c:idx val="138"/>
              <c:tx>
                <c:rich>
                  <a:bodyPr/>
                  <a:lstStyle/>
                  <a:p>
                    <a:fld id="{B0479530-B9DC-44A9-A9D0-BAF3010E05A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B-ACA4-42F2-AF4F-DF9CBA922816}"/>
                </c:ext>
              </c:extLst>
            </c:dLbl>
            <c:dLbl>
              <c:idx val="139"/>
              <c:tx>
                <c:rich>
                  <a:bodyPr/>
                  <a:lstStyle/>
                  <a:p>
                    <a:fld id="{5C7CF357-FCAE-4C10-8FB2-B5D5149B231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C-ACA4-42F2-AF4F-DF9CBA922816}"/>
                </c:ext>
              </c:extLst>
            </c:dLbl>
            <c:dLbl>
              <c:idx val="140"/>
              <c:tx>
                <c:rich>
                  <a:bodyPr/>
                  <a:lstStyle/>
                  <a:p>
                    <a:fld id="{17B336EF-F70F-434E-94EA-CFD5C58AABB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D-ACA4-42F2-AF4F-DF9CBA922816}"/>
                </c:ext>
              </c:extLst>
            </c:dLbl>
            <c:dLbl>
              <c:idx val="141"/>
              <c:tx>
                <c:rich>
                  <a:bodyPr/>
                  <a:lstStyle/>
                  <a:p>
                    <a:fld id="{54FA49B5-74AA-4725-9674-3F2E5B79C860}"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E-ACA4-42F2-AF4F-DF9CBA922816}"/>
                </c:ext>
              </c:extLst>
            </c:dLbl>
            <c:dLbl>
              <c:idx val="142"/>
              <c:tx>
                <c:rich>
                  <a:bodyPr/>
                  <a:lstStyle/>
                  <a:p>
                    <a:fld id="{0531C4EC-EF74-4AA4-916A-196C25866B80}"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F-ACA4-42F2-AF4F-DF9CBA922816}"/>
                </c:ext>
              </c:extLst>
            </c:dLbl>
            <c:dLbl>
              <c:idx val="143"/>
              <c:tx>
                <c:rich>
                  <a:bodyPr/>
                  <a:lstStyle/>
                  <a:p>
                    <a:fld id="{D9FD1B2E-4D43-45C9-A2EE-377D524C39E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0-ACA4-42F2-AF4F-DF9CBA922816}"/>
                </c:ext>
              </c:extLst>
            </c:dLbl>
            <c:dLbl>
              <c:idx val="144"/>
              <c:tx>
                <c:rich>
                  <a:bodyPr/>
                  <a:lstStyle/>
                  <a:p>
                    <a:fld id="{2681DF3E-19FF-4A6C-8CB7-64B4120C312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1-ACA4-42F2-AF4F-DF9CBA922816}"/>
                </c:ext>
              </c:extLst>
            </c:dLbl>
            <c:dLbl>
              <c:idx val="145"/>
              <c:tx>
                <c:rich>
                  <a:bodyPr/>
                  <a:lstStyle/>
                  <a:p>
                    <a:fld id="{FF7FBF21-38E2-475B-AA14-D05AC8617BB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2-ACA4-42F2-AF4F-DF9CBA922816}"/>
                </c:ext>
              </c:extLst>
            </c:dLbl>
            <c:dLbl>
              <c:idx val="146"/>
              <c:tx>
                <c:rich>
                  <a:bodyPr/>
                  <a:lstStyle/>
                  <a:p>
                    <a:fld id="{E2D5ED71-B451-4C97-AF5B-94DBB26B3A5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3-ACA4-42F2-AF4F-DF9CBA922816}"/>
                </c:ext>
              </c:extLst>
            </c:dLbl>
            <c:dLbl>
              <c:idx val="147"/>
              <c:tx>
                <c:rich>
                  <a:bodyPr/>
                  <a:lstStyle/>
                  <a:p>
                    <a:fld id="{D91529B8-3AC2-4F6B-A7F2-7E6DD47E98C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4-ACA4-42F2-AF4F-DF9CBA922816}"/>
                </c:ext>
              </c:extLst>
            </c:dLbl>
            <c:dLbl>
              <c:idx val="148"/>
              <c:tx>
                <c:rich>
                  <a:bodyPr/>
                  <a:lstStyle/>
                  <a:p>
                    <a:fld id="{A964C594-F899-437D-B025-F732C41D4B1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5-ACA4-42F2-AF4F-DF9CBA922816}"/>
                </c:ext>
              </c:extLst>
            </c:dLbl>
            <c:dLbl>
              <c:idx val="149"/>
              <c:tx>
                <c:rich>
                  <a:bodyPr/>
                  <a:lstStyle/>
                  <a:p>
                    <a:fld id="{36A9A652-2B2D-4D0C-8A97-4A30997C0C7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6-ACA4-42F2-AF4F-DF9CBA922816}"/>
                </c:ext>
              </c:extLst>
            </c:dLbl>
            <c:dLbl>
              <c:idx val="150"/>
              <c:tx>
                <c:rich>
                  <a:bodyPr/>
                  <a:lstStyle/>
                  <a:p>
                    <a:fld id="{F361F38A-FCD2-44B2-90D1-AB537ED2FD9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7-ACA4-42F2-AF4F-DF9CBA922816}"/>
                </c:ext>
              </c:extLst>
            </c:dLbl>
            <c:dLbl>
              <c:idx val="151"/>
              <c:tx>
                <c:rich>
                  <a:bodyPr/>
                  <a:lstStyle/>
                  <a:p>
                    <a:fld id="{2B616649-2F72-463E-9B25-F6D842816CD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8-ACA4-42F2-AF4F-DF9CBA922816}"/>
                </c:ext>
              </c:extLst>
            </c:dLbl>
            <c:dLbl>
              <c:idx val="152"/>
              <c:tx>
                <c:rich>
                  <a:bodyPr/>
                  <a:lstStyle/>
                  <a:p>
                    <a:fld id="{A5E2F8BD-497A-434C-9ECC-2C4A0DF568C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9-ACA4-42F2-AF4F-DF9CBA922816}"/>
                </c:ext>
              </c:extLst>
            </c:dLbl>
            <c:dLbl>
              <c:idx val="153"/>
              <c:tx>
                <c:rich>
                  <a:bodyPr/>
                  <a:lstStyle/>
                  <a:p>
                    <a:fld id="{913E3493-89B9-48FF-8187-D076F686D9D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A-ACA4-42F2-AF4F-DF9CBA922816}"/>
                </c:ext>
              </c:extLst>
            </c:dLbl>
            <c:dLbl>
              <c:idx val="154"/>
              <c:tx>
                <c:rich>
                  <a:bodyPr/>
                  <a:lstStyle/>
                  <a:p>
                    <a:fld id="{6C8B25E2-6D43-4530-8188-8D50CC645E5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B-ACA4-42F2-AF4F-DF9CBA922816}"/>
                </c:ext>
              </c:extLst>
            </c:dLbl>
            <c:dLbl>
              <c:idx val="155"/>
              <c:tx>
                <c:rich>
                  <a:bodyPr/>
                  <a:lstStyle/>
                  <a:p>
                    <a:fld id="{A944F617-F6E3-4BBE-A6FD-55421D4F2B6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C-ACA4-42F2-AF4F-DF9CBA922816}"/>
                </c:ext>
              </c:extLst>
            </c:dLbl>
            <c:dLbl>
              <c:idx val="156"/>
              <c:tx>
                <c:rich>
                  <a:bodyPr/>
                  <a:lstStyle/>
                  <a:p>
                    <a:fld id="{5468C66B-FE32-43D7-A7CE-B9F98C77F67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D-ACA4-42F2-AF4F-DF9CBA922816}"/>
                </c:ext>
              </c:extLst>
            </c:dLbl>
            <c:dLbl>
              <c:idx val="157"/>
              <c:tx>
                <c:rich>
                  <a:bodyPr/>
                  <a:lstStyle/>
                  <a:p>
                    <a:fld id="{AEEA288B-2DBF-4D94-9F1E-1D1CBA36D85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E-ACA4-42F2-AF4F-DF9CBA922816}"/>
                </c:ext>
              </c:extLst>
            </c:dLbl>
            <c:dLbl>
              <c:idx val="158"/>
              <c:tx>
                <c:rich>
                  <a:bodyPr/>
                  <a:lstStyle/>
                  <a:p>
                    <a:fld id="{3D711E7A-988A-410D-8490-C9A59C315DE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F-ACA4-42F2-AF4F-DF9CBA922816}"/>
                </c:ext>
              </c:extLst>
            </c:dLbl>
            <c:dLbl>
              <c:idx val="159"/>
              <c:tx>
                <c:rich>
                  <a:bodyPr/>
                  <a:lstStyle/>
                  <a:p>
                    <a:fld id="{7D60A825-CBC3-42EA-97B6-7286A76F7C5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0-ACA4-42F2-AF4F-DF9CBA922816}"/>
                </c:ext>
              </c:extLst>
            </c:dLbl>
            <c:dLbl>
              <c:idx val="160"/>
              <c:tx>
                <c:rich>
                  <a:bodyPr/>
                  <a:lstStyle/>
                  <a:p>
                    <a:fld id="{7B8BBF3F-DA4C-4946-9421-447B1DE7E66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1-ACA4-42F2-AF4F-DF9CBA922816}"/>
                </c:ext>
              </c:extLst>
            </c:dLbl>
            <c:dLbl>
              <c:idx val="161"/>
              <c:tx>
                <c:rich>
                  <a:bodyPr/>
                  <a:lstStyle/>
                  <a:p>
                    <a:fld id="{3F45F143-D608-46B3-9354-BA358616A58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2-ACA4-42F2-AF4F-DF9CBA922816}"/>
                </c:ext>
              </c:extLst>
            </c:dLbl>
            <c:dLbl>
              <c:idx val="162"/>
              <c:tx>
                <c:rich>
                  <a:bodyPr/>
                  <a:lstStyle/>
                  <a:p>
                    <a:fld id="{C1328CD2-284D-4567-B22F-08E9E5270E2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3-ACA4-42F2-AF4F-DF9CBA922816}"/>
                </c:ext>
              </c:extLst>
            </c:dLbl>
            <c:dLbl>
              <c:idx val="163"/>
              <c:tx>
                <c:rich>
                  <a:bodyPr/>
                  <a:lstStyle/>
                  <a:p>
                    <a:fld id="{1FCE5CC6-9B6D-4503-90A3-9E84042ABE8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4-ACA4-42F2-AF4F-DF9CBA922816}"/>
                </c:ext>
              </c:extLst>
            </c:dLbl>
            <c:dLbl>
              <c:idx val="164"/>
              <c:tx>
                <c:rich>
                  <a:bodyPr/>
                  <a:lstStyle/>
                  <a:p>
                    <a:fld id="{B4C1F14D-A7DE-4646-90B4-E574B0D2505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5-ACA4-42F2-AF4F-DF9CBA922816}"/>
                </c:ext>
              </c:extLst>
            </c:dLbl>
            <c:dLbl>
              <c:idx val="165"/>
              <c:tx>
                <c:rich>
                  <a:bodyPr/>
                  <a:lstStyle/>
                  <a:p>
                    <a:fld id="{40E68B92-F6CF-42B5-957A-31B939BB654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6-ACA4-42F2-AF4F-DF9CBA922816}"/>
                </c:ext>
              </c:extLst>
            </c:dLbl>
            <c:dLbl>
              <c:idx val="166"/>
              <c:tx>
                <c:rich>
                  <a:bodyPr/>
                  <a:lstStyle/>
                  <a:p>
                    <a:fld id="{75C45334-20EF-4264-9D58-6FE89416FF8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7-ACA4-42F2-AF4F-DF9CBA922816}"/>
                </c:ext>
              </c:extLst>
            </c:dLbl>
            <c:dLbl>
              <c:idx val="167"/>
              <c:tx>
                <c:rich>
                  <a:bodyPr/>
                  <a:lstStyle/>
                  <a:p>
                    <a:fld id="{E01C3181-DC30-4D65-992B-C8A1312EE62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8-ACA4-42F2-AF4F-DF9CBA922816}"/>
                </c:ext>
              </c:extLst>
            </c:dLbl>
            <c:dLbl>
              <c:idx val="168"/>
              <c:tx>
                <c:rich>
                  <a:bodyPr/>
                  <a:lstStyle/>
                  <a:p>
                    <a:fld id="{E0A24305-852B-483E-BDDD-56AF39BAD29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9-ACA4-42F2-AF4F-DF9CBA922816}"/>
                </c:ext>
              </c:extLst>
            </c:dLbl>
            <c:dLbl>
              <c:idx val="169"/>
              <c:tx>
                <c:rich>
                  <a:bodyPr/>
                  <a:lstStyle/>
                  <a:p>
                    <a:fld id="{ADDE31F3-34B4-4A83-9176-1474742A7CD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A-ACA4-42F2-AF4F-DF9CBA922816}"/>
                </c:ext>
              </c:extLst>
            </c:dLbl>
            <c:dLbl>
              <c:idx val="170"/>
              <c:tx>
                <c:rich>
                  <a:bodyPr/>
                  <a:lstStyle/>
                  <a:p>
                    <a:fld id="{64C6C3C7-AAFA-486B-A456-0D52B54807B0}"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B-ACA4-42F2-AF4F-DF9CBA922816}"/>
                </c:ext>
              </c:extLst>
            </c:dLbl>
            <c:dLbl>
              <c:idx val="171"/>
              <c:tx>
                <c:rich>
                  <a:bodyPr/>
                  <a:lstStyle/>
                  <a:p>
                    <a:fld id="{D76E1AC3-3D9B-4A00-84AF-C77E9CE1D8B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C-ACA4-42F2-AF4F-DF9CBA922816}"/>
                </c:ext>
              </c:extLst>
            </c:dLbl>
            <c:dLbl>
              <c:idx val="172"/>
              <c:tx>
                <c:rich>
                  <a:bodyPr/>
                  <a:lstStyle/>
                  <a:p>
                    <a:fld id="{F762AFBD-DF9A-462F-821D-0C444B46B3F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D-ACA4-42F2-AF4F-DF9CBA922816}"/>
                </c:ext>
              </c:extLst>
            </c:dLbl>
            <c:dLbl>
              <c:idx val="173"/>
              <c:tx>
                <c:rich>
                  <a:bodyPr/>
                  <a:lstStyle/>
                  <a:p>
                    <a:fld id="{327AF68A-6FFD-4068-9942-A0738691512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E-ACA4-42F2-AF4F-DF9CBA922816}"/>
                </c:ext>
              </c:extLst>
            </c:dLbl>
            <c:dLbl>
              <c:idx val="174"/>
              <c:tx>
                <c:rich>
                  <a:bodyPr/>
                  <a:lstStyle/>
                  <a:p>
                    <a:fld id="{802916CA-57F9-49BC-8818-E0E5FAD868F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F-ACA4-42F2-AF4F-DF9CBA922816}"/>
                </c:ext>
              </c:extLst>
            </c:dLbl>
            <c:dLbl>
              <c:idx val="175"/>
              <c:tx>
                <c:rich>
                  <a:bodyPr/>
                  <a:lstStyle/>
                  <a:p>
                    <a:fld id="{C76425EC-E8FB-4D7B-94C7-B32BF316529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0-ACA4-42F2-AF4F-DF9CBA922816}"/>
                </c:ext>
              </c:extLst>
            </c:dLbl>
            <c:dLbl>
              <c:idx val="176"/>
              <c:tx>
                <c:rich>
                  <a:bodyPr/>
                  <a:lstStyle/>
                  <a:p>
                    <a:fld id="{17C1951B-7E91-4E9D-BFB6-3AD0CECDC84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1-ACA4-42F2-AF4F-DF9CBA922816}"/>
                </c:ext>
              </c:extLst>
            </c:dLbl>
            <c:dLbl>
              <c:idx val="177"/>
              <c:tx>
                <c:rich>
                  <a:bodyPr/>
                  <a:lstStyle/>
                  <a:p>
                    <a:fld id="{BFB1F3E4-884D-483E-9AE3-A71F3723CD40}"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2-ACA4-42F2-AF4F-DF9CBA922816}"/>
                </c:ext>
              </c:extLst>
            </c:dLbl>
            <c:dLbl>
              <c:idx val="178"/>
              <c:tx>
                <c:rich>
                  <a:bodyPr/>
                  <a:lstStyle/>
                  <a:p>
                    <a:fld id="{74531000-B918-411B-B4DF-63EF203A54A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3-ACA4-42F2-AF4F-DF9CBA922816}"/>
                </c:ext>
              </c:extLst>
            </c:dLbl>
            <c:dLbl>
              <c:idx val="179"/>
              <c:tx>
                <c:rich>
                  <a:bodyPr/>
                  <a:lstStyle/>
                  <a:p>
                    <a:fld id="{E37F04B0-910B-4420-9625-C309AC61322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4-ACA4-42F2-AF4F-DF9CBA922816}"/>
                </c:ext>
              </c:extLst>
            </c:dLbl>
            <c:dLbl>
              <c:idx val="180"/>
              <c:tx>
                <c:rich>
                  <a:bodyPr/>
                  <a:lstStyle/>
                  <a:p>
                    <a:fld id="{688EA648-D5F1-43C3-9883-EA840981D23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5-ACA4-42F2-AF4F-DF9CBA922816}"/>
                </c:ext>
              </c:extLst>
            </c:dLbl>
            <c:dLbl>
              <c:idx val="181"/>
              <c:tx>
                <c:rich>
                  <a:bodyPr/>
                  <a:lstStyle/>
                  <a:p>
                    <a:fld id="{4FA211AA-C920-47CC-B264-FACDE28F150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6-ACA4-42F2-AF4F-DF9CBA922816}"/>
                </c:ext>
              </c:extLst>
            </c:dLbl>
            <c:dLbl>
              <c:idx val="182"/>
              <c:tx>
                <c:rich>
                  <a:bodyPr/>
                  <a:lstStyle/>
                  <a:p>
                    <a:fld id="{6915D0A3-44A2-4E19-84B2-A03D4C81B7F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7-ACA4-42F2-AF4F-DF9CBA922816}"/>
                </c:ext>
              </c:extLst>
            </c:dLbl>
            <c:dLbl>
              <c:idx val="183"/>
              <c:tx>
                <c:rich>
                  <a:bodyPr/>
                  <a:lstStyle/>
                  <a:p>
                    <a:fld id="{788EE927-8C2D-429F-BE4D-D1F843F8868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8-ACA4-42F2-AF4F-DF9CBA922816}"/>
                </c:ext>
              </c:extLst>
            </c:dLbl>
            <c:dLbl>
              <c:idx val="184"/>
              <c:tx>
                <c:rich>
                  <a:bodyPr/>
                  <a:lstStyle/>
                  <a:p>
                    <a:fld id="{5B39768E-90EB-4E75-98C0-1B2FC6DDFF2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9-ACA4-42F2-AF4F-DF9CBA922816}"/>
                </c:ext>
              </c:extLst>
            </c:dLbl>
            <c:dLbl>
              <c:idx val="185"/>
              <c:tx>
                <c:rich>
                  <a:bodyPr/>
                  <a:lstStyle/>
                  <a:p>
                    <a:fld id="{796D138D-D256-41C0-B88B-747AE78B410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A-ACA4-42F2-AF4F-DF9CBA922816}"/>
                </c:ext>
              </c:extLst>
            </c:dLbl>
            <c:dLbl>
              <c:idx val="186"/>
              <c:tx>
                <c:rich>
                  <a:bodyPr/>
                  <a:lstStyle/>
                  <a:p>
                    <a:fld id="{10DA3291-ECFD-42E8-A913-6DEF5941968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B-ACA4-42F2-AF4F-DF9CBA922816}"/>
                </c:ext>
              </c:extLst>
            </c:dLbl>
            <c:dLbl>
              <c:idx val="187"/>
              <c:tx>
                <c:rich>
                  <a:bodyPr/>
                  <a:lstStyle/>
                  <a:p>
                    <a:fld id="{02879B1A-890D-4F0C-9768-AC8FDFC7FC7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C-ACA4-42F2-AF4F-DF9CBA922816}"/>
                </c:ext>
              </c:extLst>
            </c:dLbl>
            <c:dLbl>
              <c:idx val="188"/>
              <c:tx>
                <c:rich>
                  <a:bodyPr/>
                  <a:lstStyle/>
                  <a:p>
                    <a:fld id="{49E281F1-D2E5-4485-8736-9FCA2CF4A45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D-ACA4-42F2-AF4F-DF9CBA922816}"/>
                </c:ext>
              </c:extLst>
            </c:dLbl>
            <c:dLbl>
              <c:idx val="189"/>
              <c:tx>
                <c:rich>
                  <a:bodyPr/>
                  <a:lstStyle/>
                  <a:p>
                    <a:fld id="{4722AB60-E107-476D-B6E7-3CC2936B351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E-ACA4-42F2-AF4F-DF9CBA922816}"/>
                </c:ext>
              </c:extLst>
            </c:dLbl>
            <c:dLbl>
              <c:idx val="190"/>
              <c:tx>
                <c:rich>
                  <a:bodyPr/>
                  <a:lstStyle/>
                  <a:p>
                    <a:fld id="{ACFAFCC9-6E16-41DD-884C-76E7CDC5F2F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F-ACA4-42F2-AF4F-DF9CBA922816}"/>
                </c:ext>
              </c:extLst>
            </c:dLbl>
            <c:dLbl>
              <c:idx val="191"/>
              <c:tx>
                <c:rich>
                  <a:bodyPr/>
                  <a:lstStyle/>
                  <a:p>
                    <a:fld id="{F8E44DBA-AA5C-44EE-8C43-4C75430CD83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0-ACA4-42F2-AF4F-DF9CBA922816}"/>
                </c:ext>
              </c:extLst>
            </c:dLbl>
            <c:dLbl>
              <c:idx val="192"/>
              <c:tx>
                <c:rich>
                  <a:bodyPr/>
                  <a:lstStyle/>
                  <a:p>
                    <a:fld id="{64BB513D-F8F5-46FF-943C-48911519491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1-ACA4-42F2-AF4F-DF9CBA922816}"/>
                </c:ext>
              </c:extLst>
            </c:dLbl>
            <c:dLbl>
              <c:idx val="193"/>
              <c:tx>
                <c:rich>
                  <a:bodyPr/>
                  <a:lstStyle/>
                  <a:p>
                    <a:fld id="{5278A5E2-D85B-48F0-AFCE-0C49673960A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2-ACA4-42F2-AF4F-DF9CBA922816}"/>
                </c:ext>
              </c:extLst>
            </c:dLbl>
            <c:dLbl>
              <c:idx val="194"/>
              <c:tx>
                <c:rich>
                  <a:bodyPr/>
                  <a:lstStyle/>
                  <a:p>
                    <a:fld id="{7CBE5C15-CEA0-4A24-8675-584A75239A1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3-ACA4-42F2-AF4F-DF9CBA922816}"/>
                </c:ext>
              </c:extLst>
            </c:dLbl>
            <c:dLbl>
              <c:idx val="195"/>
              <c:tx>
                <c:rich>
                  <a:bodyPr/>
                  <a:lstStyle/>
                  <a:p>
                    <a:fld id="{36AD3899-6EA6-43D3-B222-D81C07EDF6B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4-ACA4-42F2-AF4F-DF9CBA922816}"/>
                </c:ext>
              </c:extLst>
            </c:dLbl>
            <c:dLbl>
              <c:idx val="196"/>
              <c:tx>
                <c:rich>
                  <a:bodyPr/>
                  <a:lstStyle/>
                  <a:p>
                    <a:fld id="{6C2B8542-5C54-485D-AC4F-1E4253A5284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5-ACA4-42F2-AF4F-DF9CBA922816}"/>
                </c:ext>
              </c:extLst>
            </c:dLbl>
            <c:dLbl>
              <c:idx val="197"/>
              <c:tx>
                <c:rich>
                  <a:bodyPr/>
                  <a:lstStyle/>
                  <a:p>
                    <a:fld id="{A6154080-4DBA-4682-BB5B-7D701B1BD30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6-ACA4-42F2-AF4F-DF9CBA922816}"/>
                </c:ext>
              </c:extLst>
            </c:dLbl>
            <c:dLbl>
              <c:idx val="198"/>
              <c:tx>
                <c:rich>
                  <a:bodyPr/>
                  <a:lstStyle/>
                  <a:p>
                    <a:fld id="{08C7DCE7-EE9F-4277-87CF-E60B64FF3D0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7-ACA4-42F2-AF4F-DF9CBA922816}"/>
                </c:ext>
              </c:extLst>
            </c:dLbl>
            <c:dLbl>
              <c:idx val="199"/>
              <c:tx>
                <c:rich>
                  <a:bodyPr/>
                  <a:lstStyle/>
                  <a:p>
                    <a:fld id="{0484E6DD-D362-4677-A0E4-31A84AC9734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8-ACA4-42F2-AF4F-DF9CBA922816}"/>
                </c:ext>
              </c:extLst>
            </c:dLbl>
            <c:dLbl>
              <c:idx val="200"/>
              <c:tx>
                <c:rich>
                  <a:bodyPr/>
                  <a:lstStyle/>
                  <a:p>
                    <a:fld id="{0AD532FB-AC04-496B-B492-945A03305B3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9-ACA4-42F2-AF4F-DF9CBA922816}"/>
                </c:ext>
              </c:extLst>
            </c:dLbl>
            <c:dLbl>
              <c:idx val="201"/>
              <c:tx>
                <c:rich>
                  <a:bodyPr/>
                  <a:lstStyle/>
                  <a:p>
                    <a:fld id="{A1415B88-C4A5-4B09-A480-907356C18C2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A-ACA4-42F2-AF4F-DF9CBA922816}"/>
                </c:ext>
              </c:extLst>
            </c:dLbl>
            <c:dLbl>
              <c:idx val="202"/>
              <c:tx>
                <c:rich>
                  <a:bodyPr/>
                  <a:lstStyle/>
                  <a:p>
                    <a:fld id="{9A4E00C4-7362-46EE-AD62-15BEAB6F785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B-ACA4-42F2-AF4F-DF9CBA922816}"/>
                </c:ext>
              </c:extLst>
            </c:dLbl>
            <c:dLbl>
              <c:idx val="203"/>
              <c:tx>
                <c:rich>
                  <a:bodyPr/>
                  <a:lstStyle/>
                  <a:p>
                    <a:fld id="{6824A9F8-0863-4EA9-A228-8E9CB7745B2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C-ACA4-42F2-AF4F-DF9CBA922816}"/>
                </c:ext>
              </c:extLst>
            </c:dLbl>
            <c:dLbl>
              <c:idx val="204"/>
              <c:tx>
                <c:rich>
                  <a:bodyPr/>
                  <a:lstStyle/>
                  <a:p>
                    <a:fld id="{541143F2-076A-4A0B-B1F7-73FFBFB9855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D-ACA4-42F2-AF4F-DF9CBA922816}"/>
                </c:ext>
              </c:extLst>
            </c:dLbl>
            <c:dLbl>
              <c:idx val="205"/>
              <c:tx>
                <c:rich>
                  <a:bodyPr/>
                  <a:lstStyle/>
                  <a:p>
                    <a:fld id="{6CBC174F-19A4-4FC3-92AE-BD4908FECD9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E-ACA4-42F2-AF4F-DF9CBA922816}"/>
                </c:ext>
              </c:extLst>
            </c:dLbl>
            <c:dLbl>
              <c:idx val="206"/>
              <c:tx>
                <c:rich>
                  <a:bodyPr/>
                  <a:lstStyle/>
                  <a:p>
                    <a:fld id="{864A602D-03E6-438B-8012-A6B2A46FB34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F-ACA4-42F2-AF4F-DF9CBA922816}"/>
                </c:ext>
              </c:extLst>
            </c:dLbl>
            <c:dLbl>
              <c:idx val="207"/>
              <c:tx>
                <c:rich>
                  <a:bodyPr/>
                  <a:lstStyle/>
                  <a:p>
                    <a:fld id="{0D03E535-3093-4BDB-A485-D48B66D5F59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0-ACA4-42F2-AF4F-DF9CBA922816}"/>
                </c:ext>
              </c:extLst>
            </c:dLbl>
            <c:dLbl>
              <c:idx val="208"/>
              <c:tx>
                <c:rich>
                  <a:bodyPr/>
                  <a:lstStyle/>
                  <a:p>
                    <a:fld id="{96A18C6E-F29E-47A9-83BC-BF9DE5BF392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1-ACA4-42F2-AF4F-DF9CBA922816}"/>
                </c:ext>
              </c:extLst>
            </c:dLbl>
            <c:dLbl>
              <c:idx val="209"/>
              <c:tx>
                <c:rich>
                  <a:bodyPr/>
                  <a:lstStyle/>
                  <a:p>
                    <a:fld id="{CC6D4C58-2015-414F-8427-EDB7A688885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2-ACA4-42F2-AF4F-DF9CBA922816}"/>
                </c:ext>
              </c:extLst>
            </c:dLbl>
            <c:dLbl>
              <c:idx val="210"/>
              <c:tx>
                <c:rich>
                  <a:bodyPr/>
                  <a:lstStyle/>
                  <a:p>
                    <a:fld id="{5D7FC201-CFE7-476A-8C96-8447C81EEA8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3-ACA4-42F2-AF4F-DF9CBA922816}"/>
                </c:ext>
              </c:extLst>
            </c:dLbl>
            <c:dLbl>
              <c:idx val="211"/>
              <c:tx>
                <c:rich>
                  <a:bodyPr/>
                  <a:lstStyle/>
                  <a:p>
                    <a:fld id="{CFA74781-2AF5-49D1-AC20-5B2F9DC9433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4-ACA4-42F2-AF4F-DF9CBA922816}"/>
                </c:ext>
              </c:extLst>
            </c:dLbl>
            <c:dLbl>
              <c:idx val="212"/>
              <c:tx>
                <c:rich>
                  <a:bodyPr/>
                  <a:lstStyle/>
                  <a:p>
                    <a:fld id="{368364E2-C943-4A84-A77D-79C78B51FDB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5-ACA4-42F2-AF4F-DF9CBA922816}"/>
                </c:ext>
              </c:extLst>
            </c:dLbl>
            <c:dLbl>
              <c:idx val="213"/>
              <c:tx>
                <c:rich>
                  <a:bodyPr/>
                  <a:lstStyle/>
                  <a:p>
                    <a:fld id="{8AE0448C-F0EE-4AF7-BD65-ABF047488FF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6-ACA4-42F2-AF4F-DF9CBA922816}"/>
                </c:ext>
              </c:extLst>
            </c:dLbl>
            <c:dLbl>
              <c:idx val="214"/>
              <c:tx>
                <c:rich>
                  <a:bodyPr/>
                  <a:lstStyle/>
                  <a:p>
                    <a:fld id="{A299480A-E191-42EE-B9C7-EBD3F489624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7-ACA4-42F2-AF4F-DF9CBA922816}"/>
                </c:ext>
              </c:extLst>
            </c:dLbl>
            <c:dLbl>
              <c:idx val="215"/>
              <c:tx>
                <c:rich>
                  <a:bodyPr/>
                  <a:lstStyle/>
                  <a:p>
                    <a:fld id="{215566E4-2A27-46E9-8AEC-BC685D2660E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8-ACA4-42F2-AF4F-DF9CBA922816}"/>
                </c:ext>
              </c:extLst>
            </c:dLbl>
            <c:dLbl>
              <c:idx val="216"/>
              <c:tx>
                <c:rich>
                  <a:bodyPr/>
                  <a:lstStyle/>
                  <a:p>
                    <a:fld id="{7B5549E6-0F01-4B4E-81DE-2ECD167083D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9-ACA4-42F2-AF4F-DF9CBA922816}"/>
                </c:ext>
              </c:extLst>
            </c:dLbl>
            <c:dLbl>
              <c:idx val="217"/>
              <c:tx>
                <c:rich>
                  <a:bodyPr/>
                  <a:lstStyle/>
                  <a:p>
                    <a:fld id="{FBF97DCE-2F7B-4C28-84B0-24672AC99E0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A-ACA4-42F2-AF4F-DF9CBA922816}"/>
                </c:ext>
              </c:extLst>
            </c:dLbl>
            <c:dLbl>
              <c:idx val="218"/>
              <c:tx>
                <c:rich>
                  <a:bodyPr/>
                  <a:lstStyle/>
                  <a:p>
                    <a:fld id="{5C463E11-3F1B-4210-A880-32406AD00A3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B-ACA4-42F2-AF4F-DF9CBA922816}"/>
                </c:ext>
              </c:extLst>
            </c:dLbl>
            <c:dLbl>
              <c:idx val="219"/>
              <c:tx>
                <c:rich>
                  <a:bodyPr/>
                  <a:lstStyle/>
                  <a:p>
                    <a:fld id="{526CF622-1A75-471F-9FA7-BF17BEF520C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C-ACA4-42F2-AF4F-DF9CBA922816}"/>
                </c:ext>
              </c:extLst>
            </c:dLbl>
            <c:dLbl>
              <c:idx val="220"/>
              <c:tx>
                <c:rich>
                  <a:bodyPr/>
                  <a:lstStyle/>
                  <a:p>
                    <a:fld id="{0CE0052C-7D59-41C8-B37F-1921148A55B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D-ACA4-42F2-AF4F-DF9CBA922816}"/>
                </c:ext>
              </c:extLst>
            </c:dLbl>
            <c:dLbl>
              <c:idx val="221"/>
              <c:tx>
                <c:rich>
                  <a:bodyPr/>
                  <a:lstStyle/>
                  <a:p>
                    <a:fld id="{30C247BA-4181-4293-8107-F24DA0CFCA0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E-ACA4-42F2-AF4F-DF9CBA922816}"/>
                </c:ext>
              </c:extLst>
            </c:dLbl>
            <c:dLbl>
              <c:idx val="222"/>
              <c:tx>
                <c:rich>
                  <a:bodyPr/>
                  <a:lstStyle/>
                  <a:p>
                    <a:fld id="{347319E4-5375-4B8E-AD07-5ACC4371288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F-ACA4-42F2-AF4F-DF9CBA922816}"/>
                </c:ext>
              </c:extLst>
            </c:dLbl>
            <c:dLbl>
              <c:idx val="223"/>
              <c:tx>
                <c:rich>
                  <a:bodyPr/>
                  <a:lstStyle/>
                  <a:p>
                    <a:fld id="{603CD4EC-E41E-4967-A002-FFA3F3C672B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0-ACA4-42F2-AF4F-DF9CBA922816}"/>
                </c:ext>
              </c:extLst>
            </c:dLbl>
            <c:dLbl>
              <c:idx val="224"/>
              <c:tx>
                <c:rich>
                  <a:bodyPr/>
                  <a:lstStyle/>
                  <a:p>
                    <a:fld id="{7A4D6E7B-8618-4A81-8D09-C933A1A7213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1-ACA4-42F2-AF4F-DF9CBA922816}"/>
                </c:ext>
              </c:extLst>
            </c:dLbl>
            <c:dLbl>
              <c:idx val="225"/>
              <c:tx>
                <c:rich>
                  <a:bodyPr/>
                  <a:lstStyle/>
                  <a:p>
                    <a:fld id="{1A373638-ED42-4471-BF47-D78AE58B6B4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2-ACA4-42F2-AF4F-DF9CBA922816}"/>
                </c:ext>
              </c:extLst>
            </c:dLbl>
            <c:dLbl>
              <c:idx val="226"/>
              <c:tx>
                <c:rich>
                  <a:bodyPr/>
                  <a:lstStyle/>
                  <a:p>
                    <a:fld id="{09704C2A-A5E5-43D7-B9A9-10CA7F2DEFD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3-ACA4-42F2-AF4F-DF9CBA922816}"/>
                </c:ext>
              </c:extLst>
            </c:dLbl>
            <c:dLbl>
              <c:idx val="227"/>
              <c:tx>
                <c:rich>
                  <a:bodyPr/>
                  <a:lstStyle/>
                  <a:p>
                    <a:fld id="{B15D1ECD-7ECD-4F77-AC15-F361E4AD7DE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4-ACA4-42F2-AF4F-DF9CBA922816}"/>
                </c:ext>
              </c:extLst>
            </c:dLbl>
            <c:dLbl>
              <c:idx val="228"/>
              <c:tx>
                <c:rich>
                  <a:bodyPr/>
                  <a:lstStyle/>
                  <a:p>
                    <a:fld id="{84D6E681-8C80-43EC-93E1-BFE60769DAA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5-ACA4-42F2-AF4F-DF9CBA922816}"/>
                </c:ext>
              </c:extLst>
            </c:dLbl>
            <c:dLbl>
              <c:idx val="229"/>
              <c:tx>
                <c:rich>
                  <a:bodyPr/>
                  <a:lstStyle/>
                  <a:p>
                    <a:fld id="{A2949DA0-E8CD-43AA-9ACE-76919A3DBB2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6-ACA4-42F2-AF4F-DF9CBA922816}"/>
                </c:ext>
              </c:extLst>
            </c:dLbl>
            <c:dLbl>
              <c:idx val="230"/>
              <c:tx>
                <c:rich>
                  <a:bodyPr/>
                  <a:lstStyle/>
                  <a:p>
                    <a:fld id="{B0971609-7CFD-4C5A-911B-BC8665C7019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7-ACA4-42F2-AF4F-DF9CBA922816}"/>
                </c:ext>
              </c:extLst>
            </c:dLbl>
            <c:dLbl>
              <c:idx val="231"/>
              <c:tx>
                <c:rich>
                  <a:bodyPr/>
                  <a:lstStyle/>
                  <a:p>
                    <a:fld id="{3A9B1692-4ECB-4DDE-B05C-2D0E39CC89C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8-ACA4-42F2-AF4F-DF9CBA922816}"/>
                </c:ext>
              </c:extLst>
            </c:dLbl>
            <c:dLbl>
              <c:idx val="232"/>
              <c:tx>
                <c:rich>
                  <a:bodyPr/>
                  <a:lstStyle/>
                  <a:p>
                    <a:fld id="{887F71D1-5827-4404-82A1-48F72403E9D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9-ACA4-42F2-AF4F-DF9CBA922816}"/>
                </c:ext>
              </c:extLst>
            </c:dLbl>
            <c:dLbl>
              <c:idx val="233"/>
              <c:tx>
                <c:rich>
                  <a:bodyPr/>
                  <a:lstStyle/>
                  <a:p>
                    <a:fld id="{9A9D91AC-AE77-4B54-8330-85139BA6D6B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A-ACA4-42F2-AF4F-DF9CBA922816}"/>
                </c:ext>
              </c:extLst>
            </c:dLbl>
            <c:dLbl>
              <c:idx val="234"/>
              <c:tx>
                <c:rich>
                  <a:bodyPr/>
                  <a:lstStyle/>
                  <a:p>
                    <a:fld id="{A1B4B4DA-C23C-415D-9A23-414D734D290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B-ACA4-42F2-AF4F-DF9CBA922816}"/>
                </c:ext>
              </c:extLst>
            </c:dLbl>
            <c:dLbl>
              <c:idx val="235"/>
              <c:tx>
                <c:rich>
                  <a:bodyPr/>
                  <a:lstStyle/>
                  <a:p>
                    <a:fld id="{3D186A0F-16BE-4CF0-91DF-9FE7194363F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C-ACA4-42F2-AF4F-DF9CBA922816}"/>
                </c:ext>
              </c:extLst>
            </c:dLbl>
            <c:dLbl>
              <c:idx val="236"/>
              <c:tx>
                <c:rich>
                  <a:bodyPr/>
                  <a:lstStyle/>
                  <a:p>
                    <a:fld id="{62318F47-AEEF-49A9-99AB-60F35E872CB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D-ACA4-42F2-AF4F-DF9CBA922816}"/>
                </c:ext>
              </c:extLst>
            </c:dLbl>
            <c:dLbl>
              <c:idx val="237"/>
              <c:tx>
                <c:rich>
                  <a:bodyPr/>
                  <a:lstStyle/>
                  <a:p>
                    <a:fld id="{08528154-2FAE-4A2A-AC5E-A3DE27819FE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E-ACA4-42F2-AF4F-DF9CBA922816}"/>
                </c:ext>
              </c:extLst>
            </c:dLbl>
            <c:dLbl>
              <c:idx val="238"/>
              <c:tx>
                <c:rich>
                  <a:bodyPr/>
                  <a:lstStyle/>
                  <a:p>
                    <a:fld id="{592493CE-7439-44BD-91DE-8DE81D47DAE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F-ACA4-42F2-AF4F-DF9CBA922816}"/>
                </c:ext>
              </c:extLst>
            </c:dLbl>
            <c:dLbl>
              <c:idx val="239"/>
              <c:tx>
                <c:rich>
                  <a:bodyPr/>
                  <a:lstStyle/>
                  <a:p>
                    <a:fld id="{709440E7-51EB-4ED4-B306-CD8DED7DE69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0-ACA4-42F2-AF4F-DF9CBA922816}"/>
                </c:ext>
              </c:extLst>
            </c:dLbl>
            <c:dLbl>
              <c:idx val="240"/>
              <c:tx>
                <c:rich>
                  <a:bodyPr/>
                  <a:lstStyle/>
                  <a:p>
                    <a:fld id="{FD2A8A75-C8E7-4821-96C3-E65624E0301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1-ACA4-42F2-AF4F-DF9CBA922816}"/>
                </c:ext>
              </c:extLst>
            </c:dLbl>
            <c:dLbl>
              <c:idx val="241"/>
              <c:tx>
                <c:rich>
                  <a:bodyPr/>
                  <a:lstStyle/>
                  <a:p>
                    <a:fld id="{433E245F-146C-44EE-B560-99214B2FA3B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2-ACA4-42F2-AF4F-DF9CBA922816}"/>
                </c:ext>
              </c:extLst>
            </c:dLbl>
            <c:dLbl>
              <c:idx val="242"/>
              <c:tx>
                <c:rich>
                  <a:bodyPr/>
                  <a:lstStyle/>
                  <a:p>
                    <a:fld id="{BBF10376-280C-4AD9-928A-B18880E6DCC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3-ACA4-42F2-AF4F-DF9CBA922816}"/>
                </c:ext>
              </c:extLst>
            </c:dLbl>
            <c:dLbl>
              <c:idx val="243"/>
              <c:tx>
                <c:rich>
                  <a:bodyPr/>
                  <a:lstStyle/>
                  <a:p>
                    <a:fld id="{CED80522-85A5-41A4-8961-FE395018D40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4-ACA4-42F2-AF4F-DF9CBA922816}"/>
                </c:ext>
              </c:extLst>
            </c:dLbl>
            <c:dLbl>
              <c:idx val="244"/>
              <c:tx>
                <c:rich>
                  <a:bodyPr/>
                  <a:lstStyle/>
                  <a:p>
                    <a:fld id="{B3217176-3937-470A-8C26-E8E3026E6C8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5-ACA4-42F2-AF4F-DF9CBA922816}"/>
                </c:ext>
              </c:extLst>
            </c:dLbl>
            <c:dLbl>
              <c:idx val="245"/>
              <c:tx>
                <c:rich>
                  <a:bodyPr/>
                  <a:lstStyle/>
                  <a:p>
                    <a:fld id="{E031BD64-BFBD-4BE6-B3EE-78518C82FB2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6-ACA4-42F2-AF4F-DF9CBA922816}"/>
                </c:ext>
              </c:extLst>
            </c:dLbl>
            <c:dLbl>
              <c:idx val="246"/>
              <c:tx>
                <c:rich>
                  <a:bodyPr/>
                  <a:lstStyle/>
                  <a:p>
                    <a:fld id="{C6F6E97E-5F5B-4711-AE1D-0C7DCF8D3F6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7-ACA4-42F2-AF4F-DF9CBA922816}"/>
                </c:ext>
              </c:extLst>
            </c:dLbl>
            <c:dLbl>
              <c:idx val="247"/>
              <c:tx>
                <c:rich>
                  <a:bodyPr/>
                  <a:lstStyle/>
                  <a:p>
                    <a:fld id="{670A62D7-CF66-468F-B3E0-6489CC1A6E6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8-ACA4-42F2-AF4F-DF9CBA922816}"/>
                </c:ext>
              </c:extLst>
            </c:dLbl>
            <c:dLbl>
              <c:idx val="248"/>
              <c:tx>
                <c:rich>
                  <a:bodyPr/>
                  <a:lstStyle/>
                  <a:p>
                    <a:fld id="{CCF3D9BB-9F4C-41D3-B95F-F6BC2A4B1FA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9-ACA4-42F2-AF4F-DF9CBA922816}"/>
                </c:ext>
              </c:extLst>
            </c:dLbl>
            <c:dLbl>
              <c:idx val="249"/>
              <c:tx>
                <c:rich>
                  <a:bodyPr/>
                  <a:lstStyle/>
                  <a:p>
                    <a:fld id="{04B5AF8E-D541-416E-B1B3-ACA36CAA1DA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A-ACA4-42F2-AF4F-DF9CBA922816}"/>
                </c:ext>
              </c:extLst>
            </c:dLbl>
            <c:dLbl>
              <c:idx val="250"/>
              <c:tx>
                <c:rich>
                  <a:bodyPr/>
                  <a:lstStyle/>
                  <a:p>
                    <a:fld id="{E0C4BF5C-2105-4C70-8BBF-55CC354DD1A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B-ACA4-42F2-AF4F-DF9CBA922816}"/>
                </c:ext>
              </c:extLst>
            </c:dLbl>
            <c:dLbl>
              <c:idx val="251"/>
              <c:tx>
                <c:rich>
                  <a:bodyPr/>
                  <a:lstStyle/>
                  <a:p>
                    <a:fld id="{2A388BAC-EC5B-4731-B13D-8FD08003531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C-ACA4-42F2-AF4F-DF9CBA922816}"/>
                </c:ext>
              </c:extLst>
            </c:dLbl>
            <c:dLbl>
              <c:idx val="252"/>
              <c:tx>
                <c:rich>
                  <a:bodyPr/>
                  <a:lstStyle/>
                  <a:p>
                    <a:fld id="{AC10CB2B-67C6-45A6-8AD2-420E718527A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D-ACA4-42F2-AF4F-DF9CBA922816}"/>
                </c:ext>
              </c:extLst>
            </c:dLbl>
            <c:dLbl>
              <c:idx val="253"/>
              <c:tx>
                <c:rich>
                  <a:bodyPr/>
                  <a:lstStyle/>
                  <a:p>
                    <a:fld id="{4D4C454A-C3B9-443A-A168-6E637AED934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E-ACA4-42F2-AF4F-DF9CBA922816}"/>
                </c:ext>
              </c:extLst>
            </c:dLbl>
            <c:dLbl>
              <c:idx val="254"/>
              <c:tx>
                <c:rich>
                  <a:bodyPr/>
                  <a:lstStyle/>
                  <a:p>
                    <a:fld id="{AFD136EE-FC0C-4943-B6AF-96362F79F9B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F-ACA4-42F2-AF4F-DF9CBA92281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f>[0]!BxHist</c:f>
              <c:strCache>
                <c:ptCount val="255"/>
                <c:pt idx="0">
                  <c:v>-11.07</c:v>
                </c:pt>
                <c:pt idx="17">
                  <c:v>-9.34</c:v>
                </c:pt>
                <c:pt idx="34">
                  <c:v>-7.62</c:v>
                </c:pt>
                <c:pt idx="51">
                  <c:v>-5.9</c:v>
                </c:pt>
                <c:pt idx="68">
                  <c:v>-4.18</c:v>
                </c:pt>
                <c:pt idx="85">
                  <c:v>-2.45</c:v>
                </c:pt>
                <c:pt idx="102">
                  <c:v>-0.73</c:v>
                </c:pt>
                <c:pt idx="119">
                  <c:v>0.99</c:v>
                </c:pt>
                <c:pt idx="136">
                  <c:v>2.72</c:v>
                </c:pt>
                <c:pt idx="153">
                  <c:v>4.44</c:v>
                </c:pt>
                <c:pt idx="170">
                  <c:v>6.16</c:v>
                </c:pt>
                <c:pt idx="187">
                  <c:v>7.88</c:v>
                </c:pt>
                <c:pt idx="204">
                  <c:v>9.61</c:v>
                </c:pt>
                <c:pt idx="221">
                  <c:v>11.33</c:v>
                </c:pt>
                <c:pt idx="238">
                  <c:v>13.05</c:v>
                </c:pt>
                <c:pt idx="254">
                  <c:v>14.77</c:v>
                </c:pt>
              </c:strCache>
            </c:strRef>
          </c:cat>
          <c:val>
            <c:numRef>
              <c:f>[0]!BzHist</c:f>
              <c:numCache>
                <c:formatCode>General</c:formatCode>
                <c:ptCount val="255"/>
                <c:pt idx="0">
                  <c:v>4.4318484119380075E-3</c:v>
                </c:pt>
                <c:pt idx="1">
                  <c:v>4.7559852950567272E-3</c:v>
                </c:pt>
                <c:pt idx="2">
                  <c:v>5.1009817796137192E-3</c:v>
                </c:pt>
                <c:pt idx="3">
                  <c:v>5.4679521393008702E-3</c:v>
                </c:pt>
                <c:pt idx="4">
                  <c:v>5.8580530466154357E-3</c:v>
                </c:pt>
                <c:pt idx="5">
                  <c:v>6.2724839501383011E-3</c:v>
                </c:pt>
                <c:pt idx="6">
                  <c:v>6.7124873553275682E-3</c:v>
                </c:pt>
                <c:pt idx="7">
                  <c:v>7.1793490009733575E-3</c:v>
                </c:pt>
                <c:pt idx="8">
                  <c:v>7.674397923323451E-3</c:v>
                </c:pt>
                <c:pt idx="9">
                  <c:v>8.1990063997801985E-3</c:v>
                </c:pt>
                <c:pt idx="10">
                  <c:v>8.754589763990156E-3</c:v>
                </c:pt>
                <c:pt idx="11">
                  <c:v>9.3426060841007019E-3</c:v>
                </c:pt>
                <c:pt idx="12">
                  <c:v>9.9645556959455598E-3</c:v>
                </c:pt>
                <c:pt idx="13">
                  <c:v>1.0621980582946014E-2</c:v>
                </c:pt>
                <c:pt idx="14">
                  <c:v>1.1316463594578965E-2</c:v>
                </c:pt>
                <c:pt idx="15">
                  <c:v>1.2049627495369133E-2</c:v>
                </c:pt>
                <c:pt idx="16">
                  <c:v>1.2823133836513139E-2</c:v>
                </c:pt>
                <c:pt idx="17">
                  <c:v>1.3638681642439747E-2</c:v>
                </c:pt>
                <c:pt idx="18">
                  <c:v>1.449800590485566E-2</c:v>
                </c:pt>
                <c:pt idx="19">
                  <c:v>1.54028758771209E-2</c:v>
                </c:pt>
                <c:pt idx="20">
                  <c:v>1.6355093162145264E-2</c:v>
                </c:pt>
                <c:pt idx="21">
                  <c:v>1.7356489587397227E-2</c:v>
                </c:pt>
                <c:pt idx="22">
                  <c:v>1.840892486107203E-2</c:v>
                </c:pt>
                <c:pt idx="23">
                  <c:v>1.9514284003976069E-2</c:v>
                </c:pt>
                <c:pt idx="24">
                  <c:v>2.0674474552252395E-2</c:v>
                </c:pt>
                <c:pt idx="25">
                  <c:v>2.1891423526696506E-2</c:v>
                </c:pt>
                <c:pt idx="26">
                  <c:v>2.3167074165093303E-2</c:v>
                </c:pt>
                <c:pt idx="27">
                  <c:v>2.4503382414745537E-2</c:v>
                </c:pt>
                <c:pt idx="28">
                  <c:v>2.5902313183160039E-2</c:v>
                </c:pt>
                <c:pt idx="29">
                  <c:v>2.7365836345710239E-2</c:v>
                </c:pt>
                <c:pt idx="30">
                  <c:v>2.8895922510000907E-2</c:v>
                </c:pt>
                <c:pt idx="31">
                  <c:v>3.0494538537622264E-2</c:v>
                </c:pt>
                <c:pt idx="32">
                  <c:v>3.2163642824992435E-2</c:v>
                </c:pt>
                <c:pt idx="33">
                  <c:v>3.3905180346050105E-2</c:v>
                </c:pt>
                <c:pt idx="34">
                  <c:v>3.5721077460667557E-2</c:v>
                </c:pt>
                <c:pt idx="35">
                  <c:v>3.7613236493806372E-2</c:v>
                </c:pt>
                <c:pt idx="36">
                  <c:v>3.9583530091630813E-2</c:v>
                </c:pt>
                <c:pt idx="37">
                  <c:v>4.1633795362021969E-2</c:v>
                </c:pt>
                <c:pt idx="38">
                  <c:v>4.3765827808196101E-2</c:v>
                </c:pt>
                <c:pt idx="39">
                  <c:v>4.5981375065417315E-2</c:v>
                </c:pt>
                <c:pt idx="40">
                  <c:v>4.8282130452103389E-2</c:v>
                </c:pt>
                <c:pt idx="41">
                  <c:v>5.0669726347948529E-2</c:v>
                </c:pt>
                <c:pt idx="42">
                  <c:v>5.3145727413021412E-2</c:v>
                </c:pt>
                <c:pt idx="43">
                  <c:v>5.5711623663135007E-2</c:v>
                </c:pt>
                <c:pt idx="44">
                  <c:v>5.836882341812101E-2</c:v>
                </c:pt>
                <c:pt idx="45">
                  <c:v>6.1118646140966536E-2</c:v>
                </c:pt>
                <c:pt idx="46">
                  <c:v>6.3962315187079122E-2</c:v>
                </c:pt>
                <c:pt idx="47">
                  <c:v>6.6900950484229685E-2</c:v>
                </c:pt>
                <c:pt idx="48">
                  <c:v>6.9935561164973667E-2</c:v>
                </c:pt>
                <c:pt idx="49">
                  <c:v>7.3067038174560756E-2</c:v>
                </c:pt>
                <c:pt idx="50">
                  <c:v>7.6296146878504542E-2</c:v>
                </c:pt>
                <c:pt idx="51">
                  <c:v>7.9623519695089101E-2</c:v>
                </c:pt>
                <c:pt idx="52">
                  <c:v>8.3049648779127044E-2</c:v>
                </c:pt>
                <c:pt idx="53">
                  <c:v>8.6574878784251505E-2</c:v>
                </c:pt>
                <c:pt idx="54">
                  <c:v>9.0199399731906077E-2</c:v>
                </c:pt>
                <c:pt idx="55">
                  <c:v>9.392324001599342E-2</c:v>
                </c:pt>
                <c:pt idx="56">
                  <c:v>9.7746259572838501E-2</c:v>
                </c:pt>
                <c:pt idx="57">
                  <c:v>0.10166814324671321</c:v>
                </c:pt>
                <c:pt idx="58">
                  <c:v>0.10568839438164808</c:v>
                </c:pt>
                <c:pt idx="59">
                  <c:v>0.1098063286706146</c:v>
                </c:pt>
                <c:pt idx="60">
                  <c:v>0.11402106829339084</c:v>
                </c:pt>
                <c:pt idx="61">
                  <c:v>0.11833153637452416</c:v>
                </c:pt>
                <c:pt idx="62">
                  <c:v>0.12273645179276051</c:v>
                </c:pt>
                <c:pt idx="63">
                  <c:v>0.12723432437312576</c:v>
                </c:pt>
                <c:pt idx="64">
                  <c:v>0.1318234504925114</c:v>
                </c:pt>
                <c:pt idx="65">
                  <c:v>0.13650190912912655</c:v>
                </c:pt>
                <c:pt idx="66">
                  <c:v>0.14126755838553859</c:v>
                </c:pt>
                <c:pt idx="67">
                  <c:v>0.14611803251422095</c:v>
                </c:pt>
                <c:pt idx="68">
                  <c:v>0.1510507394735649</c:v>
                </c:pt>
                <c:pt idx="69">
                  <c:v>0.15606285904118991</c:v>
                </c:pt>
                <c:pt idx="70">
                  <c:v>0.16115134151010232</c:v>
                </c:pt>
                <c:pt idx="71">
                  <c:v>0.16631290699180915</c:v>
                </c:pt>
                <c:pt idx="72">
                  <c:v>0.17154404534889048</c:v>
                </c:pt>
                <c:pt idx="73">
                  <c:v>0.17684101677777864</c:v>
                </c:pt>
                <c:pt idx="74">
                  <c:v>0.18219985306058237</c:v>
                </c:pt>
                <c:pt idx="75">
                  <c:v>0.18761635950273947</c:v>
                </c:pt>
                <c:pt idx="76">
                  <c:v>0.19308611757108682</c:v>
                </c:pt>
                <c:pt idx="77">
                  <c:v>0.19860448824460644</c:v>
                </c:pt>
                <c:pt idx="78">
                  <c:v>0.20416661608765052</c:v>
                </c:pt>
                <c:pt idx="79">
                  <c:v>0.20976743405287621</c:v>
                </c:pt>
                <c:pt idx="80">
                  <c:v>0.21540166901844124</c:v>
                </c:pt>
                <c:pt idx="81">
                  <c:v>0.22106384806123056</c:v>
                </c:pt>
                <c:pt idx="82">
                  <c:v>0.22674830546502484</c:v>
                </c:pt>
                <c:pt idx="83">
                  <c:v>0.23244919045958226</c:v>
                </c:pt>
                <c:pt idx="84">
                  <c:v>0.2381604756836066</c:v>
                </c:pt>
                <c:pt idx="85">
                  <c:v>0.24387596636153336</c:v>
                </c:pt>
                <c:pt idx="86">
                  <c:v>0.24958931018098326</c:v>
                </c:pt>
                <c:pt idx="87">
                  <c:v>0.25529400785464174</c:v>
                </c:pt>
                <c:pt idx="88">
                  <c:v>0.26098342434722177</c:v>
                </c:pt>
                <c:pt idx="89">
                  <c:v>0.26665080074508374</c:v>
                </c:pt>
                <c:pt idx="90">
                  <c:v>0.27228926674302883</c:v>
                </c:pt>
                <c:pt idx="91">
                  <c:v>0.27789185371977293</c:v>
                </c:pt>
                <c:pt idx="92">
                  <c:v>0.28345150837065552</c:v>
                </c:pt>
                <c:pt idx="93">
                  <c:v>0.28896110686327098</c:v>
                </c:pt>
                <c:pt idx="94">
                  <c:v>0.29441346947892549</c:v>
                </c:pt>
                <c:pt idx="95">
                  <c:v>0.29980137570016047</c:v>
                </c:pt>
                <c:pt idx="96">
                  <c:v>0.30511757970203796</c:v>
                </c:pt>
                <c:pt idx="97">
                  <c:v>0.31035482620248367</c:v>
                </c:pt>
                <c:pt idx="98">
                  <c:v>0.31550586662473823</c:v>
                </c:pt>
                <c:pt idx="99">
                  <c:v>0.32056347552289172</c:v>
                </c:pt>
                <c:pt idx="100">
                  <c:v>0.32552046721958716</c:v>
                </c:pt>
                <c:pt idx="101">
                  <c:v>0.33036971260328207</c:v>
                </c:pt>
                <c:pt idx="102">
                  <c:v>0.33510415603097365</c:v>
                </c:pt>
                <c:pt idx="103">
                  <c:v>0.33971683228102528</c:v>
                </c:pt>
                <c:pt idx="104">
                  <c:v>0.34420088349969502</c:v>
                </c:pt>
                <c:pt idx="105">
                  <c:v>0.34854957608416842</c:v>
                </c:pt>
                <c:pt idx="106">
                  <c:v>0.35275631744434299</c:v>
                </c:pt>
                <c:pt idx="107">
                  <c:v>0.35681467258531119</c:v>
                </c:pt>
                <c:pt idx="108">
                  <c:v>0.36071838045244237</c:v>
                </c:pt>
                <c:pt idx="109">
                  <c:v>0.36446136998117984</c:v>
                </c:pt>
                <c:pt idx="110">
                  <c:v>0.36803777579414604</c:v>
                </c:pt>
                <c:pt idx="111">
                  <c:v>0.3714419534888897</c:v>
                </c:pt>
                <c:pt idx="112">
                  <c:v>0.37466849446061029</c:v>
                </c:pt>
                <c:pt idx="113">
                  <c:v>0.3777122402054594</c:v>
                </c:pt>
                <c:pt idx="114">
                  <c:v>0.38056829605153553</c:v>
                </c:pt>
                <c:pt idx="115">
                  <c:v>0.38323204426646018</c:v>
                </c:pt>
                <c:pt idx="116">
                  <c:v>0.38569915649243564</c:v>
                </c:pt>
                <c:pt idx="117">
                  <c:v>0.38796560546193709</c:v>
                </c:pt>
                <c:pt idx="118">
                  <c:v>0.39002767594966714</c:v>
                </c:pt>
                <c:pt idx="119">
                  <c:v>0.39188197491909466</c:v>
                </c:pt>
                <c:pt idx="120">
                  <c:v>0.39352544082479718</c:v>
                </c:pt>
                <c:pt idx="121">
                  <c:v>0.39495535203491233</c:v>
                </c:pt>
                <c:pt idx="122">
                  <c:v>0.39616933434126872</c:v>
                </c:pt>
                <c:pt idx="123">
                  <c:v>0.39716536752818871</c:v>
                </c:pt>
                <c:pt idx="124">
                  <c:v>0.39794179097452625</c:v>
                </c:pt>
                <c:pt idx="125">
                  <c:v>0.39849730826719421</c:v>
                </c:pt>
                <c:pt idx="126">
                  <c:v>0.39883099080824164</c:v>
                </c:pt>
                <c:pt idx="127">
                  <c:v>0.3989422804014327</c:v>
                </c:pt>
                <c:pt idx="128">
                  <c:v>0.39883099080824164</c:v>
                </c:pt>
                <c:pt idx="129">
                  <c:v>0.39849730826719421</c:v>
                </c:pt>
                <c:pt idx="130">
                  <c:v>0.39794179097452625</c:v>
                </c:pt>
                <c:pt idx="131">
                  <c:v>0.39716536752818871</c:v>
                </c:pt>
                <c:pt idx="132">
                  <c:v>0.39616933434126872</c:v>
                </c:pt>
                <c:pt idx="133">
                  <c:v>0.39495535203491233</c:v>
                </c:pt>
                <c:pt idx="134">
                  <c:v>0.39352544082479718</c:v>
                </c:pt>
                <c:pt idx="135">
                  <c:v>0.39188197491909466</c:v>
                </c:pt>
                <c:pt idx="136">
                  <c:v>0.39002767594966714</c:v>
                </c:pt>
                <c:pt idx="137">
                  <c:v>0.38796560546193709</c:v>
                </c:pt>
                <c:pt idx="138">
                  <c:v>0.38569915649243564</c:v>
                </c:pt>
                <c:pt idx="139">
                  <c:v>0.38323204426646018</c:v>
                </c:pt>
                <c:pt idx="140">
                  <c:v>0.38056829605153553</c:v>
                </c:pt>
                <c:pt idx="141">
                  <c:v>0.3777122402054594</c:v>
                </c:pt>
                <c:pt idx="142">
                  <c:v>0.37466849446061029</c:v>
                </c:pt>
                <c:pt idx="143">
                  <c:v>0.37144195348888975</c:v>
                </c:pt>
                <c:pt idx="144">
                  <c:v>0.36803777579414604</c:v>
                </c:pt>
                <c:pt idx="145">
                  <c:v>0.36446136998117984</c:v>
                </c:pt>
                <c:pt idx="146">
                  <c:v>0.36071838045244237</c:v>
                </c:pt>
                <c:pt idx="147">
                  <c:v>0.35681467258531119</c:v>
                </c:pt>
                <c:pt idx="148">
                  <c:v>0.35275631744434299</c:v>
                </c:pt>
                <c:pt idx="149">
                  <c:v>0.34854957608416842</c:v>
                </c:pt>
                <c:pt idx="150">
                  <c:v>0.34420088349969502</c:v>
                </c:pt>
                <c:pt idx="151">
                  <c:v>0.33971683228102528</c:v>
                </c:pt>
                <c:pt idx="152">
                  <c:v>0.33510415603097365</c:v>
                </c:pt>
                <c:pt idx="153">
                  <c:v>0.33036971260328218</c:v>
                </c:pt>
                <c:pt idx="154">
                  <c:v>0.32552046721958727</c:v>
                </c:pt>
                <c:pt idx="155">
                  <c:v>0.32056347552289172</c:v>
                </c:pt>
                <c:pt idx="156">
                  <c:v>0.31550586662473823</c:v>
                </c:pt>
                <c:pt idx="157">
                  <c:v>0.31035482620248367</c:v>
                </c:pt>
                <c:pt idx="158">
                  <c:v>0.30511757970203796</c:v>
                </c:pt>
                <c:pt idx="159">
                  <c:v>0.29980137570016047</c:v>
                </c:pt>
                <c:pt idx="160">
                  <c:v>0.29441346947892549</c:v>
                </c:pt>
                <c:pt idx="161">
                  <c:v>0.28896110686327098</c:v>
                </c:pt>
                <c:pt idx="162">
                  <c:v>0.28345150837065552</c:v>
                </c:pt>
                <c:pt idx="163">
                  <c:v>0.27789185371977293</c:v>
                </c:pt>
                <c:pt idx="164">
                  <c:v>0.272289266743029</c:v>
                </c:pt>
                <c:pt idx="165">
                  <c:v>0.26665080074508385</c:v>
                </c:pt>
                <c:pt idx="166">
                  <c:v>0.26098342434722177</c:v>
                </c:pt>
                <c:pt idx="167">
                  <c:v>0.25529400785464174</c:v>
                </c:pt>
                <c:pt idx="168">
                  <c:v>0.24958931018098326</c:v>
                </c:pt>
                <c:pt idx="169">
                  <c:v>0.24387596636153336</c:v>
                </c:pt>
                <c:pt idx="170">
                  <c:v>0.2381604756836066</c:v>
                </c:pt>
                <c:pt idx="171">
                  <c:v>0.23244919045958226</c:v>
                </c:pt>
                <c:pt idx="172">
                  <c:v>0.22674830546502489</c:v>
                </c:pt>
                <c:pt idx="173">
                  <c:v>0.22106384806123058</c:v>
                </c:pt>
                <c:pt idx="174">
                  <c:v>0.21540166901844132</c:v>
                </c:pt>
                <c:pt idx="175">
                  <c:v>0.20976743405287629</c:v>
                </c:pt>
                <c:pt idx="176">
                  <c:v>0.20416661608765058</c:v>
                </c:pt>
                <c:pt idx="177">
                  <c:v>0.19860448824460655</c:v>
                </c:pt>
                <c:pt idx="178">
                  <c:v>0.19308611757108693</c:v>
                </c:pt>
                <c:pt idx="179">
                  <c:v>0.18761635950273958</c:v>
                </c:pt>
                <c:pt idx="180">
                  <c:v>0.18219985306058248</c:v>
                </c:pt>
                <c:pt idx="181">
                  <c:v>0.17684101677777875</c:v>
                </c:pt>
                <c:pt idx="182">
                  <c:v>0.17154404534889039</c:v>
                </c:pt>
                <c:pt idx="183">
                  <c:v>0.16631290699180909</c:v>
                </c:pt>
                <c:pt idx="184">
                  <c:v>0.1611513415101023</c:v>
                </c:pt>
                <c:pt idx="185">
                  <c:v>0.15606285904118986</c:v>
                </c:pt>
                <c:pt idx="186">
                  <c:v>0.15105073947356487</c:v>
                </c:pt>
                <c:pt idx="187">
                  <c:v>0.1461180325142209</c:v>
                </c:pt>
                <c:pt idx="188">
                  <c:v>0.14126755838553859</c:v>
                </c:pt>
                <c:pt idx="189">
                  <c:v>0.13650190912912655</c:v>
                </c:pt>
                <c:pt idx="190">
                  <c:v>0.1318234504925114</c:v>
                </c:pt>
                <c:pt idx="191">
                  <c:v>0.12723432437312576</c:v>
                </c:pt>
                <c:pt idx="192">
                  <c:v>0.12273645179276051</c:v>
                </c:pt>
                <c:pt idx="193">
                  <c:v>0.11833153637452423</c:v>
                </c:pt>
                <c:pt idx="194">
                  <c:v>0.11402106829339088</c:v>
                </c:pt>
                <c:pt idx="195">
                  <c:v>0.10980632867061464</c:v>
                </c:pt>
                <c:pt idx="196">
                  <c:v>0.10568839438164815</c:v>
                </c:pt>
                <c:pt idx="197">
                  <c:v>0.10166814324671322</c:v>
                </c:pt>
                <c:pt idx="198">
                  <c:v>9.7746259572838598E-2</c:v>
                </c:pt>
                <c:pt idx="199">
                  <c:v>9.3923240015993517E-2</c:v>
                </c:pt>
                <c:pt idx="200">
                  <c:v>9.0199399731906132E-2</c:v>
                </c:pt>
                <c:pt idx="201">
                  <c:v>8.657487878425156E-2</c:v>
                </c:pt>
                <c:pt idx="202">
                  <c:v>8.3049648779127114E-2</c:v>
                </c:pt>
                <c:pt idx="203">
                  <c:v>7.9623519695089018E-2</c:v>
                </c:pt>
                <c:pt idx="204">
                  <c:v>7.6296146878504514E-2</c:v>
                </c:pt>
                <c:pt idx="205">
                  <c:v>7.3067038174560742E-2</c:v>
                </c:pt>
                <c:pt idx="206">
                  <c:v>6.9935561164973653E-2</c:v>
                </c:pt>
                <c:pt idx="207">
                  <c:v>6.6900950484229643E-2</c:v>
                </c:pt>
                <c:pt idx="208">
                  <c:v>6.3962315187079094E-2</c:v>
                </c:pt>
                <c:pt idx="209">
                  <c:v>6.1118646140966536E-2</c:v>
                </c:pt>
                <c:pt idx="210">
                  <c:v>5.836882341812101E-2</c:v>
                </c:pt>
                <c:pt idx="211">
                  <c:v>5.5711623663135007E-2</c:v>
                </c:pt>
                <c:pt idx="212">
                  <c:v>5.3145727413021412E-2</c:v>
                </c:pt>
                <c:pt idx="213">
                  <c:v>5.0669726347948529E-2</c:v>
                </c:pt>
                <c:pt idx="214">
                  <c:v>4.8282130452103389E-2</c:v>
                </c:pt>
                <c:pt idx="215">
                  <c:v>4.5981375065417315E-2</c:v>
                </c:pt>
                <c:pt idx="216">
                  <c:v>4.3765827808196101E-2</c:v>
                </c:pt>
                <c:pt idx="217">
                  <c:v>4.1633795362021969E-2</c:v>
                </c:pt>
                <c:pt idx="218">
                  <c:v>3.9583530091630813E-2</c:v>
                </c:pt>
                <c:pt idx="219">
                  <c:v>3.7613236493806407E-2</c:v>
                </c:pt>
                <c:pt idx="220">
                  <c:v>3.5721077460667591E-2</c:v>
                </c:pt>
                <c:pt idx="221">
                  <c:v>3.3905180346050147E-2</c:v>
                </c:pt>
                <c:pt idx="222">
                  <c:v>3.2163642824992462E-2</c:v>
                </c:pt>
                <c:pt idx="223">
                  <c:v>3.0494538537622302E-2</c:v>
                </c:pt>
                <c:pt idx="224">
                  <c:v>2.8895922510000935E-2</c:v>
                </c:pt>
                <c:pt idx="225">
                  <c:v>2.7365836345710208E-2</c:v>
                </c:pt>
                <c:pt idx="226">
                  <c:v>2.5902313183160039E-2</c:v>
                </c:pt>
                <c:pt idx="227">
                  <c:v>2.4503382414745537E-2</c:v>
                </c:pt>
                <c:pt idx="228">
                  <c:v>2.3167074165093303E-2</c:v>
                </c:pt>
                <c:pt idx="229">
                  <c:v>2.1891423526696506E-2</c:v>
                </c:pt>
                <c:pt idx="230">
                  <c:v>2.0674474552252395E-2</c:v>
                </c:pt>
                <c:pt idx="231">
                  <c:v>1.9514284003976069E-2</c:v>
                </c:pt>
                <c:pt idx="232">
                  <c:v>1.840892486107203E-2</c:v>
                </c:pt>
                <c:pt idx="233">
                  <c:v>1.7356489587397227E-2</c:v>
                </c:pt>
                <c:pt idx="234">
                  <c:v>1.6355093162145264E-2</c:v>
                </c:pt>
                <c:pt idx="235">
                  <c:v>1.54028758771209E-2</c:v>
                </c:pt>
                <c:pt idx="236">
                  <c:v>1.449800590485566E-2</c:v>
                </c:pt>
                <c:pt idx="237">
                  <c:v>1.3638681642439747E-2</c:v>
                </c:pt>
                <c:pt idx="238">
                  <c:v>1.2823133836513139E-2</c:v>
                </c:pt>
                <c:pt idx="239">
                  <c:v>1.2049627495369144E-2</c:v>
                </c:pt>
                <c:pt idx="240">
                  <c:v>1.131646359457898E-2</c:v>
                </c:pt>
                <c:pt idx="241">
                  <c:v>1.0621980582946028E-2</c:v>
                </c:pt>
                <c:pt idx="242">
                  <c:v>9.9645556959455719E-3</c:v>
                </c:pt>
                <c:pt idx="243">
                  <c:v>9.3426060841007141E-3</c:v>
                </c:pt>
                <c:pt idx="244">
                  <c:v>8.7545897639901629E-3</c:v>
                </c:pt>
                <c:pt idx="245">
                  <c:v>8.1990063997802055E-3</c:v>
                </c:pt>
                <c:pt idx="246">
                  <c:v>7.6743979233234441E-3</c:v>
                </c:pt>
                <c:pt idx="247">
                  <c:v>7.1793490009733505E-3</c:v>
                </c:pt>
                <c:pt idx="248">
                  <c:v>6.7124873553275569E-3</c:v>
                </c:pt>
                <c:pt idx="249">
                  <c:v>6.2724839501383011E-3</c:v>
                </c:pt>
                <c:pt idx="250">
                  <c:v>5.8580530466154357E-3</c:v>
                </c:pt>
                <c:pt idx="251">
                  <c:v>5.4679521393008702E-3</c:v>
                </c:pt>
                <c:pt idx="252">
                  <c:v>5.1009817796137192E-3</c:v>
                </c:pt>
                <c:pt idx="253">
                  <c:v>4.7559852950567272E-3</c:v>
                </c:pt>
                <c:pt idx="254">
                  <c:v>4.4318484119380075E-3</c:v>
                </c:pt>
              </c:numCache>
            </c:numRef>
          </c:val>
          <c:smooth val="1"/>
          <c:extLst>
            <c:ext xmlns:c15="http://schemas.microsoft.com/office/drawing/2012/chart" uri="{02D57815-91ED-43cb-92C2-25804820EDAC}">
              <c15:datalabelsRange>
                <c15:f>[0]!Bx2Hist</c15:f>
                <c15:dlblRangeCache>
                  <c:ptCount val="255"/>
                  <c:pt idx="0">
                    <c:v>-3σ</c:v>
                  </c:pt>
                  <c:pt idx="43">
                    <c:v>-2σ</c:v>
                  </c:pt>
                  <c:pt idx="85">
                    <c:v>-1σ</c:v>
                  </c:pt>
                  <c:pt idx="127">
                    <c:v>0σ</c:v>
                  </c:pt>
                  <c:pt idx="170">
                    <c:v>1σ</c:v>
                  </c:pt>
                  <c:pt idx="212">
                    <c:v>2σ</c:v>
                  </c:pt>
                  <c:pt idx="254">
                    <c:v>3σ</c:v>
                  </c:pt>
                </c15:dlblRangeCache>
              </c15:datalabelsRange>
            </c:ext>
            <c:ext xmlns:c16="http://schemas.microsoft.com/office/drawing/2014/chart" uri="{C3380CC4-5D6E-409C-BE32-E72D297353CC}">
              <c16:uniqueId val="{00000100-ACA4-42F2-AF4F-DF9CBA922816}"/>
            </c:ext>
          </c:extLst>
        </c:ser>
        <c:dLbls>
          <c:showLegendKey val="0"/>
          <c:showVal val="0"/>
          <c:showCatName val="0"/>
          <c:showSerName val="0"/>
          <c:showPercent val="0"/>
          <c:showBubbleSize val="0"/>
        </c:dLbls>
        <c:marker val="1"/>
        <c:smooth val="0"/>
        <c:axId val="247937903"/>
        <c:axId val="31931263"/>
      </c:lineChart>
      <c:catAx>
        <c:axId val="247937903"/>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900000" spcFirstLastPara="1" vertOverflow="ellipsis" wrap="square" anchor="t" anchorCtr="0"/>
          <a:lstStyle/>
          <a:p>
            <a:pPr>
              <a:defRPr sz="900" b="0" i="0" u="none" strike="noStrike" kern="1200" baseline="0">
                <a:solidFill>
                  <a:schemeClr val="tx1">
                    <a:lumMod val="65000"/>
                    <a:lumOff val="35000"/>
                  </a:schemeClr>
                </a:solidFill>
                <a:latin typeface="+mn-lt"/>
                <a:ea typeface="+mn-ea"/>
                <a:cs typeface="+mn-cs"/>
              </a:defRPr>
            </a:pPr>
            <a:endParaRPr lang="da-DK"/>
          </a:p>
        </c:txPr>
        <c:crossAx val="31931263"/>
        <c:crosses val="autoZero"/>
        <c:auto val="1"/>
        <c:lblAlgn val="ctr"/>
        <c:lblOffset val="100"/>
        <c:tickLblSkip val="1"/>
        <c:noMultiLvlLbl val="0"/>
      </c:catAx>
      <c:valAx>
        <c:axId val="31931263"/>
        <c:scaling>
          <c:orientation val="minMax"/>
        </c:scaling>
        <c:delete val="1"/>
        <c:axPos val="l"/>
        <c:numFmt formatCode="General" sourceLinked="1"/>
        <c:majorTickMark val="none"/>
        <c:minorTickMark val="none"/>
        <c:tickLblPos val="nextTo"/>
        <c:crossAx val="24793790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BeskrivendeStatistik!$BB$18</c:f>
          <c:strCache>
            <c:ptCount val="1"/>
            <c:pt idx="0">
              <c:v>Normalfraktildiagram af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1"/>
          <c:order val="0"/>
          <c:tx>
            <c:strRef>
              <c:f>BeskrivendeStatistik!$BB$20</c:f>
              <c:strCache>
                <c:ptCount val="1"/>
                <c:pt idx="0">
                  <c:v>Observationer (n = 12)</c:v>
                </c:pt>
              </c:strCache>
            </c:strRef>
          </c:tx>
          <c:spPr>
            <a:ln w="25400" cap="rnd">
              <a:noFill/>
              <a:round/>
            </a:ln>
            <a:effectLst/>
          </c:spPr>
          <c:marker>
            <c:symbol val="circle"/>
            <c:size val="7"/>
            <c:spPr>
              <a:solidFill>
                <a:schemeClr val="accent1">
                  <a:alpha val="70000"/>
                </a:schemeClr>
              </a:solidFill>
              <a:ln w="9525">
                <a:noFill/>
              </a:ln>
              <a:effectLst/>
            </c:spPr>
          </c:marker>
          <c:xVal>
            <c:numRef>
              <c:f>[0]!BsData</c:f>
              <c:numCache>
                <c:formatCode>General</c:formatCode>
                <c:ptCount val="12"/>
                <c:pt idx="0">
                  <c:v>-1.479592604535932</c:v>
                </c:pt>
                <c:pt idx="1">
                  <c:v>-1.1469596428732241</c:v>
                </c:pt>
                <c:pt idx="2">
                  <c:v>-0.89773712069108735</c:v>
                </c:pt>
                <c:pt idx="3">
                  <c:v>-0.40935481016144565</c:v>
                </c:pt>
                <c:pt idx="4">
                  <c:v>-0.30723615599325882</c:v>
                </c:pt>
                <c:pt idx="5">
                  <c:v>8.4427372017371785E-2</c:v>
                </c:pt>
                <c:pt idx="6">
                  <c:v>0.91409189597286977</c:v>
                </c:pt>
                <c:pt idx="7">
                  <c:v>1.2989587493526971</c:v>
                </c:pt>
                <c:pt idx="8">
                  <c:v>1.3803796539630533</c:v>
                </c:pt>
                <c:pt idx="9">
                  <c:v>1.8110756828005981</c:v>
                </c:pt>
                <c:pt idx="10">
                  <c:v>8</c:v>
                </c:pt>
                <c:pt idx="11">
                  <c:v>13</c:v>
                </c:pt>
              </c:numCache>
            </c:numRef>
          </c:xVal>
          <c:yVal>
            <c:numRef>
              <c:f>[0]!BfZ</c:f>
              <c:numCache>
                <c:formatCode>General</c:formatCode>
                <c:ptCount val="12"/>
                <c:pt idx="0">
                  <c:v>-1.7316643961222451</c:v>
                </c:pt>
                <c:pt idx="1">
                  <c:v>-1.1503493803760083</c:v>
                </c:pt>
                <c:pt idx="2">
                  <c:v>-0.81221780149991241</c:v>
                </c:pt>
                <c:pt idx="3">
                  <c:v>-0.54852228269809788</c:v>
                </c:pt>
                <c:pt idx="4">
                  <c:v>-0.3186393639643752</c:v>
                </c:pt>
                <c:pt idx="5">
                  <c:v>-0.10463345561407539</c:v>
                </c:pt>
                <c:pt idx="6">
                  <c:v>0.10463345561407525</c:v>
                </c:pt>
                <c:pt idx="7">
                  <c:v>0.3186393639643752</c:v>
                </c:pt>
                <c:pt idx="8">
                  <c:v>0.54852228269809822</c:v>
                </c:pt>
                <c:pt idx="9">
                  <c:v>0.81221780149991241</c:v>
                </c:pt>
                <c:pt idx="10">
                  <c:v>1.1503493803760083</c:v>
                </c:pt>
                <c:pt idx="11">
                  <c:v>1.7316643961222455</c:v>
                </c:pt>
              </c:numCache>
            </c:numRef>
          </c:yVal>
          <c:smooth val="0"/>
          <c:extLst>
            <c:ext xmlns:c16="http://schemas.microsoft.com/office/drawing/2014/chart" uri="{C3380CC4-5D6E-409C-BE32-E72D297353CC}">
              <c16:uniqueId val="{00000000-89D3-4F86-B0F4-2D5C20606D08}"/>
            </c:ext>
          </c:extLst>
        </c:ser>
        <c:ser>
          <c:idx val="0"/>
          <c:order val="1"/>
          <c:tx>
            <c:strRef>
              <c:f>BeskrivendeStatistik!$BB$22</c:f>
              <c:strCache>
                <c:ptCount val="1"/>
                <c:pt idx="0">
                  <c:v>Normalfordeling (1.854 ; 4.307)</c:v>
                </c:pt>
              </c:strCache>
            </c:strRef>
          </c:tx>
          <c:spPr>
            <a:ln w="25400" cap="rnd">
              <a:solidFill>
                <a:schemeClr val="tx1"/>
              </a:solidFill>
              <a:round/>
            </a:ln>
            <a:effectLst/>
          </c:spPr>
          <c:marker>
            <c:symbol val="none"/>
          </c:marker>
          <c:xVal>
            <c:numRef>
              <c:f>[0]!BsData</c:f>
              <c:numCache>
                <c:formatCode>General</c:formatCode>
                <c:ptCount val="12"/>
                <c:pt idx="0">
                  <c:v>-1.479592604535932</c:v>
                </c:pt>
                <c:pt idx="1">
                  <c:v>-1.1469596428732241</c:v>
                </c:pt>
                <c:pt idx="2">
                  <c:v>-0.89773712069108735</c:v>
                </c:pt>
                <c:pt idx="3">
                  <c:v>-0.40935481016144565</c:v>
                </c:pt>
                <c:pt idx="4">
                  <c:v>-0.30723615599325882</c:v>
                </c:pt>
                <c:pt idx="5">
                  <c:v>8.4427372017371785E-2</c:v>
                </c:pt>
                <c:pt idx="6">
                  <c:v>0.91409189597286977</c:v>
                </c:pt>
                <c:pt idx="7">
                  <c:v>1.2989587493526971</c:v>
                </c:pt>
                <c:pt idx="8">
                  <c:v>1.3803796539630533</c:v>
                </c:pt>
                <c:pt idx="9">
                  <c:v>1.8110756828005981</c:v>
                </c:pt>
                <c:pt idx="10">
                  <c:v>8</c:v>
                </c:pt>
                <c:pt idx="11">
                  <c:v>13</c:v>
                </c:pt>
              </c:numCache>
            </c:numRef>
          </c:xVal>
          <c:yVal>
            <c:numRef>
              <c:f>[0]!BzData</c:f>
              <c:numCache>
                <c:formatCode>General</c:formatCode>
                <c:ptCount val="12"/>
                <c:pt idx="0">
                  <c:v>-0.77401919912526185</c:v>
                </c:pt>
                <c:pt idx="1">
                  <c:v>-0.69678601922273553</c:v>
                </c:pt>
                <c:pt idx="2">
                  <c:v>-0.63891969173901442</c:v>
                </c:pt>
                <c:pt idx="3">
                  <c:v>-0.52552347669826049</c:v>
                </c:pt>
                <c:pt idx="4">
                  <c:v>-0.50181281269986555</c:v>
                </c:pt>
                <c:pt idx="5">
                  <c:v>-0.41087347954148701</c:v>
                </c:pt>
                <c:pt idx="6">
                  <c:v>-0.21823583738750846</c:v>
                </c:pt>
                <c:pt idx="7">
                  <c:v>-0.12887460638676285</c:v>
                </c:pt>
                <c:pt idx="8">
                  <c:v>-0.10996969888101016</c:v>
                </c:pt>
                <c:pt idx="9">
                  <c:v>-9.9675111476018041E-3</c:v>
                </c:pt>
                <c:pt idx="10">
                  <c:v>1.4270226861079138</c:v>
                </c:pt>
                <c:pt idx="11">
                  <c:v>2.5879596467215951</c:v>
                </c:pt>
              </c:numCache>
            </c:numRef>
          </c:yVal>
          <c:smooth val="1"/>
          <c:extLst>
            <c:ext xmlns:c16="http://schemas.microsoft.com/office/drawing/2014/chart" uri="{C3380CC4-5D6E-409C-BE32-E72D297353CC}">
              <c16:uniqueId val="{00000001-89D3-4F86-B0F4-2D5C20606D08}"/>
            </c:ext>
          </c:extLst>
        </c:ser>
        <c:dLbls>
          <c:showLegendKey val="0"/>
          <c:showVal val="0"/>
          <c:showCatName val="0"/>
          <c:showSerName val="0"/>
          <c:showPercent val="0"/>
          <c:showBubbleSize val="0"/>
        </c:dLbls>
        <c:axId val="22412559"/>
        <c:axId val="2117143967"/>
      </c:scatterChart>
      <c:valAx>
        <c:axId val="2241255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Værdier og forventede værdier i observationssæt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rgbClr val="BFBFBF"/>
            </a:solid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17143967"/>
        <c:crosses val="autoZero"/>
        <c:crossBetween val="midCat"/>
      </c:valAx>
      <c:valAx>
        <c:axId val="2117143967"/>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Standardafvigelse i normalfordeling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2412559"/>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Sandsynlighed!$Q$6</c:f>
          <c:strCache>
            <c:ptCount val="1"/>
            <c:pt idx="0">
              <c:v>Normalfordeling
(Gennemsnit = 50 ; Standardafvigelse = 20)
P(observation &lt; 66.83) = 80%
P(observation &gt; 66.83) = 20%</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9605539697501607"/>
          <c:w val="0.7982489213142222"/>
          <c:h val="0.45222910206406358"/>
        </c:manualLayout>
      </c:layout>
      <c:areaChart>
        <c:grouping val="standard"/>
        <c:varyColors val="0"/>
        <c:ser>
          <c:idx val="0"/>
          <c:order val="0"/>
          <c:tx>
            <c:strRef>
              <c:f>Sandsynlighed!$Q$8</c:f>
              <c:strCache>
                <c:ptCount val="1"/>
                <c:pt idx="0">
                  <c:v>80%
mindre end
66.83</c:v>
                </c:pt>
              </c:strCache>
            </c:strRef>
          </c:tx>
          <c:spPr>
            <a:solidFill>
              <a:schemeClr val="accent1"/>
            </a:solidFill>
            <a:ln w="25400">
              <a:noFill/>
            </a:ln>
            <a:effectLst/>
          </c:spPr>
          <c:cat>
            <c:strRef>
              <c:f>[0]!SlG</c:f>
              <c:strCache>
                <c:ptCount val="250"/>
                <c:pt idx="0">
                  <c:v>-11.8</c:v>
                </c:pt>
                <c:pt idx="25">
                  <c:v>0.61</c:v>
                </c:pt>
                <c:pt idx="50">
                  <c:v>13.02</c:v>
                </c:pt>
                <c:pt idx="75">
                  <c:v>25.43</c:v>
                </c:pt>
                <c:pt idx="100">
                  <c:v>37.84</c:v>
                </c:pt>
                <c:pt idx="125">
                  <c:v>50.25</c:v>
                </c:pt>
                <c:pt idx="150">
                  <c:v>62.66</c:v>
                </c:pt>
                <c:pt idx="175">
                  <c:v>75.07</c:v>
                </c:pt>
                <c:pt idx="200">
                  <c:v>87.48</c:v>
                </c:pt>
                <c:pt idx="225">
                  <c:v>99.89</c:v>
                </c:pt>
                <c:pt idx="249">
                  <c:v>111.8</c:v>
                </c:pt>
              </c:strCache>
            </c:strRef>
          </c:cat>
          <c:val>
            <c:numRef>
              <c:f>[0]!SyGv</c:f>
              <c:numCache>
                <c:formatCode>General</c:formatCode>
                <c:ptCount val="250"/>
                <c:pt idx="0">
                  <c:v>3.3670900770639959E-3</c:v>
                </c:pt>
                <c:pt idx="1">
                  <c:v>3.634399675604996E-3</c:v>
                </c:pt>
                <c:pt idx="2">
                  <c:v>3.9205145601637383E-3</c:v>
                </c:pt>
                <c:pt idx="3">
                  <c:v>4.2265488515956821E-3</c:v>
                </c:pt>
                <c:pt idx="4">
                  <c:v>4.5536657674760525E-3</c:v>
                </c:pt>
                <c:pt idx="5">
                  <c:v>4.9030784780939377E-3</c:v>
                </c:pt>
                <c:pt idx="6">
                  <c:v>5.2760508692726331E-3</c:v>
                </c:pt>
                <c:pt idx="7">
                  <c:v>5.6738982018815585E-3</c:v>
                </c:pt>
                <c:pt idx="8">
                  <c:v>6.0979876575868825E-3</c:v>
                </c:pt>
                <c:pt idx="9">
                  <c:v>6.5497387600978859E-3</c:v>
                </c:pt>
                <c:pt idx="10">
                  <c:v>7.0306236609098431E-3</c:v>
                </c:pt>
                <c:pt idx="11">
                  <c:v>7.5421672783237822E-3</c:v>
                </c:pt>
                <c:pt idx="12">
                  <c:v>8.085947278345074E-3</c:v>
                </c:pt>
                <c:pt idx="13">
                  <c:v>8.6635938859280798E-3</c:v>
                </c:pt>
                <c:pt idx="14">
                  <c:v>9.2767895149492557E-3</c:v>
                </c:pt>
                <c:pt idx="15">
                  <c:v>9.9272682052590783E-3</c:v>
                </c:pt>
                <c:pt idx="16">
                  <c:v>1.0616814855188389E-2</c:v>
                </c:pt>
                <c:pt idx="17">
                  <c:v>1.1347264237970188E-2</c:v>
                </c:pt>
                <c:pt idx="18">
                  <c:v>1.212049979068994E-2</c:v>
                </c:pt>
                <c:pt idx="19">
                  <c:v>1.2938452164596234E-2</c:v>
                </c:pt>
                <c:pt idx="20">
                  <c:v>1.3803097525895824E-2</c:v>
                </c:pt>
                <c:pt idx="21">
                  <c:v>1.4716455596524172E-2</c:v>
                </c:pt>
                <c:pt idx="22">
                  <c:v>1.5680587424828297E-2</c:v>
                </c:pt>
                <c:pt idx="23">
                  <c:v>1.6697592876625731E-2</c:v>
                </c:pt>
                <c:pt idx="24">
                  <c:v>1.7769607837714165E-2</c:v>
                </c:pt>
                <c:pt idx="25">
                  <c:v>1.8898801119602578E-2</c:v>
                </c:pt>
                <c:pt idx="26">
                  <c:v>2.008737106101895E-2</c:v>
                </c:pt>
                <c:pt idx="27">
                  <c:v>2.1337541818621984E-2</c:v>
                </c:pt>
                <c:pt idx="28">
                  <c:v>2.265155934130612E-2</c:v>
                </c:pt>
                <c:pt idx="29">
                  <c:v>2.403168702354121E-2</c:v>
                </c:pt>
                <c:pt idx="30">
                  <c:v>2.5480201034328312E-2</c:v>
                </c:pt>
                <c:pt idx="31">
                  <c:v>2.6999385319583014E-2</c:v>
                </c:pt>
                <c:pt idx="32">
                  <c:v>2.8591526277073009E-2</c:v>
                </c:pt>
                <c:pt idx="33">
                  <c:v>3.0258907104437256E-2</c:v>
                </c:pt>
                <c:pt idx="34">
                  <c:v>3.2003801822296514E-2</c:v>
                </c:pt>
                <c:pt idx="35">
                  <c:v>3.382846897602549E-2</c:v>
                </c:pt>
                <c:pt idx="36">
                  <c:v>3.573514502139017E-2</c:v>
                </c:pt>
                <c:pt idx="37">
                  <c:v>3.7726037400958284E-2</c:v>
                </c:pt>
                <c:pt idx="38">
                  <c:v>3.9803317319956046E-2</c:v>
                </c:pt>
                <c:pt idx="39">
                  <c:v>4.1969112232068333E-2</c:v>
                </c:pt>
                <c:pt idx="40">
                  <c:v>4.4225498047551264E-2</c:v>
                </c:pt>
                <c:pt idx="41">
                  <c:v>4.6574491077940997E-2</c:v>
                </c:pt>
                <c:pt idx="42">
                  <c:v>4.9018039733589557E-2</c:v>
                </c:pt>
                <c:pt idx="43">
                  <c:v>5.1558015992230706E-2</c:v>
                </c:pt>
                <c:pt idx="44">
                  <c:v>5.4196206658762222E-2</c:v>
                </c:pt>
                <c:pt idx="45">
                  <c:v>5.6934304438421797E-2</c:v>
                </c:pt>
                <c:pt idx="46">
                  <c:v>5.9773898847512365E-2</c:v>
                </c:pt>
                <c:pt idx="47">
                  <c:v>6.2716466987796121E-2</c:v>
                </c:pt>
                <c:pt idx="48">
                  <c:v>6.5763364212604189E-2</c:v>
                </c:pt>
                <c:pt idx="49">
                  <c:v>6.8915814714596207E-2</c:v>
                </c:pt>
                <c:pt idx="50">
                  <c:v>7.2174902066932223E-2</c:v>
                </c:pt>
                <c:pt idx="51">
                  <c:v>7.5541559751377427E-2</c:v>
                </c:pt>
                <c:pt idx="52">
                  <c:v>7.9016561708534841E-2</c:v>
                </c:pt>
                <c:pt idx="53">
                  <c:v>8.2600512946980065E-2</c:v>
                </c:pt>
                <c:pt idx="54">
                  <c:v>8.6293840249536694E-2</c:v>
                </c:pt>
                <c:pt idx="55">
                  <c:v>9.0096783016275647E-2</c:v>
                </c:pt>
                <c:pt idx="56">
                  <c:v>9.4009384285025158E-2</c:v>
                </c:pt>
                <c:pt idx="57">
                  <c:v>9.8031481971232889E-2</c:v>
                </c:pt>
                <c:pt idx="58">
                  <c:v>0.10216270036991239</c:v>
                </c:pt>
                <c:pt idx="59">
                  <c:v>0.10640244196312039</c:v>
                </c:pt>
                <c:pt idx="60">
                  <c:v>0.11074987957693934</c:v>
                </c:pt>
                <c:pt idx="61">
                  <c:v>0.11520394893226815</c:v>
                </c:pt>
                <c:pt idx="62">
                  <c:v>0.1197633416338435</c:v>
                </c:pt>
                <c:pt idx="63">
                  <c:v>0.12442649864181629</c:v>
                </c:pt>
                <c:pt idx="64">
                  <c:v>0.12919160426988183</c:v>
                </c:pt>
                <c:pt idx="65">
                  <c:v>0.13405658075340429</c:v>
                </c:pt>
                <c:pt idx="66">
                  <c:v>0.13901908343017472</c:v>
                </c:pt>
                <c:pt idx="67">
                  <c:v>0.14407649657540025</c:v>
                </c:pt>
                <c:pt idx="68">
                  <c:v>0.1492259299312233</c:v>
                </c:pt>
                <c:pt idx="69">
                  <c:v>0.15446421596953333</c:v>
                </c:pt>
                <c:pt idx="70">
                  <c:v>0.15978790792502925</c:v>
                </c:pt>
                <c:pt idx="71">
                  <c:v>0.16519327863345165</c:v>
                </c:pt>
                <c:pt idx="72">
                  <c:v>0.17067632020760465</c:v>
                </c:pt>
                <c:pt idx="73">
                  <c:v>0.17623274458125046</c:v>
                </c:pt>
                <c:pt idx="74">
                  <c:v>0.18185798494818542</c:v>
                </c:pt>
                <c:pt idx="75">
                  <c:v>0.18754719812079304</c:v>
                </c:pt>
                <c:pt idx="76">
                  <c:v>0.19329526782914905</c:v>
                </c:pt>
                <c:pt idx="77">
                  <c:v>0.199096808978308</c:v>
                </c:pt>
                <c:pt idx="78">
                  <c:v>0.20494617287776634</c:v>
                </c:pt>
                <c:pt idx="79">
                  <c:v>0.21083745345327712</c:v>
                </c:pt>
                <c:pt idx="80">
                  <c:v>0.21676449444720089</c:v>
                </c:pt>
                <c:pt idx="81">
                  <c:v>0.22272089760943917</c:v>
                </c:pt>
                <c:pt idx="82">
                  <c:v>0.2287000318767278</c:v>
                </c:pt>
                <c:pt idx="83">
                  <c:v>0.23469504353367848</c:v>
                </c:pt>
                <c:pt idx="84">
                  <c:v>0.24069886734449414</c:v>
                </c:pt>
                <c:pt idx="85">
                  <c:v>0.24670423863973287</c:v>
                </c:pt>
                <c:pt idx="86">
                  <c:v>0.25270370633791855</c:v>
                </c:pt>
                <c:pt idx="87">
                  <c:v>0.25868964687719065</c:v>
                </c:pt>
                <c:pt idx="88">
                  <c:v>0.26465427902758482</c:v>
                </c:pt>
                <c:pt idx="89">
                  <c:v>0.27058967954997648</c:v>
                </c:pt>
                <c:pt idx="90">
                  <c:v>0.27648779966320636</c:v>
                </c:pt>
                <c:pt idx="91">
                  <c:v>0.28234048227649011</c:v>
                </c:pt>
                <c:pt idx="92">
                  <c:v>0.28813947993989791</c:v>
                </c:pt>
                <c:pt idx="93">
                  <c:v>0.29387647346152357</c:v>
                </c:pt>
                <c:pt idx="94">
                  <c:v>0.29954309113595234</c:v>
                </c:pt>
                <c:pt idx="95">
                  <c:v>0.30513092852481938</c:v>
                </c:pt>
                <c:pt idx="96">
                  <c:v>0.31063156872665459</c:v>
                </c:pt>
                <c:pt idx="97">
                  <c:v>0.31603660306984627</c:v>
                </c:pt>
                <c:pt idx="98">
                  <c:v>0.32133765215946308</c:v>
                </c:pt>
                <c:pt idx="99">
                  <c:v>0.32652638720586452</c:v>
                </c:pt>
                <c:pt idx="100">
                  <c:v>0.33159455156052819</c:v>
                </c:pt>
                <c:pt idx="101">
                  <c:v>0.33653398238234966</c:v>
                </c:pt>
                <c:pt idx="102">
                  <c:v>0.34133663235583905</c:v>
                </c:pt>
                <c:pt idx="103">
                  <c:v>0.34599459138117061</c:v>
                </c:pt>
                <c:pt idx="104">
                  <c:v>0.35050010815494687</c:v>
                </c:pt>
                <c:pt idx="105">
                  <c:v>0.35484561155982908</c:v>
                </c:pt>
                <c:pt idx="106">
                  <c:v>0.35902373178087493</c:v>
                </c:pt>
                <c:pt idx="107">
                  <c:v>0.36302732106651397</c:v>
                </c:pt>
                <c:pt idx="108">
                  <c:v>0.36684947405258844</c:v>
                </c:pt>
                <c:pt idx="109">
                  <c:v>0.37048354756879887</c:v>
                </c:pt>
                <c:pt idx="110">
                  <c:v>0.37392317984820889</c:v>
                </c:pt>
                <c:pt idx="111">
                  <c:v>0.37716230906219395</c:v>
                </c:pt>
                <c:pt idx="112">
                  <c:v>0.38019519110534461</c:v>
                </c:pt>
                <c:pt idx="113">
                  <c:v>0.38301641655736096</c:v>
                </c:pt>
                <c:pt idx="114">
                  <c:v>0.38562092675188125</c:v>
                </c:pt>
                <c:pt idx="115">
                  <c:v>0.38800402888546742</c:v>
                </c:pt>
                <c:pt idx="116">
                  <c:v>0.39016141010360739</c:v>
                </c:pt>
                <c:pt idx="117">
                  <c:v>0.39208915050456949</c:v>
                </c:pt>
                <c:pt idx="118">
                  <c:v>0.39378373500623565</c:v>
                </c:pt>
                <c:pt idx="119">
                  <c:v>0.39524206402563766</c:v>
                </c:pt>
                <c:pt idx="120">
                  <c:v>0.39646146292578138</c:v>
                </c:pt>
                <c:pt idx="121">
                  <c:v>0.39743969018946163</c:v>
                </c:pt>
                <c:pt idx="122">
                  <c:v>0.3981749442851033</c:v>
                </c:pt>
                <c:pt idx="123">
                  <c:v>0.39866586919519387</c:v>
                </c:pt>
                <c:pt idx="124">
                  <c:v>0.39891155858355937</c:v>
                </c:pt>
                <c:pt idx="125">
                  <c:v>0.39891155858355937</c:v>
                </c:pt>
                <c:pt idx="126">
                  <c:v>0.39866586919519387</c:v>
                </c:pt>
                <c:pt idx="127">
                  <c:v>0.3981749442851033</c:v>
                </c:pt>
                <c:pt idx="128">
                  <c:v>0.39743969018946163</c:v>
                </c:pt>
                <c:pt idx="129">
                  <c:v>0.39646146292578144</c:v>
                </c:pt>
                <c:pt idx="130">
                  <c:v>0.39524206402563761</c:v>
                </c:pt>
                <c:pt idx="131">
                  <c:v>0.39378373500623565</c:v>
                </c:pt>
                <c:pt idx="132">
                  <c:v>0.39208915050456949</c:v>
                </c:pt>
                <c:pt idx="133">
                  <c:v>0.39016141010360739</c:v>
                </c:pt>
                <c:pt idx="134">
                  <c:v>0.38800402888546737</c:v>
                </c:pt>
                <c:pt idx="135">
                  <c:v>0.38562092675188131</c:v>
                </c:pt>
                <c:pt idx="136">
                  <c:v>0.38301641655736102</c:v>
                </c:pt>
                <c:pt idx="137">
                  <c:v>0.38019519110534461</c:v>
                </c:pt>
                <c:pt idx="138">
                  <c:v>0.37716230906219395</c:v>
                </c:pt>
                <c:pt idx="139">
                  <c:v>0.373923179848209</c:v>
                </c:pt>
                <c:pt idx="140">
                  <c:v>0.37048354756879887</c:v>
                </c:pt>
                <c:pt idx="141">
                  <c:v>0.36684947405258839</c:v>
                </c:pt>
                <c:pt idx="142">
                  <c:v>0.36302732106651397</c:v>
                </c:pt>
                <c:pt idx="143">
                  <c:v>0.35902373178087493</c:v>
                </c:pt>
                <c:pt idx="144">
                  <c:v>0.35484561155982908</c:v>
                </c:pt>
                <c:pt idx="145">
                  <c:v>0.35050010815494687</c:v>
                </c:pt>
                <c:pt idx="146">
                  <c:v>0.34599459138117078</c:v>
                </c:pt>
                <c:pt idx="147">
                  <c:v>0.341336632355839</c:v>
                </c:pt>
                <c:pt idx="148">
                  <c:v>0.33653398238234977</c:v>
                </c:pt>
                <c:pt idx="149">
                  <c:v>0.33159455156052825</c:v>
                </c:pt>
                <c:pt idx="150">
                  <c:v>0.32652638720586441</c:v>
                </c:pt>
                <c:pt idx="151">
                  <c:v>0.32133765215946308</c:v>
                </c:pt>
                <c:pt idx="152">
                  <c:v>0.31603660306984621</c:v>
                </c:pt>
                <c:pt idx="153">
                  <c:v>0.31063156872665471</c:v>
                </c:pt>
                <c:pt idx="154">
                  <c:v>0.30513092852481932</c:v>
                </c:pt>
                <c:pt idx="155">
                  <c:v>0.29954309113595246</c:v>
                </c:pt>
                <c:pt idx="156">
                  <c:v>0.29387647346152368</c:v>
                </c:pt>
                <c:pt idx="157">
                  <c:v>0.28813947993989791</c:v>
                </c:pt>
                <c:pt idx="158">
                  <c:v>0.28234048227649011</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0-82D7-4ECF-BD88-F85B0B00D0E9}"/>
            </c:ext>
          </c:extLst>
        </c:ser>
        <c:ser>
          <c:idx val="1"/>
          <c:order val="1"/>
          <c:tx>
            <c:strRef>
              <c:f>Sandsynlighed!$Q$10</c:f>
              <c:strCache>
                <c:ptCount val="1"/>
                <c:pt idx="0">
                  <c:v>20%
større end
66.83</c:v>
                </c:pt>
              </c:strCache>
            </c:strRef>
          </c:tx>
          <c:spPr>
            <a:solidFill>
              <a:schemeClr val="accent2"/>
            </a:solidFill>
            <a:ln w="25400">
              <a:noFill/>
            </a:ln>
            <a:effectLst/>
          </c:spPr>
          <c:cat>
            <c:strRef>
              <c:f>[0]!SlG</c:f>
              <c:strCache>
                <c:ptCount val="250"/>
                <c:pt idx="0">
                  <c:v>-11.8</c:v>
                </c:pt>
                <c:pt idx="25">
                  <c:v>0.61</c:v>
                </c:pt>
                <c:pt idx="50">
                  <c:v>13.02</c:v>
                </c:pt>
                <c:pt idx="75">
                  <c:v>25.43</c:v>
                </c:pt>
                <c:pt idx="100">
                  <c:v>37.84</c:v>
                </c:pt>
                <c:pt idx="125">
                  <c:v>50.25</c:v>
                </c:pt>
                <c:pt idx="150">
                  <c:v>62.66</c:v>
                </c:pt>
                <c:pt idx="175">
                  <c:v>75.07</c:v>
                </c:pt>
                <c:pt idx="200">
                  <c:v>87.48</c:v>
                </c:pt>
                <c:pt idx="225">
                  <c:v>99.89</c:v>
                </c:pt>
                <c:pt idx="249">
                  <c:v>111.8</c:v>
                </c:pt>
              </c:strCache>
            </c:strRef>
          </c:cat>
          <c:val>
            <c:numRef>
              <c:f>[0]!SyGh</c:f>
              <c:numCache>
                <c:formatCode>General</c:formatCode>
                <c:ptCount val="2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0.27648779966320658</c:v>
                </c:pt>
                <c:pt idx="160">
                  <c:v>0.27058967954997637</c:v>
                </c:pt>
                <c:pt idx="161">
                  <c:v>0.26465427902758476</c:v>
                </c:pt>
                <c:pt idx="162">
                  <c:v>0.25868964687719065</c:v>
                </c:pt>
                <c:pt idx="163">
                  <c:v>0.25270370633791855</c:v>
                </c:pt>
                <c:pt idx="164">
                  <c:v>0.24670423863973279</c:v>
                </c:pt>
                <c:pt idx="165">
                  <c:v>0.24069886734449414</c:v>
                </c:pt>
                <c:pt idx="166">
                  <c:v>0.23469504353367868</c:v>
                </c:pt>
                <c:pt idx="167">
                  <c:v>0.22870003187672769</c:v>
                </c:pt>
                <c:pt idx="168">
                  <c:v>0.22272089760943931</c:v>
                </c:pt>
                <c:pt idx="169">
                  <c:v>0.21676449444720089</c:v>
                </c:pt>
                <c:pt idx="170">
                  <c:v>0.21083745345327698</c:v>
                </c:pt>
                <c:pt idx="171">
                  <c:v>0.20494617287776634</c:v>
                </c:pt>
                <c:pt idx="172">
                  <c:v>0.19909680897830789</c:v>
                </c:pt>
                <c:pt idx="173">
                  <c:v>0.19329526782914908</c:v>
                </c:pt>
                <c:pt idx="174">
                  <c:v>0.1875471981207929</c:v>
                </c:pt>
                <c:pt idx="175">
                  <c:v>0.18185798494818547</c:v>
                </c:pt>
                <c:pt idx="176">
                  <c:v>0.17623274458125057</c:v>
                </c:pt>
                <c:pt idx="177">
                  <c:v>0.17067632020760465</c:v>
                </c:pt>
                <c:pt idx="178">
                  <c:v>0.16519327863345165</c:v>
                </c:pt>
                <c:pt idx="179">
                  <c:v>0.15978790792502937</c:v>
                </c:pt>
                <c:pt idx="180">
                  <c:v>0.15446421596953344</c:v>
                </c:pt>
                <c:pt idx="181">
                  <c:v>0.14922592993122322</c:v>
                </c:pt>
                <c:pt idx="182">
                  <c:v>0.14407649657540025</c:v>
                </c:pt>
                <c:pt idx="183">
                  <c:v>0.13901908343017472</c:v>
                </c:pt>
                <c:pt idx="184">
                  <c:v>0.13405658075340421</c:v>
                </c:pt>
                <c:pt idx="185">
                  <c:v>0.12919160426988183</c:v>
                </c:pt>
                <c:pt idx="186">
                  <c:v>0.1244264986418164</c:v>
                </c:pt>
                <c:pt idx="187">
                  <c:v>0.11976334163384346</c:v>
                </c:pt>
                <c:pt idx="188">
                  <c:v>0.11520394893226817</c:v>
                </c:pt>
                <c:pt idx="189">
                  <c:v>0.11074987957693934</c:v>
                </c:pt>
                <c:pt idx="190">
                  <c:v>0.10640244196312039</c:v>
                </c:pt>
                <c:pt idx="191">
                  <c:v>0.10216270036991239</c:v>
                </c:pt>
                <c:pt idx="192">
                  <c:v>9.8031481971232889E-2</c:v>
                </c:pt>
                <c:pt idx="193">
                  <c:v>9.4009384285025213E-2</c:v>
                </c:pt>
                <c:pt idx="194">
                  <c:v>9.009678301627555E-2</c:v>
                </c:pt>
                <c:pt idx="195">
                  <c:v>8.6293840249536694E-2</c:v>
                </c:pt>
                <c:pt idx="196">
                  <c:v>8.2600512946980065E-2</c:v>
                </c:pt>
                <c:pt idx="197">
                  <c:v>7.9016561708534841E-2</c:v>
                </c:pt>
                <c:pt idx="198">
                  <c:v>7.5541559751377427E-2</c:v>
                </c:pt>
                <c:pt idx="199">
                  <c:v>7.2174902066932334E-2</c:v>
                </c:pt>
                <c:pt idx="200">
                  <c:v>6.8915814714596221E-2</c:v>
                </c:pt>
                <c:pt idx="201">
                  <c:v>6.5763364212604133E-2</c:v>
                </c:pt>
                <c:pt idx="202">
                  <c:v>6.2716466987796121E-2</c:v>
                </c:pt>
                <c:pt idx="203">
                  <c:v>5.9773898847512365E-2</c:v>
                </c:pt>
                <c:pt idx="204">
                  <c:v>5.6934304438421797E-2</c:v>
                </c:pt>
                <c:pt idx="205">
                  <c:v>5.4196206658762222E-2</c:v>
                </c:pt>
                <c:pt idx="206">
                  <c:v>5.1558015992230748E-2</c:v>
                </c:pt>
                <c:pt idx="207">
                  <c:v>4.9018039733589508E-2</c:v>
                </c:pt>
                <c:pt idx="208">
                  <c:v>4.6574491077940997E-2</c:v>
                </c:pt>
                <c:pt idx="209">
                  <c:v>4.4225498047551264E-2</c:v>
                </c:pt>
                <c:pt idx="210">
                  <c:v>4.1969112232068333E-2</c:v>
                </c:pt>
                <c:pt idx="211">
                  <c:v>3.9803317319956046E-2</c:v>
                </c:pt>
                <c:pt idx="212">
                  <c:v>3.7726037400958284E-2</c:v>
                </c:pt>
                <c:pt idx="213">
                  <c:v>3.5735145021390198E-2</c:v>
                </c:pt>
                <c:pt idx="214">
                  <c:v>3.3828468976025428E-2</c:v>
                </c:pt>
                <c:pt idx="215">
                  <c:v>3.2003801822296514E-2</c:v>
                </c:pt>
                <c:pt idx="216">
                  <c:v>3.0258907104437256E-2</c:v>
                </c:pt>
                <c:pt idx="217">
                  <c:v>2.8591526277073009E-2</c:v>
                </c:pt>
                <c:pt idx="218">
                  <c:v>2.6999385319583014E-2</c:v>
                </c:pt>
                <c:pt idx="219">
                  <c:v>2.5480201034328333E-2</c:v>
                </c:pt>
                <c:pt idx="220">
                  <c:v>2.403168702354121E-2</c:v>
                </c:pt>
                <c:pt idx="221">
                  <c:v>2.2651559341306103E-2</c:v>
                </c:pt>
                <c:pt idx="222">
                  <c:v>2.1337541818621984E-2</c:v>
                </c:pt>
                <c:pt idx="223">
                  <c:v>2.008737106101895E-2</c:v>
                </c:pt>
                <c:pt idx="224">
                  <c:v>1.8898801119602578E-2</c:v>
                </c:pt>
                <c:pt idx="225">
                  <c:v>1.7769607837714141E-2</c:v>
                </c:pt>
                <c:pt idx="226">
                  <c:v>1.6697592876625755E-2</c:v>
                </c:pt>
                <c:pt idx="227">
                  <c:v>1.5680587424828311E-2</c:v>
                </c:pt>
                <c:pt idx="228">
                  <c:v>1.4716455596524172E-2</c:v>
                </c:pt>
                <c:pt idx="229">
                  <c:v>1.3803097525895824E-2</c:v>
                </c:pt>
                <c:pt idx="230">
                  <c:v>1.2938452164596234E-2</c:v>
                </c:pt>
                <c:pt idx="231">
                  <c:v>1.212049979068994E-2</c:v>
                </c:pt>
                <c:pt idx="232">
                  <c:v>1.1347264237970188E-2</c:v>
                </c:pt>
                <c:pt idx="233">
                  <c:v>1.0616814855188403E-2</c:v>
                </c:pt>
                <c:pt idx="234">
                  <c:v>9.9272682052590697E-3</c:v>
                </c:pt>
                <c:pt idx="235">
                  <c:v>9.2767895149492557E-3</c:v>
                </c:pt>
                <c:pt idx="236">
                  <c:v>8.6635938859280798E-3</c:v>
                </c:pt>
                <c:pt idx="237">
                  <c:v>8.0859472783450948E-3</c:v>
                </c:pt>
                <c:pt idx="238">
                  <c:v>7.5421672783237727E-3</c:v>
                </c:pt>
                <c:pt idx="239">
                  <c:v>7.0306236609098431E-3</c:v>
                </c:pt>
                <c:pt idx="240">
                  <c:v>6.5497387600978929E-3</c:v>
                </c:pt>
                <c:pt idx="241">
                  <c:v>6.0979876575868661E-3</c:v>
                </c:pt>
                <c:pt idx="242">
                  <c:v>5.6738982018815585E-3</c:v>
                </c:pt>
                <c:pt idx="243">
                  <c:v>5.2760508692726331E-3</c:v>
                </c:pt>
                <c:pt idx="244">
                  <c:v>4.9030784780939377E-3</c:v>
                </c:pt>
                <c:pt idx="245">
                  <c:v>4.5536657674760447E-3</c:v>
                </c:pt>
                <c:pt idx="246">
                  <c:v>4.2265488515956899E-3</c:v>
                </c:pt>
                <c:pt idx="247">
                  <c:v>3.9205145601637383E-3</c:v>
                </c:pt>
                <c:pt idx="248">
                  <c:v>3.634399675604996E-3</c:v>
                </c:pt>
                <c:pt idx="249">
                  <c:v>3.3670900770639959E-3</c:v>
                </c:pt>
              </c:numCache>
            </c:numRef>
          </c:val>
          <c:extLst>
            <c:ext xmlns:c16="http://schemas.microsoft.com/office/drawing/2014/chart" uri="{C3380CC4-5D6E-409C-BE32-E72D297353CC}">
              <c16:uniqueId val="{00000001-82D7-4ECF-BD88-F85B0B00D0E9}"/>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Sandsynlighed!$Q$12</c:f>
              <c:strCache>
                <c:ptCount val="1"/>
                <c:pt idx="0">
                  <c:v>Normalfordeling (50 ; 20)</c:v>
                </c:pt>
              </c:strCache>
            </c:strRef>
          </c:tx>
          <c:spPr>
            <a:ln w="28575" cap="rnd">
              <a:solidFill>
                <a:schemeClr val="bg1"/>
              </a:solidFill>
              <a:round/>
            </a:ln>
            <a:effectLst/>
          </c:spPr>
          <c:marker>
            <c:symbol val="none"/>
          </c:marker>
          <c:xVal>
            <c:numRef>
              <c:f>[0]!SxG</c:f>
              <c:numCache>
                <c:formatCode>General</c:formatCode>
                <c:ptCount val="2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numCache>
            </c:numRef>
          </c:xVal>
          <c:yVal>
            <c:numRef>
              <c:f>[0]!SyGs</c:f>
              <c:numCache>
                <c:formatCode>General</c:formatCode>
                <c:ptCount val="250"/>
                <c:pt idx="0">
                  <c:v>3.3670900770639959E-3</c:v>
                </c:pt>
                <c:pt idx="1">
                  <c:v>3.634399675604996E-3</c:v>
                </c:pt>
                <c:pt idx="2">
                  <c:v>3.9205145601637383E-3</c:v>
                </c:pt>
                <c:pt idx="3">
                  <c:v>4.2265488515956821E-3</c:v>
                </c:pt>
                <c:pt idx="4">
                  <c:v>4.5536657674760525E-3</c:v>
                </c:pt>
                <c:pt idx="5">
                  <c:v>4.9030784780939377E-3</c:v>
                </c:pt>
                <c:pt idx="6">
                  <c:v>5.2760508692726331E-3</c:v>
                </c:pt>
                <c:pt idx="7">
                  <c:v>5.6738982018815585E-3</c:v>
                </c:pt>
                <c:pt idx="8">
                  <c:v>6.0979876575868825E-3</c:v>
                </c:pt>
                <c:pt idx="9">
                  <c:v>6.5497387600978859E-3</c:v>
                </c:pt>
                <c:pt idx="10">
                  <c:v>7.0306236609098431E-3</c:v>
                </c:pt>
                <c:pt idx="11">
                  <c:v>7.5421672783237822E-3</c:v>
                </c:pt>
                <c:pt idx="12">
                  <c:v>8.085947278345074E-3</c:v>
                </c:pt>
                <c:pt idx="13">
                  <c:v>8.6635938859280798E-3</c:v>
                </c:pt>
                <c:pt idx="14">
                  <c:v>9.2767895149492557E-3</c:v>
                </c:pt>
                <c:pt idx="15">
                  <c:v>9.9272682052590783E-3</c:v>
                </c:pt>
                <c:pt idx="16">
                  <c:v>1.0616814855188389E-2</c:v>
                </c:pt>
                <c:pt idx="17">
                  <c:v>1.1347264237970188E-2</c:v>
                </c:pt>
                <c:pt idx="18">
                  <c:v>1.212049979068994E-2</c:v>
                </c:pt>
                <c:pt idx="19">
                  <c:v>1.2938452164596234E-2</c:v>
                </c:pt>
                <c:pt idx="20">
                  <c:v>1.3803097525895824E-2</c:v>
                </c:pt>
                <c:pt idx="21">
                  <c:v>1.4716455596524172E-2</c:v>
                </c:pt>
                <c:pt idx="22">
                  <c:v>1.5680587424828297E-2</c:v>
                </c:pt>
                <c:pt idx="23">
                  <c:v>1.6697592876625731E-2</c:v>
                </c:pt>
                <c:pt idx="24">
                  <c:v>1.7769607837714165E-2</c:v>
                </c:pt>
                <c:pt idx="25">
                  <c:v>1.8898801119602578E-2</c:v>
                </c:pt>
                <c:pt idx="26">
                  <c:v>2.008737106101895E-2</c:v>
                </c:pt>
                <c:pt idx="27">
                  <c:v>2.1337541818621984E-2</c:v>
                </c:pt>
                <c:pt idx="28">
                  <c:v>2.265155934130612E-2</c:v>
                </c:pt>
                <c:pt idx="29">
                  <c:v>2.403168702354121E-2</c:v>
                </c:pt>
                <c:pt idx="30">
                  <c:v>2.5480201034328312E-2</c:v>
                </c:pt>
                <c:pt idx="31">
                  <c:v>2.6999385319583014E-2</c:v>
                </c:pt>
                <c:pt idx="32">
                  <c:v>2.8591526277073009E-2</c:v>
                </c:pt>
                <c:pt idx="33">
                  <c:v>3.0258907104437256E-2</c:v>
                </c:pt>
                <c:pt idx="34">
                  <c:v>3.2003801822296514E-2</c:v>
                </c:pt>
                <c:pt idx="35">
                  <c:v>3.382846897602549E-2</c:v>
                </c:pt>
                <c:pt idx="36">
                  <c:v>3.573514502139017E-2</c:v>
                </c:pt>
                <c:pt idx="37">
                  <c:v>3.7726037400958284E-2</c:v>
                </c:pt>
                <c:pt idx="38">
                  <c:v>3.9803317319956046E-2</c:v>
                </c:pt>
                <c:pt idx="39">
                  <c:v>4.1969112232068333E-2</c:v>
                </c:pt>
                <c:pt idx="40">
                  <c:v>4.4225498047551264E-2</c:v>
                </c:pt>
                <c:pt idx="41">
                  <c:v>4.6574491077940997E-2</c:v>
                </c:pt>
                <c:pt idx="42">
                  <c:v>4.9018039733589557E-2</c:v>
                </c:pt>
                <c:pt idx="43">
                  <c:v>5.1558015992230706E-2</c:v>
                </c:pt>
                <c:pt idx="44">
                  <c:v>5.4196206658762222E-2</c:v>
                </c:pt>
                <c:pt idx="45">
                  <c:v>5.6934304438421797E-2</c:v>
                </c:pt>
                <c:pt idx="46">
                  <c:v>5.9773898847512365E-2</c:v>
                </c:pt>
                <c:pt idx="47">
                  <c:v>6.2716466987796121E-2</c:v>
                </c:pt>
                <c:pt idx="48">
                  <c:v>6.5763364212604189E-2</c:v>
                </c:pt>
                <c:pt idx="49">
                  <c:v>6.8915814714596207E-2</c:v>
                </c:pt>
                <c:pt idx="50">
                  <c:v>7.2174902066932223E-2</c:v>
                </c:pt>
                <c:pt idx="51">
                  <c:v>7.5541559751377427E-2</c:v>
                </c:pt>
                <c:pt idx="52">
                  <c:v>7.9016561708534841E-2</c:v>
                </c:pt>
                <c:pt idx="53">
                  <c:v>8.2600512946980065E-2</c:v>
                </c:pt>
                <c:pt idx="54">
                  <c:v>8.6293840249536694E-2</c:v>
                </c:pt>
                <c:pt idx="55">
                  <c:v>9.0096783016275647E-2</c:v>
                </c:pt>
                <c:pt idx="56">
                  <c:v>9.4009384285025158E-2</c:v>
                </c:pt>
                <c:pt idx="57">
                  <c:v>9.8031481971232889E-2</c:v>
                </c:pt>
                <c:pt idx="58">
                  <c:v>0.10216270036991239</c:v>
                </c:pt>
                <c:pt idx="59">
                  <c:v>0.10640244196312039</c:v>
                </c:pt>
                <c:pt idx="60">
                  <c:v>0.11074987957693934</c:v>
                </c:pt>
                <c:pt idx="61">
                  <c:v>0.11520394893226815</c:v>
                </c:pt>
                <c:pt idx="62">
                  <c:v>0.1197633416338435</c:v>
                </c:pt>
                <c:pt idx="63">
                  <c:v>0.12442649864181629</c:v>
                </c:pt>
                <c:pt idx="64">
                  <c:v>0.12919160426988183</c:v>
                </c:pt>
                <c:pt idx="65">
                  <c:v>0.13405658075340429</c:v>
                </c:pt>
                <c:pt idx="66">
                  <c:v>0.13901908343017472</c:v>
                </c:pt>
                <c:pt idx="67">
                  <c:v>0.14407649657540025</c:v>
                </c:pt>
                <c:pt idx="68">
                  <c:v>0.1492259299312233</c:v>
                </c:pt>
                <c:pt idx="69">
                  <c:v>0.15446421596953333</c:v>
                </c:pt>
                <c:pt idx="70">
                  <c:v>0.15978790792502925</c:v>
                </c:pt>
                <c:pt idx="71">
                  <c:v>0.16519327863345165</c:v>
                </c:pt>
                <c:pt idx="72">
                  <c:v>0.17067632020760465</c:v>
                </c:pt>
                <c:pt idx="73">
                  <c:v>0.17623274458125046</c:v>
                </c:pt>
                <c:pt idx="74">
                  <c:v>0.18185798494818542</c:v>
                </c:pt>
                <c:pt idx="75">
                  <c:v>0.18754719812079304</c:v>
                </c:pt>
                <c:pt idx="76">
                  <c:v>0.19329526782914905</c:v>
                </c:pt>
                <c:pt idx="77">
                  <c:v>0.199096808978308</c:v>
                </c:pt>
                <c:pt idx="78">
                  <c:v>0.20494617287776634</c:v>
                </c:pt>
                <c:pt idx="79">
                  <c:v>0.21083745345327712</c:v>
                </c:pt>
                <c:pt idx="80">
                  <c:v>0.21676449444720089</c:v>
                </c:pt>
                <c:pt idx="81">
                  <c:v>0.22272089760943917</c:v>
                </c:pt>
                <c:pt idx="82">
                  <c:v>0.2287000318767278</c:v>
                </c:pt>
                <c:pt idx="83">
                  <c:v>0.23469504353367848</c:v>
                </c:pt>
                <c:pt idx="84">
                  <c:v>0.24069886734449414</c:v>
                </c:pt>
                <c:pt idx="85">
                  <c:v>0.24670423863973287</c:v>
                </c:pt>
                <c:pt idx="86">
                  <c:v>0.25270370633791855</c:v>
                </c:pt>
                <c:pt idx="87">
                  <c:v>0.25868964687719065</c:v>
                </c:pt>
                <c:pt idx="88">
                  <c:v>0.26465427902758482</c:v>
                </c:pt>
                <c:pt idx="89">
                  <c:v>0.27058967954997648</c:v>
                </c:pt>
                <c:pt idx="90">
                  <c:v>0.27648779966320636</c:v>
                </c:pt>
                <c:pt idx="91">
                  <c:v>0.28234048227649011</c:v>
                </c:pt>
                <c:pt idx="92">
                  <c:v>0.28813947993989791</c:v>
                </c:pt>
                <c:pt idx="93">
                  <c:v>0.29387647346152357</c:v>
                </c:pt>
                <c:pt idx="94">
                  <c:v>0.29954309113595234</c:v>
                </c:pt>
                <c:pt idx="95">
                  <c:v>0.30513092852481938</c:v>
                </c:pt>
                <c:pt idx="96">
                  <c:v>0.31063156872665459</c:v>
                </c:pt>
                <c:pt idx="97">
                  <c:v>0.31603660306984627</c:v>
                </c:pt>
                <c:pt idx="98">
                  <c:v>0.32133765215946308</c:v>
                </c:pt>
                <c:pt idx="99">
                  <c:v>0.32652638720586452</c:v>
                </c:pt>
                <c:pt idx="100">
                  <c:v>0.33159455156052819</c:v>
                </c:pt>
                <c:pt idx="101">
                  <c:v>0.33653398238234966</c:v>
                </c:pt>
                <c:pt idx="102">
                  <c:v>0.34133663235583905</c:v>
                </c:pt>
                <c:pt idx="103">
                  <c:v>0.34599459138117061</c:v>
                </c:pt>
                <c:pt idx="104">
                  <c:v>0.35050010815494687</c:v>
                </c:pt>
                <c:pt idx="105">
                  <c:v>0.35484561155982908</c:v>
                </c:pt>
                <c:pt idx="106">
                  <c:v>0.35902373178087493</c:v>
                </c:pt>
                <c:pt idx="107">
                  <c:v>0.36302732106651397</c:v>
                </c:pt>
                <c:pt idx="108">
                  <c:v>0.36684947405258844</c:v>
                </c:pt>
                <c:pt idx="109">
                  <c:v>0.37048354756879887</c:v>
                </c:pt>
                <c:pt idx="110">
                  <c:v>0.37392317984820889</c:v>
                </c:pt>
                <c:pt idx="111">
                  <c:v>0.37716230906219395</c:v>
                </c:pt>
                <c:pt idx="112">
                  <c:v>0.38019519110534461</c:v>
                </c:pt>
                <c:pt idx="113">
                  <c:v>0.38301641655736096</c:v>
                </c:pt>
                <c:pt idx="114">
                  <c:v>0.38562092675188125</c:v>
                </c:pt>
                <c:pt idx="115">
                  <c:v>0.38800402888546742</c:v>
                </c:pt>
                <c:pt idx="116">
                  <c:v>0.39016141010360739</c:v>
                </c:pt>
                <c:pt idx="117">
                  <c:v>0.39208915050456949</c:v>
                </c:pt>
                <c:pt idx="118">
                  <c:v>0.39378373500623565</c:v>
                </c:pt>
                <c:pt idx="119">
                  <c:v>0.39524206402563766</c:v>
                </c:pt>
                <c:pt idx="120">
                  <c:v>0.39646146292578138</c:v>
                </c:pt>
                <c:pt idx="121">
                  <c:v>0.39743969018946163</c:v>
                </c:pt>
                <c:pt idx="122">
                  <c:v>0.3981749442851033</c:v>
                </c:pt>
                <c:pt idx="123">
                  <c:v>0.39866586919519387</c:v>
                </c:pt>
                <c:pt idx="124">
                  <c:v>0.39891155858355937</c:v>
                </c:pt>
                <c:pt idx="125">
                  <c:v>0.39891155858355937</c:v>
                </c:pt>
                <c:pt idx="126">
                  <c:v>0.39866586919519387</c:v>
                </c:pt>
                <c:pt idx="127">
                  <c:v>0.3981749442851033</c:v>
                </c:pt>
                <c:pt idx="128">
                  <c:v>0.39743969018946163</c:v>
                </c:pt>
                <c:pt idx="129">
                  <c:v>0.39646146292578144</c:v>
                </c:pt>
                <c:pt idx="130">
                  <c:v>0.39524206402563761</c:v>
                </c:pt>
                <c:pt idx="131">
                  <c:v>0.39378373500623565</c:v>
                </c:pt>
                <c:pt idx="132">
                  <c:v>0.39208915050456949</c:v>
                </c:pt>
                <c:pt idx="133">
                  <c:v>0.39016141010360739</c:v>
                </c:pt>
                <c:pt idx="134">
                  <c:v>0.38800402888546737</c:v>
                </c:pt>
                <c:pt idx="135">
                  <c:v>0.38562092675188131</c:v>
                </c:pt>
                <c:pt idx="136">
                  <c:v>0.38301641655736102</c:v>
                </c:pt>
                <c:pt idx="137">
                  <c:v>0.38019519110534461</c:v>
                </c:pt>
                <c:pt idx="138">
                  <c:v>0.37716230906219395</c:v>
                </c:pt>
                <c:pt idx="139">
                  <c:v>0.373923179848209</c:v>
                </c:pt>
                <c:pt idx="140">
                  <c:v>0.37048354756879887</c:v>
                </c:pt>
                <c:pt idx="141">
                  <c:v>0.36684947405258839</c:v>
                </c:pt>
                <c:pt idx="142">
                  <c:v>0.36302732106651397</c:v>
                </c:pt>
                <c:pt idx="143">
                  <c:v>0.35902373178087493</c:v>
                </c:pt>
                <c:pt idx="144">
                  <c:v>0.35484561155982908</c:v>
                </c:pt>
                <c:pt idx="145">
                  <c:v>0.35050010815494687</c:v>
                </c:pt>
                <c:pt idx="146">
                  <c:v>0.34599459138117078</c:v>
                </c:pt>
                <c:pt idx="147">
                  <c:v>0.341336632355839</c:v>
                </c:pt>
                <c:pt idx="148">
                  <c:v>0.33653398238234977</c:v>
                </c:pt>
                <c:pt idx="149">
                  <c:v>0.33159455156052825</c:v>
                </c:pt>
                <c:pt idx="150">
                  <c:v>0.32652638720586441</c:v>
                </c:pt>
                <c:pt idx="151">
                  <c:v>0.32133765215946308</c:v>
                </c:pt>
                <c:pt idx="152">
                  <c:v>0.31603660306984621</c:v>
                </c:pt>
                <c:pt idx="153">
                  <c:v>0.31063156872665471</c:v>
                </c:pt>
                <c:pt idx="154">
                  <c:v>0.30513092852481932</c:v>
                </c:pt>
                <c:pt idx="155">
                  <c:v>0.29954309113595246</c:v>
                </c:pt>
                <c:pt idx="156">
                  <c:v>0.29387647346152368</c:v>
                </c:pt>
                <c:pt idx="157">
                  <c:v>0.28813947993989791</c:v>
                </c:pt>
                <c:pt idx="158">
                  <c:v>0.28234048227649011</c:v>
                </c:pt>
                <c:pt idx="159">
                  <c:v>0.27648779966320658</c:v>
                </c:pt>
                <c:pt idx="160">
                  <c:v>0.27058967954997637</c:v>
                </c:pt>
                <c:pt idx="161">
                  <c:v>0.26465427902758476</c:v>
                </c:pt>
                <c:pt idx="162">
                  <c:v>0.25868964687719065</c:v>
                </c:pt>
                <c:pt idx="163">
                  <c:v>0.25270370633791855</c:v>
                </c:pt>
                <c:pt idx="164">
                  <c:v>0.24670423863973279</c:v>
                </c:pt>
                <c:pt idx="165">
                  <c:v>0.24069886734449414</c:v>
                </c:pt>
                <c:pt idx="166">
                  <c:v>0.23469504353367868</c:v>
                </c:pt>
                <c:pt idx="167">
                  <c:v>0.22870003187672769</c:v>
                </c:pt>
                <c:pt idx="168">
                  <c:v>0.22272089760943931</c:v>
                </c:pt>
                <c:pt idx="169">
                  <c:v>0.21676449444720089</c:v>
                </c:pt>
                <c:pt idx="170">
                  <c:v>0.21083745345327698</c:v>
                </c:pt>
                <c:pt idx="171">
                  <c:v>0.20494617287776634</c:v>
                </c:pt>
                <c:pt idx="172">
                  <c:v>0.19909680897830789</c:v>
                </c:pt>
                <c:pt idx="173">
                  <c:v>0.19329526782914908</c:v>
                </c:pt>
                <c:pt idx="174">
                  <c:v>0.1875471981207929</c:v>
                </c:pt>
                <c:pt idx="175">
                  <c:v>0.18185798494818547</c:v>
                </c:pt>
                <c:pt idx="176">
                  <c:v>0.17623274458125057</c:v>
                </c:pt>
                <c:pt idx="177">
                  <c:v>0.17067632020760465</c:v>
                </c:pt>
                <c:pt idx="178">
                  <c:v>0.16519327863345165</c:v>
                </c:pt>
                <c:pt idx="179">
                  <c:v>0.15978790792502937</c:v>
                </c:pt>
                <c:pt idx="180">
                  <c:v>0.15446421596953344</c:v>
                </c:pt>
                <c:pt idx="181">
                  <c:v>0.14922592993122322</c:v>
                </c:pt>
                <c:pt idx="182">
                  <c:v>0.14407649657540025</c:v>
                </c:pt>
                <c:pt idx="183">
                  <c:v>0.13901908343017472</c:v>
                </c:pt>
                <c:pt idx="184">
                  <c:v>0.13405658075340421</c:v>
                </c:pt>
                <c:pt idx="185">
                  <c:v>0.12919160426988183</c:v>
                </c:pt>
                <c:pt idx="186">
                  <c:v>0.1244264986418164</c:v>
                </c:pt>
                <c:pt idx="187">
                  <c:v>0.11976334163384346</c:v>
                </c:pt>
                <c:pt idx="188">
                  <c:v>0.11520394893226817</c:v>
                </c:pt>
                <c:pt idx="189">
                  <c:v>0.11074987957693934</c:v>
                </c:pt>
                <c:pt idx="190">
                  <c:v>0.10640244196312039</c:v>
                </c:pt>
                <c:pt idx="191">
                  <c:v>0.10216270036991239</c:v>
                </c:pt>
                <c:pt idx="192">
                  <c:v>9.8031481971232889E-2</c:v>
                </c:pt>
                <c:pt idx="193">
                  <c:v>9.4009384285025213E-2</c:v>
                </c:pt>
                <c:pt idx="194">
                  <c:v>9.009678301627555E-2</c:v>
                </c:pt>
                <c:pt idx="195">
                  <c:v>8.6293840249536694E-2</c:v>
                </c:pt>
                <c:pt idx="196">
                  <c:v>8.2600512946980065E-2</c:v>
                </c:pt>
                <c:pt idx="197">
                  <c:v>7.9016561708534841E-2</c:v>
                </c:pt>
                <c:pt idx="198">
                  <c:v>7.5541559751377427E-2</c:v>
                </c:pt>
                <c:pt idx="199">
                  <c:v>7.2174902066932334E-2</c:v>
                </c:pt>
                <c:pt idx="200">
                  <c:v>6.8915814714596221E-2</c:v>
                </c:pt>
                <c:pt idx="201">
                  <c:v>6.5763364212604133E-2</c:v>
                </c:pt>
                <c:pt idx="202">
                  <c:v>6.2716466987796121E-2</c:v>
                </c:pt>
                <c:pt idx="203">
                  <c:v>5.9773898847512365E-2</c:v>
                </c:pt>
                <c:pt idx="204">
                  <c:v>5.6934304438421797E-2</c:v>
                </c:pt>
                <c:pt idx="205">
                  <c:v>5.4196206658762222E-2</c:v>
                </c:pt>
                <c:pt idx="206">
                  <c:v>5.1558015992230748E-2</c:v>
                </c:pt>
                <c:pt idx="207">
                  <c:v>4.9018039733589508E-2</c:v>
                </c:pt>
                <c:pt idx="208">
                  <c:v>4.6574491077940997E-2</c:v>
                </c:pt>
                <c:pt idx="209">
                  <c:v>4.4225498047551264E-2</c:v>
                </c:pt>
                <c:pt idx="210">
                  <c:v>4.1969112232068333E-2</c:v>
                </c:pt>
                <c:pt idx="211">
                  <c:v>3.9803317319956046E-2</c:v>
                </c:pt>
                <c:pt idx="212">
                  <c:v>3.7726037400958284E-2</c:v>
                </c:pt>
                <c:pt idx="213">
                  <c:v>3.5735145021390198E-2</c:v>
                </c:pt>
                <c:pt idx="214">
                  <c:v>3.3828468976025428E-2</c:v>
                </c:pt>
                <c:pt idx="215">
                  <c:v>3.2003801822296514E-2</c:v>
                </c:pt>
                <c:pt idx="216">
                  <c:v>3.0258907104437256E-2</c:v>
                </c:pt>
                <c:pt idx="217">
                  <c:v>2.8591526277073009E-2</c:v>
                </c:pt>
                <c:pt idx="218">
                  <c:v>2.6999385319583014E-2</c:v>
                </c:pt>
                <c:pt idx="219">
                  <c:v>2.5480201034328333E-2</c:v>
                </c:pt>
                <c:pt idx="220">
                  <c:v>2.403168702354121E-2</c:v>
                </c:pt>
                <c:pt idx="221">
                  <c:v>2.2651559341306103E-2</c:v>
                </c:pt>
                <c:pt idx="222">
                  <c:v>2.1337541818621984E-2</c:v>
                </c:pt>
                <c:pt idx="223">
                  <c:v>2.008737106101895E-2</c:v>
                </c:pt>
                <c:pt idx="224">
                  <c:v>1.8898801119602578E-2</c:v>
                </c:pt>
                <c:pt idx="225">
                  <c:v>1.7769607837714141E-2</c:v>
                </c:pt>
                <c:pt idx="226">
                  <c:v>1.6697592876625755E-2</c:v>
                </c:pt>
                <c:pt idx="227">
                  <c:v>1.5680587424828311E-2</c:v>
                </c:pt>
                <c:pt idx="228">
                  <c:v>1.4716455596524172E-2</c:v>
                </c:pt>
                <c:pt idx="229">
                  <c:v>1.3803097525895824E-2</c:v>
                </c:pt>
                <c:pt idx="230">
                  <c:v>1.2938452164596234E-2</c:v>
                </c:pt>
                <c:pt idx="231">
                  <c:v>1.212049979068994E-2</c:v>
                </c:pt>
                <c:pt idx="232">
                  <c:v>1.1347264237970188E-2</c:v>
                </c:pt>
                <c:pt idx="233">
                  <c:v>1.0616814855188403E-2</c:v>
                </c:pt>
                <c:pt idx="234">
                  <c:v>9.9272682052590697E-3</c:v>
                </c:pt>
                <c:pt idx="235">
                  <c:v>9.2767895149492557E-3</c:v>
                </c:pt>
                <c:pt idx="236">
                  <c:v>8.6635938859280798E-3</c:v>
                </c:pt>
                <c:pt idx="237">
                  <c:v>8.0859472783450948E-3</c:v>
                </c:pt>
                <c:pt idx="238">
                  <c:v>7.5421672783237727E-3</c:v>
                </c:pt>
                <c:pt idx="239">
                  <c:v>7.0306236609098431E-3</c:v>
                </c:pt>
                <c:pt idx="240">
                  <c:v>6.5497387600978929E-3</c:v>
                </c:pt>
                <c:pt idx="241">
                  <c:v>6.0979876575868661E-3</c:v>
                </c:pt>
                <c:pt idx="242">
                  <c:v>5.6738982018815585E-3</c:v>
                </c:pt>
                <c:pt idx="243">
                  <c:v>5.2760508692726331E-3</c:v>
                </c:pt>
                <c:pt idx="244">
                  <c:v>4.9030784780939377E-3</c:v>
                </c:pt>
                <c:pt idx="245">
                  <c:v>4.5536657674760447E-3</c:v>
                </c:pt>
                <c:pt idx="246">
                  <c:v>4.2265488515956899E-3</c:v>
                </c:pt>
                <c:pt idx="247">
                  <c:v>3.9205145601637383E-3</c:v>
                </c:pt>
                <c:pt idx="248">
                  <c:v>3.634399675604996E-3</c:v>
                </c:pt>
                <c:pt idx="249">
                  <c:v>3.3670900770639959E-3</c:v>
                </c:pt>
              </c:numCache>
            </c:numRef>
          </c:yVal>
          <c:smooth val="1"/>
          <c:extLst>
            <c:ext xmlns:c16="http://schemas.microsoft.com/office/drawing/2014/chart" uri="{C3380CC4-5D6E-409C-BE32-E72D297353CC}">
              <c16:uniqueId val="{00000002-82D7-4ECF-BD88-F85B0B00D0E9}"/>
            </c:ext>
          </c:extLst>
        </c:ser>
        <c:ser>
          <c:idx val="2"/>
          <c:order val="3"/>
          <c:tx>
            <c:strRef>
              <c:f>Sandsynlighed!$Q$8</c:f>
              <c:strCache>
                <c:ptCount val="1"/>
                <c:pt idx="0">
                  <c:v>80%
mindre end
66.83</c:v>
                </c:pt>
              </c:strCache>
            </c:strRef>
          </c:tx>
          <c:spPr>
            <a:ln w="28575" cap="rnd">
              <a:solidFill>
                <a:schemeClr val="accent3"/>
              </a:solidFill>
              <a:round/>
            </a:ln>
            <a:effectLst/>
          </c:spPr>
          <c:marker>
            <c:symbol val="none"/>
          </c:marker>
          <c:dLbls>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Sandsynlighed!$Q$42</c:f>
              <c:numCache>
                <c:formatCode>General</c:formatCode>
                <c:ptCount val="1"/>
                <c:pt idx="0">
                  <c:v>80</c:v>
                </c:pt>
              </c:numCache>
            </c:numRef>
          </c:xVal>
          <c:yVal>
            <c:numRef>
              <c:f>Sandsynlighed!$Q$46</c:f>
              <c:numCache>
                <c:formatCode>General</c:formatCode>
                <c:ptCount val="1"/>
                <c:pt idx="0">
                  <c:v>0.21083745345327712</c:v>
                </c:pt>
              </c:numCache>
            </c:numRef>
          </c:yVal>
          <c:smooth val="0"/>
          <c:extLst>
            <c:ext xmlns:c16="http://schemas.microsoft.com/office/drawing/2014/chart" uri="{C3380CC4-5D6E-409C-BE32-E72D297353CC}">
              <c16:uniqueId val="{00000003-82D7-4ECF-BD88-F85B0B00D0E9}"/>
            </c:ext>
          </c:extLst>
        </c:ser>
        <c:ser>
          <c:idx val="4"/>
          <c:order val="4"/>
          <c:tx>
            <c:strRef>
              <c:f>Sandsynlighed!$Q$10</c:f>
              <c:strCache>
                <c:ptCount val="1"/>
                <c:pt idx="0">
                  <c:v>20%
større end
66.83</c:v>
                </c:pt>
              </c:strCache>
            </c:strRef>
          </c:tx>
          <c:spPr>
            <a:ln w="28575" cap="rnd">
              <a:solidFill>
                <a:schemeClr val="accent5"/>
              </a:solidFill>
              <a:round/>
            </a:ln>
            <a:effectLst/>
          </c:spPr>
          <c:marker>
            <c:symbol val="none"/>
          </c:marker>
          <c:dLbls>
            <c:spPr>
              <a:solidFill>
                <a:sysClr val="window" lastClr="FFFFFF"/>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Sandsynlighed!$Q$44</c:f>
              <c:numCache>
                <c:formatCode>General</c:formatCode>
                <c:ptCount val="1"/>
                <c:pt idx="0">
                  <c:v>205</c:v>
                </c:pt>
              </c:numCache>
            </c:numRef>
          </c:xVal>
          <c:yVal>
            <c:numRef>
              <c:f>Sandsynlighed!$Q$48</c:f>
              <c:numCache>
                <c:formatCode>General</c:formatCode>
                <c:ptCount val="1"/>
                <c:pt idx="0">
                  <c:v>5.6934304438421797E-2</c:v>
                </c:pt>
              </c:numCache>
            </c:numRef>
          </c:yVal>
          <c:smooth val="0"/>
          <c:extLst>
            <c:ext xmlns:c16="http://schemas.microsoft.com/office/drawing/2014/chart" uri="{C3380CC4-5D6E-409C-BE32-E72D297353CC}">
              <c16:uniqueId val="{00000004-82D7-4ECF-BD88-F85B0B00D0E9}"/>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numFmt formatCode="General" sourceLinked="1"/>
        <c:majorTickMark val="out"/>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Sandsynlighed!$Y$6</c:f>
          <c:strCache>
            <c:ptCount val="1"/>
            <c:pt idx="0">
              <c:v>Binomialfordeling
(Antal forsøg = 6 ; Sandsynlighed = 80%)
P(antal successer &lt; 4) = 9.888%
P(antal successer = 4) = 24.576%
P(antal successer &gt; 4) = 65.536%</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42989578094346714"/>
          <c:w val="0.7982489213142222"/>
          <c:h val="0.45645915006011989"/>
        </c:manualLayout>
      </c:layout>
      <c:areaChart>
        <c:grouping val="standard"/>
        <c:varyColors val="0"/>
        <c:ser>
          <c:idx val="0"/>
          <c:order val="0"/>
          <c:tx>
            <c:strRef>
              <c:f>Sandsynlighed!$Y$8</c:f>
              <c:strCache>
                <c:ptCount val="1"/>
                <c:pt idx="0">
                  <c:v>9.888%
mindre end
4</c:v>
                </c:pt>
              </c:strCache>
            </c:strRef>
          </c:tx>
          <c:spPr>
            <a:solidFill>
              <a:schemeClr val="accent1"/>
            </a:solidFill>
            <a:ln w="25400">
              <a:noFill/>
            </a:ln>
            <a:effectLst/>
          </c:spPr>
          <c:cat>
            <c:strRef>
              <c:f>[0]!SlB</c:f>
              <c:strCache>
                <c:ptCount val="229"/>
                <c:pt idx="18">
                  <c:v>0</c:v>
                </c:pt>
                <c:pt idx="53">
                  <c:v>1</c:v>
                </c:pt>
                <c:pt idx="88">
                  <c:v>2</c:v>
                </c:pt>
                <c:pt idx="123">
                  <c:v>3</c:v>
                </c:pt>
                <c:pt idx="158">
                  <c:v>4</c:v>
                </c:pt>
                <c:pt idx="193">
                  <c:v>5</c:v>
                </c:pt>
                <c:pt idx="228">
                  <c:v>6</c:v>
                </c:pt>
              </c:strCache>
            </c:strRef>
          </c:cat>
          <c:val>
            <c:numRef>
              <c:f>[0]!SyBv</c:f>
              <c:numCache>
                <c:formatCode>General</c:formatCode>
                <c:ptCount val="250"/>
                <c:pt idx="0">
                  <c:v>#N/A</c:v>
                </c:pt>
                <c:pt idx="1">
                  <c:v>6.3999999999999956E-5</c:v>
                </c:pt>
                <c:pt idx="2">
                  <c:v>6.3999999999999956E-5</c:v>
                </c:pt>
                <c:pt idx="3">
                  <c:v>6.3999999999999956E-5</c:v>
                </c:pt>
                <c:pt idx="4">
                  <c:v>6.3999999999999956E-5</c:v>
                </c:pt>
                <c:pt idx="5">
                  <c:v>6.3999999999999956E-5</c:v>
                </c:pt>
                <c:pt idx="6">
                  <c:v>6.3999999999999956E-5</c:v>
                </c:pt>
                <c:pt idx="7">
                  <c:v>6.3999999999999956E-5</c:v>
                </c:pt>
                <c:pt idx="8">
                  <c:v>6.3999999999999956E-5</c:v>
                </c:pt>
                <c:pt idx="9">
                  <c:v>6.3999999999999956E-5</c:v>
                </c:pt>
                <c:pt idx="10">
                  <c:v>6.3999999999999956E-5</c:v>
                </c:pt>
                <c:pt idx="11">
                  <c:v>6.3999999999999956E-5</c:v>
                </c:pt>
                <c:pt idx="12">
                  <c:v>6.3999999999999956E-5</c:v>
                </c:pt>
                <c:pt idx="13">
                  <c:v>6.3999999999999956E-5</c:v>
                </c:pt>
                <c:pt idx="14">
                  <c:v>6.3999999999999956E-5</c:v>
                </c:pt>
                <c:pt idx="15">
                  <c:v>6.3999999999999956E-5</c:v>
                </c:pt>
                <c:pt idx="16">
                  <c:v>6.3999999999999956E-5</c:v>
                </c:pt>
                <c:pt idx="17">
                  <c:v>6.3999999999999956E-5</c:v>
                </c:pt>
                <c:pt idx="18">
                  <c:v>6.3999999999999956E-5</c:v>
                </c:pt>
                <c:pt idx="19">
                  <c:v>6.3999999999999956E-5</c:v>
                </c:pt>
                <c:pt idx="20">
                  <c:v>6.3999999999999956E-5</c:v>
                </c:pt>
                <c:pt idx="21">
                  <c:v>6.3999999999999956E-5</c:v>
                </c:pt>
                <c:pt idx="22">
                  <c:v>6.3999999999999956E-5</c:v>
                </c:pt>
                <c:pt idx="23">
                  <c:v>6.3999999999999956E-5</c:v>
                </c:pt>
                <c:pt idx="24">
                  <c:v>6.3999999999999956E-5</c:v>
                </c:pt>
                <c:pt idx="25">
                  <c:v>6.3999999999999956E-5</c:v>
                </c:pt>
                <c:pt idx="26">
                  <c:v>6.3999999999999956E-5</c:v>
                </c:pt>
                <c:pt idx="27">
                  <c:v>6.3999999999999956E-5</c:v>
                </c:pt>
                <c:pt idx="28">
                  <c:v>6.3999999999999956E-5</c:v>
                </c:pt>
                <c:pt idx="29">
                  <c:v>6.3999999999999956E-5</c:v>
                </c:pt>
                <c:pt idx="30">
                  <c:v>6.3999999999999956E-5</c:v>
                </c:pt>
                <c:pt idx="31">
                  <c:v>6.3999999999999956E-5</c:v>
                </c:pt>
                <c:pt idx="32">
                  <c:v>6.3999999999999956E-5</c:v>
                </c:pt>
                <c:pt idx="33">
                  <c:v>6.3999999999999956E-5</c:v>
                </c:pt>
                <c:pt idx="34">
                  <c:v>6.3999999999999956E-5</c:v>
                </c:pt>
                <c:pt idx="35">
                  <c:v>#N/A</c:v>
                </c:pt>
                <c:pt idx="36">
                  <c:v>1.5359999999999961E-3</c:v>
                </c:pt>
                <c:pt idx="37">
                  <c:v>1.5359999999999961E-3</c:v>
                </c:pt>
                <c:pt idx="38">
                  <c:v>1.5359999999999961E-3</c:v>
                </c:pt>
                <c:pt idx="39">
                  <c:v>1.5359999999999961E-3</c:v>
                </c:pt>
                <c:pt idx="40">
                  <c:v>1.5359999999999961E-3</c:v>
                </c:pt>
                <c:pt idx="41">
                  <c:v>1.5359999999999961E-3</c:v>
                </c:pt>
                <c:pt idx="42">
                  <c:v>1.5359999999999961E-3</c:v>
                </c:pt>
                <c:pt idx="43">
                  <c:v>1.5359999999999961E-3</c:v>
                </c:pt>
                <c:pt idx="44">
                  <c:v>1.5359999999999961E-3</c:v>
                </c:pt>
                <c:pt idx="45">
                  <c:v>1.5359999999999961E-3</c:v>
                </c:pt>
                <c:pt idx="46">
                  <c:v>1.5359999999999961E-3</c:v>
                </c:pt>
                <c:pt idx="47">
                  <c:v>1.5359999999999961E-3</c:v>
                </c:pt>
                <c:pt idx="48">
                  <c:v>1.5359999999999961E-3</c:v>
                </c:pt>
                <c:pt idx="49">
                  <c:v>1.5359999999999961E-3</c:v>
                </c:pt>
                <c:pt idx="50">
                  <c:v>1.5359999999999961E-3</c:v>
                </c:pt>
                <c:pt idx="51">
                  <c:v>1.5359999999999961E-3</c:v>
                </c:pt>
                <c:pt idx="52">
                  <c:v>1.5359999999999961E-3</c:v>
                </c:pt>
                <c:pt idx="53">
                  <c:v>1.5359999999999961E-3</c:v>
                </c:pt>
                <c:pt idx="54">
                  <c:v>1.5359999999999961E-3</c:v>
                </c:pt>
                <c:pt idx="55">
                  <c:v>1.5359999999999961E-3</c:v>
                </c:pt>
                <c:pt idx="56">
                  <c:v>1.5359999999999961E-3</c:v>
                </c:pt>
                <c:pt idx="57">
                  <c:v>1.5359999999999961E-3</c:v>
                </c:pt>
                <c:pt idx="58">
                  <c:v>1.5359999999999961E-3</c:v>
                </c:pt>
                <c:pt idx="59">
                  <c:v>1.5359999999999961E-3</c:v>
                </c:pt>
                <c:pt idx="60">
                  <c:v>1.5359999999999961E-3</c:v>
                </c:pt>
                <c:pt idx="61">
                  <c:v>1.5359999999999961E-3</c:v>
                </c:pt>
                <c:pt idx="62">
                  <c:v>1.5359999999999961E-3</c:v>
                </c:pt>
                <c:pt idx="63">
                  <c:v>1.5359999999999961E-3</c:v>
                </c:pt>
                <c:pt idx="64">
                  <c:v>1.5359999999999961E-3</c:v>
                </c:pt>
                <c:pt idx="65">
                  <c:v>1.5359999999999961E-3</c:v>
                </c:pt>
                <c:pt idx="66">
                  <c:v>1.5359999999999961E-3</c:v>
                </c:pt>
                <c:pt idx="67">
                  <c:v>1.5359999999999961E-3</c:v>
                </c:pt>
                <c:pt idx="68">
                  <c:v>1.5359999999999961E-3</c:v>
                </c:pt>
                <c:pt idx="69">
                  <c:v>1.5359999999999961E-3</c:v>
                </c:pt>
                <c:pt idx="70">
                  <c:v>#N/A</c:v>
                </c:pt>
                <c:pt idx="71">
                  <c:v>1.535999999999999E-2</c:v>
                </c:pt>
                <c:pt idx="72">
                  <c:v>1.535999999999999E-2</c:v>
                </c:pt>
                <c:pt idx="73">
                  <c:v>1.535999999999999E-2</c:v>
                </c:pt>
                <c:pt idx="74">
                  <c:v>1.535999999999999E-2</c:v>
                </c:pt>
                <c:pt idx="75">
                  <c:v>1.535999999999999E-2</c:v>
                </c:pt>
                <c:pt idx="76">
                  <c:v>1.535999999999999E-2</c:v>
                </c:pt>
                <c:pt idx="77">
                  <c:v>1.535999999999999E-2</c:v>
                </c:pt>
                <c:pt idx="78">
                  <c:v>1.535999999999999E-2</c:v>
                </c:pt>
                <c:pt idx="79">
                  <c:v>1.535999999999999E-2</c:v>
                </c:pt>
                <c:pt idx="80">
                  <c:v>1.535999999999999E-2</c:v>
                </c:pt>
                <c:pt idx="81">
                  <c:v>1.535999999999999E-2</c:v>
                </c:pt>
                <c:pt idx="82">
                  <c:v>1.535999999999999E-2</c:v>
                </c:pt>
                <c:pt idx="83">
                  <c:v>1.535999999999999E-2</c:v>
                </c:pt>
                <c:pt idx="84">
                  <c:v>1.535999999999999E-2</c:v>
                </c:pt>
                <c:pt idx="85">
                  <c:v>1.535999999999999E-2</c:v>
                </c:pt>
                <c:pt idx="86">
                  <c:v>1.535999999999999E-2</c:v>
                </c:pt>
                <c:pt idx="87">
                  <c:v>1.535999999999999E-2</c:v>
                </c:pt>
                <c:pt idx="88">
                  <c:v>1.535999999999999E-2</c:v>
                </c:pt>
                <c:pt idx="89">
                  <c:v>1.535999999999999E-2</c:v>
                </c:pt>
                <c:pt idx="90">
                  <c:v>1.535999999999999E-2</c:v>
                </c:pt>
                <c:pt idx="91">
                  <c:v>1.535999999999999E-2</c:v>
                </c:pt>
                <c:pt idx="92">
                  <c:v>1.535999999999999E-2</c:v>
                </c:pt>
                <c:pt idx="93">
                  <c:v>1.535999999999999E-2</c:v>
                </c:pt>
                <c:pt idx="94">
                  <c:v>1.535999999999999E-2</c:v>
                </c:pt>
                <c:pt idx="95">
                  <c:v>1.535999999999999E-2</c:v>
                </c:pt>
                <c:pt idx="96">
                  <c:v>1.535999999999999E-2</c:v>
                </c:pt>
                <c:pt idx="97">
                  <c:v>1.535999999999999E-2</c:v>
                </c:pt>
                <c:pt idx="98">
                  <c:v>1.535999999999999E-2</c:v>
                </c:pt>
                <c:pt idx="99">
                  <c:v>1.535999999999999E-2</c:v>
                </c:pt>
                <c:pt idx="100">
                  <c:v>1.535999999999999E-2</c:v>
                </c:pt>
                <c:pt idx="101">
                  <c:v>1.535999999999999E-2</c:v>
                </c:pt>
                <c:pt idx="102">
                  <c:v>1.535999999999999E-2</c:v>
                </c:pt>
                <c:pt idx="103">
                  <c:v>1.535999999999999E-2</c:v>
                </c:pt>
                <c:pt idx="104">
                  <c:v>1.535999999999999E-2</c:v>
                </c:pt>
                <c:pt idx="105">
                  <c:v>#N/A</c:v>
                </c:pt>
                <c:pt idx="106">
                  <c:v>8.1919999999999951E-2</c:v>
                </c:pt>
                <c:pt idx="107">
                  <c:v>8.1919999999999951E-2</c:v>
                </c:pt>
                <c:pt idx="108">
                  <c:v>8.1919999999999951E-2</c:v>
                </c:pt>
                <c:pt idx="109">
                  <c:v>8.1919999999999951E-2</c:v>
                </c:pt>
                <c:pt idx="110">
                  <c:v>8.1919999999999951E-2</c:v>
                </c:pt>
                <c:pt idx="111">
                  <c:v>8.1919999999999951E-2</c:v>
                </c:pt>
                <c:pt idx="112">
                  <c:v>8.1919999999999951E-2</c:v>
                </c:pt>
                <c:pt idx="113">
                  <c:v>8.1919999999999951E-2</c:v>
                </c:pt>
                <c:pt idx="114">
                  <c:v>8.1919999999999951E-2</c:v>
                </c:pt>
                <c:pt idx="115">
                  <c:v>8.1919999999999951E-2</c:v>
                </c:pt>
                <c:pt idx="116">
                  <c:v>8.1919999999999951E-2</c:v>
                </c:pt>
                <c:pt idx="117">
                  <c:v>8.1919999999999951E-2</c:v>
                </c:pt>
                <c:pt idx="118">
                  <c:v>8.1919999999999951E-2</c:v>
                </c:pt>
                <c:pt idx="119">
                  <c:v>8.1919999999999951E-2</c:v>
                </c:pt>
                <c:pt idx="120">
                  <c:v>8.1919999999999951E-2</c:v>
                </c:pt>
                <c:pt idx="121">
                  <c:v>8.1919999999999951E-2</c:v>
                </c:pt>
                <c:pt idx="122">
                  <c:v>8.1919999999999951E-2</c:v>
                </c:pt>
                <c:pt idx="123">
                  <c:v>8.1919999999999951E-2</c:v>
                </c:pt>
                <c:pt idx="124">
                  <c:v>8.1919999999999951E-2</c:v>
                </c:pt>
                <c:pt idx="125">
                  <c:v>8.1919999999999951E-2</c:v>
                </c:pt>
                <c:pt idx="126">
                  <c:v>8.1919999999999951E-2</c:v>
                </c:pt>
                <c:pt idx="127">
                  <c:v>8.1919999999999951E-2</c:v>
                </c:pt>
                <c:pt idx="128">
                  <c:v>8.1919999999999951E-2</c:v>
                </c:pt>
                <c:pt idx="129">
                  <c:v>8.1919999999999951E-2</c:v>
                </c:pt>
                <c:pt idx="130">
                  <c:v>8.1919999999999951E-2</c:v>
                </c:pt>
                <c:pt idx="131">
                  <c:v>8.1919999999999951E-2</c:v>
                </c:pt>
                <c:pt idx="132">
                  <c:v>8.1919999999999951E-2</c:v>
                </c:pt>
                <c:pt idx="133">
                  <c:v>8.1919999999999951E-2</c:v>
                </c:pt>
                <c:pt idx="134">
                  <c:v>8.1919999999999951E-2</c:v>
                </c:pt>
                <c:pt idx="135">
                  <c:v>8.1919999999999951E-2</c:v>
                </c:pt>
                <c:pt idx="136">
                  <c:v>8.1919999999999951E-2</c:v>
                </c:pt>
                <c:pt idx="137">
                  <c:v>8.1919999999999951E-2</c:v>
                </c:pt>
                <c:pt idx="138">
                  <c:v>8.1919999999999951E-2</c:v>
                </c:pt>
                <c:pt idx="139">
                  <c:v>8.1919999999999951E-2</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0-55A9-4687-8A02-286CB2506A3A}"/>
            </c:ext>
          </c:extLst>
        </c:ser>
        <c:ser>
          <c:idx val="3"/>
          <c:order val="1"/>
          <c:tx>
            <c:strRef>
              <c:f>Sandsynlighed!$Y$10</c:f>
              <c:strCache>
                <c:ptCount val="1"/>
                <c:pt idx="0">
                  <c:v>24.576%
lig med
4</c:v>
                </c:pt>
              </c:strCache>
            </c:strRef>
          </c:tx>
          <c:spPr>
            <a:solidFill>
              <a:schemeClr val="accent4"/>
            </a:solidFill>
            <a:ln w="25400">
              <a:noFill/>
            </a:ln>
            <a:effectLst/>
          </c:spPr>
          <c:cat>
            <c:strRef>
              <c:f>[0]!SlB</c:f>
              <c:strCache>
                <c:ptCount val="229"/>
                <c:pt idx="18">
                  <c:v>0</c:v>
                </c:pt>
                <c:pt idx="53">
                  <c:v>1</c:v>
                </c:pt>
                <c:pt idx="88">
                  <c:v>2</c:v>
                </c:pt>
                <c:pt idx="123">
                  <c:v>3</c:v>
                </c:pt>
                <c:pt idx="158">
                  <c:v>4</c:v>
                </c:pt>
                <c:pt idx="193">
                  <c:v>5</c:v>
                </c:pt>
                <c:pt idx="228">
                  <c:v>6</c:v>
                </c:pt>
              </c:strCache>
            </c:strRef>
          </c:cat>
          <c:val>
            <c:numRef>
              <c:f>[0]!SyBp</c:f>
              <c:numCache>
                <c:formatCode>General</c:formatCode>
                <c:ptCount val="2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0.24575999999999998</c:v>
                </c:pt>
                <c:pt idx="142">
                  <c:v>0.24575999999999998</c:v>
                </c:pt>
                <c:pt idx="143">
                  <c:v>0.24575999999999998</c:v>
                </c:pt>
                <c:pt idx="144">
                  <c:v>0.24575999999999998</c:v>
                </c:pt>
                <c:pt idx="145">
                  <c:v>0.24575999999999998</c:v>
                </c:pt>
                <c:pt idx="146">
                  <c:v>0.24575999999999998</c:v>
                </c:pt>
                <c:pt idx="147">
                  <c:v>0.24575999999999998</c:v>
                </c:pt>
                <c:pt idx="148">
                  <c:v>0.24575999999999998</c:v>
                </c:pt>
                <c:pt idx="149">
                  <c:v>0.24575999999999998</c:v>
                </c:pt>
                <c:pt idx="150">
                  <c:v>0.24575999999999998</c:v>
                </c:pt>
                <c:pt idx="151">
                  <c:v>0.24575999999999998</c:v>
                </c:pt>
                <c:pt idx="152">
                  <c:v>0.24575999999999998</c:v>
                </c:pt>
                <c:pt idx="153">
                  <c:v>0.24575999999999998</c:v>
                </c:pt>
                <c:pt idx="154">
                  <c:v>0.24575999999999998</c:v>
                </c:pt>
                <c:pt idx="155">
                  <c:v>0.24575999999999998</c:v>
                </c:pt>
                <c:pt idx="156">
                  <c:v>0.24575999999999998</c:v>
                </c:pt>
                <c:pt idx="157">
                  <c:v>0.24575999999999998</c:v>
                </c:pt>
                <c:pt idx="158">
                  <c:v>0.24575999999999998</c:v>
                </c:pt>
                <c:pt idx="159">
                  <c:v>0.24575999999999998</c:v>
                </c:pt>
                <c:pt idx="160">
                  <c:v>0.24575999999999998</c:v>
                </c:pt>
                <c:pt idx="161">
                  <c:v>0.24575999999999998</c:v>
                </c:pt>
                <c:pt idx="162">
                  <c:v>0.24575999999999998</c:v>
                </c:pt>
                <c:pt idx="163">
                  <c:v>0.24575999999999998</c:v>
                </c:pt>
                <c:pt idx="164">
                  <c:v>0.24575999999999998</c:v>
                </c:pt>
                <c:pt idx="165">
                  <c:v>0.24575999999999998</c:v>
                </c:pt>
                <c:pt idx="166">
                  <c:v>0.24575999999999998</c:v>
                </c:pt>
                <c:pt idx="167">
                  <c:v>0.24575999999999998</c:v>
                </c:pt>
                <c:pt idx="168">
                  <c:v>0.24575999999999998</c:v>
                </c:pt>
                <c:pt idx="169">
                  <c:v>0.24575999999999998</c:v>
                </c:pt>
                <c:pt idx="170">
                  <c:v>0.24575999999999998</c:v>
                </c:pt>
                <c:pt idx="171">
                  <c:v>0.24575999999999998</c:v>
                </c:pt>
                <c:pt idx="172">
                  <c:v>0.24575999999999998</c:v>
                </c:pt>
                <c:pt idx="173">
                  <c:v>0.24575999999999998</c:v>
                </c:pt>
                <c:pt idx="174">
                  <c:v>0.24575999999999998</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1-55A9-4687-8A02-286CB2506A3A}"/>
            </c:ext>
          </c:extLst>
        </c:ser>
        <c:ser>
          <c:idx val="1"/>
          <c:order val="2"/>
          <c:tx>
            <c:strRef>
              <c:f>Sandsynlighed!$Y$12</c:f>
              <c:strCache>
                <c:ptCount val="1"/>
                <c:pt idx="0">
                  <c:v>65.536%
større end
4</c:v>
                </c:pt>
              </c:strCache>
            </c:strRef>
          </c:tx>
          <c:spPr>
            <a:solidFill>
              <a:schemeClr val="accent2"/>
            </a:solidFill>
            <a:ln w="25400">
              <a:noFill/>
            </a:ln>
            <a:effectLst/>
          </c:spPr>
          <c:cat>
            <c:strRef>
              <c:f>[0]!SlB</c:f>
              <c:strCache>
                <c:ptCount val="229"/>
                <c:pt idx="18">
                  <c:v>0</c:v>
                </c:pt>
                <c:pt idx="53">
                  <c:v>1</c:v>
                </c:pt>
                <c:pt idx="88">
                  <c:v>2</c:v>
                </c:pt>
                <c:pt idx="123">
                  <c:v>3</c:v>
                </c:pt>
                <c:pt idx="158">
                  <c:v>4</c:v>
                </c:pt>
                <c:pt idx="193">
                  <c:v>5</c:v>
                </c:pt>
                <c:pt idx="228">
                  <c:v>6</c:v>
                </c:pt>
              </c:strCache>
            </c:strRef>
          </c:cat>
          <c:val>
            <c:numRef>
              <c:f>[0]!SyBh</c:f>
              <c:numCache>
                <c:formatCode>General</c:formatCode>
                <c:ptCount val="2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0.39321600000000007</c:v>
                </c:pt>
                <c:pt idx="177">
                  <c:v>0.39321600000000007</c:v>
                </c:pt>
                <c:pt idx="178">
                  <c:v>0.39321600000000007</c:v>
                </c:pt>
                <c:pt idx="179">
                  <c:v>0.39321600000000007</c:v>
                </c:pt>
                <c:pt idx="180">
                  <c:v>0.39321600000000007</c:v>
                </c:pt>
                <c:pt idx="181">
                  <c:v>0.39321600000000007</c:v>
                </c:pt>
                <c:pt idx="182">
                  <c:v>0.39321600000000007</c:v>
                </c:pt>
                <c:pt idx="183">
                  <c:v>0.39321600000000007</c:v>
                </c:pt>
                <c:pt idx="184">
                  <c:v>0.39321600000000007</c:v>
                </c:pt>
                <c:pt idx="185">
                  <c:v>0.39321600000000007</c:v>
                </c:pt>
                <c:pt idx="186">
                  <c:v>0.39321600000000007</c:v>
                </c:pt>
                <c:pt idx="187">
                  <c:v>0.39321600000000007</c:v>
                </c:pt>
                <c:pt idx="188">
                  <c:v>0.39321600000000007</c:v>
                </c:pt>
                <c:pt idx="189">
                  <c:v>0.39321600000000007</c:v>
                </c:pt>
                <c:pt idx="190">
                  <c:v>0.39321600000000007</c:v>
                </c:pt>
                <c:pt idx="191">
                  <c:v>0.39321600000000007</c:v>
                </c:pt>
                <c:pt idx="192">
                  <c:v>0.39321600000000007</c:v>
                </c:pt>
                <c:pt idx="193">
                  <c:v>0.39321600000000007</c:v>
                </c:pt>
                <c:pt idx="194">
                  <c:v>0.39321600000000007</c:v>
                </c:pt>
                <c:pt idx="195">
                  <c:v>0.39321600000000007</c:v>
                </c:pt>
                <c:pt idx="196">
                  <c:v>0.39321600000000007</c:v>
                </c:pt>
                <c:pt idx="197">
                  <c:v>0.39321600000000007</c:v>
                </c:pt>
                <c:pt idx="198">
                  <c:v>0.39321600000000007</c:v>
                </c:pt>
                <c:pt idx="199">
                  <c:v>0.39321600000000007</c:v>
                </c:pt>
                <c:pt idx="200">
                  <c:v>0.39321600000000007</c:v>
                </c:pt>
                <c:pt idx="201">
                  <c:v>0.39321600000000007</c:v>
                </c:pt>
                <c:pt idx="202">
                  <c:v>0.39321600000000007</c:v>
                </c:pt>
                <c:pt idx="203">
                  <c:v>0.39321600000000007</c:v>
                </c:pt>
                <c:pt idx="204">
                  <c:v>0.39321600000000007</c:v>
                </c:pt>
                <c:pt idx="205">
                  <c:v>0.39321600000000007</c:v>
                </c:pt>
                <c:pt idx="206">
                  <c:v>0.39321600000000007</c:v>
                </c:pt>
                <c:pt idx="207">
                  <c:v>0.39321600000000007</c:v>
                </c:pt>
                <c:pt idx="208">
                  <c:v>0.39321600000000007</c:v>
                </c:pt>
                <c:pt idx="209">
                  <c:v>0.39321600000000007</c:v>
                </c:pt>
                <c:pt idx="210">
                  <c:v>#N/A</c:v>
                </c:pt>
                <c:pt idx="211">
                  <c:v>0.2621440000000001</c:v>
                </c:pt>
                <c:pt idx="212">
                  <c:v>0.2621440000000001</c:v>
                </c:pt>
                <c:pt idx="213">
                  <c:v>0.2621440000000001</c:v>
                </c:pt>
                <c:pt idx="214">
                  <c:v>0.2621440000000001</c:v>
                </c:pt>
                <c:pt idx="215">
                  <c:v>0.2621440000000001</c:v>
                </c:pt>
                <c:pt idx="216">
                  <c:v>0.2621440000000001</c:v>
                </c:pt>
                <c:pt idx="217">
                  <c:v>0.2621440000000001</c:v>
                </c:pt>
                <c:pt idx="218">
                  <c:v>0.2621440000000001</c:v>
                </c:pt>
                <c:pt idx="219">
                  <c:v>0.2621440000000001</c:v>
                </c:pt>
                <c:pt idx="220">
                  <c:v>0.2621440000000001</c:v>
                </c:pt>
                <c:pt idx="221">
                  <c:v>0.2621440000000001</c:v>
                </c:pt>
                <c:pt idx="222">
                  <c:v>0.2621440000000001</c:v>
                </c:pt>
                <c:pt idx="223">
                  <c:v>0.2621440000000001</c:v>
                </c:pt>
                <c:pt idx="224">
                  <c:v>0.2621440000000001</c:v>
                </c:pt>
                <c:pt idx="225">
                  <c:v>0.2621440000000001</c:v>
                </c:pt>
                <c:pt idx="226">
                  <c:v>0.2621440000000001</c:v>
                </c:pt>
                <c:pt idx="227">
                  <c:v>0.2621440000000001</c:v>
                </c:pt>
                <c:pt idx="228">
                  <c:v>0.2621440000000001</c:v>
                </c:pt>
                <c:pt idx="229">
                  <c:v>0.2621440000000001</c:v>
                </c:pt>
                <c:pt idx="230">
                  <c:v>0.2621440000000001</c:v>
                </c:pt>
                <c:pt idx="231">
                  <c:v>0.2621440000000001</c:v>
                </c:pt>
                <c:pt idx="232">
                  <c:v>0.2621440000000001</c:v>
                </c:pt>
                <c:pt idx="233">
                  <c:v>0.2621440000000001</c:v>
                </c:pt>
                <c:pt idx="234">
                  <c:v>0.2621440000000001</c:v>
                </c:pt>
                <c:pt idx="235">
                  <c:v>0.2621440000000001</c:v>
                </c:pt>
                <c:pt idx="236">
                  <c:v>0.2621440000000001</c:v>
                </c:pt>
                <c:pt idx="237">
                  <c:v>0.2621440000000001</c:v>
                </c:pt>
                <c:pt idx="238">
                  <c:v>0.2621440000000001</c:v>
                </c:pt>
                <c:pt idx="239">
                  <c:v>0.2621440000000001</c:v>
                </c:pt>
                <c:pt idx="240">
                  <c:v>0.2621440000000001</c:v>
                </c:pt>
                <c:pt idx="241">
                  <c:v>0.2621440000000001</c:v>
                </c:pt>
                <c:pt idx="242">
                  <c:v>0.2621440000000001</c:v>
                </c:pt>
                <c:pt idx="243">
                  <c:v>0.2621440000000001</c:v>
                </c:pt>
                <c:pt idx="244">
                  <c:v>0.2621440000000001</c:v>
                </c:pt>
                <c:pt idx="245">
                  <c:v>#N/A</c:v>
                </c:pt>
                <c:pt idx="246">
                  <c:v>#N/A</c:v>
                </c:pt>
                <c:pt idx="247">
                  <c:v>#N/A</c:v>
                </c:pt>
                <c:pt idx="248">
                  <c:v>#N/A</c:v>
                </c:pt>
                <c:pt idx="249">
                  <c:v>#N/A</c:v>
                </c:pt>
              </c:numCache>
            </c:numRef>
          </c:val>
          <c:extLst>
            <c:ext xmlns:c16="http://schemas.microsoft.com/office/drawing/2014/chart" uri="{C3380CC4-5D6E-409C-BE32-E72D297353CC}">
              <c16:uniqueId val="{00000002-55A9-4687-8A02-286CB2506A3A}"/>
            </c:ext>
          </c:extLst>
        </c:ser>
        <c:dLbls>
          <c:showLegendKey val="0"/>
          <c:showVal val="0"/>
          <c:showCatName val="0"/>
          <c:showSerName val="0"/>
          <c:showPercent val="0"/>
          <c:showBubbleSize val="0"/>
        </c:dLbls>
        <c:axId val="2085993312"/>
        <c:axId val="2125624672"/>
      </c:areaChart>
      <c:scatterChart>
        <c:scatterStyle val="lineMarker"/>
        <c:varyColors val="0"/>
        <c:ser>
          <c:idx val="2"/>
          <c:order val="3"/>
          <c:tx>
            <c:strRef>
              <c:f>Sandsynlighed!$Y$8</c:f>
              <c:strCache>
                <c:ptCount val="1"/>
                <c:pt idx="0">
                  <c:v>9.888%
mindre end
4</c:v>
                </c:pt>
              </c:strCache>
            </c:strRef>
          </c:tx>
          <c:spPr>
            <a:ln w="28575" cap="rnd">
              <a:solidFill>
                <a:schemeClr val="accent3"/>
              </a:solidFill>
              <a:round/>
            </a:ln>
            <a:effectLst/>
          </c:spPr>
          <c:marker>
            <c:symbol val="none"/>
          </c:marker>
          <c:dLbls>
            <c:spPr>
              <a:solidFill>
                <a:sysClr val="window" lastClr="FFFFFF"/>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Sandsynlighed!$Y$40</c:f>
              <c:numCache>
                <c:formatCode>General</c:formatCode>
                <c:ptCount val="1"/>
                <c:pt idx="0">
                  <c:v>88</c:v>
                </c:pt>
              </c:numCache>
            </c:numRef>
          </c:xVal>
          <c:yVal>
            <c:numRef>
              <c:f>Sandsynlighed!$Y$46</c:f>
              <c:numCache>
                <c:formatCode>General</c:formatCode>
                <c:ptCount val="1"/>
                <c:pt idx="0">
                  <c:v>1.535999999999999E-2</c:v>
                </c:pt>
              </c:numCache>
            </c:numRef>
          </c:yVal>
          <c:smooth val="0"/>
          <c:extLst>
            <c:ext xmlns:c16="http://schemas.microsoft.com/office/drawing/2014/chart" uri="{C3380CC4-5D6E-409C-BE32-E72D297353CC}">
              <c16:uniqueId val="{00000003-55A9-4687-8A02-286CB2506A3A}"/>
            </c:ext>
          </c:extLst>
        </c:ser>
        <c:ser>
          <c:idx val="5"/>
          <c:order val="4"/>
          <c:tx>
            <c:strRef>
              <c:f>Sandsynlighed!$Y$10</c:f>
              <c:strCache>
                <c:ptCount val="1"/>
                <c:pt idx="0">
                  <c:v>24.576%
lig med
4</c:v>
                </c:pt>
              </c:strCache>
            </c:strRef>
          </c:tx>
          <c:spPr>
            <a:ln w="28575" cap="rnd">
              <a:solidFill>
                <a:schemeClr val="accent6"/>
              </a:solidFill>
              <a:round/>
            </a:ln>
            <a:effectLst/>
          </c:spPr>
          <c:marker>
            <c:symbol val="none"/>
          </c:marker>
          <c:dLbls>
            <c:spPr>
              <a:solidFill>
                <a:sysClr val="window" lastClr="FFFFFF"/>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Sandsynlighed!$Y$42</c:f>
              <c:numCache>
                <c:formatCode>General</c:formatCode>
                <c:ptCount val="1"/>
                <c:pt idx="0">
                  <c:v>158</c:v>
                </c:pt>
              </c:numCache>
            </c:numRef>
          </c:xVal>
          <c:yVal>
            <c:numRef>
              <c:f>Sandsynlighed!$Y$48</c:f>
              <c:numCache>
                <c:formatCode>General</c:formatCode>
                <c:ptCount val="1"/>
                <c:pt idx="0">
                  <c:v>0.24575999999999998</c:v>
                </c:pt>
              </c:numCache>
            </c:numRef>
          </c:yVal>
          <c:smooth val="0"/>
          <c:extLst>
            <c:ext xmlns:c16="http://schemas.microsoft.com/office/drawing/2014/chart" uri="{C3380CC4-5D6E-409C-BE32-E72D297353CC}">
              <c16:uniqueId val="{00000004-55A9-4687-8A02-286CB2506A3A}"/>
            </c:ext>
          </c:extLst>
        </c:ser>
        <c:ser>
          <c:idx val="4"/>
          <c:order val="5"/>
          <c:tx>
            <c:strRef>
              <c:f>Sandsynlighed!$Y$12</c:f>
              <c:strCache>
                <c:ptCount val="1"/>
                <c:pt idx="0">
                  <c:v>65.536%
større end
4</c:v>
                </c:pt>
              </c:strCache>
            </c:strRef>
          </c:tx>
          <c:spPr>
            <a:ln w="28575" cap="rnd">
              <a:solidFill>
                <a:schemeClr val="accent5"/>
              </a:solidFill>
              <a:round/>
            </a:ln>
            <a:effectLst/>
          </c:spPr>
          <c:marker>
            <c:symbol val="none"/>
          </c:marker>
          <c:dLbls>
            <c:spPr>
              <a:solidFill>
                <a:sysClr val="window" lastClr="FFFFFF"/>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Sandsynlighed!$Y$44</c:f>
              <c:numCache>
                <c:formatCode>General</c:formatCode>
                <c:ptCount val="1"/>
                <c:pt idx="0">
                  <c:v>193</c:v>
                </c:pt>
              </c:numCache>
            </c:numRef>
          </c:xVal>
          <c:yVal>
            <c:numRef>
              <c:f>Sandsynlighed!$Y$50</c:f>
              <c:numCache>
                <c:formatCode>General</c:formatCode>
                <c:ptCount val="1"/>
                <c:pt idx="0">
                  <c:v>0.39321600000000007</c:v>
                </c:pt>
              </c:numCache>
            </c:numRef>
          </c:yVal>
          <c:smooth val="0"/>
          <c:extLst>
            <c:ext xmlns:c16="http://schemas.microsoft.com/office/drawing/2014/chart" uri="{C3380CC4-5D6E-409C-BE32-E72D297353CC}">
              <c16:uniqueId val="{00000005-55A9-4687-8A02-286CB2506A3A}"/>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numFmt formatCode="General" sourceLinked="1"/>
        <c:majorTickMark val="out"/>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Sandsynlighed!$AH$6</c:f>
          <c:strCache>
            <c:ptCount val="1"/>
            <c:pt idx="0">
              <c:v>Poissonfordeling
(Intensitet = 2)
P(antal hændelser &lt; 1) = 13.534%
P(antal hændelser = 1) = 27.067%
P(antal hændelser &gt; 1) = 59.399%</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42989578094346714"/>
          <c:w val="0.7982489213142222"/>
          <c:h val="0.45645915006011989"/>
        </c:manualLayout>
      </c:layout>
      <c:areaChart>
        <c:grouping val="standard"/>
        <c:varyColors val="0"/>
        <c:ser>
          <c:idx val="0"/>
          <c:order val="0"/>
          <c:tx>
            <c:strRef>
              <c:f>Sandsynlighed!$AH$8</c:f>
              <c:strCache>
                <c:ptCount val="1"/>
                <c:pt idx="0">
                  <c:v>13.534%
mindre end
1</c:v>
                </c:pt>
              </c:strCache>
            </c:strRef>
          </c:tx>
          <c:spPr>
            <a:solidFill>
              <a:schemeClr val="accent1"/>
            </a:solidFill>
            <a:ln w="25400">
              <a:noFill/>
            </a:ln>
            <a:effectLst/>
          </c:spPr>
          <c:cat>
            <c:strRef>
              <c:f>[0]!SlP</c:f>
              <c:strCache>
                <c:ptCount val="231"/>
                <c:pt idx="10">
                  <c:v>0</c:v>
                </c:pt>
                <c:pt idx="30">
                  <c:v>1</c:v>
                </c:pt>
                <c:pt idx="50">
                  <c:v>2</c:v>
                </c:pt>
                <c:pt idx="70">
                  <c:v>3</c:v>
                </c:pt>
                <c:pt idx="90">
                  <c:v>4</c:v>
                </c:pt>
                <c:pt idx="110">
                  <c:v>5</c:v>
                </c:pt>
                <c:pt idx="130">
                  <c:v>6</c:v>
                </c:pt>
                <c:pt idx="150">
                  <c:v>7</c:v>
                </c:pt>
                <c:pt idx="170">
                  <c:v>8</c:v>
                </c:pt>
                <c:pt idx="190">
                  <c:v>9</c:v>
                </c:pt>
                <c:pt idx="210">
                  <c:v>10</c:v>
                </c:pt>
                <c:pt idx="230">
                  <c:v>11</c:v>
                </c:pt>
              </c:strCache>
            </c:strRef>
          </c:cat>
          <c:val>
            <c:numRef>
              <c:f>[0]!SyPv</c:f>
              <c:numCache>
                <c:formatCode>General</c:formatCode>
                <c:ptCount val="250"/>
                <c:pt idx="0">
                  <c:v>#N/A</c:v>
                </c:pt>
                <c:pt idx="1">
                  <c:v>0.1353352832366127</c:v>
                </c:pt>
                <c:pt idx="2">
                  <c:v>0.1353352832366127</c:v>
                </c:pt>
                <c:pt idx="3">
                  <c:v>0.1353352832366127</c:v>
                </c:pt>
                <c:pt idx="4">
                  <c:v>0.1353352832366127</c:v>
                </c:pt>
                <c:pt idx="5">
                  <c:v>0.1353352832366127</c:v>
                </c:pt>
                <c:pt idx="6">
                  <c:v>0.1353352832366127</c:v>
                </c:pt>
                <c:pt idx="7">
                  <c:v>0.1353352832366127</c:v>
                </c:pt>
                <c:pt idx="8">
                  <c:v>0.1353352832366127</c:v>
                </c:pt>
                <c:pt idx="9">
                  <c:v>0.1353352832366127</c:v>
                </c:pt>
                <c:pt idx="10">
                  <c:v>0.1353352832366127</c:v>
                </c:pt>
                <c:pt idx="11">
                  <c:v>0.1353352832366127</c:v>
                </c:pt>
                <c:pt idx="12">
                  <c:v>0.1353352832366127</c:v>
                </c:pt>
                <c:pt idx="13">
                  <c:v>0.1353352832366127</c:v>
                </c:pt>
                <c:pt idx="14">
                  <c:v>0.1353352832366127</c:v>
                </c:pt>
                <c:pt idx="15">
                  <c:v>0.1353352832366127</c:v>
                </c:pt>
                <c:pt idx="16">
                  <c:v>0.1353352832366127</c:v>
                </c:pt>
                <c:pt idx="17">
                  <c:v>0.1353352832366127</c:v>
                </c:pt>
                <c:pt idx="18">
                  <c:v>0.1353352832366127</c:v>
                </c:pt>
                <c:pt idx="19">
                  <c:v>0.1353352832366127</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0-2893-43E7-B522-A2FEC9747AA8}"/>
            </c:ext>
          </c:extLst>
        </c:ser>
        <c:ser>
          <c:idx val="3"/>
          <c:order val="1"/>
          <c:tx>
            <c:strRef>
              <c:f>Sandsynlighed!$AH$10</c:f>
              <c:strCache>
                <c:ptCount val="1"/>
                <c:pt idx="0">
                  <c:v>27.067%
lig med
1</c:v>
                </c:pt>
              </c:strCache>
            </c:strRef>
          </c:tx>
          <c:spPr>
            <a:solidFill>
              <a:schemeClr val="accent4"/>
            </a:solidFill>
            <a:ln w="25400">
              <a:noFill/>
            </a:ln>
            <a:effectLst/>
          </c:spPr>
          <c:cat>
            <c:strRef>
              <c:f>[0]!SlP</c:f>
              <c:strCache>
                <c:ptCount val="231"/>
                <c:pt idx="10">
                  <c:v>0</c:v>
                </c:pt>
                <c:pt idx="30">
                  <c:v>1</c:v>
                </c:pt>
                <c:pt idx="50">
                  <c:v>2</c:v>
                </c:pt>
                <c:pt idx="70">
                  <c:v>3</c:v>
                </c:pt>
                <c:pt idx="90">
                  <c:v>4</c:v>
                </c:pt>
                <c:pt idx="110">
                  <c:v>5</c:v>
                </c:pt>
                <c:pt idx="130">
                  <c:v>6</c:v>
                </c:pt>
                <c:pt idx="150">
                  <c:v>7</c:v>
                </c:pt>
                <c:pt idx="170">
                  <c:v>8</c:v>
                </c:pt>
                <c:pt idx="190">
                  <c:v>9</c:v>
                </c:pt>
                <c:pt idx="210">
                  <c:v>10</c:v>
                </c:pt>
                <c:pt idx="230">
                  <c:v>11</c:v>
                </c:pt>
              </c:strCache>
            </c:strRef>
          </c:cat>
          <c:val>
            <c:numRef>
              <c:f>[0]!SyPp</c:f>
              <c:numCache>
                <c:formatCode>General</c:formatCode>
                <c:ptCount val="2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0.27067056647322535</c:v>
                </c:pt>
                <c:pt idx="22">
                  <c:v>0.27067056647322535</c:v>
                </c:pt>
                <c:pt idx="23">
                  <c:v>0.27067056647322535</c:v>
                </c:pt>
                <c:pt idx="24">
                  <c:v>0.27067056647322535</c:v>
                </c:pt>
                <c:pt idx="25">
                  <c:v>0.27067056647322535</c:v>
                </c:pt>
                <c:pt idx="26">
                  <c:v>0.27067056647322535</c:v>
                </c:pt>
                <c:pt idx="27">
                  <c:v>0.27067056647322535</c:v>
                </c:pt>
                <c:pt idx="28">
                  <c:v>0.27067056647322535</c:v>
                </c:pt>
                <c:pt idx="29">
                  <c:v>0.27067056647322535</c:v>
                </c:pt>
                <c:pt idx="30">
                  <c:v>0.27067056647322535</c:v>
                </c:pt>
                <c:pt idx="31">
                  <c:v>0.27067056647322535</c:v>
                </c:pt>
                <c:pt idx="32">
                  <c:v>0.27067056647322535</c:v>
                </c:pt>
                <c:pt idx="33">
                  <c:v>0.27067056647322535</c:v>
                </c:pt>
                <c:pt idx="34">
                  <c:v>0.27067056647322535</c:v>
                </c:pt>
                <c:pt idx="35">
                  <c:v>0.27067056647322535</c:v>
                </c:pt>
                <c:pt idx="36">
                  <c:v>0.27067056647322535</c:v>
                </c:pt>
                <c:pt idx="37">
                  <c:v>0.27067056647322535</c:v>
                </c:pt>
                <c:pt idx="38">
                  <c:v>0.27067056647322535</c:v>
                </c:pt>
                <c:pt idx="39">
                  <c:v>0.27067056647322535</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1-2893-43E7-B522-A2FEC9747AA8}"/>
            </c:ext>
          </c:extLst>
        </c:ser>
        <c:ser>
          <c:idx val="1"/>
          <c:order val="2"/>
          <c:tx>
            <c:strRef>
              <c:f>Sandsynlighed!$AH$12</c:f>
              <c:strCache>
                <c:ptCount val="1"/>
                <c:pt idx="0">
                  <c:v>59.399%
større end
1</c:v>
                </c:pt>
              </c:strCache>
            </c:strRef>
          </c:tx>
          <c:spPr>
            <a:solidFill>
              <a:schemeClr val="accent2"/>
            </a:solidFill>
            <a:ln w="25400">
              <a:noFill/>
            </a:ln>
            <a:effectLst/>
          </c:spPr>
          <c:cat>
            <c:strRef>
              <c:f>[0]!SlP</c:f>
              <c:strCache>
                <c:ptCount val="231"/>
                <c:pt idx="10">
                  <c:v>0</c:v>
                </c:pt>
                <c:pt idx="30">
                  <c:v>1</c:v>
                </c:pt>
                <c:pt idx="50">
                  <c:v>2</c:v>
                </c:pt>
                <c:pt idx="70">
                  <c:v>3</c:v>
                </c:pt>
                <c:pt idx="90">
                  <c:v>4</c:v>
                </c:pt>
                <c:pt idx="110">
                  <c:v>5</c:v>
                </c:pt>
                <c:pt idx="130">
                  <c:v>6</c:v>
                </c:pt>
                <c:pt idx="150">
                  <c:v>7</c:v>
                </c:pt>
                <c:pt idx="170">
                  <c:v>8</c:v>
                </c:pt>
                <c:pt idx="190">
                  <c:v>9</c:v>
                </c:pt>
                <c:pt idx="210">
                  <c:v>10</c:v>
                </c:pt>
                <c:pt idx="230">
                  <c:v>11</c:v>
                </c:pt>
              </c:strCache>
            </c:strRef>
          </c:cat>
          <c:val>
            <c:numRef>
              <c:f>[0]!SyPh</c:f>
              <c:numCache>
                <c:formatCode>General</c:formatCode>
                <c:ptCount val="2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0.27067056647322546</c:v>
                </c:pt>
                <c:pt idx="42">
                  <c:v>0.27067056647322546</c:v>
                </c:pt>
                <c:pt idx="43">
                  <c:v>0.27067056647322546</c:v>
                </c:pt>
                <c:pt idx="44">
                  <c:v>0.27067056647322546</c:v>
                </c:pt>
                <c:pt idx="45">
                  <c:v>0.27067056647322546</c:v>
                </c:pt>
                <c:pt idx="46">
                  <c:v>0.27067056647322546</c:v>
                </c:pt>
                <c:pt idx="47">
                  <c:v>0.27067056647322546</c:v>
                </c:pt>
                <c:pt idx="48">
                  <c:v>0.27067056647322546</c:v>
                </c:pt>
                <c:pt idx="49">
                  <c:v>0.27067056647322546</c:v>
                </c:pt>
                <c:pt idx="50">
                  <c:v>0.27067056647322546</c:v>
                </c:pt>
                <c:pt idx="51">
                  <c:v>0.27067056647322546</c:v>
                </c:pt>
                <c:pt idx="52">
                  <c:v>0.27067056647322546</c:v>
                </c:pt>
                <c:pt idx="53">
                  <c:v>0.27067056647322546</c:v>
                </c:pt>
                <c:pt idx="54">
                  <c:v>0.27067056647322546</c:v>
                </c:pt>
                <c:pt idx="55">
                  <c:v>0.27067056647322546</c:v>
                </c:pt>
                <c:pt idx="56">
                  <c:v>0.27067056647322546</c:v>
                </c:pt>
                <c:pt idx="57">
                  <c:v>0.27067056647322546</c:v>
                </c:pt>
                <c:pt idx="58">
                  <c:v>0.27067056647322546</c:v>
                </c:pt>
                <c:pt idx="59">
                  <c:v>0.27067056647322546</c:v>
                </c:pt>
                <c:pt idx="60">
                  <c:v>#N/A</c:v>
                </c:pt>
                <c:pt idx="61">
                  <c:v>0.18044704431548364</c:v>
                </c:pt>
                <c:pt idx="62">
                  <c:v>0.18044704431548364</c:v>
                </c:pt>
                <c:pt idx="63">
                  <c:v>0.18044704431548364</c:v>
                </c:pt>
                <c:pt idx="64">
                  <c:v>0.18044704431548364</c:v>
                </c:pt>
                <c:pt idx="65">
                  <c:v>0.18044704431548364</c:v>
                </c:pt>
                <c:pt idx="66">
                  <c:v>0.18044704431548364</c:v>
                </c:pt>
                <c:pt idx="67">
                  <c:v>0.18044704431548364</c:v>
                </c:pt>
                <c:pt idx="68">
                  <c:v>0.18044704431548364</c:v>
                </c:pt>
                <c:pt idx="69">
                  <c:v>0.18044704431548364</c:v>
                </c:pt>
                <c:pt idx="70">
                  <c:v>0.18044704431548364</c:v>
                </c:pt>
                <c:pt idx="71">
                  <c:v>0.18044704431548364</c:v>
                </c:pt>
                <c:pt idx="72">
                  <c:v>0.18044704431548364</c:v>
                </c:pt>
                <c:pt idx="73">
                  <c:v>0.18044704431548364</c:v>
                </c:pt>
                <c:pt idx="74">
                  <c:v>0.18044704431548364</c:v>
                </c:pt>
                <c:pt idx="75">
                  <c:v>0.18044704431548364</c:v>
                </c:pt>
                <c:pt idx="76">
                  <c:v>0.18044704431548364</c:v>
                </c:pt>
                <c:pt idx="77">
                  <c:v>0.18044704431548364</c:v>
                </c:pt>
                <c:pt idx="78">
                  <c:v>0.18044704431548364</c:v>
                </c:pt>
                <c:pt idx="79">
                  <c:v>0.18044704431548364</c:v>
                </c:pt>
                <c:pt idx="80">
                  <c:v>#N/A</c:v>
                </c:pt>
                <c:pt idx="81">
                  <c:v>9.022352215774182E-2</c:v>
                </c:pt>
                <c:pt idx="82">
                  <c:v>9.022352215774182E-2</c:v>
                </c:pt>
                <c:pt idx="83">
                  <c:v>9.022352215774182E-2</c:v>
                </c:pt>
                <c:pt idx="84">
                  <c:v>9.022352215774182E-2</c:v>
                </c:pt>
                <c:pt idx="85">
                  <c:v>9.022352215774182E-2</c:v>
                </c:pt>
                <c:pt idx="86">
                  <c:v>9.022352215774182E-2</c:v>
                </c:pt>
                <c:pt idx="87">
                  <c:v>9.022352215774182E-2</c:v>
                </c:pt>
                <c:pt idx="88">
                  <c:v>9.022352215774182E-2</c:v>
                </c:pt>
                <c:pt idx="89">
                  <c:v>9.022352215774182E-2</c:v>
                </c:pt>
                <c:pt idx="90">
                  <c:v>9.022352215774182E-2</c:v>
                </c:pt>
                <c:pt idx="91">
                  <c:v>9.022352215774182E-2</c:v>
                </c:pt>
                <c:pt idx="92">
                  <c:v>9.022352215774182E-2</c:v>
                </c:pt>
                <c:pt idx="93">
                  <c:v>9.022352215774182E-2</c:v>
                </c:pt>
                <c:pt idx="94">
                  <c:v>9.022352215774182E-2</c:v>
                </c:pt>
                <c:pt idx="95">
                  <c:v>9.022352215774182E-2</c:v>
                </c:pt>
                <c:pt idx="96">
                  <c:v>9.022352215774182E-2</c:v>
                </c:pt>
                <c:pt idx="97">
                  <c:v>9.022352215774182E-2</c:v>
                </c:pt>
                <c:pt idx="98">
                  <c:v>9.022352215774182E-2</c:v>
                </c:pt>
                <c:pt idx="99">
                  <c:v>9.022352215774182E-2</c:v>
                </c:pt>
                <c:pt idx="100">
                  <c:v>#N/A</c:v>
                </c:pt>
                <c:pt idx="101">
                  <c:v>3.6089408863096716E-2</c:v>
                </c:pt>
                <c:pt idx="102">
                  <c:v>3.6089408863096716E-2</c:v>
                </c:pt>
                <c:pt idx="103">
                  <c:v>3.6089408863096716E-2</c:v>
                </c:pt>
                <c:pt idx="104">
                  <c:v>3.6089408863096716E-2</c:v>
                </c:pt>
                <c:pt idx="105">
                  <c:v>3.6089408863096716E-2</c:v>
                </c:pt>
                <c:pt idx="106">
                  <c:v>3.6089408863096716E-2</c:v>
                </c:pt>
                <c:pt idx="107">
                  <c:v>3.6089408863096716E-2</c:v>
                </c:pt>
                <c:pt idx="108">
                  <c:v>3.6089408863096716E-2</c:v>
                </c:pt>
                <c:pt idx="109">
                  <c:v>3.6089408863096716E-2</c:v>
                </c:pt>
                <c:pt idx="110">
                  <c:v>3.6089408863096716E-2</c:v>
                </c:pt>
                <c:pt idx="111">
                  <c:v>3.6089408863096716E-2</c:v>
                </c:pt>
                <c:pt idx="112">
                  <c:v>3.6089408863096716E-2</c:v>
                </c:pt>
                <c:pt idx="113">
                  <c:v>3.6089408863096716E-2</c:v>
                </c:pt>
                <c:pt idx="114">
                  <c:v>3.6089408863096716E-2</c:v>
                </c:pt>
                <c:pt idx="115">
                  <c:v>3.6089408863096716E-2</c:v>
                </c:pt>
                <c:pt idx="116">
                  <c:v>3.6089408863096716E-2</c:v>
                </c:pt>
                <c:pt idx="117">
                  <c:v>3.6089408863096716E-2</c:v>
                </c:pt>
                <c:pt idx="118">
                  <c:v>3.6089408863096716E-2</c:v>
                </c:pt>
                <c:pt idx="119">
                  <c:v>3.6089408863096716E-2</c:v>
                </c:pt>
                <c:pt idx="120">
                  <c:v>#N/A</c:v>
                </c:pt>
                <c:pt idx="121">
                  <c:v>1.2029802954365572E-2</c:v>
                </c:pt>
                <c:pt idx="122">
                  <c:v>1.2029802954365572E-2</c:v>
                </c:pt>
                <c:pt idx="123">
                  <c:v>1.2029802954365572E-2</c:v>
                </c:pt>
                <c:pt idx="124">
                  <c:v>1.2029802954365572E-2</c:v>
                </c:pt>
                <c:pt idx="125">
                  <c:v>1.2029802954365572E-2</c:v>
                </c:pt>
                <c:pt idx="126">
                  <c:v>1.2029802954365572E-2</c:v>
                </c:pt>
                <c:pt idx="127">
                  <c:v>1.2029802954365572E-2</c:v>
                </c:pt>
                <c:pt idx="128">
                  <c:v>1.2029802954365572E-2</c:v>
                </c:pt>
                <c:pt idx="129">
                  <c:v>1.2029802954365572E-2</c:v>
                </c:pt>
                <c:pt idx="130">
                  <c:v>1.2029802954365572E-2</c:v>
                </c:pt>
                <c:pt idx="131">
                  <c:v>1.2029802954365572E-2</c:v>
                </c:pt>
                <c:pt idx="132">
                  <c:v>1.2029802954365572E-2</c:v>
                </c:pt>
                <c:pt idx="133">
                  <c:v>1.2029802954365572E-2</c:v>
                </c:pt>
                <c:pt idx="134">
                  <c:v>1.2029802954365572E-2</c:v>
                </c:pt>
                <c:pt idx="135">
                  <c:v>1.2029802954365572E-2</c:v>
                </c:pt>
                <c:pt idx="136">
                  <c:v>1.2029802954365572E-2</c:v>
                </c:pt>
                <c:pt idx="137">
                  <c:v>1.2029802954365572E-2</c:v>
                </c:pt>
                <c:pt idx="138">
                  <c:v>1.2029802954365572E-2</c:v>
                </c:pt>
                <c:pt idx="139">
                  <c:v>1.2029802954365572E-2</c:v>
                </c:pt>
                <c:pt idx="140">
                  <c:v>#N/A</c:v>
                </c:pt>
                <c:pt idx="141">
                  <c:v>3.4370865583901629E-3</c:v>
                </c:pt>
                <c:pt idx="142">
                  <c:v>3.4370865583901629E-3</c:v>
                </c:pt>
                <c:pt idx="143">
                  <c:v>3.4370865583901629E-3</c:v>
                </c:pt>
                <c:pt idx="144">
                  <c:v>3.4370865583901629E-3</c:v>
                </c:pt>
                <c:pt idx="145">
                  <c:v>3.4370865583901629E-3</c:v>
                </c:pt>
                <c:pt idx="146">
                  <c:v>3.4370865583901629E-3</c:v>
                </c:pt>
                <c:pt idx="147">
                  <c:v>3.4370865583901629E-3</c:v>
                </c:pt>
                <c:pt idx="148">
                  <c:v>3.4370865583901629E-3</c:v>
                </c:pt>
                <c:pt idx="149">
                  <c:v>3.4370865583901629E-3</c:v>
                </c:pt>
                <c:pt idx="150">
                  <c:v>3.4370865583901629E-3</c:v>
                </c:pt>
                <c:pt idx="151">
                  <c:v>3.4370865583901629E-3</c:v>
                </c:pt>
                <c:pt idx="152">
                  <c:v>3.4370865583901629E-3</c:v>
                </c:pt>
                <c:pt idx="153">
                  <c:v>3.4370865583901629E-3</c:v>
                </c:pt>
                <c:pt idx="154">
                  <c:v>3.4370865583901629E-3</c:v>
                </c:pt>
                <c:pt idx="155">
                  <c:v>3.4370865583901629E-3</c:v>
                </c:pt>
                <c:pt idx="156">
                  <c:v>3.4370865583901629E-3</c:v>
                </c:pt>
                <c:pt idx="157">
                  <c:v>3.4370865583901629E-3</c:v>
                </c:pt>
                <c:pt idx="158">
                  <c:v>3.4370865583901629E-3</c:v>
                </c:pt>
                <c:pt idx="159">
                  <c:v>3.4370865583901629E-3</c:v>
                </c:pt>
                <c:pt idx="160">
                  <c:v>#N/A</c:v>
                </c:pt>
                <c:pt idx="161">
                  <c:v>8.5927163959754148E-4</c:v>
                </c:pt>
                <c:pt idx="162">
                  <c:v>8.5927163959754148E-4</c:v>
                </c:pt>
                <c:pt idx="163">
                  <c:v>8.5927163959754148E-4</c:v>
                </c:pt>
                <c:pt idx="164">
                  <c:v>8.5927163959754148E-4</c:v>
                </c:pt>
                <c:pt idx="165">
                  <c:v>8.5927163959754148E-4</c:v>
                </c:pt>
                <c:pt idx="166">
                  <c:v>8.5927163959754148E-4</c:v>
                </c:pt>
                <c:pt idx="167">
                  <c:v>8.5927163959754148E-4</c:v>
                </c:pt>
                <c:pt idx="168">
                  <c:v>8.5927163959754148E-4</c:v>
                </c:pt>
                <c:pt idx="169">
                  <c:v>8.5927163959754148E-4</c:v>
                </c:pt>
                <c:pt idx="170">
                  <c:v>8.5927163959754148E-4</c:v>
                </c:pt>
                <c:pt idx="171">
                  <c:v>8.5927163959754148E-4</c:v>
                </c:pt>
                <c:pt idx="172">
                  <c:v>8.5927163959754148E-4</c:v>
                </c:pt>
                <c:pt idx="173">
                  <c:v>8.5927163959754148E-4</c:v>
                </c:pt>
                <c:pt idx="174">
                  <c:v>8.5927163959754148E-4</c:v>
                </c:pt>
                <c:pt idx="175">
                  <c:v>8.5927163959754148E-4</c:v>
                </c:pt>
                <c:pt idx="176">
                  <c:v>8.5927163959754148E-4</c:v>
                </c:pt>
                <c:pt idx="177">
                  <c:v>8.5927163959754148E-4</c:v>
                </c:pt>
                <c:pt idx="178">
                  <c:v>8.5927163959754148E-4</c:v>
                </c:pt>
                <c:pt idx="179">
                  <c:v>8.5927163959754148E-4</c:v>
                </c:pt>
                <c:pt idx="180">
                  <c:v>#N/A</c:v>
                </c:pt>
                <c:pt idx="181">
                  <c:v>1.9094925324389769E-4</c:v>
                </c:pt>
                <c:pt idx="182">
                  <c:v>1.9094925324389769E-4</c:v>
                </c:pt>
                <c:pt idx="183">
                  <c:v>1.9094925324389769E-4</c:v>
                </c:pt>
                <c:pt idx="184">
                  <c:v>1.9094925324389769E-4</c:v>
                </c:pt>
                <c:pt idx="185">
                  <c:v>1.9094925324389769E-4</c:v>
                </c:pt>
                <c:pt idx="186">
                  <c:v>1.9094925324389769E-4</c:v>
                </c:pt>
                <c:pt idx="187">
                  <c:v>1.9094925324389769E-4</c:v>
                </c:pt>
                <c:pt idx="188">
                  <c:v>1.9094925324389769E-4</c:v>
                </c:pt>
                <c:pt idx="189">
                  <c:v>1.9094925324389769E-4</c:v>
                </c:pt>
                <c:pt idx="190">
                  <c:v>1.9094925324389769E-4</c:v>
                </c:pt>
                <c:pt idx="191">
                  <c:v>1.9094925324389769E-4</c:v>
                </c:pt>
                <c:pt idx="192">
                  <c:v>1.9094925324389769E-4</c:v>
                </c:pt>
                <c:pt idx="193">
                  <c:v>1.9094925324389769E-4</c:v>
                </c:pt>
                <c:pt idx="194">
                  <c:v>1.9094925324389769E-4</c:v>
                </c:pt>
                <c:pt idx="195">
                  <c:v>1.9094925324389769E-4</c:v>
                </c:pt>
                <c:pt idx="196">
                  <c:v>1.9094925324389769E-4</c:v>
                </c:pt>
                <c:pt idx="197">
                  <c:v>1.9094925324389769E-4</c:v>
                </c:pt>
                <c:pt idx="198">
                  <c:v>1.9094925324389769E-4</c:v>
                </c:pt>
                <c:pt idx="199">
                  <c:v>1.9094925324389769E-4</c:v>
                </c:pt>
                <c:pt idx="200">
                  <c:v>#N/A</c:v>
                </c:pt>
                <c:pt idx="201">
                  <c:v>3.8189850648779602E-5</c:v>
                </c:pt>
                <c:pt idx="202">
                  <c:v>3.8189850648779602E-5</c:v>
                </c:pt>
                <c:pt idx="203">
                  <c:v>3.8189850648779602E-5</c:v>
                </c:pt>
                <c:pt idx="204">
                  <c:v>3.8189850648779602E-5</c:v>
                </c:pt>
                <c:pt idx="205">
                  <c:v>3.8189850648779602E-5</c:v>
                </c:pt>
                <c:pt idx="206">
                  <c:v>3.8189850648779602E-5</c:v>
                </c:pt>
                <c:pt idx="207">
                  <c:v>3.8189850648779602E-5</c:v>
                </c:pt>
                <c:pt idx="208">
                  <c:v>3.8189850648779602E-5</c:v>
                </c:pt>
                <c:pt idx="209">
                  <c:v>3.8189850648779602E-5</c:v>
                </c:pt>
                <c:pt idx="210">
                  <c:v>3.8189850648779602E-5</c:v>
                </c:pt>
                <c:pt idx="211">
                  <c:v>3.8189850648779602E-5</c:v>
                </c:pt>
                <c:pt idx="212">
                  <c:v>3.8189850648779602E-5</c:v>
                </c:pt>
                <c:pt idx="213">
                  <c:v>3.8189850648779602E-5</c:v>
                </c:pt>
                <c:pt idx="214">
                  <c:v>3.8189850648779602E-5</c:v>
                </c:pt>
                <c:pt idx="215">
                  <c:v>3.8189850648779602E-5</c:v>
                </c:pt>
                <c:pt idx="216">
                  <c:v>3.8189850648779602E-5</c:v>
                </c:pt>
                <c:pt idx="217">
                  <c:v>3.8189850648779602E-5</c:v>
                </c:pt>
                <c:pt idx="218">
                  <c:v>3.8189850648779602E-5</c:v>
                </c:pt>
                <c:pt idx="219">
                  <c:v>3.8189850648779602E-5</c:v>
                </c:pt>
                <c:pt idx="220">
                  <c:v>#N/A</c:v>
                </c:pt>
                <c:pt idx="221">
                  <c:v>6.9436092088690095E-6</c:v>
                </c:pt>
                <c:pt idx="222">
                  <c:v>6.9436092088690095E-6</c:v>
                </c:pt>
                <c:pt idx="223">
                  <c:v>6.9436092088690095E-6</c:v>
                </c:pt>
                <c:pt idx="224">
                  <c:v>6.9436092088690095E-6</c:v>
                </c:pt>
                <c:pt idx="225">
                  <c:v>6.9436092088690095E-6</c:v>
                </c:pt>
                <c:pt idx="226">
                  <c:v>6.9436092088690095E-6</c:v>
                </c:pt>
                <c:pt idx="227">
                  <c:v>6.9436092088690095E-6</c:v>
                </c:pt>
                <c:pt idx="228">
                  <c:v>6.9436092088690095E-6</c:v>
                </c:pt>
                <c:pt idx="229">
                  <c:v>6.9436092088690095E-6</c:v>
                </c:pt>
                <c:pt idx="230">
                  <c:v>6.9436092088690095E-6</c:v>
                </c:pt>
                <c:pt idx="231">
                  <c:v>6.9436092088690095E-6</c:v>
                </c:pt>
                <c:pt idx="232">
                  <c:v>6.9436092088690095E-6</c:v>
                </c:pt>
                <c:pt idx="233">
                  <c:v>6.9436092088690095E-6</c:v>
                </c:pt>
                <c:pt idx="234">
                  <c:v>6.9436092088690095E-6</c:v>
                </c:pt>
                <c:pt idx="235">
                  <c:v>6.9436092088690095E-6</c:v>
                </c:pt>
                <c:pt idx="236">
                  <c:v>6.9436092088690095E-6</c:v>
                </c:pt>
                <c:pt idx="237">
                  <c:v>6.9436092088690095E-6</c:v>
                </c:pt>
                <c:pt idx="238">
                  <c:v>6.9436092088690095E-6</c:v>
                </c:pt>
                <c:pt idx="239">
                  <c:v>6.9436092088690095E-6</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2-2893-43E7-B522-A2FEC9747AA8}"/>
            </c:ext>
          </c:extLst>
        </c:ser>
        <c:dLbls>
          <c:showLegendKey val="0"/>
          <c:showVal val="0"/>
          <c:showCatName val="0"/>
          <c:showSerName val="0"/>
          <c:showPercent val="0"/>
          <c:showBubbleSize val="0"/>
        </c:dLbls>
        <c:axId val="2085993312"/>
        <c:axId val="2125624672"/>
      </c:areaChart>
      <c:scatterChart>
        <c:scatterStyle val="lineMarker"/>
        <c:varyColors val="0"/>
        <c:ser>
          <c:idx val="2"/>
          <c:order val="3"/>
          <c:tx>
            <c:strRef>
              <c:f>Sandsynlighed!$AH$8</c:f>
              <c:strCache>
                <c:ptCount val="1"/>
                <c:pt idx="0">
                  <c:v>13.534%
mindre end
1</c:v>
                </c:pt>
              </c:strCache>
            </c:strRef>
          </c:tx>
          <c:spPr>
            <a:ln w="28575" cap="rnd">
              <a:solidFill>
                <a:schemeClr val="accent3"/>
              </a:solidFill>
              <a:round/>
            </a:ln>
            <a:effectLst/>
          </c:spPr>
          <c:marker>
            <c:symbol val="none"/>
          </c:marker>
          <c:dLbls>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Sandsynlighed!$AH$38</c:f>
              <c:numCache>
                <c:formatCode>General</c:formatCode>
                <c:ptCount val="1"/>
                <c:pt idx="0">
                  <c:v>11</c:v>
                </c:pt>
              </c:numCache>
            </c:numRef>
          </c:xVal>
          <c:yVal>
            <c:numRef>
              <c:f>Sandsynlighed!$AH$44</c:f>
              <c:numCache>
                <c:formatCode>General</c:formatCode>
                <c:ptCount val="1"/>
                <c:pt idx="0">
                  <c:v>0.1353352832366127</c:v>
                </c:pt>
              </c:numCache>
            </c:numRef>
          </c:yVal>
          <c:smooth val="0"/>
          <c:extLst>
            <c:ext xmlns:c16="http://schemas.microsoft.com/office/drawing/2014/chart" uri="{C3380CC4-5D6E-409C-BE32-E72D297353CC}">
              <c16:uniqueId val="{00000003-2893-43E7-B522-A2FEC9747AA8}"/>
            </c:ext>
          </c:extLst>
        </c:ser>
        <c:ser>
          <c:idx val="5"/>
          <c:order val="4"/>
          <c:tx>
            <c:strRef>
              <c:f>Sandsynlighed!$AH$10</c:f>
              <c:strCache>
                <c:ptCount val="1"/>
                <c:pt idx="0">
                  <c:v>27.067%
lig med
1</c:v>
                </c:pt>
              </c:strCache>
            </c:strRef>
          </c:tx>
          <c:spPr>
            <a:ln w="28575" cap="rnd">
              <a:solidFill>
                <a:schemeClr val="accent6"/>
              </a:solidFill>
              <a:round/>
            </a:ln>
            <a:effectLst/>
          </c:spPr>
          <c:marker>
            <c:symbol val="none"/>
          </c:marker>
          <c:dLbls>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Sandsynlighed!$AH$40</c:f>
              <c:numCache>
                <c:formatCode>General</c:formatCode>
                <c:ptCount val="1"/>
                <c:pt idx="0">
                  <c:v>31</c:v>
                </c:pt>
              </c:numCache>
            </c:numRef>
          </c:xVal>
          <c:yVal>
            <c:numRef>
              <c:f>Sandsynlighed!$AH$46</c:f>
              <c:numCache>
                <c:formatCode>General</c:formatCode>
                <c:ptCount val="1"/>
                <c:pt idx="0">
                  <c:v>0.27067056647322535</c:v>
                </c:pt>
              </c:numCache>
            </c:numRef>
          </c:yVal>
          <c:smooth val="0"/>
          <c:extLst>
            <c:ext xmlns:c16="http://schemas.microsoft.com/office/drawing/2014/chart" uri="{C3380CC4-5D6E-409C-BE32-E72D297353CC}">
              <c16:uniqueId val="{00000004-2893-43E7-B522-A2FEC9747AA8}"/>
            </c:ext>
          </c:extLst>
        </c:ser>
        <c:ser>
          <c:idx val="4"/>
          <c:order val="5"/>
          <c:tx>
            <c:strRef>
              <c:f>Sandsynlighed!$AH$12</c:f>
              <c:strCache>
                <c:ptCount val="1"/>
                <c:pt idx="0">
                  <c:v>59.399%
større end
1</c:v>
                </c:pt>
              </c:strCache>
            </c:strRef>
          </c:tx>
          <c:spPr>
            <a:ln w="28575" cap="rnd">
              <a:solidFill>
                <a:schemeClr val="accent5"/>
              </a:solidFill>
              <a:round/>
            </a:ln>
            <a:effectLst/>
          </c:spPr>
          <c:marker>
            <c:symbol val="none"/>
          </c:marker>
          <c:dLbls>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Sandsynlighed!$AH$42</c:f>
              <c:numCache>
                <c:formatCode>General</c:formatCode>
                <c:ptCount val="1"/>
                <c:pt idx="0">
                  <c:v>131</c:v>
                </c:pt>
              </c:numCache>
            </c:numRef>
          </c:xVal>
          <c:yVal>
            <c:numRef>
              <c:f>Sandsynlighed!$AH$48</c:f>
              <c:numCache>
                <c:formatCode>General</c:formatCode>
                <c:ptCount val="1"/>
                <c:pt idx="0">
                  <c:v>1.2029802954365572E-2</c:v>
                </c:pt>
              </c:numCache>
            </c:numRef>
          </c:yVal>
          <c:smooth val="0"/>
          <c:extLst>
            <c:ext xmlns:c16="http://schemas.microsoft.com/office/drawing/2014/chart" uri="{C3380CC4-5D6E-409C-BE32-E72D297353CC}">
              <c16:uniqueId val="{00000005-2893-43E7-B522-A2FEC9747AA8}"/>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numFmt formatCode="General" sourceLinked="1"/>
        <c:majorTickMark val="out"/>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Estimation!$BF$10</c:f>
          <c:strCache>
            <c:ptCount val="1"/>
            <c:pt idx="0">
              <c:v>95% Konfidensinterval for gennemsnit
af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Estimation!$CL$9</c:f>
              <c:strCache>
                <c:ptCount val="1"/>
                <c:pt idx="0">
                  <c:v>Alternativ hypotese</c:v>
                </c:pt>
              </c:strCache>
            </c:strRef>
          </c:tx>
          <c:spPr>
            <a:solidFill>
              <a:schemeClr val="accent1"/>
            </a:solidFill>
            <a:ln w="25400">
              <a:noFill/>
            </a:ln>
            <a:effectLst/>
          </c:spPr>
          <c:cat>
            <c:strRef>
              <c:f>Estimation!$CN$10:$CN$268</c:f>
              <c:strCache>
                <c:ptCount val="212"/>
                <c:pt idx="47">
                  <c:v>-0.583</c:v>
                </c:pt>
                <c:pt idx="129">
                  <c:v>1.854</c:v>
                </c:pt>
                <c:pt idx="211">
                  <c:v>4.291</c:v>
                </c:pt>
              </c:strCache>
            </c:strRef>
          </c:cat>
          <c:val>
            <c:numRef>
              <c:f>Estimation!$CL$10:$CL$268</c:f>
              <c:numCache>
                <c:formatCode>General</c:formatCode>
                <c:ptCount val="259"/>
                <c:pt idx="0">
                  <c:v>3.3670900770639959E-3</c:v>
                </c:pt>
                <c:pt idx="1">
                  <c:v>3.6247646909920227E-3</c:v>
                </c:pt>
                <c:pt idx="2">
                  <c:v>3.8999198362770038E-3</c:v>
                </c:pt>
                <c:pt idx="3">
                  <c:v>4.1935547655993473E-3</c:v>
                </c:pt>
                <c:pt idx="4">
                  <c:v>4.5067112740675413E-3</c:v>
                </c:pt>
                <c:pt idx="5">
                  <c:v>4.8404744224978778E-3</c:v>
                </c:pt>
                <c:pt idx="6">
                  <c:v>5.1959731862444456E-3</c:v>
                </c:pt>
                <c:pt idx="7">
                  <c:v>5.5743810217063422E-3</c:v>
                </c:pt>
                <c:pt idx="8">
                  <c:v>5.9769163423966454E-3</c:v>
                </c:pt>
                <c:pt idx="9">
                  <c:v>6.4048428962354522E-3</c:v>
                </c:pt>
                <c:pt idx="10">
                  <c:v>6.859470035530551E-3</c:v>
                </c:pt>
                <c:pt idx="11">
                  <c:v>7.3421528709367023E-3</c:v>
                </c:pt>
                <c:pt idx="12">
                  <c:v>7.8542923005407734E-3</c:v>
                </c:pt>
                <c:pt idx="13">
                  <c:v>8.3973349051078925E-3</c:v>
                </c:pt>
                <c:pt idx="14">
                  <c:v>8.9727727004466455E-3</c:v>
                </c:pt>
                <c:pt idx="15">
                  <c:v>9.582142737811215E-3</c:v>
                </c:pt>
                <c:pt idx="16">
                  <c:v>1.0227026543258957E-2</c:v>
                </c:pt>
                <c:pt idx="17">
                  <c:v>1.0909049386925537E-2</c:v>
                </c:pt>
                <c:pt idx="18">
                  <c:v>1.1629879373268774E-2</c:v>
                </c:pt>
                <c:pt idx="19">
                  <c:v>1.2391226343470816E-2</c:v>
                </c:pt>
                <c:pt idx="20">
                  <c:v>1.319484058137666E-2</c:v>
                </c:pt>
                <c:pt idx="21">
                  <c:v>1.4042511314589688E-2</c:v>
                </c:pt>
                <c:pt idx="22">
                  <c:v>1.4936065002642981E-2</c:v>
                </c:pt>
                <c:pt idx="23">
                  <c:v>1.5877363404520849E-2</c:v>
                </c:pt>
                <c:pt idx="24">
                  <c:v>1.6868301418220717E-2</c:v>
                </c:pt>
                <c:pt idx="25">
                  <c:v>1.7910804685522155E-2</c:v>
                </c:pt>
                <c:pt idx="26">
                  <c:v>1.9006826955669413E-2</c:v>
                </c:pt>
                <c:pt idx="27">
                  <c:v>2.0158347202276675E-2</c:v>
                </c:pt>
                <c:pt idx="28">
                  <c:v>2.1367366488433549E-2</c:v>
                </c:pt>
                <c:pt idx="29">
                  <c:v>2.2635904575720501E-2</c:v>
                </c:pt>
                <c:pt idx="30">
                  <c:v>2.3965996273642005E-2</c:v>
                </c:pt>
                <c:pt idx="31">
                  <c:v>2.5359687526847842E-2</c:v>
                </c:pt>
                <c:pt idx="32">
                  <c:v>2.681903123843965E-2</c:v>
                </c:pt>
                <c:pt idx="33">
                  <c:v>2.8346082828649768E-2</c:v>
                </c:pt>
                <c:pt idx="34">
                  <c:v>2.9942895529230493E-2</c:v>
                </c:pt>
                <c:pt idx="35">
                  <c:v>3.161151541500333E-2</c:v>
                </c:pt>
                <c:pt idx="36">
                  <c:v>3.3353976175184367E-2</c:v>
                </c:pt>
                <c:pt idx="37">
                  <c:v>3.5172293628326232E-2</c:v>
                </c:pt>
                <c:pt idx="38">
                  <c:v>3.706845998598688E-2</c:v>
                </c:pt>
                <c:pt idx="39">
                  <c:v>3.9044437871557765E-2</c:v>
                </c:pt>
                <c:pt idx="40">
                  <c:v>4.1102154102044132E-2</c:v>
                </c:pt>
                <c:pt idx="41">
                  <c:v>4.3243493241990262E-2</c:v>
                </c:pt>
                <c:pt idx="42">
                  <c:v>4.5470290940174081E-2</c:v>
                </c:pt>
                <c:pt idx="43">
                  <c:v>4.7784327061153015E-2</c:v>
                </c:pt>
                <c:pt idx="44">
                  <c:v>5.0187318625221689E-2</c:v>
                </c:pt>
                <c:pt idx="45">
                  <c:v>5.2680912571830774E-2</c:v>
                </c:pt>
                <c:pt idx="46">
                  <c:v>5.5266678363017151E-2</c:v>
                </c:pt>
                <c:pt idx="47">
                  <c:v>5.7946100444885101E-2</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5.7946100444885101E-2</c:v>
                </c:pt>
                <c:pt idx="212">
                  <c:v>5.5266678363017178E-2</c:v>
                </c:pt>
                <c:pt idx="213">
                  <c:v>5.2680912571830774E-2</c:v>
                </c:pt>
                <c:pt idx="214">
                  <c:v>5.0187318625221689E-2</c:v>
                </c:pt>
                <c:pt idx="215">
                  <c:v>4.7784327061153015E-2</c:v>
                </c:pt>
                <c:pt idx="216">
                  <c:v>4.5470290940174081E-2</c:v>
                </c:pt>
                <c:pt idx="217">
                  <c:v>4.3243493241990325E-2</c:v>
                </c:pt>
                <c:pt idx="218">
                  <c:v>4.1102154102044132E-2</c:v>
                </c:pt>
                <c:pt idx="219">
                  <c:v>3.9044437871557792E-2</c:v>
                </c:pt>
                <c:pt idx="220">
                  <c:v>3.706845998598688E-2</c:v>
                </c:pt>
                <c:pt idx="221">
                  <c:v>3.5172293628326259E-2</c:v>
                </c:pt>
                <c:pt idx="222">
                  <c:v>3.3353976175184367E-2</c:v>
                </c:pt>
                <c:pt idx="223">
                  <c:v>3.161151541500333E-2</c:v>
                </c:pt>
                <c:pt idx="224">
                  <c:v>2.9942895529230493E-2</c:v>
                </c:pt>
                <c:pt idx="225">
                  <c:v>2.8346082828649768E-2</c:v>
                </c:pt>
                <c:pt idx="226">
                  <c:v>2.6819031238439629E-2</c:v>
                </c:pt>
                <c:pt idx="227">
                  <c:v>2.5359687526847842E-2</c:v>
                </c:pt>
                <c:pt idx="228">
                  <c:v>2.3965996273642022E-2</c:v>
                </c:pt>
                <c:pt idx="229">
                  <c:v>2.2635904575720501E-2</c:v>
                </c:pt>
                <c:pt idx="230">
                  <c:v>2.136736648843357E-2</c:v>
                </c:pt>
                <c:pt idx="231">
                  <c:v>2.0158347202276675E-2</c:v>
                </c:pt>
                <c:pt idx="232">
                  <c:v>1.9006826955669437E-2</c:v>
                </c:pt>
                <c:pt idx="233">
                  <c:v>1.7910804685522155E-2</c:v>
                </c:pt>
                <c:pt idx="234">
                  <c:v>1.6868301418220717E-2</c:v>
                </c:pt>
                <c:pt idx="235">
                  <c:v>1.5877363404520835E-2</c:v>
                </c:pt>
                <c:pt idx="236">
                  <c:v>1.4936065002642981E-2</c:v>
                </c:pt>
                <c:pt idx="237">
                  <c:v>1.4042511314589706E-2</c:v>
                </c:pt>
                <c:pt idx="238">
                  <c:v>1.319484058137666E-2</c:v>
                </c:pt>
                <c:pt idx="239">
                  <c:v>1.2391226343470832E-2</c:v>
                </c:pt>
                <c:pt idx="240">
                  <c:v>1.1629879373268774E-2</c:v>
                </c:pt>
                <c:pt idx="241">
                  <c:v>1.0909049386925553E-2</c:v>
                </c:pt>
                <c:pt idx="242">
                  <c:v>1.0227026543258957E-2</c:v>
                </c:pt>
                <c:pt idx="243">
                  <c:v>9.582142737811215E-3</c:v>
                </c:pt>
                <c:pt idx="244">
                  <c:v>8.9727727004466386E-3</c:v>
                </c:pt>
                <c:pt idx="245">
                  <c:v>8.3973349051078925E-3</c:v>
                </c:pt>
                <c:pt idx="246">
                  <c:v>7.8542923005407612E-3</c:v>
                </c:pt>
                <c:pt idx="247">
                  <c:v>7.3421528709367023E-3</c:v>
                </c:pt>
                <c:pt idx="248">
                  <c:v>6.8594700355305563E-3</c:v>
                </c:pt>
                <c:pt idx="249">
                  <c:v>6.4048428962354522E-3</c:v>
                </c:pt>
                <c:pt idx="250">
                  <c:v>5.9769163423966497E-3</c:v>
                </c:pt>
                <c:pt idx="251">
                  <c:v>5.5743810217063422E-3</c:v>
                </c:pt>
                <c:pt idx="252">
                  <c:v>5.1959731862444561E-3</c:v>
                </c:pt>
                <c:pt idx="253">
                  <c:v>4.8404744224978778E-3</c:v>
                </c:pt>
                <c:pt idx="254">
                  <c:v>4.5067112740675413E-3</c:v>
                </c:pt>
                <c:pt idx="255">
                  <c:v>4.1935547655993438E-3</c:v>
                </c:pt>
                <c:pt idx="256">
                  <c:v>3.8999198362770038E-3</c:v>
                </c:pt>
                <c:pt idx="257">
                  <c:v>3.6247646909920261E-3</c:v>
                </c:pt>
                <c:pt idx="258">
                  <c:v>3.3670900770639959E-3</c:v>
                </c:pt>
              </c:numCache>
            </c:numRef>
          </c:val>
          <c:extLst>
            <c:ext xmlns:c16="http://schemas.microsoft.com/office/drawing/2014/chart" uri="{C3380CC4-5D6E-409C-BE32-E72D297353CC}">
              <c16:uniqueId val="{00000000-EFFC-4E17-B92C-D6FCE9F53211}"/>
            </c:ext>
          </c:extLst>
        </c:ser>
        <c:ser>
          <c:idx val="1"/>
          <c:order val="1"/>
          <c:tx>
            <c:strRef>
              <c:f>Estimation!$CM$9</c:f>
              <c:strCache>
                <c:ptCount val="1"/>
                <c:pt idx="0">
                  <c:v>Nulhypotese</c:v>
                </c:pt>
              </c:strCache>
            </c:strRef>
          </c:tx>
          <c:spPr>
            <a:solidFill>
              <a:schemeClr val="accent2"/>
            </a:solidFill>
            <a:ln w="25400">
              <a:noFill/>
            </a:ln>
            <a:effectLst/>
          </c:spPr>
          <c:cat>
            <c:strRef>
              <c:f>Estimation!$CN$10:$CN$268</c:f>
              <c:strCache>
                <c:ptCount val="212"/>
                <c:pt idx="47">
                  <c:v>-0.583</c:v>
                </c:pt>
                <c:pt idx="129">
                  <c:v>1.854</c:v>
                </c:pt>
                <c:pt idx="211">
                  <c:v>4.291</c:v>
                </c:pt>
              </c:strCache>
            </c:strRef>
          </c:cat>
          <c:val>
            <c:numRef>
              <c:f>Estimation!$CM$10:$CM$268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6.0720570586669888E-2</c:v>
                </c:pt>
                <c:pt idx="49">
                  <c:v>6.3591380118377214E-2</c:v>
                </c:pt>
                <c:pt idx="50">
                  <c:v>6.6559712089436965E-2</c:v>
                </c:pt>
                <c:pt idx="51">
                  <c:v>6.962663337221206E-2</c:v>
                </c:pt>
                <c:pt idx="52">
                  <c:v>7.279308673556574E-2</c:v>
                </c:pt>
                <c:pt idx="53">
                  <c:v>7.6059882914996185E-2</c:v>
                </c:pt>
                <c:pt idx="54">
                  <c:v>7.9427692707090408E-2</c:v>
                </c:pt>
                <c:pt idx="55">
                  <c:v>8.2897039117220475E-2</c:v>
                </c:pt>
                <c:pt idx="56">
                  <c:v>8.6468289590491687E-2</c:v>
                </c:pt>
                <c:pt idx="57">
                  <c:v>9.014164835694867E-2</c:v>
                </c:pt>
                <c:pt idx="58">
                  <c:v>9.3917148922940161E-2</c:v>
                </c:pt>
                <c:pt idx="59">
                  <c:v>9.7794646741325916E-2</c:v>
                </c:pt>
                <c:pt idx="60">
                  <c:v>0.10177381209387595</c:v>
                </c:pt>
                <c:pt idx="61">
                  <c:v>0.10585412321974697</c:v>
                </c:pt>
                <c:pt idx="62">
                  <c:v>0.11003485972432274</c:v>
                </c:pt>
                <c:pt idx="63">
                  <c:v>0.11431509630296084</c:v>
                </c:pt>
                <c:pt idx="64">
                  <c:v>0.11869369681429402</c:v>
                </c:pt>
                <c:pt idx="65">
                  <c:v>0.12316930873768142</c:v>
                </c:pt>
                <c:pt idx="66">
                  <c:v>0.12774035804918907</c:v>
                </c:pt>
                <c:pt idx="67">
                  <c:v>0.13240504455009261</c:v>
                </c:pt>
                <c:pt idx="68">
                  <c:v>0.13716133768133662</c:v>
                </c:pt>
                <c:pt idx="69">
                  <c:v>0.14200697285664771</c:v>
                </c:pt>
                <c:pt idx="70">
                  <c:v>0.14693944834608266</c:v>
                </c:pt>
                <c:pt idx="71">
                  <c:v>0.15195602274069356</c:v>
                </c:pt>
                <c:pt idx="72">
                  <c:v>0.1570537130277106</c:v>
                </c:pt>
                <c:pt idx="73">
                  <c:v>0.16222929330418059</c:v>
                </c:pt>
                <c:pt idx="74">
                  <c:v>0.16747929415535215</c:v>
                </c:pt>
                <c:pt idx="75">
                  <c:v>0.17280000272227752</c:v>
                </c:pt>
                <c:pt idx="76">
                  <c:v>0.17818746348109932</c:v>
                </c:pt>
                <c:pt idx="77">
                  <c:v>0.18363747975432293</c:v>
                </c:pt>
                <c:pt idx="78">
                  <c:v>0.18914561597203963</c:v>
                </c:pt>
                <c:pt idx="79">
                  <c:v>0.19470720069857361</c:v>
                </c:pt>
                <c:pt idx="80">
                  <c:v>0.20031733043738451</c:v>
                </c:pt>
                <c:pt idx="81">
                  <c:v>0.2059708742242739</c:v>
                </c:pt>
                <c:pt idx="82">
                  <c:v>0.21166247901603158</c:v>
                </c:pt>
                <c:pt idx="83">
                  <c:v>0.21738657587862623</c:v>
                </c:pt>
                <c:pt idx="84">
                  <c:v>0.22313738697590677</c:v>
                </c:pt>
                <c:pt idx="85">
                  <c:v>0.22890893335654983</c:v>
                </c:pt>
                <c:pt idx="86">
                  <c:v>0.23469504353367848</c:v>
                </c:pt>
                <c:pt idx="87">
                  <c:v>0.24048936284820582</c:v>
                </c:pt>
                <c:pt idx="88">
                  <c:v>0.24628536360353334</c:v>
                </c:pt>
                <c:pt idx="89">
                  <c:v>0.25207635595578487</c:v>
                </c:pt>
                <c:pt idx="90">
                  <c:v>0.25785549954028941</c:v>
                </c:pt>
                <c:pt idx="91">
                  <c:v>0.26361581581156529</c:v>
                </c:pt>
                <c:pt idx="92">
                  <c:v>0.26935020107061902</c:v>
                </c:pt>
                <c:pt idx="93">
                  <c:v>0.27505144014997257</c:v>
                </c:pt>
                <c:pt idx="94">
                  <c:v>0.28071222072349411</c:v>
                </c:pt>
                <c:pt idx="95">
                  <c:v>0.28632514820484678</c:v>
                </c:pt>
                <c:pt idx="96">
                  <c:v>0.29188276119520318</c:v>
                </c:pt>
                <c:pt idx="97">
                  <c:v>0.29737754743782796</c:v>
                </c:pt>
                <c:pt idx="98">
                  <c:v>0.30280196023421319</c:v>
                </c:pt>
                <c:pt idx="99">
                  <c:v>0.30814843527368829</c:v>
                </c:pt>
                <c:pt idx="100">
                  <c:v>0.31340940782583288</c:v>
                </c:pt>
                <c:pt idx="101">
                  <c:v>0.31857733024261109</c:v>
                </c:pt>
                <c:pt idx="102">
                  <c:v>0.32364468971493993</c:v>
                </c:pt>
                <c:pt idx="103">
                  <c:v>0.3286040262264141</c:v>
                </c:pt>
                <c:pt idx="104">
                  <c:v>0.3334479506451507</c:v>
                </c:pt>
                <c:pt idx="105">
                  <c:v>0.33816916289320309</c:v>
                </c:pt>
                <c:pt idx="106">
                  <c:v>0.34276047013173222</c:v>
                </c:pt>
                <c:pt idx="107">
                  <c:v>0.34721480489913414</c:v>
                </c:pt>
                <c:pt idx="108">
                  <c:v>0.35152524313860362</c:v>
                </c:pt>
                <c:pt idx="109">
                  <c:v>0.35568502205117924</c:v>
                </c:pt>
                <c:pt idx="110">
                  <c:v>0.35968755771017369</c:v>
                </c:pt>
                <c:pt idx="111">
                  <c:v>0.36352646237304004</c:v>
                </c:pt>
                <c:pt idx="112">
                  <c:v>0.36719556142717458</c:v>
                </c:pt>
                <c:pt idx="113">
                  <c:v>0.37068890990689796</c:v>
                </c:pt>
                <c:pt idx="114">
                  <c:v>0.37400080851990369</c:v>
                </c:pt>
                <c:pt idx="115">
                  <c:v>0.37712581912279941</c:v>
                </c:pt>
                <c:pt idx="116">
                  <c:v>0.38005877958699552</c:v>
                </c:pt>
                <c:pt idx="117">
                  <c:v>0.38279481799811688</c:v>
                </c:pt>
                <c:pt idx="118">
                  <c:v>0.38532936613430413</c:v>
                </c:pt>
                <c:pt idx="119">
                  <c:v>0.38765817217124104</c:v>
                </c:pt>
                <c:pt idx="120">
                  <c:v>0.38977731256446624</c:v>
                </c:pt>
                <c:pt idx="121">
                  <c:v>0.39168320306250204</c:v>
                </c:pt>
                <c:pt idx="122">
                  <c:v>0.39337260880753866</c:v>
                </c:pt>
                <c:pt idx="123">
                  <c:v>0.39484265348383518</c:v>
                </c:pt>
                <c:pt idx="124">
                  <c:v>0.39609082747762636</c:v>
                </c:pt>
                <c:pt idx="125">
                  <c:v>0.39711499501613434</c:v>
                </c:pt>
                <c:pt idx="126">
                  <c:v>0.39791340025725958</c:v>
                </c:pt>
                <c:pt idx="127">
                  <c:v>0.39848467230564738</c:v>
                </c:pt>
                <c:pt idx="128">
                  <c:v>0.39882782913507253</c:v>
                </c:pt>
                <c:pt idx="129">
                  <c:v>0.3989422804014327</c:v>
                </c:pt>
                <c:pt idx="130">
                  <c:v>0.39882782913507253</c:v>
                </c:pt>
                <c:pt idx="131">
                  <c:v>0.39848467230564738</c:v>
                </c:pt>
                <c:pt idx="132">
                  <c:v>0.39791340025725958</c:v>
                </c:pt>
                <c:pt idx="133">
                  <c:v>0.39711499501613434</c:v>
                </c:pt>
                <c:pt idx="134">
                  <c:v>0.39609082747762636</c:v>
                </c:pt>
                <c:pt idx="135">
                  <c:v>0.39484265348383518</c:v>
                </c:pt>
                <c:pt idx="136">
                  <c:v>0.39337260880753866</c:v>
                </c:pt>
                <c:pt idx="137">
                  <c:v>0.39168320306250204</c:v>
                </c:pt>
                <c:pt idx="138">
                  <c:v>0.38977731256446624</c:v>
                </c:pt>
                <c:pt idx="139">
                  <c:v>0.38765817217124104</c:v>
                </c:pt>
                <c:pt idx="140">
                  <c:v>0.38532936613430413</c:v>
                </c:pt>
                <c:pt idx="141">
                  <c:v>0.38279481799811688</c:v>
                </c:pt>
                <c:pt idx="142">
                  <c:v>0.38005877958699552</c:v>
                </c:pt>
                <c:pt idx="143">
                  <c:v>0.37712581912279947</c:v>
                </c:pt>
                <c:pt idx="144">
                  <c:v>0.37400080851990375</c:v>
                </c:pt>
                <c:pt idx="145">
                  <c:v>0.37068890990689796</c:v>
                </c:pt>
                <c:pt idx="146">
                  <c:v>0.36719556142717458</c:v>
                </c:pt>
                <c:pt idx="147">
                  <c:v>0.36352646237304004</c:v>
                </c:pt>
                <c:pt idx="148">
                  <c:v>0.35968755771017369</c:v>
                </c:pt>
                <c:pt idx="149">
                  <c:v>0.35568502205117924</c:v>
                </c:pt>
                <c:pt idx="150">
                  <c:v>0.35152524313860362</c:v>
                </c:pt>
                <c:pt idx="151">
                  <c:v>0.34721480489913414</c:v>
                </c:pt>
                <c:pt idx="152">
                  <c:v>0.34276047013173222</c:v>
                </c:pt>
                <c:pt idx="153">
                  <c:v>0.3381691628932032</c:v>
                </c:pt>
                <c:pt idx="154">
                  <c:v>0.33344795064515081</c:v>
                </c:pt>
                <c:pt idx="155">
                  <c:v>0.3286040262264141</c:v>
                </c:pt>
                <c:pt idx="156">
                  <c:v>0.32364468971493993</c:v>
                </c:pt>
                <c:pt idx="157">
                  <c:v>0.31857733024261109</c:v>
                </c:pt>
                <c:pt idx="158">
                  <c:v>0.31340940782583288</c:v>
                </c:pt>
                <c:pt idx="159">
                  <c:v>0.30814843527368829</c:v>
                </c:pt>
                <c:pt idx="160">
                  <c:v>0.30280196023421319</c:v>
                </c:pt>
                <c:pt idx="161">
                  <c:v>0.29737754743782796</c:v>
                </c:pt>
                <c:pt idx="162">
                  <c:v>0.29188276119520318</c:v>
                </c:pt>
                <c:pt idx="163">
                  <c:v>0.28632514820484689</c:v>
                </c:pt>
                <c:pt idx="164">
                  <c:v>0.28071222072349422</c:v>
                </c:pt>
                <c:pt idx="165">
                  <c:v>0.27505144014997257</c:v>
                </c:pt>
                <c:pt idx="166">
                  <c:v>0.26935020107061902</c:v>
                </c:pt>
                <c:pt idx="167">
                  <c:v>0.26361581581156529</c:v>
                </c:pt>
                <c:pt idx="168">
                  <c:v>0.25785549954028952</c:v>
                </c:pt>
                <c:pt idx="169">
                  <c:v>0.25207635595578487</c:v>
                </c:pt>
                <c:pt idx="170">
                  <c:v>0.24628536360353348</c:v>
                </c:pt>
                <c:pt idx="171">
                  <c:v>0.24048936284820582</c:v>
                </c:pt>
                <c:pt idx="172">
                  <c:v>0.23469504353367862</c:v>
                </c:pt>
                <c:pt idx="173">
                  <c:v>0.22890893335654983</c:v>
                </c:pt>
                <c:pt idx="174">
                  <c:v>0.2231373869759069</c:v>
                </c:pt>
                <c:pt idx="175">
                  <c:v>0.2173865758786262</c:v>
                </c:pt>
                <c:pt idx="176">
                  <c:v>0.21166247901603161</c:v>
                </c:pt>
                <c:pt idx="177">
                  <c:v>0.20597087422427382</c:v>
                </c:pt>
                <c:pt idx="178">
                  <c:v>0.20031733043738451</c:v>
                </c:pt>
                <c:pt idx="179">
                  <c:v>0.1947072006985737</c:v>
                </c:pt>
                <c:pt idx="180">
                  <c:v>0.18914561597203963</c:v>
                </c:pt>
                <c:pt idx="181">
                  <c:v>0.18363747975432304</c:v>
                </c:pt>
                <c:pt idx="182">
                  <c:v>0.17818746348109929</c:v>
                </c:pt>
                <c:pt idx="183">
                  <c:v>0.17280000272227755</c:v>
                </c:pt>
                <c:pt idx="184">
                  <c:v>0.16747929415535212</c:v>
                </c:pt>
                <c:pt idx="185">
                  <c:v>0.16222929330418065</c:v>
                </c:pt>
                <c:pt idx="186">
                  <c:v>0.1570537130277106</c:v>
                </c:pt>
                <c:pt idx="187">
                  <c:v>0.15195602274069356</c:v>
                </c:pt>
                <c:pt idx="188">
                  <c:v>0.14693944834608277</c:v>
                </c:pt>
                <c:pt idx="189">
                  <c:v>0.14200697285664771</c:v>
                </c:pt>
                <c:pt idx="190">
                  <c:v>0.1371613376813367</c:v>
                </c:pt>
                <c:pt idx="191">
                  <c:v>0.13240504455009261</c:v>
                </c:pt>
                <c:pt idx="192">
                  <c:v>0.12774035804918912</c:v>
                </c:pt>
                <c:pt idx="193">
                  <c:v>0.12316930873768138</c:v>
                </c:pt>
                <c:pt idx="194">
                  <c:v>0.11869369681429406</c:v>
                </c:pt>
                <c:pt idx="195">
                  <c:v>0.11431509630296083</c:v>
                </c:pt>
                <c:pt idx="196">
                  <c:v>0.11003485972432277</c:v>
                </c:pt>
                <c:pt idx="197">
                  <c:v>0.10585412321974706</c:v>
                </c:pt>
                <c:pt idx="198">
                  <c:v>0.10177381209387595</c:v>
                </c:pt>
                <c:pt idx="199">
                  <c:v>9.7794646741326E-2</c:v>
                </c:pt>
                <c:pt idx="200">
                  <c:v>9.3917148922940161E-2</c:v>
                </c:pt>
                <c:pt idx="201">
                  <c:v>9.0141648356948725E-2</c:v>
                </c:pt>
                <c:pt idx="202">
                  <c:v>8.6468289590491632E-2</c:v>
                </c:pt>
                <c:pt idx="203">
                  <c:v>8.2897039117220503E-2</c:v>
                </c:pt>
                <c:pt idx="204">
                  <c:v>7.942769270709038E-2</c:v>
                </c:pt>
                <c:pt idx="205">
                  <c:v>7.6059882914996213E-2</c:v>
                </c:pt>
                <c:pt idx="206">
                  <c:v>7.2793086735565712E-2</c:v>
                </c:pt>
                <c:pt idx="207">
                  <c:v>6.962663337221206E-2</c:v>
                </c:pt>
                <c:pt idx="208">
                  <c:v>6.655971208943702E-2</c:v>
                </c:pt>
                <c:pt idx="209">
                  <c:v>6.3591380118377214E-2</c:v>
                </c:pt>
                <c:pt idx="210">
                  <c:v>6.0720570586669929E-2</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1-EFFC-4E17-B92C-D6FCE9F53211}"/>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Estimation!$CG$4</c:f>
              <c:strCache>
                <c:ptCount val="1"/>
              </c:strCache>
            </c:strRef>
          </c:tx>
          <c:spPr>
            <a:ln w="28575" cap="rnd">
              <a:solidFill>
                <a:schemeClr val="bg1"/>
              </a:solidFill>
              <a:round/>
            </a:ln>
            <a:effectLst/>
          </c:spPr>
          <c:marker>
            <c:symbol val="none"/>
          </c:marker>
          <c:xVal>
            <c:numRef>
              <c:f>Estimation!$CA$10:$CA$268</c:f>
              <c:numCache>
                <c:formatCode>General</c:formatCode>
                <c:ptCount val="25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numCache>
            </c:numRef>
          </c:xVal>
          <c:yVal>
            <c:numRef>
              <c:f>Estimation!$CK$10:$CK$268</c:f>
              <c:numCache>
                <c:formatCode>General</c:formatCode>
                <c:ptCount val="259"/>
                <c:pt idx="0">
                  <c:v>3.3670900770639959E-3</c:v>
                </c:pt>
                <c:pt idx="1">
                  <c:v>3.6247646909920227E-3</c:v>
                </c:pt>
                <c:pt idx="2">
                  <c:v>3.8999198362770038E-3</c:v>
                </c:pt>
                <c:pt idx="3">
                  <c:v>4.1935547655993473E-3</c:v>
                </c:pt>
                <c:pt idx="4">
                  <c:v>4.5067112740675413E-3</c:v>
                </c:pt>
                <c:pt idx="5">
                  <c:v>4.8404744224978778E-3</c:v>
                </c:pt>
                <c:pt idx="6">
                  <c:v>5.1959731862444456E-3</c:v>
                </c:pt>
                <c:pt idx="7">
                  <c:v>5.5743810217063422E-3</c:v>
                </c:pt>
                <c:pt idx="8">
                  <c:v>5.9769163423966454E-3</c:v>
                </c:pt>
                <c:pt idx="9">
                  <c:v>6.4048428962354522E-3</c:v>
                </c:pt>
                <c:pt idx="10">
                  <c:v>6.859470035530551E-3</c:v>
                </c:pt>
                <c:pt idx="11">
                  <c:v>7.3421528709367023E-3</c:v>
                </c:pt>
                <c:pt idx="12">
                  <c:v>7.8542923005407734E-3</c:v>
                </c:pt>
                <c:pt idx="13">
                  <c:v>8.3973349051078925E-3</c:v>
                </c:pt>
                <c:pt idx="14">
                  <c:v>8.9727727004466455E-3</c:v>
                </c:pt>
                <c:pt idx="15">
                  <c:v>9.582142737811215E-3</c:v>
                </c:pt>
                <c:pt idx="16">
                  <c:v>1.0227026543258957E-2</c:v>
                </c:pt>
                <c:pt idx="17">
                  <c:v>1.0909049386925537E-2</c:v>
                </c:pt>
                <c:pt idx="18">
                  <c:v>1.1629879373268774E-2</c:v>
                </c:pt>
                <c:pt idx="19">
                  <c:v>1.2391226343470816E-2</c:v>
                </c:pt>
                <c:pt idx="20">
                  <c:v>1.319484058137666E-2</c:v>
                </c:pt>
                <c:pt idx="21">
                  <c:v>1.4042511314589688E-2</c:v>
                </c:pt>
                <c:pt idx="22">
                  <c:v>1.4936065002642981E-2</c:v>
                </c:pt>
                <c:pt idx="23">
                  <c:v>1.5877363404520849E-2</c:v>
                </c:pt>
                <c:pt idx="24">
                  <c:v>1.6868301418220717E-2</c:v>
                </c:pt>
                <c:pt idx="25">
                  <c:v>1.7910804685522155E-2</c:v>
                </c:pt>
                <c:pt idx="26">
                  <c:v>1.9006826955669413E-2</c:v>
                </c:pt>
                <c:pt idx="27">
                  <c:v>2.0158347202276675E-2</c:v>
                </c:pt>
                <c:pt idx="28">
                  <c:v>2.1367366488433549E-2</c:v>
                </c:pt>
                <c:pt idx="29">
                  <c:v>2.2635904575720501E-2</c:v>
                </c:pt>
                <c:pt idx="30">
                  <c:v>2.3965996273642005E-2</c:v>
                </c:pt>
                <c:pt idx="31">
                  <c:v>2.5359687526847842E-2</c:v>
                </c:pt>
                <c:pt idx="32">
                  <c:v>2.681903123843965E-2</c:v>
                </c:pt>
                <c:pt idx="33">
                  <c:v>2.8346082828649768E-2</c:v>
                </c:pt>
                <c:pt idx="34">
                  <c:v>2.9942895529230493E-2</c:v>
                </c:pt>
                <c:pt idx="35">
                  <c:v>3.161151541500333E-2</c:v>
                </c:pt>
                <c:pt idx="36">
                  <c:v>3.3353976175184367E-2</c:v>
                </c:pt>
                <c:pt idx="37">
                  <c:v>3.5172293628326232E-2</c:v>
                </c:pt>
                <c:pt idx="38">
                  <c:v>3.706845998598688E-2</c:v>
                </c:pt>
                <c:pt idx="39">
                  <c:v>3.9044437871557765E-2</c:v>
                </c:pt>
                <c:pt idx="40">
                  <c:v>4.1102154102044132E-2</c:v>
                </c:pt>
                <c:pt idx="41">
                  <c:v>4.3243493241990262E-2</c:v>
                </c:pt>
                <c:pt idx="42">
                  <c:v>4.5470290940174081E-2</c:v>
                </c:pt>
                <c:pt idx="43">
                  <c:v>4.7784327061153015E-2</c:v>
                </c:pt>
                <c:pt idx="44">
                  <c:v>5.0187318625221689E-2</c:v>
                </c:pt>
                <c:pt idx="45">
                  <c:v>5.2680912571830774E-2</c:v>
                </c:pt>
                <c:pt idx="46">
                  <c:v>5.5266678363017151E-2</c:v>
                </c:pt>
                <c:pt idx="47">
                  <c:v>5.7946100444885101E-2</c:v>
                </c:pt>
                <c:pt idx="48">
                  <c:v>6.0720570586669888E-2</c:v>
                </c:pt>
                <c:pt idx="49">
                  <c:v>6.3591380118377214E-2</c:v>
                </c:pt>
                <c:pt idx="50">
                  <c:v>6.6559712089436965E-2</c:v>
                </c:pt>
                <c:pt idx="51">
                  <c:v>6.962663337221206E-2</c:v>
                </c:pt>
                <c:pt idx="52">
                  <c:v>7.279308673556574E-2</c:v>
                </c:pt>
                <c:pt idx="53">
                  <c:v>7.6059882914996185E-2</c:v>
                </c:pt>
                <c:pt idx="54">
                  <c:v>7.9427692707090408E-2</c:v>
                </c:pt>
                <c:pt idx="55">
                  <c:v>8.2897039117220475E-2</c:v>
                </c:pt>
                <c:pt idx="56">
                  <c:v>8.6468289590491687E-2</c:v>
                </c:pt>
                <c:pt idx="57">
                  <c:v>9.014164835694867E-2</c:v>
                </c:pt>
                <c:pt idx="58">
                  <c:v>9.3917148922940161E-2</c:v>
                </c:pt>
                <c:pt idx="59">
                  <c:v>9.7794646741325916E-2</c:v>
                </c:pt>
                <c:pt idx="60">
                  <c:v>0.10177381209387595</c:v>
                </c:pt>
                <c:pt idx="61">
                  <c:v>0.10585412321974697</c:v>
                </c:pt>
                <c:pt idx="62">
                  <c:v>0.11003485972432274</c:v>
                </c:pt>
                <c:pt idx="63">
                  <c:v>0.11431509630296084</c:v>
                </c:pt>
                <c:pt idx="64">
                  <c:v>0.11869369681429402</c:v>
                </c:pt>
                <c:pt idx="65">
                  <c:v>0.12316930873768142</c:v>
                </c:pt>
                <c:pt idx="66">
                  <c:v>0.12774035804918907</c:v>
                </c:pt>
                <c:pt idx="67">
                  <c:v>0.13240504455009261</c:v>
                </c:pt>
                <c:pt idx="68">
                  <c:v>0.13716133768133662</c:v>
                </c:pt>
                <c:pt idx="69">
                  <c:v>0.14200697285664771</c:v>
                </c:pt>
                <c:pt idx="70">
                  <c:v>0.14693944834608266</c:v>
                </c:pt>
                <c:pt idx="71">
                  <c:v>0.15195602274069356</c:v>
                </c:pt>
                <c:pt idx="72">
                  <c:v>0.1570537130277106</c:v>
                </c:pt>
                <c:pt idx="73">
                  <c:v>0.16222929330418059</c:v>
                </c:pt>
                <c:pt idx="74">
                  <c:v>0.16747929415535215</c:v>
                </c:pt>
                <c:pt idx="75">
                  <c:v>0.17280000272227752</c:v>
                </c:pt>
                <c:pt idx="76">
                  <c:v>0.17818746348109932</c:v>
                </c:pt>
                <c:pt idx="77">
                  <c:v>0.18363747975432293</c:v>
                </c:pt>
                <c:pt idx="78">
                  <c:v>0.18914561597203963</c:v>
                </c:pt>
                <c:pt idx="79">
                  <c:v>0.19470720069857361</c:v>
                </c:pt>
                <c:pt idx="80">
                  <c:v>0.20031733043738451</c:v>
                </c:pt>
                <c:pt idx="81">
                  <c:v>0.2059708742242739</c:v>
                </c:pt>
                <c:pt idx="82">
                  <c:v>0.21166247901603158</c:v>
                </c:pt>
                <c:pt idx="83">
                  <c:v>0.21738657587862623</c:v>
                </c:pt>
                <c:pt idx="84">
                  <c:v>0.22313738697590677</c:v>
                </c:pt>
                <c:pt idx="85">
                  <c:v>0.22890893335654983</c:v>
                </c:pt>
                <c:pt idx="86">
                  <c:v>0.23469504353367848</c:v>
                </c:pt>
                <c:pt idx="87">
                  <c:v>0.24048936284820582</c:v>
                </c:pt>
                <c:pt idx="88">
                  <c:v>0.24628536360353334</c:v>
                </c:pt>
                <c:pt idx="89">
                  <c:v>0.25207635595578487</c:v>
                </c:pt>
                <c:pt idx="90">
                  <c:v>0.25785549954028941</c:v>
                </c:pt>
                <c:pt idx="91">
                  <c:v>0.26361581581156529</c:v>
                </c:pt>
                <c:pt idx="92">
                  <c:v>0.26935020107061902</c:v>
                </c:pt>
                <c:pt idx="93">
                  <c:v>0.27505144014997257</c:v>
                </c:pt>
                <c:pt idx="94">
                  <c:v>0.28071222072349411</c:v>
                </c:pt>
                <c:pt idx="95">
                  <c:v>0.28632514820484678</c:v>
                </c:pt>
                <c:pt idx="96">
                  <c:v>0.29188276119520318</c:v>
                </c:pt>
                <c:pt idx="97">
                  <c:v>0.29737754743782796</c:v>
                </c:pt>
                <c:pt idx="98">
                  <c:v>0.30280196023421319</c:v>
                </c:pt>
                <c:pt idx="99">
                  <c:v>0.30814843527368829</c:v>
                </c:pt>
                <c:pt idx="100">
                  <c:v>0.31340940782583288</c:v>
                </c:pt>
                <c:pt idx="101">
                  <c:v>0.31857733024261109</c:v>
                </c:pt>
                <c:pt idx="102">
                  <c:v>0.32364468971493993</c:v>
                </c:pt>
                <c:pt idx="103">
                  <c:v>0.3286040262264141</c:v>
                </c:pt>
                <c:pt idx="104">
                  <c:v>0.3334479506451507</c:v>
                </c:pt>
                <c:pt idx="105">
                  <c:v>0.33816916289320309</c:v>
                </c:pt>
                <c:pt idx="106">
                  <c:v>0.34276047013173222</c:v>
                </c:pt>
                <c:pt idx="107">
                  <c:v>0.34721480489913414</c:v>
                </c:pt>
                <c:pt idx="108">
                  <c:v>0.35152524313860362</c:v>
                </c:pt>
                <c:pt idx="109">
                  <c:v>0.35568502205117924</c:v>
                </c:pt>
                <c:pt idx="110">
                  <c:v>0.35968755771017369</c:v>
                </c:pt>
                <c:pt idx="111">
                  <c:v>0.36352646237304004</c:v>
                </c:pt>
                <c:pt idx="112">
                  <c:v>0.36719556142717458</c:v>
                </c:pt>
                <c:pt idx="113">
                  <c:v>0.37068890990689796</c:v>
                </c:pt>
                <c:pt idx="114">
                  <c:v>0.37400080851990369</c:v>
                </c:pt>
                <c:pt idx="115">
                  <c:v>0.37712581912279941</c:v>
                </c:pt>
                <c:pt idx="116">
                  <c:v>0.38005877958699552</c:v>
                </c:pt>
                <c:pt idx="117">
                  <c:v>0.38279481799811688</c:v>
                </c:pt>
                <c:pt idx="118">
                  <c:v>0.38532936613430413</c:v>
                </c:pt>
                <c:pt idx="119">
                  <c:v>0.38765817217124104</c:v>
                </c:pt>
                <c:pt idx="120">
                  <c:v>0.38977731256446624</c:v>
                </c:pt>
                <c:pt idx="121">
                  <c:v>0.39168320306250204</c:v>
                </c:pt>
                <c:pt idx="122">
                  <c:v>0.39337260880753866</c:v>
                </c:pt>
                <c:pt idx="123">
                  <c:v>0.39484265348383518</c:v>
                </c:pt>
                <c:pt idx="124">
                  <c:v>0.39609082747762636</c:v>
                </c:pt>
                <c:pt idx="125">
                  <c:v>0.39711499501613434</c:v>
                </c:pt>
                <c:pt idx="126">
                  <c:v>0.39791340025725958</c:v>
                </c:pt>
                <c:pt idx="127">
                  <c:v>0.39848467230564738</c:v>
                </c:pt>
                <c:pt idx="128">
                  <c:v>0.39882782913507253</c:v>
                </c:pt>
                <c:pt idx="129">
                  <c:v>0.3989422804014327</c:v>
                </c:pt>
                <c:pt idx="130">
                  <c:v>0.39882782913507253</c:v>
                </c:pt>
                <c:pt idx="131">
                  <c:v>0.39848467230564738</c:v>
                </c:pt>
                <c:pt idx="132">
                  <c:v>0.39791340025725958</c:v>
                </c:pt>
                <c:pt idx="133">
                  <c:v>0.39711499501613434</c:v>
                </c:pt>
                <c:pt idx="134">
                  <c:v>0.39609082747762636</c:v>
                </c:pt>
                <c:pt idx="135">
                  <c:v>0.39484265348383518</c:v>
                </c:pt>
                <c:pt idx="136">
                  <c:v>0.39337260880753866</c:v>
                </c:pt>
                <c:pt idx="137">
                  <c:v>0.39168320306250204</c:v>
                </c:pt>
                <c:pt idx="138">
                  <c:v>0.38977731256446624</c:v>
                </c:pt>
                <c:pt idx="139">
                  <c:v>0.38765817217124104</c:v>
                </c:pt>
                <c:pt idx="140">
                  <c:v>0.38532936613430413</c:v>
                </c:pt>
                <c:pt idx="141">
                  <c:v>0.38279481799811688</c:v>
                </c:pt>
                <c:pt idx="142">
                  <c:v>0.38005877958699552</c:v>
                </c:pt>
                <c:pt idx="143">
                  <c:v>0.37712581912279947</c:v>
                </c:pt>
                <c:pt idx="144">
                  <c:v>0.37400080851990375</c:v>
                </c:pt>
                <c:pt idx="145">
                  <c:v>0.37068890990689796</c:v>
                </c:pt>
                <c:pt idx="146">
                  <c:v>0.36719556142717458</c:v>
                </c:pt>
                <c:pt idx="147">
                  <c:v>0.36352646237304004</c:v>
                </c:pt>
                <c:pt idx="148">
                  <c:v>0.35968755771017369</c:v>
                </c:pt>
                <c:pt idx="149">
                  <c:v>0.35568502205117924</c:v>
                </c:pt>
                <c:pt idx="150">
                  <c:v>0.35152524313860362</c:v>
                </c:pt>
                <c:pt idx="151">
                  <c:v>0.34721480489913414</c:v>
                </c:pt>
                <c:pt idx="152">
                  <c:v>0.34276047013173222</c:v>
                </c:pt>
                <c:pt idx="153">
                  <c:v>0.3381691628932032</c:v>
                </c:pt>
                <c:pt idx="154">
                  <c:v>0.33344795064515081</c:v>
                </c:pt>
                <c:pt idx="155">
                  <c:v>0.3286040262264141</c:v>
                </c:pt>
                <c:pt idx="156">
                  <c:v>0.32364468971493993</c:v>
                </c:pt>
                <c:pt idx="157">
                  <c:v>0.31857733024261109</c:v>
                </c:pt>
                <c:pt idx="158">
                  <c:v>0.31340940782583288</c:v>
                </c:pt>
                <c:pt idx="159">
                  <c:v>0.30814843527368829</c:v>
                </c:pt>
                <c:pt idx="160">
                  <c:v>0.30280196023421319</c:v>
                </c:pt>
                <c:pt idx="161">
                  <c:v>0.29737754743782796</c:v>
                </c:pt>
                <c:pt idx="162">
                  <c:v>0.29188276119520318</c:v>
                </c:pt>
                <c:pt idx="163">
                  <c:v>0.28632514820484689</c:v>
                </c:pt>
                <c:pt idx="164">
                  <c:v>0.28071222072349422</c:v>
                </c:pt>
                <c:pt idx="165">
                  <c:v>0.27505144014997257</c:v>
                </c:pt>
                <c:pt idx="166">
                  <c:v>0.26935020107061902</c:v>
                </c:pt>
                <c:pt idx="167">
                  <c:v>0.26361581581156529</c:v>
                </c:pt>
                <c:pt idx="168">
                  <c:v>0.25785549954028952</c:v>
                </c:pt>
                <c:pt idx="169">
                  <c:v>0.25207635595578487</c:v>
                </c:pt>
                <c:pt idx="170">
                  <c:v>0.24628536360353348</c:v>
                </c:pt>
                <c:pt idx="171">
                  <c:v>0.24048936284820582</c:v>
                </c:pt>
                <c:pt idx="172">
                  <c:v>0.23469504353367862</c:v>
                </c:pt>
                <c:pt idx="173">
                  <c:v>0.22890893335654983</c:v>
                </c:pt>
                <c:pt idx="174">
                  <c:v>0.2231373869759069</c:v>
                </c:pt>
                <c:pt idx="175">
                  <c:v>0.2173865758786262</c:v>
                </c:pt>
                <c:pt idx="176">
                  <c:v>0.21166247901603161</c:v>
                </c:pt>
                <c:pt idx="177">
                  <c:v>0.20597087422427382</c:v>
                </c:pt>
                <c:pt idx="178">
                  <c:v>0.20031733043738451</c:v>
                </c:pt>
                <c:pt idx="179">
                  <c:v>0.1947072006985737</c:v>
                </c:pt>
                <c:pt idx="180">
                  <c:v>0.18914561597203963</c:v>
                </c:pt>
                <c:pt idx="181">
                  <c:v>0.18363747975432304</c:v>
                </c:pt>
                <c:pt idx="182">
                  <c:v>0.17818746348109929</c:v>
                </c:pt>
                <c:pt idx="183">
                  <c:v>0.17280000272227755</c:v>
                </c:pt>
                <c:pt idx="184">
                  <c:v>0.16747929415535212</c:v>
                </c:pt>
                <c:pt idx="185">
                  <c:v>0.16222929330418065</c:v>
                </c:pt>
                <c:pt idx="186">
                  <c:v>0.1570537130277106</c:v>
                </c:pt>
                <c:pt idx="187">
                  <c:v>0.15195602274069356</c:v>
                </c:pt>
                <c:pt idx="188">
                  <c:v>0.14693944834608277</c:v>
                </c:pt>
                <c:pt idx="189">
                  <c:v>0.14200697285664771</c:v>
                </c:pt>
                <c:pt idx="190">
                  <c:v>0.1371613376813367</c:v>
                </c:pt>
                <c:pt idx="191">
                  <c:v>0.13240504455009261</c:v>
                </c:pt>
                <c:pt idx="192">
                  <c:v>0.12774035804918912</c:v>
                </c:pt>
                <c:pt idx="193">
                  <c:v>0.12316930873768138</c:v>
                </c:pt>
                <c:pt idx="194">
                  <c:v>0.11869369681429406</c:v>
                </c:pt>
                <c:pt idx="195">
                  <c:v>0.11431509630296083</c:v>
                </c:pt>
                <c:pt idx="196">
                  <c:v>0.11003485972432277</c:v>
                </c:pt>
                <c:pt idx="197">
                  <c:v>0.10585412321974706</c:v>
                </c:pt>
                <c:pt idx="198">
                  <c:v>0.10177381209387595</c:v>
                </c:pt>
                <c:pt idx="199">
                  <c:v>9.7794646741326E-2</c:v>
                </c:pt>
                <c:pt idx="200">
                  <c:v>9.3917148922940161E-2</c:v>
                </c:pt>
                <c:pt idx="201">
                  <c:v>9.0141648356948725E-2</c:v>
                </c:pt>
                <c:pt idx="202">
                  <c:v>8.6468289590491632E-2</c:v>
                </c:pt>
                <c:pt idx="203">
                  <c:v>8.2897039117220503E-2</c:v>
                </c:pt>
                <c:pt idx="204">
                  <c:v>7.942769270709038E-2</c:v>
                </c:pt>
                <c:pt idx="205">
                  <c:v>7.6059882914996213E-2</c:v>
                </c:pt>
                <c:pt idx="206">
                  <c:v>7.2793086735565712E-2</c:v>
                </c:pt>
                <c:pt idx="207">
                  <c:v>6.962663337221206E-2</c:v>
                </c:pt>
                <c:pt idx="208">
                  <c:v>6.655971208943702E-2</c:v>
                </c:pt>
                <c:pt idx="209">
                  <c:v>6.3591380118377214E-2</c:v>
                </c:pt>
                <c:pt idx="210">
                  <c:v>6.0720570586669929E-2</c:v>
                </c:pt>
                <c:pt idx="211">
                  <c:v>5.7946100444885101E-2</c:v>
                </c:pt>
                <c:pt idx="212">
                  <c:v>5.5266678363017178E-2</c:v>
                </c:pt>
                <c:pt idx="213">
                  <c:v>5.2680912571830774E-2</c:v>
                </c:pt>
                <c:pt idx="214">
                  <c:v>5.0187318625221689E-2</c:v>
                </c:pt>
                <c:pt idx="215">
                  <c:v>4.7784327061153015E-2</c:v>
                </c:pt>
                <c:pt idx="216">
                  <c:v>4.5470290940174081E-2</c:v>
                </c:pt>
                <c:pt idx="217">
                  <c:v>4.3243493241990325E-2</c:v>
                </c:pt>
                <c:pt idx="218">
                  <c:v>4.1102154102044132E-2</c:v>
                </c:pt>
                <c:pt idx="219">
                  <c:v>3.9044437871557792E-2</c:v>
                </c:pt>
                <c:pt idx="220">
                  <c:v>3.706845998598688E-2</c:v>
                </c:pt>
                <c:pt idx="221">
                  <c:v>3.5172293628326259E-2</c:v>
                </c:pt>
                <c:pt idx="222">
                  <c:v>3.3353976175184367E-2</c:v>
                </c:pt>
                <c:pt idx="223">
                  <c:v>3.161151541500333E-2</c:v>
                </c:pt>
                <c:pt idx="224">
                  <c:v>2.9942895529230493E-2</c:v>
                </c:pt>
                <c:pt idx="225">
                  <c:v>2.8346082828649768E-2</c:v>
                </c:pt>
                <c:pt idx="226">
                  <c:v>2.6819031238439629E-2</c:v>
                </c:pt>
                <c:pt idx="227">
                  <c:v>2.5359687526847842E-2</c:v>
                </c:pt>
                <c:pt idx="228">
                  <c:v>2.3965996273642022E-2</c:v>
                </c:pt>
                <c:pt idx="229">
                  <c:v>2.2635904575720501E-2</c:v>
                </c:pt>
                <c:pt idx="230">
                  <c:v>2.136736648843357E-2</c:v>
                </c:pt>
                <c:pt idx="231">
                  <c:v>2.0158347202276675E-2</c:v>
                </c:pt>
                <c:pt idx="232">
                  <c:v>1.9006826955669437E-2</c:v>
                </c:pt>
                <c:pt idx="233">
                  <c:v>1.7910804685522155E-2</c:v>
                </c:pt>
                <c:pt idx="234">
                  <c:v>1.6868301418220717E-2</c:v>
                </c:pt>
                <c:pt idx="235">
                  <c:v>1.5877363404520835E-2</c:v>
                </c:pt>
                <c:pt idx="236">
                  <c:v>1.4936065002642981E-2</c:v>
                </c:pt>
                <c:pt idx="237">
                  <c:v>1.4042511314589706E-2</c:v>
                </c:pt>
                <c:pt idx="238">
                  <c:v>1.319484058137666E-2</c:v>
                </c:pt>
                <c:pt idx="239">
                  <c:v>1.2391226343470832E-2</c:v>
                </c:pt>
                <c:pt idx="240">
                  <c:v>1.1629879373268774E-2</c:v>
                </c:pt>
                <c:pt idx="241">
                  <c:v>1.0909049386925553E-2</c:v>
                </c:pt>
                <c:pt idx="242">
                  <c:v>1.0227026543258957E-2</c:v>
                </c:pt>
                <c:pt idx="243">
                  <c:v>9.582142737811215E-3</c:v>
                </c:pt>
                <c:pt idx="244">
                  <c:v>8.9727727004466386E-3</c:v>
                </c:pt>
                <c:pt idx="245">
                  <c:v>8.3973349051078925E-3</c:v>
                </c:pt>
                <c:pt idx="246">
                  <c:v>7.8542923005407612E-3</c:v>
                </c:pt>
                <c:pt idx="247">
                  <c:v>7.3421528709367023E-3</c:v>
                </c:pt>
                <c:pt idx="248">
                  <c:v>6.8594700355305563E-3</c:v>
                </c:pt>
                <c:pt idx="249">
                  <c:v>6.4048428962354522E-3</c:v>
                </c:pt>
                <c:pt idx="250">
                  <c:v>5.9769163423966497E-3</c:v>
                </c:pt>
                <c:pt idx="251">
                  <c:v>5.5743810217063422E-3</c:v>
                </c:pt>
                <c:pt idx="252">
                  <c:v>5.1959731862444561E-3</c:v>
                </c:pt>
                <c:pt idx="253">
                  <c:v>4.8404744224978778E-3</c:v>
                </c:pt>
                <c:pt idx="254">
                  <c:v>4.5067112740675413E-3</c:v>
                </c:pt>
                <c:pt idx="255">
                  <c:v>4.1935547655993438E-3</c:v>
                </c:pt>
                <c:pt idx="256">
                  <c:v>3.8999198362770038E-3</c:v>
                </c:pt>
                <c:pt idx="257">
                  <c:v>3.6247646909920261E-3</c:v>
                </c:pt>
                <c:pt idx="258">
                  <c:v>3.3670900770639959E-3</c:v>
                </c:pt>
              </c:numCache>
            </c:numRef>
          </c:yVal>
          <c:smooth val="1"/>
          <c:extLst>
            <c:ext xmlns:c16="http://schemas.microsoft.com/office/drawing/2014/chart" uri="{C3380CC4-5D6E-409C-BE32-E72D297353CC}">
              <c16:uniqueId val="{00000002-EFFC-4E17-B92C-D6FCE9F53211}"/>
            </c:ext>
          </c:extLst>
        </c:ser>
        <c:ser>
          <c:idx val="2"/>
          <c:order val="3"/>
          <c:tx>
            <c:strRef>
              <c:f>Estimation!$CO$5</c:f>
              <c:strCache>
                <c:ptCount val="1"/>
                <c:pt idx="0">
                  <c:v>2.5% mindre end -0.583</c:v>
                </c:pt>
              </c:strCache>
            </c:strRef>
          </c:tx>
          <c:spPr>
            <a:ln w="28575" cap="rnd">
              <a:solidFill>
                <a:schemeClr val="accent3"/>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Estimation!$CP$2</c:f>
              <c:numCache>
                <c:formatCode>General</c:formatCode>
                <c:ptCount val="1"/>
                <c:pt idx="0">
                  <c:v>25</c:v>
                </c:pt>
              </c:numCache>
            </c:numRef>
          </c:xVal>
          <c:yVal>
            <c:numRef>
              <c:f>Estimation!$CQ$2</c:f>
              <c:numCache>
                <c:formatCode>General</c:formatCode>
                <c:ptCount val="1"/>
                <c:pt idx="0">
                  <c:v>1.7910804685522155E-2</c:v>
                </c:pt>
              </c:numCache>
            </c:numRef>
          </c:yVal>
          <c:smooth val="0"/>
          <c:extLst>
            <c:ext xmlns:c16="http://schemas.microsoft.com/office/drawing/2014/chart" uri="{C3380CC4-5D6E-409C-BE32-E72D297353CC}">
              <c16:uniqueId val="{00000003-EFFC-4E17-B92C-D6FCE9F53211}"/>
            </c:ext>
          </c:extLst>
        </c:ser>
        <c:ser>
          <c:idx val="5"/>
          <c:order val="4"/>
          <c:tx>
            <c:strRef>
              <c:f>Estimation!$CO$7</c:f>
              <c:strCache>
                <c:ptCount val="1"/>
                <c:pt idx="0">
                  <c:v>2.5% større end 4.291</c:v>
                </c:pt>
              </c:strCache>
            </c:strRef>
          </c:tx>
          <c:spPr>
            <a:ln w="28575" cap="rnd">
              <a:solidFill>
                <a:schemeClr val="accent6"/>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Estimation!$CP$4</c:f>
              <c:numCache>
                <c:formatCode>General</c:formatCode>
                <c:ptCount val="1"/>
                <c:pt idx="0">
                  <c:v>235</c:v>
                </c:pt>
              </c:numCache>
            </c:numRef>
          </c:xVal>
          <c:yVal>
            <c:numRef>
              <c:f>Estimation!$CQ$4</c:f>
              <c:numCache>
                <c:formatCode>General</c:formatCode>
                <c:ptCount val="1"/>
                <c:pt idx="0">
                  <c:v>1.6868301418220717E-2</c:v>
                </c:pt>
              </c:numCache>
            </c:numRef>
          </c:yVal>
          <c:smooth val="0"/>
          <c:extLst>
            <c:ext xmlns:c16="http://schemas.microsoft.com/office/drawing/2014/chart" uri="{C3380CC4-5D6E-409C-BE32-E72D297353CC}">
              <c16:uniqueId val="{00000007-EFFC-4E17-B92C-D6FCE9F53211}"/>
            </c:ext>
          </c:extLst>
        </c:ser>
        <c:ser>
          <c:idx val="4"/>
          <c:order val="5"/>
          <c:tx>
            <c:strRef>
              <c:f>Estimation!$CO$6</c:f>
              <c:strCache>
                <c:ptCount val="1"/>
                <c:pt idx="0">
                  <c:v>95% mellem -0.583 og 4.291</c:v>
                </c:pt>
              </c:strCache>
            </c:strRef>
          </c:tx>
          <c:spPr>
            <a:ln w="28575" cap="rnd">
              <a:solidFill>
                <a:schemeClr val="accent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Estimation!$CP$3</c:f>
              <c:numCache>
                <c:formatCode>General</c:formatCode>
                <c:ptCount val="1"/>
                <c:pt idx="0">
                  <c:v>130</c:v>
                </c:pt>
              </c:numCache>
            </c:numRef>
          </c:xVal>
          <c:yVal>
            <c:numRef>
              <c:f>Estimation!$CQ$3</c:f>
              <c:numCache>
                <c:formatCode>General</c:formatCode>
                <c:ptCount val="1"/>
                <c:pt idx="0">
                  <c:v>0.3989422804014327</c:v>
                </c:pt>
              </c:numCache>
            </c:numRef>
          </c:yVal>
          <c:smooth val="0"/>
          <c:extLst>
            <c:ext xmlns:c16="http://schemas.microsoft.com/office/drawing/2014/chart" uri="{C3380CC4-5D6E-409C-BE32-E72D297353CC}">
              <c16:uniqueId val="{00000004-EFFC-4E17-B92C-D6FCE9F53211}"/>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Estimation!$BF$11</c:f>
              <c:strCache>
                <c:ptCount val="1"/>
                <c:pt idx="0">
                  <c:v>Populationsestimat for gennemsnit fra stikprøver af størrelsen n = 12
fra en population med gennemsnit = 1.854
 og standardafvigelse = 4.307</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none"/>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r"/>
      <c:legendEntry>
        <c:idx val="3"/>
        <c:delete val="1"/>
      </c:legendEntry>
      <c:legendEntry>
        <c:idx val="4"/>
        <c:delete val="1"/>
      </c:legendEntry>
      <c:legendEntry>
        <c:idx val="5"/>
        <c:delete val="1"/>
      </c:legendEntry>
      <c:layout>
        <c:manualLayout>
          <c:xMode val="edge"/>
          <c:yMode val="edge"/>
          <c:x val="0.91100022380923318"/>
          <c:y val="0.14837063319787316"/>
          <c:w val="8.8999776190766849E-2"/>
          <c:h val="0.239290151283037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Estimation!$BG$10</c:f>
          <c:strCache>
            <c:ptCount val="1"/>
            <c:pt idx="0">
              <c:v>95% Konfidensinterval for standardafvigelse
af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Estimation!$DZ$9</c:f>
              <c:strCache>
                <c:ptCount val="1"/>
                <c:pt idx="0">
                  <c:v>Alternativ hypotese</c:v>
                </c:pt>
              </c:strCache>
            </c:strRef>
          </c:tx>
          <c:spPr>
            <a:solidFill>
              <a:schemeClr val="accent1"/>
            </a:solidFill>
            <a:ln w="25400">
              <a:noFill/>
            </a:ln>
            <a:effectLst/>
          </c:spPr>
          <c:cat>
            <c:strRef>
              <c:f>Estimation!$EB$10:$EB$268</c:f>
              <c:strCache>
                <c:ptCount val="177"/>
                <c:pt idx="17">
                  <c:v>3.051</c:v>
                </c:pt>
                <c:pt idx="75">
                  <c:v>4.307</c:v>
                </c:pt>
                <c:pt idx="176">
                  <c:v>7.313</c:v>
                </c:pt>
              </c:strCache>
            </c:strRef>
          </c:cat>
          <c:val>
            <c:numRef>
              <c:f>Estimation!$DZ$10:$DZ$268</c:f>
              <c:numCache>
                <c:formatCode>General</c:formatCode>
                <c:ptCount val="259"/>
                <c:pt idx="0">
                  <c:v>2.584652692089497E-3</c:v>
                </c:pt>
                <c:pt idx="1">
                  <c:v>3.2030638559866179E-3</c:v>
                </c:pt>
                <c:pt idx="2">
                  <c:v>3.9085485663345257E-3</c:v>
                </c:pt>
                <c:pt idx="3">
                  <c:v>4.7040864314258782E-3</c:v>
                </c:pt>
                <c:pt idx="4">
                  <c:v>5.5918734303673726E-3</c:v>
                </c:pt>
                <c:pt idx="5">
                  <c:v>6.5733183610466994E-3</c:v>
                </c:pt>
                <c:pt idx="6">
                  <c:v>7.6490508688432726E-3</c:v>
                </c:pt>
                <c:pt idx="7">
                  <c:v>8.8189394770563246E-3</c:v>
                </c:pt>
                <c:pt idx="8">
                  <c:v>1.0082118119969227E-2</c:v>
                </c:pt>
                <c:pt idx="9">
                  <c:v>1.1437019773006292E-2</c:v>
                </c:pt>
                <c:pt idx="10">
                  <c:v>1.2881415876320907E-2</c:v>
                </c:pt>
                <c:pt idx="11">
                  <c:v>1.4412460354358489E-2</c:v>
                </c:pt>
                <c:pt idx="12">
                  <c:v>1.6026737141399662E-2</c:v>
                </c:pt>
                <c:pt idx="13">
                  <c:v>1.7720310229491915E-2</c:v>
                </c:pt>
                <c:pt idx="14">
                  <c:v>1.9488775358795587E-2</c:v>
                </c:pt>
                <c:pt idx="15">
                  <c:v>2.1327312569947666E-2</c:v>
                </c:pt>
                <c:pt idx="16">
                  <c:v>2.3230738932695595E-2</c:v>
                </c:pt>
                <c:pt idx="17">
                  <c:v>2.5193560854176802E-2</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7.6914759938026978E-3</c:v>
                </c:pt>
                <c:pt idx="178">
                  <c:v>7.4359322344494704E-3</c:v>
                </c:pt>
                <c:pt idx="179">
                  <c:v>7.1880199014143151E-3</c:v>
                </c:pt>
                <c:pt idx="180">
                  <c:v>6.9475513000146864E-3</c:v>
                </c:pt>
                <c:pt idx="181">
                  <c:v>6.7143414024175164E-3</c:v>
                </c:pt>
                <c:pt idx="182">
                  <c:v>6.4882079162847089E-3</c:v>
                </c:pt>
                <c:pt idx="183">
                  <c:v>6.2689713455861351E-3</c:v>
                </c:pt>
                <c:pt idx="184">
                  <c:v>6.0564550439681829E-3</c:v>
                </c:pt>
                <c:pt idx="185">
                  <c:v>5.8504852610541331E-3</c:v>
                </c:pt>
                <c:pt idx="186">
                  <c:v>5.6508911820412622E-3</c:v>
                </c:pt>
                <c:pt idx="187">
                  <c:v>5.4575049609478614E-3</c:v>
                </c:pt>
                <c:pt idx="188">
                  <c:v>5.2701617478520162E-3</c:v>
                </c:pt>
                <c:pt idx="189">
                  <c:v>5.0886997104524724E-3</c:v>
                </c:pt>
                <c:pt idx="190">
                  <c:v>4.9129600502706896E-3</c:v>
                </c:pt>
                <c:pt idx="191">
                  <c:v>4.742787013801879E-3</c:v>
                </c:pt>
                <c:pt idx="192">
                  <c:v>4.5780278989119051E-3</c:v>
                </c:pt>
                <c:pt idx="193">
                  <c:v>4.4185330567658521E-3</c:v>
                </c:pt>
                <c:pt idx="194">
                  <c:v>4.2641558895634693E-3</c:v>
                </c:pt>
                <c:pt idx="195">
                  <c:v>4.1147528443460516E-3</c:v>
                </c:pt>
                <c:pt idx="196">
                  <c:v>3.9701834031289508E-3</c:v>
                </c:pt>
                <c:pt idx="197">
                  <c:v>3.8303100696038244E-3</c:v>
                </c:pt>
                <c:pt idx="198">
                  <c:v>3.6949983526446363E-3</c:v>
                </c:pt>
                <c:pt idx="199">
                  <c:v>3.564116746841857E-3</c:v>
                </c:pt>
                <c:pt idx="200">
                  <c:v>3.4375367102795801E-3</c:v>
                </c:pt>
                <c:pt idx="201">
                  <c:v>3.3151326397612151E-3</c:v>
                </c:pt>
                <c:pt idx="202">
                  <c:v>3.1967818436801831E-3</c:v>
                </c:pt>
                <c:pt idx="203">
                  <c:v>3.0823645127233709E-3</c:v>
                </c:pt>
                <c:pt idx="204">
                  <c:v>2.9717636885863707E-3</c:v>
                </c:pt>
                <c:pt idx="205">
                  <c:v>2.8648652308713566E-3</c:v>
                </c:pt>
                <c:pt idx="206">
                  <c:v>2.7615577823302622E-3</c:v>
                </c:pt>
                <c:pt idx="207">
                  <c:v>2.6617327326080762E-3</c:v>
                </c:pt>
                <c:pt idx="208">
                  <c:v>2.5652841806335465E-3</c:v>
                </c:pt>
                <c:pt idx="209">
                  <c:v>2.4721088957970891E-3</c:v>
                </c:pt>
                <c:pt idx="210">
                  <c:v>2.3821062780487148E-3</c:v>
                </c:pt>
                <c:pt idx="211">
                  <c:v>2.2951783170417853E-3</c:v>
                </c:pt>
                <c:pt idx="212">
                  <c:v>2.2112295504418127E-3</c:v>
                </c:pt>
                <c:pt idx="213">
                  <c:v>2.13016702151311E-3</c:v>
                </c:pt>
                <c:pt idx="214">
                  <c:v>2.0519002360898223E-3</c:v>
                </c:pt>
                <c:pt idx="215">
                  <c:v>1.9763411190320398E-3</c:v>
                </c:pt>
                <c:pt idx="216">
                  <c:v>1.9034039702618313E-3</c:v>
                </c:pt>
                <c:pt idx="217">
                  <c:v>1.8330054204685668E-3</c:v>
                </c:pt>
                <c:pt idx="218">
                  <c:v>1.765064386567556E-3</c:v>
                </c:pt>
                <c:pt idx="219">
                  <c:v>1.6995020269909965E-3</c:v>
                </c:pt>
                <c:pt idx="220">
                  <c:v>1.6362416968852462E-3</c:v>
                </c:pt>
                <c:pt idx="221">
                  <c:v>1.5752089032837508E-3</c:v>
                </c:pt>
                <c:pt idx="222">
                  <c:v>1.5163312603205478E-3</c:v>
                </c:pt>
                <c:pt idx="223">
                  <c:v>1.4595384445448083E-3</c:v>
                </c:pt>
                <c:pt idx="224">
                  <c:v>1.4047621503929077E-3</c:v>
                </c:pt>
                <c:pt idx="225">
                  <c:v>1.3519360458704474E-3</c:v>
                </c:pt>
                <c:pt idx="226">
                  <c:v>1.3009957284929644E-3</c:v>
                </c:pt>
                <c:pt idx="227">
                  <c:v>1.2518786815304316E-3</c:v>
                </c:pt>
                <c:pt idx="228">
                  <c:v>1.2045242305972269E-3</c:v>
                </c:pt>
                <c:pt idx="229">
                  <c:v>1.1588735006259946E-3</c:v>
                </c:pt>
                <c:pt idx="230">
                  <c:v>1.1148693732606777E-3</c:v>
                </c:pt>
                <c:pt idx="231">
                  <c:v>1.072456444701067E-3</c:v>
                </c:pt>
                <c:pt idx="232">
                  <c:v>1.0315809840283814E-3</c:v>
                </c:pt>
                <c:pt idx="233">
                  <c:v>9.9219089203870831E-4</c:v>
                </c:pt>
                <c:pt idx="234">
                  <c:v>9.5423566060861794E-4</c:v>
                </c:pt>
                <c:pt idx="235">
                  <c:v>9.1766633261481496E-4</c:v>
                </c:pt>
                <c:pt idx="236">
                  <c:v>8.8243546242745981E-4</c:v>
                </c:pt>
                <c:pt idx="237">
                  <c:v>8.4849707699458045E-4</c:v>
                </c:pt>
                <c:pt idx="238">
                  <c:v>8.1580663753299219E-4</c:v>
                </c:pt>
                <c:pt idx="239">
                  <c:v>7.8432100183917892E-4</c:v>
                </c:pt>
                <c:pt idx="240">
                  <c:v>7.539983872317963E-4</c:v>
                </c:pt>
                <c:pt idx="241">
                  <c:v>7.2479833413572193E-4</c:v>
                </c:pt>
                <c:pt idx="242">
                  <c:v>6.966816703159669E-4</c:v>
                </c:pt>
                <c:pt idx="243">
                  <c:v>6.696104757682301E-4</c:v>
                </c:pt>
                <c:pt idx="244">
                  <c:v>6.4354804827147945E-4</c:v>
                </c:pt>
                <c:pt idx="245">
                  <c:v>6.1845886960655789E-4</c:v>
                </c:pt>
                <c:pt idx="246">
                  <c:v>5.9430857244359425E-4</c:v>
                </c:pt>
                <c:pt idx="247">
                  <c:v>5.7106390789980711E-4</c:v>
                </c:pt>
                <c:pt idx="248">
                  <c:v>5.4869271376819053E-4</c:v>
                </c:pt>
                <c:pt idx="249">
                  <c:v>5.2716388341654432E-4</c:v>
                </c:pt>
                <c:pt idx="250">
                  <c:v>5.0644733535538239E-4</c:v>
                </c:pt>
                <c:pt idx="251">
                  <c:v>4.8651398347232842E-4</c:v>
                </c:pt>
                <c:pt idx="252">
                  <c:v>4.6733570792980748E-4</c:v>
                </c:pt>
                <c:pt idx="253">
                  <c:v>4.4888532672208905E-4</c:v>
                </c:pt>
                <c:pt idx="254">
                  <c:v>4.3113656788701659E-4</c:v>
                </c:pt>
                <c:pt idx="255">
                  <c:v>4.1406404236711146E-4</c:v>
                </c:pt>
                <c:pt idx="256">
                  <c:v>3.9764321751416568E-4</c:v>
                </c:pt>
                <c:pt idx="257">
                  <c:v>3.8185039123086372E-4</c:v>
                </c:pt>
                <c:pt idx="258">
                  <c:v>3.6666266674250183E-4</c:v>
                </c:pt>
              </c:numCache>
            </c:numRef>
          </c:val>
          <c:extLst>
            <c:ext xmlns:c16="http://schemas.microsoft.com/office/drawing/2014/chart" uri="{C3380CC4-5D6E-409C-BE32-E72D297353CC}">
              <c16:uniqueId val="{00000000-82A0-46BD-ACDC-0C36174C5835}"/>
            </c:ext>
          </c:extLst>
        </c:ser>
        <c:ser>
          <c:idx val="1"/>
          <c:order val="1"/>
          <c:tx>
            <c:strRef>
              <c:f>Estimation!$EA$9</c:f>
              <c:strCache>
                <c:ptCount val="1"/>
                <c:pt idx="0">
                  <c:v>Nulhypotese</c:v>
                </c:pt>
              </c:strCache>
            </c:strRef>
          </c:tx>
          <c:spPr>
            <a:solidFill>
              <a:schemeClr val="accent2"/>
            </a:solidFill>
            <a:ln w="25400">
              <a:noFill/>
            </a:ln>
            <a:effectLst/>
          </c:spPr>
          <c:cat>
            <c:strRef>
              <c:f>Estimation!$EB$10:$EB$268</c:f>
              <c:strCache>
                <c:ptCount val="177"/>
                <c:pt idx="17">
                  <c:v>3.051</c:v>
                </c:pt>
                <c:pt idx="75">
                  <c:v>4.307</c:v>
                </c:pt>
                <c:pt idx="176">
                  <c:v>7.313</c:v>
                </c:pt>
              </c:strCache>
            </c:strRef>
          </c:cat>
          <c:val>
            <c:numRef>
              <c:f>Estimation!$EA$10:$EA$268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2.7210025453453968E-2</c:v>
                </c:pt>
                <c:pt idx="19">
                  <c:v>2.9274170566074054E-2</c:v>
                </c:pt>
                <c:pt idx="20">
                  <c:v>3.1379873013457245E-2</c:v>
                </c:pt>
                <c:pt idx="21">
                  <c:v>3.3520894836903251E-2</c:v>
                </c:pt>
                <c:pt idx="22">
                  <c:v>3.5690927255072682E-2</c:v>
                </c:pt>
                <c:pt idx="23">
                  <c:v>3.7883632157168431E-2</c:v>
                </c:pt>
                <c:pt idx="24">
                  <c:v>4.0092680991955953E-2</c:v>
                </c:pt>
                <c:pt idx="25">
                  <c:v>4.2311790955508063E-2</c:v>
                </c:pt>
                <c:pt idx="26">
                  <c:v>4.4534758418438077E-2</c:v>
                </c:pt>
                <c:pt idx="27">
                  <c:v>4.6755489566712091E-2</c:v>
                </c:pt>
                <c:pt idx="28">
                  <c:v>4.8968028259221252E-2</c:v>
                </c:pt>
                <c:pt idx="29">
                  <c:v>5.1166581130469804E-2</c:v>
                </c:pt>
                <c:pt idx="30">
                  <c:v>5.3345539988300897E-2</c:v>
                </c:pt>
                <c:pt idx="31">
                  <c:v>5.5499501574844977E-2</c:v>
                </c:pt>
                <c:pt idx="32">
                  <c:v>5.7623284774130229E-2</c:v>
                </c:pt>
                <c:pt idx="33">
                  <c:v>5.9711945362308241E-2</c:v>
                </c:pt>
                <c:pt idx="34">
                  <c:v>6.1760788406504986E-2</c:v>
                </c:pt>
                <c:pt idx="35">
                  <c:v>6.3765378426136568E-2</c:v>
                </c:pt>
                <c:pt idx="36">
                  <c:v>6.5721547436379868E-2</c:v>
                </c:pt>
                <c:pt idx="37">
                  <c:v>6.7625400997576274E-2</c:v>
                </c:pt>
                <c:pt idx="38">
                  <c:v>6.9473322396871304E-2</c:v>
                </c:pt>
                <c:pt idx="39">
                  <c:v>7.126197508955133E-2</c:v>
                </c:pt>
                <c:pt idx="40">
                  <c:v>7.2988303527497175E-2</c:v>
                </c:pt>
                <c:pt idx="41">
                  <c:v>7.4649532501100041E-2</c:v>
                </c:pt>
                <c:pt idx="42">
                  <c:v>7.6243165119018616E-2</c:v>
                </c:pt>
                <c:pt idx="43">
                  <c:v>7.7766979547437623E-2</c:v>
                </c:pt>
                <c:pt idx="44">
                  <c:v>7.9219024627133594E-2</c:v>
                </c:pt>
                <c:pt idx="45">
                  <c:v>8.0597614482774499E-2</c:v>
                </c:pt>
                <c:pt idx="46">
                  <c:v>8.1901322234579216E-2</c:v>
                </c:pt>
                <c:pt idx="47">
                  <c:v>8.3128972917823465E-2</c:v>
                </c:pt>
                <c:pt idx="48">
                  <c:v>8.4279635710785644E-2</c:v>
                </c:pt>
                <c:pt idx="49">
                  <c:v>8.5352615566646459E-2</c:v>
                </c:pt>
                <c:pt idx="50">
                  <c:v>8.6347444339654689E-2</c:v>
                </c:pt>
                <c:pt idx="51">
                  <c:v>8.7263871490603204E-2</c:v>
                </c:pt>
                <c:pt idx="52">
                  <c:v>8.8101854451371309E-2</c:v>
                </c:pt>
                <c:pt idx="53">
                  <c:v>8.8861548723025457E-2</c:v>
                </c:pt>
                <c:pt idx="54">
                  <c:v>8.954329777676559E-2</c:v>
                </c:pt>
                <c:pt idx="55">
                  <c:v>9.0147622821889442E-2</c:v>
                </c:pt>
                <c:pt idx="56">
                  <c:v>9.0675212499950975E-2</c:v>
                </c:pt>
                <c:pt idx="57">
                  <c:v>9.1126912559427717E-2</c:v>
                </c:pt>
                <c:pt idx="58">
                  <c:v>9.1503715560512691E-2</c:v>
                </c:pt>
                <c:pt idx="59">
                  <c:v>9.1806750655112832E-2</c:v>
                </c:pt>
                <c:pt idx="60">
                  <c:v>9.2037273482789353E-2</c:v>
                </c:pt>
                <c:pt idx="61">
                  <c:v>9.2196656219217965E-2</c:v>
                </c:pt>
                <c:pt idx="62">
                  <c:v>9.228637780978749E-2</c:v>
                </c:pt>
                <c:pt idx="63">
                  <c:v>9.2308014417196882E-2</c:v>
                </c:pt>
                <c:pt idx="64">
                  <c:v>9.226323010835695E-2</c:v>
                </c:pt>
                <c:pt idx="65">
                  <c:v>9.2153767802551093E-2</c:v>
                </c:pt>
                <c:pt idx="66">
                  <c:v>9.198144049966174E-2</c:v>
                </c:pt>
                <c:pt idx="67">
                  <c:v>9.1748122804320709E-2</c:v>
                </c:pt>
                <c:pt idx="68">
                  <c:v>9.1455742759090727E-2</c:v>
                </c:pt>
                <c:pt idx="69">
                  <c:v>9.1106273997226025E-2</c:v>
                </c:pt>
                <c:pt idx="70">
                  <c:v>9.0701728223188074E-2</c:v>
                </c:pt>
                <c:pt idx="71">
                  <c:v>9.024414802690281E-2</c:v>
                </c:pt>
                <c:pt idx="72">
                  <c:v>8.9735600035729654E-2</c:v>
                </c:pt>
                <c:pt idx="73">
                  <c:v>8.9178168406266661E-2</c:v>
                </c:pt>
                <c:pt idx="74">
                  <c:v>8.857394865643009E-2</c:v>
                </c:pt>
                <c:pt idx="75">
                  <c:v>8.7925041836716789E-2</c:v>
                </c:pt>
                <c:pt idx="76">
                  <c:v>8.7233549038172459E-2</c:v>
                </c:pt>
                <c:pt idx="77">
                  <c:v>8.6501566233345414E-2</c:v>
                </c:pt>
                <c:pt idx="78">
                  <c:v>8.5731179445392575E-2</c:v>
                </c:pt>
                <c:pt idx="79">
                  <c:v>8.4924460239516705E-2</c:v>
                </c:pt>
                <c:pt idx="80">
                  <c:v>8.4083461530043563E-2</c:v>
                </c:pt>
                <c:pt idx="81">
                  <c:v>8.3210213695687846E-2</c:v>
                </c:pt>
                <c:pt idx="82">
                  <c:v>8.230672099489951E-2</c:v>
                </c:pt>
                <c:pt idx="83">
                  <c:v>8.1374958272621298E-2</c:v>
                </c:pt>
                <c:pt idx="84">
                  <c:v>8.0416867949317919E-2</c:v>
                </c:pt>
                <c:pt idx="85">
                  <c:v>7.9434357282748405E-2</c:v>
                </c:pt>
                <c:pt idx="86">
                  <c:v>7.842929589264333E-2</c:v>
                </c:pt>
                <c:pt idx="87">
                  <c:v>7.7403513538207847E-2</c:v>
                </c:pt>
                <c:pt idx="88">
                  <c:v>7.635879813819707E-2</c:v>
                </c:pt>
                <c:pt idx="89">
                  <c:v>7.5296894023195615E-2</c:v>
                </c:pt>
                <c:pt idx="90">
                  <c:v>7.4219500409672207E-2</c:v>
                </c:pt>
                <c:pt idx="91">
                  <c:v>7.3128270085369887E-2</c:v>
                </c:pt>
                <c:pt idx="92">
                  <c:v>7.2024808295626394E-2</c:v>
                </c:pt>
                <c:pt idx="93">
                  <c:v>7.0910671820293661E-2</c:v>
                </c:pt>
                <c:pt idx="94">
                  <c:v>6.9787368231036304E-2</c:v>
                </c:pt>
                <c:pt idx="95">
                  <c:v>6.8656355318932036E-2</c:v>
                </c:pt>
                <c:pt idx="96">
                  <c:v>6.7519040682468889E-2</c:v>
                </c:pt>
                <c:pt idx="97">
                  <c:v>6.6376781466230855E-2</c:v>
                </c:pt>
                <c:pt idx="98">
                  <c:v>6.5230884240782203E-2</c:v>
                </c:pt>
                <c:pt idx="99">
                  <c:v>6.4082605014498681E-2</c:v>
                </c:pt>
                <c:pt idx="100">
                  <c:v>6.293314936834786E-2</c:v>
                </c:pt>
                <c:pt idx="101">
                  <c:v>6.1783672704887396E-2</c:v>
                </c:pt>
                <c:pt idx="102">
                  <c:v>6.0635280603029251E-2</c:v>
                </c:pt>
                <c:pt idx="103">
                  <c:v>5.9489029270404468E-2</c:v>
                </c:pt>
                <c:pt idx="104">
                  <c:v>5.834592608545798E-2</c:v>
                </c:pt>
                <c:pt idx="105">
                  <c:v>5.7206930221701147E-2</c:v>
                </c:pt>
                <c:pt idx="106">
                  <c:v>5.6072953346852777E-2</c:v>
                </c:pt>
                <c:pt idx="107">
                  <c:v>5.494486038990349E-2</c:v>
                </c:pt>
                <c:pt idx="108">
                  <c:v>5.3823470369441753E-2</c:v>
                </c:pt>
                <c:pt idx="109">
                  <c:v>5.2709557276885192E-2</c:v>
                </c:pt>
                <c:pt idx="110">
                  <c:v>5.1603851008559944E-2</c:v>
                </c:pt>
                <c:pt idx="111">
                  <c:v>5.0507038340871085E-2</c:v>
                </c:pt>
                <c:pt idx="112">
                  <c:v>4.9419763943099951E-2</c:v>
                </c:pt>
                <c:pt idx="113">
                  <c:v>4.8342631422654346E-2</c:v>
                </c:pt>
                <c:pt idx="114">
                  <c:v>4.7276204397881473E-2</c:v>
                </c:pt>
                <c:pt idx="115">
                  <c:v>4.6221007593830528E-2</c:v>
                </c:pt>
                <c:pt idx="116">
                  <c:v>4.5177527956623796E-2</c:v>
                </c:pt>
                <c:pt idx="117">
                  <c:v>4.4146215782358278E-2</c:v>
                </c:pt>
                <c:pt idx="118">
                  <c:v>4.3127485856716836E-2</c:v>
                </c:pt>
                <c:pt idx="119">
                  <c:v>4.2121718601716034E-2</c:v>
                </c:pt>
                <c:pt idx="120">
                  <c:v>4.1129261226258734E-2</c:v>
                </c:pt>
                <c:pt idx="121">
                  <c:v>4.0150428877391404E-2</c:v>
                </c:pt>
                <c:pt idx="122">
                  <c:v>3.9185505789390514E-2</c:v>
                </c:pt>
                <c:pt idx="123">
                  <c:v>3.8234746428017247E-2</c:v>
                </c:pt>
                <c:pt idx="124">
                  <c:v>3.7298376627487174E-2</c:v>
                </c:pt>
                <c:pt idx="125">
                  <c:v>3.6376594717899113E-2</c:v>
                </c:pt>
                <c:pt idx="126">
                  <c:v>3.5469572641058468E-2</c:v>
                </c:pt>
                <c:pt idx="127">
                  <c:v>3.4577457052810151E-2</c:v>
                </c:pt>
                <c:pt idx="128">
                  <c:v>3.3700370410170197E-2</c:v>
                </c:pt>
                <c:pt idx="129">
                  <c:v>3.2838412041709814E-2</c:v>
                </c:pt>
                <c:pt idx="130">
                  <c:v>3.1991659199801618E-2</c:v>
                </c:pt>
                <c:pt idx="131">
                  <c:v>3.1160168093486602E-2</c:v>
                </c:pt>
                <c:pt idx="132">
                  <c:v>3.0343974900861607E-2</c:v>
                </c:pt>
                <c:pt idx="133">
                  <c:v>2.9543096760019427E-2</c:v>
                </c:pt>
                <c:pt idx="134">
                  <c:v>2.8757532737699435E-2</c:v>
                </c:pt>
                <c:pt idx="135">
                  <c:v>2.798726477492559E-2</c:v>
                </c:pt>
                <c:pt idx="136">
                  <c:v>2.7232258609019386E-2</c:v>
                </c:pt>
                <c:pt idx="137">
                  <c:v>2.6492464671480021E-2</c:v>
                </c:pt>
                <c:pt idx="138">
                  <c:v>2.5767818961322256E-2</c:v>
                </c:pt>
                <c:pt idx="139">
                  <c:v>2.5058243893553676E-2</c:v>
                </c:pt>
                <c:pt idx="140">
                  <c:v>2.4363649122558756E-2</c:v>
                </c:pt>
                <c:pt idx="141">
                  <c:v>2.368393234023642E-2</c:v>
                </c:pt>
                <c:pt idx="142">
                  <c:v>2.3018980048812178E-2</c:v>
                </c:pt>
                <c:pt idx="143">
                  <c:v>2.2368668308313761E-2</c:v>
                </c:pt>
                <c:pt idx="144">
                  <c:v>2.1732863458762738E-2</c:v>
                </c:pt>
                <c:pt idx="145">
                  <c:v>2.1111422817193068E-2</c:v>
                </c:pt>
                <c:pt idx="146">
                  <c:v>2.0504195349660678E-2</c:v>
                </c:pt>
                <c:pt idx="147">
                  <c:v>1.9911022318457171E-2</c:v>
                </c:pt>
                <c:pt idx="148">
                  <c:v>1.9331737904786175E-2</c:v>
                </c:pt>
                <c:pt idx="149">
                  <c:v>1.8766169807200226E-2</c:v>
                </c:pt>
                <c:pt idx="150">
                  <c:v>1.8214139816133987E-2</c:v>
                </c:pt>
                <c:pt idx="151">
                  <c:v>1.7675464364901958E-2</c:v>
                </c:pt>
                <c:pt idx="152">
                  <c:v>1.7149955057558421E-2</c:v>
                </c:pt>
                <c:pt idx="153">
                  <c:v>1.6637419174044116E-2</c:v>
                </c:pt>
                <c:pt idx="154">
                  <c:v>1.61376601530667E-2</c:v>
                </c:pt>
                <c:pt idx="155">
                  <c:v>1.5650478053182721E-2</c:v>
                </c:pt>
                <c:pt idx="156">
                  <c:v>1.5175669992566221E-2</c:v>
                </c:pt>
                <c:pt idx="157">
                  <c:v>1.4713030567963909E-2</c:v>
                </c:pt>
                <c:pt idx="158">
                  <c:v>1.4262352253349727E-2</c:v>
                </c:pt>
                <c:pt idx="159">
                  <c:v>1.3823425778801282E-2</c:v>
                </c:pt>
                <c:pt idx="160">
                  <c:v>1.3396040490129536E-2</c:v>
                </c:pt>
                <c:pt idx="161">
                  <c:v>1.2979984689798841E-2</c:v>
                </c:pt>
                <c:pt idx="162">
                  <c:v>1.2575045959678788E-2</c:v>
                </c:pt>
                <c:pt idx="163">
                  <c:v>1.2181011466172601E-2</c:v>
                </c:pt>
                <c:pt idx="164">
                  <c:v>1.1797668248267034E-2</c:v>
                </c:pt>
                <c:pt idx="165">
                  <c:v>1.1424803489049444E-2</c:v>
                </c:pt>
                <c:pt idx="166">
                  <c:v>1.1062204771235188E-2</c:v>
                </c:pt>
                <c:pt idx="167">
                  <c:v>1.0709660317246334E-2</c:v>
                </c:pt>
                <c:pt idx="168">
                  <c:v>1.0366959214378312E-2</c:v>
                </c:pt>
                <c:pt idx="169">
                  <c:v>1.0033891625586211E-2</c:v>
                </c:pt>
                <c:pt idx="170">
                  <c:v>9.7102489864168053E-3</c:v>
                </c:pt>
                <c:pt idx="171">
                  <c:v>9.3958241886053437E-3</c:v>
                </c:pt>
                <c:pt idx="172">
                  <c:v>9.0904117508488272E-3</c:v>
                </c:pt>
                <c:pt idx="173">
                  <c:v>8.7938079772592812E-3</c:v>
                </c:pt>
                <c:pt idx="174">
                  <c:v>8.5058111039919785E-3</c:v>
                </c:pt>
                <c:pt idx="175">
                  <c:v>8.2262214345339302E-3</c:v>
                </c:pt>
                <c:pt idx="176">
                  <c:v>7.9548414641286321E-3</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1-82A0-46BD-ACDC-0C36174C5835}"/>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Estimation!$DU$4</c:f>
              <c:strCache>
                <c:ptCount val="1"/>
              </c:strCache>
            </c:strRef>
          </c:tx>
          <c:spPr>
            <a:ln w="28575" cap="rnd">
              <a:solidFill>
                <a:schemeClr val="bg1"/>
              </a:solidFill>
              <a:round/>
            </a:ln>
            <a:effectLst/>
          </c:spPr>
          <c:marker>
            <c:symbol val="none"/>
          </c:marker>
          <c:xVal>
            <c:numRef>
              <c:f>Estimation!$DO$10:$DO$268</c:f>
              <c:numCache>
                <c:formatCode>General</c:formatCode>
                <c:ptCount val="25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numCache>
            </c:numRef>
          </c:xVal>
          <c:yVal>
            <c:numRef>
              <c:f>Estimation!$DY$10:$DY$268</c:f>
              <c:numCache>
                <c:formatCode>General</c:formatCode>
                <c:ptCount val="259"/>
                <c:pt idx="0">
                  <c:v>2.584652692089497E-3</c:v>
                </c:pt>
                <c:pt idx="1">
                  <c:v>3.2030638559866179E-3</c:v>
                </c:pt>
                <c:pt idx="2">
                  <c:v>3.9085485663345257E-3</c:v>
                </c:pt>
                <c:pt idx="3">
                  <c:v>4.7040864314258782E-3</c:v>
                </c:pt>
                <c:pt idx="4">
                  <c:v>5.5918734303673726E-3</c:v>
                </c:pt>
                <c:pt idx="5">
                  <c:v>6.5733183610466994E-3</c:v>
                </c:pt>
                <c:pt idx="6">
                  <c:v>7.6490508688432726E-3</c:v>
                </c:pt>
                <c:pt idx="7">
                  <c:v>8.8189394770563246E-3</c:v>
                </c:pt>
                <c:pt idx="8">
                  <c:v>1.0082118119969227E-2</c:v>
                </c:pt>
                <c:pt idx="9">
                  <c:v>1.1437019773006292E-2</c:v>
                </c:pt>
                <c:pt idx="10">
                  <c:v>1.2881415876320907E-2</c:v>
                </c:pt>
                <c:pt idx="11">
                  <c:v>1.4412460354358489E-2</c:v>
                </c:pt>
                <c:pt idx="12">
                  <c:v>1.6026737141399662E-2</c:v>
                </c:pt>
                <c:pt idx="13">
                  <c:v>1.7720310229491915E-2</c:v>
                </c:pt>
                <c:pt idx="14">
                  <c:v>1.9488775358795587E-2</c:v>
                </c:pt>
                <c:pt idx="15">
                  <c:v>2.1327312569947666E-2</c:v>
                </c:pt>
                <c:pt idx="16">
                  <c:v>2.3230738932695595E-2</c:v>
                </c:pt>
                <c:pt idx="17">
                  <c:v>2.5193560854176802E-2</c:v>
                </c:pt>
                <c:pt idx="18">
                  <c:v>2.7210025453453968E-2</c:v>
                </c:pt>
                <c:pt idx="19">
                  <c:v>2.9274170566074054E-2</c:v>
                </c:pt>
                <c:pt idx="20">
                  <c:v>3.1379873013457245E-2</c:v>
                </c:pt>
                <c:pt idx="21">
                  <c:v>3.3520894836903251E-2</c:v>
                </c:pt>
                <c:pt idx="22">
                  <c:v>3.5690927255072682E-2</c:v>
                </c:pt>
                <c:pt idx="23">
                  <c:v>3.7883632157168431E-2</c:v>
                </c:pt>
                <c:pt idx="24">
                  <c:v>4.0092680991955953E-2</c:v>
                </c:pt>
                <c:pt idx="25">
                  <c:v>4.2311790955508063E-2</c:v>
                </c:pt>
                <c:pt idx="26">
                  <c:v>4.4534758418438077E-2</c:v>
                </c:pt>
                <c:pt idx="27">
                  <c:v>4.6755489566712091E-2</c:v>
                </c:pt>
                <c:pt idx="28">
                  <c:v>4.8968028259221252E-2</c:v>
                </c:pt>
                <c:pt idx="29">
                  <c:v>5.1166581130469804E-2</c:v>
                </c:pt>
                <c:pt idx="30">
                  <c:v>5.3345539988300897E-2</c:v>
                </c:pt>
                <c:pt idx="31">
                  <c:v>5.5499501574844977E-2</c:v>
                </c:pt>
                <c:pt idx="32">
                  <c:v>5.7623284774130229E-2</c:v>
                </c:pt>
                <c:pt idx="33">
                  <c:v>5.9711945362308241E-2</c:v>
                </c:pt>
                <c:pt idx="34">
                  <c:v>6.1760788406504986E-2</c:v>
                </c:pt>
                <c:pt idx="35">
                  <c:v>6.3765378426136568E-2</c:v>
                </c:pt>
                <c:pt idx="36">
                  <c:v>6.5721547436379868E-2</c:v>
                </c:pt>
                <c:pt idx="37">
                  <c:v>6.7625400997576274E-2</c:v>
                </c:pt>
                <c:pt idx="38">
                  <c:v>6.9473322396871304E-2</c:v>
                </c:pt>
                <c:pt idx="39">
                  <c:v>7.126197508955133E-2</c:v>
                </c:pt>
                <c:pt idx="40">
                  <c:v>7.2988303527497175E-2</c:v>
                </c:pt>
                <c:pt idx="41">
                  <c:v>7.4649532501100041E-2</c:v>
                </c:pt>
                <c:pt idx="42">
                  <c:v>7.6243165119018616E-2</c:v>
                </c:pt>
                <c:pt idx="43">
                  <c:v>7.7766979547437623E-2</c:v>
                </c:pt>
                <c:pt idx="44">
                  <c:v>7.9219024627133594E-2</c:v>
                </c:pt>
                <c:pt idx="45">
                  <c:v>8.0597614482774499E-2</c:v>
                </c:pt>
                <c:pt idx="46">
                  <c:v>8.1901322234579216E-2</c:v>
                </c:pt>
                <c:pt idx="47">
                  <c:v>8.3128972917823465E-2</c:v>
                </c:pt>
                <c:pt idx="48">
                  <c:v>8.4279635710785644E-2</c:v>
                </c:pt>
                <c:pt idx="49">
                  <c:v>8.5352615566646459E-2</c:v>
                </c:pt>
                <c:pt idx="50">
                  <c:v>8.6347444339654689E-2</c:v>
                </c:pt>
                <c:pt idx="51">
                  <c:v>8.7263871490603204E-2</c:v>
                </c:pt>
                <c:pt idx="52">
                  <c:v>8.8101854451371309E-2</c:v>
                </c:pt>
                <c:pt idx="53">
                  <c:v>8.8861548723025457E-2</c:v>
                </c:pt>
                <c:pt idx="54">
                  <c:v>8.954329777676559E-2</c:v>
                </c:pt>
                <c:pt idx="55">
                  <c:v>9.0147622821889442E-2</c:v>
                </c:pt>
                <c:pt idx="56">
                  <c:v>9.0675212499950975E-2</c:v>
                </c:pt>
                <c:pt idx="57">
                  <c:v>9.1126912559427717E-2</c:v>
                </c:pt>
                <c:pt idx="58">
                  <c:v>9.1503715560512691E-2</c:v>
                </c:pt>
                <c:pt idx="59">
                  <c:v>9.1806750655112832E-2</c:v>
                </c:pt>
                <c:pt idx="60">
                  <c:v>9.2037273482789353E-2</c:v>
                </c:pt>
                <c:pt idx="61">
                  <c:v>9.2196656219217965E-2</c:v>
                </c:pt>
                <c:pt idx="62">
                  <c:v>9.228637780978749E-2</c:v>
                </c:pt>
                <c:pt idx="63">
                  <c:v>9.2308014417196882E-2</c:v>
                </c:pt>
                <c:pt idx="64">
                  <c:v>9.226323010835695E-2</c:v>
                </c:pt>
                <c:pt idx="65">
                  <c:v>9.2153767802551093E-2</c:v>
                </c:pt>
                <c:pt idx="66">
                  <c:v>9.198144049966174E-2</c:v>
                </c:pt>
                <c:pt idx="67">
                  <c:v>9.1748122804320709E-2</c:v>
                </c:pt>
                <c:pt idx="68">
                  <c:v>9.1455742759090727E-2</c:v>
                </c:pt>
                <c:pt idx="69">
                  <c:v>9.1106273997226025E-2</c:v>
                </c:pt>
                <c:pt idx="70">
                  <c:v>9.0701728223188074E-2</c:v>
                </c:pt>
                <c:pt idx="71">
                  <c:v>9.024414802690281E-2</c:v>
                </c:pt>
                <c:pt idx="72">
                  <c:v>8.9735600035729654E-2</c:v>
                </c:pt>
                <c:pt idx="73">
                  <c:v>8.9178168406266661E-2</c:v>
                </c:pt>
                <c:pt idx="74">
                  <c:v>8.857394865643009E-2</c:v>
                </c:pt>
                <c:pt idx="75">
                  <c:v>8.7925041836716789E-2</c:v>
                </c:pt>
                <c:pt idx="76">
                  <c:v>8.7233549038172459E-2</c:v>
                </c:pt>
                <c:pt idx="77">
                  <c:v>8.6501566233345414E-2</c:v>
                </c:pt>
                <c:pt idx="78">
                  <c:v>8.5731179445392575E-2</c:v>
                </c:pt>
                <c:pt idx="79">
                  <c:v>8.4924460239516705E-2</c:v>
                </c:pt>
                <c:pt idx="80">
                  <c:v>8.4083461530043563E-2</c:v>
                </c:pt>
                <c:pt idx="81">
                  <c:v>8.3210213695687846E-2</c:v>
                </c:pt>
                <c:pt idx="82">
                  <c:v>8.230672099489951E-2</c:v>
                </c:pt>
                <c:pt idx="83">
                  <c:v>8.1374958272621298E-2</c:v>
                </c:pt>
                <c:pt idx="84">
                  <c:v>8.0416867949317919E-2</c:v>
                </c:pt>
                <c:pt idx="85">
                  <c:v>7.9434357282748405E-2</c:v>
                </c:pt>
                <c:pt idx="86">
                  <c:v>7.842929589264333E-2</c:v>
                </c:pt>
                <c:pt idx="87">
                  <c:v>7.7403513538207847E-2</c:v>
                </c:pt>
                <c:pt idx="88">
                  <c:v>7.635879813819707E-2</c:v>
                </c:pt>
                <c:pt idx="89">
                  <c:v>7.5296894023195615E-2</c:v>
                </c:pt>
                <c:pt idx="90">
                  <c:v>7.4219500409672207E-2</c:v>
                </c:pt>
                <c:pt idx="91">
                  <c:v>7.3128270085369887E-2</c:v>
                </c:pt>
                <c:pt idx="92">
                  <c:v>7.2024808295626394E-2</c:v>
                </c:pt>
                <c:pt idx="93">
                  <c:v>7.0910671820293661E-2</c:v>
                </c:pt>
                <c:pt idx="94">
                  <c:v>6.9787368231036304E-2</c:v>
                </c:pt>
                <c:pt idx="95">
                  <c:v>6.8656355318932036E-2</c:v>
                </c:pt>
                <c:pt idx="96">
                  <c:v>6.7519040682468889E-2</c:v>
                </c:pt>
                <c:pt idx="97">
                  <c:v>6.6376781466230855E-2</c:v>
                </c:pt>
                <c:pt idx="98">
                  <c:v>6.5230884240782203E-2</c:v>
                </c:pt>
                <c:pt idx="99">
                  <c:v>6.4082605014498681E-2</c:v>
                </c:pt>
                <c:pt idx="100">
                  <c:v>6.293314936834786E-2</c:v>
                </c:pt>
                <c:pt idx="101">
                  <c:v>6.1783672704887396E-2</c:v>
                </c:pt>
                <c:pt idx="102">
                  <c:v>6.0635280603029251E-2</c:v>
                </c:pt>
                <c:pt idx="103">
                  <c:v>5.9489029270404468E-2</c:v>
                </c:pt>
                <c:pt idx="104">
                  <c:v>5.834592608545798E-2</c:v>
                </c:pt>
                <c:pt idx="105">
                  <c:v>5.7206930221701147E-2</c:v>
                </c:pt>
                <c:pt idx="106">
                  <c:v>5.6072953346852777E-2</c:v>
                </c:pt>
                <c:pt idx="107">
                  <c:v>5.494486038990349E-2</c:v>
                </c:pt>
                <c:pt idx="108">
                  <c:v>5.3823470369441753E-2</c:v>
                </c:pt>
                <c:pt idx="109">
                  <c:v>5.2709557276885192E-2</c:v>
                </c:pt>
                <c:pt idx="110">
                  <c:v>5.1603851008559944E-2</c:v>
                </c:pt>
                <c:pt idx="111">
                  <c:v>5.0507038340871085E-2</c:v>
                </c:pt>
                <c:pt idx="112">
                  <c:v>4.9419763943099951E-2</c:v>
                </c:pt>
                <c:pt idx="113">
                  <c:v>4.8342631422654346E-2</c:v>
                </c:pt>
                <c:pt idx="114">
                  <c:v>4.7276204397881473E-2</c:v>
                </c:pt>
                <c:pt idx="115">
                  <c:v>4.6221007593830528E-2</c:v>
                </c:pt>
                <c:pt idx="116">
                  <c:v>4.5177527956623796E-2</c:v>
                </c:pt>
                <c:pt idx="117">
                  <c:v>4.4146215782358278E-2</c:v>
                </c:pt>
                <c:pt idx="118">
                  <c:v>4.3127485856716836E-2</c:v>
                </c:pt>
                <c:pt idx="119">
                  <c:v>4.2121718601716034E-2</c:v>
                </c:pt>
                <c:pt idx="120">
                  <c:v>4.1129261226258734E-2</c:v>
                </c:pt>
                <c:pt idx="121">
                  <c:v>4.0150428877391404E-2</c:v>
                </c:pt>
                <c:pt idx="122">
                  <c:v>3.9185505789390514E-2</c:v>
                </c:pt>
                <c:pt idx="123">
                  <c:v>3.8234746428017247E-2</c:v>
                </c:pt>
                <c:pt idx="124">
                  <c:v>3.7298376627487174E-2</c:v>
                </c:pt>
                <c:pt idx="125">
                  <c:v>3.6376594717899113E-2</c:v>
                </c:pt>
                <c:pt idx="126">
                  <c:v>3.5469572641058468E-2</c:v>
                </c:pt>
                <c:pt idx="127">
                  <c:v>3.4577457052810151E-2</c:v>
                </c:pt>
                <c:pt idx="128">
                  <c:v>3.3700370410170197E-2</c:v>
                </c:pt>
                <c:pt idx="129">
                  <c:v>3.2838412041709814E-2</c:v>
                </c:pt>
                <c:pt idx="130">
                  <c:v>3.1991659199801618E-2</c:v>
                </c:pt>
                <c:pt idx="131">
                  <c:v>3.1160168093486602E-2</c:v>
                </c:pt>
                <c:pt idx="132">
                  <c:v>3.0343974900861607E-2</c:v>
                </c:pt>
                <c:pt idx="133">
                  <c:v>2.9543096760019427E-2</c:v>
                </c:pt>
                <c:pt idx="134">
                  <c:v>2.8757532737699435E-2</c:v>
                </c:pt>
                <c:pt idx="135">
                  <c:v>2.798726477492559E-2</c:v>
                </c:pt>
                <c:pt idx="136">
                  <c:v>2.7232258609019386E-2</c:v>
                </c:pt>
                <c:pt idx="137">
                  <c:v>2.6492464671480021E-2</c:v>
                </c:pt>
                <c:pt idx="138">
                  <c:v>2.5767818961322256E-2</c:v>
                </c:pt>
                <c:pt idx="139">
                  <c:v>2.5058243893553676E-2</c:v>
                </c:pt>
                <c:pt idx="140">
                  <c:v>2.4363649122558756E-2</c:v>
                </c:pt>
                <c:pt idx="141">
                  <c:v>2.368393234023642E-2</c:v>
                </c:pt>
                <c:pt idx="142">
                  <c:v>2.3018980048812178E-2</c:v>
                </c:pt>
                <c:pt idx="143">
                  <c:v>2.2368668308313761E-2</c:v>
                </c:pt>
                <c:pt idx="144">
                  <c:v>2.1732863458762738E-2</c:v>
                </c:pt>
                <c:pt idx="145">
                  <c:v>2.1111422817193068E-2</c:v>
                </c:pt>
                <c:pt idx="146">
                  <c:v>2.0504195349660678E-2</c:v>
                </c:pt>
                <c:pt idx="147">
                  <c:v>1.9911022318457171E-2</c:v>
                </c:pt>
                <c:pt idx="148">
                  <c:v>1.9331737904786175E-2</c:v>
                </c:pt>
                <c:pt idx="149">
                  <c:v>1.8766169807200226E-2</c:v>
                </c:pt>
                <c:pt idx="150">
                  <c:v>1.8214139816133987E-2</c:v>
                </c:pt>
                <c:pt idx="151">
                  <c:v>1.7675464364901958E-2</c:v>
                </c:pt>
                <c:pt idx="152">
                  <c:v>1.7149955057558421E-2</c:v>
                </c:pt>
                <c:pt idx="153">
                  <c:v>1.6637419174044116E-2</c:v>
                </c:pt>
                <c:pt idx="154">
                  <c:v>1.61376601530667E-2</c:v>
                </c:pt>
                <c:pt idx="155">
                  <c:v>1.5650478053182721E-2</c:v>
                </c:pt>
                <c:pt idx="156">
                  <c:v>1.5175669992566221E-2</c:v>
                </c:pt>
                <c:pt idx="157">
                  <c:v>1.4713030567963909E-2</c:v>
                </c:pt>
                <c:pt idx="158">
                  <c:v>1.4262352253349727E-2</c:v>
                </c:pt>
                <c:pt idx="159">
                  <c:v>1.3823425778801282E-2</c:v>
                </c:pt>
                <c:pt idx="160">
                  <c:v>1.3396040490129536E-2</c:v>
                </c:pt>
                <c:pt idx="161">
                  <c:v>1.2979984689798841E-2</c:v>
                </c:pt>
                <c:pt idx="162">
                  <c:v>1.2575045959678788E-2</c:v>
                </c:pt>
                <c:pt idx="163">
                  <c:v>1.2181011466172601E-2</c:v>
                </c:pt>
                <c:pt idx="164">
                  <c:v>1.1797668248267034E-2</c:v>
                </c:pt>
                <c:pt idx="165">
                  <c:v>1.1424803489049444E-2</c:v>
                </c:pt>
                <c:pt idx="166">
                  <c:v>1.1062204771235188E-2</c:v>
                </c:pt>
                <c:pt idx="167">
                  <c:v>1.0709660317246334E-2</c:v>
                </c:pt>
                <c:pt idx="168">
                  <c:v>1.0366959214378312E-2</c:v>
                </c:pt>
                <c:pt idx="169">
                  <c:v>1.0033891625586211E-2</c:v>
                </c:pt>
                <c:pt idx="170">
                  <c:v>9.7102489864168053E-3</c:v>
                </c:pt>
                <c:pt idx="171">
                  <c:v>9.3958241886053437E-3</c:v>
                </c:pt>
                <c:pt idx="172">
                  <c:v>9.0904117508488272E-3</c:v>
                </c:pt>
                <c:pt idx="173">
                  <c:v>8.7938079772592812E-3</c:v>
                </c:pt>
                <c:pt idx="174">
                  <c:v>8.5058111039919785E-3</c:v>
                </c:pt>
                <c:pt idx="175">
                  <c:v>8.2262214345339302E-3</c:v>
                </c:pt>
                <c:pt idx="176">
                  <c:v>7.9548414641286321E-3</c:v>
                </c:pt>
                <c:pt idx="177">
                  <c:v>7.6914759938026978E-3</c:v>
                </c:pt>
                <c:pt idx="178">
                  <c:v>7.4359322344494704E-3</c:v>
                </c:pt>
                <c:pt idx="179">
                  <c:v>7.1880199014143151E-3</c:v>
                </c:pt>
                <c:pt idx="180">
                  <c:v>6.9475513000146864E-3</c:v>
                </c:pt>
                <c:pt idx="181">
                  <c:v>6.7143414024175164E-3</c:v>
                </c:pt>
                <c:pt idx="182">
                  <c:v>6.4882079162847089E-3</c:v>
                </c:pt>
                <c:pt idx="183">
                  <c:v>6.2689713455861351E-3</c:v>
                </c:pt>
                <c:pt idx="184">
                  <c:v>6.0564550439681829E-3</c:v>
                </c:pt>
                <c:pt idx="185">
                  <c:v>5.8504852610541331E-3</c:v>
                </c:pt>
                <c:pt idx="186">
                  <c:v>5.6508911820412622E-3</c:v>
                </c:pt>
                <c:pt idx="187">
                  <c:v>5.4575049609478614E-3</c:v>
                </c:pt>
                <c:pt idx="188">
                  <c:v>5.2701617478520162E-3</c:v>
                </c:pt>
                <c:pt idx="189">
                  <c:v>5.0886997104524724E-3</c:v>
                </c:pt>
                <c:pt idx="190">
                  <c:v>4.9129600502706896E-3</c:v>
                </c:pt>
                <c:pt idx="191">
                  <c:v>4.742787013801879E-3</c:v>
                </c:pt>
                <c:pt idx="192">
                  <c:v>4.5780278989119051E-3</c:v>
                </c:pt>
                <c:pt idx="193">
                  <c:v>4.4185330567658521E-3</c:v>
                </c:pt>
                <c:pt idx="194">
                  <c:v>4.2641558895634693E-3</c:v>
                </c:pt>
                <c:pt idx="195">
                  <c:v>4.1147528443460516E-3</c:v>
                </c:pt>
                <c:pt idx="196">
                  <c:v>3.9701834031289508E-3</c:v>
                </c:pt>
                <c:pt idx="197">
                  <c:v>3.8303100696038244E-3</c:v>
                </c:pt>
                <c:pt idx="198">
                  <c:v>3.6949983526446363E-3</c:v>
                </c:pt>
                <c:pt idx="199">
                  <c:v>3.564116746841857E-3</c:v>
                </c:pt>
                <c:pt idx="200">
                  <c:v>3.4375367102795801E-3</c:v>
                </c:pt>
                <c:pt idx="201">
                  <c:v>3.3151326397612151E-3</c:v>
                </c:pt>
                <c:pt idx="202">
                  <c:v>3.1967818436801831E-3</c:v>
                </c:pt>
                <c:pt idx="203">
                  <c:v>3.0823645127233709E-3</c:v>
                </c:pt>
                <c:pt idx="204">
                  <c:v>2.9717636885863707E-3</c:v>
                </c:pt>
                <c:pt idx="205">
                  <c:v>2.8648652308713566E-3</c:v>
                </c:pt>
                <c:pt idx="206">
                  <c:v>2.7615577823302622E-3</c:v>
                </c:pt>
                <c:pt idx="207">
                  <c:v>2.6617327326080762E-3</c:v>
                </c:pt>
                <c:pt idx="208">
                  <c:v>2.5652841806335465E-3</c:v>
                </c:pt>
                <c:pt idx="209">
                  <c:v>2.4721088957970891E-3</c:v>
                </c:pt>
                <c:pt idx="210">
                  <c:v>2.3821062780487148E-3</c:v>
                </c:pt>
                <c:pt idx="211">
                  <c:v>2.2951783170417853E-3</c:v>
                </c:pt>
                <c:pt idx="212">
                  <c:v>2.2112295504418127E-3</c:v>
                </c:pt>
                <c:pt idx="213">
                  <c:v>2.13016702151311E-3</c:v>
                </c:pt>
                <c:pt idx="214">
                  <c:v>2.0519002360898223E-3</c:v>
                </c:pt>
                <c:pt idx="215">
                  <c:v>1.9763411190320398E-3</c:v>
                </c:pt>
                <c:pt idx="216">
                  <c:v>1.9034039702618313E-3</c:v>
                </c:pt>
                <c:pt idx="217">
                  <c:v>1.8330054204685668E-3</c:v>
                </c:pt>
                <c:pt idx="218">
                  <c:v>1.765064386567556E-3</c:v>
                </c:pt>
                <c:pt idx="219">
                  <c:v>1.6995020269909965E-3</c:v>
                </c:pt>
                <c:pt idx="220">
                  <c:v>1.6362416968852462E-3</c:v>
                </c:pt>
                <c:pt idx="221">
                  <c:v>1.5752089032837508E-3</c:v>
                </c:pt>
                <c:pt idx="222">
                  <c:v>1.5163312603205478E-3</c:v>
                </c:pt>
                <c:pt idx="223">
                  <c:v>1.4595384445448083E-3</c:v>
                </c:pt>
                <c:pt idx="224">
                  <c:v>1.4047621503929077E-3</c:v>
                </c:pt>
                <c:pt idx="225">
                  <c:v>1.3519360458704474E-3</c:v>
                </c:pt>
                <c:pt idx="226">
                  <c:v>1.3009957284929644E-3</c:v>
                </c:pt>
                <c:pt idx="227">
                  <c:v>1.2518786815304316E-3</c:v>
                </c:pt>
                <c:pt idx="228">
                  <c:v>1.2045242305972269E-3</c:v>
                </c:pt>
                <c:pt idx="229">
                  <c:v>1.1588735006259946E-3</c:v>
                </c:pt>
                <c:pt idx="230">
                  <c:v>1.1148693732606777E-3</c:v>
                </c:pt>
                <c:pt idx="231">
                  <c:v>1.072456444701067E-3</c:v>
                </c:pt>
                <c:pt idx="232">
                  <c:v>1.0315809840283814E-3</c:v>
                </c:pt>
                <c:pt idx="233">
                  <c:v>9.9219089203870831E-4</c:v>
                </c:pt>
                <c:pt idx="234">
                  <c:v>9.5423566060861794E-4</c:v>
                </c:pt>
                <c:pt idx="235">
                  <c:v>9.1766633261481496E-4</c:v>
                </c:pt>
                <c:pt idx="236">
                  <c:v>8.8243546242745981E-4</c:v>
                </c:pt>
                <c:pt idx="237">
                  <c:v>8.4849707699458045E-4</c:v>
                </c:pt>
                <c:pt idx="238">
                  <c:v>8.1580663753299219E-4</c:v>
                </c:pt>
                <c:pt idx="239">
                  <c:v>7.8432100183917892E-4</c:v>
                </c:pt>
                <c:pt idx="240">
                  <c:v>7.539983872317963E-4</c:v>
                </c:pt>
                <c:pt idx="241">
                  <c:v>7.2479833413572193E-4</c:v>
                </c:pt>
                <c:pt idx="242">
                  <c:v>6.966816703159669E-4</c:v>
                </c:pt>
                <c:pt idx="243">
                  <c:v>6.696104757682301E-4</c:v>
                </c:pt>
                <c:pt idx="244">
                  <c:v>6.4354804827147945E-4</c:v>
                </c:pt>
                <c:pt idx="245">
                  <c:v>6.1845886960655789E-4</c:v>
                </c:pt>
                <c:pt idx="246">
                  <c:v>5.9430857244359425E-4</c:v>
                </c:pt>
                <c:pt idx="247">
                  <c:v>5.7106390789980711E-4</c:v>
                </c:pt>
                <c:pt idx="248">
                  <c:v>5.4869271376819053E-4</c:v>
                </c:pt>
                <c:pt idx="249">
                  <c:v>5.2716388341654432E-4</c:v>
                </c:pt>
                <c:pt idx="250">
                  <c:v>5.0644733535538239E-4</c:v>
                </c:pt>
                <c:pt idx="251">
                  <c:v>4.8651398347232842E-4</c:v>
                </c:pt>
                <c:pt idx="252">
                  <c:v>4.6733570792980748E-4</c:v>
                </c:pt>
                <c:pt idx="253">
                  <c:v>4.4888532672208905E-4</c:v>
                </c:pt>
                <c:pt idx="254">
                  <c:v>4.3113656788701659E-4</c:v>
                </c:pt>
                <c:pt idx="255">
                  <c:v>4.1406404236711146E-4</c:v>
                </c:pt>
                <c:pt idx="256">
                  <c:v>3.9764321751416568E-4</c:v>
                </c:pt>
                <c:pt idx="257">
                  <c:v>3.8185039123086372E-4</c:v>
                </c:pt>
                <c:pt idx="258">
                  <c:v>3.6666266674250183E-4</c:v>
                </c:pt>
              </c:numCache>
            </c:numRef>
          </c:yVal>
          <c:smooth val="1"/>
          <c:extLst>
            <c:ext xmlns:c16="http://schemas.microsoft.com/office/drawing/2014/chart" uri="{C3380CC4-5D6E-409C-BE32-E72D297353CC}">
              <c16:uniqueId val="{00000002-82A0-46BD-ACDC-0C36174C5835}"/>
            </c:ext>
          </c:extLst>
        </c:ser>
        <c:ser>
          <c:idx val="2"/>
          <c:order val="3"/>
          <c:tx>
            <c:strRef>
              <c:f>Estimation!$EC$5</c:f>
              <c:strCache>
                <c:ptCount val="1"/>
                <c:pt idx="0">
                  <c:v>2.5% mindre end 3.051</c:v>
                </c:pt>
              </c:strCache>
            </c:strRef>
          </c:tx>
          <c:spPr>
            <a:ln w="28575" cap="rnd">
              <a:solidFill>
                <a:schemeClr val="accent3"/>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Estimation!$ED$2</c:f>
              <c:numCache>
                <c:formatCode>General</c:formatCode>
                <c:ptCount val="1"/>
                <c:pt idx="0">
                  <c:v>10</c:v>
                </c:pt>
              </c:numCache>
            </c:numRef>
          </c:xVal>
          <c:yVal>
            <c:numRef>
              <c:f>Estimation!$EE$2</c:f>
              <c:numCache>
                <c:formatCode>General</c:formatCode>
                <c:ptCount val="1"/>
                <c:pt idx="0">
                  <c:v>1.1437019773006292E-2</c:v>
                </c:pt>
              </c:numCache>
            </c:numRef>
          </c:yVal>
          <c:smooth val="0"/>
          <c:extLst>
            <c:ext xmlns:c16="http://schemas.microsoft.com/office/drawing/2014/chart" uri="{C3380CC4-5D6E-409C-BE32-E72D297353CC}">
              <c16:uniqueId val="{00000003-82A0-46BD-ACDC-0C36174C5835}"/>
            </c:ext>
          </c:extLst>
        </c:ser>
        <c:ser>
          <c:idx val="5"/>
          <c:order val="4"/>
          <c:tx>
            <c:strRef>
              <c:f>Estimation!$EC$7</c:f>
              <c:strCache>
                <c:ptCount val="1"/>
                <c:pt idx="0">
                  <c:v>2.5% større end 7.313</c:v>
                </c:pt>
              </c:strCache>
            </c:strRef>
          </c:tx>
          <c:spPr>
            <a:ln w="28575" cap="rnd">
              <a:solidFill>
                <a:schemeClr val="accent6"/>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Estimation!$ED$4</c:f>
              <c:numCache>
                <c:formatCode>General</c:formatCode>
                <c:ptCount val="1"/>
                <c:pt idx="0">
                  <c:v>218</c:v>
                </c:pt>
              </c:numCache>
            </c:numRef>
          </c:xVal>
          <c:yVal>
            <c:numRef>
              <c:f>Estimation!$EE$4</c:f>
              <c:numCache>
                <c:formatCode>General</c:formatCode>
                <c:ptCount val="1"/>
                <c:pt idx="0">
                  <c:v>1.8330054204685668E-3</c:v>
                </c:pt>
              </c:numCache>
            </c:numRef>
          </c:yVal>
          <c:smooth val="0"/>
          <c:extLst>
            <c:ext xmlns:c16="http://schemas.microsoft.com/office/drawing/2014/chart" uri="{C3380CC4-5D6E-409C-BE32-E72D297353CC}">
              <c16:uniqueId val="{00000004-82A0-46BD-ACDC-0C36174C5835}"/>
            </c:ext>
          </c:extLst>
        </c:ser>
        <c:ser>
          <c:idx val="4"/>
          <c:order val="5"/>
          <c:tx>
            <c:strRef>
              <c:f>Estimation!$EC$6</c:f>
              <c:strCache>
                <c:ptCount val="1"/>
                <c:pt idx="0">
                  <c:v>95% mellem 3.051 og 7.313</c:v>
                </c:pt>
              </c:strCache>
            </c:strRef>
          </c:tx>
          <c:spPr>
            <a:ln w="28575" cap="rnd">
              <a:solidFill>
                <a:schemeClr val="accent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Estimation!$ED$3</c:f>
              <c:numCache>
                <c:formatCode>General</c:formatCode>
                <c:ptCount val="1"/>
                <c:pt idx="0">
                  <c:v>76</c:v>
                </c:pt>
              </c:numCache>
            </c:numRef>
          </c:xVal>
          <c:yVal>
            <c:numRef>
              <c:f>Estimation!$EE$3</c:f>
              <c:numCache>
                <c:formatCode>General</c:formatCode>
                <c:ptCount val="1"/>
                <c:pt idx="0">
                  <c:v>8.7925041836716789E-2</c:v>
                </c:pt>
              </c:numCache>
            </c:numRef>
          </c:yVal>
          <c:smooth val="0"/>
          <c:extLst>
            <c:ext xmlns:c16="http://schemas.microsoft.com/office/drawing/2014/chart" uri="{C3380CC4-5D6E-409C-BE32-E72D297353CC}">
              <c16:uniqueId val="{00000005-82A0-46BD-ACDC-0C36174C5835}"/>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Estimation!$BG$11</c:f>
              <c:strCache>
                <c:ptCount val="1"/>
                <c:pt idx="0">
                  <c:v>Populationsestimat for standardafvigelse fra stikprøver af størrelsen n = 12
baseret på en stikprøve med standardafvigelse = 4.307</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none"/>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r"/>
      <c:legendEntry>
        <c:idx val="3"/>
        <c:delete val="1"/>
      </c:legendEntry>
      <c:legendEntry>
        <c:idx val="4"/>
        <c:delete val="1"/>
      </c:legendEntry>
      <c:legendEntry>
        <c:idx val="5"/>
        <c:delete val="1"/>
      </c:legendEntry>
      <c:layout>
        <c:manualLayout>
          <c:xMode val="edge"/>
          <c:yMode val="edge"/>
          <c:x val="0.91100022380923318"/>
          <c:y val="0.14837063319787316"/>
          <c:w val="8.8999776190766849E-2"/>
          <c:h val="0.239290151283037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Estimation!$BH$10</c:f>
          <c:strCache>
            <c:ptCount val="1"/>
            <c:pt idx="0">
              <c:v>95% Konfidensinterval for andel
af Eksempel 4 (nominal)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Estimation!$ES$9</c:f>
              <c:strCache>
                <c:ptCount val="1"/>
                <c:pt idx="0">
                  <c:v>Alternativ hypotese</c:v>
                </c:pt>
              </c:strCache>
            </c:strRef>
          </c:tx>
          <c:spPr>
            <a:solidFill>
              <a:schemeClr val="accent1"/>
            </a:solidFill>
            <a:ln w="25400">
              <a:noFill/>
            </a:ln>
            <a:effectLst/>
          </c:spPr>
          <c:cat>
            <c:strRef>
              <c:f>Estimation!$EU$10:$EU$268</c:f>
              <c:strCache>
                <c:ptCount val="212"/>
                <c:pt idx="47">
                  <c:v>20.06%</c:v>
                </c:pt>
                <c:pt idx="129">
                  <c:v>41.667%</c:v>
                </c:pt>
                <c:pt idx="211">
                  <c:v>63.273%</c:v>
                </c:pt>
              </c:strCache>
            </c:strRef>
          </c:cat>
          <c:val>
            <c:numRef>
              <c:f>Estimation!$ES$10:$ES$268</c:f>
              <c:numCache>
                <c:formatCode>General</c:formatCode>
                <c:ptCount val="259"/>
                <c:pt idx="0">
                  <c:v>3.3670900770639959E-3</c:v>
                </c:pt>
                <c:pt idx="1">
                  <c:v>3.6247646909920227E-3</c:v>
                </c:pt>
                <c:pt idx="2">
                  <c:v>3.8999198362770038E-3</c:v>
                </c:pt>
                <c:pt idx="3">
                  <c:v>4.1935547655993473E-3</c:v>
                </c:pt>
                <c:pt idx="4">
                  <c:v>4.5067112740675413E-3</c:v>
                </c:pt>
                <c:pt idx="5">
                  <c:v>4.8404744224978778E-3</c:v>
                </c:pt>
                <c:pt idx="6">
                  <c:v>5.1959731862444456E-3</c:v>
                </c:pt>
                <c:pt idx="7">
                  <c:v>5.5743810217063422E-3</c:v>
                </c:pt>
                <c:pt idx="8">
                  <c:v>5.9769163423966454E-3</c:v>
                </c:pt>
                <c:pt idx="9">
                  <c:v>6.4048428962354522E-3</c:v>
                </c:pt>
                <c:pt idx="10">
                  <c:v>6.859470035530551E-3</c:v>
                </c:pt>
                <c:pt idx="11">
                  <c:v>7.3421528709367023E-3</c:v>
                </c:pt>
                <c:pt idx="12">
                  <c:v>7.8542923005407734E-3</c:v>
                </c:pt>
                <c:pt idx="13">
                  <c:v>8.3973349051078925E-3</c:v>
                </c:pt>
                <c:pt idx="14">
                  <c:v>8.9727727004466455E-3</c:v>
                </c:pt>
                <c:pt idx="15">
                  <c:v>9.582142737811215E-3</c:v>
                </c:pt>
                <c:pt idx="16">
                  <c:v>1.0227026543258957E-2</c:v>
                </c:pt>
                <c:pt idx="17">
                  <c:v>1.0909049386925537E-2</c:v>
                </c:pt>
                <c:pt idx="18">
                  <c:v>1.1629879373268774E-2</c:v>
                </c:pt>
                <c:pt idx="19">
                  <c:v>1.2391226343470816E-2</c:v>
                </c:pt>
                <c:pt idx="20">
                  <c:v>1.319484058137666E-2</c:v>
                </c:pt>
                <c:pt idx="21">
                  <c:v>1.4042511314589688E-2</c:v>
                </c:pt>
                <c:pt idx="22">
                  <c:v>1.4936065002642981E-2</c:v>
                </c:pt>
                <c:pt idx="23">
                  <c:v>1.5877363404520849E-2</c:v>
                </c:pt>
                <c:pt idx="24">
                  <c:v>1.6868301418220717E-2</c:v>
                </c:pt>
                <c:pt idx="25">
                  <c:v>1.7910804685522155E-2</c:v>
                </c:pt>
                <c:pt idx="26">
                  <c:v>1.9006826955669413E-2</c:v>
                </c:pt>
                <c:pt idx="27">
                  <c:v>2.0158347202276675E-2</c:v>
                </c:pt>
                <c:pt idx="28">
                  <c:v>2.1367366488433549E-2</c:v>
                </c:pt>
                <c:pt idx="29">
                  <c:v>2.2635904575720501E-2</c:v>
                </c:pt>
                <c:pt idx="30">
                  <c:v>2.3965996273642005E-2</c:v>
                </c:pt>
                <c:pt idx="31">
                  <c:v>2.5359687526847842E-2</c:v>
                </c:pt>
                <c:pt idx="32">
                  <c:v>2.681903123843965E-2</c:v>
                </c:pt>
                <c:pt idx="33">
                  <c:v>2.8346082828649768E-2</c:v>
                </c:pt>
                <c:pt idx="34">
                  <c:v>2.9942895529230493E-2</c:v>
                </c:pt>
                <c:pt idx="35">
                  <c:v>3.161151541500333E-2</c:v>
                </c:pt>
                <c:pt idx="36">
                  <c:v>3.3353976175184367E-2</c:v>
                </c:pt>
                <c:pt idx="37">
                  <c:v>3.5172293628326232E-2</c:v>
                </c:pt>
                <c:pt idx="38">
                  <c:v>3.706845998598688E-2</c:v>
                </c:pt>
                <c:pt idx="39">
                  <c:v>3.9044437871557765E-2</c:v>
                </c:pt>
                <c:pt idx="40">
                  <c:v>4.1102154102044132E-2</c:v>
                </c:pt>
                <c:pt idx="41">
                  <c:v>4.3243493241990262E-2</c:v>
                </c:pt>
                <c:pt idx="42">
                  <c:v>4.5470290940174081E-2</c:v>
                </c:pt>
                <c:pt idx="43">
                  <c:v>4.7784327061153015E-2</c:v>
                </c:pt>
                <c:pt idx="44">
                  <c:v>5.0187318625221689E-2</c:v>
                </c:pt>
                <c:pt idx="45">
                  <c:v>5.2680912571830774E-2</c:v>
                </c:pt>
                <c:pt idx="46">
                  <c:v>5.5266678363017151E-2</c:v>
                </c:pt>
                <c:pt idx="47">
                  <c:v>5.7946100444885101E-2</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5.7946100444885101E-2</c:v>
                </c:pt>
                <c:pt idx="212">
                  <c:v>5.5266678363017178E-2</c:v>
                </c:pt>
                <c:pt idx="213">
                  <c:v>5.2680912571830774E-2</c:v>
                </c:pt>
                <c:pt idx="214">
                  <c:v>5.0187318625221689E-2</c:v>
                </c:pt>
                <c:pt idx="215">
                  <c:v>4.7784327061153015E-2</c:v>
                </c:pt>
                <c:pt idx="216">
                  <c:v>4.5470290940174081E-2</c:v>
                </c:pt>
                <c:pt idx="217">
                  <c:v>4.3243493241990325E-2</c:v>
                </c:pt>
                <c:pt idx="218">
                  <c:v>4.1102154102044132E-2</c:v>
                </c:pt>
                <c:pt idx="219">
                  <c:v>3.9044437871557792E-2</c:v>
                </c:pt>
                <c:pt idx="220">
                  <c:v>3.706845998598688E-2</c:v>
                </c:pt>
                <c:pt idx="221">
                  <c:v>3.5172293628326259E-2</c:v>
                </c:pt>
                <c:pt idx="222">
                  <c:v>3.3353976175184367E-2</c:v>
                </c:pt>
                <c:pt idx="223">
                  <c:v>3.161151541500333E-2</c:v>
                </c:pt>
                <c:pt idx="224">
                  <c:v>2.9942895529230493E-2</c:v>
                </c:pt>
                <c:pt idx="225">
                  <c:v>2.8346082828649768E-2</c:v>
                </c:pt>
                <c:pt idx="226">
                  <c:v>2.6819031238439629E-2</c:v>
                </c:pt>
                <c:pt idx="227">
                  <c:v>2.5359687526847842E-2</c:v>
                </c:pt>
                <c:pt idx="228">
                  <c:v>2.3965996273642022E-2</c:v>
                </c:pt>
                <c:pt idx="229">
                  <c:v>2.2635904575720501E-2</c:v>
                </c:pt>
                <c:pt idx="230">
                  <c:v>2.136736648843357E-2</c:v>
                </c:pt>
                <c:pt idx="231">
                  <c:v>2.0158347202276675E-2</c:v>
                </c:pt>
                <c:pt idx="232">
                  <c:v>1.9006826955669437E-2</c:v>
                </c:pt>
                <c:pt idx="233">
                  <c:v>1.7910804685522155E-2</c:v>
                </c:pt>
                <c:pt idx="234">
                  <c:v>1.6868301418220717E-2</c:v>
                </c:pt>
                <c:pt idx="235">
                  <c:v>1.5877363404520835E-2</c:v>
                </c:pt>
                <c:pt idx="236">
                  <c:v>1.4936065002642981E-2</c:v>
                </c:pt>
                <c:pt idx="237">
                  <c:v>1.4042511314589706E-2</c:v>
                </c:pt>
                <c:pt idx="238">
                  <c:v>1.319484058137666E-2</c:v>
                </c:pt>
                <c:pt idx="239">
                  <c:v>1.2391226343470832E-2</c:v>
                </c:pt>
                <c:pt idx="240">
                  <c:v>1.1629879373268774E-2</c:v>
                </c:pt>
                <c:pt idx="241">
                  <c:v>1.0909049386925553E-2</c:v>
                </c:pt>
                <c:pt idx="242">
                  <c:v>1.0227026543258957E-2</c:v>
                </c:pt>
                <c:pt idx="243">
                  <c:v>9.582142737811215E-3</c:v>
                </c:pt>
                <c:pt idx="244">
                  <c:v>8.9727727004466386E-3</c:v>
                </c:pt>
                <c:pt idx="245">
                  <c:v>8.3973349051078925E-3</c:v>
                </c:pt>
                <c:pt idx="246">
                  <c:v>7.8542923005407612E-3</c:v>
                </c:pt>
                <c:pt idx="247">
                  <c:v>7.3421528709367023E-3</c:v>
                </c:pt>
                <c:pt idx="248">
                  <c:v>6.8594700355305563E-3</c:v>
                </c:pt>
                <c:pt idx="249">
                  <c:v>6.4048428962354522E-3</c:v>
                </c:pt>
                <c:pt idx="250">
                  <c:v>5.9769163423966497E-3</c:v>
                </c:pt>
                <c:pt idx="251">
                  <c:v>5.5743810217063422E-3</c:v>
                </c:pt>
                <c:pt idx="252">
                  <c:v>5.1959731862444561E-3</c:v>
                </c:pt>
                <c:pt idx="253">
                  <c:v>4.8404744224978778E-3</c:v>
                </c:pt>
                <c:pt idx="254">
                  <c:v>4.5067112740675413E-3</c:v>
                </c:pt>
                <c:pt idx="255">
                  <c:v>4.1935547655993438E-3</c:v>
                </c:pt>
                <c:pt idx="256">
                  <c:v>3.8999198362770038E-3</c:v>
                </c:pt>
                <c:pt idx="257">
                  <c:v>3.6247646909920261E-3</c:v>
                </c:pt>
                <c:pt idx="258">
                  <c:v>3.3670900770639959E-3</c:v>
                </c:pt>
              </c:numCache>
            </c:numRef>
          </c:val>
          <c:extLst>
            <c:ext xmlns:c16="http://schemas.microsoft.com/office/drawing/2014/chart" uri="{C3380CC4-5D6E-409C-BE32-E72D297353CC}">
              <c16:uniqueId val="{00000000-EAB3-4400-A5F5-EE2430B7A450}"/>
            </c:ext>
          </c:extLst>
        </c:ser>
        <c:ser>
          <c:idx val="1"/>
          <c:order val="1"/>
          <c:tx>
            <c:strRef>
              <c:f>Estimation!$ET$9</c:f>
              <c:strCache>
                <c:ptCount val="1"/>
                <c:pt idx="0">
                  <c:v>Nulhypotese</c:v>
                </c:pt>
              </c:strCache>
            </c:strRef>
          </c:tx>
          <c:spPr>
            <a:solidFill>
              <a:schemeClr val="accent2"/>
            </a:solidFill>
            <a:ln w="25400">
              <a:noFill/>
            </a:ln>
            <a:effectLst/>
          </c:spPr>
          <c:cat>
            <c:strRef>
              <c:f>Estimation!$EU$10:$EU$268</c:f>
              <c:strCache>
                <c:ptCount val="212"/>
                <c:pt idx="47">
                  <c:v>20.06%</c:v>
                </c:pt>
                <c:pt idx="129">
                  <c:v>41.667%</c:v>
                </c:pt>
                <c:pt idx="211">
                  <c:v>63.273%</c:v>
                </c:pt>
              </c:strCache>
            </c:strRef>
          </c:cat>
          <c:val>
            <c:numRef>
              <c:f>Estimation!$ET$10:$ET$268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6.0720570586669888E-2</c:v>
                </c:pt>
                <c:pt idx="49">
                  <c:v>6.3591380118377214E-2</c:v>
                </c:pt>
                <c:pt idx="50">
                  <c:v>6.6559712089436965E-2</c:v>
                </c:pt>
                <c:pt idx="51">
                  <c:v>6.962663337221206E-2</c:v>
                </c:pt>
                <c:pt idx="52">
                  <c:v>7.279308673556574E-2</c:v>
                </c:pt>
                <c:pt idx="53">
                  <c:v>7.6059882914996185E-2</c:v>
                </c:pt>
                <c:pt idx="54">
                  <c:v>7.9427692707090408E-2</c:v>
                </c:pt>
                <c:pt idx="55">
                  <c:v>8.2897039117220475E-2</c:v>
                </c:pt>
                <c:pt idx="56">
                  <c:v>8.6468289590491687E-2</c:v>
                </c:pt>
                <c:pt idx="57">
                  <c:v>9.014164835694867E-2</c:v>
                </c:pt>
                <c:pt idx="58">
                  <c:v>9.3917148922940161E-2</c:v>
                </c:pt>
                <c:pt idx="59">
                  <c:v>9.7794646741325916E-2</c:v>
                </c:pt>
                <c:pt idx="60">
                  <c:v>0.10177381209387595</c:v>
                </c:pt>
                <c:pt idx="61">
                  <c:v>0.10585412321974697</c:v>
                </c:pt>
                <c:pt idx="62">
                  <c:v>0.11003485972432274</c:v>
                </c:pt>
                <c:pt idx="63">
                  <c:v>0.11431509630296084</c:v>
                </c:pt>
                <c:pt idx="64">
                  <c:v>0.11869369681429402</c:v>
                </c:pt>
                <c:pt idx="65">
                  <c:v>0.12316930873768142</c:v>
                </c:pt>
                <c:pt idx="66">
                  <c:v>0.12774035804918907</c:v>
                </c:pt>
                <c:pt idx="67">
                  <c:v>0.13240504455009261</c:v>
                </c:pt>
                <c:pt idx="68">
                  <c:v>0.13716133768133662</c:v>
                </c:pt>
                <c:pt idx="69">
                  <c:v>0.14200697285664771</c:v>
                </c:pt>
                <c:pt idx="70">
                  <c:v>0.14693944834608266</c:v>
                </c:pt>
                <c:pt idx="71">
                  <c:v>0.15195602274069356</c:v>
                </c:pt>
                <c:pt idx="72">
                  <c:v>0.1570537130277106</c:v>
                </c:pt>
                <c:pt idx="73">
                  <c:v>0.16222929330418059</c:v>
                </c:pt>
                <c:pt idx="74">
                  <c:v>0.16747929415535215</c:v>
                </c:pt>
                <c:pt idx="75">
                  <c:v>0.17280000272227752</c:v>
                </c:pt>
                <c:pt idx="76">
                  <c:v>0.17818746348109932</c:v>
                </c:pt>
                <c:pt idx="77">
                  <c:v>0.18363747975432293</c:v>
                </c:pt>
                <c:pt idx="78">
                  <c:v>0.18914561597203963</c:v>
                </c:pt>
                <c:pt idx="79">
                  <c:v>0.19470720069857361</c:v>
                </c:pt>
                <c:pt idx="80">
                  <c:v>0.20031733043738451</c:v>
                </c:pt>
                <c:pt idx="81">
                  <c:v>0.2059708742242739</c:v>
                </c:pt>
                <c:pt idx="82">
                  <c:v>0.21166247901603158</c:v>
                </c:pt>
                <c:pt idx="83">
                  <c:v>0.21738657587862623</c:v>
                </c:pt>
                <c:pt idx="84">
                  <c:v>0.22313738697590677</c:v>
                </c:pt>
                <c:pt idx="85">
                  <c:v>0.22890893335654983</c:v>
                </c:pt>
                <c:pt idx="86">
                  <c:v>0.23469504353367848</c:v>
                </c:pt>
                <c:pt idx="87">
                  <c:v>0.24048936284820582</c:v>
                </c:pt>
                <c:pt idx="88">
                  <c:v>0.24628536360353334</c:v>
                </c:pt>
                <c:pt idx="89">
                  <c:v>0.25207635595578487</c:v>
                </c:pt>
                <c:pt idx="90">
                  <c:v>0.25785549954028941</c:v>
                </c:pt>
                <c:pt idx="91">
                  <c:v>0.26361581581156529</c:v>
                </c:pt>
                <c:pt idx="92">
                  <c:v>0.26935020107061902</c:v>
                </c:pt>
                <c:pt idx="93">
                  <c:v>0.27505144014997257</c:v>
                </c:pt>
                <c:pt idx="94">
                  <c:v>0.28071222072349411</c:v>
                </c:pt>
                <c:pt idx="95">
                  <c:v>0.28632514820484678</c:v>
                </c:pt>
                <c:pt idx="96">
                  <c:v>0.29188276119520318</c:v>
                </c:pt>
                <c:pt idx="97">
                  <c:v>0.29737754743782796</c:v>
                </c:pt>
                <c:pt idx="98">
                  <c:v>0.30280196023421319</c:v>
                </c:pt>
                <c:pt idx="99">
                  <c:v>0.30814843527368829</c:v>
                </c:pt>
                <c:pt idx="100">
                  <c:v>0.31340940782583288</c:v>
                </c:pt>
                <c:pt idx="101">
                  <c:v>0.31857733024261109</c:v>
                </c:pt>
                <c:pt idx="102">
                  <c:v>0.32364468971493993</c:v>
                </c:pt>
                <c:pt idx="103">
                  <c:v>0.3286040262264141</c:v>
                </c:pt>
                <c:pt idx="104">
                  <c:v>0.3334479506451507</c:v>
                </c:pt>
                <c:pt idx="105">
                  <c:v>0.33816916289320309</c:v>
                </c:pt>
                <c:pt idx="106">
                  <c:v>0.34276047013173222</c:v>
                </c:pt>
                <c:pt idx="107">
                  <c:v>0.34721480489913414</c:v>
                </c:pt>
                <c:pt idx="108">
                  <c:v>0.35152524313860362</c:v>
                </c:pt>
                <c:pt idx="109">
                  <c:v>0.35568502205117924</c:v>
                </c:pt>
                <c:pt idx="110">
                  <c:v>0.35968755771017369</c:v>
                </c:pt>
                <c:pt idx="111">
                  <c:v>0.36352646237304004</c:v>
                </c:pt>
                <c:pt idx="112">
                  <c:v>0.36719556142717458</c:v>
                </c:pt>
                <c:pt idx="113">
                  <c:v>0.37068890990689796</c:v>
                </c:pt>
                <c:pt idx="114">
                  <c:v>0.37400080851990369</c:v>
                </c:pt>
                <c:pt idx="115">
                  <c:v>0.37712581912279941</c:v>
                </c:pt>
                <c:pt idx="116">
                  <c:v>0.38005877958699552</c:v>
                </c:pt>
                <c:pt idx="117">
                  <c:v>0.38279481799811688</c:v>
                </c:pt>
                <c:pt idx="118">
                  <c:v>0.38532936613430413</c:v>
                </c:pt>
                <c:pt idx="119">
                  <c:v>0.38765817217124104</c:v>
                </c:pt>
                <c:pt idx="120">
                  <c:v>0.38977731256446624</c:v>
                </c:pt>
                <c:pt idx="121">
                  <c:v>0.39168320306250204</c:v>
                </c:pt>
                <c:pt idx="122">
                  <c:v>0.39337260880753866</c:v>
                </c:pt>
                <c:pt idx="123">
                  <c:v>0.39484265348383518</c:v>
                </c:pt>
                <c:pt idx="124">
                  <c:v>0.39609082747762636</c:v>
                </c:pt>
                <c:pt idx="125">
                  <c:v>0.39711499501613434</c:v>
                </c:pt>
                <c:pt idx="126">
                  <c:v>0.39791340025725958</c:v>
                </c:pt>
                <c:pt idx="127">
                  <c:v>0.39848467230564738</c:v>
                </c:pt>
                <c:pt idx="128">
                  <c:v>0.39882782913507253</c:v>
                </c:pt>
                <c:pt idx="129">
                  <c:v>0.3989422804014327</c:v>
                </c:pt>
                <c:pt idx="130">
                  <c:v>0.39882782913507253</c:v>
                </c:pt>
                <c:pt idx="131">
                  <c:v>0.39848467230564738</c:v>
                </c:pt>
                <c:pt idx="132">
                  <c:v>0.39791340025725958</c:v>
                </c:pt>
                <c:pt idx="133">
                  <c:v>0.39711499501613434</c:v>
                </c:pt>
                <c:pt idx="134">
                  <c:v>0.39609082747762636</c:v>
                </c:pt>
                <c:pt idx="135">
                  <c:v>0.39484265348383518</c:v>
                </c:pt>
                <c:pt idx="136">
                  <c:v>0.39337260880753866</c:v>
                </c:pt>
                <c:pt idx="137">
                  <c:v>0.39168320306250204</c:v>
                </c:pt>
                <c:pt idx="138">
                  <c:v>0.38977731256446624</c:v>
                </c:pt>
                <c:pt idx="139">
                  <c:v>0.38765817217124104</c:v>
                </c:pt>
                <c:pt idx="140">
                  <c:v>0.38532936613430413</c:v>
                </c:pt>
                <c:pt idx="141">
                  <c:v>0.38279481799811688</c:v>
                </c:pt>
                <c:pt idx="142">
                  <c:v>0.38005877958699552</c:v>
                </c:pt>
                <c:pt idx="143">
                  <c:v>0.37712581912279947</c:v>
                </c:pt>
                <c:pt idx="144">
                  <c:v>0.37400080851990375</c:v>
                </c:pt>
                <c:pt idx="145">
                  <c:v>0.37068890990689796</c:v>
                </c:pt>
                <c:pt idx="146">
                  <c:v>0.36719556142717458</c:v>
                </c:pt>
                <c:pt idx="147">
                  <c:v>0.36352646237304004</c:v>
                </c:pt>
                <c:pt idx="148">
                  <c:v>0.35968755771017369</c:v>
                </c:pt>
                <c:pt idx="149">
                  <c:v>0.35568502205117924</c:v>
                </c:pt>
                <c:pt idx="150">
                  <c:v>0.35152524313860362</c:v>
                </c:pt>
                <c:pt idx="151">
                  <c:v>0.34721480489913414</c:v>
                </c:pt>
                <c:pt idx="152">
                  <c:v>0.34276047013173222</c:v>
                </c:pt>
                <c:pt idx="153">
                  <c:v>0.3381691628932032</c:v>
                </c:pt>
                <c:pt idx="154">
                  <c:v>0.33344795064515081</c:v>
                </c:pt>
                <c:pt idx="155">
                  <c:v>0.3286040262264141</c:v>
                </c:pt>
                <c:pt idx="156">
                  <c:v>0.32364468971493993</c:v>
                </c:pt>
                <c:pt idx="157">
                  <c:v>0.31857733024261109</c:v>
                </c:pt>
                <c:pt idx="158">
                  <c:v>0.31340940782583288</c:v>
                </c:pt>
                <c:pt idx="159">
                  <c:v>0.30814843527368829</c:v>
                </c:pt>
                <c:pt idx="160">
                  <c:v>0.30280196023421319</c:v>
                </c:pt>
                <c:pt idx="161">
                  <c:v>0.29737754743782796</c:v>
                </c:pt>
                <c:pt idx="162">
                  <c:v>0.29188276119520318</c:v>
                </c:pt>
                <c:pt idx="163">
                  <c:v>0.28632514820484689</c:v>
                </c:pt>
                <c:pt idx="164">
                  <c:v>0.28071222072349422</c:v>
                </c:pt>
                <c:pt idx="165">
                  <c:v>0.27505144014997257</c:v>
                </c:pt>
                <c:pt idx="166">
                  <c:v>0.26935020107061902</c:v>
                </c:pt>
                <c:pt idx="167">
                  <c:v>0.26361581581156529</c:v>
                </c:pt>
                <c:pt idx="168">
                  <c:v>0.25785549954028952</c:v>
                </c:pt>
                <c:pt idx="169">
                  <c:v>0.25207635595578487</c:v>
                </c:pt>
                <c:pt idx="170">
                  <c:v>0.24628536360353348</c:v>
                </c:pt>
                <c:pt idx="171">
                  <c:v>0.24048936284820582</c:v>
                </c:pt>
                <c:pt idx="172">
                  <c:v>0.23469504353367862</c:v>
                </c:pt>
                <c:pt idx="173">
                  <c:v>0.22890893335654983</c:v>
                </c:pt>
                <c:pt idx="174">
                  <c:v>0.2231373869759069</c:v>
                </c:pt>
                <c:pt idx="175">
                  <c:v>0.2173865758786262</c:v>
                </c:pt>
                <c:pt idx="176">
                  <c:v>0.21166247901603161</c:v>
                </c:pt>
                <c:pt idx="177">
                  <c:v>0.20597087422427382</c:v>
                </c:pt>
                <c:pt idx="178">
                  <c:v>0.20031733043738451</c:v>
                </c:pt>
                <c:pt idx="179">
                  <c:v>0.1947072006985737</c:v>
                </c:pt>
                <c:pt idx="180">
                  <c:v>0.18914561597203963</c:v>
                </c:pt>
                <c:pt idx="181">
                  <c:v>0.18363747975432304</c:v>
                </c:pt>
                <c:pt idx="182">
                  <c:v>0.17818746348109929</c:v>
                </c:pt>
                <c:pt idx="183">
                  <c:v>0.17280000272227755</c:v>
                </c:pt>
                <c:pt idx="184">
                  <c:v>0.16747929415535212</c:v>
                </c:pt>
                <c:pt idx="185">
                  <c:v>0.16222929330418065</c:v>
                </c:pt>
                <c:pt idx="186">
                  <c:v>0.1570537130277106</c:v>
                </c:pt>
                <c:pt idx="187">
                  <c:v>0.15195602274069356</c:v>
                </c:pt>
                <c:pt idx="188">
                  <c:v>0.14693944834608277</c:v>
                </c:pt>
                <c:pt idx="189">
                  <c:v>0.14200697285664771</c:v>
                </c:pt>
                <c:pt idx="190">
                  <c:v>0.1371613376813367</c:v>
                </c:pt>
                <c:pt idx="191">
                  <c:v>0.13240504455009261</c:v>
                </c:pt>
                <c:pt idx="192">
                  <c:v>0.12774035804918912</c:v>
                </c:pt>
                <c:pt idx="193">
                  <c:v>0.12316930873768138</c:v>
                </c:pt>
                <c:pt idx="194">
                  <c:v>0.11869369681429406</c:v>
                </c:pt>
                <c:pt idx="195">
                  <c:v>0.11431509630296083</c:v>
                </c:pt>
                <c:pt idx="196">
                  <c:v>0.11003485972432277</c:v>
                </c:pt>
                <c:pt idx="197">
                  <c:v>0.10585412321974706</c:v>
                </c:pt>
                <c:pt idx="198">
                  <c:v>0.10177381209387595</c:v>
                </c:pt>
                <c:pt idx="199">
                  <c:v>9.7794646741326E-2</c:v>
                </c:pt>
                <c:pt idx="200">
                  <c:v>9.3917148922940161E-2</c:v>
                </c:pt>
                <c:pt idx="201">
                  <c:v>9.0141648356948725E-2</c:v>
                </c:pt>
                <c:pt idx="202">
                  <c:v>8.6468289590491632E-2</c:v>
                </c:pt>
                <c:pt idx="203">
                  <c:v>8.2897039117220503E-2</c:v>
                </c:pt>
                <c:pt idx="204">
                  <c:v>7.942769270709038E-2</c:v>
                </c:pt>
                <c:pt idx="205">
                  <c:v>7.6059882914996213E-2</c:v>
                </c:pt>
                <c:pt idx="206">
                  <c:v>7.2793086735565712E-2</c:v>
                </c:pt>
                <c:pt idx="207">
                  <c:v>6.962663337221206E-2</c:v>
                </c:pt>
                <c:pt idx="208">
                  <c:v>6.655971208943702E-2</c:v>
                </c:pt>
                <c:pt idx="209">
                  <c:v>6.3591380118377214E-2</c:v>
                </c:pt>
                <c:pt idx="210">
                  <c:v>6.0720570586669929E-2</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1-EAB3-4400-A5F5-EE2430B7A450}"/>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Estimation!$EN$4</c:f>
              <c:strCache>
                <c:ptCount val="1"/>
              </c:strCache>
            </c:strRef>
          </c:tx>
          <c:spPr>
            <a:ln w="28575" cap="rnd">
              <a:solidFill>
                <a:schemeClr val="bg1"/>
              </a:solidFill>
              <a:round/>
            </a:ln>
            <a:effectLst/>
          </c:spPr>
          <c:marker>
            <c:symbol val="none"/>
          </c:marker>
          <c:xVal>
            <c:numRef>
              <c:f>Estimation!$EH$10:$EH$268</c:f>
              <c:numCache>
                <c:formatCode>General</c:formatCode>
                <c:ptCount val="25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numCache>
            </c:numRef>
          </c:xVal>
          <c:yVal>
            <c:numRef>
              <c:f>Estimation!$ER$10:$ER$268</c:f>
              <c:numCache>
                <c:formatCode>General</c:formatCode>
                <c:ptCount val="259"/>
                <c:pt idx="0">
                  <c:v>3.3670900770639959E-3</c:v>
                </c:pt>
                <c:pt idx="1">
                  <c:v>3.6247646909920227E-3</c:v>
                </c:pt>
                <c:pt idx="2">
                  <c:v>3.8999198362770038E-3</c:v>
                </c:pt>
                <c:pt idx="3">
                  <c:v>4.1935547655993473E-3</c:v>
                </c:pt>
                <c:pt idx="4">
                  <c:v>4.5067112740675413E-3</c:v>
                </c:pt>
                <c:pt idx="5">
                  <c:v>4.8404744224978778E-3</c:v>
                </c:pt>
                <c:pt idx="6">
                  <c:v>5.1959731862444456E-3</c:v>
                </c:pt>
                <c:pt idx="7">
                  <c:v>5.5743810217063422E-3</c:v>
                </c:pt>
                <c:pt idx="8">
                  <c:v>5.9769163423966454E-3</c:v>
                </c:pt>
                <c:pt idx="9">
                  <c:v>6.4048428962354522E-3</c:v>
                </c:pt>
                <c:pt idx="10">
                  <c:v>6.859470035530551E-3</c:v>
                </c:pt>
                <c:pt idx="11">
                  <c:v>7.3421528709367023E-3</c:v>
                </c:pt>
                <c:pt idx="12">
                  <c:v>7.8542923005407734E-3</c:v>
                </c:pt>
                <c:pt idx="13">
                  <c:v>8.3973349051078925E-3</c:v>
                </c:pt>
                <c:pt idx="14">
                  <c:v>8.9727727004466455E-3</c:v>
                </c:pt>
                <c:pt idx="15">
                  <c:v>9.582142737811215E-3</c:v>
                </c:pt>
                <c:pt idx="16">
                  <c:v>1.0227026543258957E-2</c:v>
                </c:pt>
                <c:pt idx="17">
                  <c:v>1.0909049386925537E-2</c:v>
                </c:pt>
                <c:pt idx="18">
                  <c:v>1.1629879373268774E-2</c:v>
                </c:pt>
                <c:pt idx="19">
                  <c:v>1.2391226343470816E-2</c:v>
                </c:pt>
                <c:pt idx="20">
                  <c:v>1.319484058137666E-2</c:v>
                </c:pt>
                <c:pt idx="21">
                  <c:v>1.4042511314589688E-2</c:v>
                </c:pt>
                <c:pt idx="22">
                  <c:v>1.4936065002642981E-2</c:v>
                </c:pt>
                <c:pt idx="23">
                  <c:v>1.5877363404520849E-2</c:v>
                </c:pt>
                <c:pt idx="24">
                  <c:v>1.6868301418220717E-2</c:v>
                </c:pt>
                <c:pt idx="25">
                  <c:v>1.7910804685522155E-2</c:v>
                </c:pt>
                <c:pt idx="26">
                  <c:v>1.9006826955669413E-2</c:v>
                </c:pt>
                <c:pt idx="27">
                  <c:v>2.0158347202276675E-2</c:v>
                </c:pt>
                <c:pt idx="28">
                  <c:v>2.1367366488433549E-2</c:v>
                </c:pt>
                <c:pt idx="29">
                  <c:v>2.2635904575720501E-2</c:v>
                </c:pt>
                <c:pt idx="30">
                  <c:v>2.3965996273642005E-2</c:v>
                </c:pt>
                <c:pt idx="31">
                  <c:v>2.5359687526847842E-2</c:v>
                </c:pt>
                <c:pt idx="32">
                  <c:v>2.681903123843965E-2</c:v>
                </c:pt>
                <c:pt idx="33">
                  <c:v>2.8346082828649768E-2</c:v>
                </c:pt>
                <c:pt idx="34">
                  <c:v>2.9942895529230493E-2</c:v>
                </c:pt>
                <c:pt idx="35">
                  <c:v>3.161151541500333E-2</c:v>
                </c:pt>
                <c:pt idx="36">
                  <c:v>3.3353976175184367E-2</c:v>
                </c:pt>
                <c:pt idx="37">
                  <c:v>3.5172293628326232E-2</c:v>
                </c:pt>
                <c:pt idx="38">
                  <c:v>3.706845998598688E-2</c:v>
                </c:pt>
                <c:pt idx="39">
                  <c:v>3.9044437871557765E-2</c:v>
                </c:pt>
                <c:pt idx="40">
                  <c:v>4.1102154102044132E-2</c:v>
                </c:pt>
                <c:pt idx="41">
                  <c:v>4.3243493241990262E-2</c:v>
                </c:pt>
                <c:pt idx="42">
                  <c:v>4.5470290940174081E-2</c:v>
                </c:pt>
                <c:pt idx="43">
                  <c:v>4.7784327061153015E-2</c:v>
                </c:pt>
                <c:pt idx="44">
                  <c:v>5.0187318625221689E-2</c:v>
                </c:pt>
                <c:pt idx="45">
                  <c:v>5.2680912571830774E-2</c:v>
                </c:pt>
                <c:pt idx="46">
                  <c:v>5.5266678363017151E-2</c:v>
                </c:pt>
                <c:pt idx="47">
                  <c:v>5.7946100444885101E-2</c:v>
                </c:pt>
                <c:pt idx="48">
                  <c:v>6.0720570586669888E-2</c:v>
                </c:pt>
                <c:pt idx="49">
                  <c:v>6.3591380118377214E-2</c:v>
                </c:pt>
                <c:pt idx="50">
                  <c:v>6.6559712089436965E-2</c:v>
                </c:pt>
                <c:pt idx="51">
                  <c:v>6.962663337221206E-2</c:v>
                </c:pt>
                <c:pt idx="52">
                  <c:v>7.279308673556574E-2</c:v>
                </c:pt>
                <c:pt idx="53">
                  <c:v>7.6059882914996185E-2</c:v>
                </c:pt>
                <c:pt idx="54">
                  <c:v>7.9427692707090408E-2</c:v>
                </c:pt>
                <c:pt idx="55">
                  <c:v>8.2897039117220475E-2</c:v>
                </c:pt>
                <c:pt idx="56">
                  <c:v>8.6468289590491687E-2</c:v>
                </c:pt>
                <c:pt idx="57">
                  <c:v>9.014164835694867E-2</c:v>
                </c:pt>
                <c:pt idx="58">
                  <c:v>9.3917148922940161E-2</c:v>
                </c:pt>
                <c:pt idx="59">
                  <c:v>9.7794646741325916E-2</c:v>
                </c:pt>
                <c:pt idx="60">
                  <c:v>0.10177381209387595</c:v>
                </c:pt>
                <c:pt idx="61">
                  <c:v>0.10585412321974697</c:v>
                </c:pt>
                <c:pt idx="62">
                  <c:v>0.11003485972432274</c:v>
                </c:pt>
                <c:pt idx="63">
                  <c:v>0.11431509630296084</c:v>
                </c:pt>
                <c:pt idx="64">
                  <c:v>0.11869369681429402</c:v>
                </c:pt>
                <c:pt idx="65">
                  <c:v>0.12316930873768142</c:v>
                </c:pt>
                <c:pt idx="66">
                  <c:v>0.12774035804918907</c:v>
                </c:pt>
                <c:pt idx="67">
                  <c:v>0.13240504455009261</c:v>
                </c:pt>
                <c:pt idx="68">
                  <c:v>0.13716133768133662</c:v>
                </c:pt>
                <c:pt idx="69">
                  <c:v>0.14200697285664771</c:v>
                </c:pt>
                <c:pt idx="70">
                  <c:v>0.14693944834608266</c:v>
                </c:pt>
                <c:pt idx="71">
                  <c:v>0.15195602274069356</c:v>
                </c:pt>
                <c:pt idx="72">
                  <c:v>0.1570537130277106</c:v>
                </c:pt>
                <c:pt idx="73">
                  <c:v>0.16222929330418059</c:v>
                </c:pt>
                <c:pt idx="74">
                  <c:v>0.16747929415535215</c:v>
                </c:pt>
                <c:pt idx="75">
                  <c:v>0.17280000272227752</c:v>
                </c:pt>
                <c:pt idx="76">
                  <c:v>0.17818746348109932</c:v>
                </c:pt>
                <c:pt idx="77">
                  <c:v>0.18363747975432293</c:v>
                </c:pt>
                <c:pt idx="78">
                  <c:v>0.18914561597203963</c:v>
                </c:pt>
                <c:pt idx="79">
                  <c:v>0.19470720069857361</c:v>
                </c:pt>
                <c:pt idx="80">
                  <c:v>0.20031733043738451</c:v>
                </c:pt>
                <c:pt idx="81">
                  <c:v>0.2059708742242739</c:v>
                </c:pt>
                <c:pt idx="82">
                  <c:v>0.21166247901603158</c:v>
                </c:pt>
                <c:pt idx="83">
                  <c:v>0.21738657587862623</c:v>
                </c:pt>
                <c:pt idx="84">
                  <c:v>0.22313738697590677</c:v>
                </c:pt>
                <c:pt idx="85">
                  <c:v>0.22890893335654983</c:v>
                </c:pt>
                <c:pt idx="86">
                  <c:v>0.23469504353367848</c:v>
                </c:pt>
                <c:pt idx="87">
                  <c:v>0.24048936284820582</c:v>
                </c:pt>
                <c:pt idx="88">
                  <c:v>0.24628536360353334</c:v>
                </c:pt>
                <c:pt idx="89">
                  <c:v>0.25207635595578487</c:v>
                </c:pt>
                <c:pt idx="90">
                  <c:v>0.25785549954028941</c:v>
                </c:pt>
                <c:pt idx="91">
                  <c:v>0.26361581581156529</c:v>
                </c:pt>
                <c:pt idx="92">
                  <c:v>0.26935020107061902</c:v>
                </c:pt>
                <c:pt idx="93">
                  <c:v>0.27505144014997257</c:v>
                </c:pt>
                <c:pt idx="94">
                  <c:v>0.28071222072349411</c:v>
                </c:pt>
                <c:pt idx="95">
                  <c:v>0.28632514820484678</c:v>
                </c:pt>
                <c:pt idx="96">
                  <c:v>0.29188276119520318</c:v>
                </c:pt>
                <c:pt idx="97">
                  <c:v>0.29737754743782796</c:v>
                </c:pt>
                <c:pt idx="98">
                  <c:v>0.30280196023421319</c:v>
                </c:pt>
                <c:pt idx="99">
                  <c:v>0.30814843527368829</c:v>
                </c:pt>
                <c:pt idx="100">
                  <c:v>0.31340940782583288</c:v>
                </c:pt>
                <c:pt idx="101">
                  <c:v>0.31857733024261109</c:v>
                </c:pt>
                <c:pt idx="102">
                  <c:v>0.32364468971493993</c:v>
                </c:pt>
                <c:pt idx="103">
                  <c:v>0.3286040262264141</c:v>
                </c:pt>
                <c:pt idx="104">
                  <c:v>0.3334479506451507</c:v>
                </c:pt>
                <c:pt idx="105">
                  <c:v>0.33816916289320309</c:v>
                </c:pt>
                <c:pt idx="106">
                  <c:v>0.34276047013173222</c:v>
                </c:pt>
                <c:pt idx="107">
                  <c:v>0.34721480489913414</c:v>
                </c:pt>
                <c:pt idx="108">
                  <c:v>0.35152524313860362</c:v>
                </c:pt>
                <c:pt idx="109">
                  <c:v>0.35568502205117924</c:v>
                </c:pt>
                <c:pt idx="110">
                  <c:v>0.35968755771017369</c:v>
                </c:pt>
                <c:pt idx="111">
                  <c:v>0.36352646237304004</c:v>
                </c:pt>
                <c:pt idx="112">
                  <c:v>0.36719556142717458</c:v>
                </c:pt>
                <c:pt idx="113">
                  <c:v>0.37068890990689796</c:v>
                </c:pt>
                <c:pt idx="114">
                  <c:v>0.37400080851990369</c:v>
                </c:pt>
                <c:pt idx="115">
                  <c:v>0.37712581912279941</c:v>
                </c:pt>
                <c:pt idx="116">
                  <c:v>0.38005877958699552</c:v>
                </c:pt>
                <c:pt idx="117">
                  <c:v>0.38279481799811688</c:v>
                </c:pt>
                <c:pt idx="118">
                  <c:v>0.38532936613430413</c:v>
                </c:pt>
                <c:pt idx="119">
                  <c:v>0.38765817217124104</c:v>
                </c:pt>
                <c:pt idx="120">
                  <c:v>0.38977731256446624</c:v>
                </c:pt>
                <c:pt idx="121">
                  <c:v>0.39168320306250204</c:v>
                </c:pt>
                <c:pt idx="122">
                  <c:v>0.39337260880753866</c:v>
                </c:pt>
                <c:pt idx="123">
                  <c:v>0.39484265348383518</c:v>
                </c:pt>
                <c:pt idx="124">
                  <c:v>0.39609082747762636</c:v>
                </c:pt>
                <c:pt idx="125">
                  <c:v>0.39711499501613434</c:v>
                </c:pt>
                <c:pt idx="126">
                  <c:v>0.39791340025725958</c:v>
                </c:pt>
                <c:pt idx="127">
                  <c:v>0.39848467230564738</c:v>
                </c:pt>
                <c:pt idx="128">
                  <c:v>0.39882782913507253</c:v>
                </c:pt>
                <c:pt idx="129">
                  <c:v>0.3989422804014327</c:v>
                </c:pt>
                <c:pt idx="130">
                  <c:v>0.39882782913507253</c:v>
                </c:pt>
                <c:pt idx="131">
                  <c:v>0.39848467230564738</c:v>
                </c:pt>
                <c:pt idx="132">
                  <c:v>0.39791340025725958</c:v>
                </c:pt>
                <c:pt idx="133">
                  <c:v>0.39711499501613434</c:v>
                </c:pt>
                <c:pt idx="134">
                  <c:v>0.39609082747762636</c:v>
                </c:pt>
                <c:pt idx="135">
                  <c:v>0.39484265348383518</c:v>
                </c:pt>
                <c:pt idx="136">
                  <c:v>0.39337260880753866</c:v>
                </c:pt>
                <c:pt idx="137">
                  <c:v>0.39168320306250204</c:v>
                </c:pt>
                <c:pt idx="138">
                  <c:v>0.38977731256446624</c:v>
                </c:pt>
                <c:pt idx="139">
                  <c:v>0.38765817217124104</c:v>
                </c:pt>
                <c:pt idx="140">
                  <c:v>0.38532936613430413</c:v>
                </c:pt>
                <c:pt idx="141">
                  <c:v>0.38279481799811688</c:v>
                </c:pt>
                <c:pt idx="142">
                  <c:v>0.38005877958699552</c:v>
                </c:pt>
                <c:pt idx="143">
                  <c:v>0.37712581912279947</c:v>
                </c:pt>
                <c:pt idx="144">
                  <c:v>0.37400080851990375</c:v>
                </c:pt>
                <c:pt idx="145">
                  <c:v>0.37068890990689796</c:v>
                </c:pt>
                <c:pt idx="146">
                  <c:v>0.36719556142717458</c:v>
                </c:pt>
                <c:pt idx="147">
                  <c:v>0.36352646237304004</c:v>
                </c:pt>
                <c:pt idx="148">
                  <c:v>0.35968755771017369</c:v>
                </c:pt>
                <c:pt idx="149">
                  <c:v>0.35568502205117924</c:v>
                </c:pt>
                <c:pt idx="150">
                  <c:v>0.35152524313860362</c:v>
                </c:pt>
                <c:pt idx="151">
                  <c:v>0.34721480489913414</c:v>
                </c:pt>
                <c:pt idx="152">
                  <c:v>0.34276047013173222</c:v>
                </c:pt>
                <c:pt idx="153">
                  <c:v>0.3381691628932032</c:v>
                </c:pt>
                <c:pt idx="154">
                  <c:v>0.33344795064515081</c:v>
                </c:pt>
                <c:pt idx="155">
                  <c:v>0.3286040262264141</c:v>
                </c:pt>
                <c:pt idx="156">
                  <c:v>0.32364468971493993</c:v>
                </c:pt>
                <c:pt idx="157">
                  <c:v>0.31857733024261109</c:v>
                </c:pt>
                <c:pt idx="158">
                  <c:v>0.31340940782583288</c:v>
                </c:pt>
                <c:pt idx="159">
                  <c:v>0.30814843527368829</c:v>
                </c:pt>
                <c:pt idx="160">
                  <c:v>0.30280196023421319</c:v>
                </c:pt>
                <c:pt idx="161">
                  <c:v>0.29737754743782796</c:v>
                </c:pt>
                <c:pt idx="162">
                  <c:v>0.29188276119520318</c:v>
                </c:pt>
                <c:pt idx="163">
                  <c:v>0.28632514820484689</c:v>
                </c:pt>
                <c:pt idx="164">
                  <c:v>0.28071222072349422</c:v>
                </c:pt>
                <c:pt idx="165">
                  <c:v>0.27505144014997257</c:v>
                </c:pt>
                <c:pt idx="166">
                  <c:v>0.26935020107061902</c:v>
                </c:pt>
                <c:pt idx="167">
                  <c:v>0.26361581581156529</c:v>
                </c:pt>
                <c:pt idx="168">
                  <c:v>0.25785549954028952</c:v>
                </c:pt>
                <c:pt idx="169">
                  <c:v>0.25207635595578487</c:v>
                </c:pt>
                <c:pt idx="170">
                  <c:v>0.24628536360353348</c:v>
                </c:pt>
                <c:pt idx="171">
                  <c:v>0.24048936284820582</c:v>
                </c:pt>
                <c:pt idx="172">
                  <c:v>0.23469504353367862</c:v>
                </c:pt>
                <c:pt idx="173">
                  <c:v>0.22890893335654983</c:v>
                </c:pt>
                <c:pt idx="174">
                  <c:v>0.2231373869759069</c:v>
                </c:pt>
                <c:pt idx="175">
                  <c:v>0.2173865758786262</c:v>
                </c:pt>
                <c:pt idx="176">
                  <c:v>0.21166247901603161</c:v>
                </c:pt>
                <c:pt idx="177">
                  <c:v>0.20597087422427382</c:v>
                </c:pt>
                <c:pt idx="178">
                  <c:v>0.20031733043738451</c:v>
                </c:pt>
                <c:pt idx="179">
                  <c:v>0.1947072006985737</c:v>
                </c:pt>
                <c:pt idx="180">
                  <c:v>0.18914561597203963</c:v>
                </c:pt>
                <c:pt idx="181">
                  <c:v>0.18363747975432304</c:v>
                </c:pt>
                <c:pt idx="182">
                  <c:v>0.17818746348109929</c:v>
                </c:pt>
                <c:pt idx="183">
                  <c:v>0.17280000272227755</c:v>
                </c:pt>
                <c:pt idx="184">
                  <c:v>0.16747929415535212</c:v>
                </c:pt>
                <c:pt idx="185">
                  <c:v>0.16222929330418065</c:v>
                </c:pt>
                <c:pt idx="186">
                  <c:v>0.1570537130277106</c:v>
                </c:pt>
                <c:pt idx="187">
                  <c:v>0.15195602274069356</c:v>
                </c:pt>
                <c:pt idx="188">
                  <c:v>0.14693944834608277</c:v>
                </c:pt>
                <c:pt idx="189">
                  <c:v>0.14200697285664771</c:v>
                </c:pt>
                <c:pt idx="190">
                  <c:v>0.1371613376813367</c:v>
                </c:pt>
                <c:pt idx="191">
                  <c:v>0.13240504455009261</c:v>
                </c:pt>
                <c:pt idx="192">
                  <c:v>0.12774035804918912</c:v>
                </c:pt>
                <c:pt idx="193">
                  <c:v>0.12316930873768138</c:v>
                </c:pt>
                <c:pt idx="194">
                  <c:v>0.11869369681429406</c:v>
                </c:pt>
                <c:pt idx="195">
                  <c:v>0.11431509630296083</c:v>
                </c:pt>
                <c:pt idx="196">
                  <c:v>0.11003485972432277</c:v>
                </c:pt>
                <c:pt idx="197">
                  <c:v>0.10585412321974706</c:v>
                </c:pt>
                <c:pt idx="198">
                  <c:v>0.10177381209387595</c:v>
                </c:pt>
                <c:pt idx="199">
                  <c:v>9.7794646741326E-2</c:v>
                </c:pt>
                <c:pt idx="200">
                  <c:v>9.3917148922940161E-2</c:v>
                </c:pt>
                <c:pt idx="201">
                  <c:v>9.0141648356948725E-2</c:v>
                </c:pt>
                <c:pt idx="202">
                  <c:v>8.6468289590491632E-2</c:v>
                </c:pt>
                <c:pt idx="203">
                  <c:v>8.2897039117220503E-2</c:v>
                </c:pt>
                <c:pt idx="204">
                  <c:v>7.942769270709038E-2</c:v>
                </c:pt>
                <c:pt idx="205">
                  <c:v>7.6059882914996213E-2</c:v>
                </c:pt>
                <c:pt idx="206">
                  <c:v>7.2793086735565712E-2</c:v>
                </c:pt>
                <c:pt idx="207">
                  <c:v>6.962663337221206E-2</c:v>
                </c:pt>
                <c:pt idx="208">
                  <c:v>6.655971208943702E-2</c:v>
                </c:pt>
                <c:pt idx="209">
                  <c:v>6.3591380118377214E-2</c:v>
                </c:pt>
                <c:pt idx="210">
                  <c:v>6.0720570586669929E-2</c:v>
                </c:pt>
                <c:pt idx="211">
                  <c:v>5.7946100444885101E-2</c:v>
                </c:pt>
                <c:pt idx="212">
                  <c:v>5.5266678363017178E-2</c:v>
                </c:pt>
                <c:pt idx="213">
                  <c:v>5.2680912571830774E-2</c:v>
                </c:pt>
                <c:pt idx="214">
                  <c:v>5.0187318625221689E-2</c:v>
                </c:pt>
                <c:pt idx="215">
                  <c:v>4.7784327061153015E-2</c:v>
                </c:pt>
                <c:pt idx="216">
                  <c:v>4.5470290940174081E-2</c:v>
                </c:pt>
                <c:pt idx="217">
                  <c:v>4.3243493241990325E-2</c:v>
                </c:pt>
                <c:pt idx="218">
                  <c:v>4.1102154102044132E-2</c:v>
                </c:pt>
                <c:pt idx="219">
                  <c:v>3.9044437871557792E-2</c:v>
                </c:pt>
                <c:pt idx="220">
                  <c:v>3.706845998598688E-2</c:v>
                </c:pt>
                <c:pt idx="221">
                  <c:v>3.5172293628326259E-2</c:v>
                </c:pt>
                <c:pt idx="222">
                  <c:v>3.3353976175184367E-2</c:v>
                </c:pt>
                <c:pt idx="223">
                  <c:v>3.161151541500333E-2</c:v>
                </c:pt>
                <c:pt idx="224">
                  <c:v>2.9942895529230493E-2</c:v>
                </c:pt>
                <c:pt idx="225">
                  <c:v>2.8346082828649768E-2</c:v>
                </c:pt>
                <c:pt idx="226">
                  <c:v>2.6819031238439629E-2</c:v>
                </c:pt>
                <c:pt idx="227">
                  <c:v>2.5359687526847842E-2</c:v>
                </c:pt>
                <c:pt idx="228">
                  <c:v>2.3965996273642022E-2</c:v>
                </c:pt>
                <c:pt idx="229">
                  <c:v>2.2635904575720501E-2</c:v>
                </c:pt>
                <c:pt idx="230">
                  <c:v>2.136736648843357E-2</c:v>
                </c:pt>
                <c:pt idx="231">
                  <c:v>2.0158347202276675E-2</c:v>
                </c:pt>
                <c:pt idx="232">
                  <c:v>1.9006826955669437E-2</c:v>
                </c:pt>
                <c:pt idx="233">
                  <c:v>1.7910804685522155E-2</c:v>
                </c:pt>
                <c:pt idx="234">
                  <c:v>1.6868301418220717E-2</c:v>
                </c:pt>
                <c:pt idx="235">
                  <c:v>1.5877363404520835E-2</c:v>
                </c:pt>
                <c:pt idx="236">
                  <c:v>1.4936065002642981E-2</c:v>
                </c:pt>
                <c:pt idx="237">
                  <c:v>1.4042511314589706E-2</c:v>
                </c:pt>
                <c:pt idx="238">
                  <c:v>1.319484058137666E-2</c:v>
                </c:pt>
                <c:pt idx="239">
                  <c:v>1.2391226343470832E-2</c:v>
                </c:pt>
                <c:pt idx="240">
                  <c:v>1.1629879373268774E-2</c:v>
                </c:pt>
                <c:pt idx="241">
                  <c:v>1.0909049386925553E-2</c:v>
                </c:pt>
                <c:pt idx="242">
                  <c:v>1.0227026543258957E-2</c:v>
                </c:pt>
                <c:pt idx="243">
                  <c:v>9.582142737811215E-3</c:v>
                </c:pt>
                <c:pt idx="244">
                  <c:v>8.9727727004466386E-3</c:v>
                </c:pt>
                <c:pt idx="245">
                  <c:v>8.3973349051078925E-3</c:v>
                </c:pt>
                <c:pt idx="246">
                  <c:v>7.8542923005407612E-3</c:v>
                </c:pt>
                <c:pt idx="247">
                  <c:v>7.3421528709367023E-3</c:v>
                </c:pt>
                <c:pt idx="248">
                  <c:v>6.8594700355305563E-3</c:v>
                </c:pt>
                <c:pt idx="249">
                  <c:v>6.4048428962354522E-3</c:v>
                </c:pt>
                <c:pt idx="250">
                  <c:v>5.9769163423966497E-3</c:v>
                </c:pt>
                <c:pt idx="251">
                  <c:v>5.5743810217063422E-3</c:v>
                </c:pt>
                <c:pt idx="252">
                  <c:v>5.1959731862444561E-3</c:v>
                </c:pt>
                <c:pt idx="253">
                  <c:v>4.8404744224978778E-3</c:v>
                </c:pt>
                <c:pt idx="254">
                  <c:v>4.5067112740675413E-3</c:v>
                </c:pt>
                <c:pt idx="255">
                  <c:v>4.1935547655993438E-3</c:v>
                </c:pt>
                <c:pt idx="256">
                  <c:v>3.8999198362770038E-3</c:v>
                </c:pt>
                <c:pt idx="257">
                  <c:v>3.6247646909920261E-3</c:v>
                </c:pt>
                <c:pt idx="258">
                  <c:v>3.3670900770639959E-3</c:v>
                </c:pt>
              </c:numCache>
            </c:numRef>
          </c:yVal>
          <c:smooth val="1"/>
          <c:extLst>
            <c:ext xmlns:c16="http://schemas.microsoft.com/office/drawing/2014/chart" uri="{C3380CC4-5D6E-409C-BE32-E72D297353CC}">
              <c16:uniqueId val="{00000002-EAB3-4400-A5F5-EE2430B7A450}"/>
            </c:ext>
          </c:extLst>
        </c:ser>
        <c:ser>
          <c:idx val="2"/>
          <c:order val="3"/>
          <c:tx>
            <c:strRef>
              <c:f>Estimation!$EV$5</c:f>
              <c:strCache>
                <c:ptCount val="1"/>
                <c:pt idx="0">
                  <c:v>2.5% mindre end 20.06%</c:v>
                </c:pt>
              </c:strCache>
            </c:strRef>
          </c:tx>
          <c:spPr>
            <a:ln w="28575" cap="rnd">
              <a:solidFill>
                <a:schemeClr val="accent3"/>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Estimation!$EW$2</c:f>
              <c:numCache>
                <c:formatCode>General</c:formatCode>
                <c:ptCount val="1"/>
                <c:pt idx="0">
                  <c:v>25</c:v>
                </c:pt>
              </c:numCache>
            </c:numRef>
          </c:xVal>
          <c:yVal>
            <c:numRef>
              <c:f>Estimation!$EX$2</c:f>
              <c:numCache>
                <c:formatCode>General</c:formatCode>
                <c:ptCount val="1"/>
                <c:pt idx="0">
                  <c:v>1.6868301418220717E-2</c:v>
                </c:pt>
              </c:numCache>
            </c:numRef>
          </c:yVal>
          <c:smooth val="0"/>
          <c:extLst>
            <c:ext xmlns:c16="http://schemas.microsoft.com/office/drawing/2014/chart" uri="{C3380CC4-5D6E-409C-BE32-E72D297353CC}">
              <c16:uniqueId val="{00000003-EAB3-4400-A5F5-EE2430B7A450}"/>
            </c:ext>
          </c:extLst>
        </c:ser>
        <c:ser>
          <c:idx val="5"/>
          <c:order val="4"/>
          <c:tx>
            <c:strRef>
              <c:f>Estimation!$EV$7</c:f>
              <c:strCache>
                <c:ptCount val="1"/>
                <c:pt idx="0">
                  <c:v>2.5% større end 63.273%</c:v>
                </c:pt>
              </c:strCache>
            </c:strRef>
          </c:tx>
          <c:spPr>
            <a:ln w="28575" cap="rnd">
              <a:solidFill>
                <a:schemeClr val="accent6"/>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Estimation!$EW$4</c:f>
              <c:numCache>
                <c:formatCode>General</c:formatCode>
                <c:ptCount val="1"/>
                <c:pt idx="0">
                  <c:v>235</c:v>
                </c:pt>
              </c:numCache>
            </c:numRef>
          </c:xVal>
          <c:yVal>
            <c:numRef>
              <c:f>Estimation!$EX$4</c:f>
              <c:numCache>
                <c:formatCode>General</c:formatCode>
                <c:ptCount val="1"/>
                <c:pt idx="0">
                  <c:v>1.6868301418220717E-2</c:v>
                </c:pt>
              </c:numCache>
            </c:numRef>
          </c:yVal>
          <c:smooth val="0"/>
          <c:extLst>
            <c:ext xmlns:c16="http://schemas.microsoft.com/office/drawing/2014/chart" uri="{C3380CC4-5D6E-409C-BE32-E72D297353CC}">
              <c16:uniqueId val="{00000004-EAB3-4400-A5F5-EE2430B7A450}"/>
            </c:ext>
          </c:extLst>
        </c:ser>
        <c:ser>
          <c:idx val="4"/>
          <c:order val="5"/>
          <c:tx>
            <c:strRef>
              <c:f>Estimation!$EV$6</c:f>
              <c:strCache>
                <c:ptCount val="1"/>
                <c:pt idx="0">
                  <c:v>95% mellem 20.06% og 63.273%</c:v>
                </c:pt>
              </c:strCache>
            </c:strRef>
          </c:tx>
          <c:spPr>
            <a:ln w="28575" cap="rnd">
              <a:solidFill>
                <a:schemeClr val="accent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Estimation!$EW$3</c:f>
              <c:numCache>
                <c:formatCode>General</c:formatCode>
                <c:ptCount val="1"/>
                <c:pt idx="0">
                  <c:v>130</c:v>
                </c:pt>
              </c:numCache>
            </c:numRef>
          </c:xVal>
          <c:yVal>
            <c:numRef>
              <c:f>Estimation!$EX$3</c:f>
              <c:numCache>
                <c:formatCode>General</c:formatCode>
                <c:ptCount val="1"/>
                <c:pt idx="0">
                  <c:v>0.3989422804014327</c:v>
                </c:pt>
              </c:numCache>
            </c:numRef>
          </c:yVal>
          <c:smooth val="0"/>
          <c:extLst>
            <c:ext xmlns:c16="http://schemas.microsoft.com/office/drawing/2014/chart" uri="{C3380CC4-5D6E-409C-BE32-E72D297353CC}">
              <c16:uniqueId val="{00000005-EAB3-4400-A5F5-EE2430B7A450}"/>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Estimation!$BH$11</c:f>
              <c:strCache>
                <c:ptCount val="1"/>
                <c:pt idx="0">
                  <c:v>Populationsestimat for andel fra stikprøver af størrelsen n = 20
fra en population med andel = 41.667%</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none"/>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r"/>
      <c:legendEntry>
        <c:idx val="3"/>
        <c:delete val="1"/>
      </c:legendEntry>
      <c:legendEntry>
        <c:idx val="4"/>
        <c:delete val="1"/>
      </c:legendEntry>
      <c:legendEntry>
        <c:idx val="5"/>
        <c:delete val="1"/>
      </c:legendEntry>
      <c:layout>
        <c:manualLayout>
          <c:xMode val="edge"/>
          <c:yMode val="edge"/>
          <c:x val="0.91100022380923318"/>
          <c:y val="0.14837063319787316"/>
          <c:w val="8.8999776190766849E-2"/>
          <c:h val="0.239290151283037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Estimation!$BI$10</c:f>
          <c:strCache>
            <c:ptCount val="1"/>
            <c:pt idx="0">
              <c:v>95% Konfidensinterval for intensitet
af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Estimation!$HB$9</c:f>
              <c:strCache>
                <c:ptCount val="1"/>
                <c:pt idx="0">
                  <c:v>Alternativ hypotese</c:v>
                </c:pt>
              </c:strCache>
            </c:strRef>
          </c:tx>
          <c:spPr>
            <a:solidFill>
              <a:schemeClr val="accent1"/>
            </a:solidFill>
            <a:ln w="25400">
              <a:noFill/>
            </a:ln>
            <a:effectLst/>
          </c:spPr>
          <c:cat>
            <c:strRef>
              <c:f>Estimation!$HD$10:$HD$268</c:f>
              <c:strCache>
                <c:ptCount val="212"/>
                <c:pt idx="47">
                  <c:v>1.084</c:v>
                </c:pt>
                <c:pt idx="129">
                  <c:v>1.854</c:v>
                </c:pt>
                <c:pt idx="211">
                  <c:v>2.624</c:v>
                </c:pt>
              </c:strCache>
            </c:strRef>
          </c:cat>
          <c:val>
            <c:numRef>
              <c:f>Estimation!$HB$10:$HB$268</c:f>
              <c:numCache>
                <c:formatCode>General</c:formatCode>
                <c:ptCount val="259"/>
                <c:pt idx="0">
                  <c:v>3.3670900770639959E-3</c:v>
                </c:pt>
                <c:pt idx="1">
                  <c:v>3.6247646909920227E-3</c:v>
                </c:pt>
                <c:pt idx="2">
                  <c:v>3.8999198362770038E-3</c:v>
                </c:pt>
                <c:pt idx="3">
                  <c:v>4.1935547655993473E-3</c:v>
                </c:pt>
                <c:pt idx="4">
                  <c:v>4.5067112740675413E-3</c:v>
                </c:pt>
                <c:pt idx="5">
                  <c:v>4.8404744224978778E-3</c:v>
                </c:pt>
                <c:pt idx="6">
                  <c:v>5.1959731862444456E-3</c:v>
                </c:pt>
                <c:pt idx="7">
                  <c:v>5.5743810217063422E-3</c:v>
                </c:pt>
                <c:pt idx="8">
                  <c:v>5.9769163423966454E-3</c:v>
                </c:pt>
                <c:pt idx="9">
                  <c:v>6.4048428962354522E-3</c:v>
                </c:pt>
                <c:pt idx="10">
                  <c:v>6.859470035530551E-3</c:v>
                </c:pt>
                <c:pt idx="11">
                  <c:v>7.3421528709367023E-3</c:v>
                </c:pt>
                <c:pt idx="12">
                  <c:v>7.8542923005407734E-3</c:v>
                </c:pt>
                <c:pt idx="13">
                  <c:v>8.3973349051078925E-3</c:v>
                </c:pt>
                <c:pt idx="14">
                  <c:v>8.9727727004466455E-3</c:v>
                </c:pt>
                <c:pt idx="15">
                  <c:v>9.582142737811215E-3</c:v>
                </c:pt>
                <c:pt idx="16">
                  <c:v>1.0227026543258957E-2</c:v>
                </c:pt>
                <c:pt idx="17">
                  <c:v>1.0909049386925537E-2</c:v>
                </c:pt>
                <c:pt idx="18">
                  <c:v>1.1629879373268774E-2</c:v>
                </c:pt>
                <c:pt idx="19">
                  <c:v>1.2391226343470816E-2</c:v>
                </c:pt>
                <c:pt idx="20">
                  <c:v>1.319484058137666E-2</c:v>
                </c:pt>
                <c:pt idx="21">
                  <c:v>1.4042511314589688E-2</c:v>
                </c:pt>
                <c:pt idx="22">
                  <c:v>1.4936065002642981E-2</c:v>
                </c:pt>
                <c:pt idx="23">
                  <c:v>1.5877363404520849E-2</c:v>
                </c:pt>
                <c:pt idx="24">
                  <c:v>1.6868301418220717E-2</c:v>
                </c:pt>
                <c:pt idx="25">
                  <c:v>1.7910804685522155E-2</c:v>
                </c:pt>
                <c:pt idx="26">
                  <c:v>1.9006826955669413E-2</c:v>
                </c:pt>
                <c:pt idx="27">
                  <c:v>2.0158347202276675E-2</c:v>
                </c:pt>
                <c:pt idx="28">
                  <c:v>2.1367366488433549E-2</c:v>
                </c:pt>
                <c:pt idx="29">
                  <c:v>2.2635904575720501E-2</c:v>
                </c:pt>
                <c:pt idx="30">
                  <c:v>2.3965996273642005E-2</c:v>
                </c:pt>
                <c:pt idx="31">
                  <c:v>2.5359687526847842E-2</c:v>
                </c:pt>
                <c:pt idx="32">
                  <c:v>2.681903123843965E-2</c:v>
                </c:pt>
                <c:pt idx="33">
                  <c:v>2.8346082828649768E-2</c:v>
                </c:pt>
                <c:pt idx="34">
                  <c:v>2.9942895529230493E-2</c:v>
                </c:pt>
                <c:pt idx="35">
                  <c:v>3.161151541500333E-2</c:v>
                </c:pt>
                <c:pt idx="36">
                  <c:v>3.3353976175184367E-2</c:v>
                </c:pt>
                <c:pt idx="37">
                  <c:v>3.5172293628326232E-2</c:v>
                </c:pt>
                <c:pt idx="38">
                  <c:v>3.706845998598688E-2</c:v>
                </c:pt>
                <c:pt idx="39">
                  <c:v>3.9044437871557765E-2</c:v>
                </c:pt>
                <c:pt idx="40">
                  <c:v>4.1102154102044132E-2</c:v>
                </c:pt>
                <c:pt idx="41">
                  <c:v>4.3243493241990262E-2</c:v>
                </c:pt>
                <c:pt idx="42">
                  <c:v>4.5470290940174081E-2</c:v>
                </c:pt>
                <c:pt idx="43">
                  <c:v>4.7784327061153015E-2</c:v>
                </c:pt>
                <c:pt idx="44">
                  <c:v>5.0187318625221689E-2</c:v>
                </c:pt>
                <c:pt idx="45">
                  <c:v>5.2680912571830774E-2</c:v>
                </c:pt>
                <c:pt idx="46">
                  <c:v>5.5266678363017151E-2</c:v>
                </c:pt>
                <c:pt idx="47">
                  <c:v>5.7946100444885101E-2</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5.7946100444885101E-2</c:v>
                </c:pt>
                <c:pt idx="212">
                  <c:v>5.5266678363017178E-2</c:v>
                </c:pt>
                <c:pt idx="213">
                  <c:v>5.2680912571830774E-2</c:v>
                </c:pt>
                <c:pt idx="214">
                  <c:v>5.0187318625221689E-2</c:v>
                </c:pt>
                <c:pt idx="215">
                  <c:v>4.7784327061153015E-2</c:v>
                </c:pt>
                <c:pt idx="216">
                  <c:v>4.5470290940174081E-2</c:v>
                </c:pt>
                <c:pt idx="217">
                  <c:v>4.3243493241990325E-2</c:v>
                </c:pt>
                <c:pt idx="218">
                  <c:v>4.1102154102044132E-2</c:v>
                </c:pt>
                <c:pt idx="219">
                  <c:v>3.9044437871557792E-2</c:v>
                </c:pt>
                <c:pt idx="220">
                  <c:v>3.706845998598688E-2</c:v>
                </c:pt>
                <c:pt idx="221">
                  <c:v>3.5172293628326259E-2</c:v>
                </c:pt>
                <c:pt idx="222">
                  <c:v>3.3353976175184367E-2</c:v>
                </c:pt>
                <c:pt idx="223">
                  <c:v>3.161151541500333E-2</c:v>
                </c:pt>
                <c:pt idx="224">
                  <c:v>2.9942895529230493E-2</c:v>
                </c:pt>
                <c:pt idx="225">
                  <c:v>2.8346082828649768E-2</c:v>
                </c:pt>
                <c:pt idx="226">
                  <c:v>2.6819031238439629E-2</c:v>
                </c:pt>
                <c:pt idx="227">
                  <c:v>2.5359687526847842E-2</c:v>
                </c:pt>
                <c:pt idx="228">
                  <c:v>2.3965996273642022E-2</c:v>
                </c:pt>
                <c:pt idx="229">
                  <c:v>2.2635904575720501E-2</c:v>
                </c:pt>
                <c:pt idx="230">
                  <c:v>2.136736648843357E-2</c:v>
                </c:pt>
                <c:pt idx="231">
                  <c:v>2.0158347202276675E-2</c:v>
                </c:pt>
                <c:pt idx="232">
                  <c:v>1.9006826955669437E-2</c:v>
                </c:pt>
                <c:pt idx="233">
                  <c:v>1.7910804685522155E-2</c:v>
                </c:pt>
                <c:pt idx="234">
                  <c:v>1.6868301418220717E-2</c:v>
                </c:pt>
                <c:pt idx="235">
                  <c:v>1.5877363404520835E-2</c:v>
                </c:pt>
                <c:pt idx="236">
                  <c:v>1.4936065002642981E-2</c:v>
                </c:pt>
                <c:pt idx="237">
                  <c:v>1.4042511314589706E-2</c:v>
                </c:pt>
                <c:pt idx="238">
                  <c:v>1.319484058137666E-2</c:v>
                </c:pt>
                <c:pt idx="239">
                  <c:v>1.2391226343470832E-2</c:v>
                </c:pt>
                <c:pt idx="240">
                  <c:v>1.1629879373268774E-2</c:v>
                </c:pt>
                <c:pt idx="241">
                  <c:v>1.0909049386925553E-2</c:v>
                </c:pt>
                <c:pt idx="242">
                  <c:v>1.0227026543258957E-2</c:v>
                </c:pt>
                <c:pt idx="243">
                  <c:v>9.582142737811215E-3</c:v>
                </c:pt>
                <c:pt idx="244">
                  <c:v>8.9727727004466386E-3</c:v>
                </c:pt>
                <c:pt idx="245">
                  <c:v>8.3973349051078925E-3</c:v>
                </c:pt>
                <c:pt idx="246">
                  <c:v>7.8542923005407612E-3</c:v>
                </c:pt>
                <c:pt idx="247">
                  <c:v>7.3421528709367023E-3</c:v>
                </c:pt>
                <c:pt idx="248">
                  <c:v>6.8594700355305563E-3</c:v>
                </c:pt>
                <c:pt idx="249">
                  <c:v>6.4048428962354522E-3</c:v>
                </c:pt>
                <c:pt idx="250">
                  <c:v>5.9769163423966497E-3</c:v>
                </c:pt>
                <c:pt idx="251">
                  <c:v>5.5743810217063422E-3</c:v>
                </c:pt>
                <c:pt idx="252">
                  <c:v>5.1959731862444561E-3</c:v>
                </c:pt>
                <c:pt idx="253">
                  <c:v>4.8404744224978778E-3</c:v>
                </c:pt>
                <c:pt idx="254">
                  <c:v>4.5067112740675413E-3</c:v>
                </c:pt>
                <c:pt idx="255">
                  <c:v>4.1935547655993438E-3</c:v>
                </c:pt>
                <c:pt idx="256">
                  <c:v>3.8999198362770038E-3</c:v>
                </c:pt>
                <c:pt idx="257">
                  <c:v>3.6247646909920261E-3</c:v>
                </c:pt>
                <c:pt idx="258">
                  <c:v>3.3670900770639959E-3</c:v>
                </c:pt>
              </c:numCache>
            </c:numRef>
          </c:val>
          <c:extLst>
            <c:ext xmlns:c16="http://schemas.microsoft.com/office/drawing/2014/chart" uri="{C3380CC4-5D6E-409C-BE32-E72D297353CC}">
              <c16:uniqueId val="{00000000-D29F-4EBF-9962-F5E1AC4F0225}"/>
            </c:ext>
          </c:extLst>
        </c:ser>
        <c:ser>
          <c:idx val="1"/>
          <c:order val="1"/>
          <c:tx>
            <c:strRef>
              <c:f>Estimation!$HC$9</c:f>
              <c:strCache>
                <c:ptCount val="1"/>
                <c:pt idx="0">
                  <c:v>Nulhypotese</c:v>
                </c:pt>
              </c:strCache>
            </c:strRef>
          </c:tx>
          <c:spPr>
            <a:solidFill>
              <a:schemeClr val="accent2"/>
            </a:solidFill>
            <a:ln w="25400">
              <a:noFill/>
            </a:ln>
            <a:effectLst/>
          </c:spPr>
          <c:cat>
            <c:strRef>
              <c:f>Estimation!$HD$10:$HD$268</c:f>
              <c:strCache>
                <c:ptCount val="212"/>
                <c:pt idx="47">
                  <c:v>1.084</c:v>
                </c:pt>
                <c:pt idx="129">
                  <c:v>1.854</c:v>
                </c:pt>
                <c:pt idx="211">
                  <c:v>2.624</c:v>
                </c:pt>
              </c:strCache>
            </c:strRef>
          </c:cat>
          <c:val>
            <c:numRef>
              <c:f>Estimation!$HC$10:$HC$268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6.0720570586669888E-2</c:v>
                </c:pt>
                <c:pt idx="49">
                  <c:v>6.3591380118377214E-2</c:v>
                </c:pt>
                <c:pt idx="50">
                  <c:v>6.6559712089436965E-2</c:v>
                </c:pt>
                <c:pt idx="51">
                  <c:v>6.962663337221206E-2</c:v>
                </c:pt>
                <c:pt idx="52">
                  <c:v>7.279308673556574E-2</c:v>
                </c:pt>
                <c:pt idx="53">
                  <c:v>7.6059882914996185E-2</c:v>
                </c:pt>
                <c:pt idx="54">
                  <c:v>7.9427692707090408E-2</c:v>
                </c:pt>
                <c:pt idx="55">
                  <c:v>8.2897039117220475E-2</c:v>
                </c:pt>
                <c:pt idx="56">
                  <c:v>8.6468289590491687E-2</c:v>
                </c:pt>
                <c:pt idx="57">
                  <c:v>9.014164835694867E-2</c:v>
                </c:pt>
                <c:pt idx="58">
                  <c:v>9.3917148922940161E-2</c:v>
                </c:pt>
                <c:pt idx="59">
                  <c:v>9.7794646741325916E-2</c:v>
                </c:pt>
                <c:pt idx="60">
                  <c:v>0.10177381209387595</c:v>
                </c:pt>
                <c:pt idx="61">
                  <c:v>0.10585412321974697</c:v>
                </c:pt>
                <c:pt idx="62">
                  <c:v>0.11003485972432274</c:v>
                </c:pt>
                <c:pt idx="63">
                  <c:v>0.11431509630296084</c:v>
                </c:pt>
                <c:pt idx="64">
                  <c:v>0.11869369681429402</c:v>
                </c:pt>
                <c:pt idx="65">
                  <c:v>0.12316930873768142</c:v>
                </c:pt>
                <c:pt idx="66">
                  <c:v>0.12774035804918907</c:v>
                </c:pt>
                <c:pt idx="67">
                  <c:v>0.13240504455009261</c:v>
                </c:pt>
                <c:pt idx="68">
                  <c:v>0.13716133768133662</c:v>
                </c:pt>
                <c:pt idx="69">
                  <c:v>0.14200697285664771</c:v>
                </c:pt>
                <c:pt idx="70">
                  <c:v>0.14693944834608266</c:v>
                </c:pt>
                <c:pt idx="71">
                  <c:v>0.15195602274069356</c:v>
                </c:pt>
                <c:pt idx="72">
                  <c:v>0.1570537130277106</c:v>
                </c:pt>
                <c:pt idx="73">
                  <c:v>0.16222929330418059</c:v>
                </c:pt>
                <c:pt idx="74">
                  <c:v>0.16747929415535215</c:v>
                </c:pt>
                <c:pt idx="75">
                  <c:v>0.17280000272227752</c:v>
                </c:pt>
                <c:pt idx="76">
                  <c:v>0.17818746348109932</c:v>
                </c:pt>
                <c:pt idx="77">
                  <c:v>0.18363747975432293</c:v>
                </c:pt>
                <c:pt idx="78">
                  <c:v>0.18914561597203963</c:v>
                </c:pt>
                <c:pt idx="79">
                  <c:v>0.19470720069857361</c:v>
                </c:pt>
                <c:pt idx="80">
                  <c:v>0.20031733043738451</c:v>
                </c:pt>
                <c:pt idx="81">
                  <c:v>0.2059708742242739</c:v>
                </c:pt>
                <c:pt idx="82">
                  <c:v>0.21166247901603158</c:v>
                </c:pt>
                <c:pt idx="83">
                  <c:v>0.21738657587862623</c:v>
                </c:pt>
                <c:pt idx="84">
                  <c:v>0.22313738697590677</c:v>
                </c:pt>
                <c:pt idx="85">
                  <c:v>0.22890893335654983</c:v>
                </c:pt>
                <c:pt idx="86">
                  <c:v>0.23469504353367848</c:v>
                </c:pt>
                <c:pt idx="87">
                  <c:v>0.24048936284820582</c:v>
                </c:pt>
                <c:pt idx="88">
                  <c:v>0.24628536360353334</c:v>
                </c:pt>
                <c:pt idx="89">
                  <c:v>0.25207635595578487</c:v>
                </c:pt>
                <c:pt idx="90">
                  <c:v>0.25785549954028941</c:v>
                </c:pt>
                <c:pt idx="91">
                  <c:v>0.26361581581156529</c:v>
                </c:pt>
                <c:pt idx="92">
                  <c:v>0.26935020107061902</c:v>
                </c:pt>
                <c:pt idx="93">
                  <c:v>0.27505144014997257</c:v>
                </c:pt>
                <c:pt idx="94">
                  <c:v>0.28071222072349411</c:v>
                </c:pt>
                <c:pt idx="95">
                  <c:v>0.28632514820484678</c:v>
                </c:pt>
                <c:pt idx="96">
                  <c:v>0.29188276119520318</c:v>
                </c:pt>
                <c:pt idx="97">
                  <c:v>0.29737754743782796</c:v>
                </c:pt>
                <c:pt idx="98">
                  <c:v>0.30280196023421319</c:v>
                </c:pt>
                <c:pt idx="99">
                  <c:v>0.30814843527368829</c:v>
                </c:pt>
                <c:pt idx="100">
                  <c:v>0.31340940782583288</c:v>
                </c:pt>
                <c:pt idx="101">
                  <c:v>0.31857733024261109</c:v>
                </c:pt>
                <c:pt idx="102">
                  <c:v>0.32364468971493993</c:v>
                </c:pt>
                <c:pt idx="103">
                  <c:v>0.3286040262264141</c:v>
                </c:pt>
                <c:pt idx="104">
                  <c:v>0.3334479506451507</c:v>
                </c:pt>
                <c:pt idx="105">
                  <c:v>0.33816916289320309</c:v>
                </c:pt>
                <c:pt idx="106">
                  <c:v>0.34276047013173222</c:v>
                </c:pt>
                <c:pt idx="107">
                  <c:v>0.34721480489913414</c:v>
                </c:pt>
                <c:pt idx="108">
                  <c:v>0.35152524313860362</c:v>
                </c:pt>
                <c:pt idx="109">
                  <c:v>0.35568502205117924</c:v>
                </c:pt>
                <c:pt idx="110">
                  <c:v>0.35968755771017369</c:v>
                </c:pt>
                <c:pt idx="111">
                  <c:v>0.36352646237304004</c:v>
                </c:pt>
                <c:pt idx="112">
                  <c:v>0.36719556142717458</c:v>
                </c:pt>
                <c:pt idx="113">
                  <c:v>0.37068890990689796</c:v>
                </c:pt>
                <c:pt idx="114">
                  <c:v>0.37400080851990369</c:v>
                </c:pt>
                <c:pt idx="115">
                  <c:v>0.37712581912279941</c:v>
                </c:pt>
                <c:pt idx="116">
                  <c:v>0.38005877958699552</c:v>
                </c:pt>
                <c:pt idx="117">
                  <c:v>0.38279481799811688</c:v>
                </c:pt>
                <c:pt idx="118">
                  <c:v>0.38532936613430413</c:v>
                </c:pt>
                <c:pt idx="119">
                  <c:v>0.38765817217124104</c:v>
                </c:pt>
                <c:pt idx="120">
                  <c:v>0.38977731256446624</c:v>
                </c:pt>
                <c:pt idx="121">
                  <c:v>0.39168320306250204</c:v>
                </c:pt>
                <c:pt idx="122">
                  <c:v>0.39337260880753866</c:v>
                </c:pt>
                <c:pt idx="123">
                  <c:v>0.39484265348383518</c:v>
                </c:pt>
                <c:pt idx="124">
                  <c:v>0.39609082747762636</c:v>
                </c:pt>
                <c:pt idx="125">
                  <c:v>0.39711499501613434</c:v>
                </c:pt>
                <c:pt idx="126">
                  <c:v>0.39791340025725958</c:v>
                </c:pt>
                <c:pt idx="127">
                  <c:v>0.39848467230564738</c:v>
                </c:pt>
                <c:pt idx="128">
                  <c:v>0.39882782913507253</c:v>
                </c:pt>
                <c:pt idx="129">
                  <c:v>0.3989422804014327</c:v>
                </c:pt>
                <c:pt idx="130">
                  <c:v>0.39882782913507253</c:v>
                </c:pt>
                <c:pt idx="131">
                  <c:v>0.39848467230564738</c:v>
                </c:pt>
                <c:pt idx="132">
                  <c:v>0.39791340025725958</c:v>
                </c:pt>
                <c:pt idx="133">
                  <c:v>0.39711499501613434</c:v>
                </c:pt>
                <c:pt idx="134">
                  <c:v>0.39609082747762636</c:v>
                </c:pt>
                <c:pt idx="135">
                  <c:v>0.39484265348383518</c:v>
                </c:pt>
                <c:pt idx="136">
                  <c:v>0.39337260880753866</c:v>
                </c:pt>
                <c:pt idx="137">
                  <c:v>0.39168320306250204</c:v>
                </c:pt>
                <c:pt idx="138">
                  <c:v>0.38977731256446624</c:v>
                </c:pt>
                <c:pt idx="139">
                  <c:v>0.38765817217124104</c:v>
                </c:pt>
                <c:pt idx="140">
                  <c:v>0.38532936613430413</c:v>
                </c:pt>
                <c:pt idx="141">
                  <c:v>0.38279481799811688</c:v>
                </c:pt>
                <c:pt idx="142">
                  <c:v>0.38005877958699552</c:v>
                </c:pt>
                <c:pt idx="143">
                  <c:v>0.37712581912279947</c:v>
                </c:pt>
                <c:pt idx="144">
                  <c:v>0.37400080851990375</c:v>
                </c:pt>
                <c:pt idx="145">
                  <c:v>0.37068890990689796</c:v>
                </c:pt>
                <c:pt idx="146">
                  <c:v>0.36719556142717458</c:v>
                </c:pt>
                <c:pt idx="147">
                  <c:v>0.36352646237304004</c:v>
                </c:pt>
                <c:pt idx="148">
                  <c:v>0.35968755771017369</c:v>
                </c:pt>
                <c:pt idx="149">
                  <c:v>0.35568502205117924</c:v>
                </c:pt>
                <c:pt idx="150">
                  <c:v>0.35152524313860362</c:v>
                </c:pt>
                <c:pt idx="151">
                  <c:v>0.34721480489913414</c:v>
                </c:pt>
                <c:pt idx="152">
                  <c:v>0.34276047013173222</c:v>
                </c:pt>
                <c:pt idx="153">
                  <c:v>0.3381691628932032</c:v>
                </c:pt>
                <c:pt idx="154">
                  <c:v>0.33344795064515081</c:v>
                </c:pt>
                <c:pt idx="155">
                  <c:v>0.3286040262264141</c:v>
                </c:pt>
                <c:pt idx="156">
                  <c:v>0.32364468971493993</c:v>
                </c:pt>
                <c:pt idx="157">
                  <c:v>0.31857733024261109</c:v>
                </c:pt>
                <c:pt idx="158">
                  <c:v>0.31340940782583288</c:v>
                </c:pt>
                <c:pt idx="159">
                  <c:v>0.30814843527368829</c:v>
                </c:pt>
                <c:pt idx="160">
                  <c:v>0.30280196023421319</c:v>
                </c:pt>
                <c:pt idx="161">
                  <c:v>0.29737754743782796</c:v>
                </c:pt>
                <c:pt idx="162">
                  <c:v>0.29188276119520318</c:v>
                </c:pt>
                <c:pt idx="163">
                  <c:v>0.28632514820484689</c:v>
                </c:pt>
                <c:pt idx="164">
                  <c:v>0.28071222072349422</c:v>
                </c:pt>
                <c:pt idx="165">
                  <c:v>0.27505144014997257</c:v>
                </c:pt>
                <c:pt idx="166">
                  <c:v>0.26935020107061902</c:v>
                </c:pt>
                <c:pt idx="167">
                  <c:v>0.26361581581156529</c:v>
                </c:pt>
                <c:pt idx="168">
                  <c:v>0.25785549954028952</c:v>
                </c:pt>
                <c:pt idx="169">
                  <c:v>0.25207635595578487</c:v>
                </c:pt>
                <c:pt idx="170">
                  <c:v>0.24628536360353348</c:v>
                </c:pt>
                <c:pt idx="171">
                  <c:v>0.24048936284820582</c:v>
                </c:pt>
                <c:pt idx="172">
                  <c:v>0.23469504353367862</c:v>
                </c:pt>
                <c:pt idx="173">
                  <c:v>0.22890893335654983</c:v>
                </c:pt>
                <c:pt idx="174">
                  <c:v>0.2231373869759069</c:v>
                </c:pt>
                <c:pt idx="175">
                  <c:v>0.2173865758786262</c:v>
                </c:pt>
                <c:pt idx="176">
                  <c:v>0.21166247901603161</c:v>
                </c:pt>
                <c:pt idx="177">
                  <c:v>0.20597087422427382</c:v>
                </c:pt>
                <c:pt idx="178">
                  <c:v>0.20031733043738451</c:v>
                </c:pt>
                <c:pt idx="179">
                  <c:v>0.1947072006985737</c:v>
                </c:pt>
                <c:pt idx="180">
                  <c:v>0.18914561597203963</c:v>
                </c:pt>
                <c:pt idx="181">
                  <c:v>0.18363747975432304</c:v>
                </c:pt>
                <c:pt idx="182">
                  <c:v>0.17818746348109929</c:v>
                </c:pt>
                <c:pt idx="183">
                  <c:v>0.17280000272227755</c:v>
                </c:pt>
                <c:pt idx="184">
                  <c:v>0.16747929415535212</c:v>
                </c:pt>
                <c:pt idx="185">
                  <c:v>0.16222929330418065</c:v>
                </c:pt>
                <c:pt idx="186">
                  <c:v>0.1570537130277106</c:v>
                </c:pt>
                <c:pt idx="187">
                  <c:v>0.15195602274069356</c:v>
                </c:pt>
                <c:pt idx="188">
                  <c:v>0.14693944834608277</c:v>
                </c:pt>
                <c:pt idx="189">
                  <c:v>0.14200697285664771</c:v>
                </c:pt>
                <c:pt idx="190">
                  <c:v>0.1371613376813367</c:v>
                </c:pt>
                <c:pt idx="191">
                  <c:v>0.13240504455009261</c:v>
                </c:pt>
                <c:pt idx="192">
                  <c:v>0.12774035804918912</c:v>
                </c:pt>
                <c:pt idx="193">
                  <c:v>0.12316930873768138</c:v>
                </c:pt>
                <c:pt idx="194">
                  <c:v>0.11869369681429406</c:v>
                </c:pt>
                <c:pt idx="195">
                  <c:v>0.11431509630296083</c:v>
                </c:pt>
                <c:pt idx="196">
                  <c:v>0.11003485972432277</c:v>
                </c:pt>
                <c:pt idx="197">
                  <c:v>0.10585412321974706</c:v>
                </c:pt>
                <c:pt idx="198">
                  <c:v>0.10177381209387595</c:v>
                </c:pt>
                <c:pt idx="199">
                  <c:v>9.7794646741326E-2</c:v>
                </c:pt>
                <c:pt idx="200">
                  <c:v>9.3917148922940161E-2</c:v>
                </c:pt>
                <c:pt idx="201">
                  <c:v>9.0141648356948725E-2</c:v>
                </c:pt>
                <c:pt idx="202">
                  <c:v>8.6468289590491632E-2</c:v>
                </c:pt>
                <c:pt idx="203">
                  <c:v>8.2897039117220503E-2</c:v>
                </c:pt>
                <c:pt idx="204">
                  <c:v>7.942769270709038E-2</c:v>
                </c:pt>
                <c:pt idx="205">
                  <c:v>7.6059882914996213E-2</c:v>
                </c:pt>
                <c:pt idx="206">
                  <c:v>7.2793086735565712E-2</c:v>
                </c:pt>
                <c:pt idx="207">
                  <c:v>6.962663337221206E-2</c:v>
                </c:pt>
                <c:pt idx="208">
                  <c:v>6.655971208943702E-2</c:v>
                </c:pt>
                <c:pt idx="209">
                  <c:v>6.3591380118377214E-2</c:v>
                </c:pt>
                <c:pt idx="210">
                  <c:v>6.0720570586669929E-2</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1-D29F-4EBF-9962-F5E1AC4F0225}"/>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Estimation!$GW$4</c:f>
              <c:strCache>
                <c:ptCount val="1"/>
              </c:strCache>
            </c:strRef>
          </c:tx>
          <c:spPr>
            <a:ln w="28575" cap="rnd">
              <a:solidFill>
                <a:schemeClr val="bg1"/>
              </a:solidFill>
              <a:round/>
            </a:ln>
            <a:effectLst/>
          </c:spPr>
          <c:marker>
            <c:symbol val="none"/>
          </c:marker>
          <c:xVal>
            <c:numRef>
              <c:f>Estimation!$GQ$10:$GQ$268</c:f>
              <c:numCache>
                <c:formatCode>General</c:formatCode>
                <c:ptCount val="25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numCache>
            </c:numRef>
          </c:xVal>
          <c:yVal>
            <c:numRef>
              <c:f>Estimation!$HA$10:$HA$268</c:f>
              <c:numCache>
                <c:formatCode>General</c:formatCode>
                <c:ptCount val="259"/>
                <c:pt idx="0">
                  <c:v>3.3670900770639959E-3</c:v>
                </c:pt>
                <c:pt idx="1">
                  <c:v>3.6247646909920227E-3</c:v>
                </c:pt>
                <c:pt idx="2">
                  <c:v>3.8999198362770038E-3</c:v>
                </c:pt>
                <c:pt idx="3">
                  <c:v>4.1935547655993473E-3</c:v>
                </c:pt>
                <c:pt idx="4">
                  <c:v>4.5067112740675413E-3</c:v>
                </c:pt>
                <c:pt idx="5">
                  <c:v>4.8404744224978778E-3</c:v>
                </c:pt>
                <c:pt idx="6">
                  <c:v>5.1959731862444456E-3</c:v>
                </c:pt>
                <c:pt idx="7">
                  <c:v>5.5743810217063422E-3</c:v>
                </c:pt>
                <c:pt idx="8">
                  <c:v>5.9769163423966454E-3</c:v>
                </c:pt>
                <c:pt idx="9">
                  <c:v>6.4048428962354522E-3</c:v>
                </c:pt>
                <c:pt idx="10">
                  <c:v>6.859470035530551E-3</c:v>
                </c:pt>
                <c:pt idx="11">
                  <c:v>7.3421528709367023E-3</c:v>
                </c:pt>
                <c:pt idx="12">
                  <c:v>7.8542923005407734E-3</c:v>
                </c:pt>
                <c:pt idx="13">
                  <c:v>8.3973349051078925E-3</c:v>
                </c:pt>
                <c:pt idx="14">
                  <c:v>8.9727727004466455E-3</c:v>
                </c:pt>
                <c:pt idx="15">
                  <c:v>9.582142737811215E-3</c:v>
                </c:pt>
                <c:pt idx="16">
                  <c:v>1.0227026543258957E-2</c:v>
                </c:pt>
                <c:pt idx="17">
                  <c:v>1.0909049386925537E-2</c:v>
                </c:pt>
                <c:pt idx="18">
                  <c:v>1.1629879373268774E-2</c:v>
                </c:pt>
                <c:pt idx="19">
                  <c:v>1.2391226343470816E-2</c:v>
                </c:pt>
                <c:pt idx="20">
                  <c:v>1.319484058137666E-2</c:v>
                </c:pt>
                <c:pt idx="21">
                  <c:v>1.4042511314589688E-2</c:v>
                </c:pt>
                <c:pt idx="22">
                  <c:v>1.4936065002642981E-2</c:v>
                </c:pt>
                <c:pt idx="23">
                  <c:v>1.5877363404520849E-2</c:v>
                </c:pt>
                <c:pt idx="24">
                  <c:v>1.6868301418220717E-2</c:v>
                </c:pt>
                <c:pt idx="25">
                  <c:v>1.7910804685522155E-2</c:v>
                </c:pt>
                <c:pt idx="26">
                  <c:v>1.9006826955669413E-2</c:v>
                </c:pt>
                <c:pt idx="27">
                  <c:v>2.0158347202276675E-2</c:v>
                </c:pt>
                <c:pt idx="28">
                  <c:v>2.1367366488433549E-2</c:v>
                </c:pt>
                <c:pt idx="29">
                  <c:v>2.2635904575720501E-2</c:v>
                </c:pt>
                <c:pt idx="30">
                  <c:v>2.3965996273642005E-2</c:v>
                </c:pt>
                <c:pt idx="31">
                  <c:v>2.5359687526847842E-2</c:v>
                </c:pt>
                <c:pt idx="32">
                  <c:v>2.681903123843965E-2</c:v>
                </c:pt>
                <c:pt idx="33">
                  <c:v>2.8346082828649768E-2</c:v>
                </c:pt>
                <c:pt idx="34">
                  <c:v>2.9942895529230493E-2</c:v>
                </c:pt>
                <c:pt idx="35">
                  <c:v>3.161151541500333E-2</c:v>
                </c:pt>
                <c:pt idx="36">
                  <c:v>3.3353976175184367E-2</c:v>
                </c:pt>
                <c:pt idx="37">
                  <c:v>3.5172293628326232E-2</c:v>
                </c:pt>
                <c:pt idx="38">
                  <c:v>3.706845998598688E-2</c:v>
                </c:pt>
                <c:pt idx="39">
                  <c:v>3.9044437871557765E-2</c:v>
                </c:pt>
                <c:pt idx="40">
                  <c:v>4.1102154102044132E-2</c:v>
                </c:pt>
                <c:pt idx="41">
                  <c:v>4.3243493241990262E-2</c:v>
                </c:pt>
                <c:pt idx="42">
                  <c:v>4.5470290940174081E-2</c:v>
                </c:pt>
                <c:pt idx="43">
                  <c:v>4.7784327061153015E-2</c:v>
                </c:pt>
                <c:pt idx="44">
                  <c:v>5.0187318625221689E-2</c:v>
                </c:pt>
                <c:pt idx="45">
                  <c:v>5.2680912571830774E-2</c:v>
                </c:pt>
                <c:pt idx="46">
                  <c:v>5.5266678363017151E-2</c:v>
                </c:pt>
                <c:pt idx="47">
                  <c:v>5.7946100444885101E-2</c:v>
                </c:pt>
                <c:pt idx="48">
                  <c:v>6.0720570586669888E-2</c:v>
                </c:pt>
                <c:pt idx="49">
                  <c:v>6.3591380118377214E-2</c:v>
                </c:pt>
                <c:pt idx="50">
                  <c:v>6.6559712089436965E-2</c:v>
                </c:pt>
                <c:pt idx="51">
                  <c:v>6.962663337221206E-2</c:v>
                </c:pt>
                <c:pt idx="52">
                  <c:v>7.279308673556574E-2</c:v>
                </c:pt>
                <c:pt idx="53">
                  <c:v>7.6059882914996185E-2</c:v>
                </c:pt>
                <c:pt idx="54">
                  <c:v>7.9427692707090408E-2</c:v>
                </c:pt>
                <c:pt idx="55">
                  <c:v>8.2897039117220475E-2</c:v>
                </c:pt>
                <c:pt idx="56">
                  <c:v>8.6468289590491687E-2</c:v>
                </c:pt>
                <c:pt idx="57">
                  <c:v>9.014164835694867E-2</c:v>
                </c:pt>
                <c:pt idx="58">
                  <c:v>9.3917148922940161E-2</c:v>
                </c:pt>
                <c:pt idx="59">
                  <c:v>9.7794646741325916E-2</c:v>
                </c:pt>
                <c:pt idx="60">
                  <c:v>0.10177381209387595</c:v>
                </c:pt>
                <c:pt idx="61">
                  <c:v>0.10585412321974697</c:v>
                </c:pt>
                <c:pt idx="62">
                  <c:v>0.11003485972432274</c:v>
                </c:pt>
                <c:pt idx="63">
                  <c:v>0.11431509630296084</c:v>
                </c:pt>
                <c:pt idx="64">
                  <c:v>0.11869369681429402</c:v>
                </c:pt>
                <c:pt idx="65">
                  <c:v>0.12316930873768142</c:v>
                </c:pt>
                <c:pt idx="66">
                  <c:v>0.12774035804918907</c:v>
                </c:pt>
                <c:pt idx="67">
                  <c:v>0.13240504455009261</c:v>
                </c:pt>
                <c:pt idx="68">
                  <c:v>0.13716133768133662</c:v>
                </c:pt>
                <c:pt idx="69">
                  <c:v>0.14200697285664771</c:v>
                </c:pt>
                <c:pt idx="70">
                  <c:v>0.14693944834608266</c:v>
                </c:pt>
                <c:pt idx="71">
                  <c:v>0.15195602274069356</c:v>
                </c:pt>
                <c:pt idx="72">
                  <c:v>0.1570537130277106</c:v>
                </c:pt>
                <c:pt idx="73">
                  <c:v>0.16222929330418059</c:v>
                </c:pt>
                <c:pt idx="74">
                  <c:v>0.16747929415535215</c:v>
                </c:pt>
                <c:pt idx="75">
                  <c:v>0.17280000272227752</c:v>
                </c:pt>
                <c:pt idx="76">
                  <c:v>0.17818746348109932</c:v>
                </c:pt>
                <c:pt idx="77">
                  <c:v>0.18363747975432293</c:v>
                </c:pt>
                <c:pt idx="78">
                  <c:v>0.18914561597203963</c:v>
                </c:pt>
                <c:pt idx="79">
                  <c:v>0.19470720069857361</c:v>
                </c:pt>
                <c:pt idx="80">
                  <c:v>0.20031733043738451</c:v>
                </c:pt>
                <c:pt idx="81">
                  <c:v>0.2059708742242739</c:v>
                </c:pt>
                <c:pt idx="82">
                  <c:v>0.21166247901603158</c:v>
                </c:pt>
                <c:pt idx="83">
                  <c:v>0.21738657587862623</c:v>
                </c:pt>
                <c:pt idx="84">
                  <c:v>0.22313738697590677</c:v>
                </c:pt>
                <c:pt idx="85">
                  <c:v>0.22890893335654983</c:v>
                </c:pt>
                <c:pt idx="86">
                  <c:v>0.23469504353367848</c:v>
                </c:pt>
                <c:pt idx="87">
                  <c:v>0.24048936284820582</c:v>
                </c:pt>
                <c:pt idx="88">
                  <c:v>0.24628536360353334</c:v>
                </c:pt>
                <c:pt idx="89">
                  <c:v>0.25207635595578487</c:v>
                </c:pt>
                <c:pt idx="90">
                  <c:v>0.25785549954028941</c:v>
                </c:pt>
                <c:pt idx="91">
                  <c:v>0.26361581581156529</c:v>
                </c:pt>
                <c:pt idx="92">
                  <c:v>0.26935020107061902</c:v>
                </c:pt>
                <c:pt idx="93">
                  <c:v>0.27505144014997257</c:v>
                </c:pt>
                <c:pt idx="94">
                  <c:v>0.28071222072349411</c:v>
                </c:pt>
                <c:pt idx="95">
                  <c:v>0.28632514820484678</c:v>
                </c:pt>
                <c:pt idx="96">
                  <c:v>0.29188276119520318</c:v>
                </c:pt>
                <c:pt idx="97">
                  <c:v>0.29737754743782796</c:v>
                </c:pt>
                <c:pt idx="98">
                  <c:v>0.30280196023421319</c:v>
                </c:pt>
                <c:pt idx="99">
                  <c:v>0.30814843527368829</c:v>
                </c:pt>
                <c:pt idx="100">
                  <c:v>0.31340940782583288</c:v>
                </c:pt>
                <c:pt idx="101">
                  <c:v>0.31857733024261109</c:v>
                </c:pt>
                <c:pt idx="102">
                  <c:v>0.32364468971493993</c:v>
                </c:pt>
                <c:pt idx="103">
                  <c:v>0.3286040262264141</c:v>
                </c:pt>
                <c:pt idx="104">
                  <c:v>0.3334479506451507</c:v>
                </c:pt>
                <c:pt idx="105">
                  <c:v>0.33816916289320309</c:v>
                </c:pt>
                <c:pt idx="106">
                  <c:v>0.34276047013173222</c:v>
                </c:pt>
                <c:pt idx="107">
                  <c:v>0.34721480489913414</c:v>
                </c:pt>
                <c:pt idx="108">
                  <c:v>0.35152524313860362</c:v>
                </c:pt>
                <c:pt idx="109">
                  <c:v>0.35568502205117924</c:v>
                </c:pt>
                <c:pt idx="110">
                  <c:v>0.35968755771017369</c:v>
                </c:pt>
                <c:pt idx="111">
                  <c:v>0.36352646237304004</c:v>
                </c:pt>
                <c:pt idx="112">
                  <c:v>0.36719556142717458</c:v>
                </c:pt>
                <c:pt idx="113">
                  <c:v>0.37068890990689796</c:v>
                </c:pt>
                <c:pt idx="114">
                  <c:v>0.37400080851990369</c:v>
                </c:pt>
                <c:pt idx="115">
                  <c:v>0.37712581912279941</c:v>
                </c:pt>
                <c:pt idx="116">
                  <c:v>0.38005877958699552</c:v>
                </c:pt>
                <c:pt idx="117">
                  <c:v>0.38279481799811688</c:v>
                </c:pt>
                <c:pt idx="118">
                  <c:v>0.38532936613430413</c:v>
                </c:pt>
                <c:pt idx="119">
                  <c:v>0.38765817217124104</c:v>
                </c:pt>
                <c:pt idx="120">
                  <c:v>0.38977731256446624</c:v>
                </c:pt>
                <c:pt idx="121">
                  <c:v>0.39168320306250204</c:v>
                </c:pt>
                <c:pt idx="122">
                  <c:v>0.39337260880753866</c:v>
                </c:pt>
                <c:pt idx="123">
                  <c:v>0.39484265348383518</c:v>
                </c:pt>
                <c:pt idx="124">
                  <c:v>0.39609082747762636</c:v>
                </c:pt>
                <c:pt idx="125">
                  <c:v>0.39711499501613434</c:v>
                </c:pt>
                <c:pt idx="126">
                  <c:v>0.39791340025725958</c:v>
                </c:pt>
                <c:pt idx="127">
                  <c:v>0.39848467230564738</c:v>
                </c:pt>
                <c:pt idx="128">
                  <c:v>0.39882782913507253</c:v>
                </c:pt>
                <c:pt idx="129">
                  <c:v>0.3989422804014327</c:v>
                </c:pt>
                <c:pt idx="130">
                  <c:v>0.39882782913507253</c:v>
                </c:pt>
                <c:pt idx="131">
                  <c:v>0.39848467230564738</c:v>
                </c:pt>
                <c:pt idx="132">
                  <c:v>0.39791340025725958</c:v>
                </c:pt>
                <c:pt idx="133">
                  <c:v>0.39711499501613434</c:v>
                </c:pt>
                <c:pt idx="134">
                  <c:v>0.39609082747762636</c:v>
                </c:pt>
                <c:pt idx="135">
                  <c:v>0.39484265348383518</c:v>
                </c:pt>
                <c:pt idx="136">
                  <c:v>0.39337260880753866</c:v>
                </c:pt>
                <c:pt idx="137">
                  <c:v>0.39168320306250204</c:v>
                </c:pt>
                <c:pt idx="138">
                  <c:v>0.38977731256446624</c:v>
                </c:pt>
                <c:pt idx="139">
                  <c:v>0.38765817217124104</c:v>
                </c:pt>
                <c:pt idx="140">
                  <c:v>0.38532936613430413</c:v>
                </c:pt>
                <c:pt idx="141">
                  <c:v>0.38279481799811688</c:v>
                </c:pt>
                <c:pt idx="142">
                  <c:v>0.38005877958699552</c:v>
                </c:pt>
                <c:pt idx="143">
                  <c:v>0.37712581912279947</c:v>
                </c:pt>
                <c:pt idx="144">
                  <c:v>0.37400080851990375</c:v>
                </c:pt>
                <c:pt idx="145">
                  <c:v>0.37068890990689796</c:v>
                </c:pt>
                <c:pt idx="146">
                  <c:v>0.36719556142717458</c:v>
                </c:pt>
                <c:pt idx="147">
                  <c:v>0.36352646237304004</c:v>
                </c:pt>
                <c:pt idx="148">
                  <c:v>0.35968755771017369</c:v>
                </c:pt>
                <c:pt idx="149">
                  <c:v>0.35568502205117924</c:v>
                </c:pt>
                <c:pt idx="150">
                  <c:v>0.35152524313860362</c:v>
                </c:pt>
                <c:pt idx="151">
                  <c:v>0.34721480489913414</c:v>
                </c:pt>
                <c:pt idx="152">
                  <c:v>0.34276047013173222</c:v>
                </c:pt>
                <c:pt idx="153">
                  <c:v>0.3381691628932032</c:v>
                </c:pt>
                <c:pt idx="154">
                  <c:v>0.33344795064515081</c:v>
                </c:pt>
                <c:pt idx="155">
                  <c:v>0.3286040262264141</c:v>
                </c:pt>
                <c:pt idx="156">
                  <c:v>0.32364468971493993</c:v>
                </c:pt>
                <c:pt idx="157">
                  <c:v>0.31857733024261109</c:v>
                </c:pt>
                <c:pt idx="158">
                  <c:v>0.31340940782583288</c:v>
                </c:pt>
                <c:pt idx="159">
                  <c:v>0.30814843527368829</c:v>
                </c:pt>
                <c:pt idx="160">
                  <c:v>0.30280196023421319</c:v>
                </c:pt>
                <c:pt idx="161">
                  <c:v>0.29737754743782796</c:v>
                </c:pt>
                <c:pt idx="162">
                  <c:v>0.29188276119520318</c:v>
                </c:pt>
                <c:pt idx="163">
                  <c:v>0.28632514820484689</c:v>
                </c:pt>
                <c:pt idx="164">
                  <c:v>0.28071222072349422</c:v>
                </c:pt>
                <c:pt idx="165">
                  <c:v>0.27505144014997257</c:v>
                </c:pt>
                <c:pt idx="166">
                  <c:v>0.26935020107061902</c:v>
                </c:pt>
                <c:pt idx="167">
                  <c:v>0.26361581581156529</c:v>
                </c:pt>
                <c:pt idx="168">
                  <c:v>0.25785549954028952</c:v>
                </c:pt>
                <c:pt idx="169">
                  <c:v>0.25207635595578487</c:v>
                </c:pt>
                <c:pt idx="170">
                  <c:v>0.24628536360353348</c:v>
                </c:pt>
                <c:pt idx="171">
                  <c:v>0.24048936284820582</c:v>
                </c:pt>
                <c:pt idx="172">
                  <c:v>0.23469504353367862</c:v>
                </c:pt>
                <c:pt idx="173">
                  <c:v>0.22890893335654983</c:v>
                </c:pt>
                <c:pt idx="174">
                  <c:v>0.2231373869759069</c:v>
                </c:pt>
                <c:pt idx="175">
                  <c:v>0.2173865758786262</c:v>
                </c:pt>
                <c:pt idx="176">
                  <c:v>0.21166247901603161</c:v>
                </c:pt>
                <c:pt idx="177">
                  <c:v>0.20597087422427382</c:v>
                </c:pt>
                <c:pt idx="178">
                  <c:v>0.20031733043738451</c:v>
                </c:pt>
                <c:pt idx="179">
                  <c:v>0.1947072006985737</c:v>
                </c:pt>
                <c:pt idx="180">
                  <c:v>0.18914561597203963</c:v>
                </c:pt>
                <c:pt idx="181">
                  <c:v>0.18363747975432304</c:v>
                </c:pt>
                <c:pt idx="182">
                  <c:v>0.17818746348109929</c:v>
                </c:pt>
                <c:pt idx="183">
                  <c:v>0.17280000272227755</c:v>
                </c:pt>
                <c:pt idx="184">
                  <c:v>0.16747929415535212</c:v>
                </c:pt>
                <c:pt idx="185">
                  <c:v>0.16222929330418065</c:v>
                </c:pt>
                <c:pt idx="186">
                  <c:v>0.1570537130277106</c:v>
                </c:pt>
                <c:pt idx="187">
                  <c:v>0.15195602274069356</c:v>
                </c:pt>
                <c:pt idx="188">
                  <c:v>0.14693944834608277</c:v>
                </c:pt>
                <c:pt idx="189">
                  <c:v>0.14200697285664771</c:v>
                </c:pt>
                <c:pt idx="190">
                  <c:v>0.1371613376813367</c:v>
                </c:pt>
                <c:pt idx="191">
                  <c:v>0.13240504455009261</c:v>
                </c:pt>
                <c:pt idx="192">
                  <c:v>0.12774035804918912</c:v>
                </c:pt>
                <c:pt idx="193">
                  <c:v>0.12316930873768138</c:v>
                </c:pt>
                <c:pt idx="194">
                  <c:v>0.11869369681429406</c:v>
                </c:pt>
                <c:pt idx="195">
                  <c:v>0.11431509630296083</c:v>
                </c:pt>
                <c:pt idx="196">
                  <c:v>0.11003485972432277</c:v>
                </c:pt>
                <c:pt idx="197">
                  <c:v>0.10585412321974706</c:v>
                </c:pt>
                <c:pt idx="198">
                  <c:v>0.10177381209387595</c:v>
                </c:pt>
                <c:pt idx="199">
                  <c:v>9.7794646741326E-2</c:v>
                </c:pt>
                <c:pt idx="200">
                  <c:v>9.3917148922940161E-2</c:v>
                </c:pt>
                <c:pt idx="201">
                  <c:v>9.0141648356948725E-2</c:v>
                </c:pt>
                <c:pt idx="202">
                  <c:v>8.6468289590491632E-2</c:v>
                </c:pt>
                <c:pt idx="203">
                  <c:v>8.2897039117220503E-2</c:v>
                </c:pt>
                <c:pt idx="204">
                  <c:v>7.942769270709038E-2</c:v>
                </c:pt>
                <c:pt idx="205">
                  <c:v>7.6059882914996213E-2</c:v>
                </c:pt>
                <c:pt idx="206">
                  <c:v>7.2793086735565712E-2</c:v>
                </c:pt>
                <c:pt idx="207">
                  <c:v>6.962663337221206E-2</c:v>
                </c:pt>
                <c:pt idx="208">
                  <c:v>6.655971208943702E-2</c:v>
                </c:pt>
                <c:pt idx="209">
                  <c:v>6.3591380118377214E-2</c:v>
                </c:pt>
                <c:pt idx="210">
                  <c:v>6.0720570586669929E-2</c:v>
                </c:pt>
                <c:pt idx="211">
                  <c:v>5.7946100444885101E-2</c:v>
                </c:pt>
                <c:pt idx="212">
                  <c:v>5.5266678363017178E-2</c:v>
                </c:pt>
                <c:pt idx="213">
                  <c:v>5.2680912571830774E-2</c:v>
                </c:pt>
                <c:pt idx="214">
                  <c:v>5.0187318625221689E-2</c:v>
                </c:pt>
                <c:pt idx="215">
                  <c:v>4.7784327061153015E-2</c:v>
                </c:pt>
                <c:pt idx="216">
                  <c:v>4.5470290940174081E-2</c:v>
                </c:pt>
                <c:pt idx="217">
                  <c:v>4.3243493241990325E-2</c:v>
                </c:pt>
                <c:pt idx="218">
                  <c:v>4.1102154102044132E-2</c:v>
                </c:pt>
                <c:pt idx="219">
                  <c:v>3.9044437871557792E-2</c:v>
                </c:pt>
                <c:pt idx="220">
                  <c:v>3.706845998598688E-2</c:v>
                </c:pt>
                <c:pt idx="221">
                  <c:v>3.5172293628326259E-2</c:v>
                </c:pt>
                <c:pt idx="222">
                  <c:v>3.3353976175184367E-2</c:v>
                </c:pt>
                <c:pt idx="223">
                  <c:v>3.161151541500333E-2</c:v>
                </c:pt>
                <c:pt idx="224">
                  <c:v>2.9942895529230493E-2</c:v>
                </c:pt>
                <c:pt idx="225">
                  <c:v>2.8346082828649768E-2</c:v>
                </c:pt>
                <c:pt idx="226">
                  <c:v>2.6819031238439629E-2</c:v>
                </c:pt>
                <c:pt idx="227">
                  <c:v>2.5359687526847842E-2</c:v>
                </c:pt>
                <c:pt idx="228">
                  <c:v>2.3965996273642022E-2</c:v>
                </c:pt>
                <c:pt idx="229">
                  <c:v>2.2635904575720501E-2</c:v>
                </c:pt>
                <c:pt idx="230">
                  <c:v>2.136736648843357E-2</c:v>
                </c:pt>
                <c:pt idx="231">
                  <c:v>2.0158347202276675E-2</c:v>
                </c:pt>
                <c:pt idx="232">
                  <c:v>1.9006826955669437E-2</c:v>
                </c:pt>
                <c:pt idx="233">
                  <c:v>1.7910804685522155E-2</c:v>
                </c:pt>
                <c:pt idx="234">
                  <c:v>1.6868301418220717E-2</c:v>
                </c:pt>
                <c:pt idx="235">
                  <c:v>1.5877363404520835E-2</c:v>
                </c:pt>
                <c:pt idx="236">
                  <c:v>1.4936065002642981E-2</c:v>
                </c:pt>
                <c:pt idx="237">
                  <c:v>1.4042511314589706E-2</c:v>
                </c:pt>
                <c:pt idx="238">
                  <c:v>1.319484058137666E-2</c:v>
                </c:pt>
                <c:pt idx="239">
                  <c:v>1.2391226343470832E-2</c:v>
                </c:pt>
                <c:pt idx="240">
                  <c:v>1.1629879373268774E-2</c:v>
                </c:pt>
                <c:pt idx="241">
                  <c:v>1.0909049386925553E-2</c:v>
                </c:pt>
                <c:pt idx="242">
                  <c:v>1.0227026543258957E-2</c:v>
                </c:pt>
                <c:pt idx="243">
                  <c:v>9.582142737811215E-3</c:v>
                </c:pt>
                <c:pt idx="244">
                  <c:v>8.9727727004466386E-3</c:v>
                </c:pt>
                <c:pt idx="245">
                  <c:v>8.3973349051078925E-3</c:v>
                </c:pt>
                <c:pt idx="246">
                  <c:v>7.8542923005407612E-3</c:v>
                </c:pt>
                <c:pt idx="247">
                  <c:v>7.3421528709367023E-3</c:v>
                </c:pt>
                <c:pt idx="248">
                  <c:v>6.8594700355305563E-3</c:v>
                </c:pt>
                <c:pt idx="249">
                  <c:v>6.4048428962354522E-3</c:v>
                </c:pt>
                <c:pt idx="250">
                  <c:v>5.9769163423966497E-3</c:v>
                </c:pt>
                <c:pt idx="251">
                  <c:v>5.5743810217063422E-3</c:v>
                </c:pt>
                <c:pt idx="252">
                  <c:v>5.1959731862444561E-3</c:v>
                </c:pt>
                <c:pt idx="253">
                  <c:v>4.8404744224978778E-3</c:v>
                </c:pt>
                <c:pt idx="254">
                  <c:v>4.5067112740675413E-3</c:v>
                </c:pt>
                <c:pt idx="255">
                  <c:v>4.1935547655993438E-3</c:v>
                </c:pt>
                <c:pt idx="256">
                  <c:v>3.8999198362770038E-3</c:v>
                </c:pt>
                <c:pt idx="257">
                  <c:v>3.6247646909920261E-3</c:v>
                </c:pt>
                <c:pt idx="258">
                  <c:v>3.3670900770639959E-3</c:v>
                </c:pt>
              </c:numCache>
            </c:numRef>
          </c:yVal>
          <c:smooth val="1"/>
          <c:extLst>
            <c:ext xmlns:c16="http://schemas.microsoft.com/office/drawing/2014/chart" uri="{C3380CC4-5D6E-409C-BE32-E72D297353CC}">
              <c16:uniqueId val="{00000002-D29F-4EBF-9962-F5E1AC4F0225}"/>
            </c:ext>
          </c:extLst>
        </c:ser>
        <c:ser>
          <c:idx val="2"/>
          <c:order val="3"/>
          <c:tx>
            <c:strRef>
              <c:f>Estimation!$HE$5</c:f>
              <c:strCache>
                <c:ptCount val="1"/>
                <c:pt idx="0">
                  <c:v>2.5% mindre end 1.084</c:v>
                </c:pt>
              </c:strCache>
            </c:strRef>
          </c:tx>
          <c:spPr>
            <a:ln w="28575" cap="rnd">
              <a:solidFill>
                <a:schemeClr val="accent3"/>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Estimation!$HF$2</c:f>
              <c:numCache>
                <c:formatCode>General</c:formatCode>
                <c:ptCount val="1"/>
                <c:pt idx="0">
                  <c:v>25</c:v>
                </c:pt>
              </c:numCache>
            </c:numRef>
          </c:xVal>
          <c:yVal>
            <c:numRef>
              <c:f>Estimation!$HG$2</c:f>
              <c:numCache>
                <c:formatCode>General</c:formatCode>
                <c:ptCount val="1"/>
                <c:pt idx="0">
                  <c:v>1.6868301418220717E-2</c:v>
                </c:pt>
              </c:numCache>
            </c:numRef>
          </c:yVal>
          <c:smooth val="0"/>
          <c:extLst>
            <c:ext xmlns:c16="http://schemas.microsoft.com/office/drawing/2014/chart" uri="{C3380CC4-5D6E-409C-BE32-E72D297353CC}">
              <c16:uniqueId val="{00000003-D29F-4EBF-9962-F5E1AC4F0225}"/>
            </c:ext>
          </c:extLst>
        </c:ser>
        <c:ser>
          <c:idx val="5"/>
          <c:order val="4"/>
          <c:tx>
            <c:strRef>
              <c:f>Estimation!$HE$7</c:f>
              <c:strCache>
                <c:ptCount val="1"/>
                <c:pt idx="0">
                  <c:v>2.5% større end 2.624</c:v>
                </c:pt>
              </c:strCache>
            </c:strRef>
          </c:tx>
          <c:spPr>
            <a:ln w="28575" cap="rnd">
              <a:solidFill>
                <a:schemeClr val="accent6"/>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Estimation!$HF$4</c:f>
              <c:numCache>
                <c:formatCode>General</c:formatCode>
                <c:ptCount val="1"/>
                <c:pt idx="0">
                  <c:v>235</c:v>
                </c:pt>
              </c:numCache>
            </c:numRef>
          </c:xVal>
          <c:yVal>
            <c:numRef>
              <c:f>Estimation!$HG$4</c:f>
              <c:numCache>
                <c:formatCode>General</c:formatCode>
                <c:ptCount val="1"/>
                <c:pt idx="0">
                  <c:v>1.6868301418220717E-2</c:v>
                </c:pt>
              </c:numCache>
            </c:numRef>
          </c:yVal>
          <c:smooth val="0"/>
          <c:extLst>
            <c:ext xmlns:c16="http://schemas.microsoft.com/office/drawing/2014/chart" uri="{C3380CC4-5D6E-409C-BE32-E72D297353CC}">
              <c16:uniqueId val="{00000004-D29F-4EBF-9962-F5E1AC4F0225}"/>
            </c:ext>
          </c:extLst>
        </c:ser>
        <c:ser>
          <c:idx val="4"/>
          <c:order val="5"/>
          <c:tx>
            <c:strRef>
              <c:f>Estimation!$HE$6</c:f>
              <c:strCache>
                <c:ptCount val="1"/>
                <c:pt idx="0">
                  <c:v>95% mellem 1.084 og 2.624</c:v>
                </c:pt>
              </c:strCache>
            </c:strRef>
          </c:tx>
          <c:spPr>
            <a:ln w="28575" cap="rnd">
              <a:solidFill>
                <a:schemeClr val="accent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Estimation!$HF$3</c:f>
              <c:numCache>
                <c:formatCode>General</c:formatCode>
                <c:ptCount val="1"/>
                <c:pt idx="0">
                  <c:v>130</c:v>
                </c:pt>
              </c:numCache>
            </c:numRef>
          </c:xVal>
          <c:yVal>
            <c:numRef>
              <c:f>Estimation!$HG$3</c:f>
              <c:numCache>
                <c:formatCode>General</c:formatCode>
                <c:ptCount val="1"/>
                <c:pt idx="0">
                  <c:v>0.3989422804014327</c:v>
                </c:pt>
              </c:numCache>
            </c:numRef>
          </c:yVal>
          <c:smooth val="0"/>
          <c:extLst>
            <c:ext xmlns:c16="http://schemas.microsoft.com/office/drawing/2014/chart" uri="{C3380CC4-5D6E-409C-BE32-E72D297353CC}">
              <c16:uniqueId val="{00000005-D29F-4EBF-9962-F5E1AC4F0225}"/>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Estimation!$BI$11</c:f>
              <c:strCache>
                <c:ptCount val="1"/>
                <c:pt idx="0">
                  <c:v>Populationsestimat for intensitet fra stikprøver af størrelsen n = 12
fra en population med intensitet = 1.854</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none"/>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r"/>
      <c:legendEntry>
        <c:idx val="3"/>
        <c:delete val="1"/>
      </c:legendEntry>
      <c:legendEntry>
        <c:idx val="4"/>
        <c:delete val="1"/>
      </c:legendEntry>
      <c:legendEntry>
        <c:idx val="5"/>
        <c:delete val="1"/>
      </c:legendEntry>
      <c:layout>
        <c:manualLayout>
          <c:xMode val="edge"/>
          <c:yMode val="edge"/>
          <c:x val="0.91100022380923318"/>
          <c:y val="0.14837063319787316"/>
          <c:w val="8.8999776190766849E-2"/>
          <c:h val="0.239290151283037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Estimation!$BJ$10</c:f>
          <c:strCache>
            <c:ptCount val="1"/>
            <c:pt idx="0">
              <c:v>Hypotesetest om koefficient i regressionsmodel
Nulhypotesen om at koefficienten for Eksempel 1 (interval) er større end 0
kan ikke afvises med 95% konfidens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Estimation!$HV$9</c:f>
              <c:strCache>
                <c:ptCount val="1"/>
                <c:pt idx="0">
                  <c:v>Alternativ hypotese</c:v>
                </c:pt>
              </c:strCache>
            </c:strRef>
          </c:tx>
          <c:spPr>
            <a:solidFill>
              <a:schemeClr val="accent1"/>
            </a:solidFill>
            <a:ln w="25400">
              <a:noFill/>
            </a:ln>
            <a:effectLst/>
          </c:spPr>
          <c:cat>
            <c:strRef>
              <c:f>Estimation!$HX$10:$HX$268</c:f>
              <c:strCache>
                <c:ptCount val="176"/>
                <c:pt idx="129">
                  <c:v>0.000</c:v>
                </c:pt>
                <c:pt idx="175">
                  <c:v>0.341</c:v>
                </c:pt>
              </c:strCache>
            </c:strRef>
          </c:cat>
          <c:val>
            <c:numRef>
              <c:f>Estimation!$HV$10:$HV$268</c:f>
              <c:numCache>
                <c:formatCode>General</c:formatCode>
                <c:ptCount val="259"/>
                <c:pt idx="0">
                  <c:v>1.1566894571072798E-3</c:v>
                </c:pt>
                <c:pt idx="1">
                  <c:v>1.2130723617778491E-3</c:v>
                </c:pt>
                <c:pt idx="2">
                  <c:v>1.2724530798355995E-3</c:v>
                </c:pt>
                <c:pt idx="3">
                  <c:v>1.3350024886192569E-3</c:v>
                </c:pt>
                <c:pt idx="4">
                  <c:v>1.4009017297980497E-3</c:v>
                </c:pt>
                <c:pt idx="5">
                  <c:v>1.4703428466840097E-3</c:v>
                </c:pt>
                <c:pt idx="6">
                  <c:v>1.5435294614151312E-3</c:v>
                </c:pt>
                <c:pt idx="7">
                  <c:v>1.6206774944199514E-3</c:v>
                </c:pt>
                <c:pt idx="8">
                  <c:v>1.7020159287022905E-3</c:v>
                </c:pt>
                <c:pt idx="9">
                  <c:v>1.7877876216175568E-3</c:v>
                </c:pt>
                <c:pt idx="10">
                  <c:v>1.8782501669481135E-3</c:v>
                </c:pt>
                <c:pt idx="11">
                  <c:v>1.973676810225125E-3</c:v>
                </c:pt>
                <c:pt idx="12">
                  <c:v>2.0743574203867876E-3</c:v>
                </c:pt>
                <c:pt idx="13">
                  <c:v>2.1805995210078645E-3</c:v>
                </c:pt>
                <c:pt idx="14">
                  <c:v>2.292729384481872E-3</c:v>
                </c:pt>
                <c:pt idx="15">
                  <c:v>2.4110931926843594E-3</c:v>
                </c:pt>
                <c:pt idx="16">
                  <c:v>2.5360582677923203E-3</c:v>
                </c:pt>
                <c:pt idx="17">
                  <c:v>2.6680143770795384E-3</c:v>
                </c:pt>
                <c:pt idx="18">
                  <c:v>2.8073751156491695E-3</c:v>
                </c:pt>
                <c:pt idx="19">
                  <c:v>2.9545793712011021E-3</c:v>
                </c:pt>
                <c:pt idx="20">
                  <c:v>3.1100928750608663E-3</c:v>
                </c:pt>
                <c:pt idx="21">
                  <c:v>3.2744098438161496E-3</c:v>
                </c:pt>
                <c:pt idx="22">
                  <c:v>3.4480547160141268E-3</c:v>
                </c:pt>
                <c:pt idx="23">
                  <c:v>3.6315839884640427E-3</c:v>
                </c:pt>
                <c:pt idx="24">
                  <c:v>3.8255881567615399E-3</c:v>
                </c:pt>
                <c:pt idx="25">
                  <c:v>4.0306937646998392E-3</c:v>
                </c:pt>
                <c:pt idx="26">
                  <c:v>4.2475655672530406E-3</c:v>
                </c:pt>
                <c:pt idx="27">
                  <c:v>4.4769088118036685E-3</c:v>
                </c:pt>
                <c:pt idx="28">
                  <c:v>4.7194716422334568E-3</c:v>
                </c:pt>
                <c:pt idx="29">
                  <c:v>4.9760476303971407E-3</c:v>
                </c:pt>
                <c:pt idx="30">
                  <c:v>5.2474784393453646E-3</c:v>
                </c:pt>
                <c:pt idx="31">
                  <c:v>5.5346566224468898E-3</c:v>
                </c:pt>
                <c:pt idx="32">
                  <c:v>5.8385285622718358E-3</c:v>
                </c:pt>
                <c:pt idx="33">
                  <c:v>6.160097552727048E-3</c:v>
                </c:pt>
                <c:pt idx="34">
                  <c:v>6.5004270274693883E-3</c:v>
                </c:pt>
                <c:pt idx="35">
                  <c:v>6.8606439370502287E-3</c:v>
                </c:pt>
                <c:pt idx="36">
                  <c:v>7.2419422765507783E-3</c:v>
                </c:pt>
                <c:pt idx="37">
                  <c:v>7.6455867646367508E-3</c:v>
                </c:pt>
                <c:pt idx="38">
                  <c:v>8.0729166739766621E-3</c:v>
                </c:pt>
                <c:pt idx="39">
                  <c:v>8.5253498118103947E-3</c:v>
                </c:pt>
                <c:pt idx="40">
                  <c:v>9.0043866481057163E-3</c:v>
                </c:pt>
                <c:pt idx="41">
                  <c:v>9.511614587176604E-3</c:v>
                </c:pt>
                <c:pt idx="42">
                  <c:v>1.0048712376837356E-2</c:v>
                </c:pt>
                <c:pt idx="43">
                  <c:v>1.061745464710373E-2</c:v>
                </c:pt>
                <c:pt idx="44">
                  <c:v>1.1219716568102925E-2</c:v>
                </c:pt>
                <c:pt idx="45">
                  <c:v>1.1857478614188162E-2</c:v>
                </c:pt>
                <c:pt idx="46">
                  <c:v>1.2532831418244374E-2</c:v>
                </c:pt>
                <c:pt idx="47">
                  <c:v>1.3247980696787178E-2</c:v>
                </c:pt>
                <c:pt idx="48">
                  <c:v>1.4005252222668935E-2</c:v>
                </c:pt>
                <c:pt idx="49">
                  <c:v>1.4807096817980554E-2</c:v>
                </c:pt>
                <c:pt idx="50">
                  <c:v>1.5656095335046926E-2</c:v>
                </c:pt>
                <c:pt idx="51">
                  <c:v>1.6554963588224721E-2</c:v>
                </c:pt>
                <c:pt idx="52">
                  <c:v>1.750655719349652E-2</c:v>
                </c:pt>
                <c:pt idx="53">
                  <c:v>1.8513876266587268E-2</c:v>
                </c:pt>
                <c:pt idx="54">
                  <c:v>1.9580069923484249E-2</c:v>
                </c:pt>
                <c:pt idx="55">
                  <c:v>2.0708440519801124E-2</c:v>
                </c:pt>
                <c:pt idx="56">
                  <c:v>2.1902447557375637E-2</c:v>
                </c:pt>
                <c:pt idx="57">
                  <c:v>2.3165711177825694E-2</c:v>
                </c:pt>
                <c:pt idx="58">
                  <c:v>2.4502015153508718E-2</c:v>
                </c:pt>
                <c:pt idx="59">
                  <c:v>2.5915309276453989E-2</c:v>
                </c:pt>
                <c:pt idx="60">
                  <c:v>2.7409711035389889E-2</c:v>
                </c:pt>
                <c:pt idx="61">
                  <c:v>2.8989506460017089E-2</c:v>
                </c:pt>
                <c:pt idx="62">
                  <c:v>3.0659150000244034E-2</c:v>
                </c:pt>
                <c:pt idx="63">
                  <c:v>3.2423263296291388E-2</c:v>
                </c:pt>
                <c:pt idx="64">
                  <c:v>3.428663268349693E-2</c:v>
                </c:pt>
                <c:pt idx="65">
                  <c:v>3.6254205263453354E-2</c:v>
                </c:pt>
                <c:pt idx="66">
                  <c:v>3.8331083360961797E-2</c:v>
                </c:pt>
                <c:pt idx="67">
                  <c:v>4.0522517174392161E-2</c:v>
                </c:pt>
                <c:pt idx="68">
                  <c:v>4.2833895415660274E-2</c:v>
                </c:pt>
                <c:pt idx="69">
                  <c:v>4.5270733725450971E-2</c:v>
                </c:pt>
                <c:pt idx="70">
                  <c:v>4.7838660639883103E-2</c:v>
                </c:pt>
                <c:pt idx="71">
                  <c:v>5.0543400876907167E-2</c:v>
                </c:pt>
                <c:pt idx="72">
                  <c:v>5.3390755704805393E-2</c:v>
                </c:pt>
                <c:pt idx="73">
                  <c:v>5.6386580151706368E-2</c:v>
                </c:pt>
                <c:pt idx="74">
                  <c:v>5.9536756814595811E-2</c:v>
                </c:pt>
                <c:pt idx="75">
                  <c:v>6.2847166029487478E-2</c:v>
                </c:pt>
                <c:pt idx="76">
                  <c:v>6.6323652171868364E-2</c:v>
                </c:pt>
                <c:pt idx="77">
                  <c:v>6.9971985868934911E-2</c:v>
                </c:pt>
                <c:pt idx="78">
                  <c:v>7.3797821923210979E-2</c:v>
                </c:pt>
                <c:pt idx="79">
                  <c:v>7.7806652771627821E-2</c:v>
                </c:pt>
                <c:pt idx="80">
                  <c:v>8.2003757335797206E-2</c:v>
                </c:pt>
                <c:pt idx="81">
                  <c:v>8.6394145158752933E-2</c:v>
                </c:pt>
                <c:pt idx="82">
                  <c:v>9.0982495771573788E-2</c:v>
                </c:pt>
                <c:pt idx="83">
                  <c:v>9.5773093290658348E-2</c:v>
                </c:pt>
                <c:pt idx="84">
                  <c:v>0.10076975631354264</c:v>
                </c:pt>
                <c:pt idx="85">
                  <c:v>0.10597576325843158</c:v>
                </c:pt>
                <c:pt idx="86">
                  <c:v>0.11139377338028286</c:v>
                </c:pt>
                <c:pt idx="87">
                  <c:v>0.11702574379435818</c:v>
                </c:pt>
                <c:pt idx="88">
                  <c:v>0.12287284294637515</c:v>
                </c:pt>
                <c:pt idx="89">
                  <c:v>0.12893536108620499</c:v>
                </c:pt>
                <c:pt idx="90">
                  <c:v>0.13521261842852653</c:v>
                </c:pt>
                <c:pt idx="91">
                  <c:v>0.14170287181765592</c:v>
                </c:pt>
                <c:pt idx="92">
                  <c:v>0.1484032208531284</c:v>
                </c:pt>
                <c:pt idx="93">
                  <c:v>0.15530951457528158</c:v>
                </c:pt>
                <c:pt idx="94">
                  <c:v>0.16241625995329936</c:v>
                </c:pt>
                <c:pt idx="95">
                  <c:v>0.16971653355867566</c:v>
                </c:pt>
                <c:pt idx="96">
                  <c:v>0.17720189794105068</c:v>
                </c:pt>
                <c:pt idx="97">
                  <c:v>0.18486232434663522</c:v>
                </c:pt>
                <c:pt idx="98">
                  <c:v>0.19268612352727205</c:v>
                </c:pt>
                <c:pt idx="99">
                  <c:v>0.20065988647559618</c:v>
                </c:pt>
                <c:pt idx="100">
                  <c:v>0.20876843698347813</c:v>
                </c:pt>
                <c:pt idx="101">
                  <c:v>0.21699479795162499</c:v>
                </c:pt>
                <c:pt idx="102">
                  <c:v>0.22532017337259727</c:v>
                </c:pt>
                <c:pt idx="103">
                  <c:v>0.23372394786255571</c:v>
                </c:pt>
                <c:pt idx="104">
                  <c:v>0.24218370552426591</c:v>
                </c:pt>
                <c:pt idx="105">
                  <c:v>0.25067526978144983</c:v>
                </c:pt>
                <c:pt idx="106">
                  <c:v>0.25917276562967623</c:v>
                </c:pt>
                <c:pt idx="107">
                  <c:v>0.26764870550000192</c:v>
                </c:pt>
                <c:pt idx="108">
                  <c:v>0.27607409962841173</c:v>
                </c:pt>
                <c:pt idx="109">
                  <c:v>0.28441859146828474</c:v>
                </c:pt>
                <c:pt idx="110">
                  <c:v>0.29265061827805422</c:v>
                </c:pt>
                <c:pt idx="111">
                  <c:v>0.30073759656733073</c:v>
                </c:pt>
                <c:pt idx="112">
                  <c:v>0.30864613159943455</c:v>
                </c:pt>
                <c:pt idx="113">
                  <c:v>0.3163422496360116</c:v>
                </c:pt>
                <c:pt idx="114">
                  <c:v>0.32379165108150787</c:v>
                </c:pt>
                <c:pt idx="115">
                  <c:v>0.33095998215482658</c:v>
                </c:pt>
                <c:pt idx="116">
                  <c:v>0.3378131221968852</c:v>
                </c:pt>
                <c:pt idx="117">
                  <c:v>0.34431748323144512</c:v>
                </c:pt>
                <c:pt idx="118">
                  <c:v>0.35044031794837699</c:v>
                </c:pt>
                <c:pt idx="119">
                  <c:v>0.35615003188924521</c:v>
                </c:pt>
                <c:pt idx="120">
                  <c:v>0.36141649529983938</c:v>
                </c:pt>
                <c:pt idx="121">
                  <c:v>0.36621134988680171</c:v>
                </c:pt>
                <c:pt idx="122">
                  <c:v>0.37050830558756809</c:v>
                </c:pt>
                <c:pt idx="123">
                  <c:v>0.37428342244366131</c:v>
                </c:pt>
                <c:pt idx="124">
                  <c:v>0.37751537276303793</c:v>
                </c:pt>
                <c:pt idx="125">
                  <c:v>0.38018567897028177</c:v>
                </c:pt>
                <c:pt idx="126">
                  <c:v>0.38227892287272441</c:v>
                </c:pt>
                <c:pt idx="127">
                  <c:v>0.38378292251089163</c:v>
                </c:pt>
                <c:pt idx="128">
                  <c:v>0.38468887330394552</c:v>
                </c:pt>
                <c:pt idx="129">
                  <c:v>0.38499145083226738</c:v>
                </c:pt>
                <c:pt idx="130">
                  <c:v>0.38468887330394552</c:v>
                </c:pt>
                <c:pt idx="131">
                  <c:v>0.38378292251089163</c:v>
                </c:pt>
                <c:pt idx="132">
                  <c:v>0.38227892287272436</c:v>
                </c:pt>
                <c:pt idx="133">
                  <c:v>0.38018567897028177</c:v>
                </c:pt>
                <c:pt idx="134">
                  <c:v>0.37751537276303793</c:v>
                </c:pt>
                <c:pt idx="135">
                  <c:v>0.3742834224436612</c:v>
                </c:pt>
                <c:pt idx="136">
                  <c:v>0.37050830558756798</c:v>
                </c:pt>
                <c:pt idx="137">
                  <c:v>0.36621134988680171</c:v>
                </c:pt>
                <c:pt idx="138">
                  <c:v>0.36141649529983938</c:v>
                </c:pt>
                <c:pt idx="139">
                  <c:v>0.35615003188924504</c:v>
                </c:pt>
                <c:pt idx="140">
                  <c:v>0.35044031794837688</c:v>
                </c:pt>
                <c:pt idx="141">
                  <c:v>0.34431748323144512</c:v>
                </c:pt>
                <c:pt idx="142">
                  <c:v>0.3378131221968852</c:v>
                </c:pt>
                <c:pt idx="143">
                  <c:v>0.33095998215482636</c:v>
                </c:pt>
                <c:pt idx="144">
                  <c:v>0.3237916510815077</c:v>
                </c:pt>
                <c:pt idx="145">
                  <c:v>0.3163422496360116</c:v>
                </c:pt>
                <c:pt idx="146">
                  <c:v>0.30864613159943455</c:v>
                </c:pt>
                <c:pt idx="147">
                  <c:v>0.30073759656733073</c:v>
                </c:pt>
                <c:pt idx="148">
                  <c:v>0.29265061827805405</c:v>
                </c:pt>
                <c:pt idx="149">
                  <c:v>0.28441859146828452</c:v>
                </c:pt>
                <c:pt idx="150">
                  <c:v>0.27607409962841173</c:v>
                </c:pt>
                <c:pt idx="151">
                  <c:v>0.26764870550000192</c:v>
                </c:pt>
                <c:pt idx="152">
                  <c:v>0.25917276562967606</c:v>
                </c:pt>
                <c:pt idx="153">
                  <c:v>0.25067526978144972</c:v>
                </c:pt>
                <c:pt idx="154">
                  <c:v>0.24218370552426577</c:v>
                </c:pt>
                <c:pt idx="155">
                  <c:v>0.23372394786255571</c:v>
                </c:pt>
                <c:pt idx="156">
                  <c:v>0.2253201733725971</c:v>
                </c:pt>
                <c:pt idx="157">
                  <c:v>0.21699479795162491</c:v>
                </c:pt>
                <c:pt idx="158">
                  <c:v>0.20876843698347805</c:v>
                </c:pt>
                <c:pt idx="159">
                  <c:v>0.20065988647559618</c:v>
                </c:pt>
                <c:pt idx="160">
                  <c:v>0.19268612352727185</c:v>
                </c:pt>
                <c:pt idx="161">
                  <c:v>0.18486232434663508</c:v>
                </c:pt>
                <c:pt idx="162">
                  <c:v>0.1772018979410506</c:v>
                </c:pt>
                <c:pt idx="163">
                  <c:v>0.16971653355867558</c:v>
                </c:pt>
                <c:pt idx="164">
                  <c:v>0.16241625995329936</c:v>
                </c:pt>
                <c:pt idx="165">
                  <c:v>0.15530951457528139</c:v>
                </c:pt>
                <c:pt idx="166">
                  <c:v>0.14840322085312829</c:v>
                </c:pt>
                <c:pt idx="167">
                  <c:v>0.14170287181765581</c:v>
                </c:pt>
                <c:pt idx="168">
                  <c:v>0.13521261842852653</c:v>
                </c:pt>
                <c:pt idx="169">
                  <c:v>0.12893536108620479</c:v>
                </c:pt>
                <c:pt idx="170">
                  <c:v>0.1228728429463751</c:v>
                </c:pt>
                <c:pt idx="171">
                  <c:v>0.11702574379435811</c:v>
                </c:pt>
                <c:pt idx="172">
                  <c:v>0.11139377338028286</c:v>
                </c:pt>
                <c:pt idx="173">
                  <c:v>0.10597576325843147</c:v>
                </c:pt>
                <c:pt idx="174">
                  <c:v>0.10076975631354256</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0-B65F-49D8-8B34-644D7A6B279F}"/>
            </c:ext>
          </c:extLst>
        </c:ser>
        <c:ser>
          <c:idx val="1"/>
          <c:order val="1"/>
          <c:tx>
            <c:strRef>
              <c:f>Estimation!$HW$9</c:f>
              <c:strCache>
                <c:ptCount val="1"/>
                <c:pt idx="0">
                  <c:v>Nulhypotese</c:v>
                </c:pt>
              </c:strCache>
            </c:strRef>
          </c:tx>
          <c:spPr>
            <a:solidFill>
              <a:schemeClr val="accent2"/>
            </a:solidFill>
            <a:ln w="25400">
              <a:noFill/>
            </a:ln>
            <a:effectLst/>
          </c:spPr>
          <c:cat>
            <c:strRef>
              <c:f>Estimation!$HX$10:$HX$268</c:f>
              <c:strCache>
                <c:ptCount val="176"/>
                <c:pt idx="129">
                  <c:v>0.000</c:v>
                </c:pt>
                <c:pt idx="175">
                  <c:v>0.341</c:v>
                </c:pt>
              </c:strCache>
            </c:strRef>
          </c:cat>
          <c:val>
            <c:numRef>
              <c:f>Estimation!$HW$10:$HW$268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9.5773093290658293E-2</c:v>
                </c:pt>
                <c:pt idx="176">
                  <c:v>9.0982495771573788E-2</c:v>
                </c:pt>
                <c:pt idx="177">
                  <c:v>8.6394145158752933E-2</c:v>
                </c:pt>
                <c:pt idx="178">
                  <c:v>8.2003757335797123E-2</c:v>
                </c:pt>
                <c:pt idx="179">
                  <c:v>7.7806652771627752E-2</c:v>
                </c:pt>
                <c:pt idx="180">
                  <c:v>7.3797821923210966E-2</c:v>
                </c:pt>
                <c:pt idx="181">
                  <c:v>6.9971985868934911E-2</c:v>
                </c:pt>
                <c:pt idx="182">
                  <c:v>6.6323652171868239E-2</c:v>
                </c:pt>
                <c:pt idx="183">
                  <c:v>6.2847166029487422E-2</c:v>
                </c:pt>
                <c:pt idx="184">
                  <c:v>5.9536756814595783E-2</c:v>
                </c:pt>
                <c:pt idx="185">
                  <c:v>5.6386580151706368E-2</c:v>
                </c:pt>
                <c:pt idx="186">
                  <c:v>5.3390755704805351E-2</c:v>
                </c:pt>
                <c:pt idx="187">
                  <c:v>5.0543400876907167E-2</c:v>
                </c:pt>
                <c:pt idx="188">
                  <c:v>4.7838660639883096E-2</c:v>
                </c:pt>
                <c:pt idx="189">
                  <c:v>4.5270733725450971E-2</c:v>
                </c:pt>
                <c:pt idx="190">
                  <c:v>4.2833895415660177E-2</c:v>
                </c:pt>
                <c:pt idx="191">
                  <c:v>4.0522517174392161E-2</c:v>
                </c:pt>
                <c:pt idx="192">
                  <c:v>3.8331083360961776E-2</c:v>
                </c:pt>
                <c:pt idx="193">
                  <c:v>3.6254205263453354E-2</c:v>
                </c:pt>
                <c:pt idx="194">
                  <c:v>3.428663268349693E-2</c:v>
                </c:pt>
                <c:pt idx="195">
                  <c:v>3.2423263296291346E-2</c:v>
                </c:pt>
                <c:pt idx="196">
                  <c:v>3.0659150000243988E-2</c:v>
                </c:pt>
                <c:pt idx="197">
                  <c:v>2.8989506460017054E-2</c:v>
                </c:pt>
                <c:pt idx="198">
                  <c:v>2.7409711035389889E-2</c:v>
                </c:pt>
                <c:pt idx="199">
                  <c:v>2.5915309276453979E-2</c:v>
                </c:pt>
                <c:pt idx="200">
                  <c:v>2.4502015153508718E-2</c:v>
                </c:pt>
                <c:pt idx="201">
                  <c:v>2.3165711177825673E-2</c:v>
                </c:pt>
                <c:pt idx="202">
                  <c:v>2.1902447557375637E-2</c:v>
                </c:pt>
                <c:pt idx="203">
                  <c:v>2.0708440519801093E-2</c:v>
                </c:pt>
                <c:pt idx="204">
                  <c:v>1.9580069923484249E-2</c:v>
                </c:pt>
                <c:pt idx="205">
                  <c:v>1.8513876266587247E-2</c:v>
                </c:pt>
                <c:pt idx="206">
                  <c:v>1.750655719349652E-2</c:v>
                </c:pt>
                <c:pt idx="207">
                  <c:v>1.6554963588224707E-2</c:v>
                </c:pt>
                <c:pt idx="208">
                  <c:v>1.5656095335046905E-2</c:v>
                </c:pt>
                <c:pt idx="209">
                  <c:v>1.4807096817980541E-2</c:v>
                </c:pt>
                <c:pt idx="210">
                  <c:v>1.4005252222668935E-2</c:v>
                </c:pt>
                <c:pt idx="211">
                  <c:v>1.3247980696787178E-2</c:v>
                </c:pt>
                <c:pt idx="212">
                  <c:v>1.2532831418244361E-2</c:v>
                </c:pt>
                <c:pt idx="213">
                  <c:v>1.1857478614188162E-2</c:v>
                </c:pt>
                <c:pt idx="214">
                  <c:v>1.1219716568102925E-2</c:v>
                </c:pt>
                <c:pt idx="215">
                  <c:v>1.061745464710373E-2</c:v>
                </c:pt>
                <c:pt idx="216">
                  <c:v>1.0048712376837356E-2</c:v>
                </c:pt>
                <c:pt idx="217">
                  <c:v>9.511614587176604E-3</c:v>
                </c:pt>
                <c:pt idx="218">
                  <c:v>9.0043866481057076E-3</c:v>
                </c:pt>
                <c:pt idx="219">
                  <c:v>8.5253498118103913E-3</c:v>
                </c:pt>
                <c:pt idx="220">
                  <c:v>8.0729166739766517E-3</c:v>
                </c:pt>
                <c:pt idx="221">
                  <c:v>7.645586764636743E-3</c:v>
                </c:pt>
                <c:pt idx="222">
                  <c:v>7.2419422765507679E-3</c:v>
                </c:pt>
                <c:pt idx="223">
                  <c:v>6.8606439370502287E-3</c:v>
                </c:pt>
                <c:pt idx="224">
                  <c:v>6.5004270274693883E-3</c:v>
                </c:pt>
                <c:pt idx="225">
                  <c:v>6.160097552727048E-3</c:v>
                </c:pt>
                <c:pt idx="226">
                  <c:v>5.8385285622718358E-3</c:v>
                </c:pt>
                <c:pt idx="227">
                  <c:v>5.5346566224468846E-3</c:v>
                </c:pt>
                <c:pt idx="228">
                  <c:v>5.2474784393453577E-3</c:v>
                </c:pt>
                <c:pt idx="229">
                  <c:v>4.976047630397132E-3</c:v>
                </c:pt>
                <c:pt idx="230">
                  <c:v>4.7194716422334559E-3</c:v>
                </c:pt>
                <c:pt idx="231">
                  <c:v>4.4769088118036685E-3</c:v>
                </c:pt>
                <c:pt idx="232">
                  <c:v>4.2475655672530406E-3</c:v>
                </c:pt>
                <c:pt idx="233">
                  <c:v>4.0306937646998392E-3</c:v>
                </c:pt>
                <c:pt idx="234">
                  <c:v>3.8255881567615399E-3</c:v>
                </c:pt>
                <c:pt idx="235">
                  <c:v>3.6315839884640327E-3</c:v>
                </c:pt>
                <c:pt idx="236">
                  <c:v>3.4480547160141203E-3</c:v>
                </c:pt>
                <c:pt idx="237">
                  <c:v>3.2744098438161427E-3</c:v>
                </c:pt>
                <c:pt idx="238">
                  <c:v>3.1100928750608632E-3</c:v>
                </c:pt>
                <c:pt idx="239">
                  <c:v>2.9545793712011021E-3</c:v>
                </c:pt>
                <c:pt idx="240">
                  <c:v>2.8073751156491695E-3</c:v>
                </c:pt>
                <c:pt idx="241">
                  <c:v>2.6680143770795384E-3</c:v>
                </c:pt>
                <c:pt idx="242">
                  <c:v>2.5360582677923203E-3</c:v>
                </c:pt>
                <c:pt idx="243">
                  <c:v>2.4110931926843594E-3</c:v>
                </c:pt>
                <c:pt idx="244">
                  <c:v>2.2927293844818694E-3</c:v>
                </c:pt>
                <c:pt idx="245">
                  <c:v>2.1805995210078624E-3</c:v>
                </c:pt>
                <c:pt idx="246">
                  <c:v>2.0743574203867855E-3</c:v>
                </c:pt>
                <c:pt idx="247">
                  <c:v>1.9736768102251228E-3</c:v>
                </c:pt>
                <c:pt idx="248">
                  <c:v>1.8782501669481135E-3</c:v>
                </c:pt>
                <c:pt idx="249">
                  <c:v>1.7877876216175568E-3</c:v>
                </c:pt>
                <c:pt idx="250">
                  <c:v>1.7020159287022905E-3</c:v>
                </c:pt>
                <c:pt idx="251">
                  <c:v>1.6206774944199514E-3</c:v>
                </c:pt>
                <c:pt idx="252">
                  <c:v>1.5435294614151295E-3</c:v>
                </c:pt>
                <c:pt idx="253">
                  <c:v>1.4703428466840082E-3</c:v>
                </c:pt>
                <c:pt idx="254">
                  <c:v>1.4009017297980497E-3</c:v>
                </c:pt>
                <c:pt idx="255">
                  <c:v>1.3350024886192543E-3</c:v>
                </c:pt>
                <c:pt idx="256">
                  <c:v>1.2724530798355995E-3</c:v>
                </c:pt>
                <c:pt idx="257">
                  <c:v>1.2130723617778491E-3</c:v>
                </c:pt>
                <c:pt idx="258">
                  <c:v>1.1566894571072798E-3</c:v>
                </c:pt>
              </c:numCache>
            </c:numRef>
          </c:val>
          <c:extLst>
            <c:ext xmlns:c16="http://schemas.microsoft.com/office/drawing/2014/chart" uri="{C3380CC4-5D6E-409C-BE32-E72D297353CC}">
              <c16:uniqueId val="{00000001-B65F-49D8-8B34-644D7A6B279F}"/>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Estimation!$HQ$4</c:f>
              <c:strCache>
                <c:ptCount val="1"/>
              </c:strCache>
            </c:strRef>
          </c:tx>
          <c:spPr>
            <a:ln w="28575" cap="rnd">
              <a:solidFill>
                <a:schemeClr val="bg1"/>
              </a:solidFill>
              <a:round/>
            </a:ln>
            <a:effectLst/>
          </c:spPr>
          <c:marker>
            <c:symbol val="none"/>
          </c:marker>
          <c:xVal>
            <c:numRef>
              <c:f>Estimation!$HK$10:$HK$268</c:f>
              <c:numCache>
                <c:formatCode>General</c:formatCode>
                <c:ptCount val="25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numCache>
            </c:numRef>
          </c:xVal>
          <c:yVal>
            <c:numRef>
              <c:f>Estimation!$HU$10:$HU$268</c:f>
              <c:numCache>
                <c:formatCode>General</c:formatCode>
                <c:ptCount val="259"/>
                <c:pt idx="0">
                  <c:v>1.1566894571072798E-3</c:v>
                </c:pt>
                <c:pt idx="1">
                  <c:v>1.2130723617778491E-3</c:v>
                </c:pt>
                <c:pt idx="2">
                  <c:v>1.2724530798355995E-3</c:v>
                </c:pt>
                <c:pt idx="3">
                  <c:v>1.3350024886192569E-3</c:v>
                </c:pt>
                <c:pt idx="4">
                  <c:v>1.4009017297980497E-3</c:v>
                </c:pt>
                <c:pt idx="5">
                  <c:v>1.4703428466840097E-3</c:v>
                </c:pt>
                <c:pt idx="6">
                  <c:v>1.5435294614151312E-3</c:v>
                </c:pt>
                <c:pt idx="7">
                  <c:v>1.6206774944199514E-3</c:v>
                </c:pt>
                <c:pt idx="8">
                  <c:v>1.7020159287022905E-3</c:v>
                </c:pt>
                <c:pt idx="9">
                  <c:v>1.7877876216175568E-3</c:v>
                </c:pt>
                <c:pt idx="10">
                  <c:v>1.8782501669481135E-3</c:v>
                </c:pt>
                <c:pt idx="11">
                  <c:v>1.973676810225125E-3</c:v>
                </c:pt>
                <c:pt idx="12">
                  <c:v>2.0743574203867876E-3</c:v>
                </c:pt>
                <c:pt idx="13">
                  <c:v>2.1805995210078645E-3</c:v>
                </c:pt>
                <c:pt idx="14">
                  <c:v>2.292729384481872E-3</c:v>
                </c:pt>
                <c:pt idx="15">
                  <c:v>2.4110931926843594E-3</c:v>
                </c:pt>
                <c:pt idx="16">
                  <c:v>2.5360582677923203E-3</c:v>
                </c:pt>
                <c:pt idx="17">
                  <c:v>2.6680143770795384E-3</c:v>
                </c:pt>
                <c:pt idx="18">
                  <c:v>2.8073751156491695E-3</c:v>
                </c:pt>
                <c:pt idx="19">
                  <c:v>2.9545793712011021E-3</c:v>
                </c:pt>
                <c:pt idx="20">
                  <c:v>3.1100928750608663E-3</c:v>
                </c:pt>
                <c:pt idx="21">
                  <c:v>3.2744098438161496E-3</c:v>
                </c:pt>
                <c:pt idx="22">
                  <c:v>3.4480547160141268E-3</c:v>
                </c:pt>
                <c:pt idx="23">
                  <c:v>3.6315839884640427E-3</c:v>
                </c:pt>
                <c:pt idx="24">
                  <c:v>3.8255881567615399E-3</c:v>
                </c:pt>
                <c:pt idx="25">
                  <c:v>4.0306937646998392E-3</c:v>
                </c:pt>
                <c:pt idx="26">
                  <c:v>4.2475655672530406E-3</c:v>
                </c:pt>
                <c:pt idx="27">
                  <c:v>4.4769088118036685E-3</c:v>
                </c:pt>
                <c:pt idx="28">
                  <c:v>4.7194716422334568E-3</c:v>
                </c:pt>
                <c:pt idx="29">
                  <c:v>4.9760476303971407E-3</c:v>
                </c:pt>
                <c:pt idx="30">
                  <c:v>5.2474784393453646E-3</c:v>
                </c:pt>
                <c:pt idx="31">
                  <c:v>5.5346566224468898E-3</c:v>
                </c:pt>
                <c:pt idx="32">
                  <c:v>5.8385285622718358E-3</c:v>
                </c:pt>
                <c:pt idx="33">
                  <c:v>6.160097552727048E-3</c:v>
                </c:pt>
                <c:pt idx="34">
                  <c:v>6.5004270274693883E-3</c:v>
                </c:pt>
                <c:pt idx="35">
                  <c:v>6.8606439370502287E-3</c:v>
                </c:pt>
                <c:pt idx="36">
                  <c:v>7.2419422765507783E-3</c:v>
                </c:pt>
                <c:pt idx="37">
                  <c:v>7.6455867646367508E-3</c:v>
                </c:pt>
                <c:pt idx="38">
                  <c:v>8.0729166739766621E-3</c:v>
                </c:pt>
                <c:pt idx="39">
                  <c:v>8.5253498118103947E-3</c:v>
                </c:pt>
                <c:pt idx="40">
                  <c:v>9.0043866481057163E-3</c:v>
                </c:pt>
                <c:pt idx="41">
                  <c:v>9.511614587176604E-3</c:v>
                </c:pt>
                <c:pt idx="42">
                  <c:v>1.0048712376837356E-2</c:v>
                </c:pt>
                <c:pt idx="43">
                  <c:v>1.061745464710373E-2</c:v>
                </c:pt>
                <c:pt idx="44">
                  <c:v>1.1219716568102925E-2</c:v>
                </c:pt>
                <c:pt idx="45">
                  <c:v>1.1857478614188162E-2</c:v>
                </c:pt>
                <c:pt idx="46">
                  <c:v>1.2532831418244374E-2</c:v>
                </c:pt>
                <c:pt idx="47">
                  <c:v>1.3247980696787178E-2</c:v>
                </c:pt>
                <c:pt idx="48">
                  <c:v>1.4005252222668935E-2</c:v>
                </c:pt>
                <c:pt idx="49">
                  <c:v>1.4807096817980554E-2</c:v>
                </c:pt>
                <c:pt idx="50">
                  <c:v>1.5656095335046926E-2</c:v>
                </c:pt>
                <c:pt idx="51">
                  <c:v>1.6554963588224721E-2</c:v>
                </c:pt>
                <c:pt idx="52">
                  <c:v>1.750655719349652E-2</c:v>
                </c:pt>
                <c:pt idx="53">
                  <c:v>1.8513876266587268E-2</c:v>
                </c:pt>
                <c:pt idx="54">
                  <c:v>1.9580069923484249E-2</c:v>
                </c:pt>
                <c:pt idx="55">
                  <c:v>2.0708440519801124E-2</c:v>
                </c:pt>
                <c:pt idx="56">
                  <c:v>2.1902447557375637E-2</c:v>
                </c:pt>
                <c:pt idx="57">
                  <c:v>2.3165711177825694E-2</c:v>
                </c:pt>
                <c:pt idx="58">
                  <c:v>2.4502015153508718E-2</c:v>
                </c:pt>
                <c:pt idx="59">
                  <c:v>2.5915309276453989E-2</c:v>
                </c:pt>
                <c:pt idx="60">
                  <c:v>2.7409711035389889E-2</c:v>
                </c:pt>
                <c:pt idx="61">
                  <c:v>2.8989506460017089E-2</c:v>
                </c:pt>
                <c:pt idx="62">
                  <c:v>3.0659150000244034E-2</c:v>
                </c:pt>
                <c:pt idx="63">
                  <c:v>3.2423263296291388E-2</c:v>
                </c:pt>
                <c:pt idx="64">
                  <c:v>3.428663268349693E-2</c:v>
                </c:pt>
                <c:pt idx="65">
                  <c:v>3.6254205263453354E-2</c:v>
                </c:pt>
                <c:pt idx="66">
                  <c:v>3.8331083360961797E-2</c:v>
                </c:pt>
                <c:pt idx="67">
                  <c:v>4.0522517174392161E-2</c:v>
                </c:pt>
                <c:pt idx="68">
                  <c:v>4.2833895415660274E-2</c:v>
                </c:pt>
                <c:pt idx="69">
                  <c:v>4.5270733725450971E-2</c:v>
                </c:pt>
                <c:pt idx="70">
                  <c:v>4.7838660639883103E-2</c:v>
                </c:pt>
                <c:pt idx="71">
                  <c:v>5.0543400876907167E-2</c:v>
                </c:pt>
                <c:pt idx="72">
                  <c:v>5.3390755704805393E-2</c:v>
                </c:pt>
                <c:pt idx="73">
                  <c:v>5.6386580151706368E-2</c:v>
                </c:pt>
                <c:pt idx="74">
                  <c:v>5.9536756814595811E-2</c:v>
                </c:pt>
                <c:pt idx="75">
                  <c:v>6.2847166029487478E-2</c:v>
                </c:pt>
                <c:pt idx="76">
                  <c:v>6.6323652171868364E-2</c:v>
                </c:pt>
                <c:pt idx="77">
                  <c:v>6.9971985868934911E-2</c:v>
                </c:pt>
                <c:pt idx="78">
                  <c:v>7.3797821923210979E-2</c:v>
                </c:pt>
                <c:pt idx="79">
                  <c:v>7.7806652771627821E-2</c:v>
                </c:pt>
                <c:pt idx="80">
                  <c:v>8.2003757335797206E-2</c:v>
                </c:pt>
                <c:pt idx="81">
                  <c:v>8.6394145158752933E-2</c:v>
                </c:pt>
                <c:pt idx="82">
                  <c:v>9.0982495771573788E-2</c:v>
                </c:pt>
                <c:pt idx="83">
                  <c:v>9.5773093290658348E-2</c:v>
                </c:pt>
                <c:pt idx="84">
                  <c:v>0.10076975631354264</c:v>
                </c:pt>
                <c:pt idx="85">
                  <c:v>0.10597576325843158</c:v>
                </c:pt>
                <c:pt idx="86">
                  <c:v>0.11139377338028286</c:v>
                </c:pt>
                <c:pt idx="87">
                  <c:v>0.11702574379435818</c:v>
                </c:pt>
                <c:pt idx="88">
                  <c:v>0.12287284294637515</c:v>
                </c:pt>
                <c:pt idx="89">
                  <c:v>0.12893536108620499</c:v>
                </c:pt>
                <c:pt idx="90">
                  <c:v>0.13521261842852653</c:v>
                </c:pt>
                <c:pt idx="91">
                  <c:v>0.14170287181765592</c:v>
                </c:pt>
                <c:pt idx="92">
                  <c:v>0.1484032208531284</c:v>
                </c:pt>
                <c:pt idx="93">
                  <c:v>0.15530951457528158</c:v>
                </c:pt>
                <c:pt idx="94">
                  <c:v>0.16241625995329936</c:v>
                </c:pt>
                <c:pt idx="95">
                  <c:v>0.16971653355867566</c:v>
                </c:pt>
                <c:pt idx="96">
                  <c:v>0.17720189794105068</c:v>
                </c:pt>
                <c:pt idx="97">
                  <c:v>0.18486232434663522</c:v>
                </c:pt>
                <c:pt idx="98">
                  <c:v>0.19268612352727205</c:v>
                </c:pt>
                <c:pt idx="99">
                  <c:v>0.20065988647559618</c:v>
                </c:pt>
                <c:pt idx="100">
                  <c:v>0.20876843698347813</c:v>
                </c:pt>
                <c:pt idx="101">
                  <c:v>0.21699479795162499</c:v>
                </c:pt>
                <c:pt idx="102">
                  <c:v>0.22532017337259727</c:v>
                </c:pt>
                <c:pt idx="103">
                  <c:v>0.23372394786255571</c:v>
                </c:pt>
                <c:pt idx="104">
                  <c:v>0.24218370552426591</c:v>
                </c:pt>
                <c:pt idx="105">
                  <c:v>0.25067526978144983</c:v>
                </c:pt>
                <c:pt idx="106">
                  <c:v>0.25917276562967623</c:v>
                </c:pt>
                <c:pt idx="107">
                  <c:v>0.26764870550000192</c:v>
                </c:pt>
                <c:pt idx="108">
                  <c:v>0.27607409962841173</c:v>
                </c:pt>
                <c:pt idx="109">
                  <c:v>0.28441859146828474</c:v>
                </c:pt>
                <c:pt idx="110">
                  <c:v>0.29265061827805422</c:v>
                </c:pt>
                <c:pt idx="111">
                  <c:v>0.30073759656733073</c:v>
                </c:pt>
                <c:pt idx="112">
                  <c:v>0.30864613159943455</c:v>
                </c:pt>
                <c:pt idx="113">
                  <c:v>0.3163422496360116</c:v>
                </c:pt>
                <c:pt idx="114">
                  <c:v>0.32379165108150787</c:v>
                </c:pt>
                <c:pt idx="115">
                  <c:v>0.33095998215482658</c:v>
                </c:pt>
                <c:pt idx="116">
                  <c:v>0.3378131221968852</c:v>
                </c:pt>
                <c:pt idx="117">
                  <c:v>0.34431748323144512</c:v>
                </c:pt>
                <c:pt idx="118">
                  <c:v>0.35044031794837699</c:v>
                </c:pt>
                <c:pt idx="119">
                  <c:v>0.35615003188924521</c:v>
                </c:pt>
                <c:pt idx="120">
                  <c:v>0.36141649529983938</c:v>
                </c:pt>
                <c:pt idx="121">
                  <c:v>0.36621134988680171</c:v>
                </c:pt>
                <c:pt idx="122">
                  <c:v>0.37050830558756809</c:v>
                </c:pt>
                <c:pt idx="123">
                  <c:v>0.37428342244366131</c:v>
                </c:pt>
                <c:pt idx="124">
                  <c:v>0.37751537276303793</c:v>
                </c:pt>
                <c:pt idx="125">
                  <c:v>0.38018567897028177</c:v>
                </c:pt>
                <c:pt idx="126">
                  <c:v>0.38227892287272441</c:v>
                </c:pt>
                <c:pt idx="127">
                  <c:v>0.38378292251089163</c:v>
                </c:pt>
                <c:pt idx="128">
                  <c:v>0.38468887330394552</c:v>
                </c:pt>
                <c:pt idx="129">
                  <c:v>0.38499145083226738</c:v>
                </c:pt>
                <c:pt idx="130">
                  <c:v>0.38468887330394552</c:v>
                </c:pt>
                <c:pt idx="131">
                  <c:v>0.38378292251089163</c:v>
                </c:pt>
                <c:pt idx="132">
                  <c:v>0.38227892287272436</c:v>
                </c:pt>
                <c:pt idx="133">
                  <c:v>0.38018567897028177</c:v>
                </c:pt>
                <c:pt idx="134">
                  <c:v>0.37751537276303793</c:v>
                </c:pt>
                <c:pt idx="135">
                  <c:v>0.3742834224436612</c:v>
                </c:pt>
                <c:pt idx="136">
                  <c:v>0.37050830558756798</c:v>
                </c:pt>
                <c:pt idx="137">
                  <c:v>0.36621134988680171</c:v>
                </c:pt>
                <c:pt idx="138">
                  <c:v>0.36141649529983938</c:v>
                </c:pt>
                <c:pt idx="139">
                  <c:v>0.35615003188924504</c:v>
                </c:pt>
                <c:pt idx="140">
                  <c:v>0.35044031794837688</c:v>
                </c:pt>
                <c:pt idx="141">
                  <c:v>0.34431748323144512</c:v>
                </c:pt>
                <c:pt idx="142">
                  <c:v>0.3378131221968852</c:v>
                </c:pt>
                <c:pt idx="143">
                  <c:v>0.33095998215482636</c:v>
                </c:pt>
                <c:pt idx="144">
                  <c:v>0.3237916510815077</c:v>
                </c:pt>
                <c:pt idx="145">
                  <c:v>0.3163422496360116</c:v>
                </c:pt>
                <c:pt idx="146">
                  <c:v>0.30864613159943455</c:v>
                </c:pt>
                <c:pt idx="147">
                  <c:v>0.30073759656733073</c:v>
                </c:pt>
                <c:pt idx="148">
                  <c:v>0.29265061827805405</c:v>
                </c:pt>
                <c:pt idx="149">
                  <c:v>0.28441859146828452</c:v>
                </c:pt>
                <c:pt idx="150">
                  <c:v>0.27607409962841173</c:v>
                </c:pt>
                <c:pt idx="151">
                  <c:v>0.26764870550000192</c:v>
                </c:pt>
                <c:pt idx="152">
                  <c:v>0.25917276562967606</c:v>
                </c:pt>
                <c:pt idx="153">
                  <c:v>0.25067526978144972</c:v>
                </c:pt>
                <c:pt idx="154">
                  <c:v>0.24218370552426577</c:v>
                </c:pt>
                <c:pt idx="155">
                  <c:v>0.23372394786255571</c:v>
                </c:pt>
                <c:pt idx="156">
                  <c:v>0.2253201733725971</c:v>
                </c:pt>
                <c:pt idx="157">
                  <c:v>0.21699479795162491</c:v>
                </c:pt>
                <c:pt idx="158">
                  <c:v>0.20876843698347805</c:v>
                </c:pt>
                <c:pt idx="159">
                  <c:v>0.20065988647559618</c:v>
                </c:pt>
                <c:pt idx="160">
                  <c:v>0.19268612352727185</c:v>
                </c:pt>
                <c:pt idx="161">
                  <c:v>0.18486232434663508</c:v>
                </c:pt>
                <c:pt idx="162">
                  <c:v>0.1772018979410506</c:v>
                </c:pt>
                <c:pt idx="163">
                  <c:v>0.16971653355867558</c:v>
                </c:pt>
                <c:pt idx="164">
                  <c:v>0.16241625995329936</c:v>
                </c:pt>
                <c:pt idx="165">
                  <c:v>0.15530951457528139</c:v>
                </c:pt>
                <c:pt idx="166">
                  <c:v>0.14840322085312829</c:v>
                </c:pt>
                <c:pt idx="167">
                  <c:v>0.14170287181765581</c:v>
                </c:pt>
                <c:pt idx="168">
                  <c:v>0.13521261842852653</c:v>
                </c:pt>
                <c:pt idx="169">
                  <c:v>0.12893536108620479</c:v>
                </c:pt>
                <c:pt idx="170">
                  <c:v>0.1228728429463751</c:v>
                </c:pt>
                <c:pt idx="171">
                  <c:v>0.11702574379435811</c:v>
                </c:pt>
                <c:pt idx="172">
                  <c:v>0.11139377338028286</c:v>
                </c:pt>
                <c:pt idx="173">
                  <c:v>0.10597576325843147</c:v>
                </c:pt>
                <c:pt idx="174">
                  <c:v>0.10076975631354256</c:v>
                </c:pt>
                <c:pt idx="175">
                  <c:v>9.5773093290658293E-2</c:v>
                </c:pt>
                <c:pt idx="176">
                  <c:v>9.0982495771573788E-2</c:v>
                </c:pt>
                <c:pt idx="177">
                  <c:v>8.6394145158752933E-2</c:v>
                </c:pt>
                <c:pt idx="178">
                  <c:v>8.2003757335797123E-2</c:v>
                </c:pt>
                <c:pt idx="179">
                  <c:v>7.7806652771627752E-2</c:v>
                </c:pt>
                <c:pt idx="180">
                  <c:v>7.3797821923210966E-2</c:v>
                </c:pt>
                <c:pt idx="181">
                  <c:v>6.9971985868934911E-2</c:v>
                </c:pt>
                <c:pt idx="182">
                  <c:v>6.6323652171868239E-2</c:v>
                </c:pt>
                <c:pt idx="183">
                  <c:v>6.2847166029487422E-2</c:v>
                </c:pt>
                <c:pt idx="184">
                  <c:v>5.9536756814595783E-2</c:v>
                </c:pt>
                <c:pt idx="185">
                  <c:v>5.6386580151706368E-2</c:v>
                </c:pt>
                <c:pt idx="186">
                  <c:v>5.3390755704805351E-2</c:v>
                </c:pt>
                <c:pt idx="187">
                  <c:v>5.0543400876907167E-2</c:v>
                </c:pt>
                <c:pt idx="188">
                  <c:v>4.7838660639883096E-2</c:v>
                </c:pt>
                <c:pt idx="189">
                  <c:v>4.5270733725450971E-2</c:v>
                </c:pt>
                <c:pt idx="190">
                  <c:v>4.2833895415660177E-2</c:v>
                </c:pt>
                <c:pt idx="191">
                  <c:v>4.0522517174392161E-2</c:v>
                </c:pt>
                <c:pt idx="192">
                  <c:v>3.8331083360961776E-2</c:v>
                </c:pt>
                <c:pt idx="193">
                  <c:v>3.6254205263453354E-2</c:v>
                </c:pt>
                <c:pt idx="194">
                  <c:v>3.428663268349693E-2</c:v>
                </c:pt>
                <c:pt idx="195">
                  <c:v>3.2423263296291346E-2</c:v>
                </c:pt>
                <c:pt idx="196">
                  <c:v>3.0659150000243988E-2</c:v>
                </c:pt>
                <c:pt idx="197">
                  <c:v>2.8989506460017054E-2</c:v>
                </c:pt>
                <c:pt idx="198">
                  <c:v>2.7409711035389889E-2</c:v>
                </c:pt>
                <c:pt idx="199">
                  <c:v>2.5915309276453979E-2</c:v>
                </c:pt>
                <c:pt idx="200">
                  <c:v>2.4502015153508718E-2</c:v>
                </c:pt>
                <c:pt idx="201">
                  <c:v>2.3165711177825673E-2</c:v>
                </c:pt>
                <c:pt idx="202">
                  <c:v>2.1902447557375637E-2</c:v>
                </c:pt>
                <c:pt idx="203">
                  <c:v>2.0708440519801093E-2</c:v>
                </c:pt>
                <c:pt idx="204">
                  <c:v>1.9580069923484249E-2</c:v>
                </c:pt>
                <c:pt idx="205">
                  <c:v>1.8513876266587247E-2</c:v>
                </c:pt>
                <c:pt idx="206">
                  <c:v>1.750655719349652E-2</c:v>
                </c:pt>
                <c:pt idx="207">
                  <c:v>1.6554963588224707E-2</c:v>
                </c:pt>
                <c:pt idx="208">
                  <c:v>1.5656095335046905E-2</c:v>
                </c:pt>
                <c:pt idx="209">
                  <c:v>1.4807096817980541E-2</c:v>
                </c:pt>
                <c:pt idx="210">
                  <c:v>1.4005252222668935E-2</c:v>
                </c:pt>
                <c:pt idx="211">
                  <c:v>1.3247980696787178E-2</c:v>
                </c:pt>
                <c:pt idx="212">
                  <c:v>1.2532831418244361E-2</c:v>
                </c:pt>
                <c:pt idx="213">
                  <c:v>1.1857478614188162E-2</c:v>
                </c:pt>
                <c:pt idx="214">
                  <c:v>1.1219716568102925E-2</c:v>
                </c:pt>
                <c:pt idx="215">
                  <c:v>1.061745464710373E-2</c:v>
                </c:pt>
                <c:pt idx="216">
                  <c:v>1.0048712376837356E-2</c:v>
                </c:pt>
                <c:pt idx="217">
                  <c:v>9.511614587176604E-3</c:v>
                </c:pt>
                <c:pt idx="218">
                  <c:v>9.0043866481057076E-3</c:v>
                </c:pt>
                <c:pt idx="219">
                  <c:v>8.5253498118103913E-3</c:v>
                </c:pt>
                <c:pt idx="220">
                  <c:v>8.0729166739766517E-3</c:v>
                </c:pt>
                <c:pt idx="221">
                  <c:v>7.645586764636743E-3</c:v>
                </c:pt>
                <c:pt idx="222">
                  <c:v>7.2419422765507679E-3</c:v>
                </c:pt>
                <c:pt idx="223">
                  <c:v>6.8606439370502287E-3</c:v>
                </c:pt>
                <c:pt idx="224">
                  <c:v>6.5004270274693883E-3</c:v>
                </c:pt>
                <c:pt idx="225">
                  <c:v>6.160097552727048E-3</c:v>
                </c:pt>
                <c:pt idx="226">
                  <c:v>5.8385285622718358E-3</c:v>
                </c:pt>
                <c:pt idx="227">
                  <c:v>5.5346566224468846E-3</c:v>
                </c:pt>
                <c:pt idx="228">
                  <c:v>5.2474784393453577E-3</c:v>
                </c:pt>
                <c:pt idx="229">
                  <c:v>4.976047630397132E-3</c:v>
                </c:pt>
                <c:pt idx="230">
                  <c:v>4.7194716422334559E-3</c:v>
                </c:pt>
                <c:pt idx="231">
                  <c:v>4.4769088118036685E-3</c:v>
                </c:pt>
                <c:pt idx="232">
                  <c:v>4.2475655672530406E-3</c:v>
                </c:pt>
                <c:pt idx="233">
                  <c:v>4.0306937646998392E-3</c:v>
                </c:pt>
                <c:pt idx="234">
                  <c:v>3.8255881567615399E-3</c:v>
                </c:pt>
                <c:pt idx="235">
                  <c:v>3.6315839884640327E-3</c:v>
                </c:pt>
                <c:pt idx="236">
                  <c:v>3.4480547160141203E-3</c:v>
                </c:pt>
                <c:pt idx="237">
                  <c:v>3.2744098438161427E-3</c:v>
                </c:pt>
                <c:pt idx="238">
                  <c:v>3.1100928750608632E-3</c:v>
                </c:pt>
                <c:pt idx="239">
                  <c:v>2.9545793712011021E-3</c:v>
                </c:pt>
                <c:pt idx="240">
                  <c:v>2.8073751156491695E-3</c:v>
                </c:pt>
                <c:pt idx="241">
                  <c:v>2.6680143770795384E-3</c:v>
                </c:pt>
                <c:pt idx="242">
                  <c:v>2.5360582677923203E-3</c:v>
                </c:pt>
                <c:pt idx="243">
                  <c:v>2.4110931926843594E-3</c:v>
                </c:pt>
                <c:pt idx="244">
                  <c:v>2.2927293844818694E-3</c:v>
                </c:pt>
                <c:pt idx="245">
                  <c:v>2.1805995210078624E-3</c:v>
                </c:pt>
                <c:pt idx="246">
                  <c:v>2.0743574203867855E-3</c:v>
                </c:pt>
                <c:pt idx="247">
                  <c:v>1.9736768102251228E-3</c:v>
                </c:pt>
                <c:pt idx="248">
                  <c:v>1.8782501669481135E-3</c:v>
                </c:pt>
                <c:pt idx="249">
                  <c:v>1.7877876216175568E-3</c:v>
                </c:pt>
                <c:pt idx="250">
                  <c:v>1.7020159287022905E-3</c:v>
                </c:pt>
                <c:pt idx="251">
                  <c:v>1.6206774944199514E-3</c:v>
                </c:pt>
                <c:pt idx="252">
                  <c:v>1.5435294614151295E-3</c:v>
                </c:pt>
                <c:pt idx="253">
                  <c:v>1.4703428466840082E-3</c:v>
                </c:pt>
                <c:pt idx="254">
                  <c:v>1.4009017297980497E-3</c:v>
                </c:pt>
                <c:pt idx="255">
                  <c:v>1.3350024886192543E-3</c:v>
                </c:pt>
                <c:pt idx="256">
                  <c:v>1.2724530798355995E-3</c:v>
                </c:pt>
                <c:pt idx="257">
                  <c:v>1.2130723617778491E-3</c:v>
                </c:pt>
                <c:pt idx="258">
                  <c:v>1.1566894571072798E-3</c:v>
                </c:pt>
              </c:numCache>
            </c:numRef>
          </c:yVal>
          <c:smooth val="1"/>
          <c:extLst>
            <c:ext xmlns:c16="http://schemas.microsoft.com/office/drawing/2014/chart" uri="{C3380CC4-5D6E-409C-BE32-E72D297353CC}">
              <c16:uniqueId val="{00000002-B65F-49D8-8B34-644D7A6B279F}"/>
            </c:ext>
          </c:extLst>
        </c:ser>
        <c:ser>
          <c:idx val="2"/>
          <c:order val="3"/>
          <c:tx>
            <c:strRef>
              <c:f>Estimation!$HY$5</c:f>
              <c:strCache>
                <c:ptCount val="1"/>
                <c:pt idx="0">
                  <c:v>93.41% mindre end 0.341</c:v>
                </c:pt>
              </c:strCache>
            </c:strRef>
          </c:tx>
          <c:spPr>
            <a:ln w="28575" cap="rnd">
              <a:solidFill>
                <a:schemeClr val="accent3"/>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Estimation!$HZ$2</c:f>
              <c:numCache>
                <c:formatCode>General</c:formatCode>
                <c:ptCount val="1"/>
                <c:pt idx="0">
                  <c:v>88</c:v>
                </c:pt>
              </c:numCache>
            </c:numRef>
          </c:xVal>
          <c:yVal>
            <c:numRef>
              <c:f>Estimation!$IA$2</c:f>
              <c:numCache>
                <c:formatCode>General</c:formatCode>
                <c:ptCount val="1"/>
                <c:pt idx="0">
                  <c:v>0.11702574379435818</c:v>
                </c:pt>
              </c:numCache>
            </c:numRef>
          </c:yVal>
          <c:smooth val="0"/>
          <c:extLst>
            <c:ext xmlns:c16="http://schemas.microsoft.com/office/drawing/2014/chart" uri="{C3380CC4-5D6E-409C-BE32-E72D297353CC}">
              <c16:uniqueId val="{00000003-B65F-49D8-8B34-644D7A6B279F}"/>
            </c:ext>
          </c:extLst>
        </c:ser>
        <c:ser>
          <c:idx val="5"/>
          <c:order val="4"/>
          <c:tx>
            <c:strRef>
              <c:f>Estimation!$HY$7</c:f>
              <c:strCache>
                <c:ptCount val="1"/>
                <c:pt idx="0">
                  <c:v>6.59% større end 0.341</c:v>
                </c:pt>
              </c:strCache>
            </c:strRef>
          </c:tx>
          <c:spPr>
            <a:ln w="28575" cap="rnd">
              <a:solidFill>
                <a:schemeClr val="accent6"/>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Estimation!$HZ$4</c:f>
              <c:numCache>
                <c:formatCode>General</c:formatCode>
                <c:ptCount val="1"/>
                <c:pt idx="0">
                  <c:v>217</c:v>
                </c:pt>
              </c:numCache>
            </c:numRef>
          </c:xVal>
          <c:yVal>
            <c:numRef>
              <c:f>Estimation!$IA$4</c:f>
              <c:numCache>
                <c:formatCode>General</c:formatCode>
                <c:ptCount val="1"/>
                <c:pt idx="0">
                  <c:v>1.0048712376837356E-2</c:v>
                </c:pt>
              </c:numCache>
            </c:numRef>
          </c:yVal>
          <c:smooth val="0"/>
          <c:extLst>
            <c:ext xmlns:c16="http://schemas.microsoft.com/office/drawing/2014/chart" uri="{C3380CC4-5D6E-409C-BE32-E72D297353CC}">
              <c16:uniqueId val="{00000004-B65F-49D8-8B34-644D7A6B279F}"/>
            </c:ext>
          </c:extLst>
        </c:ser>
        <c:ser>
          <c:idx val="4"/>
          <c:order val="5"/>
          <c:tx>
            <c:strRef>
              <c:f>Estimation!$HY$6</c:f>
              <c:strCache>
                <c:ptCount val="1"/>
                <c:pt idx="0">
                  <c:v> </c:v>
                </c:pt>
              </c:strCache>
            </c:strRef>
          </c:tx>
          <c:spPr>
            <a:ln w="28575" cap="rnd">
              <a:solidFill>
                <a:schemeClr val="accent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Estimation!$HZ$3</c:f>
              <c:numCache>
                <c:formatCode>General</c:formatCode>
                <c:ptCount val="1"/>
                <c:pt idx="0">
                  <c:v>130</c:v>
                </c:pt>
              </c:numCache>
            </c:numRef>
          </c:xVal>
          <c:yVal>
            <c:numRef>
              <c:f>Estimation!$IA$3</c:f>
              <c:numCache>
                <c:formatCode>General</c:formatCode>
                <c:ptCount val="1"/>
                <c:pt idx="0">
                  <c:v>0.38499145083226738</c:v>
                </c:pt>
              </c:numCache>
            </c:numRef>
          </c:yVal>
          <c:smooth val="0"/>
          <c:extLst>
            <c:ext xmlns:c16="http://schemas.microsoft.com/office/drawing/2014/chart" uri="{C3380CC4-5D6E-409C-BE32-E72D297353CC}">
              <c16:uniqueId val="{00000005-B65F-49D8-8B34-644D7A6B279F}"/>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Estimation!$BJ$11</c:f>
              <c:strCache>
                <c:ptCount val="1"/>
                <c:pt idx="0">
                  <c:v>Koefficient i stikprøver af størrelsen n = 12
fra en population med koefficient = 0</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none"/>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r"/>
      <c:legendEntry>
        <c:idx val="3"/>
        <c:delete val="1"/>
      </c:legendEntry>
      <c:legendEntry>
        <c:idx val="4"/>
        <c:delete val="1"/>
      </c:legendEntry>
      <c:legendEntry>
        <c:idx val="5"/>
        <c:delete val="1"/>
      </c:legendEntry>
      <c:layout>
        <c:manualLayout>
          <c:xMode val="edge"/>
          <c:yMode val="edge"/>
          <c:x val="0.91100022380923318"/>
          <c:y val="0.14837063319787316"/>
          <c:w val="8.8999776190766849E-2"/>
          <c:h val="0.239290151283037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Styrke for hypotesetest om gennemsnit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Estimation!$CT$9</c:f>
              <c:strCache>
                <c:ptCount val="1"/>
                <c:pt idx="0">
                  <c:v>Falsk negativ
Nulhypotese afvises
Fejltype 2</c:v>
                </c:pt>
              </c:strCache>
            </c:strRef>
          </c:tx>
          <c:spPr>
            <a:solidFill>
              <a:schemeClr val="accent5"/>
            </a:solidFill>
            <a:ln w="25400">
              <a:noFill/>
            </a:ln>
            <a:effectLst/>
          </c:spPr>
          <c:cat>
            <c:strRef>
              <c:f>Estimation!$CW$10:$CW$268</c:f>
              <c:strCache>
                <c:ptCount val="130"/>
                <c:pt idx="129">
                  <c:v>0.000</c:v>
                </c:pt>
              </c:strCache>
            </c:strRef>
          </c:cat>
          <c:val>
            <c:numRef>
              <c:f>Estimation!$CS$10:$CS$268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0-DB88-4DEE-897B-81255767AB0E}"/>
            </c:ext>
          </c:extLst>
        </c:ser>
        <c:ser>
          <c:idx val="1"/>
          <c:order val="1"/>
          <c:tx>
            <c:strRef>
              <c:f>Estimation!$CU$9</c:f>
              <c:strCache>
                <c:ptCount val="1"/>
                <c:pt idx="0">
                  <c:v>Sand negativ
Nulhypotese afvises
Korrekt</c:v>
                </c:pt>
              </c:strCache>
            </c:strRef>
          </c:tx>
          <c:spPr>
            <a:solidFill>
              <a:schemeClr val="accent3"/>
            </a:solidFill>
            <a:ln w="25400">
              <a:noFill/>
            </a:ln>
            <a:effectLst/>
          </c:spPr>
          <c:cat>
            <c:strRef>
              <c:f>Estimation!$CW$10:$CW$268</c:f>
              <c:strCache>
                <c:ptCount val="130"/>
                <c:pt idx="129">
                  <c:v>0.000</c:v>
                </c:pt>
              </c:strCache>
            </c:strRef>
          </c:cat>
          <c:val>
            <c:numRef>
              <c:f>Estimation!$CU$10:$CU$268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1-DB88-4DEE-897B-81255767AB0E}"/>
            </c:ext>
          </c:extLst>
        </c:ser>
        <c:dLbls>
          <c:showLegendKey val="0"/>
          <c:showVal val="0"/>
          <c:showCatName val="0"/>
          <c:showSerName val="0"/>
          <c:showPercent val="0"/>
          <c:showBubbleSize val="0"/>
        </c:dLbls>
        <c:axId val="2085993312"/>
        <c:axId val="2125624672"/>
      </c:areaChart>
      <c:scatterChart>
        <c:scatterStyle val="lineMarker"/>
        <c:varyColors val="0"/>
        <c:ser>
          <c:idx val="2"/>
          <c:order val="2"/>
          <c:tx>
            <c:strRef>
              <c:f>Estimation!$CV$5</c:f>
              <c:strCache>
                <c:ptCount val="1"/>
                <c:pt idx="0">
                  <c:v>#N/A</c:v>
                </c:pt>
              </c:strCache>
            </c:strRef>
          </c:tx>
          <c:spPr>
            <a:ln w="28575" cap="rnd">
              <a:solidFill>
                <a:schemeClr val="accent3"/>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Estimation!$CU$2</c:f>
              <c:numCache>
                <c:formatCode>General</c:formatCode>
                <c:ptCount val="1"/>
                <c:pt idx="0">
                  <c:v>#N/A</c:v>
                </c:pt>
              </c:numCache>
            </c:numRef>
          </c:xVal>
          <c:yVal>
            <c:numRef>
              <c:f>Estimation!$CW$2</c:f>
              <c:numCache>
                <c:formatCode>General</c:formatCode>
                <c:ptCount val="1"/>
                <c:pt idx="0">
                  <c:v>#N/A</c:v>
                </c:pt>
              </c:numCache>
            </c:numRef>
          </c:yVal>
          <c:smooth val="0"/>
          <c:extLst>
            <c:ext xmlns:c16="http://schemas.microsoft.com/office/drawing/2014/chart" uri="{C3380CC4-5D6E-409C-BE32-E72D297353CC}">
              <c16:uniqueId val="{00000003-DB88-4DEE-897B-81255767AB0E}"/>
            </c:ext>
          </c:extLst>
        </c:ser>
        <c:ser>
          <c:idx val="5"/>
          <c:order val="3"/>
          <c:tx>
            <c:strRef>
              <c:f>Estimation!$CV$6</c:f>
              <c:strCache>
                <c:ptCount val="1"/>
                <c:pt idx="0">
                  <c:v>#N/A</c:v>
                </c:pt>
              </c:strCache>
            </c:strRef>
          </c:tx>
          <c:spPr>
            <a:ln w="28575" cap="rnd">
              <a:solidFill>
                <a:schemeClr val="accent6"/>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Estimation!$CU$3</c:f>
              <c:numCache>
                <c:formatCode>General</c:formatCode>
                <c:ptCount val="1"/>
                <c:pt idx="0">
                  <c:v>129</c:v>
                </c:pt>
              </c:numCache>
            </c:numRef>
          </c:xVal>
          <c:yVal>
            <c:numRef>
              <c:f>Estimation!$CW$3</c:f>
              <c:numCache>
                <c:formatCode>General</c:formatCode>
                <c:ptCount val="1"/>
                <c:pt idx="0">
                  <c:v>#N/A</c:v>
                </c:pt>
              </c:numCache>
            </c:numRef>
          </c:yVal>
          <c:smooth val="0"/>
          <c:extLst>
            <c:ext xmlns:c16="http://schemas.microsoft.com/office/drawing/2014/chart" uri="{C3380CC4-5D6E-409C-BE32-E72D297353CC}">
              <c16:uniqueId val="{00000004-DB88-4DEE-897B-81255767AB0E}"/>
            </c:ext>
          </c:extLst>
        </c:ser>
        <c:ser>
          <c:idx val="4"/>
          <c:order val="4"/>
          <c:tx>
            <c:strRef>
              <c:f>Estimation!$CV$7</c:f>
              <c:strCache>
                <c:ptCount val="1"/>
                <c:pt idx="0">
                  <c:v>#N/A</c:v>
                </c:pt>
              </c:strCache>
            </c:strRef>
          </c:tx>
          <c:spPr>
            <a:ln w="28575" cap="rnd">
              <a:solidFill>
                <a:schemeClr val="accent5"/>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Estimation!$CU$4</c:f>
              <c:numCache>
                <c:formatCode>General</c:formatCode>
                <c:ptCount val="1"/>
                <c:pt idx="0">
                  <c:v>#N/A</c:v>
                </c:pt>
              </c:numCache>
            </c:numRef>
          </c:xVal>
          <c:yVal>
            <c:numRef>
              <c:f>Estimation!$CW$4</c:f>
              <c:numCache>
                <c:formatCode>General</c:formatCode>
                <c:ptCount val="1"/>
                <c:pt idx="0">
                  <c:v>#N/A</c:v>
                </c:pt>
              </c:numCache>
            </c:numRef>
          </c:yVal>
          <c:smooth val="0"/>
          <c:extLst>
            <c:ext xmlns:c16="http://schemas.microsoft.com/office/drawing/2014/chart" uri="{C3380CC4-5D6E-409C-BE32-E72D297353CC}">
              <c16:uniqueId val="{00000005-DB88-4DEE-897B-81255767AB0E}"/>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Sandt populationsgennemsnit</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none"/>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max val="1"/>
        </c:scaling>
        <c:delete val="0"/>
        <c:axPos val="l"/>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085993312"/>
        <c:crosses val="autoZero"/>
        <c:crossBetween val="between"/>
        <c:majorUnit val="0.25"/>
      </c:valAx>
      <c:spPr>
        <a:noFill/>
        <a:ln>
          <a:noFill/>
        </a:ln>
        <a:effectLst/>
      </c:spPr>
    </c:plotArea>
    <c:legend>
      <c:legendPos val="t"/>
      <c:legendEntry>
        <c:idx val="2"/>
        <c:delete val="1"/>
      </c:legendEntry>
      <c:legendEntry>
        <c:idx val="3"/>
        <c:delete val="1"/>
      </c:legendEntry>
      <c:legendEntry>
        <c:idx val="4"/>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Styrke for hypotesetest om andel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7"/>
          <c:order val="0"/>
          <c:tx>
            <c:strRef>
              <c:f>Estimation!$FA$9</c:f>
              <c:strCache>
                <c:ptCount val="1"/>
                <c:pt idx="0">
                  <c:v>Falsk negativ
Nulhypotese afvises
Fejltype 2</c:v>
                </c:pt>
              </c:strCache>
            </c:strRef>
          </c:tx>
          <c:spPr>
            <a:solidFill>
              <a:schemeClr val="accent5"/>
            </a:solidFill>
            <a:ln w="25400">
              <a:noFill/>
            </a:ln>
            <a:effectLst/>
          </c:spPr>
          <c:cat>
            <c:strRef>
              <c:f>Estimation!$FD$10:$FD$268</c:f>
              <c:strCache>
                <c:ptCount val="130"/>
                <c:pt idx="129">
                  <c:v>0.000%</c:v>
                </c:pt>
              </c:strCache>
            </c:strRef>
          </c:cat>
          <c:val>
            <c:numRef>
              <c:f>Estimation!$FC$10:$FC$268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0-D5FA-473F-85EE-48529502B1A3}"/>
            </c:ext>
          </c:extLst>
        </c:ser>
        <c:ser>
          <c:idx val="1"/>
          <c:order val="1"/>
          <c:tx>
            <c:strRef>
              <c:f>Estimation!$FB$9</c:f>
              <c:strCache>
                <c:ptCount val="1"/>
                <c:pt idx="0">
                  <c:v>Sand negativ
Nulhypotese afvises
Korrekt</c:v>
                </c:pt>
              </c:strCache>
            </c:strRef>
          </c:tx>
          <c:spPr>
            <a:solidFill>
              <a:schemeClr val="accent3"/>
            </a:solidFill>
            <a:ln w="25400">
              <a:noFill/>
            </a:ln>
            <a:effectLst/>
          </c:spPr>
          <c:cat>
            <c:strRef>
              <c:f>Estimation!$FD$10:$FD$268</c:f>
              <c:strCache>
                <c:ptCount val="130"/>
                <c:pt idx="129">
                  <c:v>0.000%</c:v>
                </c:pt>
              </c:strCache>
            </c:strRef>
          </c:cat>
          <c:val>
            <c:numRef>
              <c:f>Estimation!$FB$10:$FB$268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1-D5FA-473F-85EE-48529502B1A3}"/>
            </c:ext>
          </c:extLst>
        </c:ser>
        <c:dLbls>
          <c:showLegendKey val="0"/>
          <c:showVal val="0"/>
          <c:showCatName val="0"/>
          <c:showSerName val="0"/>
          <c:showPercent val="0"/>
          <c:showBubbleSize val="0"/>
        </c:dLbls>
        <c:axId val="2085993312"/>
        <c:axId val="2125624672"/>
      </c:areaChart>
      <c:scatterChart>
        <c:scatterStyle val="lineMarker"/>
        <c:varyColors val="0"/>
        <c:ser>
          <c:idx val="2"/>
          <c:order val="2"/>
          <c:tx>
            <c:strRef>
              <c:f>Estimation!$FC$5</c:f>
              <c:strCache>
                <c:ptCount val="1"/>
                <c:pt idx="0">
                  <c:v>#N/A</c:v>
                </c:pt>
              </c:strCache>
            </c:strRef>
          </c:tx>
          <c:spPr>
            <a:ln w="25400" cap="rnd">
              <a:no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Estimation!$FB$2</c:f>
              <c:numCache>
                <c:formatCode>General</c:formatCode>
                <c:ptCount val="1"/>
                <c:pt idx="0">
                  <c:v>#N/A</c:v>
                </c:pt>
              </c:numCache>
            </c:numRef>
          </c:xVal>
          <c:yVal>
            <c:numRef>
              <c:f>Estimation!$FD$2</c:f>
              <c:numCache>
                <c:formatCode>General</c:formatCode>
                <c:ptCount val="1"/>
                <c:pt idx="0">
                  <c:v>#N/A</c:v>
                </c:pt>
              </c:numCache>
            </c:numRef>
          </c:yVal>
          <c:smooth val="0"/>
          <c:extLst>
            <c:ext xmlns:c16="http://schemas.microsoft.com/office/drawing/2014/chart" uri="{C3380CC4-5D6E-409C-BE32-E72D297353CC}">
              <c16:uniqueId val="{00000000-35AE-403A-B110-11EFB9A99445}"/>
            </c:ext>
          </c:extLst>
        </c:ser>
        <c:ser>
          <c:idx val="3"/>
          <c:order val="3"/>
          <c:tx>
            <c:strRef>
              <c:f>Estimation!$FC$7</c:f>
              <c:strCache>
                <c:ptCount val="1"/>
                <c:pt idx="0">
                  <c:v>#N/A</c:v>
                </c:pt>
              </c:strCache>
            </c:strRef>
          </c:tx>
          <c:spPr>
            <a:ln w="25400" cap="rnd">
              <a:no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Estimation!$FB$4</c:f>
              <c:numCache>
                <c:formatCode>General</c:formatCode>
                <c:ptCount val="1"/>
                <c:pt idx="0">
                  <c:v>#N/A</c:v>
                </c:pt>
              </c:numCache>
            </c:numRef>
          </c:xVal>
          <c:yVal>
            <c:numRef>
              <c:f>Estimation!$FD$4</c:f>
              <c:numCache>
                <c:formatCode>General</c:formatCode>
                <c:ptCount val="1"/>
                <c:pt idx="0">
                  <c:v>#N/A</c:v>
                </c:pt>
              </c:numCache>
            </c:numRef>
          </c:yVal>
          <c:smooth val="0"/>
          <c:extLst>
            <c:ext xmlns:c16="http://schemas.microsoft.com/office/drawing/2014/chart" uri="{C3380CC4-5D6E-409C-BE32-E72D297353CC}">
              <c16:uniqueId val="{00000001-35AE-403A-B110-11EFB9A99445}"/>
            </c:ext>
          </c:extLst>
        </c:ser>
        <c:ser>
          <c:idx val="4"/>
          <c:order val="4"/>
          <c:tx>
            <c:strRef>
              <c:f>Estimation!$FC$6</c:f>
              <c:strCache>
                <c:ptCount val="1"/>
                <c:pt idx="0">
                  <c:v>#N/A</c:v>
                </c:pt>
              </c:strCache>
            </c:strRef>
          </c:tx>
          <c:spPr>
            <a:ln w="25400" cap="rnd">
              <a:no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Estimation!$FC$3</c:f>
              <c:numCache>
                <c:formatCode>General</c:formatCode>
                <c:ptCount val="1"/>
                <c:pt idx="0">
                  <c:v>130</c:v>
                </c:pt>
              </c:numCache>
            </c:numRef>
          </c:xVal>
          <c:yVal>
            <c:numRef>
              <c:f>Estimation!$FD$3</c:f>
              <c:numCache>
                <c:formatCode>General</c:formatCode>
                <c:ptCount val="1"/>
                <c:pt idx="0">
                  <c:v>#N/A</c:v>
                </c:pt>
              </c:numCache>
            </c:numRef>
          </c:yVal>
          <c:smooth val="0"/>
          <c:extLst>
            <c:ext xmlns:c16="http://schemas.microsoft.com/office/drawing/2014/chart" uri="{C3380CC4-5D6E-409C-BE32-E72D297353CC}">
              <c16:uniqueId val="{00000002-35AE-403A-B110-11EFB9A99445}"/>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Sand populationandel</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none"/>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noMultiLvlLbl val="0"/>
      </c:catAx>
      <c:valAx>
        <c:axId val="2125624672"/>
        <c:scaling>
          <c:orientation val="minMax"/>
          <c:max val="1"/>
        </c:scaling>
        <c:delete val="0"/>
        <c:axPos val="l"/>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085993312"/>
        <c:crosses val="autoZero"/>
        <c:crossBetween val="between"/>
        <c:majorUnit val="0.25"/>
      </c:valAx>
      <c:spPr>
        <a:noFill/>
        <a:ln>
          <a:noFill/>
        </a:ln>
        <a:effectLst/>
      </c:spPr>
    </c:plotArea>
    <c:legend>
      <c:legendPos val="t"/>
      <c:legendEntry>
        <c:idx val="2"/>
        <c:delete val="1"/>
      </c:legendEntry>
      <c:legendEntry>
        <c:idx val="3"/>
        <c:delete val="1"/>
      </c:legendEntry>
      <c:legendEntry>
        <c:idx val="4"/>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LineærRegression!$BQ$10</c:f>
          <c:strCache>
            <c:ptCount val="1"/>
            <c:pt idx="0">
              <c:v>Koefficienteffekt i multipel lineær regression
Ændringer i Eksempel 2 (interval) har størst effekt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0"/>
          <c:order val="0"/>
          <c:tx>
            <c:strRef>
              <c:f>LineærRegression!$BQ$12</c:f>
              <c:strCache>
                <c:ptCount val="1"/>
                <c:pt idx="0">
                  <c:v>Normaliseret effekt af uafhængig variabel</c:v>
                </c:pt>
              </c:strCache>
            </c:strRef>
          </c:tx>
          <c:spPr>
            <a:ln w="28575" cap="rnd">
              <a:solidFill>
                <a:schemeClr val="accent1"/>
              </a:solidFill>
              <a:round/>
            </a:ln>
            <a:effectLst/>
          </c:spPr>
          <c:marker>
            <c:symbol val="none"/>
          </c:marker>
          <c:dLbls>
            <c:dLbl>
              <c:idx val="0"/>
              <c:tx>
                <c:rich>
                  <a:bodyPr/>
                  <a:lstStyle/>
                  <a:p>
                    <a:fld id="{667724C1-CA72-4FF7-B83B-15746C30150C}"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391D-4C21-9DB1-33ADF270BBD8}"/>
                </c:ext>
              </c:extLst>
            </c:dLbl>
            <c:dLbl>
              <c:idx val="1"/>
              <c:tx>
                <c:rich>
                  <a:bodyPr/>
                  <a:lstStyle/>
                  <a:p>
                    <a:fld id="{86B12007-0A0D-476E-B3A9-1D8B487E2590}"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391D-4C21-9DB1-33ADF270BBD8}"/>
                </c:ext>
              </c:extLst>
            </c:dLbl>
            <c:dLbl>
              <c:idx val="2"/>
              <c:tx>
                <c:rich>
                  <a:bodyPr/>
                  <a:lstStyle/>
                  <a:p>
                    <a:endParaRPr lang="da-DK"/>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391D-4C21-9DB1-33ADF270BBD8}"/>
                </c:ext>
              </c:extLst>
            </c:dLbl>
            <c:dLbl>
              <c:idx val="3"/>
              <c:tx>
                <c:rich>
                  <a:bodyPr/>
                  <a:lstStyle/>
                  <a:p>
                    <a:fld id="{50EDCC20-8179-4315-A4F7-B25832AAB52E}"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391D-4C21-9DB1-33ADF270BBD8}"/>
                </c:ext>
              </c:extLst>
            </c:dLbl>
            <c:dLbl>
              <c:idx val="4"/>
              <c:tx>
                <c:rich>
                  <a:bodyPr/>
                  <a:lstStyle/>
                  <a:p>
                    <a:fld id="{0B544B11-E164-4961-82DB-09D0C82A766F}"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391D-4C21-9DB1-33ADF270BBD8}"/>
                </c:ext>
              </c:extLst>
            </c:dLbl>
            <c:dLbl>
              <c:idx val="5"/>
              <c:tx>
                <c:rich>
                  <a:bodyPr/>
                  <a:lstStyle/>
                  <a:p>
                    <a:endParaRPr lang="da-DK"/>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5-391D-4C21-9DB1-33ADF270BBD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[0]!LmkX</c:f>
              <c:numCache>
                <c:formatCode>General</c:formatCode>
                <c:ptCount val="6"/>
                <c:pt idx="0">
                  <c:v>1.3568458048465697</c:v>
                </c:pt>
                <c:pt idx="1">
                  <c:v>-1.807500578536976</c:v>
                </c:pt>
                <c:pt idx="2">
                  <c:v>#N/A</c:v>
                </c:pt>
                <c:pt idx="3">
                  <c:v>1.7320508075688774</c:v>
                </c:pt>
                <c:pt idx="4">
                  <c:v>-0.57735026918962584</c:v>
                </c:pt>
                <c:pt idx="5">
                  <c:v>#N/A</c:v>
                </c:pt>
              </c:numCache>
            </c:numRef>
          </c:xVal>
          <c:yVal>
            <c:numRef>
              <c:f>[0]!LmkY</c:f>
              <c:numCache>
                <c:formatCode>General</c:formatCode>
                <c:ptCount val="6"/>
                <c:pt idx="0">
                  <c:v>4.118459773571125</c:v>
                </c:pt>
                <c:pt idx="1">
                  <c:v>-1.3882569782235548</c:v>
                </c:pt>
                <c:pt idx="2">
                  <c:v>#N/A</c:v>
                </c:pt>
                <c:pt idx="3">
                  <c:v>0.92006454592698861</c:v>
                </c:pt>
                <c:pt idx="4">
                  <c:v>0</c:v>
                </c:pt>
                <c:pt idx="5">
                  <c:v>#N/A</c:v>
                </c:pt>
              </c:numCache>
            </c:numRef>
          </c:yVal>
          <c:smooth val="0"/>
          <c:extLst>
            <c:ext xmlns:c15="http://schemas.microsoft.com/office/drawing/2012/chart" uri="{02D57815-91ED-43cb-92C2-25804820EDAC}">
              <c15:datalabelsRange>
                <c15:f>Beregningsark!$A$3:$A$152</c15:f>
                <c15:dlblRangeCache>
                  <c:ptCount val="150"/>
                  <c:pt idx="0">
                    <c:v>Eksempel 2 (interval)</c:v>
                  </c:pt>
                  <c:pt idx="1">
                    <c:v>Eksempel 2 (interval)</c:v>
                  </c:pt>
                  <c:pt idx="2">
                    <c:v>Eksempel 2 (interval)</c:v>
                  </c:pt>
                  <c:pt idx="3">
                    <c:v>Eksempel 3 (nominal)</c:v>
                  </c:pt>
                  <c:pt idx="4">
                    <c:v>Eksempel 3 (nominal)</c:v>
                  </c:pt>
                  <c:pt idx="5">
                    <c:v>Eksempel 3 (nominal)</c:v>
                  </c:pt>
                </c15:dlblRangeCache>
              </c15:datalabelsRange>
            </c:ext>
            <c:ext xmlns:c16="http://schemas.microsoft.com/office/drawing/2014/chart" uri="{C3380CC4-5D6E-409C-BE32-E72D297353CC}">
              <c16:uniqueId val="{00000009-391D-4C21-9DB1-33ADF270BBD8}"/>
            </c:ext>
          </c:extLst>
        </c:ser>
        <c:ser>
          <c:idx val="1"/>
          <c:order val="1"/>
          <c:tx>
            <c:strRef>
              <c:f>LineærRegression!$BQ$14</c:f>
              <c:strCache>
                <c:ptCount val="1"/>
                <c:pt idx="0">
                  <c:v>Koefficienteffekt ved værdi af interesse</c:v>
                </c:pt>
              </c:strCache>
            </c:strRef>
          </c:tx>
          <c:spPr>
            <a:ln w="19050" cap="rnd">
              <a:noFill/>
              <a:round/>
            </a:ln>
            <a:effectLst/>
          </c:spPr>
          <c:marker>
            <c:symbol val="x"/>
            <c:size val="15"/>
            <c:spPr>
              <a:noFill/>
              <a:ln w="28575">
                <a:solidFill>
                  <a:schemeClr val="accent2"/>
                </a:solidFill>
              </a:ln>
              <a:effectLst/>
            </c:spPr>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[0]!LmkVxX</c:f>
              <c:numCache>
                <c:formatCode>General</c:formatCode>
                <c:ptCount val="2"/>
                <c:pt idx="0">
                  <c:v>-0.76599512378686307</c:v>
                </c:pt>
                <c:pt idx="1">
                  <c:v>1.7320508075688774</c:v>
                </c:pt>
              </c:numCache>
            </c:numRef>
          </c:xVal>
          <c:yVal>
            <c:numRef>
              <c:f>[0]!LmkVxY</c:f>
              <c:numCache>
                <c:formatCode>General</c:formatCode>
                <c:ptCount val="2"/>
                <c:pt idx="0">
                  <c:v>0.42421069752609331</c:v>
                </c:pt>
                <c:pt idx="1">
                  <c:v>0.92006454592698861</c:v>
                </c:pt>
              </c:numCache>
            </c:numRef>
          </c:yVal>
          <c:smooth val="0"/>
          <c:extLst>
            <c:ext xmlns:c16="http://schemas.microsoft.com/office/drawing/2014/chart" uri="{C3380CC4-5D6E-409C-BE32-E72D297353CC}">
              <c16:uniqueId val="{0000000A-391D-4C21-9DB1-33ADF270BBD8}"/>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LineærRegression!$BQ$16</c:f>
              <c:strCache>
                <c:ptCount val="1"/>
                <c:pt idx="0">
                  <c:v>Standardiseret score for uafhængig variabel</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LineærRegression!$BQ$18</c:f>
              <c:strCache>
                <c:ptCount val="1"/>
                <c:pt idx="0">
                  <c:v>Effekt på afhængig variabel</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LineærRegression!$AR$10</c:f>
          <c:strCache>
            <c:ptCount val="1"/>
            <c:pt idx="0">
              <c:v>Linjetilpasningsplot for simpel lineær regression
Eksempel 2 (interval) forklarer 19.5%
af variationen i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smoothMarker"/>
        <c:varyColors val="0"/>
        <c:ser>
          <c:idx val="0"/>
          <c:order val="1"/>
          <c:tx>
            <c:strRef>
              <c:f>LineærRegression!$AR$14</c:f>
              <c:strCache>
                <c:ptCount val="1"/>
                <c:pt idx="0">
                  <c:v> Eksempel 1 (interval) = 0.444 * Eksempel 2 (interval) + 0.015</c:v>
                </c:pt>
              </c:strCache>
            </c:strRef>
          </c:tx>
          <c:spPr>
            <a:ln w="28575" cap="rnd">
              <a:solidFill>
                <a:schemeClr val="tx1"/>
              </a:solidFill>
              <a:round/>
            </a:ln>
            <a:effectLst/>
          </c:spPr>
          <c:marker>
            <c:symbol val="none"/>
          </c:marker>
          <c:trendline>
            <c:spPr>
              <a:ln w="19050" cap="rnd">
                <a:noFill/>
                <a:prstDash val="sysDot"/>
              </a:ln>
              <a:effectLst/>
            </c:spPr>
            <c:trendlineType val="linear"/>
            <c:dispRSqr val="0"/>
            <c:dispEq val="1"/>
            <c:trendlineLbl>
              <c:layout>
                <c:manualLayout>
                  <c:x val="9.1441677702123914E-2"/>
                  <c:y val="-8.3514739831897611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rendlineLbl>
          </c:trendline>
          <c:xVal>
            <c:numRef>
              <c:f>[0]!LsxSimpel</c:f>
              <c:numCache>
                <c:formatCode>General</c:formatCode>
                <c:ptCount val="12"/>
                <c:pt idx="0">
                  <c:v>-3.2725647568992748</c:v>
                </c:pt>
                <c:pt idx="1">
                  <c:v>-2.2379718387660041</c:v>
                </c:pt>
                <c:pt idx="2">
                  <c:v>2</c:v>
                </c:pt>
                <c:pt idx="3">
                  <c:v>2.0228895016109072</c:v>
                </c:pt>
                <c:pt idx="4">
                  <c:v>2.0315172703350726</c:v>
                </c:pt>
                <c:pt idx="5">
                  <c:v>4</c:v>
                </c:pt>
                <c:pt idx="6">
                  <c:v>5</c:v>
                </c:pt>
                <c:pt idx="7">
                  <c:v>5.4220501567463426</c:v>
                </c:pt>
                <c:pt idx="8">
                  <c:v>6.3251059591845431</c:v>
                </c:pt>
                <c:pt idx="9">
                  <c:v>9</c:v>
                </c:pt>
                <c:pt idx="10">
                  <c:v>9.7085240838788316</c:v>
                </c:pt>
                <c:pt idx="11">
                  <c:v>9.7085240838788316</c:v>
                </c:pt>
              </c:numCache>
            </c:numRef>
          </c:xVal>
          <c:yVal>
            <c:numRef>
              <c:f>[0]!Lsy2Simpel</c:f>
              <c:numCache>
                <c:formatCode>General</c:formatCode>
                <c:ptCount val="12"/>
                <c:pt idx="0">
                  <c:v>-1.4374212088539973</c:v>
                </c:pt>
                <c:pt idx="1">
                  <c:v>-0.97817244327948039</c:v>
                </c:pt>
                <c:pt idx="2">
                  <c:v>0.90303445595636256</c:v>
                </c:pt>
                <c:pt idx="3">
                  <c:v>0.91319495017121943</c:v>
                </c:pt>
                <c:pt idx="4">
                  <c:v>0.91702475807613404</c:v>
                </c:pt>
                <c:pt idx="5">
                  <c:v>1.7908208645529828</c:v>
                </c:pt>
                <c:pt idx="6">
                  <c:v>2.234714068851293</c:v>
                </c:pt>
                <c:pt idx="7">
                  <c:v>2.4220592653040312</c:v>
                </c:pt>
                <c:pt idx="8">
                  <c:v>2.8229195991085057</c:v>
                </c:pt>
                <c:pt idx="9">
                  <c:v>4.0102868860445335</c:v>
                </c:pt>
                <c:pt idx="10">
                  <c:v>4.3247959119600328</c:v>
                </c:pt>
                <c:pt idx="11">
                  <c:v>4.3247959119600328</c:v>
                </c:pt>
              </c:numCache>
            </c:numRef>
          </c:yVal>
          <c:smooth val="1"/>
          <c:extLst>
            <c:ext xmlns:c16="http://schemas.microsoft.com/office/drawing/2014/chart" uri="{C3380CC4-5D6E-409C-BE32-E72D297353CC}">
              <c16:uniqueId val="{00000001-4D7F-44CB-80F5-EC93153FAEEA}"/>
            </c:ext>
          </c:extLst>
        </c:ser>
        <c:dLbls>
          <c:showLegendKey val="0"/>
          <c:showVal val="0"/>
          <c:showCatName val="0"/>
          <c:showSerName val="0"/>
          <c:showPercent val="0"/>
          <c:showBubbleSize val="0"/>
        </c:dLbls>
        <c:axId val="1385891392"/>
        <c:axId val="1328708544"/>
      </c:scatterChart>
      <c:scatterChart>
        <c:scatterStyle val="lineMarker"/>
        <c:varyColors val="0"/>
        <c:ser>
          <c:idx val="1"/>
          <c:order val="0"/>
          <c:tx>
            <c:strRef>
              <c:f>LineærRegression!$AR$12</c:f>
              <c:strCache>
                <c:ptCount val="1"/>
                <c:pt idx="0">
                  <c:v> Observationer (n=12)</c:v>
                </c:pt>
              </c:strCache>
            </c:strRef>
          </c:tx>
          <c:spPr>
            <a:ln w="25400" cap="rnd">
              <a:noFill/>
              <a:round/>
            </a:ln>
            <a:effectLst/>
          </c:spPr>
          <c:marker>
            <c:symbol val="circle"/>
            <c:size val="7"/>
            <c:spPr>
              <a:noFill/>
              <a:ln w="28575">
                <a:solidFill>
                  <a:schemeClr val="accent1">
                    <a:alpha val="70000"/>
                  </a:schemeClr>
                </a:solidFill>
              </a:ln>
              <a:effectLst/>
            </c:spPr>
          </c:marker>
          <c:xVal>
            <c:numRef>
              <c:f>[0]!LsxSimpel</c:f>
              <c:numCache>
                <c:formatCode>General</c:formatCode>
                <c:ptCount val="12"/>
                <c:pt idx="0">
                  <c:v>-3.2725647568992748</c:v>
                </c:pt>
                <c:pt idx="1">
                  <c:v>-2.2379718387660041</c:v>
                </c:pt>
                <c:pt idx="2">
                  <c:v>2</c:v>
                </c:pt>
                <c:pt idx="3">
                  <c:v>2.0228895016109072</c:v>
                </c:pt>
                <c:pt idx="4">
                  <c:v>2.0315172703350726</c:v>
                </c:pt>
                <c:pt idx="5">
                  <c:v>4</c:v>
                </c:pt>
                <c:pt idx="6">
                  <c:v>5</c:v>
                </c:pt>
                <c:pt idx="7">
                  <c:v>5.4220501567463426</c:v>
                </c:pt>
                <c:pt idx="8">
                  <c:v>6.3251059591845431</c:v>
                </c:pt>
                <c:pt idx="9">
                  <c:v>9</c:v>
                </c:pt>
                <c:pt idx="10">
                  <c:v>9.7085240838788316</c:v>
                </c:pt>
                <c:pt idx="11">
                  <c:v>9.7085240838788316</c:v>
                </c:pt>
              </c:numCache>
            </c:numRef>
          </c:xVal>
          <c:yVal>
            <c:numRef>
              <c:f>[0]!LsySimpel</c:f>
              <c:numCache>
                <c:formatCode>General</c:formatCode>
                <c:ptCount val="12"/>
                <c:pt idx="0">
                  <c:v>-1.1469596428732241</c:v>
                </c:pt>
                <c:pt idx="1">
                  <c:v>-1.479592604535932</c:v>
                </c:pt>
                <c:pt idx="2">
                  <c:v>1.2989587493526971</c:v>
                </c:pt>
                <c:pt idx="3">
                  <c:v>-0.30723615599325882</c:v>
                </c:pt>
                <c:pt idx="4">
                  <c:v>-0.40935481016144565</c:v>
                </c:pt>
                <c:pt idx="5">
                  <c:v>1.8110756828005981</c:v>
                </c:pt>
                <c:pt idx="6">
                  <c:v>8</c:v>
                </c:pt>
                <c:pt idx="7">
                  <c:v>8.4427372017371785E-2</c:v>
                </c:pt>
                <c:pt idx="8">
                  <c:v>1.3803796539630533</c:v>
                </c:pt>
                <c:pt idx="9">
                  <c:v>13</c:v>
                </c:pt>
                <c:pt idx="10">
                  <c:v>0.91409189597286977</c:v>
                </c:pt>
                <c:pt idx="11">
                  <c:v>-0.89773712069108735</c:v>
                </c:pt>
              </c:numCache>
            </c:numRef>
          </c:yVal>
          <c:smooth val="0"/>
          <c:extLst>
            <c:ext xmlns:c16="http://schemas.microsoft.com/office/drawing/2014/chart" uri="{C3380CC4-5D6E-409C-BE32-E72D297353CC}">
              <c16:uniqueId val="{00000002-4D7F-44CB-80F5-EC93153FAEEA}"/>
            </c:ext>
          </c:extLst>
        </c:ser>
        <c:ser>
          <c:idx val="2"/>
          <c:order val="2"/>
          <c:tx>
            <c:strRef>
              <c:f>LineærRegression!$AR$10</c:f>
              <c:strCache>
                <c:ptCount val="1"/>
                <c:pt idx="0">
                  <c:v>Linjetilpasningsplot for simpel lineær regression
Eksempel 2 (interval) forklarer 19.5%
af variationen i Eksempel 1 (interval)</c:v>
                </c:pt>
              </c:strCache>
            </c:strRef>
          </c:tx>
          <c:spPr>
            <a:ln w="25400" cap="rnd">
              <a:noFill/>
              <a:round/>
            </a:ln>
            <a:effectLst/>
          </c:spPr>
          <c:marker>
            <c:symbol val="none"/>
          </c:marker>
          <c:xVal>
            <c:numRef>
              <c:f>(LineærRegression!$AR$38,LineærRegression!$AR$38)</c:f>
              <c:numCache>
                <c:formatCode>General</c:formatCode>
                <c:ptCount val="2"/>
                <c:pt idx="0">
                  <c:v>4.14233953833077</c:v>
                </c:pt>
                <c:pt idx="1">
                  <c:v>4.14233953833077</c:v>
                </c:pt>
              </c:numCache>
            </c:numRef>
          </c:xVal>
          <c:yVal>
            <c:numRef>
              <c:f>(LineærRegression!$AQ$28,LineærRegression!$AQ$30)</c:f>
              <c:numCache>
                <c:formatCode>General</c:formatCode>
                <c:ptCount val="2"/>
                <c:pt idx="0">
                  <c:v>-11.951147136555756</c:v>
                </c:pt>
                <c:pt idx="1">
                  <c:v>14.367118518839385</c:v>
                </c:pt>
              </c:numCache>
            </c:numRef>
          </c:yVal>
          <c:smooth val="0"/>
          <c:extLst>
            <c:ext xmlns:c16="http://schemas.microsoft.com/office/drawing/2014/chart" uri="{C3380CC4-5D6E-409C-BE32-E72D297353CC}">
              <c16:uniqueId val="{00000003-4D7F-44CB-80F5-EC93153FAEEA}"/>
            </c:ext>
          </c:extLst>
        </c:ser>
        <c:ser>
          <c:idx val="3"/>
          <c:order val="3"/>
          <c:tx>
            <c:strRef>
              <c:f>LineærRegression!$AR$16</c:f>
              <c:strCache>
                <c:ptCount val="1"/>
                <c:pt idx="0">
                  <c:v> Givet at Eksempel 2 (interval) = 1 estimeres Eksempel 1 (interval) = 0.459</c:v>
                </c:pt>
              </c:strCache>
            </c:strRef>
          </c:tx>
          <c:spPr>
            <a:ln w="25400" cap="rnd">
              <a:noFill/>
              <a:round/>
            </a:ln>
            <a:effectLst/>
          </c:spPr>
          <c:marker>
            <c:symbol val="x"/>
            <c:size val="15"/>
            <c:spPr>
              <a:noFill/>
              <a:ln w="28575">
                <a:solidFill>
                  <a:schemeClr val="tx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LineærRegression!$B$38</c:f>
              <c:numCache>
                <c:formatCode>General</c:formatCode>
                <c:ptCount val="1"/>
                <c:pt idx="0">
                  <c:v>1</c:v>
                </c:pt>
              </c:numCache>
            </c:numRef>
          </c:xVal>
          <c:yVal>
            <c:numRef>
              <c:f>LineærRegression!$B$40</c:f>
              <c:numCache>
                <c:formatCode>#,##0.000</c:formatCode>
                <c:ptCount val="1"/>
                <c:pt idx="0">
                  <c:v>0.45914125165805242</c:v>
                </c:pt>
              </c:numCache>
            </c:numRef>
          </c:yVal>
          <c:smooth val="0"/>
          <c:extLst>
            <c:ext xmlns:c16="http://schemas.microsoft.com/office/drawing/2014/chart" uri="{C3380CC4-5D6E-409C-BE32-E72D297353CC}">
              <c16:uniqueId val="{00000004-4D7F-44CB-80F5-EC93153FAEEA}"/>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LineærRegression!$AR$18</c:f>
              <c:strCache>
                <c:ptCount val="1"/>
                <c:pt idx="0">
                  <c:v>Eksempel 2 (interval)</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LineærRegression!$AQ$10</c:f>
              <c:strCache>
                <c:ptCount val="1"/>
                <c:pt idx="0">
                  <c:v>Eksempel 1 (interval)</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legendEntry>
        <c:idx val="2"/>
        <c:delete val="1"/>
      </c:legendEntry>
      <c:legendEntry>
        <c:idx val="4"/>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LineærRegression!$BL$10</c:f>
          <c:strCache>
            <c:ptCount val="1"/>
            <c:pt idx="0">
              <c:v>Ud af 2 inkluderede uafhængige variable
er 0 signifikante ved 95% konfidensniveau</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bar"/>
        <c:grouping val="stacked"/>
        <c:varyColors val="0"/>
        <c:ser>
          <c:idx val="0"/>
          <c:order val="0"/>
          <c:tx>
            <c:strRef>
              <c:f>LineærRegression!$BL$12</c:f>
              <c:strCache>
                <c:ptCount val="1"/>
                <c:pt idx="0">
                  <c:v>Signifikant</c:v>
                </c:pt>
              </c:strCache>
            </c:strRef>
          </c:tx>
          <c:spPr>
            <a:solidFill>
              <a:schemeClr val="accent1"/>
            </a:solidFill>
            <a:ln>
              <a:noFill/>
            </a:ln>
            <a:effectLst/>
          </c:spPr>
          <c:invertIfNegative val="0"/>
          <c:dLbls>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inBase"/>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Ref>
              <c:f>[0]!Lssx</c:f>
              <c:strCache>
                <c:ptCount val="2"/>
                <c:pt idx="0">
                  <c:v>Eksempel 2 (interval)     </c:v>
                </c:pt>
                <c:pt idx="1">
                  <c:v>Eksempel 3 (nominal)     </c:v>
                </c:pt>
              </c:strCache>
            </c:strRef>
          </c:cat>
          <c:val>
            <c:numRef>
              <c:f>[0]!Lssy1</c:f>
              <c:numCache>
                <c:formatCode>General</c:formatCode>
                <c:ptCount val="2"/>
                <c:pt idx="0">
                  <c:v>#N/A</c:v>
                </c:pt>
                <c:pt idx="1">
                  <c:v>#N/A</c:v>
                </c:pt>
              </c:numCache>
            </c:numRef>
          </c:val>
          <c:extLst>
            <c:ext xmlns:c16="http://schemas.microsoft.com/office/drawing/2014/chart" uri="{C3380CC4-5D6E-409C-BE32-E72D297353CC}">
              <c16:uniqueId val="{00000000-5E5C-4BC6-98E9-F928001F9D2A}"/>
            </c:ext>
          </c:extLst>
        </c:ser>
        <c:ser>
          <c:idx val="1"/>
          <c:order val="1"/>
          <c:tx>
            <c:strRef>
              <c:f>LineærRegression!$BL$14</c:f>
              <c:strCache>
                <c:ptCount val="1"/>
                <c:pt idx="0">
                  <c:v>Ikke signifikant</c:v>
                </c:pt>
              </c:strCache>
            </c:strRef>
          </c:tx>
          <c:spPr>
            <a:solidFill>
              <a:schemeClr val="accent2"/>
            </a:solidFill>
            <a:ln>
              <a:noFill/>
            </a:ln>
            <a:effectLst/>
          </c:spPr>
          <c:invertIfNegative val="0"/>
          <c:dLbls>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inBase"/>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Ref>
              <c:f>[0]!Lssx</c:f>
              <c:strCache>
                <c:ptCount val="2"/>
                <c:pt idx="0">
                  <c:v>Eksempel 2 (interval)     </c:v>
                </c:pt>
                <c:pt idx="1">
                  <c:v>Eksempel 3 (nominal)     </c:v>
                </c:pt>
              </c:strCache>
            </c:strRef>
          </c:cat>
          <c:val>
            <c:numRef>
              <c:f>[0]!Lssy2</c:f>
              <c:numCache>
                <c:formatCode>General</c:formatCode>
                <c:ptCount val="2"/>
                <c:pt idx="0">
                  <c:v>0.19806158153598377</c:v>
                </c:pt>
                <c:pt idx="1">
                  <c:v>0.7576462468032521</c:v>
                </c:pt>
              </c:numCache>
            </c:numRef>
          </c:val>
          <c:extLst>
            <c:ext xmlns:c16="http://schemas.microsoft.com/office/drawing/2014/chart" uri="{C3380CC4-5D6E-409C-BE32-E72D297353CC}">
              <c16:uniqueId val="{00000001-5E5C-4BC6-98E9-F928001F9D2A}"/>
            </c:ext>
          </c:extLst>
        </c:ser>
        <c:dLbls>
          <c:showLegendKey val="0"/>
          <c:showVal val="0"/>
          <c:showCatName val="0"/>
          <c:showSerName val="0"/>
          <c:showPercent val="0"/>
          <c:showBubbleSize val="0"/>
        </c:dLbls>
        <c:gapWidth val="25"/>
        <c:overlap val="100"/>
        <c:axId val="530040208"/>
        <c:axId val="530040624"/>
      </c:barChart>
      <c:scatterChart>
        <c:scatterStyle val="lineMarker"/>
        <c:varyColors val="0"/>
        <c:ser>
          <c:idx val="2"/>
          <c:order val="2"/>
          <c:tx>
            <c:strRef>
              <c:f>LineærRegression!$BL$16</c:f>
              <c:strCache>
                <c:ptCount val="1"/>
                <c:pt idx="0">
                  <c:v>Grænse for signifikans = 5%</c:v>
                </c:pt>
              </c:strCache>
            </c:strRef>
          </c:tx>
          <c:spPr>
            <a:ln w="28575" cap="rnd">
              <a:solidFill>
                <a:sysClr val="windowText" lastClr="000000"/>
              </a:solidFill>
              <a:round/>
            </a:ln>
            <a:effectLst/>
          </c:spPr>
          <c:marker>
            <c:symbol val="none"/>
          </c:marker>
          <c:dPt>
            <c:idx val="1"/>
            <c:marker>
              <c:symbol val="none"/>
            </c:marker>
            <c:bubble3D val="0"/>
            <c:extLst>
              <c:ext xmlns:c16="http://schemas.microsoft.com/office/drawing/2014/chart" uri="{C3380CC4-5D6E-409C-BE32-E72D297353CC}">
                <c16:uniqueId val="{00000002-5E5C-4BC6-98E9-F928001F9D2A}"/>
              </c:ext>
            </c:extLst>
          </c:dPt>
          <c:dLbls>
            <c:dLbl>
              <c:idx val="1"/>
              <c:delete val="1"/>
              <c:extLst>
                <c:ext xmlns:c15="http://schemas.microsoft.com/office/drawing/2012/chart" uri="{CE6537A1-D6FC-4f65-9D91-7224C49458BB}"/>
                <c:ext xmlns:c16="http://schemas.microsoft.com/office/drawing/2014/chart" uri="{C3380CC4-5D6E-409C-BE32-E72D297353CC}">
                  <c16:uniqueId val="{00000002-5E5C-4BC6-98E9-F928001F9D2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b"/>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(LineærRegression!$BL$24,LineærRegression!$BL$24)</c:f>
              <c:numCache>
                <c:formatCode>0.000%</c:formatCode>
                <c:ptCount val="2"/>
                <c:pt idx="0">
                  <c:v>5.0000000000000044E-2</c:v>
                </c:pt>
                <c:pt idx="1">
                  <c:v>5.0000000000000044E-2</c:v>
                </c:pt>
              </c:numCache>
            </c:numRef>
          </c:xVal>
          <c:yVal>
            <c:numRef>
              <c:f>(LineærRegression!$BL$20,LineærRegression!$BL$22)</c:f>
              <c:numCache>
                <c:formatCode>General</c:formatCode>
                <c:ptCount val="2"/>
                <c:pt idx="0">
                  <c:v>0</c:v>
                </c:pt>
                <c:pt idx="1">
                  <c:v>1</c:v>
                </c:pt>
              </c:numCache>
            </c:numRef>
          </c:yVal>
          <c:smooth val="0"/>
          <c:extLst>
            <c:ext xmlns:c16="http://schemas.microsoft.com/office/drawing/2014/chart" uri="{C3380CC4-5D6E-409C-BE32-E72D297353CC}">
              <c16:uniqueId val="{00000004-5E5C-4BC6-98E9-F928001F9D2A}"/>
            </c:ext>
          </c:extLst>
        </c:ser>
        <c:dLbls>
          <c:showLegendKey val="0"/>
          <c:showVal val="0"/>
          <c:showCatName val="0"/>
          <c:showSerName val="0"/>
          <c:showPercent val="0"/>
          <c:showBubbleSize val="0"/>
        </c:dLbls>
        <c:axId val="881375776"/>
        <c:axId val="881366208"/>
      </c:scatterChart>
      <c:valAx>
        <c:axId val="881375776"/>
        <c:scaling>
          <c:orientation val="minMax"/>
        </c:scaling>
        <c:delete val="1"/>
        <c:axPos val="b"/>
        <c:numFmt formatCode="0.000%" sourceLinked="1"/>
        <c:majorTickMark val="none"/>
        <c:minorTickMark val="none"/>
        <c:tickLblPos val="high"/>
        <c:crossAx val="881366208"/>
        <c:crosses val="autoZero"/>
        <c:crossBetween val="midCat"/>
      </c:valAx>
      <c:valAx>
        <c:axId val="881366208"/>
        <c:scaling>
          <c:orientation val="minMax"/>
          <c:max val="1"/>
        </c:scaling>
        <c:delete val="0"/>
        <c:axPos val="l"/>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881375776"/>
        <c:crosses val="autoZero"/>
        <c:crossBetween val="midCat"/>
      </c:valAx>
      <c:valAx>
        <c:axId val="530040624"/>
        <c:scaling>
          <c:orientation val="minMax"/>
        </c:scaling>
        <c:delete val="0"/>
        <c:axPos val="t"/>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530040208"/>
        <c:crosses val="autoZero"/>
        <c:crossBetween val="between"/>
      </c:valAx>
      <c:catAx>
        <c:axId val="530040208"/>
        <c:scaling>
          <c:orientation val="maxMin"/>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530040624"/>
        <c:crosses val="autoZero"/>
        <c:auto val="1"/>
        <c:lblAlgn val="ctr"/>
        <c:lblOffset val="100"/>
        <c:noMultiLvlLbl val="0"/>
      </c:cat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LineærRegression!$EM$10</c:f>
          <c:strCache>
            <c:ptCount val="1"/>
            <c:pt idx="0">
              <c:v>Forklaringsgrad i simpel regression:   19.5% (justeret 11.5%)
Forklaringsgrad i multipel regression: 20.4% (justeret 2.7%)</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1"/>
          <c:order val="0"/>
          <c:tx>
            <c:strRef>
              <c:f>LineærRegression!$EM$14</c:f>
              <c:strCache>
                <c:ptCount val="1"/>
                <c:pt idx="0">
                  <c:v> Beregnet værdi, simpel lineær regression</c:v>
                </c:pt>
              </c:strCache>
            </c:strRef>
          </c:tx>
          <c:spPr>
            <a:ln w="25400" cap="rnd">
              <a:noFill/>
              <a:round/>
            </a:ln>
            <a:effectLst/>
          </c:spPr>
          <c:marker>
            <c:symbol val="circle"/>
            <c:size val="7"/>
            <c:spPr>
              <a:noFill/>
              <a:ln w="28575">
                <a:solidFill>
                  <a:schemeClr val="accent1">
                    <a:alpha val="70000"/>
                  </a:schemeClr>
                </a:solidFill>
              </a:ln>
              <a:effectLst/>
            </c:spPr>
          </c:marker>
          <c:xVal>
            <c:numRef>
              <c:f>[0]!Lfyx</c:f>
              <c:numCache>
                <c:formatCode>General</c:formatCode>
                <c:ptCount val="12"/>
                <c:pt idx="0">
                  <c:v>1.2989587493526971</c:v>
                </c:pt>
                <c:pt idx="1">
                  <c:v>-1.1469596428732241</c:v>
                </c:pt>
                <c:pt idx="2">
                  <c:v>-0.40935481016144565</c:v>
                </c:pt>
                <c:pt idx="3">
                  <c:v>-1.479592604535932</c:v>
                </c:pt>
                <c:pt idx="4">
                  <c:v>1.8110756828005981</c:v>
                </c:pt>
                <c:pt idx="5">
                  <c:v>8</c:v>
                </c:pt>
                <c:pt idx="6">
                  <c:v>-0.30723615599325882</c:v>
                </c:pt>
                <c:pt idx="7">
                  <c:v>13</c:v>
                </c:pt>
                <c:pt idx="8">
                  <c:v>1.3803796539630533</c:v>
                </c:pt>
                <c:pt idx="9">
                  <c:v>8.4427372017371785E-2</c:v>
                </c:pt>
                <c:pt idx="10">
                  <c:v>0.91409189597286977</c:v>
                </c:pt>
                <c:pt idx="11">
                  <c:v>-0.89773712069108735</c:v>
                </c:pt>
              </c:numCache>
            </c:numRef>
          </c:xVal>
          <c:yVal>
            <c:numRef>
              <c:f>[0]!Lfs</c:f>
              <c:numCache>
                <c:formatCode>General</c:formatCode>
                <c:ptCount val="12"/>
                <c:pt idx="0">
                  <c:v>0.90303445595636256</c:v>
                </c:pt>
                <c:pt idx="1">
                  <c:v>-1.4374212088539973</c:v>
                </c:pt>
                <c:pt idx="2">
                  <c:v>0.91702475807613404</c:v>
                </c:pt>
                <c:pt idx="3">
                  <c:v>-0.97817244327948039</c:v>
                </c:pt>
                <c:pt idx="4">
                  <c:v>1.7908208645529828</c:v>
                </c:pt>
                <c:pt idx="5">
                  <c:v>2.234714068851293</c:v>
                </c:pt>
                <c:pt idx="6">
                  <c:v>0.91319495017121943</c:v>
                </c:pt>
                <c:pt idx="7">
                  <c:v>4.0102868860445335</c:v>
                </c:pt>
                <c:pt idx="8">
                  <c:v>2.8229195991085057</c:v>
                </c:pt>
                <c:pt idx="9">
                  <c:v>2.4220592653040312</c:v>
                </c:pt>
                <c:pt idx="10">
                  <c:v>4.3247959119600328</c:v>
                </c:pt>
                <c:pt idx="11">
                  <c:v>4.3247959119600328</c:v>
                </c:pt>
              </c:numCache>
            </c:numRef>
          </c:yVal>
          <c:smooth val="0"/>
          <c:extLst>
            <c:ext xmlns:c16="http://schemas.microsoft.com/office/drawing/2014/chart" uri="{C3380CC4-5D6E-409C-BE32-E72D297353CC}">
              <c16:uniqueId val="{00000000-592A-4A84-BF3A-F7DA74A1DBCF}"/>
            </c:ext>
          </c:extLst>
        </c:ser>
        <c:ser>
          <c:idx val="3"/>
          <c:order val="1"/>
          <c:tx>
            <c:strRef>
              <c:f>LineærRegression!$EM$16</c:f>
              <c:strCache>
                <c:ptCount val="1"/>
                <c:pt idx="0">
                  <c:v> Beregnet værdi, multipel lineær regression</c:v>
                </c:pt>
              </c:strCache>
            </c:strRef>
          </c:tx>
          <c:spPr>
            <a:ln w="25400" cap="rnd">
              <a:noFill/>
              <a:round/>
            </a:ln>
            <a:effectLst/>
          </c:spPr>
          <c:marker>
            <c:symbol val="circle"/>
            <c:size val="7"/>
            <c:spPr>
              <a:noFill/>
              <a:ln w="28575">
                <a:solidFill>
                  <a:schemeClr val="accent2">
                    <a:alpha val="70000"/>
                  </a:schemeClr>
                </a:solidFill>
              </a:ln>
              <a:effectLst/>
            </c:spPr>
          </c:marker>
          <c:xVal>
            <c:numRef>
              <c:f>[0]!Lfyx</c:f>
              <c:numCache>
                <c:formatCode>General</c:formatCode>
                <c:ptCount val="12"/>
                <c:pt idx="0">
                  <c:v>1.2989587493526971</c:v>
                </c:pt>
                <c:pt idx="1">
                  <c:v>-1.1469596428732241</c:v>
                </c:pt>
                <c:pt idx="2">
                  <c:v>-0.40935481016144565</c:v>
                </c:pt>
                <c:pt idx="3">
                  <c:v>-1.479592604535932</c:v>
                </c:pt>
                <c:pt idx="4">
                  <c:v>1.8110756828005981</c:v>
                </c:pt>
                <c:pt idx="5">
                  <c:v>8</c:v>
                </c:pt>
                <c:pt idx="6">
                  <c:v>-0.30723615599325882</c:v>
                </c:pt>
                <c:pt idx="7">
                  <c:v>13</c:v>
                </c:pt>
                <c:pt idx="8">
                  <c:v>1.3803796539630533</c:v>
                </c:pt>
                <c:pt idx="9">
                  <c:v>8.4427372017371785E-2</c:v>
                </c:pt>
                <c:pt idx="10">
                  <c:v>0.91409189597286977</c:v>
                </c:pt>
                <c:pt idx="11">
                  <c:v>-0.89773712069108735</c:v>
                </c:pt>
              </c:numCache>
            </c:numRef>
          </c:xVal>
          <c:yVal>
            <c:numRef>
              <c:f>[0]!Lfm</c:f>
              <c:numCache>
                <c:formatCode>General</c:formatCode>
                <c:ptCount val="12"/>
                <c:pt idx="0">
                  <c:v>0.71518493194619648</c:v>
                </c:pt>
                <c:pt idx="1">
                  <c:v>-1.5214934413295471</c:v>
                </c:pt>
                <c:pt idx="2">
                  <c:v>0.72855489517915606</c:v>
                </c:pt>
                <c:pt idx="3">
                  <c:v>-1.0826080578726749</c:v>
                </c:pt>
                <c:pt idx="4">
                  <c:v>1.5636063269983851</c:v>
                </c:pt>
                <c:pt idx="5">
                  <c:v>2.907881570451468</c:v>
                </c:pt>
                <c:pt idx="6">
                  <c:v>0.72489490339058404</c:v>
                </c:pt>
                <c:pt idx="7">
                  <c:v>3.6846598146288567</c:v>
                </c:pt>
                <c:pt idx="8">
                  <c:v>3.4700056936931274</c:v>
                </c:pt>
                <c:pt idx="9">
                  <c:v>3.0869197618358313</c:v>
                </c:pt>
                <c:pt idx="10">
                  <c:v>3.9852233104651327</c:v>
                </c:pt>
                <c:pt idx="11">
                  <c:v>3.9852233104651327</c:v>
                </c:pt>
              </c:numCache>
            </c:numRef>
          </c:yVal>
          <c:smooth val="0"/>
          <c:extLst>
            <c:ext xmlns:c16="http://schemas.microsoft.com/office/drawing/2014/chart" uri="{C3380CC4-5D6E-409C-BE32-E72D297353CC}">
              <c16:uniqueId val="{00000001-592A-4A84-BF3A-F7DA74A1DBCF}"/>
            </c:ext>
          </c:extLst>
        </c:ser>
        <c:ser>
          <c:idx val="2"/>
          <c:order val="2"/>
          <c:tx>
            <c:strRef>
              <c:f>LineærRegression!$EM$10</c:f>
              <c:strCache>
                <c:ptCount val="1"/>
                <c:pt idx="0">
                  <c:v>Forklaringsgrad i simpel regression:   19.5% (justeret 11.5%)
Forklaringsgrad i multipel regression: 20.4% (justeret 2.7%)</c:v>
                </c:pt>
              </c:strCache>
            </c:strRef>
          </c:tx>
          <c:spPr>
            <a:ln w="25400" cap="rnd">
              <a:noFill/>
              <a:round/>
            </a:ln>
            <a:effectLst/>
          </c:spPr>
          <c:marker>
            <c:symbol val="none"/>
          </c:marker>
          <c:xVal>
            <c:numRef>
              <c:f>(LineærRegression!$EM$40,LineærRegression!$EM$40)</c:f>
              <c:numCache>
                <c:formatCode>General</c:formatCode>
                <c:ptCount val="2"/>
                <c:pt idx="0">
                  <c:v>1.8540044183209705</c:v>
                </c:pt>
                <c:pt idx="1">
                  <c:v>1.8540044183209705</c:v>
                </c:pt>
              </c:numCache>
            </c:numRef>
          </c:xVal>
          <c:yVal>
            <c:numRef>
              <c:f>(LineærRegression!$AQ$28,LineærRegression!$AQ$30)</c:f>
              <c:numCache>
                <c:formatCode>General</c:formatCode>
                <c:ptCount val="2"/>
                <c:pt idx="0">
                  <c:v>-11.951147136555756</c:v>
                </c:pt>
                <c:pt idx="1">
                  <c:v>14.367118518839385</c:v>
                </c:pt>
              </c:numCache>
            </c:numRef>
          </c:yVal>
          <c:smooth val="0"/>
          <c:extLst>
            <c:ext xmlns:c16="http://schemas.microsoft.com/office/drawing/2014/chart" uri="{C3380CC4-5D6E-409C-BE32-E72D297353CC}">
              <c16:uniqueId val="{00000002-592A-4A84-BF3A-F7DA74A1DBCF}"/>
            </c:ext>
          </c:extLst>
        </c:ser>
        <c:ser>
          <c:idx val="0"/>
          <c:order val="3"/>
          <c:tx>
            <c:strRef>
              <c:f>LineærRegression!$EM$12</c:f>
              <c:strCache>
                <c:ptCount val="1"/>
                <c:pt idx="0">
                  <c:v> Referencelinje ved perfekt forklaringsgrad</c:v>
                </c:pt>
              </c:strCache>
            </c:strRef>
          </c:tx>
          <c:spPr>
            <a:ln w="28575" cap="rnd">
              <a:solidFill>
                <a:schemeClr val="tx1"/>
              </a:solidFill>
              <a:round/>
            </a:ln>
            <a:effectLst/>
          </c:spPr>
          <c:marker>
            <c:symbol val="none"/>
          </c:marker>
          <c:xVal>
            <c:numRef>
              <c:f>[0]!Lfsy</c:f>
              <c:numCache>
                <c:formatCode>General</c:formatCode>
                <c:ptCount val="12"/>
                <c:pt idx="0">
                  <c:v>-1.479592604535932</c:v>
                </c:pt>
                <c:pt idx="1">
                  <c:v>-1.1469596428732241</c:v>
                </c:pt>
                <c:pt idx="2">
                  <c:v>-0.89773712069108735</c:v>
                </c:pt>
                <c:pt idx="3">
                  <c:v>-0.40935481016144565</c:v>
                </c:pt>
                <c:pt idx="4">
                  <c:v>-0.30723615599325882</c:v>
                </c:pt>
                <c:pt idx="5">
                  <c:v>8.4427372017371785E-2</c:v>
                </c:pt>
                <c:pt idx="6">
                  <c:v>0.91409189597286977</c:v>
                </c:pt>
                <c:pt idx="7">
                  <c:v>1.2989587493526971</c:v>
                </c:pt>
                <c:pt idx="8">
                  <c:v>1.3803796539630533</c:v>
                </c:pt>
                <c:pt idx="9">
                  <c:v>1.8110756828005981</c:v>
                </c:pt>
                <c:pt idx="10">
                  <c:v>8</c:v>
                </c:pt>
                <c:pt idx="11">
                  <c:v>13</c:v>
                </c:pt>
              </c:numCache>
            </c:numRef>
          </c:xVal>
          <c:yVal>
            <c:numRef>
              <c:f>[0]!Lfsy</c:f>
              <c:numCache>
                <c:formatCode>General</c:formatCode>
                <c:ptCount val="12"/>
                <c:pt idx="0">
                  <c:v>-1.479592604535932</c:v>
                </c:pt>
                <c:pt idx="1">
                  <c:v>-1.1469596428732241</c:v>
                </c:pt>
                <c:pt idx="2">
                  <c:v>-0.89773712069108735</c:v>
                </c:pt>
                <c:pt idx="3">
                  <c:v>-0.40935481016144565</c:v>
                </c:pt>
                <c:pt idx="4">
                  <c:v>-0.30723615599325882</c:v>
                </c:pt>
                <c:pt idx="5">
                  <c:v>8.4427372017371785E-2</c:v>
                </c:pt>
                <c:pt idx="6">
                  <c:v>0.91409189597286977</c:v>
                </c:pt>
                <c:pt idx="7">
                  <c:v>1.2989587493526971</c:v>
                </c:pt>
                <c:pt idx="8">
                  <c:v>1.3803796539630533</c:v>
                </c:pt>
                <c:pt idx="9">
                  <c:v>1.8110756828005981</c:v>
                </c:pt>
                <c:pt idx="10">
                  <c:v>8</c:v>
                </c:pt>
                <c:pt idx="11">
                  <c:v>13</c:v>
                </c:pt>
              </c:numCache>
            </c:numRef>
          </c:yVal>
          <c:smooth val="0"/>
          <c:extLst>
            <c:ext xmlns:c16="http://schemas.microsoft.com/office/drawing/2014/chart" uri="{C3380CC4-5D6E-409C-BE32-E72D297353CC}">
              <c16:uniqueId val="{00000003-592A-4A84-BF3A-F7DA74A1DBCF}"/>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LineærRegression!$EM$18</c:f>
              <c:strCache>
                <c:ptCount val="1"/>
                <c:pt idx="0">
                  <c:v>Beregnet værdi i regression</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LineærRegression!$EM$20</c:f>
              <c:strCache>
                <c:ptCount val="1"/>
                <c:pt idx="0">
                  <c:v>Eksempel 1 (interval)</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legendEntry>
        <c:idx val="2"/>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LineærRegression!$AX$10</c:f>
          <c:strCache>
            <c:ptCount val="1"/>
            <c:pt idx="0">
              <c:v>Konfidensinterval for simpel lineær regression
Gennemsnittet er med 95% sandsynlighed mellem
øvre og nedre grænse i konfidensintervallet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4"/>
          <c:order val="1"/>
          <c:tx>
            <c:strRef>
              <c:f>LineærRegression!$AX$14</c:f>
              <c:strCache>
                <c:ptCount val="1"/>
                <c:pt idx="0">
                  <c:v> Givet at Eksempel 2 (interval) = 1 estimeres øvre grænse for konfidensinterval = 3.743</c:v>
                </c:pt>
              </c:strCache>
            </c:strRef>
          </c:tx>
          <c:spPr>
            <a:ln w="25400" cap="rnd">
              <a:noFill/>
              <a:round/>
            </a:ln>
            <a:effectLst/>
          </c:spPr>
          <c:marker>
            <c:symbol val="x"/>
            <c:size val="15"/>
            <c:spPr>
              <a:noFill/>
              <a:ln w="28575">
                <a:solidFill>
                  <a:schemeClr val="tx1"/>
                </a:solidFill>
                <a:prstDash val="solid"/>
              </a:ln>
              <a:effectLst/>
            </c:spPr>
          </c:marker>
          <c:dLbls>
            <c:dLbl>
              <c:idx val="0"/>
              <c:tx>
                <c:rich>
                  <a:bodyPr/>
                  <a:lstStyle/>
                  <a:p>
                    <a:fld id="{82186884-7F54-4E9C-9801-DBE9C0C0C23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7141-461C-B0AD-34C0C2F9AA7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LineærRegression!$C$38</c:f>
              <c:numCache>
                <c:formatCode>General</c:formatCode>
                <c:ptCount val="1"/>
                <c:pt idx="0">
                  <c:v>1</c:v>
                </c:pt>
              </c:numCache>
            </c:numRef>
          </c:xVal>
          <c:yVal>
            <c:numRef>
              <c:f>LineærRegression!$AX$24</c:f>
              <c:numCache>
                <c:formatCode>General</c:formatCode>
                <c:ptCount val="1"/>
                <c:pt idx="0">
                  <c:v>3.7427861990338451</c:v>
                </c:pt>
              </c:numCache>
            </c:numRef>
          </c:yVal>
          <c:smooth val="0"/>
          <c:extLst>
            <c:ext xmlns:c15="http://schemas.microsoft.com/office/drawing/2012/chart" uri="{02D57815-91ED-43cb-92C2-25804820EDAC}">
              <c15:datalabelsRange>
                <c15:f>LineærRegression!$AX$50</c15:f>
                <c15:dlblRangeCache>
                  <c:ptCount val="1"/>
                  <c:pt idx="0">
                    <c:v>3.743</c:v>
                  </c:pt>
                </c15:dlblRangeCache>
              </c15:datalabelsRange>
            </c:ext>
            <c:ext xmlns:c16="http://schemas.microsoft.com/office/drawing/2014/chart" uri="{C3380CC4-5D6E-409C-BE32-E72D297353CC}">
              <c16:uniqueId val="{00000001-7141-461C-B0AD-34C0C2F9AA78}"/>
            </c:ext>
          </c:extLst>
        </c:ser>
        <c:ser>
          <c:idx val="5"/>
          <c:order val="2"/>
          <c:tx>
            <c:strRef>
              <c:f>LineærRegression!$AX$16</c:f>
              <c:strCache>
                <c:ptCount val="1"/>
                <c:pt idx="0">
                  <c:v> Givet at Eksempel 2 (interval) = 1 estimeres nedre grænse for konfidensinterval = -2.825</c:v>
                </c:pt>
              </c:strCache>
            </c:strRef>
          </c:tx>
          <c:spPr>
            <a:ln w="25400" cap="rnd">
              <a:noFill/>
              <a:round/>
            </a:ln>
            <a:effectLst/>
          </c:spPr>
          <c:marker>
            <c:symbol val="x"/>
            <c:size val="15"/>
            <c:spPr>
              <a:noFill/>
              <a:ln w="28575">
                <a:solidFill>
                  <a:schemeClr val="tx1"/>
                </a:solidFill>
              </a:ln>
              <a:effectLst/>
            </c:spPr>
          </c:marker>
          <c:dLbls>
            <c:dLbl>
              <c:idx val="0"/>
              <c:tx>
                <c:rich>
                  <a:bodyPr/>
                  <a:lstStyle/>
                  <a:p>
                    <a:fld id="{50A5D44F-0027-4242-92B6-5150AD230767}" type="CELLRANGE">
                      <a:rPr lang="en-US"/>
                      <a:pPr/>
                      <a:t>[CELLRANGE]</a:t>
                    </a:fld>
                    <a:endParaRPr lang="da-DK"/>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7141-461C-B0AD-34C0C2F9AA7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LineærRegression!$C$38</c:f>
              <c:numCache>
                <c:formatCode>General</c:formatCode>
                <c:ptCount val="1"/>
                <c:pt idx="0">
                  <c:v>1</c:v>
                </c:pt>
              </c:numCache>
            </c:numRef>
          </c:xVal>
          <c:yVal>
            <c:numRef>
              <c:f>LineærRegression!$AX$26</c:f>
              <c:numCache>
                <c:formatCode>General</c:formatCode>
                <c:ptCount val="1"/>
                <c:pt idx="0">
                  <c:v>-2.8245036957177403</c:v>
                </c:pt>
              </c:numCache>
            </c:numRef>
          </c:yVal>
          <c:smooth val="0"/>
          <c:extLst>
            <c:ext xmlns:c15="http://schemas.microsoft.com/office/drawing/2012/chart" uri="{02D57815-91ED-43cb-92C2-25804820EDAC}">
              <c15:datalabelsRange>
                <c15:f>LineærRegression!$AX$52</c15:f>
                <c15:dlblRangeCache>
                  <c:ptCount val="1"/>
                  <c:pt idx="0">
                    <c:v>-2.825</c:v>
                  </c:pt>
                </c15:dlblRangeCache>
              </c15:datalabelsRange>
            </c:ext>
            <c:ext xmlns:c16="http://schemas.microsoft.com/office/drawing/2014/chart" uri="{C3380CC4-5D6E-409C-BE32-E72D297353CC}">
              <c16:uniqueId val="{00000003-7141-461C-B0AD-34C0C2F9AA78}"/>
            </c:ext>
          </c:extLst>
        </c:ser>
        <c:dLbls>
          <c:showLegendKey val="0"/>
          <c:showVal val="0"/>
          <c:showCatName val="0"/>
          <c:showSerName val="0"/>
          <c:showPercent val="0"/>
          <c:showBubbleSize val="0"/>
        </c:dLbls>
        <c:axId val="1385891392"/>
        <c:axId val="1328708544"/>
      </c:scatterChart>
      <c:scatterChart>
        <c:scatterStyle val="smoothMarker"/>
        <c:varyColors val="0"/>
        <c:ser>
          <c:idx val="0"/>
          <c:order val="0"/>
          <c:tx>
            <c:strRef>
              <c:f>LineærRegression!$AX$12</c:f>
              <c:strCache>
                <c:ptCount val="1"/>
                <c:pt idx="0">
                  <c:v> Eksempel 1 (interval) = 0.444 * Eksempel 2 (interval) + 0.015</c:v>
                </c:pt>
              </c:strCache>
            </c:strRef>
          </c:tx>
          <c:spPr>
            <a:ln w="31750" cap="rnd">
              <a:solidFill>
                <a:schemeClr val="tx1"/>
              </a:solidFill>
              <a:round/>
            </a:ln>
            <a:effectLst/>
          </c:spPr>
          <c:marker>
            <c:symbol val="none"/>
          </c:marker>
          <c:xVal>
            <c:numRef>
              <c:f>[0]!LsxSimpel</c:f>
              <c:numCache>
                <c:formatCode>General</c:formatCode>
                <c:ptCount val="12"/>
                <c:pt idx="0">
                  <c:v>-3.2725647568992748</c:v>
                </c:pt>
                <c:pt idx="1">
                  <c:v>-2.2379718387660041</c:v>
                </c:pt>
                <c:pt idx="2">
                  <c:v>2</c:v>
                </c:pt>
                <c:pt idx="3">
                  <c:v>2.0228895016109072</c:v>
                </c:pt>
                <c:pt idx="4">
                  <c:v>2.0315172703350726</c:v>
                </c:pt>
                <c:pt idx="5">
                  <c:v>4</c:v>
                </c:pt>
                <c:pt idx="6">
                  <c:v>5</c:v>
                </c:pt>
                <c:pt idx="7">
                  <c:v>5.4220501567463426</c:v>
                </c:pt>
                <c:pt idx="8">
                  <c:v>6.3251059591845431</c:v>
                </c:pt>
                <c:pt idx="9">
                  <c:v>9</c:v>
                </c:pt>
                <c:pt idx="10">
                  <c:v>9.7085240838788316</c:v>
                </c:pt>
                <c:pt idx="11">
                  <c:v>9.7085240838788316</c:v>
                </c:pt>
              </c:numCache>
            </c:numRef>
          </c:xVal>
          <c:yVal>
            <c:numRef>
              <c:f>[0]!Lsy2Simpel</c:f>
              <c:numCache>
                <c:formatCode>General</c:formatCode>
                <c:ptCount val="12"/>
                <c:pt idx="0">
                  <c:v>-1.4374212088539973</c:v>
                </c:pt>
                <c:pt idx="1">
                  <c:v>-0.97817244327948039</c:v>
                </c:pt>
                <c:pt idx="2">
                  <c:v>0.90303445595636256</c:v>
                </c:pt>
                <c:pt idx="3">
                  <c:v>0.91319495017121943</c:v>
                </c:pt>
                <c:pt idx="4">
                  <c:v>0.91702475807613404</c:v>
                </c:pt>
                <c:pt idx="5">
                  <c:v>1.7908208645529828</c:v>
                </c:pt>
                <c:pt idx="6">
                  <c:v>2.234714068851293</c:v>
                </c:pt>
                <c:pt idx="7">
                  <c:v>2.4220592653040312</c:v>
                </c:pt>
                <c:pt idx="8">
                  <c:v>2.8229195991085057</c:v>
                </c:pt>
                <c:pt idx="9">
                  <c:v>4.0102868860445335</c:v>
                </c:pt>
                <c:pt idx="10">
                  <c:v>4.3247959119600328</c:v>
                </c:pt>
                <c:pt idx="11">
                  <c:v>4.3247959119600328</c:v>
                </c:pt>
              </c:numCache>
            </c:numRef>
          </c:yVal>
          <c:smooth val="1"/>
          <c:extLst>
            <c:ext xmlns:c16="http://schemas.microsoft.com/office/drawing/2014/chart" uri="{C3380CC4-5D6E-409C-BE32-E72D297353CC}">
              <c16:uniqueId val="{00000004-7141-461C-B0AD-34C0C2F9AA78}"/>
            </c:ext>
          </c:extLst>
        </c:ser>
        <c:ser>
          <c:idx val="8"/>
          <c:order val="3"/>
          <c:tx>
            <c:strRef>
              <c:f>LineærRegression!$AX$18</c:f>
              <c:strCache>
                <c:ptCount val="1"/>
                <c:pt idx="0">
                  <c:v> Grænser for 95% konfidensinterval</c:v>
                </c:pt>
              </c:strCache>
            </c:strRef>
          </c:tx>
          <c:spPr>
            <a:ln w="19050" cap="rnd">
              <a:solidFill>
                <a:schemeClr val="tx1"/>
              </a:solidFill>
              <a:prstDash val="dash"/>
              <a:round/>
            </a:ln>
            <a:effectLst/>
          </c:spPr>
          <c:marker>
            <c:symbol val="none"/>
          </c:marker>
          <c:xVal>
            <c:numRef>
              <c:f>[0]!LkX</c:f>
              <c:numCache>
                <c:formatCode>General</c:formatCode>
                <c:ptCount val="100"/>
                <c:pt idx="0">
                  <c:v>-3.2725647568992748</c:v>
                </c:pt>
                <c:pt idx="1">
                  <c:v>-3.1414426473964658</c:v>
                </c:pt>
                <c:pt idx="2">
                  <c:v>-3.0103205378936564</c:v>
                </c:pt>
                <c:pt idx="3">
                  <c:v>-2.8791984283908474</c:v>
                </c:pt>
                <c:pt idx="4">
                  <c:v>-2.7480763188880384</c:v>
                </c:pt>
                <c:pt idx="5">
                  <c:v>-2.6169542093852289</c:v>
                </c:pt>
                <c:pt idx="6">
                  <c:v>-2.4858320998824199</c:v>
                </c:pt>
                <c:pt idx="7">
                  <c:v>-2.3547099903796109</c:v>
                </c:pt>
                <c:pt idx="8">
                  <c:v>-2.2235878808768019</c:v>
                </c:pt>
                <c:pt idx="9">
                  <c:v>-2.092465771373992</c:v>
                </c:pt>
                <c:pt idx="10">
                  <c:v>-1.961343661871183</c:v>
                </c:pt>
                <c:pt idx="11">
                  <c:v>-1.8302215523683742</c:v>
                </c:pt>
                <c:pt idx="12">
                  <c:v>-1.699099442865565</c:v>
                </c:pt>
                <c:pt idx="13">
                  <c:v>-1.5679773333627558</c:v>
                </c:pt>
                <c:pt idx="14">
                  <c:v>-1.4368552238599468</c:v>
                </c:pt>
                <c:pt idx="15">
                  <c:v>-1.3057331143571376</c:v>
                </c:pt>
                <c:pt idx="16">
                  <c:v>-1.1746110048543286</c:v>
                </c:pt>
                <c:pt idx="17">
                  <c:v>-1.0434888953515191</c:v>
                </c:pt>
                <c:pt idx="18">
                  <c:v>-0.91236678584870967</c:v>
                </c:pt>
                <c:pt idx="19">
                  <c:v>-0.78124467634590111</c:v>
                </c:pt>
                <c:pt idx="20">
                  <c:v>-0.65012256684309122</c:v>
                </c:pt>
                <c:pt idx="21">
                  <c:v>-0.51900045734028266</c:v>
                </c:pt>
                <c:pt idx="22">
                  <c:v>-0.38787834783747366</c:v>
                </c:pt>
                <c:pt idx="23">
                  <c:v>-0.25675623833466421</c:v>
                </c:pt>
                <c:pt idx="24">
                  <c:v>-0.12563412883185521</c:v>
                </c:pt>
                <c:pt idx="25">
                  <c:v>5.48798067095424E-3</c:v>
                </c:pt>
                <c:pt idx="26">
                  <c:v>0.13661009017376324</c:v>
                </c:pt>
                <c:pt idx="27">
                  <c:v>0.26773219967657269</c:v>
                </c:pt>
                <c:pt idx="28">
                  <c:v>0.39885430917938125</c:v>
                </c:pt>
                <c:pt idx="29">
                  <c:v>0.52997641868219025</c:v>
                </c:pt>
                <c:pt idx="30">
                  <c:v>0.6610985281849997</c:v>
                </c:pt>
                <c:pt idx="31">
                  <c:v>0.7922206376878087</c:v>
                </c:pt>
                <c:pt idx="32">
                  <c:v>0.92334274719061771</c:v>
                </c:pt>
                <c:pt idx="33">
                  <c:v>1.0544648566934276</c:v>
                </c:pt>
                <c:pt idx="34">
                  <c:v>1.1855869661962366</c:v>
                </c:pt>
                <c:pt idx="35">
                  <c:v>1.3167090756990456</c:v>
                </c:pt>
                <c:pt idx="36">
                  <c:v>1.4478311852018555</c:v>
                </c:pt>
                <c:pt idx="37">
                  <c:v>1.5789532947046636</c:v>
                </c:pt>
                <c:pt idx="38">
                  <c:v>1.7100754042074726</c:v>
                </c:pt>
                <c:pt idx="39">
                  <c:v>1.8411975137102825</c:v>
                </c:pt>
                <c:pt idx="40">
                  <c:v>1.9723196232130924</c:v>
                </c:pt>
                <c:pt idx="41">
                  <c:v>2.1034417327159005</c:v>
                </c:pt>
                <c:pt idx="42">
                  <c:v>2.2345638422187095</c:v>
                </c:pt>
                <c:pt idx="43">
                  <c:v>2.3656859517215194</c:v>
                </c:pt>
                <c:pt idx="44">
                  <c:v>2.4968080612243275</c:v>
                </c:pt>
                <c:pt idx="45">
                  <c:v>2.6279301707271374</c:v>
                </c:pt>
                <c:pt idx="46">
                  <c:v>2.7590522802299464</c:v>
                </c:pt>
                <c:pt idx="47">
                  <c:v>2.8901743897327563</c:v>
                </c:pt>
                <c:pt idx="48">
                  <c:v>3.0212964992355644</c:v>
                </c:pt>
                <c:pt idx="49">
                  <c:v>3.1524186087383734</c:v>
                </c:pt>
                <c:pt idx="50">
                  <c:v>3.2835407182411833</c:v>
                </c:pt>
                <c:pt idx="51">
                  <c:v>3.4146628277439914</c:v>
                </c:pt>
                <c:pt idx="52">
                  <c:v>3.5457849372468013</c:v>
                </c:pt>
                <c:pt idx="53">
                  <c:v>3.6769070467496103</c:v>
                </c:pt>
                <c:pt idx="54">
                  <c:v>3.8080291562524202</c:v>
                </c:pt>
                <c:pt idx="55">
                  <c:v>3.9391512657552283</c:v>
                </c:pt>
                <c:pt idx="56">
                  <c:v>4.0702733752580373</c:v>
                </c:pt>
                <c:pt idx="57">
                  <c:v>4.2013954847608472</c:v>
                </c:pt>
                <c:pt idx="58">
                  <c:v>4.3325175942636553</c:v>
                </c:pt>
                <c:pt idx="59">
                  <c:v>4.4636397037664652</c:v>
                </c:pt>
                <c:pt idx="60">
                  <c:v>4.5947618132692742</c:v>
                </c:pt>
                <c:pt idx="61">
                  <c:v>4.7258839227720841</c:v>
                </c:pt>
                <c:pt idx="62">
                  <c:v>4.8570060322748922</c:v>
                </c:pt>
                <c:pt idx="63">
                  <c:v>4.9881281417777021</c:v>
                </c:pt>
                <c:pt idx="64">
                  <c:v>5.1192502512805103</c:v>
                </c:pt>
                <c:pt idx="65">
                  <c:v>5.2503723607833201</c:v>
                </c:pt>
                <c:pt idx="66">
                  <c:v>5.38149447028613</c:v>
                </c:pt>
                <c:pt idx="67">
                  <c:v>5.5126165797889382</c:v>
                </c:pt>
                <c:pt idx="68">
                  <c:v>5.643738689291748</c:v>
                </c:pt>
                <c:pt idx="69">
                  <c:v>5.7748607987945562</c:v>
                </c:pt>
                <c:pt idx="70">
                  <c:v>5.9059829082973661</c:v>
                </c:pt>
                <c:pt idx="71">
                  <c:v>6.0371050178001759</c:v>
                </c:pt>
                <c:pt idx="72">
                  <c:v>6.1682271273029858</c:v>
                </c:pt>
                <c:pt idx="73">
                  <c:v>6.299349236805794</c:v>
                </c:pt>
                <c:pt idx="74">
                  <c:v>6.4304713463086021</c:v>
                </c:pt>
                <c:pt idx="75">
                  <c:v>6.561593455811412</c:v>
                </c:pt>
                <c:pt idx="76">
                  <c:v>6.6927155653142201</c:v>
                </c:pt>
                <c:pt idx="77">
                  <c:v>6.82383767481703</c:v>
                </c:pt>
                <c:pt idx="78">
                  <c:v>6.9549597843198399</c:v>
                </c:pt>
                <c:pt idx="79">
                  <c:v>7.086081893822648</c:v>
                </c:pt>
                <c:pt idx="80">
                  <c:v>7.2172040033254596</c:v>
                </c:pt>
                <c:pt idx="81">
                  <c:v>7.3483261128282678</c:v>
                </c:pt>
                <c:pt idx="82">
                  <c:v>7.4794482223310759</c:v>
                </c:pt>
                <c:pt idx="83">
                  <c:v>7.610570331833884</c:v>
                </c:pt>
                <c:pt idx="84">
                  <c:v>7.7416924413366939</c:v>
                </c:pt>
                <c:pt idx="85">
                  <c:v>7.8728145508395038</c:v>
                </c:pt>
                <c:pt idx="86">
                  <c:v>8.0039366603423137</c:v>
                </c:pt>
                <c:pt idx="87">
                  <c:v>8.1350587698451218</c:v>
                </c:pt>
                <c:pt idx="88">
                  <c:v>8.2661808793479299</c:v>
                </c:pt>
                <c:pt idx="89">
                  <c:v>8.3973029888507398</c:v>
                </c:pt>
                <c:pt idx="90">
                  <c:v>8.5284250983535497</c:v>
                </c:pt>
                <c:pt idx="91">
                  <c:v>8.6595472078563578</c:v>
                </c:pt>
                <c:pt idx="92">
                  <c:v>8.7906693173591677</c:v>
                </c:pt>
                <c:pt idx="93">
                  <c:v>8.9217914268619758</c:v>
                </c:pt>
                <c:pt idx="94">
                  <c:v>9.0529135363647875</c:v>
                </c:pt>
                <c:pt idx="95">
                  <c:v>9.1840356458675956</c:v>
                </c:pt>
                <c:pt idx="96">
                  <c:v>9.3151577553704037</c:v>
                </c:pt>
                <c:pt idx="97">
                  <c:v>9.4462798648732136</c:v>
                </c:pt>
                <c:pt idx="98">
                  <c:v>9.5774019743760217</c:v>
                </c:pt>
                <c:pt idx="99">
                  <c:v>9.7085240838788316</c:v>
                </c:pt>
              </c:numCache>
            </c:numRef>
          </c:xVal>
          <c:yVal>
            <c:numRef>
              <c:f>[0]!LkOevre</c:f>
              <c:numCache>
                <c:formatCode>General</c:formatCode>
                <c:ptCount val="100"/>
                <c:pt idx="0">
                  <c:v>3.9473397635976206</c:v>
                </c:pt>
                <c:pt idx="1">
                  <c:v>3.932790807936239</c:v>
                </c:pt>
                <c:pt idx="2">
                  <c:v>3.9185566305684998</c:v>
                </c:pt>
                <c:pt idx="3">
                  <c:v>3.9046504693713131</c:v>
                </c:pt>
                <c:pt idx="4">
                  <c:v>3.8910862498768983</c:v>
                </c:pt>
                <c:pt idx="5">
                  <c:v>3.8778786253262791</c:v>
                </c:pt>
                <c:pt idx="6">
                  <c:v>3.8650430190456255</c:v>
                </c:pt>
                <c:pt idx="7">
                  <c:v>3.8525956692418513</c:v>
                </c:pt>
                <c:pt idx="8">
                  <c:v>3.8405536763083283</c:v>
                </c:pt>
                <c:pt idx="9">
                  <c:v>3.8289350527234558</c:v>
                </c:pt>
                <c:pt idx="10">
                  <c:v>3.8177587756134965</c:v>
                </c:pt>
                <c:pt idx="11">
                  <c:v>3.8070448420359329</c:v>
                </c:pt>
                <c:pt idx="12">
                  <c:v>3.7968143270199075</c:v>
                </c:pt>
                <c:pt idx="13">
                  <c:v>3.787089444375181</c:v>
                </c:pt>
                <c:pt idx="14">
                  <c:v>3.7778936102494756</c:v>
                </c:pt>
                <c:pt idx="15">
                  <c:v>3.7692515093750201</c:v>
                </c:pt>
                <c:pt idx="16">
                  <c:v>3.7611891638972974</c:v>
                </c:pt>
                <c:pt idx="17">
                  <c:v>3.7537340046209176</c:v>
                </c:pt>
                <c:pt idx="18">
                  <c:v>3.7469149444379388</c:v>
                </c:pt>
                <c:pt idx="19">
                  <c:v>3.7407624536207549</c:v>
                </c:pt>
                <c:pt idx="20">
                  <c:v>3.7353086365635431</c:v>
                </c:pt>
                <c:pt idx="21">
                  <c:v>3.7305873094410016</c:v>
                </c:pt>
                <c:pt idx="22">
                  <c:v>3.7266340781190403</c:v>
                </c:pt>
                <c:pt idx="23">
                  <c:v>3.7234864154973413</c:v>
                </c:pt>
                <c:pt idx="24">
                  <c:v>3.7211837372866006</c:v>
                </c:pt>
                <c:pt idx="25">
                  <c:v>3.7197674750225578</c:v>
                </c:pt>
                <c:pt idx="26">
                  <c:v>3.7192811448936158</c:v>
                </c:pt>
                <c:pt idx="27">
                  <c:v>3.719770410709021</c:v>
                </c:pt>
                <c:pt idx="28">
                  <c:v>3.7212831390610166</c:v>
                </c:pt>
                <c:pt idx="29">
                  <c:v>3.7238694444394724</c:v>
                </c:pt>
                <c:pt idx="30">
                  <c:v>3.727581721745393</c:v>
                </c:pt>
                <c:pt idx="31">
                  <c:v>3.7324746633267907</c:v>
                </c:pt>
                <c:pt idx="32">
                  <c:v>3.7386052573358994</c:v>
                </c:pt>
                <c:pt idx="33">
                  <c:v>3.7460327638932136</c:v>
                </c:pt>
                <c:pt idx="34">
                  <c:v>3.7548186652575861</c:v>
                </c:pt>
                <c:pt idx="35">
                  <c:v>3.7650265859632701</c:v>
                </c:pt>
                <c:pt idx="36">
                  <c:v>3.7767221787192868</c:v>
                </c:pt>
                <c:pt idx="37">
                  <c:v>3.789972971803147</c:v>
                </c:pt>
                <c:pt idx="38">
                  <c:v>3.804848173752954</c:v>
                </c:pt>
                <c:pt idx="39">
                  <c:v>3.8214184314052813</c:v>
                </c:pt>
                <c:pt idx="40">
                  <c:v>3.8397555377779344</c:v>
                </c:pt>
                <c:pt idx="41">
                  <c:v>3.8599320869924476</c:v>
                </c:pt>
                <c:pt idx="42">
                  <c:v>3.8820210744014054</c:v>
                </c:pt>
                <c:pt idx="43">
                  <c:v>3.9060954413519884</c:v>
                </c:pt>
                <c:pt idx="44">
                  <c:v>3.9322275655867651</c:v>
                </c:pt>
                <c:pt idx="45">
                  <c:v>3.960488700143626</c:v>
                </c:pt>
                <c:pt idx="46">
                  <c:v>3.990948365732534</c:v>
                </c:pt>
                <c:pt idx="47">
                  <c:v>4.0236737038727357</c:v>
                </c:pt>
                <c:pt idx="48">
                  <c:v>4.0587288004750208</c:v>
                </c:pt>
                <c:pt idx="49">
                  <c:v>4.0961739919247737</c:v>
                </c:pt>
                <c:pt idx="50">
                  <c:v>4.1360651679126743</c:v>
                </c:pt>
                <c:pt idx="51">
                  <c:v>4.1784530871042111</c:v>
                </c:pt>
                <c:pt idx="52">
                  <c:v>4.223382723065539</c:v>
                </c:pt>
                <c:pt idx="53">
                  <c:v>4.2708926585130067</c:v>
                </c:pt>
                <c:pt idx="54">
                  <c:v>4.3210145457979081</c:v>
                </c:pt>
                <c:pt idx="55">
                  <c:v>4.3737726504959626</c:v>
                </c:pt>
                <c:pt idx="56">
                  <c:v>4.4291834930244667</c:v>
                </c:pt>
                <c:pt idx="57">
                  <c:v>4.4872556004126256</c:v>
                </c:pt>
                <c:pt idx="58">
                  <c:v>4.5479893768298627</c:v>
                </c:pt>
                <c:pt idx="59">
                  <c:v>4.6113770974262263</c:v>
                </c:pt>
                <c:pt idx="60">
                  <c:v>4.6774030257026569</c:v>
                </c:pt>
                <c:pt idx="61">
                  <c:v>4.7460436502788301</c:v>
                </c:pt>
                <c:pt idx="62">
                  <c:v>4.8172680328356998</c:v>
                </c:pt>
                <c:pt idx="63">
                  <c:v>4.8910382554268876</c:v>
                </c:pt>
                <c:pt idx="64">
                  <c:v>4.9673099524770805</c:v>
                </c:pt>
                <c:pt idx="65">
                  <c:v>5.0460329107509612</c:v>
                </c:pt>
                <c:pt idx="66">
                  <c:v>5.1271517194440257</c:v>
                </c:pt>
                <c:pt idx="67">
                  <c:v>5.2106064523057274</c:v>
                </c:pt>
                <c:pt idx="68">
                  <c:v>5.2963333642802759</c:v>
                </c:pt>
                <c:pt idx="69">
                  <c:v>5.3842655864164142</c:v>
                </c:pt>
                <c:pt idx="70">
                  <c:v>5.4743338045980341</c:v>
                </c:pt>
                <c:pt idx="71">
                  <c:v>5.5664669098117674</c:v>
                </c:pt>
                <c:pt idx="72">
                  <c:v>5.6605926100281021</c:v>
                </c:pt>
                <c:pt idx="73">
                  <c:v>5.7566379961765604</c:v>
                </c:pt>
                <c:pt idx="74">
                  <c:v>5.8545300570156638</c:v>
                </c:pt>
                <c:pt idx="75">
                  <c:v>5.9541961398363767</c:v>
                </c:pt>
                <c:pt idx="76">
                  <c:v>6.0555643558260384</c:v>
                </c:pt>
                <c:pt idx="77">
                  <c:v>6.1585639305191515</c:v>
                </c:pt>
                <c:pt idx="78">
                  <c:v>6.2631255010577425</c:v>
                </c:pt>
                <c:pt idx="79">
                  <c:v>6.3691813629829248</c:v>
                </c:pt>
                <c:pt idx="80">
                  <c:v>6.476665670000946</c:v>
                </c:pt>
                <c:pt idx="81">
                  <c:v>6.5855145906414219</c:v>
                </c:pt>
                <c:pt idx="82">
                  <c:v>6.6956664259878798</c:v>
                </c:pt>
                <c:pt idx="83">
                  <c:v>6.8070616927480039</c:v>
                </c:pt>
                <c:pt idx="84">
                  <c:v>6.9196431758796191</c:v>
                </c:pt>
                <c:pt idx="85">
                  <c:v>7.03335595483163</c:v>
                </c:pt>
                <c:pt idx="86">
                  <c:v>7.1481474072268334</c:v>
                </c:pt>
                <c:pt idx="87">
                  <c:v>7.2639671935310748</c:v>
                </c:pt>
                <c:pt idx="88">
                  <c:v>7.3807672259415797</c:v>
                </c:pt>
                <c:pt idx="89">
                  <c:v>7.4985016244032892</c:v>
                </c:pt>
                <c:pt idx="90">
                  <c:v>7.6171266623384755</c:v>
                </c:pt>
                <c:pt idx="91">
                  <c:v>7.7366007043614298</c:v>
                </c:pt>
                <c:pt idx="92">
                  <c:v>7.8568841379531733</c:v>
                </c:pt>
                <c:pt idx="93">
                  <c:v>7.977939300795299</c:v>
                </c:pt>
                <c:pt idx="94">
                  <c:v>8.0997304052098826</c:v>
                </c:pt>
                <c:pt idx="95">
                  <c:v>8.2222234609245604</c:v>
                </c:pt>
                <c:pt idx="96">
                  <c:v>8.3453861971788541</c:v>
                </c:pt>
                <c:pt idx="97">
                  <c:v>8.469187985008336</c:v>
                </c:pt>
                <c:pt idx="98">
                  <c:v>8.5935997603863665</c:v>
                </c:pt>
                <c:pt idx="99">
                  <c:v>8.7185939487671469</c:v>
                </c:pt>
              </c:numCache>
            </c:numRef>
          </c:yVal>
          <c:smooth val="1"/>
          <c:extLst>
            <c:ext xmlns:c16="http://schemas.microsoft.com/office/drawing/2014/chart" uri="{C3380CC4-5D6E-409C-BE32-E72D297353CC}">
              <c16:uniqueId val="{00000005-7141-461C-B0AD-34C0C2F9AA78}"/>
            </c:ext>
          </c:extLst>
        </c:ser>
        <c:ser>
          <c:idx val="9"/>
          <c:order val="4"/>
          <c:tx>
            <c:strRef>
              <c:f>LineærRegression!$AX$18</c:f>
              <c:strCache>
                <c:ptCount val="1"/>
                <c:pt idx="0">
                  <c:v> Grænser for 95% konfidensinterval</c:v>
                </c:pt>
              </c:strCache>
            </c:strRef>
          </c:tx>
          <c:spPr>
            <a:ln w="19050" cap="rnd">
              <a:solidFill>
                <a:schemeClr val="tx1"/>
              </a:solidFill>
              <a:prstDash val="dash"/>
              <a:round/>
            </a:ln>
            <a:effectLst/>
          </c:spPr>
          <c:marker>
            <c:symbol val="none"/>
          </c:marker>
          <c:xVal>
            <c:numRef>
              <c:f>[0]!LkX</c:f>
              <c:numCache>
                <c:formatCode>General</c:formatCode>
                <c:ptCount val="100"/>
                <c:pt idx="0">
                  <c:v>-3.2725647568992748</c:v>
                </c:pt>
                <c:pt idx="1">
                  <c:v>-3.1414426473964658</c:v>
                </c:pt>
                <c:pt idx="2">
                  <c:v>-3.0103205378936564</c:v>
                </c:pt>
                <c:pt idx="3">
                  <c:v>-2.8791984283908474</c:v>
                </c:pt>
                <c:pt idx="4">
                  <c:v>-2.7480763188880384</c:v>
                </c:pt>
                <c:pt idx="5">
                  <c:v>-2.6169542093852289</c:v>
                </c:pt>
                <c:pt idx="6">
                  <c:v>-2.4858320998824199</c:v>
                </c:pt>
                <c:pt idx="7">
                  <c:v>-2.3547099903796109</c:v>
                </c:pt>
                <c:pt idx="8">
                  <c:v>-2.2235878808768019</c:v>
                </c:pt>
                <c:pt idx="9">
                  <c:v>-2.092465771373992</c:v>
                </c:pt>
                <c:pt idx="10">
                  <c:v>-1.961343661871183</c:v>
                </c:pt>
                <c:pt idx="11">
                  <c:v>-1.8302215523683742</c:v>
                </c:pt>
                <c:pt idx="12">
                  <c:v>-1.699099442865565</c:v>
                </c:pt>
                <c:pt idx="13">
                  <c:v>-1.5679773333627558</c:v>
                </c:pt>
                <c:pt idx="14">
                  <c:v>-1.4368552238599468</c:v>
                </c:pt>
                <c:pt idx="15">
                  <c:v>-1.3057331143571376</c:v>
                </c:pt>
                <c:pt idx="16">
                  <c:v>-1.1746110048543286</c:v>
                </c:pt>
                <c:pt idx="17">
                  <c:v>-1.0434888953515191</c:v>
                </c:pt>
                <c:pt idx="18">
                  <c:v>-0.91236678584870967</c:v>
                </c:pt>
                <c:pt idx="19">
                  <c:v>-0.78124467634590111</c:v>
                </c:pt>
                <c:pt idx="20">
                  <c:v>-0.65012256684309122</c:v>
                </c:pt>
                <c:pt idx="21">
                  <c:v>-0.51900045734028266</c:v>
                </c:pt>
                <c:pt idx="22">
                  <c:v>-0.38787834783747366</c:v>
                </c:pt>
                <c:pt idx="23">
                  <c:v>-0.25675623833466421</c:v>
                </c:pt>
                <c:pt idx="24">
                  <c:v>-0.12563412883185521</c:v>
                </c:pt>
                <c:pt idx="25">
                  <c:v>5.48798067095424E-3</c:v>
                </c:pt>
                <c:pt idx="26">
                  <c:v>0.13661009017376324</c:v>
                </c:pt>
                <c:pt idx="27">
                  <c:v>0.26773219967657269</c:v>
                </c:pt>
                <c:pt idx="28">
                  <c:v>0.39885430917938125</c:v>
                </c:pt>
                <c:pt idx="29">
                  <c:v>0.52997641868219025</c:v>
                </c:pt>
                <c:pt idx="30">
                  <c:v>0.6610985281849997</c:v>
                </c:pt>
                <c:pt idx="31">
                  <c:v>0.7922206376878087</c:v>
                </c:pt>
                <c:pt idx="32">
                  <c:v>0.92334274719061771</c:v>
                </c:pt>
                <c:pt idx="33">
                  <c:v>1.0544648566934276</c:v>
                </c:pt>
                <c:pt idx="34">
                  <c:v>1.1855869661962366</c:v>
                </c:pt>
                <c:pt idx="35">
                  <c:v>1.3167090756990456</c:v>
                </c:pt>
                <c:pt idx="36">
                  <c:v>1.4478311852018555</c:v>
                </c:pt>
                <c:pt idx="37">
                  <c:v>1.5789532947046636</c:v>
                </c:pt>
                <c:pt idx="38">
                  <c:v>1.7100754042074726</c:v>
                </c:pt>
                <c:pt idx="39">
                  <c:v>1.8411975137102825</c:v>
                </c:pt>
                <c:pt idx="40">
                  <c:v>1.9723196232130924</c:v>
                </c:pt>
                <c:pt idx="41">
                  <c:v>2.1034417327159005</c:v>
                </c:pt>
                <c:pt idx="42">
                  <c:v>2.2345638422187095</c:v>
                </c:pt>
                <c:pt idx="43">
                  <c:v>2.3656859517215194</c:v>
                </c:pt>
                <c:pt idx="44">
                  <c:v>2.4968080612243275</c:v>
                </c:pt>
                <c:pt idx="45">
                  <c:v>2.6279301707271374</c:v>
                </c:pt>
                <c:pt idx="46">
                  <c:v>2.7590522802299464</c:v>
                </c:pt>
                <c:pt idx="47">
                  <c:v>2.8901743897327563</c:v>
                </c:pt>
                <c:pt idx="48">
                  <c:v>3.0212964992355644</c:v>
                </c:pt>
                <c:pt idx="49">
                  <c:v>3.1524186087383734</c:v>
                </c:pt>
                <c:pt idx="50">
                  <c:v>3.2835407182411833</c:v>
                </c:pt>
                <c:pt idx="51">
                  <c:v>3.4146628277439914</c:v>
                </c:pt>
                <c:pt idx="52">
                  <c:v>3.5457849372468013</c:v>
                </c:pt>
                <c:pt idx="53">
                  <c:v>3.6769070467496103</c:v>
                </c:pt>
                <c:pt idx="54">
                  <c:v>3.8080291562524202</c:v>
                </c:pt>
                <c:pt idx="55">
                  <c:v>3.9391512657552283</c:v>
                </c:pt>
                <c:pt idx="56">
                  <c:v>4.0702733752580373</c:v>
                </c:pt>
                <c:pt idx="57">
                  <c:v>4.2013954847608472</c:v>
                </c:pt>
                <c:pt idx="58">
                  <c:v>4.3325175942636553</c:v>
                </c:pt>
                <c:pt idx="59">
                  <c:v>4.4636397037664652</c:v>
                </c:pt>
                <c:pt idx="60">
                  <c:v>4.5947618132692742</c:v>
                </c:pt>
                <c:pt idx="61">
                  <c:v>4.7258839227720841</c:v>
                </c:pt>
                <c:pt idx="62">
                  <c:v>4.8570060322748922</c:v>
                </c:pt>
                <c:pt idx="63">
                  <c:v>4.9881281417777021</c:v>
                </c:pt>
                <c:pt idx="64">
                  <c:v>5.1192502512805103</c:v>
                </c:pt>
                <c:pt idx="65">
                  <c:v>5.2503723607833201</c:v>
                </c:pt>
                <c:pt idx="66">
                  <c:v>5.38149447028613</c:v>
                </c:pt>
                <c:pt idx="67">
                  <c:v>5.5126165797889382</c:v>
                </c:pt>
                <c:pt idx="68">
                  <c:v>5.643738689291748</c:v>
                </c:pt>
                <c:pt idx="69">
                  <c:v>5.7748607987945562</c:v>
                </c:pt>
                <c:pt idx="70">
                  <c:v>5.9059829082973661</c:v>
                </c:pt>
                <c:pt idx="71">
                  <c:v>6.0371050178001759</c:v>
                </c:pt>
                <c:pt idx="72">
                  <c:v>6.1682271273029858</c:v>
                </c:pt>
                <c:pt idx="73">
                  <c:v>6.299349236805794</c:v>
                </c:pt>
                <c:pt idx="74">
                  <c:v>6.4304713463086021</c:v>
                </c:pt>
                <c:pt idx="75">
                  <c:v>6.561593455811412</c:v>
                </c:pt>
                <c:pt idx="76">
                  <c:v>6.6927155653142201</c:v>
                </c:pt>
                <c:pt idx="77">
                  <c:v>6.82383767481703</c:v>
                </c:pt>
                <c:pt idx="78">
                  <c:v>6.9549597843198399</c:v>
                </c:pt>
                <c:pt idx="79">
                  <c:v>7.086081893822648</c:v>
                </c:pt>
                <c:pt idx="80">
                  <c:v>7.2172040033254596</c:v>
                </c:pt>
                <c:pt idx="81">
                  <c:v>7.3483261128282678</c:v>
                </c:pt>
                <c:pt idx="82">
                  <c:v>7.4794482223310759</c:v>
                </c:pt>
                <c:pt idx="83">
                  <c:v>7.610570331833884</c:v>
                </c:pt>
                <c:pt idx="84">
                  <c:v>7.7416924413366939</c:v>
                </c:pt>
                <c:pt idx="85">
                  <c:v>7.8728145508395038</c:v>
                </c:pt>
                <c:pt idx="86">
                  <c:v>8.0039366603423137</c:v>
                </c:pt>
                <c:pt idx="87">
                  <c:v>8.1350587698451218</c:v>
                </c:pt>
                <c:pt idx="88">
                  <c:v>8.2661808793479299</c:v>
                </c:pt>
                <c:pt idx="89">
                  <c:v>8.3973029888507398</c:v>
                </c:pt>
                <c:pt idx="90">
                  <c:v>8.5284250983535497</c:v>
                </c:pt>
                <c:pt idx="91">
                  <c:v>8.6595472078563578</c:v>
                </c:pt>
                <c:pt idx="92">
                  <c:v>8.7906693173591677</c:v>
                </c:pt>
                <c:pt idx="93">
                  <c:v>8.9217914268619758</c:v>
                </c:pt>
                <c:pt idx="94">
                  <c:v>9.0529135363647875</c:v>
                </c:pt>
                <c:pt idx="95">
                  <c:v>9.1840356458675956</c:v>
                </c:pt>
                <c:pt idx="96">
                  <c:v>9.3151577553704037</c:v>
                </c:pt>
                <c:pt idx="97">
                  <c:v>9.4462798648732136</c:v>
                </c:pt>
                <c:pt idx="98">
                  <c:v>9.5774019743760217</c:v>
                </c:pt>
                <c:pt idx="99">
                  <c:v>9.7085240838788316</c:v>
                </c:pt>
              </c:numCache>
            </c:numRef>
          </c:xVal>
          <c:yVal>
            <c:numRef>
              <c:f>[0]!LkNedre</c:f>
              <c:numCache>
                <c:formatCode>General</c:formatCode>
                <c:ptCount val="100"/>
                <c:pt idx="0">
                  <c:v>-6.8221821813056156</c:v>
                </c:pt>
                <c:pt idx="1">
                  <c:v>-6.6912247989611213</c:v>
                </c:pt>
                <c:pt idx="2">
                  <c:v>-6.5605821949102712</c:v>
                </c:pt>
                <c:pt idx="3">
                  <c:v>-6.4302676070299718</c:v>
                </c:pt>
                <c:pt idx="4">
                  <c:v>-6.3002949608524466</c:v>
                </c:pt>
                <c:pt idx="5">
                  <c:v>-6.1706789096187151</c:v>
                </c:pt>
                <c:pt idx="6">
                  <c:v>-6.0414348766549502</c:v>
                </c:pt>
                <c:pt idx="7">
                  <c:v>-5.9125791001680641</c:v>
                </c:pt>
                <c:pt idx="8">
                  <c:v>-5.7841286805514294</c:v>
                </c:pt>
                <c:pt idx="9">
                  <c:v>-5.6561016302834446</c:v>
                </c:pt>
                <c:pt idx="10">
                  <c:v>-5.528516926490374</c:v>
                </c:pt>
                <c:pt idx="11">
                  <c:v>-5.4013945662296985</c:v>
                </c:pt>
                <c:pt idx="12">
                  <c:v>-5.2747556245305613</c:v>
                </c:pt>
                <c:pt idx="13">
                  <c:v>-5.1486223152027231</c:v>
                </c:pt>
                <c:pt idx="14">
                  <c:v>-5.0230180543939058</c:v>
                </c:pt>
                <c:pt idx="15">
                  <c:v>-4.8979675268363385</c:v>
                </c:pt>
                <c:pt idx="16">
                  <c:v>-4.7734967546755041</c:v>
                </c:pt>
                <c:pt idx="17">
                  <c:v>-4.6496331687160124</c:v>
                </c:pt>
                <c:pt idx="18">
                  <c:v>-4.5264056818499219</c:v>
                </c:pt>
                <c:pt idx="19">
                  <c:v>-4.4038447643496266</c:v>
                </c:pt>
                <c:pt idx="20">
                  <c:v>-4.2819825206093025</c:v>
                </c:pt>
                <c:pt idx="21">
                  <c:v>-4.1608527668036501</c:v>
                </c:pt>
                <c:pt idx="22">
                  <c:v>-4.0404911087985775</c:v>
                </c:pt>
                <c:pt idx="23">
                  <c:v>-3.9209350194937662</c:v>
                </c:pt>
                <c:pt idx="24">
                  <c:v>-3.8022239145999137</c:v>
                </c:pt>
                <c:pt idx="25">
                  <c:v>-3.6843992256527591</c:v>
                </c:pt>
                <c:pt idx="26">
                  <c:v>-3.5675044688407054</c:v>
                </c:pt>
                <c:pt idx="27">
                  <c:v>-3.4515853079729988</c:v>
                </c:pt>
                <c:pt idx="28">
                  <c:v>-3.3366896096418834</c:v>
                </c:pt>
                <c:pt idx="29">
                  <c:v>-3.2228674883372275</c:v>
                </c:pt>
                <c:pt idx="30">
                  <c:v>-3.1101713389600363</c:v>
                </c:pt>
                <c:pt idx="31">
                  <c:v>-2.9986558538583221</c:v>
                </c:pt>
                <c:pt idx="32">
                  <c:v>-2.8883780211843191</c:v>
                </c:pt>
                <c:pt idx="33">
                  <c:v>-2.7793971010585214</c:v>
                </c:pt>
                <c:pt idx="34">
                  <c:v>-2.6717745757397822</c:v>
                </c:pt>
                <c:pt idx="35">
                  <c:v>-2.5655740697623544</c:v>
                </c:pt>
                <c:pt idx="36">
                  <c:v>-2.4608612358352584</c:v>
                </c:pt>
                <c:pt idx="37">
                  <c:v>-2.3577036022360076</c:v>
                </c:pt>
                <c:pt idx="38">
                  <c:v>-2.2561703775027038</c:v>
                </c:pt>
                <c:pt idx="39">
                  <c:v>-2.1563322084719183</c:v>
                </c:pt>
                <c:pt idx="40">
                  <c:v>-2.0582608881614588</c:v>
                </c:pt>
                <c:pt idx="41">
                  <c:v>-1.962029010692862</c:v>
                </c:pt>
                <c:pt idx="42">
                  <c:v>-1.867709571418708</c:v>
                </c:pt>
                <c:pt idx="43">
                  <c:v>-1.7753755116861785</c:v>
                </c:pt>
                <c:pt idx="44">
                  <c:v>-1.6850992092378443</c:v>
                </c:pt>
                <c:pt idx="45">
                  <c:v>-1.5969519171115931</c:v>
                </c:pt>
                <c:pt idx="46">
                  <c:v>-1.5110031560173893</c:v>
                </c:pt>
                <c:pt idx="47">
                  <c:v>-1.427320067474479</c:v>
                </c:pt>
                <c:pt idx="48">
                  <c:v>-1.3459667373936532</c:v>
                </c:pt>
                <c:pt idx="49">
                  <c:v>-1.2670035021602939</c:v>
                </c:pt>
                <c:pt idx="50">
                  <c:v>-1.1904862514650829</c:v>
                </c:pt>
                <c:pt idx="51">
                  <c:v>-1.116465743973508</c:v>
                </c:pt>
                <c:pt idx="52">
                  <c:v>-1.0449869532517237</c:v>
                </c:pt>
                <c:pt idx="53">
                  <c:v>-0.97608846201608035</c:v>
                </c:pt>
                <c:pt idx="54">
                  <c:v>-0.90980192261786863</c:v>
                </c:pt>
                <c:pt idx="55">
                  <c:v>-0.84615160063281292</c:v>
                </c:pt>
                <c:pt idx="56">
                  <c:v>-0.78515401647820515</c:v>
                </c:pt>
                <c:pt idx="57">
                  <c:v>-0.72681769718325206</c:v>
                </c:pt>
                <c:pt idx="58">
                  <c:v>-0.67114304691737825</c:v>
                </c:pt>
                <c:pt idx="59">
                  <c:v>-0.61812234083062934</c:v>
                </c:pt>
                <c:pt idx="60">
                  <c:v>-0.56773984242394793</c:v>
                </c:pt>
                <c:pt idx="61">
                  <c:v>-0.51997204031700983</c:v>
                </c:pt>
                <c:pt idx="62">
                  <c:v>-0.47478799619076906</c:v>
                </c:pt>
                <c:pt idx="63">
                  <c:v>-0.4321497920988433</c:v>
                </c:pt>
                <c:pt idx="64">
                  <c:v>-0.3920130624659266</c:v>
                </c:pt>
                <c:pt idx="65">
                  <c:v>-0.35432759405669545</c:v>
                </c:pt>
                <c:pt idx="66">
                  <c:v>-0.31903797606664597</c:v>
                </c:pt>
                <c:pt idx="67">
                  <c:v>-0.28608428224523719</c:v>
                </c:pt>
                <c:pt idx="68">
                  <c:v>-0.25540276753667301</c:v>
                </c:pt>
                <c:pt idx="69">
                  <c:v>-0.22692656298970082</c:v>
                </c:pt>
                <c:pt idx="70">
                  <c:v>-0.2005863544882085</c:v>
                </c:pt>
                <c:pt idx="71">
                  <c:v>-0.17631103301882911</c:v>
                </c:pt>
                <c:pt idx="72">
                  <c:v>-0.15402830655205157</c:v>
                </c:pt>
                <c:pt idx="73">
                  <c:v>-0.13366526601739981</c:v>
                </c:pt>
                <c:pt idx="74">
                  <c:v>-0.11514890017339097</c:v>
                </c:pt>
                <c:pt idx="75">
                  <c:v>-9.8406556310992155E-2</c:v>
                </c:pt>
                <c:pt idx="76">
                  <c:v>-8.3366345617542414E-2</c:v>
                </c:pt>
                <c:pt idx="77">
                  <c:v>-6.9957493627543776E-2</c:v>
                </c:pt>
                <c:pt idx="78">
                  <c:v>-5.811063748302292E-2</c:v>
                </c:pt>
                <c:pt idx="79">
                  <c:v>-4.775807272509347E-2</c:v>
                </c:pt>
                <c:pt idx="80">
                  <c:v>-3.883395306000148E-2</c:v>
                </c:pt>
                <c:pt idx="81">
                  <c:v>-3.1274447017366924E-2</c:v>
                </c:pt>
                <c:pt idx="82">
                  <c:v>-2.5017855680713019E-2</c:v>
                </c:pt>
                <c:pt idx="83">
                  <c:v>-2.0004695757726676E-2</c:v>
                </c:pt>
                <c:pt idx="84">
                  <c:v>-1.6177752206230522E-2</c:v>
                </c:pt>
                <c:pt idx="85">
                  <c:v>-1.3482104475127876E-2</c:v>
                </c:pt>
                <c:pt idx="86">
                  <c:v>-1.1865130187219464E-2</c:v>
                </c:pt>
                <c:pt idx="87">
                  <c:v>-1.1276489808349499E-2</c:v>
                </c:pt>
                <c:pt idx="88">
                  <c:v>-1.1668095535743994E-2</c:v>
                </c:pt>
                <c:pt idx="89">
                  <c:v>-1.299406731434205E-2</c:v>
                </c:pt>
                <c:pt idx="90">
                  <c:v>-1.5210678566414337E-2</c:v>
                </c:pt>
                <c:pt idx="91">
                  <c:v>-1.8276293906258623E-2</c:v>
                </c:pt>
                <c:pt idx="92">
                  <c:v>-2.2151300814890362E-2</c:v>
                </c:pt>
                <c:pt idx="93">
                  <c:v>-2.679803697390426E-2</c:v>
                </c:pt>
                <c:pt idx="94">
                  <c:v>-3.2180714705374314E-2</c:v>
                </c:pt>
                <c:pt idx="95">
                  <c:v>-3.826534373693935E-2</c:v>
                </c:pt>
                <c:pt idx="96">
                  <c:v>-4.5019653308123964E-2</c:v>
                </c:pt>
                <c:pt idx="97">
                  <c:v>-5.2413014454494089E-2</c:v>
                </c:pt>
                <c:pt idx="98">
                  <c:v>-6.0416363149412788E-2</c:v>
                </c:pt>
                <c:pt idx="99">
                  <c:v>-6.9002124847081348E-2</c:v>
                </c:pt>
              </c:numCache>
            </c:numRef>
          </c:yVal>
          <c:smooth val="1"/>
          <c:extLst>
            <c:ext xmlns:c16="http://schemas.microsoft.com/office/drawing/2014/chart" uri="{C3380CC4-5D6E-409C-BE32-E72D297353CC}">
              <c16:uniqueId val="{00000006-7141-461C-B0AD-34C0C2F9AA78}"/>
            </c:ext>
          </c:extLst>
        </c:ser>
        <c:ser>
          <c:idx val="1"/>
          <c:order val="5"/>
          <c:tx>
            <c:strRef>
              <c:f>LineærRegression!$AX$20</c:f>
              <c:strCache>
                <c:ptCount val="1"/>
                <c:pt idx="0">
                  <c:v>Givet at Eksempel 2 (interval) = 1 estimeres gennemsnit = 0.459</c:v>
                </c:pt>
              </c:strCache>
            </c:strRef>
          </c:tx>
          <c:spPr>
            <a:ln w="25400" cap="rnd">
              <a:noFill/>
              <a:round/>
            </a:ln>
            <a:effectLst/>
          </c:spPr>
          <c:marker>
            <c:symbol val="dash"/>
            <c:size val="15"/>
            <c:spPr>
              <a:solidFill>
                <a:schemeClr val="tx1"/>
              </a:solidFill>
              <a:ln w="28575">
                <a:solidFill>
                  <a:schemeClr val="tx1"/>
                </a:solidFill>
              </a:ln>
              <a:effectLst/>
            </c:spPr>
          </c:marker>
          <c:dLbls>
            <c:dLbl>
              <c:idx val="0"/>
              <c:tx>
                <c:rich>
                  <a:bodyPr/>
                  <a:lstStyle/>
                  <a:p>
                    <a:fld id="{492B814A-0B9E-4DFE-94AF-57219E40A804}" type="CELLRANGE">
                      <a:rPr lang="en-US"/>
                      <a:pPr/>
                      <a:t>[CELLRANGE]</a:t>
                    </a:fld>
                    <a:endParaRPr lang="da-DK"/>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7141-461C-B0AD-34C0C2F9AA7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LineærRegression!$C$38</c:f>
              <c:numCache>
                <c:formatCode>General</c:formatCode>
                <c:ptCount val="1"/>
                <c:pt idx="0">
                  <c:v>1</c:v>
                </c:pt>
              </c:numCache>
            </c:numRef>
          </c:xVal>
          <c:yVal>
            <c:numRef>
              <c:f>LineærRegression!$AX$22</c:f>
              <c:numCache>
                <c:formatCode>General</c:formatCode>
                <c:ptCount val="1"/>
                <c:pt idx="0">
                  <c:v>0.45914125165805242</c:v>
                </c:pt>
              </c:numCache>
            </c:numRef>
          </c:yVal>
          <c:smooth val="1"/>
          <c:extLst>
            <c:ext xmlns:c15="http://schemas.microsoft.com/office/drawing/2012/chart" uri="{02D57815-91ED-43cb-92C2-25804820EDAC}">
              <c15:datalabelsRange>
                <c15:f>LineærRegression!$AX$48</c15:f>
                <c15:dlblRangeCache>
                  <c:ptCount val="1"/>
                  <c:pt idx="0">
                    <c:v>0.459</c:v>
                  </c:pt>
                </c15:dlblRangeCache>
              </c15:datalabelsRange>
            </c:ext>
            <c:ext xmlns:c16="http://schemas.microsoft.com/office/drawing/2014/chart" uri="{C3380CC4-5D6E-409C-BE32-E72D297353CC}">
              <c16:uniqueId val="{00000008-7141-461C-B0AD-34C0C2F9AA78}"/>
            </c:ext>
          </c:extLst>
        </c:ser>
        <c:ser>
          <c:idx val="2"/>
          <c:order val="6"/>
          <c:tx>
            <c:strRef>
              <c:f>LineærRegression!$AX$10</c:f>
              <c:strCache>
                <c:ptCount val="1"/>
                <c:pt idx="0">
                  <c:v>Konfidensinterval for simpel lineær regression
Gennemsnittet er med 95% sandsynlighed mellem
øvre og nedre grænse i konfidensintervallet</c:v>
                </c:pt>
              </c:strCache>
            </c:strRef>
          </c:tx>
          <c:spPr>
            <a:ln w="19050" cap="rnd">
              <a:noFill/>
              <a:round/>
            </a:ln>
            <a:effectLst/>
          </c:spPr>
          <c:marker>
            <c:symbol val="none"/>
          </c:marker>
          <c:xVal>
            <c:numRef>
              <c:f>(LineærRegression!$AX$54,LineærRegression!$AX$54)</c:f>
              <c:numCache>
                <c:formatCode>General</c:formatCode>
                <c:ptCount val="2"/>
                <c:pt idx="0">
                  <c:v>3.2179796634897779</c:v>
                </c:pt>
                <c:pt idx="1">
                  <c:v>3.2179796634897779</c:v>
                </c:pt>
              </c:numCache>
            </c:numRef>
          </c:xVal>
          <c:yVal>
            <c:numRef>
              <c:f>(LineærRegression!$AQ$28,LineærRegression!$AQ$30)</c:f>
              <c:numCache>
                <c:formatCode>General</c:formatCode>
                <c:ptCount val="2"/>
                <c:pt idx="0">
                  <c:v>-11.951147136555756</c:v>
                </c:pt>
                <c:pt idx="1">
                  <c:v>14.367118518839385</c:v>
                </c:pt>
              </c:numCache>
            </c:numRef>
          </c:yVal>
          <c:smooth val="1"/>
          <c:extLst>
            <c:ext xmlns:c16="http://schemas.microsoft.com/office/drawing/2014/chart" uri="{C3380CC4-5D6E-409C-BE32-E72D297353CC}">
              <c16:uniqueId val="{00000009-7141-461C-B0AD-34C0C2F9AA78}"/>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LineærRegression!$AR$18</c:f>
              <c:strCache>
                <c:ptCount val="1"/>
                <c:pt idx="0">
                  <c:v>Eksempel 2 (interval)</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LineærRegression!$AQ$10</c:f>
              <c:strCache>
                <c:ptCount val="1"/>
                <c:pt idx="0">
                  <c:v>Eksempel 1 (interval)</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legendEntry>
        <c:idx val="2"/>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LineærRegression!$DW$10</c:f>
          <c:strCache>
            <c:ptCount val="1"/>
            <c:pt idx="0">
              <c:v>Simpel lineær regression
Normalfraktildiagram af residualer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smoothMarker"/>
        <c:varyColors val="0"/>
        <c:ser>
          <c:idx val="0"/>
          <c:order val="1"/>
          <c:tx>
            <c:strRef>
              <c:f>LineærRegression!$DW$12</c:f>
              <c:strCache>
                <c:ptCount val="1"/>
                <c:pt idx="0">
                  <c:v> Normalfordeling for residualer</c:v>
                </c:pt>
              </c:strCache>
            </c:strRef>
          </c:tx>
          <c:spPr>
            <a:ln w="28575" cap="rnd">
              <a:solidFill>
                <a:sysClr val="windowText" lastClr="000000"/>
              </a:solidFill>
              <a:round/>
            </a:ln>
            <a:effectLst/>
          </c:spPr>
          <c:marker>
            <c:symbol val="none"/>
          </c:marker>
          <c:xVal>
            <c:numRef>
              <c:f>[0]!LrS</c:f>
              <c:numCache>
                <c:formatCode>General</c:formatCode>
                <c:ptCount val="12"/>
                <c:pt idx="0">
                  <c:v>-5.2225330326511203</c:v>
                </c:pt>
                <c:pt idx="1">
                  <c:v>-3.4107040159871631</c:v>
                </c:pt>
                <c:pt idx="2">
                  <c:v>-2.3376318932866593</c:v>
                </c:pt>
                <c:pt idx="3">
                  <c:v>-1.4425399451454524</c:v>
                </c:pt>
                <c:pt idx="4">
                  <c:v>-1.3263795682375796</c:v>
                </c:pt>
                <c:pt idx="5">
                  <c:v>-1.2204311061644781</c:v>
                </c:pt>
                <c:pt idx="6">
                  <c:v>-0.50142016125645161</c:v>
                </c:pt>
                <c:pt idx="7">
                  <c:v>2.0254818247615214E-2</c:v>
                </c:pt>
                <c:pt idx="8">
                  <c:v>0.29046156598077322</c:v>
                </c:pt>
                <c:pt idx="9">
                  <c:v>0.3959242933963345</c:v>
                </c:pt>
                <c:pt idx="10">
                  <c:v>5.765285931148707</c:v>
                </c:pt>
                <c:pt idx="11">
                  <c:v>8.9897131139554673</c:v>
                </c:pt>
              </c:numCache>
            </c:numRef>
          </c:xVal>
          <c:yVal>
            <c:numRef>
              <c:f>[0]!LrZ</c:f>
              <c:numCache>
                <c:formatCode>General</c:formatCode>
                <c:ptCount val="12"/>
                <c:pt idx="0">
                  <c:v>-1.3515341605289024</c:v>
                </c:pt>
                <c:pt idx="1">
                  <c:v>-0.88265272047877275</c:v>
                </c:pt>
                <c:pt idx="2">
                  <c:v>-0.60495344668312601</c:v>
                </c:pt>
                <c:pt idx="3">
                  <c:v>-0.37331348631065892</c:v>
                </c:pt>
                <c:pt idx="4">
                  <c:v>-0.34325245720670183</c:v>
                </c:pt>
                <c:pt idx="5">
                  <c:v>-0.3158341594473465</c:v>
                </c:pt>
                <c:pt idx="6">
                  <c:v>-0.12976202782809215</c:v>
                </c:pt>
                <c:pt idx="7">
                  <c:v>5.2417243904074803E-3</c:v>
                </c:pt>
                <c:pt idx="8">
                  <c:v>7.5168261510153558E-2</c:v>
                </c:pt>
                <c:pt idx="9">
                  <c:v>0.10246085647768087</c:v>
                </c:pt>
                <c:pt idx="10">
                  <c:v>1.4919926465661257</c:v>
                </c:pt>
                <c:pt idx="11">
                  <c:v>2.3264389695392311</c:v>
                </c:pt>
              </c:numCache>
            </c:numRef>
          </c:yVal>
          <c:smooth val="1"/>
          <c:extLst>
            <c:ext xmlns:c16="http://schemas.microsoft.com/office/drawing/2014/chart" uri="{C3380CC4-5D6E-409C-BE32-E72D297353CC}">
              <c16:uniqueId val="{00000000-09A9-4F30-A6E2-9A56FA6694DC}"/>
            </c:ext>
          </c:extLst>
        </c:ser>
        <c:dLbls>
          <c:showLegendKey val="0"/>
          <c:showVal val="0"/>
          <c:showCatName val="0"/>
          <c:showSerName val="0"/>
          <c:showPercent val="0"/>
          <c:showBubbleSize val="0"/>
        </c:dLbls>
        <c:axId val="1385891392"/>
        <c:axId val="1328708544"/>
      </c:scatterChart>
      <c:scatterChart>
        <c:scatterStyle val="lineMarker"/>
        <c:varyColors val="0"/>
        <c:ser>
          <c:idx val="1"/>
          <c:order val="0"/>
          <c:tx>
            <c:strRef>
              <c:f>LineærRegression!$DW$14</c:f>
              <c:strCache>
                <c:ptCount val="1"/>
                <c:pt idx="0">
                  <c:v> Residualer</c:v>
                </c:pt>
              </c:strCache>
            </c:strRef>
          </c:tx>
          <c:spPr>
            <a:ln w="25400" cap="rnd">
              <a:noFill/>
              <a:round/>
            </a:ln>
            <a:effectLst/>
          </c:spPr>
          <c:marker>
            <c:symbol val="circle"/>
            <c:size val="7"/>
            <c:spPr>
              <a:noFill/>
              <a:ln w="28575">
                <a:solidFill>
                  <a:schemeClr val="accent1">
                    <a:alpha val="70000"/>
                  </a:schemeClr>
                </a:solidFill>
              </a:ln>
              <a:effectLst/>
            </c:spPr>
          </c:marker>
          <c:xVal>
            <c:numRef>
              <c:f>[0]!LrS</c:f>
              <c:numCache>
                <c:formatCode>General</c:formatCode>
                <c:ptCount val="12"/>
                <c:pt idx="0">
                  <c:v>-5.2225330326511203</c:v>
                </c:pt>
                <c:pt idx="1">
                  <c:v>-3.4107040159871631</c:v>
                </c:pt>
                <c:pt idx="2">
                  <c:v>-2.3376318932866593</c:v>
                </c:pt>
                <c:pt idx="3">
                  <c:v>-1.4425399451454524</c:v>
                </c:pt>
                <c:pt idx="4">
                  <c:v>-1.3263795682375796</c:v>
                </c:pt>
                <c:pt idx="5">
                  <c:v>-1.2204311061644781</c:v>
                </c:pt>
                <c:pt idx="6">
                  <c:v>-0.50142016125645161</c:v>
                </c:pt>
                <c:pt idx="7">
                  <c:v>2.0254818247615214E-2</c:v>
                </c:pt>
                <c:pt idx="8">
                  <c:v>0.29046156598077322</c:v>
                </c:pt>
                <c:pt idx="9">
                  <c:v>0.3959242933963345</c:v>
                </c:pt>
                <c:pt idx="10">
                  <c:v>5.765285931148707</c:v>
                </c:pt>
                <c:pt idx="11">
                  <c:v>8.9897131139554673</c:v>
                </c:pt>
              </c:numCache>
            </c:numRef>
          </c:xVal>
          <c:yVal>
            <c:numRef>
              <c:f>[0]!LrfZ</c:f>
              <c:numCache>
                <c:formatCode>General</c:formatCode>
                <c:ptCount val="12"/>
                <c:pt idx="0">
                  <c:v>-1.7316643961222451</c:v>
                </c:pt>
                <c:pt idx="1">
                  <c:v>-1.1503493803760083</c:v>
                </c:pt>
                <c:pt idx="2">
                  <c:v>-0.81221780149991241</c:v>
                </c:pt>
                <c:pt idx="3">
                  <c:v>-0.54852228269809788</c:v>
                </c:pt>
                <c:pt idx="4">
                  <c:v>-0.3186393639643752</c:v>
                </c:pt>
                <c:pt idx="5">
                  <c:v>-0.10463345561407539</c:v>
                </c:pt>
                <c:pt idx="6">
                  <c:v>0.10463345561407525</c:v>
                </c:pt>
                <c:pt idx="7">
                  <c:v>0.3186393639643752</c:v>
                </c:pt>
                <c:pt idx="8">
                  <c:v>0.54852228269809822</c:v>
                </c:pt>
                <c:pt idx="9">
                  <c:v>0.81221780149991241</c:v>
                </c:pt>
                <c:pt idx="10">
                  <c:v>1.1503493803760083</c:v>
                </c:pt>
                <c:pt idx="11">
                  <c:v>1.7316643961222455</c:v>
                </c:pt>
              </c:numCache>
            </c:numRef>
          </c:yVal>
          <c:smooth val="0"/>
          <c:extLst>
            <c:ext xmlns:c16="http://schemas.microsoft.com/office/drawing/2014/chart" uri="{C3380CC4-5D6E-409C-BE32-E72D297353CC}">
              <c16:uniqueId val="{00000001-09A9-4F30-A6E2-9A56FA6694DC}"/>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LineærRegression!$DW$16</c:f>
              <c:strCache>
                <c:ptCount val="1"/>
                <c:pt idx="0">
                  <c:v>Værdier og forventede værdier for residualer</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LineærRegression!$DW$18</c:f>
              <c:strCache>
                <c:ptCount val="1"/>
                <c:pt idx="0">
                  <c:v>Standardafvigelse i normalfordeling for residualer</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LineærRegression!$EE$10</c:f>
          <c:strCache>
            <c:ptCount val="1"/>
            <c:pt idx="0">
              <c:v> Multipel lineær regression
Normalfraktildiagram af residualer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smoothMarker"/>
        <c:varyColors val="0"/>
        <c:ser>
          <c:idx val="0"/>
          <c:order val="1"/>
          <c:tx>
            <c:strRef>
              <c:f>LineærRegression!$EE$12</c:f>
              <c:strCache>
                <c:ptCount val="1"/>
                <c:pt idx="0">
                  <c:v> Normalfordeling for residualer</c:v>
                </c:pt>
              </c:strCache>
            </c:strRef>
          </c:tx>
          <c:spPr>
            <a:ln w="28575" cap="rnd">
              <a:solidFill>
                <a:sysClr val="windowText" lastClr="000000"/>
              </a:solidFill>
              <a:round/>
            </a:ln>
            <a:effectLst/>
          </c:spPr>
          <c:marker>
            <c:symbol val="none"/>
          </c:marker>
          <c:xVal>
            <c:numRef>
              <c:f>[0]!LrSm</c:f>
              <c:numCache>
                <c:formatCode>General</c:formatCode>
                <c:ptCount val="12"/>
                <c:pt idx="0">
                  <c:v>-4.8829604311562198</c:v>
                </c:pt>
                <c:pt idx="1">
                  <c:v>-3.071131414492263</c:v>
                </c:pt>
                <c:pt idx="2">
                  <c:v>-3.0024923898184595</c:v>
                </c:pt>
                <c:pt idx="3">
                  <c:v>-2.0896260397300743</c:v>
                </c:pt>
                <c:pt idx="4">
                  <c:v>-1.1379097053406018</c:v>
                </c:pt>
                <c:pt idx="5">
                  <c:v>-1.0321310593838429</c:v>
                </c:pt>
                <c:pt idx="6">
                  <c:v>-0.39698454666325711</c:v>
                </c:pt>
                <c:pt idx="7">
                  <c:v>0.24746935580221296</c:v>
                </c:pt>
                <c:pt idx="8">
                  <c:v>0.37453379845632306</c:v>
                </c:pt>
                <c:pt idx="9">
                  <c:v>0.58377381740650058</c:v>
                </c:pt>
                <c:pt idx="10">
                  <c:v>5.092118429548532</c:v>
                </c:pt>
                <c:pt idx="11">
                  <c:v>9.3153401853711433</c:v>
                </c:pt>
              </c:numCache>
            </c:numRef>
          </c:xVal>
          <c:yVal>
            <c:numRef>
              <c:f>[0]!LrZm</c:f>
              <c:numCache>
                <c:formatCode>General</c:formatCode>
                <c:ptCount val="12"/>
                <c:pt idx="0">
                  <c:v>-1.2707415438526144</c:v>
                </c:pt>
                <c:pt idx="1">
                  <c:v>-0.79923118977682861</c:v>
                </c:pt>
                <c:pt idx="2">
                  <c:v>-0.78136857110271551</c:v>
                </c:pt>
                <c:pt idx="3">
                  <c:v>-0.54380424687825335</c:v>
                </c:pt>
                <c:pt idx="4">
                  <c:v>-0.29612960336584154</c:v>
                </c:pt>
                <c:pt idx="5">
                  <c:v>-0.26860177024803294</c:v>
                </c:pt>
                <c:pt idx="6">
                  <c:v>-0.10331125202115289</c:v>
                </c:pt>
                <c:pt idx="7">
                  <c:v>6.4401421162828029E-2</c:v>
                </c:pt>
                <c:pt idx="8">
                  <c:v>9.7468669669861882E-2</c:v>
                </c:pt>
                <c:pt idx="9">
                  <c:v>0.15192128882687186</c:v>
                </c:pt>
                <c:pt idx="10">
                  <c:v>1.3251728179809683</c:v>
                </c:pt>
                <c:pt idx="11">
                  <c:v>2.4242239796049074</c:v>
                </c:pt>
              </c:numCache>
            </c:numRef>
          </c:yVal>
          <c:smooth val="1"/>
          <c:extLst>
            <c:ext xmlns:c16="http://schemas.microsoft.com/office/drawing/2014/chart" uri="{C3380CC4-5D6E-409C-BE32-E72D297353CC}">
              <c16:uniqueId val="{00000000-5508-4FB5-9B9B-4F5A866A2F4B}"/>
            </c:ext>
          </c:extLst>
        </c:ser>
        <c:dLbls>
          <c:showLegendKey val="0"/>
          <c:showVal val="0"/>
          <c:showCatName val="0"/>
          <c:showSerName val="0"/>
          <c:showPercent val="0"/>
          <c:showBubbleSize val="0"/>
        </c:dLbls>
        <c:axId val="1385891392"/>
        <c:axId val="1328708544"/>
      </c:scatterChart>
      <c:scatterChart>
        <c:scatterStyle val="lineMarker"/>
        <c:varyColors val="0"/>
        <c:ser>
          <c:idx val="1"/>
          <c:order val="0"/>
          <c:tx>
            <c:strRef>
              <c:f>LineærRegression!$EE$14</c:f>
              <c:strCache>
                <c:ptCount val="1"/>
                <c:pt idx="0">
                  <c:v> Residualer</c:v>
                </c:pt>
              </c:strCache>
            </c:strRef>
          </c:tx>
          <c:spPr>
            <a:ln w="25400" cap="rnd">
              <a:noFill/>
              <a:round/>
            </a:ln>
            <a:effectLst/>
          </c:spPr>
          <c:marker>
            <c:symbol val="circle"/>
            <c:size val="7"/>
            <c:spPr>
              <a:noFill/>
              <a:ln w="28575">
                <a:solidFill>
                  <a:schemeClr val="accent1">
                    <a:alpha val="70000"/>
                  </a:schemeClr>
                </a:solidFill>
              </a:ln>
              <a:effectLst/>
            </c:spPr>
          </c:marker>
          <c:xVal>
            <c:numRef>
              <c:f>[0]!LrSm</c:f>
              <c:numCache>
                <c:formatCode>General</c:formatCode>
                <c:ptCount val="12"/>
                <c:pt idx="0">
                  <c:v>-4.8829604311562198</c:v>
                </c:pt>
                <c:pt idx="1">
                  <c:v>-3.071131414492263</c:v>
                </c:pt>
                <c:pt idx="2">
                  <c:v>-3.0024923898184595</c:v>
                </c:pt>
                <c:pt idx="3">
                  <c:v>-2.0896260397300743</c:v>
                </c:pt>
                <c:pt idx="4">
                  <c:v>-1.1379097053406018</c:v>
                </c:pt>
                <c:pt idx="5">
                  <c:v>-1.0321310593838429</c:v>
                </c:pt>
                <c:pt idx="6">
                  <c:v>-0.39698454666325711</c:v>
                </c:pt>
                <c:pt idx="7">
                  <c:v>0.24746935580221296</c:v>
                </c:pt>
                <c:pt idx="8">
                  <c:v>0.37453379845632306</c:v>
                </c:pt>
                <c:pt idx="9">
                  <c:v>0.58377381740650058</c:v>
                </c:pt>
                <c:pt idx="10">
                  <c:v>5.092118429548532</c:v>
                </c:pt>
                <c:pt idx="11">
                  <c:v>9.3153401853711433</c:v>
                </c:pt>
              </c:numCache>
            </c:numRef>
          </c:xVal>
          <c:yVal>
            <c:numRef>
              <c:f>[0]!LrfZm</c:f>
              <c:numCache>
                <c:formatCode>General</c:formatCode>
                <c:ptCount val="12"/>
                <c:pt idx="0">
                  <c:v>-1.7316643961222451</c:v>
                </c:pt>
                <c:pt idx="1">
                  <c:v>-1.1503493803760083</c:v>
                </c:pt>
                <c:pt idx="2">
                  <c:v>-0.81221780149991241</c:v>
                </c:pt>
                <c:pt idx="3">
                  <c:v>-0.54852228269809788</c:v>
                </c:pt>
                <c:pt idx="4">
                  <c:v>-0.3186393639643752</c:v>
                </c:pt>
                <c:pt idx="5">
                  <c:v>-0.10463345561407539</c:v>
                </c:pt>
                <c:pt idx="6">
                  <c:v>0.10463345561407525</c:v>
                </c:pt>
                <c:pt idx="7">
                  <c:v>0.3186393639643752</c:v>
                </c:pt>
                <c:pt idx="8">
                  <c:v>0.54852228269809822</c:v>
                </c:pt>
                <c:pt idx="9">
                  <c:v>0.81221780149991241</c:v>
                </c:pt>
                <c:pt idx="10">
                  <c:v>1.1503493803760083</c:v>
                </c:pt>
                <c:pt idx="11">
                  <c:v>1.7316643961222455</c:v>
                </c:pt>
              </c:numCache>
            </c:numRef>
          </c:yVal>
          <c:smooth val="0"/>
          <c:extLst>
            <c:ext xmlns:c16="http://schemas.microsoft.com/office/drawing/2014/chart" uri="{C3380CC4-5D6E-409C-BE32-E72D297353CC}">
              <c16:uniqueId val="{00000001-5508-4FB5-9B9B-4F5A866A2F4B}"/>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LineærRegression!$EE$16</c:f>
              <c:strCache>
                <c:ptCount val="1"/>
                <c:pt idx="0">
                  <c:v>Værdier og forventede værdier for residualer</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LineærRegression!$EE$18</c:f>
              <c:strCache>
                <c:ptCount val="1"/>
                <c:pt idx="0">
                  <c:v>Standardafvigelse i normalfordeling for residualer</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LineærRegression!$BG$10</c:f>
          <c:strCache>
            <c:ptCount val="1"/>
            <c:pt idx="0">
              <c:v>Forudsigelsesinterval for simpel lineær regression
Observationer er med 95% sandsynlighed mellem
øvre og nedre grænse i forudsigelsesintervallet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1"/>
          <c:order val="0"/>
          <c:tx>
            <c:strRef>
              <c:f>LineærRegression!$BG$12</c:f>
              <c:strCache>
                <c:ptCount val="1"/>
                <c:pt idx="0">
                  <c:v> Observationer (n=12)</c:v>
                </c:pt>
              </c:strCache>
            </c:strRef>
          </c:tx>
          <c:spPr>
            <a:ln w="25400" cap="rnd">
              <a:noFill/>
              <a:round/>
            </a:ln>
            <a:effectLst/>
          </c:spPr>
          <c:marker>
            <c:symbol val="circle"/>
            <c:size val="7"/>
            <c:spPr>
              <a:noFill/>
              <a:ln w="28575">
                <a:solidFill>
                  <a:schemeClr val="accent1">
                    <a:alpha val="70000"/>
                  </a:schemeClr>
                </a:solidFill>
              </a:ln>
              <a:effectLst/>
            </c:spPr>
          </c:marker>
          <c:xVal>
            <c:numRef>
              <c:f>[0]!LsxSimpel</c:f>
              <c:numCache>
                <c:formatCode>General</c:formatCode>
                <c:ptCount val="12"/>
                <c:pt idx="0">
                  <c:v>-3.2725647568992748</c:v>
                </c:pt>
                <c:pt idx="1">
                  <c:v>-2.2379718387660041</c:v>
                </c:pt>
                <c:pt idx="2">
                  <c:v>2</c:v>
                </c:pt>
                <c:pt idx="3">
                  <c:v>2.0228895016109072</c:v>
                </c:pt>
                <c:pt idx="4">
                  <c:v>2.0315172703350726</c:v>
                </c:pt>
                <c:pt idx="5">
                  <c:v>4</c:v>
                </c:pt>
                <c:pt idx="6">
                  <c:v>5</c:v>
                </c:pt>
                <c:pt idx="7">
                  <c:v>5.4220501567463426</c:v>
                </c:pt>
                <c:pt idx="8">
                  <c:v>6.3251059591845431</c:v>
                </c:pt>
                <c:pt idx="9">
                  <c:v>9</c:v>
                </c:pt>
                <c:pt idx="10">
                  <c:v>9.7085240838788316</c:v>
                </c:pt>
                <c:pt idx="11">
                  <c:v>9.7085240838788316</c:v>
                </c:pt>
              </c:numCache>
            </c:numRef>
          </c:xVal>
          <c:yVal>
            <c:numRef>
              <c:f>[0]!LsySimpel</c:f>
              <c:numCache>
                <c:formatCode>General</c:formatCode>
                <c:ptCount val="12"/>
                <c:pt idx="0">
                  <c:v>-1.1469596428732241</c:v>
                </c:pt>
                <c:pt idx="1">
                  <c:v>-1.479592604535932</c:v>
                </c:pt>
                <c:pt idx="2">
                  <c:v>1.2989587493526971</c:v>
                </c:pt>
                <c:pt idx="3">
                  <c:v>-0.30723615599325882</c:v>
                </c:pt>
                <c:pt idx="4">
                  <c:v>-0.40935481016144565</c:v>
                </c:pt>
                <c:pt idx="5">
                  <c:v>1.8110756828005981</c:v>
                </c:pt>
                <c:pt idx="6">
                  <c:v>8</c:v>
                </c:pt>
                <c:pt idx="7">
                  <c:v>8.4427372017371785E-2</c:v>
                </c:pt>
                <c:pt idx="8">
                  <c:v>1.3803796539630533</c:v>
                </c:pt>
                <c:pt idx="9">
                  <c:v>13</c:v>
                </c:pt>
                <c:pt idx="10">
                  <c:v>0.91409189597286977</c:v>
                </c:pt>
                <c:pt idx="11">
                  <c:v>-0.89773712069108735</c:v>
                </c:pt>
              </c:numCache>
            </c:numRef>
          </c:yVal>
          <c:smooth val="0"/>
          <c:extLst>
            <c:ext xmlns:c16="http://schemas.microsoft.com/office/drawing/2014/chart" uri="{C3380CC4-5D6E-409C-BE32-E72D297353CC}">
              <c16:uniqueId val="{00000000-CAD5-4133-B01C-EB92EFF5F7B3}"/>
            </c:ext>
          </c:extLst>
        </c:ser>
        <c:ser>
          <c:idx val="2"/>
          <c:order val="1"/>
          <c:tx>
            <c:strRef>
              <c:f>LineærRegression!$BG$14</c:f>
              <c:strCache>
                <c:ptCount val="1"/>
                <c:pt idx="0">
                  <c:v> Givet at Eksempel 2 (interval) = 1 estimeres øvre grænse for fjorudsigelsesinterval = 10.068</c:v>
                </c:pt>
              </c:strCache>
            </c:strRef>
          </c:tx>
          <c:spPr>
            <a:ln w="19050" cap="rnd">
              <a:noFill/>
              <a:prstDash val="sysDash"/>
              <a:round/>
            </a:ln>
            <a:effectLst/>
          </c:spPr>
          <c:marker>
            <c:symbol val="x"/>
            <c:size val="15"/>
            <c:spPr>
              <a:noFill/>
              <a:ln w="28575">
                <a:solidFill>
                  <a:schemeClr val="accent1"/>
                </a:solidFill>
              </a:ln>
              <a:effectLst/>
            </c:spPr>
          </c:marker>
          <c:dLbls>
            <c:dLbl>
              <c:idx val="0"/>
              <c:tx>
                <c:rich>
                  <a:bodyPr/>
                  <a:lstStyle/>
                  <a:p>
                    <a:fld id="{EDEB72B6-55D9-40C1-8F6C-154543878CC6}"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CAD5-4133-B01C-EB92EFF5F7B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LineærRegression!$D$38</c:f>
              <c:numCache>
                <c:formatCode>General</c:formatCode>
                <c:ptCount val="1"/>
                <c:pt idx="0">
                  <c:v>1</c:v>
                </c:pt>
              </c:numCache>
            </c:numRef>
          </c:xVal>
          <c:yVal>
            <c:numRef>
              <c:f>LineærRegression!$BG$24</c:f>
              <c:numCache>
                <c:formatCode>General</c:formatCode>
                <c:ptCount val="1"/>
                <c:pt idx="0">
                  <c:v>10.067736689744549</c:v>
                </c:pt>
              </c:numCache>
            </c:numRef>
          </c:yVal>
          <c:smooth val="0"/>
          <c:extLst>
            <c:ext xmlns:c15="http://schemas.microsoft.com/office/drawing/2012/chart" uri="{02D57815-91ED-43cb-92C2-25804820EDAC}">
              <c15:datalabelsRange>
                <c15:f>LineærRegression!$BG$44</c15:f>
                <c15:dlblRangeCache>
                  <c:ptCount val="1"/>
                  <c:pt idx="0">
                    <c:v>10.068</c:v>
                  </c:pt>
                </c15:dlblRangeCache>
              </c15:datalabelsRange>
            </c:ext>
            <c:ext xmlns:c16="http://schemas.microsoft.com/office/drawing/2014/chart" uri="{C3380CC4-5D6E-409C-BE32-E72D297353CC}">
              <c16:uniqueId val="{00000002-CAD5-4133-B01C-EB92EFF5F7B3}"/>
            </c:ext>
          </c:extLst>
        </c:ser>
        <c:ser>
          <c:idx val="3"/>
          <c:order val="2"/>
          <c:tx>
            <c:strRef>
              <c:f>LineærRegression!$BG$16</c:f>
              <c:strCache>
                <c:ptCount val="1"/>
                <c:pt idx="0">
                  <c:v> Givet at Eksempel 2 (interval) = 1 estimeres nedre grænse for forudsigelsesinterval = -9.149</c:v>
                </c:pt>
              </c:strCache>
            </c:strRef>
          </c:tx>
          <c:spPr>
            <a:ln w="25400" cap="rnd">
              <a:noFill/>
              <a:round/>
            </a:ln>
            <a:effectLst/>
          </c:spPr>
          <c:marker>
            <c:symbol val="x"/>
            <c:size val="15"/>
            <c:spPr>
              <a:noFill/>
              <a:ln w="28575">
                <a:solidFill>
                  <a:schemeClr val="accent1"/>
                </a:solidFill>
              </a:ln>
              <a:effectLst/>
            </c:spPr>
          </c:marker>
          <c:dLbls>
            <c:dLbl>
              <c:idx val="0"/>
              <c:tx>
                <c:rich>
                  <a:bodyPr/>
                  <a:lstStyle/>
                  <a:p>
                    <a:fld id="{70A0FD48-0562-47FF-AB8F-E12BC7C06470}" type="CELLRANGE">
                      <a:rPr lang="en-US"/>
                      <a:pPr/>
                      <a:t>[CELLRANGE]</a:t>
                    </a:fld>
                    <a:endParaRPr lang="da-DK"/>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CAD5-4133-B01C-EB92EFF5F7B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LineærRegression!$D$38</c:f>
              <c:numCache>
                <c:formatCode>General</c:formatCode>
                <c:ptCount val="1"/>
                <c:pt idx="0">
                  <c:v>1</c:v>
                </c:pt>
              </c:numCache>
            </c:numRef>
          </c:xVal>
          <c:yVal>
            <c:numRef>
              <c:f>LineærRegression!$BG$26</c:f>
              <c:numCache>
                <c:formatCode>General</c:formatCode>
                <c:ptCount val="1"/>
                <c:pt idx="0">
                  <c:v>-9.1494541864284464</c:v>
                </c:pt>
              </c:numCache>
            </c:numRef>
          </c:yVal>
          <c:smooth val="0"/>
          <c:extLst>
            <c:ext xmlns:c15="http://schemas.microsoft.com/office/drawing/2012/chart" uri="{02D57815-91ED-43cb-92C2-25804820EDAC}">
              <c15:datalabelsRange>
                <c15:f>LineærRegression!$BG$46</c15:f>
                <c15:dlblRangeCache>
                  <c:ptCount val="1"/>
                  <c:pt idx="0">
                    <c:v>-9.149</c:v>
                  </c:pt>
                </c15:dlblRangeCache>
              </c15:datalabelsRange>
            </c:ext>
            <c:ext xmlns:c16="http://schemas.microsoft.com/office/drawing/2014/chart" uri="{C3380CC4-5D6E-409C-BE32-E72D297353CC}">
              <c16:uniqueId val="{00000004-CAD5-4133-B01C-EB92EFF5F7B3}"/>
            </c:ext>
          </c:extLst>
        </c:ser>
        <c:dLbls>
          <c:showLegendKey val="0"/>
          <c:showVal val="0"/>
          <c:showCatName val="0"/>
          <c:showSerName val="0"/>
          <c:showPercent val="0"/>
          <c:showBubbleSize val="0"/>
        </c:dLbls>
        <c:axId val="1385891392"/>
        <c:axId val="1328708544"/>
      </c:scatterChart>
      <c:scatterChart>
        <c:scatterStyle val="smoothMarker"/>
        <c:varyColors val="0"/>
        <c:ser>
          <c:idx val="6"/>
          <c:order val="3"/>
          <c:tx>
            <c:strRef>
              <c:f>LineærRegression!$BG$18</c:f>
              <c:strCache>
                <c:ptCount val="1"/>
                <c:pt idx="0">
                  <c:v> Grænser for 95% forudsigelsesinterval</c:v>
                </c:pt>
              </c:strCache>
            </c:strRef>
          </c:tx>
          <c:spPr>
            <a:ln w="19050" cap="rnd">
              <a:solidFill>
                <a:schemeClr val="accent1"/>
              </a:solidFill>
              <a:prstDash val="dash"/>
              <a:round/>
            </a:ln>
            <a:effectLst/>
          </c:spPr>
          <c:marker>
            <c:symbol val="none"/>
          </c:marker>
          <c:xVal>
            <c:numRef>
              <c:f>[0]!LfX</c:f>
              <c:numCache>
                <c:formatCode>General</c:formatCode>
                <c:ptCount val="100"/>
                <c:pt idx="0">
                  <c:v>-3.2725647568992748</c:v>
                </c:pt>
                <c:pt idx="1">
                  <c:v>-3.1414426473964658</c:v>
                </c:pt>
                <c:pt idx="2">
                  <c:v>-3.0103205378936564</c:v>
                </c:pt>
                <c:pt idx="3">
                  <c:v>-2.8791984283908474</c:v>
                </c:pt>
                <c:pt idx="4">
                  <c:v>-2.7480763188880384</c:v>
                </c:pt>
                <c:pt idx="5">
                  <c:v>-2.6169542093852289</c:v>
                </c:pt>
                <c:pt idx="6">
                  <c:v>-2.4858320998824199</c:v>
                </c:pt>
                <c:pt idx="7">
                  <c:v>-2.3547099903796109</c:v>
                </c:pt>
                <c:pt idx="8">
                  <c:v>-2.2235878808768019</c:v>
                </c:pt>
                <c:pt idx="9">
                  <c:v>-2.092465771373992</c:v>
                </c:pt>
                <c:pt idx="10">
                  <c:v>-1.961343661871183</c:v>
                </c:pt>
                <c:pt idx="11">
                  <c:v>-1.8302215523683742</c:v>
                </c:pt>
                <c:pt idx="12">
                  <c:v>-1.699099442865565</c:v>
                </c:pt>
                <c:pt idx="13">
                  <c:v>-1.5679773333627558</c:v>
                </c:pt>
                <c:pt idx="14">
                  <c:v>-1.4368552238599468</c:v>
                </c:pt>
                <c:pt idx="15">
                  <c:v>-1.3057331143571376</c:v>
                </c:pt>
                <c:pt idx="16">
                  <c:v>-1.1746110048543286</c:v>
                </c:pt>
                <c:pt idx="17">
                  <c:v>-1.0434888953515191</c:v>
                </c:pt>
                <c:pt idx="18">
                  <c:v>-0.91236678584870967</c:v>
                </c:pt>
                <c:pt idx="19">
                  <c:v>-0.78124467634590111</c:v>
                </c:pt>
                <c:pt idx="20">
                  <c:v>-0.65012256684309122</c:v>
                </c:pt>
                <c:pt idx="21">
                  <c:v>-0.51900045734028266</c:v>
                </c:pt>
                <c:pt idx="22">
                  <c:v>-0.38787834783747366</c:v>
                </c:pt>
                <c:pt idx="23">
                  <c:v>-0.25675623833466421</c:v>
                </c:pt>
                <c:pt idx="24">
                  <c:v>-0.12563412883185521</c:v>
                </c:pt>
                <c:pt idx="25">
                  <c:v>5.48798067095424E-3</c:v>
                </c:pt>
                <c:pt idx="26">
                  <c:v>0.13661009017376324</c:v>
                </c:pt>
                <c:pt idx="27">
                  <c:v>0.26773219967657269</c:v>
                </c:pt>
                <c:pt idx="28">
                  <c:v>0.39885430917938125</c:v>
                </c:pt>
                <c:pt idx="29">
                  <c:v>0.52997641868219025</c:v>
                </c:pt>
                <c:pt idx="30">
                  <c:v>0.6610985281849997</c:v>
                </c:pt>
                <c:pt idx="31">
                  <c:v>0.7922206376878087</c:v>
                </c:pt>
                <c:pt idx="32">
                  <c:v>0.92334274719061771</c:v>
                </c:pt>
                <c:pt idx="33">
                  <c:v>1.0544648566934276</c:v>
                </c:pt>
                <c:pt idx="34">
                  <c:v>1.1855869661962366</c:v>
                </c:pt>
                <c:pt idx="35">
                  <c:v>1.3167090756990456</c:v>
                </c:pt>
                <c:pt idx="36">
                  <c:v>1.4478311852018555</c:v>
                </c:pt>
                <c:pt idx="37">
                  <c:v>1.5789532947046636</c:v>
                </c:pt>
                <c:pt idx="38">
                  <c:v>1.7100754042074726</c:v>
                </c:pt>
                <c:pt idx="39">
                  <c:v>1.8411975137102825</c:v>
                </c:pt>
                <c:pt idx="40">
                  <c:v>1.9723196232130924</c:v>
                </c:pt>
                <c:pt idx="41">
                  <c:v>2.1034417327159005</c:v>
                </c:pt>
                <c:pt idx="42">
                  <c:v>2.2345638422187095</c:v>
                </c:pt>
                <c:pt idx="43">
                  <c:v>2.3656859517215194</c:v>
                </c:pt>
                <c:pt idx="44">
                  <c:v>2.4968080612243275</c:v>
                </c:pt>
                <c:pt idx="45">
                  <c:v>2.6279301707271374</c:v>
                </c:pt>
                <c:pt idx="46">
                  <c:v>2.7590522802299464</c:v>
                </c:pt>
                <c:pt idx="47">
                  <c:v>2.8901743897327563</c:v>
                </c:pt>
                <c:pt idx="48">
                  <c:v>3.0212964992355644</c:v>
                </c:pt>
                <c:pt idx="49">
                  <c:v>3.1524186087383734</c:v>
                </c:pt>
                <c:pt idx="50">
                  <c:v>3.2835407182411833</c:v>
                </c:pt>
                <c:pt idx="51">
                  <c:v>3.4146628277439914</c:v>
                </c:pt>
                <c:pt idx="52">
                  <c:v>3.5457849372468013</c:v>
                </c:pt>
                <c:pt idx="53">
                  <c:v>3.6769070467496103</c:v>
                </c:pt>
                <c:pt idx="54">
                  <c:v>3.8080291562524202</c:v>
                </c:pt>
                <c:pt idx="55">
                  <c:v>3.9391512657552283</c:v>
                </c:pt>
                <c:pt idx="56">
                  <c:v>4.0702733752580373</c:v>
                </c:pt>
                <c:pt idx="57">
                  <c:v>4.2013954847608472</c:v>
                </c:pt>
                <c:pt idx="58">
                  <c:v>4.3325175942636553</c:v>
                </c:pt>
                <c:pt idx="59">
                  <c:v>4.4636397037664652</c:v>
                </c:pt>
                <c:pt idx="60">
                  <c:v>4.5947618132692742</c:v>
                </c:pt>
                <c:pt idx="61">
                  <c:v>4.7258839227720841</c:v>
                </c:pt>
                <c:pt idx="62">
                  <c:v>4.8570060322748922</c:v>
                </c:pt>
                <c:pt idx="63">
                  <c:v>4.9881281417777021</c:v>
                </c:pt>
                <c:pt idx="64">
                  <c:v>5.1192502512805103</c:v>
                </c:pt>
                <c:pt idx="65">
                  <c:v>5.2503723607833201</c:v>
                </c:pt>
                <c:pt idx="66">
                  <c:v>5.38149447028613</c:v>
                </c:pt>
                <c:pt idx="67">
                  <c:v>5.5126165797889382</c:v>
                </c:pt>
                <c:pt idx="68">
                  <c:v>5.643738689291748</c:v>
                </c:pt>
                <c:pt idx="69">
                  <c:v>5.7748607987945562</c:v>
                </c:pt>
                <c:pt idx="70">
                  <c:v>5.9059829082973661</c:v>
                </c:pt>
                <c:pt idx="71">
                  <c:v>6.0371050178001759</c:v>
                </c:pt>
                <c:pt idx="72">
                  <c:v>6.1682271273029858</c:v>
                </c:pt>
                <c:pt idx="73">
                  <c:v>6.299349236805794</c:v>
                </c:pt>
                <c:pt idx="74">
                  <c:v>6.4304713463086021</c:v>
                </c:pt>
                <c:pt idx="75">
                  <c:v>6.561593455811412</c:v>
                </c:pt>
                <c:pt idx="76">
                  <c:v>6.6927155653142201</c:v>
                </c:pt>
                <c:pt idx="77">
                  <c:v>6.82383767481703</c:v>
                </c:pt>
                <c:pt idx="78">
                  <c:v>6.9549597843198399</c:v>
                </c:pt>
                <c:pt idx="79">
                  <c:v>7.086081893822648</c:v>
                </c:pt>
                <c:pt idx="80">
                  <c:v>7.2172040033254596</c:v>
                </c:pt>
                <c:pt idx="81">
                  <c:v>7.3483261128282678</c:v>
                </c:pt>
                <c:pt idx="82">
                  <c:v>7.4794482223310759</c:v>
                </c:pt>
                <c:pt idx="83">
                  <c:v>7.610570331833884</c:v>
                </c:pt>
                <c:pt idx="84">
                  <c:v>7.7416924413366939</c:v>
                </c:pt>
                <c:pt idx="85">
                  <c:v>7.8728145508395038</c:v>
                </c:pt>
                <c:pt idx="86">
                  <c:v>8.0039366603423137</c:v>
                </c:pt>
                <c:pt idx="87">
                  <c:v>8.1350587698451218</c:v>
                </c:pt>
                <c:pt idx="88">
                  <c:v>8.2661808793479299</c:v>
                </c:pt>
                <c:pt idx="89">
                  <c:v>8.3973029888507398</c:v>
                </c:pt>
                <c:pt idx="90">
                  <c:v>8.5284250983535497</c:v>
                </c:pt>
                <c:pt idx="91">
                  <c:v>8.6595472078563578</c:v>
                </c:pt>
                <c:pt idx="92">
                  <c:v>8.7906693173591677</c:v>
                </c:pt>
                <c:pt idx="93">
                  <c:v>8.9217914268619758</c:v>
                </c:pt>
                <c:pt idx="94">
                  <c:v>9.0529135363647875</c:v>
                </c:pt>
                <c:pt idx="95">
                  <c:v>9.1840356458675956</c:v>
                </c:pt>
                <c:pt idx="96">
                  <c:v>9.3151577553704037</c:v>
                </c:pt>
                <c:pt idx="97">
                  <c:v>9.4462798648732136</c:v>
                </c:pt>
                <c:pt idx="98">
                  <c:v>9.5774019743760217</c:v>
                </c:pt>
                <c:pt idx="99">
                  <c:v>9.7085240838788316</c:v>
                </c:pt>
              </c:numCache>
            </c:numRef>
          </c:xVal>
          <c:yVal>
            <c:numRef>
              <c:f>[0]!LfOevre</c:f>
              <c:numCache>
                <c:formatCode>General</c:formatCode>
                <c:ptCount val="100"/>
                <c:pt idx="0">
                  <c:v>9.0763047188477604</c:v>
                </c:pt>
                <c:pt idx="1">
                  <c:v>9.0974336647076335</c:v>
                </c:pt>
                <c:pt idx="2">
                  <c:v>9.119095923360117</c:v>
                </c:pt>
                <c:pt idx="3">
                  <c:v>9.1412971142109782</c:v>
                </c:pt>
                <c:pt idx="4">
                  <c:v>9.1640428512596852</c:v>
                </c:pt>
                <c:pt idx="5">
                  <c:v>9.1873387400621507</c:v>
                </c:pt>
                <c:pt idx="6">
                  <c:v>9.211190374606387</c:v>
                </c:pt>
                <c:pt idx="7">
                  <c:v>9.2356033341027057</c:v>
                </c:pt>
                <c:pt idx="8">
                  <c:v>9.2605831796902613</c:v>
                </c:pt>
                <c:pt idx="9">
                  <c:v>9.286135451062135</c:v>
                </c:pt>
                <c:pt idx="10">
                  <c:v>9.3122656630112886</c:v>
                </c:pt>
                <c:pt idx="11">
                  <c:v>9.3389793019001779</c:v>
                </c:pt>
                <c:pt idx="12">
                  <c:v>9.3662818220569886</c:v>
                </c:pt>
                <c:pt idx="13">
                  <c:v>9.3941786421017781</c:v>
                </c:pt>
                <c:pt idx="14">
                  <c:v>9.4226751412061684</c:v>
                </c:pt>
                <c:pt idx="15">
                  <c:v>9.451776655290498</c:v>
                </c:pt>
                <c:pt idx="16">
                  <c:v>9.481488473162635</c:v>
                </c:pt>
                <c:pt idx="17">
                  <c:v>9.5118158326030038</c:v>
                </c:pt>
                <c:pt idx="18">
                  <c:v>9.5427639164006752</c:v>
                </c:pt>
                <c:pt idx="19">
                  <c:v>9.5743378483456283</c:v>
                </c:pt>
                <c:pt idx="20">
                  <c:v>9.6065426891826835</c:v>
                </c:pt>
                <c:pt idx="21">
                  <c:v>9.6393834325327887</c:v>
                </c:pt>
                <c:pt idx="22">
                  <c:v>9.6728650007877501</c:v>
                </c:pt>
                <c:pt idx="23">
                  <c:v>9.7069922409846612</c:v>
                </c:pt>
                <c:pt idx="24">
                  <c:v>9.7417699206666324</c:v>
                </c:pt>
                <c:pt idx="25">
                  <c:v>9.7772027237366679</c:v>
                </c:pt>
                <c:pt idx="26">
                  <c:v>9.8132952463117125</c:v>
                </c:pt>
                <c:pt idx="27">
                  <c:v>9.8500519925842216</c:v>
                </c:pt>
                <c:pt idx="28">
                  <c:v>9.8874773706987256</c:v>
                </c:pt>
                <c:pt idx="29">
                  <c:v>9.9255756886510902</c:v>
                </c:pt>
                <c:pt idx="30">
                  <c:v>9.9643511502183593</c:v>
                </c:pt>
                <c:pt idx="31">
                  <c:v>10.003807850927142</c:v>
                </c:pt>
                <c:pt idx="32">
                  <c:v>10.043949774068713</c:v>
                </c:pt>
                <c:pt idx="33">
                  <c:v>10.08478078676905</c:v>
                </c:pt>
                <c:pt idx="34">
                  <c:v>10.126304636122065</c:v>
                </c:pt>
                <c:pt idx="35">
                  <c:v>10.168524945394413</c:v>
                </c:pt>
                <c:pt idx="36">
                  <c:v>10.211445210310197</c:v>
                </c:pt>
                <c:pt idx="37">
                  <c:v>10.255068795423895</c:v>
                </c:pt>
                <c:pt idx="38">
                  <c:v>10.299398930589822</c:v>
                </c:pt>
                <c:pt idx="39">
                  <c:v>10.344438707536275</c:v>
                </c:pt>
                <c:pt idx="40">
                  <c:v>10.390191076552485</c:v>
                </c:pt>
                <c:pt idx="41">
                  <c:v>10.436658843296298</c:v>
                </c:pt>
                <c:pt idx="42">
                  <c:v>10.483844665730373</c:v>
                </c:pt>
                <c:pt idx="43">
                  <c:v>10.531751051194391</c:v>
                </c:pt>
                <c:pt idx="44">
                  <c:v>10.580380353620637</c:v>
                </c:pt>
                <c:pt idx="45">
                  <c:v>10.629734770899974</c:v>
                </c:pt>
                <c:pt idx="46">
                  <c:v>10.679816342404907</c:v>
                </c:pt>
                <c:pt idx="47">
                  <c:v>10.730626946676173</c:v>
                </c:pt>
                <c:pt idx="48">
                  <c:v>10.782168299278826</c:v>
                </c:pt>
                <c:pt idx="49">
                  <c:v>10.834441950833515</c:v>
                </c:pt>
                <c:pt idx="50">
                  <c:v>10.88744928522811</c:v>
                </c:pt>
                <c:pt idx="51">
                  <c:v>10.941191518014461</c:v>
                </c:pt>
                <c:pt idx="52">
                  <c:v>10.995669694994625</c:v>
                </c:pt>
                <c:pt idx="53">
                  <c:v>11.050884691000324</c:v>
                </c:pt>
                <c:pt idx="54">
                  <c:v>11.106837208868976</c:v>
                </c:pt>
                <c:pt idx="55">
                  <c:v>11.163527778619086</c:v>
                </c:pt>
                <c:pt idx="56">
                  <c:v>11.220956756827228</c:v>
                </c:pt>
                <c:pt idx="57">
                  <c:v>11.279124326208352</c:v>
                </c:pt>
                <c:pt idx="58">
                  <c:v>11.33803049540056</c:v>
                </c:pt>
                <c:pt idx="59">
                  <c:v>11.397675098954911</c:v>
                </c:pt>
                <c:pt idx="60">
                  <c:v>11.458057797530337</c:v>
                </c:pt>
                <c:pt idx="61">
                  <c:v>11.519178078293093</c:v>
                </c:pt>
                <c:pt idx="62">
                  <c:v>11.581035255519655</c:v>
                </c:pt>
                <c:pt idx="63">
                  <c:v>11.643628471401435</c:v>
                </c:pt>
                <c:pt idx="64">
                  <c:v>11.706956697049065</c:v>
                </c:pt>
                <c:pt idx="65">
                  <c:v>11.771018733693587</c:v>
                </c:pt>
                <c:pt idx="66">
                  <c:v>11.835813214081222</c:v>
                </c:pt>
                <c:pt idx="67">
                  <c:v>11.901338604057976</c:v>
                </c:pt>
                <c:pt idx="68">
                  <c:v>11.967593204339867</c:v>
                </c:pt>
                <c:pt idx="69">
                  <c:v>12.034575152463969</c:v>
                </c:pt>
                <c:pt idx="70">
                  <c:v>12.102282424915206</c:v>
                </c:pt>
                <c:pt idx="71">
                  <c:v>12.17071283942318</c:v>
                </c:pt>
                <c:pt idx="72">
                  <c:v>12.239864057423178</c:v>
                </c:pt>
                <c:pt idx="73">
                  <c:v>12.309733586674902</c:v>
                </c:pt>
                <c:pt idx="74">
                  <c:v>12.380318784032298</c:v>
                </c:pt>
                <c:pt idx="75">
                  <c:v>12.451616858357383</c:v>
                </c:pt>
                <c:pt idx="76">
                  <c:v>12.523624873570963</c:v>
                </c:pt>
                <c:pt idx="77">
                  <c:v>12.596339751832478</c:v>
                </c:pt>
                <c:pt idx="78">
                  <c:v>12.669758276841467</c:v>
                </c:pt>
                <c:pt idx="79">
                  <c:v>12.743877097252565</c:v>
                </c:pt>
                <c:pt idx="80">
                  <c:v>12.81869273019603</c:v>
                </c:pt>
                <c:pt idx="81">
                  <c:v>12.894201564895596</c:v>
                </c:pt>
                <c:pt idx="82">
                  <c:v>12.970399866375399</c:v>
                </c:pt>
                <c:pt idx="83">
                  <c:v>13.047283779247611</c:v>
                </c:pt>
                <c:pt idx="84">
                  <c:v>13.12484933157247</c:v>
                </c:pt>
                <c:pt idx="85">
                  <c:v>13.203092438782356</c:v>
                </c:pt>
                <c:pt idx="86">
                  <c:v>13.282008907661595</c:v>
                </c:pt>
                <c:pt idx="87">
                  <c:v>13.361594440373821</c:v>
                </c:pt>
                <c:pt idx="88">
                  <c:v>13.441844638528645</c:v>
                </c:pt>
                <c:pt idx="89">
                  <c:v>13.522755007279734</c:v>
                </c:pt>
                <c:pt idx="90">
                  <c:v>13.604320959446337</c:v>
                </c:pt>
                <c:pt idx="91">
                  <c:v>13.686537819650562</c:v>
                </c:pt>
                <c:pt idx="92">
                  <c:v>13.76940082846291</c:v>
                </c:pt>
                <c:pt idx="93">
                  <c:v>13.852905146548702</c:v>
                </c:pt>
                <c:pt idx="94">
                  <c:v>13.937045858808354</c:v>
                </c:pt>
                <c:pt idx="95">
                  <c:v>14.021817978504576</c:v>
                </c:pt>
                <c:pt idx="96">
                  <c:v>14.10721645136997</c:v>
                </c:pt>
                <c:pt idx="97">
                  <c:v>14.193236159688645</c:v>
                </c:pt>
                <c:pt idx="98">
                  <c:v>14.279871926345772</c:v>
                </c:pt>
                <c:pt idx="99">
                  <c:v>14.367118518839385</c:v>
                </c:pt>
              </c:numCache>
            </c:numRef>
          </c:yVal>
          <c:smooth val="1"/>
          <c:extLst>
            <c:ext xmlns:c16="http://schemas.microsoft.com/office/drawing/2014/chart" uri="{C3380CC4-5D6E-409C-BE32-E72D297353CC}">
              <c16:uniqueId val="{00000005-CAD5-4133-B01C-EB92EFF5F7B3}"/>
            </c:ext>
          </c:extLst>
        </c:ser>
        <c:ser>
          <c:idx val="7"/>
          <c:order val="4"/>
          <c:tx>
            <c:strRef>
              <c:f>LineærRegression!$BG$18</c:f>
              <c:strCache>
                <c:ptCount val="1"/>
                <c:pt idx="0">
                  <c:v> Grænser for 95% forudsigelsesinterval</c:v>
                </c:pt>
              </c:strCache>
            </c:strRef>
          </c:tx>
          <c:spPr>
            <a:ln w="19050" cap="rnd">
              <a:solidFill>
                <a:schemeClr val="accent1"/>
              </a:solidFill>
              <a:prstDash val="dash"/>
              <a:round/>
            </a:ln>
            <a:effectLst/>
          </c:spPr>
          <c:marker>
            <c:symbol val="none"/>
          </c:marker>
          <c:xVal>
            <c:numRef>
              <c:f>[0]!LfX</c:f>
              <c:numCache>
                <c:formatCode>General</c:formatCode>
                <c:ptCount val="100"/>
                <c:pt idx="0">
                  <c:v>-3.2725647568992748</c:v>
                </c:pt>
                <c:pt idx="1">
                  <c:v>-3.1414426473964658</c:v>
                </c:pt>
                <c:pt idx="2">
                  <c:v>-3.0103205378936564</c:v>
                </c:pt>
                <c:pt idx="3">
                  <c:v>-2.8791984283908474</c:v>
                </c:pt>
                <c:pt idx="4">
                  <c:v>-2.7480763188880384</c:v>
                </c:pt>
                <c:pt idx="5">
                  <c:v>-2.6169542093852289</c:v>
                </c:pt>
                <c:pt idx="6">
                  <c:v>-2.4858320998824199</c:v>
                </c:pt>
                <c:pt idx="7">
                  <c:v>-2.3547099903796109</c:v>
                </c:pt>
                <c:pt idx="8">
                  <c:v>-2.2235878808768019</c:v>
                </c:pt>
                <c:pt idx="9">
                  <c:v>-2.092465771373992</c:v>
                </c:pt>
                <c:pt idx="10">
                  <c:v>-1.961343661871183</c:v>
                </c:pt>
                <c:pt idx="11">
                  <c:v>-1.8302215523683742</c:v>
                </c:pt>
                <c:pt idx="12">
                  <c:v>-1.699099442865565</c:v>
                </c:pt>
                <c:pt idx="13">
                  <c:v>-1.5679773333627558</c:v>
                </c:pt>
                <c:pt idx="14">
                  <c:v>-1.4368552238599468</c:v>
                </c:pt>
                <c:pt idx="15">
                  <c:v>-1.3057331143571376</c:v>
                </c:pt>
                <c:pt idx="16">
                  <c:v>-1.1746110048543286</c:v>
                </c:pt>
                <c:pt idx="17">
                  <c:v>-1.0434888953515191</c:v>
                </c:pt>
                <c:pt idx="18">
                  <c:v>-0.91236678584870967</c:v>
                </c:pt>
                <c:pt idx="19">
                  <c:v>-0.78124467634590111</c:v>
                </c:pt>
                <c:pt idx="20">
                  <c:v>-0.65012256684309122</c:v>
                </c:pt>
                <c:pt idx="21">
                  <c:v>-0.51900045734028266</c:v>
                </c:pt>
                <c:pt idx="22">
                  <c:v>-0.38787834783747366</c:v>
                </c:pt>
                <c:pt idx="23">
                  <c:v>-0.25675623833466421</c:v>
                </c:pt>
                <c:pt idx="24">
                  <c:v>-0.12563412883185521</c:v>
                </c:pt>
                <c:pt idx="25">
                  <c:v>5.48798067095424E-3</c:v>
                </c:pt>
                <c:pt idx="26">
                  <c:v>0.13661009017376324</c:v>
                </c:pt>
                <c:pt idx="27">
                  <c:v>0.26773219967657269</c:v>
                </c:pt>
                <c:pt idx="28">
                  <c:v>0.39885430917938125</c:v>
                </c:pt>
                <c:pt idx="29">
                  <c:v>0.52997641868219025</c:v>
                </c:pt>
                <c:pt idx="30">
                  <c:v>0.6610985281849997</c:v>
                </c:pt>
                <c:pt idx="31">
                  <c:v>0.7922206376878087</c:v>
                </c:pt>
                <c:pt idx="32">
                  <c:v>0.92334274719061771</c:v>
                </c:pt>
                <c:pt idx="33">
                  <c:v>1.0544648566934276</c:v>
                </c:pt>
                <c:pt idx="34">
                  <c:v>1.1855869661962366</c:v>
                </c:pt>
                <c:pt idx="35">
                  <c:v>1.3167090756990456</c:v>
                </c:pt>
                <c:pt idx="36">
                  <c:v>1.4478311852018555</c:v>
                </c:pt>
                <c:pt idx="37">
                  <c:v>1.5789532947046636</c:v>
                </c:pt>
                <c:pt idx="38">
                  <c:v>1.7100754042074726</c:v>
                </c:pt>
                <c:pt idx="39">
                  <c:v>1.8411975137102825</c:v>
                </c:pt>
                <c:pt idx="40">
                  <c:v>1.9723196232130924</c:v>
                </c:pt>
                <c:pt idx="41">
                  <c:v>2.1034417327159005</c:v>
                </c:pt>
                <c:pt idx="42">
                  <c:v>2.2345638422187095</c:v>
                </c:pt>
                <c:pt idx="43">
                  <c:v>2.3656859517215194</c:v>
                </c:pt>
                <c:pt idx="44">
                  <c:v>2.4968080612243275</c:v>
                </c:pt>
                <c:pt idx="45">
                  <c:v>2.6279301707271374</c:v>
                </c:pt>
                <c:pt idx="46">
                  <c:v>2.7590522802299464</c:v>
                </c:pt>
                <c:pt idx="47">
                  <c:v>2.8901743897327563</c:v>
                </c:pt>
                <c:pt idx="48">
                  <c:v>3.0212964992355644</c:v>
                </c:pt>
                <c:pt idx="49">
                  <c:v>3.1524186087383734</c:v>
                </c:pt>
                <c:pt idx="50">
                  <c:v>3.2835407182411833</c:v>
                </c:pt>
                <c:pt idx="51">
                  <c:v>3.4146628277439914</c:v>
                </c:pt>
                <c:pt idx="52">
                  <c:v>3.5457849372468013</c:v>
                </c:pt>
                <c:pt idx="53">
                  <c:v>3.6769070467496103</c:v>
                </c:pt>
                <c:pt idx="54">
                  <c:v>3.8080291562524202</c:v>
                </c:pt>
                <c:pt idx="55">
                  <c:v>3.9391512657552283</c:v>
                </c:pt>
                <c:pt idx="56">
                  <c:v>4.0702733752580373</c:v>
                </c:pt>
                <c:pt idx="57">
                  <c:v>4.2013954847608472</c:v>
                </c:pt>
                <c:pt idx="58">
                  <c:v>4.3325175942636553</c:v>
                </c:pt>
                <c:pt idx="59">
                  <c:v>4.4636397037664652</c:v>
                </c:pt>
                <c:pt idx="60">
                  <c:v>4.5947618132692742</c:v>
                </c:pt>
                <c:pt idx="61">
                  <c:v>4.7258839227720841</c:v>
                </c:pt>
                <c:pt idx="62">
                  <c:v>4.8570060322748922</c:v>
                </c:pt>
                <c:pt idx="63">
                  <c:v>4.9881281417777021</c:v>
                </c:pt>
                <c:pt idx="64">
                  <c:v>5.1192502512805103</c:v>
                </c:pt>
                <c:pt idx="65">
                  <c:v>5.2503723607833201</c:v>
                </c:pt>
                <c:pt idx="66">
                  <c:v>5.38149447028613</c:v>
                </c:pt>
                <c:pt idx="67">
                  <c:v>5.5126165797889382</c:v>
                </c:pt>
                <c:pt idx="68">
                  <c:v>5.643738689291748</c:v>
                </c:pt>
                <c:pt idx="69">
                  <c:v>5.7748607987945562</c:v>
                </c:pt>
                <c:pt idx="70">
                  <c:v>5.9059829082973661</c:v>
                </c:pt>
                <c:pt idx="71">
                  <c:v>6.0371050178001759</c:v>
                </c:pt>
                <c:pt idx="72">
                  <c:v>6.1682271273029858</c:v>
                </c:pt>
                <c:pt idx="73">
                  <c:v>6.299349236805794</c:v>
                </c:pt>
                <c:pt idx="74">
                  <c:v>6.4304713463086021</c:v>
                </c:pt>
                <c:pt idx="75">
                  <c:v>6.561593455811412</c:v>
                </c:pt>
                <c:pt idx="76">
                  <c:v>6.6927155653142201</c:v>
                </c:pt>
                <c:pt idx="77">
                  <c:v>6.82383767481703</c:v>
                </c:pt>
                <c:pt idx="78">
                  <c:v>6.9549597843198399</c:v>
                </c:pt>
                <c:pt idx="79">
                  <c:v>7.086081893822648</c:v>
                </c:pt>
                <c:pt idx="80">
                  <c:v>7.2172040033254596</c:v>
                </c:pt>
                <c:pt idx="81">
                  <c:v>7.3483261128282678</c:v>
                </c:pt>
                <c:pt idx="82">
                  <c:v>7.4794482223310759</c:v>
                </c:pt>
                <c:pt idx="83">
                  <c:v>7.610570331833884</c:v>
                </c:pt>
                <c:pt idx="84">
                  <c:v>7.7416924413366939</c:v>
                </c:pt>
                <c:pt idx="85">
                  <c:v>7.8728145508395038</c:v>
                </c:pt>
                <c:pt idx="86">
                  <c:v>8.0039366603423137</c:v>
                </c:pt>
                <c:pt idx="87">
                  <c:v>8.1350587698451218</c:v>
                </c:pt>
                <c:pt idx="88">
                  <c:v>8.2661808793479299</c:v>
                </c:pt>
                <c:pt idx="89">
                  <c:v>8.3973029888507398</c:v>
                </c:pt>
                <c:pt idx="90">
                  <c:v>8.5284250983535497</c:v>
                </c:pt>
                <c:pt idx="91">
                  <c:v>8.6595472078563578</c:v>
                </c:pt>
                <c:pt idx="92">
                  <c:v>8.7906693173591677</c:v>
                </c:pt>
                <c:pt idx="93">
                  <c:v>8.9217914268619758</c:v>
                </c:pt>
                <c:pt idx="94">
                  <c:v>9.0529135363647875</c:v>
                </c:pt>
                <c:pt idx="95">
                  <c:v>9.1840356458675956</c:v>
                </c:pt>
                <c:pt idx="96">
                  <c:v>9.3151577553704037</c:v>
                </c:pt>
                <c:pt idx="97">
                  <c:v>9.4462798648732136</c:v>
                </c:pt>
                <c:pt idx="98">
                  <c:v>9.5774019743760217</c:v>
                </c:pt>
                <c:pt idx="99">
                  <c:v>9.7085240838788316</c:v>
                </c:pt>
              </c:numCache>
            </c:numRef>
          </c:xVal>
          <c:yVal>
            <c:numRef>
              <c:f>[0]!LfNedre</c:f>
              <c:numCache>
                <c:formatCode>General</c:formatCode>
                <c:ptCount val="100"/>
                <c:pt idx="0">
                  <c:v>-11.951147136555756</c:v>
                </c:pt>
                <c:pt idx="1">
                  <c:v>-11.855867655732517</c:v>
                </c:pt>
                <c:pt idx="2">
                  <c:v>-11.761121487701889</c:v>
                </c:pt>
                <c:pt idx="3">
                  <c:v>-11.666914251869638</c:v>
                </c:pt>
                <c:pt idx="4">
                  <c:v>-11.573251562235233</c:v>
                </c:pt>
                <c:pt idx="5">
                  <c:v>-11.480139024354587</c:v>
                </c:pt>
                <c:pt idx="6">
                  <c:v>-11.387582232215712</c:v>
                </c:pt>
                <c:pt idx="7">
                  <c:v>-11.295586765028919</c:v>
                </c:pt>
                <c:pt idx="8">
                  <c:v>-11.204158183933362</c:v>
                </c:pt>
                <c:pt idx="9">
                  <c:v>-11.113302028622124</c:v>
                </c:pt>
                <c:pt idx="10">
                  <c:v>-11.023023813888166</c:v>
                </c:pt>
                <c:pt idx="11">
                  <c:v>-10.933329026093944</c:v>
                </c:pt>
                <c:pt idx="12">
                  <c:v>-10.844223119567642</c:v>
                </c:pt>
                <c:pt idx="13">
                  <c:v>-10.75571151292932</c:v>
                </c:pt>
                <c:pt idx="14">
                  <c:v>-10.667799585350599</c:v>
                </c:pt>
                <c:pt idx="15">
                  <c:v>-10.580492672751816</c:v>
                </c:pt>
                <c:pt idx="16">
                  <c:v>-10.493796063940842</c:v>
                </c:pt>
                <c:pt idx="17">
                  <c:v>-10.407714996698099</c:v>
                </c:pt>
                <c:pt idx="18">
                  <c:v>-10.322254653812658</c:v>
                </c:pt>
                <c:pt idx="19">
                  <c:v>-10.2374201590745</c:v>
                </c:pt>
                <c:pt idx="20">
                  <c:v>-10.153216573228443</c:v>
                </c:pt>
                <c:pt idx="21">
                  <c:v>-10.069648889895436</c:v>
                </c:pt>
                <c:pt idx="22">
                  <c:v>-9.986722031467286</c:v>
                </c:pt>
                <c:pt idx="23">
                  <c:v>-9.9044408449810852</c:v>
                </c:pt>
                <c:pt idx="24">
                  <c:v>-9.8228100979799446</c:v>
                </c:pt>
                <c:pt idx="25">
                  <c:v>-9.7418344743668683</c:v>
                </c:pt>
                <c:pt idx="26">
                  <c:v>-9.6615185702588011</c:v>
                </c:pt>
                <c:pt idx="27">
                  <c:v>-9.5818668898481985</c:v>
                </c:pt>
                <c:pt idx="28">
                  <c:v>-9.5028838412795906</c:v>
                </c:pt>
                <c:pt idx="29">
                  <c:v>-9.4245737325488435</c:v>
                </c:pt>
                <c:pt idx="30">
                  <c:v>-9.3469407674330007</c:v>
                </c:pt>
                <c:pt idx="31">
                  <c:v>-9.2699890414586719</c:v>
                </c:pt>
                <c:pt idx="32">
                  <c:v>-9.1937225379171341</c:v>
                </c:pt>
                <c:pt idx="33">
                  <c:v>-9.1181451239343563</c:v>
                </c:pt>
                <c:pt idx="34">
                  <c:v>-9.0432605466042588</c:v>
                </c:pt>
                <c:pt idx="35">
                  <c:v>-8.9690724291934991</c:v>
                </c:pt>
                <c:pt idx="36">
                  <c:v>-8.8955842674261678</c:v>
                </c:pt>
                <c:pt idx="37">
                  <c:v>-8.8227994258567577</c:v>
                </c:pt>
                <c:pt idx="38">
                  <c:v>-8.7507211343395728</c:v>
                </c:pt>
                <c:pt idx="39">
                  <c:v>-8.679352484602914</c:v>
                </c:pt>
                <c:pt idx="40">
                  <c:v>-8.6086964269360085</c:v>
                </c:pt>
                <c:pt idx="41">
                  <c:v>-8.5387557669967133</c:v>
                </c:pt>
                <c:pt idx="42">
                  <c:v>-8.4695331627476769</c:v>
                </c:pt>
                <c:pt idx="43">
                  <c:v>-8.4010311215285824</c:v>
                </c:pt>
                <c:pt idx="44">
                  <c:v>-8.3332519972717165</c:v>
                </c:pt>
                <c:pt idx="45">
                  <c:v>-8.2661979878679421</c:v>
                </c:pt>
                <c:pt idx="46">
                  <c:v>-8.1998711326897631</c:v>
                </c:pt>
                <c:pt idx="47">
                  <c:v>-8.1342733102779174</c:v>
                </c:pt>
                <c:pt idx="48">
                  <c:v>-8.0694062361974588</c:v>
                </c:pt>
                <c:pt idx="49">
                  <c:v>-8.0052714610690359</c:v>
                </c:pt>
                <c:pt idx="50">
                  <c:v>-7.9418703687805188</c:v>
                </c:pt>
                <c:pt idx="51">
                  <c:v>-7.8792041748837587</c:v>
                </c:pt>
                <c:pt idx="52">
                  <c:v>-7.8172739251808103</c:v>
                </c:pt>
                <c:pt idx="53">
                  <c:v>-7.7560804945033972</c:v>
                </c:pt>
                <c:pt idx="54">
                  <c:v>-7.6956245856889378</c:v>
                </c:pt>
                <c:pt idx="55">
                  <c:v>-7.6359067287559359</c:v>
                </c:pt>
                <c:pt idx="56">
                  <c:v>-7.576927280280966</c:v>
                </c:pt>
                <c:pt idx="57">
                  <c:v>-7.5186864229789787</c:v>
                </c:pt>
                <c:pt idx="58">
                  <c:v>-7.4611841654880742</c:v>
                </c:pt>
                <c:pt idx="59">
                  <c:v>-7.4044203423593142</c:v>
                </c:pt>
                <c:pt idx="60">
                  <c:v>-7.3483946142516281</c:v>
                </c:pt>
                <c:pt idx="61">
                  <c:v>-7.2931064683312723</c:v>
                </c:pt>
                <c:pt idx="62">
                  <c:v>-7.2385552188747253</c:v>
                </c:pt>
                <c:pt idx="63">
                  <c:v>-7.1847400080733905</c:v>
                </c:pt>
                <c:pt idx="64">
                  <c:v>-7.1316598070379102</c:v>
                </c:pt>
                <c:pt idx="65">
                  <c:v>-7.0793134169993222</c:v>
                </c:pt>
                <c:pt idx="66">
                  <c:v>-7.0276994707038423</c:v>
                </c:pt>
                <c:pt idx="67">
                  <c:v>-6.9768164339974854</c:v>
                </c:pt>
                <c:pt idx="68">
                  <c:v>-6.9266626075962634</c:v>
                </c:pt>
                <c:pt idx="69">
                  <c:v>-6.8772361290372563</c:v>
                </c:pt>
                <c:pt idx="70">
                  <c:v>-6.8285349748053816</c:v>
                </c:pt>
                <c:pt idx="71">
                  <c:v>-6.7805569626302411</c:v>
                </c:pt>
                <c:pt idx="72">
                  <c:v>-6.7332997539471275</c:v>
                </c:pt>
                <c:pt idx="73">
                  <c:v>-6.6867608565157424</c:v>
                </c:pt>
                <c:pt idx="74">
                  <c:v>-6.6409376271900245</c:v>
                </c:pt>
                <c:pt idx="75">
                  <c:v>-6.5958272748319997</c:v>
                </c:pt>
                <c:pt idx="76">
                  <c:v>-6.5514268633624662</c:v>
                </c:pt>
                <c:pt idx="77">
                  <c:v>-6.5077333149408707</c:v>
                </c:pt>
                <c:pt idx="78">
                  <c:v>-6.4647434132667465</c:v>
                </c:pt>
                <c:pt idx="79">
                  <c:v>-6.4224538069947341</c:v>
                </c:pt>
                <c:pt idx="80">
                  <c:v>-6.3808610132550854</c:v>
                </c:pt>
                <c:pt idx="81">
                  <c:v>-6.3399614212715418</c:v>
                </c:pt>
                <c:pt idx="82">
                  <c:v>-6.2997512960682327</c:v>
                </c:pt>
                <c:pt idx="83">
                  <c:v>-6.2602267822573339</c:v>
                </c:pt>
                <c:pt idx="84">
                  <c:v>-6.2213839078990816</c:v>
                </c:pt>
                <c:pt idx="85">
                  <c:v>-6.183218588425853</c:v>
                </c:pt>
                <c:pt idx="86">
                  <c:v>-6.145726630621982</c:v>
                </c:pt>
                <c:pt idx="87">
                  <c:v>-6.1089037366510945</c:v>
                </c:pt>
                <c:pt idx="88">
                  <c:v>-6.072745508122809</c:v>
                </c:pt>
                <c:pt idx="89">
                  <c:v>-6.0372474501907867</c:v>
                </c:pt>
                <c:pt idx="90">
                  <c:v>-6.0024049756742768</c:v>
                </c:pt>
                <c:pt idx="91">
                  <c:v>-5.9682134091953909</c:v>
                </c:pt>
                <c:pt idx="92">
                  <c:v>-5.934667991324627</c:v>
                </c:pt>
                <c:pt idx="93">
                  <c:v>-5.9017638827273071</c:v>
                </c:pt>
                <c:pt idx="94">
                  <c:v>-5.8694961683038462</c:v>
                </c:pt>
                <c:pt idx="95">
                  <c:v>-5.8378598613169546</c:v>
                </c:pt>
                <c:pt idx="96">
                  <c:v>-5.8068499074992399</c:v>
                </c:pt>
                <c:pt idx="97">
                  <c:v>-5.7764611891348032</c:v>
                </c:pt>
                <c:pt idx="98">
                  <c:v>-5.7466885291088179</c:v>
                </c:pt>
                <c:pt idx="99">
                  <c:v>-5.7175266949193198</c:v>
                </c:pt>
              </c:numCache>
            </c:numRef>
          </c:yVal>
          <c:smooth val="1"/>
          <c:extLst>
            <c:ext xmlns:c16="http://schemas.microsoft.com/office/drawing/2014/chart" uri="{C3380CC4-5D6E-409C-BE32-E72D297353CC}">
              <c16:uniqueId val="{00000006-CAD5-4133-B01C-EB92EFF5F7B3}"/>
            </c:ext>
          </c:extLst>
        </c:ser>
        <c:ser>
          <c:idx val="0"/>
          <c:order val="5"/>
          <c:tx>
            <c:strRef>
              <c:f>LineærRegression!$BG$20</c:f>
              <c:strCache>
                <c:ptCount val="1"/>
                <c:pt idx="0">
                  <c:v>Givet at Eksempel 2 (interval) = 1 estimeres gennemsnit = 0.459</c:v>
                </c:pt>
              </c:strCache>
            </c:strRef>
          </c:tx>
          <c:spPr>
            <a:ln w="19050" cap="rnd">
              <a:noFill/>
              <a:round/>
            </a:ln>
            <a:effectLst/>
          </c:spPr>
          <c:marker>
            <c:symbol val="dash"/>
            <c:size val="15"/>
            <c:spPr>
              <a:solidFill>
                <a:schemeClr val="tx1"/>
              </a:solidFill>
              <a:ln w="28575">
                <a:solidFill>
                  <a:schemeClr val="tx1"/>
                </a:solidFill>
              </a:ln>
              <a:effectLst/>
            </c:spPr>
          </c:marker>
          <c:dLbls>
            <c:dLbl>
              <c:idx val="0"/>
              <c:tx>
                <c:rich>
                  <a:bodyPr/>
                  <a:lstStyle/>
                  <a:p>
                    <a:fld id="{0AD7B494-D735-4A6D-A0B3-C6ACE1BAB20D}" type="CELLRANGE">
                      <a:rPr lang="en-US"/>
                      <a:pPr/>
                      <a:t>[CELLRANGE]</a:t>
                    </a:fld>
                    <a:endParaRPr lang="da-DK"/>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CAD5-4133-B01C-EB92EFF5F7B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LineærRegression!$D$38</c:f>
              <c:numCache>
                <c:formatCode>General</c:formatCode>
                <c:ptCount val="1"/>
                <c:pt idx="0">
                  <c:v>1</c:v>
                </c:pt>
              </c:numCache>
            </c:numRef>
          </c:xVal>
          <c:yVal>
            <c:numRef>
              <c:f>LineærRegression!$BG$22</c:f>
              <c:numCache>
                <c:formatCode>General</c:formatCode>
                <c:ptCount val="1"/>
                <c:pt idx="0">
                  <c:v>0.45914125165805242</c:v>
                </c:pt>
              </c:numCache>
            </c:numRef>
          </c:yVal>
          <c:smooth val="1"/>
          <c:extLst>
            <c:ext xmlns:c15="http://schemas.microsoft.com/office/drawing/2012/chart" uri="{02D57815-91ED-43cb-92C2-25804820EDAC}">
              <c15:datalabelsRange>
                <c15:f>LineærRegression!$BG$42</c15:f>
                <c15:dlblRangeCache>
                  <c:ptCount val="1"/>
                  <c:pt idx="0">
                    <c:v>0.459</c:v>
                  </c:pt>
                </c15:dlblRangeCache>
              </c15:datalabelsRange>
            </c:ext>
            <c:ext xmlns:c16="http://schemas.microsoft.com/office/drawing/2014/chart" uri="{C3380CC4-5D6E-409C-BE32-E72D297353CC}">
              <c16:uniqueId val="{00000008-CAD5-4133-B01C-EB92EFF5F7B3}"/>
            </c:ext>
          </c:extLst>
        </c:ser>
        <c:ser>
          <c:idx val="4"/>
          <c:order val="6"/>
          <c:tx>
            <c:strRef>
              <c:f>LineærRegression!$BG$10</c:f>
              <c:strCache>
                <c:ptCount val="1"/>
                <c:pt idx="0">
                  <c:v>Forudsigelsesinterval for simpel lineær regression
Observationer er med 95% sandsynlighed mellem
øvre og nedre grænse i forudsigelsesintervallet</c:v>
                </c:pt>
              </c:strCache>
            </c:strRef>
          </c:tx>
          <c:spPr>
            <a:ln w="19050" cap="rnd">
              <a:noFill/>
              <a:round/>
            </a:ln>
            <a:effectLst/>
          </c:spPr>
          <c:marker>
            <c:symbol val="none"/>
          </c:marker>
          <c:xVal>
            <c:numRef>
              <c:f>(LineærRegression!$BG$48,LineærRegression!$BG$48)</c:f>
              <c:numCache>
                <c:formatCode>General</c:formatCode>
                <c:ptCount val="2"/>
                <c:pt idx="0">
                  <c:v>3.2179796634897779</c:v>
                </c:pt>
                <c:pt idx="1">
                  <c:v>3.2179796634897779</c:v>
                </c:pt>
              </c:numCache>
            </c:numRef>
          </c:xVal>
          <c:yVal>
            <c:numRef>
              <c:f>(LineærRegression!$AQ$28,LineærRegression!$AQ$30)</c:f>
              <c:numCache>
                <c:formatCode>General</c:formatCode>
                <c:ptCount val="2"/>
                <c:pt idx="0">
                  <c:v>-11.951147136555756</c:v>
                </c:pt>
                <c:pt idx="1">
                  <c:v>14.367118518839385</c:v>
                </c:pt>
              </c:numCache>
            </c:numRef>
          </c:yVal>
          <c:smooth val="1"/>
          <c:extLst>
            <c:ext xmlns:c16="http://schemas.microsoft.com/office/drawing/2014/chart" uri="{C3380CC4-5D6E-409C-BE32-E72D297353CC}">
              <c16:uniqueId val="{00000009-CAD5-4133-B01C-EB92EFF5F7B3}"/>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LineærRegression!$AR$18</c:f>
              <c:strCache>
                <c:ptCount val="1"/>
                <c:pt idx="0">
                  <c:v>Eksempel 2 (interval)</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LineærRegression!$AQ$10</c:f>
              <c:strCache>
                <c:ptCount val="1"/>
                <c:pt idx="0">
                  <c:v>Eksempel 1 (interval)</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LineærRegression!$CP$10</c:f>
          <c:strCache>
            <c:ptCount val="1"/>
            <c:pt idx="0">
              <c:v>0 par af uafhængige variable er stærkt korrelede
Den stærkeste korrelation er mellem Eksempel 2 (interval) og Eksempel 3 (nominal)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2423922239415965"/>
          <c:y val="0.12630804743032872"/>
          <c:w val="0.84870719770771985"/>
          <c:h val="0.85826614631304154"/>
        </c:manualLayout>
      </c:layout>
      <c:scatterChart>
        <c:scatterStyle val="lineMarker"/>
        <c:varyColors val="0"/>
        <c:ser>
          <c:idx val="0"/>
          <c:order val="0"/>
          <c:tx>
            <c:strRef>
              <c:f>LineærRegression!$CP$12</c:f>
              <c:strCache>
                <c:ptCount val="1"/>
                <c:pt idx="0">
                  <c:v>Parallelle koordinater</c:v>
                </c:pt>
              </c:strCache>
            </c:strRef>
          </c:tx>
          <c:spPr>
            <a:ln w="12700" cap="rnd">
              <a:solidFill>
                <a:schemeClr val="tx1"/>
              </a:solidFill>
              <a:round/>
            </a:ln>
            <a:effectLst/>
          </c:spPr>
          <c:marker>
            <c:symbol val="circle"/>
            <c:size val="5"/>
            <c:spPr>
              <a:noFill/>
              <a:ln w="9525">
                <a:solidFill>
                  <a:schemeClr val="accent1"/>
                </a:solidFill>
              </a:ln>
              <a:effectLst/>
            </c:spPr>
          </c:marker>
          <c:xVal>
            <c:numRef>
              <c:f>[0]!LpX</c:f>
              <c:numCache>
                <c:formatCode>General</c:formatCode>
                <c:ptCount val="36"/>
                <c:pt idx="0">
                  <c:v>1</c:v>
                </c:pt>
                <c:pt idx="1">
                  <c:v>2</c:v>
                </c:pt>
                <c:pt idx="2">
                  <c:v>#N/A</c:v>
                </c:pt>
                <c:pt idx="3">
                  <c:v>1</c:v>
                </c:pt>
                <c:pt idx="4">
                  <c:v>2</c:v>
                </c:pt>
                <c:pt idx="5">
                  <c:v>#N/A</c:v>
                </c:pt>
                <c:pt idx="6">
                  <c:v>1</c:v>
                </c:pt>
                <c:pt idx="7">
                  <c:v>2</c:v>
                </c:pt>
                <c:pt idx="8">
                  <c:v>#N/A</c:v>
                </c:pt>
                <c:pt idx="9">
                  <c:v>1</c:v>
                </c:pt>
                <c:pt idx="10">
                  <c:v>2</c:v>
                </c:pt>
                <c:pt idx="11">
                  <c:v>#N/A</c:v>
                </c:pt>
                <c:pt idx="12">
                  <c:v>1</c:v>
                </c:pt>
                <c:pt idx="13">
                  <c:v>2</c:v>
                </c:pt>
                <c:pt idx="14">
                  <c:v>#N/A</c:v>
                </c:pt>
                <c:pt idx="15">
                  <c:v>1</c:v>
                </c:pt>
                <c:pt idx="16">
                  <c:v>2</c:v>
                </c:pt>
                <c:pt idx="17">
                  <c:v>#N/A</c:v>
                </c:pt>
                <c:pt idx="18">
                  <c:v>1</c:v>
                </c:pt>
                <c:pt idx="19">
                  <c:v>2</c:v>
                </c:pt>
                <c:pt idx="20">
                  <c:v>#N/A</c:v>
                </c:pt>
                <c:pt idx="21">
                  <c:v>1</c:v>
                </c:pt>
                <c:pt idx="22">
                  <c:v>2</c:v>
                </c:pt>
                <c:pt idx="23">
                  <c:v>#N/A</c:v>
                </c:pt>
                <c:pt idx="24">
                  <c:v>1</c:v>
                </c:pt>
                <c:pt idx="25">
                  <c:v>2</c:v>
                </c:pt>
                <c:pt idx="26">
                  <c:v>#N/A</c:v>
                </c:pt>
                <c:pt idx="27">
                  <c:v>1</c:v>
                </c:pt>
                <c:pt idx="28">
                  <c:v>2</c:v>
                </c:pt>
                <c:pt idx="29">
                  <c:v>#N/A</c:v>
                </c:pt>
                <c:pt idx="30">
                  <c:v>1</c:v>
                </c:pt>
                <c:pt idx="31">
                  <c:v>2</c:v>
                </c:pt>
                <c:pt idx="32">
                  <c:v>#N/A</c:v>
                </c:pt>
                <c:pt idx="33">
                  <c:v>1</c:v>
                </c:pt>
                <c:pt idx="34">
                  <c:v>2</c:v>
                </c:pt>
                <c:pt idx="35">
                  <c:v>#N/A</c:v>
                </c:pt>
              </c:numCache>
            </c:numRef>
          </c:xVal>
          <c:yVal>
            <c:numRef>
              <c:f>[0]!LpY</c:f>
              <c:numCache>
                <c:formatCode>General</c:formatCode>
                <c:ptCount val="36"/>
                <c:pt idx="0">
                  <c:v>-2.5</c:v>
                </c:pt>
                <c:pt idx="1">
                  <c:v>-2.0938272342504645</c:v>
                </c:pt>
                <c:pt idx="2">
                  <c:v>#N/A</c:v>
                </c:pt>
                <c:pt idx="3">
                  <c:v>-2.5</c:v>
                </c:pt>
                <c:pt idx="4">
                  <c:v>-2.5</c:v>
                </c:pt>
                <c:pt idx="5">
                  <c:v>#N/A</c:v>
                </c:pt>
                <c:pt idx="6">
                  <c:v>-2.5</c:v>
                </c:pt>
                <c:pt idx="7">
                  <c:v>-2.0913992969085626</c:v>
                </c:pt>
                <c:pt idx="8">
                  <c:v>#N/A</c:v>
                </c:pt>
                <c:pt idx="9">
                  <c:v>-2.5</c:v>
                </c:pt>
                <c:pt idx="10">
                  <c:v>-2.4202999894058768</c:v>
                </c:pt>
                <c:pt idx="11">
                  <c:v>#N/A</c:v>
                </c:pt>
                <c:pt idx="12">
                  <c:v>-2.5</c:v>
                </c:pt>
                <c:pt idx="13">
                  <c:v>-1.9397569536652717</c:v>
                </c:pt>
                <c:pt idx="14">
                  <c:v>#N/A</c:v>
                </c:pt>
                <c:pt idx="15">
                  <c:v>-1.5</c:v>
                </c:pt>
                <c:pt idx="16">
                  <c:v>-1.8627218133726751</c:v>
                </c:pt>
                <c:pt idx="17">
                  <c:v>#N/A</c:v>
                </c:pt>
                <c:pt idx="18">
                  <c:v>-2.5</c:v>
                </c:pt>
                <c:pt idx="19">
                  <c:v>-2.0920639382826405</c:v>
                </c:pt>
                <c:pt idx="20">
                  <c:v>#N/A</c:v>
                </c:pt>
                <c:pt idx="21">
                  <c:v>-2.5</c:v>
                </c:pt>
                <c:pt idx="22">
                  <c:v>-1.554581252202289</c:v>
                </c:pt>
                <c:pt idx="23">
                  <c:v>#N/A</c:v>
                </c:pt>
                <c:pt idx="24">
                  <c:v>-1.5</c:v>
                </c:pt>
                <c:pt idx="25">
                  <c:v>-1.760642089904338</c:v>
                </c:pt>
                <c:pt idx="26">
                  <c:v>#N/A</c:v>
                </c:pt>
                <c:pt idx="27">
                  <c:v>-1.5</c:v>
                </c:pt>
                <c:pt idx="28">
                  <c:v>-1.8302091203372082</c:v>
                </c:pt>
                <c:pt idx="29">
                  <c:v>#N/A</c:v>
                </c:pt>
                <c:pt idx="30">
                  <c:v>-2.5</c:v>
                </c:pt>
                <c:pt idx="31">
                  <c:v>-1.5</c:v>
                </c:pt>
                <c:pt idx="32">
                  <c:v>#N/A</c:v>
                </c:pt>
                <c:pt idx="33">
                  <c:v>-2.5</c:v>
                </c:pt>
                <c:pt idx="34">
                  <c:v>-1.5</c:v>
                </c:pt>
                <c:pt idx="35">
                  <c:v>#N/A</c:v>
                </c:pt>
              </c:numCache>
            </c:numRef>
          </c:yVal>
          <c:smooth val="0"/>
          <c:extLst>
            <c:ext xmlns:c16="http://schemas.microsoft.com/office/drawing/2014/chart" uri="{C3380CC4-5D6E-409C-BE32-E72D297353CC}">
              <c16:uniqueId val="{00000000-CDBA-4620-AD22-7A04BADC9AF9}"/>
            </c:ext>
          </c:extLst>
        </c:ser>
        <c:ser>
          <c:idx val="1"/>
          <c:order val="1"/>
          <c:tx>
            <c:strRef>
              <c:f>LineærRegression!$CP$14</c:f>
              <c:strCache>
                <c:ptCount val="1"/>
                <c:pt idx="0">
                  <c:v>Korrelationskoefficienter</c:v>
                </c:pt>
              </c:strCache>
            </c:strRef>
          </c:tx>
          <c:spPr>
            <a:ln w="19050" cap="rnd">
              <a:noFill/>
              <a:round/>
            </a:ln>
            <a:effectLst/>
          </c:spPr>
          <c:marker>
            <c:symbol val="none"/>
          </c:marker>
          <c:dLbls>
            <c:dLbl>
              <c:idx val="0"/>
              <c:tx>
                <c:rich>
                  <a:bodyPr/>
                  <a:lstStyle/>
                  <a:p>
                    <a:fld id="{75A75912-B4F4-4BE3-8BAF-AD440C3FF2CD}" type="CELLRANGE">
                      <a:rPr lang="en-US"/>
                      <a:pPr/>
                      <a:t>[CELLRANGE]</a:t>
                    </a:fld>
                    <a:endParaRPr lang="da-DK"/>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CDBA-4620-AD22-7A04BADC9AF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[0]!LpRx</c:f>
              <c:numCache>
                <c:formatCode>General</c:formatCode>
                <c:ptCount val="1"/>
                <c:pt idx="0">
                  <c:v>2</c:v>
                </c:pt>
              </c:numCache>
            </c:numRef>
          </c:xVal>
          <c:yVal>
            <c:numRef>
              <c:f>[0]!LpRy</c:f>
              <c:numCache>
                <c:formatCode>General</c:formatCode>
                <c:ptCount val="1"/>
                <c:pt idx="0">
                  <c:v>-2</c:v>
                </c:pt>
              </c:numCache>
            </c:numRef>
          </c:yVal>
          <c:smooth val="0"/>
          <c:extLst>
            <c:ext xmlns:c15="http://schemas.microsoft.com/office/drawing/2012/chart" uri="{02D57815-91ED-43cb-92C2-25804820EDAC}">
              <c15:datalabelsRange>
                <c15:f>Beregningsark!$B$3:$B$1700</c15:f>
                <c15:dlblRangeCache>
                  <c:ptCount val="1698"/>
                  <c:pt idx="0">
                    <c:v>0.2</c:v>
                  </c:pt>
                </c15:dlblRangeCache>
              </c15:datalabelsRange>
            </c:ext>
            <c:ext xmlns:c16="http://schemas.microsoft.com/office/drawing/2014/chart" uri="{C3380CC4-5D6E-409C-BE32-E72D297353CC}">
              <c16:uniqueId val="{00000025-CDBA-4620-AD22-7A04BADC9AF9}"/>
            </c:ext>
          </c:extLst>
        </c:ser>
        <c:ser>
          <c:idx val="2"/>
          <c:order val="2"/>
          <c:tx>
            <c:strRef>
              <c:f>LineærRegression!$CP$18</c:f>
              <c:strCache>
                <c:ptCount val="1"/>
                <c:pt idx="0">
                  <c:v>Venstre side uafhængige variabel</c:v>
                </c:pt>
              </c:strCache>
            </c:strRef>
          </c:tx>
          <c:spPr>
            <a:ln w="19050" cap="rnd">
              <a:noFill/>
              <a:round/>
            </a:ln>
            <a:effectLst/>
          </c:spPr>
          <c:marker>
            <c:symbol val="none"/>
          </c:marker>
          <c:dLbls>
            <c:dLbl>
              <c:idx val="0"/>
              <c:tx>
                <c:rich>
                  <a:bodyPr/>
                  <a:lstStyle/>
                  <a:p>
                    <a:fld id="{3B2BF38B-6D09-4B75-8A2B-632AA9B21A9C}" type="CELLRANGE">
                      <a:rPr lang="en-US"/>
                      <a:pPr/>
                      <a:t>[CELLRANGE]</a:t>
                    </a:fld>
                    <a:endParaRPr lang="da-DK"/>
                  </a:p>
                </c:rich>
              </c:tx>
              <c:dLblPos val="l"/>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6-CDBA-4620-AD22-7A04BADC9AF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l"/>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[0]!LpYlx</c:f>
              <c:numCache>
                <c:formatCode>General</c:formatCode>
                <c:ptCount val="1"/>
                <c:pt idx="0">
                  <c:v>1</c:v>
                </c:pt>
              </c:numCache>
            </c:numRef>
          </c:xVal>
          <c:yVal>
            <c:numRef>
              <c:f>[0]!LpYly</c:f>
              <c:numCache>
                <c:formatCode>General</c:formatCode>
                <c:ptCount val="1"/>
                <c:pt idx="0">
                  <c:v>-2</c:v>
                </c:pt>
              </c:numCache>
            </c:numRef>
          </c:yVal>
          <c:smooth val="0"/>
          <c:extLst>
            <c:ext xmlns:c15="http://schemas.microsoft.com/office/drawing/2012/chart" uri="{02D57815-91ED-43cb-92C2-25804820EDAC}">
              <c15:datalabelsRange>
                <c15:f>Beregningsark!$C$3:$C$1700</c15:f>
                <c15:dlblRangeCache>
                  <c:ptCount val="1698"/>
                  <c:pt idx="0">
                    <c:v>Eksempel 3 (nominal)</c:v>
                  </c:pt>
                </c15:dlblRangeCache>
              </c15:datalabelsRange>
            </c:ext>
            <c:ext xmlns:c16="http://schemas.microsoft.com/office/drawing/2014/chart" uri="{C3380CC4-5D6E-409C-BE32-E72D297353CC}">
              <c16:uniqueId val="{0000002E-CDBA-4620-AD22-7A04BADC9AF9}"/>
            </c:ext>
          </c:extLst>
        </c:ser>
        <c:ser>
          <c:idx val="3"/>
          <c:order val="3"/>
          <c:tx>
            <c:strRef>
              <c:f>LineærRegression!$CP$16</c:f>
              <c:strCache>
                <c:ptCount val="1"/>
                <c:pt idx="0">
                  <c:v>Højre side uafhængige variabel</c:v>
                </c:pt>
              </c:strCache>
            </c:strRef>
          </c:tx>
          <c:spPr>
            <a:ln w="19050" cap="rnd">
              <a:noFill/>
              <a:round/>
            </a:ln>
            <a:effectLst/>
          </c:spPr>
          <c:marker>
            <c:symbol val="none"/>
          </c:marker>
          <c:dLbls>
            <c:dLbl>
              <c:idx val="0"/>
              <c:tx>
                <c:rich>
                  <a:bodyPr/>
                  <a:lstStyle/>
                  <a:p>
                    <a:fld id="{00A5A33C-7228-4762-A77A-4342AC08FFA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F-CDBA-4620-AD22-7A04BADC9AF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[0]!LpXlx</c:f>
              <c:numCache>
                <c:formatCode>General</c:formatCode>
                <c:ptCount val="1"/>
                <c:pt idx="0">
                  <c:v>2</c:v>
                </c:pt>
              </c:numCache>
            </c:numRef>
          </c:xVal>
          <c:yVal>
            <c:numRef>
              <c:f>[0]!LpXly</c:f>
              <c:numCache>
                <c:formatCode>General</c:formatCode>
                <c:ptCount val="1"/>
                <c:pt idx="0">
                  <c:v>-1.5</c:v>
                </c:pt>
              </c:numCache>
            </c:numRef>
          </c:yVal>
          <c:smooth val="0"/>
          <c:extLst>
            <c:ext xmlns:c15="http://schemas.microsoft.com/office/drawing/2012/chart" uri="{02D57815-91ED-43cb-92C2-25804820EDAC}">
              <c15:datalabelsRange>
                <c15:f>Beregningsark!$D$3:$D$1700</c15:f>
                <c15:dlblRangeCache>
                  <c:ptCount val="1698"/>
                  <c:pt idx="0">
                    <c:v>Eksempel 2 (interval)</c:v>
                  </c:pt>
                </c15:dlblRangeCache>
              </c15:datalabelsRange>
            </c:ext>
            <c:ext xmlns:c16="http://schemas.microsoft.com/office/drawing/2014/chart" uri="{C3380CC4-5D6E-409C-BE32-E72D297353CC}">
              <c16:uniqueId val="{00000037-CDBA-4620-AD22-7A04BADC9AF9}"/>
            </c:ext>
          </c:extLst>
        </c:ser>
        <c:dLbls>
          <c:showLegendKey val="0"/>
          <c:showVal val="0"/>
          <c:showCatName val="0"/>
          <c:showSerName val="0"/>
          <c:showPercent val="0"/>
          <c:showBubbleSize val="0"/>
        </c:dLbls>
        <c:axId val="1002634608"/>
        <c:axId val="1002633776"/>
      </c:scatterChart>
      <c:valAx>
        <c:axId val="1002634608"/>
        <c:scaling>
          <c:orientation val="minMax"/>
        </c:scaling>
        <c:delete val="1"/>
        <c:axPos val="b"/>
        <c:numFmt formatCode="General" sourceLinked="1"/>
        <c:majorTickMark val="out"/>
        <c:minorTickMark val="none"/>
        <c:tickLblPos val="nextTo"/>
        <c:crossAx val="1002633776"/>
        <c:crosses val="autoZero"/>
        <c:crossBetween val="midCat"/>
        <c:majorUnit val="2"/>
      </c:valAx>
      <c:valAx>
        <c:axId val="1002633776"/>
        <c:scaling>
          <c:orientation val="minMax"/>
        </c:scaling>
        <c:delete val="1"/>
        <c:axPos val="l"/>
        <c:numFmt formatCode="General" sourceLinked="1"/>
        <c:majorTickMark val="out"/>
        <c:minorTickMark val="none"/>
        <c:tickLblPos val="nextTo"/>
        <c:crossAx val="1002634608"/>
        <c:crosses val="autoZero"/>
        <c:crossBetween val="midCat"/>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ANOVA!$CC$9</c:f>
          <c:strCache>
            <c:ptCount val="1"/>
            <c:pt idx="0">
              <c:v>Hypotesetest om forskel mellem flere gennemsnit
Nulhypotese om at alle populationers gennemsnit er ens
 afvises med 95% konfidens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ANOVA!$CC$13</c:f>
              <c:strCache>
                <c:ptCount val="1"/>
                <c:pt idx="0">
                  <c:v>Alternativ hypotese</c:v>
                </c:pt>
              </c:strCache>
            </c:strRef>
          </c:tx>
          <c:spPr>
            <a:solidFill>
              <a:schemeClr val="accent1"/>
            </a:solidFill>
            <a:ln w="25400">
              <a:noFill/>
            </a:ln>
            <a:effectLst/>
          </c:spPr>
          <c:cat>
            <c:strRef>
              <c:f>[0]!AlG</c:f>
              <c:strCache>
                <c:ptCount val="250"/>
                <c:pt idx="0">
                  <c:v>0</c:v>
                </c:pt>
                <c:pt idx="25">
                  <c:v>0.861</c:v>
                </c:pt>
                <c:pt idx="50">
                  <c:v>1.723</c:v>
                </c:pt>
                <c:pt idx="75">
                  <c:v>2.584</c:v>
                </c:pt>
                <c:pt idx="100">
                  <c:v>3.445</c:v>
                </c:pt>
                <c:pt idx="125">
                  <c:v>4.306</c:v>
                </c:pt>
                <c:pt idx="150">
                  <c:v>5.168</c:v>
                </c:pt>
                <c:pt idx="175">
                  <c:v>6.029</c:v>
                </c:pt>
                <c:pt idx="200">
                  <c:v>6.89</c:v>
                </c:pt>
                <c:pt idx="225">
                  <c:v>7.752</c:v>
                </c:pt>
                <c:pt idx="249">
                  <c:v>8.579</c:v>
                </c:pt>
              </c:strCache>
            </c:strRef>
          </c:cat>
          <c:val>
            <c:numRef>
              <c:f>[0]!AyGa</c:f>
              <c:numCache>
                <c:formatCode>General</c:formatCode>
                <c:ptCount val="2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3.6207573194551715E-2</c:v>
                </c:pt>
                <c:pt idx="101">
                  <c:v>3.5130373452467903E-2</c:v>
                </c:pt>
                <c:pt idx="102">
                  <c:v>3.4086994779636316E-2</c:v>
                </c:pt>
                <c:pt idx="103">
                  <c:v>3.3076319790228424E-2</c:v>
                </c:pt>
                <c:pt idx="104">
                  <c:v>3.2097269842137698E-2</c:v>
                </c:pt>
                <c:pt idx="105">
                  <c:v>3.1148803630451225E-2</c:v>
                </c:pt>
                <c:pt idx="106">
                  <c:v>3.0229915834267793E-2</c:v>
                </c:pt>
                <c:pt idx="107">
                  <c:v>2.9339635814752792E-2</c:v>
                </c:pt>
                <c:pt idx="108">
                  <c:v>2.8477026362407024E-2</c:v>
                </c:pt>
                <c:pt idx="109">
                  <c:v>2.7641182491609701E-2</c:v>
                </c:pt>
                <c:pt idx="110">
                  <c:v>2.6831230280575491E-2</c:v>
                </c:pt>
                <c:pt idx="111">
                  <c:v>2.6046325754941556E-2</c:v>
                </c:pt>
                <c:pt idx="112">
                  <c:v>2.5285653813273922E-2</c:v>
                </c:pt>
                <c:pt idx="113">
                  <c:v>2.4548427192851448E-2</c:v>
                </c:pt>
                <c:pt idx="114">
                  <c:v>2.3833885474153556E-2</c:v>
                </c:pt>
                <c:pt idx="115">
                  <c:v>2.3141294122541144E-2</c:v>
                </c:pt>
                <c:pt idx="116">
                  <c:v>2.2469943565682025E-2</c:v>
                </c:pt>
                <c:pt idx="117">
                  <c:v>2.1819148305330376E-2</c:v>
                </c:pt>
                <c:pt idx="118">
                  <c:v>2.1188246062126707E-2</c:v>
                </c:pt>
                <c:pt idx="119">
                  <c:v>2.0576596952137979E-2</c:v>
                </c:pt>
                <c:pt idx="120">
                  <c:v>1.99835826939097E-2</c:v>
                </c:pt>
                <c:pt idx="121">
                  <c:v>1.9408605844851289E-2</c:v>
                </c:pt>
                <c:pt idx="122">
                  <c:v>1.8851089065822769E-2</c:v>
                </c:pt>
                <c:pt idx="123">
                  <c:v>1.8310474412837192E-2</c:v>
                </c:pt>
                <c:pt idx="124">
                  <c:v>1.7786222654836249E-2</c:v>
                </c:pt>
                <c:pt idx="125">
                  <c:v>1.7277812616538015E-2</c:v>
                </c:pt>
                <c:pt idx="126">
                  <c:v>1.678474054539612E-2</c:v>
                </c:pt>
                <c:pt idx="127">
                  <c:v>1.6306519501748138E-2</c:v>
                </c:pt>
                <c:pt idx="128">
                  <c:v>1.5842678771267042E-2</c:v>
                </c:pt>
                <c:pt idx="129">
                  <c:v>1.5392763298865407E-2</c:v>
                </c:pt>
                <c:pt idx="130">
                  <c:v>1.4956333143235686E-2</c:v>
                </c:pt>
                <c:pt idx="131">
                  <c:v>1.4532962951241834E-2</c:v>
                </c:pt>
                <c:pt idx="132">
                  <c:v>1.4122241451409293E-2</c:v>
                </c:pt>
                <c:pt idx="133">
                  <c:v>1.3723770965789384E-2</c:v>
                </c:pt>
                <c:pt idx="134">
                  <c:v>1.3337166939503374E-2</c:v>
                </c:pt>
                <c:pt idx="135">
                  <c:v>1.29620574872981E-2</c:v>
                </c:pt>
                <c:pt idx="136">
                  <c:v>1.259808295647215E-2</c:v>
                </c:pt>
                <c:pt idx="137">
                  <c:v>1.2244895505555936E-2</c:v>
                </c:pt>
                <c:pt idx="138">
                  <c:v>1.1902158698153767E-2</c:v>
                </c:pt>
                <c:pt idx="139">
                  <c:v>1.1569547111378834E-2</c:v>
                </c:pt>
                <c:pt idx="140">
                  <c:v>1.1246745958334522E-2</c:v>
                </c:pt>
                <c:pt idx="141">
                  <c:v>1.0933450724116209E-2</c:v>
                </c:pt>
                <c:pt idx="142">
                  <c:v>1.0629366814829325E-2</c:v>
                </c:pt>
                <c:pt idx="143">
                  <c:v>1.0334209219137564E-2</c:v>
                </c:pt>
                <c:pt idx="144">
                  <c:v>1.0047702181875248E-2</c:v>
                </c:pt>
                <c:pt idx="145">
                  <c:v>9.7695788892752725E-3</c:v>
                </c:pt>
                <c:pt idx="146">
                  <c:v>9.4995811653814516E-3</c:v>
                </c:pt>
                <c:pt idx="147">
                  <c:v>9.2374591792312166E-3</c:v>
                </c:pt>
                <c:pt idx="148">
                  <c:v>8.9829711624096909E-3</c:v>
                </c:pt>
                <c:pt idx="149">
                  <c:v>8.7358831365925271E-3</c:v>
                </c:pt>
                <c:pt idx="150">
                  <c:v>8.4959686507088978E-3</c:v>
                </c:pt>
                <c:pt idx="151">
                  <c:v>8.2630085273705228E-3</c:v>
                </c:pt>
                <c:pt idx="152">
                  <c:v>8.0367906182259429E-3</c:v>
                </c:pt>
                <c:pt idx="153">
                  <c:v>7.817109567912716E-3</c:v>
                </c:pt>
                <c:pt idx="154">
                  <c:v>7.6037665862920371E-3</c:v>
                </c:pt>
                <c:pt idx="155">
                  <c:v>7.3965692286631669E-3</c:v>
                </c:pt>
                <c:pt idx="156">
                  <c:v>7.1953311836657303E-3</c:v>
                </c:pt>
                <c:pt idx="157">
                  <c:v>6.9998720685896902E-3</c:v>
                </c:pt>
                <c:pt idx="158">
                  <c:v>6.8100172318231803E-3</c:v>
                </c:pt>
                <c:pt idx="159">
                  <c:v>6.625597562178529E-3</c:v>
                </c:pt>
                <c:pt idx="160">
                  <c:v>6.4464493048467762E-3</c:v>
                </c:pt>
                <c:pt idx="161">
                  <c:v>6.2724138837404698E-3</c:v>
                </c:pt>
                <c:pt idx="162">
                  <c:v>6.1033377299934454E-3</c:v>
                </c:pt>
                <c:pt idx="163">
                  <c:v>5.9390721163949337E-3</c:v>
                </c:pt>
                <c:pt idx="164">
                  <c:v>5.7794729975441678E-3</c:v>
                </c:pt>
                <c:pt idx="165">
                  <c:v>5.6244008555190687E-3</c:v>
                </c:pt>
                <c:pt idx="166">
                  <c:v>5.4737205508607906E-3</c:v>
                </c:pt>
                <c:pt idx="167">
                  <c:v>5.327301178683198E-3</c:v>
                </c:pt>
                <c:pt idx="168">
                  <c:v>5.1850159297233767E-3</c:v>
                </c:pt>
                <c:pt idx="169">
                  <c:v>5.0467419561563013E-3</c:v>
                </c:pt>
                <c:pt idx="170">
                  <c:v>4.9123602420033151E-3</c:v>
                </c:pt>
                <c:pt idx="171">
                  <c:v>4.781755477970372E-3</c:v>
                </c:pt>
                <c:pt idx="172">
                  <c:v>4.6548159405581579E-3</c:v>
                </c:pt>
                <c:pt idx="173">
                  <c:v>4.5314333752920453E-3</c:v>
                </c:pt>
                <c:pt idx="174">
                  <c:v>4.411502883925454E-3</c:v>
                </c:pt>
                <c:pt idx="175">
                  <c:v>4.2949228154755955E-3</c:v>
                </c:pt>
                <c:pt idx="176">
                  <c:v>4.1815946609558589E-3</c:v>
                </c:pt>
                <c:pt idx="177">
                  <c:v>4.0714229516739999E-3</c:v>
                </c:pt>
                <c:pt idx="178">
                  <c:v>3.9643151609702306E-3</c:v>
                </c:pt>
                <c:pt idx="179">
                  <c:v>3.8601816092737528E-3</c:v>
                </c:pt>
                <c:pt idx="180">
                  <c:v>3.7589353723610675E-3</c:v>
                </c:pt>
                <c:pt idx="181">
                  <c:v>3.6604921927032184E-3</c:v>
                </c:pt>
                <c:pt idx="182">
                  <c:v>3.564770393793641E-3</c:v>
                </c:pt>
                <c:pt idx="183">
                  <c:v>3.4716907973521898E-3</c:v>
                </c:pt>
                <c:pt idx="184">
                  <c:v>3.3811766433043899E-3</c:v>
                </c:pt>
                <c:pt idx="185">
                  <c:v>3.2931535124391597E-3</c:v>
                </c:pt>
                <c:pt idx="186">
                  <c:v>3.2075492516513782E-3</c:v>
                </c:pt>
                <c:pt idx="187">
                  <c:v>3.1242939016791422E-3</c:v>
                </c:pt>
                <c:pt idx="188">
                  <c:v>3.0433196272491325E-3</c:v>
                </c:pt>
                <c:pt idx="189">
                  <c:v>2.9645606495461115E-3</c:v>
                </c:pt>
                <c:pt idx="190">
                  <c:v>2.8879531809260467E-3</c:v>
                </c:pt>
                <c:pt idx="191">
                  <c:v>2.8134353617951997E-3</c:v>
                </c:pt>
                <c:pt idx="192">
                  <c:v>2.7409471995800765E-3</c:v>
                </c:pt>
                <c:pt idx="193">
                  <c:v>2.6704305097160676E-3</c:v>
                </c:pt>
                <c:pt idx="194">
                  <c:v>2.601828858585245E-3</c:v>
                </c:pt>
                <c:pt idx="195">
                  <c:v>2.5350875083360027E-3</c:v>
                </c:pt>
                <c:pt idx="196">
                  <c:v>2.4701533635199044E-3</c:v>
                </c:pt>
                <c:pt idx="197">
                  <c:v>2.4069749194833745E-3</c:v>
                </c:pt>
                <c:pt idx="198">
                  <c:v>2.3455022124539535E-3</c:v>
                </c:pt>
                <c:pt idx="199">
                  <c:v>2.285686771263078E-3</c:v>
                </c:pt>
                <c:pt idx="200">
                  <c:v>2.2274815706496065E-3</c:v>
                </c:pt>
                <c:pt idx="201">
                  <c:v>2.1708409860898403E-3</c:v>
                </c:pt>
                <c:pt idx="202">
                  <c:v>2.1157207501022041E-3</c:v>
                </c:pt>
                <c:pt idx="203">
                  <c:v>2.0620779099763181E-3</c:v>
                </c:pt>
                <c:pt idx="204">
                  <c:v>2.0098707868779903E-3</c:v>
                </c:pt>
                <c:pt idx="205">
                  <c:v>1.9590589362834562E-3</c:v>
                </c:pt>
                <c:pt idx="206">
                  <c:v>1.9096031096978456E-3</c:v>
                </c:pt>
                <c:pt idx="207">
                  <c:v>1.8614652176143168E-3</c:v>
                </c:pt>
                <c:pt idx="208">
                  <c:v>1.8146082936719783E-3</c:v>
                </c:pt>
                <c:pt idx="209">
                  <c:v>1.7689964599721456E-3</c:v>
                </c:pt>
                <c:pt idx="210">
                  <c:v>1.7245948935138281E-3</c:v>
                </c:pt>
                <c:pt idx="211">
                  <c:v>1.6813697937108673E-3</c:v>
                </c:pt>
                <c:pt idx="212">
                  <c:v>1.63928835095429E-3</c:v>
                </c:pt>
                <c:pt idx="213">
                  <c:v>1.5983187161848253E-3</c:v>
                </c:pt>
                <c:pt idx="214">
                  <c:v>1.5584299714417875E-3</c:v>
                </c:pt>
                <c:pt idx="215">
                  <c:v>1.5195921013555502E-3</c:v>
                </c:pt>
                <c:pt idx="216">
                  <c:v>1.4817759655521483E-3</c:v>
                </c:pt>
                <c:pt idx="217">
                  <c:v>1.4449532719395786E-3</c:v>
                </c:pt>
                <c:pt idx="218">
                  <c:v>1.4090965508463606E-3</c:v>
                </c:pt>
                <c:pt idx="219">
                  <c:v>1.3741791299840386E-3</c:v>
                </c:pt>
                <c:pt idx="220">
                  <c:v>1.3401751102062611E-3</c:v>
                </c:pt>
                <c:pt idx="221">
                  <c:v>1.3070593420379587E-3</c:v>
                </c:pt>
                <c:pt idx="222">
                  <c:v>1.2748074029491352E-3</c:v>
                </c:pt>
                <c:pt idx="223">
                  <c:v>1.2433955753486422E-3</c:v>
                </c:pt>
                <c:pt idx="224">
                  <c:v>1.2128008252741199E-3</c:v>
                </c:pt>
                <c:pt idx="225">
                  <c:v>1.1830007817551383E-3</c:v>
                </c:pt>
                <c:pt idx="226">
                  <c:v>1.1539737168273978E-3</c:v>
                </c:pt>
                <c:pt idx="227">
                  <c:v>1.1256985261765126E-3</c:v>
                </c:pt>
                <c:pt idx="228">
                  <c:v>1.098154710390717E-3</c:v>
                </c:pt>
                <c:pt idx="229">
                  <c:v>1.0713223568025257E-3</c:v>
                </c:pt>
                <c:pt idx="230">
                  <c:v>1.045182121900015E-3</c:v>
                </c:pt>
                <c:pt idx="231">
                  <c:v>1.0197152142891474E-3</c:v>
                </c:pt>
                <c:pt idx="232">
                  <c:v>9.9490337818906893E-4</c:v>
                </c:pt>
                <c:pt idx="233">
                  <c:v>9.7072887744301475E-4</c:v>
                </c:pt>
                <c:pt idx="234">
                  <c:v>9.4717448002805578E-4</c:v>
                </c:pt>
                <c:pt idx="235">
                  <c:v>9.2422344304740329E-4</c:v>
                </c:pt>
                <c:pt idx="236">
                  <c:v>9.0185949818960684E-4</c:v>
                </c:pt>
                <c:pt idx="237">
                  <c:v>8.8006683763952966E-4</c:v>
                </c:pt>
                <c:pt idx="238">
                  <c:v>8.5883010042641435E-4</c:v>
                </c:pt>
                <c:pt idx="239">
                  <c:v>8.3813435919490855E-4</c:v>
                </c:pt>
                <c:pt idx="240">
                  <c:v>8.1796510738542112E-4</c:v>
                </c:pt>
                <c:pt idx="241">
                  <c:v>7.983082468105366E-4</c:v>
                </c:pt>
                <c:pt idx="242">
                  <c:v>7.7915007561476872E-4</c:v>
                </c:pt>
                <c:pt idx="243">
                  <c:v>7.6047727660531229E-4</c:v>
                </c:pt>
                <c:pt idx="244">
                  <c:v>7.4227690594184958E-4</c:v>
                </c:pt>
                <c:pt idx="245">
                  <c:v>7.2453638217389812E-4</c:v>
                </c:pt>
                <c:pt idx="246">
                  <c:v>7.0724347561458253E-4</c:v>
                </c:pt>
                <c:pt idx="247">
                  <c:v>6.9038629804002612E-4</c:v>
                </c:pt>
                <c:pt idx="248">
                  <c:v>6.7395329270396797E-4</c:v>
                </c:pt>
                <c:pt idx="249">
                  <c:v>6.5793322465757084E-4</c:v>
                </c:pt>
              </c:numCache>
            </c:numRef>
          </c:val>
          <c:extLst>
            <c:ext xmlns:c16="http://schemas.microsoft.com/office/drawing/2014/chart" uri="{C3380CC4-5D6E-409C-BE32-E72D297353CC}">
              <c16:uniqueId val="{00000000-4810-47BD-894D-11DB21D7DF81}"/>
            </c:ext>
          </c:extLst>
        </c:ser>
        <c:ser>
          <c:idx val="1"/>
          <c:order val="1"/>
          <c:tx>
            <c:strRef>
              <c:f>ANOVA!$CC$11</c:f>
              <c:strCache>
                <c:ptCount val="1"/>
                <c:pt idx="0">
                  <c:v>Nulhypotese</c:v>
                </c:pt>
              </c:strCache>
            </c:strRef>
          </c:tx>
          <c:spPr>
            <a:solidFill>
              <a:schemeClr val="accent2"/>
            </a:solidFill>
            <a:ln w="25400">
              <a:noFill/>
            </a:ln>
            <a:effectLst/>
          </c:spPr>
          <c:cat>
            <c:strRef>
              <c:f>[0]!AlG</c:f>
              <c:strCache>
                <c:ptCount val="250"/>
                <c:pt idx="0">
                  <c:v>0</c:v>
                </c:pt>
                <c:pt idx="25">
                  <c:v>0.861</c:v>
                </c:pt>
                <c:pt idx="50">
                  <c:v>1.723</c:v>
                </c:pt>
                <c:pt idx="75">
                  <c:v>2.584</c:v>
                </c:pt>
                <c:pt idx="100">
                  <c:v>3.445</c:v>
                </c:pt>
                <c:pt idx="125">
                  <c:v>4.306</c:v>
                </c:pt>
                <c:pt idx="150">
                  <c:v>5.168</c:v>
                </c:pt>
                <c:pt idx="175">
                  <c:v>6.029</c:v>
                </c:pt>
                <c:pt idx="200">
                  <c:v>6.89</c:v>
                </c:pt>
                <c:pt idx="225">
                  <c:v>7.752</c:v>
                </c:pt>
                <c:pt idx="249">
                  <c:v>8.579</c:v>
                </c:pt>
              </c:strCache>
            </c:strRef>
          </c:cat>
          <c:val>
            <c:numRef>
              <c:f>[0]!AyGn</c:f>
              <c:numCache>
                <c:formatCode>General</c:formatCode>
                <c:ptCount val="250"/>
                <c:pt idx="0">
                  <c:v>1</c:v>
                </c:pt>
                <c:pt idx="1">
                  <c:v>0.96415631893896581</c:v>
                </c:pt>
                <c:pt idx="2">
                  <c:v>0.92966803880132187</c:v>
                </c:pt>
                <c:pt idx="3">
                  <c:v>0.89648124620809611</c:v>
                </c:pt>
                <c:pt idx="4">
                  <c:v>0.86454427764871955</c:v>
                </c:pt>
                <c:pt idx="5">
                  <c:v>0.83380762121200558</c:v>
                </c:pt>
                <c:pt idx="6">
                  <c:v>0.80422382279979376</c:v>
                </c:pt>
                <c:pt idx="7">
                  <c:v>0.77574739661012126</c:v>
                </c:pt>
                <c:pt idx="8">
                  <c:v>0.74833473968732989</c:v>
                </c:pt>
                <c:pt idx="9">
                  <c:v>0.72194405034651732</c:v>
                </c:pt>
                <c:pt idx="10">
                  <c:v>0.69653525028923047</c:v>
                </c:pt>
                <c:pt idx="11">
                  <c:v>0.67206991023630136</c:v>
                </c:pt>
                <c:pt idx="12">
                  <c:v>0.64851117891227206</c:v>
                </c:pt>
                <c:pt idx="13">
                  <c:v>0.62582371522395908</c:v>
                </c:pt>
                <c:pt idx="14">
                  <c:v>0.60397362348341044</c:v>
                </c:pt>
                <c:pt idx="15">
                  <c:v>0.58292839153280418</c:v>
                </c:pt>
                <c:pt idx="16">
                  <c:v>0.56265683163578095</c:v>
                </c:pt>
                <c:pt idx="17">
                  <c:v>0.54312902400628027</c:v>
                </c:pt>
                <c:pt idx="18">
                  <c:v>0.524316262852208</c:v>
                </c:pt>
                <c:pt idx="19">
                  <c:v>0.50619100481719215</c:v>
                </c:pt>
                <c:pt idx="20">
                  <c:v>0.48872681970933252</c:v>
                </c:pt>
                <c:pt idx="21">
                  <c:v>0.4718983434111928</c:v>
                </c:pt>
                <c:pt idx="22">
                  <c:v>0.45568123287038503</c:v>
                </c:pt>
                <c:pt idx="23">
                  <c:v>0.44005212307491548</c:v>
                </c:pt>
                <c:pt idx="24">
                  <c:v>0.42498858592206529</c:v>
                </c:pt>
                <c:pt idx="25">
                  <c:v>0.41046909089393424</c:v>
                </c:pt>
                <c:pt idx="26">
                  <c:v>0.39647296745692678</c:v>
                </c:pt>
                <c:pt idx="27">
                  <c:v>0.38298036910639988</c:v>
                </c:pt>
                <c:pt idx="28">
                  <c:v>0.36997223898143639</c:v>
                </c:pt>
                <c:pt idx="29">
                  <c:v>0.35743027697827279</c:v>
                </c:pt>
                <c:pt idx="30">
                  <c:v>0.34533690829428981</c:v>
                </c:pt>
                <c:pt idx="31">
                  <c:v>0.33367525333769943</c:v>
                </c:pt>
                <c:pt idx="32">
                  <c:v>0.32242909894111627</c:v>
                </c:pt>
                <c:pt idx="33">
                  <c:v>0.31158287082011971</c:v>
                </c:pt>
                <c:pt idx="34">
                  <c:v>0.30112160722067222</c:v>
                </c:pt>
                <c:pt idx="35">
                  <c:v>0.29103093370190219</c:v>
                </c:pt>
                <c:pt idx="36">
                  <c:v>0.28129703900325542</c:v>
                </c:pt>
                <c:pt idx="37">
                  <c:v>0.27190665194741026</c:v>
                </c:pt>
                <c:pt idx="38">
                  <c:v>0.26284701933261334</c:v>
                </c:pt>
                <c:pt idx="39">
                  <c:v>0.25410588477025337</c:v>
                </c:pt>
                <c:pt idx="40">
                  <c:v>0.24567146842553902</c:v>
                </c:pt>
                <c:pt idx="41">
                  <c:v>0.23753244762111084</c:v>
                </c:pt>
                <c:pt idx="42">
                  <c:v>0.22967793826526423</c:v>
                </c:pt>
                <c:pt idx="43">
                  <c:v>0.22209747706823882</c:v>
                </c:pt>
                <c:pt idx="44">
                  <c:v>0.21478100451171675</c:v>
                </c:pt>
                <c:pt idx="45">
                  <c:v>0.20771884853826894</c:v>
                </c:pt>
                <c:pt idx="46">
                  <c:v>0.20090170892902393</c:v>
                </c:pt>
                <c:pt idx="47">
                  <c:v>0.19432064233928636</c:v>
                </c:pt>
                <c:pt idx="48">
                  <c:v>0.18796704796321512</c:v>
                </c:pt>
                <c:pt idx="49">
                  <c:v>0.18183265379999633</c:v>
                </c:pt>
                <c:pt idx="50">
                  <c:v>0.17590950349519938</c:v>
                </c:pt>
                <c:pt idx="51">
                  <c:v>0.170189943732203</c:v>
                </c:pt>
                <c:pt idx="52">
                  <c:v>0.16466661214971975</c:v>
                </c:pt>
                <c:pt idx="53">
                  <c:v>0.15933242576253434</c:v>
                </c:pt>
                <c:pt idx="54">
                  <c:v>0.15418056986360645</c:v>
                </c:pt>
                <c:pt idx="55">
                  <c:v>0.14920448738667683</c:v>
                </c:pt>
                <c:pt idx="56">
                  <c:v>0.14439786870945562</c:v>
                </c:pt>
                <c:pt idx="57">
                  <c:v>0.13975464187836859</c:v>
                </c:pt>
                <c:pt idx="58">
                  <c:v>0.13526896323669277</c:v>
                </c:pt>
                <c:pt idx="59">
                  <c:v>0.13093520843872647</c:v>
                </c:pt>
                <c:pt idx="60">
                  <c:v>0.12674796383341594</c:v>
                </c:pt>
                <c:pt idx="61">
                  <c:v>0.12270201820160426</c:v>
                </c:pt>
                <c:pt idx="62">
                  <c:v>0.11879235483176906</c:v>
                </c:pt>
                <c:pt idx="63">
                  <c:v>0.11501414391979549</c:v>
                </c:pt>
                <c:pt idx="64">
                  <c:v>0.11136273527896913</c:v>
                </c:pt>
                <c:pt idx="65">
                  <c:v>0.10783365134698773</c:v>
                </c:pt>
                <c:pt idx="66">
                  <c:v>0.10442258047737547</c:v>
                </c:pt>
                <c:pt idx="67">
                  <c:v>0.10112537050324176</c:v>
                </c:pt>
                <c:pt idx="68">
                  <c:v>9.7938022561856339E-2</c:v>
                </c:pt>
                <c:pt idx="69">
                  <c:v>9.4856685169023056E-2</c:v>
                </c:pt>
                <c:pt idx="70">
                  <c:v>9.1877648532716516E-2</c:v>
                </c:pt>
                <c:pt idx="71">
                  <c:v>8.8997339095911634E-2</c:v>
                </c:pt>
                <c:pt idx="72">
                  <c:v>8.6212314298971887E-2</c:v>
                </c:pt>
                <c:pt idx="73">
                  <c:v>8.3519257552389661E-2</c:v>
                </c:pt>
                <c:pt idx="74">
                  <c:v>8.0914973411068819E-2</c:v>
                </c:pt>
                <c:pt idx="75">
                  <c:v>7.8396382941726683E-2</c:v>
                </c:pt>
                <c:pt idx="76">
                  <c:v>7.5960519275357727E-2</c:v>
                </c:pt>
                <c:pt idx="77">
                  <c:v>7.3604523337050753E-2</c:v>
                </c:pt>
                <c:pt idx="78">
                  <c:v>7.1325639745787178E-2</c:v>
                </c:pt>
                <c:pt idx="79">
                  <c:v>6.912121287716419E-2</c:v>
                </c:pt>
                <c:pt idx="80">
                  <c:v>6.6988683082295067E-2</c:v>
                </c:pt>
                <c:pt idx="81">
                  <c:v>6.4925583056426123E-2</c:v>
                </c:pt>
                <c:pt idx="82">
                  <c:v>6.2929534351090374E-2</c:v>
                </c:pt>
                <c:pt idx="83">
                  <c:v>6.0998244023881945E-2</c:v>
                </c:pt>
                <c:pt idx="84">
                  <c:v>5.9129501420190821E-2</c:v>
                </c:pt>
                <c:pt idx="85">
                  <c:v>5.7321175081477681E-2</c:v>
                </c:pt>
                <c:pt idx="86">
                  <c:v>5.5571209774901563E-2</c:v>
                </c:pt>
                <c:pt idx="87">
                  <c:v>5.3877623639334557E-2</c:v>
                </c:pt>
                <c:pt idx="88">
                  <c:v>5.2238505443008232E-2</c:v>
                </c:pt>
                <c:pt idx="89">
                  <c:v>5.0652011948239699E-2</c:v>
                </c:pt>
                <c:pt idx="90">
                  <c:v>4.9116365378877584E-2</c:v>
                </c:pt>
                <c:pt idx="91">
                  <c:v>4.7629850986293881E-2</c:v>
                </c:pt>
                <c:pt idx="92">
                  <c:v>4.6190814709922638E-2</c:v>
                </c:pt>
                <c:pt idx="93">
                  <c:v>4.4797660928517648E-2</c:v>
                </c:pt>
                <c:pt idx="94">
                  <c:v>4.3448850298459844E-2</c:v>
                </c:pt>
                <c:pt idx="95">
                  <c:v>4.2142897675601899E-2</c:v>
                </c:pt>
                <c:pt idx="96">
                  <c:v>4.0878370117283888E-2</c:v>
                </c:pt>
                <c:pt idx="97">
                  <c:v>3.9653884961294988E-2</c:v>
                </c:pt>
                <c:pt idx="98">
                  <c:v>3.8468107978691976E-2</c:v>
                </c:pt>
                <c:pt idx="99">
                  <c:v>3.7319751597513211E-2</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1-4810-47BD-894D-11DB21D7DF81}"/>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ANOVA!$CC$15</c:f>
              <c:strCache>
                <c:ptCount val="1"/>
                <c:pt idx="0">
                  <c:v>F fordeling med 2 og 33 frihedsgrader</c:v>
                </c:pt>
              </c:strCache>
            </c:strRef>
          </c:tx>
          <c:spPr>
            <a:ln w="28575" cap="rnd">
              <a:solidFill>
                <a:schemeClr val="bg1"/>
              </a:solidFill>
              <a:round/>
            </a:ln>
            <a:effectLst/>
          </c:spPr>
          <c:marker>
            <c:symbol val="none"/>
          </c:marker>
          <c:xVal>
            <c:numRef>
              <c:f>[0]!AxG</c:f>
              <c:numCache>
                <c:formatCode>General</c:formatCode>
                <c:ptCount val="2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numCache>
            </c:numRef>
          </c:xVal>
          <c:yVal>
            <c:numRef>
              <c:f>[0]!AyGs</c:f>
              <c:numCache>
                <c:formatCode>General</c:formatCode>
                <c:ptCount val="250"/>
                <c:pt idx="0">
                  <c:v>1</c:v>
                </c:pt>
                <c:pt idx="1">
                  <c:v>0.96415631893896581</c:v>
                </c:pt>
                <c:pt idx="2">
                  <c:v>0.92966803880132187</c:v>
                </c:pt>
                <c:pt idx="3">
                  <c:v>0.89648124620809611</c:v>
                </c:pt>
                <c:pt idx="4">
                  <c:v>0.86454427764871955</c:v>
                </c:pt>
                <c:pt idx="5">
                  <c:v>0.83380762121200558</c:v>
                </c:pt>
                <c:pt idx="6">
                  <c:v>0.80422382279979376</c:v>
                </c:pt>
                <c:pt idx="7">
                  <c:v>0.77574739661012126</c:v>
                </c:pt>
                <c:pt idx="8">
                  <c:v>0.74833473968732989</c:v>
                </c:pt>
                <c:pt idx="9">
                  <c:v>0.72194405034651732</c:v>
                </c:pt>
                <c:pt idx="10">
                  <c:v>0.69653525028923047</c:v>
                </c:pt>
                <c:pt idx="11">
                  <c:v>0.67206991023630136</c:v>
                </c:pt>
                <c:pt idx="12">
                  <c:v>0.64851117891227206</c:v>
                </c:pt>
                <c:pt idx="13">
                  <c:v>0.62582371522395908</c:v>
                </c:pt>
                <c:pt idx="14">
                  <c:v>0.60397362348341044</c:v>
                </c:pt>
                <c:pt idx="15">
                  <c:v>0.58292839153280418</c:v>
                </c:pt>
                <c:pt idx="16">
                  <c:v>0.56265683163578095</c:v>
                </c:pt>
                <c:pt idx="17">
                  <c:v>0.54312902400628027</c:v>
                </c:pt>
                <c:pt idx="18">
                  <c:v>0.524316262852208</c:v>
                </c:pt>
                <c:pt idx="19">
                  <c:v>0.50619100481719215</c:v>
                </c:pt>
                <c:pt idx="20">
                  <c:v>0.48872681970933252</c:v>
                </c:pt>
                <c:pt idx="21">
                  <c:v>0.4718983434111928</c:v>
                </c:pt>
                <c:pt idx="22">
                  <c:v>0.45568123287038503</c:v>
                </c:pt>
                <c:pt idx="23">
                  <c:v>0.44005212307491548</c:v>
                </c:pt>
                <c:pt idx="24">
                  <c:v>0.42498858592206529</c:v>
                </c:pt>
                <c:pt idx="25">
                  <c:v>0.41046909089393424</c:v>
                </c:pt>
                <c:pt idx="26">
                  <c:v>0.39647296745692678</c:v>
                </c:pt>
                <c:pt idx="27">
                  <c:v>0.38298036910639988</c:v>
                </c:pt>
                <c:pt idx="28">
                  <c:v>0.36997223898143639</c:v>
                </c:pt>
                <c:pt idx="29">
                  <c:v>0.35743027697827279</c:v>
                </c:pt>
                <c:pt idx="30">
                  <c:v>0.34533690829428981</c:v>
                </c:pt>
                <c:pt idx="31">
                  <c:v>0.33367525333769943</c:v>
                </c:pt>
                <c:pt idx="32">
                  <c:v>0.32242909894111627</c:v>
                </c:pt>
                <c:pt idx="33">
                  <c:v>0.31158287082011971</c:v>
                </c:pt>
                <c:pt idx="34">
                  <c:v>0.30112160722067222</c:v>
                </c:pt>
                <c:pt idx="35">
                  <c:v>0.29103093370190219</c:v>
                </c:pt>
                <c:pt idx="36">
                  <c:v>0.28129703900325542</c:v>
                </c:pt>
                <c:pt idx="37">
                  <c:v>0.27190665194741026</c:v>
                </c:pt>
                <c:pt idx="38">
                  <c:v>0.26284701933261334</c:v>
                </c:pt>
                <c:pt idx="39">
                  <c:v>0.25410588477025337</c:v>
                </c:pt>
                <c:pt idx="40">
                  <c:v>0.24567146842553902</c:v>
                </c:pt>
                <c:pt idx="41">
                  <c:v>0.23753244762111084</c:v>
                </c:pt>
                <c:pt idx="42">
                  <c:v>0.22967793826526423</c:v>
                </c:pt>
                <c:pt idx="43">
                  <c:v>0.22209747706823882</c:v>
                </c:pt>
                <c:pt idx="44">
                  <c:v>0.21478100451171675</c:v>
                </c:pt>
                <c:pt idx="45">
                  <c:v>0.20771884853826894</c:v>
                </c:pt>
                <c:pt idx="46">
                  <c:v>0.20090170892902393</c:v>
                </c:pt>
                <c:pt idx="47">
                  <c:v>0.19432064233928636</c:v>
                </c:pt>
                <c:pt idx="48">
                  <c:v>0.18796704796321512</c:v>
                </c:pt>
                <c:pt idx="49">
                  <c:v>0.18183265379999633</c:v>
                </c:pt>
                <c:pt idx="50">
                  <c:v>0.17590950349519938</c:v>
                </c:pt>
                <c:pt idx="51">
                  <c:v>0.170189943732203</c:v>
                </c:pt>
                <c:pt idx="52">
                  <c:v>0.16466661214971975</c:v>
                </c:pt>
                <c:pt idx="53">
                  <c:v>0.15933242576253434</c:v>
                </c:pt>
                <c:pt idx="54">
                  <c:v>0.15418056986360645</c:v>
                </c:pt>
                <c:pt idx="55">
                  <c:v>0.14920448738667683</c:v>
                </c:pt>
                <c:pt idx="56">
                  <c:v>0.14439786870945562</c:v>
                </c:pt>
                <c:pt idx="57">
                  <c:v>0.13975464187836859</c:v>
                </c:pt>
                <c:pt idx="58">
                  <c:v>0.13526896323669277</c:v>
                </c:pt>
                <c:pt idx="59">
                  <c:v>0.13093520843872647</c:v>
                </c:pt>
                <c:pt idx="60">
                  <c:v>0.12674796383341594</c:v>
                </c:pt>
                <c:pt idx="61">
                  <c:v>0.12270201820160426</c:v>
                </c:pt>
                <c:pt idx="62">
                  <c:v>0.11879235483176906</c:v>
                </c:pt>
                <c:pt idx="63">
                  <c:v>0.11501414391979549</c:v>
                </c:pt>
                <c:pt idx="64">
                  <c:v>0.11136273527896913</c:v>
                </c:pt>
                <c:pt idx="65">
                  <c:v>0.10783365134698773</c:v>
                </c:pt>
                <c:pt idx="66">
                  <c:v>0.10442258047737547</c:v>
                </c:pt>
                <c:pt idx="67">
                  <c:v>0.10112537050324176</c:v>
                </c:pt>
                <c:pt idx="68">
                  <c:v>9.7938022561856339E-2</c:v>
                </c:pt>
                <c:pt idx="69">
                  <c:v>9.4856685169023056E-2</c:v>
                </c:pt>
                <c:pt idx="70">
                  <c:v>9.1877648532716516E-2</c:v>
                </c:pt>
                <c:pt idx="71">
                  <c:v>8.8997339095911634E-2</c:v>
                </c:pt>
                <c:pt idx="72">
                  <c:v>8.6212314298971887E-2</c:v>
                </c:pt>
                <c:pt idx="73">
                  <c:v>8.3519257552389661E-2</c:v>
                </c:pt>
                <c:pt idx="74">
                  <c:v>8.0914973411068819E-2</c:v>
                </c:pt>
                <c:pt idx="75">
                  <c:v>7.8396382941726683E-2</c:v>
                </c:pt>
                <c:pt idx="76">
                  <c:v>7.5960519275357727E-2</c:v>
                </c:pt>
                <c:pt idx="77">
                  <c:v>7.3604523337050753E-2</c:v>
                </c:pt>
                <c:pt idx="78">
                  <c:v>7.1325639745787178E-2</c:v>
                </c:pt>
                <c:pt idx="79">
                  <c:v>6.912121287716419E-2</c:v>
                </c:pt>
                <c:pt idx="80">
                  <c:v>6.6988683082295067E-2</c:v>
                </c:pt>
                <c:pt idx="81">
                  <c:v>6.4925583056426123E-2</c:v>
                </c:pt>
                <c:pt idx="82">
                  <c:v>6.2929534351090374E-2</c:v>
                </c:pt>
                <c:pt idx="83">
                  <c:v>6.0998244023881945E-2</c:v>
                </c:pt>
                <c:pt idx="84">
                  <c:v>5.9129501420190821E-2</c:v>
                </c:pt>
                <c:pt idx="85">
                  <c:v>5.7321175081477681E-2</c:v>
                </c:pt>
                <c:pt idx="86">
                  <c:v>5.5571209774901563E-2</c:v>
                </c:pt>
                <c:pt idx="87">
                  <c:v>5.3877623639334557E-2</c:v>
                </c:pt>
                <c:pt idx="88">
                  <c:v>5.2238505443008232E-2</c:v>
                </c:pt>
                <c:pt idx="89">
                  <c:v>5.0652011948239699E-2</c:v>
                </c:pt>
                <c:pt idx="90">
                  <c:v>4.9116365378877584E-2</c:v>
                </c:pt>
                <c:pt idx="91">
                  <c:v>4.7629850986293881E-2</c:v>
                </c:pt>
                <c:pt idx="92">
                  <c:v>4.6190814709922638E-2</c:v>
                </c:pt>
                <c:pt idx="93">
                  <c:v>4.4797660928517648E-2</c:v>
                </c:pt>
                <c:pt idx="94">
                  <c:v>4.3448850298459844E-2</c:v>
                </c:pt>
                <c:pt idx="95">
                  <c:v>4.2142897675601899E-2</c:v>
                </c:pt>
                <c:pt idx="96">
                  <c:v>4.0878370117283888E-2</c:v>
                </c:pt>
                <c:pt idx="97">
                  <c:v>3.9653884961294988E-2</c:v>
                </c:pt>
                <c:pt idx="98">
                  <c:v>3.8468107978691976E-2</c:v>
                </c:pt>
                <c:pt idx="99">
                  <c:v>3.7319751597513211E-2</c:v>
                </c:pt>
                <c:pt idx="100">
                  <c:v>3.6207573194551715E-2</c:v>
                </c:pt>
                <c:pt idx="101">
                  <c:v>3.5130373452467903E-2</c:v>
                </c:pt>
                <c:pt idx="102">
                  <c:v>3.4086994779636316E-2</c:v>
                </c:pt>
                <c:pt idx="103">
                  <c:v>3.3076319790228424E-2</c:v>
                </c:pt>
                <c:pt idx="104">
                  <c:v>3.2097269842137698E-2</c:v>
                </c:pt>
                <c:pt idx="105">
                  <c:v>3.1148803630451225E-2</c:v>
                </c:pt>
                <c:pt idx="106">
                  <c:v>3.0229915834267793E-2</c:v>
                </c:pt>
                <c:pt idx="107">
                  <c:v>2.9339635814752792E-2</c:v>
                </c:pt>
                <c:pt idx="108">
                  <c:v>2.8477026362407024E-2</c:v>
                </c:pt>
                <c:pt idx="109">
                  <c:v>2.7641182491609701E-2</c:v>
                </c:pt>
                <c:pt idx="110">
                  <c:v>2.6831230280575491E-2</c:v>
                </c:pt>
                <c:pt idx="111">
                  <c:v>2.6046325754941556E-2</c:v>
                </c:pt>
                <c:pt idx="112">
                  <c:v>2.5285653813273922E-2</c:v>
                </c:pt>
                <c:pt idx="113">
                  <c:v>2.4548427192851448E-2</c:v>
                </c:pt>
                <c:pt idx="114">
                  <c:v>2.3833885474153556E-2</c:v>
                </c:pt>
                <c:pt idx="115">
                  <c:v>2.3141294122541144E-2</c:v>
                </c:pt>
                <c:pt idx="116">
                  <c:v>2.2469943565682025E-2</c:v>
                </c:pt>
                <c:pt idx="117">
                  <c:v>2.1819148305330376E-2</c:v>
                </c:pt>
                <c:pt idx="118">
                  <c:v>2.1188246062126707E-2</c:v>
                </c:pt>
                <c:pt idx="119">
                  <c:v>2.0576596952137979E-2</c:v>
                </c:pt>
                <c:pt idx="120">
                  <c:v>1.99835826939097E-2</c:v>
                </c:pt>
                <c:pt idx="121">
                  <c:v>1.9408605844851289E-2</c:v>
                </c:pt>
                <c:pt idx="122">
                  <c:v>1.8851089065822769E-2</c:v>
                </c:pt>
                <c:pt idx="123">
                  <c:v>1.8310474412837192E-2</c:v>
                </c:pt>
                <c:pt idx="124">
                  <c:v>1.7786222654836249E-2</c:v>
                </c:pt>
                <c:pt idx="125">
                  <c:v>1.7277812616538015E-2</c:v>
                </c:pt>
                <c:pt idx="126">
                  <c:v>1.678474054539612E-2</c:v>
                </c:pt>
                <c:pt idx="127">
                  <c:v>1.6306519501748138E-2</c:v>
                </c:pt>
                <c:pt idx="128">
                  <c:v>1.5842678771267042E-2</c:v>
                </c:pt>
                <c:pt idx="129">
                  <c:v>1.5392763298865407E-2</c:v>
                </c:pt>
                <c:pt idx="130">
                  <c:v>1.4956333143235686E-2</c:v>
                </c:pt>
                <c:pt idx="131">
                  <c:v>1.4532962951241834E-2</c:v>
                </c:pt>
                <c:pt idx="132">
                  <c:v>1.4122241451409293E-2</c:v>
                </c:pt>
                <c:pt idx="133">
                  <c:v>1.3723770965789384E-2</c:v>
                </c:pt>
                <c:pt idx="134">
                  <c:v>1.3337166939503374E-2</c:v>
                </c:pt>
                <c:pt idx="135">
                  <c:v>1.29620574872981E-2</c:v>
                </c:pt>
                <c:pt idx="136">
                  <c:v>1.259808295647215E-2</c:v>
                </c:pt>
                <c:pt idx="137">
                  <c:v>1.2244895505555936E-2</c:v>
                </c:pt>
                <c:pt idx="138">
                  <c:v>1.1902158698153767E-2</c:v>
                </c:pt>
                <c:pt idx="139">
                  <c:v>1.1569547111378834E-2</c:v>
                </c:pt>
                <c:pt idx="140">
                  <c:v>1.1246745958334522E-2</c:v>
                </c:pt>
                <c:pt idx="141">
                  <c:v>1.0933450724116209E-2</c:v>
                </c:pt>
                <c:pt idx="142">
                  <c:v>1.0629366814829325E-2</c:v>
                </c:pt>
                <c:pt idx="143">
                  <c:v>1.0334209219137564E-2</c:v>
                </c:pt>
                <c:pt idx="144">
                  <c:v>1.0047702181875248E-2</c:v>
                </c:pt>
                <c:pt idx="145">
                  <c:v>9.7695788892752725E-3</c:v>
                </c:pt>
                <c:pt idx="146">
                  <c:v>9.4995811653814516E-3</c:v>
                </c:pt>
                <c:pt idx="147">
                  <c:v>9.2374591792312166E-3</c:v>
                </c:pt>
                <c:pt idx="148">
                  <c:v>8.9829711624096909E-3</c:v>
                </c:pt>
                <c:pt idx="149">
                  <c:v>8.7358831365925271E-3</c:v>
                </c:pt>
                <c:pt idx="150">
                  <c:v>8.4959686507088978E-3</c:v>
                </c:pt>
                <c:pt idx="151">
                  <c:v>8.2630085273705228E-3</c:v>
                </c:pt>
                <c:pt idx="152">
                  <c:v>8.0367906182259429E-3</c:v>
                </c:pt>
                <c:pt idx="153">
                  <c:v>7.817109567912716E-3</c:v>
                </c:pt>
                <c:pt idx="154">
                  <c:v>7.6037665862920371E-3</c:v>
                </c:pt>
                <c:pt idx="155">
                  <c:v>7.3965692286631669E-3</c:v>
                </c:pt>
                <c:pt idx="156">
                  <c:v>7.1953311836657303E-3</c:v>
                </c:pt>
                <c:pt idx="157">
                  <c:v>6.9998720685896902E-3</c:v>
                </c:pt>
                <c:pt idx="158">
                  <c:v>6.8100172318231803E-3</c:v>
                </c:pt>
                <c:pt idx="159">
                  <c:v>6.625597562178529E-3</c:v>
                </c:pt>
                <c:pt idx="160">
                  <c:v>6.4464493048467762E-3</c:v>
                </c:pt>
                <c:pt idx="161">
                  <c:v>6.2724138837404698E-3</c:v>
                </c:pt>
                <c:pt idx="162">
                  <c:v>6.1033377299934454E-3</c:v>
                </c:pt>
                <c:pt idx="163">
                  <c:v>5.9390721163949337E-3</c:v>
                </c:pt>
                <c:pt idx="164">
                  <c:v>5.7794729975441678E-3</c:v>
                </c:pt>
                <c:pt idx="165">
                  <c:v>5.6244008555190687E-3</c:v>
                </c:pt>
                <c:pt idx="166">
                  <c:v>5.4737205508607906E-3</c:v>
                </c:pt>
                <c:pt idx="167">
                  <c:v>5.327301178683198E-3</c:v>
                </c:pt>
                <c:pt idx="168">
                  <c:v>5.1850159297233767E-3</c:v>
                </c:pt>
                <c:pt idx="169">
                  <c:v>5.0467419561563013E-3</c:v>
                </c:pt>
                <c:pt idx="170">
                  <c:v>4.9123602420033151E-3</c:v>
                </c:pt>
                <c:pt idx="171">
                  <c:v>4.781755477970372E-3</c:v>
                </c:pt>
                <c:pt idx="172">
                  <c:v>4.6548159405581579E-3</c:v>
                </c:pt>
                <c:pt idx="173">
                  <c:v>4.5314333752920453E-3</c:v>
                </c:pt>
                <c:pt idx="174">
                  <c:v>4.411502883925454E-3</c:v>
                </c:pt>
                <c:pt idx="175">
                  <c:v>4.2949228154755955E-3</c:v>
                </c:pt>
                <c:pt idx="176">
                  <c:v>4.1815946609558589E-3</c:v>
                </c:pt>
                <c:pt idx="177">
                  <c:v>4.0714229516739999E-3</c:v>
                </c:pt>
                <c:pt idx="178">
                  <c:v>3.9643151609702306E-3</c:v>
                </c:pt>
                <c:pt idx="179">
                  <c:v>3.8601816092737528E-3</c:v>
                </c:pt>
                <c:pt idx="180">
                  <c:v>3.7589353723610675E-3</c:v>
                </c:pt>
                <c:pt idx="181">
                  <c:v>3.6604921927032184E-3</c:v>
                </c:pt>
                <c:pt idx="182">
                  <c:v>3.564770393793641E-3</c:v>
                </c:pt>
                <c:pt idx="183">
                  <c:v>3.4716907973521898E-3</c:v>
                </c:pt>
                <c:pt idx="184">
                  <c:v>3.3811766433043899E-3</c:v>
                </c:pt>
                <c:pt idx="185">
                  <c:v>3.2931535124391597E-3</c:v>
                </c:pt>
                <c:pt idx="186">
                  <c:v>3.2075492516513782E-3</c:v>
                </c:pt>
                <c:pt idx="187">
                  <c:v>3.1242939016791422E-3</c:v>
                </c:pt>
                <c:pt idx="188">
                  <c:v>3.0433196272491325E-3</c:v>
                </c:pt>
                <c:pt idx="189">
                  <c:v>2.9645606495461115E-3</c:v>
                </c:pt>
                <c:pt idx="190">
                  <c:v>2.8879531809260467E-3</c:v>
                </c:pt>
                <c:pt idx="191">
                  <c:v>2.8134353617951997E-3</c:v>
                </c:pt>
                <c:pt idx="192">
                  <c:v>2.7409471995800765E-3</c:v>
                </c:pt>
                <c:pt idx="193">
                  <c:v>2.6704305097160676E-3</c:v>
                </c:pt>
                <c:pt idx="194">
                  <c:v>2.601828858585245E-3</c:v>
                </c:pt>
                <c:pt idx="195">
                  <c:v>2.5350875083360027E-3</c:v>
                </c:pt>
                <c:pt idx="196">
                  <c:v>2.4701533635199044E-3</c:v>
                </c:pt>
                <c:pt idx="197">
                  <c:v>2.4069749194833745E-3</c:v>
                </c:pt>
                <c:pt idx="198">
                  <c:v>2.3455022124539535E-3</c:v>
                </c:pt>
                <c:pt idx="199">
                  <c:v>2.285686771263078E-3</c:v>
                </c:pt>
                <c:pt idx="200">
                  <c:v>2.2274815706496065E-3</c:v>
                </c:pt>
                <c:pt idx="201">
                  <c:v>2.1708409860898403E-3</c:v>
                </c:pt>
                <c:pt idx="202">
                  <c:v>2.1157207501022041E-3</c:v>
                </c:pt>
                <c:pt idx="203">
                  <c:v>2.0620779099763181E-3</c:v>
                </c:pt>
                <c:pt idx="204">
                  <c:v>2.0098707868779903E-3</c:v>
                </c:pt>
                <c:pt idx="205">
                  <c:v>1.9590589362834562E-3</c:v>
                </c:pt>
                <c:pt idx="206">
                  <c:v>1.9096031096978456E-3</c:v>
                </c:pt>
                <c:pt idx="207">
                  <c:v>1.8614652176143168E-3</c:v>
                </c:pt>
                <c:pt idx="208">
                  <c:v>1.8146082936719783E-3</c:v>
                </c:pt>
                <c:pt idx="209">
                  <c:v>1.7689964599721456E-3</c:v>
                </c:pt>
                <c:pt idx="210">
                  <c:v>1.7245948935138281E-3</c:v>
                </c:pt>
                <c:pt idx="211">
                  <c:v>1.6813697937108673E-3</c:v>
                </c:pt>
                <c:pt idx="212">
                  <c:v>1.63928835095429E-3</c:v>
                </c:pt>
                <c:pt idx="213">
                  <c:v>1.5983187161848253E-3</c:v>
                </c:pt>
                <c:pt idx="214">
                  <c:v>1.5584299714417875E-3</c:v>
                </c:pt>
                <c:pt idx="215">
                  <c:v>1.5195921013555502E-3</c:v>
                </c:pt>
                <c:pt idx="216">
                  <c:v>1.4817759655521483E-3</c:v>
                </c:pt>
                <c:pt idx="217">
                  <c:v>1.4449532719395786E-3</c:v>
                </c:pt>
                <c:pt idx="218">
                  <c:v>1.4090965508463606E-3</c:v>
                </c:pt>
                <c:pt idx="219">
                  <c:v>1.3741791299840386E-3</c:v>
                </c:pt>
                <c:pt idx="220">
                  <c:v>1.3401751102062611E-3</c:v>
                </c:pt>
                <c:pt idx="221">
                  <c:v>1.3070593420379587E-3</c:v>
                </c:pt>
                <c:pt idx="222">
                  <c:v>1.2748074029491352E-3</c:v>
                </c:pt>
                <c:pt idx="223">
                  <c:v>1.2433955753486422E-3</c:v>
                </c:pt>
                <c:pt idx="224">
                  <c:v>1.2128008252741199E-3</c:v>
                </c:pt>
                <c:pt idx="225">
                  <c:v>1.1830007817551383E-3</c:v>
                </c:pt>
                <c:pt idx="226">
                  <c:v>1.1539737168273978E-3</c:v>
                </c:pt>
                <c:pt idx="227">
                  <c:v>1.1256985261765126E-3</c:v>
                </c:pt>
                <c:pt idx="228">
                  <c:v>1.098154710390717E-3</c:v>
                </c:pt>
                <c:pt idx="229">
                  <c:v>1.0713223568025257E-3</c:v>
                </c:pt>
                <c:pt idx="230">
                  <c:v>1.045182121900015E-3</c:v>
                </c:pt>
                <c:pt idx="231">
                  <c:v>1.0197152142891474E-3</c:v>
                </c:pt>
                <c:pt idx="232">
                  <c:v>9.9490337818906893E-4</c:v>
                </c:pt>
                <c:pt idx="233">
                  <c:v>9.7072887744301475E-4</c:v>
                </c:pt>
                <c:pt idx="234">
                  <c:v>9.4717448002805578E-4</c:v>
                </c:pt>
                <c:pt idx="235">
                  <c:v>9.2422344304740329E-4</c:v>
                </c:pt>
                <c:pt idx="236">
                  <c:v>9.0185949818960684E-4</c:v>
                </c:pt>
                <c:pt idx="237">
                  <c:v>8.8006683763952966E-4</c:v>
                </c:pt>
                <c:pt idx="238">
                  <c:v>8.5883010042641435E-4</c:v>
                </c:pt>
                <c:pt idx="239">
                  <c:v>8.3813435919490855E-4</c:v>
                </c:pt>
                <c:pt idx="240">
                  <c:v>8.1796510738542112E-4</c:v>
                </c:pt>
                <c:pt idx="241">
                  <c:v>7.983082468105366E-4</c:v>
                </c:pt>
                <c:pt idx="242">
                  <c:v>7.7915007561476872E-4</c:v>
                </c:pt>
                <c:pt idx="243">
                  <c:v>7.6047727660531229E-4</c:v>
                </c:pt>
                <c:pt idx="244">
                  <c:v>7.4227690594184958E-4</c:v>
                </c:pt>
                <c:pt idx="245">
                  <c:v>7.2453638217389812E-4</c:v>
                </c:pt>
                <c:pt idx="246">
                  <c:v>7.0724347561458253E-4</c:v>
                </c:pt>
                <c:pt idx="247">
                  <c:v>6.9038629804002612E-4</c:v>
                </c:pt>
                <c:pt idx="248">
                  <c:v>6.7395329270396797E-4</c:v>
                </c:pt>
                <c:pt idx="249">
                  <c:v>6.5793322465757084E-4</c:v>
                </c:pt>
              </c:numCache>
            </c:numRef>
          </c:yVal>
          <c:smooth val="1"/>
          <c:extLst>
            <c:ext xmlns:c16="http://schemas.microsoft.com/office/drawing/2014/chart" uri="{C3380CC4-5D6E-409C-BE32-E72D297353CC}">
              <c16:uniqueId val="{00000002-4810-47BD-894D-11DB21D7DF81}"/>
            </c:ext>
          </c:extLst>
        </c:ser>
        <c:ser>
          <c:idx val="2"/>
          <c:order val="3"/>
          <c:tx>
            <c:strRef>
              <c:f>ANOVA!$CC$29</c:f>
              <c:strCache>
                <c:ptCount val="1"/>
                <c:pt idx="0">
                  <c:v>95.528% mindre end 3.419</c:v>
                </c:pt>
              </c:strCache>
            </c:strRef>
          </c:tx>
          <c:spPr>
            <a:ln w="28575" cap="rnd">
              <a:noFill/>
              <a:round/>
            </a:ln>
            <a:effectLst/>
          </c:spPr>
          <c:marker>
            <c:symbol val="none"/>
          </c:marker>
          <c:dLbls>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extLst>
                <c:ext xmlns:c16="http://schemas.microsoft.com/office/drawing/2014/chart" uri="{C3380CC4-5D6E-409C-BE32-E72D297353CC}">
                  <c16:uniqueId val="{00000006-4810-47BD-894D-11DB21D7DF81}"/>
                </c:ext>
              </c:extLst>
            </c:dLbl>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ANOVA!$CC$25</c:f>
              <c:numCache>
                <c:formatCode>#,##0.000</c:formatCode>
                <c:ptCount val="1"/>
                <c:pt idx="0">
                  <c:v>50</c:v>
                </c:pt>
              </c:numCache>
            </c:numRef>
          </c:xVal>
          <c:yVal>
            <c:numRef>
              <c:f>ANOVA!$CC$27</c:f>
              <c:numCache>
                <c:formatCode>#,##0.000</c:formatCode>
                <c:ptCount val="1"/>
                <c:pt idx="0">
                  <c:v>0.18183265379999633</c:v>
                </c:pt>
              </c:numCache>
            </c:numRef>
          </c:yVal>
          <c:smooth val="0"/>
          <c:extLst>
            <c:ext xmlns:c16="http://schemas.microsoft.com/office/drawing/2014/chart" uri="{C3380CC4-5D6E-409C-BE32-E72D297353CC}">
              <c16:uniqueId val="{00000003-4810-47BD-894D-11DB21D7DF81}"/>
            </c:ext>
          </c:extLst>
        </c:ser>
        <c:ser>
          <c:idx val="5"/>
          <c:order val="4"/>
          <c:tx>
            <c:strRef>
              <c:f>ANOVA!$CC$35</c:f>
              <c:strCache>
                <c:ptCount val="1"/>
                <c:pt idx="0">
                  <c:v>4.472% større end 3.419</c:v>
                </c:pt>
              </c:strCache>
            </c:strRef>
          </c:tx>
          <c:spPr>
            <a:ln w="28575"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ANOVA!$CC$31</c:f>
              <c:numCache>
                <c:formatCode>#,##0.000</c:formatCode>
                <c:ptCount val="1"/>
                <c:pt idx="0">
                  <c:v>175</c:v>
                </c:pt>
              </c:numCache>
            </c:numRef>
          </c:xVal>
          <c:yVal>
            <c:numRef>
              <c:f>ANOVA!$CC$33</c:f>
              <c:numCache>
                <c:formatCode>#,##0.000</c:formatCode>
                <c:ptCount val="1"/>
                <c:pt idx="0">
                  <c:v>4.411502883925454E-3</c:v>
                </c:pt>
              </c:numCache>
            </c:numRef>
          </c:yVal>
          <c:smooth val="0"/>
          <c:extLst>
            <c:ext xmlns:c16="http://schemas.microsoft.com/office/drawing/2014/chart" uri="{C3380CC4-5D6E-409C-BE32-E72D297353CC}">
              <c16:uniqueId val="{00000004-4810-47BD-894D-11DB21D7DF81}"/>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ANOVA!$CC$15</c:f>
              <c:strCache>
                <c:ptCount val="1"/>
                <c:pt idx="0">
                  <c:v>F fordeling med 2 og 33 frihedsgrader</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out"/>
        <c:minorTickMark val="none"/>
        <c:tickLblPos val="nextTo"/>
        <c:spPr>
          <a:noFill/>
          <a:ln w="9525" cap="flat" cmpd="sng" algn="ctr">
            <a:solidFill>
              <a:schemeClr val="tx1">
                <a:lumMod val="50000"/>
                <a:lumOff val="50000"/>
              </a:schemeClr>
            </a:solid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tickMarkSkip val="25"/>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tr"/>
      <c:legendEntry>
        <c:idx val="2"/>
        <c:delete val="1"/>
      </c:legendEntry>
      <c:legendEntry>
        <c:idx val="3"/>
        <c:delete val="1"/>
      </c:legendEntry>
      <c:legendEntry>
        <c:idx val="4"/>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ANOVA!$CJ$9</c:f>
          <c:strCache>
            <c:ptCount val="1"/>
            <c:pt idx="0">
              <c:v>Hypotesetest om forskel mellem flere standardafvigelser (Bartlett's)
Nulhypotese om at alle populationers standardafvigelser er ens
 afvises med 95% konfidens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ANOVA!$CJ$13</c:f>
              <c:strCache>
                <c:ptCount val="1"/>
                <c:pt idx="0">
                  <c:v>Alternativ hypotese</c:v>
                </c:pt>
              </c:strCache>
            </c:strRef>
          </c:tx>
          <c:spPr>
            <a:solidFill>
              <a:schemeClr val="accent1"/>
            </a:solidFill>
            <a:ln w="25400">
              <a:noFill/>
            </a:ln>
            <a:effectLst/>
          </c:spPr>
          <c:cat>
            <c:strRef>
              <c:f>[0]!AlS</c:f>
              <c:strCache>
                <c:ptCount val="250"/>
                <c:pt idx="0">
                  <c:v>0</c:v>
                </c:pt>
                <c:pt idx="25">
                  <c:v>1.387</c:v>
                </c:pt>
                <c:pt idx="50">
                  <c:v>2.774</c:v>
                </c:pt>
                <c:pt idx="75">
                  <c:v>4.161</c:v>
                </c:pt>
                <c:pt idx="100">
                  <c:v>5.548</c:v>
                </c:pt>
                <c:pt idx="125">
                  <c:v>6.935</c:v>
                </c:pt>
                <c:pt idx="150">
                  <c:v>8.323</c:v>
                </c:pt>
                <c:pt idx="175">
                  <c:v>9.71</c:v>
                </c:pt>
                <c:pt idx="200">
                  <c:v>11.097</c:v>
                </c:pt>
                <c:pt idx="225">
                  <c:v>12.484</c:v>
                </c:pt>
                <c:pt idx="249">
                  <c:v>13.816</c:v>
                </c:pt>
              </c:strCache>
            </c:strRef>
          </c:cat>
          <c:val>
            <c:numRef>
              <c:f>[0]!AySa</c:f>
              <c:numCache>
                <c:formatCode>General</c:formatCode>
                <c:ptCount val="2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0-33EA-4720-9A65-7F0ECC1B9512}"/>
            </c:ext>
          </c:extLst>
        </c:ser>
        <c:ser>
          <c:idx val="1"/>
          <c:order val="1"/>
          <c:tx>
            <c:strRef>
              <c:f>ANOVA!$CJ$11</c:f>
              <c:strCache>
                <c:ptCount val="1"/>
                <c:pt idx="0">
                  <c:v>Nulhypotese</c:v>
                </c:pt>
              </c:strCache>
            </c:strRef>
          </c:tx>
          <c:spPr>
            <a:solidFill>
              <a:schemeClr val="accent2"/>
            </a:solidFill>
            <a:ln w="25400">
              <a:noFill/>
            </a:ln>
            <a:effectLst/>
          </c:spPr>
          <c:cat>
            <c:strRef>
              <c:f>[0]!AlS</c:f>
              <c:strCache>
                <c:ptCount val="250"/>
                <c:pt idx="0">
                  <c:v>0</c:v>
                </c:pt>
                <c:pt idx="25">
                  <c:v>1.387</c:v>
                </c:pt>
                <c:pt idx="50">
                  <c:v>2.774</c:v>
                </c:pt>
                <c:pt idx="75">
                  <c:v>4.161</c:v>
                </c:pt>
                <c:pt idx="100">
                  <c:v>5.548</c:v>
                </c:pt>
                <c:pt idx="125">
                  <c:v>6.935</c:v>
                </c:pt>
                <c:pt idx="150">
                  <c:v>8.323</c:v>
                </c:pt>
                <c:pt idx="175">
                  <c:v>9.71</c:v>
                </c:pt>
                <c:pt idx="200">
                  <c:v>11.097</c:v>
                </c:pt>
                <c:pt idx="225">
                  <c:v>12.484</c:v>
                </c:pt>
                <c:pt idx="249">
                  <c:v>13.816</c:v>
                </c:pt>
              </c:strCache>
            </c:strRef>
          </c:cat>
          <c:val>
            <c:numRef>
              <c:f>[0]!AySn</c:f>
              <c:numCache>
                <c:formatCode>General</c:formatCode>
                <c:ptCount val="250"/>
                <c:pt idx="0">
                  <c:v>0.5</c:v>
                </c:pt>
                <c:pt idx="1">
                  <c:v>0.48631964299724262</c:v>
                </c:pt>
                <c:pt idx="2">
                  <c:v>0.47301359032993112</c:v>
                </c:pt>
                <c:pt idx="3">
                  <c:v>0.46007160076419201</c:v>
                </c:pt>
                <c:pt idx="4">
                  <c:v>0.44748371327362363</c:v>
                </c:pt>
                <c:pt idx="5">
                  <c:v>0.43524023937261824</c:v>
                </c:pt>
                <c:pt idx="6">
                  <c:v>0.42333175565945225</c:v>
                </c:pt>
                <c:pt idx="7">
                  <c:v>0.41174909656340142</c:v>
                </c:pt>
                <c:pt idx="8">
                  <c:v>0.40048334729030116</c:v>
                </c:pt>
                <c:pt idx="9">
                  <c:v>0.38952583696111998</c:v>
                </c:pt>
                <c:pt idx="10">
                  <c:v>0.37886813193826813</c:v>
                </c:pt>
                <c:pt idx="11">
                  <c:v>0.36850202933450144</c:v>
                </c:pt>
                <c:pt idx="12">
                  <c:v>0.35841955069942838</c:v>
                </c:pt>
                <c:pt idx="13">
                  <c:v>0.34861293587875619</c:v>
                </c:pt>
                <c:pt idx="14">
                  <c:v>0.33907463704155466</c:v>
                </c:pt>
                <c:pt idx="15">
                  <c:v>0.32979731287093694</c:v>
                </c:pt>
                <c:pt idx="16">
                  <c:v>0.32077382291368794</c:v>
                </c:pt>
                <c:pt idx="17">
                  <c:v>0.31199722208449093</c:v>
                </c:pt>
                <c:pt idx="18">
                  <c:v>0.30346075532052202</c:v>
                </c:pt>
                <c:pt idx="19">
                  <c:v>0.2951578523822998</c:v>
                </c:pt>
                <c:pt idx="20">
                  <c:v>0.28708212279678574</c:v>
                </c:pt>
                <c:pt idx="21">
                  <c:v>0.27922735093884682</c:v>
                </c:pt>
                <c:pt idx="22">
                  <c:v>0.27158749124729153</c:v>
                </c:pt>
                <c:pt idx="23">
                  <c:v>0.26415666357179912</c:v>
                </c:pt>
                <c:pt idx="24">
                  <c:v>0.25692914864716015</c:v>
                </c:pt>
                <c:pt idx="25">
                  <c:v>0.24989938369134482</c:v>
                </c:pt>
                <c:pt idx="26">
                  <c:v>0.24306195812401155</c:v>
                </c:pt>
                <c:pt idx="27">
                  <c:v>0.23641160940216002</c:v>
                </c:pt>
                <c:pt idx="28">
                  <c:v>0.22994321896972408</c:v>
                </c:pt>
                <c:pt idx="29">
                  <c:v>0.22365180831798601</c:v>
                </c:pt>
                <c:pt idx="30">
                  <c:v>0.21753253515378135</c:v>
                </c:pt>
                <c:pt idx="31">
                  <c:v>0.2115806896725442</c:v>
                </c:pt>
                <c:pt idx="32">
                  <c:v>0.20579169093332408</c:v>
                </c:pt>
                <c:pt idx="33">
                  <c:v>0.20016108333298616</c:v>
                </c:pt>
                <c:pt idx="34">
                  <c:v>0.19468453317687828</c:v>
                </c:pt>
                <c:pt idx="35">
                  <c:v>0.1893578253433286</c:v>
                </c:pt>
                <c:pt idx="36">
                  <c:v>0.18417686003940356</c:v>
                </c:pt>
                <c:pt idx="37">
                  <c:v>0.17913764964543169</c:v>
                </c:pt>
                <c:pt idx="38">
                  <c:v>0.17423631564586292</c:v>
                </c:pt>
                <c:pt idx="39">
                  <c:v>0.1694690856441019</c:v>
                </c:pt>
                <c:pt idx="40">
                  <c:v>0.16483229045901757</c:v>
                </c:pt>
                <c:pt idx="41">
                  <c:v>0.16032236130089444</c:v>
                </c:pt>
                <c:pt idx="42">
                  <c:v>0.15593582702465184</c:v>
                </c:pt>
                <c:pt idx="43">
                  <c:v>0.15166931145821691</c:v>
                </c:pt>
                <c:pt idx="44">
                  <c:v>0.1475195308039953</c:v>
                </c:pt>
                <c:pt idx="45">
                  <c:v>0.14348329111143945</c:v>
                </c:pt>
                <c:pt idx="46">
                  <c:v>0.13955748581876934</c:v>
                </c:pt>
                <c:pt idx="47">
                  <c:v>0.13573909336195331</c:v>
                </c:pt>
                <c:pt idx="48">
                  <c:v>0.13202517484910906</c:v>
                </c:pt>
                <c:pt idx="49">
                  <c:v>0.1284128717985345</c:v>
                </c:pt>
                <c:pt idx="50">
                  <c:v>0.12489940393862797</c:v>
                </c:pt>
                <c:pt idx="51">
                  <c:v>0.12148206706800389</c:v>
                </c:pt>
                <c:pt idx="52">
                  <c:v>0.11815823097415748</c:v>
                </c:pt>
                <c:pt idx="53">
                  <c:v>0.11492533740907598</c:v>
                </c:pt>
                <c:pt idx="54">
                  <c:v>0.11178089812023899</c:v>
                </c:pt>
                <c:pt idx="55">
                  <c:v>0.10872249293549151</c:v>
                </c:pt>
                <c:pt idx="56">
                  <c:v>0.10574776790031694</c:v>
                </c:pt>
                <c:pt idx="57">
                  <c:v>0.10285443346607481</c:v>
                </c:pt>
                <c:pt idx="58">
                  <c:v>0.1000402627278103</c:v>
                </c:pt>
                <c:pt idx="59">
                  <c:v>9.7303089710278109E-2</c:v>
                </c:pt>
                <c:pt idx="60">
                  <c:v>9.4640807700862237E-2</c:v>
                </c:pt>
                <c:pt idx="61">
                  <c:v>9.2051367628108047E-2</c:v>
                </c:pt>
                <c:pt idx="62">
                  <c:v>8.9532776484618881E-2</c:v>
                </c:pt>
                <c:pt idx="63">
                  <c:v>8.708309579310354E-2</c:v>
                </c:pt>
                <c:pt idx="64">
                  <c:v>8.4700440114393594E-2</c:v>
                </c:pt>
                <c:pt idx="65">
                  <c:v>8.2382975596282451E-2</c:v>
                </c:pt>
                <c:pt idx="66">
                  <c:v>8.0128918562069232E-2</c:v>
                </c:pt>
                <c:pt idx="67">
                  <c:v>7.7936534137721294E-2</c:v>
                </c:pt>
                <c:pt idx="68">
                  <c:v>7.5804134916598057E-2</c:v>
                </c:pt>
                <c:pt idx="69">
                  <c:v>7.3730079660709574E-2</c:v>
                </c:pt>
                <c:pt idx="70">
                  <c:v>7.1712772037509059E-2</c:v>
                </c:pt>
                <c:pt idx="71">
                  <c:v>6.975065939124811E-2</c:v>
                </c:pt>
                <c:pt idx="72">
                  <c:v>6.7842231547948065E-2</c:v>
                </c:pt>
                <c:pt idx="73">
                  <c:v>6.5986019653068786E-2</c:v>
                </c:pt>
                <c:pt idx="74">
                  <c:v>6.4180595040978866E-2</c:v>
                </c:pt>
                <c:pt idx="75">
                  <c:v>6.2424568135358904E-2</c:v>
                </c:pt>
                <c:pt idx="76">
                  <c:v>6.0716587379689588E-2</c:v>
                </c:pt>
                <c:pt idx="77">
                  <c:v>5.9055338197003024E-2</c:v>
                </c:pt>
                <c:pt idx="78">
                  <c:v>5.7439541978095886E-2</c:v>
                </c:pt>
                <c:pt idx="79">
                  <c:v>5.586795509742546E-2</c:v>
                </c:pt>
                <c:pt idx="80">
                  <c:v>5.4339367955931868E-2</c:v>
                </c:pt>
                <c:pt idx="81">
                  <c:v>5.2852604050049157E-2</c:v>
                </c:pt>
                <c:pt idx="82">
                  <c:v>5.1406519066189066E-2</c:v>
                </c:pt>
                <c:pt idx="83">
                  <c:v>5.0000000000000017E-2</c:v>
                </c:pt>
                <c:pt idx="84">
                  <c:v>4.863196429972428E-2</c:v>
                </c:pt>
                <c:pt idx="85">
                  <c:v>4.7301359032993102E-2</c:v>
                </c:pt>
                <c:pt idx="86">
                  <c:v>4.6007160076419217E-2</c:v>
                </c:pt>
                <c:pt idx="87">
                  <c:v>4.4748371327362375E-2</c:v>
                </c:pt>
                <c:pt idx="88">
                  <c:v>4.3524023937261846E-2</c:v>
                </c:pt>
                <c:pt idx="89">
                  <c:v>4.2333175565945236E-2</c:v>
                </c:pt>
                <c:pt idx="90">
                  <c:v>4.1174909656340165E-2</c:v>
                </c:pt>
                <c:pt idx="91">
                  <c:v>4.004833472903014E-2</c:v>
                </c:pt>
                <c:pt idx="92">
                  <c:v>3.8952583696112014E-2</c:v>
                </c:pt>
                <c:pt idx="93">
                  <c:v>3.7886813193826807E-2</c:v>
                </c:pt>
                <c:pt idx="94">
                  <c:v>3.6850202933450156E-2</c:v>
                </c:pt>
                <c:pt idx="95">
                  <c:v>3.5841955069942845E-2</c:v>
                </c:pt>
                <c:pt idx="96">
                  <c:v>3.4861293587875632E-2</c:v>
                </c:pt>
                <c:pt idx="97">
                  <c:v>3.3907463704155483E-2</c:v>
                </c:pt>
                <c:pt idx="98">
                  <c:v>3.2979731287093708E-2</c:v>
                </c:pt>
                <c:pt idx="99">
                  <c:v>3.2077382291368813E-2</c:v>
                </c:pt>
                <c:pt idx="100">
                  <c:v>3.1199722208449101E-2</c:v>
                </c:pt>
                <c:pt idx="101">
                  <c:v>3.0346075532052222E-2</c:v>
                </c:pt>
                <c:pt idx="102">
                  <c:v>2.951578523822998E-2</c:v>
                </c:pt>
                <c:pt idx="103">
                  <c:v>2.8708212279678583E-2</c:v>
                </c:pt>
                <c:pt idx="104">
                  <c:v>2.7922735093884699E-2</c:v>
                </c:pt>
                <c:pt idx="105">
                  <c:v>2.7158749124729167E-2</c:v>
                </c:pt>
                <c:pt idx="106">
                  <c:v>2.6415666357179918E-2</c:v>
                </c:pt>
                <c:pt idx="107">
                  <c:v>2.5692914864716032E-2</c:v>
                </c:pt>
                <c:pt idx="108">
                  <c:v>2.4989938369134497E-2</c:v>
                </c:pt>
                <c:pt idx="109">
                  <c:v>2.4306195812401163E-2</c:v>
                </c:pt>
                <c:pt idx="110">
                  <c:v>2.3641160940216007E-2</c:v>
                </c:pt>
                <c:pt idx="111">
                  <c:v>2.2994321896972415E-2</c:v>
                </c:pt>
                <c:pt idx="112">
                  <c:v>2.2365180831798611E-2</c:v>
                </c:pt>
                <c:pt idx="113">
                  <c:v>2.1753253515378147E-2</c:v>
                </c:pt>
                <c:pt idx="114">
                  <c:v>2.1158068967254421E-2</c:v>
                </c:pt>
                <c:pt idx="115">
                  <c:v>2.0579169093332423E-2</c:v>
                </c:pt>
                <c:pt idx="116">
                  <c:v>2.0016108333298626E-2</c:v>
                </c:pt>
                <c:pt idx="117">
                  <c:v>1.9468453317687845E-2</c:v>
                </c:pt>
                <c:pt idx="118">
                  <c:v>1.8935782534332861E-2</c:v>
                </c:pt>
                <c:pt idx="119">
                  <c:v>1.8417686003940358E-2</c:v>
                </c:pt>
                <c:pt idx="120">
                  <c:v>1.7913764964543177E-2</c:v>
                </c:pt>
                <c:pt idx="121">
                  <c:v>1.7423631564586307E-2</c:v>
                </c:pt>
                <c:pt idx="122">
                  <c:v>1.6946908564410196E-2</c:v>
                </c:pt>
                <c:pt idx="123">
                  <c:v>1.648322904590176E-2</c:v>
                </c:pt>
                <c:pt idx="124">
                  <c:v>1.6032236130089451E-2</c:v>
                </c:pt>
                <c:pt idx="125">
                  <c:v>1.5593582702465197E-2</c:v>
                </c:pt>
                <c:pt idx="126">
                  <c:v>1.5166931145821693E-2</c:v>
                </c:pt>
                <c:pt idx="127">
                  <c:v>1.4751953080399534E-2</c:v>
                </c:pt>
                <c:pt idx="128">
                  <c:v>1.4348329111143953E-2</c:v>
                </c:pt>
                <c:pt idx="129">
                  <c:v>1.3955748581876941E-2</c:v>
                </c:pt>
                <c:pt idx="130">
                  <c:v>1.3573909336195341E-2</c:v>
                </c:pt>
                <c:pt idx="131">
                  <c:v>1.3202517484910909E-2</c:v>
                </c:pt>
                <c:pt idx="132">
                  <c:v>1.2841287179853453E-2</c:v>
                </c:pt>
                <c:pt idx="133">
                  <c:v>1.2489940393862803E-2</c:v>
                </c:pt>
                <c:pt idx="134">
                  <c:v>1.2148206706800398E-2</c:v>
                </c:pt>
                <c:pt idx="135">
                  <c:v>1.1815823097415749E-2</c:v>
                </c:pt>
                <c:pt idx="136">
                  <c:v>1.1492533740907604E-2</c:v>
                </c:pt>
                <c:pt idx="137">
                  <c:v>1.1178089812023898E-2</c:v>
                </c:pt>
                <c:pt idx="138">
                  <c:v>1.0872249293549159E-2</c:v>
                </c:pt>
                <c:pt idx="139">
                  <c:v>1.0574776790031697E-2</c:v>
                </c:pt>
                <c:pt idx="140">
                  <c:v>1.0285443346607484E-2</c:v>
                </c:pt>
                <c:pt idx="141">
                  <c:v>1.0004026272781037E-2</c:v>
                </c:pt>
                <c:pt idx="142">
                  <c:v>9.7303089710278172E-3</c:v>
                </c:pt>
                <c:pt idx="143">
                  <c:v>9.4640807700862306E-3</c:v>
                </c:pt>
                <c:pt idx="144">
                  <c:v>9.205136762810805E-3</c:v>
                </c:pt>
                <c:pt idx="145">
                  <c:v>8.9532776484618961E-3</c:v>
                </c:pt>
                <c:pt idx="146">
                  <c:v>8.7083095793103592E-3</c:v>
                </c:pt>
                <c:pt idx="147">
                  <c:v>8.4700440114393628E-3</c:v>
                </c:pt>
                <c:pt idx="148">
                  <c:v>8.2382975596282434E-3</c:v>
                </c:pt>
                <c:pt idx="149">
                  <c:v>8.0128918562069225E-3</c:v>
                </c:pt>
                <c:pt idx="150">
                  <c:v>7.7936534137721305E-3</c:v>
                </c:pt>
                <c:pt idx="151">
                  <c:v>7.580413491659806E-3</c:v>
                </c:pt>
                <c:pt idx="152">
                  <c:v>7.3730079660709611E-3</c:v>
                </c:pt>
                <c:pt idx="153">
                  <c:v>7.1712772037509087E-3</c:v>
                </c:pt>
                <c:pt idx="154">
                  <c:v>6.9750659391248117E-3</c:v>
                </c:pt>
                <c:pt idx="155">
                  <c:v>6.7842231547948131E-3</c:v>
                </c:pt>
                <c:pt idx="156">
                  <c:v>6.5986019653068795E-3</c:v>
                </c:pt>
                <c:pt idx="157">
                  <c:v>6.4180595040978878E-3</c:v>
                </c:pt>
                <c:pt idx="158">
                  <c:v>6.2424568135358953E-3</c:v>
                </c:pt>
                <c:pt idx="159">
                  <c:v>6.0716587379689591E-3</c:v>
                </c:pt>
                <c:pt idx="160">
                  <c:v>5.9055338197003095E-3</c:v>
                </c:pt>
                <c:pt idx="161">
                  <c:v>5.7439541978095933E-3</c:v>
                </c:pt>
                <c:pt idx="162">
                  <c:v>5.5867955097425462E-3</c:v>
                </c:pt>
                <c:pt idx="163">
                  <c:v>5.4339367955931906E-3</c:v>
                </c:pt>
                <c:pt idx="164">
                  <c:v>5.2852604050049193E-3</c:v>
                </c:pt>
                <c:pt idx="165">
                  <c:v>5.1406519066189123E-3</c:v>
                </c:pt>
                <c:pt idx="166">
                  <c:v>5.0000000000000027E-3</c:v>
                </c:pt>
                <c:pt idx="167">
                  <c:v>4.8631964299724268E-3</c:v>
                </c:pt>
                <c:pt idx="168">
                  <c:v>4.7301359032993137E-3</c:v>
                </c:pt>
                <c:pt idx="169">
                  <c:v>4.6007160076419222E-3</c:v>
                </c:pt>
                <c:pt idx="170">
                  <c:v>4.4748371327362358E-3</c:v>
                </c:pt>
                <c:pt idx="171">
                  <c:v>4.3524023937261853E-3</c:v>
                </c:pt>
                <c:pt idx="172">
                  <c:v>4.2333175565945243E-3</c:v>
                </c:pt>
                <c:pt idx="173">
                  <c:v>4.1174909656340195E-3</c:v>
                </c:pt>
                <c:pt idx="174">
                  <c:v>4.0048334729030147E-3</c:v>
                </c:pt>
                <c:pt idx="175">
                  <c:v>3.8952583696112019E-3</c:v>
                </c:pt>
                <c:pt idx="176">
                  <c:v>3.7886813193826851E-3</c:v>
                </c:pt>
                <c:pt idx="177">
                  <c:v>3.6850202933450173E-3</c:v>
                </c:pt>
                <c:pt idx="178">
                  <c:v>3.5841955069942856E-3</c:v>
                </c:pt>
                <c:pt idx="179">
                  <c:v>3.4861293587875658E-3</c:v>
                </c:pt>
                <c:pt idx="180">
                  <c:v>3.3907463704155498E-3</c:v>
                </c:pt>
                <c:pt idx="181">
                  <c:v>3.2979731287093752E-3</c:v>
                </c:pt>
                <c:pt idx="182">
                  <c:v>3.2077382291368843E-3</c:v>
                </c:pt>
                <c:pt idx="183">
                  <c:v>3.1199722208449096E-3</c:v>
                </c:pt>
                <c:pt idx="184">
                  <c:v>3.0346075532052229E-3</c:v>
                </c:pt>
                <c:pt idx="185">
                  <c:v>2.9515785238229987E-3</c:v>
                </c:pt>
                <c:pt idx="186">
                  <c:v>2.8708212279678581E-3</c:v>
                </c:pt>
                <c:pt idx="187">
                  <c:v>2.7922735093884698E-3</c:v>
                </c:pt>
                <c:pt idx="188">
                  <c:v>2.7158749124729163E-3</c:v>
                </c:pt>
                <c:pt idx="189">
                  <c:v>2.641566635717994E-3</c:v>
                </c:pt>
                <c:pt idx="190">
                  <c:v>2.5692914864716035E-3</c:v>
                </c:pt>
                <c:pt idx="191">
                  <c:v>2.4989938369134488E-3</c:v>
                </c:pt>
                <c:pt idx="192">
                  <c:v>2.4306195812401174E-3</c:v>
                </c:pt>
                <c:pt idx="193">
                  <c:v>2.364116094021602E-3</c:v>
                </c:pt>
                <c:pt idx="194">
                  <c:v>2.2994321896972437E-3</c:v>
                </c:pt>
                <c:pt idx="195">
                  <c:v>2.2365180831798626E-3</c:v>
                </c:pt>
                <c:pt idx="196">
                  <c:v>2.1753253515378154E-3</c:v>
                </c:pt>
                <c:pt idx="197">
                  <c:v>2.1158068967254448E-3</c:v>
                </c:pt>
                <c:pt idx="198">
                  <c:v>2.0579169093332436E-3</c:v>
                </c:pt>
                <c:pt idx="199">
                  <c:v>2.0016108333298635E-3</c:v>
                </c:pt>
                <c:pt idx="200">
                  <c:v>1.9468453317687843E-3</c:v>
                </c:pt>
                <c:pt idx="201">
                  <c:v>1.8935782534332867E-3</c:v>
                </c:pt>
                <c:pt idx="202">
                  <c:v>1.8417686003940374E-3</c:v>
                </c:pt>
                <c:pt idx="203">
                  <c:v>1.7913764964543185E-3</c:v>
                </c:pt>
                <c:pt idx="204">
                  <c:v>1.7423631564586302E-3</c:v>
                </c:pt>
                <c:pt idx="205">
                  <c:v>1.6946908564410205E-3</c:v>
                </c:pt>
                <c:pt idx="206">
                  <c:v>1.6483229045901762E-3</c:v>
                </c:pt>
                <c:pt idx="207">
                  <c:v>1.603223613008945E-3</c:v>
                </c:pt>
                <c:pt idx="208">
                  <c:v>1.5593582702465197E-3</c:v>
                </c:pt>
                <c:pt idx="209">
                  <c:v>1.5166931145821703E-3</c:v>
                </c:pt>
                <c:pt idx="210">
                  <c:v>1.475195308039955E-3</c:v>
                </c:pt>
                <c:pt idx="211">
                  <c:v>1.4348329111143958E-3</c:v>
                </c:pt>
                <c:pt idx="212">
                  <c:v>1.3955748581876944E-3</c:v>
                </c:pt>
                <c:pt idx="213">
                  <c:v>1.3573909336195347E-3</c:v>
                </c:pt>
                <c:pt idx="214">
                  <c:v>1.3202517484910917E-3</c:v>
                </c:pt>
                <c:pt idx="215">
                  <c:v>1.2841287179853457E-3</c:v>
                </c:pt>
                <c:pt idx="216">
                  <c:v>1.2489940393862811E-3</c:v>
                </c:pt>
                <c:pt idx="217">
                  <c:v>1.2148206706800392E-3</c:v>
                </c:pt>
                <c:pt idx="218">
                  <c:v>1.1815823097415757E-3</c:v>
                </c:pt>
                <c:pt idx="219">
                  <c:v>1.1492533740907606E-3</c:v>
                </c:pt>
                <c:pt idx="220">
                  <c:v>1.11780898120239E-3</c:v>
                </c:pt>
                <c:pt idx="221">
                  <c:v>1.0872249293549163E-3</c:v>
                </c:pt>
                <c:pt idx="222">
                  <c:v>1.0574776790031699E-3</c:v>
                </c:pt>
                <c:pt idx="223">
                  <c:v>1.0285443346607485E-3</c:v>
                </c:pt>
                <c:pt idx="224">
                  <c:v>1.0004026272781037E-3</c:v>
                </c:pt>
                <c:pt idx="225">
                  <c:v>9.7303089710278176E-4</c:v>
                </c:pt>
                <c:pt idx="226">
                  <c:v>9.4640807700862358E-4</c:v>
                </c:pt>
                <c:pt idx="227">
                  <c:v>9.2051367628108124E-4</c:v>
                </c:pt>
                <c:pt idx="228">
                  <c:v>8.9532776484618911E-4</c:v>
                </c:pt>
                <c:pt idx="229">
                  <c:v>8.7083095793103642E-4</c:v>
                </c:pt>
                <c:pt idx="230">
                  <c:v>8.4700440114393648E-4</c:v>
                </c:pt>
                <c:pt idx="231">
                  <c:v>8.2382975596282564E-4</c:v>
                </c:pt>
                <c:pt idx="232">
                  <c:v>8.0128918562069335E-4</c:v>
                </c:pt>
                <c:pt idx="233">
                  <c:v>7.7936534137721368E-4</c:v>
                </c:pt>
                <c:pt idx="234">
                  <c:v>7.5804134916598171E-4</c:v>
                </c:pt>
                <c:pt idx="235">
                  <c:v>7.3730079660709602E-4</c:v>
                </c:pt>
                <c:pt idx="236">
                  <c:v>7.1712772037509087E-4</c:v>
                </c:pt>
                <c:pt idx="237">
                  <c:v>6.9750659391248167E-4</c:v>
                </c:pt>
                <c:pt idx="238">
                  <c:v>6.7842231547948111E-4</c:v>
                </c:pt>
                <c:pt idx="239">
                  <c:v>6.5986019653068828E-4</c:v>
                </c:pt>
                <c:pt idx="240">
                  <c:v>6.4180595040978924E-4</c:v>
                </c:pt>
                <c:pt idx="241">
                  <c:v>6.2424568135358927E-4</c:v>
                </c:pt>
                <c:pt idx="242">
                  <c:v>6.0716587379689639E-4</c:v>
                </c:pt>
                <c:pt idx="243">
                  <c:v>5.9055338197003086E-4</c:v>
                </c:pt>
                <c:pt idx="244">
                  <c:v>5.7439541978095913E-4</c:v>
                </c:pt>
                <c:pt idx="245">
                  <c:v>5.5867955097425512E-4</c:v>
                </c:pt>
                <c:pt idx="246">
                  <c:v>5.4339367955931895E-4</c:v>
                </c:pt>
                <c:pt idx="247">
                  <c:v>5.2852604050049237E-4</c:v>
                </c:pt>
                <c:pt idx="248">
                  <c:v>5.1406519066189119E-4</c:v>
                </c:pt>
                <c:pt idx="249">
                  <c:v>5.0000000000000055E-4</c:v>
                </c:pt>
              </c:numCache>
            </c:numRef>
          </c:val>
          <c:extLst>
            <c:ext xmlns:c16="http://schemas.microsoft.com/office/drawing/2014/chart" uri="{C3380CC4-5D6E-409C-BE32-E72D297353CC}">
              <c16:uniqueId val="{00000001-33EA-4720-9A65-7F0ECC1B9512}"/>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ANOVA!$CJ$15</c:f>
              <c:strCache>
                <c:ptCount val="1"/>
                <c:pt idx="0">
                  <c:v>Chi i anden fordeling med 2 frihedsgrader</c:v>
                </c:pt>
              </c:strCache>
            </c:strRef>
          </c:tx>
          <c:spPr>
            <a:ln w="28575" cap="rnd">
              <a:solidFill>
                <a:schemeClr val="bg1"/>
              </a:solidFill>
              <a:round/>
            </a:ln>
            <a:effectLst/>
          </c:spPr>
          <c:marker>
            <c:symbol val="none"/>
          </c:marker>
          <c:xVal>
            <c:numRef>
              <c:f>[0]!AxS</c:f>
              <c:numCache>
                <c:formatCode>General</c:formatCode>
                <c:ptCount val="2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numCache>
            </c:numRef>
          </c:xVal>
          <c:yVal>
            <c:numRef>
              <c:f>[0]!AySs</c:f>
              <c:numCache>
                <c:formatCode>General</c:formatCode>
                <c:ptCount val="250"/>
                <c:pt idx="0">
                  <c:v>0.5</c:v>
                </c:pt>
                <c:pt idx="1">
                  <c:v>0.48631964299724262</c:v>
                </c:pt>
                <c:pt idx="2">
                  <c:v>0.47301359032993112</c:v>
                </c:pt>
                <c:pt idx="3">
                  <c:v>0.46007160076419201</c:v>
                </c:pt>
                <c:pt idx="4">
                  <c:v>0.44748371327362363</c:v>
                </c:pt>
                <c:pt idx="5">
                  <c:v>0.43524023937261824</c:v>
                </c:pt>
                <c:pt idx="6">
                  <c:v>0.42333175565945225</c:v>
                </c:pt>
                <c:pt idx="7">
                  <c:v>0.41174909656340142</c:v>
                </c:pt>
                <c:pt idx="8">
                  <c:v>0.40048334729030116</c:v>
                </c:pt>
                <c:pt idx="9">
                  <c:v>0.38952583696111998</c:v>
                </c:pt>
                <c:pt idx="10">
                  <c:v>0.37886813193826813</c:v>
                </c:pt>
                <c:pt idx="11">
                  <c:v>0.36850202933450144</c:v>
                </c:pt>
                <c:pt idx="12">
                  <c:v>0.35841955069942838</c:v>
                </c:pt>
                <c:pt idx="13">
                  <c:v>0.34861293587875619</c:v>
                </c:pt>
                <c:pt idx="14">
                  <c:v>0.33907463704155466</c:v>
                </c:pt>
                <c:pt idx="15">
                  <c:v>0.32979731287093694</c:v>
                </c:pt>
                <c:pt idx="16">
                  <c:v>0.32077382291368794</c:v>
                </c:pt>
                <c:pt idx="17">
                  <c:v>0.31199722208449093</c:v>
                </c:pt>
                <c:pt idx="18">
                  <c:v>0.30346075532052202</c:v>
                </c:pt>
                <c:pt idx="19">
                  <c:v>0.2951578523822998</c:v>
                </c:pt>
                <c:pt idx="20">
                  <c:v>0.28708212279678574</c:v>
                </c:pt>
                <c:pt idx="21">
                  <c:v>0.27922735093884682</c:v>
                </c:pt>
                <c:pt idx="22">
                  <c:v>0.27158749124729153</c:v>
                </c:pt>
                <c:pt idx="23">
                  <c:v>0.26415666357179912</c:v>
                </c:pt>
                <c:pt idx="24">
                  <c:v>0.25692914864716015</c:v>
                </c:pt>
                <c:pt idx="25">
                  <c:v>0.24989938369134482</c:v>
                </c:pt>
                <c:pt idx="26">
                  <c:v>0.24306195812401155</c:v>
                </c:pt>
                <c:pt idx="27">
                  <c:v>0.23641160940216002</c:v>
                </c:pt>
                <c:pt idx="28">
                  <c:v>0.22994321896972408</c:v>
                </c:pt>
                <c:pt idx="29">
                  <c:v>0.22365180831798601</c:v>
                </c:pt>
                <c:pt idx="30">
                  <c:v>0.21753253515378135</c:v>
                </c:pt>
                <c:pt idx="31">
                  <c:v>0.2115806896725442</c:v>
                </c:pt>
                <c:pt idx="32">
                  <c:v>0.20579169093332408</c:v>
                </c:pt>
                <c:pt idx="33">
                  <c:v>0.20016108333298616</c:v>
                </c:pt>
                <c:pt idx="34">
                  <c:v>0.19468453317687828</c:v>
                </c:pt>
                <c:pt idx="35">
                  <c:v>0.1893578253433286</c:v>
                </c:pt>
                <c:pt idx="36">
                  <c:v>0.18417686003940356</c:v>
                </c:pt>
                <c:pt idx="37">
                  <c:v>0.17913764964543169</c:v>
                </c:pt>
                <c:pt idx="38">
                  <c:v>0.17423631564586292</c:v>
                </c:pt>
                <c:pt idx="39">
                  <c:v>0.1694690856441019</c:v>
                </c:pt>
                <c:pt idx="40">
                  <c:v>0.16483229045901757</c:v>
                </c:pt>
                <c:pt idx="41">
                  <c:v>0.16032236130089444</c:v>
                </c:pt>
                <c:pt idx="42">
                  <c:v>0.15593582702465184</c:v>
                </c:pt>
                <c:pt idx="43">
                  <c:v>0.15166931145821691</c:v>
                </c:pt>
                <c:pt idx="44">
                  <c:v>0.1475195308039953</c:v>
                </c:pt>
                <c:pt idx="45">
                  <c:v>0.14348329111143945</c:v>
                </c:pt>
                <c:pt idx="46">
                  <c:v>0.13955748581876934</c:v>
                </c:pt>
                <c:pt idx="47">
                  <c:v>0.13573909336195331</c:v>
                </c:pt>
                <c:pt idx="48">
                  <c:v>0.13202517484910906</c:v>
                </c:pt>
                <c:pt idx="49">
                  <c:v>0.1284128717985345</c:v>
                </c:pt>
                <c:pt idx="50">
                  <c:v>0.12489940393862797</c:v>
                </c:pt>
                <c:pt idx="51">
                  <c:v>0.12148206706800389</c:v>
                </c:pt>
                <c:pt idx="52">
                  <c:v>0.11815823097415748</c:v>
                </c:pt>
                <c:pt idx="53">
                  <c:v>0.11492533740907598</c:v>
                </c:pt>
                <c:pt idx="54">
                  <c:v>0.11178089812023899</c:v>
                </c:pt>
                <c:pt idx="55">
                  <c:v>0.10872249293549151</c:v>
                </c:pt>
                <c:pt idx="56">
                  <c:v>0.10574776790031694</c:v>
                </c:pt>
                <c:pt idx="57">
                  <c:v>0.10285443346607481</c:v>
                </c:pt>
                <c:pt idx="58">
                  <c:v>0.1000402627278103</c:v>
                </c:pt>
                <c:pt idx="59">
                  <c:v>9.7303089710278109E-2</c:v>
                </c:pt>
                <c:pt idx="60">
                  <c:v>9.4640807700862237E-2</c:v>
                </c:pt>
                <c:pt idx="61">
                  <c:v>9.2051367628108047E-2</c:v>
                </c:pt>
                <c:pt idx="62">
                  <c:v>8.9532776484618881E-2</c:v>
                </c:pt>
                <c:pt idx="63">
                  <c:v>8.708309579310354E-2</c:v>
                </c:pt>
                <c:pt idx="64">
                  <c:v>8.4700440114393594E-2</c:v>
                </c:pt>
                <c:pt idx="65">
                  <c:v>8.2382975596282451E-2</c:v>
                </c:pt>
                <c:pt idx="66">
                  <c:v>8.0128918562069232E-2</c:v>
                </c:pt>
                <c:pt idx="67">
                  <c:v>7.7936534137721294E-2</c:v>
                </c:pt>
                <c:pt idx="68">
                  <c:v>7.5804134916598057E-2</c:v>
                </c:pt>
                <c:pt idx="69">
                  <c:v>7.3730079660709574E-2</c:v>
                </c:pt>
                <c:pt idx="70">
                  <c:v>7.1712772037509059E-2</c:v>
                </c:pt>
                <c:pt idx="71">
                  <c:v>6.975065939124811E-2</c:v>
                </c:pt>
                <c:pt idx="72">
                  <c:v>6.7842231547948065E-2</c:v>
                </c:pt>
                <c:pt idx="73">
                  <c:v>6.5986019653068786E-2</c:v>
                </c:pt>
                <c:pt idx="74">
                  <c:v>6.4180595040978866E-2</c:v>
                </c:pt>
                <c:pt idx="75">
                  <c:v>6.2424568135358904E-2</c:v>
                </c:pt>
                <c:pt idx="76">
                  <c:v>6.0716587379689588E-2</c:v>
                </c:pt>
                <c:pt idx="77">
                  <c:v>5.9055338197003024E-2</c:v>
                </c:pt>
                <c:pt idx="78">
                  <c:v>5.7439541978095886E-2</c:v>
                </c:pt>
                <c:pt idx="79">
                  <c:v>5.586795509742546E-2</c:v>
                </c:pt>
                <c:pt idx="80">
                  <c:v>5.4339367955931868E-2</c:v>
                </c:pt>
                <c:pt idx="81">
                  <c:v>5.2852604050049157E-2</c:v>
                </c:pt>
                <c:pt idx="82">
                  <c:v>5.1406519066189066E-2</c:v>
                </c:pt>
                <c:pt idx="83">
                  <c:v>5.0000000000000017E-2</c:v>
                </c:pt>
                <c:pt idx="84">
                  <c:v>4.863196429972428E-2</c:v>
                </c:pt>
                <c:pt idx="85">
                  <c:v>4.7301359032993102E-2</c:v>
                </c:pt>
                <c:pt idx="86">
                  <c:v>4.6007160076419217E-2</c:v>
                </c:pt>
                <c:pt idx="87">
                  <c:v>4.4748371327362375E-2</c:v>
                </c:pt>
                <c:pt idx="88">
                  <c:v>4.3524023937261846E-2</c:v>
                </c:pt>
                <c:pt idx="89">
                  <c:v>4.2333175565945236E-2</c:v>
                </c:pt>
                <c:pt idx="90">
                  <c:v>4.1174909656340165E-2</c:v>
                </c:pt>
                <c:pt idx="91">
                  <c:v>4.004833472903014E-2</c:v>
                </c:pt>
                <c:pt idx="92">
                  <c:v>3.8952583696112014E-2</c:v>
                </c:pt>
                <c:pt idx="93">
                  <c:v>3.7886813193826807E-2</c:v>
                </c:pt>
                <c:pt idx="94">
                  <c:v>3.6850202933450156E-2</c:v>
                </c:pt>
                <c:pt idx="95">
                  <c:v>3.5841955069942845E-2</c:v>
                </c:pt>
                <c:pt idx="96">
                  <c:v>3.4861293587875632E-2</c:v>
                </c:pt>
                <c:pt idx="97">
                  <c:v>3.3907463704155483E-2</c:v>
                </c:pt>
                <c:pt idx="98">
                  <c:v>3.2979731287093708E-2</c:v>
                </c:pt>
                <c:pt idx="99">
                  <c:v>3.2077382291368813E-2</c:v>
                </c:pt>
                <c:pt idx="100">
                  <c:v>3.1199722208449101E-2</c:v>
                </c:pt>
                <c:pt idx="101">
                  <c:v>3.0346075532052222E-2</c:v>
                </c:pt>
                <c:pt idx="102">
                  <c:v>2.951578523822998E-2</c:v>
                </c:pt>
                <c:pt idx="103">
                  <c:v>2.8708212279678583E-2</c:v>
                </c:pt>
                <c:pt idx="104">
                  <c:v>2.7922735093884699E-2</c:v>
                </c:pt>
                <c:pt idx="105">
                  <c:v>2.7158749124729167E-2</c:v>
                </c:pt>
                <c:pt idx="106">
                  <c:v>2.6415666357179918E-2</c:v>
                </c:pt>
                <c:pt idx="107">
                  <c:v>2.5692914864716032E-2</c:v>
                </c:pt>
                <c:pt idx="108">
                  <c:v>2.4989938369134497E-2</c:v>
                </c:pt>
                <c:pt idx="109">
                  <c:v>2.4306195812401163E-2</c:v>
                </c:pt>
                <c:pt idx="110">
                  <c:v>2.3641160940216007E-2</c:v>
                </c:pt>
                <c:pt idx="111">
                  <c:v>2.2994321896972415E-2</c:v>
                </c:pt>
                <c:pt idx="112">
                  <c:v>2.2365180831798611E-2</c:v>
                </c:pt>
                <c:pt idx="113">
                  <c:v>2.1753253515378147E-2</c:v>
                </c:pt>
                <c:pt idx="114">
                  <c:v>2.1158068967254421E-2</c:v>
                </c:pt>
                <c:pt idx="115">
                  <c:v>2.0579169093332423E-2</c:v>
                </c:pt>
                <c:pt idx="116">
                  <c:v>2.0016108333298626E-2</c:v>
                </c:pt>
                <c:pt idx="117">
                  <c:v>1.9468453317687845E-2</c:v>
                </c:pt>
                <c:pt idx="118">
                  <c:v>1.8935782534332861E-2</c:v>
                </c:pt>
                <c:pt idx="119">
                  <c:v>1.8417686003940358E-2</c:v>
                </c:pt>
                <c:pt idx="120">
                  <c:v>1.7913764964543177E-2</c:v>
                </c:pt>
                <c:pt idx="121">
                  <c:v>1.7423631564586307E-2</c:v>
                </c:pt>
                <c:pt idx="122">
                  <c:v>1.6946908564410196E-2</c:v>
                </c:pt>
                <c:pt idx="123">
                  <c:v>1.648322904590176E-2</c:v>
                </c:pt>
                <c:pt idx="124">
                  <c:v>1.6032236130089451E-2</c:v>
                </c:pt>
                <c:pt idx="125">
                  <c:v>1.5593582702465197E-2</c:v>
                </c:pt>
                <c:pt idx="126">
                  <c:v>1.5166931145821693E-2</c:v>
                </c:pt>
                <c:pt idx="127">
                  <c:v>1.4751953080399534E-2</c:v>
                </c:pt>
                <c:pt idx="128">
                  <c:v>1.4348329111143953E-2</c:v>
                </c:pt>
                <c:pt idx="129">
                  <c:v>1.3955748581876941E-2</c:v>
                </c:pt>
                <c:pt idx="130">
                  <c:v>1.3573909336195341E-2</c:v>
                </c:pt>
                <c:pt idx="131">
                  <c:v>1.3202517484910909E-2</c:v>
                </c:pt>
                <c:pt idx="132">
                  <c:v>1.2841287179853453E-2</c:v>
                </c:pt>
                <c:pt idx="133">
                  <c:v>1.2489940393862803E-2</c:v>
                </c:pt>
                <c:pt idx="134">
                  <c:v>1.2148206706800398E-2</c:v>
                </c:pt>
                <c:pt idx="135">
                  <c:v>1.1815823097415749E-2</c:v>
                </c:pt>
                <c:pt idx="136">
                  <c:v>1.1492533740907604E-2</c:v>
                </c:pt>
                <c:pt idx="137">
                  <c:v>1.1178089812023898E-2</c:v>
                </c:pt>
                <c:pt idx="138">
                  <c:v>1.0872249293549159E-2</c:v>
                </c:pt>
                <c:pt idx="139">
                  <c:v>1.0574776790031697E-2</c:v>
                </c:pt>
                <c:pt idx="140">
                  <c:v>1.0285443346607484E-2</c:v>
                </c:pt>
                <c:pt idx="141">
                  <c:v>1.0004026272781037E-2</c:v>
                </c:pt>
                <c:pt idx="142">
                  <c:v>9.7303089710278172E-3</c:v>
                </c:pt>
                <c:pt idx="143">
                  <c:v>9.4640807700862306E-3</c:v>
                </c:pt>
                <c:pt idx="144">
                  <c:v>9.205136762810805E-3</c:v>
                </c:pt>
                <c:pt idx="145">
                  <c:v>8.9532776484618961E-3</c:v>
                </c:pt>
                <c:pt idx="146">
                  <c:v>8.7083095793103592E-3</c:v>
                </c:pt>
                <c:pt idx="147">
                  <c:v>8.4700440114393628E-3</c:v>
                </c:pt>
                <c:pt idx="148">
                  <c:v>8.2382975596282434E-3</c:v>
                </c:pt>
                <c:pt idx="149">
                  <c:v>8.0128918562069225E-3</c:v>
                </c:pt>
                <c:pt idx="150">
                  <c:v>7.7936534137721305E-3</c:v>
                </c:pt>
                <c:pt idx="151">
                  <c:v>7.580413491659806E-3</c:v>
                </c:pt>
                <c:pt idx="152">
                  <c:v>7.3730079660709611E-3</c:v>
                </c:pt>
                <c:pt idx="153">
                  <c:v>7.1712772037509087E-3</c:v>
                </c:pt>
                <c:pt idx="154">
                  <c:v>6.9750659391248117E-3</c:v>
                </c:pt>
                <c:pt idx="155">
                  <c:v>6.7842231547948131E-3</c:v>
                </c:pt>
                <c:pt idx="156">
                  <c:v>6.5986019653068795E-3</c:v>
                </c:pt>
                <c:pt idx="157">
                  <c:v>6.4180595040978878E-3</c:v>
                </c:pt>
                <c:pt idx="158">
                  <c:v>6.2424568135358953E-3</c:v>
                </c:pt>
                <c:pt idx="159">
                  <c:v>6.0716587379689591E-3</c:v>
                </c:pt>
                <c:pt idx="160">
                  <c:v>5.9055338197003095E-3</c:v>
                </c:pt>
                <c:pt idx="161">
                  <c:v>5.7439541978095933E-3</c:v>
                </c:pt>
                <c:pt idx="162">
                  <c:v>5.5867955097425462E-3</c:v>
                </c:pt>
                <c:pt idx="163">
                  <c:v>5.4339367955931906E-3</c:v>
                </c:pt>
                <c:pt idx="164">
                  <c:v>5.2852604050049193E-3</c:v>
                </c:pt>
                <c:pt idx="165">
                  <c:v>5.1406519066189123E-3</c:v>
                </c:pt>
                <c:pt idx="166">
                  <c:v>5.0000000000000027E-3</c:v>
                </c:pt>
                <c:pt idx="167">
                  <c:v>4.8631964299724268E-3</c:v>
                </c:pt>
                <c:pt idx="168">
                  <c:v>4.7301359032993137E-3</c:v>
                </c:pt>
                <c:pt idx="169">
                  <c:v>4.6007160076419222E-3</c:v>
                </c:pt>
                <c:pt idx="170">
                  <c:v>4.4748371327362358E-3</c:v>
                </c:pt>
                <c:pt idx="171">
                  <c:v>4.3524023937261853E-3</c:v>
                </c:pt>
                <c:pt idx="172">
                  <c:v>4.2333175565945243E-3</c:v>
                </c:pt>
                <c:pt idx="173">
                  <c:v>4.1174909656340195E-3</c:v>
                </c:pt>
                <c:pt idx="174">
                  <c:v>4.0048334729030147E-3</c:v>
                </c:pt>
                <c:pt idx="175">
                  <c:v>3.8952583696112019E-3</c:v>
                </c:pt>
                <c:pt idx="176">
                  <c:v>3.7886813193826851E-3</c:v>
                </c:pt>
                <c:pt idx="177">
                  <c:v>3.6850202933450173E-3</c:v>
                </c:pt>
                <c:pt idx="178">
                  <c:v>3.5841955069942856E-3</c:v>
                </c:pt>
                <c:pt idx="179">
                  <c:v>3.4861293587875658E-3</c:v>
                </c:pt>
                <c:pt idx="180">
                  <c:v>3.3907463704155498E-3</c:v>
                </c:pt>
                <c:pt idx="181">
                  <c:v>3.2979731287093752E-3</c:v>
                </c:pt>
                <c:pt idx="182">
                  <c:v>3.2077382291368843E-3</c:v>
                </c:pt>
                <c:pt idx="183">
                  <c:v>3.1199722208449096E-3</c:v>
                </c:pt>
                <c:pt idx="184">
                  <c:v>3.0346075532052229E-3</c:v>
                </c:pt>
                <c:pt idx="185">
                  <c:v>2.9515785238229987E-3</c:v>
                </c:pt>
                <c:pt idx="186">
                  <c:v>2.8708212279678581E-3</c:v>
                </c:pt>
                <c:pt idx="187">
                  <c:v>2.7922735093884698E-3</c:v>
                </c:pt>
                <c:pt idx="188">
                  <c:v>2.7158749124729163E-3</c:v>
                </c:pt>
                <c:pt idx="189">
                  <c:v>2.641566635717994E-3</c:v>
                </c:pt>
                <c:pt idx="190">
                  <c:v>2.5692914864716035E-3</c:v>
                </c:pt>
                <c:pt idx="191">
                  <c:v>2.4989938369134488E-3</c:v>
                </c:pt>
                <c:pt idx="192">
                  <c:v>2.4306195812401174E-3</c:v>
                </c:pt>
                <c:pt idx="193">
                  <c:v>2.364116094021602E-3</c:v>
                </c:pt>
                <c:pt idx="194">
                  <c:v>2.2994321896972437E-3</c:v>
                </c:pt>
                <c:pt idx="195">
                  <c:v>2.2365180831798626E-3</c:v>
                </c:pt>
                <c:pt idx="196">
                  <c:v>2.1753253515378154E-3</c:v>
                </c:pt>
                <c:pt idx="197">
                  <c:v>2.1158068967254448E-3</c:v>
                </c:pt>
                <c:pt idx="198">
                  <c:v>2.0579169093332436E-3</c:v>
                </c:pt>
                <c:pt idx="199">
                  <c:v>2.0016108333298635E-3</c:v>
                </c:pt>
                <c:pt idx="200">
                  <c:v>1.9468453317687843E-3</c:v>
                </c:pt>
                <c:pt idx="201">
                  <c:v>1.8935782534332867E-3</c:v>
                </c:pt>
                <c:pt idx="202">
                  <c:v>1.8417686003940374E-3</c:v>
                </c:pt>
                <c:pt idx="203">
                  <c:v>1.7913764964543185E-3</c:v>
                </c:pt>
                <c:pt idx="204">
                  <c:v>1.7423631564586302E-3</c:v>
                </c:pt>
                <c:pt idx="205">
                  <c:v>1.6946908564410205E-3</c:v>
                </c:pt>
                <c:pt idx="206">
                  <c:v>1.6483229045901762E-3</c:v>
                </c:pt>
                <c:pt idx="207">
                  <c:v>1.603223613008945E-3</c:v>
                </c:pt>
                <c:pt idx="208">
                  <c:v>1.5593582702465197E-3</c:v>
                </c:pt>
                <c:pt idx="209">
                  <c:v>1.5166931145821703E-3</c:v>
                </c:pt>
                <c:pt idx="210">
                  <c:v>1.475195308039955E-3</c:v>
                </c:pt>
                <c:pt idx="211">
                  <c:v>1.4348329111143958E-3</c:v>
                </c:pt>
                <c:pt idx="212">
                  <c:v>1.3955748581876944E-3</c:v>
                </c:pt>
                <c:pt idx="213">
                  <c:v>1.3573909336195347E-3</c:v>
                </c:pt>
                <c:pt idx="214">
                  <c:v>1.3202517484910917E-3</c:v>
                </c:pt>
                <c:pt idx="215">
                  <c:v>1.2841287179853457E-3</c:v>
                </c:pt>
                <c:pt idx="216">
                  <c:v>1.2489940393862811E-3</c:v>
                </c:pt>
                <c:pt idx="217">
                  <c:v>1.2148206706800392E-3</c:v>
                </c:pt>
                <c:pt idx="218">
                  <c:v>1.1815823097415757E-3</c:v>
                </c:pt>
                <c:pt idx="219">
                  <c:v>1.1492533740907606E-3</c:v>
                </c:pt>
                <c:pt idx="220">
                  <c:v>1.11780898120239E-3</c:v>
                </c:pt>
                <c:pt idx="221">
                  <c:v>1.0872249293549163E-3</c:v>
                </c:pt>
                <c:pt idx="222">
                  <c:v>1.0574776790031699E-3</c:v>
                </c:pt>
                <c:pt idx="223">
                  <c:v>1.0285443346607485E-3</c:v>
                </c:pt>
                <c:pt idx="224">
                  <c:v>1.0004026272781037E-3</c:v>
                </c:pt>
                <c:pt idx="225">
                  <c:v>9.7303089710278176E-4</c:v>
                </c:pt>
                <c:pt idx="226">
                  <c:v>9.4640807700862358E-4</c:v>
                </c:pt>
                <c:pt idx="227">
                  <c:v>9.2051367628108124E-4</c:v>
                </c:pt>
                <c:pt idx="228">
                  <c:v>8.9532776484618911E-4</c:v>
                </c:pt>
                <c:pt idx="229">
                  <c:v>8.7083095793103642E-4</c:v>
                </c:pt>
                <c:pt idx="230">
                  <c:v>8.4700440114393648E-4</c:v>
                </c:pt>
                <c:pt idx="231">
                  <c:v>8.2382975596282564E-4</c:v>
                </c:pt>
                <c:pt idx="232">
                  <c:v>8.0128918562069335E-4</c:v>
                </c:pt>
                <c:pt idx="233">
                  <c:v>7.7936534137721368E-4</c:v>
                </c:pt>
                <c:pt idx="234">
                  <c:v>7.5804134916598171E-4</c:v>
                </c:pt>
                <c:pt idx="235">
                  <c:v>7.3730079660709602E-4</c:v>
                </c:pt>
                <c:pt idx="236">
                  <c:v>7.1712772037509087E-4</c:v>
                </c:pt>
                <c:pt idx="237">
                  <c:v>6.9750659391248167E-4</c:v>
                </c:pt>
                <c:pt idx="238">
                  <c:v>6.7842231547948111E-4</c:v>
                </c:pt>
                <c:pt idx="239">
                  <c:v>6.5986019653068828E-4</c:v>
                </c:pt>
                <c:pt idx="240">
                  <c:v>6.4180595040978924E-4</c:v>
                </c:pt>
                <c:pt idx="241">
                  <c:v>6.2424568135358927E-4</c:v>
                </c:pt>
                <c:pt idx="242">
                  <c:v>6.0716587379689639E-4</c:v>
                </c:pt>
                <c:pt idx="243">
                  <c:v>5.9055338197003086E-4</c:v>
                </c:pt>
                <c:pt idx="244">
                  <c:v>5.7439541978095913E-4</c:v>
                </c:pt>
                <c:pt idx="245">
                  <c:v>5.5867955097425512E-4</c:v>
                </c:pt>
                <c:pt idx="246">
                  <c:v>5.4339367955931895E-4</c:v>
                </c:pt>
                <c:pt idx="247">
                  <c:v>5.2852604050049237E-4</c:v>
                </c:pt>
                <c:pt idx="248">
                  <c:v>5.1406519066189119E-4</c:v>
                </c:pt>
                <c:pt idx="249">
                  <c:v>5.0000000000000055E-4</c:v>
                </c:pt>
              </c:numCache>
            </c:numRef>
          </c:yVal>
          <c:smooth val="1"/>
          <c:extLst>
            <c:ext xmlns:c16="http://schemas.microsoft.com/office/drawing/2014/chart" uri="{C3380CC4-5D6E-409C-BE32-E72D297353CC}">
              <c16:uniqueId val="{00000002-33EA-4720-9A65-7F0ECC1B9512}"/>
            </c:ext>
          </c:extLst>
        </c:ser>
        <c:ser>
          <c:idx val="2"/>
          <c:order val="3"/>
          <c:tx>
            <c:strRef>
              <c:f>ANOVA!$CJ$35</c:f>
              <c:strCache>
                <c:ptCount val="1"/>
                <c:pt idx="0">
                  <c:v>100% mindre end 32.224</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ANOVA!$CJ$31</c:f>
              <c:numCache>
                <c:formatCode>#,##0.000</c:formatCode>
                <c:ptCount val="1"/>
                <c:pt idx="0">
                  <c:v>125</c:v>
                </c:pt>
              </c:numCache>
            </c:numRef>
          </c:xVal>
          <c:yVal>
            <c:numRef>
              <c:f>ANOVA!$CJ$33</c:f>
              <c:numCache>
                <c:formatCode>#,##0.000</c:formatCode>
                <c:ptCount val="1"/>
                <c:pt idx="0">
                  <c:v>1.6032236130089451E-2</c:v>
                </c:pt>
              </c:numCache>
            </c:numRef>
          </c:yVal>
          <c:smooth val="0"/>
          <c:extLst>
            <c:ext xmlns:c16="http://schemas.microsoft.com/office/drawing/2014/chart" uri="{C3380CC4-5D6E-409C-BE32-E72D297353CC}">
              <c16:uniqueId val="{00000003-33EA-4720-9A65-7F0ECC1B9512}"/>
            </c:ext>
          </c:extLst>
        </c:ser>
        <c:ser>
          <c:idx val="5"/>
          <c:order val="4"/>
          <c:tx>
            <c:strRef>
              <c:f>ANOVA!$CJ$41</c:f>
              <c:strCache>
                <c:ptCount val="1"/>
                <c:pt idx="0">
                  <c:v>0% større end 32.224</c:v>
                </c:pt>
              </c:strCache>
            </c:strRef>
          </c:tx>
          <c:spPr>
            <a:ln w="28575" cap="rnd">
              <a:solidFill>
                <a:schemeClr val="accent6"/>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ANOVA!$CJ$37</c:f>
              <c:numCache>
                <c:formatCode>#,##0.000</c:formatCode>
                <c:ptCount val="1"/>
                <c:pt idx="0">
                  <c:v>250</c:v>
                </c:pt>
              </c:numCache>
            </c:numRef>
          </c:xVal>
          <c:yVal>
            <c:numRef>
              <c:f>ANOVA!$CJ$39</c:f>
              <c:numCache>
                <c:formatCode>#,##0.000</c:formatCode>
                <c:ptCount val="1"/>
                <c:pt idx="0">
                  <c:v>5.0000000000000055E-4</c:v>
                </c:pt>
              </c:numCache>
            </c:numRef>
          </c:yVal>
          <c:smooth val="0"/>
          <c:extLst>
            <c:ext xmlns:c16="http://schemas.microsoft.com/office/drawing/2014/chart" uri="{C3380CC4-5D6E-409C-BE32-E72D297353CC}">
              <c16:uniqueId val="{00000004-33EA-4720-9A65-7F0ECC1B9512}"/>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ANOVA!$CJ$15</c:f>
              <c:strCache>
                <c:ptCount val="1"/>
                <c:pt idx="0">
                  <c:v>Chi i anden fordeling med 2 frihedsgrader</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out"/>
        <c:minorTickMark val="none"/>
        <c:tickLblPos val="nextTo"/>
        <c:spPr>
          <a:noFill/>
          <a:ln w="9525" cap="flat" cmpd="sng" algn="ctr">
            <a:solidFill>
              <a:schemeClr val="tx1">
                <a:lumMod val="50000"/>
                <a:lumOff val="50000"/>
              </a:schemeClr>
            </a:solid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tickMarkSkip val="25"/>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tr"/>
      <c:legendEntry>
        <c:idx val="2"/>
        <c:delete val="1"/>
      </c:legendEntry>
      <c:legendEntry>
        <c:idx val="3"/>
        <c:delete val="1"/>
      </c:legendEntry>
      <c:legendEntry>
        <c:idx val="4"/>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ANOVA!$AQ$9</c:f>
          <c:strCache>
            <c:ptCount val="1"/>
            <c:pt idx="0">
              <c:v>Sammenligning med estimerede normalfordelinger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3.8368600930773704E-2"/>
          <c:y val="0.18175883539336118"/>
          <c:w val="0.92870884235020357"/>
          <c:h val="0.78532043650793648"/>
        </c:manualLayout>
      </c:layout>
      <c:scatterChart>
        <c:scatterStyle val="lineMarker"/>
        <c:varyColors val="0"/>
        <c:ser>
          <c:idx val="0"/>
          <c:order val="0"/>
          <c:tx>
            <c:strRef>
              <c:f>ANOVA!$AQ$11</c:f>
              <c:strCache>
                <c:ptCount val="1"/>
                <c:pt idx="0">
                  <c:v>Estimeret normalfordeling</c:v>
                </c:pt>
              </c:strCache>
            </c:strRef>
          </c:tx>
          <c:spPr>
            <a:ln w="19050" cap="rnd">
              <a:solidFill>
                <a:schemeClr val="accent1"/>
              </a:solidFill>
              <a:round/>
            </a:ln>
            <a:effectLst/>
          </c:spPr>
          <c:marker>
            <c:symbol val="none"/>
          </c:marker>
          <c:xVal>
            <c:numRef>
              <c:f>[0]!AxNorm</c:f>
              <c:numCache>
                <c:formatCode>General</c:formatCode>
                <c:ptCount val="2727"/>
                <c:pt idx="0">
                  <c:v>-11.066593778562057</c:v>
                </c:pt>
                <c:pt idx="1">
                  <c:v>-11.03565324724471</c:v>
                </c:pt>
                <c:pt idx="2">
                  <c:v>-11.004712715927365</c:v>
                </c:pt>
                <c:pt idx="3">
                  <c:v>-10.973772184610018</c:v>
                </c:pt>
                <c:pt idx="4">
                  <c:v>-10.942831653292671</c:v>
                </c:pt>
                <c:pt idx="5">
                  <c:v>-10.911891121975325</c:v>
                </c:pt>
                <c:pt idx="6">
                  <c:v>-10.88095059065798</c:v>
                </c:pt>
                <c:pt idx="7">
                  <c:v>-10.850010059340633</c:v>
                </c:pt>
                <c:pt idx="8">
                  <c:v>-10.819069528023286</c:v>
                </c:pt>
                <c:pt idx="9">
                  <c:v>-10.788128996705939</c:v>
                </c:pt>
                <c:pt idx="10">
                  <c:v>-10.757188465388595</c:v>
                </c:pt>
                <c:pt idx="11">
                  <c:v>-10.726247934071248</c:v>
                </c:pt>
                <c:pt idx="12">
                  <c:v>-10.695307402753901</c:v>
                </c:pt>
                <c:pt idx="13">
                  <c:v>-10.664366871436556</c:v>
                </c:pt>
                <c:pt idx="14">
                  <c:v>-10.633426340119209</c:v>
                </c:pt>
                <c:pt idx="15">
                  <c:v>-10.602485808801863</c:v>
                </c:pt>
                <c:pt idx="16">
                  <c:v>-10.571545277484516</c:v>
                </c:pt>
                <c:pt idx="17">
                  <c:v>-10.540604746167171</c:v>
                </c:pt>
                <c:pt idx="18">
                  <c:v>-10.509664214849824</c:v>
                </c:pt>
                <c:pt idx="19">
                  <c:v>-10.478723683532477</c:v>
                </c:pt>
                <c:pt idx="20">
                  <c:v>-10.447783152215131</c:v>
                </c:pt>
                <c:pt idx="21">
                  <c:v>-10.416842620897786</c:v>
                </c:pt>
                <c:pt idx="22">
                  <c:v>-10.385902089580439</c:v>
                </c:pt>
                <c:pt idx="23">
                  <c:v>-10.354961558263092</c:v>
                </c:pt>
                <c:pt idx="24">
                  <c:v>-10.324021026945747</c:v>
                </c:pt>
                <c:pt idx="25">
                  <c:v>-10.2930804956284</c:v>
                </c:pt>
                <c:pt idx="26">
                  <c:v>-10.262139964311054</c:v>
                </c:pt>
                <c:pt idx="27">
                  <c:v>-10.231199432993707</c:v>
                </c:pt>
                <c:pt idx="28">
                  <c:v>-10.200258901676362</c:v>
                </c:pt>
                <c:pt idx="29">
                  <c:v>-10.169318370359015</c:v>
                </c:pt>
                <c:pt idx="30">
                  <c:v>-10.138377839041668</c:v>
                </c:pt>
                <c:pt idx="31">
                  <c:v>-10.107437307724322</c:v>
                </c:pt>
                <c:pt idx="32">
                  <c:v>-10.076496776406977</c:v>
                </c:pt>
                <c:pt idx="33">
                  <c:v>-10.04555624508963</c:v>
                </c:pt>
                <c:pt idx="34">
                  <c:v>-10.014615713772283</c:v>
                </c:pt>
                <c:pt idx="35">
                  <c:v>-9.9836751824549363</c:v>
                </c:pt>
                <c:pt idx="36">
                  <c:v>-9.9527346511375914</c:v>
                </c:pt>
                <c:pt idx="37">
                  <c:v>-9.9217941198202446</c:v>
                </c:pt>
                <c:pt idx="38">
                  <c:v>-9.8908535885028979</c:v>
                </c:pt>
                <c:pt idx="39">
                  <c:v>-9.8599130571855511</c:v>
                </c:pt>
                <c:pt idx="40">
                  <c:v>-9.8289725258682061</c:v>
                </c:pt>
                <c:pt idx="41">
                  <c:v>-9.7980319945508594</c:v>
                </c:pt>
                <c:pt idx="42">
                  <c:v>-9.7670914632335126</c:v>
                </c:pt>
                <c:pt idx="43">
                  <c:v>-9.7361509319161677</c:v>
                </c:pt>
                <c:pt idx="44">
                  <c:v>-9.7052104005988209</c:v>
                </c:pt>
                <c:pt idx="45">
                  <c:v>-9.6742698692814741</c:v>
                </c:pt>
                <c:pt idx="46">
                  <c:v>-9.6433293379641274</c:v>
                </c:pt>
                <c:pt idx="47">
                  <c:v>-9.6123888066467824</c:v>
                </c:pt>
                <c:pt idx="48">
                  <c:v>-9.5814482753294357</c:v>
                </c:pt>
                <c:pt idx="49">
                  <c:v>-9.5505077440120889</c:v>
                </c:pt>
                <c:pt idx="50">
                  <c:v>-9.5195672126947422</c:v>
                </c:pt>
                <c:pt idx="51">
                  <c:v>-9.4886266813773972</c:v>
                </c:pt>
                <c:pt idx="52">
                  <c:v>-9.4576861500600504</c:v>
                </c:pt>
                <c:pt idx="53">
                  <c:v>-9.4267456187427037</c:v>
                </c:pt>
                <c:pt idx="54">
                  <c:v>-9.3958050874253587</c:v>
                </c:pt>
                <c:pt idx="55">
                  <c:v>-9.3648645561080119</c:v>
                </c:pt>
                <c:pt idx="56">
                  <c:v>-9.3339240247906652</c:v>
                </c:pt>
                <c:pt idx="57">
                  <c:v>-9.3029834934733184</c:v>
                </c:pt>
                <c:pt idx="58">
                  <c:v>-9.2720429621559735</c:v>
                </c:pt>
                <c:pt idx="59">
                  <c:v>-9.2411024308386267</c:v>
                </c:pt>
                <c:pt idx="60">
                  <c:v>-9.2101618995212799</c:v>
                </c:pt>
                <c:pt idx="61">
                  <c:v>-9.1792213682039332</c:v>
                </c:pt>
                <c:pt idx="62">
                  <c:v>-9.1482808368865882</c:v>
                </c:pt>
                <c:pt idx="63">
                  <c:v>-9.1173403055692415</c:v>
                </c:pt>
                <c:pt idx="64">
                  <c:v>-9.0863997742518947</c:v>
                </c:pt>
                <c:pt idx="65">
                  <c:v>-9.0554592429345497</c:v>
                </c:pt>
                <c:pt idx="66">
                  <c:v>-9.024518711617203</c:v>
                </c:pt>
                <c:pt idx="67">
                  <c:v>-8.9935781802998562</c:v>
                </c:pt>
                <c:pt idx="68">
                  <c:v>-8.9626376489825095</c:v>
                </c:pt>
                <c:pt idx="69">
                  <c:v>-8.9316971176651627</c:v>
                </c:pt>
                <c:pt idx="70">
                  <c:v>-8.9007565863478177</c:v>
                </c:pt>
                <c:pt idx="71">
                  <c:v>-8.869816055030471</c:v>
                </c:pt>
                <c:pt idx="72">
                  <c:v>-8.8388755237131242</c:v>
                </c:pt>
                <c:pt idx="73">
                  <c:v>-8.8079349923957793</c:v>
                </c:pt>
                <c:pt idx="74">
                  <c:v>-8.7769944610784325</c:v>
                </c:pt>
                <c:pt idx="75">
                  <c:v>-8.7460539297610858</c:v>
                </c:pt>
                <c:pt idx="76">
                  <c:v>-8.7151133984437408</c:v>
                </c:pt>
                <c:pt idx="77">
                  <c:v>-8.684172867126394</c:v>
                </c:pt>
                <c:pt idx="78">
                  <c:v>-8.6532323358090473</c:v>
                </c:pt>
                <c:pt idx="79">
                  <c:v>-8.6222918044917005</c:v>
                </c:pt>
                <c:pt idx="80">
                  <c:v>-8.5913512731743538</c:v>
                </c:pt>
                <c:pt idx="81">
                  <c:v>-8.5604107418570088</c:v>
                </c:pt>
                <c:pt idx="82">
                  <c:v>-8.529470210539662</c:v>
                </c:pt>
                <c:pt idx="83">
                  <c:v>-8.4985296792223153</c:v>
                </c:pt>
                <c:pt idx="84">
                  <c:v>-8.4675891479049703</c:v>
                </c:pt>
                <c:pt idx="85">
                  <c:v>-8.4366486165876236</c:v>
                </c:pt>
                <c:pt idx="86">
                  <c:v>-8.4057080852702768</c:v>
                </c:pt>
                <c:pt idx="87">
                  <c:v>-8.3747675539529318</c:v>
                </c:pt>
                <c:pt idx="88">
                  <c:v>-8.3438270226355851</c:v>
                </c:pt>
                <c:pt idx="89">
                  <c:v>-8.3128864913182383</c:v>
                </c:pt>
                <c:pt idx="90">
                  <c:v>-8.2819459600008916</c:v>
                </c:pt>
                <c:pt idx="91">
                  <c:v>-8.2510054286835448</c:v>
                </c:pt>
                <c:pt idx="92">
                  <c:v>-8.2200648973661998</c:v>
                </c:pt>
                <c:pt idx="93">
                  <c:v>-8.1891243660488531</c:v>
                </c:pt>
                <c:pt idx="94">
                  <c:v>-8.1581838347315063</c:v>
                </c:pt>
                <c:pt idx="95">
                  <c:v>-8.1272433034141613</c:v>
                </c:pt>
                <c:pt idx="96">
                  <c:v>-8.0963027720968146</c:v>
                </c:pt>
                <c:pt idx="97">
                  <c:v>-8.0653622407794678</c:v>
                </c:pt>
                <c:pt idx="98">
                  <c:v>-8.0344217094621229</c:v>
                </c:pt>
                <c:pt idx="99">
                  <c:v>-8.0034811781447761</c:v>
                </c:pt>
                <c:pt idx="100">
                  <c:v>-7.9725406468274294</c:v>
                </c:pt>
                <c:pt idx="101">
                  <c:v>-7.9416001155100826</c:v>
                </c:pt>
                <c:pt idx="102">
                  <c:v>-7.9106595841927367</c:v>
                </c:pt>
                <c:pt idx="103">
                  <c:v>-7.8797190528753909</c:v>
                </c:pt>
                <c:pt idx="104">
                  <c:v>-7.8487785215580441</c:v>
                </c:pt>
                <c:pt idx="105">
                  <c:v>-7.8178379902406974</c:v>
                </c:pt>
                <c:pt idx="106">
                  <c:v>-7.7868974589233515</c:v>
                </c:pt>
                <c:pt idx="107">
                  <c:v>-7.7559569276060056</c:v>
                </c:pt>
                <c:pt idx="108">
                  <c:v>-7.7250163962886589</c:v>
                </c:pt>
                <c:pt idx="109">
                  <c:v>-7.694075864971313</c:v>
                </c:pt>
                <c:pt idx="110">
                  <c:v>-7.6631353336539672</c:v>
                </c:pt>
                <c:pt idx="111">
                  <c:v>-7.6321948023366204</c:v>
                </c:pt>
                <c:pt idx="112">
                  <c:v>-7.6012542710192736</c:v>
                </c:pt>
                <c:pt idx="113">
                  <c:v>-7.5703137397019278</c:v>
                </c:pt>
                <c:pt idx="114">
                  <c:v>-7.5393732083845819</c:v>
                </c:pt>
                <c:pt idx="115">
                  <c:v>-7.5084326770672352</c:v>
                </c:pt>
                <c:pt idx="116">
                  <c:v>-7.4774921457498884</c:v>
                </c:pt>
                <c:pt idx="117">
                  <c:v>-7.4465516144325425</c:v>
                </c:pt>
                <c:pt idx="118">
                  <c:v>-7.4156110831151967</c:v>
                </c:pt>
                <c:pt idx="119">
                  <c:v>-7.3846705517978499</c:v>
                </c:pt>
                <c:pt idx="120">
                  <c:v>-7.3537300204805032</c:v>
                </c:pt>
                <c:pt idx="121">
                  <c:v>-7.3227894891631573</c:v>
                </c:pt>
                <c:pt idx="122">
                  <c:v>-7.2918489578458114</c:v>
                </c:pt>
                <c:pt idx="123">
                  <c:v>-7.2609084265284647</c:v>
                </c:pt>
                <c:pt idx="124">
                  <c:v>-7.2299678952111188</c:v>
                </c:pt>
                <c:pt idx="125">
                  <c:v>-7.199027363893773</c:v>
                </c:pt>
                <c:pt idx="126">
                  <c:v>-7.1680868325764262</c:v>
                </c:pt>
                <c:pt idx="127">
                  <c:v>-7.1371463012590795</c:v>
                </c:pt>
                <c:pt idx="128">
                  <c:v>-7.1062057699417336</c:v>
                </c:pt>
                <c:pt idx="129">
                  <c:v>-7.0752652386243877</c:v>
                </c:pt>
                <c:pt idx="130">
                  <c:v>-7.044324707307041</c:v>
                </c:pt>
                <c:pt idx="131">
                  <c:v>-7.0133841759896951</c:v>
                </c:pt>
                <c:pt idx="132">
                  <c:v>-6.9824436446723483</c:v>
                </c:pt>
                <c:pt idx="133">
                  <c:v>-6.9515031133550025</c:v>
                </c:pt>
                <c:pt idx="134">
                  <c:v>-6.9205625820376557</c:v>
                </c:pt>
                <c:pt idx="135">
                  <c:v>-6.8896220507203099</c:v>
                </c:pt>
                <c:pt idx="136">
                  <c:v>-6.8586815194029631</c:v>
                </c:pt>
                <c:pt idx="137">
                  <c:v>-6.8277409880856172</c:v>
                </c:pt>
                <c:pt idx="138">
                  <c:v>-6.7968004567682705</c:v>
                </c:pt>
                <c:pt idx="139">
                  <c:v>-6.7658599254509246</c:v>
                </c:pt>
                <c:pt idx="140">
                  <c:v>-6.7349193941335779</c:v>
                </c:pt>
                <c:pt idx="141">
                  <c:v>-6.703978862816232</c:v>
                </c:pt>
                <c:pt idx="142">
                  <c:v>-6.6730383314988861</c:v>
                </c:pt>
                <c:pt idx="143">
                  <c:v>-6.6420978001815394</c:v>
                </c:pt>
                <c:pt idx="144">
                  <c:v>-6.6111572688641935</c:v>
                </c:pt>
                <c:pt idx="145">
                  <c:v>-6.5802167375468468</c:v>
                </c:pt>
                <c:pt idx="146">
                  <c:v>-6.5492762062295009</c:v>
                </c:pt>
                <c:pt idx="147">
                  <c:v>-6.5183356749121542</c:v>
                </c:pt>
                <c:pt idx="148">
                  <c:v>-6.4873951435948083</c:v>
                </c:pt>
                <c:pt idx="149">
                  <c:v>-6.4564546122774615</c:v>
                </c:pt>
                <c:pt idx="150">
                  <c:v>-6.4255140809601157</c:v>
                </c:pt>
                <c:pt idx="151">
                  <c:v>-6.3945735496427689</c:v>
                </c:pt>
                <c:pt idx="152">
                  <c:v>-6.3636330183254231</c:v>
                </c:pt>
                <c:pt idx="153">
                  <c:v>-6.3326924870080763</c:v>
                </c:pt>
                <c:pt idx="154">
                  <c:v>-6.3017519556907304</c:v>
                </c:pt>
                <c:pt idx="155">
                  <c:v>-6.2708114243733846</c:v>
                </c:pt>
                <c:pt idx="156">
                  <c:v>-6.2398708930560378</c:v>
                </c:pt>
                <c:pt idx="157">
                  <c:v>-6.2089303617386919</c:v>
                </c:pt>
                <c:pt idx="158">
                  <c:v>-6.1779898304213452</c:v>
                </c:pt>
                <c:pt idx="159">
                  <c:v>-6.1470492991039993</c:v>
                </c:pt>
                <c:pt idx="160">
                  <c:v>-6.1161087677866526</c:v>
                </c:pt>
                <c:pt idx="161">
                  <c:v>-6.0851682364693067</c:v>
                </c:pt>
                <c:pt idx="162">
                  <c:v>-6.05422770515196</c:v>
                </c:pt>
                <c:pt idx="163">
                  <c:v>-6.0232871738346141</c:v>
                </c:pt>
                <c:pt idx="164">
                  <c:v>-5.9923466425172673</c:v>
                </c:pt>
                <c:pt idx="165">
                  <c:v>-5.9614061111999215</c:v>
                </c:pt>
                <c:pt idx="166">
                  <c:v>-5.9304655798825747</c:v>
                </c:pt>
                <c:pt idx="167">
                  <c:v>-5.8995250485652289</c:v>
                </c:pt>
                <c:pt idx="168">
                  <c:v>-5.868584517247883</c:v>
                </c:pt>
                <c:pt idx="169">
                  <c:v>-5.8376439859305362</c:v>
                </c:pt>
                <c:pt idx="170">
                  <c:v>-5.8067034546131904</c:v>
                </c:pt>
                <c:pt idx="171">
                  <c:v>-5.7757629232958436</c:v>
                </c:pt>
                <c:pt idx="172">
                  <c:v>-5.7448223919784978</c:v>
                </c:pt>
                <c:pt idx="173">
                  <c:v>-5.713881860661151</c:v>
                </c:pt>
                <c:pt idx="174">
                  <c:v>-5.6829413293438051</c:v>
                </c:pt>
                <c:pt idx="175">
                  <c:v>-5.6520007980264584</c:v>
                </c:pt>
                <c:pt idx="176">
                  <c:v>-5.6210602667091125</c:v>
                </c:pt>
                <c:pt idx="177">
                  <c:v>-5.5901197353917658</c:v>
                </c:pt>
                <c:pt idx="178">
                  <c:v>-5.5591792040744199</c:v>
                </c:pt>
                <c:pt idx="179">
                  <c:v>-5.5282386727570731</c:v>
                </c:pt>
                <c:pt idx="180">
                  <c:v>-5.4972981414397273</c:v>
                </c:pt>
                <c:pt idx="181">
                  <c:v>-5.4663576101223814</c:v>
                </c:pt>
                <c:pt idx="182">
                  <c:v>-5.4354170788050347</c:v>
                </c:pt>
                <c:pt idx="183">
                  <c:v>-5.4044765474876888</c:v>
                </c:pt>
                <c:pt idx="184">
                  <c:v>-5.373536016170342</c:v>
                </c:pt>
                <c:pt idx="185">
                  <c:v>-5.3425954848529962</c:v>
                </c:pt>
                <c:pt idx="186">
                  <c:v>-5.3116549535356494</c:v>
                </c:pt>
                <c:pt idx="187">
                  <c:v>-5.2807144222183036</c:v>
                </c:pt>
                <c:pt idx="188">
                  <c:v>-5.2497738909009568</c:v>
                </c:pt>
                <c:pt idx="189">
                  <c:v>-5.2188333595836109</c:v>
                </c:pt>
                <c:pt idx="190">
                  <c:v>-5.1878928282662642</c:v>
                </c:pt>
                <c:pt idx="191">
                  <c:v>-5.1569522969489183</c:v>
                </c:pt>
                <c:pt idx="192">
                  <c:v>-5.1260117656315725</c:v>
                </c:pt>
                <c:pt idx="193">
                  <c:v>-5.0950712343142257</c:v>
                </c:pt>
                <c:pt idx="194">
                  <c:v>-5.0641307029968798</c:v>
                </c:pt>
                <c:pt idx="195">
                  <c:v>-5.0331901716795331</c:v>
                </c:pt>
                <c:pt idx="196">
                  <c:v>-5.0022496403621872</c:v>
                </c:pt>
                <c:pt idx="197">
                  <c:v>-4.9713091090448405</c:v>
                </c:pt>
                <c:pt idx="198">
                  <c:v>-4.9403685777274946</c:v>
                </c:pt>
                <c:pt idx="199">
                  <c:v>-4.9094280464101479</c:v>
                </c:pt>
                <c:pt idx="200">
                  <c:v>-4.878487515092802</c:v>
                </c:pt>
                <c:pt idx="201">
                  <c:v>-4.8475469837754552</c:v>
                </c:pt>
                <c:pt idx="202">
                  <c:v>-4.8166064524581094</c:v>
                </c:pt>
                <c:pt idx="203">
                  <c:v>-4.7856659211407626</c:v>
                </c:pt>
                <c:pt idx="204">
                  <c:v>-4.7547253898234167</c:v>
                </c:pt>
                <c:pt idx="205">
                  <c:v>-4.7237848585060709</c:v>
                </c:pt>
                <c:pt idx="206">
                  <c:v>-4.6928443271887241</c:v>
                </c:pt>
                <c:pt idx="207">
                  <c:v>-4.6619037958713783</c:v>
                </c:pt>
                <c:pt idx="208">
                  <c:v>-4.6309632645540315</c:v>
                </c:pt>
                <c:pt idx="209">
                  <c:v>-4.6000227332366856</c:v>
                </c:pt>
                <c:pt idx="210">
                  <c:v>-4.5690822019193389</c:v>
                </c:pt>
                <c:pt idx="211">
                  <c:v>-4.538141670601993</c:v>
                </c:pt>
                <c:pt idx="212">
                  <c:v>-4.5072011392846463</c:v>
                </c:pt>
                <c:pt idx="213">
                  <c:v>-4.4762606079673004</c:v>
                </c:pt>
                <c:pt idx="214">
                  <c:v>-4.4453200766499537</c:v>
                </c:pt>
                <c:pt idx="215">
                  <c:v>-4.4143795453326078</c:v>
                </c:pt>
                <c:pt idx="216">
                  <c:v>-4.383439014015261</c:v>
                </c:pt>
                <c:pt idx="217">
                  <c:v>-4.3524984826979152</c:v>
                </c:pt>
                <c:pt idx="218">
                  <c:v>-4.3215579513805693</c:v>
                </c:pt>
                <c:pt idx="219">
                  <c:v>-4.2906174200632226</c:v>
                </c:pt>
                <c:pt idx="220">
                  <c:v>-4.2596768887458767</c:v>
                </c:pt>
                <c:pt idx="221">
                  <c:v>-4.2287363574285299</c:v>
                </c:pt>
                <c:pt idx="222">
                  <c:v>-4.1977958261111841</c:v>
                </c:pt>
                <c:pt idx="223">
                  <c:v>-4.1668552947938373</c:v>
                </c:pt>
                <c:pt idx="224">
                  <c:v>-4.1359147634764915</c:v>
                </c:pt>
                <c:pt idx="225">
                  <c:v>-4.1049742321591447</c:v>
                </c:pt>
                <c:pt idx="226">
                  <c:v>-4.0740337008417988</c:v>
                </c:pt>
                <c:pt idx="227">
                  <c:v>-4.0430931695244521</c:v>
                </c:pt>
                <c:pt idx="228">
                  <c:v>-4.0121526382071062</c:v>
                </c:pt>
                <c:pt idx="229">
                  <c:v>-3.9812121068897595</c:v>
                </c:pt>
                <c:pt idx="230">
                  <c:v>-3.9502715755724136</c:v>
                </c:pt>
                <c:pt idx="231">
                  <c:v>-3.9193310442550677</c:v>
                </c:pt>
                <c:pt idx="232">
                  <c:v>-3.888390512937721</c:v>
                </c:pt>
                <c:pt idx="233">
                  <c:v>-3.8574499816203751</c:v>
                </c:pt>
                <c:pt idx="234">
                  <c:v>-3.8265094503030284</c:v>
                </c:pt>
                <c:pt idx="235">
                  <c:v>-3.7955689189856825</c:v>
                </c:pt>
                <c:pt idx="236">
                  <c:v>-3.7646283876683357</c:v>
                </c:pt>
                <c:pt idx="237">
                  <c:v>-3.7336878563509899</c:v>
                </c:pt>
                <c:pt idx="238">
                  <c:v>-3.7027473250336431</c:v>
                </c:pt>
                <c:pt idx="239">
                  <c:v>-3.6718067937162973</c:v>
                </c:pt>
                <c:pt idx="240">
                  <c:v>-3.6408662623989505</c:v>
                </c:pt>
                <c:pt idx="241">
                  <c:v>-3.6099257310816046</c:v>
                </c:pt>
                <c:pt idx="242">
                  <c:v>-3.5789851997642579</c:v>
                </c:pt>
                <c:pt idx="243">
                  <c:v>-3.548044668446912</c:v>
                </c:pt>
                <c:pt idx="244">
                  <c:v>-3.5171041371295662</c:v>
                </c:pt>
                <c:pt idx="245">
                  <c:v>-3.4861636058122194</c:v>
                </c:pt>
                <c:pt idx="246">
                  <c:v>-3.4552230744948735</c:v>
                </c:pt>
                <c:pt idx="247">
                  <c:v>-3.4242825431775268</c:v>
                </c:pt>
                <c:pt idx="248">
                  <c:v>-3.3933420118601809</c:v>
                </c:pt>
                <c:pt idx="249">
                  <c:v>-3.3624014805428342</c:v>
                </c:pt>
                <c:pt idx="250">
                  <c:v>-3.3314609492254883</c:v>
                </c:pt>
                <c:pt idx="251">
                  <c:v>-3.3005204179081415</c:v>
                </c:pt>
                <c:pt idx="252">
                  <c:v>-3.2695798865907957</c:v>
                </c:pt>
                <c:pt idx="253">
                  <c:v>-3.2386393552734489</c:v>
                </c:pt>
                <c:pt idx="254">
                  <c:v>-3.2076988239561031</c:v>
                </c:pt>
                <c:pt idx="255">
                  <c:v>-3.1767582926387563</c:v>
                </c:pt>
                <c:pt idx="256">
                  <c:v>-3.1458177613214104</c:v>
                </c:pt>
                <c:pt idx="257">
                  <c:v>-3.1148772300040646</c:v>
                </c:pt>
                <c:pt idx="258">
                  <c:v>-3.0839366986867178</c:v>
                </c:pt>
                <c:pt idx="259">
                  <c:v>-3.052996167369372</c:v>
                </c:pt>
                <c:pt idx="260">
                  <c:v>-3.0220556360520252</c:v>
                </c:pt>
                <c:pt idx="261">
                  <c:v>-2.9911151047346785</c:v>
                </c:pt>
                <c:pt idx="262">
                  <c:v>-2.9601745734173335</c:v>
                </c:pt>
                <c:pt idx="263">
                  <c:v>-2.9292340420999867</c:v>
                </c:pt>
                <c:pt idx="264">
                  <c:v>-2.89829351078264</c:v>
                </c:pt>
                <c:pt idx="265">
                  <c:v>-2.8673529794652932</c:v>
                </c:pt>
                <c:pt idx="266">
                  <c:v>-2.8364124481479482</c:v>
                </c:pt>
                <c:pt idx="267">
                  <c:v>-2.8054719168306015</c:v>
                </c:pt>
                <c:pt idx="268">
                  <c:v>-2.7745313855132547</c:v>
                </c:pt>
                <c:pt idx="269">
                  <c:v>-2.7435908541959098</c:v>
                </c:pt>
                <c:pt idx="270">
                  <c:v>-2.712650322878563</c:v>
                </c:pt>
                <c:pt idx="271">
                  <c:v>-2.6817097915612162</c:v>
                </c:pt>
                <c:pt idx="272">
                  <c:v>-2.6507692602438695</c:v>
                </c:pt>
                <c:pt idx="273">
                  <c:v>-2.6198287289265245</c:v>
                </c:pt>
                <c:pt idx="274">
                  <c:v>-2.5888881976091778</c:v>
                </c:pt>
                <c:pt idx="275">
                  <c:v>-2.557947666291831</c:v>
                </c:pt>
                <c:pt idx="276">
                  <c:v>-2.5270071349744843</c:v>
                </c:pt>
                <c:pt idx="277">
                  <c:v>-2.4960666036571393</c:v>
                </c:pt>
                <c:pt idx="278">
                  <c:v>-2.4651260723397925</c:v>
                </c:pt>
                <c:pt idx="279">
                  <c:v>-2.4341855410224458</c:v>
                </c:pt>
                <c:pt idx="280">
                  <c:v>-2.403245009705099</c:v>
                </c:pt>
                <c:pt idx="281">
                  <c:v>-2.372304478387754</c:v>
                </c:pt>
                <c:pt idx="282">
                  <c:v>-2.3413639470704073</c:v>
                </c:pt>
                <c:pt idx="283">
                  <c:v>-2.3104234157530605</c:v>
                </c:pt>
                <c:pt idx="284">
                  <c:v>-2.2794828844357156</c:v>
                </c:pt>
                <c:pt idx="285">
                  <c:v>-2.2485423531183688</c:v>
                </c:pt>
                <c:pt idx="286">
                  <c:v>-2.2176018218010221</c:v>
                </c:pt>
                <c:pt idx="287">
                  <c:v>-2.1866612904836753</c:v>
                </c:pt>
                <c:pt idx="288">
                  <c:v>-2.1557207591663303</c:v>
                </c:pt>
                <c:pt idx="289">
                  <c:v>-2.1247802278489836</c:v>
                </c:pt>
                <c:pt idx="290">
                  <c:v>-2.0938396965316368</c:v>
                </c:pt>
                <c:pt idx="291">
                  <c:v>-2.0628991652142901</c:v>
                </c:pt>
                <c:pt idx="292">
                  <c:v>-2.0319586338969451</c:v>
                </c:pt>
                <c:pt idx="293">
                  <c:v>-2.0010181025795983</c:v>
                </c:pt>
                <c:pt idx="294">
                  <c:v>-1.9700775712622516</c:v>
                </c:pt>
                <c:pt idx="295">
                  <c:v>-1.9391370399449066</c:v>
                </c:pt>
                <c:pt idx="296">
                  <c:v>-1.9081965086275599</c:v>
                </c:pt>
                <c:pt idx="297">
                  <c:v>-1.8772559773102131</c:v>
                </c:pt>
                <c:pt idx="298">
                  <c:v>-1.8463154459928663</c:v>
                </c:pt>
                <c:pt idx="299">
                  <c:v>-1.8153749146755214</c:v>
                </c:pt>
                <c:pt idx="300">
                  <c:v>-1.7844343833581746</c:v>
                </c:pt>
                <c:pt idx="301">
                  <c:v>-1.7534938520408279</c:v>
                </c:pt>
                <c:pt idx="302">
                  <c:v>-1.7225533207234811</c:v>
                </c:pt>
                <c:pt idx="303">
                  <c:v>-1.6916127894061361</c:v>
                </c:pt>
                <c:pt idx="304">
                  <c:v>-1.6606722580887894</c:v>
                </c:pt>
                <c:pt idx="305">
                  <c:v>-1.6297317267714426</c:v>
                </c:pt>
                <c:pt idx="306">
                  <c:v>-1.5987911954540959</c:v>
                </c:pt>
                <c:pt idx="307">
                  <c:v>-1.5678506641367509</c:v>
                </c:pt>
                <c:pt idx="308">
                  <c:v>-1.5369101328194041</c:v>
                </c:pt>
                <c:pt idx="309">
                  <c:v>-1.5059696015020574</c:v>
                </c:pt>
                <c:pt idx="310">
                  <c:v>-1.4750290701847124</c:v>
                </c:pt>
                <c:pt idx="311">
                  <c:v>-1.4440885388673657</c:v>
                </c:pt>
                <c:pt idx="312">
                  <c:v>-1.4131480075500189</c:v>
                </c:pt>
                <c:pt idx="313">
                  <c:v>-1.3822074762326721</c:v>
                </c:pt>
                <c:pt idx="314">
                  <c:v>-1.3512669449153272</c:v>
                </c:pt>
                <c:pt idx="315">
                  <c:v>-1.3203264135979804</c:v>
                </c:pt>
                <c:pt idx="316">
                  <c:v>-1.2893858822806337</c:v>
                </c:pt>
                <c:pt idx="317">
                  <c:v>-1.2584453509632869</c:v>
                </c:pt>
                <c:pt idx="318">
                  <c:v>-1.2275048196459419</c:v>
                </c:pt>
                <c:pt idx="319">
                  <c:v>-1.1965642883285952</c:v>
                </c:pt>
                <c:pt idx="320">
                  <c:v>-1.1656237570112484</c:v>
                </c:pt>
                <c:pt idx="321">
                  <c:v>-1.1346832256939035</c:v>
                </c:pt>
                <c:pt idx="322">
                  <c:v>-1.1037426943765567</c:v>
                </c:pt>
                <c:pt idx="323">
                  <c:v>-1.0728021630592099</c:v>
                </c:pt>
                <c:pt idx="324">
                  <c:v>-1.0418616317418632</c:v>
                </c:pt>
                <c:pt idx="325">
                  <c:v>-1.0109211004245182</c:v>
                </c:pt>
                <c:pt idx="326">
                  <c:v>-0.97998056910717146</c:v>
                </c:pt>
                <c:pt idx="327">
                  <c:v>-0.94904003778982471</c:v>
                </c:pt>
                <c:pt idx="328">
                  <c:v>-0.91809950647247796</c:v>
                </c:pt>
                <c:pt idx="329">
                  <c:v>-0.88715897515513298</c:v>
                </c:pt>
                <c:pt idx="330">
                  <c:v>-0.85621844383778623</c:v>
                </c:pt>
                <c:pt idx="331">
                  <c:v>-0.82527791252043947</c:v>
                </c:pt>
                <c:pt idx="332">
                  <c:v>-0.79433738120309272</c:v>
                </c:pt>
                <c:pt idx="333">
                  <c:v>-0.76339684988574774</c:v>
                </c:pt>
                <c:pt idx="334">
                  <c:v>-0.73245631856840099</c:v>
                </c:pt>
                <c:pt idx="335">
                  <c:v>-0.70151578725105423</c:v>
                </c:pt>
                <c:pt idx="336">
                  <c:v>-0.67057525593370926</c:v>
                </c:pt>
                <c:pt idx="337">
                  <c:v>-0.6396347246163625</c:v>
                </c:pt>
                <c:pt idx="338">
                  <c:v>-0.60869419329901575</c:v>
                </c:pt>
                <c:pt idx="339">
                  <c:v>-0.577753661981669</c:v>
                </c:pt>
                <c:pt idx="340">
                  <c:v>-0.54681313066432402</c:v>
                </c:pt>
                <c:pt idx="341">
                  <c:v>-0.51587259934697727</c:v>
                </c:pt>
                <c:pt idx="342">
                  <c:v>-0.48493206802963051</c:v>
                </c:pt>
                <c:pt idx="343">
                  <c:v>-0.45399153671228376</c:v>
                </c:pt>
                <c:pt idx="344">
                  <c:v>-0.42305100539493878</c:v>
                </c:pt>
                <c:pt idx="345">
                  <c:v>-0.39211047407759203</c:v>
                </c:pt>
                <c:pt idx="346">
                  <c:v>-0.36116994276024528</c:v>
                </c:pt>
                <c:pt idx="347">
                  <c:v>-0.3302294114429003</c:v>
                </c:pt>
                <c:pt idx="348">
                  <c:v>-0.29928888012555355</c:v>
                </c:pt>
                <c:pt idx="349">
                  <c:v>-0.26834834880820679</c:v>
                </c:pt>
                <c:pt idx="350">
                  <c:v>-0.23740781749086004</c:v>
                </c:pt>
                <c:pt idx="351">
                  <c:v>-0.20646728617351506</c:v>
                </c:pt>
                <c:pt idx="352">
                  <c:v>-0.17552675485616831</c:v>
                </c:pt>
                <c:pt idx="353">
                  <c:v>-0.14458622353882156</c:v>
                </c:pt>
                <c:pt idx="354">
                  <c:v>-0.1136456922214748</c:v>
                </c:pt>
                <c:pt idx="355">
                  <c:v>-8.2705160904129826E-2</c:v>
                </c:pt>
                <c:pt idx="356">
                  <c:v>-5.1764629586783073E-2</c:v>
                </c:pt>
                <c:pt idx="357">
                  <c:v>-2.082409826943632E-2</c:v>
                </c:pt>
                <c:pt idx="358">
                  <c:v>1.0116433047910434E-2</c:v>
                </c:pt>
                <c:pt idx="359">
                  <c:v>4.1056964365255411E-2</c:v>
                </c:pt>
                <c:pt idx="360">
                  <c:v>7.1997495682602164E-2</c:v>
                </c:pt>
                <c:pt idx="361">
                  <c:v>0.10293802699994892</c:v>
                </c:pt>
                <c:pt idx="362">
                  <c:v>0.13387855831729389</c:v>
                </c:pt>
                <c:pt idx="363">
                  <c:v>0.16481908963464065</c:v>
                </c:pt>
                <c:pt idx="364">
                  <c:v>0.1957596209519874</c:v>
                </c:pt>
                <c:pt idx="365">
                  <c:v>0.22670015226933415</c:v>
                </c:pt>
                <c:pt idx="366">
                  <c:v>0.25764068358667913</c:v>
                </c:pt>
                <c:pt idx="367">
                  <c:v>0.28858121490402588</c:v>
                </c:pt>
                <c:pt idx="368">
                  <c:v>0.31952174622137264</c:v>
                </c:pt>
                <c:pt idx="369">
                  <c:v>0.35046227753871939</c:v>
                </c:pt>
                <c:pt idx="370">
                  <c:v>0.38140280885606437</c:v>
                </c:pt>
                <c:pt idx="371">
                  <c:v>0.41234334017341112</c:v>
                </c:pt>
                <c:pt idx="372">
                  <c:v>0.44328387149075787</c:v>
                </c:pt>
                <c:pt idx="373">
                  <c:v>0.47422440280810285</c:v>
                </c:pt>
                <c:pt idx="374">
                  <c:v>0.50516493412544961</c:v>
                </c:pt>
                <c:pt idx="375">
                  <c:v>0.53610546544279636</c:v>
                </c:pt>
                <c:pt idx="376">
                  <c:v>0.56704599676014311</c:v>
                </c:pt>
                <c:pt idx="377">
                  <c:v>0.59798652807748809</c:v>
                </c:pt>
                <c:pt idx="378">
                  <c:v>0.62892705939483484</c:v>
                </c:pt>
                <c:pt idx="379">
                  <c:v>0.6598675907121816</c:v>
                </c:pt>
                <c:pt idx="380">
                  <c:v>0.69080812202952835</c:v>
                </c:pt>
                <c:pt idx="381">
                  <c:v>0.72174865334687333</c:v>
                </c:pt>
                <c:pt idx="382">
                  <c:v>0.75268918466422008</c:v>
                </c:pt>
                <c:pt idx="383">
                  <c:v>0.78362971598156683</c:v>
                </c:pt>
                <c:pt idx="384">
                  <c:v>0.81457024729891181</c:v>
                </c:pt>
                <c:pt idx="385">
                  <c:v>0.84551077861625856</c:v>
                </c:pt>
                <c:pt idx="386">
                  <c:v>0.87645130993360532</c:v>
                </c:pt>
                <c:pt idx="387">
                  <c:v>0.90739184125095207</c:v>
                </c:pt>
                <c:pt idx="388">
                  <c:v>0.93833237256829705</c:v>
                </c:pt>
                <c:pt idx="389">
                  <c:v>0.9692729038856438</c:v>
                </c:pt>
                <c:pt idx="390">
                  <c:v>1.0002134352029906</c:v>
                </c:pt>
                <c:pt idx="391">
                  <c:v>1.0311539665203373</c:v>
                </c:pt>
                <c:pt idx="392">
                  <c:v>1.0620944978376823</c:v>
                </c:pt>
                <c:pt idx="393">
                  <c:v>1.093035029155029</c:v>
                </c:pt>
                <c:pt idx="394">
                  <c:v>1.1239755604723758</c:v>
                </c:pt>
                <c:pt idx="395">
                  <c:v>1.1549160917897225</c:v>
                </c:pt>
                <c:pt idx="396">
                  <c:v>1.1858566231070675</c:v>
                </c:pt>
                <c:pt idx="397">
                  <c:v>1.2167971544244143</c:v>
                </c:pt>
                <c:pt idx="398">
                  <c:v>1.247737685741761</c:v>
                </c:pt>
                <c:pt idx="399">
                  <c:v>1.278678217059106</c:v>
                </c:pt>
                <c:pt idx="400">
                  <c:v>1.3096187483764528</c:v>
                </c:pt>
                <c:pt idx="401">
                  <c:v>1.3405592796937995</c:v>
                </c:pt>
                <c:pt idx="402">
                  <c:v>1.3714998110111463</c:v>
                </c:pt>
                <c:pt idx="403">
                  <c:v>1.4024403423284912</c:v>
                </c:pt>
                <c:pt idx="404">
                  <c:v>1.433380873645838</c:v>
                </c:pt>
                <c:pt idx="405">
                  <c:v>1.4643214049631847</c:v>
                </c:pt>
                <c:pt idx="406">
                  <c:v>1.4952619362805315</c:v>
                </c:pt>
                <c:pt idx="407">
                  <c:v>1.5262024675978765</c:v>
                </c:pt>
                <c:pt idx="408">
                  <c:v>1.5571429989152232</c:v>
                </c:pt>
                <c:pt idx="409">
                  <c:v>1.58808353023257</c:v>
                </c:pt>
                <c:pt idx="410">
                  <c:v>1.619024061549915</c:v>
                </c:pt>
                <c:pt idx="411">
                  <c:v>1.6499645928672617</c:v>
                </c:pt>
                <c:pt idx="412">
                  <c:v>1.6809051241846085</c:v>
                </c:pt>
                <c:pt idx="413">
                  <c:v>1.7118456555019552</c:v>
                </c:pt>
                <c:pt idx="414">
                  <c:v>1.7427861868193002</c:v>
                </c:pt>
                <c:pt idx="415">
                  <c:v>1.773726718136647</c:v>
                </c:pt>
                <c:pt idx="416">
                  <c:v>1.8046672494539937</c:v>
                </c:pt>
                <c:pt idx="417">
                  <c:v>1.8356077807713405</c:v>
                </c:pt>
                <c:pt idx="418">
                  <c:v>1.8665483120886854</c:v>
                </c:pt>
                <c:pt idx="419">
                  <c:v>1.8974888434060322</c:v>
                </c:pt>
                <c:pt idx="420">
                  <c:v>1.9284293747233789</c:v>
                </c:pt>
                <c:pt idx="421">
                  <c:v>1.9593699060407257</c:v>
                </c:pt>
                <c:pt idx="422">
                  <c:v>1.9903104373580707</c:v>
                </c:pt>
                <c:pt idx="423">
                  <c:v>2.0212509686754174</c:v>
                </c:pt>
                <c:pt idx="424">
                  <c:v>2.0521914999927642</c:v>
                </c:pt>
                <c:pt idx="425">
                  <c:v>2.0831320313101092</c:v>
                </c:pt>
                <c:pt idx="426">
                  <c:v>2.1140725626274559</c:v>
                </c:pt>
                <c:pt idx="427">
                  <c:v>2.1450130939448027</c:v>
                </c:pt>
                <c:pt idx="428">
                  <c:v>2.1759536252621494</c:v>
                </c:pt>
                <c:pt idx="429">
                  <c:v>2.2068941565794944</c:v>
                </c:pt>
                <c:pt idx="430">
                  <c:v>2.2378346878968411</c:v>
                </c:pt>
                <c:pt idx="431">
                  <c:v>2.2687752192141879</c:v>
                </c:pt>
                <c:pt idx="432">
                  <c:v>2.2997157505315347</c:v>
                </c:pt>
                <c:pt idx="433">
                  <c:v>2.3306562818488796</c:v>
                </c:pt>
                <c:pt idx="434">
                  <c:v>2.3615968131662264</c:v>
                </c:pt>
                <c:pt idx="435">
                  <c:v>2.3925373444835731</c:v>
                </c:pt>
                <c:pt idx="436">
                  <c:v>2.4234778758009181</c:v>
                </c:pt>
                <c:pt idx="437">
                  <c:v>2.4544184071182649</c:v>
                </c:pt>
                <c:pt idx="438">
                  <c:v>2.4853589384356116</c:v>
                </c:pt>
                <c:pt idx="439">
                  <c:v>2.5162994697529584</c:v>
                </c:pt>
                <c:pt idx="440">
                  <c:v>2.5472400010703034</c:v>
                </c:pt>
                <c:pt idx="441">
                  <c:v>2.5781805323876501</c:v>
                </c:pt>
                <c:pt idx="442">
                  <c:v>2.6091210637049969</c:v>
                </c:pt>
                <c:pt idx="443">
                  <c:v>2.6400615950223436</c:v>
                </c:pt>
                <c:pt idx="444">
                  <c:v>2.6710021263396886</c:v>
                </c:pt>
                <c:pt idx="445">
                  <c:v>2.7019426576570353</c:v>
                </c:pt>
                <c:pt idx="446">
                  <c:v>2.7328831889743821</c:v>
                </c:pt>
                <c:pt idx="447">
                  <c:v>2.7638237202917288</c:v>
                </c:pt>
                <c:pt idx="448">
                  <c:v>2.7947642516090738</c:v>
                </c:pt>
                <c:pt idx="449">
                  <c:v>2.8257047829264206</c:v>
                </c:pt>
                <c:pt idx="450">
                  <c:v>2.8566453142437673</c:v>
                </c:pt>
                <c:pt idx="451">
                  <c:v>2.8875858455611123</c:v>
                </c:pt>
                <c:pt idx="452">
                  <c:v>2.9185263768784591</c:v>
                </c:pt>
                <c:pt idx="453">
                  <c:v>2.9494669081958058</c:v>
                </c:pt>
                <c:pt idx="454">
                  <c:v>2.9804074395131526</c:v>
                </c:pt>
                <c:pt idx="455">
                  <c:v>3.0113479708304975</c:v>
                </c:pt>
                <c:pt idx="456">
                  <c:v>3.0422885021478443</c:v>
                </c:pt>
                <c:pt idx="457">
                  <c:v>3.0732290334651911</c:v>
                </c:pt>
                <c:pt idx="458">
                  <c:v>3.1041695647825378</c:v>
                </c:pt>
                <c:pt idx="459">
                  <c:v>3.1351100960998828</c:v>
                </c:pt>
                <c:pt idx="460">
                  <c:v>3.1660506274172295</c:v>
                </c:pt>
                <c:pt idx="461">
                  <c:v>3.1969911587345763</c:v>
                </c:pt>
                <c:pt idx="462">
                  <c:v>3.2279316900519213</c:v>
                </c:pt>
                <c:pt idx="463">
                  <c:v>3.258872221369268</c:v>
                </c:pt>
                <c:pt idx="464">
                  <c:v>3.2898127526866148</c:v>
                </c:pt>
                <c:pt idx="465">
                  <c:v>3.3207532840039615</c:v>
                </c:pt>
                <c:pt idx="466">
                  <c:v>3.3516938153213065</c:v>
                </c:pt>
                <c:pt idx="467">
                  <c:v>3.3826343466386533</c:v>
                </c:pt>
                <c:pt idx="468">
                  <c:v>3.413574877956</c:v>
                </c:pt>
                <c:pt idx="469">
                  <c:v>3.4445154092733468</c:v>
                </c:pt>
                <c:pt idx="470">
                  <c:v>3.4754559405906917</c:v>
                </c:pt>
                <c:pt idx="471">
                  <c:v>3.5063964719080385</c:v>
                </c:pt>
                <c:pt idx="472">
                  <c:v>3.5373370032253852</c:v>
                </c:pt>
                <c:pt idx="473">
                  <c:v>3.568277534542732</c:v>
                </c:pt>
                <c:pt idx="474">
                  <c:v>3.599218065860077</c:v>
                </c:pt>
                <c:pt idx="475">
                  <c:v>3.6301585971774237</c:v>
                </c:pt>
                <c:pt idx="476">
                  <c:v>3.6610991284947705</c:v>
                </c:pt>
                <c:pt idx="477">
                  <c:v>3.6920396598121155</c:v>
                </c:pt>
                <c:pt idx="478">
                  <c:v>3.7229801911294622</c:v>
                </c:pt>
                <c:pt idx="479">
                  <c:v>3.753920722446809</c:v>
                </c:pt>
                <c:pt idx="480">
                  <c:v>3.7848612537641557</c:v>
                </c:pt>
                <c:pt idx="481">
                  <c:v>3.8158017850815007</c:v>
                </c:pt>
                <c:pt idx="482">
                  <c:v>3.8467423163988474</c:v>
                </c:pt>
                <c:pt idx="483">
                  <c:v>3.8776828477161942</c:v>
                </c:pt>
                <c:pt idx="484">
                  <c:v>3.908623379033541</c:v>
                </c:pt>
                <c:pt idx="485">
                  <c:v>3.9395639103508859</c:v>
                </c:pt>
                <c:pt idx="486">
                  <c:v>3.9705044416682327</c:v>
                </c:pt>
                <c:pt idx="487">
                  <c:v>4.0014449729855794</c:v>
                </c:pt>
                <c:pt idx="488">
                  <c:v>4.0323855043029244</c:v>
                </c:pt>
                <c:pt idx="489">
                  <c:v>4.0633260356202712</c:v>
                </c:pt>
                <c:pt idx="490">
                  <c:v>4.0942665669376179</c:v>
                </c:pt>
                <c:pt idx="491">
                  <c:v>4.1252070982549647</c:v>
                </c:pt>
                <c:pt idx="492">
                  <c:v>4.1561476295723097</c:v>
                </c:pt>
                <c:pt idx="493">
                  <c:v>4.1870881608896564</c:v>
                </c:pt>
                <c:pt idx="494">
                  <c:v>4.2180286922070032</c:v>
                </c:pt>
                <c:pt idx="495">
                  <c:v>4.2489692235243499</c:v>
                </c:pt>
                <c:pt idx="496">
                  <c:v>4.2799097548416949</c:v>
                </c:pt>
                <c:pt idx="497">
                  <c:v>4.3108502861590416</c:v>
                </c:pt>
                <c:pt idx="498">
                  <c:v>4.3417908174763884</c:v>
                </c:pt>
                <c:pt idx="499">
                  <c:v>4.3727313487937352</c:v>
                </c:pt>
                <c:pt idx="500">
                  <c:v>4.4036718801110801</c:v>
                </c:pt>
                <c:pt idx="501">
                  <c:v>4.4346124114284269</c:v>
                </c:pt>
                <c:pt idx="502">
                  <c:v>4.4655529427457736</c:v>
                </c:pt>
                <c:pt idx="503">
                  <c:v>4.4964934740631186</c:v>
                </c:pt>
                <c:pt idx="504">
                  <c:v>4.5274340053804654</c:v>
                </c:pt>
                <c:pt idx="505">
                  <c:v>4.5583745366978121</c:v>
                </c:pt>
                <c:pt idx="506">
                  <c:v>4.5893150680151589</c:v>
                </c:pt>
                <c:pt idx="507">
                  <c:v>4.6202555993325038</c:v>
                </c:pt>
                <c:pt idx="508">
                  <c:v>4.6511961306498506</c:v>
                </c:pt>
                <c:pt idx="509">
                  <c:v>4.6821366619671974</c:v>
                </c:pt>
                <c:pt idx="510">
                  <c:v>4.7130771932845441</c:v>
                </c:pt>
                <c:pt idx="511">
                  <c:v>4.7440177246018891</c:v>
                </c:pt>
                <c:pt idx="512">
                  <c:v>4.7749582559192358</c:v>
                </c:pt>
                <c:pt idx="513">
                  <c:v>4.8058987872365826</c:v>
                </c:pt>
                <c:pt idx="514">
                  <c:v>4.8368393185539276</c:v>
                </c:pt>
                <c:pt idx="515">
                  <c:v>4.8677798498712743</c:v>
                </c:pt>
                <c:pt idx="516">
                  <c:v>4.8987203811886211</c:v>
                </c:pt>
                <c:pt idx="517">
                  <c:v>4.9296609125059678</c:v>
                </c:pt>
                <c:pt idx="518">
                  <c:v>4.9606014438233128</c:v>
                </c:pt>
                <c:pt idx="519">
                  <c:v>4.9915419751406613</c:v>
                </c:pt>
                <c:pt idx="520">
                  <c:v>5.0224825064580063</c:v>
                </c:pt>
                <c:pt idx="521">
                  <c:v>5.0534230377753513</c:v>
                </c:pt>
                <c:pt idx="522">
                  <c:v>5.0843635690926998</c:v>
                </c:pt>
                <c:pt idx="523">
                  <c:v>5.1153041004100448</c:v>
                </c:pt>
                <c:pt idx="524">
                  <c:v>5.1462446317273898</c:v>
                </c:pt>
                <c:pt idx="525">
                  <c:v>5.1771851630447383</c:v>
                </c:pt>
                <c:pt idx="526">
                  <c:v>5.2081256943620833</c:v>
                </c:pt>
                <c:pt idx="527">
                  <c:v>5.2390662256794283</c:v>
                </c:pt>
                <c:pt idx="528">
                  <c:v>5.2700067569967768</c:v>
                </c:pt>
                <c:pt idx="529">
                  <c:v>5.3009472883141218</c:v>
                </c:pt>
                <c:pt idx="530">
                  <c:v>5.3318878196314703</c:v>
                </c:pt>
                <c:pt idx="531">
                  <c:v>5.3628283509488153</c:v>
                </c:pt>
                <c:pt idx="532">
                  <c:v>5.3937688822661602</c:v>
                </c:pt>
                <c:pt idx="533">
                  <c:v>5.4247094135835088</c:v>
                </c:pt>
                <c:pt idx="534">
                  <c:v>5.4556499449008538</c:v>
                </c:pt>
                <c:pt idx="535">
                  <c:v>5.4865904762181987</c:v>
                </c:pt>
                <c:pt idx="536">
                  <c:v>5.5175310075355473</c:v>
                </c:pt>
                <c:pt idx="537">
                  <c:v>5.5484715388528922</c:v>
                </c:pt>
                <c:pt idx="538">
                  <c:v>5.5794120701702372</c:v>
                </c:pt>
                <c:pt idx="539">
                  <c:v>5.6103526014875857</c:v>
                </c:pt>
                <c:pt idx="540">
                  <c:v>5.6412931328049307</c:v>
                </c:pt>
                <c:pt idx="541">
                  <c:v>5.6722336641222793</c:v>
                </c:pt>
                <c:pt idx="542">
                  <c:v>5.7031741954396242</c:v>
                </c:pt>
                <c:pt idx="543">
                  <c:v>5.7341147267569692</c:v>
                </c:pt>
                <c:pt idx="544">
                  <c:v>5.7650552580743177</c:v>
                </c:pt>
                <c:pt idx="545">
                  <c:v>5.7959957893916627</c:v>
                </c:pt>
                <c:pt idx="546">
                  <c:v>5.8269363207090077</c:v>
                </c:pt>
                <c:pt idx="547">
                  <c:v>5.8578768520263562</c:v>
                </c:pt>
                <c:pt idx="548">
                  <c:v>5.8888173833437012</c:v>
                </c:pt>
                <c:pt idx="549">
                  <c:v>5.9197579146610497</c:v>
                </c:pt>
                <c:pt idx="550">
                  <c:v>5.9506984459783947</c:v>
                </c:pt>
                <c:pt idx="551">
                  <c:v>5.9816389772957397</c:v>
                </c:pt>
                <c:pt idx="552">
                  <c:v>6.0125795086130882</c:v>
                </c:pt>
                <c:pt idx="553">
                  <c:v>6.0435200399304332</c:v>
                </c:pt>
                <c:pt idx="554">
                  <c:v>6.0744605712477782</c:v>
                </c:pt>
                <c:pt idx="555">
                  <c:v>6.1054011025651267</c:v>
                </c:pt>
                <c:pt idx="556">
                  <c:v>6.1363416338824717</c:v>
                </c:pt>
                <c:pt idx="557">
                  <c:v>6.1672821651998166</c:v>
                </c:pt>
                <c:pt idx="558">
                  <c:v>6.1982226965171652</c:v>
                </c:pt>
                <c:pt idx="559">
                  <c:v>6.2291632278345102</c:v>
                </c:pt>
                <c:pt idx="560">
                  <c:v>6.2601037591518587</c:v>
                </c:pt>
                <c:pt idx="561">
                  <c:v>6.2910442904692037</c:v>
                </c:pt>
                <c:pt idx="562">
                  <c:v>6.3219848217865486</c:v>
                </c:pt>
                <c:pt idx="563">
                  <c:v>6.3529253531038972</c:v>
                </c:pt>
                <c:pt idx="564">
                  <c:v>6.3838658844212421</c:v>
                </c:pt>
                <c:pt idx="565">
                  <c:v>6.4148064157385871</c:v>
                </c:pt>
                <c:pt idx="566">
                  <c:v>6.4457469470559356</c:v>
                </c:pt>
                <c:pt idx="567">
                  <c:v>6.4766874783732806</c:v>
                </c:pt>
                <c:pt idx="568">
                  <c:v>6.5076280096906256</c:v>
                </c:pt>
                <c:pt idx="569">
                  <c:v>6.5385685410079741</c:v>
                </c:pt>
                <c:pt idx="570">
                  <c:v>6.5695090723253191</c:v>
                </c:pt>
                <c:pt idx="571">
                  <c:v>6.6004496036426676</c:v>
                </c:pt>
                <c:pt idx="572">
                  <c:v>6.6313901349600126</c:v>
                </c:pt>
                <c:pt idx="573">
                  <c:v>6.6623306662773576</c:v>
                </c:pt>
                <c:pt idx="574">
                  <c:v>6.6932711975947061</c:v>
                </c:pt>
                <c:pt idx="575">
                  <c:v>6.7242117289120511</c:v>
                </c:pt>
                <c:pt idx="576">
                  <c:v>6.7551522602293961</c:v>
                </c:pt>
                <c:pt idx="577">
                  <c:v>6.7860927915467446</c:v>
                </c:pt>
                <c:pt idx="578">
                  <c:v>6.8170333228640896</c:v>
                </c:pt>
                <c:pt idx="579">
                  <c:v>6.8479738541814346</c:v>
                </c:pt>
                <c:pt idx="580">
                  <c:v>6.8789143854987831</c:v>
                </c:pt>
                <c:pt idx="581">
                  <c:v>6.9098549168161281</c:v>
                </c:pt>
                <c:pt idx="582">
                  <c:v>6.9407954481334766</c:v>
                </c:pt>
                <c:pt idx="583">
                  <c:v>6.9717359794508216</c:v>
                </c:pt>
                <c:pt idx="584">
                  <c:v>7.0026765107681666</c:v>
                </c:pt>
                <c:pt idx="585">
                  <c:v>7.0336170420855151</c:v>
                </c:pt>
                <c:pt idx="586">
                  <c:v>7.0645575734028601</c:v>
                </c:pt>
                <c:pt idx="587">
                  <c:v>7.095498104720205</c:v>
                </c:pt>
                <c:pt idx="588">
                  <c:v>7.1264386360375536</c:v>
                </c:pt>
                <c:pt idx="589">
                  <c:v>7.1573791673548985</c:v>
                </c:pt>
                <c:pt idx="590">
                  <c:v>7.1883196986722435</c:v>
                </c:pt>
                <c:pt idx="591">
                  <c:v>7.219260229989592</c:v>
                </c:pt>
                <c:pt idx="592">
                  <c:v>7.250200761306937</c:v>
                </c:pt>
                <c:pt idx="593">
                  <c:v>7.2811412926242856</c:v>
                </c:pt>
                <c:pt idx="594">
                  <c:v>7.3120818239416305</c:v>
                </c:pt>
                <c:pt idx="595">
                  <c:v>7.3430223552589755</c:v>
                </c:pt>
                <c:pt idx="596">
                  <c:v>7.373962886576324</c:v>
                </c:pt>
                <c:pt idx="597">
                  <c:v>7.404903417893669</c:v>
                </c:pt>
                <c:pt idx="598">
                  <c:v>7.435843949211014</c:v>
                </c:pt>
                <c:pt idx="599">
                  <c:v>7.4667844805283625</c:v>
                </c:pt>
                <c:pt idx="600">
                  <c:v>7.4977250118457075</c:v>
                </c:pt>
                <c:pt idx="601">
                  <c:v>7.528665543163056</c:v>
                </c:pt>
                <c:pt idx="602">
                  <c:v>7.559606074480401</c:v>
                </c:pt>
                <c:pt idx="603">
                  <c:v>7.590546605797746</c:v>
                </c:pt>
                <c:pt idx="604">
                  <c:v>7.6214871371150945</c:v>
                </c:pt>
                <c:pt idx="605">
                  <c:v>7.6524276684324395</c:v>
                </c:pt>
                <c:pt idx="606">
                  <c:v>7.6833681997497845</c:v>
                </c:pt>
                <c:pt idx="607">
                  <c:v>7.714308731067133</c:v>
                </c:pt>
                <c:pt idx="608">
                  <c:v>7.745249262384478</c:v>
                </c:pt>
                <c:pt idx="609">
                  <c:v>7.7761897937018229</c:v>
                </c:pt>
                <c:pt idx="610">
                  <c:v>7.8071303250191715</c:v>
                </c:pt>
                <c:pt idx="611">
                  <c:v>7.8380708563365165</c:v>
                </c:pt>
                <c:pt idx="612">
                  <c:v>7.869011387653865</c:v>
                </c:pt>
                <c:pt idx="613">
                  <c:v>7.89995191897121</c:v>
                </c:pt>
                <c:pt idx="614">
                  <c:v>7.9308924502885549</c:v>
                </c:pt>
                <c:pt idx="615">
                  <c:v>7.9618329816059035</c:v>
                </c:pt>
                <c:pt idx="616">
                  <c:v>7.9927735129232484</c:v>
                </c:pt>
                <c:pt idx="617">
                  <c:v>8.0237140442405934</c:v>
                </c:pt>
                <c:pt idx="618">
                  <c:v>8.054654575557942</c:v>
                </c:pt>
                <c:pt idx="619">
                  <c:v>8.0855951068752869</c:v>
                </c:pt>
                <c:pt idx="620">
                  <c:v>8.1165356381926319</c:v>
                </c:pt>
                <c:pt idx="621">
                  <c:v>8.1474761695099804</c:v>
                </c:pt>
                <c:pt idx="622">
                  <c:v>8.1784167008273254</c:v>
                </c:pt>
                <c:pt idx="623">
                  <c:v>8.2093572321446739</c:v>
                </c:pt>
                <c:pt idx="624">
                  <c:v>8.2402977634620189</c:v>
                </c:pt>
                <c:pt idx="625">
                  <c:v>8.2712382947793639</c:v>
                </c:pt>
                <c:pt idx="626">
                  <c:v>8.3021788260967124</c:v>
                </c:pt>
                <c:pt idx="627">
                  <c:v>8.3331193574140574</c:v>
                </c:pt>
                <c:pt idx="628">
                  <c:v>8.3640598887314024</c:v>
                </c:pt>
                <c:pt idx="629">
                  <c:v>8.3950004200487509</c:v>
                </c:pt>
                <c:pt idx="630">
                  <c:v>8.4259409513660959</c:v>
                </c:pt>
                <c:pt idx="631">
                  <c:v>8.4568814826834409</c:v>
                </c:pt>
                <c:pt idx="632">
                  <c:v>8.4878220140007894</c:v>
                </c:pt>
                <c:pt idx="633">
                  <c:v>8.5187625453181344</c:v>
                </c:pt>
                <c:pt idx="634">
                  <c:v>8.5497030766354829</c:v>
                </c:pt>
                <c:pt idx="635">
                  <c:v>8.5806436079528279</c:v>
                </c:pt>
                <c:pt idx="636">
                  <c:v>8.6115841392701729</c:v>
                </c:pt>
                <c:pt idx="637">
                  <c:v>8.6425246705875214</c:v>
                </c:pt>
                <c:pt idx="638">
                  <c:v>8.6734652019048664</c:v>
                </c:pt>
                <c:pt idx="639">
                  <c:v>8.7044057332222113</c:v>
                </c:pt>
                <c:pt idx="640">
                  <c:v>8.7353462645395599</c:v>
                </c:pt>
                <c:pt idx="641">
                  <c:v>8.7662867958569048</c:v>
                </c:pt>
                <c:pt idx="642">
                  <c:v>8.7972273271742498</c:v>
                </c:pt>
                <c:pt idx="643">
                  <c:v>8.8281678584915984</c:v>
                </c:pt>
                <c:pt idx="644">
                  <c:v>8.8591083898089433</c:v>
                </c:pt>
                <c:pt idx="645">
                  <c:v>8.8900489211262919</c:v>
                </c:pt>
                <c:pt idx="646">
                  <c:v>8.9209894524436368</c:v>
                </c:pt>
                <c:pt idx="647">
                  <c:v>8.9519299837609818</c:v>
                </c:pt>
                <c:pt idx="648">
                  <c:v>8.9828705150783303</c:v>
                </c:pt>
                <c:pt idx="649">
                  <c:v>9.0138110463956753</c:v>
                </c:pt>
                <c:pt idx="650">
                  <c:v>9.0447515777130203</c:v>
                </c:pt>
                <c:pt idx="651">
                  <c:v>9.0756921090303688</c:v>
                </c:pt>
                <c:pt idx="652">
                  <c:v>9.1066326403477138</c:v>
                </c:pt>
                <c:pt idx="653">
                  <c:v>9.1375731716650588</c:v>
                </c:pt>
                <c:pt idx="654">
                  <c:v>9.1685137029824073</c:v>
                </c:pt>
                <c:pt idx="655">
                  <c:v>9.1994542342997523</c:v>
                </c:pt>
                <c:pt idx="656">
                  <c:v>9.2303947656171008</c:v>
                </c:pt>
                <c:pt idx="657">
                  <c:v>9.2613352969344458</c:v>
                </c:pt>
                <c:pt idx="658">
                  <c:v>9.2922758282517908</c:v>
                </c:pt>
                <c:pt idx="659">
                  <c:v>9.3232163595691393</c:v>
                </c:pt>
                <c:pt idx="660">
                  <c:v>9.3541568908864843</c:v>
                </c:pt>
                <c:pt idx="661">
                  <c:v>9.3850974222038293</c:v>
                </c:pt>
                <c:pt idx="662">
                  <c:v>9.4160379535211778</c:v>
                </c:pt>
                <c:pt idx="663">
                  <c:v>9.4469784848385228</c:v>
                </c:pt>
                <c:pt idx="664">
                  <c:v>9.4779190161558713</c:v>
                </c:pt>
                <c:pt idx="665">
                  <c:v>9.5088595474732163</c:v>
                </c:pt>
                <c:pt idx="666">
                  <c:v>9.5398000787905612</c:v>
                </c:pt>
                <c:pt idx="667">
                  <c:v>9.5707406101079098</c:v>
                </c:pt>
                <c:pt idx="668">
                  <c:v>9.6016811414252548</c:v>
                </c:pt>
                <c:pt idx="669">
                  <c:v>9.6326216727425997</c:v>
                </c:pt>
                <c:pt idx="670">
                  <c:v>9.6635622040599483</c:v>
                </c:pt>
                <c:pt idx="671">
                  <c:v>9.6945027353772932</c:v>
                </c:pt>
                <c:pt idx="672">
                  <c:v>9.7254432666946382</c:v>
                </c:pt>
                <c:pt idx="673">
                  <c:v>9.7563837980119867</c:v>
                </c:pt>
                <c:pt idx="674">
                  <c:v>9.7873243293293317</c:v>
                </c:pt>
                <c:pt idx="675">
                  <c:v>9.8182648606466802</c:v>
                </c:pt>
                <c:pt idx="676">
                  <c:v>9.8492053919640252</c:v>
                </c:pt>
                <c:pt idx="677">
                  <c:v>9.8801459232813702</c:v>
                </c:pt>
                <c:pt idx="678">
                  <c:v>9.9110864545987187</c:v>
                </c:pt>
                <c:pt idx="679">
                  <c:v>9.9420269859160637</c:v>
                </c:pt>
                <c:pt idx="680">
                  <c:v>9.9729675172334087</c:v>
                </c:pt>
                <c:pt idx="681">
                  <c:v>10.003908048550757</c:v>
                </c:pt>
                <c:pt idx="682">
                  <c:v>10.034848579868102</c:v>
                </c:pt>
                <c:pt idx="683">
                  <c:v>10.065789111185447</c:v>
                </c:pt>
                <c:pt idx="684">
                  <c:v>10.096729642502796</c:v>
                </c:pt>
                <c:pt idx="685">
                  <c:v>10.127670173820141</c:v>
                </c:pt>
                <c:pt idx="686">
                  <c:v>10.158610705137489</c:v>
                </c:pt>
                <c:pt idx="687">
                  <c:v>10.189551236454834</c:v>
                </c:pt>
                <c:pt idx="688">
                  <c:v>10.220491767772179</c:v>
                </c:pt>
                <c:pt idx="689">
                  <c:v>10.251432299089528</c:v>
                </c:pt>
                <c:pt idx="690">
                  <c:v>10.282372830406873</c:v>
                </c:pt>
                <c:pt idx="691">
                  <c:v>10.313313361724218</c:v>
                </c:pt>
                <c:pt idx="692">
                  <c:v>10.344253893041566</c:v>
                </c:pt>
                <c:pt idx="693">
                  <c:v>10.375194424358911</c:v>
                </c:pt>
                <c:pt idx="694">
                  <c:v>10.406134955676256</c:v>
                </c:pt>
                <c:pt idx="695">
                  <c:v>10.437075486993605</c:v>
                </c:pt>
                <c:pt idx="696">
                  <c:v>10.46801601831095</c:v>
                </c:pt>
                <c:pt idx="697">
                  <c:v>10.498956549628298</c:v>
                </c:pt>
                <c:pt idx="698">
                  <c:v>10.529897080945643</c:v>
                </c:pt>
                <c:pt idx="699">
                  <c:v>10.560837612262988</c:v>
                </c:pt>
                <c:pt idx="700">
                  <c:v>10.591778143580337</c:v>
                </c:pt>
                <c:pt idx="701">
                  <c:v>10.622718674897682</c:v>
                </c:pt>
                <c:pt idx="702">
                  <c:v>10.653659206215027</c:v>
                </c:pt>
                <c:pt idx="703">
                  <c:v>10.684599737532375</c:v>
                </c:pt>
                <c:pt idx="704">
                  <c:v>10.71554026884972</c:v>
                </c:pt>
                <c:pt idx="705">
                  <c:v>10.746480800167065</c:v>
                </c:pt>
                <c:pt idx="706">
                  <c:v>10.777421331484414</c:v>
                </c:pt>
                <c:pt idx="707">
                  <c:v>10.808361862801759</c:v>
                </c:pt>
                <c:pt idx="708">
                  <c:v>10.839302394119107</c:v>
                </c:pt>
                <c:pt idx="709">
                  <c:v>10.870242925436452</c:v>
                </c:pt>
                <c:pt idx="710">
                  <c:v>10.901183456753797</c:v>
                </c:pt>
                <c:pt idx="711">
                  <c:v>10.932123988071146</c:v>
                </c:pt>
                <c:pt idx="712">
                  <c:v>10.963064519388491</c:v>
                </c:pt>
                <c:pt idx="713">
                  <c:v>10.994005050705836</c:v>
                </c:pt>
                <c:pt idx="714">
                  <c:v>11.024945582023184</c:v>
                </c:pt>
                <c:pt idx="715">
                  <c:v>11.055886113340529</c:v>
                </c:pt>
                <c:pt idx="716">
                  <c:v>11.086826644657878</c:v>
                </c:pt>
                <c:pt idx="717">
                  <c:v>11.117767175975223</c:v>
                </c:pt>
                <c:pt idx="718">
                  <c:v>11.148707707292568</c:v>
                </c:pt>
                <c:pt idx="719">
                  <c:v>11.179648238609916</c:v>
                </c:pt>
                <c:pt idx="720">
                  <c:v>11.210588769927261</c:v>
                </c:pt>
                <c:pt idx="721">
                  <c:v>11.241529301244606</c:v>
                </c:pt>
                <c:pt idx="722">
                  <c:v>11.272469832561955</c:v>
                </c:pt>
                <c:pt idx="723">
                  <c:v>11.3034103638793</c:v>
                </c:pt>
                <c:pt idx="724">
                  <c:v>11.334350895196645</c:v>
                </c:pt>
                <c:pt idx="725">
                  <c:v>11.365291426513993</c:v>
                </c:pt>
                <c:pt idx="726">
                  <c:v>11.396231957831338</c:v>
                </c:pt>
                <c:pt idx="727">
                  <c:v>11.427172489148687</c:v>
                </c:pt>
                <c:pt idx="728">
                  <c:v>11.458113020466032</c:v>
                </c:pt>
                <c:pt idx="729">
                  <c:v>11.489053551783377</c:v>
                </c:pt>
                <c:pt idx="730">
                  <c:v>11.519994083100725</c:v>
                </c:pt>
                <c:pt idx="731">
                  <c:v>11.55093461441807</c:v>
                </c:pt>
                <c:pt idx="732">
                  <c:v>11.581875145735415</c:v>
                </c:pt>
                <c:pt idx="733">
                  <c:v>11.612815677052764</c:v>
                </c:pt>
                <c:pt idx="734">
                  <c:v>11.643756208370108</c:v>
                </c:pt>
                <c:pt idx="735">
                  <c:v>11.674696739687453</c:v>
                </c:pt>
                <c:pt idx="736">
                  <c:v>11.705637271004802</c:v>
                </c:pt>
                <c:pt idx="737">
                  <c:v>11.736577802322147</c:v>
                </c:pt>
                <c:pt idx="738">
                  <c:v>11.767518333639496</c:v>
                </c:pt>
                <c:pt idx="739">
                  <c:v>11.79845886495684</c:v>
                </c:pt>
                <c:pt idx="740">
                  <c:v>11.829399396274185</c:v>
                </c:pt>
                <c:pt idx="741">
                  <c:v>11.860339927591534</c:v>
                </c:pt>
                <c:pt idx="742">
                  <c:v>11.891280458908879</c:v>
                </c:pt>
                <c:pt idx="743">
                  <c:v>11.922220990226224</c:v>
                </c:pt>
                <c:pt idx="744">
                  <c:v>11.953161521543572</c:v>
                </c:pt>
                <c:pt idx="745">
                  <c:v>11.984102052860917</c:v>
                </c:pt>
                <c:pt idx="746">
                  <c:v>12.015042584178262</c:v>
                </c:pt>
                <c:pt idx="747">
                  <c:v>12.045983115495611</c:v>
                </c:pt>
                <c:pt idx="748">
                  <c:v>12.076923646812956</c:v>
                </c:pt>
                <c:pt idx="749">
                  <c:v>12.107864178130304</c:v>
                </c:pt>
                <c:pt idx="750">
                  <c:v>12.138804709447649</c:v>
                </c:pt>
                <c:pt idx="751">
                  <c:v>12.169745240764994</c:v>
                </c:pt>
                <c:pt idx="752">
                  <c:v>12.200685772082343</c:v>
                </c:pt>
                <c:pt idx="753">
                  <c:v>12.231626303399688</c:v>
                </c:pt>
                <c:pt idx="754">
                  <c:v>12.262566834717033</c:v>
                </c:pt>
                <c:pt idx="755">
                  <c:v>12.293507366034381</c:v>
                </c:pt>
                <c:pt idx="756">
                  <c:v>12.324447897351726</c:v>
                </c:pt>
                <c:pt idx="757">
                  <c:v>12.355388428669071</c:v>
                </c:pt>
                <c:pt idx="758">
                  <c:v>12.38632895998642</c:v>
                </c:pt>
                <c:pt idx="759">
                  <c:v>12.417269491303765</c:v>
                </c:pt>
                <c:pt idx="760">
                  <c:v>12.448210022621113</c:v>
                </c:pt>
                <c:pt idx="761">
                  <c:v>12.479150553938458</c:v>
                </c:pt>
                <c:pt idx="762">
                  <c:v>12.510091085255803</c:v>
                </c:pt>
                <c:pt idx="763">
                  <c:v>12.541031616573152</c:v>
                </c:pt>
                <c:pt idx="764">
                  <c:v>12.571972147890497</c:v>
                </c:pt>
                <c:pt idx="765">
                  <c:v>12.602912679207842</c:v>
                </c:pt>
                <c:pt idx="766">
                  <c:v>12.63385321052519</c:v>
                </c:pt>
                <c:pt idx="767">
                  <c:v>12.664793741842535</c:v>
                </c:pt>
                <c:pt idx="768">
                  <c:v>12.69573427315988</c:v>
                </c:pt>
                <c:pt idx="769">
                  <c:v>12.726674804477229</c:v>
                </c:pt>
                <c:pt idx="770">
                  <c:v>12.757615335794574</c:v>
                </c:pt>
                <c:pt idx="771">
                  <c:v>12.788555867111922</c:v>
                </c:pt>
                <c:pt idx="772">
                  <c:v>12.819496398429267</c:v>
                </c:pt>
                <c:pt idx="773">
                  <c:v>12.850436929746612</c:v>
                </c:pt>
                <c:pt idx="774">
                  <c:v>12.881377461063961</c:v>
                </c:pt>
                <c:pt idx="775">
                  <c:v>12.912317992381306</c:v>
                </c:pt>
                <c:pt idx="776">
                  <c:v>12.943258523698651</c:v>
                </c:pt>
                <c:pt idx="777">
                  <c:v>12.974199055015999</c:v>
                </c:pt>
                <c:pt idx="778">
                  <c:v>13.005139586333344</c:v>
                </c:pt>
                <c:pt idx="779">
                  <c:v>13.036080117650693</c:v>
                </c:pt>
                <c:pt idx="780">
                  <c:v>13.067020648968038</c:v>
                </c:pt>
                <c:pt idx="781">
                  <c:v>13.097961180285383</c:v>
                </c:pt>
                <c:pt idx="782">
                  <c:v>13.128901711602731</c:v>
                </c:pt>
                <c:pt idx="783">
                  <c:v>13.159842242920076</c:v>
                </c:pt>
                <c:pt idx="784">
                  <c:v>13.190782774237421</c:v>
                </c:pt>
                <c:pt idx="785">
                  <c:v>13.22172330555477</c:v>
                </c:pt>
                <c:pt idx="786">
                  <c:v>13.252663836872115</c:v>
                </c:pt>
                <c:pt idx="787">
                  <c:v>13.28360436818946</c:v>
                </c:pt>
                <c:pt idx="788">
                  <c:v>13.314544899506808</c:v>
                </c:pt>
                <c:pt idx="789">
                  <c:v>13.345485430824153</c:v>
                </c:pt>
                <c:pt idx="790">
                  <c:v>13.376425962141502</c:v>
                </c:pt>
                <c:pt idx="791">
                  <c:v>13.407366493458847</c:v>
                </c:pt>
                <c:pt idx="792">
                  <c:v>13.438307024776192</c:v>
                </c:pt>
                <c:pt idx="793">
                  <c:v>13.46924755609354</c:v>
                </c:pt>
                <c:pt idx="794">
                  <c:v>13.500188087410885</c:v>
                </c:pt>
                <c:pt idx="795">
                  <c:v>13.53112861872823</c:v>
                </c:pt>
                <c:pt idx="796">
                  <c:v>13.562069150045579</c:v>
                </c:pt>
                <c:pt idx="797">
                  <c:v>13.593009681362924</c:v>
                </c:pt>
                <c:pt idx="798">
                  <c:v>13.623950212680269</c:v>
                </c:pt>
                <c:pt idx="799">
                  <c:v>13.654890743997617</c:v>
                </c:pt>
                <c:pt idx="800">
                  <c:v>13.685831275314962</c:v>
                </c:pt>
                <c:pt idx="801">
                  <c:v>13.716771806632311</c:v>
                </c:pt>
                <c:pt idx="802">
                  <c:v>13.747712337949656</c:v>
                </c:pt>
                <c:pt idx="803">
                  <c:v>13.778652869267001</c:v>
                </c:pt>
                <c:pt idx="804">
                  <c:v>13.809593400584349</c:v>
                </c:pt>
                <c:pt idx="805">
                  <c:v>13.840533931901694</c:v>
                </c:pt>
                <c:pt idx="806">
                  <c:v>13.871474463219039</c:v>
                </c:pt>
                <c:pt idx="807">
                  <c:v>13.902414994536388</c:v>
                </c:pt>
                <c:pt idx="808">
                  <c:v>13.933355525853733</c:v>
                </c:pt>
                <c:pt idx="809">
                  <c:v>13.964296057171078</c:v>
                </c:pt>
                <c:pt idx="810">
                  <c:v>13.995236588488426</c:v>
                </c:pt>
                <c:pt idx="811">
                  <c:v>14.026177119805771</c:v>
                </c:pt>
                <c:pt idx="812">
                  <c:v>14.05711765112312</c:v>
                </c:pt>
                <c:pt idx="813">
                  <c:v>14.088058182440465</c:v>
                </c:pt>
                <c:pt idx="814">
                  <c:v>14.11899871375781</c:v>
                </c:pt>
                <c:pt idx="815">
                  <c:v>14.149939245075158</c:v>
                </c:pt>
                <c:pt idx="816">
                  <c:v>14.180879776392503</c:v>
                </c:pt>
                <c:pt idx="817">
                  <c:v>14.211820307709848</c:v>
                </c:pt>
                <c:pt idx="818">
                  <c:v>14.242760839027197</c:v>
                </c:pt>
                <c:pt idx="819">
                  <c:v>14.273701370344542</c:v>
                </c:pt>
                <c:pt idx="820">
                  <c:v>14.304641901661887</c:v>
                </c:pt>
                <c:pt idx="821">
                  <c:v>14.335582432979235</c:v>
                </c:pt>
                <c:pt idx="822">
                  <c:v>14.36652296429658</c:v>
                </c:pt>
                <c:pt idx="823">
                  <c:v>14.397463495613929</c:v>
                </c:pt>
                <c:pt idx="824">
                  <c:v>14.428404026931274</c:v>
                </c:pt>
                <c:pt idx="825">
                  <c:v>14.459344558248619</c:v>
                </c:pt>
                <c:pt idx="826">
                  <c:v>14.490285089565967</c:v>
                </c:pt>
                <c:pt idx="827">
                  <c:v>14.521225620883312</c:v>
                </c:pt>
                <c:pt idx="828">
                  <c:v>14.552166152200657</c:v>
                </c:pt>
                <c:pt idx="829">
                  <c:v>14.583106683518006</c:v>
                </c:pt>
                <c:pt idx="830">
                  <c:v>14.614047214835351</c:v>
                </c:pt>
                <c:pt idx="831">
                  <c:v>14.644987746152699</c:v>
                </c:pt>
                <c:pt idx="832">
                  <c:v>14.675928277470044</c:v>
                </c:pt>
                <c:pt idx="833">
                  <c:v>14.706868808787389</c:v>
                </c:pt>
                <c:pt idx="834">
                  <c:v>14.737809340104738</c:v>
                </c:pt>
                <c:pt idx="835">
                  <c:v>14.768749871422083</c:v>
                </c:pt>
                <c:pt idx="836">
                  <c:v>14.799690402739428</c:v>
                </c:pt>
                <c:pt idx="837">
                  <c:v>14.830630934056776</c:v>
                </c:pt>
                <c:pt idx="838">
                  <c:v>14.861571465374121</c:v>
                </c:pt>
                <c:pt idx="839">
                  <c:v>14.892511996691466</c:v>
                </c:pt>
                <c:pt idx="840">
                  <c:v>14.923452528008815</c:v>
                </c:pt>
                <c:pt idx="841">
                  <c:v>14.95439305932616</c:v>
                </c:pt>
                <c:pt idx="842">
                  <c:v>14.985333590643508</c:v>
                </c:pt>
                <c:pt idx="843">
                  <c:v>15.016274121960853</c:v>
                </c:pt>
                <c:pt idx="844">
                  <c:v>15.047214653278198</c:v>
                </c:pt>
                <c:pt idx="845">
                  <c:v>15.078155184595547</c:v>
                </c:pt>
                <c:pt idx="846">
                  <c:v>15.109095715912892</c:v>
                </c:pt>
                <c:pt idx="847">
                  <c:v>15.140036247230237</c:v>
                </c:pt>
                <c:pt idx="848">
                  <c:v>15.170976778547585</c:v>
                </c:pt>
                <c:pt idx="849">
                  <c:v>15.20191730986493</c:v>
                </c:pt>
                <c:pt idx="850">
                  <c:v>15.232857841182275</c:v>
                </c:pt>
                <c:pt idx="851">
                  <c:v>15.263798372499624</c:v>
                </c:pt>
                <c:pt idx="852">
                  <c:v>15.294738903816969</c:v>
                </c:pt>
                <c:pt idx="853">
                  <c:v>15.325679435134317</c:v>
                </c:pt>
                <c:pt idx="854">
                  <c:v>15.356619966451662</c:v>
                </c:pt>
                <c:pt idx="855">
                  <c:v>15.387560497769007</c:v>
                </c:pt>
                <c:pt idx="856">
                  <c:v>15.418501029086356</c:v>
                </c:pt>
                <c:pt idx="857">
                  <c:v>15.449441560403701</c:v>
                </c:pt>
                <c:pt idx="858">
                  <c:v>15.480382091721046</c:v>
                </c:pt>
                <c:pt idx="859">
                  <c:v>15.511322623038394</c:v>
                </c:pt>
                <c:pt idx="860">
                  <c:v>15.542263154355739</c:v>
                </c:pt>
                <c:pt idx="861">
                  <c:v>15.573203685673084</c:v>
                </c:pt>
                <c:pt idx="862">
                  <c:v>15.604144216990433</c:v>
                </c:pt>
                <c:pt idx="863">
                  <c:v>15.635084748307778</c:v>
                </c:pt>
                <c:pt idx="864">
                  <c:v>15.666025279625126</c:v>
                </c:pt>
                <c:pt idx="865">
                  <c:v>15.696965810942471</c:v>
                </c:pt>
                <c:pt idx="866">
                  <c:v>15.727906342259816</c:v>
                </c:pt>
                <c:pt idx="867">
                  <c:v>15.758846873577165</c:v>
                </c:pt>
                <c:pt idx="868">
                  <c:v>15.789787404894509</c:v>
                </c:pt>
                <c:pt idx="869">
                  <c:v>15.820727936211854</c:v>
                </c:pt>
                <c:pt idx="870">
                  <c:v>15.851668467529203</c:v>
                </c:pt>
                <c:pt idx="871">
                  <c:v>15.882608998846548</c:v>
                </c:pt>
                <c:pt idx="872">
                  <c:v>15.913549530163893</c:v>
                </c:pt>
                <c:pt idx="873">
                  <c:v>15.944490061481241</c:v>
                </c:pt>
                <c:pt idx="874">
                  <c:v>15.975430592798586</c:v>
                </c:pt>
                <c:pt idx="875">
                  <c:v>16.006371124115937</c:v>
                </c:pt>
                <c:pt idx="876">
                  <c:v>16.037311655433278</c:v>
                </c:pt>
                <c:pt idx="877">
                  <c:v>16.068252186750627</c:v>
                </c:pt>
                <c:pt idx="878">
                  <c:v>16.099192718067975</c:v>
                </c:pt>
                <c:pt idx="879">
                  <c:v>16.130133249385317</c:v>
                </c:pt>
                <c:pt idx="880">
                  <c:v>16.161073780702665</c:v>
                </c:pt>
                <c:pt idx="881">
                  <c:v>16.192014312020014</c:v>
                </c:pt>
                <c:pt idx="882">
                  <c:v>16.222954843337355</c:v>
                </c:pt>
                <c:pt idx="883">
                  <c:v>16.253895374654704</c:v>
                </c:pt>
                <c:pt idx="884">
                  <c:v>16.284835905972052</c:v>
                </c:pt>
                <c:pt idx="885">
                  <c:v>16.315776437289394</c:v>
                </c:pt>
                <c:pt idx="886">
                  <c:v>16.346716968606742</c:v>
                </c:pt>
                <c:pt idx="887">
                  <c:v>16.377657499924091</c:v>
                </c:pt>
                <c:pt idx="888">
                  <c:v>16.408598031241432</c:v>
                </c:pt>
                <c:pt idx="889">
                  <c:v>16.439538562558781</c:v>
                </c:pt>
                <c:pt idx="890">
                  <c:v>16.470479093876129</c:v>
                </c:pt>
                <c:pt idx="891">
                  <c:v>16.501419625193471</c:v>
                </c:pt>
                <c:pt idx="892">
                  <c:v>16.532360156510819</c:v>
                </c:pt>
                <c:pt idx="893">
                  <c:v>16.563300687828168</c:v>
                </c:pt>
                <c:pt idx="894">
                  <c:v>16.594241219145516</c:v>
                </c:pt>
                <c:pt idx="895">
                  <c:v>16.625181750462858</c:v>
                </c:pt>
                <c:pt idx="896">
                  <c:v>16.656122281780206</c:v>
                </c:pt>
                <c:pt idx="897">
                  <c:v>16.687062813097555</c:v>
                </c:pt>
                <c:pt idx="898">
                  <c:v>16.718003344414896</c:v>
                </c:pt>
                <c:pt idx="899">
                  <c:v>16.748943875732245</c:v>
                </c:pt>
                <c:pt idx="900">
                  <c:v>16.779884407049593</c:v>
                </c:pt>
                <c:pt idx="901">
                  <c:v>16.810824938366935</c:v>
                </c:pt>
                <c:pt idx="902">
                  <c:v>16.841765469684283</c:v>
                </c:pt>
                <c:pt idx="903">
                  <c:v>16.872706001001632</c:v>
                </c:pt>
                <c:pt idx="904">
                  <c:v>16.903646532318973</c:v>
                </c:pt>
                <c:pt idx="905">
                  <c:v>16.934587063636322</c:v>
                </c:pt>
                <c:pt idx="906">
                  <c:v>16.96552759495367</c:v>
                </c:pt>
                <c:pt idx="907">
                  <c:v>16.996468126271012</c:v>
                </c:pt>
                <c:pt idx="908">
                  <c:v>#N/A</c:v>
                </c:pt>
                <c:pt idx="909">
                  <c:v>-11.066593778562057</c:v>
                </c:pt>
                <c:pt idx="910">
                  <c:v>-11.03565324724471</c:v>
                </c:pt>
                <c:pt idx="911">
                  <c:v>-11.004712715927365</c:v>
                </c:pt>
                <c:pt idx="912">
                  <c:v>-10.973772184610018</c:v>
                </c:pt>
                <c:pt idx="913">
                  <c:v>-10.942831653292671</c:v>
                </c:pt>
                <c:pt idx="914">
                  <c:v>-10.911891121975325</c:v>
                </c:pt>
                <c:pt idx="915">
                  <c:v>-10.88095059065798</c:v>
                </c:pt>
                <c:pt idx="916">
                  <c:v>-10.850010059340633</c:v>
                </c:pt>
                <c:pt idx="917">
                  <c:v>-10.819069528023286</c:v>
                </c:pt>
                <c:pt idx="918">
                  <c:v>-10.788128996705939</c:v>
                </c:pt>
                <c:pt idx="919">
                  <c:v>-10.757188465388595</c:v>
                </c:pt>
                <c:pt idx="920">
                  <c:v>-10.726247934071248</c:v>
                </c:pt>
                <c:pt idx="921">
                  <c:v>-10.695307402753901</c:v>
                </c:pt>
                <c:pt idx="922">
                  <c:v>-10.664366871436556</c:v>
                </c:pt>
                <c:pt idx="923">
                  <c:v>-10.633426340119209</c:v>
                </c:pt>
                <c:pt idx="924">
                  <c:v>-10.602485808801863</c:v>
                </c:pt>
                <c:pt idx="925">
                  <c:v>-10.571545277484516</c:v>
                </c:pt>
                <c:pt idx="926">
                  <c:v>-10.540604746167171</c:v>
                </c:pt>
                <c:pt idx="927">
                  <c:v>-10.509664214849824</c:v>
                </c:pt>
                <c:pt idx="928">
                  <c:v>-10.478723683532477</c:v>
                </c:pt>
                <c:pt idx="929">
                  <c:v>-10.447783152215131</c:v>
                </c:pt>
                <c:pt idx="930">
                  <c:v>-10.416842620897786</c:v>
                </c:pt>
                <c:pt idx="931">
                  <c:v>-10.385902089580439</c:v>
                </c:pt>
                <c:pt idx="932">
                  <c:v>-10.354961558263092</c:v>
                </c:pt>
                <c:pt idx="933">
                  <c:v>-10.324021026945747</c:v>
                </c:pt>
                <c:pt idx="934">
                  <c:v>-10.2930804956284</c:v>
                </c:pt>
                <c:pt idx="935">
                  <c:v>-10.262139964311054</c:v>
                </c:pt>
                <c:pt idx="936">
                  <c:v>-10.231199432993707</c:v>
                </c:pt>
                <c:pt idx="937">
                  <c:v>-10.200258901676362</c:v>
                </c:pt>
                <c:pt idx="938">
                  <c:v>-10.169318370359015</c:v>
                </c:pt>
                <c:pt idx="939">
                  <c:v>-10.138377839041668</c:v>
                </c:pt>
                <c:pt idx="940">
                  <c:v>-10.107437307724322</c:v>
                </c:pt>
                <c:pt idx="941">
                  <c:v>-10.076496776406977</c:v>
                </c:pt>
                <c:pt idx="942">
                  <c:v>-10.04555624508963</c:v>
                </c:pt>
                <c:pt idx="943">
                  <c:v>-10.014615713772283</c:v>
                </c:pt>
                <c:pt idx="944">
                  <c:v>-9.9836751824549363</c:v>
                </c:pt>
                <c:pt idx="945">
                  <c:v>-9.9527346511375914</c:v>
                </c:pt>
                <c:pt idx="946">
                  <c:v>-9.9217941198202446</c:v>
                </c:pt>
                <c:pt idx="947">
                  <c:v>-9.8908535885028979</c:v>
                </c:pt>
                <c:pt idx="948">
                  <c:v>-9.8599130571855511</c:v>
                </c:pt>
                <c:pt idx="949">
                  <c:v>-9.8289725258682061</c:v>
                </c:pt>
                <c:pt idx="950">
                  <c:v>-9.7980319945508594</c:v>
                </c:pt>
                <c:pt idx="951">
                  <c:v>-9.7670914632335126</c:v>
                </c:pt>
                <c:pt idx="952">
                  <c:v>-9.7361509319161677</c:v>
                </c:pt>
                <c:pt idx="953">
                  <c:v>-9.7052104005988209</c:v>
                </c:pt>
                <c:pt idx="954">
                  <c:v>-9.6742698692814741</c:v>
                </c:pt>
                <c:pt idx="955">
                  <c:v>-9.6433293379641274</c:v>
                </c:pt>
                <c:pt idx="956">
                  <c:v>-9.6123888066467824</c:v>
                </c:pt>
                <c:pt idx="957">
                  <c:v>-9.5814482753294357</c:v>
                </c:pt>
                <c:pt idx="958">
                  <c:v>-9.5505077440120889</c:v>
                </c:pt>
                <c:pt idx="959">
                  <c:v>-9.5195672126947422</c:v>
                </c:pt>
                <c:pt idx="960">
                  <c:v>-9.4886266813773972</c:v>
                </c:pt>
                <c:pt idx="961">
                  <c:v>-9.4576861500600504</c:v>
                </c:pt>
                <c:pt idx="962">
                  <c:v>-9.4267456187427037</c:v>
                </c:pt>
                <c:pt idx="963">
                  <c:v>-9.3958050874253587</c:v>
                </c:pt>
                <c:pt idx="964">
                  <c:v>-9.3648645561080119</c:v>
                </c:pt>
                <c:pt idx="965">
                  <c:v>-9.3339240247906652</c:v>
                </c:pt>
                <c:pt idx="966">
                  <c:v>-9.3029834934733184</c:v>
                </c:pt>
                <c:pt idx="967">
                  <c:v>-9.2720429621559735</c:v>
                </c:pt>
                <c:pt idx="968">
                  <c:v>-9.2411024308386267</c:v>
                </c:pt>
                <c:pt idx="969">
                  <c:v>-9.2101618995212799</c:v>
                </c:pt>
                <c:pt idx="970">
                  <c:v>-9.1792213682039332</c:v>
                </c:pt>
                <c:pt idx="971">
                  <c:v>-9.1482808368865882</c:v>
                </c:pt>
                <c:pt idx="972">
                  <c:v>-9.1173403055692415</c:v>
                </c:pt>
                <c:pt idx="973">
                  <c:v>-9.0863997742518947</c:v>
                </c:pt>
                <c:pt idx="974">
                  <c:v>-9.0554592429345497</c:v>
                </c:pt>
                <c:pt idx="975">
                  <c:v>-9.024518711617203</c:v>
                </c:pt>
                <c:pt idx="976">
                  <c:v>-8.9935781802998562</c:v>
                </c:pt>
                <c:pt idx="977">
                  <c:v>-8.9626376489825095</c:v>
                </c:pt>
                <c:pt idx="978">
                  <c:v>-8.9316971176651627</c:v>
                </c:pt>
                <c:pt idx="979">
                  <c:v>-8.9007565863478177</c:v>
                </c:pt>
                <c:pt idx="980">
                  <c:v>-8.869816055030471</c:v>
                </c:pt>
                <c:pt idx="981">
                  <c:v>-8.8388755237131242</c:v>
                </c:pt>
                <c:pt idx="982">
                  <c:v>-8.8079349923957793</c:v>
                </c:pt>
                <c:pt idx="983">
                  <c:v>-8.7769944610784325</c:v>
                </c:pt>
                <c:pt idx="984">
                  <c:v>-8.7460539297610858</c:v>
                </c:pt>
                <c:pt idx="985">
                  <c:v>-8.7151133984437408</c:v>
                </c:pt>
                <c:pt idx="986">
                  <c:v>-8.684172867126394</c:v>
                </c:pt>
                <c:pt idx="987">
                  <c:v>-8.6532323358090473</c:v>
                </c:pt>
                <c:pt idx="988">
                  <c:v>-8.6222918044917005</c:v>
                </c:pt>
                <c:pt idx="989">
                  <c:v>-8.5913512731743538</c:v>
                </c:pt>
                <c:pt idx="990">
                  <c:v>-8.5604107418570088</c:v>
                </c:pt>
                <c:pt idx="991">
                  <c:v>-8.529470210539662</c:v>
                </c:pt>
                <c:pt idx="992">
                  <c:v>-8.4985296792223153</c:v>
                </c:pt>
                <c:pt idx="993">
                  <c:v>-8.4675891479049703</c:v>
                </c:pt>
                <c:pt idx="994">
                  <c:v>-8.4366486165876236</c:v>
                </c:pt>
                <c:pt idx="995">
                  <c:v>-8.4057080852702768</c:v>
                </c:pt>
                <c:pt idx="996">
                  <c:v>-8.3747675539529318</c:v>
                </c:pt>
                <c:pt idx="997">
                  <c:v>-8.3438270226355851</c:v>
                </c:pt>
                <c:pt idx="998">
                  <c:v>-8.3128864913182383</c:v>
                </c:pt>
                <c:pt idx="999">
                  <c:v>-8.2819459600008916</c:v>
                </c:pt>
                <c:pt idx="1000">
                  <c:v>-8.2510054286835448</c:v>
                </c:pt>
                <c:pt idx="1001">
                  <c:v>-8.2200648973661998</c:v>
                </c:pt>
                <c:pt idx="1002">
                  <c:v>-8.1891243660488531</c:v>
                </c:pt>
                <c:pt idx="1003">
                  <c:v>-8.1581838347315063</c:v>
                </c:pt>
                <c:pt idx="1004">
                  <c:v>-8.1272433034141613</c:v>
                </c:pt>
                <c:pt idx="1005">
                  <c:v>-8.0963027720968146</c:v>
                </c:pt>
                <c:pt idx="1006">
                  <c:v>-8.0653622407794678</c:v>
                </c:pt>
                <c:pt idx="1007">
                  <c:v>-8.0344217094621229</c:v>
                </c:pt>
                <c:pt idx="1008">
                  <c:v>-8.0034811781447761</c:v>
                </c:pt>
                <c:pt idx="1009">
                  <c:v>-7.9725406468274294</c:v>
                </c:pt>
                <c:pt idx="1010">
                  <c:v>-7.9416001155100826</c:v>
                </c:pt>
                <c:pt idx="1011">
                  <c:v>-7.9106595841927367</c:v>
                </c:pt>
                <c:pt idx="1012">
                  <c:v>-7.8797190528753909</c:v>
                </c:pt>
                <c:pt idx="1013">
                  <c:v>-7.8487785215580441</c:v>
                </c:pt>
                <c:pt idx="1014">
                  <c:v>-7.8178379902406974</c:v>
                </c:pt>
                <c:pt idx="1015">
                  <c:v>-7.7868974589233515</c:v>
                </c:pt>
                <c:pt idx="1016">
                  <c:v>-7.7559569276060056</c:v>
                </c:pt>
                <c:pt idx="1017">
                  <c:v>-7.7250163962886589</c:v>
                </c:pt>
                <c:pt idx="1018">
                  <c:v>-7.694075864971313</c:v>
                </c:pt>
                <c:pt idx="1019">
                  <c:v>-7.6631353336539672</c:v>
                </c:pt>
                <c:pt idx="1020">
                  <c:v>-7.6321948023366204</c:v>
                </c:pt>
                <c:pt idx="1021">
                  <c:v>-7.6012542710192736</c:v>
                </c:pt>
                <c:pt idx="1022">
                  <c:v>-7.5703137397019278</c:v>
                </c:pt>
                <c:pt idx="1023">
                  <c:v>-7.5393732083845819</c:v>
                </c:pt>
                <c:pt idx="1024">
                  <c:v>-7.5084326770672352</c:v>
                </c:pt>
                <c:pt idx="1025">
                  <c:v>-7.4774921457498884</c:v>
                </c:pt>
                <c:pt idx="1026">
                  <c:v>-7.4465516144325425</c:v>
                </c:pt>
                <c:pt idx="1027">
                  <c:v>-7.4156110831151967</c:v>
                </c:pt>
                <c:pt idx="1028">
                  <c:v>-7.3846705517978499</c:v>
                </c:pt>
                <c:pt idx="1029">
                  <c:v>-7.3537300204805032</c:v>
                </c:pt>
                <c:pt idx="1030">
                  <c:v>-7.3227894891631573</c:v>
                </c:pt>
                <c:pt idx="1031">
                  <c:v>-7.2918489578458114</c:v>
                </c:pt>
                <c:pt idx="1032">
                  <c:v>-7.2609084265284647</c:v>
                </c:pt>
                <c:pt idx="1033">
                  <c:v>-7.2299678952111188</c:v>
                </c:pt>
                <c:pt idx="1034">
                  <c:v>-7.199027363893773</c:v>
                </c:pt>
                <c:pt idx="1035">
                  <c:v>-7.1680868325764262</c:v>
                </c:pt>
                <c:pt idx="1036">
                  <c:v>-7.1371463012590795</c:v>
                </c:pt>
                <c:pt idx="1037">
                  <c:v>-7.1062057699417336</c:v>
                </c:pt>
                <c:pt idx="1038">
                  <c:v>-7.0752652386243877</c:v>
                </c:pt>
                <c:pt idx="1039">
                  <c:v>-7.044324707307041</c:v>
                </c:pt>
                <c:pt idx="1040">
                  <c:v>-7.0133841759896951</c:v>
                </c:pt>
                <c:pt idx="1041">
                  <c:v>-6.9824436446723483</c:v>
                </c:pt>
                <c:pt idx="1042">
                  <c:v>-6.9515031133550025</c:v>
                </c:pt>
                <c:pt idx="1043">
                  <c:v>-6.9205625820376557</c:v>
                </c:pt>
                <c:pt idx="1044">
                  <c:v>-6.8896220507203099</c:v>
                </c:pt>
                <c:pt idx="1045">
                  <c:v>-6.8586815194029631</c:v>
                </c:pt>
                <c:pt idx="1046">
                  <c:v>-6.8277409880856172</c:v>
                </c:pt>
                <c:pt idx="1047">
                  <c:v>-6.7968004567682705</c:v>
                </c:pt>
                <c:pt idx="1048">
                  <c:v>-6.7658599254509246</c:v>
                </c:pt>
                <c:pt idx="1049">
                  <c:v>-6.7349193941335779</c:v>
                </c:pt>
                <c:pt idx="1050">
                  <c:v>-6.703978862816232</c:v>
                </c:pt>
                <c:pt idx="1051">
                  <c:v>-6.6730383314988861</c:v>
                </c:pt>
                <c:pt idx="1052">
                  <c:v>-6.6420978001815394</c:v>
                </c:pt>
                <c:pt idx="1053">
                  <c:v>-6.6111572688641935</c:v>
                </c:pt>
                <c:pt idx="1054">
                  <c:v>-6.5802167375468468</c:v>
                </c:pt>
                <c:pt idx="1055">
                  <c:v>-6.5492762062295009</c:v>
                </c:pt>
                <c:pt idx="1056">
                  <c:v>-6.5183356749121542</c:v>
                </c:pt>
                <c:pt idx="1057">
                  <c:v>-6.4873951435948083</c:v>
                </c:pt>
                <c:pt idx="1058">
                  <c:v>-6.4564546122774615</c:v>
                </c:pt>
                <c:pt idx="1059">
                  <c:v>-6.4255140809601157</c:v>
                </c:pt>
                <c:pt idx="1060">
                  <c:v>-6.3945735496427689</c:v>
                </c:pt>
                <c:pt idx="1061">
                  <c:v>-6.3636330183254231</c:v>
                </c:pt>
                <c:pt idx="1062">
                  <c:v>-6.3326924870080763</c:v>
                </c:pt>
                <c:pt idx="1063">
                  <c:v>-6.3017519556907304</c:v>
                </c:pt>
                <c:pt idx="1064">
                  <c:v>-6.2708114243733846</c:v>
                </c:pt>
                <c:pt idx="1065">
                  <c:v>-6.2398708930560378</c:v>
                </c:pt>
                <c:pt idx="1066">
                  <c:v>-6.2089303617386919</c:v>
                </c:pt>
                <c:pt idx="1067">
                  <c:v>-6.1779898304213452</c:v>
                </c:pt>
                <c:pt idx="1068">
                  <c:v>-6.1470492991039993</c:v>
                </c:pt>
                <c:pt idx="1069">
                  <c:v>-6.1161087677866526</c:v>
                </c:pt>
                <c:pt idx="1070">
                  <c:v>-6.0851682364693067</c:v>
                </c:pt>
                <c:pt idx="1071">
                  <c:v>-6.05422770515196</c:v>
                </c:pt>
                <c:pt idx="1072">
                  <c:v>-6.0232871738346141</c:v>
                </c:pt>
                <c:pt idx="1073">
                  <c:v>-5.9923466425172673</c:v>
                </c:pt>
                <c:pt idx="1074">
                  <c:v>-5.9614061111999215</c:v>
                </c:pt>
                <c:pt idx="1075">
                  <c:v>-5.9304655798825747</c:v>
                </c:pt>
                <c:pt idx="1076">
                  <c:v>-5.8995250485652289</c:v>
                </c:pt>
                <c:pt idx="1077">
                  <c:v>-5.868584517247883</c:v>
                </c:pt>
                <c:pt idx="1078">
                  <c:v>-5.8376439859305362</c:v>
                </c:pt>
                <c:pt idx="1079">
                  <c:v>-5.8067034546131904</c:v>
                </c:pt>
                <c:pt idx="1080">
                  <c:v>-5.7757629232958436</c:v>
                </c:pt>
                <c:pt idx="1081">
                  <c:v>-5.7448223919784978</c:v>
                </c:pt>
                <c:pt idx="1082">
                  <c:v>-5.713881860661151</c:v>
                </c:pt>
                <c:pt idx="1083">
                  <c:v>-5.6829413293438051</c:v>
                </c:pt>
                <c:pt idx="1084">
                  <c:v>-5.6520007980264584</c:v>
                </c:pt>
                <c:pt idx="1085">
                  <c:v>-5.6210602667091125</c:v>
                </c:pt>
                <c:pt idx="1086">
                  <c:v>-5.5901197353917658</c:v>
                </c:pt>
                <c:pt idx="1087">
                  <c:v>-5.5591792040744199</c:v>
                </c:pt>
                <c:pt idx="1088">
                  <c:v>-5.5282386727570731</c:v>
                </c:pt>
                <c:pt idx="1089">
                  <c:v>-5.4972981414397273</c:v>
                </c:pt>
                <c:pt idx="1090">
                  <c:v>-5.4663576101223814</c:v>
                </c:pt>
                <c:pt idx="1091">
                  <c:v>-5.4354170788050347</c:v>
                </c:pt>
                <c:pt idx="1092">
                  <c:v>-5.4044765474876888</c:v>
                </c:pt>
                <c:pt idx="1093">
                  <c:v>-5.373536016170342</c:v>
                </c:pt>
                <c:pt idx="1094">
                  <c:v>-5.3425954848529962</c:v>
                </c:pt>
                <c:pt idx="1095">
                  <c:v>-5.3116549535356494</c:v>
                </c:pt>
                <c:pt idx="1096">
                  <c:v>-5.2807144222183036</c:v>
                </c:pt>
                <c:pt idx="1097">
                  <c:v>-5.2497738909009568</c:v>
                </c:pt>
                <c:pt idx="1098">
                  <c:v>-5.2188333595836109</c:v>
                </c:pt>
                <c:pt idx="1099">
                  <c:v>-5.1878928282662642</c:v>
                </c:pt>
                <c:pt idx="1100">
                  <c:v>-5.1569522969489183</c:v>
                </c:pt>
                <c:pt idx="1101">
                  <c:v>-5.1260117656315725</c:v>
                </c:pt>
                <c:pt idx="1102">
                  <c:v>-5.0950712343142257</c:v>
                </c:pt>
                <c:pt idx="1103">
                  <c:v>-5.0641307029968798</c:v>
                </c:pt>
                <c:pt idx="1104">
                  <c:v>-5.0331901716795331</c:v>
                </c:pt>
                <c:pt idx="1105">
                  <c:v>-5.0022496403621872</c:v>
                </c:pt>
                <c:pt idx="1106">
                  <c:v>-4.9713091090448405</c:v>
                </c:pt>
                <c:pt idx="1107">
                  <c:v>-4.9403685777274946</c:v>
                </c:pt>
                <c:pt idx="1108">
                  <c:v>-4.9094280464101479</c:v>
                </c:pt>
                <c:pt idx="1109">
                  <c:v>-4.878487515092802</c:v>
                </c:pt>
                <c:pt idx="1110">
                  <c:v>-4.8475469837754552</c:v>
                </c:pt>
                <c:pt idx="1111">
                  <c:v>-4.8166064524581094</c:v>
                </c:pt>
                <c:pt idx="1112">
                  <c:v>-4.7856659211407626</c:v>
                </c:pt>
                <c:pt idx="1113">
                  <c:v>-4.7547253898234167</c:v>
                </c:pt>
                <c:pt idx="1114">
                  <c:v>-4.7237848585060709</c:v>
                </c:pt>
                <c:pt idx="1115">
                  <c:v>-4.6928443271887241</c:v>
                </c:pt>
                <c:pt idx="1116">
                  <c:v>-4.6619037958713783</c:v>
                </c:pt>
                <c:pt idx="1117">
                  <c:v>-4.6309632645540315</c:v>
                </c:pt>
                <c:pt idx="1118">
                  <c:v>-4.6000227332366856</c:v>
                </c:pt>
                <c:pt idx="1119">
                  <c:v>-4.5690822019193389</c:v>
                </c:pt>
                <c:pt idx="1120">
                  <c:v>-4.538141670601993</c:v>
                </c:pt>
                <c:pt idx="1121">
                  <c:v>-4.5072011392846463</c:v>
                </c:pt>
                <c:pt idx="1122">
                  <c:v>-4.4762606079673004</c:v>
                </c:pt>
                <c:pt idx="1123">
                  <c:v>-4.4453200766499537</c:v>
                </c:pt>
                <c:pt idx="1124">
                  <c:v>-4.4143795453326078</c:v>
                </c:pt>
                <c:pt idx="1125">
                  <c:v>-4.383439014015261</c:v>
                </c:pt>
                <c:pt idx="1126">
                  <c:v>-4.3524984826979152</c:v>
                </c:pt>
                <c:pt idx="1127">
                  <c:v>-4.3215579513805693</c:v>
                </c:pt>
                <c:pt idx="1128">
                  <c:v>-4.2906174200632226</c:v>
                </c:pt>
                <c:pt idx="1129">
                  <c:v>-4.2596768887458767</c:v>
                </c:pt>
                <c:pt idx="1130">
                  <c:v>-4.2287363574285299</c:v>
                </c:pt>
                <c:pt idx="1131">
                  <c:v>-4.1977958261111841</c:v>
                </c:pt>
                <c:pt idx="1132">
                  <c:v>-4.1668552947938373</c:v>
                </c:pt>
                <c:pt idx="1133">
                  <c:v>-4.1359147634764915</c:v>
                </c:pt>
                <c:pt idx="1134">
                  <c:v>-4.1049742321591447</c:v>
                </c:pt>
                <c:pt idx="1135">
                  <c:v>-4.0740337008417988</c:v>
                </c:pt>
                <c:pt idx="1136">
                  <c:v>-4.0430931695244521</c:v>
                </c:pt>
                <c:pt idx="1137">
                  <c:v>-4.0121526382071062</c:v>
                </c:pt>
                <c:pt idx="1138">
                  <c:v>-3.9812121068897595</c:v>
                </c:pt>
                <c:pt idx="1139">
                  <c:v>-3.9502715755724136</c:v>
                </c:pt>
                <c:pt idx="1140">
                  <c:v>-3.9193310442550677</c:v>
                </c:pt>
                <c:pt idx="1141">
                  <c:v>-3.888390512937721</c:v>
                </c:pt>
                <c:pt idx="1142">
                  <c:v>-3.8574499816203751</c:v>
                </c:pt>
                <c:pt idx="1143">
                  <c:v>-3.8265094503030284</c:v>
                </c:pt>
                <c:pt idx="1144">
                  <c:v>-3.7955689189856825</c:v>
                </c:pt>
                <c:pt idx="1145">
                  <c:v>-3.7646283876683357</c:v>
                </c:pt>
                <c:pt idx="1146">
                  <c:v>-3.7336878563509899</c:v>
                </c:pt>
                <c:pt idx="1147">
                  <c:v>-3.7027473250336431</c:v>
                </c:pt>
                <c:pt idx="1148">
                  <c:v>-3.6718067937162973</c:v>
                </c:pt>
                <c:pt idx="1149">
                  <c:v>-3.6408662623989505</c:v>
                </c:pt>
                <c:pt idx="1150">
                  <c:v>-3.6099257310816046</c:v>
                </c:pt>
                <c:pt idx="1151">
                  <c:v>-3.5789851997642579</c:v>
                </c:pt>
                <c:pt idx="1152">
                  <c:v>-3.548044668446912</c:v>
                </c:pt>
                <c:pt idx="1153">
                  <c:v>-3.5171041371295662</c:v>
                </c:pt>
                <c:pt idx="1154">
                  <c:v>-3.4861636058122194</c:v>
                </c:pt>
                <c:pt idx="1155">
                  <c:v>-3.4552230744948735</c:v>
                </c:pt>
                <c:pt idx="1156">
                  <c:v>-3.4242825431775268</c:v>
                </c:pt>
                <c:pt idx="1157">
                  <c:v>-3.3933420118601809</c:v>
                </c:pt>
                <c:pt idx="1158">
                  <c:v>-3.3624014805428342</c:v>
                </c:pt>
                <c:pt idx="1159">
                  <c:v>-3.3314609492254883</c:v>
                </c:pt>
                <c:pt idx="1160">
                  <c:v>-3.3005204179081415</c:v>
                </c:pt>
                <c:pt idx="1161">
                  <c:v>-3.2695798865907957</c:v>
                </c:pt>
                <c:pt idx="1162">
                  <c:v>-3.2386393552734489</c:v>
                </c:pt>
                <c:pt idx="1163">
                  <c:v>-3.2076988239561031</c:v>
                </c:pt>
                <c:pt idx="1164">
                  <c:v>-3.1767582926387563</c:v>
                </c:pt>
                <c:pt idx="1165">
                  <c:v>-3.1458177613214104</c:v>
                </c:pt>
                <c:pt idx="1166">
                  <c:v>-3.1148772300040646</c:v>
                </c:pt>
                <c:pt idx="1167">
                  <c:v>-3.0839366986867178</c:v>
                </c:pt>
                <c:pt idx="1168">
                  <c:v>-3.052996167369372</c:v>
                </c:pt>
                <c:pt idx="1169">
                  <c:v>-3.0220556360520252</c:v>
                </c:pt>
                <c:pt idx="1170">
                  <c:v>-2.9911151047346785</c:v>
                </c:pt>
                <c:pt idx="1171">
                  <c:v>-2.9601745734173335</c:v>
                </c:pt>
                <c:pt idx="1172">
                  <c:v>-2.9292340420999867</c:v>
                </c:pt>
                <c:pt idx="1173">
                  <c:v>-2.89829351078264</c:v>
                </c:pt>
                <c:pt idx="1174">
                  <c:v>-2.8673529794652932</c:v>
                </c:pt>
                <c:pt idx="1175">
                  <c:v>-2.8364124481479482</c:v>
                </c:pt>
                <c:pt idx="1176">
                  <c:v>-2.8054719168306015</c:v>
                </c:pt>
                <c:pt idx="1177">
                  <c:v>-2.7745313855132547</c:v>
                </c:pt>
                <c:pt idx="1178">
                  <c:v>-2.7435908541959098</c:v>
                </c:pt>
                <c:pt idx="1179">
                  <c:v>-2.712650322878563</c:v>
                </c:pt>
                <c:pt idx="1180">
                  <c:v>-2.6817097915612162</c:v>
                </c:pt>
                <c:pt idx="1181">
                  <c:v>-2.6507692602438695</c:v>
                </c:pt>
                <c:pt idx="1182">
                  <c:v>-2.6198287289265245</c:v>
                </c:pt>
                <c:pt idx="1183">
                  <c:v>-2.5888881976091778</c:v>
                </c:pt>
                <c:pt idx="1184">
                  <c:v>-2.557947666291831</c:v>
                </c:pt>
                <c:pt idx="1185">
                  <c:v>-2.5270071349744843</c:v>
                </c:pt>
                <c:pt idx="1186">
                  <c:v>-2.4960666036571393</c:v>
                </c:pt>
                <c:pt idx="1187">
                  <c:v>-2.4651260723397925</c:v>
                </c:pt>
                <c:pt idx="1188">
                  <c:v>-2.4341855410224458</c:v>
                </c:pt>
                <c:pt idx="1189">
                  <c:v>-2.403245009705099</c:v>
                </c:pt>
                <c:pt idx="1190">
                  <c:v>-2.372304478387754</c:v>
                </c:pt>
                <c:pt idx="1191">
                  <c:v>-2.3413639470704073</c:v>
                </c:pt>
                <c:pt idx="1192">
                  <c:v>-2.3104234157530605</c:v>
                </c:pt>
                <c:pt idx="1193">
                  <c:v>-2.2794828844357156</c:v>
                </c:pt>
                <c:pt idx="1194">
                  <c:v>-2.2485423531183688</c:v>
                </c:pt>
                <c:pt idx="1195">
                  <c:v>-2.2176018218010221</c:v>
                </c:pt>
                <c:pt idx="1196">
                  <c:v>-2.1866612904836753</c:v>
                </c:pt>
                <c:pt idx="1197">
                  <c:v>-2.1557207591663303</c:v>
                </c:pt>
                <c:pt idx="1198">
                  <c:v>-2.1247802278489836</c:v>
                </c:pt>
                <c:pt idx="1199">
                  <c:v>-2.0938396965316368</c:v>
                </c:pt>
                <c:pt idx="1200">
                  <c:v>-2.0628991652142901</c:v>
                </c:pt>
                <c:pt idx="1201">
                  <c:v>-2.0319586338969451</c:v>
                </c:pt>
                <c:pt idx="1202">
                  <c:v>-2.0010181025795983</c:v>
                </c:pt>
                <c:pt idx="1203">
                  <c:v>-1.9700775712622516</c:v>
                </c:pt>
                <c:pt idx="1204">
                  <c:v>-1.9391370399449066</c:v>
                </c:pt>
                <c:pt idx="1205">
                  <c:v>-1.9081965086275599</c:v>
                </c:pt>
                <c:pt idx="1206">
                  <c:v>-1.8772559773102131</c:v>
                </c:pt>
                <c:pt idx="1207">
                  <c:v>-1.8463154459928663</c:v>
                </c:pt>
                <c:pt idx="1208">
                  <c:v>-1.8153749146755214</c:v>
                </c:pt>
                <c:pt idx="1209">
                  <c:v>-1.7844343833581746</c:v>
                </c:pt>
                <c:pt idx="1210">
                  <c:v>-1.7534938520408279</c:v>
                </c:pt>
                <c:pt idx="1211">
                  <c:v>-1.7225533207234811</c:v>
                </c:pt>
                <c:pt idx="1212">
                  <c:v>-1.6916127894061361</c:v>
                </c:pt>
                <c:pt idx="1213">
                  <c:v>-1.6606722580887894</c:v>
                </c:pt>
                <c:pt idx="1214">
                  <c:v>-1.6297317267714426</c:v>
                </c:pt>
                <c:pt idx="1215">
                  <c:v>-1.5987911954540959</c:v>
                </c:pt>
                <c:pt idx="1216">
                  <c:v>-1.5678506641367509</c:v>
                </c:pt>
                <c:pt idx="1217">
                  <c:v>-1.5369101328194041</c:v>
                </c:pt>
                <c:pt idx="1218">
                  <c:v>-1.5059696015020574</c:v>
                </c:pt>
                <c:pt idx="1219">
                  <c:v>-1.4750290701847124</c:v>
                </c:pt>
                <c:pt idx="1220">
                  <c:v>-1.4440885388673657</c:v>
                </c:pt>
                <c:pt idx="1221">
                  <c:v>-1.4131480075500189</c:v>
                </c:pt>
                <c:pt idx="1222">
                  <c:v>-1.3822074762326721</c:v>
                </c:pt>
                <c:pt idx="1223">
                  <c:v>-1.3512669449153272</c:v>
                </c:pt>
                <c:pt idx="1224">
                  <c:v>-1.3203264135979804</c:v>
                </c:pt>
                <c:pt idx="1225">
                  <c:v>-1.2893858822806337</c:v>
                </c:pt>
                <c:pt idx="1226">
                  <c:v>-1.2584453509632869</c:v>
                </c:pt>
                <c:pt idx="1227">
                  <c:v>-1.2275048196459419</c:v>
                </c:pt>
                <c:pt idx="1228">
                  <c:v>-1.1965642883285952</c:v>
                </c:pt>
                <c:pt idx="1229">
                  <c:v>-1.1656237570112484</c:v>
                </c:pt>
                <c:pt idx="1230">
                  <c:v>-1.1346832256939035</c:v>
                </c:pt>
                <c:pt idx="1231">
                  <c:v>-1.1037426943765567</c:v>
                </c:pt>
                <c:pt idx="1232">
                  <c:v>-1.0728021630592099</c:v>
                </c:pt>
                <c:pt idx="1233">
                  <c:v>-1.0418616317418632</c:v>
                </c:pt>
                <c:pt idx="1234">
                  <c:v>-1.0109211004245182</c:v>
                </c:pt>
                <c:pt idx="1235">
                  <c:v>-0.97998056910717146</c:v>
                </c:pt>
                <c:pt idx="1236">
                  <c:v>-0.94904003778982471</c:v>
                </c:pt>
                <c:pt idx="1237">
                  <c:v>-0.91809950647247796</c:v>
                </c:pt>
                <c:pt idx="1238">
                  <c:v>-0.88715897515513298</c:v>
                </c:pt>
                <c:pt idx="1239">
                  <c:v>-0.85621844383778623</c:v>
                </c:pt>
                <c:pt idx="1240">
                  <c:v>-0.82527791252043947</c:v>
                </c:pt>
                <c:pt idx="1241">
                  <c:v>-0.79433738120309272</c:v>
                </c:pt>
                <c:pt idx="1242">
                  <c:v>-0.76339684988574774</c:v>
                </c:pt>
                <c:pt idx="1243">
                  <c:v>-0.73245631856840099</c:v>
                </c:pt>
                <c:pt idx="1244">
                  <c:v>-0.70151578725105423</c:v>
                </c:pt>
                <c:pt idx="1245">
                  <c:v>-0.67057525593370926</c:v>
                </c:pt>
                <c:pt idx="1246">
                  <c:v>-0.6396347246163625</c:v>
                </c:pt>
                <c:pt idx="1247">
                  <c:v>-0.60869419329901575</c:v>
                </c:pt>
                <c:pt idx="1248">
                  <c:v>-0.577753661981669</c:v>
                </c:pt>
                <c:pt idx="1249">
                  <c:v>-0.54681313066432402</c:v>
                </c:pt>
                <c:pt idx="1250">
                  <c:v>-0.51587259934697727</c:v>
                </c:pt>
                <c:pt idx="1251">
                  <c:v>-0.48493206802963051</c:v>
                </c:pt>
                <c:pt idx="1252">
                  <c:v>-0.45399153671228376</c:v>
                </c:pt>
                <c:pt idx="1253">
                  <c:v>-0.42305100539493878</c:v>
                </c:pt>
                <c:pt idx="1254">
                  <c:v>-0.39211047407759203</c:v>
                </c:pt>
                <c:pt idx="1255">
                  <c:v>-0.36116994276024528</c:v>
                </c:pt>
                <c:pt idx="1256">
                  <c:v>-0.3302294114429003</c:v>
                </c:pt>
                <c:pt idx="1257">
                  <c:v>-0.29928888012555355</c:v>
                </c:pt>
                <c:pt idx="1258">
                  <c:v>-0.26834834880820679</c:v>
                </c:pt>
                <c:pt idx="1259">
                  <c:v>-0.23740781749086004</c:v>
                </c:pt>
                <c:pt idx="1260">
                  <c:v>-0.20646728617351506</c:v>
                </c:pt>
                <c:pt idx="1261">
                  <c:v>-0.17552675485616831</c:v>
                </c:pt>
                <c:pt idx="1262">
                  <c:v>-0.14458622353882156</c:v>
                </c:pt>
                <c:pt idx="1263">
                  <c:v>-0.1136456922214748</c:v>
                </c:pt>
                <c:pt idx="1264">
                  <c:v>-8.2705160904129826E-2</c:v>
                </c:pt>
                <c:pt idx="1265">
                  <c:v>-5.1764629586783073E-2</c:v>
                </c:pt>
                <c:pt idx="1266">
                  <c:v>-2.082409826943632E-2</c:v>
                </c:pt>
                <c:pt idx="1267">
                  <c:v>1.0116433047910434E-2</c:v>
                </c:pt>
                <c:pt idx="1268">
                  <c:v>4.1056964365255411E-2</c:v>
                </c:pt>
                <c:pt idx="1269">
                  <c:v>7.1997495682602164E-2</c:v>
                </c:pt>
                <c:pt idx="1270">
                  <c:v>0.10293802699994892</c:v>
                </c:pt>
                <c:pt idx="1271">
                  <c:v>0.13387855831729389</c:v>
                </c:pt>
                <c:pt idx="1272">
                  <c:v>0.16481908963464065</c:v>
                </c:pt>
                <c:pt idx="1273">
                  <c:v>0.1957596209519874</c:v>
                </c:pt>
                <c:pt idx="1274">
                  <c:v>0.22670015226933415</c:v>
                </c:pt>
                <c:pt idx="1275">
                  <c:v>0.25764068358667913</c:v>
                </c:pt>
                <c:pt idx="1276">
                  <c:v>0.28858121490402588</c:v>
                </c:pt>
                <c:pt idx="1277">
                  <c:v>0.31952174622137264</c:v>
                </c:pt>
                <c:pt idx="1278">
                  <c:v>0.35046227753871939</c:v>
                </c:pt>
                <c:pt idx="1279">
                  <c:v>0.38140280885606437</c:v>
                </c:pt>
                <c:pt idx="1280">
                  <c:v>0.41234334017341112</c:v>
                </c:pt>
                <c:pt idx="1281">
                  <c:v>0.44328387149075787</c:v>
                </c:pt>
                <c:pt idx="1282">
                  <c:v>0.47422440280810285</c:v>
                </c:pt>
                <c:pt idx="1283">
                  <c:v>0.50516493412544961</c:v>
                </c:pt>
                <c:pt idx="1284">
                  <c:v>0.53610546544279636</c:v>
                </c:pt>
                <c:pt idx="1285">
                  <c:v>0.56704599676014311</c:v>
                </c:pt>
                <c:pt idx="1286">
                  <c:v>0.59798652807748809</c:v>
                </c:pt>
                <c:pt idx="1287">
                  <c:v>0.62892705939483484</c:v>
                </c:pt>
                <c:pt idx="1288">
                  <c:v>0.6598675907121816</c:v>
                </c:pt>
                <c:pt idx="1289">
                  <c:v>0.69080812202952835</c:v>
                </c:pt>
                <c:pt idx="1290">
                  <c:v>0.72174865334687333</c:v>
                </c:pt>
                <c:pt idx="1291">
                  <c:v>0.75268918466422008</c:v>
                </c:pt>
                <c:pt idx="1292">
                  <c:v>0.78362971598156683</c:v>
                </c:pt>
                <c:pt idx="1293">
                  <c:v>0.81457024729891181</c:v>
                </c:pt>
                <c:pt idx="1294">
                  <c:v>0.84551077861625856</c:v>
                </c:pt>
                <c:pt idx="1295">
                  <c:v>0.87645130993360532</c:v>
                </c:pt>
                <c:pt idx="1296">
                  <c:v>0.90739184125095207</c:v>
                </c:pt>
                <c:pt idx="1297">
                  <c:v>0.93833237256829705</c:v>
                </c:pt>
                <c:pt idx="1298">
                  <c:v>0.9692729038856438</c:v>
                </c:pt>
                <c:pt idx="1299">
                  <c:v>1.0002134352029906</c:v>
                </c:pt>
                <c:pt idx="1300">
                  <c:v>1.0311539665203373</c:v>
                </c:pt>
                <c:pt idx="1301">
                  <c:v>1.0620944978376823</c:v>
                </c:pt>
                <c:pt idx="1302">
                  <c:v>1.093035029155029</c:v>
                </c:pt>
                <c:pt idx="1303">
                  <c:v>1.1239755604723758</c:v>
                </c:pt>
                <c:pt idx="1304">
                  <c:v>1.1549160917897225</c:v>
                </c:pt>
                <c:pt idx="1305">
                  <c:v>1.1858566231070675</c:v>
                </c:pt>
                <c:pt idx="1306">
                  <c:v>1.2167971544244143</c:v>
                </c:pt>
                <c:pt idx="1307">
                  <c:v>1.247737685741761</c:v>
                </c:pt>
                <c:pt idx="1308">
                  <c:v>1.278678217059106</c:v>
                </c:pt>
                <c:pt idx="1309">
                  <c:v>1.3096187483764528</c:v>
                </c:pt>
                <c:pt idx="1310">
                  <c:v>1.3405592796937995</c:v>
                </c:pt>
                <c:pt idx="1311">
                  <c:v>1.3714998110111463</c:v>
                </c:pt>
                <c:pt idx="1312">
                  <c:v>1.4024403423284912</c:v>
                </c:pt>
                <c:pt idx="1313">
                  <c:v>1.433380873645838</c:v>
                </c:pt>
                <c:pt idx="1314">
                  <c:v>1.4643214049631847</c:v>
                </c:pt>
                <c:pt idx="1315">
                  <c:v>1.4952619362805315</c:v>
                </c:pt>
                <c:pt idx="1316">
                  <c:v>1.5262024675978765</c:v>
                </c:pt>
                <c:pt idx="1317">
                  <c:v>1.5571429989152232</c:v>
                </c:pt>
                <c:pt idx="1318">
                  <c:v>1.58808353023257</c:v>
                </c:pt>
                <c:pt idx="1319">
                  <c:v>1.619024061549915</c:v>
                </c:pt>
                <c:pt idx="1320">
                  <c:v>1.6499645928672617</c:v>
                </c:pt>
                <c:pt idx="1321">
                  <c:v>1.6809051241846085</c:v>
                </c:pt>
                <c:pt idx="1322">
                  <c:v>1.7118456555019552</c:v>
                </c:pt>
                <c:pt idx="1323">
                  <c:v>1.7427861868193002</c:v>
                </c:pt>
                <c:pt idx="1324">
                  <c:v>1.773726718136647</c:v>
                </c:pt>
                <c:pt idx="1325">
                  <c:v>1.8046672494539937</c:v>
                </c:pt>
                <c:pt idx="1326">
                  <c:v>1.8356077807713405</c:v>
                </c:pt>
                <c:pt idx="1327">
                  <c:v>1.8665483120886854</c:v>
                </c:pt>
                <c:pt idx="1328">
                  <c:v>1.8974888434060322</c:v>
                </c:pt>
                <c:pt idx="1329">
                  <c:v>1.9284293747233789</c:v>
                </c:pt>
                <c:pt idx="1330">
                  <c:v>1.9593699060407257</c:v>
                </c:pt>
                <c:pt idx="1331">
                  <c:v>1.9903104373580707</c:v>
                </c:pt>
                <c:pt idx="1332">
                  <c:v>2.0212509686754174</c:v>
                </c:pt>
                <c:pt idx="1333">
                  <c:v>2.0521914999927642</c:v>
                </c:pt>
                <c:pt idx="1334">
                  <c:v>2.0831320313101092</c:v>
                </c:pt>
                <c:pt idx="1335">
                  <c:v>2.1140725626274559</c:v>
                </c:pt>
                <c:pt idx="1336">
                  <c:v>2.1450130939448027</c:v>
                </c:pt>
                <c:pt idx="1337">
                  <c:v>2.1759536252621494</c:v>
                </c:pt>
                <c:pt idx="1338">
                  <c:v>2.2068941565794944</c:v>
                </c:pt>
                <c:pt idx="1339">
                  <c:v>2.2378346878968411</c:v>
                </c:pt>
                <c:pt idx="1340">
                  <c:v>2.2687752192141879</c:v>
                </c:pt>
                <c:pt idx="1341">
                  <c:v>2.2997157505315347</c:v>
                </c:pt>
                <c:pt idx="1342">
                  <c:v>2.3306562818488796</c:v>
                </c:pt>
                <c:pt idx="1343">
                  <c:v>2.3615968131662264</c:v>
                </c:pt>
                <c:pt idx="1344">
                  <c:v>2.3925373444835731</c:v>
                </c:pt>
                <c:pt idx="1345">
                  <c:v>2.4234778758009181</c:v>
                </c:pt>
                <c:pt idx="1346">
                  <c:v>2.4544184071182649</c:v>
                </c:pt>
                <c:pt idx="1347">
                  <c:v>2.4853589384356116</c:v>
                </c:pt>
                <c:pt idx="1348">
                  <c:v>2.5162994697529584</c:v>
                </c:pt>
                <c:pt idx="1349">
                  <c:v>2.5472400010703034</c:v>
                </c:pt>
                <c:pt idx="1350">
                  <c:v>2.5781805323876501</c:v>
                </c:pt>
                <c:pt idx="1351">
                  <c:v>2.6091210637049969</c:v>
                </c:pt>
                <c:pt idx="1352">
                  <c:v>2.6400615950223436</c:v>
                </c:pt>
                <c:pt idx="1353">
                  <c:v>2.6710021263396886</c:v>
                </c:pt>
                <c:pt idx="1354">
                  <c:v>2.7019426576570353</c:v>
                </c:pt>
                <c:pt idx="1355">
                  <c:v>2.7328831889743821</c:v>
                </c:pt>
                <c:pt idx="1356">
                  <c:v>2.7638237202917288</c:v>
                </c:pt>
                <c:pt idx="1357">
                  <c:v>2.7947642516090738</c:v>
                </c:pt>
                <c:pt idx="1358">
                  <c:v>2.8257047829264206</c:v>
                </c:pt>
                <c:pt idx="1359">
                  <c:v>2.8566453142437673</c:v>
                </c:pt>
                <c:pt idx="1360">
                  <c:v>2.8875858455611123</c:v>
                </c:pt>
                <c:pt idx="1361">
                  <c:v>2.9185263768784591</c:v>
                </c:pt>
                <c:pt idx="1362">
                  <c:v>2.9494669081958058</c:v>
                </c:pt>
                <c:pt idx="1363">
                  <c:v>2.9804074395131526</c:v>
                </c:pt>
                <c:pt idx="1364">
                  <c:v>3.0113479708304975</c:v>
                </c:pt>
                <c:pt idx="1365">
                  <c:v>3.0422885021478443</c:v>
                </c:pt>
                <c:pt idx="1366">
                  <c:v>3.0732290334651911</c:v>
                </c:pt>
                <c:pt idx="1367">
                  <c:v>3.1041695647825378</c:v>
                </c:pt>
                <c:pt idx="1368">
                  <c:v>3.1351100960998828</c:v>
                </c:pt>
                <c:pt idx="1369">
                  <c:v>3.1660506274172295</c:v>
                </c:pt>
                <c:pt idx="1370">
                  <c:v>3.1969911587345763</c:v>
                </c:pt>
                <c:pt idx="1371">
                  <c:v>3.2279316900519213</c:v>
                </c:pt>
                <c:pt idx="1372">
                  <c:v>3.258872221369268</c:v>
                </c:pt>
                <c:pt idx="1373">
                  <c:v>3.2898127526866148</c:v>
                </c:pt>
                <c:pt idx="1374">
                  <c:v>3.3207532840039615</c:v>
                </c:pt>
                <c:pt idx="1375">
                  <c:v>3.3516938153213065</c:v>
                </c:pt>
                <c:pt idx="1376">
                  <c:v>3.3826343466386533</c:v>
                </c:pt>
                <c:pt idx="1377">
                  <c:v>3.413574877956</c:v>
                </c:pt>
                <c:pt idx="1378">
                  <c:v>3.4445154092733468</c:v>
                </c:pt>
                <c:pt idx="1379">
                  <c:v>3.4754559405906917</c:v>
                </c:pt>
                <c:pt idx="1380">
                  <c:v>3.5063964719080385</c:v>
                </c:pt>
                <c:pt idx="1381">
                  <c:v>3.5373370032253852</c:v>
                </c:pt>
                <c:pt idx="1382">
                  <c:v>3.568277534542732</c:v>
                </c:pt>
                <c:pt idx="1383">
                  <c:v>3.599218065860077</c:v>
                </c:pt>
                <c:pt idx="1384">
                  <c:v>3.6301585971774237</c:v>
                </c:pt>
                <c:pt idx="1385">
                  <c:v>3.6610991284947705</c:v>
                </c:pt>
                <c:pt idx="1386">
                  <c:v>3.6920396598121155</c:v>
                </c:pt>
                <c:pt idx="1387">
                  <c:v>3.7229801911294622</c:v>
                </c:pt>
                <c:pt idx="1388">
                  <c:v>3.753920722446809</c:v>
                </c:pt>
                <c:pt idx="1389">
                  <c:v>3.7848612537641557</c:v>
                </c:pt>
                <c:pt idx="1390">
                  <c:v>3.8158017850815007</c:v>
                </c:pt>
                <c:pt idx="1391">
                  <c:v>3.8467423163988474</c:v>
                </c:pt>
                <c:pt idx="1392">
                  <c:v>3.8776828477161942</c:v>
                </c:pt>
                <c:pt idx="1393">
                  <c:v>3.908623379033541</c:v>
                </c:pt>
                <c:pt idx="1394">
                  <c:v>3.9395639103508859</c:v>
                </c:pt>
                <c:pt idx="1395">
                  <c:v>3.9705044416682327</c:v>
                </c:pt>
                <c:pt idx="1396">
                  <c:v>4.0014449729855794</c:v>
                </c:pt>
                <c:pt idx="1397">
                  <c:v>4.0323855043029244</c:v>
                </c:pt>
                <c:pt idx="1398">
                  <c:v>4.0633260356202712</c:v>
                </c:pt>
                <c:pt idx="1399">
                  <c:v>4.0942665669376179</c:v>
                </c:pt>
                <c:pt idx="1400">
                  <c:v>4.1252070982549647</c:v>
                </c:pt>
                <c:pt idx="1401">
                  <c:v>4.1561476295723097</c:v>
                </c:pt>
                <c:pt idx="1402">
                  <c:v>4.1870881608896564</c:v>
                </c:pt>
                <c:pt idx="1403">
                  <c:v>4.2180286922070032</c:v>
                </c:pt>
                <c:pt idx="1404">
                  <c:v>4.2489692235243499</c:v>
                </c:pt>
                <c:pt idx="1405">
                  <c:v>4.2799097548416949</c:v>
                </c:pt>
                <c:pt idx="1406">
                  <c:v>4.3108502861590416</c:v>
                </c:pt>
                <c:pt idx="1407">
                  <c:v>4.3417908174763884</c:v>
                </c:pt>
                <c:pt idx="1408">
                  <c:v>4.3727313487937352</c:v>
                </c:pt>
                <c:pt idx="1409">
                  <c:v>4.4036718801110801</c:v>
                </c:pt>
                <c:pt idx="1410">
                  <c:v>4.4346124114284269</c:v>
                </c:pt>
                <c:pt idx="1411">
                  <c:v>4.4655529427457736</c:v>
                </c:pt>
                <c:pt idx="1412">
                  <c:v>4.4964934740631186</c:v>
                </c:pt>
                <c:pt idx="1413">
                  <c:v>4.5274340053804654</c:v>
                </c:pt>
                <c:pt idx="1414">
                  <c:v>4.5583745366978121</c:v>
                </c:pt>
                <c:pt idx="1415">
                  <c:v>4.5893150680151589</c:v>
                </c:pt>
                <c:pt idx="1416">
                  <c:v>4.6202555993325038</c:v>
                </c:pt>
                <c:pt idx="1417">
                  <c:v>4.6511961306498506</c:v>
                </c:pt>
                <c:pt idx="1418">
                  <c:v>4.6821366619671974</c:v>
                </c:pt>
                <c:pt idx="1419">
                  <c:v>4.7130771932845441</c:v>
                </c:pt>
                <c:pt idx="1420">
                  <c:v>4.7440177246018891</c:v>
                </c:pt>
                <c:pt idx="1421">
                  <c:v>4.7749582559192358</c:v>
                </c:pt>
                <c:pt idx="1422">
                  <c:v>4.8058987872365826</c:v>
                </c:pt>
                <c:pt idx="1423">
                  <c:v>4.8368393185539276</c:v>
                </c:pt>
                <c:pt idx="1424">
                  <c:v>4.8677798498712743</c:v>
                </c:pt>
                <c:pt idx="1425">
                  <c:v>4.8987203811886211</c:v>
                </c:pt>
                <c:pt idx="1426">
                  <c:v>4.9296609125059678</c:v>
                </c:pt>
                <c:pt idx="1427">
                  <c:v>4.9606014438233128</c:v>
                </c:pt>
                <c:pt idx="1428">
                  <c:v>4.9915419751406613</c:v>
                </c:pt>
                <c:pt idx="1429">
                  <c:v>5.0224825064580063</c:v>
                </c:pt>
                <c:pt idx="1430">
                  <c:v>5.0534230377753513</c:v>
                </c:pt>
                <c:pt idx="1431">
                  <c:v>5.0843635690926998</c:v>
                </c:pt>
                <c:pt idx="1432">
                  <c:v>5.1153041004100448</c:v>
                </c:pt>
                <c:pt idx="1433">
                  <c:v>5.1462446317273898</c:v>
                </c:pt>
                <c:pt idx="1434">
                  <c:v>5.1771851630447383</c:v>
                </c:pt>
                <c:pt idx="1435">
                  <c:v>5.2081256943620833</c:v>
                </c:pt>
                <c:pt idx="1436">
                  <c:v>5.2390662256794283</c:v>
                </c:pt>
                <c:pt idx="1437">
                  <c:v>5.2700067569967768</c:v>
                </c:pt>
                <c:pt idx="1438">
                  <c:v>5.3009472883141218</c:v>
                </c:pt>
                <c:pt idx="1439">
                  <c:v>5.3318878196314703</c:v>
                </c:pt>
                <c:pt idx="1440">
                  <c:v>5.3628283509488153</c:v>
                </c:pt>
                <c:pt idx="1441">
                  <c:v>5.3937688822661602</c:v>
                </c:pt>
                <c:pt idx="1442">
                  <c:v>5.4247094135835088</c:v>
                </c:pt>
                <c:pt idx="1443">
                  <c:v>5.4556499449008538</c:v>
                </c:pt>
                <c:pt idx="1444">
                  <c:v>5.4865904762181987</c:v>
                </c:pt>
                <c:pt idx="1445">
                  <c:v>5.5175310075355473</c:v>
                </c:pt>
                <c:pt idx="1446">
                  <c:v>5.5484715388528922</c:v>
                </c:pt>
                <c:pt idx="1447">
                  <c:v>5.5794120701702372</c:v>
                </c:pt>
                <c:pt idx="1448">
                  <c:v>5.6103526014875857</c:v>
                </c:pt>
                <c:pt idx="1449">
                  <c:v>5.6412931328049307</c:v>
                </c:pt>
                <c:pt idx="1450">
                  <c:v>5.6722336641222793</c:v>
                </c:pt>
                <c:pt idx="1451">
                  <c:v>5.7031741954396242</c:v>
                </c:pt>
                <c:pt idx="1452">
                  <c:v>5.7341147267569692</c:v>
                </c:pt>
                <c:pt idx="1453">
                  <c:v>5.7650552580743177</c:v>
                </c:pt>
                <c:pt idx="1454">
                  <c:v>5.7959957893916627</c:v>
                </c:pt>
                <c:pt idx="1455">
                  <c:v>5.8269363207090077</c:v>
                </c:pt>
                <c:pt idx="1456">
                  <c:v>5.8578768520263562</c:v>
                </c:pt>
                <c:pt idx="1457">
                  <c:v>5.8888173833437012</c:v>
                </c:pt>
                <c:pt idx="1458">
                  <c:v>5.9197579146610497</c:v>
                </c:pt>
                <c:pt idx="1459">
                  <c:v>5.9506984459783947</c:v>
                </c:pt>
                <c:pt idx="1460">
                  <c:v>5.9816389772957397</c:v>
                </c:pt>
                <c:pt idx="1461">
                  <c:v>6.0125795086130882</c:v>
                </c:pt>
                <c:pt idx="1462">
                  <c:v>6.0435200399304332</c:v>
                </c:pt>
                <c:pt idx="1463">
                  <c:v>6.0744605712477782</c:v>
                </c:pt>
                <c:pt idx="1464">
                  <c:v>6.1054011025651267</c:v>
                </c:pt>
                <c:pt idx="1465">
                  <c:v>6.1363416338824717</c:v>
                </c:pt>
                <c:pt idx="1466">
                  <c:v>6.1672821651998166</c:v>
                </c:pt>
                <c:pt idx="1467">
                  <c:v>6.1982226965171652</c:v>
                </c:pt>
                <c:pt idx="1468">
                  <c:v>6.2291632278345102</c:v>
                </c:pt>
                <c:pt idx="1469">
                  <c:v>6.2601037591518587</c:v>
                </c:pt>
                <c:pt idx="1470">
                  <c:v>6.2910442904692037</c:v>
                </c:pt>
                <c:pt idx="1471">
                  <c:v>6.3219848217865486</c:v>
                </c:pt>
                <c:pt idx="1472">
                  <c:v>6.3529253531038972</c:v>
                </c:pt>
                <c:pt idx="1473">
                  <c:v>6.3838658844212421</c:v>
                </c:pt>
                <c:pt idx="1474">
                  <c:v>6.4148064157385871</c:v>
                </c:pt>
                <c:pt idx="1475">
                  <c:v>6.4457469470559356</c:v>
                </c:pt>
                <c:pt idx="1476">
                  <c:v>6.4766874783732806</c:v>
                </c:pt>
                <c:pt idx="1477">
                  <c:v>6.5076280096906256</c:v>
                </c:pt>
                <c:pt idx="1478">
                  <c:v>6.5385685410079741</c:v>
                </c:pt>
                <c:pt idx="1479">
                  <c:v>6.5695090723253191</c:v>
                </c:pt>
                <c:pt idx="1480">
                  <c:v>6.6004496036426676</c:v>
                </c:pt>
                <c:pt idx="1481">
                  <c:v>6.6313901349600126</c:v>
                </c:pt>
                <c:pt idx="1482">
                  <c:v>6.6623306662773576</c:v>
                </c:pt>
                <c:pt idx="1483">
                  <c:v>6.6932711975947061</c:v>
                </c:pt>
                <c:pt idx="1484">
                  <c:v>6.7242117289120511</c:v>
                </c:pt>
                <c:pt idx="1485">
                  <c:v>6.7551522602293961</c:v>
                </c:pt>
                <c:pt idx="1486">
                  <c:v>6.7860927915467446</c:v>
                </c:pt>
                <c:pt idx="1487">
                  <c:v>6.8170333228640896</c:v>
                </c:pt>
                <c:pt idx="1488">
                  <c:v>6.8479738541814346</c:v>
                </c:pt>
                <c:pt idx="1489">
                  <c:v>6.8789143854987831</c:v>
                </c:pt>
                <c:pt idx="1490">
                  <c:v>6.9098549168161281</c:v>
                </c:pt>
                <c:pt idx="1491">
                  <c:v>6.9407954481334766</c:v>
                </c:pt>
                <c:pt idx="1492">
                  <c:v>6.9717359794508216</c:v>
                </c:pt>
                <c:pt idx="1493">
                  <c:v>7.0026765107681666</c:v>
                </c:pt>
                <c:pt idx="1494">
                  <c:v>7.0336170420855151</c:v>
                </c:pt>
                <c:pt idx="1495">
                  <c:v>7.0645575734028601</c:v>
                </c:pt>
                <c:pt idx="1496">
                  <c:v>7.095498104720205</c:v>
                </c:pt>
                <c:pt idx="1497">
                  <c:v>7.1264386360375536</c:v>
                </c:pt>
                <c:pt idx="1498">
                  <c:v>7.1573791673548985</c:v>
                </c:pt>
                <c:pt idx="1499">
                  <c:v>7.1883196986722435</c:v>
                </c:pt>
                <c:pt idx="1500">
                  <c:v>7.219260229989592</c:v>
                </c:pt>
                <c:pt idx="1501">
                  <c:v>7.250200761306937</c:v>
                </c:pt>
                <c:pt idx="1502">
                  <c:v>7.2811412926242856</c:v>
                </c:pt>
                <c:pt idx="1503">
                  <c:v>7.3120818239416305</c:v>
                </c:pt>
                <c:pt idx="1504">
                  <c:v>7.3430223552589755</c:v>
                </c:pt>
                <c:pt idx="1505">
                  <c:v>7.373962886576324</c:v>
                </c:pt>
                <c:pt idx="1506">
                  <c:v>7.404903417893669</c:v>
                </c:pt>
                <c:pt idx="1507">
                  <c:v>7.435843949211014</c:v>
                </c:pt>
                <c:pt idx="1508">
                  <c:v>7.4667844805283625</c:v>
                </c:pt>
                <c:pt idx="1509">
                  <c:v>7.4977250118457075</c:v>
                </c:pt>
                <c:pt idx="1510">
                  <c:v>7.528665543163056</c:v>
                </c:pt>
                <c:pt idx="1511">
                  <c:v>7.559606074480401</c:v>
                </c:pt>
                <c:pt idx="1512">
                  <c:v>7.590546605797746</c:v>
                </c:pt>
                <c:pt idx="1513">
                  <c:v>7.6214871371150945</c:v>
                </c:pt>
                <c:pt idx="1514">
                  <c:v>7.6524276684324395</c:v>
                </c:pt>
                <c:pt idx="1515">
                  <c:v>7.6833681997497845</c:v>
                </c:pt>
                <c:pt idx="1516">
                  <c:v>7.714308731067133</c:v>
                </c:pt>
                <c:pt idx="1517">
                  <c:v>7.745249262384478</c:v>
                </c:pt>
                <c:pt idx="1518">
                  <c:v>7.7761897937018229</c:v>
                </c:pt>
                <c:pt idx="1519">
                  <c:v>7.8071303250191715</c:v>
                </c:pt>
                <c:pt idx="1520">
                  <c:v>7.8380708563365165</c:v>
                </c:pt>
                <c:pt idx="1521">
                  <c:v>7.869011387653865</c:v>
                </c:pt>
                <c:pt idx="1522">
                  <c:v>7.89995191897121</c:v>
                </c:pt>
                <c:pt idx="1523">
                  <c:v>7.9308924502885549</c:v>
                </c:pt>
                <c:pt idx="1524">
                  <c:v>7.9618329816059035</c:v>
                </c:pt>
                <c:pt idx="1525">
                  <c:v>7.9927735129232484</c:v>
                </c:pt>
                <c:pt idx="1526">
                  <c:v>8.0237140442405934</c:v>
                </c:pt>
                <c:pt idx="1527">
                  <c:v>8.054654575557942</c:v>
                </c:pt>
                <c:pt idx="1528">
                  <c:v>8.0855951068752869</c:v>
                </c:pt>
                <c:pt idx="1529">
                  <c:v>8.1165356381926319</c:v>
                </c:pt>
                <c:pt idx="1530">
                  <c:v>8.1474761695099804</c:v>
                </c:pt>
                <c:pt idx="1531">
                  <c:v>8.1784167008273254</c:v>
                </c:pt>
                <c:pt idx="1532">
                  <c:v>8.2093572321446739</c:v>
                </c:pt>
                <c:pt idx="1533">
                  <c:v>8.2402977634620189</c:v>
                </c:pt>
                <c:pt idx="1534">
                  <c:v>8.2712382947793639</c:v>
                </c:pt>
                <c:pt idx="1535">
                  <c:v>8.3021788260967124</c:v>
                </c:pt>
                <c:pt idx="1536">
                  <c:v>8.3331193574140574</c:v>
                </c:pt>
                <c:pt idx="1537">
                  <c:v>8.3640598887314024</c:v>
                </c:pt>
                <c:pt idx="1538">
                  <c:v>8.3950004200487509</c:v>
                </c:pt>
                <c:pt idx="1539">
                  <c:v>8.4259409513660959</c:v>
                </c:pt>
                <c:pt idx="1540">
                  <c:v>8.4568814826834409</c:v>
                </c:pt>
                <c:pt idx="1541">
                  <c:v>8.4878220140007894</c:v>
                </c:pt>
                <c:pt idx="1542">
                  <c:v>8.5187625453181344</c:v>
                </c:pt>
                <c:pt idx="1543">
                  <c:v>8.5497030766354829</c:v>
                </c:pt>
                <c:pt idx="1544">
                  <c:v>8.5806436079528279</c:v>
                </c:pt>
                <c:pt idx="1545">
                  <c:v>8.6115841392701729</c:v>
                </c:pt>
                <c:pt idx="1546">
                  <c:v>8.6425246705875214</c:v>
                </c:pt>
                <c:pt idx="1547">
                  <c:v>8.6734652019048664</c:v>
                </c:pt>
                <c:pt idx="1548">
                  <c:v>8.7044057332222113</c:v>
                </c:pt>
                <c:pt idx="1549">
                  <c:v>8.7353462645395599</c:v>
                </c:pt>
                <c:pt idx="1550">
                  <c:v>8.7662867958569048</c:v>
                </c:pt>
                <c:pt idx="1551">
                  <c:v>8.7972273271742498</c:v>
                </c:pt>
                <c:pt idx="1552">
                  <c:v>8.8281678584915984</c:v>
                </c:pt>
                <c:pt idx="1553">
                  <c:v>8.8591083898089433</c:v>
                </c:pt>
                <c:pt idx="1554">
                  <c:v>8.8900489211262919</c:v>
                </c:pt>
                <c:pt idx="1555">
                  <c:v>8.9209894524436368</c:v>
                </c:pt>
                <c:pt idx="1556">
                  <c:v>8.9519299837609818</c:v>
                </c:pt>
                <c:pt idx="1557">
                  <c:v>8.9828705150783303</c:v>
                </c:pt>
                <c:pt idx="1558">
                  <c:v>9.0138110463956753</c:v>
                </c:pt>
                <c:pt idx="1559">
                  <c:v>9.0447515777130203</c:v>
                </c:pt>
                <c:pt idx="1560">
                  <c:v>9.0756921090303688</c:v>
                </c:pt>
                <c:pt idx="1561">
                  <c:v>9.1066326403477138</c:v>
                </c:pt>
                <c:pt idx="1562">
                  <c:v>9.1375731716650588</c:v>
                </c:pt>
                <c:pt idx="1563">
                  <c:v>9.1685137029824073</c:v>
                </c:pt>
                <c:pt idx="1564">
                  <c:v>9.1994542342997523</c:v>
                </c:pt>
                <c:pt idx="1565">
                  <c:v>9.2303947656171008</c:v>
                </c:pt>
                <c:pt idx="1566">
                  <c:v>9.2613352969344458</c:v>
                </c:pt>
                <c:pt idx="1567">
                  <c:v>9.2922758282517908</c:v>
                </c:pt>
                <c:pt idx="1568">
                  <c:v>9.3232163595691393</c:v>
                </c:pt>
                <c:pt idx="1569">
                  <c:v>9.3541568908864843</c:v>
                </c:pt>
                <c:pt idx="1570">
                  <c:v>9.3850974222038293</c:v>
                </c:pt>
                <c:pt idx="1571">
                  <c:v>9.4160379535211778</c:v>
                </c:pt>
                <c:pt idx="1572">
                  <c:v>9.4469784848385228</c:v>
                </c:pt>
                <c:pt idx="1573">
                  <c:v>9.4779190161558713</c:v>
                </c:pt>
                <c:pt idx="1574">
                  <c:v>9.5088595474732163</c:v>
                </c:pt>
                <c:pt idx="1575">
                  <c:v>9.5398000787905612</c:v>
                </c:pt>
                <c:pt idx="1576">
                  <c:v>9.5707406101079098</c:v>
                </c:pt>
                <c:pt idx="1577">
                  <c:v>9.6016811414252548</c:v>
                </c:pt>
                <c:pt idx="1578">
                  <c:v>9.6326216727425997</c:v>
                </c:pt>
                <c:pt idx="1579">
                  <c:v>9.6635622040599483</c:v>
                </c:pt>
                <c:pt idx="1580">
                  <c:v>9.6945027353772932</c:v>
                </c:pt>
                <c:pt idx="1581">
                  <c:v>9.7254432666946382</c:v>
                </c:pt>
                <c:pt idx="1582">
                  <c:v>9.7563837980119867</c:v>
                </c:pt>
                <c:pt idx="1583">
                  <c:v>9.7873243293293317</c:v>
                </c:pt>
                <c:pt idx="1584">
                  <c:v>9.8182648606466802</c:v>
                </c:pt>
                <c:pt idx="1585">
                  <c:v>9.8492053919640252</c:v>
                </c:pt>
                <c:pt idx="1586">
                  <c:v>9.8801459232813702</c:v>
                </c:pt>
                <c:pt idx="1587">
                  <c:v>9.9110864545987187</c:v>
                </c:pt>
                <c:pt idx="1588">
                  <c:v>9.9420269859160637</c:v>
                </c:pt>
                <c:pt idx="1589">
                  <c:v>9.9729675172334087</c:v>
                </c:pt>
                <c:pt idx="1590">
                  <c:v>10.003908048550757</c:v>
                </c:pt>
                <c:pt idx="1591">
                  <c:v>10.034848579868102</c:v>
                </c:pt>
                <c:pt idx="1592">
                  <c:v>10.065789111185447</c:v>
                </c:pt>
                <c:pt idx="1593">
                  <c:v>10.096729642502796</c:v>
                </c:pt>
                <c:pt idx="1594">
                  <c:v>10.127670173820141</c:v>
                </c:pt>
                <c:pt idx="1595">
                  <c:v>10.158610705137489</c:v>
                </c:pt>
                <c:pt idx="1596">
                  <c:v>10.189551236454834</c:v>
                </c:pt>
                <c:pt idx="1597">
                  <c:v>10.220491767772179</c:v>
                </c:pt>
                <c:pt idx="1598">
                  <c:v>10.251432299089528</c:v>
                </c:pt>
                <c:pt idx="1599">
                  <c:v>10.282372830406873</c:v>
                </c:pt>
                <c:pt idx="1600">
                  <c:v>10.313313361724218</c:v>
                </c:pt>
                <c:pt idx="1601">
                  <c:v>10.344253893041566</c:v>
                </c:pt>
                <c:pt idx="1602">
                  <c:v>10.375194424358911</c:v>
                </c:pt>
                <c:pt idx="1603">
                  <c:v>10.406134955676256</c:v>
                </c:pt>
                <c:pt idx="1604">
                  <c:v>10.437075486993605</c:v>
                </c:pt>
                <c:pt idx="1605">
                  <c:v>10.46801601831095</c:v>
                </c:pt>
                <c:pt idx="1606">
                  <c:v>10.498956549628298</c:v>
                </c:pt>
                <c:pt idx="1607">
                  <c:v>10.529897080945643</c:v>
                </c:pt>
                <c:pt idx="1608">
                  <c:v>10.560837612262988</c:v>
                </c:pt>
                <c:pt idx="1609">
                  <c:v>10.591778143580337</c:v>
                </c:pt>
                <c:pt idx="1610">
                  <c:v>10.622718674897682</c:v>
                </c:pt>
                <c:pt idx="1611">
                  <c:v>10.653659206215027</c:v>
                </c:pt>
                <c:pt idx="1612">
                  <c:v>10.684599737532375</c:v>
                </c:pt>
                <c:pt idx="1613">
                  <c:v>10.71554026884972</c:v>
                </c:pt>
                <c:pt idx="1614">
                  <c:v>10.746480800167065</c:v>
                </c:pt>
                <c:pt idx="1615">
                  <c:v>10.777421331484414</c:v>
                </c:pt>
                <c:pt idx="1616">
                  <c:v>10.808361862801759</c:v>
                </c:pt>
                <c:pt idx="1617">
                  <c:v>10.839302394119107</c:v>
                </c:pt>
                <c:pt idx="1618">
                  <c:v>10.870242925436452</c:v>
                </c:pt>
                <c:pt idx="1619">
                  <c:v>10.901183456753797</c:v>
                </c:pt>
                <c:pt idx="1620">
                  <c:v>10.932123988071146</c:v>
                </c:pt>
                <c:pt idx="1621">
                  <c:v>10.963064519388491</c:v>
                </c:pt>
                <c:pt idx="1622">
                  <c:v>10.994005050705836</c:v>
                </c:pt>
                <c:pt idx="1623">
                  <c:v>11.024945582023184</c:v>
                </c:pt>
                <c:pt idx="1624">
                  <c:v>11.055886113340529</c:v>
                </c:pt>
                <c:pt idx="1625">
                  <c:v>11.086826644657878</c:v>
                </c:pt>
                <c:pt idx="1626">
                  <c:v>11.117767175975223</c:v>
                </c:pt>
                <c:pt idx="1627">
                  <c:v>11.148707707292568</c:v>
                </c:pt>
                <c:pt idx="1628">
                  <c:v>11.179648238609916</c:v>
                </c:pt>
                <c:pt idx="1629">
                  <c:v>11.210588769927261</c:v>
                </c:pt>
                <c:pt idx="1630">
                  <c:v>11.241529301244606</c:v>
                </c:pt>
                <c:pt idx="1631">
                  <c:v>11.272469832561955</c:v>
                </c:pt>
                <c:pt idx="1632">
                  <c:v>11.3034103638793</c:v>
                </c:pt>
                <c:pt idx="1633">
                  <c:v>11.334350895196645</c:v>
                </c:pt>
                <c:pt idx="1634">
                  <c:v>11.365291426513993</c:v>
                </c:pt>
                <c:pt idx="1635">
                  <c:v>11.396231957831338</c:v>
                </c:pt>
                <c:pt idx="1636">
                  <c:v>11.427172489148687</c:v>
                </c:pt>
                <c:pt idx="1637">
                  <c:v>11.458113020466032</c:v>
                </c:pt>
                <c:pt idx="1638">
                  <c:v>11.489053551783377</c:v>
                </c:pt>
                <c:pt idx="1639">
                  <c:v>11.519994083100725</c:v>
                </c:pt>
                <c:pt idx="1640">
                  <c:v>11.55093461441807</c:v>
                </c:pt>
                <c:pt idx="1641">
                  <c:v>11.581875145735415</c:v>
                </c:pt>
                <c:pt idx="1642">
                  <c:v>11.612815677052764</c:v>
                </c:pt>
                <c:pt idx="1643">
                  <c:v>11.643756208370108</c:v>
                </c:pt>
                <c:pt idx="1644">
                  <c:v>11.674696739687453</c:v>
                </c:pt>
                <c:pt idx="1645">
                  <c:v>11.705637271004802</c:v>
                </c:pt>
                <c:pt idx="1646">
                  <c:v>11.736577802322147</c:v>
                </c:pt>
                <c:pt idx="1647">
                  <c:v>11.767518333639496</c:v>
                </c:pt>
                <c:pt idx="1648">
                  <c:v>11.79845886495684</c:v>
                </c:pt>
                <c:pt idx="1649">
                  <c:v>11.829399396274185</c:v>
                </c:pt>
                <c:pt idx="1650">
                  <c:v>11.860339927591534</c:v>
                </c:pt>
                <c:pt idx="1651">
                  <c:v>11.891280458908879</c:v>
                </c:pt>
                <c:pt idx="1652">
                  <c:v>11.922220990226224</c:v>
                </c:pt>
                <c:pt idx="1653">
                  <c:v>11.953161521543572</c:v>
                </c:pt>
                <c:pt idx="1654">
                  <c:v>11.984102052860917</c:v>
                </c:pt>
                <c:pt idx="1655">
                  <c:v>12.015042584178262</c:v>
                </c:pt>
                <c:pt idx="1656">
                  <c:v>12.045983115495611</c:v>
                </c:pt>
                <c:pt idx="1657">
                  <c:v>12.076923646812956</c:v>
                </c:pt>
                <c:pt idx="1658">
                  <c:v>12.107864178130304</c:v>
                </c:pt>
                <c:pt idx="1659">
                  <c:v>12.138804709447649</c:v>
                </c:pt>
                <c:pt idx="1660">
                  <c:v>12.169745240764994</c:v>
                </c:pt>
                <c:pt idx="1661">
                  <c:v>12.200685772082343</c:v>
                </c:pt>
                <c:pt idx="1662">
                  <c:v>12.231626303399688</c:v>
                </c:pt>
                <c:pt idx="1663">
                  <c:v>12.262566834717033</c:v>
                </c:pt>
                <c:pt idx="1664">
                  <c:v>12.293507366034381</c:v>
                </c:pt>
                <c:pt idx="1665">
                  <c:v>12.324447897351726</c:v>
                </c:pt>
                <c:pt idx="1666">
                  <c:v>12.355388428669071</c:v>
                </c:pt>
                <c:pt idx="1667">
                  <c:v>12.38632895998642</c:v>
                </c:pt>
                <c:pt idx="1668">
                  <c:v>12.417269491303765</c:v>
                </c:pt>
                <c:pt idx="1669">
                  <c:v>12.448210022621113</c:v>
                </c:pt>
                <c:pt idx="1670">
                  <c:v>12.479150553938458</c:v>
                </c:pt>
                <c:pt idx="1671">
                  <c:v>12.510091085255803</c:v>
                </c:pt>
                <c:pt idx="1672">
                  <c:v>12.541031616573152</c:v>
                </c:pt>
                <c:pt idx="1673">
                  <c:v>12.571972147890497</c:v>
                </c:pt>
                <c:pt idx="1674">
                  <c:v>12.602912679207842</c:v>
                </c:pt>
                <c:pt idx="1675">
                  <c:v>12.63385321052519</c:v>
                </c:pt>
                <c:pt idx="1676">
                  <c:v>12.664793741842535</c:v>
                </c:pt>
                <c:pt idx="1677">
                  <c:v>12.69573427315988</c:v>
                </c:pt>
                <c:pt idx="1678">
                  <c:v>12.726674804477229</c:v>
                </c:pt>
                <c:pt idx="1679">
                  <c:v>12.757615335794574</c:v>
                </c:pt>
                <c:pt idx="1680">
                  <c:v>12.788555867111922</c:v>
                </c:pt>
                <c:pt idx="1681">
                  <c:v>12.819496398429267</c:v>
                </c:pt>
                <c:pt idx="1682">
                  <c:v>12.850436929746612</c:v>
                </c:pt>
                <c:pt idx="1683">
                  <c:v>12.881377461063961</c:v>
                </c:pt>
                <c:pt idx="1684">
                  <c:v>12.912317992381306</c:v>
                </c:pt>
                <c:pt idx="1685">
                  <c:v>12.943258523698651</c:v>
                </c:pt>
                <c:pt idx="1686">
                  <c:v>12.974199055015999</c:v>
                </c:pt>
                <c:pt idx="1687">
                  <c:v>13.005139586333344</c:v>
                </c:pt>
                <c:pt idx="1688">
                  <c:v>13.036080117650693</c:v>
                </c:pt>
                <c:pt idx="1689">
                  <c:v>13.067020648968038</c:v>
                </c:pt>
                <c:pt idx="1690">
                  <c:v>13.097961180285383</c:v>
                </c:pt>
                <c:pt idx="1691">
                  <c:v>13.128901711602731</c:v>
                </c:pt>
                <c:pt idx="1692">
                  <c:v>13.159842242920076</c:v>
                </c:pt>
                <c:pt idx="1693">
                  <c:v>13.190782774237421</c:v>
                </c:pt>
                <c:pt idx="1694">
                  <c:v>13.22172330555477</c:v>
                </c:pt>
                <c:pt idx="1695">
                  <c:v>13.252663836872115</c:v>
                </c:pt>
                <c:pt idx="1696">
                  <c:v>13.28360436818946</c:v>
                </c:pt>
                <c:pt idx="1697">
                  <c:v>13.314544899506808</c:v>
                </c:pt>
                <c:pt idx="1698">
                  <c:v>13.345485430824153</c:v>
                </c:pt>
                <c:pt idx="1699">
                  <c:v>13.376425962141502</c:v>
                </c:pt>
                <c:pt idx="1700">
                  <c:v>13.407366493458847</c:v>
                </c:pt>
                <c:pt idx="1701">
                  <c:v>13.438307024776192</c:v>
                </c:pt>
                <c:pt idx="1702">
                  <c:v>13.46924755609354</c:v>
                </c:pt>
                <c:pt idx="1703">
                  <c:v>13.500188087410885</c:v>
                </c:pt>
                <c:pt idx="1704">
                  <c:v>13.53112861872823</c:v>
                </c:pt>
                <c:pt idx="1705">
                  <c:v>13.562069150045579</c:v>
                </c:pt>
                <c:pt idx="1706">
                  <c:v>13.593009681362924</c:v>
                </c:pt>
                <c:pt idx="1707">
                  <c:v>13.623950212680269</c:v>
                </c:pt>
                <c:pt idx="1708">
                  <c:v>13.654890743997617</c:v>
                </c:pt>
                <c:pt idx="1709">
                  <c:v>13.685831275314962</c:v>
                </c:pt>
                <c:pt idx="1710">
                  <c:v>13.716771806632311</c:v>
                </c:pt>
                <c:pt idx="1711">
                  <c:v>13.747712337949656</c:v>
                </c:pt>
                <c:pt idx="1712">
                  <c:v>13.778652869267001</c:v>
                </c:pt>
                <c:pt idx="1713">
                  <c:v>13.809593400584349</c:v>
                </c:pt>
                <c:pt idx="1714">
                  <c:v>13.840533931901694</c:v>
                </c:pt>
                <c:pt idx="1715">
                  <c:v>13.871474463219039</c:v>
                </c:pt>
                <c:pt idx="1716">
                  <c:v>13.902414994536388</c:v>
                </c:pt>
                <c:pt idx="1717">
                  <c:v>13.933355525853733</c:v>
                </c:pt>
                <c:pt idx="1718">
                  <c:v>13.964296057171078</c:v>
                </c:pt>
                <c:pt idx="1719">
                  <c:v>13.995236588488426</c:v>
                </c:pt>
                <c:pt idx="1720">
                  <c:v>14.026177119805771</c:v>
                </c:pt>
                <c:pt idx="1721">
                  <c:v>14.05711765112312</c:v>
                </c:pt>
                <c:pt idx="1722">
                  <c:v>14.088058182440465</c:v>
                </c:pt>
                <c:pt idx="1723">
                  <c:v>14.11899871375781</c:v>
                </c:pt>
                <c:pt idx="1724">
                  <c:v>14.149939245075158</c:v>
                </c:pt>
                <c:pt idx="1725">
                  <c:v>14.180879776392503</c:v>
                </c:pt>
                <c:pt idx="1726">
                  <c:v>14.211820307709848</c:v>
                </c:pt>
                <c:pt idx="1727">
                  <c:v>14.242760839027197</c:v>
                </c:pt>
                <c:pt idx="1728">
                  <c:v>14.273701370344542</c:v>
                </c:pt>
                <c:pt idx="1729">
                  <c:v>14.304641901661887</c:v>
                </c:pt>
                <c:pt idx="1730">
                  <c:v>14.335582432979235</c:v>
                </c:pt>
                <c:pt idx="1731">
                  <c:v>14.36652296429658</c:v>
                </c:pt>
                <c:pt idx="1732">
                  <c:v>14.397463495613929</c:v>
                </c:pt>
                <c:pt idx="1733">
                  <c:v>14.428404026931274</c:v>
                </c:pt>
                <c:pt idx="1734">
                  <c:v>14.459344558248619</c:v>
                </c:pt>
                <c:pt idx="1735">
                  <c:v>14.490285089565967</c:v>
                </c:pt>
                <c:pt idx="1736">
                  <c:v>14.521225620883312</c:v>
                </c:pt>
                <c:pt idx="1737">
                  <c:v>14.552166152200657</c:v>
                </c:pt>
                <c:pt idx="1738">
                  <c:v>14.583106683518006</c:v>
                </c:pt>
                <c:pt idx="1739">
                  <c:v>14.614047214835351</c:v>
                </c:pt>
                <c:pt idx="1740">
                  <c:v>14.644987746152699</c:v>
                </c:pt>
                <c:pt idx="1741">
                  <c:v>14.675928277470044</c:v>
                </c:pt>
                <c:pt idx="1742">
                  <c:v>14.706868808787389</c:v>
                </c:pt>
                <c:pt idx="1743">
                  <c:v>14.737809340104738</c:v>
                </c:pt>
                <c:pt idx="1744">
                  <c:v>14.768749871422083</c:v>
                </c:pt>
                <c:pt idx="1745">
                  <c:v>14.799690402739428</c:v>
                </c:pt>
                <c:pt idx="1746">
                  <c:v>14.830630934056776</c:v>
                </c:pt>
                <c:pt idx="1747">
                  <c:v>14.861571465374121</c:v>
                </c:pt>
                <c:pt idx="1748">
                  <c:v>14.892511996691466</c:v>
                </c:pt>
                <c:pt idx="1749">
                  <c:v>14.923452528008815</c:v>
                </c:pt>
                <c:pt idx="1750">
                  <c:v>14.95439305932616</c:v>
                </c:pt>
                <c:pt idx="1751">
                  <c:v>14.985333590643508</c:v>
                </c:pt>
                <c:pt idx="1752">
                  <c:v>15.016274121960853</c:v>
                </c:pt>
                <c:pt idx="1753">
                  <c:v>15.047214653278198</c:v>
                </c:pt>
                <c:pt idx="1754">
                  <c:v>15.078155184595547</c:v>
                </c:pt>
                <c:pt idx="1755">
                  <c:v>15.109095715912892</c:v>
                </c:pt>
                <c:pt idx="1756">
                  <c:v>15.140036247230237</c:v>
                </c:pt>
                <c:pt idx="1757">
                  <c:v>15.170976778547585</c:v>
                </c:pt>
                <c:pt idx="1758">
                  <c:v>15.20191730986493</c:v>
                </c:pt>
                <c:pt idx="1759">
                  <c:v>15.232857841182275</c:v>
                </c:pt>
                <c:pt idx="1760">
                  <c:v>15.263798372499624</c:v>
                </c:pt>
                <c:pt idx="1761">
                  <c:v>15.294738903816969</c:v>
                </c:pt>
                <c:pt idx="1762">
                  <c:v>15.325679435134317</c:v>
                </c:pt>
                <c:pt idx="1763">
                  <c:v>15.356619966451662</c:v>
                </c:pt>
                <c:pt idx="1764">
                  <c:v>15.387560497769007</c:v>
                </c:pt>
                <c:pt idx="1765">
                  <c:v>15.418501029086356</c:v>
                </c:pt>
                <c:pt idx="1766">
                  <c:v>15.449441560403701</c:v>
                </c:pt>
                <c:pt idx="1767">
                  <c:v>15.480382091721046</c:v>
                </c:pt>
                <c:pt idx="1768">
                  <c:v>15.511322623038394</c:v>
                </c:pt>
                <c:pt idx="1769">
                  <c:v>15.542263154355739</c:v>
                </c:pt>
                <c:pt idx="1770">
                  <c:v>15.573203685673084</c:v>
                </c:pt>
                <c:pt idx="1771">
                  <c:v>15.604144216990433</c:v>
                </c:pt>
                <c:pt idx="1772">
                  <c:v>15.635084748307778</c:v>
                </c:pt>
                <c:pt idx="1773">
                  <c:v>15.666025279625126</c:v>
                </c:pt>
                <c:pt idx="1774">
                  <c:v>15.696965810942471</c:v>
                </c:pt>
                <c:pt idx="1775">
                  <c:v>15.727906342259816</c:v>
                </c:pt>
                <c:pt idx="1776">
                  <c:v>15.758846873577165</c:v>
                </c:pt>
                <c:pt idx="1777">
                  <c:v>15.789787404894509</c:v>
                </c:pt>
                <c:pt idx="1778">
                  <c:v>15.820727936211854</c:v>
                </c:pt>
                <c:pt idx="1779">
                  <c:v>15.851668467529203</c:v>
                </c:pt>
                <c:pt idx="1780">
                  <c:v>15.882608998846548</c:v>
                </c:pt>
                <c:pt idx="1781">
                  <c:v>15.913549530163893</c:v>
                </c:pt>
                <c:pt idx="1782">
                  <c:v>15.944490061481241</c:v>
                </c:pt>
                <c:pt idx="1783">
                  <c:v>15.975430592798586</c:v>
                </c:pt>
                <c:pt idx="1784">
                  <c:v>16.006371124115937</c:v>
                </c:pt>
                <c:pt idx="1785">
                  <c:v>16.037311655433278</c:v>
                </c:pt>
                <c:pt idx="1786">
                  <c:v>16.068252186750627</c:v>
                </c:pt>
                <c:pt idx="1787">
                  <c:v>16.099192718067975</c:v>
                </c:pt>
                <c:pt idx="1788">
                  <c:v>16.130133249385317</c:v>
                </c:pt>
                <c:pt idx="1789">
                  <c:v>16.161073780702665</c:v>
                </c:pt>
                <c:pt idx="1790">
                  <c:v>16.192014312020014</c:v>
                </c:pt>
                <c:pt idx="1791">
                  <c:v>16.222954843337355</c:v>
                </c:pt>
                <c:pt idx="1792">
                  <c:v>16.253895374654704</c:v>
                </c:pt>
                <c:pt idx="1793">
                  <c:v>16.284835905972052</c:v>
                </c:pt>
                <c:pt idx="1794">
                  <c:v>16.315776437289394</c:v>
                </c:pt>
                <c:pt idx="1795">
                  <c:v>16.346716968606742</c:v>
                </c:pt>
                <c:pt idx="1796">
                  <c:v>16.377657499924091</c:v>
                </c:pt>
                <c:pt idx="1797">
                  <c:v>16.408598031241432</c:v>
                </c:pt>
                <c:pt idx="1798">
                  <c:v>16.439538562558781</c:v>
                </c:pt>
                <c:pt idx="1799">
                  <c:v>16.470479093876129</c:v>
                </c:pt>
                <c:pt idx="1800">
                  <c:v>16.501419625193471</c:v>
                </c:pt>
                <c:pt idx="1801">
                  <c:v>16.532360156510819</c:v>
                </c:pt>
                <c:pt idx="1802">
                  <c:v>16.563300687828168</c:v>
                </c:pt>
                <c:pt idx="1803">
                  <c:v>16.594241219145516</c:v>
                </c:pt>
                <c:pt idx="1804">
                  <c:v>16.625181750462858</c:v>
                </c:pt>
                <c:pt idx="1805">
                  <c:v>16.656122281780206</c:v>
                </c:pt>
                <c:pt idx="1806">
                  <c:v>16.687062813097555</c:v>
                </c:pt>
                <c:pt idx="1807">
                  <c:v>16.718003344414896</c:v>
                </c:pt>
                <c:pt idx="1808">
                  <c:v>16.748943875732245</c:v>
                </c:pt>
                <c:pt idx="1809">
                  <c:v>16.779884407049593</c:v>
                </c:pt>
                <c:pt idx="1810">
                  <c:v>16.810824938366935</c:v>
                </c:pt>
                <c:pt idx="1811">
                  <c:v>16.841765469684283</c:v>
                </c:pt>
                <c:pt idx="1812">
                  <c:v>16.872706001001632</c:v>
                </c:pt>
                <c:pt idx="1813">
                  <c:v>16.903646532318973</c:v>
                </c:pt>
                <c:pt idx="1814">
                  <c:v>16.934587063636322</c:v>
                </c:pt>
                <c:pt idx="1815">
                  <c:v>16.96552759495367</c:v>
                </c:pt>
                <c:pt idx="1816">
                  <c:v>16.996468126271012</c:v>
                </c:pt>
                <c:pt idx="1817">
                  <c:v>#N/A</c:v>
                </c:pt>
                <c:pt idx="1818">
                  <c:v>-11.066593778562057</c:v>
                </c:pt>
                <c:pt idx="1819">
                  <c:v>-11.03565324724471</c:v>
                </c:pt>
                <c:pt idx="1820">
                  <c:v>-11.004712715927365</c:v>
                </c:pt>
                <c:pt idx="1821">
                  <c:v>-10.973772184610018</c:v>
                </c:pt>
                <c:pt idx="1822">
                  <c:v>-10.942831653292671</c:v>
                </c:pt>
                <c:pt idx="1823">
                  <c:v>-10.911891121975325</c:v>
                </c:pt>
                <c:pt idx="1824">
                  <c:v>-10.88095059065798</c:v>
                </c:pt>
                <c:pt idx="1825">
                  <c:v>-10.850010059340633</c:v>
                </c:pt>
                <c:pt idx="1826">
                  <c:v>-10.819069528023286</c:v>
                </c:pt>
                <c:pt idx="1827">
                  <c:v>-10.788128996705939</c:v>
                </c:pt>
                <c:pt idx="1828">
                  <c:v>-10.757188465388595</c:v>
                </c:pt>
                <c:pt idx="1829">
                  <c:v>-10.726247934071248</c:v>
                </c:pt>
                <c:pt idx="1830">
                  <c:v>-10.695307402753901</c:v>
                </c:pt>
                <c:pt idx="1831">
                  <c:v>-10.664366871436556</c:v>
                </c:pt>
                <c:pt idx="1832">
                  <c:v>-10.633426340119209</c:v>
                </c:pt>
                <c:pt idx="1833">
                  <c:v>-10.602485808801863</c:v>
                </c:pt>
                <c:pt idx="1834">
                  <c:v>-10.571545277484516</c:v>
                </c:pt>
                <c:pt idx="1835">
                  <c:v>-10.540604746167171</c:v>
                </c:pt>
                <c:pt idx="1836">
                  <c:v>-10.509664214849824</c:v>
                </c:pt>
                <c:pt idx="1837">
                  <c:v>-10.478723683532477</c:v>
                </c:pt>
                <c:pt idx="1838">
                  <c:v>-10.447783152215131</c:v>
                </c:pt>
                <c:pt idx="1839">
                  <c:v>-10.416842620897786</c:v>
                </c:pt>
                <c:pt idx="1840">
                  <c:v>-10.385902089580439</c:v>
                </c:pt>
                <c:pt idx="1841">
                  <c:v>-10.354961558263092</c:v>
                </c:pt>
                <c:pt idx="1842">
                  <c:v>-10.324021026945747</c:v>
                </c:pt>
                <c:pt idx="1843">
                  <c:v>-10.2930804956284</c:v>
                </c:pt>
                <c:pt idx="1844">
                  <c:v>-10.262139964311054</c:v>
                </c:pt>
                <c:pt idx="1845">
                  <c:v>-10.231199432993707</c:v>
                </c:pt>
                <c:pt idx="1846">
                  <c:v>-10.200258901676362</c:v>
                </c:pt>
                <c:pt idx="1847">
                  <c:v>-10.169318370359015</c:v>
                </c:pt>
                <c:pt idx="1848">
                  <c:v>-10.138377839041668</c:v>
                </c:pt>
                <c:pt idx="1849">
                  <c:v>-10.107437307724322</c:v>
                </c:pt>
                <c:pt idx="1850">
                  <c:v>-10.076496776406977</c:v>
                </c:pt>
                <c:pt idx="1851">
                  <c:v>-10.04555624508963</c:v>
                </c:pt>
                <c:pt idx="1852">
                  <c:v>-10.014615713772283</c:v>
                </c:pt>
                <c:pt idx="1853">
                  <c:v>-9.9836751824549363</c:v>
                </c:pt>
                <c:pt idx="1854">
                  <c:v>-9.9527346511375914</c:v>
                </c:pt>
                <c:pt idx="1855">
                  <c:v>-9.9217941198202446</c:v>
                </c:pt>
                <c:pt idx="1856">
                  <c:v>-9.8908535885028979</c:v>
                </c:pt>
                <c:pt idx="1857">
                  <c:v>-9.8599130571855511</c:v>
                </c:pt>
                <c:pt idx="1858">
                  <c:v>-9.8289725258682061</c:v>
                </c:pt>
                <c:pt idx="1859">
                  <c:v>-9.7980319945508594</c:v>
                </c:pt>
                <c:pt idx="1860">
                  <c:v>-9.7670914632335126</c:v>
                </c:pt>
                <c:pt idx="1861">
                  <c:v>-9.7361509319161677</c:v>
                </c:pt>
                <c:pt idx="1862">
                  <c:v>-9.7052104005988209</c:v>
                </c:pt>
                <c:pt idx="1863">
                  <c:v>-9.6742698692814741</c:v>
                </c:pt>
                <c:pt idx="1864">
                  <c:v>-9.6433293379641274</c:v>
                </c:pt>
                <c:pt idx="1865">
                  <c:v>-9.6123888066467824</c:v>
                </c:pt>
                <c:pt idx="1866">
                  <c:v>-9.5814482753294357</c:v>
                </c:pt>
                <c:pt idx="1867">
                  <c:v>-9.5505077440120889</c:v>
                </c:pt>
                <c:pt idx="1868">
                  <c:v>-9.5195672126947422</c:v>
                </c:pt>
                <c:pt idx="1869">
                  <c:v>-9.4886266813773972</c:v>
                </c:pt>
                <c:pt idx="1870">
                  <c:v>-9.4576861500600504</c:v>
                </c:pt>
                <c:pt idx="1871">
                  <c:v>-9.4267456187427037</c:v>
                </c:pt>
                <c:pt idx="1872">
                  <c:v>-9.3958050874253587</c:v>
                </c:pt>
                <c:pt idx="1873">
                  <c:v>-9.3648645561080119</c:v>
                </c:pt>
                <c:pt idx="1874">
                  <c:v>-9.3339240247906652</c:v>
                </c:pt>
                <c:pt idx="1875">
                  <c:v>-9.3029834934733184</c:v>
                </c:pt>
                <c:pt idx="1876">
                  <c:v>-9.2720429621559735</c:v>
                </c:pt>
                <c:pt idx="1877">
                  <c:v>-9.2411024308386267</c:v>
                </c:pt>
                <c:pt idx="1878">
                  <c:v>-9.2101618995212799</c:v>
                </c:pt>
                <c:pt idx="1879">
                  <c:v>-9.1792213682039332</c:v>
                </c:pt>
                <c:pt idx="1880">
                  <c:v>-9.1482808368865882</c:v>
                </c:pt>
                <c:pt idx="1881">
                  <c:v>-9.1173403055692415</c:v>
                </c:pt>
                <c:pt idx="1882">
                  <c:v>-9.0863997742518947</c:v>
                </c:pt>
                <c:pt idx="1883">
                  <c:v>-9.0554592429345497</c:v>
                </c:pt>
                <c:pt idx="1884">
                  <c:v>-9.024518711617203</c:v>
                </c:pt>
                <c:pt idx="1885">
                  <c:v>-8.9935781802998562</c:v>
                </c:pt>
                <c:pt idx="1886">
                  <c:v>-8.9626376489825095</c:v>
                </c:pt>
                <c:pt idx="1887">
                  <c:v>-8.9316971176651627</c:v>
                </c:pt>
                <c:pt idx="1888">
                  <c:v>-8.9007565863478177</c:v>
                </c:pt>
                <c:pt idx="1889">
                  <c:v>-8.869816055030471</c:v>
                </c:pt>
                <c:pt idx="1890">
                  <c:v>-8.8388755237131242</c:v>
                </c:pt>
                <c:pt idx="1891">
                  <c:v>-8.8079349923957793</c:v>
                </c:pt>
                <c:pt idx="1892">
                  <c:v>-8.7769944610784325</c:v>
                </c:pt>
                <c:pt idx="1893">
                  <c:v>-8.7460539297610858</c:v>
                </c:pt>
                <c:pt idx="1894">
                  <c:v>-8.7151133984437408</c:v>
                </c:pt>
                <c:pt idx="1895">
                  <c:v>-8.684172867126394</c:v>
                </c:pt>
                <c:pt idx="1896">
                  <c:v>-8.6532323358090473</c:v>
                </c:pt>
                <c:pt idx="1897">
                  <c:v>-8.6222918044917005</c:v>
                </c:pt>
                <c:pt idx="1898">
                  <c:v>-8.5913512731743538</c:v>
                </c:pt>
                <c:pt idx="1899">
                  <c:v>-8.5604107418570088</c:v>
                </c:pt>
                <c:pt idx="1900">
                  <c:v>-8.529470210539662</c:v>
                </c:pt>
                <c:pt idx="1901">
                  <c:v>-8.4985296792223153</c:v>
                </c:pt>
                <c:pt idx="1902">
                  <c:v>-8.4675891479049703</c:v>
                </c:pt>
                <c:pt idx="1903">
                  <c:v>-8.4366486165876236</c:v>
                </c:pt>
                <c:pt idx="1904">
                  <c:v>-8.4057080852702768</c:v>
                </c:pt>
                <c:pt idx="1905">
                  <c:v>-8.3747675539529318</c:v>
                </c:pt>
                <c:pt idx="1906">
                  <c:v>-8.3438270226355851</c:v>
                </c:pt>
                <c:pt idx="1907">
                  <c:v>-8.3128864913182383</c:v>
                </c:pt>
                <c:pt idx="1908">
                  <c:v>-8.2819459600008916</c:v>
                </c:pt>
                <c:pt idx="1909">
                  <c:v>-8.2510054286835448</c:v>
                </c:pt>
                <c:pt idx="1910">
                  <c:v>-8.2200648973661998</c:v>
                </c:pt>
                <c:pt idx="1911">
                  <c:v>-8.1891243660488531</c:v>
                </c:pt>
                <c:pt idx="1912">
                  <c:v>-8.1581838347315063</c:v>
                </c:pt>
                <c:pt idx="1913">
                  <c:v>-8.1272433034141613</c:v>
                </c:pt>
                <c:pt idx="1914">
                  <c:v>-8.0963027720968146</c:v>
                </c:pt>
                <c:pt idx="1915">
                  <c:v>-8.0653622407794678</c:v>
                </c:pt>
                <c:pt idx="1916">
                  <c:v>-8.0344217094621229</c:v>
                </c:pt>
                <c:pt idx="1917">
                  <c:v>-8.0034811781447761</c:v>
                </c:pt>
                <c:pt idx="1918">
                  <c:v>-7.9725406468274294</c:v>
                </c:pt>
                <c:pt idx="1919">
                  <c:v>-7.9416001155100826</c:v>
                </c:pt>
                <c:pt idx="1920">
                  <c:v>-7.9106595841927367</c:v>
                </c:pt>
                <c:pt idx="1921">
                  <c:v>-7.8797190528753909</c:v>
                </c:pt>
                <c:pt idx="1922">
                  <c:v>-7.8487785215580441</c:v>
                </c:pt>
                <c:pt idx="1923">
                  <c:v>-7.8178379902406974</c:v>
                </c:pt>
                <c:pt idx="1924">
                  <c:v>-7.7868974589233515</c:v>
                </c:pt>
                <c:pt idx="1925">
                  <c:v>-7.7559569276060056</c:v>
                </c:pt>
                <c:pt idx="1926">
                  <c:v>-7.7250163962886589</c:v>
                </c:pt>
                <c:pt idx="1927">
                  <c:v>-7.694075864971313</c:v>
                </c:pt>
                <c:pt idx="1928">
                  <c:v>-7.6631353336539672</c:v>
                </c:pt>
                <c:pt idx="1929">
                  <c:v>-7.6321948023366204</c:v>
                </c:pt>
                <c:pt idx="1930">
                  <c:v>-7.6012542710192736</c:v>
                </c:pt>
                <c:pt idx="1931">
                  <c:v>-7.5703137397019278</c:v>
                </c:pt>
                <c:pt idx="1932">
                  <c:v>-7.5393732083845819</c:v>
                </c:pt>
                <c:pt idx="1933">
                  <c:v>-7.5084326770672352</c:v>
                </c:pt>
                <c:pt idx="1934">
                  <c:v>-7.4774921457498884</c:v>
                </c:pt>
                <c:pt idx="1935">
                  <c:v>-7.4465516144325425</c:v>
                </c:pt>
                <c:pt idx="1936">
                  <c:v>-7.4156110831151967</c:v>
                </c:pt>
                <c:pt idx="1937">
                  <c:v>-7.3846705517978499</c:v>
                </c:pt>
                <c:pt idx="1938">
                  <c:v>-7.3537300204805032</c:v>
                </c:pt>
                <c:pt idx="1939">
                  <c:v>-7.3227894891631573</c:v>
                </c:pt>
                <c:pt idx="1940">
                  <c:v>-7.2918489578458114</c:v>
                </c:pt>
                <c:pt idx="1941">
                  <c:v>-7.2609084265284647</c:v>
                </c:pt>
                <c:pt idx="1942">
                  <c:v>-7.2299678952111188</c:v>
                </c:pt>
                <c:pt idx="1943">
                  <c:v>-7.199027363893773</c:v>
                </c:pt>
                <c:pt idx="1944">
                  <c:v>-7.1680868325764262</c:v>
                </c:pt>
                <c:pt idx="1945">
                  <c:v>-7.1371463012590795</c:v>
                </c:pt>
                <c:pt idx="1946">
                  <c:v>-7.1062057699417336</c:v>
                </c:pt>
                <c:pt idx="1947">
                  <c:v>-7.0752652386243877</c:v>
                </c:pt>
                <c:pt idx="1948">
                  <c:v>-7.044324707307041</c:v>
                </c:pt>
                <c:pt idx="1949">
                  <c:v>-7.0133841759896951</c:v>
                </c:pt>
                <c:pt idx="1950">
                  <c:v>-6.9824436446723483</c:v>
                </c:pt>
                <c:pt idx="1951">
                  <c:v>-6.9515031133550025</c:v>
                </c:pt>
                <c:pt idx="1952">
                  <c:v>-6.9205625820376557</c:v>
                </c:pt>
                <c:pt idx="1953">
                  <c:v>-6.8896220507203099</c:v>
                </c:pt>
                <c:pt idx="1954">
                  <c:v>-6.8586815194029631</c:v>
                </c:pt>
                <c:pt idx="1955">
                  <c:v>-6.8277409880856172</c:v>
                </c:pt>
                <c:pt idx="1956">
                  <c:v>-6.7968004567682705</c:v>
                </c:pt>
                <c:pt idx="1957">
                  <c:v>-6.7658599254509246</c:v>
                </c:pt>
                <c:pt idx="1958">
                  <c:v>-6.7349193941335779</c:v>
                </c:pt>
                <c:pt idx="1959">
                  <c:v>-6.703978862816232</c:v>
                </c:pt>
                <c:pt idx="1960">
                  <c:v>-6.6730383314988861</c:v>
                </c:pt>
                <c:pt idx="1961">
                  <c:v>-6.6420978001815394</c:v>
                </c:pt>
                <c:pt idx="1962">
                  <c:v>-6.6111572688641935</c:v>
                </c:pt>
                <c:pt idx="1963">
                  <c:v>-6.5802167375468468</c:v>
                </c:pt>
                <c:pt idx="1964">
                  <c:v>-6.5492762062295009</c:v>
                </c:pt>
                <c:pt idx="1965">
                  <c:v>-6.5183356749121542</c:v>
                </c:pt>
                <c:pt idx="1966">
                  <c:v>-6.4873951435948083</c:v>
                </c:pt>
                <c:pt idx="1967">
                  <c:v>-6.4564546122774615</c:v>
                </c:pt>
                <c:pt idx="1968">
                  <c:v>-6.4255140809601157</c:v>
                </c:pt>
                <c:pt idx="1969">
                  <c:v>-6.3945735496427689</c:v>
                </c:pt>
                <c:pt idx="1970">
                  <c:v>-6.3636330183254231</c:v>
                </c:pt>
                <c:pt idx="1971">
                  <c:v>-6.3326924870080763</c:v>
                </c:pt>
                <c:pt idx="1972">
                  <c:v>-6.3017519556907304</c:v>
                </c:pt>
                <c:pt idx="1973">
                  <c:v>-6.2708114243733846</c:v>
                </c:pt>
                <c:pt idx="1974">
                  <c:v>-6.2398708930560378</c:v>
                </c:pt>
                <c:pt idx="1975">
                  <c:v>-6.2089303617386919</c:v>
                </c:pt>
                <c:pt idx="1976">
                  <c:v>-6.1779898304213452</c:v>
                </c:pt>
                <c:pt idx="1977">
                  <c:v>-6.1470492991039993</c:v>
                </c:pt>
                <c:pt idx="1978">
                  <c:v>-6.1161087677866526</c:v>
                </c:pt>
                <c:pt idx="1979">
                  <c:v>-6.0851682364693067</c:v>
                </c:pt>
                <c:pt idx="1980">
                  <c:v>-6.05422770515196</c:v>
                </c:pt>
                <c:pt idx="1981">
                  <c:v>-6.0232871738346141</c:v>
                </c:pt>
                <c:pt idx="1982">
                  <c:v>-5.9923466425172673</c:v>
                </c:pt>
                <c:pt idx="1983">
                  <c:v>-5.9614061111999215</c:v>
                </c:pt>
                <c:pt idx="1984">
                  <c:v>-5.9304655798825747</c:v>
                </c:pt>
                <c:pt idx="1985">
                  <c:v>-5.8995250485652289</c:v>
                </c:pt>
                <c:pt idx="1986">
                  <c:v>-5.868584517247883</c:v>
                </c:pt>
                <c:pt idx="1987">
                  <c:v>-5.8376439859305362</c:v>
                </c:pt>
                <c:pt idx="1988">
                  <c:v>-5.8067034546131904</c:v>
                </c:pt>
                <c:pt idx="1989">
                  <c:v>-5.7757629232958436</c:v>
                </c:pt>
                <c:pt idx="1990">
                  <c:v>-5.7448223919784978</c:v>
                </c:pt>
                <c:pt idx="1991">
                  <c:v>-5.713881860661151</c:v>
                </c:pt>
                <c:pt idx="1992">
                  <c:v>-5.6829413293438051</c:v>
                </c:pt>
                <c:pt idx="1993">
                  <c:v>-5.6520007980264584</c:v>
                </c:pt>
                <c:pt idx="1994">
                  <c:v>-5.6210602667091125</c:v>
                </c:pt>
                <c:pt idx="1995">
                  <c:v>-5.5901197353917658</c:v>
                </c:pt>
                <c:pt idx="1996">
                  <c:v>-5.5591792040744199</c:v>
                </c:pt>
                <c:pt idx="1997">
                  <c:v>-5.5282386727570731</c:v>
                </c:pt>
                <c:pt idx="1998">
                  <c:v>-5.4972981414397273</c:v>
                </c:pt>
                <c:pt idx="1999">
                  <c:v>-5.4663576101223814</c:v>
                </c:pt>
                <c:pt idx="2000">
                  <c:v>-5.4354170788050347</c:v>
                </c:pt>
                <c:pt idx="2001">
                  <c:v>-5.4044765474876888</c:v>
                </c:pt>
                <c:pt idx="2002">
                  <c:v>-5.373536016170342</c:v>
                </c:pt>
                <c:pt idx="2003">
                  <c:v>-5.3425954848529962</c:v>
                </c:pt>
                <c:pt idx="2004">
                  <c:v>-5.3116549535356494</c:v>
                </c:pt>
                <c:pt idx="2005">
                  <c:v>-5.2807144222183036</c:v>
                </c:pt>
                <c:pt idx="2006">
                  <c:v>-5.2497738909009568</c:v>
                </c:pt>
                <c:pt idx="2007">
                  <c:v>-5.2188333595836109</c:v>
                </c:pt>
                <c:pt idx="2008">
                  <c:v>-5.1878928282662642</c:v>
                </c:pt>
                <c:pt idx="2009">
                  <c:v>-5.1569522969489183</c:v>
                </c:pt>
                <c:pt idx="2010">
                  <c:v>-5.1260117656315725</c:v>
                </c:pt>
                <c:pt idx="2011">
                  <c:v>-5.0950712343142257</c:v>
                </c:pt>
                <c:pt idx="2012">
                  <c:v>-5.0641307029968798</c:v>
                </c:pt>
                <c:pt idx="2013">
                  <c:v>-5.0331901716795331</c:v>
                </c:pt>
                <c:pt idx="2014">
                  <c:v>-5.0022496403621872</c:v>
                </c:pt>
                <c:pt idx="2015">
                  <c:v>-4.9713091090448405</c:v>
                </c:pt>
                <c:pt idx="2016">
                  <c:v>-4.9403685777274946</c:v>
                </c:pt>
                <c:pt idx="2017">
                  <c:v>-4.9094280464101479</c:v>
                </c:pt>
                <c:pt idx="2018">
                  <c:v>-4.878487515092802</c:v>
                </c:pt>
                <c:pt idx="2019">
                  <c:v>-4.8475469837754552</c:v>
                </c:pt>
                <c:pt idx="2020">
                  <c:v>-4.8166064524581094</c:v>
                </c:pt>
                <c:pt idx="2021">
                  <c:v>-4.7856659211407626</c:v>
                </c:pt>
                <c:pt idx="2022">
                  <c:v>-4.7547253898234167</c:v>
                </c:pt>
                <c:pt idx="2023">
                  <c:v>-4.7237848585060709</c:v>
                </c:pt>
                <c:pt idx="2024">
                  <c:v>-4.6928443271887241</c:v>
                </c:pt>
                <c:pt idx="2025">
                  <c:v>-4.6619037958713783</c:v>
                </c:pt>
                <c:pt idx="2026">
                  <c:v>-4.6309632645540315</c:v>
                </c:pt>
                <c:pt idx="2027">
                  <c:v>-4.6000227332366856</c:v>
                </c:pt>
                <c:pt idx="2028">
                  <c:v>-4.5690822019193389</c:v>
                </c:pt>
                <c:pt idx="2029">
                  <c:v>-4.538141670601993</c:v>
                </c:pt>
                <c:pt idx="2030">
                  <c:v>-4.5072011392846463</c:v>
                </c:pt>
                <c:pt idx="2031">
                  <c:v>-4.4762606079673004</c:v>
                </c:pt>
                <c:pt idx="2032">
                  <c:v>-4.4453200766499537</c:v>
                </c:pt>
                <c:pt idx="2033">
                  <c:v>-4.4143795453326078</c:v>
                </c:pt>
                <c:pt idx="2034">
                  <c:v>-4.383439014015261</c:v>
                </c:pt>
                <c:pt idx="2035">
                  <c:v>-4.3524984826979152</c:v>
                </c:pt>
                <c:pt idx="2036">
                  <c:v>-4.3215579513805693</c:v>
                </c:pt>
                <c:pt idx="2037">
                  <c:v>-4.2906174200632226</c:v>
                </c:pt>
                <c:pt idx="2038">
                  <c:v>-4.2596768887458767</c:v>
                </c:pt>
                <c:pt idx="2039">
                  <c:v>-4.2287363574285299</c:v>
                </c:pt>
                <c:pt idx="2040">
                  <c:v>-4.1977958261111841</c:v>
                </c:pt>
                <c:pt idx="2041">
                  <c:v>-4.1668552947938373</c:v>
                </c:pt>
                <c:pt idx="2042">
                  <c:v>-4.1359147634764915</c:v>
                </c:pt>
                <c:pt idx="2043">
                  <c:v>-4.1049742321591447</c:v>
                </c:pt>
                <c:pt idx="2044">
                  <c:v>-4.0740337008417988</c:v>
                </c:pt>
                <c:pt idx="2045">
                  <c:v>-4.0430931695244521</c:v>
                </c:pt>
                <c:pt idx="2046">
                  <c:v>-4.0121526382071062</c:v>
                </c:pt>
                <c:pt idx="2047">
                  <c:v>-3.9812121068897595</c:v>
                </c:pt>
                <c:pt idx="2048">
                  <c:v>-3.9502715755724136</c:v>
                </c:pt>
                <c:pt idx="2049">
                  <c:v>-3.9193310442550677</c:v>
                </c:pt>
                <c:pt idx="2050">
                  <c:v>-3.888390512937721</c:v>
                </c:pt>
                <c:pt idx="2051">
                  <c:v>-3.8574499816203751</c:v>
                </c:pt>
                <c:pt idx="2052">
                  <c:v>-3.8265094503030284</c:v>
                </c:pt>
                <c:pt idx="2053">
                  <c:v>-3.7955689189856825</c:v>
                </c:pt>
                <c:pt idx="2054">
                  <c:v>-3.7646283876683357</c:v>
                </c:pt>
                <c:pt idx="2055">
                  <c:v>-3.7336878563509899</c:v>
                </c:pt>
                <c:pt idx="2056">
                  <c:v>-3.7027473250336431</c:v>
                </c:pt>
                <c:pt idx="2057">
                  <c:v>-3.6718067937162973</c:v>
                </c:pt>
                <c:pt idx="2058">
                  <c:v>-3.6408662623989505</c:v>
                </c:pt>
                <c:pt idx="2059">
                  <c:v>-3.6099257310816046</c:v>
                </c:pt>
                <c:pt idx="2060">
                  <c:v>-3.5789851997642579</c:v>
                </c:pt>
                <c:pt idx="2061">
                  <c:v>-3.548044668446912</c:v>
                </c:pt>
                <c:pt idx="2062">
                  <c:v>-3.5171041371295662</c:v>
                </c:pt>
                <c:pt idx="2063">
                  <c:v>-3.4861636058122194</c:v>
                </c:pt>
                <c:pt idx="2064">
                  <c:v>-3.4552230744948735</c:v>
                </c:pt>
                <c:pt idx="2065">
                  <c:v>-3.4242825431775268</c:v>
                </c:pt>
                <c:pt idx="2066">
                  <c:v>-3.3933420118601809</c:v>
                </c:pt>
                <c:pt idx="2067">
                  <c:v>-3.3624014805428342</c:v>
                </c:pt>
                <c:pt idx="2068">
                  <c:v>-3.3314609492254883</c:v>
                </c:pt>
                <c:pt idx="2069">
                  <c:v>-3.3005204179081415</c:v>
                </c:pt>
                <c:pt idx="2070">
                  <c:v>-3.2695798865907957</c:v>
                </c:pt>
                <c:pt idx="2071">
                  <c:v>-3.2386393552734489</c:v>
                </c:pt>
                <c:pt idx="2072">
                  <c:v>-3.2076988239561031</c:v>
                </c:pt>
                <c:pt idx="2073">
                  <c:v>-3.1767582926387563</c:v>
                </c:pt>
                <c:pt idx="2074">
                  <c:v>-3.1458177613214104</c:v>
                </c:pt>
                <c:pt idx="2075">
                  <c:v>-3.1148772300040646</c:v>
                </c:pt>
                <c:pt idx="2076">
                  <c:v>-3.0839366986867178</c:v>
                </c:pt>
                <c:pt idx="2077">
                  <c:v>-3.052996167369372</c:v>
                </c:pt>
                <c:pt idx="2078">
                  <c:v>-3.0220556360520252</c:v>
                </c:pt>
                <c:pt idx="2079">
                  <c:v>-2.9911151047346785</c:v>
                </c:pt>
                <c:pt idx="2080">
                  <c:v>-2.9601745734173335</c:v>
                </c:pt>
                <c:pt idx="2081">
                  <c:v>-2.9292340420999867</c:v>
                </c:pt>
                <c:pt idx="2082">
                  <c:v>-2.89829351078264</c:v>
                </c:pt>
                <c:pt idx="2083">
                  <c:v>-2.8673529794652932</c:v>
                </c:pt>
                <c:pt idx="2084">
                  <c:v>-2.8364124481479482</c:v>
                </c:pt>
                <c:pt idx="2085">
                  <c:v>-2.8054719168306015</c:v>
                </c:pt>
                <c:pt idx="2086">
                  <c:v>-2.7745313855132547</c:v>
                </c:pt>
                <c:pt idx="2087">
                  <c:v>-2.7435908541959098</c:v>
                </c:pt>
                <c:pt idx="2088">
                  <c:v>-2.712650322878563</c:v>
                </c:pt>
                <c:pt idx="2089">
                  <c:v>-2.6817097915612162</c:v>
                </c:pt>
                <c:pt idx="2090">
                  <c:v>-2.6507692602438695</c:v>
                </c:pt>
                <c:pt idx="2091">
                  <c:v>-2.6198287289265245</c:v>
                </c:pt>
                <c:pt idx="2092">
                  <c:v>-2.5888881976091778</c:v>
                </c:pt>
                <c:pt idx="2093">
                  <c:v>-2.557947666291831</c:v>
                </c:pt>
                <c:pt idx="2094">
                  <c:v>-2.5270071349744843</c:v>
                </c:pt>
                <c:pt idx="2095">
                  <c:v>-2.4960666036571393</c:v>
                </c:pt>
                <c:pt idx="2096">
                  <c:v>-2.4651260723397925</c:v>
                </c:pt>
                <c:pt idx="2097">
                  <c:v>-2.4341855410224458</c:v>
                </c:pt>
                <c:pt idx="2098">
                  <c:v>-2.403245009705099</c:v>
                </c:pt>
                <c:pt idx="2099">
                  <c:v>-2.372304478387754</c:v>
                </c:pt>
                <c:pt idx="2100">
                  <c:v>-2.3413639470704073</c:v>
                </c:pt>
                <c:pt idx="2101">
                  <c:v>-2.3104234157530605</c:v>
                </c:pt>
                <c:pt idx="2102">
                  <c:v>-2.2794828844357156</c:v>
                </c:pt>
                <c:pt idx="2103">
                  <c:v>-2.2485423531183688</c:v>
                </c:pt>
                <c:pt idx="2104">
                  <c:v>-2.2176018218010221</c:v>
                </c:pt>
                <c:pt idx="2105">
                  <c:v>-2.1866612904836753</c:v>
                </c:pt>
                <c:pt idx="2106">
                  <c:v>-2.1557207591663303</c:v>
                </c:pt>
                <c:pt idx="2107">
                  <c:v>-2.1247802278489836</c:v>
                </c:pt>
                <c:pt idx="2108">
                  <c:v>-2.0938396965316368</c:v>
                </c:pt>
                <c:pt idx="2109">
                  <c:v>-2.0628991652142901</c:v>
                </c:pt>
                <c:pt idx="2110">
                  <c:v>-2.0319586338969451</c:v>
                </c:pt>
                <c:pt idx="2111">
                  <c:v>-2.0010181025795983</c:v>
                </c:pt>
                <c:pt idx="2112">
                  <c:v>-1.9700775712622516</c:v>
                </c:pt>
                <c:pt idx="2113">
                  <c:v>-1.9391370399449066</c:v>
                </c:pt>
                <c:pt idx="2114">
                  <c:v>-1.9081965086275599</c:v>
                </c:pt>
                <c:pt idx="2115">
                  <c:v>-1.8772559773102131</c:v>
                </c:pt>
                <c:pt idx="2116">
                  <c:v>-1.8463154459928663</c:v>
                </c:pt>
                <c:pt idx="2117">
                  <c:v>-1.8153749146755214</c:v>
                </c:pt>
                <c:pt idx="2118">
                  <c:v>-1.7844343833581746</c:v>
                </c:pt>
                <c:pt idx="2119">
                  <c:v>-1.7534938520408279</c:v>
                </c:pt>
                <c:pt idx="2120">
                  <c:v>-1.7225533207234811</c:v>
                </c:pt>
                <c:pt idx="2121">
                  <c:v>-1.6916127894061361</c:v>
                </c:pt>
                <c:pt idx="2122">
                  <c:v>-1.6606722580887894</c:v>
                </c:pt>
                <c:pt idx="2123">
                  <c:v>-1.6297317267714426</c:v>
                </c:pt>
                <c:pt idx="2124">
                  <c:v>-1.5987911954540959</c:v>
                </c:pt>
                <c:pt idx="2125">
                  <c:v>-1.5678506641367509</c:v>
                </c:pt>
                <c:pt idx="2126">
                  <c:v>-1.5369101328194041</c:v>
                </c:pt>
                <c:pt idx="2127">
                  <c:v>-1.5059696015020574</c:v>
                </c:pt>
                <c:pt idx="2128">
                  <c:v>-1.4750290701847124</c:v>
                </c:pt>
                <c:pt idx="2129">
                  <c:v>-1.4440885388673657</c:v>
                </c:pt>
                <c:pt idx="2130">
                  <c:v>-1.4131480075500189</c:v>
                </c:pt>
                <c:pt idx="2131">
                  <c:v>-1.3822074762326721</c:v>
                </c:pt>
                <c:pt idx="2132">
                  <c:v>-1.3512669449153272</c:v>
                </c:pt>
                <c:pt idx="2133">
                  <c:v>-1.3203264135979804</c:v>
                </c:pt>
                <c:pt idx="2134">
                  <c:v>-1.2893858822806337</c:v>
                </c:pt>
                <c:pt idx="2135">
                  <c:v>-1.2584453509632869</c:v>
                </c:pt>
                <c:pt idx="2136">
                  <c:v>-1.2275048196459419</c:v>
                </c:pt>
                <c:pt idx="2137">
                  <c:v>-1.1965642883285952</c:v>
                </c:pt>
                <c:pt idx="2138">
                  <c:v>-1.1656237570112484</c:v>
                </c:pt>
                <c:pt idx="2139">
                  <c:v>-1.1346832256939035</c:v>
                </c:pt>
                <c:pt idx="2140">
                  <c:v>-1.1037426943765567</c:v>
                </c:pt>
                <c:pt idx="2141">
                  <c:v>-1.0728021630592099</c:v>
                </c:pt>
                <c:pt idx="2142">
                  <c:v>-1.0418616317418632</c:v>
                </c:pt>
                <c:pt idx="2143">
                  <c:v>-1.0109211004245182</c:v>
                </c:pt>
                <c:pt idx="2144">
                  <c:v>-0.97998056910717146</c:v>
                </c:pt>
                <c:pt idx="2145">
                  <c:v>-0.94904003778982471</c:v>
                </c:pt>
                <c:pt idx="2146">
                  <c:v>-0.91809950647247796</c:v>
                </c:pt>
                <c:pt idx="2147">
                  <c:v>-0.88715897515513298</c:v>
                </c:pt>
                <c:pt idx="2148">
                  <c:v>-0.85621844383778623</c:v>
                </c:pt>
                <c:pt idx="2149">
                  <c:v>-0.82527791252043947</c:v>
                </c:pt>
                <c:pt idx="2150">
                  <c:v>-0.79433738120309272</c:v>
                </c:pt>
                <c:pt idx="2151">
                  <c:v>-0.76339684988574774</c:v>
                </c:pt>
                <c:pt idx="2152">
                  <c:v>-0.73245631856840099</c:v>
                </c:pt>
                <c:pt idx="2153">
                  <c:v>-0.70151578725105423</c:v>
                </c:pt>
                <c:pt idx="2154">
                  <c:v>-0.67057525593370926</c:v>
                </c:pt>
                <c:pt idx="2155">
                  <c:v>-0.6396347246163625</c:v>
                </c:pt>
                <c:pt idx="2156">
                  <c:v>-0.60869419329901575</c:v>
                </c:pt>
                <c:pt idx="2157">
                  <c:v>-0.577753661981669</c:v>
                </c:pt>
                <c:pt idx="2158">
                  <c:v>-0.54681313066432402</c:v>
                </c:pt>
                <c:pt idx="2159">
                  <c:v>-0.51587259934697727</c:v>
                </c:pt>
                <c:pt idx="2160">
                  <c:v>-0.48493206802963051</c:v>
                </c:pt>
                <c:pt idx="2161">
                  <c:v>-0.45399153671228376</c:v>
                </c:pt>
                <c:pt idx="2162">
                  <c:v>-0.42305100539493878</c:v>
                </c:pt>
                <c:pt idx="2163">
                  <c:v>-0.39211047407759203</c:v>
                </c:pt>
                <c:pt idx="2164">
                  <c:v>-0.36116994276024528</c:v>
                </c:pt>
                <c:pt idx="2165">
                  <c:v>-0.3302294114429003</c:v>
                </c:pt>
                <c:pt idx="2166">
                  <c:v>-0.29928888012555355</c:v>
                </c:pt>
                <c:pt idx="2167">
                  <c:v>-0.26834834880820679</c:v>
                </c:pt>
                <c:pt idx="2168">
                  <c:v>-0.23740781749086004</c:v>
                </c:pt>
                <c:pt idx="2169">
                  <c:v>-0.20646728617351506</c:v>
                </c:pt>
                <c:pt idx="2170">
                  <c:v>-0.17552675485616831</c:v>
                </c:pt>
                <c:pt idx="2171">
                  <c:v>-0.14458622353882156</c:v>
                </c:pt>
                <c:pt idx="2172">
                  <c:v>-0.1136456922214748</c:v>
                </c:pt>
                <c:pt idx="2173">
                  <c:v>-8.2705160904129826E-2</c:v>
                </c:pt>
                <c:pt idx="2174">
                  <c:v>-5.1764629586783073E-2</c:v>
                </c:pt>
                <c:pt idx="2175">
                  <c:v>-2.082409826943632E-2</c:v>
                </c:pt>
                <c:pt idx="2176">
                  <c:v>1.0116433047910434E-2</c:v>
                </c:pt>
                <c:pt idx="2177">
                  <c:v>4.1056964365255411E-2</c:v>
                </c:pt>
                <c:pt idx="2178">
                  <c:v>7.1997495682602164E-2</c:v>
                </c:pt>
                <c:pt idx="2179">
                  <c:v>0.10293802699994892</c:v>
                </c:pt>
                <c:pt idx="2180">
                  <c:v>0.13387855831729389</c:v>
                </c:pt>
                <c:pt idx="2181">
                  <c:v>0.16481908963464065</c:v>
                </c:pt>
                <c:pt idx="2182">
                  <c:v>0.1957596209519874</c:v>
                </c:pt>
                <c:pt idx="2183">
                  <c:v>0.22670015226933415</c:v>
                </c:pt>
                <c:pt idx="2184">
                  <c:v>0.25764068358667913</c:v>
                </c:pt>
                <c:pt idx="2185">
                  <c:v>0.28858121490402588</c:v>
                </c:pt>
                <c:pt idx="2186">
                  <c:v>0.31952174622137264</c:v>
                </c:pt>
                <c:pt idx="2187">
                  <c:v>0.35046227753871939</c:v>
                </c:pt>
                <c:pt idx="2188">
                  <c:v>0.38140280885606437</c:v>
                </c:pt>
                <c:pt idx="2189">
                  <c:v>0.41234334017341112</c:v>
                </c:pt>
                <c:pt idx="2190">
                  <c:v>0.44328387149075787</c:v>
                </c:pt>
                <c:pt idx="2191">
                  <c:v>0.47422440280810285</c:v>
                </c:pt>
                <c:pt idx="2192">
                  <c:v>0.50516493412544961</c:v>
                </c:pt>
                <c:pt idx="2193">
                  <c:v>0.53610546544279636</c:v>
                </c:pt>
                <c:pt idx="2194">
                  <c:v>0.56704599676014311</c:v>
                </c:pt>
                <c:pt idx="2195">
                  <c:v>0.59798652807748809</c:v>
                </c:pt>
                <c:pt idx="2196">
                  <c:v>0.62892705939483484</c:v>
                </c:pt>
                <c:pt idx="2197">
                  <c:v>0.6598675907121816</c:v>
                </c:pt>
                <c:pt idx="2198">
                  <c:v>0.69080812202952835</c:v>
                </c:pt>
                <c:pt idx="2199">
                  <c:v>0.72174865334687333</c:v>
                </c:pt>
                <c:pt idx="2200">
                  <c:v>0.75268918466422008</c:v>
                </c:pt>
                <c:pt idx="2201">
                  <c:v>0.78362971598156683</c:v>
                </c:pt>
                <c:pt idx="2202">
                  <c:v>0.81457024729891181</c:v>
                </c:pt>
                <c:pt idx="2203">
                  <c:v>0.84551077861625856</c:v>
                </c:pt>
                <c:pt idx="2204">
                  <c:v>0.87645130993360532</c:v>
                </c:pt>
                <c:pt idx="2205">
                  <c:v>0.90739184125095207</c:v>
                </c:pt>
                <c:pt idx="2206">
                  <c:v>0.93833237256829705</c:v>
                </c:pt>
                <c:pt idx="2207">
                  <c:v>0.9692729038856438</c:v>
                </c:pt>
                <c:pt idx="2208">
                  <c:v>1.0002134352029906</c:v>
                </c:pt>
                <c:pt idx="2209">
                  <c:v>1.0311539665203373</c:v>
                </c:pt>
                <c:pt idx="2210">
                  <c:v>1.0620944978376823</c:v>
                </c:pt>
                <c:pt idx="2211">
                  <c:v>1.093035029155029</c:v>
                </c:pt>
                <c:pt idx="2212">
                  <c:v>1.1239755604723758</c:v>
                </c:pt>
                <c:pt idx="2213">
                  <c:v>1.1549160917897225</c:v>
                </c:pt>
                <c:pt idx="2214">
                  <c:v>1.1858566231070675</c:v>
                </c:pt>
                <c:pt idx="2215">
                  <c:v>1.2167971544244143</c:v>
                </c:pt>
                <c:pt idx="2216">
                  <c:v>1.247737685741761</c:v>
                </c:pt>
                <c:pt idx="2217">
                  <c:v>1.278678217059106</c:v>
                </c:pt>
                <c:pt idx="2218">
                  <c:v>1.3096187483764528</c:v>
                </c:pt>
                <c:pt idx="2219">
                  <c:v>1.3405592796937995</c:v>
                </c:pt>
                <c:pt idx="2220">
                  <c:v>1.3714998110111463</c:v>
                </c:pt>
                <c:pt idx="2221">
                  <c:v>1.4024403423284912</c:v>
                </c:pt>
                <c:pt idx="2222">
                  <c:v>1.433380873645838</c:v>
                </c:pt>
                <c:pt idx="2223">
                  <c:v>1.4643214049631847</c:v>
                </c:pt>
                <c:pt idx="2224">
                  <c:v>1.4952619362805315</c:v>
                </c:pt>
                <c:pt idx="2225">
                  <c:v>1.5262024675978765</c:v>
                </c:pt>
                <c:pt idx="2226">
                  <c:v>1.5571429989152232</c:v>
                </c:pt>
                <c:pt idx="2227">
                  <c:v>1.58808353023257</c:v>
                </c:pt>
                <c:pt idx="2228">
                  <c:v>1.619024061549915</c:v>
                </c:pt>
                <c:pt idx="2229">
                  <c:v>1.6499645928672617</c:v>
                </c:pt>
                <c:pt idx="2230">
                  <c:v>1.6809051241846085</c:v>
                </c:pt>
                <c:pt idx="2231">
                  <c:v>1.7118456555019552</c:v>
                </c:pt>
                <c:pt idx="2232">
                  <c:v>1.7427861868193002</c:v>
                </c:pt>
                <c:pt idx="2233">
                  <c:v>1.773726718136647</c:v>
                </c:pt>
                <c:pt idx="2234">
                  <c:v>1.8046672494539937</c:v>
                </c:pt>
                <c:pt idx="2235">
                  <c:v>1.8356077807713405</c:v>
                </c:pt>
                <c:pt idx="2236">
                  <c:v>1.8665483120886854</c:v>
                </c:pt>
                <c:pt idx="2237">
                  <c:v>1.8974888434060322</c:v>
                </c:pt>
                <c:pt idx="2238">
                  <c:v>1.9284293747233789</c:v>
                </c:pt>
                <c:pt idx="2239">
                  <c:v>1.9593699060407257</c:v>
                </c:pt>
                <c:pt idx="2240">
                  <c:v>1.9903104373580707</c:v>
                </c:pt>
                <c:pt idx="2241">
                  <c:v>2.0212509686754174</c:v>
                </c:pt>
                <c:pt idx="2242">
                  <c:v>2.0521914999927642</c:v>
                </c:pt>
                <c:pt idx="2243">
                  <c:v>2.0831320313101092</c:v>
                </c:pt>
                <c:pt idx="2244">
                  <c:v>2.1140725626274559</c:v>
                </c:pt>
                <c:pt idx="2245">
                  <c:v>2.1450130939448027</c:v>
                </c:pt>
                <c:pt idx="2246">
                  <c:v>2.1759536252621494</c:v>
                </c:pt>
                <c:pt idx="2247">
                  <c:v>2.2068941565794944</c:v>
                </c:pt>
                <c:pt idx="2248">
                  <c:v>2.2378346878968411</c:v>
                </c:pt>
                <c:pt idx="2249">
                  <c:v>2.2687752192141879</c:v>
                </c:pt>
                <c:pt idx="2250">
                  <c:v>2.2997157505315347</c:v>
                </c:pt>
                <c:pt idx="2251">
                  <c:v>2.3306562818488796</c:v>
                </c:pt>
                <c:pt idx="2252">
                  <c:v>2.3615968131662264</c:v>
                </c:pt>
                <c:pt idx="2253">
                  <c:v>2.3925373444835731</c:v>
                </c:pt>
                <c:pt idx="2254">
                  <c:v>2.4234778758009181</c:v>
                </c:pt>
                <c:pt idx="2255">
                  <c:v>2.4544184071182649</c:v>
                </c:pt>
                <c:pt idx="2256">
                  <c:v>2.4853589384356116</c:v>
                </c:pt>
                <c:pt idx="2257">
                  <c:v>2.5162994697529584</c:v>
                </c:pt>
                <c:pt idx="2258">
                  <c:v>2.5472400010703034</c:v>
                </c:pt>
                <c:pt idx="2259">
                  <c:v>2.5781805323876501</c:v>
                </c:pt>
                <c:pt idx="2260">
                  <c:v>2.6091210637049969</c:v>
                </c:pt>
                <c:pt idx="2261">
                  <c:v>2.6400615950223436</c:v>
                </c:pt>
                <c:pt idx="2262">
                  <c:v>2.6710021263396886</c:v>
                </c:pt>
                <c:pt idx="2263">
                  <c:v>2.7019426576570353</c:v>
                </c:pt>
                <c:pt idx="2264">
                  <c:v>2.7328831889743821</c:v>
                </c:pt>
                <c:pt idx="2265">
                  <c:v>2.7638237202917288</c:v>
                </c:pt>
                <c:pt idx="2266">
                  <c:v>2.7947642516090738</c:v>
                </c:pt>
                <c:pt idx="2267">
                  <c:v>2.8257047829264206</c:v>
                </c:pt>
                <c:pt idx="2268">
                  <c:v>2.8566453142437673</c:v>
                </c:pt>
                <c:pt idx="2269">
                  <c:v>2.8875858455611123</c:v>
                </c:pt>
                <c:pt idx="2270">
                  <c:v>2.9185263768784591</c:v>
                </c:pt>
                <c:pt idx="2271">
                  <c:v>2.9494669081958058</c:v>
                </c:pt>
                <c:pt idx="2272">
                  <c:v>2.9804074395131526</c:v>
                </c:pt>
                <c:pt idx="2273">
                  <c:v>3.0113479708304975</c:v>
                </c:pt>
                <c:pt idx="2274">
                  <c:v>3.0422885021478443</c:v>
                </c:pt>
                <c:pt idx="2275">
                  <c:v>3.0732290334651911</c:v>
                </c:pt>
                <c:pt idx="2276">
                  <c:v>3.1041695647825378</c:v>
                </c:pt>
                <c:pt idx="2277">
                  <c:v>3.1351100960998828</c:v>
                </c:pt>
                <c:pt idx="2278">
                  <c:v>3.1660506274172295</c:v>
                </c:pt>
                <c:pt idx="2279">
                  <c:v>3.1969911587345763</c:v>
                </c:pt>
                <c:pt idx="2280">
                  <c:v>3.2279316900519213</c:v>
                </c:pt>
                <c:pt idx="2281">
                  <c:v>3.258872221369268</c:v>
                </c:pt>
                <c:pt idx="2282">
                  <c:v>3.2898127526866148</c:v>
                </c:pt>
                <c:pt idx="2283">
                  <c:v>3.3207532840039615</c:v>
                </c:pt>
                <c:pt idx="2284">
                  <c:v>3.3516938153213065</c:v>
                </c:pt>
                <c:pt idx="2285">
                  <c:v>3.3826343466386533</c:v>
                </c:pt>
                <c:pt idx="2286">
                  <c:v>3.413574877956</c:v>
                </c:pt>
                <c:pt idx="2287">
                  <c:v>3.4445154092733468</c:v>
                </c:pt>
                <c:pt idx="2288">
                  <c:v>3.4754559405906917</c:v>
                </c:pt>
                <c:pt idx="2289">
                  <c:v>3.5063964719080385</c:v>
                </c:pt>
                <c:pt idx="2290">
                  <c:v>3.5373370032253852</c:v>
                </c:pt>
                <c:pt idx="2291">
                  <c:v>3.568277534542732</c:v>
                </c:pt>
                <c:pt idx="2292">
                  <c:v>3.599218065860077</c:v>
                </c:pt>
                <c:pt idx="2293">
                  <c:v>3.6301585971774237</c:v>
                </c:pt>
                <c:pt idx="2294">
                  <c:v>3.6610991284947705</c:v>
                </c:pt>
                <c:pt idx="2295">
                  <c:v>3.6920396598121155</c:v>
                </c:pt>
                <c:pt idx="2296">
                  <c:v>3.7229801911294622</c:v>
                </c:pt>
                <c:pt idx="2297">
                  <c:v>3.753920722446809</c:v>
                </c:pt>
                <c:pt idx="2298">
                  <c:v>3.7848612537641557</c:v>
                </c:pt>
                <c:pt idx="2299">
                  <c:v>3.8158017850815007</c:v>
                </c:pt>
                <c:pt idx="2300">
                  <c:v>3.8467423163988474</c:v>
                </c:pt>
                <c:pt idx="2301">
                  <c:v>3.8776828477161942</c:v>
                </c:pt>
                <c:pt idx="2302">
                  <c:v>3.908623379033541</c:v>
                </c:pt>
                <c:pt idx="2303">
                  <c:v>3.9395639103508859</c:v>
                </c:pt>
                <c:pt idx="2304">
                  <c:v>3.9705044416682327</c:v>
                </c:pt>
                <c:pt idx="2305">
                  <c:v>4.0014449729855794</c:v>
                </c:pt>
                <c:pt idx="2306">
                  <c:v>4.0323855043029244</c:v>
                </c:pt>
                <c:pt idx="2307">
                  <c:v>4.0633260356202712</c:v>
                </c:pt>
                <c:pt idx="2308">
                  <c:v>4.0942665669376179</c:v>
                </c:pt>
                <c:pt idx="2309">
                  <c:v>4.1252070982549647</c:v>
                </c:pt>
                <c:pt idx="2310">
                  <c:v>4.1561476295723097</c:v>
                </c:pt>
                <c:pt idx="2311">
                  <c:v>4.1870881608896564</c:v>
                </c:pt>
                <c:pt idx="2312">
                  <c:v>4.2180286922070032</c:v>
                </c:pt>
                <c:pt idx="2313">
                  <c:v>4.2489692235243499</c:v>
                </c:pt>
                <c:pt idx="2314">
                  <c:v>4.2799097548416949</c:v>
                </c:pt>
                <c:pt idx="2315">
                  <c:v>4.3108502861590416</c:v>
                </c:pt>
                <c:pt idx="2316">
                  <c:v>4.3417908174763884</c:v>
                </c:pt>
                <c:pt idx="2317">
                  <c:v>4.3727313487937352</c:v>
                </c:pt>
                <c:pt idx="2318">
                  <c:v>4.4036718801110801</c:v>
                </c:pt>
                <c:pt idx="2319">
                  <c:v>4.4346124114284269</c:v>
                </c:pt>
                <c:pt idx="2320">
                  <c:v>4.4655529427457736</c:v>
                </c:pt>
                <c:pt idx="2321">
                  <c:v>4.4964934740631186</c:v>
                </c:pt>
                <c:pt idx="2322">
                  <c:v>4.5274340053804654</c:v>
                </c:pt>
                <c:pt idx="2323">
                  <c:v>4.5583745366978121</c:v>
                </c:pt>
                <c:pt idx="2324">
                  <c:v>4.5893150680151589</c:v>
                </c:pt>
                <c:pt idx="2325">
                  <c:v>4.6202555993325038</c:v>
                </c:pt>
                <c:pt idx="2326">
                  <c:v>4.6511961306498506</c:v>
                </c:pt>
                <c:pt idx="2327">
                  <c:v>4.6821366619671974</c:v>
                </c:pt>
                <c:pt idx="2328">
                  <c:v>4.7130771932845441</c:v>
                </c:pt>
                <c:pt idx="2329">
                  <c:v>4.7440177246018891</c:v>
                </c:pt>
                <c:pt idx="2330">
                  <c:v>4.7749582559192358</c:v>
                </c:pt>
                <c:pt idx="2331">
                  <c:v>4.8058987872365826</c:v>
                </c:pt>
                <c:pt idx="2332">
                  <c:v>4.8368393185539276</c:v>
                </c:pt>
                <c:pt idx="2333">
                  <c:v>4.8677798498712743</c:v>
                </c:pt>
                <c:pt idx="2334">
                  <c:v>4.8987203811886211</c:v>
                </c:pt>
                <c:pt idx="2335">
                  <c:v>4.9296609125059678</c:v>
                </c:pt>
                <c:pt idx="2336">
                  <c:v>4.9606014438233128</c:v>
                </c:pt>
                <c:pt idx="2337">
                  <c:v>4.9915419751406613</c:v>
                </c:pt>
                <c:pt idx="2338">
                  <c:v>5.0224825064580063</c:v>
                </c:pt>
                <c:pt idx="2339">
                  <c:v>5.0534230377753513</c:v>
                </c:pt>
                <c:pt idx="2340">
                  <c:v>5.0843635690926998</c:v>
                </c:pt>
                <c:pt idx="2341">
                  <c:v>5.1153041004100448</c:v>
                </c:pt>
                <c:pt idx="2342">
                  <c:v>5.1462446317273898</c:v>
                </c:pt>
                <c:pt idx="2343">
                  <c:v>5.1771851630447383</c:v>
                </c:pt>
                <c:pt idx="2344">
                  <c:v>5.2081256943620833</c:v>
                </c:pt>
                <c:pt idx="2345">
                  <c:v>5.2390662256794283</c:v>
                </c:pt>
                <c:pt idx="2346">
                  <c:v>5.2700067569967768</c:v>
                </c:pt>
                <c:pt idx="2347">
                  <c:v>5.3009472883141218</c:v>
                </c:pt>
                <c:pt idx="2348">
                  <c:v>5.3318878196314703</c:v>
                </c:pt>
                <c:pt idx="2349">
                  <c:v>5.3628283509488153</c:v>
                </c:pt>
                <c:pt idx="2350">
                  <c:v>5.3937688822661602</c:v>
                </c:pt>
                <c:pt idx="2351">
                  <c:v>5.4247094135835088</c:v>
                </c:pt>
                <c:pt idx="2352">
                  <c:v>5.4556499449008538</c:v>
                </c:pt>
                <c:pt idx="2353">
                  <c:v>5.4865904762181987</c:v>
                </c:pt>
                <c:pt idx="2354">
                  <c:v>5.5175310075355473</c:v>
                </c:pt>
                <c:pt idx="2355">
                  <c:v>5.5484715388528922</c:v>
                </c:pt>
                <c:pt idx="2356">
                  <c:v>5.5794120701702372</c:v>
                </c:pt>
                <c:pt idx="2357">
                  <c:v>5.6103526014875857</c:v>
                </c:pt>
                <c:pt idx="2358">
                  <c:v>5.6412931328049307</c:v>
                </c:pt>
                <c:pt idx="2359">
                  <c:v>5.6722336641222793</c:v>
                </c:pt>
                <c:pt idx="2360">
                  <c:v>5.7031741954396242</c:v>
                </c:pt>
                <c:pt idx="2361">
                  <c:v>5.7341147267569692</c:v>
                </c:pt>
                <c:pt idx="2362">
                  <c:v>5.7650552580743177</c:v>
                </c:pt>
                <c:pt idx="2363">
                  <c:v>5.7959957893916627</c:v>
                </c:pt>
                <c:pt idx="2364">
                  <c:v>5.8269363207090077</c:v>
                </c:pt>
                <c:pt idx="2365">
                  <c:v>5.8578768520263562</c:v>
                </c:pt>
                <c:pt idx="2366">
                  <c:v>5.8888173833437012</c:v>
                </c:pt>
                <c:pt idx="2367">
                  <c:v>5.9197579146610497</c:v>
                </c:pt>
                <c:pt idx="2368">
                  <c:v>5.9506984459783947</c:v>
                </c:pt>
                <c:pt idx="2369">
                  <c:v>5.9816389772957397</c:v>
                </c:pt>
                <c:pt idx="2370">
                  <c:v>6.0125795086130882</c:v>
                </c:pt>
                <c:pt idx="2371">
                  <c:v>6.0435200399304332</c:v>
                </c:pt>
                <c:pt idx="2372">
                  <c:v>6.0744605712477782</c:v>
                </c:pt>
                <c:pt idx="2373">
                  <c:v>6.1054011025651267</c:v>
                </c:pt>
                <c:pt idx="2374">
                  <c:v>6.1363416338824717</c:v>
                </c:pt>
                <c:pt idx="2375">
                  <c:v>6.1672821651998166</c:v>
                </c:pt>
                <c:pt idx="2376">
                  <c:v>6.1982226965171652</c:v>
                </c:pt>
                <c:pt idx="2377">
                  <c:v>6.2291632278345102</c:v>
                </c:pt>
                <c:pt idx="2378">
                  <c:v>6.2601037591518587</c:v>
                </c:pt>
                <c:pt idx="2379">
                  <c:v>6.2910442904692037</c:v>
                </c:pt>
                <c:pt idx="2380">
                  <c:v>6.3219848217865486</c:v>
                </c:pt>
                <c:pt idx="2381">
                  <c:v>6.3529253531038972</c:v>
                </c:pt>
                <c:pt idx="2382">
                  <c:v>6.3838658844212421</c:v>
                </c:pt>
                <c:pt idx="2383">
                  <c:v>6.4148064157385871</c:v>
                </c:pt>
                <c:pt idx="2384">
                  <c:v>6.4457469470559356</c:v>
                </c:pt>
                <c:pt idx="2385">
                  <c:v>6.4766874783732806</c:v>
                </c:pt>
                <c:pt idx="2386">
                  <c:v>6.5076280096906256</c:v>
                </c:pt>
                <c:pt idx="2387">
                  <c:v>6.5385685410079741</c:v>
                </c:pt>
                <c:pt idx="2388">
                  <c:v>6.5695090723253191</c:v>
                </c:pt>
                <c:pt idx="2389">
                  <c:v>6.6004496036426676</c:v>
                </c:pt>
                <c:pt idx="2390">
                  <c:v>6.6313901349600126</c:v>
                </c:pt>
                <c:pt idx="2391">
                  <c:v>6.6623306662773576</c:v>
                </c:pt>
                <c:pt idx="2392">
                  <c:v>6.6932711975947061</c:v>
                </c:pt>
                <c:pt idx="2393">
                  <c:v>6.7242117289120511</c:v>
                </c:pt>
                <c:pt idx="2394">
                  <c:v>6.7551522602293961</c:v>
                </c:pt>
                <c:pt idx="2395">
                  <c:v>6.7860927915467446</c:v>
                </c:pt>
                <c:pt idx="2396">
                  <c:v>6.8170333228640896</c:v>
                </c:pt>
                <c:pt idx="2397">
                  <c:v>6.8479738541814346</c:v>
                </c:pt>
                <c:pt idx="2398">
                  <c:v>6.8789143854987831</c:v>
                </c:pt>
                <c:pt idx="2399">
                  <c:v>6.9098549168161281</c:v>
                </c:pt>
                <c:pt idx="2400">
                  <c:v>6.9407954481334766</c:v>
                </c:pt>
                <c:pt idx="2401">
                  <c:v>6.9717359794508216</c:v>
                </c:pt>
                <c:pt idx="2402">
                  <c:v>7.0026765107681666</c:v>
                </c:pt>
                <c:pt idx="2403">
                  <c:v>7.0336170420855151</c:v>
                </c:pt>
                <c:pt idx="2404">
                  <c:v>7.0645575734028601</c:v>
                </c:pt>
                <c:pt idx="2405">
                  <c:v>7.095498104720205</c:v>
                </c:pt>
                <c:pt idx="2406">
                  <c:v>7.1264386360375536</c:v>
                </c:pt>
                <c:pt idx="2407">
                  <c:v>7.1573791673548985</c:v>
                </c:pt>
                <c:pt idx="2408">
                  <c:v>7.1883196986722435</c:v>
                </c:pt>
                <c:pt idx="2409">
                  <c:v>7.219260229989592</c:v>
                </c:pt>
                <c:pt idx="2410">
                  <c:v>7.250200761306937</c:v>
                </c:pt>
                <c:pt idx="2411">
                  <c:v>7.2811412926242856</c:v>
                </c:pt>
                <c:pt idx="2412">
                  <c:v>7.3120818239416305</c:v>
                </c:pt>
                <c:pt idx="2413">
                  <c:v>7.3430223552589755</c:v>
                </c:pt>
                <c:pt idx="2414">
                  <c:v>7.373962886576324</c:v>
                </c:pt>
                <c:pt idx="2415">
                  <c:v>7.404903417893669</c:v>
                </c:pt>
                <c:pt idx="2416">
                  <c:v>7.435843949211014</c:v>
                </c:pt>
                <c:pt idx="2417">
                  <c:v>7.4667844805283625</c:v>
                </c:pt>
                <c:pt idx="2418">
                  <c:v>7.4977250118457075</c:v>
                </c:pt>
                <c:pt idx="2419">
                  <c:v>7.528665543163056</c:v>
                </c:pt>
                <c:pt idx="2420">
                  <c:v>7.559606074480401</c:v>
                </c:pt>
                <c:pt idx="2421">
                  <c:v>7.590546605797746</c:v>
                </c:pt>
                <c:pt idx="2422">
                  <c:v>7.6214871371150945</c:v>
                </c:pt>
                <c:pt idx="2423">
                  <c:v>7.6524276684324395</c:v>
                </c:pt>
                <c:pt idx="2424">
                  <c:v>7.6833681997497845</c:v>
                </c:pt>
                <c:pt idx="2425">
                  <c:v>7.714308731067133</c:v>
                </c:pt>
                <c:pt idx="2426">
                  <c:v>7.745249262384478</c:v>
                </c:pt>
                <c:pt idx="2427">
                  <c:v>7.7761897937018229</c:v>
                </c:pt>
                <c:pt idx="2428">
                  <c:v>7.8071303250191715</c:v>
                </c:pt>
                <c:pt idx="2429">
                  <c:v>7.8380708563365165</c:v>
                </c:pt>
                <c:pt idx="2430">
                  <c:v>7.869011387653865</c:v>
                </c:pt>
                <c:pt idx="2431">
                  <c:v>7.89995191897121</c:v>
                </c:pt>
                <c:pt idx="2432">
                  <c:v>7.9308924502885549</c:v>
                </c:pt>
                <c:pt idx="2433">
                  <c:v>7.9618329816059035</c:v>
                </c:pt>
                <c:pt idx="2434">
                  <c:v>7.9927735129232484</c:v>
                </c:pt>
                <c:pt idx="2435">
                  <c:v>8.0237140442405934</c:v>
                </c:pt>
                <c:pt idx="2436">
                  <c:v>8.054654575557942</c:v>
                </c:pt>
                <c:pt idx="2437">
                  <c:v>8.0855951068752869</c:v>
                </c:pt>
                <c:pt idx="2438">
                  <c:v>8.1165356381926319</c:v>
                </c:pt>
                <c:pt idx="2439">
                  <c:v>8.1474761695099804</c:v>
                </c:pt>
                <c:pt idx="2440">
                  <c:v>8.1784167008273254</c:v>
                </c:pt>
                <c:pt idx="2441">
                  <c:v>8.2093572321446739</c:v>
                </c:pt>
                <c:pt idx="2442">
                  <c:v>8.2402977634620189</c:v>
                </c:pt>
                <c:pt idx="2443">
                  <c:v>8.2712382947793639</c:v>
                </c:pt>
                <c:pt idx="2444">
                  <c:v>8.3021788260967124</c:v>
                </c:pt>
                <c:pt idx="2445">
                  <c:v>8.3331193574140574</c:v>
                </c:pt>
                <c:pt idx="2446">
                  <c:v>8.3640598887314024</c:v>
                </c:pt>
                <c:pt idx="2447">
                  <c:v>8.3950004200487509</c:v>
                </c:pt>
                <c:pt idx="2448">
                  <c:v>8.4259409513660959</c:v>
                </c:pt>
                <c:pt idx="2449">
                  <c:v>8.4568814826834409</c:v>
                </c:pt>
                <c:pt idx="2450">
                  <c:v>8.4878220140007894</c:v>
                </c:pt>
                <c:pt idx="2451">
                  <c:v>8.5187625453181344</c:v>
                </c:pt>
                <c:pt idx="2452">
                  <c:v>8.5497030766354829</c:v>
                </c:pt>
                <c:pt idx="2453">
                  <c:v>8.5806436079528279</c:v>
                </c:pt>
                <c:pt idx="2454">
                  <c:v>8.6115841392701729</c:v>
                </c:pt>
                <c:pt idx="2455">
                  <c:v>8.6425246705875214</c:v>
                </c:pt>
                <c:pt idx="2456">
                  <c:v>8.6734652019048664</c:v>
                </c:pt>
                <c:pt idx="2457">
                  <c:v>8.7044057332222113</c:v>
                </c:pt>
                <c:pt idx="2458">
                  <c:v>8.7353462645395599</c:v>
                </c:pt>
                <c:pt idx="2459">
                  <c:v>8.7662867958569048</c:v>
                </c:pt>
                <c:pt idx="2460">
                  <c:v>8.7972273271742498</c:v>
                </c:pt>
                <c:pt idx="2461">
                  <c:v>8.8281678584915984</c:v>
                </c:pt>
                <c:pt idx="2462">
                  <c:v>8.8591083898089433</c:v>
                </c:pt>
                <c:pt idx="2463">
                  <c:v>8.8900489211262919</c:v>
                </c:pt>
                <c:pt idx="2464">
                  <c:v>8.9209894524436368</c:v>
                </c:pt>
                <c:pt idx="2465">
                  <c:v>8.9519299837609818</c:v>
                </c:pt>
                <c:pt idx="2466">
                  <c:v>8.9828705150783303</c:v>
                </c:pt>
                <c:pt idx="2467">
                  <c:v>9.0138110463956753</c:v>
                </c:pt>
                <c:pt idx="2468">
                  <c:v>9.0447515777130203</c:v>
                </c:pt>
                <c:pt idx="2469">
                  <c:v>9.0756921090303688</c:v>
                </c:pt>
                <c:pt idx="2470">
                  <c:v>9.1066326403477138</c:v>
                </c:pt>
                <c:pt idx="2471">
                  <c:v>9.1375731716650588</c:v>
                </c:pt>
                <c:pt idx="2472">
                  <c:v>9.1685137029824073</c:v>
                </c:pt>
                <c:pt idx="2473">
                  <c:v>9.1994542342997523</c:v>
                </c:pt>
                <c:pt idx="2474">
                  <c:v>9.2303947656171008</c:v>
                </c:pt>
                <c:pt idx="2475">
                  <c:v>9.2613352969344458</c:v>
                </c:pt>
                <c:pt idx="2476">
                  <c:v>9.2922758282517908</c:v>
                </c:pt>
                <c:pt idx="2477">
                  <c:v>9.3232163595691393</c:v>
                </c:pt>
                <c:pt idx="2478">
                  <c:v>9.3541568908864843</c:v>
                </c:pt>
                <c:pt idx="2479">
                  <c:v>9.3850974222038293</c:v>
                </c:pt>
                <c:pt idx="2480">
                  <c:v>9.4160379535211778</c:v>
                </c:pt>
                <c:pt idx="2481">
                  <c:v>9.4469784848385228</c:v>
                </c:pt>
                <c:pt idx="2482">
                  <c:v>9.4779190161558713</c:v>
                </c:pt>
                <c:pt idx="2483">
                  <c:v>9.5088595474732163</c:v>
                </c:pt>
                <c:pt idx="2484">
                  <c:v>9.5398000787905612</c:v>
                </c:pt>
                <c:pt idx="2485">
                  <c:v>9.5707406101079098</c:v>
                </c:pt>
                <c:pt idx="2486">
                  <c:v>9.6016811414252548</c:v>
                </c:pt>
                <c:pt idx="2487">
                  <c:v>9.6326216727425997</c:v>
                </c:pt>
                <c:pt idx="2488">
                  <c:v>9.6635622040599483</c:v>
                </c:pt>
                <c:pt idx="2489">
                  <c:v>9.6945027353772932</c:v>
                </c:pt>
                <c:pt idx="2490">
                  <c:v>9.7254432666946382</c:v>
                </c:pt>
                <c:pt idx="2491">
                  <c:v>9.7563837980119867</c:v>
                </c:pt>
                <c:pt idx="2492">
                  <c:v>9.7873243293293317</c:v>
                </c:pt>
                <c:pt idx="2493">
                  <c:v>9.8182648606466802</c:v>
                </c:pt>
                <c:pt idx="2494">
                  <c:v>9.8492053919640252</c:v>
                </c:pt>
                <c:pt idx="2495">
                  <c:v>9.8801459232813702</c:v>
                </c:pt>
                <c:pt idx="2496">
                  <c:v>9.9110864545987187</c:v>
                </c:pt>
                <c:pt idx="2497">
                  <c:v>9.9420269859160637</c:v>
                </c:pt>
                <c:pt idx="2498">
                  <c:v>9.9729675172334087</c:v>
                </c:pt>
                <c:pt idx="2499">
                  <c:v>10.003908048550757</c:v>
                </c:pt>
                <c:pt idx="2500">
                  <c:v>10.034848579868102</c:v>
                </c:pt>
                <c:pt idx="2501">
                  <c:v>10.065789111185447</c:v>
                </c:pt>
                <c:pt idx="2502">
                  <c:v>10.096729642502796</c:v>
                </c:pt>
                <c:pt idx="2503">
                  <c:v>10.127670173820141</c:v>
                </c:pt>
                <c:pt idx="2504">
                  <c:v>10.158610705137489</c:v>
                </c:pt>
                <c:pt idx="2505">
                  <c:v>10.189551236454834</c:v>
                </c:pt>
                <c:pt idx="2506">
                  <c:v>10.220491767772179</c:v>
                </c:pt>
                <c:pt idx="2507">
                  <c:v>10.251432299089528</c:v>
                </c:pt>
                <c:pt idx="2508">
                  <c:v>10.282372830406873</c:v>
                </c:pt>
                <c:pt idx="2509">
                  <c:v>10.313313361724218</c:v>
                </c:pt>
                <c:pt idx="2510">
                  <c:v>10.344253893041566</c:v>
                </c:pt>
                <c:pt idx="2511">
                  <c:v>10.375194424358911</c:v>
                </c:pt>
                <c:pt idx="2512">
                  <c:v>10.406134955676256</c:v>
                </c:pt>
                <c:pt idx="2513">
                  <c:v>10.437075486993605</c:v>
                </c:pt>
                <c:pt idx="2514">
                  <c:v>10.46801601831095</c:v>
                </c:pt>
                <c:pt idx="2515">
                  <c:v>10.498956549628298</c:v>
                </c:pt>
                <c:pt idx="2516">
                  <c:v>10.529897080945643</c:v>
                </c:pt>
                <c:pt idx="2517">
                  <c:v>10.560837612262988</c:v>
                </c:pt>
                <c:pt idx="2518">
                  <c:v>10.591778143580337</c:v>
                </c:pt>
                <c:pt idx="2519">
                  <c:v>10.622718674897682</c:v>
                </c:pt>
                <c:pt idx="2520">
                  <c:v>10.653659206215027</c:v>
                </c:pt>
                <c:pt idx="2521">
                  <c:v>10.684599737532375</c:v>
                </c:pt>
                <c:pt idx="2522">
                  <c:v>10.71554026884972</c:v>
                </c:pt>
                <c:pt idx="2523">
                  <c:v>10.746480800167065</c:v>
                </c:pt>
                <c:pt idx="2524">
                  <c:v>10.777421331484414</c:v>
                </c:pt>
                <c:pt idx="2525">
                  <c:v>10.808361862801759</c:v>
                </c:pt>
                <c:pt idx="2526">
                  <c:v>10.839302394119107</c:v>
                </c:pt>
                <c:pt idx="2527">
                  <c:v>10.870242925436452</c:v>
                </c:pt>
                <c:pt idx="2528">
                  <c:v>10.901183456753797</c:v>
                </c:pt>
                <c:pt idx="2529">
                  <c:v>10.932123988071146</c:v>
                </c:pt>
                <c:pt idx="2530">
                  <c:v>10.963064519388491</c:v>
                </c:pt>
                <c:pt idx="2531">
                  <c:v>10.994005050705836</c:v>
                </c:pt>
                <c:pt idx="2532">
                  <c:v>11.024945582023184</c:v>
                </c:pt>
                <c:pt idx="2533">
                  <c:v>11.055886113340529</c:v>
                </c:pt>
                <c:pt idx="2534">
                  <c:v>11.086826644657878</c:v>
                </c:pt>
                <c:pt idx="2535">
                  <c:v>11.117767175975223</c:v>
                </c:pt>
                <c:pt idx="2536">
                  <c:v>11.148707707292568</c:v>
                </c:pt>
                <c:pt idx="2537">
                  <c:v>11.179648238609916</c:v>
                </c:pt>
                <c:pt idx="2538">
                  <c:v>11.210588769927261</c:v>
                </c:pt>
                <c:pt idx="2539">
                  <c:v>11.241529301244606</c:v>
                </c:pt>
                <c:pt idx="2540">
                  <c:v>11.272469832561955</c:v>
                </c:pt>
                <c:pt idx="2541">
                  <c:v>11.3034103638793</c:v>
                </c:pt>
                <c:pt idx="2542">
                  <c:v>11.334350895196645</c:v>
                </c:pt>
                <c:pt idx="2543">
                  <c:v>11.365291426513993</c:v>
                </c:pt>
                <c:pt idx="2544">
                  <c:v>11.396231957831338</c:v>
                </c:pt>
                <c:pt idx="2545">
                  <c:v>11.427172489148687</c:v>
                </c:pt>
                <c:pt idx="2546">
                  <c:v>11.458113020466032</c:v>
                </c:pt>
                <c:pt idx="2547">
                  <c:v>11.489053551783377</c:v>
                </c:pt>
                <c:pt idx="2548">
                  <c:v>11.519994083100725</c:v>
                </c:pt>
                <c:pt idx="2549">
                  <c:v>11.55093461441807</c:v>
                </c:pt>
                <c:pt idx="2550">
                  <c:v>11.581875145735415</c:v>
                </c:pt>
                <c:pt idx="2551">
                  <c:v>11.612815677052764</c:v>
                </c:pt>
                <c:pt idx="2552">
                  <c:v>11.643756208370108</c:v>
                </c:pt>
                <c:pt idx="2553">
                  <c:v>11.674696739687453</c:v>
                </c:pt>
                <c:pt idx="2554">
                  <c:v>11.705637271004802</c:v>
                </c:pt>
                <c:pt idx="2555">
                  <c:v>11.736577802322147</c:v>
                </c:pt>
                <c:pt idx="2556">
                  <c:v>11.767518333639496</c:v>
                </c:pt>
                <c:pt idx="2557">
                  <c:v>11.79845886495684</c:v>
                </c:pt>
                <c:pt idx="2558">
                  <c:v>11.829399396274185</c:v>
                </c:pt>
                <c:pt idx="2559">
                  <c:v>11.860339927591534</c:v>
                </c:pt>
                <c:pt idx="2560">
                  <c:v>11.891280458908879</c:v>
                </c:pt>
                <c:pt idx="2561">
                  <c:v>11.922220990226224</c:v>
                </c:pt>
                <c:pt idx="2562">
                  <c:v>11.953161521543572</c:v>
                </c:pt>
                <c:pt idx="2563">
                  <c:v>11.984102052860917</c:v>
                </c:pt>
                <c:pt idx="2564">
                  <c:v>12.015042584178262</c:v>
                </c:pt>
                <c:pt idx="2565">
                  <c:v>12.045983115495611</c:v>
                </c:pt>
                <c:pt idx="2566">
                  <c:v>12.076923646812956</c:v>
                </c:pt>
                <c:pt idx="2567">
                  <c:v>12.107864178130304</c:v>
                </c:pt>
                <c:pt idx="2568">
                  <c:v>12.138804709447649</c:v>
                </c:pt>
                <c:pt idx="2569">
                  <c:v>12.169745240764994</c:v>
                </c:pt>
                <c:pt idx="2570">
                  <c:v>12.200685772082343</c:v>
                </c:pt>
                <c:pt idx="2571">
                  <c:v>12.231626303399688</c:v>
                </c:pt>
                <c:pt idx="2572">
                  <c:v>12.262566834717033</c:v>
                </c:pt>
                <c:pt idx="2573">
                  <c:v>12.293507366034381</c:v>
                </c:pt>
                <c:pt idx="2574">
                  <c:v>12.324447897351726</c:v>
                </c:pt>
                <c:pt idx="2575">
                  <c:v>12.355388428669071</c:v>
                </c:pt>
                <c:pt idx="2576">
                  <c:v>12.38632895998642</c:v>
                </c:pt>
                <c:pt idx="2577">
                  <c:v>12.417269491303765</c:v>
                </c:pt>
                <c:pt idx="2578">
                  <c:v>12.448210022621113</c:v>
                </c:pt>
                <c:pt idx="2579">
                  <c:v>12.479150553938458</c:v>
                </c:pt>
                <c:pt idx="2580">
                  <c:v>12.510091085255803</c:v>
                </c:pt>
                <c:pt idx="2581">
                  <c:v>12.541031616573152</c:v>
                </c:pt>
                <c:pt idx="2582">
                  <c:v>12.571972147890497</c:v>
                </c:pt>
                <c:pt idx="2583">
                  <c:v>12.602912679207842</c:v>
                </c:pt>
                <c:pt idx="2584">
                  <c:v>12.63385321052519</c:v>
                </c:pt>
                <c:pt idx="2585">
                  <c:v>12.664793741842535</c:v>
                </c:pt>
                <c:pt idx="2586">
                  <c:v>12.69573427315988</c:v>
                </c:pt>
                <c:pt idx="2587">
                  <c:v>12.726674804477229</c:v>
                </c:pt>
                <c:pt idx="2588">
                  <c:v>12.757615335794574</c:v>
                </c:pt>
                <c:pt idx="2589">
                  <c:v>12.788555867111922</c:v>
                </c:pt>
                <c:pt idx="2590">
                  <c:v>12.819496398429267</c:v>
                </c:pt>
                <c:pt idx="2591">
                  <c:v>12.850436929746612</c:v>
                </c:pt>
                <c:pt idx="2592">
                  <c:v>12.881377461063961</c:v>
                </c:pt>
                <c:pt idx="2593">
                  <c:v>12.912317992381306</c:v>
                </c:pt>
                <c:pt idx="2594">
                  <c:v>12.943258523698651</c:v>
                </c:pt>
                <c:pt idx="2595">
                  <c:v>12.974199055015999</c:v>
                </c:pt>
                <c:pt idx="2596">
                  <c:v>13.005139586333344</c:v>
                </c:pt>
                <c:pt idx="2597">
                  <c:v>13.036080117650693</c:v>
                </c:pt>
                <c:pt idx="2598">
                  <c:v>13.067020648968038</c:v>
                </c:pt>
                <c:pt idx="2599">
                  <c:v>13.097961180285383</c:v>
                </c:pt>
                <c:pt idx="2600">
                  <c:v>13.128901711602731</c:v>
                </c:pt>
                <c:pt idx="2601">
                  <c:v>13.159842242920076</c:v>
                </c:pt>
                <c:pt idx="2602">
                  <c:v>13.190782774237421</c:v>
                </c:pt>
                <c:pt idx="2603">
                  <c:v>13.22172330555477</c:v>
                </c:pt>
                <c:pt idx="2604">
                  <c:v>13.252663836872115</c:v>
                </c:pt>
                <c:pt idx="2605">
                  <c:v>13.28360436818946</c:v>
                </c:pt>
                <c:pt idx="2606">
                  <c:v>13.314544899506808</c:v>
                </c:pt>
                <c:pt idx="2607">
                  <c:v>13.345485430824153</c:v>
                </c:pt>
                <c:pt idx="2608">
                  <c:v>13.376425962141502</c:v>
                </c:pt>
                <c:pt idx="2609">
                  <c:v>13.407366493458847</c:v>
                </c:pt>
                <c:pt idx="2610">
                  <c:v>13.438307024776192</c:v>
                </c:pt>
                <c:pt idx="2611">
                  <c:v>13.46924755609354</c:v>
                </c:pt>
                <c:pt idx="2612">
                  <c:v>13.500188087410885</c:v>
                </c:pt>
                <c:pt idx="2613">
                  <c:v>13.53112861872823</c:v>
                </c:pt>
                <c:pt idx="2614">
                  <c:v>13.562069150045579</c:v>
                </c:pt>
                <c:pt idx="2615">
                  <c:v>13.593009681362924</c:v>
                </c:pt>
                <c:pt idx="2616">
                  <c:v>13.623950212680269</c:v>
                </c:pt>
                <c:pt idx="2617">
                  <c:v>13.654890743997617</c:v>
                </c:pt>
                <c:pt idx="2618">
                  <c:v>13.685831275314962</c:v>
                </c:pt>
                <c:pt idx="2619">
                  <c:v>13.716771806632311</c:v>
                </c:pt>
                <c:pt idx="2620">
                  <c:v>13.747712337949656</c:v>
                </c:pt>
                <c:pt idx="2621">
                  <c:v>13.778652869267001</c:v>
                </c:pt>
                <c:pt idx="2622">
                  <c:v>13.809593400584349</c:v>
                </c:pt>
                <c:pt idx="2623">
                  <c:v>13.840533931901694</c:v>
                </c:pt>
                <c:pt idx="2624">
                  <c:v>13.871474463219039</c:v>
                </c:pt>
                <c:pt idx="2625">
                  <c:v>13.902414994536388</c:v>
                </c:pt>
                <c:pt idx="2626">
                  <c:v>13.933355525853733</c:v>
                </c:pt>
                <c:pt idx="2627">
                  <c:v>13.964296057171078</c:v>
                </c:pt>
                <c:pt idx="2628">
                  <c:v>13.995236588488426</c:v>
                </c:pt>
                <c:pt idx="2629">
                  <c:v>14.026177119805771</c:v>
                </c:pt>
                <c:pt idx="2630">
                  <c:v>14.05711765112312</c:v>
                </c:pt>
                <c:pt idx="2631">
                  <c:v>14.088058182440465</c:v>
                </c:pt>
                <c:pt idx="2632">
                  <c:v>14.11899871375781</c:v>
                </c:pt>
                <c:pt idx="2633">
                  <c:v>14.149939245075158</c:v>
                </c:pt>
                <c:pt idx="2634">
                  <c:v>14.180879776392503</c:v>
                </c:pt>
                <c:pt idx="2635">
                  <c:v>14.211820307709848</c:v>
                </c:pt>
                <c:pt idx="2636">
                  <c:v>14.242760839027197</c:v>
                </c:pt>
                <c:pt idx="2637">
                  <c:v>14.273701370344542</c:v>
                </c:pt>
                <c:pt idx="2638">
                  <c:v>14.304641901661887</c:v>
                </c:pt>
                <c:pt idx="2639">
                  <c:v>14.335582432979235</c:v>
                </c:pt>
                <c:pt idx="2640">
                  <c:v>14.36652296429658</c:v>
                </c:pt>
                <c:pt idx="2641">
                  <c:v>14.397463495613929</c:v>
                </c:pt>
                <c:pt idx="2642">
                  <c:v>14.428404026931274</c:v>
                </c:pt>
                <c:pt idx="2643">
                  <c:v>14.459344558248619</c:v>
                </c:pt>
                <c:pt idx="2644">
                  <c:v>14.490285089565967</c:v>
                </c:pt>
                <c:pt idx="2645">
                  <c:v>14.521225620883312</c:v>
                </c:pt>
                <c:pt idx="2646">
                  <c:v>14.552166152200657</c:v>
                </c:pt>
                <c:pt idx="2647">
                  <c:v>14.583106683518006</c:v>
                </c:pt>
                <c:pt idx="2648">
                  <c:v>14.614047214835351</c:v>
                </c:pt>
                <c:pt idx="2649">
                  <c:v>14.644987746152699</c:v>
                </c:pt>
                <c:pt idx="2650">
                  <c:v>14.675928277470044</c:v>
                </c:pt>
                <c:pt idx="2651">
                  <c:v>14.706868808787389</c:v>
                </c:pt>
                <c:pt idx="2652">
                  <c:v>14.737809340104738</c:v>
                </c:pt>
                <c:pt idx="2653">
                  <c:v>14.768749871422083</c:v>
                </c:pt>
                <c:pt idx="2654">
                  <c:v>14.799690402739428</c:v>
                </c:pt>
                <c:pt idx="2655">
                  <c:v>14.830630934056776</c:v>
                </c:pt>
                <c:pt idx="2656">
                  <c:v>14.861571465374121</c:v>
                </c:pt>
                <c:pt idx="2657">
                  <c:v>14.892511996691466</c:v>
                </c:pt>
                <c:pt idx="2658">
                  <c:v>14.923452528008815</c:v>
                </c:pt>
                <c:pt idx="2659">
                  <c:v>14.95439305932616</c:v>
                </c:pt>
                <c:pt idx="2660">
                  <c:v>14.985333590643508</c:v>
                </c:pt>
                <c:pt idx="2661">
                  <c:v>15.016274121960853</c:v>
                </c:pt>
                <c:pt idx="2662">
                  <c:v>15.047214653278198</c:v>
                </c:pt>
                <c:pt idx="2663">
                  <c:v>15.078155184595547</c:v>
                </c:pt>
                <c:pt idx="2664">
                  <c:v>15.109095715912892</c:v>
                </c:pt>
                <c:pt idx="2665">
                  <c:v>15.140036247230237</c:v>
                </c:pt>
                <c:pt idx="2666">
                  <c:v>15.170976778547585</c:v>
                </c:pt>
                <c:pt idx="2667">
                  <c:v>15.20191730986493</c:v>
                </c:pt>
                <c:pt idx="2668">
                  <c:v>15.232857841182275</c:v>
                </c:pt>
                <c:pt idx="2669">
                  <c:v>15.263798372499624</c:v>
                </c:pt>
                <c:pt idx="2670">
                  <c:v>15.294738903816969</c:v>
                </c:pt>
                <c:pt idx="2671">
                  <c:v>15.325679435134317</c:v>
                </c:pt>
                <c:pt idx="2672">
                  <c:v>15.356619966451662</c:v>
                </c:pt>
                <c:pt idx="2673">
                  <c:v>15.387560497769007</c:v>
                </c:pt>
                <c:pt idx="2674">
                  <c:v>15.418501029086356</c:v>
                </c:pt>
                <c:pt idx="2675">
                  <c:v>15.449441560403701</c:v>
                </c:pt>
                <c:pt idx="2676">
                  <c:v>15.480382091721046</c:v>
                </c:pt>
                <c:pt idx="2677">
                  <c:v>15.511322623038394</c:v>
                </c:pt>
                <c:pt idx="2678">
                  <c:v>15.542263154355739</c:v>
                </c:pt>
                <c:pt idx="2679">
                  <c:v>15.573203685673084</c:v>
                </c:pt>
                <c:pt idx="2680">
                  <c:v>15.604144216990433</c:v>
                </c:pt>
                <c:pt idx="2681">
                  <c:v>15.635084748307778</c:v>
                </c:pt>
                <c:pt idx="2682">
                  <c:v>15.666025279625126</c:v>
                </c:pt>
                <c:pt idx="2683">
                  <c:v>15.696965810942471</c:v>
                </c:pt>
                <c:pt idx="2684">
                  <c:v>15.727906342259816</c:v>
                </c:pt>
                <c:pt idx="2685">
                  <c:v>15.758846873577165</c:v>
                </c:pt>
                <c:pt idx="2686">
                  <c:v>15.789787404894509</c:v>
                </c:pt>
                <c:pt idx="2687">
                  <c:v>15.820727936211854</c:v>
                </c:pt>
                <c:pt idx="2688">
                  <c:v>15.851668467529203</c:v>
                </c:pt>
                <c:pt idx="2689">
                  <c:v>15.882608998846548</c:v>
                </c:pt>
                <c:pt idx="2690">
                  <c:v>15.913549530163893</c:v>
                </c:pt>
                <c:pt idx="2691">
                  <c:v>15.944490061481241</c:v>
                </c:pt>
                <c:pt idx="2692">
                  <c:v>15.975430592798586</c:v>
                </c:pt>
                <c:pt idx="2693">
                  <c:v>16.006371124115937</c:v>
                </c:pt>
                <c:pt idx="2694">
                  <c:v>16.037311655433278</c:v>
                </c:pt>
                <c:pt idx="2695">
                  <c:v>16.068252186750627</c:v>
                </c:pt>
                <c:pt idx="2696">
                  <c:v>16.099192718067975</c:v>
                </c:pt>
                <c:pt idx="2697">
                  <c:v>16.130133249385317</c:v>
                </c:pt>
                <c:pt idx="2698">
                  <c:v>16.161073780702665</c:v>
                </c:pt>
                <c:pt idx="2699">
                  <c:v>16.192014312020014</c:v>
                </c:pt>
                <c:pt idx="2700">
                  <c:v>16.222954843337355</c:v>
                </c:pt>
                <c:pt idx="2701">
                  <c:v>16.253895374654704</c:v>
                </c:pt>
                <c:pt idx="2702">
                  <c:v>16.284835905972052</c:v>
                </c:pt>
                <c:pt idx="2703">
                  <c:v>16.315776437289394</c:v>
                </c:pt>
                <c:pt idx="2704">
                  <c:v>16.346716968606742</c:v>
                </c:pt>
                <c:pt idx="2705">
                  <c:v>16.377657499924091</c:v>
                </c:pt>
                <c:pt idx="2706">
                  <c:v>16.408598031241432</c:v>
                </c:pt>
                <c:pt idx="2707">
                  <c:v>16.439538562558781</c:v>
                </c:pt>
                <c:pt idx="2708">
                  <c:v>16.470479093876129</c:v>
                </c:pt>
                <c:pt idx="2709">
                  <c:v>16.501419625193471</c:v>
                </c:pt>
                <c:pt idx="2710">
                  <c:v>16.532360156510819</c:v>
                </c:pt>
                <c:pt idx="2711">
                  <c:v>16.563300687828168</c:v>
                </c:pt>
                <c:pt idx="2712">
                  <c:v>16.594241219145516</c:v>
                </c:pt>
                <c:pt idx="2713">
                  <c:v>16.625181750462858</c:v>
                </c:pt>
                <c:pt idx="2714">
                  <c:v>16.656122281780206</c:v>
                </c:pt>
                <c:pt idx="2715">
                  <c:v>16.687062813097555</c:v>
                </c:pt>
                <c:pt idx="2716">
                  <c:v>16.718003344414896</c:v>
                </c:pt>
                <c:pt idx="2717">
                  <c:v>16.748943875732245</c:v>
                </c:pt>
                <c:pt idx="2718">
                  <c:v>16.779884407049593</c:v>
                </c:pt>
                <c:pt idx="2719">
                  <c:v>16.810824938366935</c:v>
                </c:pt>
                <c:pt idx="2720">
                  <c:v>16.841765469684283</c:v>
                </c:pt>
                <c:pt idx="2721">
                  <c:v>16.872706001001632</c:v>
                </c:pt>
                <c:pt idx="2722">
                  <c:v>16.903646532318973</c:v>
                </c:pt>
                <c:pt idx="2723">
                  <c:v>16.934587063636322</c:v>
                </c:pt>
                <c:pt idx="2724">
                  <c:v>16.96552759495367</c:v>
                </c:pt>
                <c:pt idx="2725">
                  <c:v>16.996468126271012</c:v>
                </c:pt>
                <c:pt idx="2726">
                  <c:v>#N/A</c:v>
                </c:pt>
              </c:numCache>
            </c:numRef>
          </c:xVal>
          <c:yVal>
            <c:numRef>
              <c:f>[0]!AyNorm</c:f>
              <c:numCache>
                <c:formatCode>General</c:formatCode>
                <c:ptCount val="2727"/>
                <c:pt idx="0">
                  <c:v>1.0290193250511765E-3</c:v>
                </c:pt>
                <c:pt idx="1">
                  <c:v>1.0514103317239135E-3</c:v>
                </c:pt>
                <c:pt idx="2">
                  <c:v>1.0742331143597441E-3</c:v>
                </c:pt>
                <c:pt idx="3">
                  <c:v>1.0974946641764966E-3</c:v>
                </c:pt>
                <c:pt idx="4">
                  <c:v>1.1212020552969838E-3</c:v>
                </c:pt>
                <c:pt idx="5">
                  <c:v>1.1453624450681371E-3</c:v>
                </c:pt>
                <c:pt idx="6">
                  <c:v>1.1699830743653228E-3</c:v>
                </c:pt>
                <c:pt idx="7">
                  <c:v>1.1950712678814519E-3</c:v>
                </c:pt>
                <c:pt idx="8">
                  <c:v>1.2206344344004312E-3</c:v>
                </c:pt>
                <c:pt idx="9">
                  <c:v>1.246680067054577E-3</c:v>
                </c:pt>
                <c:pt idx="10">
                  <c:v>1.2732157435655297E-3</c:v>
                </c:pt>
                <c:pt idx="11">
                  <c:v>1.3002491264682643E-3</c:v>
                </c:pt>
                <c:pt idx="12">
                  <c:v>1.3277879633177489E-3</c:v>
                </c:pt>
                <c:pt idx="13">
                  <c:v>1.3558400868778312E-3</c:v>
                </c:pt>
                <c:pt idx="14">
                  <c:v>1.3844134152919173E-3</c:v>
                </c:pt>
                <c:pt idx="15">
                  <c:v>1.4135159522349768E-3</c:v>
                </c:pt>
                <c:pt idx="16">
                  <c:v>1.4431557870464799E-3</c:v>
                </c:pt>
                <c:pt idx="17">
                  <c:v>1.4733410948437723E-3</c:v>
                </c:pt>
                <c:pt idx="18">
                  <c:v>1.5040801366154927E-3</c:v>
                </c:pt>
                <c:pt idx="19">
                  <c:v>1.5353812592945131E-3</c:v>
                </c:pt>
                <c:pt idx="20">
                  <c:v>1.5672528958100443E-3</c:v>
                </c:pt>
                <c:pt idx="21">
                  <c:v>1.5997035651183721E-3</c:v>
                </c:pt>
                <c:pt idx="22">
                  <c:v>1.632741872211831E-3</c:v>
                </c:pt>
                <c:pt idx="23">
                  <c:v>1.6663765081055008E-3</c:v>
                </c:pt>
                <c:pt idx="24">
                  <c:v>1.7006162498012303E-3</c:v>
                </c:pt>
                <c:pt idx="25">
                  <c:v>1.735469960228501E-3</c:v>
                </c:pt>
                <c:pt idx="26">
                  <c:v>1.7709465881616513E-3</c:v>
                </c:pt>
                <c:pt idx="27">
                  <c:v>1.807055168113057E-3</c:v>
                </c:pt>
                <c:pt idx="28">
                  <c:v>1.8438048202017449E-3</c:v>
                </c:pt>
                <c:pt idx="29">
                  <c:v>1.881204749997037E-3</c:v>
                </c:pt>
                <c:pt idx="30">
                  <c:v>1.9192642483367151E-3</c:v>
                </c:pt>
                <c:pt idx="31">
                  <c:v>1.9579926911192824E-3</c:v>
                </c:pt>
                <c:pt idx="32">
                  <c:v>1.9973995390698378E-3</c:v>
                </c:pt>
                <c:pt idx="33">
                  <c:v>2.0374943374791244E-3</c:v>
                </c:pt>
                <c:pt idx="34">
                  <c:v>2.0782867159152528E-3</c:v>
                </c:pt>
                <c:pt idx="35">
                  <c:v>2.1197863879076984E-3</c:v>
                </c:pt>
                <c:pt idx="36">
                  <c:v>2.1620031506030522E-3</c:v>
                </c:pt>
                <c:pt idx="37">
                  <c:v>2.2049468843921231E-3</c:v>
                </c:pt>
                <c:pt idx="38">
                  <c:v>2.2486275525078893E-3</c:v>
                </c:pt>
                <c:pt idx="39">
                  <c:v>2.293055200593877E-3</c:v>
                </c:pt>
                <c:pt idx="40">
                  <c:v>2.3382399562425007E-3</c:v>
                </c:pt>
                <c:pt idx="41">
                  <c:v>2.3841920285029186E-3</c:v>
                </c:pt>
                <c:pt idx="42">
                  <c:v>2.4309217073579361E-3</c:v>
                </c:pt>
                <c:pt idx="43">
                  <c:v>2.4784393631695537E-3</c:v>
                </c:pt>
                <c:pt idx="44">
                  <c:v>2.5267554460926696E-3</c:v>
                </c:pt>
                <c:pt idx="45">
                  <c:v>2.5758804854565109E-3</c:v>
                </c:pt>
                <c:pt idx="46">
                  <c:v>2.6258250891133881E-3</c:v>
                </c:pt>
                <c:pt idx="47">
                  <c:v>2.6765999427542852E-3</c:v>
                </c:pt>
                <c:pt idx="48">
                  <c:v>2.7282158091909061E-3</c:v>
                </c:pt>
                <c:pt idx="49">
                  <c:v>2.7806835276037024E-3</c:v>
                </c:pt>
                <c:pt idx="50">
                  <c:v>2.8340140127555021E-3</c:v>
                </c:pt>
                <c:pt idx="51">
                  <c:v>2.888218254170296E-3</c:v>
                </c:pt>
                <c:pt idx="52">
                  <c:v>2.9433073152768095E-3</c:v>
                </c:pt>
                <c:pt idx="53">
                  <c:v>2.9992923325163458E-3</c:v>
                </c:pt>
                <c:pt idx="54">
                  <c:v>3.0561845144146406E-3</c:v>
                </c:pt>
                <c:pt idx="55">
                  <c:v>3.1139951406172479E-3</c:v>
                </c:pt>
                <c:pt idx="56">
                  <c:v>3.1727355608880442E-3</c:v>
                </c:pt>
                <c:pt idx="57">
                  <c:v>3.2324171940705283E-3</c:v>
                </c:pt>
                <c:pt idx="58">
                  <c:v>3.2930515270115047E-3</c:v>
                </c:pt>
                <c:pt idx="59">
                  <c:v>3.3546501134467774E-3</c:v>
                </c:pt>
                <c:pt idx="60">
                  <c:v>3.417224572848493E-3</c:v>
                </c:pt>
                <c:pt idx="61">
                  <c:v>3.4807865892337538E-3</c:v>
                </c:pt>
                <c:pt idx="62">
                  <c:v>3.5453479099341913E-3</c:v>
                </c:pt>
                <c:pt idx="63">
                  <c:v>3.6109203443261411E-3</c:v>
                </c:pt>
                <c:pt idx="64">
                  <c:v>3.677515762521023E-3</c:v>
                </c:pt>
                <c:pt idx="65">
                  <c:v>3.7451460940157049E-3</c:v>
                </c:pt>
                <c:pt idx="66">
                  <c:v>3.8138233263024577E-3</c:v>
                </c:pt>
                <c:pt idx="67">
                  <c:v>3.8835595034381852E-3</c:v>
                </c:pt>
                <c:pt idx="68">
                  <c:v>3.9543667245726727E-3</c:v>
                </c:pt>
                <c:pt idx="69">
                  <c:v>4.026257142435566E-3</c:v>
                </c:pt>
                <c:pt idx="70">
                  <c:v>4.0992429617817032E-3</c:v>
                </c:pt>
                <c:pt idx="71">
                  <c:v>4.1733364377946735E-3</c:v>
                </c:pt>
                <c:pt idx="72">
                  <c:v>4.2485498744482039E-3</c:v>
                </c:pt>
                <c:pt idx="73">
                  <c:v>4.3248956228252172E-3</c:v>
                </c:pt>
                <c:pt idx="74">
                  <c:v>4.4023860793942953E-3</c:v>
                </c:pt>
                <c:pt idx="75">
                  <c:v>4.4810336842432633E-3</c:v>
                </c:pt>
                <c:pt idx="76">
                  <c:v>4.560850919269761E-3</c:v>
                </c:pt>
                <c:pt idx="77">
                  <c:v>4.6418503063285635E-3</c:v>
                </c:pt>
                <c:pt idx="78">
                  <c:v>4.7240444053354242E-3</c:v>
                </c:pt>
                <c:pt idx="79">
                  <c:v>4.8074458123272884E-3</c:v>
                </c:pt>
                <c:pt idx="80">
                  <c:v>4.8920671574787271E-3</c:v>
                </c:pt>
                <c:pt idx="81">
                  <c:v>4.9779211030743942E-3</c:v>
                </c:pt>
                <c:pt idx="82">
                  <c:v>5.0650203414374043E-3</c:v>
                </c:pt>
                <c:pt idx="83">
                  <c:v>5.1533775928134535E-3</c:v>
                </c:pt>
                <c:pt idx="84">
                  <c:v>5.2430056032106006E-3</c:v>
                </c:pt>
                <c:pt idx="85">
                  <c:v>5.3339171421946472E-3</c:v>
                </c:pt>
                <c:pt idx="86">
                  <c:v>5.4261250006399243E-3</c:v>
                </c:pt>
                <c:pt idx="87">
                  <c:v>5.5196419884354963E-3</c:v>
                </c:pt>
                <c:pt idx="88">
                  <c:v>5.6144809321467372E-3</c:v>
                </c:pt>
                <c:pt idx="89">
                  <c:v>5.7106546726321469E-3</c:v>
                </c:pt>
                <c:pt idx="90">
                  <c:v>5.8081760626154848E-3</c:v>
                </c:pt>
                <c:pt idx="91">
                  <c:v>5.9070579642131367E-3</c:v>
                </c:pt>
                <c:pt idx="92">
                  <c:v>6.0073132464167605E-3</c:v>
                </c:pt>
                <c:pt idx="93">
                  <c:v>6.108954782531228E-3</c:v>
                </c:pt>
                <c:pt idx="94">
                  <c:v>6.2119954475678835E-3</c:v>
                </c:pt>
                <c:pt idx="95">
                  <c:v>6.3164481155931519E-3</c:v>
                </c:pt>
                <c:pt idx="96">
                  <c:v>6.4223256570327012E-3</c:v>
                </c:pt>
                <c:pt idx="97">
                  <c:v>6.5296409359310329E-3</c:v>
                </c:pt>
                <c:pt idx="98">
                  <c:v>6.6384068071667912E-3</c:v>
                </c:pt>
                <c:pt idx="99">
                  <c:v>6.7486361136238999E-3</c:v>
                </c:pt>
                <c:pt idx="100">
                  <c:v>6.8603416833184902E-3</c:v>
                </c:pt>
                <c:pt idx="101">
                  <c:v>6.973536326482053E-3</c:v>
                </c:pt>
                <c:pt idx="102">
                  <c:v>7.0882328326007799E-3</c:v>
                </c:pt>
                <c:pt idx="103">
                  <c:v>7.2044439674114414E-3</c:v>
                </c:pt>
                <c:pt idx="104">
                  <c:v>7.3221824698538503E-3</c:v>
                </c:pt>
                <c:pt idx="105">
                  <c:v>7.4414610489803648E-3</c:v>
                </c:pt>
                <c:pt idx="106">
                  <c:v>7.5622923808225124E-3</c:v>
                </c:pt>
                <c:pt idx="107">
                  <c:v>7.6846891052151159E-3</c:v>
                </c:pt>
                <c:pt idx="108">
                  <c:v>7.8086638225781753E-3</c:v>
                </c:pt>
                <c:pt idx="109">
                  <c:v>7.9342290906567938E-3</c:v>
                </c:pt>
                <c:pt idx="110">
                  <c:v>8.0613974212195797E-3</c:v>
                </c:pt>
                <c:pt idx="111">
                  <c:v>8.1901812767158563E-3</c:v>
                </c:pt>
                <c:pt idx="112">
                  <c:v>8.3205930668919011E-3</c:v>
                </c:pt>
                <c:pt idx="113">
                  <c:v>8.4526451453668956E-3</c:v>
                </c:pt>
                <c:pt idx="114">
                  <c:v>8.5863498061688279E-3</c:v>
                </c:pt>
                <c:pt idx="115">
                  <c:v>8.7217192802307407E-3</c:v>
                </c:pt>
                <c:pt idx="116">
                  <c:v>8.858765731847993E-3</c:v>
                </c:pt>
                <c:pt idx="117">
                  <c:v>8.9975012550968306E-3</c:v>
                </c:pt>
                <c:pt idx="118">
                  <c:v>9.1379378702148798E-3</c:v>
                </c:pt>
                <c:pt idx="119">
                  <c:v>9.2800875199440733E-3</c:v>
                </c:pt>
                <c:pt idx="120">
                  <c:v>9.4239620658365247E-3</c:v>
                </c:pt>
                <c:pt idx="121">
                  <c:v>9.5695732845239474E-3</c:v>
                </c:pt>
                <c:pt idx="122">
                  <c:v>9.7169328639512952E-3</c:v>
                </c:pt>
                <c:pt idx="123">
                  <c:v>9.8660523995750676E-3</c:v>
                </c:pt>
                <c:pt idx="124">
                  <c:v>1.0016943390527106E-2</c:v>
                </c:pt>
                <c:pt idx="125">
                  <c:v>1.0169617235744438E-2</c:v>
                </c:pt>
                <c:pt idx="126">
                  <c:v>1.0324085230065866E-2</c:v>
                </c:pt>
                <c:pt idx="127">
                  <c:v>1.0480358560296027E-2</c:v>
                </c:pt>
                <c:pt idx="128">
                  <c:v>1.0638448301237729E-2</c:v>
                </c:pt>
                <c:pt idx="129">
                  <c:v>1.0798365411693111E-2</c:v>
                </c:pt>
                <c:pt idx="130">
                  <c:v>1.0960120730434678E-2</c:v>
                </c:pt>
                <c:pt idx="131">
                  <c:v>1.1123724972146759E-2</c:v>
                </c:pt>
                <c:pt idx="132">
                  <c:v>1.128918872333839E-2</c:v>
                </c:pt>
                <c:pt idx="133">
                  <c:v>1.1456522438228417E-2</c:v>
                </c:pt>
                <c:pt idx="134">
                  <c:v>1.1625736434603601E-2</c:v>
                </c:pt>
                <c:pt idx="135">
                  <c:v>1.1796840889650719E-2</c:v>
                </c:pt>
                <c:pt idx="136">
                  <c:v>1.1969845835763633E-2</c:v>
                </c:pt>
                <c:pt idx="137">
                  <c:v>1.2144761156325982E-2</c:v>
                </c:pt>
                <c:pt idx="138">
                  <c:v>1.2321596581470891E-2</c:v>
                </c:pt>
                <c:pt idx="139">
                  <c:v>1.2500361683818208E-2</c:v>
                </c:pt>
                <c:pt idx="140">
                  <c:v>1.2681065874190657E-2</c:v>
                </c:pt>
                <c:pt idx="141">
                  <c:v>1.2863718397309756E-2</c:v>
                </c:pt>
                <c:pt idx="142">
                  <c:v>1.304832832747249E-2</c:v>
                </c:pt>
                <c:pt idx="143">
                  <c:v>1.3234904564210002E-2</c:v>
                </c:pt>
                <c:pt idx="144">
                  <c:v>1.3423455827929243E-2</c:v>
                </c:pt>
                <c:pt idx="145">
                  <c:v>1.3613990655538692E-2</c:v>
                </c:pt>
                <c:pt idx="146">
                  <c:v>1.3806517396059407E-2</c:v>
                </c:pt>
                <c:pt idx="147">
                  <c:v>1.4001044206222495E-2</c:v>
                </c:pt>
                <c:pt idx="148">
                  <c:v>1.419757904605406E-2</c:v>
                </c:pt>
                <c:pt idx="149">
                  <c:v>1.4396129674449122E-2</c:v>
                </c:pt>
                <c:pt idx="150">
                  <c:v>1.4596703644735379E-2</c:v>
                </c:pt>
                <c:pt idx="151">
                  <c:v>1.4799308300228372E-2</c:v>
                </c:pt>
                <c:pt idx="152">
                  <c:v>1.5003950769779107E-2</c:v>
                </c:pt>
                <c:pt idx="153">
                  <c:v>1.5210637963315453E-2</c:v>
                </c:pt>
                <c:pt idx="154">
                  <c:v>1.541937656737871E-2</c:v>
                </c:pt>
                <c:pt idx="155">
                  <c:v>1.5630173040656659E-2</c:v>
                </c:pt>
                <c:pt idx="156">
                  <c:v>1.5843033609514254E-2</c:v>
                </c:pt>
                <c:pt idx="157">
                  <c:v>1.6057964263523558E-2</c:v>
                </c:pt>
                <c:pt idx="158">
                  <c:v>1.6274970750994225E-2</c:v>
                </c:pt>
                <c:pt idx="159">
                  <c:v>1.6494058574505775E-2</c:v>
                </c:pt>
                <c:pt idx="160">
                  <c:v>1.671523298644342E-2</c:v>
                </c:pt>
                <c:pt idx="161">
                  <c:v>1.6938498984538457E-2</c:v>
                </c:pt>
                <c:pt idx="162">
                  <c:v>1.7163861307415051E-2</c:v>
                </c:pt>
                <c:pt idx="163">
                  <c:v>1.7391324430144638E-2</c:v>
                </c:pt>
                <c:pt idx="164">
                  <c:v>1.7620892559809621E-2</c:v>
                </c:pt>
                <c:pt idx="165">
                  <c:v>1.7852569631077599E-2</c:v>
                </c:pt>
                <c:pt idx="166">
                  <c:v>1.8086359301788039E-2</c:v>
                </c:pt>
                <c:pt idx="167">
                  <c:v>1.8322264948552495E-2</c:v>
                </c:pt>
                <c:pt idx="168">
                  <c:v>1.8560289662370315E-2</c:v>
                </c:pt>
                <c:pt idx="169">
                  <c:v>1.8800436244261115E-2</c:v>
                </c:pt>
                <c:pt idx="170">
                  <c:v>1.9042707200915724E-2</c:v>
                </c:pt>
                <c:pt idx="171">
                  <c:v>1.928710474036727E-2</c:v>
                </c:pt>
                <c:pt idx="172">
                  <c:v>1.9533630767683819E-2</c:v>
                </c:pt>
                <c:pt idx="173">
                  <c:v>1.9782286880684379E-2</c:v>
                </c:pt>
                <c:pt idx="174">
                  <c:v>2.0033074365679762E-2</c:v>
                </c:pt>
                <c:pt idx="175">
                  <c:v>2.0285994193240085E-2</c:v>
                </c:pt>
                <c:pt idx="176">
                  <c:v>2.0541047013990395E-2</c:v>
                </c:pt>
                <c:pt idx="177">
                  <c:v>2.0798233154436345E-2</c:v>
                </c:pt>
                <c:pt idx="178">
                  <c:v>2.1057552612821207E-2</c:v>
                </c:pt>
                <c:pt idx="179">
                  <c:v>2.1319005055016351E-2</c:v>
                </c:pt>
                <c:pt idx="180">
                  <c:v>2.1582589810446553E-2</c:v>
                </c:pt>
                <c:pt idx="181">
                  <c:v>2.1848305868052052E-2</c:v>
                </c:pt>
                <c:pt idx="182">
                  <c:v>2.2116151872288888E-2</c:v>
                </c:pt>
                <c:pt idx="183">
                  <c:v>2.2386126119169347E-2</c:v>
                </c:pt>
                <c:pt idx="184">
                  <c:v>2.2658226552344337E-2</c:v>
                </c:pt>
                <c:pt idx="185">
                  <c:v>2.2932450759229131E-2</c:v>
                </c:pt>
                <c:pt idx="186">
                  <c:v>2.3208795967174584E-2</c:v>
                </c:pt>
                <c:pt idx="187">
                  <c:v>2.3487259039685206E-2</c:v>
                </c:pt>
                <c:pt idx="188">
                  <c:v>2.3767836472686238E-2</c:v>
                </c:pt>
                <c:pt idx="189">
                  <c:v>2.4050524390840999E-2</c:v>
                </c:pt>
                <c:pt idx="190">
                  <c:v>2.4335318543920736E-2</c:v>
                </c:pt>
                <c:pt idx="191">
                  <c:v>2.4622214303228362E-2</c:v>
                </c:pt>
                <c:pt idx="192">
                  <c:v>2.4911206658078153E-2</c:v>
                </c:pt>
                <c:pt idx="193">
                  <c:v>2.5202290212332813E-2</c:v>
                </c:pt>
                <c:pt idx="194">
                  <c:v>2.5495459180999991E-2</c:v>
                </c:pt>
                <c:pt idx="195">
                  <c:v>2.5790707386889808E-2</c:v>
                </c:pt>
                <c:pt idx="196">
                  <c:v>2.6088028257335184E-2</c:v>
                </c:pt>
                <c:pt idx="197">
                  <c:v>2.6387414820976837E-2</c:v>
                </c:pt>
                <c:pt idx="198">
                  <c:v>2.6688859704614477E-2</c:v>
                </c:pt>
                <c:pt idx="199">
                  <c:v>2.6992355130126169E-2</c:v>
                </c:pt>
                <c:pt idx="200">
                  <c:v>2.7297892911457431E-2</c:v>
                </c:pt>
                <c:pt idx="201">
                  <c:v>2.7605464451681966E-2</c:v>
                </c:pt>
                <c:pt idx="202">
                  <c:v>2.7915060740135552E-2</c:v>
                </c:pt>
                <c:pt idx="203">
                  <c:v>2.8226672349625049E-2</c:v>
                </c:pt>
                <c:pt idx="204">
                  <c:v>2.8540289433713971E-2</c:v>
                </c:pt>
                <c:pt idx="205">
                  <c:v>2.8855901724086669E-2</c:v>
                </c:pt>
                <c:pt idx="206">
                  <c:v>2.917349852799243E-2</c:v>
                </c:pt>
                <c:pt idx="207">
                  <c:v>2.9493068725771447E-2</c:v>
                </c:pt>
                <c:pt idx="208">
                  <c:v>2.9814600768464334E-2</c:v>
                </c:pt>
                <c:pt idx="209">
                  <c:v>3.013808267550663E-2</c:v>
                </c:pt>
                <c:pt idx="210">
                  <c:v>3.0463502032510231E-2</c:v>
                </c:pt>
                <c:pt idx="211">
                  <c:v>3.079084598913313E-2</c:v>
                </c:pt>
                <c:pt idx="212">
                  <c:v>3.112010125703929E-2</c:v>
                </c:pt>
                <c:pt idx="213">
                  <c:v>3.145125410795007E-2</c:v>
                </c:pt>
                <c:pt idx="214">
                  <c:v>3.1784290371789023E-2</c:v>
                </c:pt>
                <c:pt idx="215">
                  <c:v>3.2119195434921352E-2</c:v>
                </c:pt>
                <c:pt idx="216">
                  <c:v>3.2455954238489931E-2</c:v>
                </c:pt>
                <c:pt idx="217">
                  <c:v>3.2794551276849007E-2</c:v>
                </c:pt>
                <c:pt idx="218">
                  <c:v>3.313497059609756E-2</c:v>
                </c:pt>
                <c:pt idx="219">
                  <c:v>3.3477195792713486E-2</c:v>
                </c:pt>
                <c:pt idx="220">
                  <c:v>3.3821210012290111E-2</c:v>
                </c:pt>
                <c:pt idx="221">
                  <c:v>3.4166995948376765E-2</c:v>
                </c:pt>
                <c:pt idx="222">
                  <c:v>3.4514535841424436E-2</c:v>
                </c:pt>
                <c:pt idx="223">
                  <c:v>3.4863811477838375E-2</c:v>
                </c:pt>
                <c:pt idx="224">
                  <c:v>3.521480418913852E-2</c:v>
                </c:pt>
                <c:pt idx="225">
                  <c:v>3.5567494851229613E-2</c:v>
                </c:pt>
                <c:pt idx="226">
                  <c:v>3.5921863883781949E-2</c:v>
                </c:pt>
                <c:pt idx="227">
                  <c:v>3.6277891249724352E-2</c:v>
                </c:pt>
                <c:pt idx="228">
                  <c:v>3.6635556454850407E-2</c:v>
                </c:pt>
                <c:pt idx="229">
                  <c:v>3.6994838547539405E-2</c:v>
                </c:pt>
                <c:pt idx="230">
                  <c:v>3.7355716118593077E-2</c:v>
                </c:pt>
                <c:pt idx="231">
                  <c:v>3.7718167301189473E-2</c:v>
                </c:pt>
                <c:pt idx="232">
                  <c:v>3.8082169770954973E-2</c:v>
                </c:pt>
                <c:pt idx="233">
                  <c:v>3.844770074615559E-2</c:v>
                </c:pt>
                <c:pt idx="234">
                  <c:v>3.8814736988008858E-2</c:v>
                </c:pt>
                <c:pt idx="235">
                  <c:v>3.9183254801117062E-2</c:v>
                </c:pt>
                <c:pt idx="236">
                  <c:v>3.9553230034023182E-2</c:v>
                </c:pt>
                <c:pt idx="237">
                  <c:v>3.9924638079890169E-2</c:v>
                </c:pt>
                <c:pt idx="238">
                  <c:v>4.0297453877304844E-2</c:v>
                </c:pt>
                <c:pt idx="239">
                  <c:v>4.0671651911207175E-2</c:v>
                </c:pt>
                <c:pt idx="240">
                  <c:v>4.1047206213945933E-2</c:v>
                </c:pt>
                <c:pt idx="241">
                  <c:v>4.1424090366461309E-2</c:v>
                </c:pt>
                <c:pt idx="242">
                  <c:v>4.1802277499595773E-2</c:v>
                </c:pt>
                <c:pt idx="243">
                  <c:v>4.2181740295533392E-2</c:v>
                </c:pt>
                <c:pt idx="244">
                  <c:v>4.2562450989368929E-2</c:v>
                </c:pt>
                <c:pt idx="245">
                  <c:v>4.2944381370806854E-2</c:v>
                </c:pt>
                <c:pt idx="246">
                  <c:v>4.3327502785991283E-2</c:v>
                </c:pt>
                <c:pt idx="247">
                  <c:v>4.3711786139467405E-2</c:v>
                </c:pt>
                <c:pt idx="248">
                  <c:v>4.4097201896274814E-2</c:v>
                </c:pt>
                <c:pt idx="249">
                  <c:v>4.4483720084173513E-2</c:v>
                </c:pt>
                <c:pt idx="250">
                  <c:v>4.4871310296002706E-2</c:v>
                </c:pt>
                <c:pt idx="251">
                  <c:v>4.5259941692173344E-2</c:v>
                </c:pt>
                <c:pt idx="252">
                  <c:v>4.564958300329422E-2</c:v>
                </c:pt>
                <c:pt idx="253">
                  <c:v>4.6040202532932568E-2</c:v>
                </c:pt>
                <c:pt idx="254">
                  <c:v>4.6431768160508827E-2</c:v>
                </c:pt>
                <c:pt idx="255">
                  <c:v>4.6824247344326497E-2</c:v>
                </c:pt>
                <c:pt idx="256">
                  <c:v>4.7217607124736695E-2</c:v>
                </c:pt>
                <c:pt idx="257">
                  <c:v>4.761181412743809E-2</c:v>
                </c:pt>
                <c:pt idx="258">
                  <c:v>4.8006834566911891E-2</c:v>
                </c:pt>
                <c:pt idx="259">
                  <c:v>4.840263424999218E-2</c:v>
                </c:pt>
                <c:pt idx="260">
                  <c:v>4.8799178579571757E-2</c:v>
                </c:pt>
                <c:pt idx="261">
                  <c:v>4.9196432558443137E-2</c:v>
                </c:pt>
                <c:pt idx="262">
                  <c:v>4.9594360793274707E-2</c:v>
                </c:pt>
                <c:pt idx="263">
                  <c:v>4.999292749872232E-2</c:v>
                </c:pt>
                <c:pt idx="264">
                  <c:v>5.0392096501675324E-2</c:v>
                </c:pt>
                <c:pt idx="265">
                  <c:v>5.0791831245637777E-2</c:v>
                </c:pt>
                <c:pt idx="266">
                  <c:v>5.1192094795243691E-2</c:v>
                </c:pt>
                <c:pt idx="267">
                  <c:v>5.1592849840906695E-2</c:v>
                </c:pt>
                <c:pt idx="268">
                  <c:v>5.1994058703603067E-2</c:v>
                </c:pt>
                <c:pt idx="269">
                  <c:v>5.2395683339788258E-2</c:v>
                </c:pt>
                <c:pt idx="270">
                  <c:v>5.2797685346446251E-2</c:v>
                </c:pt>
                <c:pt idx="271">
                  <c:v>5.3200025966270902E-2</c:v>
                </c:pt>
                <c:pt idx="272">
                  <c:v>5.3602666092979187E-2</c:v>
                </c:pt>
                <c:pt idx="273">
                  <c:v>5.4005566276755401E-2</c:v>
                </c:pt>
                <c:pt idx="274">
                  <c:v>5.4408686729825663E-2</c:v>
                </c:pt>
                <c:pt idx="275">
                  <c:v>5.4811987332161978E-2</c:v>
                </c:pt>
                <c:pt idx="276">
                  <c:v>5.5215427637315052E-2</c:v>
                </c:pt>
                <c:pt idx="277">
                  <c:v>5.5618966878375177E-2</c:v>
                </c:pt>
                <c:pt idx="278">
                  <c:v>5.602256397406008E-2</c:v>
                </c:pt>
                <c:pt idx="279">
                  <c:v>5.64261775349287E-2</c:v>
                </c:pt>
                <c:pt idx="280">
                  <c:v>5.6829765869720113E-2</c:v>
                </c:pt>
                <c:pt idx="281">
                  <c:v>5.7233286991816623E-2</c:v>
                </c:pt>
                <c:pt idx="282">
                  <c:v>5.7636698625829472E-2</c:v>
                </c:pt>
                <c:pt idx="283">
                  <c:v>5.8039958214306318E-2</c:v>
                </c:pt>
                <c:pt idx="284">
                  <c:v>5.8443022924559392E-2</c:v>
                </c:pt>
                <c:pt idx="285">
                  <c:v>5.8845849655612646E-2</c:v>
                </c:pt>
                <c:pt idx="286">
                  <c:v>5.924839504526689E-2</c:v>
                </c:pt>
                <c:pt idx="287">
                  <c:v>5.9650615477281441E-2</c:v>
                </c:pt>
                <c:pt idx="288">
                  <c:v>6.0052467088670874E-2</c:v>
                </c:pt>
                <c:pt idx="289">
                  <c:v>6.0453905777115492E-2</c:v>
                </c:pt>
                <c:pt idx="290">
                  <c:v>6.0854887208483491E-2</c:v>
                </c:pt>
                <c:pt idx="291">
                  <c:v>6.1255366824464134E-2</c:v>
                </c:pt>
                <c:pt idx="292">
                  <c:v>6.1655299850309382E-2</c:v>
                </c:pt>
                <c:pt idx="293">
                  <c:v>6.2054641302683032E-2</c:v>
                </c:pt>
                <c:pt idx="294">
                  <c:v>6.245334599761497E-2</c:v>
                </c:pt>
                <c:pt idx="295">
                  <c:v>6.2851368558559259E-2</c:v>
                </c:pt>
                <c:pt idx="296">
                  <c:v>6.3248663424554263E-2</c:v>
                </c:pt>
                <c:pt idx="297">
                  <c:v>6.3645184858482307E-2</c:v>
                </c:pt>
                <c:pt idx="298">
                  <c:v>6.4040886955427617E-2</c:v>
                </c:pt>
                <c:pt idx="299">
                  <c:v>6.4435723651130344E-2</c:v>
                </c:pt>
                <c:pt idx="300">
                  <c:v>6.482964873053447E-2</c:v>
                </c:pt>
                <c:pt idx="301">
                  <c:v>6.5222615836427758E-2</c:v>
                </c:pt>
                <c:pt idx="302">
                  <c:v>6.5614578478171454E-2</c:v>
                </c:pt>
                <c:pt idx="303">
                  <c:v>6.600549004051777E-2</c:v>
                </c:pt>
                <c:pt idx="304">
                  <c:v>6.6395303792512822E-2</c:v>
                </c:pt>
                <c:pt idx="305">
                  <c:v>6.6783972896482705E-2</c:v>
                </c:pt>
                <c:pt idx="306">
                  <c:v>6.7171450417100473E-2</c:v>
                </c:pt>
                <c:pt idx="307">
                  <c:v>6.7557689330531856E-2</c:v>
                </c:pt>
                <c:pt idx="308">
                  <c:v>6.7942642533657088E-2</c:v>
                </c:pt>
                <c:pt idx="309">
                  <c:v>6.8326262853366473E-2</c:v>
                </c:pt>
                <c:pt idx="310">
                  <c:v>6.8708503055927253E-2</c:v>
                </c:pt>
                <c:pt idx="311">
                  <c:v>6.9089315856419545E-2</c:v>
                </c:pt>
                <c:pt idx="312">
                  <c:v>6.946865392823813E-2</c:v>
                </c:pt>
                <c:pt idx="313">
                  <c:v>6.9846469912658332E-2</c:v>
                </c:pt>
                <c:pt idx="314">
                  <c:v>7.0222716428462728E-2</c:v>
                </c:pt>
                <c:pt idx="315">
                  <c:v>7.0597346081626502E-2</c:v>
                </c:pt>
                <c:pt idx="316">
                  <c:v>7.0970311475058181E-2</c:v>
                </c:pt>
                <c:pt idx="317">
                  <c:v>7.1341565218393771E-2</c:v>
                </c:pt>
                <c:pt idx="318">
                  <c:v>7.1711059937840951E-2</c:v>
                </c:pt>
                <c:pt idx="319">
                  <c:v>7.2078748286070776E-2</c:v>
                </c:pt>
                <c:pt idx="320">
                  <c:v>7.2444582952153891E-2</c:v>
                </c:pt>
                <c:pt idx="321">
                  <c:v>7.2808516671538759E-2</c:v>
                </c:pt>
                <c:pt idx="322">
                  <c:v>7.3170502236068719E-2</c:v>
                </c:pt>
                <c:pt idx="323">
                  <c:v>7.3530492504034803E-2</c:v>
                </c:pt>
                <c:pt idx="324">
                  <c:v>7.3888440410261963E-2</c:v>
                </c:pt>
                <c:pt idx="325">
                  <c:v>7.424429897622517E-2</c:v>
                </c:pt>
                <c:pt idx="326">
                  <c:v>7.4598021320192706E-2</c:v>
                </c:pt>
                <c:pt idx="327">
                  <c:v>7.4949560667393333E-2</c:v>
                </c:pt>
                <c:pt idx="328">
                  <c:v>7.5298870360204814E-2</c:v>
                </c:pt>
                <c:pt idx="329">
                  <c:v>7.5645903868360106E-2</c:v>
                </c:pt>
                <c:pt idx="330">
                  <c:v>7.5990614799168715E-2</c:v>
                </c:pt>
                <c:pt idx="331">
                  <c:v>7.6332956907749591E-2</c:v>
                </c:pt>
                <c:pt idx="332">
                  <c:v>7.6672884107272812E-2</c:v>
                </c:pt>
                <c:pt idx="333">
                  <c:v>7.701035047920686E-2</c:v>
                </c:pt>
                <c:pt idx="334">
                  <c:v>7.7345310283568197E-2</c:v>
                </c:pt>
                <c:pt idx="335">
                  <c:v>7.7677717969169946E-2</c:v>
                </c:pt>
                <c:pt idx="336">
                  <c:v>7.8007528183866748E-2</c:v>
                </c:pt>
                <c:pt idx="337">
                  <c:v>7.8334695784792491E-2</c:v>
                </c:pt>
                <c:pt idx="338">
                  <c:v>7.8659175848587309E-2</c:v>
                </c:pt>
                <c:pt idx="339">
                  <c:v>7.8980923681611456E-2</c:v>
                </c:pt>
                <c:pt idx="340">
                  <c:v>7.9299894830141965E-2</c:v>
                </c:pt>
                <c:pt idx="341">
                  <c:v>7.9616045090549495E-2</c:v>
                </c:pt>
                <c:pt idx="342">
                  <c:v>7.9929330519451641E-2</c:v>
                </c:pt>
                <c:pt idx="343">
                  <c:v>8.0239707443839958E-2</c:v>
                </c:pt>
                <c:pt idx="344">
                  <c:v>8.054713247117698E-2</c:v>
                </c:pt>
                <c:pt idx="345">
                  <c:v>8.0851562499460336E-2</c:v>
                </c:pt>
                <c:pt idx="346">
                  <c:v>8.1152954727250481E-2</c:v>
                </c:pt>
                <c:pt idx="347">
                  <c:v>8.1451266663658872E-2</c:v>
                </c:pt>
                <c:pt idx="348">
                  <c:v>8.1746456138293497E-2</c:v>
                </c:pt>
                <c:pt idx="349">
                  <c:v>8.2038481311158165E-2</c:v>
                </c:pt>
                <c:pt idx="350">
                  <c:v>8.2327300682502672E-2</c:v>
                </c:pt>
                <c:pt idx="351">
                  <c:v>8.2612873102620332E-2</c:v>
                </c:pt>
                <c:pt idx="352">
                  <c:v>8.2895157781589957E-2</c:v>
                </c:pt>
                <c:pt idx="353">
                  <c:v>8.3174114298958657E-2</c:v>
                </c:pt>
                <c:pt idx="354">
                  <c:v>8.344970261336257E-2</c:v>
                </c:pt>
                <c:pt idx="355">
                  <c:v>8.3721883072082323E-2</c:v>
                </c:pt>
                <c:pt idx="356">
                  <c:v>8.3990616420529809E-2</c:v>
                </c:pt>
                <c:pt idx="357">
                  <c:v>8.4255863811663306E-2</c:v>
                </c:pt>
                <c:pt idx="358">
                  <c:v>8.45175868153277E-2</c:v>
                </c:pt>
                <c:pt idx="359">
                  <c:v>8.4775747427516854E-2</c:v>
                </c:pt>
                <c:pt idx="360">
                  <c:v>8.503030807955457E-2</c:v>
                </c:pt>
                <c:pt idx="361">
                  <c:v>8.5281231647191563E-2</c:v>
                </c:pt>
                <c:pt idx="362">
                  <c:v>8.5528481459615086E-2</c:v>
                </c:pt>
                <c:pt idx="363">
                  <c:v>8.5772021308368085E-2</c:v>
                </c:pt>
                <c:pt idx="364">
                  <c:v>8.6011815456175159E-2</c:v>
                </c:pt>
                <c:pt idx="365">
                  <c:v>8.624782864567189E-2</c:v>
                </c:pt>
                <c:pt idx="366">
                  <c:v>8.6480026108034999E-2</c:v>
                </c:pt>
                <c:pt idx="367">
                  <c:v>8.6708373571510053E-2</c:v>
                </c:pt>
                <c:pt idx="368">
                  <c:v>8.6932837269833932E-2</c:v>
                </c:pt>
                <c:pt idx="369">
                  <c:v>8.7153383950549224E-2</c:v>
                </c:pt>
                <c:pt idx="370">
                  <c:v>8.7369980883207451E-2</c:v>
                </c:pt>
                <c:pt idx="371">
                  <c:v>8.7582595867458549E-2</c:v>
                </c:pt>
                <c:pt idx="372">
                  <c:v>8.7791197241023772E-2</c:v>
                </c:pt>
                <c:pt idx="373">
                  <c:v>8.7995753887548989E-2</c:v>
                </c:pt>
                <c:pt idx="374">
                  <c:v>8.8196235244336077E-2</c:v>
                </c:pt>
                <c:pt idx="375">
                  <c:v>8.8392611309949312E-2</c:v>
                </c:pt>
                <c:pt idx="376">
                  <c:v>8.8584852651694371E-2</c:v>
                </c:pt>
                <c:pt idx="377">
                  <c:v>8.8772930412967355E-2</c:v>
                </c:pt>
                <c:pt idx="378">
                  <c:v>8.8956816320470908E-2</c:v>
                </c:pt>
                <c:pt idx="379">
                  <c:v>8.9136482691295496E-2</c:v>
                </c:pt>
                <c:pt idx="380">
                  <c:v>8.9311902439862728E-2</c:v>
                </c:pt>
                <c:pt idx="381">
                  <c:v>8.9483049084728816E-2</c:v>
                </c:pt>
                <c:pt idx="382">
                  <c:v>8.9649896755245428E-2</c:v>
                </c:pt>
                <c:pt idx="383">
                  <c:v>8.9812420198075796E-2</c:v>
                </c:pt>
                <c:pt idx="384">
                  <c:v>8.9970594783563548E-2</c:v>
                </c:pt>
                <c:pt idx="385">
                  <c:v>9.0124396511952476E-2</c:v>
                </c:pt>
                <c:pt idx="386">
                  <c:v>9.0273802019454383E-2</c:v>
                </c:pt>
                <c:pt idx="387">
                  <c:v>9.0418788584163398E-2</c:v>
                </c:pt>
                <c:pt idx="388">
                  <c:v>9.0559334131814509E-2</c:v>
                </c:pt>
                <c:pt idx="389">
                  <c:v>9.0695417241384191E-2</c:v>
                </c:pt>
                <c:pt idx="390">
                  <c:v>9.0827017150531084E-2</c:v>
                </c:pt>
                <c:pt idx="391">
                  <c:v>9.0954113760875102E-2</c:v>
                </c:pt>
                <c:pt idx="392">
                  <c:v>9.1076687643112761E-2</c:v>
                </c:pt>
                <c:pt idx="393">
                  <c:v>9.1194720041967006E-2</c:v>
                </c:pt>
                <c:pt idx="394">
                  <c:v>9.1308192880969863E-2</c:v>
                </c:pt>
                <c:pt idx="395">
                  <c:v>9.1417088767076091E-2</c:v>
                </c:pt>
                <c:pt idx="396">
                  <c:v>9.1521390995106269E-2</c:v>
                </c:pt>
                <c:pt idx="397">
                  <c:v>9.1621083552017632E-2</c:v>
                </c:pt>
                <c:pt idx="398">
                  <c:v>9.171615112100133E-2</c:v>
                </c:pt>
                <c:pt idx="399">
                  <c:v>9.1806579085404266E-2</c:v>
                </c:pt>
                <c:pt idx="400">
                  <c:v>9.1892353532474602E-2</c:v>
                </c:pt>
                <c:pt idx="401">
                  <c:v>9.1973461256929123E-2</c:v>
                </c:pt>
                <c:pt idx="402">
                  <c:v>9.2049889764341516E-2</c:v>
                </c:pt>
                <c:pt idx="403">
                  <c:v>9.2121627274350165E-2</c:v>
                </c:pt>
                <c:pt idx="404">
                  <c:v>9.2188662723684367E-2</c:v>
                </c:pt>
                <c:pt idx="405">
                  <c:v>9.2250985769007823E-2</c:v>
                </c:pt>
                <c:pt idx="406">
                  <c:v>9.2308586789578553E-2</c:v>
                </c:pt>
                <c:pt idx="407">
                  <c:v>9.2361456889724067E-2</c:v>
                </c:pt>
                <c:pt idx="408">
                  <c:v>9.2409587901130963E-2</c:v>
                </c:pt>
                <c:pt idx="409">
                  <c:v>9.2452972384948248E-2</c:v>
                </c:pt>
                <c:pt idx="410">
                  <c:v>9.2491603633703429E-2</c:v>
                </c:pt>
                <c:pt idx="411">
                  <c:v>9.2525475673030905E-2</c:v>
                </c:pt>
                <c:pt idx="412">
                  <c:v>9.2554583263211795E-2</c:v>
                </c:pt>
                <c:pt idx="413">
                  <c:v>9.257892190052476E-2</c:v>
                </c:pt>
                <c:pt idx="414">
                  <c:v>9.2598487818407557E-2</c:v>
                </c:pt>
                <c:pt idx="415">
                  <c:v>9.2613277988428347E-2</c:v>
                </c:pt>
                <c:pt idx="416">
                  <c:v>9.2623290121066987E-2</c:v>
                </c:pt>
                <c:pt idx="417">
                  <c:v>9.2628522666305793E-2</c:v>
                </c:pt>
                <c:pt idx="418">
                  <c:v>9.2628974814029333E-2</c:v>
                </c:pt>
                <c:pt idx="419">
                  <c:v>9.2624646494233576E-2</c:v>
                </c:pt>
                <c:pt idx="420">
                  <c:v>9.2615538377043893E-2</c:v>
                </c:pt>
                <c:pt idx="421">
                  <c:v>9.2601651872542184E-2</c:v>
                </c:pt>
                <c:pt idx="422">
                  <c:v>9.2582989130402985E-2</c:v>
                </c:pt>
                <c:pt idx="423">
                  <c:v>9.2559553039338952E-2</c:v>
                </c:pt>
                <c:pt idx="424">
                  <c:v>9.2531347226355531E-2</c:v>
                </c:pt>
                <c:pt idx="425">
                  <c:v>9.249837605581554E-2</c:v>
                </c:pt>
                <c:pt idx="426">
                  <c:v>9.2460644628313618E-2</c:v>
                </c:pt>
                <c:pt idx="427">
                  <c:v>9.2418158779361201E-2</c:v>
                </c:pt>
                <c:pt idx="428">
                  <c:v>9.2370925077882318E-2</c:v>
                </c:pt>
                <c:pt idx="429">
                  <c:v>9.2318950824520879E-2</c:v>
                </c:pt>
                <c:pt idx="430">
                  <c:v>9.2262244049759967E-2</c:v>
                </c:pt>
                <c:pt idx="431">
                  <c:v>9.2200813511854066E-2</c:v>
                </c:pt>
                <c:pt idx="432">
                  <c:v>9.2134668694574401E-2</c:v>
                </c:pt>
                <c:pt idx="433">
                  <c:v>9.2063819804768951E-2</c:v>
                </c:pt>
                <c:pt idx="434">
                  <c:v>9.198827776973735E-2</c:v>
                </c:pt>
                <c:pt idx="435">
                  <c:v>9.1908054234422082E-2</c:v>
                </c:pt>
                <c:pt idx="436">
                  <c:v>9.1823161558416716E-2</c:v>
                </c:pt>
                <c:pt idx="437">
                  <c:v>9.1733612812792409E-2</c:v>
                </c:pt>
                <c:pt idx="438">
                  <c:v>9.1639421776743626E-2</c:v>
                </c:pt>
                <c:pt idx="439">
                  <c:v>9.1540602934054596E-2</c:v>
                </c:pt>
                <c:pt idx="440">
                  <c:v>9.1437171469387374E-2</c:v>
                </c:pt>
                <c:pt idx="441">
                  <c:v>9.1329143264393328E-2</c:v>
                </c:pt>
                <c:pt idx="442">
                  <c:v>9.1216534893648796E-2</c:v>
                </c:pt>
                <c:pt idx="443">
                  <c:v>9.1099363620417151E-2</c:v>
                </c:pt>
                <c:pt idx="444">
                  <c:v>9.0977647392238029E-2</c:v>
                </c:pt>
                <c:pt idx="445">
                  <c:v>9.0851404836345892E-2</c:v>
                </c:pt>
                <c:pt idx="446">
                  <c:v>9.072065525491925E-2</c:v>
                </c:pt>
                <c:pt idx="447">
                  <c:v>9.0585418620162228E-2</c:v>
                </c:pt>
                <c:pt idx="448">
                  <c:v>9.0445715569220417E-2</c:v>
                </c:pt>
                <c:pt idx="449">
                  <c:v>9.0301567398932733E-2</c:v>
                </c:pt>
                <c:pt idx="450">
                  <c:v>9.0152996060420987E-2</c:v>
                </c:pt>
                <c:pt idx="451">
                  <c:v>9.0000024153519459E-2</c:v>
                </c:pt>
                <c:pt idx="452">
                  <c:v>8.9842674921046056E-2</c:v>
                </c:pt>
                <c:pt idx="453">
                  <c:v>8.9680972242917351E-2</c:v>
                </c:pt>
                <c:pt idx="454">
                  <c:v>8.951494063010948E-2</c:v>
                </c:pt>
                <c:pt idx="455">
                  <c:v>8.9344605218467127E-2</c:v>
                </c:pt>
                <c:pt idx="456">
                  <c:v>8.9169991762362566E-2</c:v>
                </c:pt>
                <c:pt idx="457">
                  <c:v>8.8991126628207309E-2</c:v>
                </c:pt>
                <c:pt idx="458">
                  <c:v>8.8808036787818456E-2</c:v>
                </c:pt>
                <c:pt idx="459">
                  <c:v>8.8620749811642044E-2</c:v>
                </c:pt>
                <c:pt idx="460">
                  <c:v>8.8429293861835886E-2</c:v>
                </c:pt>
                <c:pt idx="461">
                  <c:v>8.8233697685214385E-2</c:v>
                </c:pt>
                <c:pt idx="462">
                  <c:v>8.8033990606057558E-2</c:v>
                </c:pt>
                <c:pt idx="463">
                  <c:v>8.7830202518787023E-2</c:v>
                </c:pt>
                <c:pt idx="464">
                  <c:v>8.7622363880511422E-2</c:v>
                </c:pt>
                <c:pt idx="465">
                  <c:v>8.7410505703443886E-2</c:v>
                </c:pt>
                <c:pt idx="466">
                  <c:v>8.7194659547194103E-2</c:v>
                </c:pt>
                <c:pt idx="467">
                  <c:v>8.6974857510937795E-2</c:v>
                </c:pt>
                <c:pt idx="468">
                  <c:v>8.6751132225466321E-2</c:v>
                </c:pt>
                <c:pt idx="469">
                  <c:v>8.6523516845119053E-2</c:v>
                </c:pt>
                <c:pt idx="470">
                  <c:v>8.6292045039601362E-2</c:v>
                </c:pt>
                <c:pt idx="471">
                  <c:v>8.6056750985691058E-2</c:v>
                </c:pt>
                <c:pt idx="472">
                  <c:v>8.5817669358836182E-2</c:v>
                </c:pt>
                <c:pt idx="473">
                  <c:v>8.5574835324646964E-2</c:v>
                </c:pt>
                <c:pt idx="474">
                  <c:v>8.5328284530284806E-2</c:v>
                </c:pt>
                <c:pt idx="475">
                  <c:v>8.5078053095751491E-2</c:v>
                </c:pt>
                <c:pt idx="476">
                  <c:v>8.4824177605081305E-2</c:v>
                </c:pt>
                <c:pt idx="477">
                  <c:v>8.4566695097439221E-2</c:v>
                </c:pt>
                <c:pt idx="478">
                  <c:v>8.4305643058128182E-2</c:v>
                </c:pt>
                <c:pt idx="479">
                  <c:v>8.4041059409508484E-2</c:v>
                </c:pt>
                <c:pt idx="480">
                  <c:v>8.3772982501832294E-2</c:v>
                </c:pt>
                <c:pt idx="481">
                  <c:v>8.3501451103996593E-2</c:v>
                </c:pt>
                <c:pt idx="482">
                  <c:v>8.3226504394217402E-2</c:v>
                </c:pt>
                <c:pt idx="483">
                  <c:v>8.2948181950628558E-2</c:v>
                </c:pt>
                <c:pt idx="484">
                  <c:v>8.2666523741808301E-2</c:v>
                </c:pt>
                <c:pt idx="485">
                  <c:v>8.2381570117236472E-2</c:v>
                </c:pt>
                <c:pt idx="486">
                  <c:v>8.209336179768599E-2</c:v>
                </c:pt>
                <c:pt idx="487">
                  <c:v>8.1801939865551482E-2</c:v>
                </c:pt>
                <c:pt idx="488">
                  <c:v>8.1507345755118296E-2</c:v>
                </c:pt>
                <c:pt idx="489">
                  <c:v>8.1209621242775129E-2</c:v>
                </c:pt>
                <c:pt idx="490">
                  <c:v>8.090880843717374E-2</c:v>
                </c:pt>
                <c:pt idx="491">
                  <c:v>8.0604949769338533E-2</c:v>
                </c:pt>
                <c:pt idx="492">
                  <c:v>8.0298087982729652E-2</c:v>
                </c:pt>
                <c:pt idx="493">
                  <c:v>7.9988266123262541E-2</c:v>
                </c:pt>
                <c:pt idx="494">
                  <c:v>7.9675527529287485E-2</c:v>
                </c:pt>
                <c:pt idx="495">
                  <c:v>7.9359915821532151E-2</c:v>
                </c:pt>
                <c:pt idx="496">
                  <c:v>7.9041474893010458E-2</c:v>
                </c:pt>
                <c:pt idx="497">
                  <c:v>7.8720248898901043E-2</c:v>
                </c:pt>
                <c:pt idx="498">
                  <c:v>7.8396282246398719E-2</c:v>
                </c:pt>
                <c:pt idx="499">
                  <c:v>7.8069619584541755E-2</c:v>
                </c:pt>
                <c:pt idx="500">
                  <c:v>7.774030579401868E-2</c:v>
                </c:pt>
                <c:pt idx="501">
                  <c:v>7.7408385976957553E-2</c:v>
                </c:pt>
                <c:pt idx="502">
                  <c:v>7.7073905446701091E-2</c:v>
                </c:pt>
                <c:pt idx="503">
                  <c:v>7.6736909717570773E-2</c:v>
                </c:pt>
                <c:pt idx="504">
                  <c:v>7.6397444494623004E-2</c:v>
                </c:pt>
                <c:pt idx="505">
                  <c:v>7.6055555663401123E-2</c:v>
                </c:pt>
                <c:pt idx="506">
                  <c:v>7.5711289279685429E-2</c:v>
                </c:pt>
                <c:pt idx="507">
                  <c:v>7.5364691559245564E-2</c:v>
                </c:pt>
                <c:pt idx="508">
                  <c:v>7.5015808867597233E-2</c:v>
                </c:pt>
                <c:pt idx="509">
                  <c:v>7.4664687709767683E-2</c:v>
                </c:pt>
                <c:pt idx="510">
                  <c:v>7.4311374720071668E-2</c:v>
                </c:pt>
                <c:pt idx="511">
                  <c:v>7.3955916651902376E-2</c:v>
                </c:pt>
                <c:pt idx="512">
                  <c:v>7.3598360367539098E-2</c:v>
                </c:pt>
                <c:pt idx="513">
                  <c:v>7.3238752827976081E-2</c:v>
                </c:pt>
                <c:pt idx="514">
                  <c:v>7.2877141082774224E-2</c:v>
                </c:pt>
                <c:pt idx="515">
                  <c:v>7.251357225993961E-2</c:v>
                </c:pt>
                <c:pt idx="516">
                  <c:v>7.2148093555831669E-2</c:v>
                </c:pt>
                <c:pt idx="517">
                  <c:v>7.1780752225103564E-2</c:v>
                </c:pt>
                <c:pt idx="518">
                  <c:v>7.1411595570678194E-2</c:v>
                </c:pt>
                <c:pt idx="519">
                  <c:v>7.1040670933762401E-2</c:v>
                </c:pt>
                <c:pt idx="520">
                  <c:v>7.0668025683902735E-2</c:v>
                </c:pt>
                <c:pt idx="521">
                  <c:v>7.0293707209084885E-2</c:v>
                </c:pt>
                <c:pt idx="522">
                  <c:v>6.991776290588031E-2</c:v>
                </c:pt>
                <c:pt idx="523">
                  <c:v>6.954024016964272E-2</c:v>
                </c:pt>
                <c:pt idx="524">
                  <c:v>6.9161186384756643E-2</c:v>
                </c:pt>
                <c:pt idx="525">
                  <c:v>6.8780648914941567E-2</c:v>
                </c:pt>
                <c:pt idx="526">
                  <c:v>6.8398675093613984E-2</c:v>
                </c:pt>
                <c:pt idx="527">
                  <c:v>6.8015312214309689E-2</c:v>
                </c:pt>
                <c:pt idx="528">
                  <c:v>6.7630607521169672E-2</c:v>
                </c:pt>
                <c:pt idx="529">
                  <c:v>6.7244608199491698E-2</c:v>
                </c:pt>
                <c:pt idx="530">
                  <c:v>6.6857361366349927E-2</c:v>
                </c:pt>
                <c:pt idx="531">
                  <c:v>6.6468914061285925E-2</c:v>
                </c:pt>
                <c:pt idx="532">
                  <c:v>6.6079313237072446E-2</c:v>
                </c:pt>
                <c:pt idx="533">
                  <c:v>6.5688605750553256E-2</c:v>
                </c:pt>
                <c:pt idx="534">
                  <c:v>6.5296838353561273E-2</c:v>
                </c:pt>
                <c:pt idx="535">
                  <c:v>6.4904057683916647E-2</c:v>
                </c:pt>
                <c:pt idx="536">
                  <c:v>6.4510310256508066E-2</c:v>
                </c:pt>
                <c:pt idx="537">
                  <c:v>6.4115642454459137E-2</c:v>
                </c:pt>
                <c:pt idx="538">
                  <c:v>6.3720100520381656E-2</c:v>
                </c:pt>
                <c:pt idx="539">
                  <c:v>6.3323730547718504E-2</c:v>
                </c:pt>
                <c:pt idx="540">
                  <c:v>6.2926578472178488E-2</c:v>
                </c:pt>
                <c:pt idx="541">
                  <c:v>6.252869006326392E-2</c:v>
                </c:pt>
                <c:pt idx="542">
                  <c:v>6.2130110915894918E-2</c:v>
                </c:pt>
                <c:pt idx="543">
                  <c:v>6.1730886442130449E-2</c:v>
                </c:pt>
                <c:pt idx="544">
                  <c:v>6.1331061862989492E-2</c:v>
                </c:pt>
                <c:pt idx="545">
                  <c:v>6.0930682200373704E-2</c:v>
                </c:pt>
                <c:pt idx="546">
                  <c:v>6.0529792269092983E-2</c:v>
                </c:pt>
                <c:pt idx="547">
                  <c:v>6.0128436668996553E-2</c:v>
                </c:pt>
                <c:pt idx="548">
                  <c:v>5.9726659777210873E-2</c:v>
                </c:pt>
                <c:pt idx="549">
                  <c:v>5.9324505740485714E-2</c:v>
                </c:pt>
                <c:pt idx="550">
                  <c:v>5.8922018467651022E-2</c:v>
                </c:pt>
                <c:pt idx="551">
                  <c:v>5.8519241622184984E-2</c:v>
                </c:pt>
                <c:pt idx="552">
                  <c:v>5.811621861489575E-2</c:v>
                </c:pt>
                <c:pt idx="553">
                  <c:v>5.7712992596718138E-2</c:v>
                </c:pt>
                <c:pt idx="554">
                  <c:v>5.7309606451625923E-2</c:v>
                </c:pt>
                <c:pt idx="555">
                  <c:v>5.6906102789662509E-2</c:v>
                </c:pt>
                <c:pt idx="556">
                  <c:v>5.6502523940090275E-2</c:v>
                </c:pt>
                <c:pt idx="557">
                  <c:v>5.6098911944659907E-2</c:v>
                </c:pt>
                <c:pt idx="558">
                  <c:v>5.5695308551001646E-2</c:v>
                </c:pt>
                <c:pt idx="559">
                  <c:v>5.5291755206139125E-2</c:v>
                </c:pt>
                <c:pt idx="560">
                  <c:v>5.4888293050126567E-2</c:v>
                </c:pt>
                <c:pt idx="561">
                  <c:v>5.4484962909811502E-2</c:v>
                </c:pt>
                <c:pt idx="562">
                  <c:v>5.4081805292722829E-2</c:v>
                </c:pt>
                <c:pt idx="563">
                  <c:v>5.3678860381085887E-2</c:v>
                </c:pt>
                <c:pt idx="564">
                  <c:v>5.3276168025965596E-2</c:v>
                </c:pt>
                <c:pt idx="565">
                  <c:v>5.2873767741537618E-2</c:v>
                </c:pt>
                <c:pt idx="566">
                  <c:v>5.2471698699489373E-2</c:v>
                </c:pt>
                <c:pt idx="567">
                  <c:v>5.2069999723551391E-2</c:v>
                </c:pt>
                <c:pt idx="568">
                  <c:v>5.166870928415896E-2</c:v>
                </c:pt>
                <c:pt idx="569">
                  <c:v>5.1267865493245822E-2</c:v>
                </c:pt>
                <c:pt idx="570">
                  <c:v>5.0867506099169991E-2</c:v>
                </c:pt>
                <c:pt idx="571">
                  <c:v>5.0467668481771838E-2</c:v>
                </c:pt>
                <c:pt idx="572">
                  <c:v>5.0068389647565985E-2</c:v>
                </c:pt>
                <c:pt idx="573">
                  <c:v>4.9669706225066161E-2</c:v>
                </c:pt>
                <c:pt idx="574">
                  <c:v>4.9271654460244591E-2</c:v>
                </c:pt>
                <c:pt idx="575">
                  <c:v>4.8874270212125592E-2</c:v>
                </c:pt>
                <c:pt idx="576">
                  <c:v>4.8477588948513624E-2</c:v>
                </c:pt>
                <c:pt idx="577">
                  <c:v>4.8081645741856464E-2</c:v>
                </c:pt>
                <c:pt idx="578">
                  <c:v>4.7686475265243486E-2</c:v>
                </c:pt>
                <c:pt idx="579">
                  <c:v>4.7292111788538788E-2</c:v>
                </c:pt>
                <c:pt idx="580">
                  <c:v>4.6898589174650007E-2</c:v>
                </c:pt>
                <c:pt idx="581">
                  <c:v>4.6505940875932496E-2</c:v>
                </c:pt>
                <c:pt idx="582">
                  <c:v>4.6114199930728274E-2</c:v>
                </c:pt>
                <c:pt idx="583">
                  <c:v>4.5723398960041066E-2</c:v>
                </c:pt>
                <c:pt idx="584">
                  <c:v>4.5333570164345735E-2</c:v>
                </c:pt>
                <c:pt idx="585">
                  <c:v>4.4944745320533198E-2</c:v>
                </c:pt>
                <c:pt idx="586">
                  <c:v>4.4556955778990166E-2</c:v>
                </c:pt>
                <c:pt idx="587">
                  <c:v>4.4170232460812954E-2</c:v>
                </c:pt>
                <c:pt idx="588">
                  <c:v>4.3784605855156068E-2</c:v>
                </c:pt>
                <c:pt idx="589">
                  <c:v>4.3400106016714686E-2</c:v>
                </c:pt>
                <c:pt idx="590">
                  <c:v>4.3016762563340152E-2</c:v>
                </c:pt>
                <c:pt idx="591">
                  <c:v>4.263460467378917E-2</c:v>
                </c:pt>
                <c:pt idx="592">
                  <c:v>4.225366108560541E-2</c:v>
                </c:pt>
                <c:pt idx="593">
                  <c:v>4.1873960093133017E-2</c:v>
                </c:pt>
                <c:pt idx="594">
                  <c:v>4.1495529545662109E-2</c:v>
                </c:pt>
                <c:pt idx="595">
                  <c:v>4.1118396845704695E-2</c:v>
                </c:pt>
                <c:pt idx="596">
                  <c:v>4.0742588947401286E-2</c:v>
                </c:pt>
                <c:pt idx="597">
                  <c:v>4.0368132355057158E-2</c:v>
                </c:pt>
                <c:pt idx="598">
                  <c:v>3.9995053121807025E-2</c:v>
                </c:pt>
                <c:pt idx="599">
                  <c:v>3.9623376848408338E-2</c:v>
                </c:pt>
                <c:pt idx="600">
                  <c:v>3.9253128682161721E-2</c:v>
                </c:pt>
                <c:pt idx="601">
                  <c:v>3.8884333315957705E-2</c:v>
                </c:pt>
                <c:pt idx="602">
                  <c:v>3.8517014987449472E-2</c:v>
                </c:pt>
                <c:pt idx="603">
                  <c:v>3.8151197478349698E-2</c:v>
                </c:pt>
                <c:pt idx="604">
                  <c:v>3.778690411385157E-2</c:v>
                </c:pt>
                <c:pt idx="605">
                  <c:v>3.7424157762172533E-2</c:v>
                </c:pt>
                <c:pt idx="606">
                  <c:v>3.7062980834219258E-2</c:v>
                </c:pt>
                <c:pt idx="607">
                  <c:v>3.6703395283373762E-2</c:v>
                </c:pt>
                <c:pt idx="608">
                  <c:v>3.6345422605398997E-2</c:v>
                </c:pt>
                <c:pt idx="609">
                  <c:v>3.5989083838462527E-2</c:v>
                </c:pt>
                <c:pt idx="610">
                  <c:v>3.5634399563277776E-2</c:v>
                </c:pt>
                <c:pt idx="611">
                  <c:v>3.5281389903361507E-2</c:v>
                </c:pt>
                <c:pt idx="612">
                  <c:v>3.4930074525405572E-2</c:v>
                </c:pt>
                <c:pt idx="613">
                  <c:v>3.458047263976298E-2</c:v>
                </c:pt>
                <c:pt idx="614">
                  <c:v>3.4232603001045782E-2</c:v>
                </c:pt>
                <c:pt idx="615">
                  <c:v>3.3886483908834246E-2</c:v>
                </c:pt>
                <c:pt idx="616">
                  <c:v>3.3542133208495799E-2</c:v>
                </c:pt>
                <c:pt idx="617">
                  <c:v>3.3199568292112021E-2</c:v>
                </c:pt>
                <c:pt idx="618">
                  <c:v>3.2858806099512923E-2</c:v>
                </c:pt>
                <c:pt idx="619">
                  <c:v>3.251986311941675E-2</c:v>
                </c:pt>
                <c:pt idx="620">
                  <c:v>3.2182755390673654E-2</c:v>
                </c:pt>
                <c:pt idx="621">
                  <c:v>3.1847498503612293E-2</c:v>
                </c:pt>
                <c:pt idx="622">
                  <c:v>3.1514107601487838E-2</c:v>
                </c:pt>
                <c:pt idx="623">
                  <c:v>3.118259738202905E-2</c:v>
                </c:pt>
                <c:pt idx="624">
                  <c:v>3.0852982099084332E-2</c:v>
                </c:pt>
                <c:pt idx="625">
                  <c:v>3.0525275564363779E-2</c:v>
                </c:pt>
                <c:pt idx="626">
                  <c:v>3.0199491149276812E-2</c:v>
                </c:pt>
                <c:pt idx="627">
                  <c:v>2.9875641786863225E-2</c:v>
                </c:pt>
                <c:pt idx="628">
                  <c:v>2.955373997381594E-2</c:v>
                </c:pt>
                <c:pt idx="629">
                  <c:v>2.9233797772594439E-2</c:v>
                </c:pt>
                <c:pt idx="630">
                  <c:v>2.8915826813626876E-2</c:v>
                </c:pt>
                <c:pt idx="631">
                  <c:v>2.8599838297599007E-2</c:v>
                </c:pt>
                <c:pt idx="632">
                  <c:v>2.8285842997828877E-2</c:v>
                </c:pt>
                <c:pt idx="633">
                  <c:v>2.7973851262725263E-2</c:v>
                </c:pt>
                <c:pt idx="634">
                  <c:v>2.7663873018327935E-2</c:v>
                </c:pt>
                <c:pt idx="635">
                  <c:v>2.7355917770928832E-2</c:v>
                </c:pt>
                <c:pt idx="636">
                  <c:v>2.704999460977146E-2</c:v>
                </c:pt>
                <c:pt idx="637">
                  <c:v>2.674611220982764E-2</c:v>
                </c:pt>
                <c:pt idx="638">
                  <c:v>2.6444278834649664E-2</c:v>
                </c:pt>
                <c:pt idx="639">
                  <c:v>2.6144502339295623E-2</c:v>
                </c:pt>
                <c:pt idx="640">
                  <c:v>2.5846790173327038E-2</c:v>
                </c:pt>
                <c:pt idx="641">
                  <c:v>2.5551149383876513E-2</c:v>
                </c:pt>
                <c:pt idx="642">
                  <c:v>2.5257586618783533E-2</c:v>
                </c:pt>
                <c:pt idx="643">
                  <c:v>2.4966108129797267E-2</c:v>
                </c:pt>
                <c:pt idx="644">
                  <c:v>2.4676719775844194E-2</c:v>
                </c:pt>
                <c:pt idx="645">
                  <c:v>2.4389427026358594E-2</c:v>
                </c:pt>
                <c:pt idx="646">
                  <c:v>2.4104234964674912E-2</c:v>
                </c:pt>
                <c:pt idx="647">
                  <c:v>2.382114829147931E-2</c:v>
                </c:pt>
                <c:pt idx="648">
                  <c:v>2.3540171328319391E-2</c:v>
                </c:pt>
                <c:pt idx="649">
                  <c:v>2.3261308021170109E-2</c:v>
                </c:pt>
                <c:pt idx="650">
                  <c:v>2.2984561944053659E-2</c:v>
                </c:pt>
                <c:pt idx="651">
                  <c:v>2.2709936302712379E-2</c:v>
                </c:pt>
                <c:pt idx="652">
                  <c:v>2.2437433938332509E-2</c:v>
                </c:pt>
                <c:pt idx="653">
                  <c:v>2.2167057331316641E-2</c:v>
                </c:pt>
                <c:pt idx="654">
                  <c:v>2.1898808605104035E-2</c:v>
                </c:pt>
                <c:pt idx="655">
                  <c:v>2.1632689530036338E-2</c:v>
                </c:pt>
                <c:pt idx="656">
                  <c:v>2.1368701527267036E-2</c:v>
                </c:pt>
                <c:pt idx="657">
                  <c:v>2.110684567271344E-2</c:v>
                </c:pt>
                <c:pt idx="658">
                  <c:v>2.0847122701048618E-2</c:v>
                </c:pt>
                <c:pt idx="659">
                  <c:v>2.0589533009732361E-2</c:v>
                </c:pt>
                <c:pt idx="660">
                  <c:v>2.0334076663079154E-2</c:v>
                </c:pt>
                <c:pt idx="661">
                  <c:v>2.0080753396361065E-2</c:v>
                </c:pt>
                <c:pt idx="662">
                  <c:v>1.9829562619944591E-2</c:v>
                </c:pt>
                <c:pt idx="663">
                  <c:v>1.9580503423459263E-2</c:v>
                </c:pt>
                <c:pt idx="664">
                  <c:v>1.9333574579996304E-2</c:v>
                </c:pt>
                <c:pt idx="665">
                  <c:v>1.9088774550336141E-2</c:v>
                </c:pt>
                <c:pt idx="666">
                  <c:v>1.8846101487202435E-2</c:v>
                </c:pt>
                <c:pt idx="667">
                  <c:v>1.8605553239541592E-2</c:v>
                </c:pt>
                <c:pt idx="668">
                  <c:v>1.8367127356825885E-2</c:v>
                </c:pt>
                <c:pt idx="669">
                  <c:v>1.8130821093378272E-2</c:v>
                </c:pt>
                <c:pt idx="670">
                  <c:v>1.789663141271787E-2</c:v>
                </c:pt>
                <c:pt idx="671">
                  <c:v>1.7664554991924125E-2</c:v>
                </c:pt>
                <c:pt idx="672">
                  <c:v>1.7434588226017962E-2</c:v>
                </c:pt>
                <c:pt idx="673">
                  <c:v>1.7206727232358769E-2</c:v>
                </c:pt>
                <c:pt idx="674">
                  <c:v>1.6980967855055446E-2</c:v>
                </c:pt>
                <c:pt idx="675">
                  <c:v>1.6757305669389669E-2</c:v>
                </c:pt>
                <c:pt idx="676">
                  <c:v>1.653573598625056E-2</c:v>
                </c:pt>
                <c:pt idx="677">
                  <c:v>1.6316253856578467E-2</c:v>
                </c:pt>
                <c:pt idx="678">
                  <c:v>1.6098854075816949E-2</c:v>
                </c:pt>
                <c:pt idx="679">
                  <c:v>1.5883531188371307E-2</c:v>
                </c:pt>
                <c:pt idx="680">
                  <c:v>1.5670279492071896E-2</c:v>
                </c:pt>
                <c:pt idx="681">
                  <c:v>1.5459093042641342E-2</c:v>
                </c:pt>
                <c:pt idx="682">
                  <c:v>1.5249965658163932E-2</c:v>
                </c:pt>
                <c:pt idx="683">
                  <c:v>1.5042890923555523E-2</c:v>
                </c:pt>
                <c:pt idx="684">
                  <c:v>1.4837862195033132E-2</c:v>
                </c:pt>
                <c:pt idx="685">
                  <c:v>1.4634872604582534E-2</c:v>
                </c:pt>
                <c:pt idx="686">
                  <c:v>1.4433915064422336E-2</c:v>
                </c:pt>
                <c:pt idx="687">
                  <c:v>1.4234982271463734E-2</c:v>
                </c:pt>
                <c:pt idx="688">
                  <c:v>1.4038066711763992E-2</c:v>
                </c:pt>
                <c:pt idx="689">
                  <c:v>1.3843160664972921E-2</c:v>
                </c:pt>
                <c:pt idx="690">
                  <c:v>1.3650256208770851E-2</c:v>
                </c:pt>
                <c:pt idx="691">
                  <c:v>1.3459345223296663E-2</c:v>
                </c:pt>
                <c:pt idx="692">
                  <c:v>1.3270419395565027E-2</c:v>
                </c:pt>
                <c:pt idx="693">
                  <c:v>1.3083470223871447E-2</c:v>
                </c:pt>
                <c:pt idx="694">
                  <c:v>1.2898489022183808E-2</c:v>
                </c:pt>
                <c:pt idx="695">
                  <c:v>1.2715466924519537E-2</c:v>
                </c:pt>
                <c:pt idx="696">
                  <c:v>1.2534394889307115E-2</c:v>
                </c:pt>
                <c:pt idx="697">
                  <c:v>1.2355263703730541E-2</c:v>
                </c:pt>
                <c:pt idx="698">
                  <c:v>1.2178063988056348E-2</c:v>
                </c:pt>
                <c:pt idx="699">
                  <c:v>1.2002786199941211E-2</c:v>
                </c:pt>
                <c:pt idx="700">
                  <c:v>1.1829420638719817E-2</c:v>
                </c:pt>
                <c:pt idx="701">
                  <c:v>1.1657957449671703E-2</c:v>
                </c:pt>
                <c:pt idx="702">
                  <c:v>1.1488386628265797E-2</c:v>
                </c:pt>
                <c:pt idx="703">
                  <c:v>1.1320698024382169E-2</c:v>
                </c:pt>
                <c:pt idx="704">
                  <c:v>1.1154881346509719E-2</c:v>
                </c:pt>
                <c:pt idx="705">
                  <c:v>1.0990926165918787E-2</c:v>
                </c:pt>
                <c:pt idx="706">
                  <c:v>1.0828821920808073E-2</c:v>
                </c:pt>
                <c:pt idx="707">
                  <c:v>1.0668557920424752E-2</c:v>
                </c:pt>
                <c:pt idx="708">
                  <c:v>1.0510123349156819E-2</c:v>
                </c:pt>
                <c:pt idx="709">
                  <c:v>1.0353507270597202E-2</c:v>
                </c:pt>
                <c:pt idx="710">
                  <c:v>1.0198698631578306E-2</c:v>
                </c:pt>
                <c:pt idx="711">
                  <c:v>1.0045686266176622E-2</c:v>
                </c:pt>
                <c:pt idx="712">
                  <c:v>9.8944588996863984E-3</c:v>
                </c:pt>
                <c:pt idx="713">
                  <c:v>9.7450051525615825E-3</c:v>
                </c:pt>
                <c:pt idx="714">
                  <c:v>9.5973135443254594E-3</c:v>
                </c:pt>
                <c:pt idx="715">
                  <c:v>9.4513724974471958E-3</c:v>
                </c:pt>
                <c:pt idx="716">
                  <c:v>9.3071703411844106E-3</c:v>
                </c:pt>
                <c:pt idx="717">
                  <c:v>9.1646953153915762E-3</c:v>
                </c:pt>
                <c:pt idx="718">
                  <c:v>9.0239355742930058E-3</c:v>
                </c:pt>
                <c:pt idx="719">
                  <c:v>8.8848791902203014E-3</c:v>
                </c:pt>
                <c:pt idx="720">
                  <c:v>8.7475141573134293E-3</c:v>
                </c:pt>
                <c:pt idx="721">
                  <c:v>8.6118283951847879E-3</c:v>
                </c:pt>
                <c:pt idx="722">
                  <c:v>8.4778097525459051E-3</c:v>
                </c:pt>
                <c:pt idx="723">
                  <c:v>8.3454460107961446E-3</c:v>
                </c:pt>
                <c:pt idx="724">
                  <c:v>8.2147248875727285E-3</c:v>
                </c:pt>
                <c:pt idx="725">
                  <c:v>8.0856340402619218E-3</c:v>
                </c:pt>
                <c:pt idx="726">
                  <c:v>7.9581610694707018E-3</c:v>
                </c:pt>
                <c:pt idx="727">
                  <c:v>7.8322935224583879E-3</c:v>
                </c:pt>
                <c:pt idx="728">
                  <c:v>7.708018896528058E-3</c:v>
                </c:pt>
                <c:pt idx="729">
                  <c:v>7.5853246423771047E-3</c:v>
                </c:pt>
                <c:pt idx="730">
                  <c:v>7.4641981674066589E-3</c:v>
                </c:pt>
                <c:pt idx="731">
                  <c:v>7.3446268389896138E-3</c:v>
                </c:pt>
                <c:pt idx="732">
                  <c:v>7.2265979876965777E-3</c:v>
                </c:pt>
                <c:pt idx="733">
                  <c:v>7.1100989104798404E-3</c:v>
                </c:pt>
                <c:pt idx="734">
                  <c:v>6.9951168738148391E-3</c:v>
                </c:pt>
                <c:pt idx="735">
                  <c:v>6.8816391167987167E-3</c:v>
                </c:pt>
                <c:pt idx="736">
                  <c:v>6.7696528542060368E-3</c:v>
                </c:pt>
                <c:pt idx="737">
                  <c:v>6.6591452795011488E-3</c:v>
                </c:pt>
                <c:pt idx="738">
                  <c:v>6.550103567807013E-3</c:v>
                </c:pt>
                <c:pt idx="739">
                  <c:v>6.4425148788305056E-3</c:v>
                </c:pt>
                <c:pt idx="740">
                  <c:v>6.3363663597435929E-3</c:v>
                </c:pt>
                <c:pt idx="741">
                  <c:v>6.2316451480206765E-3</c:v>
                </c:pt>
                <c:pt idx="742">
                  <c:v>6.1283383742316913E-3</c:v>
                </c:pt>
                <c:pt idx="743">
                  <c:v>6.0264331647907794E-3</c:v>
                </c:pt>
                <c:pt idx="744">
                  <c:v>5.925916644660645E-3</c:v>
                </c:pt>
                <c:pt idx="745">
                  <c:v>5.8267759400123745E-3</c:v>
                </c:pt>
                <c:pt idx="746">
                  <c:v>5.7289981808405603E-3</c:v>
                </c:pt>
                <c:pt idx="747">
                  <c:v>5.6325705035338578E-3</c:v>
                </c:pt>
                <c:pt idx="748">
                  <c:v>5.5374800534008254E-3</c:v>
                </c:pt>
                <c:pt idx="749">
                  <c:v>5.4437139871509428E-3</c:v>
                </c:pt>
                <c:pt idx="750">
                  <c:v>5.3512594753310347E-3</c:v>
                </c:pt>
                <c:pt idx="751">
                  <c:v>5.2601037047168208E-3</c:v>
                </c:pt>
                <c:pt idx="752">
                  <c:v>5.170233880659846E-3</c:v>
                </c:pt>
                <c:pt idx="753">
                  <c:v>5.0816372293897563E-3</c:v>
                </c:pt>
                <c:pt idx="754">
                  <c:v>4.9943010002718238E-3</c:v>
                </c:pt>
                <c:pt idx="755">
                  <c:v>4.9082124680201022E-3</c:v>
                </c:pt>
                <c:pt idx="756">
                  <c:v>4.8233589348660238E-3</c:v>
                </c:pt>
                <c:pt idx="757">
                  <c:v>4.7397277326825978E-3</c:v>
                </c:pt>
                <c:pt idx="758">
                  <c:v>4.6573062250644393E-3</c:v>
                </c:pt>
                <c:pt idx="759">
                  <c:v>4.5760818093636508E-3</c:v>
                </c:pt>
                <c:pt idx="760">
                  <c:v>4.4960419186816543E-3</c:v>
                </c:pt>
                <c:pt idx="761">
                  <c:v>4.417174023817306E-3</c:v>
                </c:pt>
                <c:pt idx="762">
                  <c:v>4.3394656351712106E-3</c:v>
                </c:pt>
                <c:pt idx="763">
                  <c:v>4.2629043046066668E-3</c:v>
                </c:pt>
                <c:pt idx="764">
                  <c:v>4.1874776272672887E-3</c:v>
                </c:pt>
                <c:pt idx="765">
                  <c:v>4.1131732433514635E-3</c:v>
                </c:pt>
                <c:pt idx="766">
                  <c:v>4.0399788398440203E-3</c:v>
                </c:pt>
                <c:pt idx="767">
                  <c:v>3.9678821522052552E-3</c:v>
                </c:pt>
                <c:pt idx="768">
                  <c:v>3.8968709660174485E-3</c:v>
                </c:pt>
                <c:pt idx="769">
                  <c:v>3.82693311858932E-3</c:v>
                </c:pt>
                <c:pt idx="770">
                  <c:v>3.7580565005185832E-3</c:v>
                </c:pt>
                <c:pt idx="771">
                  <c:v>3.6902290572127594E-3</c:v>
                </c:pt>
                <c:pt idx="772">
                  <c:v>3.62343879036881E-3</c:v>
                </c:pt>
                <c:pt idx="773">
                  <c:v>3.5576737594115527E-3</c:v>
                </c:pt>
                <c:pt idx="774">
                  <c:v>3.4929220828914102E-3</c:v>
                </c:pt>
                <c:pt idx="775">
                  <c:v>3.4291719398417118E-3</c:v>
                </c:pt>
                <c:pt idx="776">
                  <c:v>3.3664115710957854E-3</c:v>
                </c:pt>
                <c:pt idx="777">
                  <c:v>3.3046292805643195E-3</c:v>
                </c:pt>
                <c:pt idx="778">
                  <c:v>3.243813436473245E-3</c:v>
                </c:pt>
                <c:pt idx="779">
                  <c:v>3.1839524725624244E-3</c:v>
                </c:pt>
                <c:pt idx="780">
                  <c:v>3.125034889245649E-3</c:v>
                </c:pt>
                <c:pt idx="781">
                  <c:v>3.0670492547321421E-3</c:v>
                </c:pt>
                <c:pt idx="782">
                  <c:v>3.0099842061100486E-3</c:v>
                </c:pt>
                <c:pt idx="783">
                  <c:v>2.9538284503922495E-3</c:v>
                </c:pt>
                <c:pt idx="784">
                  <c:v>2.8985707655248068E-3</c:v>
                </c:pt>
                <c:pt idx="785">
                  <c:v>2.8442000013585529E-3</c:v>
                </c:pt>
                <c:pt idx="786">
                  <c:v>2.7907050805841419E-3</c:v>
                </c:pt>
                <c:pt idx="787">
                  <c:v>2.7380749996309219E-3</c:v>
                </c:pt>
                <c:pt idx="788">
                  <c:v>2.6862988295301019E-3</c:v>
                </c:pt>
                <c:pt idx="789">
                  <c:v>2.6353657167426442E-3</c:v>
                </c:pt>
                <c:pt idx="790">
                  <c:v>2.5852648839521332E-3</c:v>
                </c:pt>
                <c:pt idx="791">
                  <c:v>2.5359856308232705E-3</c:v>
                </c:pt>
                <c:pt idx="792">
                  <c:v>2.4875173347261941E-3</c:v>
                </c:pt>
                <c:pt idx="793">
                  <c:v>2.4398494514272116E-3</c:v>
                </c:pt>
                <c:pt idx="794">
                  <c:v>2.3929715157463122E-3</c:v>
                </c:pt>
                <c:pt idx="795">
                  <c:v>2.3468731421818468E-3</c:v>
                </c:pt>
                <c:pt idx="796">
                  <c:v>2.3015440255029058E-3</c:v>
                </c:pt>
                <c:pt idx="797">
                  <c:v>2.2569739413097816E-3</c:v>
                </c:pt>
                <c:pt idx="798">
                  <c:v>2.2131527465629355E-3</c:v>
                </c:pt>
                <c:pt idx="799">
                  <c:v>2.1700703800809707E-3</c:v>
                </c:pt>
                <c:pt idx="800">
                  <c:v>2.1277168630080426E-3</c:v>
                </c:pt>
                <c:pt idx="801">
                  <c:v>2.0860822992510987E-3</c:v>
                </c:pt>
                <c:pt idx="802">
                  <c:v>2.0451568758875125E-3</c:v>
                </c:pt>
                <c:pt idx="803">
                  <c:v>2.0049308635434388E-3</c:v>
                </c:pt>
                <c:pt idx="804">
                  <c:v>1.9653946167434541E-3</c:v>
                </c:pt>
                <c:pt idx="805">
                  <c:v>1.9265385742318825E-3</c:v>
                </c:pt>
                <c:pt idx="806">
                  <c:v>1.8883532592662586E-3</c:v>
                </c:pt>
                <c:pt idx="807">
                  <c:v>1.8508292798834198E-3</c:v>
                </c:pt>
                <c:pt idx="808">
                  <c:v>1.81395732913869E-3</c:v>
                </c:pt>
                <c:pt idx="809">
                  <c:v>1.7777281853185451E-3</c:v>
                </c:pt>
                <c:pt idx="810">
                  <c:v>1.7421327121273245E-3</c:v>
                </c:pt>
                <c:pt idx="811">
                  <c:v>1.7071618588483902E-3</c:v>
                </c:pt>
                <c:pt idx="812">
                  <c:v>1.6728066604801632E-3</c:v>
                </c:pt>
                <c:pt idx="813">
                  <c:v>1.6390582378475941E-3</c:v>
                </c:pt>
                <c:pt idx="814">
                  <c:v>1.6059077976894199E-3</c:v>
                </c:pt>
                <c:pt idx="815">
                  <c:v>1.5733466327217463E-3</c:v>
                </c:pt>
                <c:pt idx="816">
                  <c:v>1.5413661216783984E-3</c:v>
                </c:pt>
                <c:pt idx="817">
                  <c:v>1.5099577293284283E-3</c:v>
                </c:pt>
                <c:pt idx="818">
                  <c:v>1.4791130064713536E-3</c:v>
                </c:pt>
                <c:pt idx="819">
                  <c:v>1.448823589910496E-3</c:v>
                </c:pt>
                <c:pt idx="820">
                  <c:v>1.4190812024048845E-3</c:v>
                </c:pt>
                <c:pt idx="821">
                  <c:v>1.389877652600214E-3</c:v>
                </c:pt>
                <c:pt idx="822">
                  <c:v>1.361204834939277E-3</c:v>
                </c:pt>
                <c:pt idx="823">
                  <c:v>1.3330547295523152E-3</c:v>
                </c:pt>
                <c:pt idx="824">
                  <c:v>1.3054194021277724E-3</c:v>
                </c:pt>
                <c:pt idx="825">
                  <c:v>1.2782910037638377E-3</c:v>
                </c:pt>
                <c:pt idx="826">
                  <c:v>1.2516617708012746E-3</c:v>
                </c:pt>
                <c:pt idx="827">
                  <c:v>1.2255240246379583E-3</c:v>
                </c:pt>
                <c:pt idx="828">
                  <c:v>1.1998701715255223E-3</c:v>
                </c:pt>
                <c:pt idx="829">
                  <c:v>1.1746927023486094E-3</c:v>
                </c:pt>
                <c:pt idx="830">
                  <c:v>1.1499841923871253E-3</c:v>
                </c:pt>
                <c:pt idx="831">
                  <c:v>1.1257373010619038E-3</c:v>
                </c:pt>
                <c:pt idx="832">
                  <c:v>1.1019447716642697E-3</c:v>
                </c:pt>
                <c:pt idx="833">
                  <c:v>1.0785994310698417E-3</c:v>
                </c:pt>
                <c:pt idx="834">
                  <c:v>1.0556941894370683E-3</c:v>
                </c:pt>
                <c:pt idx="835">
                  <c:v>1.0332220398908824E-3</c:v>
                </c:pt>
                <c:pt idx="836">
                  <c:v>1.0111760581918493E-3</c:v>
                </c:pt>
                <c:pt idx="837">
                  <c:v>9.8954940239129774E-4</c:v>
                </c:pt>
                <c:pt idx="838">
                  <c:v>9.6833531247276573E-4</c:v>
                </c:pt>
                <c:pt idx="839">
                  <c:v>9.4752710998019887E-4</c:v>
                </c:pt>
                <c:pt idx="840">
                  <c:v>9.271181976332907E-4</c:v>
                </c:pt>
                <c:pt idx="841">
                  <c:v>9.0710205893036223E-4</c:v>
                </c:pt>
                <c:pt idx="842">
                  <c:v>8.8747225773915092E-4</c:v>
                </c:pt>
                <c:pt idx="843">
                  <c:v>8.6822243787593677E-4</c:v>
                </c:pt>
                <c:pt idx="844">
                  <c:v>8.4934632267332378E-4</c:v>
                </c:pt>
                <c:pt idx="845">
                  <c:v>8.3083771453712246E-4</c:v>
                </c:pt>
                <c:pt idx="846">
                  <c:v>8.1269049449266516E-4</c:v>
                </c:pt>
                <c:pt idx="847">
                  <c:v>7.9489862172090863E-4</c:v>
                </c:pt>
                <c:pt idx="848">
                  <c:v>7.7745613308474347E-4</c:v>
                </c:pt>
                <c:pt idx="849">
                  <c:v>7.6035714264582237E-4</c:v>
                </c:pt>
                <c:pt idx="850">
                  <c:v>7.4359584117226877E-4</c:v>
                </c:pt>
                <c:pt idx="851">
                  <c:v>7.2716649563763511E-4</c:v>
                </c:pt>
                <c:pt idx="852">
                  <c:v>7.1106344871145358E-4</c:v>
                </c:pt>
                <c:pt idx="853">
                  <c:v>6.9528111824169103E-4</c:v>
                </c:pt>
                <c:pt idx="854">
                  <c:v>6.7981399672949736E-4</c:v>
                </c:pt>
                <c:pt idx="855">
                  <c:v>6.6465665079651901E-4</c:v>
                </c:pt>
                <c:pt idx="856">
                  <c:v>6.4980372064516053E-4</c:v>
                </c:pt>
                <c:pt idx="857">
                  <c:v>6.3524991951208795E-4</c:v>
                </c:pt>
                <c:pt idx="858">
                  <c:v>6.2099003311527699E-4</c:v>
                </c:pt>
                <c:pt idx="859">
                  <c:v>6.0701891909496373E-4</c:v>
                </c:pt>
                <c:pt idx="860">
                  <c:v>5.9333150644876953E-4</c:v>
                </c:pt>
                <c:pt idx="861">
                  <c:v>5.7992279496130964E-4</c:v>
                </c:pt>
                <c:pt idx="862">
                  <c:v>5.6678785462859795E-4</c:v>
                </c:pt>
                <c:pt idx="863">
                  <c:v>5.5392182507753437E-4</c:v>
                </c:pt>
                <c:pt idx="864">
                  <c:v>5.4131991498074586E-4</c:v>
                </c:pt>
                <c:pt idx="865">
                  <c:v>5.2897740146711034E-4</c:v>
                </c:pt>
                <c:pt idx="866">
                  <c:v>5.1688962952818281E-4</c:v>
                </c:pt>
                <c:pt idx="867">
                  <c:v>5.0505201142084916E-4</c:v>
                </c:pt>
                <c:pt idx="868">
                  <c:v>4.9346002606645469E-4</c:v>
                </c:pt>
                <c:pt idx="869">
                  <c:v>4.8210921844666168E-4</c:v>
                </c:pt>
                <c:pt idx="870">
                  <c:v>4.7099519899632071E-4</c:v>
                </c:pt>
                <c:pt idx="871">
                  <c:v>4.6011364299359598E-4</c:v>
                </c:pt>
                <c:pt idx="872">
                  <c:v>4.4946028994758552E-4</c:v>
                </c:pt>
                <c:pt idx="873">
                  <c:v>4.390309429837007E-4</c:v>
                </c:pt>
                <c:pt idx="874">
                  <c:v>4.2882146822703995E-4</c:v>
                </c:pt>
                <c:pt idx="875">
                  <c:v>4.1882779418397068E-4</c:v>
                </c:pt>
                <c:pt idx="876">
                  <c:v>4.0904591112219313E-4</c:v>
                </c:pt>
                <c:pt idx="877">
                  <c:v>3.9947187044945127E-4</c:v>
                </c:pt>
                <c:pt idx="878">
                  <c:v>3.9010178409118397E-4</c:v>
                </c:pt>
                <c:pt idx="879">
                  <c:v>3.8093182386726943E-4</c:v>
                </c:pt>
                <c:pt idx="880">
                  <c:v>3.7195822086809902E-4</c:v>
                </c:pt>
                <c:pt idx="881">
                  <c:v>3.6317726483020622E-4</c:v>
                </c:pt>
                <c:pt idx="882">
                  <c:v>3.5458530351162006E-4</c:v>
                </c:pt>
                <c:pt idx="883">
                  <c:v>3.4617874206714665E-4</c:v>
                </c:pt>
                <c:pt idx="884">
                  <c:v>3.3795404242380385E-4</c:v>
                </c:pt>
                <c:pt idx="885">
                  <c:v>3.2990772265655E-4</c:v>
                </c:pt>
                <c:pt idx="886">
                  <c:v>3.2203635636451563E-4</c:v>
                </c:pt>
                <c:pt idx="887">
                  <c:v>3.1433657204792923E-4</c:v>
                </c:pt>
                <c:pt idx="888">
                  <c:v>3.0680505248588012E-4</c:v>
                </c:pt>
                <c:pt idx="889">
                  <c:v>2.9943853411510519E-4</c:v>
                </c:pt>
                <c:pt idx="890">
                  <c:v>2.9223380640997968E-4</c:v>
                </c:pt>
                <c:pt idx="891">
                  <c:v>2.8518771126384373E-4</c:v>
                </c:pt>
                <c:pt idx="892">
                  <c:v>2.7829714237183426E-4</c:v>
                </c:pt>
                <c:pt idx="893">
                  <c:v>2.7155904461539227E-4</c:v>
                </c:pt>
                <c:pt idx="894">
                  <c:v>2.6497041344856191E-4</c:v>
                </c:pt>
                <c:pt idx="895">
                  <c:v>2.5852829428624891E-4</c:v>
                </c:pt>
                <c:pt idx="896">
                  <c:v>2.5222978189456464E-4</c:v>
                </c:pt>
                <c:pt idx="897">
                  <c:v>2.4607201978341016E-4</c:v>
                </c:pt>
                <c:pt idx="898">
                  <c:v>2.4005219960140548E-4</c:v>
                </c:pt>
                <c:pt idx="899">
                  <c:v>2.3416756053330881E-4</c:v>
                </c:pt>
                <c:pt idx="900">
                  <c:v>2.2841538870005472E-4</c:v>
                </c:pt>
                <c:pt idx="901">
                  <c:v>2.2279301656151273E-4</c:v>
                </c:pt>
                <c:pt idx="902">
                  <c:v>2.1729782232208944E-4</c:v>
                </c:pt>
                <c:pt idx="903">
                  <c:v>2.1192722933930129E-4</c:v>
                </c:pt>
                <c:pt idx="904">
                  <c:v>2.0667870553540049E-4</c:v>
                </c:pt>
                <c:pt idx="905">
                  <c:v>2.0154976281217142E-4</c:v>
                </c:pt>
                <c:pt idx="906">
                  <c:v>1.9653795646900764E-4</c:v>
                </c:pt>
                <c:pt idx="907">
                  <c:v>1.9164088462434687E-4</c:v>
                </c:pt>
                <c:pt idx="908">
                  <c:v>#N/A</c:v>
                </c:pt>
                <c:pt idx="909">
                  <c:v>1.7101452972453682E-4</c:v>
                </c:pt>
                <c:pt idx="910">
                  <c:v>1.7545007399451246E-4</c:v>
                </c:pt>
                <c:pt idx="911">
                  <c:v>1.7999127553895863E-4</c:v>
                </c:pt>
                <c:pt idx="912">
                  <c:v>1.8464038938287948E-4</c:v>
                </c:pt>
                <c:pt idx="913">
                  <c:v>1.8939971175929956E-4</c:v>
                </c:pt>
                <c:pt idx="914">
                  <c:v>1.9427158068854657E-4</c:v>
                </c:pt>
                <c:pt idx="915">
                  <c:v>1.9925837656144458E-4</c:v>
                </c:pt>
                <c:pt idx="916">
                  <c:v>2.0436252272633848E-4</c:v>
                </c:pt>
                <c:pt idx="917">
                  <c:v>2.0958648607985586E-4</c:v>
                </c:pt>
                <c:pt idx="918">
                  <c:v>2.1493277766132171E-4</c:v>
                </c:pt>
                <c:pt idx="919">
                  <c:v>2.2040395325072685E-4</c:v>
                </c:pt>
                <c:pt idx="920">
                  <c:v>2.2600261397015252E-4</c:v>
                </c:pt>
                <c:pt idx="921">
                  <c:v>2.3173140688854865E-4</c:v>
                </c:pt>
                <c:pt idx="922">
                  <c:v>2.3759302562976063E-4</c:v>
                </c:pt>
                <c:pt idx="923">
                  <c:v>2.4359021098369364E-4</c:v>
                </c:pt>
                <c:pt idx="924">
                  <c:v>2.4972575152049954E-4</c:v>
                </c:pt>
                <c:pt idx="925">
                  <c:v>2.5600248420767072E-4</c:v>
                </c:pt>
                <c:pt idx="926">
                  <c:v>2.6242329502991474E-4</c:v>
                </c:pt>
                <c:pt idx="927">
                  <c:v>2.6899111961168931E-4</c:v>
                </c:pt>
                <c:pt idx="928">
                  <c:v>2.7570894384226091E-4</c:v>
                </c:pt>
                <c:pt idx="929">
                  <c:v>2.825798045031557E-4</c:v>
                </c:pt>
                <c:pt idx="930">
                  <c:v>2.8960678989786709E-4</c:v>
                </c:pt>
                <c:pt idx="931">
                  <c:v>2.9679304048366818E-4</c:v>
                </c:pt>
                <c:pt idx="932">
                  <c:v>3.0414174950538811E-4</c:v>
                </c:pt>
                <c:pt idx="933">
                  <c:v>3.1165616363100105E-4</c:v>
                </c:pt>
                <c:pt idx="934">
                  <c:v>3.1933958358886855E-4</c:v>
                </c:pt>
                <c:pt idx="935">
                  <c:v>3.2719536480647031E-4</c:v>
                </c:pt>
                <c:pt idx="936">
                  <c:v>3.3522691805047108E-4</c:v>
                </c:pt>
                <c:pt idx="937">
                  <c:v>3.4343771006793678E-4</c:v>
                </c:pt>
                <c:pt idx="938">
                  <c:v>3.5183126422854186E-4</c:v>
                </c:pt>
                <c:pt idx="939">
                  <c:v>3.6041116116757228E-4</c:v>
                </c:pt>
                <c:pt idx="940">
                  <c:v>3.6918103942955592E-4</c:v>
                </c:pt>
                <c:pt idx="941">
                  <c:v>3.7814459611232044E-4</c:v>
                </c:pt>
                <c:pt idx="942">
                  <c:v>3.8730558751129071E-4</c:v>
                </c:pt>
                <c:pt idx="943">
                  <c:v>3.9666782976382358E-4</c:v>
                </c:pt>
                <c:pt idx="944">
                  <c:v>4.0623519949338152E-4</c:v>
                </c:pt>
                <c:pt idx="945">
                  <c:v>4.1601163445333501E-4</c:v>
                </c:pt>
                <c:pt idx="946">
                  <c:v>4.2600113417018122E-4</c:v>
                </c:pt>
                <c:pt idx="947">
                  <c:v>4.3620776058595899E-4</c:v>
                </c:pt>
                <c:pt idx="948">
                  <c:v>4.4663563869963964E-4</c:v>
                </c:pt>
                <c:pt idx="949">
                  <c:v>4.5728895720726671E-4</c:v>
                </c:pt>
                <c:pt idx="950">
                  <c:v>4.6817196914061327E-4</c:v>
                </c:pt>
                <c:pt idx="951">
                  <c:v>4.7928899250411017E-4</c:v>
                </c:pt>
                <c:pt idx="952">
                  <c:v>4.9064441090981555E-4</c:v>
                </c:pt>
                <c:pt idx="953">
                  <c:v>5.02242674210169E-4</c:v>
                </c:pt>
                <c:pt idx="954">
                  <c:v>5.1408829912827857E-4</c:v>
                </c:pt>
                <c:pt idx="955">
                  <c:v>5.2618586988548459E-4</c:v>
                </c:pt>
                <c:pt idx="956">
                  <c:v>5.3854003882593835E-4</c:v>
                </c:pt>
                <c:pt idx="957">
                  <c:v>5.5115552703793012E-4</c:v>
                </c:pt>
                <c:pt idx="958">
                  <c:v>5.6403712497167307E-4</c:v>
                </c:pt>
                <c:pt idx="959">
                  <c:v>5.7718969305330038E-4</c:v>
                </c:pt>
                <c:pt idx="960">
                  <c:v>5.9061816229475815E-4</c:v>
                </c:pt>
                <c:pt idx="961">
                  <c:v>6.0432753489933055E-4</c:v>
                </c:pt>
                <c:pt idx="962">
                  <c:v>6.1832288486248009E-4</c:v>
                </c:pt>
                <c:pt idx="963">
                  <c:v>6.3260935856772837E-4</c:v>
                </c:pt>
                <c:pt idx="964">
                  <c:v>6.4719217537725698E-4</c:v>
                </c:pt>
                <c:pt idx="965">
                  <c:v>6.6207662821691864E-4</c:v>
                </c:pt>
                <c:pt idx="966">
                  <c:v>6.7726808415536114E-4</c:v>
                </c:pt>
                <c:pt idx="967">
                  <c:v>6.9277198497692187E-4</c:v>
                </c:pt>
                <c:pt idx="968">
                  <c:v>7.0859384774799754E-4</c:v>
                </c:pt>
                <c:pt idx="969">
                  <c:v>7.2473926537651521E-4</c:v>
                </c:pt>
                <c:pt idx="970">
                  <c:v>7.412139071642258E-4</c:v>
                </c:pt>
                <c:pt idx="971">
                  <c:v>7.5802351935143493E-4</c:v>
                </c:pt>
                <c:pt idx="972">
                  <c:v>7.7517392565385607E-4</c:v>
                </c:pt>
                <c:pt idx="973">
                  <c:v>7.9267102779121497E-4</c:v>
                </c:pt>
                <c:pt idx="974">
                  <c:v>8.1052080600726583E-4</c:v>
                </c:pt>
                <c:pt idx="975">
                  <c:v>8.2872931958086432E-4</c:v>
                </c:pt>
                <c:pt idx="976">
                  <c:v>8.4730270732770701E-4</c:v>
                </c:pt>
                <c:pt idx="977">
                  <c:v>8.6624718809240786E-4</c:v>
                </c:pt>
                <c:pt idx="978">
                  <c:v>8.8556906123050309E-4</c:v>
                </c:pt>
                <c:pt idx="979">
                  <c:v>9.0527470708002969E-4</c:v>
                </c:pt>
                <c:pt idx="980">
                  <c:v>9.2537058742228422E-4</c:v>
                </c:pt>
                <c:pt idx="981">
                  <c:v>9.4586324593137381E-4</c:v>
                </c:pt>
                <c:pt idx="982">
                  <c:v>9.6675930861217626E-4</c:v>
                </c:pt>
                <c:pt idx="983">
                  <c:v>9.8806548422631204E-4</c:v>
                </c:pt>
                <c:pt idx="984">
                  <c:v>1.0097885647057151E-3</c:v>
                </c:pt>
                <c:pt idx="985">
                  <c:v>1.0319354255534101E-3</c:v>
                </c:pt>
                <c:pt idx="986">
                  <c:v>1.0545130262310945E-3</c:v>
                </c:pt>
                <c:pt idx="987">
                  <c:v>1.0775284105330844E-3</c:v>
                </c:pt>
                <c:pt idx="988">
                  <c:v>1.1009887069462431E-3</c:v>
                </c:pt>
                <c:pt idx="989">
                  <c:v>1.124901128995441E-3</c:v>
                </c:pt>
                <c:pt idx="990">
                  <c:v>1.1492729755741464E-3</c:v>
                </c:pt>
                <c:pt idx="991">
                  <c:v>1.1741116312596965E-3</c:v>
                </c:pt>
                <c:pt idx="992">
                  <c:v>1.1994245666128269E-3</c:v>
                </c:pt>
                <c:pt idx="993">
                  <c:v>1.2252193384610349E-3</c:v>
                </c:pt>
                <c:pt idx="994">
                  <c:v>1.2515035901653213E-3</c:v>
                </c:pt>
                <c:pt idx="995">
                  <c:v>1.2782850518698679E-3</c:v>
                </c:pt>
                <c:pt idx="996">
                  <c:v>1.3055715407342102E-3</c:v>
                </c:pt>
                <c:pt idx="997">
                  <c:v>1.3333709611474738E-3</c:v>
                </c:pt>
                <c:pt idx="998">
                  <c:v>1.3616913049241757E-3</c:v>
                </c:pt>
                <c:pt idx="999">
                  <c:v>1.3905406514811928E-3</c:v>
                </c:pt>
                <c:pt idx="1000">
                  <c:v>1.4199271679953985E-3</c:v>
                </c:pt>
                <c:pt idx="1001">
                  <c:v>1.4498591095415221E-3</c:v>
                </c:pt>
                <c:pt idx="1002">
                  <c:v>1.4803448192097755E-3</c:v>
                </c:pt>
                <c:pt idx="1003">
                  <c:v>1.5113927282027551E-3</c:v>
                </c:pt>
                <c:pt idx="1004">
                  <c:v>1.5430113559111969E-3</c:v>
                </c:pt>
                <c:pt idx="1005">
                  <c:v>1.5752093099680763E-3</c:v>
                </c:pt>
                <c:pt idx="1006">
                  <c:v>1.6079952862805909E-3</c:v>
                </c:pt>
                <c:pt idx="1007">
                  <c:v>1.6413780690395605E-3</c:v>
                </c:pt>
                <c:pt idx="1008">
                  <c:v>1.675366530705784E-3</c:v>
                </c:pt>
                <c:pt idx="1009">
                  <c:v>1.7099696319728287E-3</c:v>
                </c:pt>
                <c:pt idx="1010">
                  <c:v>1.7451964217058333E-3</c:v>
                </c:pt>
                <c:pt idx="1011">
                  <c:v>1.7810560368558227E-3</c:v>
                </c:pt>
                <c:pt idx="1012">
                  <c:v>1.8175577023490273E-3</c:v>
                </c:pt>
                <c:pt idx="1013">
                  <c:v>1.854710730950785E-3</c:v>
                </c:pt>
                <c:pt idx="1014">
                  <c:v>1.8925245231034933E-3</c:v>
                </c:pt>
                <c:pt idx="1015">
                  <c:v>1.9310085667381617E-3</c:v>
                </c:pt>
                <c:pt idx="1016">
                  <c:v>1.9701724370590826E-3</c:v>
                </c:pt>
                <c:pt idx="1017">
                  <c:v>2.0100257963011231E-3</c:v>
                </c:pt>
                <c:pt idx="1018">
                  <c:v>2.0505783934591619E-3</c:v>
                </c:pt>
                <c:pt idx="1019">
                  <c:v>2.0918400639892277E-3</c:v>
                </c:pt>
                <c:pt idx="1020">
                  <c:v>2.1338207294807933E-3</c:v>
                </c:pt>
                <c:pt idx="1021">
                  <c:v>2.1765303972998114E-3</c:v>
                </c:pt>
                <c:pt idx="1022">
                  <c:v>2.2199791602019953E-3</c:v>
                </c:pt>
                <c:pt idx="1023">
                  <c:v>2.264177195915827E-3</c:v>
                </c:pt>
                <c:pt idx="1024">
                  <c:v>2.3091347666949098E-3</c:v>
                </c:pt>
                <c:pt idx="1025">
                  <c:v>2.3548622188390936E-3</c:v>
                </c:pt>
                <c:pt idx="1026">
                  <c:v>2.4013699821839722E-3</c:v>
                </c:pt>
                <c:pt idx="1027">
                  <c:v>2.448668569558271E-3</c:v>
                </c:pt>
                <c:pt idx="1028">
                  <c:v>2.4967685762086393E-3</c:v>
                </c:pt>
                <c:pt idx="1029">
                  <c:v>2.5456806791913944E-3</c:v>
                </c:pt>
                <c:pt idx="1030">
                  <c:v>2.5954156367307842E-3</c:v>
                </c:pt>
                <c:pt idx="1031">
                  <c:v>2.6459842875432749E-3</c:v>
                </c:pt>
                <c:pt idx="1032">
                  <c:v>2.697397550127446E-3</c:v>
                </c:pt>
                <c:pt idx="1033">
                  <c:v>2.7496664220190118E-3</c:v>
                </c:pt>
                <c:pt idx="1034">
                  <c:v>2.8028019790105442E-3</c:v>
                </c:pt>
                <c:pt idx="1035">
                  <c:v>2.8568153743354771E-3</c:v>
                </c:pt>
                <c:pt idx="1036">
                  <c:v>2.9117178378159038E-3</c:v>
                </c:pt>
                <c:pt idx="1037">
                  <c:v>2.9675206749737904E-3</c:v>
                </c:pt>
                <c:pt idx="1038">
                  <c:v>3.0242352661051649E-3</c:v>
                </c:pt>
                <c:pt idx="1039">
                  <c:v>3.0818730653168398E-3</c:v>
                </c:pt>
                <c:pt idx="1040">
                  <c:v>3.1404455995252757E-3</c:v>
                </c:pt>
                <c:pt idx="1041">
                  <c:v>3.1999644674171996E-3</c:v>
                </c:pt>
                <c:pt idx="1042">
                  <c:v>3.2604413383715025E-3</c:v>
                </c:pt>
                <c:pt idx="1043">
                  <c:v>3.3218879513421447E-3</c:v>
                </c:pt>
                <c:pt idx="1044">
                  <c:v>3.3843161137015409E-3</c:v>
                </c:pt>
                <c:pt idx="1045">
                  <c:v>3.4477377000441357E-3</c:v>
                </c:pt>
                <c:pt idx="1046">
                  <c:v>3.5121646509498053E-3</c:v>
                </c:pt>
                <c:pt idx="1047">
                  <c:v>3.57760897170663E-3</c:v>
                </c:pt>
                <c:pt idx="1048">
                  <c:v>3.6440827309927775E-3</c:v>
                </c:pt>
                <c:pt idx="1049">
                  <c:v>3.7115980595171351E-3</c:v>
                </c:pt>
                <c:pt idx="1050">
                  <c:v>3.7801671486182259E-3</c:v>
                </c:pt>
                <c:pt idx="1051">
                  <c:v>3.8498022488213106E-3</c:v>
                </c:pt>
                <c:pt idx="1052">
                  <c:v>3.9205156683531327E-3</c:v>
                </c:pt>
                <c:pt idx="1053">
                  <c:v>3.9923197716140706E-3</c:v>
                </c:pt>
                <c:pt idx="1054">
                  <c:v>4.0652269776075079E-3</c:v>
                </c:pt>
                <c:pt idx="1055">
                  <c:v>4.1392497583259162E-3</c:v>
                </c:pt>
                <c:pt idx="1056">
                  <c:v>4.2144006370935403E-3</c:v>
                </c:pt>
                <c:pt idx="1057">
                  <c:v>4.2906921868653648E-3</c:v>
                </c:pt>
                <c:pt idx="1058">
                  <c:v>4.3681370284820572E-3</c:v>
                </c:pt>
                <c:pt idx="1059">
                  <c:v>4.4467478288807046E-3</c:v>
                </c:pt>
                <c:pt idx="1060">
                  <c:v>4.5265372992611139E-3</c:v>
                </c:pt>
                <c:pt idx="1061">
                  <c:v>4.6075181932073092E-3</c:v>
                </c:pt>
                <c:pt idx="1062">
                  <c:v>4.6897033047642823E-3</c:v>
                </c:pt>
                <c:pt idx="1063">
                  <c:v>4.7731054664695016E-3</c:v>
                </c:pt>
                <c:pt idx="1064">
                  <c:v>4.8577375473392113E-3</c:v>
                </c:pt>
                <c:pt idx="1065">
                  <c:v>4.9436124508092615E-3</c:v>
                </c:pt>
                <c:pt idx="1066">
                  <c:v>5.0307431126302956E-3</c:v>
                </c:pt>
                <c:pt idx="1067">
                  <c:v>5.1191424987171788E-3</c:v>
                </c:pt>
                <c:pt idx="1068">
                  <c:v>5.2088236029525729E-3</c:v>
                </c:pt>
                <c:pt idx="1069">
                  <c:v>5.2997994449444389E-3</c:v>
                </c:pt>
                <c:pt idx="1070">
                  <c:v>5.3920830677374717E-3</c:v>
                </c:pt>
                <c:pt idx="1071">
                  <c:v>5.4856875354783842E-3</c:v>
                </c:pt>
                <c:pt idx="1072">
                  <c:v>5.5806259310347698E-3</c:v>
                </c:pt>
                <c:pt idx="1073">
                  <c:v>5.676911353567857E-3</c:v>
                </c:pt>
                <c:pt idx="1074">
                  <c:v>5.7745569160587273E-3</c:v>
                </c:pt>
                <c:pt idx="1075">
                  <c:v>5.8735757427882491E-3</c:v>
                </c:pt>
                <c:pt idx="1076">
                  <c:v>5.973980966770649E-3</c:v>
                </c:pt>
                <c:pt idx="1077">
                  <c:v>6.0757857271405763E-3</c:v>
                </c:pt>
                <c:pt idx="1078">
                  <c:v>6.1790031664939911E-3</c:v>
                </c:pt>
                <c:pt idx="1079">
                  <c:v>6.2836464281826676E-3</c:v>
                </c:pt>
                <c:pt idx="1080">
                  <c:v>6.3897286535624541E-3</c:v>
                </c:pt>
                <c:pt idx="1081">
                  <c:v>6.4972629791954194E-3</c:v>
                </c:pt>
                <c:pt idx="1082">
                  <c:v>6.6062625340060034E-3</c:v>
                </c:pt>
                <c:pt idx="1083">
                  <c:v>6.7167404363910601E-3</c:v>
                </c:pt>
                <c:pt idx="1084">
                  <c:v>6.8287097912843511E-3</c:v>
                </c:pt>
                <c:pt idx="1085">
                  <c:v>6.9421836871752319E-3</c:v>
                </c:pt>
                <c:pt idx="1086">
                  <c:v>7.0571751930819243E-3</c:v>
                </c:pt>
                <c:pt idx="1087">
                  <c:v>7.1736973554796428E-3</c:v>
                </c:pt>
                <c:pt idx="1088">
                  <c:v>7.2917631951834828E-3</c:v>
                </c:pt>
                <c:pt idx="1089">
                  <c:v>7.4113857041866625E-3</c:v>
                </c:pt>
                <c:pt idx="1090">
                  <c:v>7.5325778424542144E-3</c:v>
                </c:pt>
                <c:pt idx="1091">
                  <c:v>7.6553525346722846E-3</c:v>
                </c:pt>
                <c:pt idx="1092">
                  <c:v>7.7797226669536262E-3</c:v>
                </c:pt>
                <c:pt idx="1093">
                  <c:v>7.9057010834993544E-3</c:v>
                </c:pt>
                <c:pt idx="1094">
                  <c:v>8.0333005832173478E-3</c:v>
                </c:pt>
                <c:pt idx="1095">
                  <c:v>8.1625339162978879E-3</c:v>
                </c:pt>
                <c:pt idx="1096">
                  <c:v>8.2934137807465259E-3</c:v>
                </c:pt>
                <c:pt idx="1097">
                  <c:v>8.4259528188749318E-3</c:v>
                </c:pt>
                <c:pt idx="1098">
                  <c:v>8.5601636137500516E-3</c:v>
                </c:pt>
                <c:pt idx="1099">
                  <c:v>8.6960586856017989E-3</c:v>
                </c:pt>
                <c:pt idx="1100">
                  <c:v>8.8336504881901829E-3</c:v>
                </c:pt>
                <c:pt idx="1101">
                  <c:v>8.9729514051320129E-3</c:v>
                </c:pt>
                <c:pt idx="1102">
                  <c:v>9.1139737461877826E-3</c:v>
                </c:pt>
                <c:pt idx="1103">
                  <c:v>9.2567297435094346E-3</c:v>
                </c:pt>
                <c:pt idx="1104">
                  <c:v>9.4012315478493487E-3</c:v>
                </c:pt>
                <c:pt idx="1105">
                  <c:v>9.5474912247312145E-3</c:v>
                </c:pt>
                <c:pt idx="1106">
                  <c:v>9.695520750583584E-3</c:v>
                </c:pt>
                <c:pt idx="1107">
                  <c:v>9.8453320088363709E-3</c:v>
                </c:pt>
                <c:pt idx="1108">
                  <c:v>9.9969367859813023E-3</c:v>
                </c:pt>
                <c:pt idx="1109">
                  <c:v>1.0150346767596855E-2</c:v>
                </c:pt>
                <c:pt idx="1110">
                  <c:v>1.0305573534338286E-2</c:v>
                </c:pt>
                <c:pt idx="1111">
                  <c:v>1.0462628557893679E-2</c:v>
                </c:pt>
                <c:pt idx="1112">
                  <c:v>1.0621523196906697E-2</c:v>
                </c:pt>
                <c:pt idx="1113">
                  <c:v>1.0782268692866628E-2</c:v>
                </c:pt>
                <c:pt idx="1114">
                  <c:v>1.0944876165966934E-2</c:v>
                </c:pt>
                <c:pt idx="1115">
                  <c:v>1.1109356610932618E-2</c:v>
                </c:pt>
                <c:pt idx="1116">
                  <c:v>1.1275720892817623E-2</c:v>
                </c:pt>
                <c:pt idx="1117">
                  <c:v>1.1443979742773147E-2</c:v>
                </c:pt>
                <c:pt idx="1118">
                  <c:v>1.1614143753787387E-2</c:v>
                </c:pt>
                <c:pt idx="1119">
                  <c:v>1.1786223376398151E-2</c:v>
                </c:pt>
                <c:pt idx="1120">
                  <c:v>1.1960228914378831E-2</c:v>
                </c:pt>
                <c:pt idx="1121">
                  <c:v>1.2136170520398979E-2</c:v>
                </c:pt>
                <c:pt idx="1122">
                  <c:v>1.2314058191660386E-2</c:v>
                </c:pt>
                <c:pt idx="1123">
                  <c:v>1.2493901765509689E-2</c:v>
                </c:pt>
                <c:pt idx="1124">
                  <c:v>1.2675710915028436E-2</c:v>
                </c:pt>
                <c:pt idx="1125">
                  <c:v>1.2859495144601978E-2</c:v>
                </c:pt>
                <c:pt idx="1126">
                  <c:v>1.3045263785467835E-2</c:v>
                </c:pt>
                <c:pt idx="1127">
                  <c:v>1.3233025991244991E-2</c:v>
                </c:pt>
                <c:pt idx="1128">
                  <c:v>1.3422790733445164E-2</c:v>
                </c:pt>
                <c:pt idx="1129">
                  <c:v>1.3614566796967055E-2</c:v>
                </c:pt>
                <c:pt idx="1130">
                  <c:v>1.3808362775574951E-2</c:v>
                </c:pt>
                <c:pt idx="1131">
                  <c:v>1.4004187067362818E-2</c:v>
                </c:pt>
                <c:pt idx="1132">
                  <c:v>1.4202047870204989E-2</c:v>
                </c:pt>
                <c:pt idx="1133">
                  <c:v>1.4401953177194844E-2</c:v>
                </c:pt>
                <c:pt idx="1134">
                  <c:v>1.4603910772072773E-2</c:v>
                </c:pt>
                <c:pt idx="1135">
                  <c:v>1.4807928224644409E-2</c:v>
                </c:pt>
                <c:pt idx="1136">
                  <c:v>1.5014012886190937E-2</c:v>
                </c:pt>
                <c:pt idx="1137">
                  <c:v>1.5222171884872291E-2</c:v>
                </c:pt>
                <c:pt idx="1138">
                  <c:v>1.5432412121124972E-2</c:v>
                </c:pt>
                <c:pt idx="1139">
                  <c:v>1.5644740263055699E-2</c:v>
                </c:pt>
                <c:pt idx="1140">
                  <c:v>1.5859162741832269E-2</c:v>
                </c:pt>
                <c:pt idx="1141">
                  <c:v>1.6075685747073083E-2</c:v>
                </c:pt>
                <c:pt idx="1142">
                  <c:v>1.6294315222236858E-2</c:v>
                </c:pt>
                <c:pt idx="1143">
                  <c:v>1.6515056860013744E-2</c:v>
                </c:pt>
                <c:pt idx="1144">
                  <c:v>1.673791609771956E-2</c:v>
                </c:pt>
                <c:pt idx="1145">
                  <c:v>1.6962898112694573E-2</c:v>
                </c:pt>
                <c:pt idx="1146">
                  <c:v>1.7190007817708165E-2</c:v>
                </c:pt>
                <c:pt idx="1147">
                  <c:v>1.7419249856371215E-2</c:v>
                </c:pt>
                <c:pt idx="1148">
                  <c:v>1.7650628598557462E-2</c:v>
                </c:pt>
                <c:pt idx="1149">
                  <c:v>1.7884148135835609E-2</c:v>
                </c:pt>
                <c:pt idx="1150">
                  <c:v>1.8119812276913602E-2</c:v>
                </c:pt>
                <c:pt idx="1151">
                  <c:v>1.8357624543096824E-2</c:v>
                </c:pt>
                <c:pt idx="1152">
                  <c:v>1.8597588163761676E-2</c:v>
                </c:pt>
                <c:pt idx="1153">
                  <c:v>1.8839706071846308E-2</c:v>
                </c:pt>
                <c:pt idx="1154">
                  <c:v>1.9083980899360017E-2</c:v>
                </c:pt>
                <c:pt idx="1155">
                  <c:v>1.9330414972913049E-2</c:v>
                </c:pt>
                <c:pt idx="1156">
                  <c:v>1.9579010309268542E-2</c:v>
                </c:pt>
                <c:pt idx="1157">
                  <c:v>1.9829768610918043E-2</c:v>
                </c:pt>
                <c:pt idx="1158">
                  <c:v>2.0082691261682672E-2</c:v>
                </c:pt>
                <c:pt idx="1159">
                  <c:v>2.0337779322341289E-2</c:v>
                </c:pt>
                <c:pt idx="1160">
                  <c:v>2.0595033526287627E-2</c:v>
                </c:pt>
                <c:pt idx="1161">
                  <c:v>2.085445427521802E-2</c:v>
                </c:pt>
                <c:pt idx="1162">
                  <c:v>2.1116041634851503E-2</c:v>
                </c:pt>
                <c:pt idx="1163">
                  <c:v>2.1379795330683977E-2</c:v>
                </c:pt>
                <c:pt idx="1164">
                  <c:v>2.1645714743778438E-2</c:v>
                </c:pt>
                <c:pt idx="1165">
                  <c:v>2.1913798906592601E-2</c:v>
                </c:pt>
                <c:pt idx="1166">
                  <c:v>2.2184046498846217E-2</c:v>
                </c:pt>
                <c:pt idx="1167">
                  <c:v>2.2456455843429514E-2</c:v>
                </c:pt>
                <c:pt idx="1168">
                  <c:v>2.2731024902354662E-2</c:v>
                </c:pt>
                <c:pt idx="1169">
                  <c:v>2.3007751272752137E-2</c:v>
                </c:pt>
                <c:pt idx="1170">
                  <c:v>2.3286632182913752E-2</c:v>
                </c:pt>
                <c:pt idx="1171">
                  <c:v>2.3567664488384005E-2</c:v>
                </c:pt>
                <c:pt idx="1172">
                  <c:v>2.3850844668102049E-2</c:v>
                </c:pt>
                <c:pt idx="1173">
                  <c:v>2.4136168820595317E-2</c:v>
                </c:pt>
                <c:pt idx="1174">
                  <c:v>2.4423632660227502E-2</c:v>
                </c:pt>
                <c:pt idx="1175">
                  <c:v>2.471323151350209E-2</c:v>
                </c:pt>
                <c:pt idx="1176">
                  <c:v>2.5004960315423565E-2</c:v>
                </c:pt>
                <c:pt idx="1177">
                  <c:v>2.5298813605917979E-2</c:v>
                </c:pt>
                <c:pt idx="1178">
                  <c:v>2.5594785526314869E-2</c:v>
                </c:pt>
                <c:pt idx="1179">
                  <c:v>2.5892869815892262E-2</c:v>
                </c:pt>
                <c:pt idx="1180">
                  <c:v>2.6193059808486525E-2</c:v>
                </c:pt>
                <c:pt idx="1181">
                  <c:v>2.6495348429169015E-2</c:v>
                </c:pt>
                <c:pt idx="1182">
                  <c:v>2.6799728190991273E-2</c:v>
                </c:pt>
                <c:pt idx="1183">
                  <c:v>2.7106191191800768E-2</c:v>
                </c:pt>
                <c:pt idx="1184">
                  <c:v>2.7414729111128518E-2</c:v>
                </c:pt>
                <c:pt idx="1185">
                  <c:v>2.7725333207151058E-2</c:v>
                </c:pt>
                <c:pt idx="1186">
                  <c:v>2.8037994313728012E-2</c:v>
                </c:pt>
                <c:pt idx="1187">
                  <c:v>2.8352702837517441E-2</c:v>
                </c:pt>
                <c:pt idx="1188">
                  <c:v>2.8669448755170364E-2</c:v>
                </c:pt>
                <c:pt idx="1189">
                  <c:v>2.8988221610606709E-2</c:v>
                </c:pt>
                <c:pt idx="1190">
                  <c:v>2.930901051237398E-2</c:v>
                </c:pt>
                <c:pt idx="1191">
                  <c:v>2.9631804131090907E-2</c:v>
                </c:pt>
                <c:pt idx="1192">
                  <c:v>2.9956590696977141E-2</c:v>
                </c:pt>
                <c:pt idx="1193">
                  <c:v>3.0283357997471512E-2</c:v>
                </c:pt>
                <c:pt idx="1194">
                  <c:v>3.0612093374940079E-2</c:v>
                </c:pt>
                <c:pt idx="1195">
                  <c:v>3.0942783724475582E-2</c:v>
                </c:pt>
                <c:pt idx="1196">
                  <c:v>3.1275415491790477E-2</c:v>
                </c:pt>
                <c:pt idx="1197">
                  <c:v>3.1609974671204792E-2</c:v>
                </c:pt>
                <c:pt idx="1198">
                  <c:v>3.1946446803730717E-2</c:v>
                </c:pt>
                <c:pt idx="1199">
                  <c:v>3.2284816975255315E-2</c:v>
                </c:pt>
                <c:pt idx="1200">
                  <c:v>3.2625069814823236E-2</c:v>
                </c:pt>
                <c:pt idx="1201">
                  <c:v>3.2967189493020937E-2</c:v>
                </c:pt>
                <c:pt idx="1202">
                  <c:v>3.331115972046407E-2</c:v>
                </c:pt>
                <c:pt idx="1203">
                  <c:v>3.3656963746389192E-2</c:v>
                </c:pt>
                <c:pt idx="1204">
                  <c:v>3.4004584357352069E-2</c:v>
                </c:pt>
                <c:pt idx="1205">
                  <c:v>3.4354003876033483E-2</c:v>
                </c:pt>
                <c:pt idx="1206">
                  <c:v>3.470520416015415E-2</c:v>
                </c:pt>
                <c:pt idx="1207">
                  <c:v>3.5058166601500525E-2</c:v>
                </c:pt>
                <c:pt idx="1208">
                  <c:v>3.5412872125062493E-2</c:v>
                </c:pt>
                <c:pt idx="1209">
                  <c:v>3.5769301188284849E-2</c:v>
                </c:pt>
                <c:pt idx="1210">
                  <c:v>3.6127433780433399E-2</c:v>
                </c:pt>
                <c:pt idx="1211">
                  <c:v>3.6487249422077546E-2</c:v>
                </c:pt>
                <c:pt idx="1212">
                  <c:v>3.6848727164690398E-2</c:v>
                </c:pt>
                <c:pt idx="1213">
                  <c:v>3.7211845590367949E-2</c:v>
                </c:pt>
                <c:pt idx="1214">
                  <c:v>3.7576582811668133E-2</c:v>
                </c:pt>
                <c:pt idx="1215">
                  <c:v>3.7942916471571601E-2</c:v>
                </c:pt>
                <c:pt idx="1216">
                  <c:v>3.8310823743565037E-2</c:v>
                </c:pt>
                <c:pt idx="1217">
                  <c:v>3.8680281331848275E-2</c:v>
                </c:pt>
                <c:pt idx="1218">
                  <c:v>3.9051265471666395E-2</c:v>
                </c:pt>
                <c:pt idx="1219">
                  <c:v>3.9423751929767777E-2</c:v>
                </c:pt>
                <c:pt idx="1220">
                  <c:v>3.9797716004989554E-2</c:v>
                </c:pt>
                <c:pt idx="1221">
                  <c:v>4.0173132528970916E-2</c:v>
                </c:pt>
                <c:pt idx="1222">
                  <c:v>4.0549975866995783E-2</c:v>
                </c:pt>
                <c:pt idx="1223">
                  <c:v>4.0928219918965537E-2</c:v>
                </c:pt>
                <c:pt idx="1224">
                  <c:v>4.1307838120502982E-2</c:v>
                </c:pt>
                <c:pt idx="1225">
                  <c:v>4.1688803444187773E-2</c:v>
                </c:pt>
                <c:pt idx="1226">
                  <c:v>4.2071088400925244E-2</c:v>
                </c:pt>
                <c:pt idx="1227">
                  <c:v>4.2454665041448222E-2</c:v>
                </c:pt>
                <c:pt idx="1228">
                  <c:v>4.2839504957953717E-2</c:v>
                </c:pt>
                <c:pt idx="1229">
                  <c:v>4.3225579285874227E-2</c:v>
                </c:pt>
                <c:pt idx="1230">
                  <c:v>4.3612858705784928E-2</c:v>
                </c:pt>
                <c:pt idx="1231">
                  <c:v>4.4001313445447429E-2</c:v>
                </c:pt>
                <c:pt idx="1232">
                  <c:v>4.4390913281990088E-2</c:v>
                </c:pt>
                <c:pt idx="1233">
                  <c:v>4.4781627544226099E-2</c:v>
                </c:pt>
                <c:pt idx="1234">
                  <c:v>4.5173425115109495E-2</c:v>
                </c:pt>
                <c:pt idx="1235">
                  <c:v>4.5566274434329597E-2</c:v>
                </c:pt>
                <c:pt idx="1236">
                  <c:v>4.5960143501044153E-2</c:v>
                </c:pt>
                <c:pt idx="1237">
                  <c:v>4.6354999876751943E-2</c:v>
                </c:pt>
                <c:pt idx="1238">
                  <c:v>4.6750810688304577E-2</c:v>
                </c:pt>
                <c:pt idx="1239">
                  <c:v>4.7147542631058401E-2</c:v>
                </c:pt>
                <c:pt idx="1240">
                  <c:v>4.754516197216601E-2</c:v>
                </c:pt>
                <c:pt idx="1241">
                  <c:v>4.7943634554008165E-2</c:v>
                </c:pt>
                <c:pt idx="1242">
                  <c:v>4.8342925797765786E-2</c:v>
                </c:pt>
                <c:pt idx="1243">
                  <c:v>4.8743000707132444E-2</c:v>
                </c:pt>
                <c:pt idx="1244">
                  <c:v>4.9143823872166863E-2</c:v>
                </c:pt>
                <c:pt idx="1245">
                  <c:v>4.9545359473285991E-2</c:v>
                </c:pt>
                <c:pt idx="1246">
                  <c:v>4.9947571285398153E-2</c:v>
                </c:pt>
                <c:pt idx="1247">
                  <c:v>5.0350422682176064E-2</c:v>
                </c:pt>
                <c:pt idx="1248">
                  <c:v>5.0753876640470007E-2</c:v>
                </c:pt>
                <c:pt idx="1249">
                  <c:v>5.115789574486021E-2</c:v>
                </c:pt>
                <c:pt idx="1250">
                  <c:v>5.1562442192348935E-2</c:v>
                </c:pt>
                <c:pt idx="1251">
                  <c:v>5.196747779719104E-2</c:v>
                </c:pt>
                <c:pt idx="1252">
                  <c:v>5.2372963995863372E-2</c:v>
                </c:pt>
                <c:pt idx="1253">
                  <c:v>5.2778861852172052E-2</c:v>
                </c:pt>
                <c:pt idx="1254">
                  <c:v>5.3185132062497413E-2</c:v>
                </c:pt>
                <c:pt idx="1255">
                  <c:v>5.3591734961175683E-2</c:v>
                </c:pt>
                <c:pt idx="1256">
                  <c:v>5.399863052601718E-2</c:v>
                </c:pt>
                <c:pt idx="1257">
                  <c:v>5.4405778383960109E-2</c:v>
                </c:pt>
                <c:pt idx="1258">
                  <c:v>5.4813137816859071E-2</c:v>
                </c:pt>
                <c:pt idx="1259">
                  <c:v>5.522066776740802E-2</c:v>
                </c:pt>
                <c:pt idx="1260">
                  <c:v>5.562832684519612E-2</c:v>
                </c:pt>
                <c:pt idx="1261">
                  <c:v>5.6036073332896272E-2</c:v>
                </c:pt>
                <c:pt idx="1262">
                  <c:v>5.6443865192584708E-2</c:v>
                </c:pt>
                <c:pt idx="1263">
                  <c:v>5.6851660072191286E-2</c:v>
                </c:pt>
                <c:pt idx="1264">
                  <c:v>5.7259415312078808E-2</c:v>
                </c:pt>
                <c:pt idx="1265">
                  <c:v>5.7667087951750851E-2</c:v>
                </c:pt>
                <c:pt idx="1266">
                  <c:v>5.8074634736686163E-2</c:v>
                </c:pt>
                <c:pt idx="1267">
                  <c:v>5.8482012125299243E-2</c:v>
                </c:pt>
                <c:pt idx="1268">
                  <c:v>5.8889176296025157E-2</c:v>
                </c:pt>
                <c:pt idx="1269">
                  <c:v>5.9296083154527661E-2</c:v>
                </c:pt>
                <c:pt idx="1270">
                  <c:v>5.9702688341028799E-2</c:v>
                </c:pt>
                <c:pt idx="1271">
                  <c:v>6.0108947237758989E-2</c:v>
                </c:pt>
                <c:pt idx="1272">
                  <c:v>6.0514814976526006E-2</c:v>
                </c:pt>
                <c:pt idx="1273">
                  <c:v>6.0920246446400782E-2</c:v>
                </c:pt>
                <c:pt idx="1274">
                  <c:v>6.1325196301519093E-2</c:v>
                </c:pt>
                <c:pt idx="1275">
                  <c:v>6.1729618968997139E-2</c:v>
                </c:pt>
                <c:pt idx="1276">
                  <c:v>6.2133468656959408E-2</c:v>
                </c:pt>
                <c:pt idx="1277">
                  <c:v>6.2536699362676612E-2</c:v>
                </c:pt>
                <c:pt idx="1278">
                  <c:v>6.2939264880812709E-2</c:v>
                </c:pt>
                <c:pt idx="1279">
                  <c:v>6.3341118811778271E-2</c:v>
                </c:pt>
                <c:pt idx="1280">
                  <c:v>6.3742214570188971E-2</c:v>
                </c:pt>
                <c:pt idx="1281">
                  <c:v>6.4142505393426627E-2</c:v>
                </c:pt>
                <c:pt idx="1282">
                  <c:v>6.4541944350301056E-2</c:v>
                </c:pt>
                <c:pt idx="1283">
                  <c:v>6.4940484349810992E-2</c:v>
                </c:pt>
                <c:pt idx="1284">
                  <c:v>6.5338078150000936E-2</c:v>
                </c:pt>
                <c:pt idx="1285">
                  <c:v>6.5734678366913116E-2</c:v>
                </c:pt>
                <c:pt idx="1286">
                  <c:v>6.613023748363106E-2</c:v>
                </c:pt>
                <c:pt idx="1287">
                  <c:v>6.6524707859413459E-2</c:v>
                </c:pt>
                <c:pt idx="1288">
                  <c:v>6.6918041738915288E-2</c:v>
                </c:pt>
                <c:pt idx="1289">
                  <c:v>6.7310191261494456E-2</c:v>
                </c:pt>
                <c:pt idx="1290">
                  <c:v>6.7701108470600929E-2</c:v>
                </c:pt>
                <c:pt idx="1291">
                  <c:v>6.8090745323246618E-2</c:v>
                </c:pt>
                <c:pt idx="1292">
                  <c:v>6.8479053699552608E-2</c:v>
                </c:pt>
                <c:pt idx="1293">
                  <c:v>6.8865985412372058E-2</c:v>
                </c:pt>
                <c:pt idx="1294">
                  <c:v>6.9251492216985816E-2</c:v>
                </c:pt>
                <c:pt idx="1295">
                  <c:v>6.9635525820867794E-2</c:v>
                </c:pt>
                <c:pt idx="1296">
                  <c:v>7.0018037893518154E-2</c:v>
                </c:pt>
                <c:pt idx="1297">
                  <c:v>7.0398980076360917E-2</c:v>
                </c:pt>
                <c:pt idx="1298">
                  <c:v>7.0778303992703809E-2</c:v>
                </c:pt>
                <c:pt idx="1299">
                  <c:v>7.1155961257757E-2</c:v>
                </c:pt>
                <c:pt idx="1300">
                  <c:v>7.1531903488708373E-2</c:v>
                </c:pt>
                <c:pt idx="1301">
                  <c:v>7.1906082314852279E-2</c:v>
                </c:pt>
                <c:pt idx="1302">
                  <c:v>7.227844938776895E-2</c:v>
                </c:pt>
                <c:pt idx="1303">
                  <c:v>7.26489563915515E-2</c:v>
                </c:pt>
                <c:pt idx="1304">
                  <c:v>7.3017555053077651E-2</c:v>
                </c:pt>
                <c:pt idx="1305">
                  <c:v>7.3384197152323305E-2</c:v>
                </c:pt>
                <c:pt idx="1306">
                  <c:v>7.374883453271483E-2</c:v>
                </c:pt>
                <c:pt idx="1307">
                  <c:v>7.4111419111516835E-2</c:v>
                </c:pt>
                <c:pt idx="1308">
                  <c:v>7.4471902890252684E-2</c:v>
                </c:pt>
                <c:pt idx="1309">
                  <c:v>7.4830237965154658E-2</c:v>
                </c:pt>
                <c:pt idx="1310">
                  <c:v>7.518637653763996E-2</c:v>
                </c:pt>
                <c:pt idx="1311">
                  <c:v>7.5540270924810485E-2</c:v>
                </c:pt>
                <c:pt idx="1312">
                  <c:v>7.5891873569972193E-2</c:v>
                </c:pt>
                <c:pt idx="1313">
                  <c:v>7.6241137053171593E-2</c:v>
                </c:pt>
                <c:pt idx="1314">
                  <c:v>7.6588014101745455E-2</c:v>
                </c:pt>
                <c:pt idx="1315">
                  <c:v>7.6932457600881299E-2</c:v>
                </c:pt>
                <c:pt idx="1316">
                  <c:v>7.7274420604184491E-2</c:v>
                </c:pt>
                <c:pt idx="1317">
                  <c:v>7.7613856344249568E-2</c:v>
                </c:pt>
                <c:pt idx="1318">
                  <c:v>7.7950718243231729E-2</c:v>
                </c:pt>
                <c:pt idx="1319">
                  <c:v>7.8284959923415651E-2</c:v>
                </c:pt>
                <c:pt idx="1320">
                  <c:v>7.8616535217778227E-2</c:v>
                </c:pt>
                <c:pt idx="1321">
                  <c:v>7.8945398180541637E-2</c:v>
                </c:pt>
                <c:pt idx="1322">
                  <c:v>7.9271503097713719E-2</c:v>
                </c:pt>
                <c:pt idx="1323">
                  <c:v>7.9594804497612151E-2</c:v>
                </c:pt>
                <c:pt idx="1324">
                  <c:v>7.9915257161369088E-2</c:v>
                </c:pt>
                <c:pt idx="1325">
                  <c:v>8.0232816133412696E-2</c:v>
                </c:pt>
                <c:pt idx="1326">
                  <c:v>8.0547436731922648E-2</c:v>
                </c:pt>
                <c:pt idx="1327">
                  <c:v>8.0859074559255645E-2</c:v>
                </c:pt>
                <c:pt idx="1328">
                  <c:v>8.1167685512338203E-2</c:v>
                </c:pt>
                <c:pt idx="1329">
                  <c:v>8.1473225793022533E-2</c:v>
                </c:pt>
                <c:pt idx="1330">
                  <c:v>8.1775651918402914E-2</c:v>
                </c:pt>
                <c:pt idx="1331">
                  <c:v>8.2074920731088741E-2</c:v>
                </c:pt>
                <c:pt idx="1332">
                  <c:v>8.2370989409430898E-2</c:v>
                </c:pt>
                <c:pt idx="1333">
                  <c:v>8.2663815477698091E-2</c:v>
                </c:pt>
                <c:pt idx="1334">
                  <c:v>8.2953356816199919E-2</c:v>
                </c:pt>
                <c:pt idx="1335">
                  <c:v>8.3239571671353207E-2</c:v>
                </c:pt>
                <c:pt idx="1336">
                  <c:v>8.3522418665688061E-2</c:v>
                </c:pt>
                <c:pt idx="1337">
                  <c:v>8.3801856807790703E-2</c:v>
                </c:pt>
                <c:pt idx="1338">
                  <c:v>8.4077845502179435E-2</c:v>
                </c:pt>
                <c:pt idx="1339">
                  <c:v>8.4350344559110474E-2</c:v>
                </c:pt>
                <c:pt idx="1340">
                  <c:v>8.4619314204310417E-2</c:v>
                </c:pt>
                <c:pt idx="1341">
                  <c:v>8.488471508863199E-2</c:v>
                </c:pt>
                <c:pt idx="1342">
                  <c:v>8.5146508297629847E-2</c:v>
                </c:pt>
                <c:pt idx="1343">
                  <c:v>8.5404655361053211E-2</c:v>
                </c:pt>
                <c:pt idx="1344">
                  <c:v>8.565911826225181E-2</c:v>
                </c:pt>
                <c:pt idx="1345">
                  <c:v>8.5909859447492382E-2</c:v>
                </c:pt>
                <c:pt idx="1346">
                  <c:v>8.6156841835182324E-2</c:v>
                </c:pt>
                <c:pt idx="1347">
                  <c:v>8.6400028824996977E-2</c:v>
                </c:pt>
                <c:pt idx="1348">
                  <c:v>8.6639384306908221E-2</c:v>
                </c:pt>
                <c:pt idx="1349">
                  <c:v>8.687487267011032E-2</c:v>
                </c:pt>
                <c:pt idx="1350">
                  <c:v>8.7106458811840745E-2</c:v>
                </c:pt>
                <c:pt idx="1351">
                  <c:v>8.7334108146092326E-2</c:v>
                </c:pt>
                <c:pt idx="1352">
                  <c:v>8.7557786612214097E-2</c:v>
                </c:pt>
                <c:pt idx="1353">
                  <c:v>8.777746068339759E-2</c:v>
                </c:pt>
                <c:pt idx="1354">
                  <c:v>8.7993097375045876E-2</c:v>
                </c:pt>
                <c:pt idx="1355">
                  <c:v>8.8204664253022091E-2</c:v>
                </c:pt>
                <c:pt idx="1356">
                  <c:v>8.8412129441774845E-2</c:v>
                </c:pt>
                <c:pt idx="1357">
                  <c:v>8.8615461632337661E-2</c:v>
                </c:pt>
                <c:pt idx="1358">
                  <c:v>8.8814630090199381E-2</c:v>
                </c:pt>
                <c:pt idx="1359">
                  <c:v>8.9009604663042974E-2</c:v>
                </c:pt>
                <c:pt idx="1360">
                  <c:v>8.920035578835013E-2</c:v>
                </c:pt>
                <c:pt idx="1361">
                  <c:v>8.9386854500868654E-2</c:v>
                </c:pt>
                <c:pt idx="1362">
                  <c:v>8.9569072439940139E-2</c:v>
                </c:pt>
                <c:pt idx="1363">
                  <c:v>8.9746981856685559E-2</c:v>
                </c:pt>
                <c:pt idx="1364">
                  <c:v>8.9920555621045825E-2</c:v>
                </c:pt>
                <c:pt idx="1365">
                  <c:v>9.0089767228675122E-2</c:v>
                </c:pt>
                <c:pt idx="1366">
                  <c:v>9.0254590807684484E-2</c:v>
                </c:pt>
                <c:pt idx="1367">
                  <c:v>9.0415001125233083E-2</c:v>
                </c:pt>
                <c:pt idx="1368">
                  <c:v>9.0570973593965071E-2</c:v>
                </c:pt>
                <c:pt idx="1369">
                  <c:v>9.0722484278289689E-2</c:v>
                </c:pt>
                <c:pt idx="1370">
                  <c:v>9.0869509900501938E-2</c:v>
                </c:pt>
                <c:pt idx="1371">
                  <c:v>9.1012027846742477E-2</c:v>
                </c:pt>
                <c:pt idx="1372">
                  <c:v>9.1150016172793738E-2</c:v>
                </c:pt>
                <c:pt idx="1373">
                  <c:v>9.1283453609710755E-2</c:v>
                </c:pt>
                <c:pt idx="1374">
                  <c:v>9.1412319569284375E-2</c:v>
                </c:pt>
                <c:pt idx="1375">
                  <c:v>9.1536594149335099E-2</c:v>
                </c:pt>
                <c:pt idx="1376">
                  <c:v>9.1656258138835531E-2</c:v>
                </c:pt>
                <c:pt idx="1377">
                  <c:v>9.177129302285951E-2</c:v>
                </c:pt>
                <c:pt idx="1378">
                  <c:v>9.1881680987356371E-2</c:v>
                </c:pt>
                <c:pt idx="1379">
                  <c:v>9.1987404923748323E-2</c:v>
                </c:pt>
                <c:pt idx="1380">
                  <c:v>9.2088448433349707E-2</c:v>
                </c:pt>
                <c:pt idx="1381">
                  <c:v>9.2184795831605937E-2</c:v>
                </c:pt>
                <c:pt idx="1382">
                  <c:v>9.227643215215113E-2</c:v>
                </c:pt>
                <c:pt idx="1383">
                  <c:v>9.2363343150682703E-2</c:v>
                </c:pt>
                <c:pt idx="1384">
                  <c:v>9.2445515308651527E-2</c:v>
                </c:pt>
                <c:pt idx="1385">
                  <c:v>9.2522935836766462E-2</c:v>
                </c:pt>
                <c:pt idx="1386">
                  <c:v>9.2595592678311731E-2</c:v>
                </c:pt>
                <c:pt idx="1387">
                  <c:v>9.2663474512276203E-2</c:v>
                </c:pt>
                <c:pt idx="1388">
                  <c:v>9.2726570756293314E-2</c:v>
                </c:pt>
                <c:pt idx="1389">
                  <c:v>9.2784871569390484E-2</c:v>
                </c:pt>
                <c:pt idx="1390">
                  <c:v>9.283836785454723E-2</c:v>
                </c:pt>
                <c:pt idx="1391">
                  <c:v>9.2887051261060907E-2</c:v>
                </c:pt>
                <c:pt idx="1392">
                  <c:v>9.2930914186719199E-2</c:v>
                </c:pt>
                <c:pt idx="1393">
                  <c:v>9.2969949779778654E-2</c:v>
                </c:pt>
                <c:pt idx="1394">
                  <c:v>9.3004151940748417E-2</c:v>
                </c:pt>
                <c:pt idx="1395">
                  <c:v>9.303351532397873E-2</c:v>
                </c:pt>
                <c:pt idx="1396">
                  <c:v>9.3058035339053394E-2</c:v>
                </c:pt>
                <c:pt idx="1397">
                  <c:v>9.3077708151985808E-2</c:v>
                </c:pt>
                <c:pt idx="1398">
                  <c:v>9.3092530686218006E-2</c:v>
                </c:pt>
                <c:pt idx="1399">
                  <c:v>9.3102500623422638E-2</c:v>
                </c:pt>
                <c:pt idx="1400">
                  <c:v>9.3107616404107266E-2</c:v>
                </c:pt>
                <c:pt idx="1401">
                  <c:v>9.3107877228020858E-2</c:v>
                </c:pt>
                <c:pt idx="1402">
                  <c:v>9.3103283054362496E-2</c:v>
                </c:pt>
                <c:pt idx="1403">
                  <c:v>9.3093834601791964E-2</c:v>
                </c:pt>
                <c:pt idx="1404">
                  <c:v>9.3079533348242371E-2</c:v>
                </c:pt>
                <c:pt idx="1405">
                  <c:v>9.3060381530534975E-2</c:v>
                </c:pt>
                <c:pt idx="1406">
                  <c:v>9.3036382143795934E-2</c:v>
                </c:pt>
                <c:pt idx="1407">
                  <c:v>9.3007538940675746E-2</c:v>
                </c:pt>
                <c:pt idx="1408">
                  <c:v>9.2973856430371288E-2</c:v>
                </c:pt>
                <c:pt idx="1409">
                  <c:v>9.2935339877450951E-2</c:v>
                </c:pt>
                <c:pt idx="1410">
                  <c:v>9.2891995300483185E-2</c:v>
                </c:pt>
                <c:pt idx="1411">
                  <c:v>9.2843829470469097E-2</c:v>
                </c:pt>
                <c:pt idx="1412">
                  <c:v>9.2790849909079695E-2</c:v>
                </c:pt>
                <c:pt idx="1413">
                  <c:v>9.2733064886698219E-2</c:v>
                </c:pt>
                <c:pt idx="1414">
                  <c:v>9.2670483420268387E-2</c:v>
                </c:pt>
                <c:pt idx="1415">
                  <c:v>9.2603115270949471E-2</c:v>
                </c:pt>
                <c:pt idx="1416">
                  <c:v>9.2530970941578763E-2</c:v>
                </c:pt>
                <c:pt idx="1417">
                  <c:v>9.2454061673942697E-2</c:v>
                </c:pt>
                <c:pt idx="1418">
                  <c:v>9.2372399445857303E-2</c:v>
                </c:pt>
                <c:pt idx="1419">
                  <c:v>9.2285996968059253E-2</c:v>
                </c:pt>
                <c:pt idx="1420">
                  <c:v>9.2194867680908649E-2</c:v>
                </c:pt>
                <c:pt idx="1421">
                  <c:v>9.2099025750904451E-2</c:v>
                </c:pt>
                <c:pt idx="1422">
                  <c:v>9.1998486067014301E-2</c:v>
                </c:pt>
                <c:pt idx="1423">
                  <c:v>9.1893264236819663E-2</c:v>
                </c:pt>
                <c:pt idx="1424">
                  <c:v>9.1783376582477774E-2</c:v>
                </c:pt>
                <c:pt idx="1425">
                  <c:v>9.1668840136502019E-2</c:v>
                </c:pt>
                <c:pt idx="1426">
                  <c:v>9.1549672637362162E-2</c:v>
                </c:pt>
                <c:pt idx="1427">
                  <c:v>9.1425892524905877E-2</c:v>
                </c:pt>
                <c:pt idx="1428">
                  <c:v>9.1297518935603464E-2</c:v>
                </c:pt>
                <c:pt idx="1429">
                  <c:v>9.116457169761745E-2</c:v>
                </c:pt>
                <c:pt idx="1430">
                  <c:v>9.1027071325698553E-2</c:v>
                </c:pt>
                <c:pt idx="1431">
                  <c:v>9.0885039015910316E-2</c:v>
                </c:pt>
                <c:pt idx="1432">
                  <c:v>9.0738496640183935E-2</c:v>
                </c:pt>
                <c:pt idx="1433">
                  <c:v>9.058746674070535E-2</c:v>
                </c:pt>
                <c:pt idx="1434">
                  <c:v>9.0431972524136664E-2</c:v>
                </c:pt>
                <c:pt idx="1435">
                  <c:v>9.0272037855674087E-2</c:v>
                </c:pt>
                <c:pt idx="1436">
                  <c:v>9.0107687252944033E-2</c:v>
                </c:pt>
                <c:pt idx="1437">
                  <c:v>8.9938945879740231E-2</c:v>
                </c:pt>
                <c:pt idx="1438">
                  <c:v>8.9765839539603681E-2</c:v>
                </c:pt>
                <c:pt idx="1439">
                  <c:v>8.9588394669247659E-2</c:v>
                </c:pt>
                <c:pt idx="1440">
                  <c:v>8.940663833183056E-2</c:v>
                </c:pt>
                <c:pt idx="1441">
                  <c:v>8.9220598210078439E-2</c:v>
                </c:pt>
                <c:pt idx="1442">
                  <c:v>8.9030302599260161E-2</c:v>
                </c:pt>
                <c:pt idx="1443">
                  <c:v>8.8835780400017342E-2</c:v>
                </c:pt>
                <c:pt idx="1444">
                  <c:v>8.8637061111051768E-2</c:v>
                </c:pt>
                <c:pt idx="1445">
                  <c:v>8.8434174821672748E-2</c:v>
                </c:pt>
                <c:pt idx="1446">
                  <c:v>8.822715220420746E-2</c:v>
                </c:pt>
                <c:pt idx="1447">
                  <c:v>8.8016024506276144E-2</c:v>
                </c:pt>
                <c:pt idx="1448">
                  <c:v>8.7800823542935794E-2</c:v>
                </c:pt>
                <c:pt idx="1449">
                  <c:v>8.7581581688694496E-2</c:v>
                </c:pt>
                <c:pt idx="1450">
                  <c:v>8.7358331869399355E-2</c:v>
                </c:pt>
                <c:pt idx="1451">
                  <c:v>8.7131107554001122E-2</c:v>
                </c:pt>
                <c:pt idx="1452">
                  <c:v>8.6899942746197889E-2</c:v>
                </c:pt>
                <c:pt idx="1453">
                  <c:v>8.6664871975961233E-2</c:v>
                </c:pt>
                <c:pt idx="1454">
                  <c:v>8.6425930290947722E-2</c:v>
                </c:pt>
                <c:pt idx="1455">
                  <c:v>8.6183153247798322E-2</c:v>
                </c:pt>
                <c:pt idx="1456">
                  <c:v>8.5936576903329329E-2</c:v>
                </c:pt>
                <c:pt idx="1457">
                  <c:v>8.5686237805617446E-2</c:v>
                </c:pt>
                <c:pt idx="1458">
                  <c:v>8.5432172984982291E-2</c:v>
                </c:pt>
                <c:pt idx="1459">
                  <c:v>8.5174419944869448E-2</c:v>
                </c:pt>
                <c:pt idx="1460">
                  <c:v>8.4913016652636952E-2</c:v>
                </c:pt>
                <c:pt idx="1461">
                  <c:v>8.4648001530248818E-2</c:v>
                </c:pt>
                <c:pt idx="1462">
                  <c:v>8.4379413444878371E-2</c:v>
                </c:pt>
                <c:pt idx="1463">
                  <c:v>8.4107291699424838E-2</c:v>
                </c:pt>
                <c:pt idx="1464">
                  <c:v>8.3831676022946264E-2</c:v>
                </c:pt>
                <c:pt idx="1465">
                  <c:v>8.3552606561012419E-2</c:v>
                </c:pt>
                <c:pt idx="1466">
                  <c:v>8.3270123865980067E-2</c:v>
                </c:pt>
                <c:pt idx="1467">
                  <c:v>8.2984268887195137E-2</c:v>
                </c:pt>
                <c:pt idx="1468">
                  <c:v>8.2695082961124058E-2</c:v>
                </c:pt>
                <c:pt idx="1469">
                  <c:v>8.2402607801417851E-2</c:v>
                </c:pt>
                <c:pt idx="1470">
                  <c:v>8.2106885488912887E-2</c:v>
                </c:pt>
                <c:pt idx="1471">
                  <c:v>8.1807958461570685E-2</c:v>
                </c:pt>
                <c:pt idx="1472">
                  <c:v>8.1505869504360853E-2</c:v>
                </c:pt>
                <c:pt idx="1473">
                  <c:v>8.1200661739090463E-2</c:v>
                </c:pt>
                <c:pt idx="1474">
                  <c:v>8.0892378614182581E-2</c:v>
                </c:pt>
                <c:pt idx="1475">
                  <c:v>8.058106389440825E-2</c:v>
                </c:pt>
                <c:pt idx="1476">
                  <c:v>8.0266761650574781E-2</c:v>
                </c:pt>
                <c:pt idx="1477">
                  <c:v>7.9949516249173611E-2</c:v>
                </c:pt>
                <c:pt idx="1478">
                  <c:v>7.9629372341991508E-2</c:v>
                </c:pt>
                <c:pt idx="1479">
                  <c:v>7.930637485568845E-2</c:v>
                </c:pt>
                <c:pt idx="1480">
                  <c:v>7.8980568981345034E-2</c:v>
                </c:pt>
                <c:pt idx="1481">
                  <c:v>7.8652000163983771E-2</c:v>
                </c:pt>
                <c:pt idx="1482">
                  <c:v>7.8320714092066562E-2</c:v>
                </c:pt>
                <c:pt idx="1483">
                  <c:v>7.7986756686972525E-2</c:v>
                </c:pt>
                <c:pt idx="1484">
                  <c:v>7.7650174092459404E-2</c:v>
                </c:pt>
                <c:pt idx="1485">
                  <c:v>7.7311012664111348E-2</c:v>
                </c:pt>
                <c:pt idx="1486">
                  <c:v>7.6969318958777289E-2</c:v>
                </c:pt>
                <c:pt idx="1487">
                  <c:v>7.6625139724002658E-2</c:v>
                </c:pt>
                <c:pt idx="1488">
                  <c:v>7.6278521887457748E-2</c:v>
                </c:pt>
                <c:pt idx="1489">
                  <c:v>7.5929512546366512E-2</c:v>
                </c:pt>
                <c:pt idx="1490">
                  <c:v>7.5578158956938729E-2</c:v>
                </c:pt>
                <c:pt idx="1491">
                  <c:v>7.5224508523808603E-2</c:v>
                </c:pt>
                <c:pt idx="1492">
                  <c:v>7.4868608789483856E-2</c:v>
                </c:pt>
                <c:pt idx="1493">
                  <c:v>7.4510507423807548E-2</c:v>
                </c:pt>
                <c:pt idx="1494">
                  <c:v>7.4150252213436685E-2</c:v>
                </c:pt>
                <c:pt idx="1495">
                  <c:v>7.378789105134051E-2</c:v>
                </c:pt>
                <c:pt idx="1496">
                  <c:v>7.3423471926321301E-2</c:v>
                </c:pt>
                <c:pt idx="1497">
                  <c:v>7.3057042912561584E-2</c:v>
                </c:pt>
                <c:pt idx="1498">
                  <c:v>7.2688652159200409E-2</c:v>
                </c:pt>
                <c:pt idx="1499">
                  <c:v>7.2318347879941527E-2</c:v>
                </c:pt>
                <c:pt idx="1500">
                  <c:v>7.1946178342697328E-2</c:v>
                </c:pt>
                <c:pt idx="1501">
                  <c:v>7.1572191859271231E-2</c:v>
                </c:pt>
                <c:pt idx="1502">
                  <c:v>7.1196436775080807E-2</c:v>
                </c:pt>
                <c:pt idx="1503">
                  <c:v>7.0818961458926299E-2</c:v>
                </c:pt>
                <c:pt idx="1504">
                  <c:v>7.0439814292805575E-2</c:v>
                </c:pt>
                <c:pt idx="1505">
                  <c:v>7.0059043661780007E-2</c:v>
                </c:pt>
                <c:pt idx="1506">
                  <c:v>6.9676697943893473E-2</c:v>
                </c:pt>
                <c:pt idx="1507">
                  <c:v>6.929282550014694E-2</c:v>
                </c:pt>
                <c:pt idx="1508">
                  <c:v>6.890747466453255E-2</c:v>
                </c:pt>
                <c:pt idx="1509">
                  <c:v>6.8520693734129126E-2</c:v>
                </c:pt>
                <c:pt idx="1510">
                  <c:v>6.813253095926175E-2</c:v>
                </c:pt>
                <c:pt idx="1511">
                  <c:v>6.7743034533729263E-2</c:v>
                </c:pt>
                <c:pt idx="1512">
                  <c:v>6.7352252585100691E-2</c:v>
                </c:pt>
                <c:pt idx="1513">
                  <c:v>6.696023316508469E-2</c:v>
                </c:pt>
                <c:pt idx="1514">
                  <c:v>6.6567024239974001E-2</c:v>
                </c:pt>
                <c:pt idx="1515">
                  <c:v>6.6172673681166971E-2</c:v>
                </c:pt>
                <c:pt idx="1516">
                  <c:v>6.5777229255769745E-2</c:v>
                </c:pt>
                <c:pt idx="1517">
                  <c:v>6.5380738617280831E-2</c:v>
                </c:pt>
                <c:pt idx="1518">
                  <c:v>6.498324929636029E-2</c:v>
                </c:pt>
                <c:pt idx="1519">
                  <c:v>6.4584808691686646E-2</c:v>
                </c:pt>
                <c:pt idx="1520">
                  <c:v>6.4185464060903447E-2</c:v>
                </c:pt>
                <c:pt idx="1521">
                  <c:v>6.3785262511657365E-2</c:v>
                </c:pt>
                <c:pt idx="1522">
                  <c:v>6.3384250992731025E-2</c:v>
                </c:pt>
                <c:pt idx="1523">
                  <c:v>6.2982476285271566E-2</c:v>
                </c:pt>
                <c:pt idx="1524">
                  <c:v>6.257998499411821E-2</c:v>
                </c:pt>
                <c:pt idx="1525">
                  <c:v>6.2176823539230215E-2</c:v>
                </c:pt>
                <c:pt idx="1526">
                  <c:v>6.1773038147217213E-2</c:v>
                </c:pt>
                <c:pt idx="1527">
                  <c:v>6.1368674842974473E-2</c:v>
                </c:pt>
                <c:pt idx="1528">
                  <c:v>6.0963779441424601E-2</c:v>
                </c:pt>
                <c:pt idx="1529">
                  <c:v>6.0558397539367426E-2</c:v>
                </c:pt>
                <c:pt idx="1530">
                  <c:v>6.0152574507440298E-2</c:v>
                </c:pt>
                <c:pt idx="1531">
                  <c:v>5.9746355482190698E-2</c:v>
                </c:pt>
                <c:pt idx="1532">
                  <c:v>5.9339785358261843E-2</c:v>
                </c:pt>
                <c:pt idx="1533">
                  <c:v>5.8932908780694557E-2</c:v>
                </c:pt>
                <c:pt idx="1534">
                  <c:v>5.8525770137345508E-2</c:v>
                </c:pt>
                <c:pt idx="1535">
                  <c:v>5.8118413551424455E-2</c:v>
                </c:pt>
                <c:pt idx="1536">
                  <c:v>5.771088287415161E-2</c:v>
                </c:pt>
                <c:pt idx="1537">
                  <c:v>5.7303221677536216E-2</c:v>
                </c:pt>
                <c:pt idx="1538">
                  <c:v>5.6895473247278491E-2</c:v>
                </c:pt>
                <c:pt idx="1539">
                  <c:v>5.648768057579593E-2</c:v>
                </c:pt>
                <c:pt idx="1540">
                  <c:v>5.6079886355374801E-2</c:v>
                </c:pt>
                <c:pt idx="1541">
                  <c:v>5.5672132971448962E-2</c:v>
                </c:pt>
                <c:pt idx="1542">
                  <c:v>5.5264462496006708E-2</c:v>
                </c:pt>
                <c:pt idx="1543">
                  <c:v>5.4856916681126321E-2</c:v>
                </c:pt>
                <c:pt idx="1544">
                  <c:v>5.4449536952642742E-2</c:v>
                </c:pt>
                <c:pt idx="1545">
                  <c:v>5.4042364403944547E-2</c:v>
                </c:pt>
                <c:pt idx="1546">
                  <c:v>5.3635439789903858E-2</c:v>
                </c:pt>
                <c:pt idx="1547">
                  <c:v>5.3228803520939484E-2</c:v>
                </c:pt>
                <c:pt idx="1548">
                  <c:v>5.2822495657213316E-2</c:v>
                </c:pt>
                <c:pt idx="1549">
                  <c:v>5.2416555902962354E-2</c:v>
                </c:pt>
                <c:pt idx="1550">
                  <c:v>5.2011023600966023E-2</c:v>
                </c:pt>
                <c:pt idx="1551">
                  <c:v>5.1605937727149449E-2</c:v>
                </c:pt>
                <c:pt idx="1552">
                  <c:v>5.1201336885323995E-2</c:v>
                </c:pt>
                <c:pt idx="1553">
                  <c:v>5.0797259302065266E-2</c:v>
                </c:pt>
                <c:pt idx="1554">
                  <c:v>5.0393742821728621E-2</c:v>
                </c:pt>
                <c:pt idx="1555">
                  <c:v>4.9990824901603975E-2</c:v>
                </c:pt>
                <c:pt idx="1556">
                  <c:v>4.958854260720847E-2</c:v>
                </c:pt>
                <c:pt idx="1557">
                  <c:v>4.9186932607719266E-2</c:v>
                </c:pt>
                <c:pt idx="1558">
                  <c:v>4.8786031171545584E-2</c:v>
                </c:pt>
                <c:pt idx="1559">
                  <c:v>4.8385874162040203E-2</c:v>
                </c:pt>
                <c:pt idx="1560">
                  <c:v>4.7986497033351477E-2</c:v>
                </c:pt>
                <c:pt idx="1561">
                  <c:v>4.7587934826415428E-2</c:v>
                </c:pt>
                <c:pt idx="1562">
                  <c:v>4.7190222165087725E-2</c:v>
                </c:pt>
                <c:pt idx="1563">
                  <c:v>4.6793393252416361E-2</c:v>
                </c:pt>
                <c:pt idx="1564">
                  <c:v>4.6397481867054696E-2</c:v>
                </c:pt>
                <c:pt idx="1565">
                  <c:v>4.6002521359814218E-2</c:v>
                </c:pt>
                <c:pt idx="1566">
                  <c:v>4.5608544650358199E-2</c:v>
                </c:pt>
                <c:pt idx="1567">
                  <c:v>4.5215584224034572E-2</c:v>
                </c:pt>
                <c:pt idx="1568">
                  <c:v>4.4823672128849204E-2</c:v>
                </c:pt>
                <c:pt idx="1569">
                  <c:v>4.4432839972578533E-2</c:v>
                </c:pt>
                <c:pt idx="1570">
                  <c:v>4.4043118920021072E-2</c:v>
                </c:pt>
                <c:pt idx="1571">
                  <c:v>4.3654539690388315E-2</c:v>
                </c:pt>
                <c:pt idx="1572">
                  <c:v>4.3267132554833991E-2</c:v>
                </c:pt>
                <c:pt idx="1573">
                  <c:v>4.2880927334120862E-2</c:v>
                </c:pt>
                <c:pt idx="1574">
                  <c:v>4.2495953396425964E-2</c:v>
                </c:pt>
                <c:pt idx="1575">
                  <c:v>4.2112239655281901E-2</c:v>
                </c:pt>
                <c:pt idx="1576">
                  <c:v>4.1729814567655246E-2</c:v>
                </c:pt>
                <c:pt idx="1577">
                  <c:v>4.1348706132160594E-2</c:v>
                </c:pt>
                <c:pt idx="1578">
                  <c:v>4.0968941887409405E-2</c:v>
                </c:pt>
                <c:pt idx="1579">
                  <c:v>4.0590548910493636E-2</c:v>
                </c:pt>
                <c:pt idx="1580">
                  <c:v>4.0213553815603084E-2</c:v>
                </c:pt>
                <c:pt idx="1581">
                  <c:v>3.9837982752775107E-2</c:v>
                </c:pt>
                <c:pt idx="1582">
                  <c:v>3.9463861406776858E-2</c:v>
                </c:pt>
                <c:pt idx="1583">
                  <c:v>3.909121499611861E-2</c:v>
                </c:pt>
                <c:pt idx="1584">
                  <c:v>3.87200682721969E-2</c:v>
                </c:pt>
                <c:pt idx="1585">
                  <c:v>3.8350445518567609E-2</c:v>
                </c:pt>
                <c:pt idx="1586">
                  <c:v>3.7982370550346575E-2</c:v>
                </c:pt>
                <c:pt idx="1587">
                  <c:v>3.761586671373808E-2</c:v>
                </c:pt>
                <c:pt idx="1588">
                  <c:v>3.7250956885689343E-2</c:v>
                </c:pt>
                <c:pt idx="1589">
                  <c:v>3.688766347366973E-2</c:v>
                </c:pt>
                <c:pt idx="1590">
                  <c:v>3.6526008415574407E-2</c:v>
                </c:pt>
                <c:pt idx="1591">
                  <c:v>3.61660131797506E-2</c:v>
                </c:pt>
                <c:pt idx="1592">
                  <c:v>3.5807698765145141E-2</c:v>
                </c:pt>
                <c:pt idx="1593">
                  <c:v>3.5451085701572703E-2</c:v>
                </c:pt>
                <c:pt idx="1594">
                  <c:v>3.5096194050103023E-2</c:v>
                </c:pt>
                <c:pt idx="1595">
                  <c:v>3.4743043403565578E-2</c:v>
                </c:pt>
                <c:pt idx="1596">
                  <c:v>3.4391652887171185E-2</c:v>
                </c:pt>
                <c:pt idx="1597">
                  <c:v>3.4042041159248096E-2</c:v>
                </c:pt>
                <c:pt idx="1598">
                  <c:v>3.3694226412092278E-2</c:v>
                </c:pt>
                <c:pt idx="1599">
                  <c:v>3.3348226372929717E-2</c:v>
                </c:pt>
                <c:pt idx="1600">
                  <c:v>3.3004058304989516E-2</c:v>
                </c:pt>
                <c:pt idx="1601">
                  <c:v>3.2661739008686373E-2</c:v>
                </c:pt>
                <c:pt idx="1602">
                  <c:v>3.2321284822911155E-2</c:v>
                </c:pt>
                <c:pt idx="1603">
                  <c:v>3.1982711626427379E-2</c:v>
                </c:pt>
                <c:pt idx="1604">
                  <c:v>3.164603483937288E-2</c:v>
                </c:pt>
                <c:pt idx="1605">
                  <c:v>3.1311269424864688E-2</c:v>
                </c:pt>
                <c:pt idx="1606">
                  <c:v>3.0978429890705282E-2</c:v>
                </c:pt>
                <c:pt idx="1607">
                  <c:v>3.0647530291189443E-2</c:v>
                </c:pt>
                <c:pt idx="1608">
                  <c:v>3.0318584229008891E-2</c:v>
                </c:pt>
                <c:pt idx="1609">
                  <c:v>2.9991604857254304E-2</c:v>
                </c:pt>
                <c:pt idx="1610">
                  <c:v>2.9666604881512338E-2</c:v>
                </c:pt>
                <c:pt idx="1611">
                  <c:v>2.9343596562055853E-2</c:v>
                </c:pt>
                <c:pt idx="1612">
                  <c:v>2.9022591716126277E-2</c:v>
                </c:pt>
                <c:pt idx="1613">
                  <c:v>2.8703601720305973E-2</c:v>
                </c:pt>
                <c:pt idx="1614">
                  <c:v>2.8386637512978753E-2</c:v>
                </c:pt>
                <c:pt idx="1615">
                  <c:v>2.8071709596877322E-2</c:v>
                </c:pt>
                <c:pt idx="1616">
                  <c:v>2.7758828041715519E-2</c:v>
                </c:pt>
                <c:pt idx="1617">
                  <c:v>2.7448002486903489E-2</c:v>
                </c:pt>
                <c:pt idx="1618">
                  <c:v>2.7139242144344607E-2</c:v>
                </c:pt>
                <c:pt idx="1619">
                  <c:v>2.6832555801311581E-2</c:v>
                </c:pt>
                <c:pt idx="1620">
                  <c:v>2.6527951823400654E-2</c:v>
                </c:pt>
                <c:pt idx="1621">
                  <c:v>2.6225438157561766E-2</c:v>
                </c:pt>
                <c:pt idx="1622">
                  <c:v>2.5925022335202753E-2</c:v>
                </c:pt>
                <c:pt idx="1623">
                  <c:v>2.5626711475366076E-2</c:v>
                </c:pt>
                <c:pt idx="1624">
                  <c:v>2.5330512287976316E-2</c:v>
                </c:pt>
                <c:pt idx="1625">
                  <c:v>2.5036431077155929E-2</c:v>
                </c:pt>
                <c:pt idx="1626">
                  <c:v>2.47444737446086E-2</c:v>
                </c:pt>
                <c:pt idx="1627">
                  <c:v>2.4454645793067113E-2</c:v>
                </c:pt>
                <c:pt idx="1628">
                  <c:v>2.4166952329804887E-2</c:v>
                </c:pt>
                <c:pt idx="1629">
                  <c:v>2.3881398070208948E-2</c:v>
                </c:pt>
                <c:pt idx="1630">
                  <c:v>2.3597987341412278E-2</c:v>
                </c:pt>
                <c:pt idx="1631">
                  <c:v>2.3316724085984189E-2</c:v>
                </c:pt>
                <c:pt idx="1632">
                  <c:v>2.3037611865676728E-2</c:v>
                </c:pt>
                <c:pt idx="1633">
                  <c:v>2.2760653865224918E-2</c:v>
                </c:pt>
                <c:pt idx="1634">
                  <c:v>2.2485852896199542E-2</c:v>
                </c:pt>
                <c:pt idx="1635">
                  <c:v>2.2213211400910478E-2</c:v>
                </c:pt>
                <c:pt idx="1636">
                  <c:v>2.1942731456358375E-2</c:v>
                </c:pt>
                <c:pt idx="1637">
                  <c:v>2.1674414778233616E-2</c:v>
                </c:pt>
                <c:pt idx="1638">
                  <c:v>2.1408262724959871E-2</c:v>
                </c:pt>
                <c:pt idx="1639">
                  <c:v>2.1144276301781222E-2</c:v>
                </c:pt>
                <c:pt idx="1640">
                  <c:v>2.088245616489063E-2</c:v>
                </c:pt>
                <c:pt idx="1641">
                  <c:v>2.0622802625597916E-2</c:v>
                </c:pt>
                <c:pt idx="1642">
                  <c:v>2.0365315654535695E-2</c:v>
                </c:pt>
                <c:pt idx="1643">
                  <c:v>2.0109994885901532E-2</c:v>
                </c:pt>
                <c:pt idx="1644">
                  <c:v>1.9856839621734068E-2</c:v>
                </c:pt>
                <c:pt idx="1645">
                  <c:v>1.9605848836222014E-2</c:v>
                </c:pt>
                <c:pt idx="1646">
                  <c:v>1.9357021180043857E-2</c:v>
                </c:pt>
                <c:pt idx="1647">
                  <c:v>1.9110354984736483E-2</c:v>
                </c:pt>
                <c:pt idx="1648">
                  <c:v>1.8865848267091451E-2</c:v>
                </c:pt>
                <c:pt idx="1649">
                  <c:v>1.8623498733576556E-2</c:v>
                </c:pt>
                <c:pt idx="1650">
                  <c:v>1.8383303784781545E-2</c:v>
                </c:pt>
                <c:pt idx="1651">
                  <c:v>1.8145260519886106E-2</c:v>
                </c:pt>
                <c:pt idx="1652">
                  <c:v>1.7909365741148178E-2</c:v>
                </c:pt>
                <c:pt idx="1653">
                  <c:v>1.7675615958411377E-2</c:v>
                </c:pt>
                <c:pt idx="1654">
                  <c:v>1.7444007393629727E-2</c:v>
                </c:pt>
                <c:pt idx="1655">
                  <c:v>1.7214535985407745E-2</c:v>
                </c:pt>
                <c:pt idx="1656">
                  <c:v>1.698719739355483E-2</c:v>
                </c:pt>
                <c:pt idx="1657">
                  <c:v>1.676198700365196E-2</c:v>
                </c:pt>
                <c:pt idx="1658">
                  <c:v>1.653889993162911E-2</c:v>
                </c:pt>
                <c:pt idx="1659">
                  <c:v>1.6317931028352193E-2</c:v>
                </c:pt>
                <c:pt idx="1660">
                  <c:v>1.6099074884217426E-2</c:v>
                </c:pt>
                <c:pt idx="1661">
                  <c:v>1.588232583375207E-2</c:v>
                </c:pt>
                <c:pt idx="1662">
                  <c:v>1.5667677960219902E-2</c:v>
                </c:pt>
                <c:pt idx="1663">
                  <c:v>1.5455125100229606E-2</c:v>
                </c:pt>
                <c:pt idx="1664">
                  <c:v>1.524466084834512E-2</c:v>
                </c:pt>
                <c:pt idx="1665">
                  <c:v>1.5036278561696209E-2</c:v>
                </c:pt>
                <c:pt idx="1666">
                  <c:v>1.4829971364587654E-2</c:v>
                </c:pt>
                <c:pt idx="1667">
                  <c:v>1.4625732153106061E-2</c:v>
                </c:pt>
                <c:pt idx="1668">
                  <c:v>1.4423553599722654E-2</c:v>
                </c:pt>
                <c:pt idx="1669">
                  <c:v>1.4223428157890466E-2</c:v>
                </c:pt>
                <c:pt idx="1670">
                  <c:v>1.4025348066635163E-2</c:v>
                </c:pt>
                <c:pt idx="1671">
                  <c:v>1.3829305355137465E-2</c:v>
                </c:pt>
                <c:pt idx="1672">
                  <c:v>1.3635291847306425E-2</c:v>
                </c:pt>
                <c:pt idx="1673">
                  <c:v>1.3443299166341998E-2</c:v>
                </c:pt>
                <c:pt idx="1674">
                  <c:v>1.325331873928557E-2</c:v>
                </c:pt>
                <c:pt idx="1675">
                  <c:v>1.3065341801557431E-2</c:v>
                </c:pt>
                <c:pt idx="1676">
                  <c:v>1.2879359401479881E-2</c:v>
                </c:pt>
                <c:pt idx="1677">
                  <c:v>1.2695362404784537E-2</c:v>
                </c:pt>
                <c:pt idx="1678">
                  <c:v>1.2513341499103062E-2</c:v>
                </c:pt>
                <c:pt idx="1679">
                  <c:v>1.2333287198439921E-2</c:v>
                </c:pt>
                <c:pt idx="1680">
                  <c:v>1.2155189847625911E-2</c:v>
                </c:pt>
                <c:pt idx="1681">
                  <c:v>1.1979039626751771E-2</c:v>
                </c:pt>
                <c:pt idx="1682">
                  <c:v>1.1804826555580253E-2</c:v>
                </c:pt>
                <c:pt idx="1683">
                  <c:v>1.1632540497936045E-2</c:v>
                </c:pt>
                <c:pt idx="1684">
                  <c:v>1.1462171166072368E-2</c:v>
                </c:pt>
                <c:pt idx="1685">
                  <c:v>1.1293708125012934E-2</c:v>
                </c:pt>
                <c:pt idx="1686">
                  <c:v>1.1127140796868766E-2</c:v>
                </c:pt>
                <c:pt idx="1687">
                  <c:v>1.0962458465128633E-2</c:v>
                </c:pt>
                <c:pt idx="1688">
                  <c:v>1.0799650278922039E-2</c:v>
                </c:pt>
                <c:pt idx="1689">
                  <c:v>1.0638705257254249E-2</c:v>
                </c:pt>
                <c:pt idx="1690">
                  <c:v>1.0479612293211944E-2</c:v>
                </c:pt>
                <c:pt idx="1691">
                  <c:v>1.0322360158139046E-2</c:v>
                </c:pt>
                <c:pt idx="1692">
                  <c:v>1.0166937505781763E-2</c:v>
                </c:pt>
                <c:pt idx="1693">
                  <c:v>1.001333287640173E-2</c:v>
                </c:pt>
                <c:pt idx="1694">
                  <c:v>9.8615347008569401E-3</c:v>
                </c:pt>
                <c:pt idx="1695">
                  <c:v>9.7115313046493811E-3</c:v>
                </c:pt>
                <c:pt idx="1696">
                  <c:v>9.563310911938518E-3</c:v>
                </c:pt>
                <c:pt idx="1697">
                  <c:v>9.4168616495202175E-3</c:v>
                </c:pt>
                <c:pt idx="1698">
                  <c:v>9.2721715507702307E-3</c:v>
                </c:pt>
                <c:pt idx="1699">
                  <c:v>9.1292285595514205E-3</c:v>
                </c:pt>
                <c:pt idx="1700">
                  <c:v>8.9880205340844167E-3</c:v>
                </c:pt>
                <c:pt idx="1701">
                  <c:v>8.8485352507806543E-3</c:v>
                </c:pt>
                <c:pt idx="1702">
                  <c:v>8.7107604080374976E-3</c:v>
                </c:pt>
                <c:pt idx="1703">
                  <c:v>8.5746836299948059E-3</c:v>
                </c:pt>
                <c:pt idx="1704">
                  <c:v>8.4402924702521084E-3</c:v>
                </c:pt>
                <c:pt idx="1705">
                  <c:v>8.3075744155462795E-3</c:v>
                </c:pt>
                <c:pt idx="1706">
                  <c:v>8.176516889388875E-3</c:v>
                </c:pt>
                <c:pt idx="1707">
                  <c:v>8.0471072556626451E-3</c:v>
                </c:pt>
                <c:pt idx="1708">
                  <c:v>7.9193328221769388E-3</c:v>
                </c:pt>
                <c:pt idx="1709">
                  <c:v>7.793180844181416E-3</c:v>
                </c:pt>
                <c:pt idx="1710">
                  <c:v>7.6686385278375542E-3</c:v>
                </c:pt>
                <c:pt idx="1711">
                  <c:v>7.5456930336478337E-3</c:v>
                </c:pt>
                <c:pt idx="1712">
                  <c:v>7.4243314798417724E-3</c:v>
                </c:pt>
                <c:pt idx="1713">
                  <c:v>7.3045409457189008E-3</c:v>
                </c:pt>
                <c:pt idx="1714">
                  <c:v>7.1863084749480451E-3</c:v>
                </c:pt>
                <c:pt idx="1715">
                  <c:v>7.0696210788226523E-3</c:v>
                </c:pt>
                <c:pt idx="1716">
                  <c:v>6.9544657394719194E-3</c:v>
                </c:pt>
                <c:pt idx="1717">
                  <c:v>6.840829413027434E-3</c:v>
                </c:pt>
                <c:pt idx="1718">
                  <c:v>6.7286990327449399E-3</c:v>
                </c:pt>
                <c:pt idx="1719">
                  <c:v>6.6180615120811827E-3</c:v>
                </c:pt>
                <c:pt idx="1720">
                  <c:v>6.5089037477255099E-3</c:v>
                </c:pt>
                <c:pt idx="1721">
                  <c:v>6.4012126225859662E-3</c:v>
                </c:pt>
                <c:pt idx="1722">
                  <c:v>6.2949750087299017E-3</c:v>
                </c:pt>
                <c:pt idx="1723">
                  <c:v>6.1901777702786662E-3</c:v>
                </c:pt>
                <c:pt idx="1724">
                  <c:v>6.0868077662564754E-3</c:v>
                </c:pt>
                <c:pt idx="1725">
                  <c:v>5.9848518533932712E-3</c:v>
                </c:pt>
                <c:pt idx="1726">
                  <c:v>5.8842968888813347E-3</c:v>
                </c:pt>
                <c:pt idx="1727">
                  <c:v>5.7851297330857613E-3</c:v>
                </c:pt>
                <c:pt idx="1728">
                  <c:v>5.6873372522086747E-3</c:v>
                </c:pt>
                <c:pt idx="1729">
                  <c:v>5.5909063209069586E-3</c:v>
                </c:pt>
                <c:pt idx="1730">
                  <c:v>5.4958238248637801E-3</c:v>
                </c:pt>
                <c:pt idx="1731">
                  <c:v>5.402076663313651E-3</c:v>
                </c:pt>
                <c:pt idx="1732">
                  <c:v>5.3096517515210861E-3</c:v>
                </c:pt>
                <c:pt idx="1733">
                  <c:v>5.2185360232130037E-3</c:v>
                </c:pt>
                <c:pt idx="1734">
                  <c:v>5.1287164329646478E-3</c:v>
                </c:pt>
                <c:pt idx="1735">
                  <c:v>5.0401799585393803E-3</c:v>
                </c:pt>
                <c:pt idx="1736">
                  <c:v>4.9529136031822036E-3</c:v>
                </c:pt>
                <c:pt idx="1737">
                  <c:v>4.8669043978671628E-3</c:v>
                </c:pt>
                <c:pt idx="1738">
                  <c:v>4.7821394034987365E-3</c:v>
                </c:pt>
                <c:pt idx="1739">
                  <c:v>4.6986057130673662E-3</c:v>
                </c:pt>
                <c:pt idx="1740">
                  <c:v>4.6162904537590897E-3</c:v>
                </c:pt>
                <c:pt idx="1741">
                  <c:v>4.5351807890196905E-3</c:v>
                </c:pt>
                <c:pt idx="1742">
                  <c:v>4.4552639205732453E-3</c:v>
                </c:pt>
                <c:pt idx="1743">
                  <c:v>4.3765270903954254E-3</c:v>
                </c:pt>
                <c:pt idx="1744">
                  <c:v>4.2989575826417005E-3</c:v>
                </c:pt>
                <c:pt idx="1745">
                  <c:v>4.2225427255305308E-3</c:v>
                </c:pt>
                <c:pt idx="1746">
                  <c:v>4.1472698931819107E-3</c:v>
                </c:pt>
                <c:pt idx="1747">
                  <c:v>4.0731265074114295E-3</c:v>
                </c:pt>
                <c:pt idx="1748">
                  <c:v>4.0001000394800038E-3</c:v>
                </c:pt>
                <c:pt idx="1749">
                  <c:v>3.9281780117996689E-3</c:v>
                </c:pt>
                <c:pt idx="1750">
                  <c:v>3.8573479995956E-3</c:v>
                </c:pt>
                <c:pt idx="1751">
                  <c:v>3.7875976325245958E-3</c:v>
                </c:pt>
                <c:pt idx="1752">
                  <c:v>3.7189145962504399E-3</c:v>
                </c:pt>
                <c:pt idx="1753">
                  <c:v>3.6512866339762744E-3</c:v>
                </c:pt>
                <c:pt idx="1754">
                  <c:v>3.5847015479344079E-3</c:v>
                </c:pt>
                <c:pt idx="1755">
                  <c:v>3.5191472008338264E-3</c:v>
                </c:pt>
                <c:pt idx="1756">
                  <c:v>3.4546115172656546E-3</c:v>
                </c:pt>
                <c:pt idx="1757">
                  <c:v>3.3910824850670392E-3</c:v>
                </c:pt>
                <c:pt idx="1758">
                  <c:v>3.3285481566437064E-3</c:v>
                </c:pt>
                <c:pt idx="1759">
                  <c:v>3.2669966502515031E-3</c:v>
                </c:pt>
                <c:pt idx="1760">
                  <c:v>3.206416151237383E-3</c:v>
                </c:pt>
                <c:pt idx="1761">
                  <c:v>3.1467949132401554E-3</c:v>
                </c:pt>
                <c:pt idx="1762">
                  <c:v>3.0881212593512775E-3</c:v>
                </c:pt>
                <c:pt idx="1763">
                  <c:v>3.0303835832362659E-3</c:v>
                </c:pt>
                <c:pt idx="1764">
                  <c:v>2.9735703502169072E-3</c:v>
                </c:pt>
                <c:pt idx="1765">
                  <c:v>2.9176700983148079E-3</c:v>
                </c:pt>
                <c:pt idx="1766">
                  <c:v>2.8626714392566339E-3</c:v>
                </c:pt>
                <c:pt idx="1767">
                  <c:v>2.8085630594413963E-3</c:v>
                </c:pt>
                <c:pt idx="1768">
                  <c:v>2.7553337208702944E-3</c:v>
                </c:pt>
                <c:pt idx="1769">
                  <c:v>2.7029722620394679E-3</c:v>
                </c:pt>
                <c:pt idx="1770">
                  <c:v>2.6514675987960828E-3</c:v>
                </c:pt>
                <c:pt idx="1771">
                  <c:v>2.6008087251582126E-3</c:v>
                </c:pt>
                <c:pt idx="1772">
                  <c:v>2.5509847140989502E-3</c:v>
                </c:pt>
                <c:pt idx="1773">
                  <c:v>2.5019847182951123E-3</c:v>
                </c:pt>
                <c:pt idx="1774">
                  <c:v>2.4537979708411117E-3</c:v>
                </c:pt>
                <c:pt idx="1775">
                  <c:v>2.406413785928316E-3</c:v>
                </c:pt>
                <c:pt idx="1776">
                  <c:v>2.3598215594904299E-3</c:v>
                </c:pt>
                <c:pt idx="1777">
                  <c:v>2.3140107698153365E-3</c:v>
                </c:pt>
                <c:pt idx="1778">
                  <c:v>2.2689709781237946E-3</c:v>
                </c:pt>
                <c:pt idx="1779">
                  <c:v>2.2246918291155653E-3</c:v>
                </c:pt>
                <c:pt idx="1780">
                  <c:v>2.18116305148334E-3</c:v>
                </c:pt>
                <c:pt idx="1781">
                  <c:v>2.1383744583949684E-3</c:v>
                </c:pt>
                <c:pt idx="1782">
                  <c:v>2.0963159479444608E-3</c:v>
                </c:pt>
                <c:pt idx="1783">
                  <c:v>2.0549775035722507E-3</c:v>
                </c:pt>
                <c:pt idx="1784">
                  <c:v>2.0143491944551164E-3</c:v>
                </c:pt>
                <c:pt idx="1785">
                  <c:v>1.9744211758663715E-3</c:v>
                </c:pt>
                <c:pt idx="1786">
                  <c:v>1.9351836895066155E-3</c:v>
                </c:pt>
                <c:pt idx="1787">
                  <c:v>1.8966270638057518E-3</c:v>
                </c:pt>
                <c:pt idx="1788">
                  <c:v>1.858741714196533E-3</c:v>
                </c:pt>
                <c:pt idx="1789">
                  <c:v>1.8215181433602059E-3</c:v>
                </c:pt>
                <c:pt idx="1790">
                  <c:v>1.784946941444815E-3</c:v>
                </c:pt>
                <c:pt idx="1791">
                  <c:v>1.7490187862565015E-3</c:v>
                </c:pt>
                <c:pt idx="1792">
                  <c:v>1.7137244434243203E-3</c:v>
                </c:pt>
                <c:pt idx="1793">
                  <c:v>1.6790547665391728E-3</c:v>
                </c:pt>
                <c:pt idx="1794">
                  <c:v>1.6450006972671513E-3</c:v>
                </c:pt>
                <c:pt idx="1795">
                  <c:v>1.611553265437873E-3</c:v>
                </c:pt>
                <c:pt idx="1796">
                  <c:v>1.5787035891083364E-3</c:v>
                </c:pt>
                <c:pt idx="1797">
                  <c:v>1.5464428746026538E-3</c:v>
                </c:pt>
                <c:pt idx="1798">
                  <c:v>1.5147624165281861E-3</c:v>
                </c:pt>
                <c:pt idx="1799">
                  <c:v>1.4836535977686448E-3</c:v>
                </c:pt>
                <c:pt idx="1800">
                  <c:v>1.4531078894544803E-3</c:v>
                </c:pt>
                <c:pt idx="1801">
                  <c:v>1.4231168509111197E-3</c:v>
                </c:pt>
                <c:pt idx="1802">
                  <c:v>1.3936721295855585E-3</c:v>
                </c:pt>
                <c:pt idx="1803">
                  <c:v>1.364765460951685E-3</c:v>
                </c:pt>
                <c:pt idx="1804">
                  <c:v>1.3363886683948635E-3</c:v>
                </c:pt>
                <c:pt idx="1805">
                  <c:v>1.3085336630762063E-3</c:v>
                </c:pt>
                <c:pt idx="1806">
                  <c:v>1.2811924437770678E-3</c:v>
                </c:pt>
                <c:pt idx="1807">
                  <c:v>1.2543570967241317E-3</c:v>
                </c:pt>
                <c:pt idx="1808">
                  <c:v>1.2280197953955737E-3</c:v>
                </c:pt>
                <c:pt idx="1809">
                  <c:v>1.2021728003088327E-3</c:v>
                </c:pt>
                <c:pt idx="1810">
                  <c:v>1.1768084587903218E-3</c:v>
                </c:pt>
                <c:pt idx="1811">
                  <c:v>1.151919204727589E-3</c:v>
                </c:pt>
                <c:pt idx="1812">
                  <c:v>1.1274975583044214E-3</c:v>
                </c:pt>
                <c:pt idx="1813">
                  <c:v>1.1035361257192415E-3</c:v>
                </c:pt>
                <c:pt idx="1814">
                  <c:v>1.0800275988872667E-3</c:v>
                </c:pt>
                <c:pt idx="1815">
                  <c:v>1.0569647551269415E-3</c:v>
                </c:pt>
                <c:pt idx="1816">
                  <c:v>1.0343404568309625E-3</c:v>
                </c:pt>
                <c:pt idx="1817">
                  <c:v>#N/A</c:v>
                </c:pt>
                <c:pt idx="1818">
                  <c:v>7.8958653652619854E-109</c:v>
                </c:pt>
                <c:pt idx="1819">
                  <c:v>3.0099715831720964E-108</c:v>
                </c:pt>
                <c:pt idx="1820">
                  <c:v>1.1432917185994642E-107</c:v>
                </c:pt>
                <c:pt idx="1821">
                  <c:v>4.3269683756551719E-107</c:v>
                </c:pt>
                <c:pt idx="1822">
                  <c:v>1.6317077852988018E-106</c:v>
                </c:pt>
                <c:pt idx="1823">
                  <c:v>6.1310244974141717E-106</c:v>
                </c:pt>
                <c:pt idx="1824">
                  <c:v>2.2953859464841246E-105</c:v>
                </c:pt>
                <c:pt idx="1825">
                  <c:v>8.5626932561326168E-105</c:v>
                </c:pt>
                <c:pt idx="1826">
                  <c:v>3.1827099050436568E-104</c:v>
                </c:pt>
                <c:pt idx="1827">
                  <c:v>1.178733770514617E-103</c:v>
                </c:pt>
                <c:pt idx="1828">
                  <c:v>4.3497710431098152E-103</c:v>
                </c:pt>
                <c:pt idx="1829">
                  <c:v>1.5993704606073632E-102</c:v>
                </c:pt>
                <c:pt idx="1830">
                  <c:v>5.8595429855072373E-102</c:v>
                </c:pt>
                <c:pt idx="1831">
                  <c:v>2.1389982031161021E-101</c:v>
                </c:pt>
                <c:pt idx="1832">
                  <c:v>7.7801701694733114E-101</c:v>
                </c:pt>
                <c:pt idx="1833">
                  <c:v>2.8196796734254682E-100</c:v>
                </c:pt>
                <c:pt idx="1834">
                  <c:v>1.0182219436585973E-99</c:v>
                </c:pt>
                <c:pt idx="1835">
                  <c:v>3.6636766124232273E-99</c:v>
                </c:pt>
                <c:pt idx="1836">
                  <c:v>1.3134810551302044E-98</c:v>
                </c:pt>
                <c:pt idx="1837">
                  <c:v>4.6920485298598326E-98</c:v>
                </c:pt>
                <c:pt idx="1838">
                  <c:v>1.6700642473176901E-97</c:v>
                </c:pt>
                <c:pt idx="1839">
                  <c:v>5.9229199536182569E-97</c:v>
                </c:pt>
                <c:pt idx="1840">
                  <c:v>2.093006365022992E-96</c:v>
                </c:pt>
                <c:pt idx="1841">
                  <c:v>7.3694866420330707E-96</c:v>
                </c:pt>
                <c:pt idx="1842">
                  <c:v>2.5854486945126084E-95</c:v>
                </c:pt>
                <c:pt idx="1843">
                  <c:v>9.0378808873458173E-95</c:v>
                </c:pt>
                <c:pt idx="1844">
                  <c:v>3.1479607139525274E-94</c:v>
                </c:pt>
                <c:pt idx="1845">
                  <c:v>1.0925064141647055E-93</c:v>
                </c:pt>
                <c:pt idx="1846">
                  <c:v>3.7779020019269401E-93</c:v>
                </c:pt>
                <c:pt idx="1847">
                  <c:v>1.3016954361739666E-92</c:v>
                </c:pt>
                <c:pt idx="1848">
                  <c:v>4.4688942450020825E-92</c:v>
                </c:pt>
                <c:pt idx="1849">
                  <c:v>1.5287017884453798E-91</c:v>
                </c:pt>
                <c:pt idx="1850">
                  <c:v>5.2104768558349349E-91</c:v>
                </c:pt>
                <c:pt idx="1851">
                  <c:v>1.7695554247316797E-90</c:v>
                </c:pt>
                <c:pt idx="1852">
                  <c:v>5.9880148637177865E-90</c:v>
                </c:pt>
                <c:pt idx="1853">
                  <c:v>2.0189872238062232E-89</c:v>
                </c:pt>
                <c:pt idx="1854">
                  <c:v>6.7829134099034451E-89</c:v>
                </c:pt>
                <c:pt idx="1855">
                  <c:v>2.2705495102986558E-88</c:v>
                </c:pt>
                <c:pt idx="1856">
                  <c:v>7.5731695647981975E-88</c:v>
                </c:pt>
                <c:pt idx="1857">
                  <c:v>2.516844514824131E-87</c:v>
                </c:pt>
                <c:pt idx="1858">
                  <c:v>8.3342609346852336E-87</c:v>
                </c:pt>
                <c:pt idx="1859">
                  <c:v>2.7498550477644454E-86</c:v>
                </c:pt>
                <c:pt idx="1860">
                  <c:v>9.0403347255353612E-86</c:v>
                </c:pt>
                <c:pt idx="1861">
                  <c:v>2.9613601047892777E-85</c:v>
                </c:pt>
                <c:pt idx="1862">
                  <c:v>9.6656248050350436E-85</c:v>
                </c:pt>
                <c:pt idx="1863">
                  <c:v>3.1434072153904632E-84</c:v>
                </c:pt>
                <c:pt idx="1864">
                  <c:v>1.018599267858762E-83</c:v>
                </c:pt>
                <c:pt idx="1865">
                  <c:v>3.2888046273435866E-83</c:v>
                </c:pt>
                <c:pt idx="1866">
                  <c:v>1.0580465883189055E-82</c:v>
                </c:pt>
                <c:pt idx="1867">
                  <c:v>3.3915912694102346E-82</c:v>
                </c:pt>
                <c:pt idx="1868">
                  <c:v>1.0832637924429206E-81</c:v>
                </c:pt>
                <c:pt idx="1869">
                  <c:v>3.4474418321010928E-81</c:v>
                </c:pt>
                <c:pt idx="1870">
                  <c:v>1.0931799763740036E-80</c:v>
                </c:pt>
                <c:pt idx="1871">
                  <c:v>3.4539686421476313E-80</c:v>
                </c:pt>
                <c:pt idx="1872">
                  <c:v>1.0873694163631187E-79</c:v>
                </c:pt>
                <c:pt idx="1873">
                  <c:v>3.4108909779612618E-79</c:v>
                </c:pt>
                <c:pt idx="1874">
                  <c:v>1.0660818855191144E-78</c:v>
                </c:pt>
                <c:pt idx="1875">
                  <c:v>3.3200550967748686E-78</c:v>
                </c:pt>
                <c:pt idx="1876">
                  <c:v>1.0302248446759421E-77</c:v>
                </c:pt>
                <c:pt idx="1877">
                  <c:v>3.1853029827196188E-77</c:v>
                </c:pt>
                <c:pt idx="1878">
                  <c:v>9.8129927664660541E-77</c:v>
                </c:pt>
                <c:pt idx="1879">
                  <c:v>3.0122028168685722E-76</c:v>
                </c:pt>
                <c:pt idx="1880">
                  <c:v>9.2129548560427093E-76</c:v>
                </c:pt>
                <c:pt idx="1881">
                  <c:v>2.8076675141564772E-75</c:v>
                </c:pt>
                <c:pt idx="1882">
                  <c:v>8.5255893881224977E-75</c:v>
                </c:pt>
                <c:pt idx="1883">
                  <c:v>2.5794977210252634E-74</c:v>
                </c:pt>
                <c:pt idx="1884">
                  <c:v>7.7763873657747568E-74</c:v>
                </c:pt>
                <c:pt idx="1885">
                  <c:v>2.3358912758965909E-73</c:v>
                </c:pt>
                <c:pt idx="1886">
                  <c:v>6.9913229590273467E-73</c:v>
                </c:pt>
                <c:pt idx="1887">
                  <c:v>2.0849618150994228E-72</c:v>
                </c:pt>
                <c:pt idx="1888">
                  <c:v>6.1953928144643241E-72</c:v>
                </c:pt>
                <c:pt idx="1889">
                  <c:v>1.8343051740622444E-71</c:v>
                </c:pt>
                <c:pt idx="1890">
                  <c:v>5.411358860560027E-71</c:v>
                </c:pt>
                <c:pt idx="1891">
                  <c:v>1.5906443286214837E-70</c:v>
                </c:pt>
                <c:pt idx="1892">
                  <c:v>4.6587759865141098E-70</c:v>
                </c:pt>
                <c:pt idx="1893">
                  <c:v>1.3595731410554596E-69</c:v>
                </c:pt>
                <c:pt idx="1894">
                  <c:v>3.9533505493407267E-69</c:v>
                </c:pt>
                <c:pt idx="1895">
                  <c:v>1.1454076411034291E-68</c:v>
                </c:pt>
                <c:pt idx="1896">
                  <c:v>3.3066393342134144E-68</c:v>
                </c:pt>
                <c:pt idx="1897">
                  <c:v>9.5114248389189186E-68</c:v>
                </c:pt>
                <c:pt idx="1898">
                  <c:v>2.7260657999402907E-67</c:v>
                </c:pt>
                <c:pt idx="1899">
                  <c:v>7.7850084709157253E-67</c:v>
                </c:pt>
                <c:pt idx="1900">
                  <c:v>2.2152046060855445E-66</c:v>
                </c:pt>
                <c:pt idx="1901">
                  <c:v>6.2805923121045047E-66</c:v>
                </c:pt>
                <c:pt idx="1902">
                  <c:v>1.7742685803570002E-65</c:v>
                </c:pt>
                <c:pt idx="1903">
                  <c:v>4.9942481998360121E-65</c:v>
                </c:pt>
                <c:pt idx="1904">
                  <c:v>1.4007250089991455E-64</c:v>
                </c:pt>
                <c:pt idx="1905">
                  <c:v>3.9144220120955479E-64</c:v>
                </c:pt>
                <c:pt idx="1906">
                  <c:v>1.0899696576365807E-63</c:v>
                </c:pt>
                <c:pt idx="1907">
                  <c:v>3.024079282045792E-63</c:v>
                </c:pt>
                <c:pt idx="1908">
                  <c:v>8.3599549775530124E-63</c:v>
                </c:pt>
                <c:pt idx="1909">
                  <c:v>2.3027495465067531E-62</c:v>
                </c:pt>
                <c:pt idx="1910">
                  <c:v>6.3200639612319229E-62</c:v>
                </c:pt>
                <c:pt idx="1911">
                  <c:v>1.7283362653418599E-61</c:v>
                </c:pt>
                <c:pt idx="1912">
                  <c:v>4.7094155468836893E-61</c:v>
                </c:pt>
                <c:pt idx="1913">
                  <c:v>1.2786090815769618E-60</c:v>
                </c:pt>
                <c:pt idx="1914">
                  <c:v>3.4589203188913352E-60</c:v>
                </c:pt>
                <c:pt idx="1915">
                  <c:v>9.3234217775051494E-60</c:v>
                </c:pt>
                <c:pt idx="1916">
                  <c:v>2.5040448693083858E-59</c:v>
                </c:pt>
                <c:pt idx="1917">
                  <c:v>6.7010195181630528E-59</c:v>
                </c:pt>
                <c:pt idx="1918">
                  <c:v>1.7867823770278942E-58</c:v>
                </c:pt>
                <c:pt idx="1919">
                  <c:v>4.7471662245993643E-58</c:v>
                </c:pt>
                <c:pt idx="1920">
                  <c:v>1.2566930662002624E-57</c:v>
                </c:pt>
                <c:pt idx="1921">
                  <c:v>3.3147898463662011E-57</c:v>
                </c:pt>
                <c:pt idx="1922">
                  <c:v>8.7119381208696113E-57</c:v>
                </c:pt>
                <c:pt idx="1923">
                  <c:v>2.2814216860118924E-56</c:v>
                </c:pt>
                <c:pt idx="1924">
                  <c:v>5.952896749225243E-56</c:v>
                </c:pt>
                <c:pt idx="1925">
                  <c:v>1.5476870034019303E-55</c:v>
                </c:pt>
                <c:pt idx="1926">
                  <c:v>4.0093126340050309E-55</c:v>
                </c:pt>
                <c:pt idx="1927">
                  <c:v>1.0348769420389884E-54</c:v>
                </c:pt>
                <c:pt idx="1928">
                  <c:v>2.6615798491844735E-54</c:v>
                </c:pt>
                <c:pt idx="1929">
                  <c:v>6.8205954383486623E-54</c:v>
                </c:pt>
                <c:pt idx="1930">
                  <c:v>1.7415545483810685E-53</c:v>
                </c:pt>
                <c:pt idx="1931">
                  <c:v>4.4308176250764073E-53</c:v>
                </c:pt>
                <c:pt idx="1932">
                  <c:v>1.1232144152831884E-52</c:v>
                </c:pt>
                <c:pt idx="1933">
                  <c:v>2.8370922908020588E-52</c:v>
                </c:pt>
                <c:pt idx="1934">
                  <c:v>7.1402967263552053E-52</c:v>
                </c:pt>
                <c:pt idx="1935">
                  <c:v>1.7905689839421796E-51</c:v>
                </c:pt>
                <c:pt idx="1936">
                  <c:v>4.4740193292526419E-51</c:v>
                </c:pt>
                <c:pt idx="1937">
                  <c:v>1.1138755109236945E-50</c:v>
                </c:pt>
                <c:pt idx="1938">
                  <c:v>2.7631690571353121E-50</c:v>
                </c:pt>
                <c:pt idx="1939">
                  <c:v>6.8298357428981811E-50</c:v>
                </c:pt>
                <c:pt idx="1940">
                  <c:v>1.6820738623865436E-49</c:v>
                </c:pt>
                <c:pt idx="1941">
                  <c:v>4.1277355613165093E-49</c:v>
                </c:pt>
                <c:pt idx="1942">
                  <c:v>1.0092776884065007E-48</c:v>
                </c:pt>
                <c:pt idx="1943">
                  <c:v>2.4589034681814454E-48</c:v>
                </c:pt>
                <c:pt idx="1944">
                  <c:v>5.9690372284279862E-48</c:v>
                </c:pt>
                <c:pt idx="1945">
                  <c:v>1.443773601650614E-47</c:v>
                </c:pt>
                <c:pt idx="1946">
                  <c:v>3.4795726390788419E-47</c:v>
                </c:pt>
                <c:pt idx="1947">
                  <c:v>8.3557361696117891E-47</c:v>
                </c:pt>
                <c:pt idx="1948">
                  <c:v>1.9992887928943999E-46</c:v>
                </c:pt>
                <c:pt idx="1949">
                  <c:v>4.7664862602271251E-46</c:v>
                </c:pt>
                <c:pt idx="1950">
                  <c:v>1.1322782384658742E-45</c:v>
                </c:pt>
                <c:pt idx="1951">
                  <c:v>2.6800319831221933E-45</c:v>
                </c:pt>
                <c:pt idx="1952">
                  <c:v>6.3206070951882761E-45</c:v>
                </c:pt>
                <c:pt idx="1953">
                  <c:v>1.4852843771079541E-44</c:v>
                </c:pt>
                <c:pt idx="1954">
                  <c:v>3.4777025419806003E-44</c:v>
                </c:pt>
                <c:pt idx="1955">
                  <c:v>8.1134815660428212E-44</c:v>
                </c:pt>
                <c:pt idx="1956">
                  <c:v>1.8860537958357762E-43</c:v>
                </c:pt>
                <c:pt idx="1957">
                  <c:v>4.3685056252802812E-43</c:v>
                </c:pt>
                <c:pt idx="1958">
                  <c:v>1.0081931068974035E-42</c:v>
                </c:pt>
                <c:pt idx="1959">
                  <c:v>2.3183902916126293E-42</c:v>
                </c:pt>
                <c:pt idx="1960">
                  <c:v>5.3120404859853061E-42</c:v>
                </c:pt>
                <c:pt idx="1961">
                  <c:v>1.2127414023784201E-41</c:v>
                </c:pt>
                <c:pt idx="1962">
                  <c:v>2.758716253657488E-41</c:v>
                </c:pt>
                <c:pt idx="1963">
                  <c:v>6.2528478914700354E-41</c:v>
                </c:pt>
                <c:pt idx="1964">
                  <c:v>1.4121495618496795E-40</c:v>
                </c:pt>
                <c:pt idx="1965">
                  <c:v>3.177719275710278E-40</c:v>
                </c:pt>
                <c:pt idx="1966">
                  <c:v>7.1249588805546711E-40</c:v>
                </c:pt>
                <c:pt idx="1967">
                  <c:v>1.5917732329868587E-39</c:v>
                </c:pt>
                <c:pt idx="1968">
                  <c:v>3.5433335281216505E-39</c:v>
                </c:pt>
                <c:pt idx="1969">
                  <c:v>7.8591372117207993E-39</c:v>
                </c:pt>
                <c:pt idx="1970">
                  <c:v>1.7368795817854983E-38</c:v>
                </c:pt>
                <c:pt idx="1971">
                  <c:v>3.8246927233208055E-38</c:v>
                </c:pt>
                <c:pt idx="1972">
                  <c:v>8.3918051340454907E-38</c:v>
                </c:pt>
                <c:pt idx="1973">
                  <c:v>1.8346204608191061E-37</c:v>
                </c:pt>
                <c:pt idx="1974">
                  <c:v>3.9964011572088057E-37</c:v>
                </c:pt>
                <c:pt idx="1975">
                  <c:v>8.6740899322856906E-37</c:v>
                </c:pt>
                <c:pt idx="1976">
                  <c:v>1.8759046773126885E-36</c:v>
                </c:pt>
                <c:pt idx="1977">
                  <c:v>4.0423099732947065E-36</c:v>
                </c:pt>
                <c:pt idx="1978">
                  <c:v>8.6792152876385942E-36</c:v>
                </c:pt>
                <c:pt idx="1979">
                  <c:v>1.8567922312420973E-35</c:v>
                </c:pt>
                <c:pt idx="1980">
                  <c:v>3.9580216075707137E-35</c:v>
                </c:pt>
                <c:pt idx="1981">
                  <c:v>8.406689601377079E-35</c:v>
                </c:pt>
                <c:pt idx="1982">
                  <c:v>1.7791143600538415E-34</c:v>
                </c:pt>
                <c:pt idx="1983">
                  <c:v>3.7515843802736396E-34</c:v>
                </c:pt>
                <c:pt idx="1984">
                  <c:v>7.882383743537154E-34</c:v>
                </c:pt>
                <c:pt idx="1985">
                  <c:v>1.6501842220816512E-33</c:v>
                </c:pt>
                <c:pt idx="1986">
                  <c:v>3.442225264554766E-33</c:v>
                </c:pt>
                <c:pt idx="1987">
                  <c:v>7.1544811940734797E-33</c:v>
                </c:pt>
                <c:pt idx="1988">
                  <c:v>1.4816615343929662E-32</c:v>
                </c:pt>
                <c:pt idx="1989">
                  <c:v>3.0573972261918527E-32</c:v>
                </c:pt>
                <c:pt idx="1990">
                  <c:v>6.2861787961669839E-32</c:v>
                </c:pt>
                <c:pt idx="1991">
                  <c:v>1.2878153363359778E-31</c:v>
                </c:pt>
                <c:pt idx="1992">
                  <c:v>2.628769197057267E-31</c:v>
                </c:pt>
                <c:pt idx="1993">
                  <c:v>5.3466692972230112E-31</c:v>
                </c:pt>
                <c:pt idx="1994">
                  <c:v>1.0835430971697764E-30</c:v>
                </c:pt>
                <c:pt idx="1995">
                  <c:v>2.1879684626591805E-30</c:v>
                </c:pt>
                <c:pt idx="1996">
                  <c:v>4.402181324103353E-30</c:v>
                </c:pt>
                <c:pt idx="1997">
                  <c:v>8.8252455404621644E-30</c:v>
                </c:pt>
                <c:pt idx="1998">
                  <c:v>1.7628593724116251E-29</c:v>
                </c:pt>
                <c:pt idx="1999">
                  <c:v>3.5086539885410302E-29</c:v>
                </c:pt>
                <c:pt idx="2000">
                  <c:v>6.9581760963893275E-29</c:v>
                </c:pt>
                <c:pt idx="2001">
                  <c:v>1.3749353903528582E-28</c:v>
                </c:pt>
                <c:pt idx="2002">
                  <c:v>2.7070804779164636E-28</c:v>
                </c:pt>
                <c:pt idx="2003">
                  <c:v>5.3107033685419797E-28</c:v>
                </c:pt>
                <c:pt idx="2004">
                  <c:v>1.0380897981463519E-27</c:v>
                </c:pt>
                <c:pt idx="2005">
                  <c:v>2.0218540523690235E-27</c:v>
                </c:pt>
                <c:pt idx="2006">
                  <c:v>3.9237080344619988E-27</c:v>
                </c:pt>
                <c:pt idx="2007">
                  <c:v>7.5870957673460612E-27</c:v>
                </c:pt>
                <c:pt idx="2008">
                  <c:v>1.4617949232333858E-26</c:v>
                </c:pt>
                <c:pt idx="2009">
                  <c:v>2.8062692260736657E-26</c:v>
                </c:pt>
                <c:pt idx="2010">
                  <c:v>5.3678975623840615E-26</c:v>
                </c:pt>
                <c:pt idx="2011">
                  <c:v>1.0230835606402061E-25</c:v>
                </c:pt>
                <c:pt idx="2012">
                  <c:v>1.942897969113472E-25</c:v>
                </c:pt>
                <c:pt idx="2013">
                  <c:v>3.6763841369266722E-25</c:v>
                </c:pt>
                <c:pt idx="2014">
                  <c:v>6.9314448782495761E-25</c:v>
                </c:pt>
                <c:pt idx="2015">
                  <c:v>1.3021429545145297E-24</c:v>
                </c:pt>
                <c:pt idx="2016">
                  <c:v>2.4373929924027111E-24</c:v>
                </c:pt>
                <c:pt idx="2017">
                  <c:v>4.5459478792519041E-24</c:v>
                </c:pt>
                <c:pt idx="2018">
                  <c:v>8.4480280499117357E-24</c:v>
                </c:pt>
                <c:pt idx="2019">
                  <c:v>1.5642935098072859E-23</c:v>
                </c:pt>
                <c:pt idx="2020">
                  <c:v>2.8861117363385686E-23</c:v>
                </c:pt>
                <c:pt idx="2021">
                  <c:v>5.3056676186832068E-23</c:v>
                </c:pt>
                <c:pt idx="2022">
                  <c:v>9.7184932927889367E-23</c:v>
                </c:pt>
                <c:pt idx="2023">
                  <c:v>1.7737395108477165E-22</c:v>
                </c:pt>
                <c:pt idx="2024">
                  <c:v>3.2256165772126957E-22</c:v>
                </c:pt>
                <c:pt idx="2025">
                  <c:v>5.8447729603095451E-22</c:v>
                </c:pt>
                <c:pt idx="2026">
                  <c:v>1.0552480303085364E-21</c:v>
                </c:pt>
                <c:pt idx="2027">
                  <c:v>1.8983376264350328E-21</c:v>
                </c:pt>
                <c:pt idx="2028">
                  <c:v>3.4027054971400135E-21</c:v>
                </c:pt>
                <c:pt idx="2029">
                  <c:v>6.0772523568092968E-21</c:v>
                </c:pt>
                <c:pt idx="2030">
                  <c:v>1.0814891827845049E-20</c:v>
                </c:pt>
                <c:pt idx="2031">
                  <c:v>1.9176488762732384E-20</c:v>
                </c:pt>
                <c:pt idx="2032">
                  <c:v>3.3880358869420538E-20</c:v>
                </c:pt>
                <c:pt idx="2033">
                  <c:v>5.9642922343140842E-20</c:v>
                </c:pt>
                <c:pt idx="2034">
                  <c:v>1.0461689555961217E-19</c:v>
                </c:pt>
                <c:pt idx="2035">
                  <c:v>1.828423285612615E-19</c:v>
                </c:pt>
                <c:pt idx="2036">
                  <c:v>3.1840777194913472E-19</c:v>
                </c:pt>
                <c:pt idx="2037">
                  <c:v>5.5248765348407913E-19</c:v>
                </c:pt>
                <c:pt idx="2038">
                  <c:v>9.5519820097579032E-19</c:v>
                </c:pt>
                <c:pt idx="2039">
                  <c:v>1.6454944264768442E-18</c:v>
                </c:pt>
                <c:pt idx="2040">
                  <c:v>2.8244333871427717E-18</c:v>
                </c:pt>
                <c:pt idx="2041">
                  <c:v>4.8305686523202149E-18</c:v>
                </c:pt>
                <c:pt idx="2042">
                  <c:v>8.2318449555280905E-18</c:v>
                </c:pt>
                <c:pt idx="2043">
                  <c:v>1.3977455121301018E-17</c:v>
                </c:pt>
                <c:pt idx="2044">
                  <c:v>2.3647815706850847E-17</c:v>
                </c:pt>
                <c:pt idx="2045">
                  <c:v>3.9864466741591183E-17</c:v>
                </c:pt>
                <c:pt idx="2046">
                  <c:v>6.6959605611060019E-17</c:v>
                </c:pt>
                <c:pt idx="2047">
                  <c:v>1.1206546982436194E-16</c:v>
                </c:pt>
                <c:pt idx="2048">
                  <c:v>1.8687996606738388E-16</c:v>
                </c:pt>
                <c:pt idx="2049">
                  <c:v>3.1051721196564798E-16</c:v>
                </c:pt>
                <c:pt idx="2050">
                  <c:v>5.1409172200426662E-16</c:v>
                </c:pt>
                <c:pt idx="2051">
                  <c:v>8.4806188473601359E-16</c:v>
                </c:pt>
                <c:pt idx="2052">
                  <c:v>1.3939477005709536E-15</c:v>
                </c:pt>
                <c:pt idx="2053">
                  <c:v>2.2829553415886459E-15</c:v>
                </c:pt>
                <c:pt idx="2054">
                  <c:v>3.7254638490602368E-15</c:v>
                </c:pt>
                <c:pt idx="2055">
                  <c:v>6.0575260723534241E-15</c:v>
                </c:pt>
                <c:pt idx="2056">
                  <c:v>9.8139136370293789E-15</c:v>
                </c:pt>
                <c:pt idx="2057">
                  <c:v>1.584240723495532E-14</c:v>
                </c:pt>
                <c:pt idx="2058">
                  <c:v>2.5481918064228765E-14</c:v>
                </c:pt>
                <c:pt idx="2059">
                  <c:v>4.0838996143732347E-14</c:v>
                </c:pt>
                <c:pt idx="2060">
                  <c:v>6.5215376023461302E-14</c:v>
                </c:pt>
                <c:pt idx="2061">
                  <c:v>1.0376644742356254E-13</c:v>
                </c:pt>
                <c:pt idx="2062">
                  <c:v>1.6451136096411448E-13</c:v>
                </c:pt>
                <c:pt idx="2063">
                  <c:v>2.5987640074003775E-13</c:v>
                </c:pt>
                <c:pt idx="2064">
                  <c:v>4.0904377934728224E-13</c:v>
                </c:pt>
                <c:pt idx="2065">
                  <c:v>6.415119381544108E-13</c:v>
                </c:pt>
                <c:pt idx="2066">
                  <c:v>1.0024707144780094E-12</c:v>
                </c:pt>
                <c:pt idx="2067">
                  <c:v>1.5608840651844556E-12</c:v>
                </c:pt>
                <c:pt idx="2068">
                  <c:v>2.4215954998590763E-12</c:v>
                </c:pt>
                <c:pt idx="2069">
                  <c:v>3.7433855187038486E-12</c:v>
                </c:pt>
                <c:pt idx="2070">
                  <c:v>5.7657991818552244E-12</c:v>
                </c:pt>
                <c:pt idx="2071">
                  <c:v>8.8488425899420504E-12</c:v>
                </c:pt>
                <c:pt idx="2072">
                  <c:v>1.3531483995106699E-11</c:v>
                </c:pt>
                <c:pt idx="2073">
                  <c:v>2.0617518264543899E-11</c:v>
                </c:pt>
                <c:pt idx="2074">
                  <c:v>3.1301081901428378E-11</c:v>
                </c:pt>
                <c:pt idx="2075">
                  <c:v>4.7349381567039077E-11</c:v>
                </c:pt>
                <c:pt idx="2076">
                  <c:v>7.1367629922365865E-11</c:v>
                </c:pt>
                <c:pt idx="2077">
                  <c:v>1.071816007219558E-10</c:v>
                </c:pt>
                <c:pt idx="2078">
                  <c:v>1.6038775351604465E-10</c:v>
                </c:pt>
                <c:pt idx="2079">
                  <c:v>2.3914107175028608E-10</c:v>
                </c:pt>
                <c:pt idx="2080">
                  <c:v>3.5527867401410222E-10</c:v>
                </c:pt>
                <c:pt idx="2081">
                  <c:v>5.2591566680388684E-10</c:v>
                </c:pt>
                <c:pt idx="2082">
                  <c:v>7.757022993823483E-10</c:v>
                </c:pt>
                <c:pt idx="2083">
                  <c:v>1.1400031473166232E-9</c:v>
                </c:pt>
                <c:pt idx="2084">
                  <c:v>1.6693562330510783E-9</c:v>
                </c:pt>
                <c:pt idx="2085">
                  <c:v>2.4357011261619589E-9</c:v>
                </c:pt>
                <c:pt idx="2086">
                  <c:v>3.5410411362361472E-9</c:v>
                </c:pt>
                <c:pt idx="2087">
                  <c:v>5.1294399297945134E-9</c:v>
                </c:pt>
                <c:pt idx="2088">
                  <c:v>7.4035655450836414E-9</c:v>
                </c:pt>
                <c:pt idx="2089">
                  <c:v>1.0647408196486974E-8</c:v>
                </c:pt>
                <c:pt idx="2090">
                  <c:v>1.5257342095971611E-8</c:v>
                </c:pt>
                <c:pt idx="2091">
                  <c:v>2.1784413146742626E-8</c:v>
                </c:pt>
                <c:pt idx="2092">
                  <c:v>3.0991660580601038E-8</c:v>
                </c:pt>
                <c:pt idx="2093">
                  <c:v>4.3931479588581578E-8</c:v>
                </c:pt>
                <c:pt idx="2094">
                  <c:v>6.2049575511139077E-8</c:v>
                </c:pt>
                <c:pt idx="2095">
                  <c:v>8.7324036083342913E-8</c:v>
                </c:pt>
                <c:pt idx="2096">
                  <c:v>1.2245056327919658E-7</c:v>
                </c:pt>
                <c:pt idx="2097">
                  <c:v>1.7108808893639832E-7</c:v>
                </c:pt>
                <c:pt idx="2098">
                  <c:v>2.381830018406993E-7</c:v>
                </c:pt>
                <c:pt idx="2099">
                  <c:v>3.3039521941158407E-7</c:v>
                </c:pt>
                <c:pt idx="2100">
                  <c:v>4.5665555633988906E-7</c:v>
                </c:pt>
                <c:pt idx="2101">
                  <c:v>6.2889152036869118E-7</c:v>
                </c:pt>
                <c:pt idx="2102">
                  <c:v>8.6296808157871343E-7</c:v>
                </c:pt>
                <c:pt idx="2103">
                  <c:v>1.1799014311514867E-6</c:v>
                </c:pt>
                <c:pt idx="2104">
                  <c:v>1.607417618205062E-6</c:v>
                </c:pt>
                <c:pt idx="2105">
                  <c:v>2.181944609865257E-6</c:v>
                </c:pt>
                <c:pt idx="2106">
                  <c:v>2.9511461667028861E-6</c:v>
                </c:pt>
                <c:pt idx="2107">
                  <c:v>3.977129385667748E-6</c:v>
                </c:pt>
                <c:pt idx="2108">
                  <c:v>5.3404852608676254E-6</c:v>
                </c:pt>
                <c:pt idx="2109">
                  <c:v>7.145353557992456E-6</c:v>
                </c:pt>
                <c:pt idx="2110">
                  <c:v>9.5257400590258488E-6</c:v>
                </c:pt>
                <c:pt idx="2111">
                  <c:v>1.2653356106032177E-5</c:v>
                </c:pt>
                <c:pt idx="2112">
                  <c:v>1.67472975410972E-5</c:v>
                </c:pt>
                <c:pt idx="2113">
                  <c:v>2.2085932631057966E-5</c:v>
                </c:pt>
                <c:pt idx="2114">
                  <c:v>2.9021426195115978E-5</c:v>
                </c:pt>
                <c:pt idx="2115">
                  <c:v>3.7997389460433022E-5</c:v>
                </c:pt>
                <c:pt idx="2116">
                  <c:v>4.9570211350393561E-5</c:v>
                </c:pt>
                <c:pt idx="2117">
                  <c:v>6.4434695737534885E-5</c:v>
                </c:pt>
                <c:pt idx="2118">
                  <c:v>8.3454698944902963E-5</c:v>
                </c:pt>
                <c:pt idx="2119">
                  <c:v>1.0769953015501566E-4</c:v>
                </c:pt>
                <c:pt idx="2120">
                  <c:v>1.3848694143149215E-4</c:v>
                </c:pt>
                <c:pt idx="2121">
                  <c:v>1.7743359010288272E-4</c:v>
                </c:pt>
                <c:pt idx="2122">
                  <c:v>2.265138998604361E-4</c:v>
                </c:pt>
                <c:pt idx="2123">
                  <c:v>2.8812827284314046E-4</c:v>
                </c:pt>
                <c:pt idx="2124">
                  <c:v>3.651816071921458E-4</c:v>
                </c:pt>
                <c:pt idx="2125">
                  <c:v>4.6117304626804945E-4</c:v>
                </c:pt>
                <c:pt idx="2126">
                  <c:v>5.8029781949447067E-4</c:v>
                </c:pt>
                <c:pt idx="2127">
                  <c:v>7.275619226638925E-4</c:v>
                </c:pt>
                <c:pt idx="2128">
                  <c:v>9.0891021926645642E-4</c:v>
                </c:pt>
                <c:pt idx="2129">
                  <c:v>1.1313683157196451E-3</c:v>
                </c:pt>
                <c:pt idx="2130">
                  <c:v>1.403198264385417E-3</c:v>
                </c:pt>
                <c:pt idx="2131">
                  <c:v>1.7340677718609423E-3</c:v>
                </c:pt>
                <c:pt idx="2132">
                  <c:v>2.135232130436847E-3</c:v>
                </c:pt>
                <c:pt idx="2133">
                  <c:v>2.6197275439582587E-3</c:v>
                </c:pt>
                <c:pt idx="2134">
                  <c:v>3.2025738842666267E-3</c:v>
                </c:pt>
                <c:pt idx="2135">
                  <c:v>3.9009841928347756E-3</c:v>
                </c:pt>
                <c:pt idx="2136">
                  <c:v>4.7345774399189166E-3</c:v>
                </c:pt>
                <c:pt idx="2137">
                  <c:v>5.7255901808832129E-3</c:v>
                </c:pt>
                <c:pt idx="2138">
                  <c:v>6.899081821781913E-3</c:v>
                </c:pt>
                <c:pt idx="2139">
                  <c:v>8.2831272449088722E-3</c:v>
                </c:pt>
                <c:pt idx="2140">
                  <c:v>9.9089895768592982E-3</c:v>
                </c:pt>
                <c:pt idx="2141">
                  <c:v>1.1811264939737422E-2</c:v>
                </c:pt>
                <c:pt idx="2142">
                  <c:v>1.402799014938981E-2</c:v>
                </c:pt>
                <c:pt idx="2143">
                  <c:v>1.6600703557212434E-2</c:v>
                </c:pt>
                <c:pt idx="2144">
                  <c:v>1.9574448623006349E-2</c:v>
                </c:pt>
                <c:pt idx="2145">
                  <c:v>2.2997709407684447E-2</c:v>
                </c:pt>
                <c:pt idx="2146">
                  <c:v>2.6922267040266512E-2</c:v>
                </c:pt>
                <c:pt idx="2147">
                  <c:v>3.1402966397143552E-2</c:v>
                </c:pt>
                <c:pt idx="2148">
                  <c:v>3.6497382784075279E-2</c:v>
                </c:pt>
                <c:pt idx="2149">
                  <c:v>4.2265379378512283E-2</c:v>
                </c:pt>
                <c:pt idx="2150">
                  <c:v>4.8768547609197729E-2</c:v>
                </c:pt>
                <c:pt idx="2151">
                  <c:v>5.6069524547946357E-2</c:v>
                </c:pt>
                <c:pt idx="2152">
                  <c:v>6.4231183777262779E-2</c:v>
                </c:pt>
                <c:pt idx="2153">
                  <c:v>7.3315699072179399E-2</c:v>
                </c:pt>
                <c:pt idx="2154">
                  <c:v>8.3383483571057349E-2</c:v>
                </c:pt>
                <c:pt idx="2155">
                  <c:v>9.4492010862148951E-2</c:v>
                </c:pt>
                <c:pt idx="2156">
                  <c:v>0.10669452851175554</c:v>
                </c:pt>
                <c:pt idx="2157">
                  <c:v>0.12003867891378539</c:v>
                </c:pt>
                <c:pt idx="2158">
                  <c:v>0.13456504683455942</c:v>
                </c:pt>
                <c:pt idx="2159">
                  <c:v>0.15030565752501152</c:v>
                </c:pt>
                <c:pt idx="2160">
                  <c:v>0.16728245362081898</c:v>
                </c:pt>
                <c:pt idx="2161">
                  <c:v>0.18550578308134735</c:v>
                </c:pt>
                <c:pt idx="2162">
                  <c:v>0.204972933953424</c:v>
                </c:pt>
                <c:pt idx="2163">
                  <c:v>0.22566675460635288</c:v>
                </c:pt>
                <c:pt idx="2164">
                  <c:v>0.2475544000951776</c:v>
                </c:pt>
                <c:pt idx="2165">
                  <c:v>0.2705862463076148</c:v>
                </c:pt>
                <c:pt idx="2166">
                  <c:v>0.29469501339429049</c:v>
                </c:pt>
                <c:pt idx="2167">
                  <c:v>0.31979513855882385</c:v>
                </c:pt>
                <c:pt idx="2168">
                  <c:v>0.34578243551706378</c:v>
                </c:pt>
                <c:pt idx="2169">
                  <c:v>0.37253407378950065</c:v>
                </c:pt>
                <c:pt idx="2170">
                  <c:v>0.39990890548249641</c:v>
                </c:pt>
                <c:pt idx="2171">
                  <c:v>0.42774816040950359</c:v>
                </c:pt>
                <c:pt idx="2172">
                  <c:v>0.45587652242434146</c:v>
                </c:pt>
                <c:pt idx="2173">
                  <c:v>0.48410359085961963</c:v>
                </c:pt>
                <c:pt idx="2174">
                  <c:v>0.51222572121044585</c:v>
                </c:pt>
                <c:pt idx="2175">
                  <c:v>0.54002822894742275</c:v>
                </c:pt>
                <c:pt idx="2176">
                  <c:v>0.56728792989230148</c:v>
                </c:pt>
                <c:pt idx="2177">
                  <c:v>0.59377598028018774</c:v>
                </c:pt>
                <c:pt idx="2178">
                  <c:v>0.61926096981553003</c:v>
                </c:pt>
                <c:pt idx="2179">
                  <c:v>0.64351221205863973</c:v>
                </c:pt>
                <c:pt idx="2180">
                  <c:v>0.66630316869691841</c:v>
                </c:pt>
                <c:pt idx="2181">
                  <c:v>0.68741493797514608</c:v>
                </c:pt>
                <c:pt idx="2182">
                  <c:v>0.7066397330568116</c:v>
                </c:pt>
                <c:pt idx="2183">
                  <c:v>0.72378427358467334</c:v>
                </c:pt>
                <c:pt idx="2184">
                  <c:v>0.73867301336014191</c:v>
                </c:pt>
                <c:pt idx="2185">
                  <c:v>0.7511511289513777</c:v>
                </c:pt>
                <c:pt idx="2186">
                  <c:v>0.76108719817367387</c:v>
                </c:pt>
                <c:pt idx="2187">
                  <c:v>0.76837550368599972</c:v>
                </c:pt>
                <c:pt idx="2188">
                  <c:v>0.77293790525700246</c:v>
                </c:pt>
                <c:pt idx="2189">
                  <c:v>0.77472523433896479</c:v>
                </c:pt>
                <c:pt idx="2190">
                  <c:v>0.77371817614751548</c:v>
                </c:pt>
                <c:pt idx="2191">
                  <c:v>0.76992761711948443</c:v>
                </c:pt>
                <c:pt idx="2192">
                  <c:v>0.76339444900870657</c:v>
                </c:pt>
                <c:pt idx="2193">
                  <c:v>0.75418883454933738</c:v>
                </c:pt>
                <c:pt idx="2194">
                  <c:v>0.74240895312669952</c:v>
                </c:pt>
                <c:pt idx="2195">
                  <c:v>0.7281792578115025</c:v>
                </c:pt>
                <c:pt idx="2196">
                  <c:v>0.71164828702253247</c:v>
                </c:pt>
                <c:pt idx="2197">
                  <c:v>0.6929860846131124</c:v>
                </c:pt>
                <c:pt idx="2198">
                  <c:v>0.67238129100890964</c:v>
                </c:pt>
                <c:pt idx="2199">
                  <c:v>0.65003797490567938</c:v>
                </c:pt>
                <c:pt idx="2200">
                  <c:v>0.62617227978592804</c:v>
                </c:pt>
                <c:pt idx="2201">
                  <c:v>0.60100896203374532</c:v>
                </c:pt>
                <c:pt idx="2202">
                  <c:v>0.57477789769901844</c:v>
                </c:pt>
                <c:pt idx="2203">
                  <c:v>0.54771063304798817</c:v>
                </c:pt>
                <c:pt idx="2204">
                  <c:v>0.52003705007356404</c:v>
                </c:pt>
                <c:pt idx="2205">
                  <c:v>0.49198221233012829</c:v>
                </c:pt>
                <c:pt idx="2206">
                  <c:v>0.46376344906474687</c:v>
                </c:pt>
                <c:pt idx="2207">
                  <c:v>0.43558772694465164</c:v>
                </c:pt>
                <c:pt idx="2208">
                  <c:v>0.40764934906534384</c:v>
                </c:pt>
                <c:pt idx="2209">
                  <c:v>0.38012801071616109</c:v>
                </c:pt>
                <c:pt idx="2210">
                  <c:v>0.35318723093427495</c:v>
                </c:pt>
                <c:pt idx="2211">
                  <c:v>0.32697316853513053</c:v>
                </c:pt>
                <c:pt idx="2212">
                  <c:v>0.30161382138473608</c:v>
                </c:pt>
                <c:pt idx="2213">
                  <c:v>0.27721859845911995</c:v>
                </c:pt>
                <c:pt idx="2214">
                  <c:v>0.25387824595790709</c:v>
                </c:pt>
                <c:pt idx="2215">
                  <c:v>0.23166510159165946</c:v>
                </c:pt>
                <c:pt idx="2216">
                  <c:v>0.21063364528299022</c:v>
                </c:pt>
                <c:pt idx="2217">
                  <c:v>0.19082130999153865</c:v>
                </c:pt>
                <c:pt idx="2218">
                  <c:v>0.17224951322197454</c:v>
                </c:pt>
                <c:pt idx="2219">
                  <c:v>0.15492486798146643</c:v>
                </c:pt>
                <c:pt idx="2220">
                  <c:v>0.13884053145306263</c:v>
                </c:pt>
                <c:pt idx="2221">
                  <c:v>0.12397765034051637</c:v>
                </c:pt>
                <c:pt idx="2222">
                  <c:v>0.11030686358342211</c:v>
                </c:pt>
                <c:pt idx="2223">
                  <c:v>9.7789825781687656E-2</c:v>
                </c:pt>
                <c:pt idx="2224">
                  <c:v>8.6380718032942949E-2</c:v>
                </c:pt>
                <c:pt idx="2225">
                  <c:v>7.6027716796521316E-2</c:v>
                </c:pt>
                <c:pt idx="2226">
                  <c:v>6.6674395674565956E-2</c:v>
                </c:pt>
                <c:pt idx="2227">
                  <c:v>5.826103947343781E-2</c:v>
                </c:pt>
                <c:pt idx="2228">
                  <c:v>5.0725854418347767E-2</c:v>
                </c:pt>
                <c:pt idx="2229">
                  <c:v>4.4006062799768146E-2</c:v>
                </c:pt>
                <c:pt idx="2230">
                  <c:v>3.8038874510717011E-2</c:v>
                </c:pt>
                <c:pt idx="2231">
                  <c:v>3.2762331790949908E-2</c:v>
                </c:pt>
                <c:pt idx="2232">
                  <c:v>2.8116026952219215E-2</c:v>
                </c:pt>
                <c:pt idx="2233">
                  <c:v>2.4041695865828518E-2</c:v>
                </c:pt>
                <c:pt idx="2234">
                  <c:v>2.0483692519565971E-2</c:v>
                </c:pt>
                <c:pt idx="2235">
                  <c:v>1.7389351985655936E-2</c:v>
                </c:pt>
                <c:pt idx="2236">
                  <c:v>1.4709250692379034E-2</c:v>
                </c:pt>
                <c:pt idx="2237">
                  <c:v>1.239737398215782E-2</c:v>
                </c:pt>
                <c:pt idx="2238">
                  <c:v>1.041120160296023E-2</c:v>
                </c:pt>
                <c:pt idx="2239">
                  <c:v>8.7117220615574968E-3</c:v>
                </c:pt>
                <c:pt idx="2240">
                  <c:v>7.2633867163206193E-3</c:v>
                </c:pt>
                <c:pt idx="2241">
                  <c:v>6.034014156974573E-3</c:v>
                </c:pt>
                <c:pt idx="2242">
                  <c:v>4.9946548630973517E-3</c:v>
                </c:pt>
                <c:pt idx="2243">
                  <c:v>4.1194254049607588E-3</c:v>
                </c:pt>
                <c:pt idx="2244">
                  <c:v>3.3853205994651306E-3</c:v>
                </c:pt>
                <c:pt idx="2245">
                  <c:v>2.7720111060579632E-3</c:v>
                </c:pt>
                <c:pt idx="2246">
                  <c:v>2.261632983114506E-3</c:v>
                </c:pt>
                <c:pt idx="2247">
                  <c:v>1.8385747590073959E-3</c:v>
                </c:pt>
                <c:pt idx="2248">
                  <c:v>1.4892666326998363E-3</c:v>
                </c:pt>
                <c:pt idx="2249">
                  <c:v>1.2019755288943687E-3</c:v>
                </c:pt>
                <c:pt idx="2250">
                  <c:v>9.6660890955983466E-4</c:v>
                </c:pt>
                <c:pt idx="2251">
                  <c:v>7.7452949876881502E-4</c:v>
                </c:pt>
                <c:pt idx="2252">
                  <c:v>6.183824181993096E-4</c:v>
                </c:pt>
                <c:pt idx="2253">
                  <c:v>4.9193565930053559E-4</c:v>
                </c:pt>
                <c:pt idx="2254">
                  <c:v>3.8993433449179915E-4</c:v>
                </c:pt>
                <c:pt idx="2255">
                  <c:v>3.0796875062598936E-4</c:v>
                </c:pt>
                <c:pt idx="2256">
                  <c:v>2.4235602799341731E-4</c:v>
                </c:pt>
                <c:pt idx="2257">
                  <c:v>1.9003474058053448E-4</c:v>
                </c:pt>
                <c:pt idx="2258">
                  <c:v>1.4847187040598241E-4</c:v>
                </c:pt>
                <c:pt idx="2259">
                  <c:v>1.1558124233375188E-4</c:v>
                </c:pt>
                <c:pt idx="2260">
                  <c:v>8.9652527524949424E-5</c:v>
                </c:pt>
                <c:pt idx="2261">
                  <c:v>6.9289865572613672E-5</c:v>
                </c:pt>
                <c:pt idx="2262">
                  <c:v>5.3359149763562854E-5</c:v>
                </c:pt>
                <c:pt idx="2263">
                  <c:v>4.0943039846814993E-5</c:v>
                </c:pt>
                <c:pt idx="2264">
                  <c:v>3.13028059111742E-5</c:v>
                </c:pt>
                <c:pt idx="2265">
                  <c:v>2.3846160022962974E-5</c:v>
                </c:pt>
                <c:pt idx="2266">
                  <c:v>1.8100294486645728E-5</c:v>
                </c:pt>
                <c:pt idx="2267">
                  <c:v>1.3689413083627024E-5</c:v>
                </c:pt>
                <c:pt idx="2268">
                  <c:v>1.0316111269975473E-5</c:v>
                </c:pt>
                <c:pt idx="2269">
                  <c:v>7.7460305963330081E-6</c:v>
                </c:pt>
                <c:pt idx="2270">
                  <c:v>5.7952796760521414E-6</c:v>
                </c:pt>
                <c:pt idx="2271">
                  <c:v>4.3201775144808878E-6</c:v>
                </c:pt>
                <c:pt idx="2272">
                  <c:v>3.2089340087716945E-6</c:v>
                </c:pt>
                <c:pt idx="2273">
                  <c:v>2.3749363842410293E-6</c:v>
                </c:pt>
                <c:pt idx="2274">
                  <c:v>1.7513589945518743E-6</c:v>
                </c:pt>
                <c:pt idx="2275">
                  <c:v>1.2868572524334154E-6</c:v>
                </c:pt>
                <c:pt idx="2276">
                  <c:v>9.4214462109528128E-7</c:v>
                </c:pt>
                <c:pt idx="2277">
                  <c:v>6.8728485305291391E-7</c:v>
                </c:pt>
                <c:pt idx="2278">
                  <c:v>4.9956036418786297E-7</c:v>
                </c:pt>
                <c:pt idx="2279">
                  <c:v>3.6180217688271143E-7</c:v>
                </c:pt>
                <c:pt idx="2280">
                  <c:v>2.6108767978486768E-7</c:v>
                </c:pt>
                <c:pt idx="2281">
                  <c:v>1.8772995808984524E-7</c:v>
                </c:pt>
                <c:pt idx="2282">
                  <c:v>1.3449705927540624E-7</c:v>
                </c:pt>
                <c:pt idx="2283">
                  <c:v>9.6011663756575183E-8</c:v>
                </c:pt>
                <c:pt idx="2284">
                  <c:v>6.8291586718392592E-8</c:v>
                </c:pt>
                <c:pt idx="2285">
                  <c:v>4.8399671337088263E-8</c:v>
                </c:pt>
                <c:pt idx="2286">
                  <c:v>3.4178234312794734E-8</c:v>
                </c:pt>
                <c:pt idx="2287">
                  <c:v>2.4048546589675952E-8</c:v>
                </c:pt>
                <c:pt idx="2288">
                  <c:v>1.6860096145667857E-8</c:v>
                </c:pt>
                <c:pt idx="2289">
                  <c:v>1.177777519770725E-8</c:v>
                </c:pt>
                <c:pt idx="2290">
                  <c:v>8.1978218387292691E-9</c:v>
                </c:pt>
                <c:pt idx="2291">
                  <c:v>5.6854610920322074E-9</c:v>
                </c:pt>
                <c:pt idx="2292">
                  <c:v>3.9288451239451452E-9</c:v>
                </c:pt>
                <c:pt idx="2293">
                  <c:v>2.705179749164492E-9</c:v>
                </c:pt>
                <c:pt idx="2294">
                  <c:v>1.8559204079100069E-9</c:v>
                </c:pt>
                <c:pt idx="2295">
                  <c:v>1.2686872291651108E-9</c:v>
                </c:pt>
                <c:pt idx="2296">
                  <c:v>8.641353870975771E-10</c:v>
                </c:pt>
                <c:pt idx="2297">
                  <c:v>5.8646353449194628E-10</c:v>
                </c:pt>
                <c:pt idx="2298">
                  <c:v>3.9658130527239229E-10</c:v>
                </c:pt>
                <c:pt idx="2299">
                  <c:v>2.6721169592394953E-10</c:v>
                </c:pt>
                <c:pt idx="2300">
                  <c:v>1.7939514692257165E-10</c:v>
                </c:pt>
                <c:pt idx="2301">
                  <c:v>1.2000460673427901E-10</c:v>
                </c:pt>
                <c:pt idx="2302">
                  <c:v>7.9986583529794459E-11</c:v>
                </c:pt>
                <c:pt idx="2303">
                  <c:v>5.3121261194301777E-11</c:v>
                </c:pt>
                <c:pt idx="2304">
                  <c:v>3.5152127018667194E-11</c:v>
                </c:pt>
                <c:pt idx="2305">
                  <c:v>2.3177513434383268E-11</c:v>
                </c:pt>
                <c:pt idx="2306">
                  <c:v>1.5226990447102637E-11</c:v>
                </c:pt>
                <c:pt idx="2307">
                  <c:v>9.9676621711988442E-12</c:v>
                </c:pt>
                <c:pt idx="2308">
                  <c:v>6.5013649623675947E-12</c:v>
                </c:pt>
                <c:pt idx="2309">
                  <c:v>4.2252049870468337E-12</c:v>
                </c:pt>
                <c:pt idx="2310">
                  <c:v>2.7360436532514323E-12</c:v>
                </c:pt>
                <c:pt idx="2311">
                  <c:v>1.7653477236421209E-12</c:v>
                </c:pt>
                <c:pt idx="2312">
                  <c:v>1.1349311151571997E-12</c:v>
                </c:pt>
                <c:pt idx="2313">
                  <c:v>7.2701060292719094E-13</c:v>
                </c:pt>
                <c:pt idx="2314">
                  <c:v>4.6402778715472634E-13</c:v>
                </c:pt>
                <c:pt idx="2315">
                  <c:v>2.9510681054305735E-13</c:v>
                </c:pt>
                <c:pt idx="2316">
                  <c:v>1.8700209754905712E-13</c:v>
                </c:pt>
                <c:pt idx="2317">
                  <c:v>1.1807167509227242E-13</c:v>
                </c:pt>
                <c:pt idx="2318">
                  <c:v>7.4280868439670876E-14</c:v>
                </c:pt>
                <c:pt idx="2319">
                  <c:v>4.656292152021027E-14</c:v>
                </c:pt>
                <c:pt idx="2320">
                  <c:v>2.9082750124755592E-14</c:v>
                </c:pt>
                <c:pt idx="2321">
                  <c:v>1.80993393714928E-14</c:v>
                </c:pt>
                <c:pt idx="2322">
                  <c:v>1.1223336286947096E-14</c:v>
                </c:pt>
                <c:pt idx="2323">
                  <c:v>6.934469299088017E-15</c:v>
                </c:pt>
                <c:pt idx="2324">
                  <c:v>4.2691015415106667E-15</c:v>
                </c:pt>
                <c:pt idx="2325">
                  <c:v>2.6187361345776994E-15</c:v>
                </c:pt>
                <c:pt idx="2326">
                  <c:v>1.6005859420868905E-15</c:v>
                </c:pt>
                <c:pt idx="2327">
                  <c:v>9.7476125103844018E-16</c:v>
                </c:pt>
                <c:pt idx="2328">
                  <c:v>5.9149287331741131E-16</c:v>
                </c:pt>
                <c:pt idx="2329">
                  <c:v>3.5762904023361655E-16</c:v>
                </c:pt>
                <c:pt idx="2330">
                  <c:v>2.1545076437140993E-16</c:v>
                </c:pt>
                <c:pt idx="2331">
                  <c:v>1.2932881622692014E-16</c:v>
                </c:pt>
                <c:pt idx="2332">
                  <c:v>7.7352537813667861E-17</c:v>
                </c:pt>
                <c:pt idx="2333">
                  <c:v>4.6098397912079322E-17</c:v>
                </c:pt>
                <c:pt idx="2334">
                  <c:v>2.7373422398974551E-17</c:v>
                </c:pt>
                <c:pt idx="2335">
                  <c:v>1.6195873163024101E-17</c:v>
                </c:pt>
                <c:pt idx="2336">
                  <c:v>9.5479829770395664E-18</c:v>
                </c:pt>
                <c:pt idx="2337">
                  <c:v>5.6085540078812933E-18</c:v>
                </c:pt>
                <c:pt idx="2338">
                  <c:v>3.2826318406642527E-18</c:v>
                </c:pt>
                <c:pt idx="2339">
                  <c:v>1.9143681066756655E-18</c:v>
                </c:pt>
                <c:pt idx="2340">
                  <c:v>1.1123993440815791E-18</c:v>
                </c:pt>
                <c:pt idx="2341">
                  <c:v>6.4406247866439652E-19</c:v>
                </c:pt>
                <c:pt idx="2342">
                  <c:v>3.715585635377788E-19</c:v>
                </c:pt>
                <c:pt idx="2343">
                  <c:v>2.135790018455232E-19</c:v>
                </c:pt>
                <c:pt idx="2344">
                  <c:v>1.2232686084647615E-19</c:v>
                </c:pt>
                <c:pt idx="2345">
                  <c:v>6.9809915234133974E-20</c:v>
                </c:pt>
                <c:pt idx="2346">
                  <c:v>3.969578470724648E-20</c:v>
                </c:pt>
                <c:pt idx="2347">
                  <c:v>2.2490736297774047E-20</c:v>
                </c:pt>
                <c:pt idx="2348">
                  <c:v>1.2696819823997189E-20</c:v>
                </c:pt>
                <c:pt idx="2349">
                  <c:v>7.1419736094637019E-21</c:v>
                </c:pt>
                <c:pt idx="2350">
                  <c:v>4.0028888094831858E-21</c:v>
                </c:pt>
                <c:pt idx="2351">
                  <c:v>2.2354286533662892E-21</c:v>
                </c:pt>
                <c:pt idx="2352">
                  <c:v>1.2438846292264787E-21</c:v>
                </c:pt>
                <c:pt idx="2353">
                  <c:v>6.8965420779176062E-22</c:v>
                </c:pt>
                <c:pt idx="2354">
                  <c:v>3.8099096836105872E-22</c:v>
                </c:pt>
                <c:pt idx="2355">
                  <c:v>2.0971523044355351E-22</c:v>
                </c:pt>
                <c:pt idx="2356">
                  <c:v>1.1502103324513309E-22</c:v>
                </c:pt>
                <c:pt idx="2357">
                  <c:v>6.2857421020906523E-23</c:v>
                </c:pt>
                <c:pt idx="2358">
                  <c:v>3.4226922644888053E-23</c:v>
                </c:pt>
                <c:pt idx="2359">
                  <c:v>1.8569967747188585E-23</c:v>
                </c:pt>
                <c:pt idx="2360">
                  <c:v>1.0038907364887964E-23</c:v>
                </c:pt>
                <c:pt idx="2361">
                  <c:v>5.4074653498426089E-24</c:v>
                </c:pt>
                <c:pt idx="2362">
                  <c:v>2.9022381384127135E-24</c:v>
                </c:pt>
                <c:pt idx="2363">
                  <c:v>1.5520451310857259E-24</c:v>
                </c:pt>
                <c:pt idx="2364">
                  <c:v>8.270040716094479E-25</c:v>
                </c:pt>
                <c:pt idx="2365">
                  <c:v>4.3907928761766245E-25</c:v>
                </c:pt>
                <c:pt idx="2366">
                  <c:v>2.3227916452922929E-25</c:v>
                </c:pt>
                <c:pt idx="2367">
                  <c:v>1.2243612069365149E-25</c:v>
                </c:pt>
                <c:pt idx="2368">
                  <c:v>6.4304426234315917E-26</c:v>
                </c:pt>
                <c:pt idx="2369">
                  <c:v>3.3651480469819851E-26</c:v>
                </c:pt>
                <c:pt idx="2370">
                  <c:v>1.7546862968128068E-26</c:v>
                </c:pt>
                <c:pt idx="2371">
                  <c:v>9.116471838174486E-27</c:v>
                </c:pt>
                <c:pt idx="2372">
                  <c:v>4.7193925882077414E-27</c:v>
                </c:pt>
                <c:pt idx="2373">
                  <c:v>2.4343186073152664E-27</c:v>
                </c:pt>
                <c:pt idx="2374">
                  <c:v>1.2511250871366653E-27</c:v>
                </c:pt>
                <c:pt idx="2375">
                  <c:v>6.4070195245767933E-28</c:v>
                </c:pt>
                <c:pt idx="2376">
                  <c:v>3.2692141017022802E-28</c:v>
                </c:pt>
                <c:pt idx="2377">
                  <c:v>1.6621211694034338E-28</c:v>
                </c:pt>
                <c:pt idx="2378">
                  <c:v>8.4200369889472912E-29</c:v>
                </c:pt>
                <c:pt idx="2379">
                  <c:v>4.2500820948991285E-29</c:v>
                </c:pt>
                <c:pt idx="2380">
                  <c:v>2.1375320726062824E-29</c:v>
                </c:pt>
                <c:pt idx="2381">
                  <c:v>1.0711738497340964E-29</c:v>
                </c:pt>
                <c:pt idx="2382">
                  <c:v>5.3485897165779927E-30</c:v>
                </c:pt>
                <c:pt idx="2383">
                  <c:v>2.661035138414957E-30</c:v>
                </c:pt>
                <c:pt idx="2384">
                  <c:v>1.3191492500168263E-30</c:v>
                </c:pt>
                <c:pt idx="2385">
                  <c:v>6.5158227487313327E-31</c:v>
                </c:pt>
                <c:pt idx="2386">
                  <c:v>3.2068348121133344E-31</c:v>
                </c:pt>
                <c:pt idx="2387">
                  <c:v>1.5725914804508973E-31</c:v>
                </c:pt>
                <c:pt idx="2388">
                  <c:v>7.6839980994473269E-32</c:v>
                </c:pt>
                <c:pt idx="2389">
                  <c:v>3.7410247392730281E-32</c:v>
                </c:pt>
                <c:pt idx="2390">
                  <c:v>1.8147880579602614E-32</c:v>
                </c:pt>
                <c:pt idx="2391">
                  <c:v>8.7718914051994466E-33</c:v>
                </c:pt>
                <c:pt idx="2392">
                  <c:v>4.2246679643652326E-33</c:v>
                </c:pt>
                <c:pt idx="2393">
                  <c:v>2.0273275285478882E-33</c:v>
                </c:pt>
                <c:pt idx="2394">
                  <c:v>9.69364821200609E-34</c:v>
                </c:pt>
                <c:pt idx="2395">
                  <c:v>4.6183048122031026E-34</c:v>
                </c:pt>
                <c:pt idx="2396">
                  <c:v>2.1923502233693178E-34</c:v>
                </c:pt>
                <c:pt idx="2397">
                  <c:v>1.0369773579289972E-34</c:v>
                </c:pt>
                <c:pt idx="2398">
                  <c:v>4.8872056680398143E-35</c:v>
                </c:pt>
                <c:pt idx="2399">
                  <c:v>2.295006706510356E-35</c:v>
                </c:pt>
                <c:pt idx="2400">
                  <c:v>1.0738393228685852E-35</c:v>
                </c:pt>
                <c:pt idx="2401">
                  <c:v>5.0064127155849212E-36</c:v>
                </c:pt>
                <c:pt idx="2402">
                  <c:v>2.3256587802575928E-36</c:v>
                </c:pt>
                <c:pt idx="2403">
                  <c:v>1.0764586289278132E-36</c:v>
                </c:pt>
                <c:pt idx="2404">
                  <c:v>4.9645591847075971E-37</c:v>
                </c:pt>
                <c:pt idx="2405">
                  <c:v>2.2813716622145709E-37</c:v>
                </c:pt>
                <c:pt idx="2406">
                  <c:v>1.0445840593935145E-37</c:v>
                </c:pt>
                <c:pt idx="2407">
                  <c:v>4.7656566176794019E-38</c:v>
                </c:pt>
                <c:pt idx="2408">
                  <c:v>2.1663773204434962E-38</c:v>
                </c:pt>
                <c:pt idx="2409">
                  <c:v>9.812449968372086E-39</c:v>
                </c:pt>
                <c:pt idx="2410">
                  <c:v>4.4284608689619828E-39</c:v>
                </c:pt>
                <c:pt idx="2411">
                  <c:v>1.9914076391636714E-39</c:v>
                </c:pt>
                <c:pt idx="2412">
                  <c:v>8.9227664827571755E-40</c:v>
                </c:pt>
                <c:pt idx="2413">
                  <c:v>3.9835556340957914E-40</c:v>
                </c:pt>
                <c:pt idx="2414">
                  <c:v>1.7720429653811304E-40</c:v>
                </c:pt>
                <c:pt idx="2415">
                  <c:v>7.8543384179416021E-41</c:v>
                </c:pt>
                <c:pt idx="2416">
                  <c:v>3.4687817278726302E-41</c:v>
                </c:pt>
                <c:pt idx="2417">
                  <c:v>1.526428046671093E-41</c:v>
                </c:pt>
                <c:pt idx="2418">
                  <c:v>6.6927977726011554E-42</c:v>
                </c:pt>
                <c:pt idx="2419">
                  <c:v>2.923957591392496E-42</c:v>
                </c:pt>
                <c:pt idx="2420">
                  <c:v>1.2728183776458223E-42</c:v>
                </c:pt>
                <c:pt idx="2421">
                  <c:v>5.5206956588565158E-43</c:v>
                </c:pt>
                <c:pt idx="2422">
                  <c:v>2.3859051606007149E-43</c:v>
                </c:pt>
                <c:pt idx="2423">
                  <c:v>1.0274117966092057E-43</c:v>
                </c:pt>
                <c:pt idx="2424">
                  <c:v>4.408267299509543E-44</c:v>
                </c:pt>
                <c:pt idx="2425">
                  <c:v>1.8846178242610478E-44</c:v>
                </c:pt>
                <c:pt idx="2426">
                  <c:v>8.0280611004078177E-45</c:v>
                </c:pt>
                <c:pt idx="2427">
                  <c:v>3.4074543423318668E-45</c:v>
                </c:pt>
                <c:pt idx="2428">
                  <c:v>1.4410578733165705E-45</c:v>
                </c:pt>
                <c:pt idx="2429">
                  <c:v>6.0724619334392203E-46</c:v>
                </c:pt>
                <c:pt idx="2430">
                  <c:v>2.549647730059612E-46</c:v>
                </c:pt>
                <c:pt idx="2431">
                  <c:v>1.0666638123302316E-46</c:v>
                </c:pt>
                <c:pt idx="2432">
                  <c:v>4.4463837622416363E-47</c:v>
                </c:pt>
                <c:pt idx="2433">
                  <c:v>1.8467934543338763E-47</c:v>
                </c:pt>
                <c:pt idx="2434">
                  <c:v>7.6429621866301938E-48</c:v>
                </c:pt>
                <c:pt idx="2435">
                  <c:v>3.1516435748824414E-48</c:v>
                </c:pt>
                <c:pt idx="2436">
                  <c:v>1.2949246053098806E-48</c:v>
                </c:pt>
                <c:pt idx="2437">
                  <c:v>5.3013181805581386E-49</c:v>
                </c:pt>
                <c:pt idx="2438">
                  <c:v>2.1624957371529792E-49</c:v>
                </c:pt>
                <c:pt idx="2439">
                  <c:v>8.7893882791150474E-50</c:v>
                </c:pt>
                <c:pt idx="2440">
                  <c:v>3.5595413440984282E-50</c:v>
                </c:pt>
                <c:pt idx="2441">
                  <c:v>1.4363538215302673E-50</c:v>
                </c:pt>
                <c:pt idx="2442">
                  <c:v>5.7751175422587584E-51</c:v>
                </c:pt>
                <c:pt idx="2443">
                  <c:v>2.3136210281369639E-51</c:v>
                </c:pt>
                <c:pt idx="2444">
                  <c:v>9.2353980603361014E-52</c:v>
                </c:pt>
                <c:pt idx="2445">
                  <c:v>3.6732544739754949E-52</c:v>
                </c:pt>
                <c:pt idx="2446">
                  <c:v>1.4557218968726013E-52</c:v>
                </c:pt>
                <c:pt idx="2447">
                  <c:v>5.748278673065677E-53</c:v>
                </c:pt>
                <c:pt idx="2448">
                  <c:v>2.2616698841284619E-53</c:v>
                </c:pt>
                <c:pt idx="2449">
                  <c:v>8.8665081393501823E-54</c:v>
                </c:pt>
                <c:pt idx="2450">
                  <c:v>3.463442805831168E-54</c:v>
                </c:pt>
                <c:pt idx="2451">
                  <c:v>1.3480171719267876E-54</c:v>
                </c:pt>
                <c:pt idx="2452">
                  <c:v>5.2277502331764642E-55</c:v>
                </c:pt>
                <c:pt idx="2453">
                  <c:v>2.0200691522979062E-55</c:v>
                </c:pt>
                <c:pt idx="2454">
                  <c:v>7.7776723666642863E-56</c:v>
                </c:pt>
                <c:pt idx="2455">
                  <c:v>2.9837680114818228E-56</c:v>
                </c:pt>
                <c:pt idx="2456">
                  <c:v>1.1405451021145678E-56</c:v>
                </c:pt>
                <c:pt idx="2457">
                  <c:v>4.3440205915423857E-57</c:v>
                </c:pt>
                <c:pt idx="2458">
                  <c:v>1.6485544188352089E-57</c:v>
                </c:pt>
                <c:pt idx="2459">
                  <c:v>6.2337115364220668E-58</c:v>
                </c:pt>
                <c:pt idx="2460">
                  <c:v>2.3486706270348152E-58</c:v>
                </c:pt>
                <c:pt idx="2461">
                  <c:v>8.8171764604924203E-59</c:v>
                </c:pt>
                <c:pt idx="2462">
                  <c:v>3.2981389602747238E-59</c:v>
                </c:pt>
                <c:pt idx="2463">
                  <c:v>1.2292504281747708E-59</c:v>
                </c:pt>
                <c:pt idx="2464">
                  <c:v>4.5650315969072821E-60</c:v>
                </c:pt>
                <c:pt idx="2465">
                  <c:v>1.6891927495272951E-60</c:v>
                </c:pt>
                <c:pt idx="2466">
                  <c:v>6.2279717022538326E-61</c:v>
                </c:pt>
                <c:pt idx="2467">
                  <c:v>2.2879474946897311E-61</c:v>
                </c:pt>
                <c:pt idx="2468">
                  <c:v>8.3748585013405211E-62</c:v>
                </c:pt>
                <c:pt idx="2469">
                  <c:v>3.0545054445391325E-62</c:v>
                </c:pt>
                <c:pt idx="2470">
                  <c:v>1.1100341251370227E-62</c:v>
                </c:pt>
                <c:pt idx="2471">
                  <c:v>4.019423414607873E-63</c:v>
                </c:pt>
                <c:pt idx="2472">
                  <c:v>1.4501842601921577E-63</c:v>
                </c:pt>
                <c:pt idx="2473">
                  <c:v>5.2133228096704019E-64</c:v>
                </c:pt>
                <c:pt idx="2474">
                  <c:v>1.8674029851346229E-64</c:v>
                </c:pt>
                <c:pt idx="2475">
                  <c:v>6.6648975999897333E-65</c:v>
                </c:pt>
                <c:pt idx="2476">
                  <c:v>2.3701777397516089E-65</c:v>
                </c:pt>
                <c:pt idx="2477">
                  <c:v>8.3984733780788036E-66</c:v>
                </c:pt>
                <c:pt idx="2478">
                  <c:v>2.9651849419585266E-66</c:v>
                </c:pt>
                <c:pt idx="2479">
                  <c:v>1.0431222840043352E-66</c:v>
                </c:pt>
                <c:pt idx="2480">
                  <c:v>3.6563744176694468E-67</c:v>
                </c:pt>
                <c:pt idx="2481">
                  <c:v>1.2770211829043691E-67</c:v>
                </c:pt>
                <c:pt idx="2482">
                  <c:v>4.4440357307281685E-68</c:v>
                </c:pt>
                <c:pt idx="2483">
                  <c:v>1.5409515500899072E-68</c:v>
                </c:pt>
                <c:pt idx="2484">
                  <c:v>5.3239311096887951E-69</c:v>
                </c:pt>
                <c:pt idx="2485">
                  <c:v>1.8327695951903631E-69</c:v>
                </c:pt>
                <c:pt idx="2486">
                  <c:v>6.2865925999326437E-70</c:v>
                </c:pt>
                <c:pt idx="2487">
                  <c:v>2.1485960038303178E-70</c:v>
                </c:pt>
                <c:pt idx="2488">
                  <c:v>7.3168847008895727E-71</c:v>
                </c:pt>
                <c:pt idx="2489">
                  <c:v>2.4827309630490573E-71</c:v>
                </c:pt>
                <c:pt idx="2490">
                  <c:v>8.3939255074323321E-72</c:v>
                </c:pt>
                <c:pt idx="2491">
                  <c:v>2.8276949881143204E-72</c:v>
                </c:pt>
                <c:pt idx="2492">
                  <c:v>9.4914379879218832E-73</c:v>
                </c:pt>
                <c:pt idx="2493">
                  <c:v>3.1744132875075456E-73</c:v>
                </c:pt>
                <c:pt idx="2494">
                  <c:v>1.0578569002784088E-73</c:v>
                </c:pt>
                <c:pt idx="2495">
                  <c:v>3.5125489027352336E-74</c:v>
                </c:pt>
                <c:pt idx="2496">
                  <c:v>1.1621169525921255E-74</c:v>
                </c:pt>
                <c:pt idx="2497">
                  <c:v>3.8309747981460575E-75</c:v>
                </c:pt>
                <c:pt idx="2498">
                  <c:v>1.2583479751492706E-75</c:v>
                </c:pt>
                <c:pt idx="2499">
                  <c:v>4.1183591302362269E-76</c:v>
                </c:pt>
                <c:pt idx="2500">
                  <c:v>1.3430113326091124E-76</c:v>
                </c:pt>
                <c:pt idx="2501">
                  <c:v>4.3638231359189574E-77</c:v>
                </c:pt>
                <c:pt idx="2502">
                  <c:v>1.412819253749288E-77</c:v>
                </c:pt>
                <c:pt idx="2503">
                  <c:v>4.5576195595462584E-78</c:v>
                </c:pt>
                <c:pt idx="2504">
                  <c:v>1.464945732396822E-78</c:v>
                </c:pt>
                <c:pt idx="2505">
                  <c:v>4.6917731415515387E-79</c:v>
                </c:pt>
                <c:pt idx="2506">
                  <c:v>1.4972160490645258E-79</c:v>
                </c:pt>
                <c:pt idx="2507">
                  <c:v>4.7606246825377121E-80</c:v>
                </c:pt>
                <c:pt idx="2508">
                  <c:v>1.5082572282944796E-80</c:v>
                </c:pt>
                <c:pt idx="2509">
                  <c:v>4.7612270016406949E-81</c:v>
                </c:pt>
                <c:pt idx="2510">
                  <c:v>1.4975949316421365E-81</c:v>
                </c:pt>
                <c:pt idx="2511">
                  <c:v>4.6935541906788522E-82</c:v>
                </c:pt>
                <c:pt idx="2512">
                  <c:v>1.4656872588381436E-82</c:v>
                </c:pt>
                <c:pt idx="2513">
                  <c:v>4.5605034626370134E-83</c:v>
                </c:pt>
                <c:pt idx="2514">
                  <c:v>1.4138921010633473E-83</c:v>
                </c:pt>
                <c:pt idx="2515">
                  <c:v>4.3676894107230887E-84</c:v>
                </c:pt>
                <c:pt idx="2516">
                  <c:v>1.3443712880516474E-84</c:v>
                </c:pt>
                <c:pt idx="2517">
                  <c:v>4.1230510353087535E-85</c:v>
                </c:pt>
                <c:pt idx="2518">
                  <c:v>1.259940956619264E-85</c:v>
                </c:pt>
                <c:pt idx="2519">
                  <c:v>3.8363098596153364E-86</c:v>
                </c:pt>
                <c:pt idx="2520">
                  <c:v>1.163882567587774E-86</c:v>
                </c:pt>
                <c:pt idx="2521">
                  <c:v>3.5183306371297239E-87</c:v>
                </c:pt>
                <c:pt idx="2522">
                  <c:v>1.0597322179407459E-87</c:v>
                </c:pt>
                <c:pt idx="2523">
                  <c:v>3.1804430761972825E-88</c:v>
                </c:pt>
                <c:pt idx="2524">
                  <c:v>9.510670093903296E-89</c:v>
                </c:pt>
                <c:pt idx="2525">
                  <c:v>2.8337831166272766E-89</c:v>
                </c:pt>
                <c:pt idx="2526">
                  <c:v>8.4130622240475566E-90</c:v>
                </c:pt>
                <c:pt idx="2527">
                  <c:v>2.4887059994310749E-90</c:v>
                </c:pt>
                <c:pt idx="2528">
                  <c:v>7.3354217663251468E-91</c:v>
                </c:pt>
                <c:pt idx="2529">
                  <c:v>2.1543119261498898E-91</c:v>
                </c:pt>
                <c:pt idx="2530">
                  <c:v>6.3041143605167483E-92</c:v>
                </c:pt>
                <c:pt idx="2531">
                  <c:v>1.8381103536439572E-92</c:v>
                </c:pt>
                <c:pt idx="2532">
                  <c:v>5.3401207941164514E-93</c:v>
                </c:pt>
                <c:pt idx="2533">
                  <c:v>1.545833026483879E-93</c:v>
                </c:pt>
                <c:pt idx="2534">
                  <c:v>4.4586777366286724E-94</c:v>
                </c:pt>
                <c:pt idx="2535">
                  <c:v>1.2813907563166752E-94</c:v>
                </c:pt>
                <c:pt idx="2536">
                  <c:v>3.6693495966034491E-95</c:v>
                </c:pt>
                <c:pt idx="2537">
                  <c:v>1.0469564010996799E-95</c:v>
                </c:pt>
                <c:pt idx="2538">
                  <c:v>2.9764603607361986E-96</c:v>
                </c:pt>
                <c:pt idx="2539">
                  <c:v>8.4314760554286555E-97</c:v>
                </c:pt>
                <c:pt idx="2540">
                  <c:v>2.3797926561697454E-97</c:v>
                </c:pt>
                <c:pt idx="2541">
                  <c:v>6.6927812441567853E-98</c:v>
                </c:pt>
                <c:pt idx="2542">
                  <c:v>1.8754528125222723E-98</c:v>
                </c:pt>
                <c:pt idx="2543">
                  <c:v>5.2364583557994608E-99</c:v>
                </c:pt>
                <c:pt idx="2544">
                  <c:v>1.456804142593237E-99</c:v>
                </c:pt>
                <c:pt idx="2545">
                  <c:v>4.038282366898704E-100</c:v>
                </c:pt>
                <c:pt idx="2546">
                  <c:v>1.1153834564905924E-100</c:v>
                </c:pt>
                <c:pt idx="2547">
                  <c:v>3.069613639422215E-101</c:v>
                </c:pt>
                <c:pt idx="2548">
                  <c:v>8.417347063237047E-102</c:v>
                </c:pt>
                <c:pt idx="2549">
                  <c:v>2.2998459879335329E-102</c:v>
                </c:pt>
                <c:pt idx="2550">
                  <c:v>6.2611523969784323E-103</c:v>
                </c:pt>
                <c:pt idx="2551">
                  <c:v>1.6984070997410036E-103</c:v>
                </c:pt>
                <c:pt idx="2552">
                  <c:v>4.5905140370010156E-104</c:v>
                </c:pt>
                <c:pt idx="2553">
                  <c:v>1.2362686150372066E-104</c:v>
                </c:pt>
                <c:pt idx="2554">
                  <c:v>3.3173887648585674E-105</c:v>
                </c:pt>
                <c:pt idx="2555">
                  <c:v>8.8697605590147003E-106</c:v>
                </c:pt>
                <c:pt idx="2556">
                  <c:v>2.3629766163312201E-106</c:v>
                </c:pt>
                <c:pt idx="2557">
                  <c:v>6.2724752006970733E-107</c:v>
                </c:pt>
                <c:pt idx="2558">
                  <c:v>1.6590156508634283E-107</c:v>
                </c:pt>
                <c:pt idx="2559">
                  <c:v>4.3721395412620998E-108</c:v>
                </c:pt>
                <c:pt idx="2560">
                  <c:v>1.148073114988245E-108</c:v>
                </c:pt>
                <c:pt idx="2561">
                  <c:v>3.0038419676367336E-109</c:v>
                </c:pt>
                <c:pt idx="2562">
                  <c:v>7.8309890291155643E-110</c:v>
                </c:pt>
                <c:pt idx="2563">
                  <c:v>2.0341742461665928E-110</c:v>
                </c:pt>
                <c:pt idx="2564">
                  <c:v>5.2649189369439917E-111</c:v>
                </c:pt>
                <c:pt idx="2565">
                  <c:v>1.3577731843232297E-111</c:v>
                </c:pt>
                <c:pt idx="2566">
                  <c:v>3.4889501699807684E-112</c:v>
                </c:pt>
                <c:pt idx="2567">
                  <c:v>8.9329377493969182E-113</c:v>
                </c:pt>
                <c:pt idx="2568">
                  <c:v>2.2789030491300794E-113</c:v>
                </c:pt>
                <c:pt idx="2569">
                  <c:v>5.7928114458744599E-114</c:v>
                </c:pt>
                <c:pt idx="2570">
                  <c:v>1.4671851979618062E-114</c:v>
                </c:pt>
                <c:pt idx="2571">
                  <c:v>3.7026484725776707E-115</c:v>
                </c:pt>
                <c:pt idx="2572">
                  <c:v>9.3104790874521018E-116</c:v>
                </c:pt>
                <c:pt idx="2573">
                  <c:v>2.3327251773293893E-116</c:v>
                </c:pt>
                <c:pt idx="2574">
                  <c:v>5.8235408436056129E-117</c:v>
                </c:pt>
                <c:pt idx="2575">
                  <c:v>1.4485806375927591E-117</c:v>
                </c:pt>
                <c:pt idx="2576">
                  <c:v>3.5902957687909539E-118</c:v>
                </c:pt>
                <c:pt idx="2577">
                  <c:v>8.8664502133661478E-119</c:v>
                </c:pt>
                <c:pt idx="2578">
                  <c:v>2.1817316578009318E-119</c:v>
                </c:pt>
                <c:pt idx="2579">
                  <c:v>5.3491513776441203E-120</c:v>
                </c:pt>
                <c:pt idx="2580">
                  <c:v>1.3067738776841837E-120</c:v>
                </c:pt>
                <c:pt idx="2581">
                  <c:v>3.1808852450040588E-121</c:v>
                </c:pt>
                <c:pt idx="2582">
                  <c:v>7.7148513057531336E-122</c:v>
                </c:pt>
                <c:pt idx="2583">
                  <c:v>1.8644001086111996E-122</c:v>
                </c:pt>
                <c:pt idx="2584">
                  <c:v>4.4893418853201534E-123</c:v>
                </c:pt>
                <c:pt idx="2585">
                  <c:v>1.0771054967932859E-123</c:v>
                </c:pt>
                <c:pt idx="2586">
                  <c:v>2.5749322422162718E-124</c:v>
                </c:pt>
                <c:pt idx="2587">
                  <c:v>6.1334576313831053E-125</c:v>
                </c:pt>
                <c:pt idx="2588">
                  <c:v>1.4557169372967357E-125</c:v>
                </c:pt>
                <c:pt idx="2589">
                  <c:v>3.4425519418006746E-126</c:v>
                </c:pt>
                <c:pt idx="2590">
                  <c:v>8.1117782417251663E-127</c:v>
                </c:pt>
                <c:pt idx="2591">
                  <c:v>1.9045116713238986E-127</c:v>
                </c:pt>
                <c:pt idx="2592">
                  <c:v>4.4553641770736028E-128</c:v>
                </c:pt>
                <c:pt idx="2593">
                  <c:v>1.0385197974293531E-128</c:v>
                </c:pt>
                <c:pt idx="2594">
                  <c:v>2.4120058259736284E-129</c:v>
                </c:pt>
                <c:pt idx="2595">
                  <c:v>5.5817955634310196E-130</c:v>
                </c:pt>
                <c:pt idx="2596">
                  <c:v>1.2870680246193853E-130</c:v>
                </c:pt>
                <c:pt idx="2597">
                  <c:v>2.9570664031729222E-131</c:v>
                </c:pt>
                <c:pt idx="2598">
                  <c:v>6.7694386123849039E-132</c:v>
                </c:pt>
                <c:pt idx="2599">
                  <c:v>1.5441028787554168E-132</c:v>
                </c:pt>
                <c:pt idx="2600">
                  <c:v>3.5093914382528263E-133</c:v>
                </c:pt>
                <c:pt idx="2601">
                  <c:v>7.9472960764409987E-134</c:v>
                </c:pt>
                <c:pt idx="2602">
                  <c:v>1.7932423007307575E-134</c:v>
                </c:pt>
                <c:pt idx="2603">
                  <c:v>4.0317218094597958E-135</c:v>
                </c:pt>
                <c:pt idx="2604">
                  <c:v>9.031796469157139E-136</c:v>
                </c:pt>
                <c:pt idx="2605">
                  <c:v>2.0159962859578039E-136</c:v>
                </c:pt>
                <c:pt idx="2606">
                  <c:v>4.4837079250602637E-137</c:v>
                </c:pt>
                <c:pt idx="2607">
                  <c:v>9.9361216974854128E-138</c:v>
                </c:pt>
                <c:pt idx="2608">
                  <c:v>2.1939589177192636E-138</c:v>
                </c:pt>
                <c:pt idx="2609">
                  <c:v>4.826942008951059E-139</c:v>
                </c:pt>
                <c:pt idx="2610">
                  <c:v>1.0581510629645057E-139</c:v>
                </c:pt>
                <c:pt idx="2611">
                  <c:v>2.3112943893425724E-140</c:v>
                </c:pt>
                <c:pt idx="2612">
                  <c:v>5.03031126055966E-141</c:v>
                </c:pt>
                <c:pt idx="2613">
                  <c:v>1.0908535607286552E-141</c:v>
                </c:pt>
                <c:pt idx="2614">
                  <c:v>2.357056807579093E-142</c:v>
                </c:pt>
                <c:pt idx="2615">
                  <c:v>5.0746447723009102E-143</c:v>
                </c:pt>
                <c:pt idx="2616">
                  <c:v>1.0886123205240197E-143</c:v>
                </c:pt>
                <c:pt idx="2617">
                  <c:v>2.3268738812528587E-144</c:v>
                </c:pt>
                <c:pt idx="2618">
                  <c:v>4.9556935824397522E-145</c:v>
                </c:pt>
                <c:pt idx="2619">
                  <c:v>1.0516423026014325E-145</c:v>
                </c:pt>
                <c:pt idx="2620">
                  <c:v>2.2236357643036516E-146</c:v>
                </c:pt>
                <c:pt idx="2621">
                  <c:v>4.6848021542776287E-147</c:v>
                </c:pt>
                <c:pt idx="2622">
                  <c:v>9.8344677430834172E-148</c:v>
                </c:pt>
                <c:pt idx="2623">
                  <c:v>2.0570387210918972E-148</c:v>
                </c:pt>
                <c:pt idx="2624">
                  <c:v>4.2871242906818452E-149</c:v>
                </c:pt>
                <c:pt idx="2625">
                  <c:v>8.9026988651282571E-150</c:v>
                </c:pt>
                <c:pt idx="2626">
                  <c:v>1.8420834203260929E-150</c:v>
                </c:pt>
                <c:pt idx="2627">
                  <c:v>3.7977721468691778E-151</c:v>
                </c:pt>
                <c:pt idx="2628">
                  <c:v>7.801543197006621E-152</c:v>
                </c:pt>
                <c:pt idx="2629">
                  <c:v>1.5968500314687114E-152</c:v>
                </c:pt>
                <c:pt idx="2630">
                  <c:v>3.2567149367723546E-153</c:v>
                </c:pt>
                <c:pt idx="2631">
                  <c:v>6.6180091314698121E-154</c:v>
                </c:pt>
                <c:pt idx="2632">
                  <c:v>1.3400067290886909E-154</c:v>
                </c:pt>
                <c:pt idx="2633">
                  <c:v>2.7034515928089306E-155</c:v>
                </c:pt>
                <c:pt idx="2634">
                  <c:v>5.4345328364630287E-156</c:v>
                </c:pt>
                <c:pt idx="2635">
                  <c:v>1.0885235714474272E-156</c:v>
                </c:pt>
                <c:pt idx="2636">
                  <c:v>2.1724283407731131E-157</c:v>
                </c:pt>
                <c:pt idx="2637">
                  <c:v>4.320013290262293E-158</c:v>
                </c:pt>
                <c:pt idx="2638">
                  <c:v>8.5596638006297505E-159</c:v>
                </c:pt>
                <c:pt idx="2639">
                  <c:v>1.6898973798295451E-159</c:v>
                </c:pt>
                <c:pt idx="2640">
                  <c:v>3.3242674655251018E-160</c:v>
                </c:pt>
                <c:pt idx="2641">
                  <c:v>6.5157376116728999E-161</c:v>
                </c:pt>
                <c:pt idx="2642">
                  <c:v>1.2725158953579609E-161</c:v>
                </c:pt>
                <c:pt idx="2643">
                  <c:v>2.4762520385475624E-162</c:v>
                </c:pt>
                <c:pt idx="2644">
                  <c:v>4.8012959594140574E-163</c:v>
                </c:pt>
                <c:pt idx="2645">
                  <c:v>9.2758583904517669E-164</c:v>
                </c:pt>
                <c:pt idx="2646">
                  <c:v>1.7855899938110429E-164</c:v>
                </c:pt>
                <c:pt idx="2647">
                  <c:v>3.4248486054828901E-165</c:v>
                </c:pt>
                <c:pt idx="2648">
                  <c:v>6.5453521073861822E-166</c:v>
                </c:pt>
                <c:pt idx="2649">
                  <c:v>1.2463977363709812E-166</c:v>
                </c:pt>
                <c:pt idx="2650">
                  <c:v>2.3648973245614904E-167</c:v>
                </c:pt>
                <c:pt idx="2651">
                  <c:v>4.4709511989023517E-168</c:v>
                </c:pt>
                <c:pt idx="2652">
                  <c:v>8.4220840303163617E-169</c:v>
                </c:pt>
                <c:pt idx="2653">
                  <c:v>1.5807791975193205E-169</c:v>
                </c:pt>
                <c:pt idx="2654">
                  <c:v>2.9563432379660153E-170</c:v>
                </c:pt>
                <c:pt idx="2655">
                  <c:v>5.5089711681255281E-171</c:v>
                </c:pt>
                <c:pt idx="2656">
                  <c:v>1.022864591437076E-171</c:v>
                </c:pt>
                <c:pt idx="2657">
                  <c:v>1.8923339954944639E-172</c:v>
                </c:pt>
                <c:pt idx="2658">
                  <c:v>3.4882647495601062E-173</c:v>
                </c:pt>
                <c:pt idx="2659">
                  <c:v>6.4069758678247579E-174</c:v>
                </c:pt>
                <c:pt idx="2660">
                  <c:v>1.1725428920626276E-174</c:v>
                </c:pt>
                <c:pt idx="2661">
                  <c:v>2.1381412373701824E-175</c:v>
                </c:pt>
                <c:pt idx="2662">
                  <c:v>3.8848659889977101E-176</c:v>
                </c:pt>
                <c:pt idx="2663">
                  <c:v>7.0331146285770167E-177</c:v>
                </c:pt>
                <c:pt idx="2664">
                  <c:v>1.2686778297890157E-177</c:v>
                </c:pt>
                <c:pt idx="2665">
                  <c:v>2.2802738489426559E-178</c:v>
                </c:pt>
                <c:pt idx="2666">
                  <c:v>4.0837078394276602E-179</c:v>
                </c:pt>
                <c:pt idx="2667">
                  <c:v>7.2870931681362533E-180</c:v>
                </c:pt>
                <c:pt idx="2668">
                  <c:v>1.2956448756258965E-180</c:v>
                </c:pt>
                <c:pt idx="2669">
                  <c:v>2.295353833539463E-181</c:v>
                </c:pt>
                <c:pt idx="2670">
                  <c:v>4.051774849425318E-182</c:v>
                </c:pt>
                <c:pt idx="2671">
                  <c:v>7.1264454867731983E-183</c:v>
                </c:pt>
                <c:pt idx="2672">
                  <c:v>1.2489142808578014E-183</c:v>
                </c:pt>
                <c:pt idx="2673">
                  <c:v>2.180842474856344E-184</c:v>
                </c:pt>
                <c:pt idx="2674">
                  <c:v>3.7944423917844128E-185</c:v>
                </c:pt>
                <c:pt idx="2675">
                  <c:v>6.5781478648738111E-186</c:v>
                </c:pt>
                <c:pt idx="2676">
                  <c:v>1.1362955355479557E-186</c:v>
                </c:pt>
                <c:pt idx="2677">
                  <c:v>1.9557393342949553E-187</c:v>
                </c:pt>
                <c:pt idx="2678">
                  <c:v>3.3539967835102807E-188</c:v>
                </c:pt>
                <c:pt idx="2679">
                  <c:v>5.7312098985949038E-189</c:v>
                </c:pt>
                <c:pt idx="2680">
                  <c:v>9.7580263811587744E-190</c:v>
                </c:pt>
                <c:pt idx="2681">
                  <c:v>1.6554255838383513E-190</c:v>
                </c:pt>
                <c:pt idx="2682">
                  <c:v>2.7982682105418185E-191</c:v>
                </c:pt>
                <c:pt idx="2683">
                  <c:v>4.7130388089375927E-192</c:v>
                </c:pt>
                <c:pt idx="2684">
                  <c:v>7.9094210298265948E-193</c:v>
                </c:pt>
                <c:pt idx="2685">
                  <c:v>1.3225751967928692E-193</c:v>
                </c:pt>
                <c:pt idx="2686">
                  <c:v>2.2035761058263267E-194</c:v>
                </c:pt>
                <c:pt idx="2687">
                  <c:v>3.6582024511272319E-195</c:v>
                </c:pt>
                <c:pt idx="2688">
                  <c:v>6.0511709112174302E-196</c:v>
                </c:pt>
                <c:pt idx="2689">
                  <c:v>9.9733969271975107E-197</c:v>
                </c:pt>
                <c:pt idx="2690">
                  <c:v>1.6378675896161772E-197</c:v>
                </c:pt>
                <c:pt idx="2691">
                  <c:v>2.6800720876951807E-198</c:v>
                </c:pt>
                <c:pt idx="2692">
                  <c:v>4.3696450818821618E-199</c:v>
                </c:pt>
                <c:pt idx="2693">
                  <c:v>7.0986841396285386E-200</c:v>
                </c:pt>
                <c:pt idx="2694">
                  <c:v>1.1490569199079549E-200</c:v>
                </c:pt>
                <c:pt idx="2695">
                  <c:v>1.853263762052968E-201</c:v>
                </c:pt>
                <c:pt idx="2696">
                  <c:v>2.978275893477905E-202</c:v>
                </c:pt>
                <c:pt idx="2697">
                  <c:v>4.7689703237539674E-203</c:v>
                </c:pt>
                <c:pt idx="2698">
                  <c:v>7.6088025592795292E-204</c:v>
                </c:pt>
                <c:pt idx="2699">
                  <c:v>1.209595077392612E-204</c:v>
                </c:pt>
                <c:pt idx="2700">
                  <c:v>1.9160008963474698E-205</c:v>
                </c:pt>
                <c:pt idx="2701">
                  <c:v>3.0240112761759315E-206</c:v>
                </c:pt>
                <c:pt idx="2702">
                  <c:v>4.7555757717918659E-207</c:v>
                </c:pt>
                <c:pt idx="2703">
                  <c:v>7.4516904650994597E-208</c:v>
                </c:pt>
                <c:pt idx="2704">
                  <c:v>1.1634253122649997E-208</c:v>
                </c:pt>
                <c:pt idx="2705">
                  <c:v>1.809898463820556E-209</c:v>
                </c:pt>
                <c:pt idx="2706">
                  <c:v>2.8054460126100902E-210</c:v>
                </c:pt>
                <c:pt idx="2707">
                  <c:v>4.3329294826535569E-211</c:v>
                </c:pt>
                <c:pt idx="2708">
                  <c:v>6.6679652468766388E-212</c:v>
                </c:pt>
                <c:pt idx="2709">
                  <c:v>1.0224381253990054E-212</c:v>
                </c:pt>
                <c:pt idx="2710">
                  <c:v>1.5621140707811163E-213</c:v>
                </c:pt>
                <c:pt idx="2711">
                  <c:v>2.3780471129446454E-214</c:v>
                </c:pt>
                <c:pt idx="2712">
                  <c:v>3.6071164722444645E-215</c:v>
                </c:pt>
                <c:pt idx="2713">
                  <c:v>5.4516991091542084E-216</c:v>
                </c:pt>
                <c:pt idx="2714">
                  <c:v>8.2098569852849291E-217</c:v>
                </c:pt>
                <c:pt idx="2715">
                  <c:v>1.2318882323831392E-217</c:v>
                </c:pt>
                <c:pt idx="2716">
                  <c:v>1.8417853859090289E-218</c:v>
                </c:pt>
                <c:pt idx="2717">
                  <c:v>2.7437133714642615E-219</c:v>
                </c:pt>
                <c:pt idx="2718">
                  <c:v>4.0725878206684511E-220</c:v>
                </c:pt>
                <c:pt idx="2719">
                  <c:v>6.0232956066251804E-221</c:v>
                </c:pt>
                <c:pt idx="2720">
                  <c:v>8.8762576173447078E-222</c:v>
                </c:pt>
                <c:pt idx="2721">
                  <c:v>1.3033396881937085E-222</c:v>
                </c:pt>
                <c:pt idx="2722">
                  <c:v>1.9068535657796271E-223</c:v>
                </c:pt>
                <c:pt idx="2723">
                  <c:v>2.7797713051173593E-224</c:v>
                </c:pt>
                <c:pt idx="2724">
                  <c:v>4.037688332563166E-225</c:v>
                </c:pt>
                <c:pt idx="2725">
                  <c:v>5.8437081697068204E-226</c:v>
                </c:pt>
                <c:pt idx="2726">
                  <c:v>#N/A</c:v>
                </c:pt>
              </c:numCache>
            </c:numRef>
          </c:yVal>
          <c:smooth val="1"/>
          <c:extLst>
            <c:ext xmlns:c16="http://schemas.microsoft.com/office/drawing/2014/chart" uri="{C3380CC4-5D6E-409C-BE32-E72D297353CC}">
              <c16:uniqueId val="{00000000-DF08-4DCA-9446-02652E17AC07}"/>
            </c:ext>
          </c:extLst>
        </c:ser>
        <c:ser>
          <c:idx val="1"/>
          <c:order val="1"/>
          <c:tx>
            <c:strRef>
              <c:f>ANOVA!$AQ$13</c:f>
              <c:strCache>
                <c:ptCount val="1"/>
                <c:pt idx="0">
                  <c:v>Estimeret normalfordeling</c:v>
                </c:pt>
              </c:strCache>
            </c:strRef>
          </c:tx>
          <c:spPr>
            <a:ln w="19050" cap="rnd">
              <a:noFill/>
              <a:round/>
            </a:ln>
            <a:effectLst/>
          </c:spPr>
          <c:marker>
            <c:symbol val="none"/>
          </c:marker>
          <c:dLbls>
            <c:dLbl>
              <c:idx val="0"/>
              <c:tx>
                <c:rich>
                  <a:bodyPr/>
                  <a:lstStyle/>
                  <a:p>
                    <a:fld id="{59EBB9BD-69C6-45DD-8465-9A21F583794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DF08-4DCA-9446-02652E17AC07}"/>
                </c:ext>
              </c:extLst>
            </c:dLbl>
            <c:dLbl>
              <c:idx val="1"/>
              <c:tx>
                <c:rich>
                  <a:bodyPr/>
                  <a:lstStyle/>
                  <a:p>
                    <a:fld id="{3B5C6B3A-55E3-497E-A866-CB7AC255FA4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DF08-4DCA-9446-02652E17AC07}"/>
                </c:ext>
              </c:extLst>
            </c:dLbl>
            <c:dLbl>
              <c:idx val="2"/>
              <c:tx>
                <c:rich>
                  <a:bodyPr/>
                  <a:lstStyle/>
                  <a:p>
                    <a:fld id="{E12CEC34-B02E-49F3-A40C-BA55142576E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DF08-4DCA-9446-02652E17AC0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[0]!AlxNorm</c:f>
              <c:numCache>
                <c:formatCode>General</c:formatCode>
                <c:ptCount val="3"/>
                <c:pt idx="0">
                  <c:v>1.8540044183209705</c:v>
                </c:pt>
                <c:pt idx="1">
                  <c:v>4.14233953833077</c:v>
                </c:pt>
                <c:pt idx="2">
                  <c:v>0.41666666666666669</c:v>
                </c:pt>
              </c:numCache>
            </c:numRef>
          </c:xVal>
          <c:yVal>
            <c:numRef>
              <c:f>[0]!AlyNorm</c:f>
              <c:numCache>
                <c:formatCode>General</c:formatCode>
                <c:ptCount val="3"/>
                <c:pt idx="0">
                  <c:v>9.2628974814029333E-2</c:v>
                </c:pt>
                <c:pt idx="1">
                  <c:v>9.3107877228020858E-2</c:v>
                </c:pt>
                <c:pt idx="2">
                  <c:v>0.77472523433896479</c:v>
                </c:pt>
              </c:numCache>
            </c:numRef>
          </c:yVal>
          <c:smooth val="0"/>
          <c:extLst>
            <c:ext xmlns:c15="http://schemas.microsoft.com/office/drawing/2012/chart" uri="{02D57815-91ED-43cb-92C2-25804820EDAC}">
              <c15:datalabelsRange>
                <c15:f>[0]!AlNorm</c15:f>
                <c15:dlblRangeCache>
                  <c:ptCount val="3"/>
                  <c:pt idx="0">
                    <c:v>Eksempel 1 (interval)
N(μ=1.854;σ=4.307)</c:v>
                  </c:pt>
                  <c:pt idx="1">
                    <c:v>Eksempel 2 (interval)
N(μ=4.142;σ=4.285)</c:v>
                  </c:pt>
                  <c:pt idx="2">
                    <c:v>Eksempel 4 (nominal)
N(μ=0.417;σ=0.515)</c:v>
                  </c:pt>
                </c15:dlblRangeCache>
              </c15:datalabelsRange>
            </c:ext>
            <c:ext xmlns:c16="http://schemas.microsoft.com/office/drawing/2014/chart" uri="{C3380CC4-5D6E-409C-BE32-E72D297353CC}">
              <c16:uniqueId val="{00000006-DF08-4DCA-9446-02652E17AC07}"/>
            </c:ext>
          </c:extLst>
        </c:ser>
        <c:dLbls>
          <c:showLegendKey val="0"/>
          <c:showVal val="0"/>
          <c:showCatName val="0"/>
          <c:showSerName val="0"/>
          <c:showPercent val="0"/>
          <c:showBubbleSize val="0"/>
        </c:dLbls>
        <c:axId val="1030118416"/>
        <c:axId val="1030109264"/>
      </c:scatterChart>
      <c:valAx>
        <c:axId val="1030118416"/>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030109264"/>
        <c:crosses val="autoZero"/>
        <c:crossBetween val="midCat"/>
      </c:valAx>
      <c:valAx>
        <c:axId val="1030109264"/>
        <c:scaling>
          <c:orientation val="minMax"/>
        </c:scaling>
        <c:delete val="1"/>
        <c:axPos val="l"/>
        <c:numFmt formatCode="General" sourceLinked="1"/>
        <c:majorTickMark val="none"/>
        <c:minorTickMark val="none"/>
        <c:tickLblPos val="nextTo"/>
        <c:crossAx val="1030118416"/>
        <c:crosses val="autoZero"/>
        <c:crossBetween val="midCat"/>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ANOVA!$BA$9</c:f>
          <c:strCache>
            <c:ptCount val="1"/>
            <c:pt idx="0">
              <c:v>Multiple sammenligninger med bonferroni justering
Der er 0 par variable med signifikant forskellige gennemsnit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ubbleChart>
        <c:varyColors val="0"/>
        <c:ser>
          <c:idx val="0"/>
          <c:order val="0"/>
          <c:tx>
            <c:strRef>
              <c:f>ANOVA!$BA$11</c:f>
              <c:strCache>
                <c:ptCount val="1"/>
                <c:pt idx="0">
                  <c:v>Forskel mellem gennemsnit</c:v>
                </c:pt>
              </c:strCache>
            </c:strRef>
          </c:tx>
          <c:spPr>
            <a:solidFill>
              <a:schemeClr val="accent1"/>
            </a:solidFill>
            <a:ln w="28575">
              <a:solidFill>
                <a:schemeClr val="accent1"/>
              </a:solidFill>
            </a:ln>
            <a:effectLst/>
          </c:spPr>
          <c:invertIfNegative val="0"/>
          <c:dLbls>
            <c:dLbl>
              <c:idx val="0"/>
              <c:tx>
                <c:rich>
                  <a:bodyPr/>
                  <a:lstStyle/>
                  <a:p>
                    <a:fld id="{ECA48968-EE12-46F3-BCC4-0D7340E80400}" type="CELLRANGE">
                      <a:rPr lang="en-US"/>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A587-428E-9F44-21199AEF2571}"/>
                </c:ext>
              </c:extLst>
            </c:dLbl>
            <c:dLbl>
              <c:idx val="1"/>
              <c:tx>
                <c:rich>
                  <a:bodyPr/>
                  <a:lstStyle/>
                  <a:p>
                    <a:fld id="{8DCED906-843F-406A-98F2-1B80F8CC76BA}"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A587-428E-9F44-21199AEF2571}"/>
                </c:ext>
              </c:extLst>
            </c:dLbl>
            <c:dLbl>
              <c:idx val="2"/>
              <c:tx>
                <c:rich>
                  <a:bodyPr/>
                  <a:lstStyle/>
                  <a:p>
                    <a:fld id="{5D9B8044-01CD-4B4F-9A63-DB9EFCFE7E51}"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A587-428E-9F44-21199AEF257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[0]!AxMs</c:f>
              <c:numCache>
                <c:formatCode>General</c:formatCode>
                <c:ptCount val="3"/>
                <c:pt idx="0">
                  <c:v>1</c:v>
                </c:pt>
                <c:pt idx="1">
                  <c:v>2</c:v>
                </c:pt>
                <c:pt idx="2">
                  <c:v>2</c:v>
                </c:pt>
              </c:numCache>
            </c:numRef>
          </c:xVal>
          <c:yVal>
            <c:numRef>
              <c:f>[0]!AyMs</c:f>
              <c:numCache>
                <c:formatCode>General</c:formatCode>
                <c:ptCount val="3"/>
                <c:pt idx="0">
                  <c:v>1</c:v>
                </c:pt>
                <c:pt idx="1">
                  <c:v>1</c:v>
                </c:pt>
                <c:pt idx="2">
                  <c:v>2</c:v>
                </c:pt>
              </c:numCache>
            </c:numRef>
          </c:yVal>
          <c:bubbleSize>
            <c:numRef>
              <c:f>[0]!AsMs</c:f>
              <c:numCache>
                <c:formatCode>General</c:formatCode>
                <c:ptCount val="3"/>
                <c:pt idx="0">
                  <c:v>-0.4054651081081645</c:v>
                </c:pt>
                <c:pt idx="1">
                  <c:v>-0.4054651081081645</c:v>
                </c:pt>
                <c:pt idx="2">
                  <c:v>-0.4054651081081645</c:v>
                </c:pt>
              </c:numCache>
            </c:numRef>
          </c:bubbleSize>
          <c:bubble3D val="0"/>
          <c:extLst>
            <c:ext xmlns:c15="http://schemas.microsoft.com/office/drawing/2012/chart" uri="{02D57815-91ED-43cb-92C2-25804820EDAC}">
              <c15:datalabelsRange>
                <c15:f>[0]!AlMs</c15:f>
                <c15:dlblRangeCache>
                  <c:ptCount val="3"/>
                  <c:pt idx="0">
                    <c:v>2.288</c:v>
                  </c:pt>
                  <c:pt idx="1">
                    <c:v>-1.437</c:v>
                  </c:pt>
                  <c:pt idx="2">
                    <c:v>-3.726</c:v>
                  </c:pt>
                </c15:dlblRangeCache>
              </c15:datalabelsRange>
            </c:ext>
            <c:ext xmlns:c16="http://schemas.microsoft.com/office/drawing/2014/chart" uri="{C3380CC4-5D6E-409C-BE32-E72D297353CC}">
              <c16:uniqueId val="{0000000A-A587-428E-9F44-21199AEF2571}"/>
            </c:ext>
          </c:extLst>
        </c:ser>
        <c:ser>
          <c:idx val="1"/>
          <c:order val="1"/>
          <c:tx>
            <c:strRef>
              <c:f>ANOVA!$BA$13</c:f>
              <c:strCache>
                <c:ptCount val="1"/>
                <c:pt idx="0">
                  <c:v>Variabel</c:v>
                </c:pt>
              </c:strCache>
            </c:strRef>
          </c:tx>
          <c:spPr>
            <a:noFill/>
            <a:ln w="25400">
              <a:noFill/>
            </a:ln>
            <a:effectLst/>
          </c:spPr>
          <c:invertIfNegative val="0"/>
          <c:dLbls>
            <c:dLbl>
              <c:idx val="0"/>
              <c:tx>
                <c:rich>
                  <a:bodyPr/>
                  <a:lstStyle/>
                  <a:p>
                    <a:fld id="{AAB2092F-CE65-4E0F-BA74-C88F9D1D2877}" type="CELLRANGE">
                      <a:rPr lang="en-US"/>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A587-428E-9F44-21199AEF2571}"/>
                </c:ext>
              </c:extLst>
            </c:dLbl>
            <c:dLbl>
              <c:idx val="1"/>
              <c:tx>
                <c:rich>
                  <a:bodyPr/>
                  <a:lstStyle/>
                  <a:p>
                    <a:fld id="{C7FF7981-F293-4444-A8C7-653B7F3D1B26}"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A587-428E-9F44-21199AEF2571}"/>
                </c:ext>
              </c:extLst>
            </c:dLbl>
            <c:dLbl>
              <c:idx val="2"/>
              <c:tx>
                <c:rich>
                  <a:bodyPr/>
                  <a:lstStyle/>
                  <a:p>
                    <a:fld id="{A2C58F8F-94C1-47DF-9EF7-FC86ADBCF4C8}"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A587-428E-9F44-21199AEF2571}"/>
                </c:ext>
              </c:extLst>
            </c:dLbl>
            <c:dLbl>
              <c:idx val="3"/>
              <c:tx>
                <c:rich>
                  <a:bodyPr/>
                  <a:lstStyle/>
                  <a:p>
                    <a:fld id="{2E17BCE8-D883-4216-BA67-9DEC4AC88746}"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A587-428E-9F44-21199AEF257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[0]!AkxMs</c:f>
              <c:numCache>
                <c:formatCode>General</c:formatCode>
                <c:ptCount val="4"/>
                <c:pt idx="0">
                  <c:v>0</c:v>
                </c:pt>
                <c:pt idx="1">
                  <c:v>0</c:v>
                </c:pt>
                <c:pt idx="2">
                  <c:v>1</c:v>
                </c:pt>
                <c:pt idx="3">
                  <c:v>2</c:v>
                </c:pt>
              </c:numCache>
            </c:numRef>
          </c:xVal>
          <c:yVal>
            <c:numRef>
              <c:f>[0]!AkyMs</c:f>
              <c:numCache>
                <c:formatCode>General</c:formatCode>
                <c:ptCount val="4"/>
                <c:pt idx="0">
                  <c:v>1</c:v>
                </c:pt>
                <c:pt idx="1">
                  <c:v>2</c:v>
                </c:pt>
                <c:pt idx="2">
                  <c:v>0</c:v>
                </c:pt>
                <c:pt idx="3">
                  <c:v>0</c:v>
                </c:pt>
              </c:numCache>
            </c:numRef>
          </c:yVal>
          <c:bubbleSize>
            <c:numRef>
              <c:f>[0]!AksMs</c:f>
              <c:numCache>
                <c:formatCode>General</c:formatCode>
                <c:ptCount val="4"/>
                <c:pt idx="0">
                  <c:v>1</c:v>
                </c:pt>
                <c:pt idx="1">
                  <c:v>1</c:v>
                </c:pt>
                <c:pt idx="2">
                  <c:v>1</c:v>
                </c:pt>
                <c:pt idx="3">
                  <c:v>1</c:v>
                </c:pt>
              </c:numCache>
            </c:numRef>
          </c:bubbleSize>
          <c:bubble3D val="0"/>
          <c:extLst>
            <c:ext xmlns:c15="http://schemas.microsoft.com/office/drawing/2012/chart" uri="{02D57815-91ED-43cb-92C2-25804820EDAC}">
              <c15:datalabelsRange>
                <c15:f>[0]!AklMs</c15:f>
                <c15:dlblRangeCache>
                  <c:ptCount val="4"/>
                  <c:pt idx="0">
                    <c:v>Eksempel 1 (interval)</c:v>
                  </c:pt>
                  <c:pt idx="1">
                    <c:v>Eksempel 2 (interval)</c:v>
                  </c:pt>
                  <c:pt idx="2">
                    <c:v>Eksempel 2 (interval)</c:v>
                  </c:pt>
                  <c:pt idx="3">
                    <c:v>Eksempel 4 (nominal)</c:v>
                  </c:pt>
                </c15:dlblRangeCache>
              </c15:datalabelsRange>
            </c:ext>
            <c:ext xmlns:c16="http://schemas.microsoft.com/office/drawing/2014/chart" uri="{C3380CC4-5D6E-409C-BE32-E72D297353CC}">
              <c16:uniqueId val="{00000013-A587-428E-9F44-21199AEF2571}"/>
            </c:ext>
          </c:extLst>
        </c:ser>
        <c:dLbls>
          <c:showLegendKey val="0"/>
          <c:showVal val="0"/>
          <c:showCatName val="0"/>
          <c:showSerName val="0"/>
          <c:showPercent val="0"/>
          <c:showBubbleSize val="0"/>
        </c:dLbls>
        <c:bubbleScale val="100"/>
        <c:showNegBubbles val="1"/>
        <c:axId val="1947327712"/>
        <c:axId val="1947324384"/>
      </c:bubbleChart>
      <c:valAx>
        <c:axId val="1947327712"/>
        <c:scaling>
          <c:orientation val="minMax"/>
          <c:min val="-0.5"/>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947324384"/>
        <c:crosses val="autoZero"/>
        <c:crossBetween val="midCat"/>
        <c:majorUnit val="1"/>
      </c:valAx>
      <c:valAx>
        <c:axId val="1947324384"/>
        <c:scaling>
          <c:orientation val="maxMin"/>
          <c:min val="-0.5"/>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947327712"/>
        <c:crosses val="autoZero"/>
        <c:crossBetween val="midCat"/>
        <c:maj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B$6" max="20" min="2" page="10" val="15"/>
</file>

<file path=xl/ctrlProps/ctrlProp2.xml><?xml version="1.0" encoding="utf-8"?>
<formControlPr xmlns="http://schemas.microsoft.com/office/spreadsheetml/2009/9/main" objectType="Spin" dx="22" fmlaLink="$B$7" max="20" min="2" page="10" val="6"/>
</file>

<file path=xl/ctrlProps/ctrlProp3.xml><?xml version="1.0" encoding="utf-8"?>
<formControlPr xmlns="http://schemas.microsoft.com/office/spreadsheetml/2009/9/main" objectType="Spin" dx="22" fmlaLink="$B$6" max="20" min="2" page="10" val="15"/>
</file>

<file path=xl/ctrlProps/ctrlProp4.xml><?xml version="1.0" encoding="utf-8"?>
<formControlPr xmlns="http://schemas.microsoft.com/office/spreadsheetml/2009/9/main" objectType="Spin" dx="22" fmlaLink="$B$7" max="20" min="2" page="10" val="6"/>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 Type="http://schemas.openxmlformats.org/officeDocument/2006/relationships/image" Target="../media/image3.png"/><Relationship Id="rId21" Type="http://schemas.openxmlformats.org/officeDocument/2006/relationships/image" Target="../media/image21.png"/><Relationship Id="rId34" Type="http://schemas.openxmlformats.org/officeDocument/2006/relationships/image" Target="../media/image33.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2.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hyperlink" Target="http://creativecommons.org/licenses/by-sa/4.0/" TargetMode="External"/><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4.png"/><Relationship Id="rId8" Type="http://schemas.openxmlformats.org/officeDocument/2006/relationships/image" Target="../media/image8.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35.emf"/><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2.xml"/><Relationship Id="rId7" Type="http://schemas.openxmlformats.org/officeDocument/2006/relationships/chart" Target="../charts/chart16.xml"/><Relationship Id="rId2" Type="http://schemas.openxmlformats.org/officeDocument/2006/relationships/chart" Target="../charts/chart11.xml"/><Relationship Id="rId1" Type="http://schemas.openxmlformats.org/officeDocument/2006/relationships/chart" Target="../charts/chart10.xml"/><Relationship Id="rId6" Type="http://schemas.openxmlformats.org/officeDocument/2006/relationships/chart" Target="../charts/chart15.xml"/><Relationship Id="rId5" Type="http://schemas.openxmlformats.org/officeDocument/2006/relationships/chart" Target="../charts/chart14.xml"/><Relationship Id="rId4"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8" Type="http://schemas.openxmlformats.org/officeDocument/2006/relationships/chart" Target="../charts/chart24.xml"/><Relationship Id="rId3" Type="http://schemas.openxmlformats.org/officeDocument/2006/relationships/chart" Target="../charts/chart19.xml"/><Relationship Id="rId7" Type="http://schemas.openxmlformats.org/officeDocument/2006/relationships/chart" Target="../charts/chart23.xml"/><Relationship Id="rId2" Type="http://schemas.openxmlformats.org/officeDocument/2006/relationships/chart" Target="../charts/chart18.xml"/><Relationship Id="rId1" Type="http://schemas.openxmlformats.org/officeDocument/2006/relationships/chart" Target="../charts/chart17.xml"/><Relationship Id="rId6" Type="http://schemas.openxmlformats.org/officeDocument/2006/relationships/chart" Target="../charts/chart22.xml"/><Relationship Id="rId5" Type="http://schemas.openxmlformats.org/officeDocument/2006/relationships/chart" Target="../charts/chart21.xml"/><Relationship Id="rId10" Type="http://schemas.openxmlformats.org/officeDocument/2006/relationships/image" Target="../media/image37.emf"/><Relationship Id="rId4" Type="http://schemas.openxmlformats.org/officeDocument/2006/relationships/chart" Target="../charts/chart20.xml"/><Relationship Id="rId9"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8.xml"/><Relationship Id="rId2" Type="http://schemas.openxmlformats.org/officeDocument/2006/relationships/chart" Target="../charts/chart27.xml"/><Relationship Id="rId1" Type="http://schemas.openxmlformats.org/officeDocument/2006/relationships/chart" Target="../charts/chart26.xml"/><Relationship Id="rId5" Type="http://schemas.openxmlformats.org/officeDocument/2006/relationships/image" Target="../media/image39.emf"/><Relationship Id="rId4" Type="http://schemas.openxmlformats.org/officeDocument/2006/relationships/chart" Target="../charts/chart29.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3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8.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editAs="oneCell">
    <xdr:from>
      <xdr:col>4</xdr:col>
      <xdr:colOff>1035632</xdr:colOff>
      <xdr:row>73</xdr:row>
      <xdr:rowOff>171897</xdr:rowOff>
    </xdr:from>
    <xdr:to>
      <xdr:col>6</xdr:col>
      <xdr:colOff>534169</xdr:colOff>
      <xdr:row>83</xdr:row>
      <xdr:rowOff>97041</xdr:rowOff>
    </xdr:to>
    <xdr:grpSp>
      <xdr:nvGrpSpPr>
        <xdr:cNvPr id="20" name="Group 19">
          <a:extLst>
            <a:ext uri="{FF2B5EF4-FFF2-40B4-BE49-F238E27FC236}">
              <a16:creationId xmlns:a16="http://schemas.microsoft.com/office/drawing/2014/main" id="{00000000-0008-0000-0000-000014000000}"/>
            </a:ext>
          </a:extLst>
        </xdr:cNvPr>
        <xdr:cNvGrpSpPr/>
      </xdr:nvGrpSpPr>
      <xdr:grpSpPr>
        <a:xfrm>
          <a:off x="12427532" y="13668822"/>
          <a:ext cx="2632262" cy="1734894"/>
          <a:chOff x="10424300" y="8001000"/>
          <a:chExt cx="2613949" cy="1664172"/>
        </a:xfrm>
      </xdr:grpSpPr>
      <xdr:pic>
        <xdr:nvPicPr>
          <xdr:cNvPr id="18" name="Picture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1"/>
          <a:stretch>
            <a:fillRect/>
          </a:stretch>
        </xdr:blipFill>
        <xdr:spPr>
          <a:xfrm>
            <a:off x="10424300" y="8001000"/>
            <a:ext cx="2613949" cy="1141066"/>
          </a:xfrm>
          <a:prstGeom prst="rect">
            <a:avLst/>
          </a:prstGeom>
        </xdr:spPr>
      </xdr:pic>
      <xdr:sp macro="" textlink="">
        <xdr:nvSpPr>
          <xdr:cNvPr id="19" name="TextBox 18">
            <a:extLst>
              <a:ext uri="{FF2B5EF4-FFF2-40B4-BE49-F238E27FC236}">
                <a16:creationId xmlns:a16="http://schemas.microsoft.com/office/drawing/2014/main" id="{00000000-0008-0000-0000-000013000000}"/>
              </a:ext>
            </a:extLst>
          </xdr:cNvPr>
          <xdr:cNvSpPr txBox="1"/>
        </xdr:nvSpPr>
        <xdr:spPr>
          <a:xfrm>
            <a:off x="10443707" y="9136960"/>
            <a:ext cx="2562556" cy="5282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3: Valg af observationssæt til analyse fra drop-down menu</a:t>
            </a:r>
            <a:endParaRPr lang="da-DK" sz="1100"/>
          </a:p>
        </xdr:txBody>
      </xdr:sp>
    </xdr:grpSp>
    <xdr:clientData/>
  </xdr:twoCellAnchor>
  <xdr:twoCellAnchor editAs="oneCell">
    <xdr:from>
      <xdr:col>0</xdr:col>
      <xdr:colOff>0</xdr:colOff>
      <xdr:row>78</xdr:row>
      <xdr:rowOff>17556</xdr:rowOff>
    </xdr:from>
    <xdr:to>
      <xdr:col>1</xdr:col>
      <xdr:colOff>115644</xdr:colOff>
      <xdr:row>96</xdr:row>
      <xdr:rowOff>15921</xdr:rowOff>
    </xdr:to>
    <xdr:grpSp>
      <xdr:nvGrpSpPr>
        <xdr:cNvPr id="27" name="Group 26">
          <a:extLst>
            <a:ext uri="{FF2B5EF4-FFF2-40B4-BE49-F238E27FC236}">
              <a16:creationId xmlns:a16="http://schemas.microsoft.com/office/drawing/2014/main" id="{00000000-0008-0000-0000-00001B000000}"/>
            </a:ext>
          </a:extLst>
        </xdr:cNvPr>
        <xdr:cNvGrpSpPr/>
      </xdr:nvGrpSpPr>
      <xdr:grpSpPr>
        <a:xfrm>
          <a:off x="0" y="14419356"/>
          <a:ext cx="5030544" cy="3255915"/>
          <a:chOff x="0" y="8763972"/>
          <a:chExt cx="5027231" cy="3108151"/>
        </a:xfrm>
      </xdr:grpSpPr>
      <xdr:sp macro="" textlink="">
        <xdr:nvSpPr>
          <xdr:cNvPr id="22" name="TextBox 21">
            <a:extLst>
              <a:ext uri="{FF2B5EF4-FFF2-40B4-BE49-F238E27FC236}">
                <a16:creationId xmlns:a16="http://schemas.microsoft.com/office/drawing/2014/main" id="{00000000-0008-0000-0000-000016000000}"/>
              </a:ext>
            </a:extLst>
          </xdr:cNvPr>
          <xdr:cNvSpPr txBox="1"/>
        </xdr:nvSpPr>
        <xdr:spPr>
          <a:xfrm>
            <a:off x="1" y="11565448"/>
            <a:ext cx="4990029" cy="306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4: Normalfraktildiagram til visuel test af om observationssættet er normalfordelt</a:t>
            </a:r>
            <a:endParaRPr lang="da-DK" sz="1100"/>
          </a:p>
        </xdr:txBody>
      </xdr:sp>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rotWithShape="1">
          <a:blip xmlns:r="http://schemas.openxmlformats.org/officeDocument/2006/relationships" r:embed="rId2"/>
          <a:srcRect l="-408" t="6441" r="50210" b="46636"/>
          <a:stretch/>
        </xdr:blipFill>
        <xdr:spPr>
          <a:xfrm>
            <a:off x="0" y="8763972"/>
            <a:ext cx="5027231" cy="2820386"/>
          </a:xfrm>
          <a:prstGeom prst="rect">
            <a:avLst/>
          </a:prstGeom>
        </xdr:spPr>
      </xdr:pic>
    </xdr:grpSp>
    <xdr:clientData/>
  </xdr:twoCellAnchor>
  <xdr:twoCellAnchor editAs="oneCell">
    <xdr:from>
      <xdr:col>0</xdr:col>
      <xdr:colOff>0</xdr:colOff>
      <xdr:row>97</xdr:row>
      <xdr:rowOff>60942</xdr:rowOff>
    </xdr:from>
    <xdr:to>
      <xdr:col>1</xdr:col>
      <xdr:colOff>73735</xdr:colOff>
      <xdr:row>114</xdr:row>
      <xdr:rowOff>154696</xdr:rowOff>
    </xdr:to>
    <xdr:grpSp>
      <xdr:nvGrpSpPr>
        <xdr:cNvPr id="30" name="Group 29">
          <a:extLst>
            <a:ext uri="{FF2B5EF4-FFF2-40B4-BE49-F238E27FC236}">
              <a16:creationId xmlns:a16="http://schemas.microsoft.com/office/drawing/2014/main" id="{00000000-0008-0000-0000-00001E000000}"/>
            </a:ext>
          </a:extLst>
        </xdr:cNvPr>
        <xdr:cNvGrpSpPr/>
      </xdr:nvGrpSpPr>
      <xdr:grpSpPr>
        <a:xfrm>
          <a:off x="0" y="17901267"/>
          <a:ext cx="4988635" cy="3170329"/>
          <a:chOff x="0" y="12087205"/>
          <a:chExt cx="4989126" cy="3041496"/>
        </a:xfrm>
      </xdr:grpSpPr>
      <xdr:pic>
        <xdr:nvPicPr>
          <xdr:cNvPr id="21" name="Picture 20">
            <a:extLst>
              <a:ext uri="{FF2B5EF4-FFF2-40B4-BE49-F238E27FC236}">
                <a16:creationId xmlns:a16="http://schemas.microsoft.com/office/drawing/2014/main" id="{00000000-0008-0000-0000-000015000000}"/>
              </a:ext>
            </a:extLst>
          </xdr:cNvPr>
          <xdr:cNvPicPr>
            <a:picLocks noChangeAspect="1"/>
          </xdr:cNvPicPr>
        </xdr:nvPicPr>
        <xdr:blipFill rotWithShape="1">
          <a:blip xmlns:r="http://schemas.openxmlformats.org/officeDocument/2006/relationships" r:embed="rId2"/>
          <a:srcRect l="49835" t="6630" r="479" b="46171"/>
          <a:stretch/>
        </xdr:blipFill>
        <xdr:spPr>
          <a:xfrm>
            <a:off x="0" y="12087205"/>
            <a:ext cx="4989126" cy="2808731"/>
          </a:xfrm>
          <a:prstGeom prst="rect">
            <a:avLst/>
          </a:prstGeom>
        </xdr:spPr>
      </xdr:pic>
      <xdr:sp macro="" textlink="">
        <xdr:nvSpPr>
          <xdr:cNvPr id="29" name="TextBox 28">
            <a:extLst>
              <a:ext uri="{FF2B5EF4-FFF2-40B4-BE49-F238E27FC236}">
                <a16:creationId xmlns:a16="http://schemas.microsoft.com/office/drawing/2014/main" id="{00000000-0008-0000-0000-00001D000000}"/>
              </a:ext>
            </a:extLst>
          </xdr:cNvPr>
          <xdr:cNvSpPr txBox="1"/>
        </xdr:nvSpPr>
        <xdr:spPr>
          <a:xfrm>
            <a:off x="1" y="14818708"/>
            <a:ext cx="4934436" cy="3099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5: Histogram til visuel test af om observationssættet er normalfordelt</a:t>
            </a:r>
            <a:endParaRPr lang="da-DK" sz="1100"/>
          </a:p>
        </xdr:txBody>
      </xdr:sp>
    </xdr:grpSp>
    <xdr:clientData/>
  </xdr:twoCellAnchor>
  <xdr:twoCellAnchor editAs="oneCell">
    <xdr:from>
      <xdr:col>0</xdr:col>
      <xdr:colOff>0</xdr:colOff>
      <xdr:row>114</xdr:row>
      <xdr:rowOff>163082</xdr:rowOff>
    </xdr:from>
    <xdr:to>
      <xdr:col>1</xdr:col>
      <xdr:colOff>56030</xdr:colOff>
      <xdr:row>132</xdr:row>
      <xdr:rowOff>39509</xdr:rowOff>
    </xdr:to>
    <xdr:grpSp>
      <xdr:nvGrpSpPr>
        <xdr:cNvPr id="34" name="Group 33">
          <a:extLst>
            <a:ext uri="{FF2B5EF4-FFF2-40B4-BE49-F238E27FC236}">
              <a16:creationId xmlns:a16="http://schemas.microsoft.com/office/drawing/2014/main" id="{00000000-0008-0000-0000-000022000000}"/>
            </a:ext>
          </a:extLst>
        </xdr:cNvPr>
        <xdr:cNvGrpSpPr/>
      </xdr:nvGrpSpPr>
      <xdr:grpSpPr>
        <a:xfrm>
          <a:off x="0" y="21079982"/>
          <a:ext cx="4970930" cy="3133977"/>
          <a:chOff x="0" y="14903974"/>
          <a:chExt cx="4974740" cy="2968206"/>
        </a:xfrm>
      </xdr:grpSpPr>
      <xdr:pic>
        <xdr:nvPicPr>
          <xdr:cNvPr id="32" name="Picture 31">
            <a:extLst>
              <a:ext uri="{FF2B5EF4-FFF2-40B4-BE49-F238E27FC236}">
                <a16:creationId xmlns:a16="http://schemas.microsoft.com/office/drawing/2014/main" id="{00000000-0008-0000-0000-000020000000}"/>
              </a:ext>
            </a:extLst>
          </xdr:cNvPr>
          <xdr:cNvPicPr>
            <a:picLocks noChangeAspect="1"/>
          </xdr:cNvPicPr>
        </xdr:nvPicPr>
        <xdr:blipFill>
          <a:blip xmlns:r="http://schemas.openxmlformats.org/officeDocument/2006/relationships" r:embed="rId3"/>
          <a:stretch>
            <a:fillRect/>
          </a:stretch>
        </xdr:blipFill>
        <xdr:spPr>
          <a:xfrm>
            <a:off x="0" y="14903974"/>
            <a:ext cx="4974740" cy="2716432"/>
          </a:xfrm>
          <a:prstGeom prst="rect">
            <a:avLst/>
          </a:prstGeom>
        </xdr:spPr>
      </xdr:pic>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1" y="17572678"/>
            <a:ext cx="4930140" cy="2995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6: Andelsdiagram til visualisering af andele</a:t>
            </a:r>
            <a:endParaRPr lang="da-DK" sz="1100"/>
          </a:p>
        </xdr:txBody>
      </xdr:sp>
    </xdr:grpSp>
    <xdr:clientData/>
  </xdr:twoCellAnchor>
  <xdr:twoCellAnchor editAs="oneCell">
    <xdr:from>
      <xdr:col>0</xdr:col>
      <xdr:colOff>0</xdr:colOff>
      <xdr:row>132</xdr:row>
      <xdr:rowOff>72390</xdr:rowOff>
    </xdr:from>
    <xdr:to>
      <xdr:col>1</xdr:col>
      <xdr:colOff>53340</xdr:colOff>
      <xdr:row>150</xdr:row>
      <xdr:rowOff>2547</xdr:rowOff>
    </xdr:to>
    <xdr:grpSp>
      <xdr:nvGrpSpPr>
        <xdr:cNvPr id="42" name="Group 41">
          <a:extLst>
            <a:ext uri="{FF2B5EF4-FFF2-40B4-BE49-F238E27FC236}">
              <a16:creationId xmlns:a16="http://schemas.microsoft.com/office/drawing/2014/main" id="{00000000-0008-0000-0000-00002A000000}"/>
            </a:ext>
          </a:extLst>
        </xdr:cNvPr>
        <xdr:cNvGrpSpPr/>
      </xdr:nvGrpSpPr>
      <xdr:grpSpPr>
        <a:xfrm>
          <a:off x="0" y="24246840"/>
          <a:ext cx="4968240" cy="3187707"/>
          <a:chOff x="0" y="17903190"/>
          <a:chExt cx="4972050" cy="3002975"/>
        </a:xfrm>
      </xdr:grpSpPr>
      <xdr:pic>
        <xdr:nvPicPr>
          <xdr:cNvPr id="36" name="Picture 35">
            <a:extLst>
              <a:ext uri="{FF2B5EF4-FFF2-40B4-BE49-F238E27FC236}">
                <a16:creationId xmlns:a16="http://schemas.microsoft.com/office/drawing/2014/main" id="{00000000-0008-0000-0000-000024000000}"/>
              </a:ext>
            </a:extLst>
          </xdr:cNvPr>
          <xdr:cNvPicPr>
            <a:picLocks noChangeAspect="1"/>
          </xdr:cNvPicPr>
        </xdr:nvPicPr>
        <xdr:blipFill rotWithShape="1">
          <a:blip xmlns:r="http://schemas.openxmlformats.org/officeDocument/2006/relationships" r:embed="rId4"/>
          <a:srcRect l="378" r="557"/>
          <a:stretch/>
        </xdr:blipFill>
        <xdr:spPr>
          <a:xfrm>
            <a:off x="0" y="17903190"/>
            <a:ext cx="4972050" cy="2750476"/>
          </a:xfrm>
          <a:prstGeom prst="rect">
            <a:avLst/>
          </a:prstGeom>
        </xdr:spPr>
      </xdr:pic>
      <xdr:sp macro="" textlink="">
        <xdr:nvSpPr>
          <xdr:cNvPr id="33" name="TextBox 32">
            <a:extLst>
              <a:ext uri="{FF2B5EF4-FFF2-40B4-BE49-F238E27FC236}">
                <a16:creationId xmlns:a16="http://schemas.microsoft.com/office/drawing/2014/main" id="{00000000-0008-0000-0000-000021000000}"/>
              </a:ext>
            </a:extLst>
          </xdr:cNvPr>
          <xdr:cNvSpPr txBox="1"/>
        </xdr:nvSpPr>
        <xdr:spPr>
          <a:xfrm>
            <a:off x="0" y="20615740"/>
            <a:ext cx="4970522" cy="290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7: Kvartilsæt diagram visualisering af kvartiler</a:t>
            </a:r>
            <a:endParaRPr lang="da-DK" sz="1100"/>
          </a:p>
        </xdr:txBody>
      </xdr:sp>
    </xdr:grpSp>
    <xdr:clientData/>
  </xdr:twoCellAnchor>
  <xdr:twoCellAnchor editAs="oneCell">
    <xdr:from>
      <xdr:col>0</xdr:col>
      <xdr:colOff>0</xdr:colOff>
      <xdr:row>155</xdr:row>
      <xdr:rowOff>36193</xdr:rowOff>
    </xdr:from>
    <xdr:to>
      <xdr:col>1</xdr:col>
      <xdr:colOff>93345</xdr:colOff>
      <xdr:row>163</xdr:row>
      <xdr:rowOff>55243</xdr:rowOff>
    </xdr:to>
    <xdr:grpSp>
      <xdr:nvGrpSpPr>
        <xdr:cNvPr id="44" name="Group 43">
          <a:extLst>
            <a:ext uri="{FF2B5EF4-FFF2-40B4-BE49-F238E27FC236}">
              <a16:creationId xmlns:a16="http://schemas.microsoft.com/office/drawing/2014/main" id="{00000000-0008-0000-0000-00002C000000}"/>
            </a:ext>
          </a:extLst>
        </xdr:cNvPr>
        <xdr:cNvGrpSpPr/>
      </xdr:nvGrpSpPr>
      <xdr:grpSpPr>
        <a:xfrm>
          <a:off x="0" y="28373068"/>
          <a:ext cx="5008245" cy="1466850"/>
          <a:chOff x="0" y="21259800"/>
          <a:chExt cx="9077325" cy="2500977"/>
        </a:xfrm>
      </xdr:grpSpPr>
      <xdr:pic>
        <xdr:nvPicPr>
          <xdr:cNvPr id="37" name="Picture 36">
            <a:extLst>
              <a:ext uri="{FF2B5EF4-FFF2-40B4-BE49-F238E27FC236}">
                <a16:creationId xmlns:a16="http://schemas.microsoft.com/office/drawing/2014/main" id="{00000000-0008-0000-0000-000025000000}"/>
              </a:ext>
            </a:extLst>
          </xdr:cNvPr>
          <xdr:cNvPicPr>
            <a:picLocks noChangeAspect="1"/>
          </xdr:cNvPicPr>
        </xdr:nvPicPr>
        <xdr:blipFill rotWithShape="1">
          <a:blip xmlns:r="http://schemas.openxmlformats.org/officeDocument/2006/relationships" r:embed="rId5"/>
          <a:srcRect r="31133"/>
          <a:stretch/>
        </xdr:blipFill>
        <xdr:spPr>
          <a:xfrm>
            <a:off x="0" y="21259800"/>
            <a:ext cx="9077325" cy="2112382"/>
          </a:xfrm>
          <a:prstGeom prst="rect">
            <a:avLst/>
          </a:prstGeom>
        </xdr:spPr>
      </xdr:pic>
      <xdr:sp macro="" textlink="">
        <xdr:nvSpPr>
          <xdr:cNvPr id="38" name="TextBox 37">
            <a:extLst>
              <a:ext uri="{FF2B5EF4-FFF2-40B4-BE49-F238E27FC236}">
                <a16:creationId xmlns:a16="http://schemas.microsoft.com/office/drawing/2014/main" id="{00000000-0008-0000-0000-000026000000}"/>
              </a:ext>
            </a:extLst>
          </xdr:cNvPr>
          <xdr:cNvSpPr txBox="1"/>
        </xdr:nvSpPr>
        <xdr:spPr>
          <a:xfrm>
            <a:off x="0" y="23336251"/>
            <a:ext cx="9076012" cy="4245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9: Resultattabellen findes under diagrammerne</a:t>
            </a:r>
            <a:endParaRPr lang="da-DK" sz="1100"/>
          </a:p>
        </xdr:txBody>
      </xdr:sp>
    </xdr:grpSp>
    <xdr:clientData/>
  </xdr:twoCellAnchor>
  <xdr:twoCellAnchor editAs="oneCell">
    <xdr:from>
      <xdr:col>4</xdr:col>
      <xdr:colOff>940031</xdr:colOff>
      <xdr:row>152</xdr:row>
      <xdr:rowOff>7624</xdr:rowOff>
    </xdr:from>
    <xdr:to>
      <xdr:col>4</xdr:col>
      <xdr:colOff>2380211</xdr:colOff>
      <xdr:row>160</xdr:row>
      <xdr:rowOff>99057</xdr:rowOff>
    </xdr:to>
    <xdr:grpSp>
      <xdr:nvGrpSpPr>
        <xdr:cNvPr id="43" name="Group 42">
          <a:extLst>
            <a:ext uri="{FF2B5EF4-FFF2-40B4-BE49-F238E27FC236}">
              <a16:creationId xmlns:a16="http://schemas.microsoft.com/office/drawing/2014/main" id="{00000000-0008-0000-0000-00002B000000}"/>
            </a:ext>
          </a:extLst>
        </xdr:cNvPr>
        <xdr:cNvGrpSpPr/>
      </xdr:nvGrpSpPr>
      <xdr:grpSpPr>
        <a:xfrm>
          <a:off x="12331931" y="27801574"/>
          <a:ext cx="1440180" cy="1539233"/>
          <a:chOff x="0" y="23831550"/>
          <a:chExt cx="1447800" cy="1468988"/>
        </a:xfrm>
      </xdr:grpSpPr>
      <xdr:pic>
        <xdr:nvPicPr>
          <xdr:cNvPr id="40" name="Picture 39">
            <a:extLst>
              <a:ext uri="{FF2B5EF4-FFF2-40B4-BE49-F238E27FC236}">
                <a16:creationId xmlns:a16="http://schemas.microsoft.com/office/drawing/2014/main" id="{00000000-0008-0000-0000-000028000000}"/>
              </a:ext>
            </a:extLst>
          </xdr:cNvPr>
          <xdr:cNvPicPr>
            <a:picLocks noChangeAspect="1"/>
          </xdr:cNvPicPr>
        </xdr:nvPicPr>
        <xdr:blipFill>
          <a:blip xmlns:r="http://schemas.openxmlformats.org/officeDocument/2006/relationships" r:embed="rId6"/>
          <a:stretch>
            <a:fillRect/>
          </a:stretch>
        </xdr:blipFill>
        <xdr:spPr>
          <a:xfrm>
            <a:off x="0" y="23831550"/>
            <a:ext cx="1445714" cy="908572"/>
          </a:xfrm>
          <a:prstGeom prst="rect">
            <a:avLst/>
          </a:prstGeom>
        </xdr:spPr>
      </xdr:pic>
      <xdr:sp macro="" textlink="">
        <xdr:nvSpPr>
          <xdr:cNvPr id="41" name="TextBox 40">
            <a:extLst>
              <a:ext uri="{FF2B5EF4-FFF2-40B4-BE49-F238E27FC236}">
                <a16:creationId xmlns:a16="http://schemas.microsoft.com/office/drawing/2014/main" id="{00000000-0008-0000-0000-000029000000}"/>
              </a:ext>
            </a:extLst>
          </xdr:cNvPr>
          <xdr:cNvSpPr txBox="1"/>
        </xdr:nvSpPr>
        <xdr:spPr>
          <a:xfrm>
            <a:off x="0" y="24747852"/>
            <a:ext cx="1447800" cy="55268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8: Hjem fanen indeholder formattering af celler</a:t>
            </a:r>
            <a:endParaRPr lang="da-DK" sz="1100"/>
          </a:p>
        </xdr:txBody>
      </xdr:sp>
    </xdr:grpSp>
    <xdr:clientData/>
  </xdr:twoCellAnchor>
  <xdr:twoCellAnchor editAs="oneCell">
    <xdr:from>
      <xdr:col>4</xdr:col>
      <xdr:colOff>929640</xdr:colOff>
      <xdr:row>285</xdr:row>
      <xdr:rowOff>114300</xdr:rowOff>
    </xdr:from>
    <xdr:to>
      <xdr:col>16</xdr:col>
      <xdr:colOff>248419</xdr:colOff>
      <xdr:row>295</xdr:row>
      <xdr:rowOff>39332</xdr:rowOff>
    </xdr:to>
    <xdr:grpSp>
      <xdr:nvGrpSpPr>
        <xdr:cNvPr id="122" name="Group 121">
          <a:extLst>
            <a:ext uri="{FF2B5EF4-FFF2-40B4-BE49-F238E27FC236}">
              <a16:creationId xmlns:a16="http://schemas.microsoft.com/office/drawing/2014/main" id="{00000000-0008-0000-0000-00007A000000}"/>
            </a:ext>
          </a:extLst>
        </xdr:cNvPr>
        <xdr:cNvGrpSpPr/>
      </xdr:nvGrpSpPr>
      <xdr:grpSpPr>
        <a:xfrm>
          <a:off x="12321540" y="52206525"/>
          <a:ext cx="9310504" cy="1734782"/>
          <a:chOff x="12321540" y="47548800"/>
          <a:chExt cx="9089524" cy="1639532"/>
        </a:xfrm>
      </xdr:grpSpPr>
      <xdr:pic>
        <xdr:nvPicPr>
          <xdr:cNvPr id="118" name="Picture 117">
            <a:extLst>
              <a:ext uri="{FF2B5EF4-FFF2-40B4-BE49-F238E27FC236}">
                <a16:creationId xmlns:a16="http://schemas.microsoft.com/office/drawing/2014/main" id="{00000000-0008-0000-0000-000076000000}"/>
              </a:ext>
            </a:extLst>
          </xdr:cNvPr>
          <xdr:cNvPicPr>
            <a:picLocks noChangeAspect="1"/>
          </xdr:cNvPicPr>
        </xdr:nvPicPr>
        <xdr:blipFill>
          <a:blip xmlns:r="http://schemas.openxmlformats.org/officeDocument/2006/relationships" r:embed="rId7"/>
          <a:stretch>
            <a:fillRect/>
          </a:stretch>
        </xdr:blipFill>
        <xdr:spPr>
          <a:xfrm>
            <a:off x="12321540" y="47548800"/>
            <a:ext cx="9089524" cy="1409524"/>
          </a:xfrm>
          <a:prstGeom prst="rect">
            <a:avLst/>
          </a:prstGeom>
        </xdr:spPr>
      </xdr:pic>
      <xdr:sp macro="" textlink="">
        <xdr:nvSpPr>
          <xdr:cNvPr id="56" name="TextBox 55">
            <a:extLst>
              <a:ext uri="{FF2B5EF4-FFF2-40B4-BE49-F238E27FC236}">
                <a16:creationId xmlns:a16="http://schemas.microsoft.com/office/drawing/2014/main" id="{00000000-0008-0000-0000-000038000000}"/>
              </a:ext>
            </a:extLst>
          </xdr:cNvPr>
          <xdr:cNvSpPr txBox="1"/>
        </xdr:nvSpPr>
        <xdr:spPr>
          <a:xfrm>
            <a:off x="12325713" y="48941247"/>
            <a:ext cx="9059593" cy="2470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18: Valg omkring afhængige og uafhængige variable kontrolleres automatisk og problemer markeres med rødt</a:t>
            </a:r>
          </a:p>
        </xdr:txBody>
      </xdr:sp>
    </xdr:grpSp>
    <xdr:clientData/>
  </xdr:twoCellAnchor>
  <xdr:twoCellAnchor editAs="oneCell">
    <xdr:from>
      <xdr:col>0</xdr:col>
      <xdr:colOff>0</xdr:colOff>
      <xdr:row>399</xdr:row>
      <xdr:rowOff>91440</xdr:rowOff>
    </xdr:from>
    <xdr:to>
      <xdr:col>0</xdr:col>
      <xdr:colOff>4514084</xdr:colOff>
      <xdr:row>416</xdr:row>
      <xdr:rowOff>152386</xdr:rowOff>
    </xdr:to>
    <xdr:grpSp>
      <xdr:nvGrpSpPr>
        <xdr:cNvPr id="145" name="Group 144">
          <a:extLst>
            <a:ext uri="{FF2B5EF4-FFF2-40B4-BE49-F238E27FC236}">
              <a16:creationId xmlns:a16="http://schemas.microsoft.com/office/drawing/2014/main" id="{00000000-0008-0000-0000-000091000000}"/>
            </a:ext>
          </a:extLst>
        </xdr:cNvPr>
        <xdr:cNvGrpSpPr/>
      </xdr:nvGrpSpPr>
      <xdr:grpSpPr>
        <a:xfrm>
          <a:off x="0" y="72814815"/>
          <a:ext cx="4514084" cy="3137521"/>
          <a:chOff x="0" y="69923297"/>
          <a:chExt cx="4514084" cy="3068125"/>
        </a:xfrm>
      </xdr:grpSpPr>
      <xdr:pic>
        <xdr:nvPicPr>
          <xdr:cNvPr id="135" name="Picture 134">
            <a:extLst>
              <a:ext uri="{FF2B5EF4-FFF2-40B4-BE49-F238E27FC236}">
                <a16:creationId xmlns:a16="http://schemas.microsoft.com/office/drawing/2014/main" id="{00000000-0008-0000-0000-000087000000}"/>
              </a:ext>
            </a:extLst>
          </xdr:cNvPr>
          <xdr:cNvPicPr>
            <a:picLocks noChangeAspect="1"/>
          </xdr:cNvPicPr>
        </xdr:nvPicPr>
        <xdr:blipFill>
          <a:blip xmlns:r="http://schemas.openxmlformats.org/officeDocument/2006/relationships" r:embed="rId8"/>
          <a:stretch>
            <a:fillRect/>
          </a:stretch>
        </xdr:blipFill>
        <xdr:spPr>
          <a:xfrm>
            <a:off x="0" y="69923297"/>
            <a:ext cx="4514084" cy="2830286"/>
          </a:xfrm>
          <a:prstGeom prst="rect">
            <a:avLst/>
          </a:prstGeom>
        </xdr:spPr>
      </xdr:pic>
      <xdr:sp macro="" textlink="">
        <xdr:nvSpPr>
          <xdr:cNvPr id="51" name="TextBox 50">
            <a:extLst>
              <a:ext uri="{FF2B5EF4-FFF2-40B4-BE49-F238E27FC236}">
                <a16:creationId xmlns:a16="http://schemas.microsoft.com/office/drawing/2014/main" id="{00000000-0008-0000-0000-000033000000}"/>
              </a:ext>
            </a:extLst>
          </xdr:cNvPr>
          <xdr:cNvSpPr txBox="1"/>
        </xdr:nvSpPr>
        <xdr:spPr>
          <a:xfrm>
            <a:off x="1" y="72721850"/>
            <a:ext cx="4512944" cy="2695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26: Eksempel 4 forklarer Eksempel 1</a:t>
            </a:r>
          </a:p>
        </xdr:txBody>
      </xdr:sp>
    </xdr:grpSp>
    <xdr:clientData/>
  </xdr:twoCellAnchor>
  <xdr:twoCellAnchor editAs="oneCell">
    <xdr:from>
      <xdr:col>0</xdr:col>
      <xdr:colOff>0</xdr:colOff>
      <xdr:row>455</xdr:row>
      <xdr:rowOff>173355</xdr:rowOff>
    </xdr:from>
    <xdr:to>
      <xdr:col>0</xdr:col>
      <xdr:colOff>4587240</xdr:colOff>
      <xdr:row>484</xdr:row>
      <xdr:rowOff>1192</xdr:rowOff>
    </xdr:to>
    <xdr:grpSp>
      <xdr:nvGrpSpPr>
        <xdr:cNvPr id="142" name="Group 141">
          <a:extLst>
            <a:ext uri="{FF2B5EF4-FFF2-40B4-BE49-F238E27FC236}">
              <a16:creationId xmlns:a16="http://schemas.microsoft.com/office/drawing/2014/main" id="{00000000-0008-0000-0000-00008E000000}"/>
            </a:ext>
          </a:extLst>
        </xdr:cNvPr>
        <xdr:cNvGrpSpPr/>
      </xdr:nvGrpSpPr>
      <xdr:grpSpPr>
        <a:xfrm>
          <a:off x="0" y="83031330"/>
          <a:ext cx="4587240" cy="5076112"/>
          <a:chOff x="0" y="79911212"/>
          <a:chExt cx="4587240" cy="4957730"/>
        </a:xfrm>
      </xdr:grpSpPr>
      <xdr:pic>
        <xdr:nvPicPr>
          <xdr:cNvPr id="138" name="Picture 137">
            <a:extLst>
              <a:ext uri="{FF2B5EF4-FFF2-40B4-BE49-F238E27FC236}">
                <a16:creationId xmlns:a16="http://schemas.microsoft.com/office/drawing/2014/main" id="{00000000-0008-0000-0000-00008A000000}"/>
              </a:ext>
            </a:extLst>
          </xdr:cNvPr>
          <xdr:cNvPicPr>
            <a:picLocks noChangeAspect="1"/>
          </xdr:cNvPicPr>
        </xdr:nvPicPr>
        <xdr:blipFill>
          <a:blip xmlns:r="http://schemas.openxmlformats.org/officeDocument/2006/relationships" r:embed="rId9"/>
          <a:stretch>
            <a:fillRect/>
          </a:stretch>
        </xdr:blipFill>
        <xdr:spPr>
          <a:xfrm>
            <a:off x="0" y="79911212"/>
            <a:ext cx="4587240" cy="4420870"/>
          </a:xfrm>
          <a:prstGeom prst="rect">
            <a:avLst/>
          </a:prstGeom>
        </xdr:spPr>
      </xdr:pic>
      <xdr:sp macro="" textlink="">
        <xdr:nvSpPr>
          <xdr:cNvPr id="53" name="TextBox 52">
            <a:extLst>
              <a:ext uri="{FF2B5EF4-FFF2-40B4-BE49-F238E27FC236}">
                <a16:creationId xmlns:a16="http://schemas.microsoft.com/office/drawing/2014/main" id="{00000000-0008-0000-0000-000035000000}"/>
              </a:ext>
            </a:extLst>
          </xdr:cNvPr>
          <xdr:cNvSpPr txBox="1"/>
        </xdr:nvSpPr>
        <xdr:spPr>
          <a:xfrm>
            <a:off x="0" y="84296387"/>
            <a:ext cx="4552124" cy="57255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29: I multipel lineær regression vises hver variabels effekt isoleret.</a:t>
            </a:r>
          </a:p>
          <a:p>
            <a:r>
              <a:rPr lang="da-DK" sz="1100" baseline="0"/>
              <a:t>Eksempel 5 (grøn) og Eksempel 6 (orange) har næsten ingen effekt i modellen.</a:t>
            </a:r>
          </a:p>
        </xdr:txBody>
      </xdr:sp>
    </xdr:grpSp>
    <xdr:clientData/>
  </xdr:twoCellAnchor>
  <xdr:twoCellAnchor editAs="oneCell">
    <xdr:from>
      <xdr:col>0</xdr:col>
      <xdr:colOff>0</xdr:colOff>
      <xdr:row>418</xdr:row>
      <xdr:rowOff>0</xdr:rowOff>
    </xdr:from>
    <xdr:to>
      <xdr:col>0</xdr:col>
      <xdr:colOff>4511040</xdr:colOff>
      <xdr:row>435</xdr:row>
      <xdr:rowOff>22175</xdr:rowOff>
    </xdr:to>
    <xdr:grpSp>
      <xdr:nvGrpSpPr>
        <xdr:cNvPr id="144" name="Group 143">
          <a:extLst>
            <a:ext uri="{FF2B5EF4-FFF2-40B4-BE49-F238E27FC236}">
              <a16:creationId xmlns:a16="http://schemas.microsoft.com/office/drawing/2014/main" id="{00000000-0008-0000-0000-000090000000}"/>
            </a:ext>
          </a:extLst>
        </xdr:cNvPr>
        <xdr:cNvGrpSpPr/>
      </xdr:nvGrpSpPr>
      <xdr:grpSpPr>
        <a:xfrm>
          <a:off x="0" y="76161900"/>
          <a:ext cx="4511040" cy="3098750"/>
          <a:chOff x="0" y="73192821"/>
          <a:chExt cx="4511040" cy="3029354"/>
        </a:xfrm>
      </xdr:grpSpPr>
      <xdr:pic>
        <xdr:nvPicPr>
          <xdr:cNvPr id="136" name="Picture 135">
            <a:extLst>
              <a:ext uri="{FF2B5EF4-FFF2-40B4-BE49-F238E27FC236}">
                <a16:creationId xmlns:a16="http://schemas.microsoft.com/office/drawing/2014/main" id="{00000000-0008-0000-0000-000088000000}"/>
              </a:ext>
            </a:extLst>
          </xdr:cNvPr>
          <xdr:cNvPicPr>
            <a:picLocks noChangeAspect="1"/>
          </xdr:cNvPicPr>
        </xdr:nvPicPr>
        <xdr:blipFill>
          <a:blip xmlns:r="http://schemas.openxmlformats.org/officeDocument/2006/relationships" r:embed="rId10"/>
          <a:stretch>
            <a:fillRect/>
          </a:stretch>
        </xdr:blipFill>
        <xdr:spPr>
          <a:xfrm>
            <a:off x="0" y="73192821"/>
            <a:ext cx="4511040" cy="2763891"/>
          </a:xfrm>
          <a:prstGeom prst="rect">
            <a:avLst/>
          </a:prstGeom>
        </xdr:spPr>
      </xdr:pic>
      <xdr:sp macro="" textlink="">
        <xdr:nvSpPr>
          <xdr:cNvPr id="81" name="TextBox 80">
            <a:extLst>
              <a:ext uri="{FF2B5EF4-FFF2-40B4-BE49-F238E27FC236}">
                <a16:creationId xmlns:a16="http://schemas.microsoft.com/office/drawing/2014/main" id="{00000000-0008-0000-0000-000051000000}"/>
              </a:ext>
            </a:extLst>
          </xdr:cNvPr>
          <xdr:cNvSpPr txBox="1"/>
        </xdr:nvSpPr>
        <xdr:spPr>
          <a:xfrm>
            <a:off x="0" y="75952876"/>
            <a:ext cx="4478734" cy="269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27: Konfidensintervallet for gennemsnit ligger omkring regressionslinjen</a:t>
            </a:r>
          </a:p>
        </xdr:txBody>
      </xdr:sp>
    </xdr:grpSp>
    <xdr:clientData/>
  </xdr:twoCellAnchor>
  <xdr:twoCellAnchor editAs="oneCell">
    <xdr:from>
      <xdr:col>0</xdr:col>
      <xdr:colOff>0</xdr:colOff>
      <xdr:row>436</xdr:row>
      <xdr:rowOff>43543</xdr:rowOff>
    </xdr:from>
    <xdr:to>
      <xdr:col>0</xdr:col>
      <xdr:colOff>4511040</xdr:colOff>
      <xdr:row>454</xdr:row>
      <xdr:rowOff>77833</xdr:rowOff>
    </xdr:to>
    <xdr:grpSp>
      <xdr:nvGrpSpPr>
        <xdr:cNvPr id="143" name="Group 142">
          <a:extLst>
            <a:ext uri="{FF2B5EF4-FFF2-40B4-BE49-F238E27FC236}">
              <a16:creationId xmlns:a16="http://schemas.microsoft.com/office/drawing/2014/main" id="{00000000-0008-0000-0000-00008F000000}"/>
            </a:ext>
          </a:extLst>
        </xdr:cNvPr>
        <xdr:cNvGrpSpPr/>
      </xdr:nvGrpSpPr>
      <xdr:grpSpPr>
        <a:xfrm>
          <a:off x="0" y="79462993"/>
          <a:ext cx="4511040" cy="3291840"/>
          <a:chOff x="0" y="76253340"/>
          <a:chExt cx="4514850" cy="3225981"/>
        </a:xfrm>
      </xdr:grpSpPr>
      <xdr:pic>
        <xdr:nvPicPr>
          <xdr:cNvPr id="137" name="Picture 136">
            <a:extLst>
              <a:ext uri="{FF2B5EF4-FFF2-40B4-BE49-F238E27FC236}">
                <a16:creationId xmlns:a16="http://schemas.microsoft.com/office/drawing/2014/main" id="{00000000-0008-0000-0000-000089000000}"/>
              </a:ext>
            </a:extLst>
          </xdr:cNvPr>
          <xdr:cNvPicPr>
            <a:picLocks noChangeAspect="1"/>
          </xdr:cNvPicPr>
        </xdr:nvPicPr>
        <xdr:blipFill>
          <a:blip xmlns:r="http://schemas.openxmlformats.org/officeDocument/2006/relationships" r:embed="rId11"/>
          <a:stretch>
            <a:fillRect/>
          </a:stretch>
        </xdr:blipFill>
        <xdr:spPr>
          <a:xfrm>
            <a:off x="0" y="76253340"/>
            <a:ext cx="4511040" cy="2815397"/>
          </a:xfrm>
          <a:prstGeom prst="rect">
            <a:avLst/>
          </a:prstGeom>
        </xdr:spPr>
      </xdr:pic>
      <xdr:sp macro="" textlink="">
        <xdr:nvSpPr>
          <xdr:cNvPr id="83" name="TextBox 82">
            <a:extLst>
              <a:ext uri="{FF2B5EF4-FFF2-40B4-BE49-F238E27FC236}">
                <a16:creationId xmlns:a16="http://schemas.microsoft.com/office/drawing/2014/main" id="{00000000-0008-0000-0000-000053000000}"/>
              </a:ext>
            </a:extLst>
          </xdr:cNvPr>
          <xdr:cNvSpPr txBox="1"/>
        </xdr:nvSpPr>
        <xdr:spPr>
          <a:xfrm>
            <a:off x="0" y="79052853"/>
            <a:ext cx="4514850" cy="4264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28: Forudsigelsesintervallet for observationer viser spredningen af observationer omkring regressionslinjen</a:t>
            </a:r>
          </a:p>
        </xdr:txBody>
      </xdr:sp>
    </xdr:grpSp>
    <xdr:clientData/>
  </xdr:twoCellAnchor>
  <xdr:twoCellAnchor editAs="oneCell">
    <xdr:from>
      <xdr:col>5</xdr:col>
      <xdr:colOff>102178</xdr:colOff>
      <xdr:row>152</xdr:row>
      <xdr:rowOff>2</xdr:rowOff>
    </xdr:from>
    <xdr:to>
      <xdr:col>8</xdr:col>
      <xdr:colOff>531321</xdr:colOff>
      <xdr:row>164</xdr:row>
      <xdr:rowOff>38101</xdr:rowOff>
    </xdr:to>
    <xdr:grpSp>
      <xdr:nvGrpSpPr>
        <xdr:cNvPr id="9" name="Group 8">
          <a:extLst>
            <a:ext uri="{FF2B5EF4-FFF2-40B4-BE49-F238E27FC236}">
              <a16:creationId xmlns:a16="http://schemas.microsoft.com/office/drawing/2014/main" id="{00000000-0008-0000-0000-000009000000}"/>
            </a:ext>
          </a:extLst>
        </xdr:cNvPr>
        <xdr:cNvGrpSpPr/>
      </xdr:nvGrpSpPr>
      <xdr:grpSpPr>
        <a:xfrm>
          <a:off x="13942003" y="27793952"/>
          <a:ext cx="2486543" cy="2209799"/>
          <a:chOff x="13274040" y="24688802"/>
          <a:chExt cx="2451735" cy="2095498"/>
        </a:xfrm>
      </xdr:grpSpPr>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rotWithShape="1">
          <a:blip xmlns:r="http://schemas.openxmlformats.org/officeDocument/2006/relationships" r:embed="rId12"/>
          <a:srcRect b="13053"/>
          <a:stretch/>
        </xdr:blipFill>
        <xdr:spPr>
          <a:xfrm>
            <a:off x="13274040" y="24688802"/>
            <a:ext cx="2451735" cy="1676399"/>
          </a:xfrm>
          <a:prstGeom prst="rect">
            <a:avLst/>
          </a:prstGeom>
        </xdr:spPr>
      </xdr:pic>
      <xdr:sp macro="" textlink="">
        <xdr:nvSpPr>
          <xdr:cNvPr id="77" name="TextBox 76">
            <a:extLst>
              <a:ext uri="{FF2B5EF4-FFF2-40B4-BE49-F238E27FC236}">
                <a16:creationId xmlns:a16="http://schemas.microsoft.com/office/drawing/2014/main" id="{00000000-0008-0000-0000-00004D000000}"/>
              </a:ext>
            </a:extLst>
          </xdr:cNvPr>
          <xdr:cNvSpPr txBox="1"/>
        </xdr:nvSpPr>
        <xdr:spPr>
          <a:xfrm>
            <a:off x="13277850" y="26325195"/>
            <a:ext cx="2444115" cy="45910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10: Kendte populationsværdier indtastes i felterne over data tabellen</a:t>
            </a:r>
            <a:endParaRPr lang="da-DK" sz="1100"/>
          </a:p>
        </xdr:txBody>
      </xdr:sp>
    </xdr:grpSp>
    <xdr:clientData/>
  </xdr:twoCellAnchor>
  <xdr:twoCellAnchor editAs="oneCell">
    <xdr:from>
      <xdr:col>4</xdr:col>
      <xdr:colOff>1000991</xdr:colOff>
      <xdr:row>182</xdr:row>
      <xdr:rowOff>26223</xdr:rowOff>
    </xdr:from>
    <xdr:to>
      <xdr:col>12</xdr:col>
      <xdr:colOff>306532</xdr:colOff>
      <xdr:row>186</xdr:row>
      <xdr:rowOff>137159</xdr:rowOff>
    </xdr:to>
    <xdr:grpSp>
      <xdr:nvGrpSpPr>
        <xdr:cNvPr id="45" name="Group 44">
          <a:extLst>
            <a:ext uri="{FF2B5EF4-FFF2-40B4-BE49-F238E27FC236}">
              <a16:creationId xmlns:a16="http://schemas.microsoft.com/office/drawing/2014/main" id="{00000000-0008-0000-0000-00002D000000}"/>
            </a:ext>
          </a:extLst>
        </xdr:cNvPr>
        <xdr:cNvGrpSpPr/>
      </xdr:nvGrpSpPr>
      <xdr:grpSpPr>
        <a:xfrm>
          <a:off x="12392891" y="33363723"/>
          <a:ext cx="6554066" cy="834836"/>
          <a:chOff x="8258175" y="29718000"/>
          <a:chExt cx="8705850" cy="1072142"/>
        </a:xfrm>
      </xdr:grpSpPr>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3"/>
          <a:stretch>
            <a:fillRect/>
          </a:stretch>
        </xdr:blipFill>
        <xdr:spPr>
          <a:xfrm>
            <a:off x="8258175" y="29718000"/>
            <a:ext cx="8704762" cy="708571"/>
          </a:xfrm>
          <a:prstGeom prst="rect">
            <a:avLst/>
          </a:prstGeom>
        </xdr:spPr>
      </xdr:pic>
      <xdr:sp macro="" textlink="">
        <xdr:nvSpPr>
          <xdr:cNvPr id="78" name="TextBox 77">
            <a:extLst>
              <a:ext uri="{FF2B5EF4-FFF2-40B4-BE49-F238E27FC236}">
                <a16:creationId xmlns:a16="http://schemas.microsoft.com/office/drawing/2014/main" id="{00000000-0008-0000-0000-00004E000000}"/>
              </a:ext>
            </a:extLst>
          </xdr:cNvPr>
          <xdr:cNvSpPr txBox="1"/>
        </xdr:nvSpPr>
        <xdr:spPr>
          <a:xfrm>
            <a:off x="8258175" y="30422848"/>
            <a:ext cx="8705850" cy="3672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11: Valg til analyse af konfidens og hypoteser</a:t>
            </a:r>
            <a:endParaRPr lang="da-DK" sz="1100"/>
          </a:p>
        </xdr:txBody>
      </xdr:sp>
    </xdr:grpSp>
    <xdr:clientData/>
  </xdr:twoCellAnchor>
  <xdr:twoCellAnchor editAs="oneCell">
    <xdr:from>
      <xdr:col>0</xdr:col>
      <xdr:colOff>0</xdr:colOff>
      <xdr:row>193</xdr:row>
      <xdr:rowOff>0</xdr:rowOff>
    </xdr:from>
    <xdr:to>
      <xdr:col>0</xdr:col>
      <xdr:colOff>4328159</xdr:colOff>
      <xdr:row>207</xdr:row>
      <xdr:rowOff>39230</xdr:rowOff>
    </xdr:to>
    <xdr:grpSp>
      <xdr:nvGrpSpPr>
        <xdr:cNvPr id="57" name="Group 56">
          <a:extLst>
            <a:ext uri="{FF2B5EF4-FFF2-40B4-BE49-F238E27FC236}">
              <a16:creationId xmlns:a16="http://schemas.microsoft.com/office/drawing/2014/main" id="{00000000-0008-0000-0000-000039000000}"/>
            </a:ext>
          </a:extLst>
        </xdr:cNvPr>
        <xdr:cNvGrpSpPr/>
      </xdr:nvGrpSpPr>
      <xdr:grpSpPr>
        <a:xfrm>
          <a:off x="0" y="35328225"/>
          <a:ext cx="4328159" cy="2572880"/>
          <a:chOff x="0" y="31775400"/>
          <a:chExt cx="4331969" cy="2439530"/>
        </a:xfrm>
      </xdr:grpSpPr>
      <xdr:sp macro="" textlink="">
        <xdr:nvSpPr>
          <xdr:cNvPr id="86" name="TextBox 85">
            <a:extLst>
              <a:ext uri="{FF2B5EF4-FFF2-40B4-BE49-F238E27FC236}">
                <a16:creationId xmlns:a16="http://schemas.microsoft.com/office/drawing/2014/main" id="{00000000-0008-0000-0000-000056000000}"/>
              </a:ext>
            </a:extLst>
          </xdr:cNvPr>
          <xdr:cNvSpPr txBox="1"/>
        </xdr:nvSpPr>
        <xdr:spPr>
          <a:xfrm>
            <a:off x="0" y="33945195"/>
            <a:ext cx="4331969" cy="2697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12: Parameteren gennemsnit er valgt til analyse</a:t>
            </a:r>
            <a:endParaRPr lang="da-DK" sz="1100"/>
          </a:p>
        </xdr:txBody>
      </xdr:sp>
      <xdr:pic>
        <xdr:nvPicPr>
          <xdr:cNvPr id="93" name="Picture 92">
            <a:extLst>
              <a:ext uri="{FF2B5EF4-FFF2-40B4-BE49-F238E27FC236}">
                <a16:creationId xmlns:a16="http://schemas.microsoft.com/office/drawing/2014/main" id="{00000000-0008-0000-0000-00005D000000}"/>
              </a:ext>
            </a:extLst>
          </xdr:cNvPr>
          <xdr:cNvPicPr>
            <a:picLocks noChangeAspect="1"/>
          </xdr:cNvPicPr>
        </xdr:nvPicPr>
        <xdr:blipFill rotWithShape="1">
          <a:blip xmlns:r="http://schemas.openxmlformats.org/officeDocument/2006/relationships" r:embed="rId14"/>
          <a:srcRect l="175" r="66881"/>
          <a:stretch/>
        </xdr:blipFill>
        <xdr:spPr>
          <a:xfrm>
            <a:off x="0" y="31775400"/>
            <a:ext cx="4288155" cy="2190475"/>
          </a:xfrm>
          <a:prstGeom prst="rect">
            <a:avLst/>
          </a:prstGeom>
        </xdr:spPr>
      </xdr:pic>
    </xdr:grpSp>
    <xdr:clientData/>
  </xdr:twoCellAnchor>
  <xdr:twoCellAnchor editAs="oneCell">
    <xdr:from>
      <xdr:col>0</xdr:col>
      <xdr:colOff>0</xdr:colOff>
      <xdr:row>211</xdr:row>
      <xdr:rowOff>49530</xdr:rowOff>
    </xdr:from>
    <xdr:to>
      <xdr:col>0</xdr:col>
      <xdr:colOff>4341496</xdr:colOff>
      <xdr:row>225</xdr:row>
      <xdr:rowOff>92570</xdr:rowOff>
    </xdr:to>
    <xdr:grpSp>
      <xdr:nvGrpSpPr>
        <xdr:cNvPr id="58" name="Group 57">
          <a:extLst>
            <a:ext uri="{FF2B5EF4-FFF2-40B4-BE49-F238E27FC236}">
              <a16:creationId xmlns:a16="http://schemas.microsoft.com/office/drawing/2014/main" id="{00000000-0008-0000-0000-00003A000000}"/>
            </a:ext>
          </a:extLst>
        </xdr:cNvPr>
        <xdr:cNvGrpSpPr/>
      </xdr:nvGrpSpPr>
      <xdr:grpSpPr>
        <a:xfrm>
          <a:off x="0" y="38635305"/>
          <a:ext cx="4341496" cy="2576690"/>
          <a:chOff x="0" y="34568130"/>
          <a:chExt cx="4341496" cy="2439530"/>
        </a:xfrm>
      </xdr:grpSpPr>
      <xdr:sp macro="" textlink="">
        <xdr:nvSpPr>
          <xdr:cNvPr id="89" name="TextBox 88">
            <a:extLst>
              <a:ext uri="{FF2B5EF4-FFF2-40B4-BE49-F238E27FC236}">
                <a16:creationId xmlns:a16="http://schemas.microsoft.com/office/drawing/2014/main" id="{00000000-0008-0000-0000-000059000000}"/>
              </a:ext>
            </a:extLst>
          </xdr:cNvPr>
          <xdr:cNvSpPr txBox="1"/>
        </xdr:nvSpPr>
        <xdr:spPr>
          <a:xfrm>
            <a:off x="0" y="36737925"/>
            <a:ext cx="4324349" cy="2697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13: En højresidet hypotese om værdi bliver testet</a:t>
            </a:r>
            <a:endParaRPr lang="da-DK" sz="1100"/>
          </a:p>
        </xdr:txBody>
      </xdr:sp>
      <xdr:pic>
        <xdr:nvPicPr>
          <xdr:cNvPr id="94" name="Picture 93">
            <a:extLst>
              <a:ext uri="{FF2B5EF4-FFF2-40B4-BE49-F238E27FC236}">
                <a16:creationId xmlns:a16="http://schemas.microsoft.com/office/drawing/2014/main" id="{00000000-0008-0000-0000-00005E000000}"/>
              </a:ext>
            </a:extLst>
          </xdr:cNvPr>
          <xdr:cNvPicPr>
            <a:picLocks noChangeAspect="1"/>
          </xdr:cNvPicPr>
        </xdr:nvPicPr>
        <xdr:blipFill rotWithShape="1">
          <a:blip xmlns:r="http://schemas.openxmlformats.org/officeDocument/2006/relationships" r:embed="rId14"/>
          <a:srcRect l="33216" r="33538"/>
          <a:stretch/>
        </xdr:blipFill>
        <xdr:spPr>
          <a:xfrm>
            <a:off x="0" y="34568130"/>
            <a:ext cx="4341496" cy="2196190"/>
          </a:xfrm>
          <a:prstGeom prst="rect">
            <a:avLst/>
          </a:prstGeom>
        </xdr:spPr>
      </xdr:pic>
    </xdr:grpSp>
    <xdr:clientData/>
  </xdr:twoCellAnchor>
  <xdr:twoCellAnchor editAs="oneCell">
    <xdr:from>
      <xdr:col>0</xdr:col>
      <xdr:colOff>0</xdr:colOff>
      <xdr:row>229</xdr:row>
      <xdr:rowOff>0</xdr:rowOff>
    </xdr:from>
    <xdr:to>
      <xdr:col>0</xdr:col>
      <xdr:colOff>4382857</xdr:colOff>
      <xdr:row>243</xdr:row>
      <xdr:rowOff>98285</xdr:rowOff>
    </xdr:to>
    <xdr:grpSp>
      <xdr:nvGrpSpPr>
        <xdr:cNvPr id="59" name="Group 58">
          <a:extLst>
            <a:ext uri="{FF2B5EF4-FFF2-40B4-BE49-F238E27FC236}">
              <a16:creationId xmlns:a16="http://schemas.microsoft.com/office/drawing/2014/main" id="{00000000-0008-0000-0000-00003B000000}"/>
            </a:ext>
          </a:extLst>
        </xdr:cNvPr>
        <xdr:cNvGrpSpPr/>
      </xdr:nvGrpSpPr>
      <xdr:grpSpPr>
        <a:xfrm>
          <a:off x="0" y="41843325"/>
          <a:ext cx="4382857" cy="2631935"/>
          <a:chOff x="0" y="37261800"/>
          <a:chExt cx="4382857" cy="2494775"/>
        </a:xfrm>
      </xdr:grpSpPr>
      <xdr:sp macro="" textlink="">
        <xdr:nvSpPr>
          <xdr:cNvPr id="96" name="TextBox 95">
            <a:extLst>
              <a:ext uri="{FF2B5EF4-FFF2-40B4-BE49-F238E27FC236}">
                <a16:creationId xmlns:a16="http://schemas.microsoft.com/office/drawing/2014/main" id="{00000000-0008-0000-0000-000060000000}"/>
              </a:ext>
            </a:extLst>
          </xdr:cNvPr>
          <xdr:cNvSpPr txBox="1"/>
        </xdr:nvSpPr>
        <xdr:spPr>
          <a:xfrm>
            <a:off x="0" y="39490650"/>
            <a:ext cx="4328159" cy="265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14: En beregning baseret på en t-fordeling bliver anvendt</a:t>
            </a:r>
            <a:endParaRPr lang="da-DK" sz="1100"/>
          </a:p>
        </xdr:txBody>
      </xdr:sp>
      <xdr:pic>
        <xdr:nvPicPr>
          <xdr:cNvPr id="55" name="Picture 54">
            <a:extLst>
              <a:ext uri="{FF2B5EF4-FFF2-40B4-BE49-F238E27FC236}">
                <a16:creationId xmlns:a16="http://schemas.microsoft.com/office/drawing/2014/main" id="{00000000-0008-0000-0000-000037000000}"/>
              </a:ext>
            </a:extLst>
          </xdr:cNvPr>
          <xdr:cNvPicPr>
            <a:picLocks noChangeAspect="1"/>
          </xdr:cNvPicPr>
        </xdr:nvPicPr>
        <xdr:blipFill>
          <a:blip xmlns:r="http://schemas.openxmlformats.org/officeDocument/2006/relationships" r:embed="rId15"/>
          <a:stretch>
            <a:fillRect/>
          </a:stretch>
        </xdr:blipFill>
        <xdr:spPr>
          <a:xfrm>
            <a:off x="0" y="37261800"/>
            <a:ext cx="4382857" cy="2209524"/>
          </a:xfrm>
          <a:prstGeom prst="rect">
            <a:avLst/>
          </a:prstGeom>
        </xdr:spPr>
      </xdr:pic>
    </xdr:grpSp>
    <xdr:clientData/>
  </xdr:twoCellAnchor>
  <xdr:twoCellAnchor editAs="oneCell">
    <xdr:from>
      <xdr:col>4</xdr:col>
      <xdr:colOff>1007248</xdr:colOff>
      <xdr:row>192</xdr:row>
      <xdr:rowOff>140679</xdr:rowOff>
    </xdr:from>
    <xdr:to>
      <xdr:col>9</xdr:col>
      <xdr:colOff>245687</xdr:colOff>
      <xdr:row>207</xdr:row>
      <xdr:rowOff>58347</xdr:rowOff>
    </xdr:to>
    <xdr:grpSp>
      <xdr:nvGrpSpPr>
        <xdr:cNvPr id="105" name="Group 104">
          <a:extLst>
            <a:ext uri="{FF2B5EF4-FFF2-40B4-BE49-F238E27FC236}">
              <a16:creationId xmlns:a16="http://schemas.microsoft.com/office/drawing/2014/main" id="{00000000-0008-0000-0000-000069000000}"/>
            </a:ext>
          </a:extLst>
        </xdr:cNvPr>
        <xdr:cNvGrpSpPr/>
      </xdr:nvGrpSpPr>
      <xdr:grpSpPr>
        <a:xfrm>
          <a:off x="12399148" y="35287929"/>
          <a:ext cx="4429564" cy="2632293"/>
          <a:chOff x="11391900" y="31744730"/>
          <a:chExt cx="4375237" cy="2479789"/>
        </a:xfrm>
      </xdr:grpSpPr>
      <xdr:pic>
        <xdr:nvPicPr>
          <xdr:cNvPr id="104" name="Picture 103">
            <a:extLst>
              <a:ext uri="{FF2B5EF4-FFF2-40B4-BE49-F238E27FC236}">
                <a16:creationId xmlns:a16="http://schemas.microsoft.com/office/drawing/2014/main" id="{00000000-0008-0000-0000-000068000000}"/>
              </a:ext>
            </a:extLst>
          </xdr:cNvPr>
          <xdr:cNvPicPr>
            <a:picLocks noChangeAspect="1"/>
          </xdr:cNvPicPr>
        </xdr:nvPicPr>
        <xdr:blipFill>
          <a:blip xmlns:r="http://schemas.openxmlformats.org/officeDocument/2006/relationships" r:embed="rId15"/>
          <a:stretch>
            <a:fillRect/>
          </a:stretch>
        </xdr:blipFill>
        <xdr:spPr>
          <a:xfrm>
            <a:off x="11391900" y="31775400"/>
            <a:ext cx="4375237" cy="2209524"/>
          </a:xfrm>
          <a:prstGeom prst="rect">
            <a:avLst/>
          </a:prstGeom>
        </xdr:spPr>
      </xdr:pic>
      <xdr:sp macro="" textlink="">
        <xdr:nvSpPr>
          <xdr:cNvPr id="98" name="TextBox 97">
            <a:extLst>
              <a:ext uri="{FF2B5EF4-FFF2-40B4-BE49-F238E27FC236}">
                <a16:creationId xmlns:a16="http://schemas.microsoft.com/office/drawing/2014/main" id="{00000000-0008-0000-0000-000062000000}"/>
              </a:ext>
            </a:extLst>
          </xdr:cNvPr>
          <xdr:cNvSpPr txBox="1"/>
        </xdr:nvSpPr>
        <xdr:spPr>
          <a:xfrm>
            <a:off x="11391900" y="33953941"/>
            <a:ext cx="4320562" cy="27057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15: Ryd filtre knappen sidder øverst til højre</a:t>
            </a:r>
            <a:endParaRPr lang="da-DK" sz="1100"/>
          </a:p>
        </xdr:txBody>
      </xdr:sp>
      <xdr:sp macro="" textlink="">
        <xdr:nvSpPr>
          <xdr:cNvPr id="100" name="Oval 99">
            <a:extLst>
              <a:ext uri="{FF2B5EF4-FFF2-40B4-BE49-F238E27FC236}">
                <a16:creationId xmlns:a16="http://schemas.microsoft.com/office/drawing/2014/main" id="{00000000-0008-0000-0000-000064000000}"/>
              </a:ext>
            </a:extLst>
          </xdr:cNvPr>
          <xdr:cNvSpPr/>
        </xdr:nvSpPr>
        <xdr:spPr>
          <a:xfrm>
            <a:off x="15387289" y="31744730"/>
            <a:ext cx="377190" cy="361950"/>
          </a:xfrm>
          <a:prstGeom prst="ellipse">
            <a:avLst/>
          </a:prstGeom>
          <a:noFill/>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lang="da-DK" sz="1100"/>
          </a:p>
        </xdr:txBody>
      </xdr:sp>
    </xdr:grpSp>
    <xdr:clientData/>
  </xdr:twoCellAnchor>
  <xdr:twoCellAnchor editAs="oneCell">
    <xdr:from>
      <xdr:col>0</xdr:col>
      <xdr:colOff>0</xdr:colOff>
      <xdr:row>247</xdr:row>
      <xdr:rowOff>97165</xdr:rowOff>
    </xdr:from>
    <xdr:to>
      <xdr:col>2</xdr:col>
      <xdr:colOff>2954655</xdr:colOff>
      <xdr:row>252</xdr:row>
      <xdr:rowOff>151213</xdr:rowOff>
    </xdr:to>
    <xdr:grpSp>
      <xdr:nvGrpSpPr>
        <xdr:cNvPr id="108" name="Group 107">
          <a:extLst>
            <a:ext uri="{FF2B5EF4-FFF2-40B4-BE49-F238E27FC236}">
              <a16:creationId xmlns:a16="http://schemas.microsoft.com/office/drawing/2014/main" id="{00000000-0008-0000-0000-00006C000000}"/>
            </a:ext>
          </a:extLst>
        </xdr:cNvPr>
        <xdr:cNvGrpSpPr/>
      </xdr:nvGrpSpPr>
      <xdr:grpSpPr>
        <a:xfrm>
          <a:off x="0" y="45198040"/>
          <a:ext cx="8079105" cy="958923"/>
          <a:chOff x="0" y="40016430"/>
          <a:chExt cx="8963285" cy="1015276"/>
        </a:xfrm>
      </xdr:grpSpPr>
      <xdr:pic>
        <xdr:nvPicPr>
          <xdr:cNvPr id="106" name="Picture 105">
            <a:extLst>
              <a:ext uri="{FF2B5EF4-FFF2-40B4-BE49-F238E27FC236}">
                <a16:creationId xmlns:a16="http://schemas.microsoft.com/office/drawing/2014/main" id="{00000000-0008-0000-0000-00006A000000}"/>
              </a:ext>
            </a:extLst>
          </xdr:cNvPr>
          <xdr:cNvPicPr>
            <a:picLocks noChangeAspect="1"/>
          </xdr:cNvPicPr>
        </xdr:nvPicPr>
        <xdr:blipFill>
          <a:blip xmlns:r="http://schemas.openxmlformats.org/officeDocument/2006/relationships" r:embed="rId16"/>
          <a:stretch>
            <a:fillRect/>
          </a:stretch>
        </xdr:blipFill>
        <xdr:spPr>
          <a:xfrm>
            <a:off x="0" y="40016430"/>
            <a:ext cx="8963285" cy="596265"/>
          </a:xfrm>
          <a:prstGeom prst="rect">
            <a:avLst/>
          </a:prstGeom>
        </xdr:spPr>
      </xdr:pic>
      <xdr:sp macro="" textlink="">
        <xdr:nvSpPr>
          <xdr:cNvPr id="107" name="TextBox 106">
            <a:extLst>
              <a:ext uri="{FF2B5EF4-FFF2-40B4-BE49-F238E27FC236}">
                <a16:creationId xmlns:a16="http://schemas.microsoft.com/office/drawing/2014/main" id="{00000000-0008-0000-0000-00006B000000}"/>
              </a:ext>
            </a:extLst>
          </xdr:cNvPr>
          <xdr:cNvSpPr txBox="1"/>
        </xdr:nvSpPr>
        <xdr:spPr>
          <a:xfrm>
            <a:off x="0" y="40604986"/>
            <a:ext cx="8943975" cy="4267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16: Forudsætningerne for at bruge den valgte beregningsmetode er her opfyldt, hvis standardafvigelsen i populationen ikker er kendt</a:t>
            </a:r>
            <a:endParaRPr lang="da-DK" sz="1100"/>
          </a:p>
        </xdr:txBody>
      </xdr:sp>
    </xdr:grpSp>
    <xdr:clientData/>
  </xdr:twoCellAnchor>
  <xdr:twoCellAnchor editAs="oneCell">
    <xdr:from>
      <xdr:col>0</xdr:col>
      <xdr:colOff>1</xdr:colOff>
      <xdr:row>255</xdr:row>
      <xdr:rowOff>1</xdr:rowOff>
    </xdr:from>
    <xdr:to>
      <xdr:col>2</xdr:col>
      <xdr:colOff>2971801</xdr:colOff>
      <xdr:row>265</xdr:row>
      <xdr:rowOff>135256</xdr:rowOff>
    </xdr:to>
    <xdr:grpSp>
      <xdr:nvGrpSpPr>
        <xdr:cNvPr id="114" name="Group 113">
          <a:extLst>
            <a:ext uri="{FF2B5EF4-FFF2-40B4-BE49-F238E27FC236}">
              <a16:creationId xmlns:a16="http://schemas.microsoft.com/office/drawing/2014/main" id="{00000000-0008-0000-0000-000072000000}"/>
            </a:ext>
          </a:extLst>
        </xdr:cNvPr>
        <xdr:cNvGrpSpPr/>
      </xdr:nvGrpSpPr>
      <xdr:grpSpPr>
        <a:xfrm>
          <a:off x="1" y="46548676"/>
          <a:ext cx="8096250" cy="1945005"/>
          <a:chOff x="1" y="41376601"/>
          <a:chExt cx="8096250" cy="1849754"/>
        </a:xfrm>
      </xdr:grpSpPr>
      <xdr:pic>
        <xdr:nvPicPr>
          <xdr:cNvPr id="113" name="Picture 112">
            <a:extLst>
              <a:ext uri="{FF2B5EF4-FFF2-40B4-BE49-F238E27FC236}">
                <a16:creationId xmlns:a16="http://schemas.microsoft.com/office/drawing/2014/main" id="{00000000-0008-0000-0000-000071000000}"/>
              </a:ext>
            </a:extLst>
          </xdr:cNvPr>
          <xdr:cNvPicPr>
            <a:picLocks noChangeAspect="1"/>
          </xdr:cNvPicPr>
        </xdr:nvPicPr>
        <xdr:blipFill>
          <a:blip xmlns:r="http://schemas.openxmlformats.org/officeDocument/2006/relationships" r:embed="rId17"/>
          <a:stretch>
            <a:fillRect/>
          </a:stretch>
        </xdr:blipFill>
        <xdr:spPr>
          <a:xfrm>
            <a:off x="1" y="41376601"/>
            <a:ext cx="8096250" cy="1573121"/>
          </a:xfrm>
          <a:prstGeom prst="rect">
            <a:avLst/>
          </a:prstGeom>
        </xdr:spPr>
      </xdr:pic>
      <xdr:sp macro="" textlink="">
        <xdr:nvSpPr>
          <xdr:cNvPr id="112" name="TextBox 111">
            <a:extLst>
              <a:ext uri="{FF2B5EF4-FFF2-40B4-BE49-F238E27FC236}">
                <a16:creationId xmlns:a16="http://schemas.microsoft.com/office/drawing/2014/main" id="{00000000-0008-0000-0000-000070000000}"/>
              </a:ext>
            </a:extLst>
          </xdr:cNvPr>
          <xdr:cNvSpPr txBox="1"/>
        </xdr:nvSpPr>
        <xdr:spPr>
          <a:xfrm>
            <a:off x="1" y="42940607"/>
            <a:ext cx="8073389" cy="28574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17: Resultater af hypotesetest om gennemsnit, her kan nulhypotesen ikke afvises</a:t>
            </a:r>
            <a:endParaRPr lang="da-DK" sz="1100"/>
          </a:p>
        </xdr:txBody>
      </xdr:sp>
    </xdr:grpSp>
    <xdr:clientData/>
  </xdr:twoCellAnchor>
  <xdr:twoCellAnchor editAs="oneCell">
    <xdr:from>
      <xdr:col>4</xdr:col>
      <xdr:colOff>925830</xdr:colOff>
      <xdr:row>295</xdr:row>
      <xdr:rowOff>161925</xdr:rowOff>
    </xdr:from>
    <xdr:to>
      <xdr:col>16</xdr:col>
      <xdr:colOff>207421</xdr:colOff>
      <xdr:row>305</xdr:row>
      <xdr:rowOff>77430</xdr:rowOff>
    </xdr:to>
    <xdr:grpSp>
      <xdr:nvGrpSpPr>
        <xdr:cNvPr id="121" name="Group 120">
          <a:extLst>
            <a:ext uri="{FF2B5EF4-FFF2-40B4-BE49-F238E27FC236}">
              <a16:creationId xmlns:a16="http://schemas.microsoft.com/office/drawing/2014/main" id="{00000000-0008-0000-0000-000079000000}"/>
            </a:ext>
          </a:extLst>
        </xdr:cNvPr>
        <xdr:cNvGrpSpPr/>
      </xdr:nvGrpSpPr>
      <xdr:grpSpPr>
        <a:xfrm>
          <a:off x="12317730" y="54063900"/>
          <a:ext cx="9273316" cy="1725255"/>
          <a:chOff x="12317730" y="49310925"/>
          <a:chExt cx="9063766" cy="1630007"/>
        </a:xfrm>
      </xdr:grpSpPr>
      <xdr:pic>
        <xdr:nvPicPr>
          <xdr:cNvPr id="119" name="Picture 118">
            <a:extLst>
              <a:ext uri="{FF2B5EF4-FFF2-40B4-BE49-F238E27FC236}">
                <a16:creationId xmlns:a16="http://schemas.microsoft.com/office/drawing/2014/main" id="{00000000-0008-0000-0000-000077000000}"/>
              </a:ext>
            </a:extLst>
          </xdr:cNvPr>
          <xdr:cNvPicPr>
            <a:picLocks noChangeAspect="1"/>
          </xdr:cNvPicPr>
        </xdr:nvPicPr>
        <xdr:blipFill>
          <a:blip xmlns:r="http://schemas.openxmlformats.org/officeDocument/2006/relationships" r:embed="rId18"/>
          <a:stretch>
            <a:fillRect/>
          </a:stretch>
        </xdr:blipFill>
        <xdr:spPr>
          <a:xfrm>
            <a:off x="12317730" y="49310925"/>
            <a:ext cx="9062857" cy="1403809"/>
          </a:xfrm>
          <a:prstGeom prst="rect">
            <a:avLst/>
          </a:prstGeom>
        </xdr:spPr>
      </xdr:pic>
      <xdr:sp macro="" textlink="">
        <xdr:nvSpPr>
          <xdr:cNvPr id="120" name="TextBox 119">
            <a:extLst>
              <a:ext uri="{FF2B5EF4-FFF2-40B4-BE49-F238E27FC236}">
                <a16:creationId xmlns:a16="http://schemas.microsoft.com/office/drawing/2014/main" id="{00000000-0008-0000-0000-000078000000}"/>
              </a:ext>
            </a:extLst>
          </xdr:cNvPr>
          <xdr:cNvSpPr txBox="1"/>
        </xdr:nvSpPr>
        <xdr:spPr>
          <a:xfrm>
            <a:off x="12321903" y="50693847"/>
            <a:ext cx="9059593" cy="2470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19: x5test3 er udeladt fra modellen og derfor er det ikke længere et problem, at variablen ikke kan inkluderes</a:t>
            </a:r>
          </a:p>
        </xdr:txBody>
      </xdr:sp>
    </xdr:grpSp>
    <xdr:clientData/>
  </xdr:twoCellAnchor>
  <xdr:twoCellAnchor editAs="oneCell">
    <xdr:from>
      <xdr:col>4</xdr:col>
      <xdr:colOff>893445</xdr:colOff>
      <xdr:row>308</xdr:row>
      <xdr:rowOff>9525</xdr:rowOff>
    </xdr:from>
    <xdr:to>
      <xdr:col>10</xdr:col>
      <xdr:colOff>591772</xdr:colOff>
      <xdr:row>310</xdr:row>
      <xdr:rowOff>92081</xdr:rowOff>
    </xdr:to>
    <xdr:grpSp>
      <xdr:nvGrpSpPr>
        <xdr:cNvPr id="124" name="Group 123">
          <a:extLst>
            <a:ext uri="{FF2B5EF4-FFF2-40B4-BE49-F238E27FC236}">
              <a16:creationId xmlns:a16="http://schemas.microsoft.com/office/drawing/2014/main" id="{00000000-0008-0000-0000-00007C000000}"/>
            </a:ext>
          </a:extLst>
        </xdr:cNvPr>
        <xdr:cNvGrpSpPr/>
      </xdr:nvGrpSpPr>
      <xdr:grpSpPr>
        <a:xfrm>
          <a:off x="12285345" y="56264175"/>
          <a:ext cx="5575252" cy="444506"/>
          <a:chOff x="12289155" y="51328320"/>
          <a:chExt cx="5472382" cy="427362"/>
        </a:xfrm>
      </xdr:grpSpPr>
      <xdr:sp macro="" textlink="">
        <xdr:nvSpPr>
          <xdr:cNvPr id="65" name="TextBox 64">
            <a:extLst>
              <a:ext uri="{FF2B5EF4-FFF2-40B4-BE49-F238E27FC236}">
                <a16:creationId xmlns:a16="http://schemas.microsoft.com/office/drawing/2014/main" id="{00000000-0008-0000-0000-000041000000}"/>
              </a:ext>
            </a:extLst>
          </xdr:cNvPr>
          <xdr:cNvSpPr txBox="1"/>
        </xdr:nvSpPr>
        <xdr:spPr>
          <a:xfrm>
            <a:off x="12289904" y="51521095"/>
            <a:ext cx="5466600" cy="23458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20: Vælg et konfidensniveau</a:t>
            </a:r>
          </a:p>
        </xdr:txBody>
      </xdr:sp>
      <xdr:pic>
        <xdr:nvPicPr>
          <xdr:cNvPr id="123" name="Picture 122">
            <a:extLst>
              <a:ext uri="{FF2B5EF4-FFF2-40B4-BE49-F238E27FC236}">
                <a16:creationId xmlns:a16="http://schemas.microsoft.com/office/drawing/2014/main" id="{00000000-0008-0000-0000-00007B000000}"/>
              </a:ext>
            </a:extLst>
          </xdr:cNvPr>
          <xdr:cNvPicPr>
            <a:picLocks noChangeAspect="1"/>
          </xdr:cNvPicPr>
        </xdr:nvPicPr>
        <xdr:blipFill>
          <a:blip xmlns:r="http://schemas.openxmlformats.org/officeDocument/2006/relationships" r:embed="rId19"/>
          <a:stretch>
            <a:fillRect/>
          </a:stretch>
        </xdr:blipFill>
        <xdr:spPr>
          <a:xfrm>
            <a:off x="12289155" y="51328320"/>
            <a:ext cx="5472382" cy="203809"/>
          </a:xfrm>
          <a:prstGeom prst="rect">
            <a:avLst/>
          </a:prstGeom>
        </xdr:spPr>
      </xdr:pic>
    </xdr:grpSp>
    <xdr:clientData/>
  </xdr:twoCellAnchor>
  <xdr:twoCellAnchor editAs="oneCell">
    <xdr:from>
      <xdr:col>4</xdr:col>
      <xdr:colOff>897255</xdr:colOff>
      <xdr:row>314</xdr:row>
      <xdr:rowOff>20955</xdr:rowOff>
    </xdr:from>
    <xdr:to>
      <xdr:col>16</xdr:col>
      <xdr:colOff>210319</xdr:colOff>
      <xdr:row>323</xdr:row>
      <xdr:rowOff>94397</xdr:rowOff>
    </xdr:to>
    <xdr:grpSp>
      <xdr:nvGrpSpPr>
        <xdr:cNvPr id="128" name="Group 127">
          <a:extLst>
            <a:ext uri="{FF2B5EF4-FFF2-40B4-BE49-F238E27FC236}">
              <a16:creationId xmlns:a16="http://schemas.microsoft.com/office/drawing/2014/main" id="{00000000-0008-0000-0000-000080000000}"/>
            </a:ext>
          </a:extLst>
        </xdr:cNvPr>
        <xdr:cNvGrpSpPr/>
      </xdr:nvGrpSpPr>
      <xdr:grpSpPr>
        <a:xfrm>
          <a:off x="12289155" y="57361455"/>
          <a:ext cx="9304789" cy="1702217"/>
          <a:chOff x="12289155" y="52427505"/>
          <a:chExt cx="9095239" cy="1624111"/>
        </a:xfrm>
      </xdr:grpSpPr>
      <xdr:pic>
        <xdr:nvPicPr>
          <xdr:cNvPr id="125" name="Picture 124">
            <a:extLst>
              <a:ext uri="{FF2B5EF4-FFF2-40B4-BE49-F238E27FC236}">
                <a16:creationId xmlns:a16="http://schemas.microsoft.com/office/drawing/2014/main" id="{00000000-0008-0000-0000-00007D000000}"/>
              </a:ext>
            </a:extLst>
          </xdr:cNvPr>
          <xdr:cNvPicPr>
            <a:picLocks noChangeAspect="1"/>
          </xdr:cNvPicPr>
        </xdr:nvPicPr>
        <xdr:blipFill>
          <a:blip xmlns:r="http://schemas.openxmlformats.org/officeDocument/2006/relationships" r:embed="rId20"/>
          <a:stretch>
            <a:fillRect/>
          </a:stretch>
        </xdr:blipFill>
        <xdr:spPr>
          <a:xfrm>
            <a:off x="12289155" y="52427505"/>
            <a:ext cx="9095239" cy="1401905"/>
          </a:xfrm>
          <a:prstGeom prst="rect">
            <a:avLst/>
          </a:prstGeom>
        </xdr:spPr>
      </xdr:pic>
      <xdr:sp macro="" textlink="">
        <xdr:nvSpPr>
          <xdr:cNvPr id="126" name="TextBox 125">
            <a:extLst>
              <a:ext uri="{FF2B5EF4-FFF2-40B4-BE49-F238E27FC236}">
                <a16:creationId xmlns:a16="http://schemas.microsoft.com/office/drawing/2014/main" id="{00000000-0008-0000-0000-00007E000000}"/>
              </a:ext>
            </a:extLst>
          </xdr:cNvPr>
          <xdr:cNvSpPr txBox="1"/>
        </xdr:nvSpPr>
        <xdr:spPr>
          <a:xfrm>
            <a:off x="12294870" y="53804820"/>
            <a:ext cx="9059593" cy="24679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21: Eksempel 4 og konstanten er inkluderet i modellen, resten er udeladt, fordi koefficienterne ikke var signifikante</a:t>
            </a:r>
          </a:p>
        </xdr:txBody>
      </xdr:sp>
    </xdr:grpSp>
    <xdr:clientData/>
  </xdr:twoCellAnchor>
  <xdr:twoCellAnchor editAs="oneCell">
    <xdr:from>
      <xdr:col>4</xdr:col>
      <xdr:colOff>876300</xdr:colOff>
      <xdr:row>324</xdr:row>
      <xdr:rowOff>121920</xdr:rowOff>
    </xdr:from>
    <xdr:to>
      <xdr:col>9</xdr:col>
      <xdr:colOff>285750</xdr:colOff>
      <xdr:row>343</xdr:row>
      <xdr:rowOff>38100</xdr:rowOff>
    </xdr:to>
    <xdr:grpSp>
      <xdr:nvGrpSpPr>
        <xdr:cNvPr id="129" name="Group 128">
          <a:extLst>
            <a:ext uri="{FF2B5EF4-FFF2-40B4-BE49-F238E27FC236}">
              <a16:creationId xmlns:a16="http://schemas.microsoft.com/office/drawing/2014/main" id="{00000000-0008-0000-0000-000081000000}"/>
            </a:ext>
          </a:extLst>
        </xdr:cNvPr>
        <xdr:cNvGrpSpPr/>
      </xdr:nvGrpSpPr>
      <xdr:grpSpPr>
        <a:xfrm>
          <a:off x="12268200" y="59272170"/>
          <a:ext cx="4600575" cy="3354705"/>
          <a:chOff x="12268200" y="54242970"/>
          <a:chExt cx="4524375" cy="3173731"/>
        </a:xfrm>
      </xdr:grpSpPr>
      <xdr:sp macro="" textlink="">
        <xdr:nvSpPr>
          <xdr:cNvPr id="75" name="TextBox 74">
            <a:extLst>
              <a:ext uri="{FF2B5EF4-FFF2-40B4-BE49-F238E27FC236}">
                <a16:creationId xmlns:a16="http://schemas.microsoft.com/office/drawing/2014/main" id="{00000000-0008-0000-0000-00004B000000}"/>
              </a:ext>
            </a:extLst>
          </xdr:cNvPr>
          <xdr:cNvSpPr txBox="1"/>
        </xdr:nvSpPr>
        <xdr:spPr>
          <a:xfrm>
            <a:off x="12283721" y="56962035"/>
            <a:ext cx="4472788" cy="4546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22: Eksempel 4 og konstantens koefficienter er signifikante og modellen har en justeret forklaringsgrad på 0,37</a:t>
            </a:r>
          </a:p>
        </xdr:txBody>
      </xdr:sp>
      <xdr:pic>
        <xdr:nvPicPr>
          <xdr:cNvPr id="127" name="Picture 126">
            <a:extLst>
              <a:ext uri="{FF2B5EF4-FFF2-40B4-BE49-F238E27FC236}">
                <a16:creationId xmlns:a16="http://schemas.microsoft.com/office/drawing/2014/main" id="{00000000-0008-0000-0000-00007F000000}"/>
              </a:ext>
            </a:extLst>
          </xdr:cNvPr>
          <xdr:cNvPicPr>
            <a:picLocks noChangeAspect="1"/>
          </xdr:cNvPicPr>
        </xdr:nvPicPr>
        <xdr:blipFill>
          <a:blip xmlns:r="http://schemas.openxmlformats.org/officeDocument/2006/relationships" r:embed="rId21"/>
          <a:stretch>
            <a:fillRect/>
          </a:stretch>
        </xdr:blipFill>
        <xdr:spPr>
          <a:xfrm>
            <a:off x="12268200" y="54242970"/>
            <a:ext cx="4524375" cy="2738471"/>
          </a:xfrm>
          <a:prstGeom prst="rect">
            <a:avLst/>
          </a:prstGeom>
        </xdr:spPr>
      </xdr:pic>
    </xdr:grpSp>
    <xdr:clientData/>
  </xdr:twoCellAnchor>
  <xdr:twoCellAnchor editAs="oneCell">
    <xdr:from>
      <xdr:col>0</xdr:col>
      <xdr:colOff>1638300</xdr:colOff>
      <xdr:row>314</xdr:row>
      <xdr:rowOff>5715</xdr:rowOff>
    </xdr:from>
    <xdr:to>
      <xdr:col>0</xdr:col>
      <xdr:colOff>2072925</xdr:colOff>
      <xdr:row>315</xdr:row>
      <xdr:rowOff>19050</xdr:rowOff>
    </xdr:to>
    <xdr:pic>
      <xdr:nvPicPr>
        <xdr:cNvPr id="130" name="Picture 129">
          <a:extLst>
            <a:ext uri="{FF2B5EF4-FFF2-40B4-BE49-F238E27FC236}">
              <a16:creationId xmlns:a16="http://schemas.microsoft.com/office/drawing/2014/main" id="{00000000-0008-0000-0000-000082000000}"/>
            </a:ext>
          </a:extLst>
        </xdr:cNvPr>
        <xdr:cNvPicPr>
          <a:picLocks noChangeAspect="1"/>
        </xdr:cNvPicPr>
      </xdr:nvPicPr>
      <xdr:blipFill rotWithShape="1">
        <a:blip xmlns:r="http://schemas.openxmlformats.org/officeDocument/2006/relationships" r:embed="rId22"/>
        <a:srcRect t="18296" b="33582"/>
        <a:stretch/>
      </xdr:blipFill>
      <xdr:spPr>
        <a:xfrm>
          <a:off x="1638300" y="53225972"/>
          <a:ext cx="434625" cy="172267"/>
        </a:xfrm>
        <a:prstGeom prst="rect">
          <a:avLst/>
        </a:prstGeom>
      </xdr:spPr>
    </xdr:pic>
    <xdr:clientData/>
  </xdr:twoCellAnchor>
  <xdr:twoCellAnchor editAs="oneCell">
    <xdr:from>
      <xdr:col>4</xdr:col>
      <xdr:colOff>857578</xdr:colOff>
      <xdr:row>346</xdr:row>
      <xdr:rowOff>29807</xdr:rowOff>
    </xdr:from>
    <xdr:to>
      <xdr:col>13</xdr:col>
      <xdr:colOff>153750</xdr:colOff>
      <xdr:row>348</xdr:row>
      <xdr:rowOff>112059</xdr:rowOff>
    </xdr:to>
    <xdr:grpSp>
      <xdr:nvGrpSpPr>
        <xdr:cNvPr id="147" name="Group 146">
          <a:extLst>
            <a:ext uri="{FF2B5EF4-FFF2-40B4-BE49-F238E27FC236}">
              <a16:creationId xmlns:a16="http://schemas.microsoft.com/office/drawing/2014/main" id="{00000000-0008-0000-0000-000093000000}"/>
            </a:ext>
          </a:extLst>
        </xdr:cNvPr>
        <xdr:cNvGrpSpPr/>
      </xdr:nvGrpSpPr>
      <xdr:grpSpPr>
        <a:xfrm>
          <a:off x="12249478" y="63161507"/>
          <a:ext cx="7230497" cy="444202"/>
          <a:chOff x="12233149" y="60486343"/>
          <a:chExt cx="7079458" cy="436037"/>
        </a:xfrm>
      </xdr:grpSpPr>
      <xdr:sp macro="" textlink="">
        <xdr:nvSpPr>
          <xdr:cNvPr id="76" name="TextBox 75">
            <a:extLst>
              <a:ext uri="{FF2B5EF4-FFF2-40B4-BE49-F238E27FC236}">
                <a16:creationId xmlns:a16="http://schemas.microsoft.com/office/drawing/2014/main" id="{00000000-0008-0000-0000-00004C000000}"/>
              </a:ext>
            </a:extLst>
          </xdr:cNvPr>
          <xdr:cNvSpPr txBox="1"/>
        </xdr:nvSpPr>
        <xdr:spPr>
          <a:xfrm>
            <a:off x="12233149" y="60691072"/>
            <a:ext cx="7056368" cy="2313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23: Analyse med angivne værdier for uafhængige variable er inkluderet</a:t>
            </a:r>
          </a:p>
        </xdr:txBody>
      </xdr:sp>
      <xdr:pic>
        <xdr:nvPicPr>
          <xdr:cNvPr id="131" name="Picture 130">
            <a:extLst>
              <a:ext uri="{FF2B5EF4-FFF2-40B4-BE49-F238E27FC236}">
                <a16:creationId xmlns:a16="http://schemas.microsoft.com/office/drawing/2014/main" id="{00000000-0008-0000-0000-000083000000}"/>
              </a:ext>
            </a:extLst>
          </xdr:cNvPr>
          <xdr:cNvPicPr>
            <a:picLocks noChangeAspect="1"/>
          </xdr:cNvPicPr>
        </xdr:nvPicPr>
        <xdr:blipFill>
          <a:blip xmlns:r="http://schemas.openxmlformats.org/officeDocument/2006/relationships" r:embed="rId23"/>
          <a:stretch>
            <a:fillRect/>
          </a:stretch>
        </xdr:blipFill>
        <xdr:spPr>
          <a:xfrm>
            <a:off x="12234838" y="60486343"/>
            <a:ext cx="7077769" cy="220233"/>
          </a:xfrm>
          <a:prstGeom prst="rect">
            <a:avLst/>
          </a:prstGeom>
        </xdr:spPr>
      </xdr:pic>
    </xdr:grpSp>
    <xdr:clientData/>
  </xdr:twoCellAnchor>
  <xdr:twoCellAnchor editAs="oneCell">
    <xdr:from>
      <xdr:col>4</xdr:col>
      <xdr:colOff>855457</xdr:colOff>
      <xdr:row>352</xdr:row>
      <xdr:rowOff>74630</xdr:rowOff>
    </xdr:from>
    <xdr:to>
      <xdr:col>18</xdr:col>
      <xdr:colOff>363415</xdr:colOff>
      <xdr:row>363</xdr:row>
      <xdr:rowOff>22413</xdr:rowOff>
    </xdr:to>
    <xdr:grpSp>
      <xdr:nvGrpSpPr>
        <xdr:cNvPr id="146" name="Group 145">
          <a:extLst>
            <a:ext uri="{FF2B5EF4-FFF2-40B4-BE49-F238E27FC236}">
              <a16:creationId xmlns:a16="http://schemas.microsoft.com/office/drawing/2014/main" id="{00000000-0008-0000-0000-000092000000}"/>
            </a:ext>
          </a:extLst>
        </xdr:cNvPr>
        <xdr:cNvGrpSpPr/>
      </xdr:nvGrpSpPr>
      <xdr:grpSpPr>
        <a:xfrm>
          <a:off x="12247357" y="64292180"/>
          <a:ext cx="10871283" cy="1938508"/>
          <a:chOff x="12231028" y="61592523"/>
          <a:chExt cx="10624994" cy="1893604"/>
        </a:xfrm>
      </xdr:grpSpPr>
      <xdr:sp macro="" textlink="">
        <xdr:nvSpPr>
          <xdr:cNvPr id="79" name="TextBox 78">
            <a:extLst>
              <a:ext uri="{FF2B5EF4-FFF2-40B4-BE49-F238E27FC236}">
                <a16:creationId xmlns:a16="http://schemas.microsoft.com/office/drawing/2014/main" id="{00000000-0008-0000-0000-00004F000000}"/>
              </a:ext>
            </a:extLst>
          </xdr:cNvPr>
          <xdr:cNvSpPr txBox="1"/>
        </xdr:nvSpPr>
        <xdr:spPr>
          <a:xfrm>
            <a:off x="12235419" y="63170310"/>
            <a:ext cx="10580029" cy="3158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24: Når der er angivet værdier for alle inkluderede uafhængige variable kan der beregnes en y værdi. Her forventes Eksempel 1 at blive -0,032, når Eksempel 4 er 60.</a:t>
            </a:r>
          </a:p>
        </xdr:txBody>
      </xdr:sp>
      <xdr:pic>
        <xdr:nvPicPr>
          <xdr:cNvPr id="132" name="Picture 131">
            <a:extLst>
              <a:ext uri="{FF2B5EF4-FFF2-40B4-BE49-F238E27FC236}">
                <a16:creationId xmlns:a16="http://schemas.microsoft.com/office/drawing/2014/main" id="{00000000-0008-0000-0000-000084000000}"/>
              </a:ext>
            </a:extLst>
          </xdr:cNvPr>
          <xdr:cNvPicPr>
            <a:picLocks noChangeAspect="1"/>
          </xdr:cNvPicPr>
        </xdr:nvPicPr>
        <xdr:blipFill>
          <a:blip xmlns:r="http://schemas.openxmlformats.org/officeDocument/2006/relationships" r:embed="rId24"/>
          <a:stretch>
            <a:fillRect/>
          </a:stretch>
        </xdr:blipFill>
        <xdr:spPr>
          <a:xfrm>
            <a:off x="12231028" y="61592523"/>
            <a:ext cx="10624994" cy="1555433"/>
          </a:xfrm>
          <a:prstGeom prst="rect">
            <a:avLst/>
          </a:prstGeom>
        </xdr:spPr>
      </xdr:pic>
    </xdr:grpSp>
    <xdr:clientData/>
  </xdr:twoCellAnchor>
  <xdr:twoCellAnchor editAs="oneCell">
    <xdr:from>
      <xdr:col>0</xdr:col>
      <xdr:colOff>0</xdr:colOff>
      <xdr:row>366</xdr:row>
      <xdr:rowOff>78441</xdr:rowOff>
    </xdr:from>
    <xdr:to>
      <xdr:col>0</xdr:col>
      <xdr:colOff>3906604</xdr:colOff>
      <xdr:row>397</xdr:row>
      <xdr:rowOff>77687</xdr:rowOff>
    </xdr:to>
    <xdr:grpSp>
      <xdr:nvGrpSpPr>
        <xdr:cNvPr id="134" name="Group 133">
          <a:extLst>
            <a:ext uri="{FF2B5EF4-FFF2-40B4-BE49-F238E27FC236}">
              <a16:creationId xmlns:a16="http://schemas.microsoft.com/office/drawing/2014/main" id="{00000000-0008-0000-0000-000086000000}"/>
            </a:ext>
          </a:extLst>
        </xdr:cNvPr>
        <xdr:cNvGrpSpPr/>
      </xdr:nvGrpSpPr>
      <xdr:grpSpPr>
        <a:xfrm>
          <a:off x="0" y="66829641"/>
          <a:ext cx="3906604" cy="5609471"/>
          <a:chOff x="0" y="60198000"/>
          <a:chExt cx="3897079" cy="5209981"/>
        </a:xfrm>
      </xdr:grpSpPr>
      <xdr:sp macro="" textlink="">
        <xdr:nvSpPr>
          <xdr:cNvPr id="80" name="TextBox 79">
            <a:extLst>
              <a:ext uri="{FF2B5EF4-FFF2-40B4-BE49-F238E27FC236}">
                <a16:creationId xmlns:a16="http://schemas.microsoft.com/office/drawing/2014/main" id="{00000000-0008-0000-0000-000050000000}"/>
              </a:ext>
            </a:extLst>
          </xdr:cNvPr>
          <xdr:cNvSpPr txBox="1"/>
        </xdr:nvSpPr>
        <xdr:spPr>
          <a:xfrm>
            <a:off x="0" y="64844937"/>
            <a:ext cx="3875330" cy="56304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25: Konstanten og Eksempel 4 trækker i hver sin retning, så den samlede beregnede værdi af Eksempel 1 bliver tæt på 0, når eksempel 4 er 60.</a:t>
            </a:r>
          </a:p>
        </xdr:txBody>
      </xdr:sp>
      <xdr:pic>
        <xdr:nvPicPr>
          <xdr:cNvPr id="133" name="Picture 132">
            <a:extLst>
              <a:ext uri="{FF2B5EF4-FFF2-40B4-BE49-F238E27FC236}">
                <a16:creationId xmlns:a16="http://schemas.microsoft.com/office/drawing/2014/main" id="{00000000-0008-0000-0000-000085000000}"/>
              </a:ext>
            </a:extLst>
          </xdr:cNvPr>
          <xdr:cNvPicPr>
            <a:picLocks noChangeAspect="1"/>
          </xdr:cNvPicPr>
        </xdr:nvPicPr>
        <xdr:blipFill>
          <a:blip xmlns:r="http://schemas.openxmlformats.org/officeDocument/2006/relationships" r:embed="rId25"/>
          <a:stretch>
            <a:fillRect/>
          </a:stretch>
        </xdr:blipFill>
        <xdr:spPr>
          <a:xfrm>
            <a:off x="20506" y="60198000"/>
            <a:ext cx="3876573" cy="4646631"/>
          </a:xfrm>
          <a:prstGeom prst="rect">
            <a:avLst/>
          </a:prstGeom>
        </xdr:spPr>
      </xdr:pic>
    </xdr:grpSp>
    <xdr:clientData/>
  </xdr:twoCellAnchor>
  <xdr:twoCellAnchor editAs="oneCell">
    <xdr:from>
      <xdr:col>0</xdr:col>
      <xdr:colOff>0</xdr:colOff>
      <xdr:row>485</xdr:row>
      <xdr:rowOff>1</xdr:rowOff>
    </xdr:from>
    <xdr:to>
      <xdr:col>0</xdr:col>
      <xdr:colOff>4552124</xdr:colOff>
      <xdr:row>491</xdr:row>
      <xdr:rowOff>167641</xdr:rowOff>
    </xdr:to>
    <xdr:grpSp>
      <xdr:nvGrpSpPr>
        <xdr:cNvPr id="141" name="Group 140">
          <a:extLst>
            <a:ext uri="{FF2B5EF4-FFF2-40B4-BE49-F238E27FC236}">
              <a16:creationId xmlns:a16="http://schemas.microsoft.com/office/drawing/2014/main" id="{00000000-0008-0000-0000-00008D000000}"/>
            </a:ext>
          </a:extLst>
        </xdr:cNvPr>
        <xdr:cNvGrpSpPr/>
      </xdr:nvGrpSpPr>
      <xdr:grpSpPr>
        <a:xfrm>
          <a:off x="0" y="88287226"/>
          <a:ext cx="4552124" cy="1253490"/>
          <a:chOff x="0" y="85044644"/>
          <a:chExt cx="4552124" cy="1228997"/>
        </a:xfrm>
      </xdr:grpSpPr>
      <xdr:pic>
        <xdr:nvPicPr>
          <xdr:cNvPr id="139" name="Picture 138">
            <a:extLst>
              <a:ext uri="{FF2B5EF4-FFF2-40B4-BE49-F238E27FC236}">
                <a16:creationId xmlns:a16="http://schemas.microsoft.com/office/drawing/2014/main" id="{00000000-0008-0000-0000-00008B000000}"/>
              </a:ext>
            </a:extLst>
          </xdr:cNvPr>
          <xdr:cNvPicPr>
            <a:picLocks noChangeAspect="1"/>
          </xdr:cNvPicPr>
        </xdr:nvPicPr>
        <xdr:blipFill>
          <a:blip xmlns:r="http://schemas.openxmlformats.org/officeDocument/2006/relationships" r:embed="rId26"/>
          <a:stretch>
            <a:fillRect/>
          </a:stretch>
        </xdr:blipFill>
        <xdr:spPr>
          <a:xfrm>
            <a:off x="0" y="85044644"/>
            <a:ext cx="4551045" cy="942214"/>
          </a:xfrm>
          <a:prstGeom prst="rect">
            <a:avLst/>
          </a:prstGeom>
        </xdr:spPr>
      </xdr:pic>
      <xdr:sp macro="" textlink="">
        <xdr:nvSpPr>
          <xdr:cNvPr id="140" name="TextBox 139">
            <a:extLst>
              <a:ext uri="{FF2B5EF4-FFF2-40B4-BE49-F238E27FC236}">
                <a16:creationId xmlns:a16="http://schemas.microsoft.com/office/drawing/2014/main" id="{00000000-0008-0000-0000-00008C000000}"/>
              </a:ext>
            </a:extLst>
          </xdr:cNvPr>
          <xdr:cNvSpPr txBox="1"/>
        </xdr:nvSpPr>
        <xdr:spPr>
          <a:xfrm>
            <a:off x="0" y="85988163"/>
            <a:ext cx="4552124" cy="28547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30: Den matematiske formel modellen vises under diagrammerne</a:t>
            </a:r>
          </a:p>
        </xdr:txBody>
      </xdr:sp>
    </xdr:grpSp>
    <xdr:clientData/>
  </xdr:twoCellAnchor>
  <xdr:twoCellAnchor editAs="oneCell">
    <xdr:from>
      <xdr:col>0</xdr:col>
      <xdr:colOff>0</xdr:colOff>
      <xdr:row>511</xdr:row>
      <xdr:rowOff>0</xdr:rowOff>
    </xdr:from>
    <xdr:to>
      <xdr:col>2</xdr:col>
      <xdr:colOff>599359</xdr:colOff>
      <xdr:row>528</xdr:row>
      <xdr:rowOff>28187</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7"/>
        <a:stretch>
          <a:fillRect/>
        </a:stretch>
      </xdr:blipFill>
      <xdr:spPr>
        <a:xfrm>
          <a:off x="0" y="92021025"/>
          <a:ext cx="5723809" cy="3104762"/>
        </a:xfrm>
        <a:prstGeom prst="rect">
          <a:avLst/>
        </a:prstGeom>
      </xdr:spPr>
    </xdr:pic>
    <xdr:clientData/>
  </xdr:twoCellAnchor>
  <xdr:twoCellAnchor editAs="oneCell">
    <xdr:from>
      <xdr:col>0</xdr:col>
      <xdr:colOff>0</xdr:colOff>
      <xdr:row>530</xdr:row>
      <xdr:rowOff>123825</xdr:rowOff>
    </xdr:from>
    <xdr:to>
      <xdr:col>2</xdr:col>
      <xdr:colOff>580312</xdr:colOff>
      <xdr:row>548</xdr:row>
      <xdr:rowOff>18656</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8"/>
        <a:stretch>
          <a:fillRect/>
        </a:stretch>
      </xdr:blipFill>
      <xdr:spPr>
        <a:xfrm>
          <a:off x="0" y="95583375"/>
          <a:ext cx="5704762" cy="3152381"/>
        </a:xfrm>
        <a:prstGeom prst="rect">
          <a:avLst/>
        </a:prstGeom>
      </xdr:spPr>
    </xdr:pic>
    <xdr:clientData/>
  </xdr:twoCellAnchor>
  <xdr:twoCellAnchor editAs="oneCell">
    <xdr:from>
      <xdr:col>0</xdr:col>
      <xdr:colOff>0</xdr:colOff>
      <xdr:row>566</xdr:row>
      <xdr:rowOff>38101</xdr:rowOff>
    </xdr:from>
    <xdr:to>
      <xdr:col>1</xdr:col>
      <xdr:colOff>66675</xdr:colOff>
      <xdr:row>583</xdr:row>
      <xdr:rowOff>147892</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9"/>
        <a:stretch>
          <a:fillRect/>
        </a:stretch>
      </xdr:blipFill>
      <xdr:spPr>
        <a:xfrm>
          <a:off x="0" y="102489001"/>
          <a:ext cx="4981575" cy="3186366"/>
        </a:xfrm>
        <a:prstGeom prst="rect">
          <a:avLst/>
        </a:prstGeom>
      </xdr:spPr>
    </xdr:pic>
    <xdr:clientData/>
  </xdr:twoCellAnchor>
  <xdr:twoCellAnchor editAs="oneCell">
    <xdr:from>
      <xdr:col>0</xdr:col>
      <xdr:colOff>0</xdr:colOff>
      <xdr:row>586</xdr:row>
      <xdr:rowOff>0</xdr:rowOff>
    </xdr:from>
    <xdr:to>
      <xdr:col>0</xdr:col>
      <xdr:colOff>3780952</xdr:colOff>
      <xdr:row>611</xdr:row>
      <xdr:rowOff>8958</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0"/>
        <a:stretch>
          <a:fillRect/>
        </a:stretch>
      </xdr:blipFill>
      <xdr:spPr>
        <a:xfrm>
          <a:off x="0" y="106070400"/>
          <a:ext cx="3780952" cy="4533333"/>
        </a:xfrm>
        <a:prstGeom prst="rect">
          <a:avLst/>
        </a:prstGeom>
      </xdr:spPr>
    </xdr:pic>
    <xdr:clientData/>
  </xdr:twoCellAnchor>
  <xdr:twoCellAnchor editAs="oneCell">
    <xdr:from>
      <xdr:col>0</xdr:col>
      <xdr:colOff>0</xdr:colOff>
      <xdr:row>614</xdr:row>
      <xdr:rowOff>0</xdr:rowOff>
    </xdr:from>
    <xdr:to>
      <xdr:col>0</xdr:col>
      <xdr:colOff>3114286</xdr:colOff>
      <xdr:row>637</xdr:row>
      <xdr:rowOff>18527</xdr:rowOff>
    </xdr:to>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31"/>
        <a:stretch>
          <a:fillRect/>
        </a:stretch>
      </xdr:blipFill>
      <xdr:spPr>
        <a:xfrm>
          <a:off x="0" y="111137700"/>
          <a:ext cx="3114286" cy="4180952"/>
        </a:xfrm>
        <a:prstGeom prst="rect">
          <a:avLst/>
        </a:prstGeom>
      </xdr:spPr>
    </xdr:pic>
    <xdr:clientData/>
  </xdr:twoCellAnchor>
  <xdr:twoCellAnchor editAs="oneCell">
    <xdr:from>
      <xdr:col>0</xdr:col>
      <xdr:colOff>0</xdr:colOff>
      <xdr:row>22</xdr:row>
      <xdr:rowOff>9525</xdr:rowOff>
    </xdr:from>
    <xdr:to>
      <xdr:col>0</xdr:col>
      <xdr:colOff>1000430</xdr:colOff>
      <xdr:row>24</xdr:row>
      <xdr:rowOff>0</xdr:rowOff>
    </xdr:to>
    <xdr:pic>
      <xdr:nvPicPr>
        <xdr:cNvPr id="11" name="Picture 10">
          <a:hlinkClick xmlns:r="http://schemas.openxmlformats.org/officeDocument/2006/relationships" r:id="rId32"/>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0" y="4048125"/>
          <a:ext cx="1000430" cy="352425"/>
        </a:xfrm>
        <a:prstGeom prst="rect">
          <a:avLst/>
        </a:prstGeom>
      </xdr:spPr>
    </xdr:pic>
    <xdr:clientData/>
  </xdr:twoCellAnchor>
  <xdr:twoCellAnchor editAs="oneCell">
    <xdr:from>
      <xdr:col>0</xdr:col>
      <xdr:colOff>0</xdr:colOff>
      <xdr:row>37</xdr:row>
      <xdr:rowOff>0</xdr:rowOff>
    </xdr:from>
    <xdr:to>
      <xdr:col>0</xdr:col>
      <xdr:colOff>3014171</xdr:colOff>
      <xdr:row>54</xdr:row>
      <xdr:rowOff>154984</xdr:rowOff>
    </xdr:to>
    <xdr:grpSp>
      <xdr:nvGrpSpPr>
        <xdr:cNvPr id="101" name="Group 100">
          <a:extLst>
            <a:ext uri="{FF2B5EF4-FFF2-40B4-BE49-F238E27FC236}">
              <a16:creationId xmlns:a16="http://schemas.microsoft.com/office/drawing/2014/main" id="{00000000-0008-0000-0000-000065000000}"/>
            </a:ext>
          </a:extLst>
        </xdr:cNvPr>
        <xdr:cNvGrpSpPr/>
      </xdr:nvGrpSpPr>
      <xdr:grpSpPr>
        <a:xfrm>
          <a:off x="0" y="6867525"/>
          <a:ext cx="3014171" cy="3231559"/>
          <a:chOff x="704022" y="4116457"/>
          <a:chExt cx="3563811" cy="3402910"/>
        </a:xfrm>
      </xdr:grpSpPr>
      <xdr:pic>
        <xdr:nvPicPr>
          <xdr:cNvPr id="102" name="Picture 101" descr="Den sikreste måde at indsætte data på i tabellen.">
            <a:extLst>
              <a:ext uri="{FF2B5EF4-FFF2-40B4-BE49-F238E27FC236}">
                <a16:creationId xmlns:a16="http://schemas.microsoft.com/office/drawing/2014/main" id="{00000000-0008-0000-0000-000066000000}"/>
              </a:ext>
            </a:extLst>
          </xdr:cNvPr>
          <xdr:cNvPicPr>
            <a:picLocks noChangeAspect="1"/>
          </xdr:cNvPicPr>
        </xdr:nvPicPr>
        <xdr:blipFill>
          <a:blip xmlns:r="http://schemas.openxmlformats.org/officeDocument/2006/relationships" r:embed="rId34"/>
          <a:stretch>
            <a:fillRect/>
          </a:stretch>
        </xdr:blipFill>
        <xdr:spPr>
          <a:xfrm>
            <a:off x="704022" y="4116457"/>
            <a:ext cx="3563811" cy="3184323"/>
          </a:xfrm>
          <a:prstGeom prst="rect">
            <a:avLst/>
          </a:prstGeom>
          <a:ln w="9525">
            <a:solidFill>
              <a:schemeClr val="tx1">
                <a:lumMod val="75000"/>
                <a:lumOff val="25000"/>
              </a:schemeClr>
            </a:solidFill>
          </a:ln>
        </xdr:spPr>
      </xdr:pic>
      <xdr:sp macro="" textlink="">
        <xdr:nvSpPr>
          <xdr:cNvPr id="103" name="TextBox 102">
            <a:extLst>
              <a:ext uri="{FF2B5EF4-FFF2-40B4-BE49-F238E27FC236}">
                <a16:creationId xmlns:a16="http://schemas.microsoft.com/office/drawing/2014/main" id="{00000000-0008-0000-0000-000067000000}"/>
              </a:ext>
            </a:extLst>
          </xdr:cNvPr>
          <xdr:cNvSpPr txBox="1"/>
        </xdr:nvSpPr>
        <xdr:spPr>
          <a:xfrm>
            <a:off x="704600" y="7303356"/>
            <a:ext cx="3554296" cy="21601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 Den sikreste måde at indsætte data på</a:t>
            </a:r>
            <a:endParaRPr lang="da-DK" sz="1100"/>
          </a:p>
        </xdr:txBody>
      </xdr:sp>
    </xdr:grpSp>
    <xdr:clientData/>
  </xdr:twoCellAnchor>
  <xdr:twoCellAnchor>
    <xdr:from>
      <xdr:col>0</xdr:col>
      <xdr:colOff>0</xdr:colOff>
      <xdr:row>58</xdr:row>
      <xdr:rowOff>47625</xdr:rowOff>
    </xdr:from>
    <xdr:to>
      <xdr:col>0</xdr:col>
      <xdr:colOff>4852394</xdr:colOff>
      <xdr:row>60</xdr:row>
      <xdr:rowOff>19613</xdr:rowOff>
    </xdr:to>
    <xdr:grpSp>
      <xdr:nvGrpSpPr>
        <xdr:cNvPr id="23" name="Group 22">
          <a:extLst>
            <a:ext uri="{FF2B5EF4-FFF2-40B4-BE49-F238E27FC236}">
              <a16:creationId xmlns:a16="http://schemas.microsoft.com/office/drawing/2014/main" id="{00000000-0008-0000-0000-000017000000}"/>
            </a:ext>
          </a:extLst>
        </xdr:cNvPr>
        <xdr:cNvGrpSpPr/>
      </xdr:nvGrpSpPr>
      <xdr:grpSpPr>
        <a:xfrm>
          <a:off x="0" y="10715625"/>
          <a:ext cx="4852394" cy="333938"/>
          <a:chOff x="5734049" y="9201150"/>
          <a:chExt cx="7897328" cy="543488"/>
        </a:xfrm>
      </xdr:grpSpPr>
      <xdr:sp macro="" textlink="">
        <xdr:nvSpPr>
          <xdr:cNvPr id="16" name="TextBox 15">
            <a:extLst>
              <a:ext uri="{FF2B5EF4-FFF2-40B4-BE49-F238E27FC236}">
                <a16:creationId xmlns:a16="http://schemas.microsoft.com/office/drawing/2014/main" id="{00000000-0008-0000-0000-000010000000}"/>
              </a:ext>
            </a:extLst>
          </xdr:cNvPr>
          <xdr:cNvSpPr txBox="1"/>
        </xdr:nvSpPr>
        <xdr:spPr>
          <a:xfrm>
            <a:off x="5734049" y="9458326"/>
            <a:ext cx="7896225" cy="286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 Navigation findes i menuen under arket</a:t>
            </a:r>
            <a:endParaRPr lang="da-DK" sz="1100"/>
          </a:p>
        </xdr:txBody>
      </xdr:sp>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5"/>
          <a:stretch>
            <a:fillRect/>
          </a:stretch>
        </xdr:blipFill>
        <xdr:spPr>
          <a:xfrm>
            <a:off x="5734050" y="9201150"/>
            <a:ext cx="7897327" cy="285790"/>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editAs="absolute">
    <xdr:from>
      <xdr:col>8</xdr:col>
      <xdr:colOff>39221</xdr:colOff>
      <xdr:row>24</xdr:row>
      <xdr:rowOff>77067</xdr:rowOff>
    </xdr:from>
    <xdr:to>
      <xdr:col>11</xdr:col>
      <xdr:colOff>1102783</xdr:colOff>
      <xdr:row>39</xdr:row>
      <xdr:rowOff>154801</xdr:rowOff>
    </xdr:to>
    <xdr:graphicFrame macro="">
      <xdr:nvGraphicFramePr>
        <xdr:cNvPr id="10" name="Kvartilsæt">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xdr:col>
      <xdr:colOff>0</xdr:colOff>
      <xdr:row>8</xdr:row>
      <xdr:rowOff>22616</xdr:rowOff>
    </xdr:from>
    <xdr:to>
      <xdr:col>5</xdr:col>
      <xdr:colOff>1807073</xdr:colOff>
      <xdr:row>24</xdr:row>
      <xdr:rowOff>23110</xdr:rowOff>
    </xdr:to>
    <xdr:graphicFrame macro="">
      <xdr:nvGraphicFramePr>
        <xdr:cNvPr id="12" name="Boksplot">
          <a:extLst>
            <a:ext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3</xdr:col>
      <xdr:colOff>13607</xdr:colOff>
      <xdr:row>24</xdr:row>
      <xdr:rowOff>68982</xdr:rowOff>
    </xdr:from>
    <xdr:to>
      <xdr:col>5</xdr:col>
      <xdr:colOff>1764090</xdr:colOff>
      <xdr:row>39</xdr:row>
      <xdr:rowOff>146716</xdr:rowOff>
    </xdr:to>
    <xdr:graphicFrame macro="">
      <xdr:nvGraphicFramePr>
        <xdr:cNvPr id="14" name="Kvartilsæt">
          <a:extLst>
            <a:ext uri="{FF2B5EF4-FFF2-40B4-BE49-F238E27FC236}">
              <a16:creationId xmlns:a16="http://schemas.microsoft.com/office/drawing/2014/main" id="{00000000-0008-0000-04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8</xdr:col>
      <xdr:colOff>30814</xdr:colOff>
      <xdr:row>8</xdr:row>
      <xdr:rowOff>0</xdr:rowOff>
    </xdr:from>
    <xdr:to>
      <xdr:col>11</xdr:col>
      <xdr:colOff>1111985</xdr:colOff>
      <xdr:row>24</xdr:row>
      <xdr:rowOff>494</xdr:rowOff>
    </xdr:to>
    <xdr:graphicFrame macro="">
      <xdr:nvGraphicFramePr>
        <xdr:cNvPr id="18" name="Søjlediagram">
          <a:extLst>
            <a:ext uri="{FF2B5EF4-FFF2-40B4-BE49-F238E27FC236}">
              <a16:creationId xmlns:a16="http://schemas.microsoft.com/office/drawing/2014/main" id="{00000000-0008-0000-04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5</xdr:col>
      <xdr:colOff>1847291</xdr:colOff>
      <xdr:row>8</xdr:row>
      <xdr:rowOff>9831</xdr:rowOff>
    </xdr:from>
    <xdr:to>
      <xdr:col>7</xdr:col>
      <xdr:colOff>1507877</xdr:colOff>
      <xdr:row>24</xdr:row>
      <xdr:rowOff>3601</xdr:rowOff>
    </xdr:to>
    <xdr:graphicFrame macro="">
      <xdr:nvGraphicFramePr>
        <xdr:cNvPr id="19" name="Histogram med normalfordeling">
          <a:extLst>
            <a:ext uri="{FF2B5EF4-FFF2-40B4-BE49-F238E27FC236}">
              <a16:creationId xmlns:a16="http://schemas.microsoft.com/office/drawing/2014/main" id="{00000000-0008-0000-04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5</xdr:col>
      <xdr:colOff>1846730</xdr:colOff>
      <xdr:row>24</xdr:row>
      <xdr:rowOff>77068</xdr:rowOff>
    </xdr:from>
    <xdr:to>
      <xdr:col>7</xdr:col>
      <xdr:colOff>1494316</xdr:colOff>
      <xdr:row>39</xdr:row>
      <xdr:rowOff>148158</xdr:rowOff>
    </xdr:to>
    <xdr:graphicFrame macro="">
      <xdr:nvGraphicFramePr>
        <xdr:cNvPr id="20" name="Normalfraktildiagram">
          <a:extLst>
            <a:ext uri="{FF2B5EF4-FFF2-40B4-BE49-F238E27FC236}">
              <a16:creationId xmlns:a16="http://schemas.microsoft.com/office/drawing/2014/main" id="{00000000-0008-0000-04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absolute">
        <xdr:from>
          <xdr:col>7</xdr:col>
          <xdr:colOff>828675</xdr:colOff>
          <xdr:row>8</xdr:row>
          <xdr:rowOff>152400</xdr:rowOff>
        </xdr:from>
        <xdr:to>
          <xdr:col>7</xdr:col>
          <xdr:colOff>1133475</xdr:colOff>
          <xdr:row>11</xdr:row>
          <xdr:rowOff>114300</xdr:rowOff>
        </xdr:to>
        <xdr:sp macro="" textlink="">
          <xdr:nvSpPr>
            <xdr:cNvPr id="2081" name="Histogram intervalspinner" hidden="1">
              <a:extLst>
                <a:ext uri="{63B3BB69-23CF-44E3-9099-C40C66FF867C}">
                  <a14:compatExt spid="_x0000_s2081"/>
                </a:ext>
                <a:ext uri="{FF2B5EF4-FFF2-40B4-BE49-F238E27FC236}">
                  <a16:creationId xmlns:a16="http://schemas.microsoft.com/office/drawing/2014/main" id="{00000000-0008-0000-0400-00002108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504825</xdr:colOff>
          <xdr:row>25</xdr:row>
          <xdr:rowOff>66675</xdr:rowOff>
        </xdr:from>
        <xdr:to>
          <xdr:col>11</xdr:col>
          <xdr:colOff>819150</xdr:colOff>
          <xdr:row>28</xdr:row>
          <xdr:rowOff>28575</xdr:rowOff>
        </xdr:to>
        <xdr:sp macro="" textlink="">
          <xdr:nvSpPr>
            <xdr:cNvPr id="2082" name="Spinner 34" hidden="1">
              <a:extLst>
                <a:ext uri="{63B3BB69-23CF-44E3-9099-C40C66FF867C}">
                  <a14:compatExt spid="_x0000_s2082"/>
                </a:ext>
                <a:ext uri="{FF2B5EF4-FFF2-40B4-BE49-F238E27FC236}">
                  <a16:creationId xmlns:a16="http://schemas.microsoft.com/office/drawing/2014/main" id="{00000000-0008-0000-0400-00002208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xdr:row>
          <xdr:rowOff>0</xdr:rowOff>
        </xdr:from>
        <xdr:to>
          <xdr:col>2</xdr:col>
          <xdr:colOff>64187</xdr:colOff>
          <xdr:row>26</xdr:row>
          <xdr:rowOff>47625</xdr:rowOff>
        </xdr:to>
        <xdr:pic>
          <xdr:nvPicPr>
            <xdr:cNvPr id="24" name="Picture 23">
              <a:extLst>
                <a:ext uri="{FF2B5EF4-FFF2-40B4-BE49-F238E27FC236}">
                  <a16:creationId xmlns:a16="http://schemas.microsoft.com/office/drawing/2014/main" id="{00000000-0008-0000-0400-000018000000}"/>
                </a:ext>
              </a:extLst>
            </xdr:cNvPr>
            <xdr:cNvPicPr>
              <a:picLocks noChangeAspect="1" noChangeArrowheads="1"/>
              <a:extLst>
                <a:ext uri="{84589F7E-364E-4C9E-8A38-B11213B215E9}">
                  <a14:cameraTool cellRange="$D$9:$L$40" spid="_x0000_s2164"/>
                </a:ext>
              </a:extLst>
            </xdr:cNvPicPr>
          </xdr:nvPicPr>
          <xdr:blipFill>
            <a:blip xmlns:r="http://schemas.openxmlformats.org/officeDocument/2006/relationships" r:embed="rId7"/>
            <a:srcRect/>
            <a:stretch>
              <a:fillRect/>
            </a:stretch>
          </xdr:blipFill>
          <xdr:spPr bwMode="auto">
            <a:xfrm>
              <a:off x="0" y="1685925"/>
              <a:ext cx="8141387" cy="31242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2</xdr:col>
      <xdr:colOff>19050</xdr:colOff>
      <xdr:row>26</xdr:row>
      <xdr:rowOff>28575</xdr:rowOff>
    </xdr:from>
    <xdr:to>
      <xdr:col>3</xdr:col>
      <xdr:colOff>19050</xdr:colOff>
      <xdr:row>39</xdr:row>
      <xdr:rowOff>161925</xdr:rowOff>
    </xdr:to>
    <xdr:cxnSp macro="">
      <xdr:nvCxnSpPr>
        <xdr:cNvPr id="25" name="Straight Connector 24">
          <a:extLst>
            <a:ext uri="{FF2B5EF4-FFF2-40B4-BE49-F238E27FC236}">
              <a16:creationId xmlns:a16="http://schemas.microsoft.com/office/drawing/2014/main" id="{00000000-0008-0000-0400-000019000000}"/>
            </a:ext>
          </a:extLst>
        </xdr:cNvPr>
        <xdr:cNvCxnSpPr/>
      </xdr:nvCxnSpPr>
      <xdr:spPr>
        <a:xfrm>
          <a:off x="8096250" y="4791075"/>
          <a:ext cx="1295400" cy="2486025"/>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19050</xdr:colOff>
      <xdr:row>8</xdr:row>
      <xdr:rowOff>28575</xdr:rowOff>
    </xdr:from>
    <xdr:to>
      <xdr:col>3</xdr:col>
      <xdr:colOff>0</xdr:colOff>
      <xdr:row>9</xdr:row>
      <xdr:rowOff>0</xdr:rowOff>
    </xdr:to>
    <xdr:cxnSp macro="">
      <xdr:nvCxnSpPr>
        <xdr:cNvPr id="26" name="Straight Connector 25">
          <a:extLst>
            <a:ext uri="{FF2B5EF4-FFF2-40B4-BE49-F238E27FC236}">
              <a16:creationId xmlns:a16="http://schemas.microsoft.com/office/drawing/2014/main" id="{00000000-0008-0000-0400-00001A000000}"/>
            </a:ext>
          </a:extLst>
        </xdr:cNvPr>
        <xdr:cNvCxnSpPr/>
      </xdr:nvCxnSpPr>
      <xdr:spPr>
        <a:xfrm flipV="1">
          <a:off x="8096250" y="1533525"/>
          <a:ext cx="1276350" cy="152400"/>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absolute">
        <xdr:from>
          <xdr:col>1</xdr:col>
          <xdr:colOff>66675</xdr:colOff>
          <xdr:row>9</xdr:row>
          <xdr:rowOff>85725</xdr:rowOff>
        </xdr:from>
        <xdr:to>
          <xdr:col>1</xdr:col>
          <xdr:colOff>228600</xdr:colOff>
          <xdr:row>10</xdr:row>
          <xdr:rowOff>171450</xdr:rowOff>
        </xdr:to>
        <xdr:sp macro="" textlink="">
          <xdr:nvSpPr>
            <xdr:cNvPr id="2156" name="Histogram intervalspinner" hidden="1">
              <a:extLst>
                <a:ext uri="{63B3BB69-23CF-44E3-9099-C40C66FF867C}">
                  <a14:compatExt spid="_x0000_s2156"/>
                </a:ext>
                <a:ext uri="{FF2B5EF4-FFF2-40B4-BE49-F238E27FC236}">
                  <a16:creationId xmlns:a16="http://schemas.microsoft.com/office/drawing/2014/main" id="{00000000-0008-0000-0400-00006C08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2809875</xdr:colOff>
          <xdr:row>18</xdr:row>
          <xdr:rowOff>47625</xdr:rowOff>
        </xdr:from>
        <xdr:to>
          <xdr:col>1</xdr:col>
          <xdr:colOff>2981325</xdr:colOff>
          <xdr:row>19</xdr:row>
          <xdr:rowOff>142875</xdr:rowOff>
        </xdr:to>
        <xdr:sp macro="" textlink="">
          <xdr:nvSpPr>
            <xdr:cNvPr id="2157" name="Spinner 109" hidden="1">
              <a:extLst>
                <a:ext uri="{63B3BB69-23CF-44E3-9099-C40C66FF867C}">
                  <a14:compatExt spid="_x0000_s2157"/>
                </a:ext>
                <a:ext uri="{FF2B5EF4-FFF2-40B4-BE49-F238E27FC236}">
                  <a16:creationId xmlns:a16="http://schemas.microsoft.com/office/drawing/2014/main" id="{00000000-0008-0000-0400-00006D08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10</xdr:row>
      <xdr:rowOff>0</xdr:rowOff>
    </xdr:from>
    <xdr:to>
      <xdr:col>2</xdr:col>
      <xdr:colOff>62753</xdr:colOff>
      <xdr:row>27</xdr:row>
      <xdr:rowOff>22910</xdr:rowOff>
    </xdr:to>
    <xdr:graphicFrame macro="">
      <xdr:nvGraphicFramePr>
        <xdr:cNvPr id="8" name="Normalfordeling">
          <a:extLst>
            <a:ext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0</xdr:colOff>
      <xdr:row>10</xdr:row>
      <xdr:rowOff>0</xdr:rowOff>
    </xdr:from>
    <xdr:to>
      <xdr:col>5</xdr:col>
      <xdr:colOff>62753</xdr:colOff>
      <xdr:row>27</xdr:row>
      <xdr:rowOff>22910</xdr:rowOff>
    </xdr:to>
    <xdr:graphicFrame macro="">
      <xdr:nvGraphicFramePr>
        <xdr:cNvPr id="6" name="Binomialfordeling">
          <a:extLst>
            <a:ext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6</xdr:col>
      <xdr:colOff>0</xdr:colOff>
      <xdr:row>10</xdr:row>
      <xdr:rowOff>0</xdr:rowOff>
    </xdr:from>
    <xdr:ext cx="5663453" cy="3099485"/>
    <xdr:graphicFrame macro="">
      <xdr:nvGraphicFramePr>
        <xdr:cNvPr id="10" name="Binomialfordeling">
          <a:extLst>
            <a:ext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one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16</xdr:row>
      <xdr:rowOff>167640</xdr:rowOff>
    </xdr:from>
    <xdr:to>
      <xdr:col>6</xdr:col>
      <xdr:colOff>1793</xdr:colOff>
      <xdr:row>31</xdr:row>
      <xdr:rowOff>92162</xdr:rowOff>
    </xdr:to>
    <xdr:graphicFrame macro="">
      <xdr:nvGraphicFramePr>
        <xdr:cNvPr id="8" name="Sandsynlighedsfordeling_g">
          <a:extLst>
            <a:ext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0</xdr:colOff>
      <xdr:row>17</xdr:row>
      <xdr:rowOff>0</xdr:rowOff>
    </xdr:from>
    <xdr:to>
      <xdr:col>12</xdr:col>
      <xdr:colOff>3065706</xdr:colOff>
      <xdr:row>31</xdr:row>
      <xdr:rowOff>96195</xdr:rowOff>
    </xdr:to>
    <xdr:graphicFrame macro="">
      <xdr:nvGraphicFramePr>
        <xdr:cNvPr id="16" name="Sandsynlighedsfordeling_s">
          <a:extLst>
            <a:ext uri="{FF2B5EF4-FFF2-40B4-BE49-F238E27FC236}">
              <a16:creationId xmlns:a16="http://schemas.microsoft.com/office/drawing/2014/main" id="{00000000-0008-0000-06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14</xdr:col>
      <xdr:colOff>0</xdr:colOff>
      <xdr:row>17</xdr:row>
      <xdr:rowOff>0</xdr:rowOff>
    </xdr:from>
    <xdr:ext cx="13762553" cy="2530786"/>
    <xdr:graphicFrame macro="">
      <xdr:nvGraphicFramePr>
        <xdr:cNvPr id="19" name="Sandsynlighedsfordeling_a">
          <a:extLst>
            <a:ext uri="{FF2B5EF4-FFF2-40B4-BE49-F238E27FC236}">
              <a16:creationId xmlns:a16="http://schemas.microsoft.com/office/drawing/2014/main" id="{00000000-0008-0000-06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21</xdr:col>
      <xdr:colOff>0</xdr:colOff>
      <xdr:row>17</xdr:row>
      <xdr:rowOff>0</xdr:rowOff>
    </xdr:from>
    <xdr:ext cx="13762553" cy="2530786"/>
    <xdr:graphicFrame macro="">
      <xdr:nvGraphicFramePr>
        <xdr:cNvPr id="25" name="Sandsynlighedsfordeling_i">
          <a:extLst>
            <a:ext uri="{FF2B5EF4-FFF2-40B4-BE49-F238E27FC236}">
              <a16:creationId xmlns:a16="http://schemas.microsoft.com/office/drawing/2014/main" id="{00000000-0008-0000-06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oneCellAnchor>
  <xdr:twoCellAnchor editAs="oneCell">
    <xdr:from>
      <xdr:col>4</xdr:col>
      <xdr:colOff>0</xdr:colOff>
      <xdr:row>4</xdr:row>
      <xdr:rowOff>0</xdr:rowOff>
    </xdr:from>
    <xdr:to>
      <xdr:col>4</xdr:col>
      <xdr:colOff>2494205</xdr:colOff>
      <xdr:row>16</xdr:row>
      <xdr:rowOff>92503</xdr:rowOff>
    </xdr:to>
    <mc:AlternateContent xmlns:mc="http://schemas.openxmlformats.org/markup-compatibility/2006" xmlns:sle15="http://schemas.microsoft.com/office/drawing/2012/slicer">
      <mc:Choice Requires="sle15">
        <xdr:graphicFrame macro="">
          <xdr:nvGraphicFramePr>
            <xdr:cNvPr id="31" name="Hypotesetype_g">
              <a:extLst>
                <a:ext uri="{FF2B5EF4-FFF2-40B4-BE49-F238E27FC236}">
                  <a16:creationId xmlns:a16="http://schemas.microsoft.com/office/drawing/2014/main" id="{00000000-0008-0000-0600-00001F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Hypotesetype_g"/>
            </a:graphicData>
          </a:graphic>
        </xdr:graphicFrame>
      </mc:Choice>
      <mc:Fallback xmlns="">
        <xdr:sp macro="" textlink="">
          <xdr:nvSpPr>
            <xdr:cNvPr id="0" name=""/>
            <xdr:cNvSpPr>
              <a:spLocks noTextEdit="1"/>
            </xdr:cNvSpPr>
          </xdr:nvSpPr>
          <xdr:spPr>
            <a:xfrm>
              <a:off x="8018318" y="762000"/>
              <a:ext cx="2494205"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5</xdr:col>
      <xdr:colOff>0</xdr:colOff>
      <xdr:row>4</xdr:row>
      <xdr:rowOff>0</xdr:rowOff>
    </xdr:from>
    <xdr:to>
      <xdr:col>6</xdr:col>
      <xdr:colOff>641</xdr:colOff>
      <xdr:row>16</xdr:row>
      <xdr:rowOff>77611</xdr:rowOff>
    </xdr:to>
    <mc:AlternateContent xmlns:mc="http://schemas.openxmlformats.org/markup-compatibility/2006" xmlns:sle15="http://schemas.microsoft.com/office/drawing/2012/slicer">
      <mc:Choice Requires="sle15">
        <xdr:graphicFrame macro="">
          <xdr:nvGraphicFramePr>
            <xdr:cNvPr id="32" name="Beregningsmetode_g">
              <a:extLst>
                <a:ext uri="{FF2B5EF4-FFF2-40B4-BE49-F238E27FC236}">
                  <a16:creationId xmlns:a16="http://schemas.microsoft.com/office/drawing/2014/main" id="{00000000-0008-0000-0600-000020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Beregningsmetode_g"/>
            </a:graphicData>
          </a:graphic>
        </xdr:graphicFrame>
      </mc:Choice>
      <mc:Fallback xmlns="">
        <xdr:sp macro="" textlink="">
          <xdr:nvSpPr>
            <xdr:cNvPr id="0" name=""/>
            <xdr:cNvSpPr>
              <a:spLocks noTextEdit="1"/>
            </xdr:cNvSpPr>
          </xdr:nvSpPr>
          <xdr:spPr>
            <a:xfrm>
              <a:off x="10650682" y="762000"/>
              <a:ext cx="3152550" cy="2155793"/>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11</xdr:col>
      <xdr:colOff>0</xdr:colOff>
      <xdr:row>4</xdr:row>
      <xdr:rowOff>0</xdr:rowOff>
    </xdr:from>
    <xdr:to>
      <xdr:col>11</xdr:col>
      <xdr:colOff>2498820</xdr:colOff>
      <xdr:row>16</xdr:row>
      <xdr:rowOff>92503</xdr:rowOff>
    </xdr:to>
    <mc:AlternateContent xmlns:mc="http://schemas.openxmlformats.org/markup-compatibility/2006" xmlns:sle15="http://schemas.microsoft.com/office/drawing/2012/slicer">
      <mc:Choice Requires="sle15">
        <xdr:graphicFrame macro="">
          <xdr:nvGraphicFramePr>
            <xdr:cNvPr id="17" name="Hypotesetype_s">
              <a:extLst>
                <a:ext uri="{FF2B5EF4-FFF2-40B4-BE49-F238E27FC236}">
                  <a16:creationId xmlns:a16="http://schemas.microsoft.com/office/drawing/2014/main" id="{00000000-0008-0000-0600-000011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Hypotesetype_s"/>
            </a:graphicData>
          </a:graphic>
        </xdr:graphicFrame>
      </mc:Choice>
      <mc:Fallback xmlns="">
        <xdr:sp macro="" textlink="">
          <xdr:nvSpPr>
            <xdr:cNvPr id="0" name=""/>
            <xdr:cNvSpPr>
              <a:spLocks noTextEdit="1"/>
            </xdr:cNvSpPr>
          </xdr:nvSpPr>
          <xdr:spPr>
            <a:xfrm>
              <a:off x="22253864" y="762000"/>
              <a:ext cx="2498820"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12</xdr:col>
      <xdr:colOff>0</xdr:colOff>
      <xdr:row>4</xdr:row>
      <xdr:rowOff>0</xdr:rowOff>
    </xdr:from>
    <xdr:to>
      <xdr:col>12</xdr:col>
      <xdr:colOff>3065369</xdr:colOff>
      <xdr:row>16</xdr:row>
      <xdr:rowOff>92503</xdr:rowOff>
    </xdr:to>
    <mc:AlternateContent xmlns:mc="http://schemas.openxmlformats.org/markup-compatibility/2006" xmlns:sle15="http://schemas.microsoft.com/office/drawing/2012/slicer">
      <mc:Choice Requires="sle15">
        <xdr:graphicFrame macro="">
          <xdr:nvGraphicFramePr>
            <xdr:cNvPr id="18" name="Beregningsmetode_s">
              <a:extLst>
                <a:ext uri="{FF2B5EF4-FFF2-40B4-BE49-F238E27FC236}">
                  <a16:creationId xmlns:a16="http://schemas.microsoft.com/office/drawing/2014/main" id="{00000000-0008-0000-0600-000012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Beregningsmetode_s"/>
            </a:graphicData>
          </a:graphic>
        </xdr:graphicFrame>
      </mc:Choice>
      <mc:Fallback xmlns="">
        <xdr:sp macro="" textlink="">
          <xdr:nvSpPr>
            <xdr:cNvPr id="0" name=""/>
            <xdr:cNvSpPr>
              <a:spLocks noTextEdit="1"/>
            </xdr:cNvSpPr>
          </xdr:nvSpPr>
          <xdr:spPr>
            <a:xfrm>
              <a:off x="24886227" y="762000"/>
              <a:ext cx="3065369"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18</xdr:col>
      <xdr:colOff>0</xdr:colOff>
      <xdr:row>4</xdr:row>
      <xdr:rowOff>0</xdr:rowOff>
    </xdr:from>
    <xdr:to>
      <xdr:col>18</xdr:col>
      <xdr:colOff>2495010</xdr:colOff>
      <xdr:row>16</xdr:row>
      <xdr:rowOff>92503</xdr:rowOff>
    </xdr:to>
    <mc:AlternateContent xmlns:mc="http://schemas.openxmlformats.org/markup-compatibility/2006" xmlns:sle15="http://schemas.microsoft.com/office/drawing/2012/slicer">
      <mc:Choice Requires="sle15">
        <xdr:graphicFrame macro="">
          <xdr:nvGraphicFramePr>
            <xdr:cNvPr id="20" name="Hypotesetype_a">
              <a:extLst>
                <a:ext uri="{FF2B5EF4-FFF2-40B4-BE49-F238E27FC236}">
                  <a16:creationId xmlns:a16="http://schemas.microsoft.com/office/drawing/2014/main" id="{00000000-0008-0000-0600-000014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Hypotesetype_a"/>
            </a:graphicData>
          </a:graphic>
        </xdr:graphicFrame>
      </mc:Choice>
      <mc:Fallback xmlns="">
        <xdr:sp macro="" textlink="">
          <xdr:nvSpPr>
            <xdr:cNvPr id="0" name=""/>
            <xdr:cNvSpPr>
              <a:spLocks noTextEdit="1"/>
            </xdr:cNvSpPr>
          </xdr:nvSpPr>
          <xdr:spPr>
            <a:xfrm>
              <a:off x="36039136" y="762000"/>
              <a:ext cx="2495010"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19</xdr:col>
      <xdr:colOff>0</xdr:colOff>
      <xdr:row>4</xdr:row>
      <xdr:rowOff>0</xdr:rowOff>
    </xdr:from>
    <xdr:to>
      <xdr:col>20</xdr:col>
      <xdr:colOff>19335</xdr:colOff>
      <xdr:row>16</xdr:row>
      <xdr:rowOff>92503</xdr:rowOff>
    </xdr:to>
    <mc:AlternateContent xmlns:mc="http://schemas.openxmlformats.org/markup-compatibility/2006" xmlns:sle15="http://schemas.microsoft.com/office/drawing/2012/slicer">
      <mc:Choice Requires="sle15">
        <xdr:graphicFrame macro="">
          <xdr:nvGraphicFramePr>
            <xdr:cNvPr id="21" name="Beregningsmetode_a">
              <a:extLst>
                <a:ext uri="{FF2B5EF4-FFF2-40B4-BE49-F238E27FC236}">
                  <a16:creationId xmlns:a16="http://schemas.microsoft.com/office/drawing/2014/main" id="{00000000-0008-0000-0600-000015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Beregningsmetode_a"/>
            </a:graphicData>
          </a:graphic>
        </xdr:graphicFrame>
      </mc:Choice>
      <mc:Fallback xmlns="">
        <xdr:sp macro="" textlink="">
          <xdr:nvSpPr>
            <xdr:cNvPr id="0" name=""/>
            <xdr:cNvSpPr>
              <a:spLocks noTextEdit="1"/>
            </xdr:cNvSpPr>
          </xdr:nvSpPr>
          <xdr:spPr>
            <a:xfrm>
              <a:off x="38671500" y="762000"/>
              <a:ext cx="3379062"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25</xdr:col>
      <xdr:colOff>0</xdr:colOff>
      <xdr:row>4</xdr:row>
      <xdr:rowOff>0</xdr:rowOff>
    </xdr:from>
    <xdr:to>
      <xdr:col>25</xdr:col>
      <xdr:colOff>2495010</xdr:colOff>
      <xdr:row>16</xdr:row>
      <xdr:rowOff>92503</xdr:rowOff>
    </xdr:to>
    <mc:AlternateContent xmlns:mc="http://schemas.openxmlformats.org/markup-compatibility/2006" xmlns:sle15="http://schemas.microsoft.com/office/drawing/2012/slicer">
      <mc:Choice Requires="sle15">
        <xdr:graphicFrame macro="">
          <xdr:nvGraphicFramePr>
            <xdr:cNvPr id="22" name="Hypotesetype_i">
              <a:extLst>
                <a:ext uri="{FF2B5EF4-FFF2-40B4-BE49-F238E27FC236}">
                  <a16:creationId xmlns:a16="http://schemas.microsoft.com/office/drawing/2014/main" id="{00000000-0008-0000-0600-000016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Hypotesetype_i"/>
            </a:graphicData>
          </a:graphic>
        </xdr:graphicFrame>
      </mc:Choice>
      <mc:Fallback xmlns="">
        <xdr:sp macro="" textlink="">
          <xdr:nvSpPr>
            <xdr:cNvPr id="0" name=""/>
            <xdr:cNvSpPr>
              <a:spLocks noTextEdit="1"/>
            </xdr:cNvSpPr>
          </xdr:nvSpPr>
          <xdr:spPr>
            <a:xfrm>
              <a:off x="50153455" y="762000"/>
              <a:ext cx="2495010"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26</xdr:col>
      <xdr:colOff>0</xdr:colOff>
      <xdr:row>4</xdr:row>
      <xdr:rowOff>0</xdr:rowOff>
    </xdr:from>
    <xdr:to>
      <xdr:col>27</xdr:col>
      <xdr:colOff>19335</xdr:colOff>
      <xdr:row>16</xdr:row>
      <xdr:rowOff>92503</xdr:rowOff>
    </xdr:to>
    <mc:AlternateContent xmlns:mc="http://schemas.openxmlformats.org/markup-compatibility/2006" xmlns:sle15="http://schemas.microsoft.com/office/drawing/2012/slicer">
      <mc:Choice Requires="sle15">
        <xdr:graphicFrame macro="">
          <xdr:nvGraphicFramePr>
            <xdr:cNvPr id="26" name="Beregningsmetode_i">
              <a:extLst>
                <a:ext uri="{FF2B5EF4-FFF2-40B4-BE49-F238E27FC236}">
                  <a16:creationId xmlns:a16="http://schemas.microsoft.com/office/drawing/2014/main" id="{00000000-0008-0000-0600-00001A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Beregningsmetode_i"/>
            </a:graphicData>
          </a:graphic>
        </xdr:graphicFrame>
      </mc:Choice>
      <mc:Fallback xmlns="">
        <xdr:sp macro="" textlink="">
          <xdr:nvSpPr>
            <xdr:cNvPr id="0" name=""/>
            <xdr:cNvSpPr>
              <a:spLocks noTextEdit="1"/>
            </xdr:cNvSpPr>
          </xdr:nvSpPr>
          <xdr:spPr>
            <a:xfrm>
              <a:off x="52785818" y="762000"/>
              <a:ext cx="3379062"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oneCellAnchor>
    <xdr:from>
      <xdr:col>28</xdr:col>
      <xdr:colOff>0</xdr:colOff>
      <xdr:row>17</xdr:row>
      <xdr:rowOff>0</xdr:rowOff>
    </xdr:from>
    <xdr:ext cx="13762553" cy="2530786"/>
    <xdr:graphicFrame macro="">
      <xdr:nvGraphicFramePr>
        <xdr:cNvPr id="27" name="Sandsynlighedsfordeling_k">
          <a:extLst>
            <a:ext uri="{FF2B5EF4-FFF2-40B4-BE49-F238E27FC236}">
              <a16:creationId xmlns:a16="http://schemas.microsoft.com/office/drawing/2014/main" id="{00000000-0008-0000-06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oneCellAnchor>
  <xdr:twoCellAnchor editAs="oneCell">
    <xdr:from>
      <xdr:col>30</xdr:col>
      <xdr:colOff>307040</xdr:colOff>
      <xdr:row>4</xdr:row>
      <xdr:rowOff>0</xdr:rowOff>
    </xdr:from>
    <xdr:to>
      <xdr:col>32</xdr:col>
      <xdr:colOff>1619585</xdr:colOff>
      <xdr:row>16</xdr:row>
      <xdr:rowOff>92503</xdr:rowOff>
    </xdr:to>
    <mc:AlternateContent xmlns:mc="http://schemas.openxmlformats.org/markup-compatibility/2006" xmlns:sle15="http://schemas.microsoft.com/office/drawing/2012/slicer">
      <mc:Choice Requires="sle15">
        <xdr:graphicFrame macro="">
          <xdr:nvGraphicFramePr>
            <xdr:cNvPr id="34" name="Hypotesetype_k">
              <a:extLst>
                <a:ext uri="{FF2B5EF4-FFF2-40B4-BE49-F238E27FC236}">
                  <a16:creationId xmlns:a16="http://schemas.microsoft.com/office/drawing/2014/main" id="{00000000-0008-0000-0600-000022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Hypotesetype_k"/>
            </a:graphicData>
          </a:graphic>
        </xdr:graphicFrame>
      </mc:Choice>
      <mc:Fallback xmlns="">
        <xdr:sp macro="" textlink="">
          <xdr:nvSpPr>
            <xdr:cNvPr id="0" name=""/>
            <xdr:cNvSpPr>
              <a:spLocks noTextEdit="1"/>
            </xdr:cNvSpPr>
          </xdr:nvSpPr>
          <xdr:spPr>
            <a:xfrm>
              <a:off x="61803904" y="762000"/>
              <a:ext cx="4083454"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32</xdr:col>
      <xdr:colOff>1866900</xdr:colOff>
      <xdr:row>4</xdr:row>
      <xdr:rowOff>0</xdr:rowOff>
    </xdr:from>
    <xdr:to>
      <xdr:col>34</xdr:col>
      <xdr:colOff>17430</xdr:colOff>
      <xdr:row>16</xdr:row>
      <xdr:rowOff>92503</xdr:rowOff>
    </xdr:to>
    <mc:AlternateContent xmlns:mc="http://schemas.openxmlformats.org/markup-compatibility/2006" xmlns:sle15="http://schemas.microsoft.com/office/drawing/2012/slicer">
      <mc:Choice Requires="sle15">
        <xdr:graphicFrame macro="">
          <xdr:nvGraphicFramePr>
            <xdr:cNvPr id="36" name="Beregningsmetode_k">
              <a:extLst>
                <a:ext uri="{FF2B5EF4-FFF2-40B4-BE49-F238E27FC236}">
                  <a16:creationId xmlns:a16="http://schemas.microsoft.com/office/drawing/2014/main" id="{00000000-0008-0000-0600-000024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Beregningsmetode_k"/>
            </a:graphicData>
          </a:graphic>
        </xdr:graphicFrame>
      </mc:Choice>
      <mc:Fallback xmlns="">
        <xdr:sp macro="" textlink="">
          <xdr:nvSpPr>
            <xdr:cNvPr id="0" name=""/>
            <xdr:cNvSpPr>
              <a:spLocks noTextEdit="1"/>
            </xdr:cNvSpPr>
          </xdr:nvSpPr>
          <xdr:spPr>
            <a:xfrm>
              <a:off x="66134673" y="762000"/>
              <a:ext cx="4142621"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0</xdr:col>
      <xdr:colOff>0</xdr:colOff>
      <xdr:row>48</xdr:row>
      <xdr:rowOff>0</xdr:rowOff>
    </xdr:from>
    <xdr:to>
      <xdr:col>6</xdr:col>
      <xdr:colOff>1793</xdr:colOff>
      <xdr:row>62</xdr:row>
      <xdr:rowOff>92163</xdr:rowOff>
    </xdr:to>
    <xdr:graphicFrame macro="">
      <xdr:nvGraphicFramePr>
        <xdr:cNvPr id="23" name="Styrke_g">
          <a:extLst>
            <a:ext uri="{FF2B5EF4-FFF2-40B4-BE49-F238E27FC236}">
              <a16:creationId xmlns:a16="http://schemas.microsoft.com/office/drawing/2014/main" id="{00000000-0008-0000-06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14</xdr:col>
      <xdr:colOff>0</xdr:colOff>
      <xdr:row>48</xdr:row>
      <xdr:rowOff>0</xdr:rowOff>
    </xdr:from>
    <xdr:to>
      <xdr:col>20</xdr:col>
      <xdr:colOff>55133</xdr:colOff>
      <xdr:row>62</xdr:row>
      <xdr:rowOff>95973</xdr:rowOff>
    </xdr:to>
    <xdr:graphicFrame macro="">
      <xdr:nvGraphicFramePr>
        <xdr:cNvPr id="24" name="Styrke_a">
          <a:extLst>
            <a:ext uri="{FF2B5EF4-FFF2-40B4-BE49-F238E27FC236}">
              <a16:creationId xmlns:a16="http://schemas.microsoft.com/office/drawing/2014/main" id="{00000000-0008-0000-06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18011775" y="5038725"/>
    <xdr:ext cx="6141354" cy="4032000"/>
    <xdr:graphicFrame macro="">
      <xdr:nvGraphicFramePr>
        <xdr:cNvPr id="55" name="Simpel lineær regression" descr="Simpel lineær regression&#10;Linjetilpasning">
          <a:extLst>
            <a:ext uri="{FF2B5EF4-FFF2-40B4-BE49-F238E27FC236}">
              <a16:creationId xmlns:a16="http://schemas.microsoft.com/office/drawing/2014/main" id="{00000000-0008-0000-0800-00003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twoCellAnchor>
    <xdr:from>
      <xdr:col>4</xdr:col>
      <xdr:colOff>57150</xdr:colOff>
      <xdr:row>4</xdr:row>
      <xdr:rowOff>28575</xdr:rowOff>
    </xdr:from>
    <xdr:to>
      <xdr:col>5</xdr:col>
      <xdr:colOff>57150</xdr:colOff>
      <xdr:row>8</xdr:row>
      <xdr:rowOff>0</xdr:rowOff>
    </xdr:to>
    <xdr:cxnSp macro="">
      <xdr:nvCxnSpPr>
        <xdr:cNvPr id="59" name="Straight Connector 58">
          <a:extLst>
            <a:ext uri="{FF2B5EF4-FFF2-40B4-BE49-F238E27FC236}">
              <a16:creationId xmlns:a16="http://schemas.microsoft.com/office/drawing/2014/main" id="{00000000-0008-0000-0800-00003B000000}"/>
            </a:ext>
          </a:extLst>
        </xdr:cNvPr>
        <xdr:cNvCxnSpPr/>
      </xdr:nvCxnSpPr>
      <xdr:spPr>
        <a:xfrm flipV="1">
          <a:off x="11287125" y="819150"/>
          <a:ext cx="314325" cy="695325"/>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absoluteAnchor>
    <xdr:pos x="11616418" y="789214"/>
    <xdr:ext cx="6142441" cy="4032000"/>
    <xdr:graphicFrame macro="">
      <xdr:nvGraphicFramePr>
        <xdr:cNvPr id="36" name="Simpel lineær regression" descr="Simpel lineær regression&#10;Linjetilpasning">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twoCellAnchor editAs="absolute">
    <xdr:from>
      <xdr:col>10</xdr:col>
      <xdr:colOff>81643</xdr:colOff>
      <xdr:row>4</xdr:row>
      <xdr:rowOff>0</xdr:rowOff>
    </xdr:from>
    <xdr:to>
      <xdr:col>14</xdr:col>
      <xdr:colOff>1115121</xdr:colOff>
      <xdr:row>26</xdr:row>
      <xdr:rowOff>50550</xdr:rowOff>
    </xdr:to>
    <xdr:graphicFrame macro="">
      <xdr:nvGraphicFramePr>
        <xdr:cNvPr id="39" name="Chart 38">
          <a:extLst>
            <a:ext uri="{FF2B5EF4-FFF2-40B4-BE49-F238E27FC236}">
              <a16:creationId xmlns:a16="http://schemas.microsoft.com/office/drawing/2014/main" id="{00000000-0008-0000-08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absoluteAnchor>
    <xdr:pos x="24407132" y="789214"/>
    <xdr:ext cx="6141600" cy="4032000"/>
    <xdr:graphicFrame macro="">
      <xdr:nvGraphicFramePr>
        <xdr:cNvPr id="43" name="Observeret og beregnet værdi" descr="Simpel lineær regression&#10;Linjetilpasning">
          <a:extLst>
            <a:ext uri="{FF2B5EF4-FFF2-40B4-BE49-F238E27FC236}">
              <a16:creationId xmlns:a16="http://schemas.microsoft.com/office/drawing/2014/main" id="{00000000-0008-0000-08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absoluteAnchor>
  <xdr:absoluteAnchor>
    <xdr:pos x="11616418" y="5034643"/>
    <xdr:ext cx="6142441" cy="4032000"/>
    <xdr:graphicFrame macro="">
      <xdr:nvGraphicFramePr>
        <xdr:cNvPr id="44" name="Konfidensinterval" descr="Simpel lineær regression&#10;Konfidensinterval">
          <a:extLst>
            <a:ext uri="{FF2B5EF4-FFF2-40B4-BE49-F238E27FC236}">
              <a16:creationId xmlns:a16="http://schemas.microsoft.com/office/drawing/2014/main" id="{00000000-0008-0000-08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absoluteAnchor>
    <xdr:pos x="24407132" y="5034643"/>
    <xdr:ext cx="6141600" cy="4032000"/>
    <xdr:graphicFrame macro="">
      <xdr:nvGraphicFramePr>
        <xdr:cNvPr id="46" name="Normalfraktildiagram" descr="Simpel lineær regression&#10;Linjetilpasning">
          <a:extLst>
            <a:ext uri="{FF2B5EF4-FFF2-40B4-BE49-F238E27FC236}">
              <a16:creationId xmlns:a16="http://schemas.microsoft.com/office/drawing/2014/main" id="{00000000-0008-0000-08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absoluteAnchor>
  <xdr:absoluteAnchor>
    <xdr:pos x="24407132" y="9280071"/>
    <xdr:ext cx="6141600" cy="4032000"/>
    <xdr:graphicFrame macro="">
      <xdr:nvGraphicFramePr>
        <xdr:cNvPr id="47" name="Normalfraktildiagram" descr="Simpel lineær regression&#10;Linjetilpasning">
          <a:extLst>
            <a:ext uri="{FF2B5EF4-FFF2-40B4-BE49-F238E27FC236}">
              <a16:creationId xmlns:a16="http://schemas.microsoft.com/office/drawing/2014/main" id="{00000000-0008-0000-08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absoluteAnchor>
  <xdr:absoluteAnchor>
    <xdr:pos x="11616418" y="9280071"/>
    <xdr:ext cx="6142441" cy="4032000"/>
    <xdr:graphicFrame macro="">
      <xdr:nvGraphicFramePr>
        <xdr:cNvPr id="49" name="Forudsigelsesinterval" descr="Simpel lineær regression&#10;Forudsigelsesinterval">
          <a:extLst>
            <a:ext uri="{FF2B5EF4-FFF2-40B4-BE49-F238E27FC236}">
              <a16:creationId xmlns:a16="http://schemas.microsoft.com/office/drawing/2014/main" id="{00000000-0008-0000-0800-00003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absoluteAnchor>
  <xdr:twoCellAnchor editAs="absolute">
    <xdr:from>
      <xdr:col>10</xdr:col>
      <xdr:colOff>81643</xdr:colOff>
      <xdr:row>51</xdr:row>
      <xdr:rowOff>0</xdr:rowOff>
    </xdr:from>
    <xdr:to>
      <xdr:col>14</xdr:col>
      <xdr:colOff>1115121</xdr:colOff>
      <xdr:row>73</xdr:row>
      <xdr:rowOff>50550</xdr:rowOff>
    </xdr:to>
    <xdr:graphicFrame macro="">
      <xdr:nvGraphicFramePr>
        <xdr:cNvPr id="51" name="Chart 50">
          <a:extLst>
            <a:ext uri="{FF2B5EF4-FFF2-40B4-BE49-F238E27FC236}">
              <a16:creationId xmlns:a16="http://schemas.microsoft.com/office/drawing/2014/main" id="{00000000-0008-0000-08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38100</xdr:colOff>
      <xdr:row>27</xdr:row>
      <xdr:rowOff>38100</xdr:rowOff>
    </xdr:from>
    <xdr:to>
      <xdr:col>5</xdr:col>
      <xdr:colOff>76200</xdr:colOff>
      <xdr:row>73</xdr:row>
      <xdr:rowOff>57150</xdr:rowOff>
    </xdr:to>
    <xdr:cxnSp macro="">
      <xdr:nvCxnSpPr>
        <xdr:cNvPr id="29" name="Straight Connector 28">
          <a:extLst>
            <a:ext uri="{FF2B5EF4-FFF2-40B4-BE49-F238E27FC236}">
              <a16:creationId xmlns:a16="http://schemas.microsoft.com/office/drawing/2014/main" id="{00000000-0008-0000-0800-00001D000000}"/>
            </a:ext>
          </a:extLst>
        </xdr:cNvPr>
        <xdr:cNvCxnSpPr/>
      </xdr:nvCxnSpPr>
      <xdr:spPr>
        <a:xfrm>
          <a:off x="11268075" y="4991100"/>
          <a:ext cx="352425" cy="8343900"/>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absolute">
        <xdr:from>
          <xdr:col>2</xdr:col>
          <xdr:colOff>171450</xdr:colOff>
          <xdr:row>8</xdr:row>
          <xdr:rowOff>0</xdr:rowOff>
        </xdr:from>
        <xdr:to>
          <xdr:col>4</xdr:col>
          <xdr:colOff>56119</xdr:colOff>
          <xdr:row>27</xdr:row>
          <xdr:rowOff>86060</xdr:rowOff>
        </xdr:to>
        <xdr:pic>
          <xdr:nvPicPr>
            <xdr:cNvPr id="53" name="Picture 52">
              <a:extLst>
                <a:ext uri="{FF2B5EF4-FFF2-40B4-BE49-F238E27FC236}">
                  <a16:creationId xmlns:a16="http://schemas.microsoft.com/office/drawing/2014/main" id="{00000000-0008-0000-0800-000035000000}"/>
                </a:ext>
              </a:extLst>
            </xdr:cNvPr>
            <xdr:cNvPicPr>
              <a:picLocks noChangeAspect="1" noChangeArrowheads="1"/>
              <a:extLst>
                <a:ext uri="{84589F7E-364E-4C9E-8A38-B11213B215E9}">
                  <a14:cameraTool cellRange="$F$5:$T$74" spid="_x0000_s21633"/>
                </a:ext>
              </a:extLst>
            </xdr:cNvPicPr>
          </xdr:nvPicPr>
          <xdr:blipFill>
            <a:blip xmlns:r="http://schemas.openxmlformats.org/officeDocument/2006/relationships" r:embed="rId10"/>
            <a:srcRect/>
            <a:stretch>
              <a:fillRect/>
            </a:stretch>
          </xdr:blipFill>
          <xdr:spPr bwMode="auto">
            <a:xfrm>
              <a:off x="5991225" y="1514475"/>
              <a:ext cx="5294869" cy="3524585"/>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absolute">
    <xdr:from>
      <xdr:col>0</xdr:col>
      <xdr:colOff>0</xdr:colOff>
      <xdr:row>7</xdr:row>
      <xdr:rowOff>180974</xdr:rowOff>
    </xdr:from>
    <xdr:to>
      <xdr:col>0</xdr:col>
      <xdr:colOff>2725200</xdr:colOff>
      <xdr:row>27</xdr:row>
      <xdr:rowOff>9525</xdr:rowOff>
    </xdr:to>
    <mc:AlternateContent xmlns:mc="http://schemas.openxmlformats.org/markup-compatibility/2006" xmlns:sle15="http://schemas.microsoft.com/office/drawing/2012/slicer">
      <mc:Choice Requires="sle15">
        <xdr:graphicFrame macro="">
          <xdr:nvGraphicFramePr>
            <xdr:cNvPr id="16" name="Afhængig variabel 1">
              <a:extLst>
                <a:ext uri="{FF2B5EF4-FFF2-40B4-BE49-F238E27FC236}">
                  <a16:creationId xmlns:a16="http://schemas.microsoft.com/office/drawing/2014/main" id="{00000000-0008-0000-0800-000010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Afhængig variabel 1"/>
            </a:graphicData>
          </a:graphic>
        </xdr:graphicFrame>
      </mc:Choice>
      <mc:Fallback xmlns="">
        <xdr:sp macro="" textlink="">
          <xdr:nvSpPr>
            <xdr:cNvPr id="0" name=""/>
            <xdr:cNvSpPr>
              <a:spLocks noTextEdit="1"/>
            </xdr:cNvSpPr>
          </xdr:nvSpPr>
          <xdr:spPr>
            <a:xfrm>
              <a:off x="0" y="1514474"/>
              <a:ext cx="2725200" cy="3448051"/>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3105150</xdr:colOff>
      <xdr:row>7</xdr:row>
      <xdr:rowOff>180974</xdr:rowOff>
    </xdr:from>
    <xdr:to>
      <xdr:col>2</xdr:col>
      <xdr:colOff>7854</xdr:colOff>
      <xdr:row>27</xdr:row>
      <xdr:rowOff>9525</xdr:rowOff>
    </xdr:to>
    <mc:AlternateContent xmlns:mc="http://schemas.openxmlformats.org/markup-compatibility/2006" xmlns:sle15="http://schemas.microsoft.com/office/drawing/2012/slicer">
      <mc:Choice Requires="sle15">
        <xdr:graphicFrame macro="">
          <xdr:nvGraphicFramePr>
            <xdr:cNvPr id="17" name="Uafhængige variable 1">
              <a:extLst>
                <a:ext uri="{FF2B5EF4-FFF2-40B4-BE49-F238E27FC236}">
                  <a16:creationId xmlns:a16="http://schemas.microsoft.com/office/drawing/2014/main" id="{00000000-0008-0000-0800-000011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Uafhængige variable 1"/>
            </a:graphicData>
          </a:graphic>
        </xdr:graphicFrame>
      </mc:Choice>
      <mc:Fallback xmlns="">
        <xdr:sp macro="" textlink="">
          <xdr:nvSpPr>
            <xdr:cNvPr id="0" name=""/>
            <xdr:cNvSpPr>
              <a:spLocks noTextEdit="1"/>
            </xdr:cNvSpPr>
          </xdr:nvSpPr>
          <xdr:spPr>
            <a:xfrm>
              <a:off x="3105150" y="1514474"/>
              <a:ext cx="2722479" cy="3448051"/>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7</xdr:row>
      <xdr:rowOff>0</xdr:rowOff>
    </xdr:from>
    <xdr:to>
      <xdr:col>2</xdr:col>
      <xdr:colOff>2844</xdr:colOff>
      <xdr:row>25</xdr:row>
      <xdr:rowOff>88306</xdr:rowOff>
    </xdr:to>
    <mc:AlternateContent xmlns:mc="http://schemas.openxmlformats.org/markup-compatibility/2006" xmlns:sle15="http://schemas.microsoft.com/office/drawing/2012/slicer">
      <mc:Choice Requires="sle15">
        <xdr:graphicFrame macro="">
          <xdr:nvGraphicFramePr>
            <xdr:cNvPr id="26" name="Variabel">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Variabel"/>
            </a:graphicData>
          </a:graphic>
        </xdr:graphicFrame>
      </mc:Choice>
      <mc:Fallback xmlns="">
        <xdr:sp macro="" textlink="">
          <xdr:nvSpPr>
            <xdr:cNvPr id="0" name=""/>
            <xdr:cNvSpPr>
              <a:spLocks noTextEdit="1"/>
            </xdr:cNvSpPr>
          </xdr:nvSpPr>
          <xdr:spPr>
            <a:xfrm>
              <a:off x="0" y="1306286"/>
              <a:ext cx="6112451" cy="3272377"/>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27</xdr:row>
      <xdr:rowOff>0</xdr:rowOff>
    </xdr:from>
    <xdr:to>
      <xdr:col>5</xdr:col>
      <xdr:colOff>18682</xdr:colOff>
      <xdr:row>50</xdr:row>
      <xdr:rowOff>48818</xdr:rowOff>
    </xdr:to>
    <xdr:graphicFrame macro="">
      <xdr:nvGraphicFramePr>
        <xdr:cNvPr id="28" name="Sandsynlighedsfordeling_g">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0</xdr:colOff>
      <xdr:row>27</xdr:row>
      <xdr:rowOff>0</xdr:rowOff>
    </xdr:from>
    <xdr:to>
      <xdr:col>11</xdr:col>
      <xdr:colOff>18681</xdr:colOff>
      <xdr:row>50</xdr:row>
      <xdr:rowOff>48636</xdr:rowOff>
    </xdr:to>
    <xdr:graphicFrame macro="">
      <xdr:nvGraphicFramePr>
        <xdr:cNvPr id="29" name="Sandsynlighedsfordeling_g">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6</xdr:col>
      <xdr:colOff>40822</xdr:colOff>
      <xdr:row>63</xdr:row>
      <xdr:rowOff>0</xdr:rowOff>
    </xdr:from>
    <xdr:to>
      <xdr:col>11</xdr:col>
      <xdr:colOff>59503</xdr:colOff>
      <xdr:row>86</xdr:row>
      <xdr:rowOff>48818</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0</xdr:col>
      <xdr:colOff>0</xdr:colOff>
      <xdr:row>63</xdr:row>
      <xdr:rowOff>0</xdr:rowOff>
    </xdr:from>
    <xdr:to>
      <xdr:col>5</xdr:col>
      <xdr:colOff>18682</xdr:colOff>
      <xdr:row>86</xdr:row>
      <xdr:rowOff>48818</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25</xdr:row>
      <xdr:rowOff>142875</xdr:rowOff>
    </xdr:from>
    <xdr:to>
      <xdr:col>2</xdr:col>
      <xdr:colOff>428625</xdr:colOff>
      <xdr:row>26</xdr:row>
      <xdr:rowOff>171450</xdr:rowOff>
    </xdr:to>
    <xdr:cxnSp macro="">
      <xdr:nvCxnSpPr>
        <xdr:cNvPr id="37" name="Straight Connector 36">
          <a:extLst>
            <a:ext uri="{FF2B5EF4-FFF2-40B4-BE49-F238E27FC236}">
              <a16:creationId xmlns:a16="http://schemas.microsoft.com/office/drawing/2014/main" id="{00000000-0008-0000-0B00-000025000000}"/>
            </a:ext>
          </a:extLst>
        </xdr:cNvPr>
        <xdr:cNvCxnSpPr/>
      </xdr:nvCxnSpPr>
      <xdr:spPr>
        <a:xfrm flipV="1">
          <a:off x="0" y="4724400"/>
          <a:ext cx="6534150" cy="209550"/>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2752725</xdr:colOff>
      <xdr:row>25</xdr:row>
      <xdr:rowOff>133350</xdr:rowOff>
    </xdr:from>
    <xdr:to>
      <xdr:col>11</xdr:col>
      <xdr:colOff>17318</xdr:colOff>
      <xdr:row>27</xdr:row>
      <xdr:rowOff>0</xdr:rowOff>
    </xdr:to>
    <xdr:cxnSp macro="">
      <xdr:nvCxnSpPr>
        <xdr:cNvPr id="38" name="Straight Connector 37">
          <a:extLst>
            <a:ext uri="{FF2B5EF4-FFF2-40B4-BE49-F238E27FC236}">
              <a16:creationId xmlns:a16="http://schemas.microsoft.com/office/drawing/2014/main" id="{00000000-0008-0000-0B00-000026000000}"/>
            </a:ext>
          </a:extLst>
        </xdr:cNvPr>
        <xdr:cNvCxnSpPr/>
      </xdr:nvCxnSpPr>
      <xdr:spPr>
        <a:xfrm>
          <a:off x="16830675" y="4714875"/>
          <a:ext cx="11018693" cy="228600"/>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409690</xdr:colOff>
          <xdr:row>3</xdr:row>
          <xdr:rowOff>175490</xdr:rowOff>
        </xdr:from>
        <xdr:to>
          <xdr:col>6</xdr:col>
          <xdr:colOff>2724150</xdr:colOff>
          <xdr:row>26</xdr:row>
          <xdr:rowOff>28575</xdr:rowOff>
        </xdr:to>
        <xdr:pic>
          <xdr:nvPicPr>
            <xdr:cNvPr id="41" name="Picture 40">
              <a:extLst>
                <a:ext uri="{FF2B5EF4-FFF2-40B4-BE49-F238E27FC236}">
                  <a16:creationId xmlns:a16="http://schemas.microsoft.com/office/drawing/2014/main" id="{00000000-0008-0000-0B00-000029000000}"/>
                </a:ext>
              </a:extLst>
            </xdr:cNvPr>
            <xdr:cNvPicPr>
              <a:picLocks noChangeAspect="1" noChangeArrowheads="1"/>
              <a:extLst>
                <a:ext uri="{84589F7E-364E-4C9E-8A38-B11213B215E9}">
                  <a14:cameraTool cellRange="$A$28:$K$87" spid="_x0000_s12881"/>
                </a:ext>
              </a:extLst>
            </xdr:cNvPicPr>
          </xdr:nvPicPr>
          <xdr:blipFill>
            <a:blip xmlns:r="http://schemas.openxmlformats.org/officeDocument/2006/relationships" r:embed="rId5"/>
            <a:srcRect/>
            <a:stretch>
              <a:fillRect/>
            </a:stretch>
          </xdr:blipFill>
          <xdr:spPr bwMode="auto">
            <a:xfrm>
              <a:off x="6515215" y="775565"/>
              <a:ext cx="10286885" cy="401551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richData/rdRichValueTypes.xml><?xml version="1.0" encoding="utf-8"?>
<rvTypesInfo xmlns="http://schemas.microsoft.com/office/spreadsheetml/2017/richdata2">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Flags>
  </global>
</rvTypesInfo>
</file>

<file path=xl/richData/rdrichvalue.xml><?xml version="1.0" encoding="utf-8"?>
<rvData xmlns="http://schemas.microsoft.com/office/spreadsheetml/2017/richdata" count="3">
  <rv s="0">
    <v>0</v>
    <v>8</v>
    <v>262</v>
    <v>1</v>
  </rv>
  <rv s="0">
    <v>0</v>
    <v>8</v>
    <v>258</v>
    <v>1</v>
  </rv>
  <rv s="1">
    <v>8</v>
    <v>1</v>
  </rv>
</rvData>
</file>

<file path=xl/richData/rdrichvaluestructure.xml><?xml version="1.0" encoding="utf-8"?>
<rvStructures xmlns="http://schemas.microsoft.com/office/spreadsheetml/2017/richdata" count="2">
  <s t="_error">
    <k n="colOffset" t="i"/>
    <k n="errorType" t="i"/>
    <k n="rwOffset" t="i"/>
    <k n="subType" t="i"/>
  </s>
  <s t="_error">
    <k n="errorType" t="i"/>
    <k n="propagated" t="b"/>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ypotesetype" xr10:uid="{D7B1BC9E-8BBF-4D6A-A8D0-A236E411A06D}" sourceName="Hypotesetype">
  <extLst>
    <x:ext xmlns:x15="http://schemas.microsoft.com/office/spreadsheetml/2010/11/main" uri="{2F2917AC-EB37-4324-AD4E-5DD8C200BD13}">
      <x15:tableSlicerCache tableId="16" column="2"/>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regningsmetode" xr10:uid="{60C55371-4C75-4555-9FAE-ADAE4696E6C5}" sourceName="Beregningsmetode">
  <extLst>
    <x:ext xmlns:x15="http://schemas.microsoft.com/office/spreadsheetml/2010/11/main" uri="{2F2917AC-EB37-4324-AD4E-5DD8C200BD13}">
      <x15:tableSlicerCache tableId="16"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ypotesetype1" xr10:uid="{EE853B18-51A4-40AB-A3A4-739E6DDE2AFC}" sourceName="Hypotesetype">
  <extLst>
    <x:ext xmlns:x15="http://schemas.microsoft.com/office/spreadsheetml/2010/11/main" uri="{2F2917AC-EB37-4324-AD4E-5DD8C200BD13}">
      <x15:tableSlicerCache tableId="17" column="2"/>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regningsmetode1" xr10:uid="{FBE06DAC-776A-43E1-B09F-E8F495C1458D}" sourceName="Beregningsmetode">
  <extLst>
    <x:ext xmlns:x15="http://schemas.microsoft.com/office/spreadsheetml/2010/11/main" uri="{2F2917AC-EB37-4324-AD4E-5DD8C200BD13}">
      <x15:tableSlicerCache tableId="17" column="3"/>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ypotesetype2" xr10:uid="{99E8C996-17B5-4D15-B1A0-E2A9AF7C892A}" sourceName="Hypotesetype">
  <extLst>
    <x:ext xmlns:x15="http://schemas.microsoft.com/office/spreadsheetml/2010/11/main" uri="{2F2917AC-EB37-4324-AD4E-5DD8C200BD13}">
      <x15:tableSlicerCache tableId="18" column="2"/>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regningsmetode2" xr10:uid="{79D407E3-8E77-439C-936E-595A1C033418}" sourceName="Beregningsmetode">
  <extLst>
    <x:ext xmlns:x15="http://schemas.microsoft.com/office/spreadsheetml/2010/11/main" uri="{2F2917AC-EB37-4324-AD4E-5DD8C200BD13}">
      <x15:tableSlicerCache tableId="18" column="3"/>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ypotesetype3" xr10:uid="{7ADA6813-7486-47B5-8CE3-29324E73E31D}" sourceName="Hypotesetype">
  <extLst>
    <x:ext xmlns:x15="http://schemas.microsoft.com/office/spreadsheetml/2010/11/main" uri="{2F2917AC-EB37-4324-AD4E-5DD8C200BD13}">
      <x15:tableSlicerCache tableId="20" column="2"/>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regningsmetode3" xr10:uid="{91BCE92C-6EED-46C4-A64C-617A2C863564}" sourceName="Beregningsmetode">
  <extLst>
    <x:ext xmlns:x15="http://schemas.microsoft.com/office/spreadsheetml/2010/11/main" uri="{2F2917AC-EB37-4324-AD4E-5DD8C200BD13}">
      <x15:tableSlicerCache tableId="20" column="3"/>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ypotesetype4" xr10:uid="{97DB0F64-3E65-4FF2-89D0-77D83405AEC7}" sourceName="Hypotesetype">
  <extLst>
    <x:ext xmlns:x15="http://schemas.microsoft.com/office/spreadsheetml/2010/11/main" uri="{2F2917AC-EB37-4324-AD4E-5DD8C200BD13}">
      <x15:tableSlicerCache tableId="24" column="2"/>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regningsmetode4" xr10:uid="{03B697C6-BF71-48BC-B66B-3516E60AAF1F}" sourceName="Beregningsmetode">
  <extLst>
    <x:ext xmlns:x15="http://schemas.microsoft.com/office/spreadsheetml/2010/11/main" uri="{2F2917AC-EB37-4324-AD4E-5DD8C200BD13}">
      <x15:tableSlicerCache tableId="24" column="3"/>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fhængig_variabel1" xr10:uid="{E4E72B5F-4DCE-4C64-AA16-E63AAE3FBF54}" sourceName="Afhængig variabel">
  <extLst>
    <x:ext xmlns:x15="http://schemas.microsoft.com/office/spreadsheetml/2010/11/main" uri="{2F2917AC-EB37-4324-AD4E-5DD8C200BD13}">
      <x15:tableSlicerCache tableId="8" column="6"/>
    </x:ex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afhængige_variable1" xr10:uid="{F7C2A680-E859-4825-9BFD-9F1F9DABBCA5}" sourceName="Uafhængige variable">
  <extLst>
    <x:ext xmlns:x15="http://schemas.microsoft.com/office/spreadsheetml/2010/11/main" uri="{2F2917AC-EB37-4324-AD4E-5DD8C200BD13}">
      <x15:tableSlicerCache tableId="8" column="7" crossFilter="show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ariabel" xr10:uid="{423A4C5B-28D8-482B-8B1C-42753F4262AA}" sourceName="Variable i ANOVA">
  <extLst>
    <x:ext xmlns:x15="http://schemas.microsoft.com/office/spreadsheetml/2010/11/main" uri="{2F2917AC-EB37-4324-AD4E-5DD8C200BD13}">
      <x15:tableSlicerCache tableId="3" column="4"/>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Hypotesetype_g" xr10:uid="{88ECDD00-5662-4E69-B050-3FABAEB6CAD0}" cache="Slicer_Hypotesetype" caption="Hypotesetype" lockedPosition="1" rowHeight="222250"/>
  <slicer name="Beregningsmetode_g" xr10:uid="{F5EA248F-4419-45E4-AF25-EDB154B27FCD}" cache="Slicer_Beregningsmetode" caption="Beregningsmetode" style="SlicerStyleLight2" lockedPosition="1" rowHeight="222250"/>
  <slicer name="Hypotesetype_s" xr10:uid="{B4D3295C-F8AA-436B-80F4-D508A2D2F56C}" cache="Slicer_Hypotesetype1" caption="Hypotesetype" lockedPosition="1" rowHeight="222250"/>
  <slicer name="Beregningsmetode_s" xr10:uid="{3413A21A-2108-432C-9C81-D0C12B62F981}" cache="Slicer_Beregningsmetode1" caption="Beregningsmetode" style="SlicerStyleLight2" lockedPosition="1" rowHeight="222250"/>
  <slicer name="Hypotesetype_a" xr10:uid="{8863C37D-2C5B-4781-B998-A7F9B19BEBBF}" cache="Slicer_Hypotesetype2" caption="Hypotesetype" lockedPosition="1" rowHeight="222250"/>
  <slicer name="Beregningsmetode_a" xr10:uid="{F30EE6FD-8FFB-4695-88F9-504B17F5B48A}" cache="Slicer_Beregningsmetode2" caption="Beregningsmetode" style="SlicerStyleLight2" lockedPosition="1" rowHeight="222250"/>
  <slicer name="Hypotesetype_i" xr10:uid="{56829CEF-4CFD-4F66-AC43-9A90497EFF59}" cache="Slicer_Hypotesetype3" caption="Hypotesetype" lockedPosition="1" rowHeight="222250"/>
  <slicer name="Beregningsmetode_i" xr10:uid="{407625AF-5618-4D29-9A8B-80EFAE534058}" cache="Slicer_Beregningsmetode3" caption="Beregningsmetode" style="SlicerStyleLight2" lockedPosition="1" rowHeight="222250"/>
  <slicer name="Hypotesetype_k" xr10:uid="{D05C1A90-5C83-4AEA-8AC9-627337EEC20D}" cache="Slicer_Hypotesetype4" caption="Hypotesetype" lockedPosition="1" rowHeight="222250"/>
  <slicer name="Beregningsmetode_k" xr10:uid="{FA50024A-773C-4E70-8AF3-0A126098ED37}" cache="Slicer_Beregningsmetode4" caption="Beregningsmetode" style="SlicerStyleLight2" lockedPosition="1" rowHeight="2222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fhængig variabel 1" xr10:uid="{5D9D9218-9B79-4F31-8E53-12D5E2E1A98A}" cache="Slicer_Afhængig_variabel1" caption="Afhængig variabel" lockedPosition="1" rowHeight="241300"/>
  <slicer name="Uafhængige variable 1" xr10:uid="{419A9B15-54A6-4EF7-B3C9-7BB0970E2D33}" cache="Slicer_Uafhængige_variable1" caption="Uafhængige variable" style="SlicerStyleLight3" lockedPosition="1"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Variabel" xr10:uid="{5211B3DC-A42E-4599-8962-9865EB88AAE5}" cache="Slicer_Variabel" caption="Variable i ANOVA"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D6911D3B-3D56-4206-A412-1EFCD1EE5184}" name="Eu_tabel_g" displayName="Eu_tabel_g" ref="BZ9:CW268" totalsRowShown="0" dataDxfId="212">
  <autoFilter ref="BZ9:CW268" xr:uid="{47B0E68D-560D-4846-9381-68A48946A49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autoFilter>
  <tableColumns count="24">
    <tableColumn id="1" xr3:uid="{F5A9AFB0-A8E0-478F-BC34-C8557C1B9CA3}" name="Indeks" dataDxfId="211">
      <calculatedColumnFormula>ROW(BZ10)-ROW(BZ$10)</calculatedColumnFormula>
    </tableColumn>
    <tableColumn id="2" xr3:uid="{4CB78BCE-C2DB-4BE3-909A-F49BA83A7513}" name="Indeks (1 base)" dataDxfId="210">
      <calculatedColumnFormula>Eu_tabel_g[[#This Row],[Indeks]]+1</calculatedColumnFormula>
    </tableColumn>
    <tableColumn id="3" xr3:uid="{B67ACC8F-ED1F-407D-BAD5-D9F18D360884}" name="x base" dataDxfId="209">
      <calculatedColumnFormula>CB$5+(CB$7-CB$5)/CB$3*BZ10</calculatedColumnFormula>
    </tableColumn>
    <tableColumn id="4" xr3:uid="{0A3D46C0-40C8-4B33-9EFD-905BF96B3D5E}" name="Normalfordeling" dataDxfId="208">
      <calculatedColumnFormula>IF(CC$3,_xlfn.NORM.DIST(CB10,CC$5,CC$7,FALSE),NA())</calculatedColumnFormula>
    </tableColumn>
    <tableColumn id="5" xr3:uid="{B4A01262-A796-4C45-8CE6-1D80372099E6}" name="t-fordeling" dataDxfId="207">
      <calculatedColumnFormula>IF(CD$3,_xlfn.T.DIST(CB10,CD$5,FALSE),NA())</calculatedColumnFormula>
    </tableColumn>
    <tableColumn id="6" xr3:uid="{E554D212-0C92-4875-B253-2E569806BAE9}" name="Chi-i-anden-fordeling" dataDxfId="206">
      <calculatedColumnFormula>IF(CE$3,_xlfn.CHISQ.DIST(CB10,CE$5,FALSE),NA())</calculatedColumnFormula>
    </tableColumn>
    <tableColumn id="7" xr3:uid="{CA1F6272-3F4A-4206-9D21-9E8D0A89E354}" name="F-fordeling" dataDxfId="205">
      <calculatedColumnFormula>IF(CF$3,_xlfn.F.DIST(CB10,CF$5,CF$7,FALSE),NA())</calculatedColumnFormula>
    </tableColumn>
    <tableColumn id="8" xr3:uid="{552F0111-FCDD-49C7-A7C8-1742D0A7EE58}" name="Mindre end teststørrelse" dataDxfId="204">
      <calculatedColumnFormula>CB10&lt;CG$3</calculatedColumnFormula>
    </tableColumn>
    <tableColumn id="9" xr3:uid="{FC0C923B-0BA5-46A8-8957-C57FBCC1A57D}" name="Større end teststørrelse" dataDxfId="203">
      <calculatedColumnFormula>CB10&gt;CG$3</calculatedColumnFormula>
    </tableColumn>
    <tableColumn id="10" xr3:uid="{3A5ED543-574B-4F93-B8A9-6AE26314E002}" name="Forskellig fra teststørrelse" dataDxfId="202">
      <calculatedColumnFormula>OR(CB10&lt;CI$3,CB10&gt;CI$5)</calculatedColumnFormula>
    </tableColumn>
    <tableColumn id="11" xr3:uid="{D80DB855-8C47-4C30-BEA6-A756CD4C3558}" name="Lig med teststørrelse" dataDxfId="201">
      <calculatedColumnFormula>AND(CB10&gt;CI$3,CB10&lt;CI$5)</calculatedColumnFormula>
    </tableColumn>
    <tableColumn id="12" xr3:uid="{6FB3C166-50C3-431A-8080-CB59F544D2E5}" name="Valgt fordeling" dataDxfId="200">
      <calculatedColumnFormula>_xlfn.AGGREGATE(9,6,CC10:CF10)</calculatedColumnFormula>
    </tableColumn>
    <tableColumn id="13" xr3:uid="{9D2DE2D1-6EBC-4C86-98D3-DC86001D26EE}" name="Alternativ hypotese" dataDxfId="199">
      <calculatedColumnFormula>IF(INDEX(CG10:CJ10,CK$7),CK10,NA())</calculatedColumnFormula>
    </tableColumn>
    <tableColumn id="14" xr3:uid="{2D271E37-6776-45F4-B1E6-892BC648A5CE}" name="Nulhypotese" dataDxfId="198">
      <calculatedColumnFormula>IF(INDEX(CG10:CJ10,CL$7),CK10,NA())</calculatedColumnFormula>
    </tableColumn>
    <tableColumn id="15" xr3:uid="{107246DD-5D5E-4664-8D88-AED4668487C2}" name="x akse label" dataDxfId="197" dataCellStyle="Note">
      <calculatedColumnFormula>_xlfn.SWITCH(BZ10,CN$2,CN$5,CN$3,CN$6,CN$4,CN$7,"")</calculatedColumnFormula>
    </tableColumn>
    <tableColumn id="16" xr3:uid="{D8CC3A5C-23BA-4012-BBD1-DA8E8C4E7C4E}" name="Styrke venstre" dataDxfId="196">
      <calculatedColumnFormula>_xlfn.NORM.DIST(_xlfn.NORM.INV(1-Eu_g_konfidensniveau,0,1)-Eu_tabel_g[[#This Row],[x base]],0,1,TRUE)</calculatedColumnFormula>
    </tableColumn>
    <tableColumn id="17" xr3:uid="{EC0072AA-8386-489F-9A83-5819B2211A55}" name="Styrke højre" dataDxfId="195">
      <calculatedColumnFormula>1-_xlfn.NORM.DIST(_xlfn.NORM.INV(Eu_g_konfidensniveau,0,1)-Eu_tabel_g[[#This Row],[x base]],0,1,TRUE)</calculatedColumnFormula>
    </tableColumn>
    <tableColumn id="18" xr3:uid="{915EC348-07DD-4660-83F1-B08EA8ACC349}" name="Styrke tosidet" dataDxfId="194">
      <calculatedColumnFormula>_xlfn.NORM.DIST(_xlfn.NORM.INV((1-Eu_g_konfidensniveau)/2,0,1)-Eu_tabel_g[[#This Row],[x base]],0,1,TRUE)+1-_xlfn.NORM.DIST(_xlfn.NORM.INV(1-(1-Eu_g_konfidensniveau)/2,0,1)-Eu_tabel_g[[#This Row],[x base]],0,1,TRUE)</calculatedColumnFormula>
    </tableColumn>
    <tableColumn id="19" xr3:uid="{4A3361CB-7557-40F8-BA27-CEC52174B7FD}" name="Styrke, aktiv" dataDxfId="193">
      <calculatedColumnFormula array="1">IF($CR$3,INDEX(Eu_tabel_g[[#This Row],[Styrke venstre]:[Styrke tosidet]],CR$7),NA())</calculatedColumnFormula>
    </tableColumn>
    <tableColumn id="20" xr3:uid="{8A7EBA54-E153-49DB-813D-DD2A7E93F28A}" name="Sand positiv_x000a_Nulhypotese accepteres_x000a_Korrekt" dataDxfId="192">
      <calculatedColumnFormula>Eu_tabel_g[[#This Row],[Falsk positiv
Nulhypotese accepteres
Fejltype 1]]</calculatedColumnFormula>
    </tableColumn>
    <tableColumn id="21" xr3:uid="{EC721823-8F83-4356-99C0-953F5003F1DC}" name="Falsk negativ_x000a_Nulhypotese afvises_x000a_Fejltype 2" dataDxfId="191">
      <calculatedColumnFormula>IF(CHOOSE(CR$7,Eu_tabel_g[[#This Row],[x base]]&gt;0,Eu_tabel_g[[#This Row],[x base]]&lt;0,Eu_tabel_g[[#This Row],[x base]]=0),Eu_tabel_g[[#This Row],[Styrke, aktiv]],NA())</calculatedColumnFormula>
    </tableColumn>
    <tableColumn id="22" xr3:uid="{68E166B2-2605-4242-940D-06BE3435A7B5}" name="Sand negativ_x000a_Nulhypotese afvises_x000a_Korrekt" dataDxfId="190">
      <calculatedColumnFormula>IFERROR(IF($CR$3,Eu_tabel_g[[#This Row],[Styrke, aktiv]],NA()),NA())</calculatedColumnFormula>
    </tableColumn>
    <tableColumn id="23" xr3:uid="{ACC3E1DD-B845-4E16-8D04-1C7F41221CAA}" name="Falsk positiv_x000a_Nulhypotese accepteres_x000a_Fejltype 1" dataDxfId="189">
      <calculatedColumnFormula>IF(ISNA(Eu_tabel_g[[#This Row],[Sand negativ
Nulhypotese afvises
Korrekt]]),NA(),IF($CR$3,1,NA()))</calculatedColumnFormula>
    </tableColumn>
    <tableColumn id="24" xr3:uid="{E3D90310-856A-4C01-B62A-F8D26D6AC47B}" name="Styrkefunktion, x akse" dataDxfId="188" dataCellStyle="Comma">
      <calculatedColumnFormula array="1">_xlfn.SWITCH(BZ10,_xlfn.IFNA(CU$2,-99),CU$5,_xlfn.IFNA(CU$3,-99),CU$6,_xlfn.IFNA(CU$4,-99),CU$7,"")</calculatedColumnFormula>
    </tableColumn>
  </tableColumns>
  <tableStyleInfo name="Table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5E069496-C3A1-4D93-A9D0-866738001C5A}" name="Eu_tabel_s" displayName="Eu_tabel_s" ref="DN9:EB268" totalsRowShown="0" dataDxfId="187">
  <autoFilter ref="DN9:EB268" xr:uid="{971A20C0-5F92-417F-8F6F-39890D9EC21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97778DE9-1FE8-4403-975A-FE87C2B2CC3A}" name="Indeks" dataDxfId="186">
      <calculatedColumnFormula>ROW(DN10)-ROW(DN$10)</calculatedColumnFormula>
    </tableColumn>
    <tableColumn id="2" xr3:uid="{A6F0F190-E297-4170-8177-E7217214EB82}" name="Indeks (1 base)" dataDxfId="185">
      <calculatedColumnFormula>DN10+1</calculatedColumnFormula>
    </tableColumn>
    <tableColumn id="3" xr3:uid="{B5855230-CCF0-4845-B788-BA2F01B3FAF8}" name="x base" dataDxfId="184">
      <calculatedColumnFormula>DP$5+(DP$7-DP$5)/DP$3*DN10</calculatedColumnFormula>
    </tableColumn>
    <tableColumn id="4" xr3:uid="{AEA57CCF-1E76-4E8C-8D78-7D8DD9686F18}" name="Normalfordeling" dataDxfId="183">
      <calculatedColumnFormula>IF(DQ$3,_xlfn.NORM.DIST(DP10,DQ$5,DQ$7,FALSE),NA())</calculatedColumnFormula>
    </tableColumn>
    <tableColumn id="5" xr3:uid="{D3A322D8-1BEF-4423-888A-F0EA353B2782}" name="t-fordeling" dataDxfId="182">
      <calculatedColumnFormula>IF(DR$3,_xlfn.T.DIST(DP10,DR$5,FALSE),NA())</calculatedColumnFormula>
    </tableColumn>
    <tableColumn id="6" xr3:uid="{A9FE156B-26A0-4F18-B47C-F0F1708CA93D}" name="Chi-i-anden-fordeling" dataDxfId="181">
      <calculatedColumnFormula>IF(DS$3,_xlfn.CHISQ.DIST(DP10,DS$5,FALSE),NA())</calculatedColumnFormula>
    </tableColumn>
    <tableColumn id="7" xr3:uid="{B9AB77ED-ADBD-404B-96D0-4C8CD292336D}" name="F-fordeling" dataDxfId="180">
      <calculatedColumnFormula>IF(DT$3,_xlfn.F.DIST(DP10,DT$5,DT$7,FALSE),NA())</calculatedColumnFormula>
    </tableColumn>
    <tableColumn id="8" xr3:uid="{9FF80ECD-0AF9-4987-8FE8-663C5C79EE1F}" name="Mindre end teststørrelse" dataDxfId="179">
      <calculatedColumnFormula>DP10&lt;DU$3</calculatedColumnFormula>
    </tableColumn>
    <tableColumn id="9" xr3:uid="{FE7E41B4-23C8-46FA-B60A-CF5518FF0863}" name="Større end teststørrelse" dataDxfId="178">
      <calculatedColumnFormula>DP10&gt;DU$3</calculatedColumnFormula>
    </tableColumn>
    <tableColumn id="10" xr3:uid="{1D421A77-8F6B-4097-A8CA-D620E5022E42}" name="Forskellig fra teststørrelse" dataDxfId="177">
      <calculatedColumnFormula>OR(DP10&lt;DW$3,DP10&gt;DW$5)</calculatedColumnFormula>
    </tableColumn>
    <tableColumn id="11" xr3:uid="{E0365AB4-8EA2-4AF2-BF00-37D6949F705C}" name="Lig med teststørrelse" dataDxfId="176">
      <calculatedColumnFormula>AND(DP10&gt;DW$3,DP10&lt;DW$5)</calculatedColumnFormula>
    </tableColumn>
    <tableColumn id="12" xr3:uid="{1D356D5B-8FBE-4378-8F48-D7A2C35731D3}" name="Valgt fordeling" dataDxfId="175">
      <calculatedColumnFormula>_xlfn.AGGREGATE(9,6,DQ10:DT10)</calculatedColumnFormula>
    </tableColumn>
    <tableColumn id="13" xr3:uid="{A1AB737B-E61E-4FC7-826C-5588CADC749B}" name="Alternativ hypotese" dataDxfId="174">
      <calculatedColumnFormula>IF(INDEX(DU10:DX10,DY$7),DY10,NA())</calculatedColumnFormula>
    </tableColumn>
    <tableColumn id="14" xr3:uid="{04BB390A-33D5-4D50-8B04-F8BB1A2F592C}" name="Nulhypotese" dataDxfId="173">
      <calculatedColumnFormula>IF(INDEX(DU10:DX10,DZ$7),DY10,NA())</calculatedColumnFormula>
    </tableColumn>
    <tableColumn id="15" xr3:uid="{DE002016-2D0F-40EC-82F3-9A7E4E62656C}" name="x akse label" dataDxfId="172" dataCellStyle="Note">
      <calculatedColumnFormula>_xlfn.SWITCH(DN10,EB$2,EB$5,EB$3,EB$6,EB$4,EB$7,"")</calculatedColumnFormula>
    </tableColumn>
  </tableColumns>
  <tableStyleInfo name="Table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CC7024E-ECD9-499C-83A4-479A7ADFBE13}" name="Eu_tabel_a" displayName="Eu_tabel_a" ref="EG9:FE268" totalsRowShown="0" dataDxfId="171">
  <autoFilter ref="EG9:FE268" xr:uid="{9A50C2A5-9B7F-43FD-A8F6-D30EF926974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autoFilter>
  <tableColumns count="25">
    <tableColumn id="1" xr3:uid="{FF45FCA6-3192-4830-A091-6989DD291D03}" name="Indeks" dataDxfId="170">
      <calculatedColumnFormula>ROW(EG10)-ROW(EG$10)</calculatedColumnFormula>
    </tableColumn>
    <tableColumn id="2" xr3:uid="{C7E566D5-E9DA-4ACF-97F3-ECDFE88466E5}" name="Indeks (1 base)" dataDxfId="169">
      <calculatedColumnFormula>EG10+1</calculatedColumnFormula>
    </tableColumn>
    <tableColumn id="3" xr3:uid="{45B9890A-475E-46F9-87FC-5CC50D4491F3}" name="x base" dataDxfId="168">
      <calculatedColumnFormula>EI$5+(EI$7-EI$5)/EI$3*EG10</calculatedColumnFormula>
    </tableColumn>
    <tableColumn id="4" xr3:uid="{64C88137-E023-472A-999B-78C9BE1EA69A}" name="Normalfordeling" dataDxfId="167">
      <calculatedColumnFormula>IF(EJ$3,_xlfn.NORM.DIST(EI10,EJ$5,EJ$7,FALSE),NA())</calculatedColumnFormula>
    </tableColumn>
    <tableColumn id="5" xr3:uid="{874D946D-A35B-4F75-8B2C-6C530511C762}" name="t-fordeling" dataDxfId="166">
      <calculatedColumnFormula>IF(EK$3,_xlfn.T.DIST(EI10,EK$5,FALSE),NA())</calculatedColumnFormula>
    </tableColumn>
    <tableColumn id="6" xr3:uid="{FBD61756-64D7-4B48-8F8C-8BEA43E96AAC}" name="Chi-i-anden-fordeling" dataDxfId="165">
      <calculatedColumnFormula>IF(EL$3,_xlfn.CHISQ.DIST(EI10,EL$5,FALSE),NA())</calculatedColumnFormula>
    </tableColumn>
    <tableColumn id="7" xr3:uid="{429540FA-5C76-419F-A633-10E9CFEA4E46}" name="F-fordeling" dataDxfId="164">
      <calculatedColumnFormula>IF(EM$3,_xlfn.F.DIST(EI10,EM$5,EM$7,FALSE),NA())</calculatedColumnFormula>
    </tableColumn>
    <tableColumn id="8" xr3:uid="{26B3681C-D389-4687-82DD-39FC433C5DBA}" name="Mindre end teststørrelse" dataDxfId="163">
      <calculatedColumnFormula>EI10&lt;EN$3</calculatedColumnFormula>
    </tableColumn>
    <tableColumn id="9" xr3:uid="{E04065F8-B982-42F0-8F65-91860AFDC327}" name="Større end teststørrelse" dataDxfId="162">
      <calculatedColumnFormula>EI10&gt;EN$3</calculatedColumnFormula>
    </tableColumn>
    <tableColumn id="10" xr3:uid="{6F595B56-D869-4D3F-8FC6-AC81CCAFB79B}" name="Forskellig fra teststørrelse" dataDxfId="161">
      <calculatedColumnFormula>OR(EI10&lt;EP$3,EI10&gt;EP$5)</calculatedColumnFormula>
    </tableColumn>
    <tableColumn id="11" xr3:uid="{C4625EC6-4800-4868-B3BF-3D9ACC0C28DA}" name="Lig med teststørrelse" dataDxfId="160">
      <calculatedColumnFormula>AND(EI10&gt;EP$3,EI10&lt;EP$5)</calculatedColumnFormula>
    </tableColumn>
    <tableColumn id="12" xr3:uid="{15FE9138-38B2-4665-BC9A-E71175AF135A}" name="Valgt fordeling" dataDxfId="159">
      <calculatedColumnFormula>_xlfn.AGGREGATE(9,6,EJ10:EM10)</calculatedColumnFormula>
    </tableColumn>
    <tableColumn id="13" xr3:uid="{151FC6AE-E51A-4A1E-ADBA-1DFA7770135F}" name="Alternativ hypotese" dataDxfId="158">
      <calculatedColumnFormula>IF(INDEX(EN10:EQ10,ER$7),ER10,NA())</calculatedColumnFormula>
    </tableColumn>
    <tableColumn id="14" xr3:uid="{C1830440-7530-4F70-9DEE-92FD58226A31}" name="Nulhypotese" dataDxfId="157">
      <calculatedColumnFormula>IF(INDEX(EN10:EQ10,ES$7),ER10,NA())</calculatedColumnFormula>
    </tableColumn>
    <tableColumn id="15" xr3:uid="{93445498-7900-457B-A486-B1917CB1229B}" name="x akse label" dataDxfId="156" dataCellStyle="Note">
      <calculatedColumnFormula>_xlfn.SWITCH(EG10,EU$2,EU$5,EU$3,EU$6,EU$4,EU$7,"")</calculatedColumnFormula>
    </tableColumn>
    <tableColumn id="16" xr3:uid="{56148C3A-4FF5-4398-8B18-9494DC4D298E}" name="Styrke venstre" dataDxfId="155">
      <calculatedColumnFormula>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calculatedColumnFormula>
    </tableColumn>
    <tableColumn id="17" xr3:uid="{FAB0A27C-EE1D-4FA2-BEEB-05CDF938E5DE}" name="Styrke højre" dataDxfId="154">
      <calculatedColumnFormula>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calculatedColumnFormula>
    </tableColumn>
    <tableColumn id="18" xr3:uid="{4473571C-7EB9-4A17-9DB3-8F173862FF3E}" name="Styrke tosidet" dataDxfId="153">
      <calculatedColumnFormula>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calculatedColumnFormula>
    </tableColumn>
    <tableColumn id="19" xr3:uid="{79D672F6-3294-4520-8B2C-3BA2CE63A96B}" name="Styrke, aktiv" dataDxfId="152">
      <calculatedColumnFormula array="1">IF($CR$3,INDEX(Eu_tabel_a[[#This Row],[Styrke venstre]:[Styrke tosidet]],EY$7),NA())</calculatedColumnFormula>
    </tableColumn>
    <tableColumn id="20" xr3:uid="{1B868863-2992-406B-9D52-812CFAE9730F}" name="Sand positiv_x000a_Nulhypotese accepteres_x000a_Korrekt" dataDxfId="151">
      <calculatedColumnFormula>IF(EY$3,IF(CHOOSE(EY$7,Eu_tabel_a[[#This Row],[x base]]&gt;0,Eu_tabel_a[[#This Row],[x base]]&lt;0,Eu_tabel_a[[#This Row],[x base]]=0),1,NA()),NA())</calculatedColumnFormula>
    </tableColumn>
    <tableColumn id="21" xr3:uid="{EF9C1DB2-3351-463C-AD7E-C87A70ED2405}" name="Falsk negativ_x000a_Nulhypotese afvises_x000a_Fejltype 2" dataDxfId="150">
      <calculatedColumnFormula>IF(CHOOSE(EY$7,Eu_tabel_a[[#This Row],[x base]]&gt;0,Eu_tabel_a[[#This Row],[x base]]&lt;0,Eu_tabel_a[[#This Row],[x base]]=0),Eu_tabel_a[[#This Row],[Styrke, aktiv]],NA())</calculatedColumnFormula>
    </tableColumn>
    <tableColumn id="22" xr3:uid="{4CE5BFA2-0447-423E-9DFE-778A8BD4215B}" name="Sand negativ_x000a_Nulhypotese afvises_x000a_Korrekt" dataDxfId="149">
      <calculatedColumnFormula>IFERROR(IF($EY$3,Eu_tabel_a[[#This Row],[Styrke, aktiv]],NA()),NA())</calculatedColumnFormula>
    </tableColumn>
    <tableColumn id="23" xr3:uid="{10EED5DC-4971-4072-8058-45D0BB1EF07C}" name="Falsk positiv_x000a_Nulhypotese accepteres_x000a_Fejltype 1" dataDxfId="148">
      <calculatedColumnFormula>IF(ISNA(Eu_tabel_a[[#This Row],[Sand negativ
Nulhypotese afvises
Korrekt]]),NA(),IF(EY$3,1,NA()))</calculatedColumnFormula>
    </tableColumn>
    <tableColumn id="24" xr3:uid="{513808F9-CD04-40C8-973F-650D024A70FD}" name="Styrkefunktion, x akse" dataDxfId="147" dataCellStyle="Percent">
      <calculatedColumnFormula array="1">IFERROR(_xlfn.SWITCH(Eu_tabel_a[[#This Row],[Indeks]],_xlfn.IFNA(FB$2,-99),FB$5,_xlfn.IFNA(FB$3,-99),FB$6,_xlfn.IFNA(FB$4,-99),FB$7,""),"")</calculatedColumnFormula>
    </tableColumn>
    <tableColumn id="25" xr3:uid="{56B8EC52-C1AF-4C5C-9E9B-0655F778EE44}" name="X base som procent" dataDxfId="146">
      <calculatedColumnFormula>Eu_tabel_a[[#This Row],[x base]]*SQRT(Eu_a_h0_x*(1-Eu_a_h0_x)/Eu_a_n_x)+Eu_a_h0_x</calculatedColumnFormula>
    </tableColumn>
  </tableColumns>
  <tableStyleInfo name="Tab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D5EF636-E39D-442A-B09C-4D8DC44A0CD2}" name="Eu_tabel_i" displayName="Eu_tabel_i" ref="GP9:HD268" totalsRowShown="0" dataDxfId="145">
  <autoFilter ref="GP9:HD268" xr:uid="{983D8902-148B-479C-9792-C01B6704DF2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7955AEFE-BD6E-4CA4-BE16-2C816F7F6FCA}" name="Indeks" dataDxfId="144">
      <calculatedColumnFormula>ROW(GP10)-ROW(GP$10)</calculatedColumnFormula>
    </tableColumn>
    <tableColumn id="2" xr3:uid="{3BFC3FA8-6500-4111-8481-E89C6615ED80}" name="Indeks (1 base)" dataDxfId="143">
      <calculatedColumnFormula>GP10+1</calculatedColumnFormula>
    </tableColumn>
    <tableColumn id="3" xr3:uid="{DB9ADD36-6F52-45EE-A5B5-6C2BE95E226C}" name="x base" dataDxfId="142">
      <calculatedColumnFormula>GR$5+(GR$7-GR$5)/GR$3*GP10</calculatedColumnFormula>
    </tableColumn>
    <tableColumn id="4" xr3:uid="{AD9838F5-EC4E-4B70-A56A-AB3F8DD2BA58}" name="Normalfordeling" dataDxfId="141">
      <calculatedColumnFormula>IF(GS$3,_xlfn.NORM.DIST(GR10,GS$5,GS$7,FALSE),NA())</calculatedColumnFormula>
    </tableColumn>
    <tableColumn id="5" xr3:uid="{E8FB1C91-39AA-4676-931D-1503393BEF99}" name="t-fordeling" dataDxfId="140">
      <calculatedColumnFormula>IF(GT$3,_xlfn.T.DIST(GR10,GT$5,FALSE),NA())</calculatedColumnFormula>
    </tableColumn>
    <tableColumn id="6" xr3:uid="{0C833CC3-7808-448F-A2BF-D50F639C4F4E}" name="Chi-i-anden-fordeling" dataDxfId="139">
      <calculatedColumnFormula>IF(GU$3,_xlfn.CHISQ.DIST(GR10,GU$5,FALSE),NA())</calculatedColumnFormula>
    </tableColumn>
    <tableColumn id="7" xr3:uid="{FB80F99B-4027-4C7F-ACBD-760C2071A70C}" name="F-fordeling" dataDxfId="138">
      <calculatedColumnFormula>IF(GV$3,_xlfn.F.DIST(GR10,GV$5,GV$7,FALSE),NA())</calculatedColumnFormula>
    </tableColumn>
    <tableColumn id="8" xr3:uid="{2FEA6396-AC40-4023-8940-1FAD7FF67740}" name="Mindre end teststørrelse" dataDxfId="137">
      <calculatedColumnFormula>GR10&lt;GW$3</calculatedColumnFormula>
    </tableColumn>
    <tableColumn id="9" xr3:uid="{2E46ACF3-5A14-496F-821C-2DA8D03CAB8E}" name="Større end teststørrelse" dataDxfId="136">
      <calculatedColumnFormula>GR10&gt;GW$3</calculatedColumnFormula>
    </tableColumn>
    <tableColumn id="10" xr3:uid="{C058AD47-0ED7-4D7A-9053-6A0BC9C1BF6A}" name="Forskellig fra teststørrelse" dataDxfId="135">
      <calculatedColumnFormula>OR(GR10&lt;GY$3,GR10&gt;GY$5)</calculatedColumnFormula>
    </tableColumn>
    <tableColumn id="11" xr3:uid="{61656F48-09BD-41D5-83ED-FACB82A5F713}" name="Lig med teststørrelse" dataDxfId="134">
      <calculatedColumnFormula>AND(GR10&gt;GY$3,GR10&lt;GY$5)</calculatedColumnFormula>
    </tableColumn>
    <tableColumn id="12" xr3:uid="{75B39E9A-633B-4D7E-9FC8-44162CD3B6B5}" name="Valgt fordeling" dataDxfId="133">
      <calculatedColumnFormula>_xlfn.AGGREGATE(9,6,GS10:GV10)</calculatedColumnFormula>
    </tableColumn>
    <tableColumn id="13" xr3:uid="{1E0FB3EC-77CC-4D10-9C85-179F20F27BCA}" name="Alternativ hypotese" dataDxfId="132">
      <calculatedColumnFormula>IF(INDEX(GW10:GZ10,HA$7),HA10,NA())</calculatedColumnFormula>
    </tableColumn>
    <tableColumn id="14" xr3:uid="{6DEDEF03-8A96-43D3-A35F-BCF02B6E8B50}" name="Nulhypotese" dataDxfId="131">
      <calculatedColumnFormula>IF(INDEX(GW10:GZ10,HB$7),HA10,NA())</calculatedColumnFormula>
    </tableColumn>
    <tableColumn id="15" xr3:uid="{AC1CC8CF-C584-4C78-B85E-D541B25416E9}" name="x akse label" dataDxfId="130" dataCellStyle="Note">
      <calculatedColumnFormula>_xlfn.SWITCH(GP10,HD$2,HD$5,HD$3,HD$6,HD$4,HD$7,"")</calculatedColumnFormula>
    </tableColumn>
  </tableColumns>
  <tableStyleInfo name="Table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1D36AEE-8754-44BD-947A-62CA0FB2DDF8}" name="Eu_tabel_k" displayName="Eu_tabel_k" ref="HJ9:HX268" totalsRowShown="0" dataDxfId="129">
  <autoFilter ref="HJ9:HX268" xr:uid="{4F9423AB-FC42-47F1-8060-1BC737D83DE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1ACD0772-F76F-4EDF-9844-B2AE291F173B}" name="Indeks" dataDxfId="128">
      <calculatedColumnFormula>ROW(HJ10)-ROW(HJ$10)</calculatedColumnFormula>
    </tableColumn>
    <tableColumn id="2" xr3:uid="{8071E5EC-3F64-4EBA-B3DE-340611D73417}" name="Indeks (1 base)" dataDxfId="127">
      <calculatedColumnFormula>HJ10+1</calculatedColumnFormula>
    </tableColumn>
    <tableColumn id="3" xr3:uid="{0ADE1142-02D0-42B5-A6CE-972F8684B063}" name="x base" dataDxfId="126">
      <calculatedColumnFormula>HL$5+(HL$7-HL$5)/HL$3*HJ10</calculatedColumnFormula>
    </tableColumn>
    <tableColumn id="4" xr3:uid="{3DEC9560-9DD0-42E4-B1EB-ECD443DF1C2C}" name="Normalfordeling" dataDxfId="125">
      <calculatedColumnFormula>IF(HM$3,_xlfn.NORM.DIST(HL10,HM$5,HM$7,FALSE),NA())</calculatedColumnFormula>
    </tableColumn>
    <tableColumn id="5" xr3:uid="{8E643917-38BB-47CE-AE66-56750BB0A792}" name="t-fordeling" dataDxfId="124">
      <calculatedColumnFormula>IF(HN$3,_xlfn.T.DIST(HL10,HN$5,FALSE),NA())</calculatedColumnFormula>
    </tableColumn>
    <tableColumn id="6" xr3:uid="{1192E536-D976-4A7A-AE85-A1E8CE70EA7A}" name="Chi-i-anden-fordeling" dataDxfId="123">
      <calculatedColumnFormula>IF(HO$3,_xlfn.CHISQ.DIST(HL10,HO$5,FALSE),NA())</calculatedColumnFormula>
    </tableColumn>
    <tableColumn id="7" xr3:uid="{0009C0B0-04D3-49B3-8EDB-ADB4CB32BE09}" name="F-fordeling" dataDxfId="122">
      <calculatedColumnFormula>IF(HP$3,_xlfn.F.DIST(HL10,HP$5,HP$7,FALSE),NA())</calculatedColumnFormula>
    </tableColumn>
    <tableColumn id="8" xr3:uid="{7EE4D5E0-12D0-421E-897A-A9ABABF928BC}" name="Mindre end teststørrelse" dataDxfId="121">
      <calculatedColumnFormula>HL10&lt;HQ$3</calculatedColumnFormula>
    </tableColumn>
    <tableColumn id="9" xr3:uid="{5EA54593-E0CF-46CF-B415-F10487FDA7DD}" name="Større end teststørrelse" dataDxfId="120">
      <calculatedColumnFormula>HL10&gt;HQ$3</calculatedColumnFormula>
    </tableColumn>
    <tableColumn id="10" xr3:uid="{A0735F21-3BC8-4A57-9F60-B0FF78DC0F5C}" name="Forskellig fra teststørrelse" dataDxfId="119">
      <calculatedColumnFormula>OR(HL10&lt;HS$3,HL10&gt;HS$5)</calculatedColumnFormula>
    </tableColumn>
    <tableColumn id="11" xr3:uid="{3D3961D8-0550-4FC0-9834-EBD42204F996}" name="Lig med teststørrelse" dataDxfId="118">
      <calculatedColumnFormula>AND(HL10&gt;HS$3,HL10&lt;HS$5)</calculatedColumnFormula>
    </tableColumn>
    <tableColumn id="12" xr3:uid="{107107F3-05DA-43F1-AFE6-BC4510A037E0}" name="Valgt fordeling" dataDxfId="117">
      <calculatedColumnFormula>_xlfn.AGGREGATE(9,6,HM10:HP10)</calculatedColumnFormula>
    </tableColumn>
    <tableColumn id="13" xr3:uid="{9408DF12-0091-4E20-B53E-4192D455FA43}" name="Alternativ hypotese" dataDxfId="116">
      <calculatedColumnFormula>IF(INDEX(HQ10:HT10,HU$7),HU10,NA())</calculatedColumnFormula>
    </tableColumn>
    <tableColumn id="14" xr3:uid="{3B6CEE31-FCE6-460D-A15D-549765031A1C}" name="Nulhypotese" dataDxfId="115">
      <calculatedColumnFormula>IF(INDEX(HQ10:HT10,HV$7),HU10,NA())</calculatedColumnFormula>
    </tableColumn>
    <tableColumn id="15" xr3:uid="{EA58CBFE-DDD1-425C-A6DC-B1FE3C68E5B3}" name="x akse label" dataDxfId="114" dataCellStyle="Note">
      <calculatedColumnFormula>_xlfn.SWITCH(HJ10,HX$2,HX$5,HX$3,HX$6,HX$4,HX$7,"")</calculatedColumnFormula>
    </tableColumn>
  </tableColumns>
  <tableStyleInfo name="Table 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3E9D6567-89C1-4611-893A-4DA410BC6740}" name="Styrkeberegning_G" displayName="Styrkeberegning_G" ref="DA9:DC268" totalsRowShown="0">
  <autoFilter ref="DA9:DC268" xr:uid="{E2DCFD28-A9EC-4F62-BEAD-DDF315EC7159}">
    <filterColumn colId="0" hiddenButton="1"/>
    <filterColumn colId="1" hiddenButton="1"/>
    <filterColumn colId="2" hiddenButton="1"/>
  </autoFilter>
  <tableColumns count="3">
    <tableColumn id="1" xr3:uid="{0BC27401-50C8-4247-BDC3-C6B50219F793}" name="Approximeret power" dataCellStyle="Percent">
      <calculatedColumnFormula>_xlfn.NORM.DIST(_xlfn.NORM.INV((1-Eu_g_konfidensniveau)/2,0,1)-DB10,0,1,TRUE)+1-_xlfn.NORM.DIST(_xlfn.NORM.INV(1-(1-Eu_g_konfidensniveau)/2,0,1)-DB10,0,1,TRUE)</calculatedColumnFormula>
    </tableColumn>
    <tableColumn id="2" xr3:uid="{3D9C3680-2731-4720-B8A4-394D14A06941}" name="X base venstre">
      <calculatedColumnFormula>IF(ROW(Styrkeberegning_G[[#This Row],[X base venstre]])=ROW(Styrkeberegning_G[[#Headers],[X base venstre]])+1,DB$7/(DA$7/$B$67),DB9/(DA9/$B$67))</calculatedColumnFormula>
    </tableColumn>
    <tableColumn id="3" xr3:uid="{B9B48F5E-643A-4C91-A0EC-4CCBF38C97EA}" name="X base højre">
      <calculatedColumnFormula>Styrkeberegning_G[[#This Row],[X base venstre]]*-1</calculatedColumnFormula>
    </tableColumn>
  </tableColumns>
  <tableStyleInfo name="Table 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5E7CAF8-8B05-4192-82E0-27A0116019EC}" name="E_g_valg" displayName="E_g_valg" ref="A1:AX25" totalsRowShown="0" headerRowCellStyle="Normal">
  <autoFilter ref="A1:AX25" xr:uid="{3B39CEF9-4DF1-4125-9463-211A91B6E6A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autoFilter>
  <tableColumns count="50">
    <tableColumn id="1" xr3:uid="{2FB223E4-D301-4C34-8275-B33AA2F4FC20}" name="Parameter"/>
    <tableColumn id="2" xr3:uid="{6DEB2687-554C-4835-ABD0-F13D03E7C8A3}" name="Hypotesetype"/>
    <tableColumn id="3" xr3:uid="{AD3473B8-71E3-4758-A002-D7C185540B94}" name="Beregningsmetode"/>
    <tableColumn id="4" xr3:uid="{3F27E188-3941-4B02-B47A-208C2874AB76}" name="Fordeling"/>
    <tableColumn id="5" xr3:uid="{619021F5-B11E-465B-9B4D-E45EB3311A63}" name="Parameter 1" dataDxfId="113" dataCellStyle="Comma"/>
    <tableColumn id="6" xr3:uid="{A8E94ABF-D01D-47F1-8AC9-E62FC8B7641F}" name="Parameter 2"/>
    <tableColumn id="7" xr3:uid="{6C714228-221D-4463-825A-EE3F88DE4C46}" name="Teststørrelse"/>
    <tableColumn id="8" xr3:uid="{CFCCE973-6615-4892-9AF5-BBFA96E9EB46}" name="Teststørrelse omvendt" dataDxfId="112">
      <calculatedColumnFormula>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calculatedColumnFormula>
    </tableColumn>
    <tableColumn id="9" xr3:uid="{11DA95D4-CFE5-4F89-AF66-33250CF8D4B6}" name="Venstre label base" dataCellStyle="Normal"/>
    <tableColumn id="10" xr3:uid="{271C3981-2170-46B9-A4BB-07282D83294A}" name="Midtpunkt label base" dataDxfId="111"/>
    <tableColumn id="11" xr3:uid="{B88444EA-3328-460B-839B-05D6324535D5}" name="Højre label base"/>
    <tableColumn id="12" xr3:uid="{3FD53457-12A9-41C7-837D-7C1FBAD38752}" name="Venstre label">
      <calculatedColumnFormula>IF(AND(NOT(#REF!),#REF!),IF(#REF!="andel",ROUND(#REF!,5)*100&amp;"%",ROUND(#REF!,3)),IF(#REF!="andel",ROUND(#REF!,5)*100&amp;"%",ROUND(#REF!,3)))</calculatedColumnFormula>
    </tableColumn>
    <tableColumn id="13" xr3:uid="{46322C2B-EE19-4799-8FE5-DE759C28F535}" name="Midtpunkt label">
      <calculatedColumnFormula>IF(#REF!="andel",ROUND(#REF!,5)*100&amp;"%",ROUND(#REF!,3))</calculatedColumnFormula>
    </tableColumn>
    <tableColumn id="14" xr3:uid="{1BBA8145-A577-4D9A-9983-305D92303CA2}" name="Højre label">
      <calculatedColumnFormula>IF(AND(#REF!,#REF!),IF(#REF!="andel",ROUND(#REF!,5)*100&amp;"%",ROUND(#REF!,3)),IF(#REF!="andel",ROUND(#REF!,5)*100&amp;"%",ROUND(#REF!,3)))</calculatedColumnFormula>
    </tableColumn>
    <tableColumn id="15" xr3:uid="{723F2A2D-378B-483A-BF0C-C3E8BCB822A7}" name="Orientering">
      <calculatedColumnFormula>#REF!=#REF!</calculatedColumnFormula>
    </tableColumn>
    <tableColumn id="16" xr3:uid="{E58C1CFC-3ED5-480A-9D53-A83FA1C842ED}" name="Ensidet">
      <calculatedColumnFormula>OR(MATCH(#REF!,HypoteseRetning_liste,0)=2,MATCH(#REF!,HypoteseRetning_liste,0)=3)</calculatedColumnFormula>
    </tableColumn>
    <tableColumn id="17" xr3:uid="{EED3E31E-CC81-4871-8A79-5BBDFEB73D73}" name="p-værdi">
      <calculatedColumnFormula>CHOOSE(MATCH(#REF!,HypoteseRetning_liste,0),NA(),IF(#REF!,#REF!,#REF!),IF(#REF!,#REF!,#REF!),1-#REF!)</calculatedColumnFormula>
    </tableColumn>
    <tableColumn id="18" xr3:uid="{F1029ACB-3F3C-47AE-9827-921563FFD350}" name="Nulhypotese kan ikke afvises">
      <calculatedColumnFormula>#REF!&gt;1-K_Konfidensniveau</calculatedColumnFormula>
    </tableColumn>
    <tableColumn id="19" xr3:uid="{9DE03FEC-102D-4F79-BAD6-D91DC38C31C4}" name="Konfidensniveaubaseret x akse">
      <calculatedColumnFormula>IF(Eu_g_konfidensniveau&lt;=0.998,0.999,0.99999)</calculatedColumnFormula>
    </tableColumn>
    <tableColumn id="20" xr3:uid="{EC27676B-BD40-463F-9C41-A37B9D4DC51D}" name="X min">
      <calculatedColumnFormula>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calculatedColumnFormula>
    </tableColumn>
    <tableColumn id="21" xr3:uid="{C23880CC-DCB4-4C25-8B9A-0D11573C6F1B}" name="X max">
      <calculatedColumnFormula>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calculatedColumnFormula>
    </tableColumn>
    <tableColumn id="22" xr3:uid="{AC1D39BF-995D-4526-B209-463EA0AFA3D2}" name="Venstre teststørrelse">
      <calculatedColumnFormula>MIN(#REF!,#REF!)</calculatedColumnFormula>
    </tableColumn>
    <tableColumn id="23" xr3:uid="{0773B7E4-3CBE-4ABD-B06A-23A97A260EB3}" name="Midtpunkt teststørrelse">
      <calculatedColumnFormula>CHOOSE(MATCH(#REF!,Fordeling_liste,0),_xlfn.NORM.INV(0.5,#REF!,#REF!),_xlfn.T.INV(0.5,#REF!),_xlfn.CHISQ.INV(0.5,#REF!),_xlfn.F.INV(0.5,#REF!,#REF!))</calculatedColumnFormula>
    </tableColumn>
    <tableColumn id="24" xr3:uid="{2E14179C-3095-43B4-B3F7-E64B161E0857}" name="Højre teststørrelse">
      <calculatedColumnFormula>MAX(#REF!,#REF!)</calculatedColumnFormula>
    </tableColumn>
    <tableColumn id="25" xr3:uid="{64E21DDC-519A-4106-A12E-81F4B2FEAA29}" name="Mindre end venstre %">
      <calculatedColumnFormula>CHOOSE(MATCH(#REF!,Fordeling_liste,0),_xlfn.NORM.DIST(#REF!,#REF!,#REF!,TRUE),_xlfn.T.DIST(#REF!,#REF!,TRUE),_xlfn.CHISQ.DIST(#REF!,#REF!,TRUE),_xlfn.F.DIST(#REF!,#REF!,#REF!,TRUE))</calculatedColumnFormula>
    </tableColumn>
    <tableColumn id="26" xr3:uid="{EE571DEF-891E-4CFC-8E37-5F8ADFD181F1}" name="Mindre end højre %">
      <calculatedColumnFormula>CHOOSE(MATCH(#REF!,Fordeling_liste,0),_xlfn.NORM.DIST(#REF!,#REF!,#REF!,TRUE),_xlfn.T.DIST(#REF!,#REF!,TRUE),_xlfn.CHISQ.DIST(#REF!,#REF!,TRUE),_xlfn.F.DIST(#REF!,#REF!,#REF!,TRUE))</calculatedColumnFormula>
    </tableColumn>
    <tableColumn id="27" xr3:uid="{EAA53F0A-698D-478B-B822-726813113993}" name="Midt %">
      <calculatedColumnFormula>#REF!-#REF!</calculatedColumnFormula>
    </tableColumn>
    <tableColumn id="28" xr3:uid="{FDD124BC-6B27-4E7F-9A14-C49D097D5C7C}" name="Større end venstre %">
      <calculatedColumnFormula>1-#REF!</calculatedColumnFormula>
    </tableColumn>
    <tableColumn id="29" xr3:uid="{4F724AC2-01EB-4F77-84A8-37B2FAF465B2}" name="Større end højre %">
      <calculatedColumnFormula>1-#REF!</calculatedColumnFormula>
    </tableColumn>
    <tableColumn id="30" xr3:uid="{E3E25AA7-77AA-4651-841D-DDF45221388B}" name="Venstre forklaring">
      <calculatedColumnFormula>IF(OR(MATCH(#REF!,HypoteseRetning_liste,0)=2,MATCH(#REF!,HypoteseRetning_liste,0)=3),IF(#REF!=#REF!,ROUND(#REF!,5)*100&amp;"% mindre end "&amp;#REF!,ROUND(#REF!,5)*100&amp;"% mindre end "&amp;#REF!),ROUND(#REF!,5)*100&amp;"% mindre end "&amp;#REF!)</calculatedColumnFormula>
    </tableColumn>
    <tableColumn id="31" xr3:uid="{1B2CEC9D-A9D2-4678-8F03-D2ABB7DA37FB}" name="Midtpunkt forklaring">
      <calculatedColumnFormula>IF(OR(MATCH(#REF!,HypoteseRetning_liste,0)=1,MATCH(#REF!,HypoteseRetning_liste,0)=4),ROUND(#REF!,5)*100&amp;"% mellem "&amp;#REF!&amp;" og "&amp;#REF!," ")</calculatedColumnFormula>
    </tableColumn>
    <tableColumn id="32" xr3:uid="{D4493720-4666-4BA9-9A7E-80336F4D5BB0}" name="Højre forklaring">
      <calculatedColumnFormula>IF(OR(MATCH(#REF!,HypoteseRetning_liste,0)=2,MATCH(#REF!,HypoteseRetning_liste,0)=3),IF(#REF!=#REF!,ROUND(#REF!,5)*100&amp;"% større end "&amp;#REF!,ROUND(#REF!,5)*100&amp;"% større end "&amp;#REF!),ROUND(#REF!,5)*100&amp;"% større end "&amp;#REF!)</calculatedColumnFormula>
    </tableColumn>
    <tableColumn id="33" xr3:uid="{E95F9D84-F32B-4E3E-B088-C647487BB66E}" name="Venstre position">
      <calculatedColumnFormula>IF(AND(NOT(#REF!),#REF!),(#REF!-#REF!)/(#REF!-#REF!),(#REF!-#REF!)/(#REF!-#REF!))</calculatedColumnFormula>
    </tableColumn>
    <tableColumn id="34" xr3:uid="{43212B83-1B57-4315-AFD4-CA02834C5D8E}" name="Midtpunkt position">
      <calculatedColumnFormula>(#REF!-#REF!)/(#REF!-#REF!)</calculatedColumnFormula>
    </tableColumn>
    <tableColumn id="35" xr3:uid="{98E5D47B-5E55-4C20-9FE1-7F7ACF744C7A}" name="Højre position">
      <calculatedColumnFormula>IF(AND(#REF!,#REF!),(#REF!-#REF!)/(#REF!-#REF!),(#REF!-#REF!)/(#REF!-#REF!))</calculatedColumnFormula>
    </tableColumn>
    <tableColumn id="36" xr3:uid="{996D8FC2-4E77-4EEA-99AF-BD651E7C2916}" name="Hypotese"/>
    <tableColumn id="37" xr3:uid="{7E5B08DA-73E9-4BB5-A510-28B2CBA3A5C9}" name="Synlig">
      <calculatedColumnFormula>_xlfn.AGGREGATE(3,5,#REF!)</calculatedColumnFormula>
    </tableColumn>
    <tableColumn id="38" xr3:uid="{CD4D1A4B-2400-4963-BDA4-57DEA685BE63}" name="Antal variable"/>
    <tableColumn id="39" xr3:uid="{95419288-B7BA-425F-988C-21ED7A556F5A}" name="Indeks"/>
    <tableColumn id="40" xr3:uid="{27396A6A-C3FD-4128-AFC1-F9B72D54B8BA}" name="Diagram titel"/>
    <tableColumn id="41" xr3:uid="{D0BB176D-4257-4F55-82D8-E862DCAF1F2B}" name="X akse titel"/>
    <tableColumn id="42" xr3:uid="{DFF77562-BAC4-4505-9906-766B1B458C89}" name="Forudsætning 1"/>
    <tableColumn id="43" xr3:uid="{D7E0F6D4-098E-4758-B4A9-276D12F53FF4}" name="Kontrol af forudsætning 1"/>
    <tableColumn id="44" xr3:uid="{B9EA8EC0-658A-4B04-B324-DBDAFABEDE7C}" name="Forudsætning 2"/>
    <tableColumn id="45" xr3:uid="{ED446F71-BD14-48D9-887B-35EBA6BFC762}" name="Kontrol af forudsætning 2"/>
    <tableColumn id="46" xr3:uid="{33B224B4-813D-445E-AE0C-24BB2C0213DE}" name="Forudsætning 3"/>
    <tableColumn id="47" xr3:uid="{91D900AB-A360-4E6E-AAB0-5F489661555F}" name="Kontrol af forudsætning 3"/>
    <tableColumn id="48" xr3:uid="{303C3987-FD17-4E51-8A47-BE14CAED6A87}" name="Forudsætning 4"/>
    <tableColumn id="49" xr3:uid="{CEF21761-0E69-480B-B19E-55226B0BD2D9}" name="Kontrol af forudsætning 4"/>
    <tableColumn id="50" xr3:uid="{9159BD67-2697-47FE-A28D-BB4F4EB72AF7}" name="Stikprøvestørrelse for ønsket fejlmargin"/>
  </tableColumns>
  <tableStyleInfo name="Table 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201C1854-5CA3-4D00-80EC-B0EA2AA7D733}" name="E_s_valg" displayName="E_s_valg" ref="A27:AX34" totalsRowShown="0" headerRowCellStyle="Normal" dataCellStyle="Normal">
  <autoFilter ref="A27:AX34" xr:uid="{00B42157-89B7-42A4-B11C-DE374733B7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autoFilter>
  <tableColumns count="50">
    <tableColumn id="1" xr3:uid="{E2CB71D1-5A89-4642-A69D-7D3B82B7139E}" name="Parameter" dataCellStyle="Normal"/>
    <tableColumn id="2" xr3:uid="{B0ED52DB-5B39-4659-AB6A-D031BB616917}" name="Hypotesetype" dataCellStyle="Normal"/>
    <tableColumn id="3" xr3:uid="{F848D74C-426B-4C4C-B678-745B08552A06}" name="Beregningsmetode" dataCellStyle="Normal"/>
    <tableColumn id="4" xr3:uid="{A698998F-C52B-42DD-B52F-67A1DF4EE504}" name="Fordeling" dataCellStyle="Normal"/>
    <tableColumn id="5" xr3:uid="{E7CB09AB-81A3-4A84-BB35-A9F1EED43FCD}" name="Parameter 1" dataCellStyle="Normal">
      <calculatedColumnFormula>K_n-1</calculatedColumnFormula>
    </tableColumn>
    <tableColumn id="6" xr3:uid="{7E48A10D-542D-4ED6-86C5-326E19D82CE6}" name="Parameter 2" dataCellStyle="Normal"/>
    <tableColumn id="7" xr3:uid="{B9C78FFA-AE27-48EE-A5C9-CCA77AF92D43}" name="Teststørrelse" dataCellStyle="Normal"/>
    <tableColumn id="8" xr3:uid="{8696CF72-A8CC-43AB-B436-D4B24A87F90A}" name="Teststørrelse omvendt" dataCellStyle="Normal">
      <calculatedColumnFormula>IFERROR(CHOOSE(MATCH(#REF!,Fordeling_liste,0),#REF!*-1,#REF!*-1,IFERROR(_xlfn.CHISQ.INV(1-_xlfn.CHISQ.DIST(#REF!,#REF!,TRUE),#REF!),IF(#REF!&gt;#REF!,_xlfn.CHISQ.INV(10^-16,#REF!),_xlfn.CHISQ.INV(1-10^-16,#REF!))),IFERROR(_xlfn.F.INV(1-_xlfn.F.DIST(#REF!,#REF!,#REF!,TRUE),#REF!,#REF!),IF(_xlfn.F.DIST(#REF!,#REF!,#REF!,TRUE)&lt;0.5,_xlfn.F.INV(1-10^-16,#REF!,#REF!),_xlfn.F.INV(10^-16,#REF!,#REF!)))),NA())</calculatedColumnFormula>
    </tableColumn>
    <tableColumn id="9" xr3:uid="{4F4C8626-F135-4E4D-9901-05ECB61BF34F}" name="Venstre label base" dataCellStyle="Normal"/>
    <tableColumn id="10" xr3:uid="{D7A3BE1F-CBE5-409D-9157-CCA7D9D38F03}" name="Midtpunkt label base" dataCellStyle="Normal"/>
    <tableColumn id="11" xr3:uid="{E0D0CA58-76AF-4316-BC9D-B023B27FF72B}" name="Højre label base" dataCellStyle="Normal"/>
    <tableColumn id="12" xr3:uid="{5236DA1F-5B8A-4747-B95C-16069C4D6447}" name="Venstre label" dataCellStyle="Normal">
      <calculatedColumnFormula>IF(AND(NOT(#REF!),#REF!),IF(#REF!="andel",ROUND(#REF!,5)*100&amp;"%",ROUND(#REF!,3)),IF(#REF!="andel",ROUND(#REF!,5)*100&amp;"%",ROUND(#REF!,3)))</calculatedColumnFormula>
    </tableColumn>
    <tableColumn id="13" xr3:uid="{EA549436-EEE3-4325-9516-EA1C0A8AC589}" name="Midtpunkt label" dataCellStyle="Normal">
      <calculatedColumnFormula>IF(#REF!="andel",ROUND(#REF!,5)*100&amp;"%",ROUND(#REF!,3))</calculatedColumnFormula>
    </tableColumn>
    <tableColumn id="14" xr3:uid="{882D50FA-A698-4FE2-BDA0-87FFF53AD48A}" name="Højre label" dataCellStyle="Normal">
      <calculatedColumnFormula>IF(AND(#REF!,#REF!),IF(#REF!="andel",ROUND(#REF!,5)*100&amp;"%",ROUND(#REF!,3)),IF(#REF!="andel",ROUND(#REF!,5)*100&amp;"%",ROUND(#REF!,3)))</calculatedColumnFormula>
    </tableColumn>
    <tableColumn id="15" xr3:uid="{F1BFDC21-AA47-43AB-A3D5-215B9561C59D}" name="Orientering" dataCellStyle="Normal">
      <calculatedColumnFormula>#REF!=#REF!</calculatedColumnFormula>
    </tableColumn>
    <tableColumn id="16" xr3:uid="{149A9876-B573-4122-8857-21C50088F195}" name="Ensidet" dataCellStyle="Normal">
      <calculatedColumnFormula>OR(MATCH(#REF!,HypoteseRetning_liste,0)=2,MATCH(#REF!,HypoteseRetning_liste,0)=3)</calculatedColumnFormula>
    </tableColumn>
    <tableColumn id="17" xr3:uid="{FB495F39-19FD-4BAB-AA41-E64F8354C8BE}" name="p-værdi" dataCellStyle="Normal">
      <calculatedColumnFormula>CHOOSE(MATCH(#REF!,HypoteseRetning_liste,0),NA(),IF(#REF!,#REF!,#REF!),IF(#REF!,#REF!,#REF!),1-#REF!)</calculatedColumnFormula>
    </tableColumn>
    <tableColumn id="18" xr3:uid="{F2CFE037-36C8-4874-ADF4-0834402B0240}" name="Nulhypotese kan ikke afvises" dataCellStyle="Normal">
      <calculatedColumnFormula>#REF!&gt;1-K_Konfidensniveau</calculatedColumnFormula>
    </tableColumn>
    <tableColumn id="19" xr3:uid="{8CEAE86A-817B-4328-8C33-A2C849AD7D10}" name="Konfidensniveaubaseret x akse" dataCellStyle="Normal">
      <calculatedColumnFormula>IF(Eu_s_konfidensniveau&lt;=0.998,0.999,0.99999)</calculatedColumnFormula>
    </tableColumn>
    <tableColumn id="20" xr3:uid="{ED659439-FC69-4E1B-802F-59F458E79844}" name="X min" dataCellStyle="Normal">
      <calculatedColumnFormula>CHOOSE(MATCH(E_s_valg[[#This Row],[Fordeling]],Fordeling_liste,0),_xlfn.NORM.INV(1-E_s_valg[[#This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calculatedColumnFormula>
    </tableColumn>
    <tableColumn id="21" xr3:uid="{F63F94DE-39AC-4345-8DEF-93AE9C2BC299}" name="X max" dataCellStyle="Normal">
      <calculatedColumnFormula>CHOOSE(MATCH(E_s_valg[[#This Row],[Fordeling]],Fordeling_liste,0),_xlfn.NORM.INV(E_s_valg[[#This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calculatedColumnFormula>
    </tableColumn>
    <tableColumn id="22" xr3:uid="{2DA10A66-A19C-43A2-B20D-48F1BCD9DC8D}" name="Venstre teststørrelse" dataCellStyle="Normal">
      <calculatedColumnFormula>MIN(#REF!,#REF!)</calculatedColumnFormula>
    </tableColumn>
    <tableColumn id="23" xr3:uid="{B4060E53-AAFF-4BDF-BBD7-4E01B10CCA1F}" name="Midtpunkt teststørrelse" dataCellStyle="Normal">
      <calculatedColumnFormula>CHOOSE(MATCH(#REF!,Fordeling_liste,0),_xlfn.NORM.INV(0.5,#REF!,#REF!),_xlfn.T.INV(0.5,#REF!),_xlfn.CHISQ.INV(0.5,#REF!),_xlfn.F.INV(0.5,#REF!,#REF!))</calculatedColumnFormula>
    </tableColumn>
    <tableColumn id="24" xr3:uid="{294F9AFD-606D-4331-9F08-B3B079BE3EFA}" name="Højre teststørrelse" dataCellStyle="Normal">
      <calculatedColumnFormula>MAX(#REF!,#REF!)</calculatedColumnFormula>
    </tableColumn>
    <tableColumn id="25" xr3:uid="{B376CF2F-10AF-4B84-854F-4DE575920118}" name="Mindre end venstre %" dataCellStyle="Normal">
      <calculatedColumnFormula>CHOOSE(MATCH(#REF!,Fordeling_liste,0),_xlfn.NORM.DIST(#REF!,#REF!,#REF!,TRUE),_xlfn.T.DIST(#REF!,#REF!,TRUE),_xlfn.CHISQ.DIST(#REF!,#REF!,TRUE),_xlfn.F.DIST(#REF!,#REF!,#REF!,TRUE))</calculatedColumnFormula>
    </tableColumn>
    <tableColumn id="26" xr3:uid="{9E865BB9-EEC0-4508-9B1C-2BBEAEE8D012}" name="Mindre end højre %" dataCellStyle="Normal">
      <calculatedColumnFormula>CHOOSE(MATCH(#REF!,Fordeling_liste,0),_xlfn.NORM.DIST(#REF!,#REF!,#REF!,TRUE),_xlfn.T.DIST(#REF!,#REF!,TRUE),_xlfn.CHISQ.DIST(#REF!,#REF!,TRUE),_xlfn.F.DIST(#REF!,#REF!,#REF!,TRUE))</calculatedColumnFormula>
    </tableColumn>
    <tableColumn id="27" xr3:uid="{613D3FC7-F8AD-4C83-9387-945DF3EEF330}" name="Midt %" dataCellStyle="Normal">
      <calculatedColumnFormula>#REF!-#REF!</calculatedColumnFormula>
    </tableColumn>
    <tableColumn id="28" xr3:uid="{51141D5B-B1E9-4C7B-A7CB-98C8E205261C}" name="Større end venstre %" dataCellStyle="Normal">
      <calculatedColumnFormula>1-#REF!</calculatedColumnFormula>
    </tableColumn>
    <tableColumn id="29" xr3:uid="{448F00A5-33B9-4A64-83B6-AF5E5310D6C6}" name="Større end højre %" dataCellStyle="Normal">
      <calculatedColumnFormula>1-#REF!</calculatedColumnFormula>
    </tableColumn>
    <tableColumn id="30" xr3:uid="{5CBA8208-5711-4430-AD88-D212BE937A64}" name="Venstre forklaring" dataCellStyle="Normal">
      <calculatedColumnFormula>IF(OR(MATCH(#REF!,HypoteseRetning_liste,0)=2,MATCH(#REF!,HypoteseRetning_liste,0)=3),IF(#REF!=#REF!,ROUND(#REF!,5)*100&amp;"% mindre end "&amp;#REF!,ROUND(#REF!,5)*100&amp;"% mindre end "&amp;#REF!),ROUND(#REF!,5)*100&amp;"% mindre end "&amp;#REF!)</calculatedColumnFormula>
    </tableColumn>
    <tableColumn id="31" xr3:uid="{E8A65EDD-646F-4A90-9451-4F022D6B1D2E}" name="Midtpunkt forklaring" dataCellStyle="Normal">
      <calculatedColumnFormula>IF(OR(MATCH(#REF!,HypoteseRetning_liste,0)=1,MATCH(#REF!,HypoteseRetning_liste,0)=4),ROUND(#REF!,5)*100&amp;"% mellem "&amp;#REF!&amp;" og "&amp;#REF!," ")</calculatedColumnFormula>
    </tableColumn>
    <tableColumn id="32" xr3:uid="{F5F75F28-0A96-4788-A012-DCD308D3EC34}" name="Højre forklaring" dataCellStyle="Normal">
      <calculatedColumnFormula>IF(OR(MATCH(#REF!,HypoteseRetning_liste,0)=2,MATCH(#REF!,HypoteseRetning_liste,0)=3),IF(#REF!=#REF!,ROUND(#REF!,5)*100&amp;"% større end "&amp;#REF!,ROUND(#REF!,5)*100&amp;"% større end "&amp;#REF!),ROUND(#REF!,5)*100&amp;"% større end "&amp;#REF!)</calculatedColumnFormula>
    </tableColumn>
    <tableColumn id="33" xr3:uid="{4FD18677-5E6A-4A55-AA64-B3C960277850}" name="Venstre position" dataCellStyle="Normal">
      <calculatedColumnFormula>IF(AND(NOT(#REF!),#REF!),(#REF!-#REF!)/(#REF!-#REF!),(#REF!-#REF!)/(#REF!-#REF!))</calculatedColumnFormula>
    </tableColumn>
    <tableColumn id="34" xr3:uid="{588606C5-9C75-4A2A-B1FF-D0B719E841F5}" name="Midtpunkt position" dataCellStyle="Normal">
      <calculatedColumnFormula>(#REF!-#REF!)/(#REF!-#REF!)</calculatedColumnFormula>
    </tableColumn>
    <tableColumn id="35" xr3:uid="{3673FA6B-D916-424D-B4ED-C2153E653917}" name="Højre position" dataCellStyle="Normal">
      <calculatedColumnFormula>IF(AND(#REF!,#REF!),(#REF!-#REF!)/(#REF!-#REF!),(#REF!-#REF!)/(#REF!-#REF!))</calculatedColumnFormula>
    </tableColumn>
    <tableColumn id="36" xr3:uid="{E0104492-80AB-40FC-806C-62F3B56D0AD2}" name="Hypotese" dataCellStyle="Normal"/>
    <tableColumn id="37" xr3:uid="{60B7A106-89A1-42A1-A622-EE9C75E65AD4}" name="Synlig" dataCellStyle="Normal">
      <calculatedColumnFormula>_xlfn.AGGREGATE(3,5,#REF!)</calculatedColumnFormula>
    </tableColumn>
    <tableColumn id="38" xr3:uid="{9A3DDE23-5A7A-4416-8D07-2B8D39C339AE}" name="Antal variable" dataCellStyle="Normal"/>
    <tableColumn id="39" xr3:uid="{AA2678B8-8BFD-44E5-884D-BC67EF110D4D}" name="Indeks" dataCellStyle="Normal"/>
    <tableColumn id="40" xr3:uid="{B684044B-8099-45EC-88CE-1EA0D6C29BBA}" name="Diagram titel" dataCellStyle="Normal"/>
    <tableColumn id="41" xr3:uid="{CA0983D1-D76F-407C-924C-DEC9B0936A46}" name="X akse titel" dataCellStyle="Normal"/>
    <tableColumn id="42" xr3:uid="{C7951DCD-EBD0-4704-AB6E-C50D6CEF2463}" name="Forudsætning 1" dataCellStyle="Normal"/>
    <tableColumn id="43" xr3:uid="{49469B90-D128-4B01-97F9-7DC63B1D4831}" name="Kontrol af forudsætning 1" dataCellStyle="Normal"/>
    <tableColumn id="44" xr3:uid="{965A1C20-2304-4BBA-A2FA-4918D6BEFA2C}" name="Forudsætning 2" dataCellStyle="Normal"/>
    <tableColumn id="45" xr3:uid="{16E98F14-F97D-4EE2-A499-B1E03239387F}" name="Kontrol af forudsætning 2" dataCellStyle="Normal"/>
    <tableColumn id="46" xr3:uid="{84737032-CF89-4C75-A6FE-429020801679}" name="Forudsætning 3" dataCellStyle="Normal"/>
    <tableColumn id="47" xr3:uid="{475367CD-23ED-4065-A7D0-71EDFE7E4067}" name="Kontrol af forudsætning 3" dataCellStyle="Normal"/>
    <tableColumn id="48" xr3:uid="{84815F1B-2EEA-4174-BC44-A451F165E2FB}" name="Forudsætning 4" dataCellStyle="Normal"/>
    <tableColumn id="49" xr3:uid="{F25DF645-4CEC-43B6-8242-95D69670B3C7}" name="Kontrol af forudsætning 4" dataCellStyle="Normal"/>
    <tableColumn id="50" xr3:uid="{B0653141-EBF3-451A-9C82-753EFE8C2270}" name="Stikprøvestørrelse for ønsket fejlmargin" dataCellStyle="Normal"/>
  </tableColumns>
  <tableStyleInfo name="Table 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C25459F-F4CA-4333-B132-4971B04A5CA4}" name="E_a_valg" displayName="E_a_valg" ref="A36:AX46" totalsRowShown="0">
  <autoFilter ref="A36:AX46" xr:uid="{D6E6652C-4E37-4B78-A3D2-AE33BF4F381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autoFilter>
  <tableColumns count="50">
    <tableColumn id="1" xr3:uid="{096BE380-9664-4EA3-9235-75C2589E5DE8}" name="Parameter"/>
    <tableColumn id="2" xr3:uid="{0EF865AD-F8C0-468A-91D9-7AFE4938B37D}" name="Hypotesetype"/>
    <tableColumn id="3" xr3:uid="{0B950FEB-E333-4D96-906A-6078AB23A4BC}" name="Beregningsmetode"/>
    <tableColumn id="4" xr3:uid="{AF32EB70-6256-4083-92F1-6240F58F2727}" name="Fordeling"/>
    <tableColumn id="5" xr3:uid="{841271D9-1744-4060-91F1-8117FDA7E75E}" name="Parameter 1"/>
    <tableColumn id="6" xr3:uid="{5E727107-A230-465B-9FB4-2AB07F63611F}" name="Parameter 2"/>
    <tableColumn id="7" xr3:uid="{560A4562-5E39-41BE-84BC-E5A2D8802325}" name="Teststørrelse" dataDxfId="110" dataCellStyle="Normal Fill"/>
    <tableColumn id="8" xr3:uid="{8B7B8B66-6785-4BD8-A0EC-2E7F860D2B64}" name="Teststørrelse omvendt">
      <calculatedColumnFormula>IFERROR(CHOOSE(MATCH(#REF!,Fordeling_liste,0),#REF!*-1,#REF!*-1,IFERROR(_xlfn.CHISQ.INV(1-_xlfn.CHISQ.DIST(#REF!,#REF!,TRUE),#REF!),IF(#REF!&gt;#REF!,_xlfn.CHISQ.INV(10^-16,#REF!),_xlfn.CHISQ.INV(1-10^-16,#REF!))),IFERROR(_xlfn.F.INV(1-_xlfn.F.DIST(#REF!,#REF!,#REF!,TRUE),#REF!,#REF!),IF(_xlfn.F.DIST(#REF!,#REF!,#REF!,TRUE)&lt;0.5,_xlfn.F.INV(1-10^-16,#REF!,#REF!),_xlfn.F.INV(10^-16,#REF!,#REF!)))),NA())</calculatedColumnFormula>
    </tableColumn>
    <tableColumn id="9" xr3:uid="{50252962-031D-4A4E-8441-7640583C73C0}" name="Venstre label base" dataDxfId="109" dataCellStyle="Percent"/>
    <tableColumn id="10" xr3:uid="{275E0CEF-84DD-4826-8D61-13D25D0FDE5D}" name="Midtpunkt label base"/>
    <tableColumn id="11" xr3:uid="{CF245EE8-CCEF-4875-9AFB-F0CA2CFF61F5}" name="Højre label base" dataDxfId="108" dataCellStyle="Percent"/>
    <tableColumn id="12" xr3:uid="{66D9EDC2-612F-4368-B931-FBE6A193616A}" name="Venstre label">
      <calculatedColumnFormula>IF(AND(NOT(#REF!),#REF!),IF(#REF!="andel",ROUND(#REF!,5)*100&amp;"%",ROUND(#REF!,3)),IF(#REF!="andel",ROUND(#REF!,5)*100&amp;"%",ROUND(#REF!,3)))</calculatedColumnFormula>
    </tableColumn>
    <tableColumn id="13" xr3:uid="{806B0908-1E1C-4A02-8085-A36C8F83B5EA}" name="Midtpunkt label">
      <calculatedColumnFormula>IF(#REF!="andel",ROUND(#REF!,5)*100&amp;"%",ROUND(#REF!,3))</calculatedColumnFormula>
    </tableColumn>
    <tableColumn id="14" xr3:uid="{7BD62E6F-449D-446C-8BC0-AC3544F453DD}" name="Højre label">
      <calculatedColumnFormula>IF(AND(#REF!,#REF!),IF(#REF!="andel",ROUND(#REF!,5)*100&amp;"%",ROUND(#REF!,3)),IF(#REF!="andel",ROUND(#REF!,5)*100&amp;"%",ROUND(#REF!,3)))</calculatedColumnFormula>
    </tableColumn>
    <tableColumn id="15" xr3:uid="{F9882816-1380-401C-9E03-A4F75752DDA6}" name="Orientering">
      <calculatedColumnFormula>#REF!=#REF!</calculatedColumnFormula>
    </tableColumn>
    <tableColumn id="16" xr3:uid="{1E5584A1-D8CD-41CA-8DFA-C85C7BC047E1}" name="Ensidet">
      <calculatedColumnFormula>OR(MATCH(#REF!,HypoteseRetning_liste,0)=2,MATCH(#REF!,HypoteseRetning_liste,0)=3)</calculatedColumnFormula>
    </tableColumn>
    <tableColumn id="17" xr3:uid="{24878F9B-9DE3-4B01-B7C3-2236276B62D1}" name="p-værdi" dataDxfId="107" dataCellStyle="Percent">
      <calculatedColumnFormula>CHOOSE(MATCH(#REF!,HypoteseRetning_liste,0),NA(),IF(#REF!,#REF!,#REF!),IF(#REF!,#REF!,#REF!),1-#REF!)</calculatedColumnFormula>
    </tableColumn>
    <tableColumn id="18" xr3:uid="{F32215C7-F790-4D67-897F-088B1ACA015B}" name="Nulhypotese kan ikke afvises">
      <calculatedColumnFormula>#REF!&gt;1-K_Konfidensniveau</calculatedColumnFormula>
    </tableColumn>
    <tableColumn id="19" xr3:uid="{8C3F35DF-9E6C-417D-9C66-60B07884FDAB}" name="Konfidensniveaubaseret x akse">
      <calculatedColumnFormula>IF(Eu_a_konfidensniveau&lt;=0.998,0.999,0.99999)</calculatedColumnFormula>
    </tableColumn>
    <tableColumn id="20" xr3:uid="{7ED3EF0D-556B-42AB-94CB-9D32569ADC87}" name="X min">
      <calculatedColumnFormula>CHOOSE(MATCH(E_a_valg[[#This Row],[Fordeling]],Fordeling_liste,0),_xlfn.NORM.INV(1-E_a_valg[[#This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calculatedColumnFormula>
    </tableColumn>
    <tableColumn id="21" xr3:uid="{3CCAF017-8543-4DC8-A8F5-72AB7466072F}" name="X max">
      <calculatedColumnFormula>CHOOSE(MATCH(E_a_valg[[#This Row],[Fordeling]],Fordeling_liste,0),_xlfn.NORM.INV(E_a_valg[[#This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calculatedColumnFormula>
    </tableColumn>
    <tableColumn id="22" xr3:uid="{D3732B6A-E3B6-488D-9703-C03005BB969F}" name="Venstre teststørrelse">
      <calculatedColumnFormula>MIN(#REF!,#REF!)</calculatedColumnFormula>
    </tableColumn>
    <tableColumn id="23" xr3:uid="{3D59EFAA-2873-4501-AD48-8CFC983A29FA}" name="Midtpunkt teststørrelse">
      <calculatedColumnFormula>CHOOSE(MATCH(#REF!,Fordeling_liste,0),_xlfn.NORM.INV(0.5,#REF!,#REF!),_xlfn.T.INV(0.5,#REF!),_xlfn.CHISQ.INV(0.5,#REF!),_xlfn.F.INV(0.5,#REF!,#REF!))</calculatedColumnFormula>
    </tableColumn>
    <tableColumn id="24" xr3:uid="{72CF8860-45F2-43E9-BD4A-B2EC71C4DF19}" name="Højre teststørrelse">
      <calculatedColumnFormula>MAX(#REF!,#REF!)</calculatedColumnFormula>
    </tableColumn>
    <tableColumn id="25" xr3:uid="{F4D2551A-37E2-4230-9ADC-822DFEA8EAC3}" name="Mindre end venstre %" dataDxfId="106" dataCellStyle="Percent">
      <calculatedColumnFormula>CHOOSE(MATCH(#REF!,Fordeling_liste,0),_xlfn.NORM.DIST(#REF!,#REF!,#REF!,TRUE),_xlfn.T.DIST(#REF!,#REF!,TRUE),_xlfn.CHISQ.DIST(#REF!,#REF!,TRUE),_xlfn.F.DIST(#REF!,#REF!,#REF!,TRUE))</calculatedColumnFormula>
    </tableColumn>
    <tableColumn id="26" xr3:uid="{D3BFB010-6560-472D-BA31-BC0628BFFCBE}" name="Mindre end højre %" dataDxfId="105" dataCellStyle="Percent">
      <calculatedColumnFormula>CHOOSE(MATCH(#REF!,Fordeling_liste,0),_xlfn.NORM.DIST(#REF!,#REF!,#REF!,TRUE),_xlfn.T.DIST(#REF!,#REF!,TRUE),_xlfn.CHISQ.DIST(#REF!,#REF!,TRUE),_xlfn.F.DIST(#REF!,#REF!,#REF!,TRUE))</calculatedColumnFormula>
    </tableColumn>
    <tableColumn id="27" xr3:uid="{481983A9-06D9-4CBE-8CCC-5A6838A36EAC}" name="Midt %" dataDxfId="104" dataCellStyle="Percent">
      <calculatedColumnFormula>#REF!-#REF!</calculatedColumnFormula>
    </tableColumn>
    <tableColumn id="28" xr3:uid="{E5B356DC-BC1B-46D6-A9F9-94C1CC647AFD}" name="Større end venstre %" dataDxfId="103" dataCellStyle="Percent">
      <calculatedColumnFormula>1-#REF!</calculatedColumnFormula>
    </tableColumn>
    <tableColumn id="29" xr3:uid="{D09F6B33-0E2E-41E4-AFC4-01A2D60EB350}" name="Større end højre %" dataDxfId="102" dataCellStyle="Percent">
      <calculatedColumnFormula>1-#REF!</calculatedColumnFormula>
    </tableColumn>
    <tableColumn id="30" xr3:uid="{5B13D91C-C766-49EF-B60F-5B9BCB77B8C5}" name="Venstre forklaring">
      <calculatedColumnFormula>IF(OR(MATCH(#REF!,HypoteseRetning_liste,0)=2,MATCH(#REF!,HypoteseRetning_liste,0)=3),IF(#REF!=#REF!,ROUND(#REF!,5)*100&amp;"% mindre end "&amp;#REF!,ROUND(#REF!,5)*100&amp;"% mindre end "&amp;#REF!),ROUND(#REF!,5)*100&amp;"% mindre end "&amp;#REF!)</calculatedColumnFormula>
    </tableColumn>
    <tableColumn id="31" xr3:uid="{067F9A13-593A-4BA9-A6A4-A276EF8330D3}" name="Midtpunkt forklaring">
      <calculatedColumnFormula>IF(OR(MATCH(#REF!,HypoteseRetning_liste,0)=1,MATCH(#REF!,HypoteseRetning_liste,0)=4),ROUND(#REF!,5)*100&amp;"% mellem "&amp;#REF!&amp;" og "&amp;#REF!," ")</calculatedColumnFormula>
    </tableColumn>
    <tableColumn id="32" xr3:uid="{A5BAF18C-D7B1-4214-B92C-8CD9D49F79D9}" name="Højre forklaring">
      <calculatedColumnFormula>IF(OR(MATCH(#REF!,HypoteseRetning_liste,0)=2,MATCH(#REF!,HypoteseRetning_liste,0)=3),IF(#REF!=#REF!,ROUND(#REF!,5)*100&amp;"% større end "&amp;#REF!,ROUND(#REF!,5)*100&amp;"% større end "&amp;#REF!),ROUND(#REF!,5)*100&amp;"% større end "&amp;#REF!)</calculatedColumnFormula>
    </tableColumn>
    <tableColumn id="33" xr3:uid="{CDCCFF0C-A8FE-4148-BCB0-9022C208A817}" name="Venstre position">
      <calculatedColumnFormula>IF(AND(NOT(#REF!),#REF!),(#REF!-#REF!)/(#REF!-#REF!),(#REF!-#REF!)/(#REF!-#REF!))</calculatedColumnFormula>
    </tableColumn>
    <tableColumn id="34" xr3:uid="{5D2455EB-B145-4980-83DC-C462715E6F53}" name="Midtpunkt position">
      <calculatedColumnFormula>(#REF!-#REF!)/(#REF!-#REF!)</calculatedColumnFormula>
    </tableColumn>
    <tableColumn id="35" xr3:uid="{54233B3B-1A75-47EC-ABAE-4D4B7F7A0D89}" name="Højre position">
      <calculatedColumnFormula>IF(AND(#REF!,#REF!),(#REF!-#REF!)/(#REF!-#REF!),(#REF!-#REF!)/(#REF!-#REF!))</calculatedColumnFormula>
    </tableColumn>
    <tableColumn id="36" xr3:uid="{A811E5CF-78B1-481E-A620-3D6F7E06131D}" name="Hypotese"/>
    <tableColumn id="37" xr3:uid="{DEE1672A-AD42-40D0-B0BF-2E071C7CECB5}" name="Synlig">
      <calculatedColumnFormula>_xlfn.AGGREGATE(3,5,#REF!)</calculatedColumnFormula>
    </tableColumn>
    <tableColumn id="38" xr3:uid="{EEC0B949-3DD4-412A-A951-19200B7DC1E7}" name="Antal variable"/>
    <tableColumn id="39" xr3:uid="{2CC331B0-FE8A-4499-855E-81BF7D945FE7}" name="Indeks"/>
    <tableColumn id="40" xr3:uid="{13BE44A9-9236-4E22-A2E3-9A103EFFD3C2}" name="Diagram titel"/>
    <tableColumn id="41" xr3:uid="{66A3AB10-9AAA-4D07-B56A-22B63FE092A8}" name="X akse titel"/>
    <tableColumn id="42" xr3:uid="{25BDD3EB-7C58-49B9-90C2-923FED1737DB}" name="Forudsætning 1" dataDxfId="101">
      <calculatedColumnFormula>"Datatypen er nominal, hvor succes er "&amp;TRUE&amp;" og øvrige værdier er "&amp;FALSE</calculatedColumnFormula>
    </tableColumn>
    <tableColumn id="43" xr3:uid="{E38F355E-467F-4CD3-9B2A-6BC63809D68F}" name="Kontrol af forudsætning 1" dataDxfId="100"/>
    <tableColumn id="44" xr3:uid="{E060AACD-2C83-4776-8B0A-3BFA5AD042A1}" name="Forudsætning 2" dataDxfId="99"/>
    <tableColumn id="45" xr3:uid="{FB840B8D-7131-4A35-A30A-0158F8C09E0B}" name="Kontrol af forudsætning 2" dataDxfId="98"/>
    <tableColumn id="46" xr3:uid="{04AC5123-42DB-4EE2-B906-AB0144CD90E1}" name="Forudsætning 3" dataDxfId="97"/>
    <tableColumn id="47" xr3:uid="{548B7C41-69AF-4F61-87A8-ABFD05C18480}" name="Kontrol af forudsætning 3" dataDxfId="96"/>
    <tableColumn id="48" xr3:uid="{03439727-C15E-46BF-A104-B258172A3D3F}" name="Forudsætning 4" dataDxfId="95"/>
    <tableColumn id="49" xr3:uid="{AC8D25F9-92E3-4360-8440-3F115071D567}" name="Kontrol af forudsætning 4" dataDxfId="94"/>
    <tableColumn id="50" xr3:uid="{623DAC51-38D9-48E0-A24C-F8FE3B5D3CB5}" name="Stikprøvestørrelse for ønsket fejlmargin" dataDxfId="93"/>
  </tableColumns>
  <tableStyleInfo name="Table 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35A4E25-1C44-4950-B779-E609839581E6}" name="E_i_valg" displayName="E_i_valg" ref="A48:AX55" totalsRowShown="0">
  <autoFilter ref="A48:AX55" xr:uid="{B42BE099-0ADA-4810-B2AB-2C64B7A0C3D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autoFilter>
  <tableColumns count="50">
    <tableColumn id="1" xr3:uid="{28F93FAA-94AE-4345-9CE3-B2AEF9E9E0D0}" name="Parameter"/>
    <tableColumn id="2" xr3:uid="{96413098-B6D6-4E53-9EB1-50CA335B8CBB}" name="Hypotesetype"/>
    <tableColumn id="3" xr3:uid="{98112F8B-7391-4316-A98C-0E660162FAC8}" name="Beregningsmetode"/>
    <tableColumn id="4" xr3:uid="{74972AB0-2620-4D91-8B44-79021B593937}" name="Fordeling"/>
    <tableColumn id="5" xr3:uid="{4B4E29D4-F8CF-4469-9FEE-8E28E8234553}" name="Parameter 1"/>
    <tableColumn id="6" xr3:uid="{30859FBD-A6EA-4EAE-B94D-1C29E96762CB}" name="Parameter 2"/>
    <tableColumn id="7" xr3:uid="{85410E3E-C9D0-4087-8027-A40F5BD2AD2F}" name="Teststørrelse"/>
    <tableColumn id="8" xr3:uid="{E0EDB07D-2718-4B7D-A8E1-7C7EC428F88D}" name="Teststørrelse omvendt">
      <calculatedColumnFormula>IFERROR(CHOOSE(MATCH(#REF!,Fordeling_liste,0),#REF!*-1,#REF!*-1,IFERROR(_xlfn.CHISQ.INV(1-_xlfn.CHISQ.DIST(#REF!,#REF!,TRUE),#REF!),IF(#REF!&gt;#REF!,_xlfn.CHISQ.INV(10^-16,#REF!),_xlfn.CHISQ.INV(1-10^-16,#REF!))),IFERROR(_xlfn.F.INV(1-_xlfn.F.DIST(#REF!,#REF!,#REF!,TRUE),#REF!,#REF!),IF(_xlfn.F.DIST(#REF!,#REF!,#REF!,TRUE)&lt;0.5,_xlfn.F.INV(1-10^-16,#REF!,#REF!),_xlfn.F.INV(10^-16,#REF!,#REF!)))),NA())</calculatedColumnFormula>
    </tableColumn>
    <tableColumn id="9" xr3:uid="{A9A1A7AA-B28C-46A8-B63D-1D786462AF49}" name="Venstre label base" dataDxfId="92" dataCellStyle="Comma"/>
    <tableColumn id="10" xr3:uid="{5DB766AB-7405-408D-AC2C-AF0BA9265091}" name="Midtpunkt label base"/>
    <tableColumn id="11" xr3:uid="{2123234F-8C6F-46CE-AA00-4FB106537B66}" name="Højre label base" dataDxfId="91" dataCellStyle="Comma"/>
    <tableColumn id="12" xr3:uid="{A621B31D-27D7-4F0D-B71E-8E63576D290D}" name="Venstre label">
      <calculatedColumnFormula>IF(AND(NOT(#REF!),#REF!),IF(#REF!="andel",ROUND(#REF!,5)*100&amp;"%",ROUND(#REF!,3)),IF(#REF!="andel",ROUND(#REF!,5)*100&amp;"%",ROUND(#REF!,3)))</calculatedColumnFormula>
    </tableColumn>
    <tableColumn id="13" xr3:uid="{72A93149-A4C2-4A5D-8FA1-787DC9AF146A}" name="Midtpunkt label">
      <calculatedColumnFormula>IF(#REF!="andel",ROUND(#REF!,5)*100&amp;"%",ROUND(#REF!,3))</calculatedColumnFormula>
    </tableColumn>
    <tableColumn id="14" xr3:uid="{0CDE246D-52F4-47E3-896A-14E0FFA49877}" name="Højre label">
      <calculatedColumnFormula>IF(AND(#REF!,#REF!),IF(#REF!="andel",ROUND(#REF!,5)*100&amp;"%",ROUND(#REF!,3)),IF(#REF!="andel",ROUND(#REF!,5)*100&amp;"%",ROUND(#REF!,3)))</calculatedColumnFormula>
    </tableColumn>
    <tableColumn id="15" xr3:uid="{ECA300B9-54DA-42EB-A819-B1A2C29312A1}" name="Orientering">
      <calculatedColumnFormula>#REF!=#REF!</calculatedColumnFormula>
    </tableColumn>
    <tableColumn id="16" xr3:uid="{0DEA595F-3B39-4C06-B986-2A83C288487A}" name="Ensidet">
      <calculatedColumnFormula>OR(MATCH(#REF!,HypoteseRetning_liste,0)=2,MATCH(#REF!,HypoteseRetning_liste,0)=3)</calculatedColumnFormula>
    </tableColumn>
    <tableColumn id="17" xr3:uid="{B8990F1C-C350-4010-B32F-4049EA2582F7}" name="p-værdi" dataDxfId="90" dataCellStyle="Percent">
      <calculatedColumnFormula>CHOOSE(MATCH(#REF!,HypoteseRetning_liste,0),NA(),IF(#REF!,#REF!,#REF!),IF(#REF!,#REF!,#REF!),1-#REF!)</calculatedColumnFormula>
    </tableColumn>
    <tableColumn id="18" xr3:uid="{58864843-2A61-4B17-9675-88C560D291A0}" name="Nulhypotese kan ikke afvises">
      <calculatedColumnFormula>#REF!&gt;1-K_Konfidensniveau</calculatedColumnFormula>
    </tableColumn>
    <tableColumn id="19" xr3:uid="{A6C896B7-ACF7-4A0D-AC02-0CDC82DF3686}" name="Konfidensniveaubaseret x akse">
      <calculatedColumnFormula>IF(Eu_i_konfidensniveau&lt;=0.998,0.999,0.99999)</calculatedColumnFormula>
    </tableColumn>
    <tableColumn id="20" xr3:uid="{2B7FBDC6-C150-4366-AB0F-F92A50BEE98F}" name="X min">
      <calculatedColumnFormula>CHOOSE(MATCH(E_i_valg[[#This Row],[Fordeling]],Fordeling_liste,0),_xlfn.NORM.INV(1-E_i_valg[[#This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calculatedColumnFormula>
    </tableColumn>
    <tableColumn id="21" xr3:uid="{01DA34BA-5762-4C52-A1CC-970A01D789AD}" name="X max">
      <calculatedColumnFormula>CHOOSE(MATCH(E_i_valg[[#This Row],[Fordeling]],Fordeling_liste,0),_xlfn.NORM.INV(E_i_valg[[#This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calculatedColumnFormula>
    </tableColumn>
    <tableColumn id="22" xr3:uid="{23E3D3DE-3A95-4DA2-9AE6-1F51D50D82F4}" name="Venstre teststørrelse">
      <calculatedColumnFormula>MIN(#REF!,#REF!)</calculatedColumnFormula>
    </tableColumn>
    <tableColumn id="23" xr3:uid="{4469CCE6-BB13-4422-9BE0-534CB0D3A313}" name="Midtpunkt teststørrelse">
      <calculatedColumnFormula>CHOOSE(MATCH(#REF!,Fordeling_liste,0),_xlfn.NORM.INV(0.5,#REF!,#REF!),_xlfn.T.INV(0.5,#REF!),_xlfn.CHISQ.INV(0.5,#REF!),_xlfn.F.INV(0.5,#REF!,#REF!))</calculatedColumnFormula>
    </tableColumn>
    <tableColumn id="24" xr3:uid="{80E90738-EA69-4FB5-AA04-67748C287C78}" name="Højre teststørrelse">
      <calculatedColumnFormula>MAX(#REF!,#REF!)</calculatedColumnFormula>
    </tableColumn>
    <tableColumn id="25" xr3:uid="{FF014ABA-A83E-4582-8EA6-A1566B1B6249}" name="Mindre end venstre %" dataDxfId="89" dataCellStyle="Percent">
      <calculatedColumnFormula>CHOOSE(MATCH(#REF!,Fordeling_liste,0),_xlfn.NORM.DIST(#REF!,#REF!,#REF!,TRUE),_xlfn.T.DIST(#REF!,#REF!,TRUE),_xlfn.CHISQ.DIST(#REF!,#REF!,TRUE),_xlfn.F.DIST(#REF!,#REF!,#REF!,TRUE))</calculatedColumnFormula>
    </tableColumn>
    <tableColumn id="26" xr3:uid="{5A32BE1A-754A-4DFF-B966-52A7FD662E8A}" name="Mindre end højre %" dataDxfId="88" dataCellStyle="Percent">
      <calculatedColumnFormula>CHOOSE(MATCH(#REF!,Fordeling_liste,0),_xlfn.NORM.DIST(#REF!,#REF!,#REF!,TRUE),_xlfn.T.DIST(#REF!,#REF!,TRUE),_xlfn.CHISQ.DIST(#REF!,#REF!,TRUE),_xlfn.F.DIST(#REF!,#REF!,#REF!,TRUE))</calculatedColumnFormula>
    </tableColumn>
    <tableColumn id="27" xr3:uid="{9B46090C-DACF-4DDD-A1C0-D64B15B93DAF}" name="Midt %" dataDxfId="87" dataCellStyle="Percent">
      <calculatedColumnFormula>#REF!-#REF!</calculatedColumnFormula>
    </tableColumn>
    <tableColumn id="28" xr3:uid="{D39064F1-12A9-4A98-9386-7ACC29D7BD48}" name="Større end venstre %" dataDxfId="86" dataCellStyle="Percent">
      <calculatedColumnFormula>1-#REF!</calculatedColumnFormula>
    </tableColumn>
    <tableColumn id="29" xr3:uid="{F8DA1A7A-0309-456D-B887-FC0842F99A93}" name="Større end højre %" dataDxfId="85" dataCellStyle="Percent">
      <calculatedColumnFormula>1-#REF!</calculatedColumnFormula>
    </tableColumn>
    <tableColumn id="30" xr3:uid="{A304FC68-12CC-4B58-8056-F8B273D924AC}" name="Venstre forklaring">
      <calculatedColumnFormula>IF(OR(MATCH(#REF!,HypoteseRetning_liste,0)=2,MATCH(#REF!,HypoteseRetning_liste,0)=3),IF(#REF!=#REF!,ROUND(#REF!,5)*100&amp;"% mindre end "&amp;#REF!,ROUND(#REF!,5)*100&amp;"% mindre end "&amp;#REF!),ROUND(#REF!,5)*100&amp;"% mindre end "&amp;#REF!)</calculatedColumnFormula>
    </tableColumn>
    <tableColumn id="31" xr3:uid="{017912E8-2BEC-491D-96AF-C4E099BB125C}" name="Midtpunkt forklaring">
      <calculatedColumnFormula>IF(OR(MATCH(#REF!,HypoteseRetning_liste,0)=1,MATCH(#REF!,HypoteseRetning_liste,0)=4),ROUND(#REF!,5)*100&amp;"% mellem "&amp;#REF!&amp;" og "&amp;#REF!," ")</calculatedColumnFormula>
    </tableColumn>
    <tableColumn id="32" xr3:uid="{7F9AF521-DD57-4D37-9597-66085D5DA203}" name="Højre forklaring">
      <calculatedColumnFormula>IF(OR(MATCH(#REF!,HypoteseRetning_liste,0)=2,MATCH(#REF!,HypoteseRetning_liste,0)=3),IF(#REF!=#REF!,ROUND(#REF!,5)*100&amp;"% større end "&amp;#REF!,ROUND(#REF!,5)*100&amp;"% større end "&amp;#REF!),ROUND(#REF!,5)*100&amp;"% større end "&amp;#REF!)</calculatedColumnFormula>
    </tableColumn>
    <tableColumn id="33" xr3:uid="{87B62F0C-7460-407A-898D-4AD2922266A4}" name="Venstre position">
      <calculatedColumnFormula>IF(AND(NOT(#REF!),#REF!),(#REF!-#REF!)/(#REF!-#REF!),(#REF!-#REF!)/(#REF!-#REF!))</calculatedColumnFormula>
    </tableColumn>
    <tableColumn id="34" xr3:uid="{7674E3BC-C6FF-4C5A-9FA8-E3FC8CB69F4D}" name="Midtpunkt position">
      <calculatedColumnFormula>(#REF!-#REF!)/(#REF!-#REF!)</calculatedColumnFormula>
    </tableColumn>
    <tableColumn id="35" xr3:uid="{6F8F11FA-EC58-4579-9B5E-9B72E9A70515}" name="Højre position">
      <calculatedColumnFormula>IF(AND(#REF!,#REF!),(#REF!-#REF!)/(#REF!-#REF!),(#REF!-#REF!)/(#REF!-#REF!))</calculatedColumnFormula>
    </tableColumn>
    <tableColumn id="36" xr3:uid="{614E2DDF-D430-4522-B37E-3BDE8118855F}" name="Hypotese"/>
    <tableColumn id="37" xr3:uid="{AD4D6CC3-4549-4207-B3B2-CA197224B389}" name="Synlig">
      <calculatedColumnFormula>_xlfn.AGGREGATE(3,5,#REF!)</calculatedColumnFormula>
    </tableColumn>
    <tableColumn id="38" xr3:uid="{1F2C259C-FEEC-48CD-86C0-E4B4EF992CED}" name="Antal variable"/>
    <tableColumn id="39" xr3:uid="{E3E42811-EA0B-403B-8993-F6A6361D48E0}" name="Indeks"/>
    <tableColumn id="40" xr3:uid="{47EC6E06-4690-4FA5-9FA0-DC5C8998E701}" name="Diagram titel"/>
    <tableColumn id="41" xr3:uid="{F551629B-9F67-4BA5-9ABE-6B13F9FA6214}" name="X akse titel"/>
    <tableColumn id="42" xr3:uid="{06A30DA4-663E-447D-A62A-8F16D930DDB5}" name="Forudsætning 1" dataDxfId="84"/>
    <tableColumn id="43" xr3:uid="{0B7EE534-61E1-4BEF-AA08-6572B69664A5}" name="Kontrol af forudsætning 1" dataDxfId="83"/>
    <tableColumn id="44" xr3:uid="{89557286-E63D-4615-900A-22E3CBC2BD57}" name="Forudsætning 2" dataDxfId="82"/>
    <tableColumn id="45" xr3:uid="{09E4C8CB-09CB-4971-A1A8-F264E93F4588}" name="Kontrol af forudsætning 2" dataDxfId="81"/>
    <tableColumn id="46" xr3:uid="{290F1F69-7704-465A-A5E6-B21EA2725B00}" name="Forudsætning 3" dataDxfId="80"/>
    <tableColumn id="47" xr3:uid="{9EB2F98F-D56A-447C-8F50-4FEA6420561D}" name="Kontrol af forudsætning 3" dataDxfId="79"/>
    <tableColumn id="48" xr3:uid="{FC4460B9-D9FB-4F1B-ABB3-958B6FD7C176}" name="Forudsætning 4" dataDxfId="78"/>
    <tableColumn id="49" xr3:uid="{81A33DAE-627C-41C5-948B-3E2FCC59B290}" name="Kontrol af forudsætning 4" dataDxfId="77"/>
    <tableColumn id="50" xr3:uid="{F0B3FD9E-062F-4A51-B5BF-45744B1BAC4E}" name="Stikprøvestørrelse for ønsket fejlmargin" dataDxfId="76"/>
  </tableColumns>
  <tableStyleInfo name="Table 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FE84A46-97F6-45B3-A01E-5D1668FF6761}" name="E_k_valg" displayName="E_k_valg" ref="A57:AX60" totalsRowShown="0" headerRowDxfId="75" headerRowBorderDxfId="74" tableBorderDxfId="73">
  <autoFilter ref="A57:AX60" xr:uid="{E6DECEF7-33F4-4C42-97FA-B3C18ADFF3B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autoFilter>
  <tableColumns count="50">
    <tableColumn id="1" xr3:uid="{F78EF79E-3CC4-4499-878E-A885E240D066}" name="Parameter"/>
    <tableColumn id="2" xr3:uid="{0C3E20F8-BC0C-47BB-ACF7-BC01BE7048A2}" name="Hypotesetype"/>
    <tableColumn id="3" xr3:uid="{7B19207D-4A18-4CB4-9EFB-51689FE7CD7B}" name="Beregningsmetode"/>
    <tableColumn id="4" xr3:uid="{7FEE718F-72F8-4B3C-B7A6-4E64ADA75023}" name="Fordeling"/>
    <tableColumn id="5" xr3:uid="{C58B80DA-E5AA-4DEB-915A-124611A58A70}" name="Parameter 1" dataDxfId="72">
      <calculatedColumnFormula>Eu_k_n-Eu_k_antal_koefficienter</calculatedColumnFormula>
    </tableColumn>
    <tableColumn id="6" xr3:uid="{4B1A6027-6637-46CB-AD68-0F75F7D9E067}" name="Parameter 2"/>
    <tableColumn id="7" xr3:uid="{96EA9441-C288-4440-8939-DAF8CA1CC3D4}" name="Teststørrelse" dataDxfId="71">
      <calculatedColumnFormula>(Eu_k_k-Eu_k_h0)/Eu_k_s</calculatedColumnFormula>
    </tableColumn>
    <tableColumn id="8" xr3:uid="{206CEDCA-4EE3-43FC-8A06-24B978A101A7}" name="Teststørrelse omvendt">
      <calculatedColumnFormula>IFERROR(CHOOSE(MATCH(#REF!,Fordeling_liste,0),#REF!*-1,#REF!*-1,IFERROR(_xlfn.CHISQ.INV(1-_xlfn.CHISQ.DIST(#REF!,#REF!,TRUE),#REF!),IF(#REF!&gt;#REF!,_xlfn.CHISQ.INV(10^-16,#REF!),_xlfn.CHISQ.INV(1-10^-16,#REF!))),IFERROR(_xlfn.F.INV(1-_xlfn.F.DIST(#REF!,#REF!,#REF!,TRUE),#REF!,#REF!),IF(_xlfn.F.DIST(#REF!,#REF!,#REF!,TRUE)&lt;0.5,_xlfn.F.INV(1-10^-16,#REF!,#REF!),_xlfn.F.INV(10^-16,#REF!,#REF!)))),NA())</calculatedColumnFormula>
    </tableColumn>
    <tableColumn id="9" xr3:uid="{34DC51A0-E62B-4DC0-A311-52FC598D32FE}" name="Venstre label base">
      <calculatedColumnFormula>E_k_valg[[#This Row],[Venstre teststørrelse]]*Eu_k_s+Eu_k_h0</calculatedColumnFormula>
    </tableColumn>
    <tableColumn id="10" xr3:uid="{7BE61C76-F190-450E-B533-85BCC5794691}" name="Midtpunkt label base">
      <calculatedColumnFormula>E_k_valg[[#This Row],[Midtpunkt teststørrelse]]*Eu_k_s+Eu_k_h0</calculatedColumnFormula>
    </tableColumn>
    <tableColumn id="11" xr3:uid="{1744114D-FFA9-4C87-8A55-EF07911A3325}" name="Højre label base">
      <calculatedColumnFormula>E_k_valg[[#This Row],[Højre teststørrelse]]*Eu_k_s+Eu_k_h0</calculatedColumnFormula>
    </tableColumn>
    <tableColumn id="12" xr3:uid="{F6984E51-469B-45CB-A0D4-338F50D33FC9}" name="Venstre label">
      <calculatedColumnFormula>IF(AND(NOT(#REF!),#REF!),IF(#REF!="andel",ROUND(#REF!,5)*100&amp;"%",ROUND(#REF!,3)),IF(#REF!="andel",ROUND(#REF!,5)*100&amp;"%",ROUND(#REF!,3)))</calculatedColumnFormula>
    </tableColumn>
    <tableColumn id="13" xr3:uid="{0C52D3BF-207E-4D07-89D7-4DF9038A01ED}" name="Midtpunkt label">
      <calculatedColumnFormula>IF(#REF!="andel",ROUND(#REF!,5)*100&amp;"%",ROUND(#REF!,3))</calculatedColumnFormula>
    </tableColumn>
    <tableColumn id="14" xr3:uid="{CFB771F7-4574-4467-A4AE-611C0C82AE05}" name="Højre label">
      <calculatedColumnFormula>IF(AND(#REF!,#REF!),IF(#REF!="andel",ROUND(#REF!,5)*100&amp;"%",ROUND(#REF!,3)),IF(#REF!="andel",ROUND(#REF!,5)*100&amp;"%",ROUND(#REF!,3)))</calculatedColumnFormula>
    </tableColumn>
    <tableColumn id="15" xr3:uid="{EA154616-C33D-4CB0-A58B-2AC0EA4278C3}" name="Orientering">
      <calculatedColumnFormula>#REF!=#REF!</calculatedColumnFormula>
    </tableColumn>
    <tableColumn id="16" xr3:uid="{D94630C1-6801-4EEA-B817-19DC4F3478F2}" name="Ensidet">
      <calculatedColumnFormula>OR(MATCH(#REF!,HypoteseRetning_liste,0)=2,MATCH(#REF!,HypoteseRetning_liste,0)=3)</calculatedColumnFormula>
    </tableColumn>
    <tableColumn id="17" xr3:uid="{569616CB-8B81-47D2-B40E-B772DFB3E360}" name="p-værdi" dataDxfId="70" dataCellStyle="Percent">
      <calculatedColumnFormula>CHOOSE(MATCH(#REF!,HypoteseRetning_liste,0),NA(),IF(#REF!,#REF!,#REF!),IF(#REF!,#REF!,#REF!),1-#REF!)</calculatedColumnFormula>
    </tableColumn>
    <tableColumn id="18" xr3:uid="{7062375D-3817-4A7C-BB81-D5AD6FB61008}" name="Nulhypotese kan ikke afvises">
      <calculatedColumnFormula>#REF!&gt;1-K_Konfidensniveau</calculatedColumnFormula>
    </tableColumn>
    <tableColumn id="19" xr3:uid="{757449D5-994D-40BC-87AF-3F56525FB267}" name="Konfidensniveaubaseret x akse">
      <calculatedColumnFormula>IF(Eu_k_konfidensniveau&lt;=0.998,0.999,0.99999)</calculatedColumnFormula>
    </tableColumn>
    <tableColumn id="20" xr3:uid="{79E69958-AB58-4BBB-A508-57BFAC74C06E}" name="X min">
      <calculatedColumnFormula>CHOOSE(MATCH(E_k_valg[[#This Row],[Fordeling]],Fordeling_liste,0),_xlfn.NORM.INV(1-E_k_valg[[#This Row],[Konfidensniveaubaseret x akse]],E_k_valg[[#This Row],[Parameter 1]],E_k_valg[[#This Row],[Parameter 2]]),_xlfn.T.INV(1-E_k_valg[[#This Row],[Konfidensniveaubaseret x akse]],E_k_valg[[#This Row],[Parameter 1]]),_xlfn.CHISQ.INV(1-E_k_valg[[#This Row],[Konfidensniveaubaseret x akse]],E_k_valg[[#This Row],[Parameter 1]]),_xlfn.F.INV(1-E_k_valg[[#This Row],[Konfidensniveaubaseret x akse]],E_k_valg[[#This Row],[Parameter 1]],E_k_valg[[#This Row],[Parameter 2]]))</calculatedColumnFormula>
    </tableColumn>
    <tableColumn id="21" xr3:uid="{C742EB82-B067-4F0D-8021-3E97FF2F9960}" name="X max">
      <calculatedColumnFormula>CHOOSE(MATCH(E_k_valg[[#This Row],[Fordeling]],Fordeling_liste,0),_xlfn.NORM.INV(E_k_valg[[#This Row],[Konfidensniveaubaseret x akse]],E_k_valg[[#This Row],[Parameter 1]],E_k_valg[[#This Row],[Parameter 2]]),_xlfn.T.INV(E_k_valg[[#This Row],[Konfidensniveaubaseret x akse]],E_k_valg[[#This Row],[Parameter 1]]),_xlfn.CHISQ.INV(E_k_valg[[#This Row],[Konfidensniveaubaseret x akse]],E_k_valg[[#This Row],[Parameter 1]]),_xlfn.F.INV(E_k_valg[[#This Row],[Konfidensniveaubaseret x akse]],E_k_valg[[#This Row],[Parameter 1]],E_k_valg[[#This Row],[Parameter 2]]))</calculatedColumnFormula>
    </tableColumn>
    <tableColumn id="22" xr3:uid="{0E5FE6CD-85E7-4A77-B449-3A4EAA1EDEA2}" name="Venstre teststørrelse">
      <calculatedColumnFormula>MIN(#REF!,#REF!)</calculatedColumnFormula>
    </tableColumn>
    <tableColumn id="23" xr3:uid="{FD1B021A-E113-45DB-A489-3AA6A9C32795}" name="Midtpunkt teststørrelse">
      <calculatedColumnFormula>CHOOSE(MATCH(#REF!,Fordeling_liste,0),_xlfn.NORM.INV(0.5,#REF!,#REF!),_xlfn.T.INV(0.5,#REF!),_xlfn.CHISQ.INV(0.5,#REF!),_xlfn.F.INV(0.5,#REF!,#REF!))</calculatedColumnFormula>
    </tableColumn>
    <tableColumn id="24" xr3:uid="{DEBC20F0-B401-4E04-BC82-49AACF07DDA2}" name="Højre teststørrelse">
      <calculatedColumnFormula>MAX(#REF!,#REF!)</calculatedColumnFormula>
    </tableColumn>
    <tableColumn id="25" xr3:uid="{EBEF38F3-F58B-427F-974D-5FCFF55664E1}" name="Mindre end venstre %" dataDxfId="69" dataCellStyle="Percent">
      <calculatedColumnFormula>CHOOSE(MATCH(#REF!,Fordeling_liste,0),_xlfn.NORM.DIST(#REF!,#REF!,#REF!,TRUE),_xlfn.T.DIST(#REF!,#REF!,TRUE),_xlfn.CHISQ.DIST(#REF!,#REF!,TRUE),_xlfn.F.DIST(#REF!,#REF!,#REF!,TRUE))</calculatedColumnFormula>
    </tableColumn>
    <tableColumn id="26" xr3:uid="{ADF82714-06A0-4965-8819-1DB972250636}" name="Mindre end højre %" dataDxfId="68" dataCellStyle="Percent">
      <calculatedColumnFormula>CHOOSE(MATCH(#REF!,Fordeling_liste,0),_xlfn.NORM.DIST(#REF!,#REF!,#REF!,TRUE),_xlfn.T.DIST(#REF!,#REF!,TRUE),_xlfn.CHISQ.DIST(#REF!,#REF!,TRUE),_xlfn.F.DIST(#REF!,#REF!,#REF!,TRUE))</calculatedColumnFormula>
    </tableColumn>
    <tableColumn id="27" xr3:uid="{D515268A-EE91-4D5D-B6AB-1664AABB19B5}" name="Midt %" dataDxfId="67" dataCellStyle="Percent">
      <calculatedColumnFormula>#REF!-#REF!</calculatedColumnFormula>
    </tableColumn>
    <tableColumn id="28" xr3:uid="{920517E3-6D50-4502-A479-DC83F27BDE1B}" name="Større end venstre %" dataDxfId="66" dataCellStyle="Percent">
      <calculatedColumnFormula>1-#REF!</calculatedColumnFormula>
    </tableColumn>
    <tableColumn id="29" xr3:uid="{6238BCBD-14AD-4B2B-8500-6DC22BDF7C9B}" name="Større end højre %" dataDxfId="65" dataCellStyle="Percent">
      <calculatedColumnFormula>1-#REF!</calculatedColumnFormula>
    </tableColumn>
    <tableColumn id="30" xr3:uid="{18DF4910-F810-49C4-B932-55AF3CA6A2DF}" name="Venstre forklaring">
      <calculatedColumnFormula>IF(OR(MATCH(#REF!,HypoteseRetning_liste,0)=2,MATCH(#REF!,HypoteseRetning_liste,0)=3),IF(#REF!=#REF!,ROUND(#REF!,5)*100&amp;"% mindre end "&amp;#REF!,ROUND(#REF!,5)*100&amp;"% mindre end "&amp;#REF!),ROUND(#REF!,5)*100&amp;"% mindre end "&amp;#REF!)</calculatedColumnFormula>
    </tableColumn>
    <tableColumn id="31" xr3:uid="{91C31E9B-90E7-4214-83C4-14951F5E0D7C}" name="Midtpunkt forklaring">
      <calculatedColumnFormula>IF(OR(MATCH(#REF!,HypoteseRetning_liste,0)=1,MATCH(#REF!,HypoteseRetning_liste,0)=4),ROUND(#REF!,5)*100&amp;"% mellem "&amp;#REF!&amp;" og "&amp;#REF!," ")</calculatedColumnFormula>
    </tableColumn>
    <tableColumn id="32" xr3:uid="{877E35CA-0D36-491A-BBFD-A2AA77E0AF87}" name="Højre forklaring">
      <calculatedColumnFormula>IF(OR(MATCH(#REF!,HypoteseRetning_liste,0)=2,MATCH(#REF!,HypoteseRetning_liste,0)=3),IF(#REF!=#REF!,ROUND(#REF!,5)*100&amp;"% større end "&amp;#REF!,ROUND(#REF!,5)*100&amp;"% større end "&amp;#REF!),ROUND(#REF!,5)*100&amp;"% større end "&amp;#REF!)</calculatedColumnFormula>
    </tableColumn>
    <tableColumn id="33" xr3:uid="{65B2B476-0473-4E22-AB88-EE9A8E58A6FE}" name="Venstre position">
      <calculatedColumnFormula>IF(AND(NOT(#REF!),#REF!),(#REF!-#REF!)/(#REF!-#REF!),(#REF!-#REF!)/(#REF!-#REF!))</calculatedColumnFormula>
    </tableColumn>
    <tableColumn id="34" xr3:uid="{AFD64756-A12B-4440-B44E-443CE4918F93}" name="Midtpunkt position">
      <calculatedColumnFormula>(#REF!-#REF!)/(#REF!-#REF!)</calculatedColumnFormula>
    </tableColumn>
    <tableColumn id="35" xr3:uid="{D41C1D17-AD29-41E0-B402-E2C804B03786}" name="Højre position">
      <calculatedColumnFormula>IF(AND(#REF!,#REF!),(#REF!-#REF!)/(#REF!-#REF!),(#REF!-#REF!)/(#REF!-#REF!))</calculatedColumnFormula>
    </tableColumn>
    <tableColumn id="36" xr3:uid="{BDCB1ECB-DB84-4D47-B107-158243E172A2}" name="Hypotese"/>
    <tableColumn id="37" xr3:uid="{19659A6E-E090-4C9E-A85B-4886E5B642BE}" name="Synlig" dataDxfId="64">
      <calculatedColumnFormula>_xlfn.AGGREGATE(3,5,#REF!)</calculatedColumnFormula>
    </tableColumn>
    <tableColumn id="38" xr3:uid="{4F4176E5-71C8-440D-82C7-86916B211E42}" name="Antal variable"/>
    <tableColumn id="39" xr3:uid="{364CC891-D1FD-45DA-8542-8790E004EF4C}" name="Indeks"/>
    <tableColumn id="40" xr3:uid="{539871B4-EBEC-4927-955C-DAEB7E2209F1}" name="Diagram titel"/>
    <tableColumn id="41" xr3:uid="{4C0FD3BC-1806-498D-90AD-6D6F34E0B170}" name="X akse titel">
      <calculatedColumnFormula>"Koefficient i stikprøver af størrelsen n = "&amp;K_n&amp;"
fra en population med koefficient = "&amp;IFERROR(ROUND(K_Coefficient_h0,3),"Hypotese ikke angivet")</calculatedColumnFormula>
    </tableColumn>
    <tableColumn id="42" xr3:uid="{CA81FCA2-8EEC-4396-BCA2-A53FB7BCC983}" name="Forudsætning 1" dataDxfId="63"/>
    <tableColumn id="43" xr3:uid="{06E8D855-928A-48DC-A4C2-34AA43F63F95}" name="Kontrol af forudsætning 1" dataDxfId="62">
      <calculatedColumnFormula>NOT(ISNA(K_average))</calculatedColumnFormula>
    </tableColumn>
    <tableColumn id="44" xr3:uid="{4F143FE8-DEAD-4D76-AF8C-5EECD53EA624}" name="Forudsætning 2" dataDxfId="61"/>
    <tableColumn id="45" xr3:uid="{EE021FC8-1C84-492A-9DF6-DD1B9AD8AA28}" name="Kontrol af forudsætning 2" dataDxfId="60"/>
    <tableColumn id="46" xr3:uid="{CF7BF2CF-34A5-4426-B490-79C78B94478A}" name="Forudsætning 3" dataDxfId="59"/>
    <tableColumn id="47" xr3:uid="{48240B19-A03D-4E5C-839C-E3E5B9140974}" name="Kontrol af forudsætning 3" dataDxfId="58"/>
    <tableColumn id="48" xr3:uid="{42FB01B5-F304-4C50-A9F7-2EA42019A380}" name="Forudsætning 4" dataDxfId="57"/>
    <tableColumn id="49" xr3:uid="{7E5E3D81-E354-44DF-A3F3-35A86FD4A30C}" name="Kontrol af forudsætning 4" dataDxfId="56"/>
    <tableColumn id="50" xr3:uid="{6BDBF149-F00A-4F27-8F90-5E7BECE7C246}" name="Stikprøvestørrelse for ønsket fejlmargin" dataDxfId="55"/>
  </tableColumns>
  <tableStyleInfo name="Table 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B3E3183-11F2-41D6-9435-716C8B0F30AC}" name="LineærRegression_Valg" displayName="LineærRegression_Valg" ref="A10:H2510" totalsRowShown="0">
  <autoFilter ref="A10:H2510" xr:uid="{6110E3A0-52BE-4649-9539-49133ABDB0F1}">
    <filterColumn colId="5">
      <filters>
        <filter val="Eksempel 1 (interval)"/>
      </filters>
    </filterColumn>
    <filterColumn colId="6">
      <filters>
        <filter val="Eksempel 2 (interval)"/>
        <filter val="Eksempel 3 (nominal)"/>
      </filters>
    </filterColumn>
  </autoFilter>
  <tableColumns count="8">
    <tableColumn id="1" xr3:uid="{65105B97-5315-4442-B573-9FC1617FB748}" name="Tabel ID">
      <calculatedColumnFormula>ROW(LineærRegression_Valg[[#This Row],[Tabel ID]])-ROW(LineærRegression_Valg[[#Headers],[Tabel ID]])</calculatedColumnFormula>
    </tableColumn>
    <tableColumn id="2" xr3:uid="{F1E00A39-6A5C-49FE-96E2-7EF3759A5EE9}" name="Afhængig variabel ID" dataDxfId="54">
      <calculatedColumnFormula>ROUNDDOWN((LineærRegression_Valg[[#This Row],[Tabel ID]]-1)/$B$5,0)+1</calculatedColumnFormula>
    </tableColumn>
    <tableColumn id="3" xr3:uid="{5334416F-3FA7-4648-B661-02913084F45A}" name="Uafhængig variabel ID" dataDxfId="53">
      <calculatedColumnFormula>MOD(A11-1,$B$5)+1</calculatedColumnFormula>
    </tableColumn>
    <tableColumn id="4" xr3:uid="{5DEFBCE8-C512-4D2A-8D94-386D1E6995E1}" name="Intet overlap" dataDxfId="52">
      <calculatedColumnFormula>LineærRegression_Valg[[#This Row],[Afhængig variabel ID]]&lt;&gt;LineærRegression_Valg[[#This Row],[Uafhængig variabel ID]]</calculatedColumnFormula>
    </tableColumn>
    <tableColumn id="5" xr3:uid="{F78E5E6D-6CF8-4BB7-894C-9A2C4C777579}" name="Indenfor range" dataDxfId="51">
      <calculatedColumnFormula>LineærRegression_Valg[[#This Row],[Afhængig variabel ID]]&lt;=$B$5</calculatedColumnFormula>
    </tableColumn>
    <tableColumn id="6" xr3:uid="{ADD3E8B2-E62E-49AE-808F-A8B6A0EDEBFF}" name="Afhængig variabel" dataDxfId="50">
      <calculatedColumnFormula array="1">IF(LineærRegression_Valg[[#This Row],[Indenfor range]],INDEX(DataTitel_liste,LineærRegression_Valg[[#This Row],[Afhængig variabel ID]]),INDEX(DataTitel_liste,1))</calculatedColumnFormula>
    </tableColumn>
    <tableColumn id="7" xr3:uid="{71728D19-557A-4A50-A20E-E60415C548F3}" name="Uafhængige variable" dataDxfId="49">
      <calculatedColumnFormula array="1">IF(LineærRegression_Valg[[#This Row],[Indenfor range]],IF(LineærRegression_Valg[[#This Row],[Intet overlap]],INDEX(DataTitel_liste,LineærRegression_Valg[[#This Row],[Uafhængig variabel ID]]),INDEX(DataTitel_liste,IF(LineærRegression_Valg[[#This Row],[Afhængig variabel ID]]=1,2,1))),$B$7)</calculatedColumnFormula>
    </tableColumn>
    <tableColumn id="8" xr3:uid="{7782036C-3D4E-49D4-A430-125A7444BDDF}" name="Synlig" dataDxfId="48">
      <calculatedColumnFormula>_xlfn.AGGREGATE(2,5,LineærRegression_Valg[[#This Row],[Tabel ID]])</calculatedColumnFormula>
    </tableColumn>
  </tableColumns>
  <tableStyleInfo name="Table 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C1CDA60-1AD3-44A6-B51F-789F290348A7}" name="ANOVA_valg" displayName="ANOVA_valg" ref="A10:D60" totalsRowShown="0">
  <autoFilter ref="A10:D60" xr:uid="{DC338BB4-7CF1-4850-B79D-4F2247A2D2B1}">
    <filterColumn colId="2">
      <filters>
        <filter val="Eksempel 1 (interval)"/>
        <filter val="Eksempel 2 (interval)"/>
        <filter val="Eksempel 4 (nominal)"/>
      </filters>
    </filterColumn>
  </autoFilter>
  <tableColumns count="4">
    <tableColumn id="1" xr3:uid="{2A1745A0-4675-4ED0-B288-4CB4ADA547F9}" name="Tabel ID" dataDxfId="47"/>
    <tableColumn id="3" xr3:uid="{B014482C-B28B-4DFB-8CCB-E858C32E9F28}" name="Variabel ID" dataDxfId="46">
      <calculatedColumnFormula>MOD(A11-1,$B$5)+1</calculatedColumnFormula>
    </tableColumn>
    <tableColumn id="4" xr3:uid="{62A1D094-B6D9-4B4C-8287-738D08379C7F}" name="Variable i ANOVA" dataDxfId="45">
      <calculatedColumnFormula array="1">INDEX(DataTitelTest_liste,ANOVA_valg[[#This Row],[Variabel ID]])</calculatedColumnFormula>
    </tableColumn>
    <tableColumn id="2" xr3:uid="{19287098-1E9A-427B-8AA3-3BBE77EDCB6A}" name="Synlig" dataDxfId="44">
      <calculatedColumnFormula>_xlfn.AGGREGATE(2,5,ANOVA_valg[[#This Row],[Tabel ID]])</calculatedColumnFormula>
    </tableColumn>
  </tableColumns>
  <tableStyleInfo name="Table 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4C64D7C-2E89-4F68-8156-05AA90EEDEB5}" name="Gen_input_ordinal" displayName="Gen_input_ordinal" ref="P13:Q43" totalsRowShown="0" headerRowDxfId="43" headerRowCellStyle="Normal" dataCellStyle="Normal">
  <autoFilter ref="P13:Q43" xr:uid="{761C1646-5ACB-488E-B9DC-605EBB24367D}">
    <filterColumn colId="0" hiddenButton="1"/>
    <filterColumn colId="1" hiddenButton="1"/>
  </autoFilter>
  <tableColumns count="2">
    <tableColumn id="1" xr3:uid="{89CB3D8B-0E77-4979-9B76-60D9937C91B8}" name="Observationsværdi" dataCellStyle="Normal"/>
    <tableColumn id="2" xr3:uid="{44D02B5F-6676-45DC-968F-D3A73BE48DB9}" name="Ønsket frekvens" dataCellStyle="Normal"/>
  </tableColumns>
  <tableStyleInfo name="Table 7" showFirstColumn="0" showLastColumn="0" showRowStripes="1" showColumnStripes="0"/>
</table>
</file>

<file path=xl/theme/theme1.xml><?xml version="1.0" encoding="utf-8"?>
<a:theme xmlns:a="http://schemas.openxmlformats.org/drawingml/2006/main" name="Business Academy Aarhus, 2017, Danish">
  <a:themeElements>
    <a:clrScheme name="Custom 1">
      <a:dk1>
        <a:sysClr val="windowText" lastClr="000000"/>
      </a:dk1>
      <a:lt1>
        <a:sysClr val="window" lastClr="FFFFFF"/>
      </a:lt1>
      <a:dk2>
        <a:srgbClr val="1F497D"/>
      </a:dk2>
      <a:lt2>
        <a:srgbClr val="EEECE1"/>
      </a:lt2>
      <a:accent1>
        <a:srgbClr val="62B2C4"/>
      </a:accent1>
      <a:accent2>
        <a:srgbClr val="FF7000"/>
      </a:accent2>
      <a:accent3>
        <a:srgbClr val="79B57F"/>
      </a:accent3>
      <a:accent4>
        <a:srgbClr val="B52933"/>
      </a:accent4>
      <a:accent5>
        <a:srgbClr val="613C8D"/>
      </a:accent5>
      <a:accent6>
        <a:srgbClr val="FDD100"/>
      </a:accent6>
      <a:hlink>
        <a:srgbClr val="1F497D"/>
      </a:hlink>
      <a:folHlink>
        <a:srgbClr val="7030A0"/>
      </a:folHlink>
    </a:clrScheme>
    <a:fontScheme name="Tw Cen MT">
      <a:majorFont>
        <a:latin typeface="Tw Cen MT"/>
        <a:ea typeface=""/>
        <a:cs typeface=""/>
      </a:majorFont>
      <a:minorFont>
        <a:latin typeface="Tw Cen MT"/>
        <a:ea typeface=""/>
        <a:cs typeface=""/>
      </a:minorFont>
    </a:fontScheme>
    <a:fmtScheme name="Kont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extLst>
    <a:ext uri="{05A4C25C-085E-4340-85A3-A5531E510DB2}">
      <thm15:themeFamily xmlns:thm15="http://schemas.microsoft.com/office/thememl/2012/main" name="Business Academy Aarhus, 2017, Danish" id="{554348F3-738D-4A8D-BE87-7A68E9448968}" vid="{932C7983-0D3C-4E06-B35C-E8232403A98B}"/>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creativecommons.org/licenses/by-sa/4.0/"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 Id="rId9" Type="http://schemas.microsoft.com/office/2007/relationships/slicer" Target="../slicers/slicer1.xml"/></Relationships>
</file>

<file path=xl/worksheets/_rels/sheet8.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printerSettings" Target="../printerSettings/printerSettings5.bin"/><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table" Target="../tables/table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microsoft.com/office/2007/relationships/slicer" Target="../slicers/slicer2.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microsoft.com/office/2007/relationships/slicer" Target="../slicers/slicer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C4993A-409D-44F9-8542-1665387421B3}">
  <sheetPr codeName="Sheet2">
    <tabColor theme="0"/>
  </sheetPr>
  <dimension ref="A1:E616"/>
  <sheetViews>
    <sheetView showGridLines="0" tabSelected="1" zoomScaleNormal="100" workbookViewId="0"/>
  </sheetViews>
  <sheetFormatPr defaultRowHeight="14.25" x14ac:dyDescent="0.2"/>
  <cols>
    <col min="1" max="1" width="64.5" customWidth="1"/>
    <col min="2" max="2" width="2.75" customWidth="1"/>
    <col min="3" max="4" width="41.125" customWidth="1"/>
    <col min="5" max="5" width="32.125" customWidth="1"/>
  </cols>
  <sheetData>
    <row r="1" spans="1:4" s="1" customFormat="1" ht="18.75" x14ac:dyDescent="0.2">
      <c r="A1" s="1" t="s">
        <v>67</v>
      </c>
      <c r="C1" s="1" t="s">
        <v>1166</v>
      </c>
    </row>
    <row r="2" spans="1:4" x14ac:dyDescent="0.2">
      <c r="A2" s="4" t="s">
        <v>68</v>
      </c>
      <c r="B2" s="4"/>
    </row>
    <row r="3" spans="1:4" x14ac:dyDescent="0.2">
      <c r="A3" s="4" t="s">
        <v>5</v>
      </c>
      <c r="B3" s="4"/>
    </row>
    <row r="4" spans="1:4" x14ac:dyDescent="0.2">
      <c r="A4" s="4"/>
      <c r="B4" s="4"/>
    </row>
    <row r="5" spans="1:4" x14ac:dyDescent="0.2">
      <c r="B5" s="4"/>
    </row>
    <row r="6" spans="1:4" x14ac:dyDescent="0.2">
      <c r="B6" s="4"/>
    </row>
    <row r="7" spans="1:4" x14ac:dyDescent="0.2">
      <c r="B7" s="4"/>
    </row>
    <row r="8" spans="1:4" x14ac:dyDescent="0.2">
      <c r="B8" s="4"/>
    </row>
    <row r="9" spans="1:4" x14ac:dyDescent="0.2">
      <c r="A9" s="3" t="s">
        <v>19</v>
      </c>
      <c r="B9" s="4"/>
    </row>
    <row r="10" spans="1:4" x14ac:dyDescent="0.2">
      <c r="A10" t="s">
        <v>56</v>
      </c>
      <c r="B10" s="4"/>
      <c r="C10" s="15" t="s">
        <v>60</v>
      </c>
      <c r="D10" s="9" t="s">
        <v>59</v>
      </c>
    </row>
    <row r="11" spans="1:4" x14ac:dyDescent="0.2">
      <c r="A11" t="s">
        <v>54</v>
      </c>
      <c r="B11" s="4"/>
      <c r="C11" s="13"/>
      <c r="D11" s="13"/>
    </row>
    <row r="12" spans="1:4" x14ac:dyDescent="0.2">
      <c r="A12" s="14" t="s">
        <v>55</v>
      </c>
      <c r="B12" s="4"/>
      <c r="C12" s="16" t="s">
        <v>66</v>
      </c>
      <c r="D12" s="10" t="s">
        <v>61</v>
      </c>
    </row>
    <row r="13" spans="1:4" x14ac:dyDescent="0.2">
      <c r="A13" s="14" t="s">
        <v>57</v>
      </c>
      <c r="B13" s="4"/>
      <c r="C13" s="17" t="s">
        <v>65</v>
      </c>
      <c r="D13" s="11" t="s">
        <v>62</v>
      </c>
    </row>
    <row r="14" spans="1:4" x14ac:dyDescent="0.2">
      <c r="A14" s="14" t="s">
        <v>58</v>
      </c>
      <c r="B14" s="4"/>
      <c r="C14" s="18" t="s">
        <v>64</v>
      </c>
      <c r="D14" s="12" t="s">
        <v>63</v>
      </c>
    </row>
    <row r="15" spans="1:4" x14ac:dyDescent="0.2">
      <c r="A15" t="s">
        <v>345</v>
      </c>
      <c r="B15" s="4"/>
    </row>
    <row r="16" spans="1:4" x14ac:dyDescent="0.2">
      <c r="A16" t="s">
        <v>346</v>
      </c>
      <c r="B16" s="4"/>
      <c r="C16" s="78" t="s">
        <v>347</v>
      </c>
      <c r="D16" s="106" t="s">
        <v>348</v>
      </c>
    </row>
    <row r="17" spans="1:4" x14ac:dyDescent="0.2">
      <c r="A17" t="s">
        <v>345</v>
      </c>
      <c r="B17" s="4"/>
    </row>
    <row r="18" spans="1:4" x14ac:dyDescent="0.2">
      <c r="A18" t="s">
        <v>395</v>
      </c>
      <c r="B18" s="4"/>
      <c r="C18" s="108" t="s">
        <v>378</v>
      </c>
      <c r="D18" s="107" t="s">
        <v>377</v>
      </c>
    </row>
    <row r="21" spans="1:4" x14ac:dyDescent="0.2">
      <c r="B21" s="4"/>
    </row>
    <row r="22" spans="1:4" x14ac:dyDescent="0.2">
      <c r="B22" s="4"/>
    </row>
    <row r="23" spans="1:4" x14ac:dyDescent="0.2">
      <c r="B23" s="4"/>
    </row>
    <row r="24" spans="1:4" x14ac:dyDescent="0.2">
      <c r="B24" s="4"/>
    </row>
    <row r="25" spans="1:4" x14ac:dyDescent="0.2">
      <c r="A25" s="38" t="s">
        <v>388</v>
      </c>
      <c r="B25" s="4"/>
    </row>
    <row r="26" spans="1:4" x14ac:dyDescent="0.2">
      <c r="B26" s="4"/>
    </row>
    <row r="27" spans="1:4" s="37" customFormat="1" ht="18.75" x14ac:dyDescent="0.2">
      <c r="A27" s="19" t="s">
        <v>20</v>
      </c>
    </row>
    <row r="28" spans="1:4" x14ac:dyDescent="0.2">
      <c r="A28" s="4" t="s">
        <v>212</v>
      </c>
      <c r="B28" s="4"/>
    </row>
    <row r="29" spans="1:4" x14ac:dyDescent="0.2">
      <c r="B29" s="4"/>
    </row>
    <row r="30" spans="1:4" ht="18.75" x14ac:dyDescent="0.2">
      <c r="A30" s="25" t="s">
        <v>60</v>
      </c>
      <c r="B30" s="4"/>
    </row>
    <row r="31" spans="1:4" x14ac:dyDescent="0.2">
      <c r="A31" s="4"/>
      <c r="B31" s="4"/>
    </row>
    <row r="32" spans="1:4" x14ac:dyDescent="0.2">
      <c r="A32" s="3" t="s">
        <v>1097</v>
      </c>
      <c r="B32" s="4"/>
    </row>
    <row r="33" spans="1:3" x14ac:dyDescent="0.2">
      <c r="A33" s="2" t="s">
        <v>7</v>
      </c>
      <c r="B33" s="4"/>
      <c r="C33" s="6" t="s">
        <v>1096</v>
      </c>
    </row>
    <row r="34" spans="1:3" x14ac:dyDescent="0.2">
      <c r="B34" s="4"/>
      <c r="C34" s="4" t="s">
        <v>211</v>
      </c>
    </row>
    <row r="35" spans="1:3" x14ac:dyDescent="0.2">
      <c r="B35" s="4"/>
      <c r="C35" s="4" t="s">
        <v>210</v>
      </c>
    </row>
    <row r="36" spans="1:3" x14ac:dyDescent="0.2">
      <c r="B36" s="4"/>
    </row>
    <row r="37" spans="1:3" x14ac:dyDescent="0.2">
      <c r="A37" s="3" t="s">
        <v>1098</v>
      </c>
      <c r="B37" s="4"/>
    </row>
    <row r="38" spans="1:3" x14ac:dyDescent="0.2">
      <c r="B38" s="4"/>
      <c r="C38" s="4" t="s">
        <v>1099</v>
      </c>
    </row>
    <row r="39" spans="1:3" x14ac:dyDescent="0.2">
      <c r="B39" s="4"/>
      <c r="C39" s="4" t="s">
        <v>1100</v>
      </c>
    </row>
    <row r="40" spans="1:3" x14ac:dyDescent="0.2">
      <c r="B40" s="4"/>
    </row>
    <row r="41" spans="1:3" x14ac:dyDescent="0.2">
      <c r="B41" s="4"/>
    </row>
    <row r="42" spans="1:3" x14ac:dyDescent="0.2">
      <c r="B42" s="4"/>
    </row>
    <row r="43" spans="1:3" x14ac:dyDescent="0.2">
      <c r="B43" s="4"/>
    </row>
    <row r="44" spans="1:3" x14ac:dyDescent="0.2">
      <c r="B44" s="4"/>
    </row>
    <row r="45" spans="1:3" x14ac:dyDescent="0.2">
      <c r="B45" s="4"/>
    </row>
    <row r="46" spans="1:3" x14ac:dyDescent="0.2">
      <c r="B46" s="4"/>
    </row>
    <row r="47" spans="1:3" x14ac:dyDescent="0.2">
      <c r="B47" s="4"/>
    </row>
    <row r="48" spans="1:3" x14ac:dyDescent="0.2">
      <c r="B48" s="4"/>
    </row>
    <row r="49" spans="1:3" x14ac:dyDescent="0.2">
      <c r="B49" s="4"/>
    </row>
    <row r="50" spans="1:3" x14ac:dyDescent="0.2">
      <c r="B50" s="4"/>
    </row>
    <row r="51" spans="1:3" x14ac:dyDescent="0.2">
      <c r="B51" s="4"/>
    </row>
    <row r="52" spans="1:3" x14ac:dyDescent="0.2">
      <c r="B52" s="4"/>
    </row>
    <row r="53" spans="1:3" x14ac:dyDescent="0.2">
      <c r="B53" s="4"/>
    </row>
    <row r="54" spans="1:3" x14ac:dyDescent="0.2">
      <c r="B54" s="4"/>
    </row>
    <row r="55" spans="1:3" x14ac:dyDescent="0.2">
      <c r="B55" s="4"/>
    </row>
    <row r="56" spans="1:3" x14ac:dyDescent="0.2">
      <c r="B56" s="4"/>
    </row>
    <row r="57" spans="1:3" x14ac:dyDescent="0.2">
      <c r="A57" s="3" t="s">
        <v>1103</v>
      </c>
      <c r="B57" s="4"/>
    </row>
    <row r="58" spans="1:3" x14ac:dyDescent="0.2">
      <c r="B58" s="4"/>
      <c r="C58" s="4" t="s">
        <v>194</v>
      </c>
    </row>
    <row r="59" spans="1:3" x14ac:dyDescent="0.2">
      <c r="B59" s="4"/>
      <c r="C59" s="20" t="s">
        <v>193</v>
      </c>
    </row>
    <row r="64" spans="1:3" s="81" customFormat="1" x14ac:dyDescent="0.2"/>
    <row r="69" spans="1:3" s="21" customFormat="1" ht="18.75" x14ac:dyDescent="0.2">
      <c r="A69" s="21" t="s">
        <v>21</v>
      </c>
    </row>
    <row r="70" spans="1:3" x14ac:dyDescent="0.2">
      <c r="A70" s="4" t="s">
        <v>213</v>
      </c>
      <c r="B70" s="4"/>
    </row>
    <row r="71" spans="1:3" x14ac:dyDescent="0.2">
      <c r="B71" s="4"/>
    </row>
    <row r="72" spans="1:3" ht="18.75" x14ac:dyDescent="0.2">
      <c r="A72" s="26" t="s">
        <v>66</v>
      </c>
      <c r="B72" s="4"/>
    </row>
    <row r="73" spans="1:3" x14ac:dyDescent="0.2">
      <c r="B73" s="4"/>
    </row>
    <row r="74" spans="1:3" x14ac:dyDescent="0.2">
      <c r="A74" s="3" t="s">
        <v>69</v>
      </c>
      <c r="B74" s="4"/>
    </row>
    <row r="75" spans="1:3" x14ac:dyDescent="0.2">
      <c r="A75" s="2" t="s">
        <v>18</v>
      </c>
      <c r="B75" s="4"/>
      <c r="C75" s="4" t="s">
        <v>209</v>
      </c>
    </row>
    <row r="76" spans="1:3" x14ac:dyDescent="0.2">
      <c r="B76" s="4"/>
      <c r="C76" s="4" t="s">
        <v>208</v>
      </c>
    </row>
    <row r="78" spans="1:3" x14ac:dyDescent="0.2">
      <c r="A78" s="3" t="s">
        <v>88</v>
      </c>
    </row>
    <row r="79" spans="1:3" x14ac:dyDescent="0.2">
      <c r="C79" t="s">
        <v>71</v>
      </c>
    </row>
    <row r="80" spans="1:3" x14ac:dyDescent="0.2">
      <c r="C80" s="4" t="s">
        <v>204</v>
      </c>
    </row>
    <row r="81" spans="3:3" x14ac:dyDescent="0.2">
      <c r="C81" s="4" t="s">
        <v>205</v>
      </c>
    </row>
    <row r="82" spans="3:3" x14ac:dyDescent="0.2">
      <c r="C82" s="4" t="s">
        <v>206</v>
      </c>
    </row>
    <row r="83" spans="3:3" x14ac:dyDescent="0.2">
      <c r="C83" s="20" t="s">
        <v>207</v>
      </c>
    </row>
    <row r="84" spans="3:3" x14ac:dyDescent="0.2">
      <c r="C84" s="4" t="s">
        <v>70</v>
      </c>
    </row>
    <row r="85" spans="3:3" x14ac:dyDescent="0.2">
      <c r="C85" s="4" t="s">
        <v>72</v>
      </c>
    </row>
    <row r="86" spans="3:3" x14ac:dyDescent="0.2">
      <c r="C86" s="4" t="s">
        <v>74</v>
      </c>
    </row>
    <row r="87" spans="3:3" x14ac:dyDescent="0.2">
      <c r="C87" s="4" t="s">
        <v>75</v>
      </c>
    </row>
    <row r="99" spans="3:3" x14ac:dyDescent="0.2">
      <c r="C99" t="s">
        <v>73</v>
      </c>
    </row>
    <row r="100" spans="3:3" x14ac:dyDescent="0.2">
      <c r="C100" s="4" t="s">
        <v>203</v>
      </c>
    </row>
    <row r="101" spans="3:3" x14ac:dyDescent="0.2">
      <c r="C101" s="4" t="s">
        <v>79</v>
      </c>
    </row>
    <row r="102" spans="3:3" x14ac:dyDescent="0.2">
      <c r="C102" s="4" t="s">
        <v>76</v>
      </c>
    </row>
    <row r="103" spans="3:3" x14ac:dyDescent="0.2">
      <c r="C103" s="4" t="s">
        <v>77</v>
      </c>
    </row>
    <row r="116" spans="3:3" x14ac:dyDescent="0.2">
      <c r="C116" t="s">
        <v>78</v>
      </c>
    </row>
    <row r="117" spans="3:3" x14ac:dyDescent="0.2">
      <c r="C117" s="4" t="s">
        <v>202</v>
      </c>
    </row>
    <row r="118" spans="3:3" x14ac:dyDescent="0.2">
      <c r="C118" s="4" t="s">
        <v>80</v>
      </c>
    </row>
    <row r="134" spans="2:3" x14ac:dyDescent="0.2">
      <c r="C134" t="s">
        <v>81</v>
      </c>
    </row>
    <row r="135" spans="2:3" x14ac:dyDescent="0.2">
      <c r="C135" s="4" t="s">
        <v>201</v>
      </c>
    </row>
    <row r="136" spans="2:3" x14ac:dyDescent="0.2">
      <c r="C136" s="4" t="s">
        <v>86</v>
      </c>
    </row>
    <row r="137" spans="2:3" x14ac:dyDescent="0.2">
      <c r="C137" s="4" t="s">
        <v>87</v>
      </c>
    </row>
    <row r="138" spans="2:3" x14ac:dyDescent="0.2">
      <c r="C138" s="4" t="s">
        <v>82</v>
      </c>
    </row>
    <row r="139" spans="2:3" x14ac:dyDescent="0.2">
      <c r="C139" s="4" t="s">
        <v>84</v>
      </c>
    </row>
    <row r="140" spans="2:3" x14ac:dyDescent="0.2">
      <c r="B140" s="4"/>
      <c r="C140" s="4" t="s">
        <v>85</v>
      </c>
    </row>
    <row r="141" spans="2:3" x14ac:dyDescent="0.2">
      <c r="B141" s="4"/>
      <c r="C141" s="4" t="s">
        <v>83</v>
      </c>
    </row>
    <row r="142" spans="2:3" x14ac:dyDescent="0.2">
      <c r="B142" s="4"/>
    </row>
    <row r="143" spans="2:3" x14ac:dyDescent="0.2">
      <c r="B143" s="4"/>
    </row>
    <row r="144" spans="2:3" x14ac:dyDescent="0.2">
      <c r="B144" s="4"/>
    </row>
    <row r="145" spans="1:3" x14ac:dyDescent="0.2">
      <c r="B145" s="4"/>
    </row>
    <row r="146" spans="1:3" x14ac:dyDescent="0.2">
      <c r="B146" s="4"/>
    </row>
    <row r="147" spans="1:3" x14ac:dyDescent="0.2">
      <c r="B147" s="4"/>
    </row>
    <row r="148" spans="1:3" x14ac:dyDescent="0.2">
      <c r="B148" s="4"/>
    </row>
    <row r="149" spans="1:3" x14ac:dyDescent="0.2">
      <c r="B149" s="4"/>
    </row>
    <row r="150" spans="1:3" x14ac:dyDescent="0.2">
      <c r="B150" s="4"/>
    </row>
    <row r="151" spans="1:3" x14ac:dyDescent="0.2">
      <c r="B151" s="4"/>
    </row>
    <row r="152" spans="1:3" x14ac:dyDescent="0.2">
      <c r="A152" s="3" t="s">
        <v>250</v>
      </c>
      <c r="B152" s="4"/>
    </row>
    <row r="153" spans="1:3" x14ac:dyDescent="0.2">
      <c r="A153" s="24" t="s">
        <v>94</v>
      </c>
      <c r="B153" s="4"/>
      <c r="C153" s="4" t="s">
        <v>95</v>
      </c>
    </row>
    <row r="154" spans="1:3" x14ac:dyDescent="0.2">
      <c r="B154" s="4"/>
    </row>
    <row r="155" spans="1:3" x14ac:dyDescent="0.2">
      <c r="B155" s="4"/>
    </row>
    <row r="156" spans="1:3" x14ac:dyDescent="0.2">
      <c r="B156" s="4"/>
      <c r="C156" t="s">
        <v>187</v>
      </c>
    </row>
    <row r="157" spans="1:3" x14ac:dyDescent="0.2">
      <c r="B157" s="4"/>
      <c r="C157" s="4" t="s">
        <v>192</v>
      </c>
    </row>
    <row r="158" spans="1:3" x14ac:dyDescent="0.2">
      <c r="B158" s="4"/>
      <c r="C158" s="4" t="s">
        <v>188</v>
      </c>
    </row>
    <row r="159" spans="1:3" x14ac:dyDescent="0.2">
      <c r="B159" s="4"/>
      <c r="C159" s="4" t="s">
        <v>191</v>
      </c>
    </row>
    <row r="160" spans="1:3" x14ac:dyDescent="0.2">
      <c r="B160" s="4"/>
      <c r="C160" s="20" t="s">
        <v>189</v>
      </c>
    </row>
    <row r="161" spans="1:3" x14ac:dyDescent="0.2">
      <c r="B161" s="4"/>
      <c r="C161" s="20" t="s">
        <v>190</v>
      </c>
    </row>
    <row r="162" spans="1:3" x14ac:dyDescent="0.2">
      <c r="B162" s="4"/>
    </row>
    <row r="163" spans="1:3" x14ac:dyDescent="0.2">
      <c r="B163" s="4"/>
    </row>
    <row r="164" spans="1:3" x14ac:dyDescent="0.2">
      <c r="B164" s="4"/>
    </row>
    <row r="165" spans="1:3" x14ac:dyDescent="0.2">
      <c r="B165" s="4"/>
    </row>
    <row r="167" spans="1:3" s="80" customFormat="1" x14ac:dyDescent="0.2"/>
    <row r="168" spans="1:3" x14ac:dyDescent="0.2">
      <c r="B168" s="4"/>
    </row>
    <row r="169" spans="1:3" x14ac:dyDescent="0.2">
      <c r="B169" s="4"/>
    </row>
    <row r="170" spans="1:3" x14ac:dyDescent="0.2">
      <c r="B170" s="4"/>
    </row>
    <row r="171" spans="1:3" x14ac:dyDescent="0.2">
      <c r="B171" s="4"/>
    </row>
    <row r="172" spans="1:3" x14ac:dyDescent="0.2">
      <c r="B172" s="4"/>
    </row>
    <row r="173" spans="1:3" x14ac:dyDescent="0.2">
      <c r="B173" s="4"/>
    </row>
    <row r="174" spans="1:3" x14ac:dyDescent="0.2">
      <c r="B174" s="4"/>
    </row>
    <row r="175" spans="1:3" x14ac:dyDescent="0.2">
      <c r="B175" s="4"/>
    </row>
    <row r="176" spans="1:3" s="36" customFormat="1" ht="18.75" x14ac:dyDescent="0.2">
      <c r="A176" s="22" t="s">
        <v>22</v>
      </c>
    </row>
    <row r="177" spans="1:3" x14ac:dyDescent="0.2">
      <c r="A177" s="4" t="s">
        <v>214</v>
      </c>
      <c r="B177" s="4"/>
    </row>
    <row r="178" spans="1:3" x14ac:dyDescent="0.2">
      <c r="B178" s="4"/>
    </row>
    <row r="179" spans="1:3" ht="18.75" x14ac:dyDescent="0.2">
      <c r="A179" s="27" t="s">
        <v>65</v>
      </c>
      <c r="B179" s="4"/>
    </row>
    <row r="180" spans="1:3" x14ac:dyDescent="0.2">
      <c r="B180" s="4"/>
    </row>
    <row r="181" spans="1:3" x14ac:dyDescent="0.2">
      <c r="B181" s="4"/>
    </row>
    <row r="182" spans="1:3" x14ac:dyDescent="0.2">
      <c r="A182" s="3" t="s">
        <v>197</v>
      </c>
      <c r="B182" s="4"/>
    </row>
    <row r="183" spans="1:3" x14ac:dyDescent="0.2">
      <c r="A183" s="2" t="s">
        <v>18</v>
      </c>
      <c r="B183" s="4"/>
      <c r="C183" s="4" t="s">
        <v>200</v>
      </c>
    </row>
    <row r="184" spans="1:3" x14ac:dyDescent="0.2">
      <c r="B184" s="4"/>
      <c r="C184" s="4" t="s">
        <v>195</v>
      </c>
    </row>
    <row r="186" spans="1:3" x14ac:dyDescent="0.2">
      <c r="A186" s="3" t="s">
        <v>199</v>
      </c>
      <c r="B186" s="4"/>
    </row>
    <row r="187" spans="1:3" x14ac:dyDescent="0.2">
      <c r="A187" s="2" t="s">
        <v>18</v>
      </c>
      <c r="B187" s="4"/>
      <c r="C187" s="4" t="s">
        <v>196</v>
      </c>
    </row>
    <row r="188" spans="1:3" x14ac:dyDescent="0.2">
      <c r="B188" s="4"/>
      <c r="C188" s="4"/>
    </row>
    <row r="189" spans="1:3" x14ac:dyDescent="0.2">
      <c r="A189" s="3" t="s">
        <v>198</v>
      </c>
      <c r="B189" s="4"/>
    </row>
    <row r="190" spans="1:3" x14ac:dyDescent="0.2">
      <c r="A190" s="2" t="s">
        <v>18</v>
      </c>
      <c r="C190" s="4" t="s">
        <v>252</v>
      </c>
    </row>
    <row r="191" spans="1:3" x14ac:dyDescent="0.2">
      <c r="C191" s="4" t="s">
        <v>93</v>
      </c>
    </row>
    <row r="192" spans="1:3" x14ac:dyDescent="0.2">
      <c r="C192" s="4"/>
    </row>
    <row r="193" spans="1:3" x14ac:dyDescent="0.2">
      <c r="A193" s="3" t="s">
        <v>216</v>
      </c>
      <c r="C193" s="4"/>
    </row>
    <row r="194" spans="1:3" x14ac:dyDescent="0.2">
      <c r="C194" s="4" t="s">
        <v>223</v>
      </c>
    </row>
    <row r="195" spans="1:3" x14ac:dyDescent="0.2">
      <c r="C195" s="4" t="s">
        <v>226</v>
      </c>
    </row>
    <row r="196" spans="1:3" x14ac:dyDescent="0.2">
      <c r="C196" s="4"/>
    </row>
    <row r="197" spans="1:3" x14ac:dyDescent="0.2">
      <c r="C197" s="4"/>
    </row>
    <row r="198" spans="1:3" x14ac:dyDescent="0.2">
      <c r="C198" s="4"/>
    </row>
    <row r="199" spans="1:3" x14ac:dyDescent="0.2">
      <c r="C199" s="4"/>
    </row>
    <row r="200" spans="1:3" x14ac:dyDescent="0.2">
      <c r="C200" s="4"/>
    </row>
    <row r="201" spans="1:3" x14ac:dyDescent="0.2">
      <c r="C201" s="4"/>
    </row>
    <row r="202" spans="1:3" x14ac:dyDescent="0.2">
      <c r="C202" s="4"/>
    </row>
    <row r="203" spans="1:3" x14ac:dyDescent="0.2">
      <c r="C203" s="4"/>
    </row>
    <row r="204" spans="1:3" x14ac:dyDescent="0.2">
      <c r="C204" s="4"/>
    </row>
    <row r="205" spans="1:3" x14ac:dyDescent="0.2">
      <c r="C205" s="4"/>
    </row>
    <row r="206" spans="1:3" x14ac:dyDescent="0.2">
      <c r="C206" s="4"/>
    </row>
    <row r="207" spans="1:3" x14ac:dyDescent="0.2">
      <c r="C207" s="4"/>
    </row>
    <row r="208" spans="1:3" x14ac:dyDescent="0.2">
      <c r="C208" s="4"/>
    </row>
    <row r="209" spans="1:3" x14ac:dyDescent="0.2">
      <c r="C209" s="4"/>
    </row>
    <row r="211" spans="1:3" x14ac:dyDescent="0.2">
      <c r="A211" s="3" t="s">
        <v>217</v>
      </c>
      <c r="C211" s="4"/>
    </row>
    <row r="212" spans="1:3" x14ac:dyDescent="0.2">
      <c r="C212" s="4" t="s">
        <v>222</v>
      </c>
    </row>
    <row r="213" spans="1:3" x14ac:dyDescent="0.2">
      <c r="C213" s="4" t="s">
        <v>225</v>
      </c>
    </row>
    <row r="214" spans="1:3" x14ac:dyDescent="0.2">
      <c r="C214" s="4"/>
    </row>
    <row r="215" spans="1:3" x14ac:dyDescent="0.2">
      <c r="C215" s="4"/>
    </row>
    <row r="216" spans="1:3" x14ac:dyDescent="0.2">
      <c r="C216" s="4"/>
    </row>
    <row r="217" spans="1:3" x14ac:dyDescent="0.2">
      <c r="C217" s="4"/>
    </row>
    <row r="218" spans="1:3" x14ac:dyDescent="0.2">
      <c r="C218" s="4"/>
    </row>
    <row r="219" spans="1:3" x14ac:dyDescent="0.2">
      <c r="C219" s="4"/>
    </row>
    <row r="220" spans="1:3" x14ac:dyDescent="0.2">
      <c r="C220" s="4"/>
    </row>
    <row r="221" spans="1:3" x14ac:dyDescent="0.2">
      <c r="C221" s="4"/>
    </row>
    <row r="222" spans="1:3" x14ac:dyDescent="0.2">
      <c r="C222" s="4"/>
    </row>
    <row r="223" spans="1:3" x14ac:dyDescent="0.2">
      <c r="C223" s="4"/>
    </row>
    <row r="224" spans="1:3" x14ac:dyDescent="0.2">
      <c r="C224" s="4"/>
    </row>
    <row r="225" spans="1:3" x14ac:dyDescent="0.2">
      <c r="C225" s="4"/>
    </row>
    <row r="226" spans="1:3" x14ac:dyDescent="0.2">
      <c r="C226" s="4"/>
    </row>
    <row r="227" spans="1:3" x14ac:dyDescent="0.2">
      <c r="C227" s="4"/>
    </row>
    <row r="228" spans="1:3" x14ac:dyDescent="0.2">
      <c r="C228" s="4"/>
    </row>
    <row r="229" spans="1:3" x14ac:dyDescent="0.2">
      <c r="A229" s="3" t="s">
        <v>218</v>
      </c>
      <c r="C229" s="4"/>
    </row>
    <row r="230" spans="1:3" x14ac:dyDescent="0.2">
      <c r="C230" s="4" t="s">
        <v>224</v>
      </c>
    </row>
    <row r="231" spans="1:3" x14ac:dyDescent="0.2">
      <c r="C231" s="4" t="s">
        <v>220</v>
      </c>
    </row>
    <row r="232" spans="1:3" x14ac:dyDescent="0.2">
      <c r="C232" s="4" t="s">
        <v>221</v>
      </c>
    </row>
    <row r="233" spans="1:3" x14ac:dyDescent="0.2">
      <c r="C233" s="4" t="s">
        <v>227</v>
      </c>
    </row>
    <row r="234" spans="1:3" x14ac:dyDescent="0.2">
      <c r="C234" s="4" t="s">
        <v>228</v>
      </c>
    </row>
    <row r="235" spans="1:3" x14ac:dyDescent="0.2">
      <c r="C235" s="4"/>
    </row>
    <row r="236" spans="1:3" x14ac:dyDescent="0.2">
      <c r="C236" s="4"/>
    </row>
    <row r="237" spans="1:3" x14ac:dyDescent="0.2">
      <c r="C237" s="4"/>
    </row>
    <row r="238" spans="1:3" x14ac:dyDescent="0.2">
      <c r="C238" s="4"/>
    </row>
    <row r="239" spans="1:3" x14ac:dyDescent="0.2">
      <c r="C239" s="4"/>
    </row>
    <row r="240" spans="1:3" x14ac:dyDescent="0.2">
      <c r="C240" s="4"/>
    </row>
    <row r="241" spans="1:4" x14ac:dyDescent="0.2">
      <c r="C241" s="4"/>
    </row>
    <row r="242" spans="1:4" x14ac:dyDescent="0.2">
      <c r="C242" s="4"/>
    </row>
    <row r="243" spans="1:4" x14ac:dyDescent="0.2">
      <c r="C243" s="4"/>
    </row>
    <row r="244" spans="1:4" x14ac:dyDescent="0.2">
      <c r="C244" s="4"/>
    </row>
    <row r="245" spans="1:4" x14ac:dyDescent="0.2">
      <c r="C245" s="4"/>
    </row>
    <row r="246" spans="1:4" x14ac:dyDescent="0.2">
      <c r="C246" s="4"/>
    </row>
    <row r="247" spans="1:4" x14ac:dyDescent="0.2">
      <c r="A247" s="3" t="s">
        <v>229</v>
      </c>
    </row>
    <row r="248" spans="1:4" x14ac:dyDescent="0.2">
      <c r="D248" s="4" t="s">
        <v>231</v>
      </c>
    </row>
    <row r="249" spans="1:4" x14ac:dyDescent="0.2">
      <c r="D249" s="4" t="s">
        <v>232</v>
      </c>
    </row>
    <row r="250" spans="1:4" x14ac:dyDescent="0.2">
      <c r="D250" s="4" t="s">
        <v>233</v>
      </c>
    </row>
    <row r="251" spans="1:4" x14ac:dyDescent="0.2">
      <c r="D251" s="20" t="s">
        <v>234</v>
      </c>
    </row>
    <row r="255" spans="1:4" x14ac:dyDescent="0.2">
      <c r="A255" s="3" t="s">
        <v>230</v>
      </c>
    </row>
    <row r="256" spans="1:4" x14ac:dyDescent="0.2">
      <c r="D256" s="4" t="s">
        <v>235</v>
      </c>
    </row>
    <row r="257" spans="4:4" x14ac:dyDescent="0.2">
      <c r="D257" s="4" t="s">
        <v>236</v>
      </c>
    </row>
    <row r="258" spans="4:4" x14ac:dyDescent="0.2">
      <c r="D258" s="4" t="s">
        <v>240</v>
      </c>
    </row>
    <row r="259" spans="4:4" x14ac:dyDescent="0.2">
      <c r="D259" s="33" t="s">
        <v>239</v>
      </c>
    </row>
    <row r="260" spans="4:4" x14ac:dyDescent="0.2">
      <c r="D260" s="32" t="s">
        <v>241</v>
      </c>
    </row>
    <row r="261" spans="4:4" x14ac:dyDescent="0.2">
      <c r="D261" s="32" t="s">
        <v>237</v>
      </c>
    </row>
    <row r="262" spans="4:4" x14ac:dyDescent="0.2">
      <c r="D262" s="32" t="s">
        <v>238</v>
      </c>
    </row>
    <row r="263" spans="4:4" x14ac:dyDescent="0.2">
      <c r="D263" s="34" t="s">
        <v>243</v>
      </c>
    </row>
    <row r="264" spans="4:4" x14ac:dyDescent="0.2">
      <c r="D264" s="33" t="s">
        <v>244</v>
      </c>
    </row>
    <row r="265" spans="4:4" x14ac:dyDescent="0.2">
      <c r="D265" s="34" t="s">
        <v>242</v>
      </c>
    </row>
    <row r="266" spans="4:4" x14ac:dyDescent="0.2">
      <c r="D266" s="33" t="s">
        <v>245</v>
      </c>
    </row>
    <row r="267" spans="4:4" x14ac:dyDescent="0.2">
      <c r="D267" s="33" t="s">
        <v>246</v>
      </c>
    </row>
    <row r="268" spans="4:4" x14ac:dyDescent="0.2">
      <c r="D268" s="33" t="s">
        <v>247</v>
      </c>
    </row>
    <row r="269" spans="4:4" x14ac:dyDescent="0.2">
      <c r="D269" s="33" t="s">
        <v>248</v>
      </c>
    </row>
    <row r="270" spans="4:4" x14ac:dyDescent="0.2">
      <c r="D270" s="33" t="s">
        <v>249</v>
      </c>
    </row>
    <row r="272" spans="4:4" s="82" customFormat="1" x14ac:dyDescent="0.2">
      <c r="D272" s="83"/>
    </row>
    <row r="273" spans="1:4" x14ac:dyDescent="0.2">
      <c r="D273" s="33"/>
    </row>
    <row r="274" spans="1:4" x14ac:dyDescent="0.2">
      <c r="D274" s="33"/>
    </row>
    <row r="278" spans="1:4" x14ac:dyDescent="0.2">
      <c r="B278" s="4"/>
    </row>
    <row r="279" spans="1:4" x14ac:dyDescent="0.2">
      <c r="B279" s="4"/>
    </row>
    <row r="280" spans="1:4" x14ac:dyDescent="0.2">
      <c r="B280" s="4"/>
    </row>
    <row r="281" spans="1:4" s="35" customFormat="1" ht="18.75" x14ac:dyDescent="0.2">
      <c r="A281" s="23" t="s">
        <v>23</v>
      </c>
    </row>
    <row r="282" spans="1:4" x14ac:dyDescent="0.2">
      <c r="A282" s="4" t="s">
        <v>215</v>
      </c>
      <c r="B282" s="4"/>
    </row>
    <row r="284" spans="1:4" ht="18.75" x14ac:dyDescent="0.2">
      <c r="A284" s="28" t="s">
        <v>64</v>
      </c>
    </row>
    <row r="286" spans="1:4" x14ac:dyDescent="0.2">
      <c r="A286" s="3" t="s">
        <v>89</v>
      </c>
    </row>
    <row r="287" spans="1:4" x14ac:dyDescent="0.2">
      <c r="A287" s="2" t="s">
        <v>18</v>
      </c>
      <c r="C287" s="4" t="s">
        <v>90</v>
      </c>
    </row>
    <row r="288" spans="1:4" x14ac:dyDescent="0.2">
      <c r="C288" s="4" t="s">
        <v>251</v>
      </c>
    </row>
    <row r="292" spans="1:3" x14ac:dyDescent="0.2">
      <c r="A292" s="3" t="s">
        <v>91</v>
      </c>
    </row>
    <row r="293" spans="1:3" x14ac:dyDescent="0.2">
      <c r="A293" s="2" t="s">
        <v>18</v>
      </c>
      <c r="C293" s="4" t="s">
        <v>90</v>
      </c>
    </row>
    <row r="294" spans="1:3" x14ac:dyDescent="0.2">
      <c r="C294" s="4" t="s">
        <v>256</v>
      </c>
    </row>
    <row r="295" spans="1:3" x14ac:dyDescent="0.2">
      <c r="C295" s="4" t="s">
        <v>253</v>
      </c>
    </row>
    <row r="296" spans="1:3" x14ac:dyDescent="0.2">
      <c r="C296" s="20" t="s">
        <v>254</v>
      </c>
    </row>
    <row r="308" spans="1:3" x14ac:dyDescent="0.2">
      <c r="A308" s="3" t="s">
        <v>92</v>
      </c>
    </row>
    <row r="309" spans="1:3" x14ac:dyDescent="0.2">
      <c r="A309" s="2" t="s">
        <v>18</v>
      </c>
      <c r="C309" s="4" t="s">
        <v>255</v>
      </c>
    </row>
    <row r="310" spans="1:3" x14ac:dyDescent="0.2">
      <c r="C310" s="4" t="s">
        <v>93</v>
      </c>
    </row>
    <row r="311" spans="1:3" x14ac:dyDescent="0.2">
      <c r="B311" s="4"/>
    </row>
    <row r="312" spans="1:3" x14ac:dyDescent="0.2">
      <c r="B312" s="4"/>
    </row>
    <row r="314" spans="1:3" x14ac:dyDescent="0.2">
      <c r="A314" s="3" t="s">
        <v>257</v>
      </c>
    </row>
    <row r="315" spans="1:3" x14ac:dyDescent="0.2">
      <c r="A315" s="2" t="s">
        <v>260</v>
      </c>
      <c r="C315" s="4" t="s">
        <v>258</v>
      </c>
    </row>
    <row r="316" spans="1:3" x14ac:dyDescent="0.2">
      <c r="C316" s="4" t="s">
        <v>97</v>
      </c>
    </row>
    <row r="317" spans="1:3" x14ac:dyDescent="0.2">
      <c r="C317" s="20" t="s">
        <v>96</v>
      </c>
    </row>
    <row r="318" spans="1:3" x14ac:dyDescent="0.2">
      <c r="C318" s="20" t="s">
        <v>259</v>
      </c>
    </row>
    <row r="319" spans="1:3" x14ac:dyDescent="0.2">
      <c r="C319" s="4" t="s">
        <v>98</v>
      </c>
    </row>
    <row r="320" spans="1:3" x14ac:dyDescent="0.2">
      <c r="C320" s="4" t="s">
        <v>99</v>
      </c>
    </row>
    <row r="321" spans="2:3" x14ac:dyDescent="0.2">
      <c r="C321" s="4" t="s">
        <v>100</v>
      </c>
    </row>
    <row r="323" spans="2:3" x14ac:dyDescent="0.2">
      <c r="B323" s="4"/>
    </row>
    <row r="324" spans="2:3" x14ac:dyDescent="0.2">
      <c r="B324" s="4"/>
    </row>
    <row r="325" spans="2:3" x14ac:dyDescent="0.2">
      <c r="B325" s="4"/>
    </row>
    <row r="346" spans="1:3" x14ac:dyDescent="0.2">
      <c r="A346" s="3" t="s">
        <v>261</v>
      </c>
    </row>
    <row r="347" spans="1:3" x14ac:dyDescent="0.2">
      <c r="A347" s="2" t="s">
        <v>18</v>
      </c>
      <c r="C347" s="4" t="s">
        <v>262</v>
      </c>
    </row>
    <row r="353" spans="1:3" x14ac:dyDescent="0.2">
      <c r="C353" s="4" t="s">
        <v>114</v>
      </c>
    </row>
    <row r="354" spans="1:3" x14ac:dyDescent="0.2">
      <c r="C354" s="4" t="s">
        <v>263</v>
      </c>
    </row>
    <row r="355" spans="1:3" x14ac:dyDescent="0.2">
      <c r="C355" s="4" t="s">
        <v>276</v>
      </c>
    </row>
    <row r="366" spans="1:3" x14ac:dyDescent="0.2">
      <c r="A366" s="3" t="s">
        <v>264</v>
      </c>
      <c r="C366" s="4"/>
    </row>
    <row r="367" spans="1:3" x14ac:dyDescent="0.2">
      <c r="C367" s="4" t="s">
        <v>265</v>
      </c>
    </row>
    <row r="368" spans="1:3" x14ac:dyDescent="0.2">
      <c r="C368" s="4" t="s">
        <v>111</v>
      </c>
    </row>
    <row r="369" spans="3:3" x14ac:dyDescent="0.2">
      <c r="C369" s="4" t="s">
        <v>266</v>
      </c>
    </row>
    <row r="370" spans="3:3" x14ac:dyDescent="0.2">
      <c r="C370" s="4" t="s">
        <v>267</v>
      </c>
    </row>
    <row r="371" spans="3:3" x14ac:dyDescent="0.2">
      <c r="C371" s="4" t="s">
        <v>268</v>
      </c>
    </row>
    <row r="372" spans="3:3" x14ac:dyDescent="0.2">
      <c r="C372" s="4" t="s">
        <v>269</v>
      </c>
    </row>
    <row r="373" spans="3:3" x14ac:dyDescent="0.2">
      <c r="C373" s="4" t="s">
        <v>270</v>
      </c>
    </row>
    <row r="374" spans="3:3" x14ac:dyDescent="0.2">
      <c r="C374" s="4" t="s">
        <v>112</v>
      </c>
    </row>
    <row r="399" spans="1:3" x14ac:dyDescent="0.2">
      <c r="A399" s="3"/>
    </row>
    <row r="400" spans="1:3" x14ac:dyDescent="0.2">
      <c r="C400" s="4" t="s">
        <v>271</v>
      </c>
    </row>
    <row r="401" spans="3:3" x14ac:dyDescent="0.2">
      <c r="C401" s="4" t="s">
        <v>101</v>
      </c>
    </row>
    <row r="402" spans="3:3" x14ac:dyDescent="0.2">
      <c r="C402" s="4" t="s">
        <v>105</v>
      </c>
    </row>
    <row r="403" spans="3:3" x14ac:dyDescent="0.2">
      <c r="C403" s="4" t="s">
        <v>104</v>
      </c>
    </row>
    <row r="404" spans="3:3" x14ac:dyDescent="0.2">
      <c r="C404" s="4" t="s">
        <v>103</v>
      </c>
    </row>
    <row r="405" spans="3:3" x14ac:dyDescent="0.2">
      <c r="C405" s="4" t="s">
        <v>102</v>
      </c>
    </row>
    <row r="419" spans="3:3" x14ac:dyDescent="0.2">
      <c r="C419" s="4" t="s">
        <v>272</v>
      </c>
    </row>
    <row r="420" spans="3:3" x14ac:dyDescent="0.2">
      <c r="C420" s="4" t="s">
        <v>115</v>
      </c>
    </row>
    <row r="421" spans="3:3" x14ac:dyDescent="0.2">
      <c r="C421" s="4" t="s">
        <v>118</v>
      </c>
    </row>
    <row r="437" spans="3:3" x14ac:dyDescent="0.2">
      <c r="C437" s="4" t="s">
        <v>273</v>
      </c>
    </row>
    <row r="438" spans="3:3" x14ac:dyDescent="0.2">
      <c r="C438" s="4" t="s">
        <v>116</v>
      </c>
    </row>
    <row r="439" spans="3:3" x14ac:dyDescent="0.2">
      <c r="C439" s="4" t="s">
        <v>117</v>
      </c>
    </row>
    <row r="457" spans="3:3" x14ac:dyDescent="0.2">
      <c r="C457" s="4" t="s">
        <v>106</v>
      </c>
    </row>
    <row r="458" spans="3:3" x14ac:dyDescent="0.2">
      <c r="C458" s="4" t="s">
        <v>107</v>
      </c>
    </row>
    <row r="459" spans="3:3" x14ac:dyDescent="0.2">
      <c r="C459" s="4" t="s">
        <v>110</v>
      </c>
    </row>
    <row r="460" spans="3:3" x14ac:dyDescent="0.2">
      <c r="C460" s="4" t="s">
        <v>274</v>
      </c>
    </row>
    <row r="461" spans="3:3" x14ac:dyDescent="0.2">
      <c r="C461" s="4" t="s">
        <v>108</v>
      </c>
    </row>
    <row r="462" spans="3:3" x14ac:dyDescent="0.2">
      <c r="C462" s="4" t="s">
        <v>109</v>
      </c>
    </row>
    <row r="463" spans="3:3" x14ac:dyDescent="0.2">
      <c r="C463" s="4" t="s">
        <v>119</v>
      </c>
    </row>
    <row r="464" spans="3:3" x14ac:dyDescent="0.2">
      <c r="C464" s="4" t="s">
        <v>121</v>
      </c>
    </row>
    <row r="465" spans="3:3" x14ac:dyDescent="0.2">
      <c r="C465" s="4" t="s">
        <v>120</v>
      </c>
    </row>
    <row r="486" spans="3:3" x14ac:dyDescent="0.2">
      <c r="C486" s="4" t="s">
        <v>275</v>
      </c>
    </row>
    <row r="494" spans="3:3" s="84" customFormat="1" x14ac:dyDescent="0.2"/>
    <row r="503" spans="1:2" s="85" customFormat="1" ht="18.75" x14ac:dyDescent="0.2">
      <c r="A503" s="85" t="s">
        <v>349</v>
      </c>
    </row>
    <row r="504" spans="1:2" x14ac:dyDescent="0.2">
      <c r="A504" s="4" t="s">
        <v>350</v>
      </c>
      <c r="B504" s="4"/>
    </row>
    <row r="505" spans="1:2" x14ac:dyDescent="0.2">
      <c r="B505" s="4"/>
    </row>
    <row r="506" spans="1:2" ht="18.75" x14ac:dyDescent="0.2">
      <c r="A506" s="79" t="s">
        <v>351</v>
      </c>
      <c r="B506" s="4"/>
    </row>
    <row r="507" spans="1:2" x14ac:dyDescent="0.2">
      <c r="A507" s="3" t="s">
        <v>353</v>
      </c>
      <c r="B507" s="4"/>
    </row>
    <row r="508" spans="1:2" x14ac:dyDescent="0.2">
      <c r="A508" s="2" t="s">
        <v>18</v>
      </c>
      <c r="B508" s="4"/>
    </row>
    <row r="509" spans="1:2" x14ac:dyDescent="0.2">
      <c r="B509" s="4"/>
    </row>
    <row r="510" spans="1:2" x14ac:dyDescent="0.2">
      <c r="B510" s="4"/>
    </row>
    <row r="511" spans="1:2" x14ac:dyDescent="0.2">
      <c r="A511" s="3" t="s">
        <v>354</v>
      </c>
      <c r="B511" s="4"/>
    </row>
    <row r="512" spans="1:2" x14ac:dyDescent="0.2">
      <c r="B512" s="4"/>
    </row>
    <row r="513" spans="2:2" x14ac:dyDescent="0.2">
      <c r="B513" s="4"/>
    </row>
    <row r="514" spans="2:2" x14ac:dyDescent="0.2">
      <c r="B514" s="4"/>
    </row>
    <row r="515" spans="2:2" x14ac:dyDescent="0.2">
      <c r="B515" s="4"/>
    </row>
    <row r="516" spans="2:2" x14ac:dyDescent="0.2">
      <c r="B516" s="4"/>
    </row>
    <row r="517" spans="2:2" x14ac:dyDescent="0.2">
      <c r="B517" s="4"/>
    </row>
    <row r="518" spans="2:2" x14ac:dyDescent="0.2">
      <c r="B518" s="4"/>
    </row>
    <row r="519" spans="2:2" x14ac:dyDescent="0.2">
      <c r="B519" s="4"/>
    </row>
    <row r="520" spans="2:2" x14ac:dyDescent="0.2">
      <c r="B520" s="4"/>
    </row>
    <row r="521" spans="2:2" x14ac:dyDescent="0.2">
      <c r="B521" s="4"/>
    </row>
    <row r="522" spans="2:2" x14ac:dyDescent="0.2">
      <c r="B522" s="4"/>
    </row>
    <row r="550" spans="1:1" s="100" customFormat="1" x14ac:dyDescent="0.2"/>
    <row r="559" spans="1:1" s="103" customFormat="1" ht="18.75" x14ac:dyDescent="0.2">
      <c r="A559" s="102" t="s">
        <v>373</v>
      </c>
    </row>
    <row r="561" spans="1:3" ht="18.75" x14ac:dyDescent="0.2">
      <c r="A561" s="104" t="s">
        <v>372</v>
      </c>
      <c r="B561" s="4"/>
    </row>
    <row r="562" spans="1:3" x14ac:dyDescent="0.2">
      <c r="A562" s="3" t="s">
        <v>353</v>
      </c>
    </row>
    <row r="563" spans="1:3" x14ac:dyDescent="0.2">
      <c r="A563" s="2" t="s">
        <v>18</v>
      </c>
    </row>
    <row r="566" spans="1:3" x14ac:dyDescent="0.2">
      <c r="A566" s="3" t="s">
        <v>379</v>
      </c>
    </row>
    <row r="567" spans="1:3" x14ac:dyDescent="0.2">
      <c r="C567" s="4" t="s">
        <v>380</v>
      </c>
    </row>
    <row r="568" spans="1:3" x14ac:dyDescent="0.2">
      <c r="C568" s="4" t="s">
        <v>381</v>
      </c>
    </row>
    <row r="586" spans="1:3" x14ac:dyDescent="0.2">
      <c r="A586" s="3" t="s">
        <v>382</v>
      </c>
    </row>
    <row r="587" spans="1:3" x14ac:dyDescent="0.2">
      <c r="C587" s="4" t="s">
        <v>383</v>
      </c>
    </row>
    <row r="588" spans="1:3" x14ac:dyDescent="0.2">
      <c r="C588" s="4" t="s">
        <v>384</v>
      </c>
    </row>
    <row r="614" spans="1:5" x14ac:dyDescent="0.2">
      <c r="A614" s="3" t="s">
        <v>385</v>
      </c>
    </row>
    <row r="615" spans="1:5" x14ac:dyDescent="0.2">
      <c r="C615" s="4" t="s">
        <v>386</v>
      </c>
    </row>
    <row r="616" spans="1:5" x14ac:dyDescent="0.2">
      <c r="C616" s="97" t="s">
        <v>387</v>
      </c>
      <c r="D616" s="97"/>
      <c r="E616" s="97"/>
    </row>
  </sheetData>
  <phoneticPr fontId="15" type="noConversion"/>
  <hyperlinks>
    <hyperlink ref="C10" location="Data!A1" display="Gå til Data                                                                                             " xr:uid="{9B8CED4D-F14C-41F1-803E-2B7A27A06F63}"/>
    <hyperlink ref="C12" location="'Beskrivende Statistik'!A1" display="Gå til Beskrivende Statistik                                                                      " xr:uid="{0CCFED1C-A94F-445C-8DCF-8384137842AC}"/>
    <hyperlink ref="C13:C14" location="Data!A1" display="Gå til data ark" xr:uid="{E0B972A5-199D-47C4-AEC3-9E26695A7482}"/>
    <hyperlink ref="C13" location="'Konfidens og Hypoteser'!A1" display="Gå til Konfidens og Hypoteser                                                  " xr:uid="{6E4152CA-7C82-4EA1-AF99-13274CCF7F4C}"/>
    <hyperlink ref="C14" location="'Lineær Regression'!A1" display="Gå til Lineær Regression                                                                     " xr:uid="{7BF6397E-5C54-45D2-8862-EA5196F4B560}"/>
    <hyperlink ref="D10" location="V_Manual_Data" display="Gå til Manual i brug af Data arket                                          " xr:uid="{A7144529-0FD3-42E4-A567-5FBAD4D70DA0}"/>
    <hyperlink ref="D12" location="V_Manual_Beskrivende_Statistik" display="Gå til Manual i brug af Beskrivende Statistik arket                                     " xr:uid="{2908E2D1-899F-4BF6-B064-D3BBDD27E7AC}"/>
    <hyperlink ref="D13" location="V_Manual_Konfidens_og_Hypoteser" display="Gå til Manual i brug af Konfidens og Hypoteser arket                              " xr:uid="{1C331A2E-AB41-4AE8-A18D-1C4B711580B8}"/>
    <hyperlink ref="D14" location="V_Manual_Lineær_Regression" display="Gå til Manual i brug af Lineær Regression arket                                      " xr:uid="{885DC549-1ACB-46CA-B071-7D2BD6657BCE}"/>
    <hyperlink ref="A30" location="Data!A1" display="Gå til Data                                                                                             " xr:uid="{C05C224F-FFE7-4D48-BA4F-5EDD23C44E5C}"/>
    <hyperlink ref="A72" location="'Beskrivende Statistik'!A1" display="Gå til Beskrivende Statistik                                                                      " xr:uid="{BEBC285A-5868-40EC-8213-81E12CB25F4E}"/>
    <hyperlink ref="A179" location="'Konfidens og Hypoteser'!A1" display="Gå til Konfidens og Hypoteser                                                  " xr:uid="{48B7209E-FF96-459A-AC2B-835A37551B25}"/>
    <hyperlink ref="A284" location="'Lineær Regression'!A1" display="Gå til Lineær Regression                                                                     " xr:uid="{85022601-DA64-4F6A-A8C3-A075F9C38BF1}"/>
    <hyperlink ref="A25" r:id="rId1" xr:uid="{CE916863-CD22-4D14-AD70-B2D06A131314}"/>
    <hyperlink ref="C16" location="Sandsynlighed!A1" display="Gå til Sandsynlighed                                                                     " xr:uid="{6E2ADE61-E0D0-470B-AD45-9A743423AD1E}"/>
    <hyperlink ref="D16" location="V_Manual_Sandsynlighed" display="Gå til Manual i brug af Sandsynlighed arket                                      " xr:uid="{C21451CB-2EB3-48FD-B13F-310C0947B0A4}"/>
    <hyperlink ref="A506" location="Sandsynlighed!A1" display="Gå til Sandsynlighed                                                                      " xr:uid="{E0AE7AFC-F5A8-4227-9D62-9B191C35B86C}"/>
    <hyperlink ref="A561" location="'Data Generator'!A1" display="Gå til Data Generator                                                                      " xr:uid="{34A02631-2039-477B-8442-A1C79A163CC3}"/>
    <hyperlink ref="C18" location="'Data Generator'!A1" display="Gå til Data Generator                                                                     " xr:uid="{BF04C43E-6E81-402D-A7E1-DF21498B5307}"/>
    <hyperlink ref="D18" location="V_Manual_DataGenerator" display="Gå til Manual i brug af Data Generator arket                                      " xr:uid="{2556FCE2-E4FB-4638-AA53-A441980037AF}"/>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25ABF-FC12-4AD0-97F4-64A873F0B28D}">
  <sheetPr codeName="Sheet4">
    <tabColor theme="4"/>
  </sheetPr>
  <dimension ref="A1:CV13"/>
  <sheetViews>
    <sheetView workbookViewId="0"/>
  </sheetViews>
  <sheetFormatPr defaultRowHeight="14.25" x14ac:dyDescent="0.2"/>
  <cols>
    <col min="1" max="100" width="19.125" customWidth="1"/>
  </cols>
  <sheetData>
    <row r="1" spans="1:100" s="3" customFormat="1" x14ac:dyDescent="0.2">
      <c r="A1" s="191" t="s">
        <v>24</v>
      </c>
      <c r="B1" s="191" t="s">
        <v>278</v>
      </c>
      <c r="C1" s="191" t="s">
        <v>277</v>
      </c>
      <c r="D1" s="191" t="s">
        <v>282</v>
      </c>
      <c r="E1" s="191"/>
      <c r="F1" s="191"/>
      <c r="G1" s="191"/>
      <c r="H1" s="191"/>
      <c r="I1" s="191"/>
      <c r="J1" s="191"/>
      <c r="K1" s="191"/>
      <c r="L1" s="191"/>
      <c r="M1" s="191"/>
      <c r="N1" s="191"/>
      <c r="O1" s="191"/>
      <c r="P1" s="191"/>
      <c r="Q1" s="191"/>
      <c r="R1" s="191"/>
      <c r="S1" s="191"/>
      <c r="T1" s="191"/>
      <c r="U1" s="191"/>
      <c r="V1" s="191"/>
      <c r="W1" s="191"/>
      <c r="X1" s="191"/>
      <c r="Y1" s="191"/>
      <c r="Z1" s="191"/>
      <c r="AA1" s="191"/>
      <c r="AB1" s="191"/>
      <c r="AC1" s="191"/>
      <c r="AD1" s="191"/>
      <c r="AE1" s="191"/>
      <c r="AF1" s="191"/>
      <c r="AG1" s="191"/>
      <c r="AH1" s="191"/>
      <c r="AI1" s="191"/>
      <c r="AJ1" s="191"/>
      <c r="AK1" s="191"/>
      <c r="AL1" s="191"/>
      <c r="AM1" s="191"/>
      <c r="AN1" s="191"/>
      <c r="AO1" s="191"/>
      <c r="AP1" s="191"/>
      <c r="AQ1" s="191"/>
      <c r="AR1" s="191"/>
      <c r="AS1" s="191"/>
      <c r="AT1" s="191"/>
      <c r="AU1" s="191"/>
      <c r="AV1" s="191"/>
      <c r="AW1" s="191"/>
      <c r="AX1" s="191"/>
      <c r="AY1" s="191"/>
      <c r="AZ1" s="191"/>
      <c r="BA1" s="191"/>
      <c r="BB1" s="191"/>
      <c r="BC1" s="191"/>
      <c r="BD1" s="191"/>
      <c r="BE1" s="191"/>
      <c r="BF1" s="191"/>
      <c r="BG1" s="191"/>
      <c r="BH1" s="191"/>
      <c r="BI1" s="191"/>
      <c r="BJ1" s="191"/>
      <c r="BK1" s="191"/>
      <c r="BL1" s="191"/>
      <c r="BM1" s="191"/>
      <c r="BN1" s="191"/>
      <c r="BO1" s="191"/>
      <c r="BP1" s="191"/>
      <c r="BQ1" s="191"/>
      <c r="BR1" s="191"/>
      <c r="BS1" s="191"/>
      <c r="BT1" s="191"/>
      <c r="BU1" s="191"/>
      <c r="BV1" s="191"/>
      <c r="BW1" s="191"/>
      <c r="BX1" s="191"/>
      <c r="BY1" s="191"/>
      <c r="BZ1" s="191"/>
      <c r="CA1" s="191"/>
      <c r="CB1" s="191"/>
      <c r="CC1" s="191"/>
      <c r="CD1" s="191"/>
      <c r="CE1" s="191"/>
      <c r="CF1" s="191"/>
      <c r="CG1" s="191"/>
      <c r="CH1" s="191"/>
      <c r="CI1" s="191"/>
      <c r="CJ1" s="191"/>
      <c r="CK1" s="191"/>
      <c r="CL1" s="191"/>
      <c r="CM1" s="191"/>
      <c r="CN1" s="191"/>
      <c r="CO1" s="191"/>
      <c r="CP1" s="191"/>
      <c r="CQ1" s="191"/>
      <c r="CR1" s="191"/>
      <c r="CS1" s="191"/>
      <c r="CT1" s="191"/>
      <c r="CU1" s="191"/>
      <c r="CV1" s="191"/>
    </row>
    <row r="2" spans="1:100" x14ac:dyDescent="0.2">
      <c r="A2">
        <v>1.2989587493526971</v>
      </c>
      <c r="B2">
        <v>2</v>
      </c>
      <c r="C2" t="b">
        <v>0</v>
      </c>
      <c r="D2" t="b">
        <v>0</v>
      </c>
    </row>
    <row r="3" spans="1:100" x14ac:dyDescent="0.2">
      <c r="A3">
        <v>-1.1469596428732241</v>
      </c>
      <c r="B3">
        <v>-3.2725647568992748</v>
      </c>
      <c r="C3" t="b">
        <v>0</v>
      </c>
      <c r="D3" t="b">
        <v>1</v>
      </c>
    </row>
    <row r="4" spans="1:100" x14ac:dyDescent="0.2">
      <c r="A4">
        <v>-0.40935481016144565</v>
      </c>
      <c r="B4">
        <v>2.0315172703350726</v>
      </c>
      <c r="C4" t="b">
        <v>0</v>
      </c>
      <c r="D4" t="b">
        <v>0</v>
      </c>
    </row>
    <row r="5" spans="1:100" x14ac:dyDescent="0.2">
      <c r="A5">
        <v>-1.479592604535932</v>
      </c>
      <c r="B5">
        <v>-2.2379718387660041</v>
      </c>
      <c r="C5" t="b">
        <v>0</v>
      </c>
      <c r="D5" t="b">
        <v>0</v>
      </c>
    </row>
    <row r="6" spans="1:100" x14ac:dyDescent="0.2">
      <c r="A6">
        <v>1.8110756828005981</v>
      </c>
      <c r="B6">
        <v>4</v>
      </c>
      <c r="C6" t="b">
        <v>0</v>
      </c>
      <c r="D6" t="b">
        <v>0</v>
      </c>
    </row>
    <row r="7" spans="1:100" x14ac:dyDescent="0.2">
      <c r="A7">
        <v>8</v>
      </c>
      <c r="B7">
        <v>5</v>
      </c>
      <c r="C7" t="b">
        <v>1</v>
      </c>
      <c r="D7" t="b">
        <v>1</v>
      </c>
    </row>
    <row r="8" spans="1:100" x14ac:dyDescent="0.2">
      <c r="A8">
        <v>-0.30723615599325882</v>
      </c>
      <c r="B8">
        <v>2.0228895016109072</v>
      </c>
      <c r="C8" t="b">
        <v>0</v>
      </c>
      <c r="D8" t="b">
        <v>0</v>
      </c>
    </row>
    <row r="9" spans="1:100" x14ac:dyDescent="0.2">
      <c r="A9">
        <v>13</v>
      </c>
      <c r="B9">
        <v>9</v>
      </c>
      <c r="C9" t="b">
        <v>0</v>
      </c>
      <c r="D9" t="b">
        <v>1</v>
      </c>
    </row>
    <row r="10" spans="1:100" x14ac:dyDescent="0.2">
      <c r="A10">
        <v>1.3803796539630533</v>
      </c>
      <c r="B10">
        <v>6.3251059591845431</v>
      </c>
      <c r="C10" t="b">
        <v>1</v>
      </c>
      <c r="D10" t="b">
        <v>1</v>
      </c>
    </row>
    <row r="11" spans="1:100" x14ac:dyDescent="0.2">
      <c r="A11">
        <v>8.4427372017371785E-2</v>
      </c>
      <c r="B11">
        <v>5.4220501567463426</v>
      </c>
      <c r="C11" t="b">
        <v>1</v>
      </c>
      <c r="D11" t="b">
        <v>1</v>
      </c>
    </row>
    <row r="12" spans="1:100" x14ac:dyDescent="0.2">
      <c r="A12">
        <v>0.91409189597286977</v>
      </c>
      <c r="B12">
        <v>9.7085240838788316</v>
      </c>
      <c r="C12" t="b">
        <v>0</v>
      </c>
      <c r="D12" t="b">
        <v>0</v>
      </c>
    </row>
    <row r="13" spans="1:100" x14ac:dyDescent="0.2">
      <c r="A13">
        <v>-0.89773712069108735</v>
      </c>
      <c r="B13">
        <v>9.7085240838788316</v>
      </c>
      <c r="C13" t="b">
        <v>0</v>
      </c>
      <c r="D13" t="b">
        <v>0</v>
      </c>
    </row>
  </sheetData>
  <phoneticPr fontId="15" type="noConversion"/>
  <dataValidations xWindow="103" yWindow="250" count="2">
    <dataValidation allowBlank="1" showInputMessage="1" showErrorMessage="1" promptTitle="Eksempel overskrift" prompt="Overskriften til hvert observationssæt skal være unik." sqref="A1" xr:uid="{08870AA2-D5D3-4885-A05F-5AF496214B3F}"/>
    <dataValidation allowBlank="1" showInputMessage="1" showErrorMessage="1" promptTitle="Eksempel data" prompt="Data må ikke indeholde blanke celler._x000a_Data skal enten være tal eller Sand/Falsk." sqref="A2:A13" xr:uid="{C3CBEA53-4036-4D82-B754-5A683357DBA4}"/>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61A48-E0ED-449C-85DB-8AD2A6266EE9}">
  <sheetPr codeName="Sheet5"/>
  <dimension ref="A1:CW6"/>
  <sheetViews>
    <sheetView showGridLines="0" workbookViewId="0"/>
  </sheetViews>
  <sheetFormatPr defaultRowHeight="14.25" x14ac:dyDescent="0.2"/>
  <cols>
    <col min="1" max="1" width="19.125" customWidth="1"/>
  </cols>
  <sheetData>
    <row r="1" spans="1:101" x14ac:dyDescent="0.2">
      <c r="A1" t="s">
        <v>280</v>
      </c>
      <c r="B1" cm="1">
        <f t="array" ref="B1">SUM(--_xlfn.ANCHORARRAY(B4))</f>
        <v>4</v>
      </c>
    </row>
    <row r="2" spans="1:101" x14ac:dyDescent="0.2">
      <c r="A2" t="s">
        <v>1085</v>
      </c>
      <c r="B2">
        <f>MAX(B5:CW5)</f>
        <v>12</v>
      </c>
    </row>
    <row r="3" spans="1:101" x14ac:dyDescent="0.2">
      <c r="A3" t="s">
        <v>1087</v>
      </c>
      <c r="B3">
        <f>_xlfn.XMATCH(TRUE,_xlfn.ANCHORARRAY(B4),0,-1)</f>
        <v>4</v>
      </c>
    </row>
    <row r="4" spans="1:101" x14ac:dyDescent="0.2">
      <c r="A4" t="s">
        <v>1086</v>
      </c>
      <c r="B4" t="b" cm="1">
        <f t="array" ref="B4:CW4">NOT(ISBLANK(Data!A1:CV1))</f>
        <v>1</v>
      </c>
      <c r="C4" t="b">
        <v>1</v>
      </c>
      <c r="D4" t="b">
        <v>1</v>
      </c>
      <c r="E4" t="b">
        <v>1</v>
      </c>
      <c r="F4" t="b">
        <v>0</v>
      </c>
      <c r="G4" t="b">
        <v>0</v>
      </c>
      <c r="H4" t="b">
        <v>0</v>
      </c>
      <c r="I4" t="b">
        <v>0</v>
      </c>
      <c r="J4" t="b">
        <v>0</v>
      </c>
      <c r="K4" t="b">
        <v>0</v>
      </c>
      <c r="L4" t="b">
        <v>0</v>
      </c>
      <c r="M4" t="b">
        <v>0</v>
      </c>
      <c r="N4" t="b">
        <v>0</v>
      </c>
      <c r="O4" t="b">
        <v>0</v>
      </c>
      <c r="P4" t="b">
        <v>0</v>
      </c>
      <c r="Q4" t="b">
        <v>0</v>
      </c>
      <c r="R4" t="b">
        <v>0</v>
      </c>
      <c r="S4" t="b">
        <v>0</v>
      </c>
      <c r="T4" t="b">
        <v>0</v>
      </c>
      <c r="U4" t="b">
        <v>0</v>
      </c>
      <c r="V4" t="b">
        <v>0</v>
      </c>
      <c r="W4" t="b">
        <v>0</v>
      </c>
      <c r="X4" t="b">
        <v>0</v>
      </c>
      <c r="Y4" t="b">
        <v>0</v>
      </c>
      <c r="Z4" t="b">
        <v>0</v>
      </c>
      <c r="AA4" t="b">
        <v>0</v>
      </c>
      <c r="AB4" t="b">
        <v>0</v>
      </c>
      <c r="AC4" t="b">
        <v>0</v>
      </c>
      <c r="AD4" t="b">
        <v>0</v>
      </c>
      <c r="AE4" t="b">
        <v>0</v>
      </c>
      <c r="AF4" t="b">
        <v>0</v>
      </c>
      <c r="AG4" t="b">
        <v>0</v>
      </c>
      <c r="AH4" t="b">
        <v>0</v>
      </c>
      <c r="AI4" t="b">
        <v>0</v>
      </c>
      <c r="AJ4" t="b">
        <v>0</v>
      </c>
      <c r="AK4" t="b">
        <v>0</v>
      </c>
      <c r="AL4" t="b">
        <v>0</v>
      </c>
      <c r="AM4" t="b">
        <v>0</v>
      </c>
      <c r="AN4" t="b">
        <v>0</v>
      </c>
      <c r="AO4" t="b">
        <v>0</v>
      </c>
      <c r="AP4" t="b">
        <v>0</v>
      </c>
      <c r="AQ4" t="b">
        <v>0</v>
      </c>
      <c r="AR4" t="b">
        <v>0</v>
      </c>
      <c r="AS4" t="b">
        <v>0</v>
      </c>
      <c r="AT4" t="b">
        <v>0</v>
      </c>
      <c r="AU4" t="b">
        <v>0</v>
      </c>
      <c r="AV4" t="b">
        <v>0</v>
      </c>
      <c r="AW4" t="b">
        <v>0</v>
      </c>
      <c r="AX4" t="b">
        <v>0</v>
      </c>
      <c r="AY4" t="b">
        <v>0</v>
      </c>
      <c r="AZ4" t="b">
        <v>0</v>
      </c>
      <c r="BA4" t="b">
        <v>0</v>
      </c>
      <c r="BB4" t="b">
        <v>0</v>
      </c>
      <c r="BC4" t="b">
        <v>0</v>
      </c>
      <c r="BD4" t="b">
        <v>0</v>
      </c>
      <c r="BE4" t="b">
        <v>0</v>
      </c>
      <c r="BF4" t="b">
        <v>0</v>
      </c>
      <c r="BG4" t="b">
        <v>0</v>
      </c>
      <c r="BH4" t="b">
        <v>0</v>
      </c>
      <c r="BI4" t="b">
        <v>0</v>
      </c>
      <c r="BJ4" t="b">
        <v>0</v>
      </c>
      <c r="BK4" t="b">
        <v>0</v>
      </c>
      <c r="BL4" t="b">
        <v>0</v>
      </c>
      <c r="BM4" t="b">
        <v>0</v>
      </c>
      <c r="BN4" t="b">
        <v>0</v>
      </c>
      <c r="BO4" t="b">
        <v>0</v>
      </c>
      <c r="BP4" t="b">
        <v>0</v>
      </c>
      <c r="BQ4" t="b">
        <v>0</v>
      </c>
      <c r="BR4" t="b">
        <v>0</v>
      </c>
      <c r="BS4" t="b">
        <v>0</v>
      </c>
      <c r="BT4" t="b">
        <v>0</v>
      </c>
      <c r="BU4" t="b">
        <v>0</v>
      </c>
      <c r="BV4" t="b">
        <v>0</v>
      </c>
      <c r="BW4" t="b">
        <v>0</v>
      </c>
      <c r="BX4" t="b">
        <v>0</v>
      </c>
      <c r="BY4" t="b">
        <v>0</v>
      </c>
      <c r="BZ4" t="b">
        <v>0</v>
      </c>
      <c r="CA4" t="b">
        <v>0</v>
      </c>
      <c r="CB4" t="b">
        <v>0</v>
      </c>
      <c r="CC4" t="b">
        <v>0</v>
      </c>
      <c r="CD4" t="b">
        <v>0</v>
      </c>
      <c r="CE4" t="b">
        <v>0</v>
      </c>
      <c r="CF4" t="b">
        <v>0</v>
      </c>
      <c r="CG4" t="b">
        <v>0</v>
      </c>
      <c r="CH4" t="b">
        <v>0</v>
      </c>
      <c r="CI4" t="b">
        <v>0</v>
      </c>
      <c r="CJ4" t="b">
        <v>0</v>
      </c>
      <c r="CK4" t="b">
        <v>0</v>
      </c>
      <c r="CL4" t="b">
        <v>0</v>
      </c>
      <c r="CM4" t="b">
        <v>0</v>
      </c>
      <c r="CN4" t="b">
        <v>0</v>
      </c>
      <c r="CO4" t="b">
        <v>0</v>
      </c>
      <c r="CP4" t="b">
        <v>0</v>
      </c>
      <c r="CQ4" t="b">
        <v>0</v>
      </c>
      <c r="CR4" t="b">
        <v>0</v>
      </c>
      <c r="CS4" t="b">
        <v>0</v>
      </c>
      <c r="CT4" t="b">
        <v>0</v>
      </c>
      <c r="CU4" t="b">
        <v>0</v>
      </c>
      <c r="CV4" t="b">
        <v>0</v>
      </c>
      <c r="CW4" t="b">
        <v>0</v>
      </c>
    </row>
    <row r="5" spans="1:101" x14ac:dyDescent="0.2">
      <c r="A5" t="s">
        <v>29</v>
      </c>
      <c r="B5">
        <f>IF(B4,COUNTA(INDEX(Data!$A:$CV,,B6))-1,0)</f>
        <v>12</v>
      </c>
      <c r="C5">
        <f>IF(C4,COUNTA(INDEX(Data!$A:$CV,,C6))-1,0)</f>
        <v>12</v>
      </c>
      <c r="D5">
        <f>IF(D4,COUNTA(INDEX(Data!$A:$CV,,D6))-1,0)</f>
        <v>12</v>
      </c>
      <c r="E5">
        <f>IF(E4,COUNTA(INDEX(Data!$A:$CV,,E6))-1,0)</f>
        <v>12</v>
      </c>
      <c r="F5">
        <f>IF(F4,COUNTA(INDEX(Data!$A:$CV,,F6))-1,0)</f>
        <v>0</v>
      </c>
      <c r="G5">
        <f>IF(G4,COUNTA(INDEX(Data!$A:$CV,,G6))-1,0)</f>
        <v>0</v>
      </c>
      <c r="H5">
        <f>IF(H4,COUNTA(INDEX(Data!$A:$CV,,H6))-1,0)</f>
        <v>0</v>
      </c>
      <c r="I5">
        <f>IF(I4,COUNTA(INDEX(Data!$A:$CV,,I6))-1,0)</f>
        <v>0</v>
      </c>
      <c r="J5">
        <f>IF(J4,COUNTA(INDEX(Data!$A:$CV,,J6))-1,0)</f>
        <v>0</v>
      </c>
      <c r="K5">
        <f>IF(K4,COUNTA(INDEX(Data!$A:$CV,,K6))-1,0)</f>
        <v>0</v>
      </c>
      <c r="L5">
        <f>IF(L4,COUNTA(INDEX(Data!$A:$CV,,L6))-1,0)</f>
        <v>0</v>
      </c>
      <c r="M5">
        <f>IF(M4,COUNTA(INDEX(Data!$A:$CV,,M6))-1,0)</f>
        <v>0</v>
      </c>
      <c r="N5">
        <f>IF(N4,COUNTA(INDEX(Data!$A:$CV,,N6))-1,0)</f>
        <v>0</v>
      </c>
      <c r="O5">
        <f>IF(O4,COUNTA(INDEX(Data!$A:$CV,,O6))-1,0)</f>
        <v>0</v>
      </c>
      <c r="P5">
        <f>IF(P4,COUNTA(INDEX(Data!$A:$CV,,P6))-1,0)</f>
        <v>0</v>
      </c>
      <c r="Q5">
        <f>IF(Q4,COUNTA(INDEX(Data!$A:$CV,,Q6))-1,0)</f>
        <v>0</v>
      </c>
      <c r="R5">
        <f>IF(R4,COUNTA(INDEX(Data!$A:$CV,,R6))-1,0)</f>
        <v>0</v>
      </c>
      <c r="S5">
        <f>IF(S4,COUNTA(INDEX(Data!$A:$CV,,S6))-1,0)</f>
        <v>0</v>
      </c>
      <c r="T5">
        <f>IF(T4,COUNTA(INDEX(Data!$A:$CV,,T6))-1,0)</f>
        <v>0</v>
      </c>
      <c r="U5">
        <f>IF(U4,COUNTA(INDEX(Data!$A:$CV,,U6))-1,0)</f>
        <v>0</v>
      </c>
      <c r="V5">
        <f>IF(V4,COUNTA(INDEX(Data!$A:$CV,,V6))-1,0)</f>
        <v>0</v>
      </c>
      <c r="W5">
        <f>IF(W4,COUNTA(INDEX(Data!$A:$CV,,W6))-1,0)</f>
        <v>0</v>
      </c>
      <c r="X5">
        <f>IF(X4,COUNTA(INDEX(Data!$A:$CV,,X6))-1,0)</f>
        <v>0</v>
      </c>
      <c r="Y5">
        <f>IF(Y4,COUNTA(INDEX(Data!$A:$CV,,Y6))-1,0)</f>
        <v>0</v>
      </c>
      <c r="Z5">
        <f>IF(Z4,COUNTA(INDEX(Data!$A:$CV,,Z6))-1,0)</f>
        <v>0</v>
      </c>
      <c r="AA5">
        <f>IF(AA4,COUNTA(INDEX(Data!$A:$CV,,AA6))-1,0)</f>
        <v>0</v>
      </c>
      <c r="AB5">
        <f>IF(AB4,COUNTA(INDEX(Data!$A:$CV,,AB6))-1,0)</f>
        <v>0</v>
      </c>
      <c r="AC5">
        <f>IF(AC4,COUNTA(INDEX(Data!$A:$CV,,AC6))-1,0)</f>
        <v>0</v>
      </c>
      <c r="AD5">
        <f>IF(AD4,COUNTA(INDEX(Data!$A:$CV,,AD6))-1,0)</f>
        <v>0</v>
      </c>
      <c r="AE5">
        <f>IF(AE4,COUNTA(INDEX(Data!$A:$CV,,AE6))-1,0)</f>
        <v>0</v>
      </c>
      <c r="AF5">
        <f>IF(AF4,COUNTA(INDEX(Data!$A:$CV,,AF6))-1,0)</f>
        <v>0</v>
      </c>
      <c r="AG5">
        <f>IF(AG4,COUNTA(INDEX(Data!$A:$CV,,AG6))-1,0)</f>
        <v>0</v>
      </c>
      <c r="AH5">
        <f>IF(AH4,COUNTA(INDEX(Data!$A:$CV,,AH6))-1,0)</f>
        <v>0</v>
      </c>
      <c r="AI5">
        <f>IF(AI4,COUNTA(INDEX(Data!$A:$CV,,AI6))-1,0)</f>
        <v>0</v>
      </c>
      <c r="AJ5">
        <f>IF(AJ4,COUNTA(INDEX(Data!$A:$CV,,AJ6))-1,0)</f>
        <v>0</v>
      </c>
      <c r="AK5">
        <f>IF(AK4,COUNTA(INDEX(Data!$A:$CV,,AK6))-1,0)</f>
        <v>0</v>
      </c>
      <c r="AL5">
        <f>IF(AL4,COUNTA(INDEX(Data!$A:$CV,,AL6))-1,0)</f>
        <v>0</v>
      </c>
      <c r="AM5">
        <f>IF(AM4,COUNTA(INDEX(Data!$A:$CV,,AM6))-1,0)</f>
        <v>0</v>
      </c>
      <c r="AN5">
        <f>IF(AN4,COUNTA(INDEX(Data!$A:$CV,,AN6))-1,0)</f>
        <v>0</v>
      </c>
      <c r="AO5">
        <f>IF(AO4,COUNTA(INDEX(Data!$A:$CV,,AO6))-1,0)</f>
        <v>0</v>
      </c>
      <c r="AP5">
        <f>IF(AP4,COUNTA(INDEX(Data!$A:$CV,,AP6))-1,0)</f>
        <v>0</v>
      </c>
      <c r="AQ5">
        <f>IF(AQ4,COUNTA(INDEX(Data!$A:$CV,,AQ6))-1,0)</f>
        <v>0</v>
      </c>
      <c r="AR5">
        <f>IF(AR4,COUNTA(INDEX(Data!$A:$CV,,AR6))-1,0)</f>
        <v>0</v>
      </c>
      <c r="AS5">
        <f>IF(AS4,COUNTA(INDEX(Data!$A:$CV,,AS6))-1,0)</f>
        <v>0</v>
      </c>
      <c r="AT5">
        <f>IF(AT4,COUNTA(INDEX(Data!$A:$CV,,AT6))-1,0)</f>
        <v>0</v>
      </c>
      <c r="AU5">
        <f>IF(AU4,COUNTA(INDEX(Data!$A:$CV,,AU6))-1,0)</f>
        <v>0</v>
      </c>
      <c r="AV5">
        <f>IF(AV4,COUNTA(INDEX(Data!$A:$CV,,AV6))-1,0)</f>
        <v>0</v>
      </c>
      <c r="AW5">
        <f>IF(AW4,COUNTA(INDEX(Data!$A:$CV,,AW6))-1,0)</f>
        <v>0</v>
      </c>
      <c r="AX5">
        <f>IF(AX4,COUNTA(INDEX(Data!$A:$CV,,AX6))-1,0)</f>
        <v>0</v>
      </c>
      <c r="AY5">
        <f>IF(AY4,COUNTA(INDEX(Data!$A:$CV,,AY6))-1,0)</f>
        <v>0</v>
      </c>
      <c r="AZ5">
        <f>IF(AZ4,COUNTA(INDEX(Data!$A:$CV,,AZ6))-1,0)</f>
        <v>0</v>
      </c>
      <c r="BA5">
        <f>IF(BA4,COUNTA(INDEX(Data!$A:$CV,,BA6))-1,0)</f>
        <v>0</v>
      </c>
      <c r="BB5">
        <f>IF(BB4,COUNTA(INDEX(Data!$A:$CV,,BB6))-1,0)</f>
        <v>0</v>
      </c>
      <c r="BC5">
        <f>IF(BC4,COUNTA(INDEX(Data!$A:$CV,,BC6))-1,0)</f>
        <v>0</v>
      </c>
      <c r="BD5">
        <f>IF(BD4,COUNTA(INDEX(Data!$A:$CV,,BD6))-1,0)</f>
        <v>0</v>
      </c>
      <c r="BE5">
        <f>IF(BE4,COUNTA(INDEX(Data!$A:$CV,,BE6))-1,0)</f>
        <v>0</v>
      </c>
      <c r="BF5">
        <f>IF(BF4,COUNTA(INDEX(Data!$A:$CV,,BF6))-1,0)</f>
        <v>0</v>
      </c>
      <c r="BG5">
        <f>IF(BG4,COUNTA(INDEX(Data!$A:$CV,,BG6))-1,0)</f>
        <v>0</v>
      </c>
      <c r="BH5">
        <f>IF(BH4,COUNTA(INDEX(Data!$A:$CV,,BH6))-1,0)</f>
        <v>0</v>
      </c>
      <c r="BI5">
        <f>IF(BI4,COUNTA(INDEX(Data!$A:$CV,,BI6))-1,0)</f>
        <v>0</v>
      </c>
      <c r="BJ5">
        <f>IF(BJ4,COUNTA(INDEX(Data!$A:$CV,,BJ6))-1,0)</f>
        <v>0</v>
      </c>
      <c r="BK5">
        <f>IF(BK4,COUNTA(INDEX(Data!$A:$CV,,BK6))-1,0)</f>
        <v>0</v>
      </c>
      <c r="BL5">
        <f>IF(BL4,COUNTA(INDEX(Data!$A:$CV,,BL6))-1,0)</f>
        <v>0</v>
      </c>
      <c r="BM5">
        <f>IF(BM4,COUNTA(INDEX(Data!$A:$CV,,BM6))-1,0)</f>
        <v>0</v>
      </c>
      <c r="BN5">
        <f>IF(BN4,COUNTA(INDEX(Data!$A:$CV,,BN6))-1,0)</f>
        <v>0</v>
      </c>
      <c r="BO5">
        <f>IF(BO4,COUNTA(INDEX(Data!$A:$CV,,BO6))-1,0)</f>
        <v>0</v>
      </c>
      <c r="BP5">
        <f>IF(BP4,COUNTA(INDEX(Data!$A:$CV,,BP6))-1,0)</f>
        <v>0</v>
      </c>
      <c r="BQ5">
        <f>IF(BQ4,COUNTA(INDEX(Data!$A:$CV,,BQ6))-1,0)</f>
        <v>0</v>
      </c>
      <c r="BR5">
        <f>IF(BR4,COUNTA(INDEX(Data!$A:$CV,,BR6))-1,0)</f>
        <v>0</v>
      </c>
      <c r="BS5">
        <f>IF(BS4,COUNTA(INDEX(Data!$A:$CV,,BS6))-1,0)</f>
        <v>0</v>
      </c>
      <c r="BT5">
        <f>IF(BT4,COUNTA(INDEX(Data!$A:$CV,,BT6))-1,0)</f>
        <v>0</v>
      </c>
      <c r="BU5">
        <f>IF(BU4,COUNTA(INDEX(Data!$A:$CV,,BU6))-1,0)</f>
        <v>0</v>
      </c>
      <c r="BV5">
        <f>IF(BV4,COUNTA(INDEX(Data!$A:$CV,,BV6))-1,0)</f>
        <v>0</v>
      </c>
      <c r="BW5">
        <f>IF(BW4,COUNTA(INDEX(Data!$A:$CV,,BW6))-1,0)</f>
        <v>0</v>
      </c>
      <c r="BX5">
        <f>IF(BX4,COUNTA(INDEX(Data!$A:$CV,,BX6))-1,0)</f>
        <v>0</v>
      </c>
      <c r="BY5">
        <f>IF(BY4,COUNTA(INDEX(Data!$A:$CV,,BY6))-1,0)</f>
        <v>0</v>
      </c>
      <c r="BZ5">
        <f>IF(BZ4,COUNTA(INDEX(Data!$A:$CV,,BZ6))-1,0)</f>
        <v>0</v>
      </c>
      <c r="CA5">
        <f>IF(CA4,COUNTA(INDEX(Data!$A:$CV,,CA6))-1,0)</f>
        <v>0</v>
      </c>
      <c r="CB5">
        <f>IF(CB4,COUNTA(INDEX(Data!$A:$CV,,CB6))-1,0)</f>
        <v>0</v>
      </c>
      <c r="CC5">
        <f>IF(CC4,COUNTA(INDEX(Data!$A:$CV,,CC6))-1,0)</f>
        <v>0</v>
      </c>
      <c r="CD5">
        <f>IF(CD4,COUNTA(INDEX(Data!$A:$CV,,CD6))-1,0)</f>
        <v>0</v>
      </c>
      <c r="CE5">
        <f>IF(CE4,COUNTA(INDEX(Data!$A:$CV,,CE6))-1,0)</f>
        <v>0</v>
      </c>
      <c r="CF5">
        <f>IF(CF4,COUNTA(INDEX(Data!$A:$CV,,CF6))-1,0)</f>
        <v>0</v>
      </c>
      <c r="CG5">
        <f>IF(CG4,COUNTA(INDEX(Data!$A:$CV,,CG6))-1,0)</f>
        <v>0</v>
      </c>
      <c r="CH5">
        <f>IF(CH4,COUNTA(INDEX(Data!$A:$CV,,CH6))-1,0)</f>
        <v>0</v>
      </c>
      <c r="CI5">
        <f>IF(CI4,COUNTA(INDEX(Data!$A:$CV,,CI6))-1,0)</f>
        <v>0</v>
      </c>
      <c r="CJ5">
        <f>IF(CJ4,COUNTA(INDEX(Data!$A:$CV,,CJ6))-1,0)</f>
        <v>0</v>
      </c>
      <c r="CK5">
        <f>IF(CK4,COUNTA(INDEX(Data!$A:$CV,,CK6))-1,0)</f>
        <v>0</v>
      </c>
      <c r="CL5">
        <f>IF(CL4,COUNTA(INDEX(Data!$A:$CV,,CL6))-1,0)</f>
        <v>0</v>
      </c>
      <c r="CM5">
        <f>IF(CM4,COUNTA(INDEX(Data!$A:$CV,,CM6))-1,0)</f>
        <v>0</v>
      </c>
      <c r="CN5">
        <f>IF(CN4,COUNTA(INDEX(Data!$A:$CV,,CN6))-1,0)</f>
        <v>0</v>
      </c>
      <c r="CO5">
        <f>IF(CO4,COUNTA(INDEX(Data!$A:$CV,,CO6))-1,0)</f>
        <v>0</v>
      </c>
      <c r="CP5">
        <f>IF(CP4,COUNTA(INDEX(Data!$A:$CV,,CP6))-1,0)</f>
        <v>0</v>
      </c>
      <c r="CQ5">
        <f>IF(CQ4,COUNTA(INDEX(Data!$A:$CV,,CQ6))-1,0)</f>
        <v>0</v>
      </c>
      <c r="CR5">
        <f>IF(CR4,COUNTA(INDEX(Data!$A:$CV,,CR6))-1,0)</f>
        <v>0</v>
      </c>
      <c r="CS5">
        <f>IF(CS4,COUNTA(INDEX(Data!$A:$CV,,CS6))-1,0)</f>
        <v>0</v>
      </c>
      <c r="CT5">
        <f>IF(CT4,COUNTA(INDEX(Data!$A:$CV,,CT6))-1,0)</f>
        <v>0</v>
      </c>
      <c r="CU5">
        <f>IF(CU4,COUNTA(INDEX(Data!$A:$CV,,CU6))-1,0)</f>
        <v>0</v>
      </c>
      <c r="CV5">
        <f>IF(CV4,COUNTA(INDEX(Data!$A:$CV,,CV6))-1,0)</f>
        <v>0</v>
      </c>
      <c r="CW5">
        <f>IF(CW4,COUNTA(INDEX(Data!$A:$CV,,CW6))-1,0)</f>
        <v>0</v>
      </c>
    </row>
    <row r="6" spans="1:101" x14ac:dyDescent="0.2">
      <c r="A6" t="s">
        <v>532</v>
      </c>
      <c r="B6" cm="1">
        <f t="array" ref="B6:E6">_xlfn.SEQUENCE(,B3)</f>
        <v>1</v>
      </c>
      <c r="C6">
        <v>2</v>
      </c>
      <c r="D6">
        <v>3</v>
      </c>
      <c r="E6">
        <v>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A3E4A4-CE0E-4196-B177-1BC5375F3726}">
  <sheetPr codeName="Sheet16"/>
  <dimension ref="A1:G10"/>
  <sheetViews>
    <sheetView showGridLines="0" workbookViewId="0">
      <selection activeCell="C1" sqref="C1"/>
    </sheetView>
  </sheetViews>
  <sheetFormatPr defaultRowHeight="14.25" x14ac:dyDescent="0.2"/>
  <cols>
    <col min="1" max="3" width="33" customWidth="1"/>
    <col min="4" max="4" width="20" bestFit="1" customWidth="1"/>
    <col min="5" max="5" width="17.375" bestFit="1" customWidth="1"/>
    <col min="6" max="6" width="26.5" bestFit="1" customWidth="1"/>
    <col min="7" max="7" width="38.25" bestFit="1" customWidth="1"/>
    <col min="8" max="8" width="21.25" customWidth="1"/>
  </cols>
  <sheetData>
    <row r="1" spans="1:7" ht="18.75" x14ac:dyDescent="0.2">
      <c r="A1" s="1" t="s">
        <v>889</v>
      </c>
      <c r="B1" s="1" t="s">
        <v>902</v>
      </c>
      <c r="C1" s="1" t="s">
        <v>1095</v>
      </c>
      <c r="D1" s="1" t="s">
        <v>1081</v>
      </c>
      <c r="E1" s="1" t="s">
        <v>1082</v>
      </c>
      <c r="F1" s="1" t="s">
        <v>1083</v>
      </c>
      <c r="G1" s="1" t="s">
        <v>1084</v>
      </c>
    </row>
    <row r="2" spans="1:7" x14ac:dyDescent="0.2">
      <c r="A2" t="s">
        <v>890</v>
      </c>
      <c r="B2" t="b">
        <f>TRUE()</f>
        <v>1</v>
      </c>
      <c r="C2" t="str" cm="1">
        <f t="array" ref="C2:C5">TRANSPOSE(_xlfn._xlws.FILTER(Data!A1:CV1,NOT(ISBLANK(Data!A1:CV1))))</f>
        <v>Eksempel 1 (interval)</v>
      </c>
      <c r="D2" s="54" t="s">
        <v>44</v>
      </c>
      <c r="E2" s="54" t="s">
        <v>126</v>
      </c>
      <c r="F2" t="s">
        <v>44</v>
      </c>
      <c r="G2" t="s">
        <v>126</v>
      </c>
    </row>
    <row r="3" spans="1:7" x14ac:dyDescent="0.2">
      <c r="A3" t="s">
        <v>891</v>
      </c>
      <c r="B3" t="b">
        <f>FALSE()</f>
        <v>0</v>
      </c>
      <c r="C3" t="str">
        <v>Eksempel 2 (interval)</v>
      </c>
      <c r="D3" s="54" t="s">
        <v>299</v>
      </c>
      <c r="E3" s="54" t="s">
        <v>128</v>
      </c>
      <c r="F3" t="s">
        <v>130</v>
      </c>
      <c r="G3" t="s">
        <v>128</v>
      </c>
    </row>
    <row r="4" spans="1:7" x14ac:dyDescent="0.2">
      <c r="C4" t="str">
        <v>Eksempel 3 (nominal)</v>
      </c>
      <c r="D4" s="54" t="s">
        <v>300</v>
      </c>
      <c r="E4" s="54" t="s">
        <v>140</v>
      </c>
      <c r="F4" t="s">
        <v>131</v>
      </c>
      <c r="G4" t="s">
        <v>137</v>
      </c>
    </row>
    <row r="5" spans="1:7" x14ac:dyDescent="0.2">
      <c r="C5" t="str">
        <v>Eksempel 4 (nominal)</v>
      </c>
      <c r="D5" s="54" t="s">
        <v>125</v>
      </c>
      <c r="E5" s="54" t="s">
        <v>141</v>
      </c>
      <c r="F5" t="s">
        <v>132</v>
      </c>
      <c r="G5" t="s">
        <v>139</v>
      </c>
    </row>
    <row r="6" spans="1:7" x14ac:dyDescent="0.2">
      <c r="F6" t="s">
        <v>133</v>
      </c>
      <c r="G6" t="s">
        <v>140</v>
      </c>
    </row>
    <row r="7" spans="1:7" x14ac:dyDescent="0.2">
      <c r="F7" t="s">
        <v>134</v>
      </c>
      <c r="G7" t="s">
        <v>141</v>
      </c>
    </row>
    <row r="8" spans="1:7" x14ac:dyDescent="0.2">
      <c r="F8" t="s">
        <v>135</v>
      </c>
      <c r="G8" t="s">
        <v>142</v>
      </c>
    </row>
    <row r="9" spans="1:7" x14ac:dyDescent="0.2">
      <c r="G9" t="s">
        <v>129</v>
      </c>
    </row>
    <row r="10" spans="1:7" x14ac:dyDescent="0.2">
      <c r="G10" t="s">
        <v>138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9E7A68-7054-4B5A-9363-EB775D8E635D}">
  <sheetPr codeName="Sheet1">
    <tabColor theme="6"/>
  </sheetPr>
  <dimension ref="A1:FC9718"/>
  <sheetViews>
    <sheetView showGridLines="0" zoomScaleNormal="100" workbookViewId="0"/>
  </sheetViews>
  <sheetFormatPr defaultColWidth="8.75" defaultRowHeight="14.25" x14ac:dyDescent="0.2"/>
  <cols>
    <col min="1" max="1" width="65" style="42" customWidth="1"/>
    <col min="2" max="2" width="41" style="42" customWidth="1"/>
    <col min="3" max="3" width="17" style="42" customWidth="1"/>
    <col min="4" max="4" width="9.625" style="42" customWidth="1"/>
    <col min="5" max="5" width="32.375" style="42" customWidth="1"/>
    <col min="6" max="6" width="34.125" style="42" customWidth="1"/>
    <col min="7" max="7" width="35.5" style="42" customWidth="1"/>
    <col min="8" max="9" width="20.25" style="42" customWidth="1"/>
    <col min="10" max="12" width="15.375" style="42" customWidth="1"/>
    <col min="13" max="13" width="14.375" style="42" bestFit="1" customWidth="1"/>
    <col min="14" max="50" width="9.5" style="42" customWidth="1"/>
    <col min="51" max="53" width="20.25" style="42" customWidth="1"/>
    <col min="54" max="54" width="27.625" style="42" customWidth="1"/>
    <col min="55" max="57" width="10.875" style="42" customWidth="1"/>
    <col min="58" max="59" width="10.875" customWidth="1"/>
    <col min="61" max="61" width="33.75" customWidth="1"/>
    <col min="62" max="71" width="8.125" customWidth="1"/>
    <col min="72" max="77" width="8.125" style="42" customWidth="1"/>
    <col min="78" max="78" width="10.125" style="42" customWidth="1"/>
    <col min="79" max="79" width="35.875" style="42" customWidth="1"/>
    <col min="80" max="88" width="8.875" style="42" customWidth="1"/>
    <col min="89" max="89" width="14.25" style="42" customWidth="1"/>
    <col min="90" max="90" width="34.75" style="42" customWidth="1"/>
    <col min="91" max="104" width="9.75" style="42" customWidth="1"/>
    <col min="105" max="106" width="9.75" customWidth="1"/>
    <col min="107" max="107" width="14.5" customWidth="1"/>
    <col min="108" max="108" width="27.375" bestFit="1" customWidth="1"/>
    <col min="109" max="110" width="17.875" customWidth="1"/>
    <col min="111" max="116" width="8" customWidth="1"/>
    <col min="117" max="117" width="6.5" customWidth="1"/>
    <col min="118" max="118" width="34.5" customWidth="1"/>
    <col min="119" max="131" width="10.5" customWidth="1"/>
    <col min="132" max="132" width="6.875" customWidth="1"/>
    <col min="133" max="133" width="8.75" customWidth="1"/>
    <col min="134" max="134" width="17" customWidth="1"/>
    <col min="135" max="138" width="10.125" customWidth="1"/>
    <col min="139" max="140" width="8.75" customWidth="1"/>
    <col min="141" max="141" width="14.75" customWidth="1"/>
    <col min="142" max="142" width="9.125" customWidth="1"/>
    <col min="143" max="143" width="9.625" customWidth="1"/>
    <col min="144" max="146" width="23.75" customWidth="1"/>
    <col min="151" max="151" width="15.375" customWidth="1"/>
    <col min="152" max="152" width="17.25" bestFit="1" customWidth="1"/>
    <col min="153" max="153" width="15.375" customWidth="1"/>
    <col min="154" max="154" width="19.75" bestFit="1" customWidth="1"/>
    <col min="155" max="155" width="12.125" customWidth="1"/>
    <col min="156" max="156" width="12.75" bestFit="1" customWidth="1"/>
    <col min="157" max="157" width="13.375" customWidth="1"/>
    <col min="158" max="158" width="13.375" style="42" bestFit="1" customWidth="1"/>
    <col min="159" max="159" width="13.375" style="42" customWidth="1"/>
    <col min="160" max="161" width="8.75" style="42"/>
    <col min="162" max="162" width="20.625" style="42" bestFit="1" customWidth="1"/>
    <col min="163" max="16384" width="8.75" style="42"/>
  </cols>
  <sheetData>
    <row r="1" spans="1:159" s="44" customFormat="1" ht="18.75" x14ac:dyDescent="0.2">
      <c r="A1" s="71" t="s">
        <v>8</v>
      </c>
      <c r="B1" s="86" t="s">
        <v>122</v>
      </c>
      <c r="C1" s="42"/>
      <c r="D1" s="42"/>
      <c r="EB1" s="142"/>
      <c r="EC1" s="142"/>
      <c r="EE1"/>
      <c r="EF1"/>
      <c r="EG1"/>
      <c r="EH1"/>
      <c r="EI1"/>
      <c r="EJ1"/>
      <c r="EK1"/>
      <c r="EL1"/>
      <c r="EM1"/>
      <c r="EN1"/>
      <c r="EO1"/>
      <c r="EP1"/>
      <c r="EQ1"/>
      <c r="ER1"/>
      <c r="ES1"/>
      <c r="ET1"/>
      <c r="EU1"/>
      <c r="EV1"/>
      <c r="EW1"/>
      <c r="EX1"/>
      <c r="EY1"/>
      <c r="EZ1"/>
      <c r="FA1"/>
    </row>
    <row r="2" spans="1:159" x14ac:dyDescent="0.2">
      <c r="A2" s="65" t="s">
        <v>9</v>
      </c>
      <c r="EB2" s="142"/>
      <c r="EC2" s="142"/>
    </row>
    <row r="3" spans="1:159" x14ac:dyDescent="0.2">
      <c r="A3" s="45"/>
      <c r="EB3" s="142"/>
      <c r="EC3" s="142"/>
    </row>
    <row r="4" spans="1:159" x14ac:dyDescent="0.2">
      <c r="A4" s="3" t="s">
        <v>12</v>
      </c>
      <c r="EB4" s="142"/>
      <c r="EC4" s="142"/>
    </row>
    <row r="5" spans="1:159" x14ac:dyDescent="0.2">
      <c r="A5" s="57" t="s">
        <v>13</v>
      </c>
      <c r="B5" s="41" t="s">
        <v>24</v>
      </c>
      <c r="BB5" s="162" t="s">
        <v>520</v>
      </c>
      <c r="BC5" s="162" t="s">
        <v>567</v>
      </c>
      <c r="BD5" s="162" t="s">
        <v>6</v>
      </c>
      <c r="BE5" s="162" t="s">
        <v>545</v>
      </c>
      <c r="BF5" s="162" t="s">
        <v>546</v>
      </c>
      <c r="BG5" s="162" t="s">
        <v>547</v>
      </c>
      <c r="BH5" s="61"/>
      <c r="BI5" s="162" t="s">
        <v>554</v>
      </c>
      <c r="BJ5" s="162" t="s">
        <v>551</v>
      </c>
      <c r="BK5" s="162" t="s">
        <v>559</v>
      </c>
      <c r="BL5" s="162" t="s">
        <v>560</v>
      </c>
      <c r="BM5" s="162" t="s">
        <v>562</v>
      </c>
      <c r="BN5" s="162" t="s">
        <v>659</v>
      </c>
      <c r="BO5" s="162" t="s">
        <v>662</v>
      </c>
      <c r="BP5" s="162" t="s">
        <v>663</v>
      </c>
      <c r="BQ5" s="162" t="s">
        <v>561</v>
      </c>
      <c r="BR5" s="162" t="s">
        <v>568</v>
      </c>
      <c r="BS5" s="162" t="s">
        <v>571</v>
      </c>
      <c r="BT5" s="162" t="s">
        <v>573</v>
      </c>
      <c r="BU5" s="162" t="s">
        <v>569</v>
      </c>
      <c r="BV5" s="162" t="s">
        <v>570</v>
      </c>
      <c r="BW5" s="162" t="s">
        <v>574</v>
      </c>
      <c r="BX5" s="162" t="s">
        <v>576</v>
      </c>
      <c r="BY5" s="162" t="s">
        <v>655</v>
      </c>
      <c r="BZ5" s="61"/>
      <c r="CA5" s="162" t="s">
        <v>580</v>
      </c>
      <c r="CB5" s="165" t="s">
        <v>586</v>
      </c>
      <c r="CC5" s="165" t="s">
        <v>592</v>
      </c>
      <c r="CD5" s="165" t="s">
        <v>587</v>
      </c>
      <c r="CE5" s="165" t="s">
        <v>590</v>
      </c>
      <c r="CF5" s="165" t="s">
        <v>582</v>
      </c>
      <c r="CG5" s="165" t="s">
        <v>583</v>
      </c>
      <c r="CH5" s="165" t="s">
        <v>585</v>
      </c>
      <c r="CI5" s="165" t="s">
        <v>591</v>
      </c>
      <c r="CJ5" s="165" t="s">
        <v>588</v>
      </c>
      <c r="CK5" s="142"/>
      <c r="CL5" s="162" t="s">
        <v>593</v>
      </c>
      <c r="CM5" s="165" t="s">
        <v>604</v>
      </c>
      <c r="CN5" s="166" t="s">
        <v>596</v>
      </c>
      <c r="CO5" s="162" t="s">
        <v>613</v>
      </c>
      <c r="CP5" s="162" t="s">
        <v>601</v>
      </c>
      <c r="CQ5" s="162" t="s">
        <v>597</v>
      </c>
      <c r="CR5" s="162" t="s">
        <v>605</v>
      </c>
      <c r="CS5" s="162" t="s">
        <v>606</v>
      </c>
      <c r="CT5" s="162" t="s">
        <v>603</v>
      </c>
      <c r="CU5" s="165" t="s">
        <v>600</v>
      </c>
      <c r="CV5" s="163" t="s">
        <v>602</v>
      </c>
      <c r="CW5" s="163" t="s">
        <v>607</v>
      </c>
      <c r="CX5" s="161" t="s">
        <v>608</v>
      </c>
      <c r="CY5" s="162" t="s">
        <v>609</v>
      </c>
      <c r="CZ5" s="162" t="s">
        <v>610</v>
      </c>
      <c r="DA5" s="163" t="s">
        <v>611</v>
      </c>
      <c r="DB5" s="165" t="s">
        <v>612</v>
      </c>
      <c r="DC5" s="168"/>
      <c r="DD5" s="162" t="s">
        <v>614</v>
      </c>
      <c r="DE5" s="163" t="s">
        <v>632</v>
      </c>
      <c r="DF5" s="163" t="s">
        <v>633</v>
      </c>
      <c r="DG5" s="165" t="s">
        <v>626</v>
      </c>
      <c r="DH5" s="166" t="s">
        <v>628</v>
      </c>
      <c r="DI5" s="166" t="s">
        <v>627</v>
      </c>
      <c r="DJ5" s="166" t="s">
        <v>636</v>
      </c>
      <c r="DK5" s="166" t="s">
        <v>637</v>
      </c>
      <c r="DL5" s="162" t="s">
        <v>629</v>
      </c>
      <c r="DM5" s="61"/>
      <c r="DN5" s="162" t="s">
        <v>638</v>
      </c>
      <c r="DO5" s="167" t="s">
        <v>647</v>
      </c>
      <c r="DP5" s="167" t="s">
        <v>643</v>
      </c>
      <c r="DQ5" s="167" t="s">
        <v>642</v>
      </c>
      <c r="DR5" s="167" t="s">
        <v>654</v>
      </c>
      <c r="DS5" s="162" t="s">
        <v>646</v>
      </c>
      <c r="DT5" s="162" t="s">
        <v>641</v>
      </c>
      <c r="DU5" s="167" t="s">
        <v>648</v>
      </c>
      <c r="DV5" s="167" t="s">
        <v>649</v>
      </c>
      <c r="DW5" s="167" t="s">
        <v>650</v>
      </c>
      <c r="DX5" s="167" t="s">
        <v>644</v>
      </c>
      <c r="DY5" s="167" t="s">
        <v>645</v>
      </c>
      <c r="DZ5" s="166" t="s">
        <v>652</v>
      </c>
      <c r="EA5" s="166" t="s">
        <v>651</v>
      </c>
      <c r="EB5" s="142"/>
      <c r="EC5" s="142"/>
    </row>
    <row r="6" spans="1:159" x14ac:dyDescent="0.2">
      <c r="A6" s="162" t="s">
        <v>550</v>
      </c>
      <c r="B6" s="41">
        <v>15</v>
      </c>
      <c r="BB6" s="96">
        <f>_xlfn.XMATCH(B5,DataHeaders,0)</f>
        <v>1</v>
      </c>
      <c r="BC6" s="61" cm="1">
        <f t="array" ref="BC6:BC17">_xlfn.SEQUENCE(BB8)</f>
        <v>1</v>
      </c>
      <c r="BD6" s="142" cm="1">
        <f t="array" ref="BD6:BD17">INDEX(Data,_xlfn.SEQUENCE(BB8),BB6)</f>
        <v>1.2989587493526971</v>
      </c>
      <c r="BE6" s="61" cm="1">
        <f t="array" ref="BE6:BE17">_xlfn._xlws.SORT(_xlfn.ANCHORARRAY(BD6))</f>
        <v>-1.479592604535932</v>
      </c>
      <c r="BF6" s="61" cm="1">
        <f t="array" ref="BF6:BF17">IFERROR((_xlfn.ANCHORARRAY(BE6)-BB10)/BB12,NA())</f>
        <v>-0.77401919912526185</v>
      </c>
      <c r="BG6" s="61" cm="1">
        <f t="array" ref="BG6:BG17">IF(ISNA(_xlfn.ANCHORARRAY(BF6)),NA(),_xlfn.NORM.INV((_xlfn.ANCHORARRAY(BC6)-0.5)/BB8,0,1))</f>
        <v>-1.7316643961222451</v>
      </c>
      <c r="BH6" s="61"/>
      <c r="BI6" s="96" t="str">
        <f>"Histogram med "&amp;B6&amp;" intervaller
og normalfordeling for
"&amp;B5</f>
        <v>Histogram med 15 intervaller
og normalfordeling for
Eksempel 1 (interval)</v>
      </c>
      <c r="BJ6" s="61" cm="1">
        <f t="array" ref="BJ6:BJ20">_xlfn.SEQUENCE(B6)</f>
        <v>1</v>
      </c>
      <c r="BK6" s="61" cm="1">
        <f t="array" ref="BK6:BK20">BI18+(_xlfn.ANCHORARRAY(BJ6)-1)*BI22</f>
        <v>-11.06659377856206</v>
      </c>
      <c r="BL6" s="61" cm="1">
        <f t="array" ref="BL6:BL20">BI18+_xlfn.ANCHORARRAY(BJ6)*BI22</f>
        <v>-9.3438473523109895</v>
      </c>
      <c r="BM6" s="61" cm="1">
        <f t="array" ref="BM6:BM20">MMULT(--((TRANSPOSE(_xlfn.ANCHORARRAY(BD6))&gt;=_xlfn.ANCHORARRAY(BK6))*(TRANSPOSE(_xlfn.ANCHORARRAY(BD6))&lt;_xlfn.ANCHORARRAY(BL6))),_xlfn.ANCHORARRAY(BQ6))+IF(_xlfn.ANCHORARRAY(BJ6)=B6,COUNTIF(_xlfn.ANCHORARRAY(BD6),"="&amp;BI20),0)</f>
        <v>0</v>
      </c>
      <c r="BN6" s="61" cm="1">
        <f t="array" ref="BN6:BN12">_xlfn.SEQUENCE(BI44)</f>
        <v>1</v>
      </c>
      <c r="BO6" s="61" cm="1">
        <f t="array" ref="BO6:BO12">(_xlfn.ANCHORARRAY(BN6)-BI46)*IF(BI42,2,1)</f>
        <v>-3</v>
      </c>
      <c r="BP6" s="61" cm="1">
        <f t="array" ref="BP6:BP12">_xlfn.XMATCH(_xlfn.ANCHORARRAY(BO6),_xlfn.ANCHORARRAY(BS6),1)</f>
        <v>1</v>
      </c>
      <c r="BQ6" s="61" cm="1">
        <f t="array" ref="BQ6:BQ17">_xlfn.SEQUENCE(BB8,,1,0)</f>
        <v>1</v>
      </c>
      <c r="BR6" s="61" cm="1">
        <f t="array" ref="BR6:BR260">_xlfn.SEQUENCE(BI28)</f>
        <v>1</v>
      </c>
      <c r="BS6" s="61" cm="1">
        <f t="array" ref="BS6:BS260">BI14+(_xlfn.ANCHORARRAY(BR6)-1)*BI30</f>
        <v>-3</v>
      </c>
      <c r="BT6" s="61" cm="1">
        <f t="array" ref="BT6:BT260">IFERROR(_xlfn.NORM.DIST(_xlfn.ANCHORARRAY(BS6),0,1,FALSE),NA())</f>
        <v>4.4318484119380075E-3</v>
      </c>
      <c r="BU6" s="61" cm="1">
        <f t="array" ref="BU6:BU260">ROUNDUP(_xlfn.ANCHORARRAY(BR6)/BI26,0)</f>
        <v>1</v>
      </c>
      <c r="BV6" s="61" cm="1">
        <f t="array" ref="BV6:BV260">INDEX(_xlfn.ANCHORARRAY(BM6),_xlfn.ANCHORARRAY(BU6))</f>
        <v>0</v>
      </c>
      <c r="BW6" s="61" cm="1">
        <f t="array" ref="BW6:BW260">IFERROR(_xlfn.ANCHORARRAY(BV6)/SUM(_xlfn.ANCHORARRAY(BV6))*SUM(_xlfn.ANCHORARRAY(BT6)),NA())</f>
        <v>0</v>
      </c>
      <c r="BX6" s="61" cm="1">
        <f t="array" ref="BX6:BX260">IFERROR(IF(MOD(_xlfn.ANCHORARRAY(BR6),BI26)=1,ROUND(INDEX(_xlfn.ANCHORARRAY(BK6),_xlfn.ANCHORARRAY(BU6)),BI36),IF(_xlfn.ANCHORARRAY(BR6)=BI28,ROUND(BI20,BI36),"")),"")</f>
        <v>-11.07</v>
      </c>
      <c r="BY6" s="61" t="str" cm="1">
        <f t="array" ref="BY6:BY260">_xlfn.XLOOKUP(_xlfn.ANCHORARRAY(BR6),_xlfn.ANCHORARRAY(BP6),_xlfn.ANCHORARRAY(BO6)&amp;"σ","")</f>
        <v>-3σ</v>
      </c>
      <c r="BZ6" s="61"/>
      <c r="CA6" s="96" t="str">
        <f>IF(ISNA(CA12),"Søjlediagram kan ikke vise over 1000 unikke værdier","Søjlediagram af
"&amp;B5)</f>
        <v>Søjlediagram af
Eksempel 1 (interval)</v>
      </c>
      <c r="CB6" s="142" cm="1">
        <f t="array" ref="CB6:CB17">_xlfn.UNIQUE(BsData)</f>
        <v>-1.479592604535932</v>
      </c>
      <c r="CC6" s="142" cm="1">
        <f t="array" ref="CC6:CC17">IF(ISLOGICAL(_xlfn.ANCHORARRAY(CB6)),_xlfn.ANCHORARRAY(CB6),ROUND(_xlfn.ANCHORARRAY(CB6),CA24))</f>
        <v>-1.48</v>
      </c>
      <c r="CD6" s="142" cm="1">
        <f t="array" ref="CD6:CD17">MMULT(--(TRANSPOSE(_xlfn.ANCHORARRAY(BD6))=_xlfn.ANCHORARRAY(CB6)),_xlfn.ANCHORARRAY(BQ6))</f>
        <v>1</v>
      </c>
      <c r="CE6" s="142" t="str" cm="1">
        <f t="array" ref="CE6:CE17">ROUND(_xlfn.ANCHORARRAY(CD6)/SUM(_xlfn.ANCHORARRAY(CD6))*100,0)&amp;"%"</f>
        <v>8%</v>
      </c>
      <c r="CF6" s="142" cm="1">
        <f t="array" ref="CF6:CF77">_xlfn.SEQUENCE(CA14)</f>
        <v>1</v>
      </c>
      <c r="CG6" s="142" cm="1">
        <f t="array" ref="CG6:CG77">ROUNDUP(_xlfn.ANCHORARRAY(CF6)/CA12,0)</f>
        <v>1</v>
      </c>
      <c r="CH6" s="142" cm="1">
        <f t="array" ref="CH6:CH77">(MOD(_xlfn.ANCHORARRAY(CF6),CA12)=1)+(MOD(_xlfn.ANCHORARRAY(CF6),CA12)=0)</f>
        <v>1</v>
      </c>
      <c r="CI6" s="142" t="e" cm="1">
        <f t="array" ref="CI6:CI77">IF(_xlfn.ANCHORARRAY(CH6)=0,INDEX(_xlfn.ANCHORARRAY(CD6),_xlfn.ANCHORARRAY(CG6)),NA())</f>
        <v>#N/A</v>
      </c>
      <c r="CJ6" s="142" t="str" cm="1">
        <f t="array" ref="CJ6:CJ77">IF(MOD(_xlfn.ANCHORARRAY(CF6),CA12)=CA16,INDEX(_xlfn.ANCHORARRAY(CC6),_xlfn.ANCHORARRAY(CG6))&amp;IF(CA18," ("&amp;INDEX(_xlfn.ANCHORARRAY(CE6),_xlfn.ANCHORARRAY(CG6))&amp;")",""),"")</f>
        <v/>
      </c>
      <c r="CK6" s="142"/>
      <c r="CL6" s="96" t="str">
        <f>"Kvartilsæt for
"&amp;B5</f>
        <v>Kvartilsæt for
Eksempel 1 (interval)</v>
      </c>
      <c r="CM6" s="142" cm="1">
        <f t="array" ref="CM6:CM10">_xlfn.SEQUENCE(CL13,,0)</f>
        <v>0</v>
      </c>
      <c r="CN6" s="142" cm="1">
        <f t="array" ref="CN6:CN10">IF(_xlfn.ANCHORARRAY(CM6)=0,CL17,IF(_xlfn.ANCHORARRAY(CM6)=CL13-1,CL19,_xlfn.QUARTILE.EXC(_xlfn.ANCHORARRAY(BD6),_xlfn.ANCHORARRAY(CM6))))</f>
        <v>-1.479592604535932</v>
      </c>
      <c r="CO6" s="61" cm="1">
        <f t="array" ref="CO6:CO10">ROUND(_xlfn.ANCHORARRAY(CN6),CL31)</f>
        <v>-1.48</v>
      </c>
      <c r="CP6" s="61" cm="1">
        <f t="array" ref="CP6:CP10">ROUND((_xlfn.ANCHORARRAY(CN6)-CL17)/CL21*(CL25),0)</f>
        <v>0</v>
      </c>
      <c r="CQ6" s="61" cm="1">
        <f t="array" ref="CQ6:CQ9">_xlfn.SEQUENCE(CL15)</f>
        <v>1</v>
      </c>
      <c r="CR6" s="61" cm="1">
        <f t="array" ref="CR6:CR9">INDEX(_xlfn.ANCHORARRAY(CP6),_xlfn.ANCHORARRAY(CQ6)+1)-INDEX(_xlfn.ANCHORARRAY(CP6),_xlfn.ANCHORARRAY(CQ6))</f>
        <v>243</v>
      </c>
      <c r="CS6" s="142" cm="1">
        <f t="array" ref="CS6:CS9">CL25/IF(_xlfn.ANCHORARRAY(CR6)=0,1,_xlfn.ANCHORARRAY(CR6))/SUM(CL25/IF(_xlfn.ANCHORARRAY(CR6)=0,1,_xlfn.ANCHORARRAY(CR6)))*CL15</f>
        <v>1.8192576091040986</v>
      </c>
      <c r="CT6" s="61" cm="1">
        <f t="array" ref="CT6:CT10">_xlfn.SEQUENCE(CL13,,1,0)</f>
        <v>1</v>
      </c>
      <c r="CU6" s="61" cm="1">
        <f t="array" ref="CU6:CU5005">_xlfn.SEQUENCE(CL25)</f>
        <v>1</v>
      </c>
      <c r="CV6" s="168" cm="1">
        <f t="array" ref="CV6:CV5005">MMULT(--(_xlfn.ANCHORARRAY(CU6)&gt;TRANSPOSE(_xlfn.ANCHORARRAY(CP6))),_xlfn.ANCHORARRAY(CT6))</f>
        <v>1</v>
      </c>
      <c r="CW6" s="142" cm="1">
        <f t="array" ref="CW6:CW5005">INDEX(_xlfn.ANCHORARRAY(CS6),_xlfn.ANCHORARRAY(CV6))</f>
        <v>1.8192576091040986</v>
      </c>
      <c r="CX6" s="142" cm="1">
        <f t="array" ref="CX6:CX5005">IF(_xlfn.ANCHORARRAY(CV6)=1,_xlfn.ANCHORARRAY(CW6),NA())</f>
        <v>1.8192576091040986</v>
      </c>
      <c r="CY6" s="142" t="e" cm="1">
        <f t="array" ref="CY6:CY5005">IF(_xlfn.ANCHORARRAY(CV6)=2,_xlfn.ANCHORARRAY(CW6),NA())</f>
        <v>#N/A</v>
      </c>
      <c r="CZ6" s="142" t="e" cm="1">
        <f t="array" ref="CZ6:CZ5005">IF(_xlfn.ANCHORARRAY(CV6)=3,_xlfn.ANCHORARRAY(CW6),NA())</f>
        <v>#N/A</v>
      </c>
      <c r="DA6" s="142" t="e" cm="1">
        <f t="array" ref="DA6:DA5005">IF(_xlfn.ANCHORARRAY(CV6)=4,_xlfn.ANCHORARRAY(CW6),NA())</f>
        <v>#N/A</v>
      </c>
      <c r="DB6" s="168" cm="1">
        <f t="array" ref="DB6:DB5005">IF(MMULT(--(_xlfn.ANCHORARRAY(CU6)=TRANSPOSE(_xlfn.ANCHORARRAY(CP6)+1)),_xlfn.ANCHORARRAY(CT6))=1,INDEX(_xlfn.ANCHORARRAY(CO6),_xlfn.ANCHORARRAY(CV6)),IF(_xlfn.ANCHORARRAY(CU6)=CL25,CL19,""))</f>
        <v>-1.48</v>
      </c>
      <c r="DC6" s="168"/>
      <c r="DD6" s="96" t="str">
        <f>"Boksplot af
"&amp;B5</f>
        <v>Boksplot af
Eksempel 1 (interval)</v>
      </c>
      <c r="DE6" s="160">
        <f>$DD$32</f>
        <v>-1.479592604535932</v>
      </c>
      <c r="DF6" s="160">
        <v>-1</v>
      </c>
      <c r="DG6" s="142" cm="1">
        <f t="array" ref="DG6:DG17">_xlfn.SEQUENCE(BB8)</f>
        <v>1</v>
      </c>
      <c r="DH6" s="142" cm="1">
        <f t="array" ref="DH6:DH17">BsData</f>
        <v>-1.479592604535932</v>
      </c>
      <c r="DI6" s="168" cm="1">
        <f t="array" ref="DI6:DI17">(_xlfn.ANCHORARRAY(DH6)&lt;=DD28)+(_xlfn.ANCHORARRAY(DH6)&gt;=DD30)</f>
        <v>0</v>
      </c>
      <c r="DJ6" s="61" cm="1">
        <f t="array" ref="DJ6:DJ7">IFERROR(_xlfn._xlws.FILTER(_xlfn.ANCHORARRAY(DH6),_xlfn.ANCHORARRAY(DI6)=1),NA())</f>
        <v>8</v>
      </c>
      <c r="DK6" s="61" cm="1">
        <f t="array" ref="DK6:DK7">IFERROR(_xlfn.SEQUENCE(SUM(_xlfn.ANCHORARRAY(DI6)),,0,0),NA())</f>
        <v>0</v>
      </c>
      <c r="DL6" s="61" cm="1">
        <f t="array" ref="DL6:DL15">_xlfn._xlws.FILTER(_xlfn.ANCHORARRAY(DH6),_xlfn.ANCHORARRAY(DI6)=0)</f>
        <v>-1.479592604535932</v>
      </c>
      <c r="DM6" s="61"/>
      <c r="DN6" s="96" t="str">
        <f>"Fraktildiagram med "&amp;B7&amp;" intervaller
for "&amp;B5</f>
        <v>Fraktildiagram med 6 intervaller
for Eksempel 1 (interval)</v>
      </c>
      <c r="DO6" s="142" cm="1">
        <f t="array" ref="DO6:DO12">_xlfn.SEQUENCE(B7+1,,0)</f>
        <v>0</v>
      </c>
      <c r="DP6" s="169" cm="1">
        <f t="array" ref="DP6:DP12">_xlfn.ANCHORARRAY(DO6)/B7</f>
        <v>0</v>
      </c>
      <c r="DQ6" s="70" cm="1">
        <f t="array" ref="DQ6:DQ12">_xlfn.PERCENTILE.INC(_xlfn.ANCHORARRAY(BD6),_xlfn.ANCHORARRAY(DP6))</f>
        <v>-1.479592604535932</v>
      </c>
      <c r="DR6" s="61" t="str" cm="1">
        <f t="array" ref="DR6:DR12">ROUND(_xlfn.ANCHORARRAY(DQ6),DN24)&amp;" ("&amp;ROUND(_xlfn.ANCHORARRAY(DP6)*100,0)&amp;"%)"</f>
        <v>-1.5 (0%)</v>
      </c>
      <c r="DS6" s="61" cm="1">
        <f t="array" ref="DS6:DS12">ROUND((_xlfn.ANCHORARRAY(DQ6)-DN14)/DN18*(DN12),0)</f>
        <v>0</v>
      </c>
      <c r="DT6" s="61" cm="1">
        <f t="array" ref="DT6:DT11">_xlfn.SEQUENCE(B7)</f>
        <v>1</v>
      </c>
      <c r="DU6" s="142" cm="1">
        <f t="array" ref="DU6:DU11">INDEX(_xlfn.ANCHORARRAY(DS6),_xlfn.ANCHORARRAY(DT6)+1)-INDEX(_xlfn.ANCHORARRAY(DS6),_xlfn.ANCHORARRAY(DT6))</f>
        <v>9</v>
      </c>
      <c r="DV6" s="142" cm="1">
        <f t="array" ref="DV6:DV11">DN12/IF(_xlfn.ANCHORARRAY(DU6)=0,1,_xlfn.ANCHORARRAY(DU6))/SUM(DN12/IF(_xlfn.ANCHORARRAY(DU6)=0,1,_xlfn.ANCHORARRAY(DU6)))*B7</f>
        <v>1.7350867949805218</v>
      </c>
      <c r="DW6" s="142" cm="1">
        <f t="array" ref="DW6:DW12">_xlfn.SEQUENCE(B7+1,,1,0)</f>
        <v>1</v>
      </c>
      <c r="DX6" s="70" cm="1">
        <f t="array" ref="DX6:DX257">_xlfn.SEQUENCE(DN12)</f>
        <v>1</v>
      </c>
      <c r="DY6" s="168" cm="1">
        <f t="array" ref="DY6:DY257">MMULT(--(_xlfn.ANCHORARRAY(DX6)&gt;TRANSPOSE(_xlfn.ANCHORARRAY(DS6))),_xlfn.ANCHORARRAY(DW6))</f>
        <v>1</v>
      </c>
      <c r="DZ6" s="142" cm="1">
        <f t="array" ref="DZ6:DZ257">INDEX(_xlfn.ANCHORARRAY(DV6),_xlfn.ANCHORARRAY(DY6))</f>
        <v>1.7350867949805218</v>
      </c>
      <c r="EA6" s="168" t="str" cm="1">
        <f t="array" ref="EA6:EA257">IF(MMULT(--(_xlfn.ANCHORARRAY(DX6)=TRANSPOSE(_xlfn.ANCHORARRAY(DS6)+1)),_xlfn.ANCHORARRAY(DW6))=1,INDEX(_xlfn.ANCHORARRAY(DR6),_xlfn.ANCHORARRAY(DY6)),IF(_xlfn.ANCHORARRAY(DX6)=DN12,INDEX(_xlfn.ANCHORARRAY(DR6),B7+1),""))</f>
        <v>-1.5 (0%)</v>
      </c>
      <c r="EB6" s="142"/>
      <c r="EC6" s="142"/>
    </row>
    <row r="7" spans="1:159" x14ac:dyDescent="0.2">
      <c r="A7" s="162" t="s">
        <v>639</v>
      </c>
      <c r="B7" s="2">
        <v>6</v>
      </c>
      <c r="BB7" s="162" t="s">
        <v>29</v>
      </c>
      <c r="BC7" s="61">
        <v>2</v>
      </c>
      <c r="BD7" s="61">
        <v>-1.1469596428732241</v>
      </c>
      <c r="BE7" s="61">
        <v>-1.1469596428732241</v>
      </c>
      <c r="BF7" s="61">
        <v>-0.69678601922273553</v>
      </c>
      <c r="BG7" s="61">
        <v>-1.1503493803760083</v>
      </c>
      <c r="BH7" s="61"/>
      <c r="BI7" s="162" t="s">
        <v>563</v>
      </c>
      <c r="BJ7" s="61">
        <v>2</v>
      </c>
      <c r="BK7" s="61">
        <v>-9.3438473523109895</v>
      </c>
      <c r="BL7" s="61">
        <v>-7.6211009260599187</v>
      </c>
      <c r="BM7" s="61">
        <v>0</v>
      </c>
      <c r="BN7" s="61">
        <v>2</v>
      </c>
      <c r="BO7" s="61">
        <v>-2</v>
      </c>
      <c r="BP7" s="61">
        <v>44</v>
      </c>
      <c r="BQ7" s="61">
        <v>1</v>
      </c>
      <c r="BR7" s="61">
        <v>2</v>
      </c>
      <c r="BS7" s="61">
        <v>-2.9763779527559056</v>
      </c>
      <c r="BT7" s="61">
        <v>4.7559852950567272E-3</v>
      </c>
      <c r="BU7" s="61">
        <v>1</v>
      </c>
      <c r="BV7" s="61">
        <v>0</v>
      </c>
      <c r="BW7" s="61">
        <v>0</v>
      </c>
      <c r="BX7" s="61" t="str">
        <v/>
      </c>
      <c r="BY7" s="61" t="str">
        <v/>
      </c>
      <c r="BZ7" s="61"/>
      <c r="CA7" s="162" t="s">
        <v>581</v>
      </c>
      <c r="CB7" s="142">
        <v>-1.1469596428732241</v>
      </c>
      <c r="CC7" s="142">
        <v>-1.147</v>
      </c>
      <c r="CD7" s="142">
        <v>1</v>
      </c>
      <c r="CE7" s="142" t="str">
        <v>8%</v>
      </c>
      <c r="CF7" s="142">
        <v>2</v>
      </c>
      <c r="CG7" s="142">
        <v>1</v>
      </c>
      <c r="CH7" s="142">
        <v>0</v>
      </c>
      <c r="CI7" s="142">
        <v>1</v>
      </c>
      <c r="CJ7" s="142" t="str">
        <v/>
      </c>
      <c r="CK7" s="142"/>
      <c r="CL7" s="162" t="s">
        <v>594</v>
      </c>
      <c r="CM7" s="142">
        <v>1</v>
      </c>
      <c r="CN7" s="142">
        <v>-0.77564154305867694</v>
      </c>
      <c r="CO7" s="168">
        <v>-0.77600000000000002</v>
      </c>
      <c r="CP7" s="61">
        <v>243</v>
      </c>
      <c r="CQ7" s="168">
        <v>2</v>
      </c>
      <c r="CR7" s="142">
        <v>440</v>
      </c>
      <c r="CS7" s="168">
        <v>1.0047263613915816</v>
      </c>
      <c r="CT7" s="168">
        <v>1</v>
      </c>
      <c r="CU7" s="168">
        <v>2</v>
      </c>
      <c r="CV7" s="168">
        <v>1</v>
      </c>
      <c r="CW7" s="142">
        <v>1.8192576091040986</v>
      </c>
      <c r="CX7" s="142">
        <v>1.8192576091040986</v>
      </c>
      <c r="CY7" s="142" t="e">
        <v>#N/A</v>
      </c>
      <c r="CZ7" s="142" t="e">
        <v>#N/A</v>
      </c>
      <c r="DA7" s="142" t="e">
        <v>#N/A</v>
      </c>
      <c r="DB7" s="168" t="str">
        <v/>
      </c>
      <c r="DC7" s="168"/>
      <c r="DD7" s="162" t="s">
        <v>615</v>
      </c>
      <c r="DE7" s="160">
        <f>$DD$32</f>
        <v>-1.479592604535932</v>
      </c>
      <c r="DF7" s="160">
        <v>1</v>
      </c>
      <c r="DG7" s="168">
        <v>2</v>
      </c>
      <c r="DH7" s="61">
        <v>-1.1469596428732241</v>
      </c>
      <c r="DI7" s="61">
        <v>0</v>
      </c>
      <c r="DJ7" s="61">
        <v>13</v>
      </c>
      <c r="DK7" s="61">
        <v>0</v>
      </c>
      <c r="DL7" s="61">
        <v>-1.1469596428732241</v>
      </c>
      <c r="DM7" s="61"/>
      <c r="DN7" s="162" t="s">
        <v>565</v>
      </c>
      <c r="DO7" s="142">
        <v>1</v>
      </c>
      <c r="DP7" s="169">
        <v>0.16666666666666666</v>
      </c>
      <c r="DQ7" s="70">
        <v>-0.93927420772144354</v>
      </c>
      <c r="DR7" s="70" t="str">
        <v>-0.9 (17%)</v>
      </c>
      <c r="DS7" s="142">
        <v>9</v>
      </c>
      <c r="DT7" s="142">
        <v>2</v>
      </c>
      <c r="DU7" s="142">
        <v>11</v>
      </c>
      <c r="DV7" s="142">
        <v>1.4196164686204271</v>
      </c>
      <c r="DW7" s="142">
        <v>1</v>
      </c>
      <c r="DX7" s="142">
        <v>2</v>
      </c>
      <c r="DY7" s="142">
        <v>1</v>
      </c>
      <c r="DZ7" s="142">
        <v>1.7350867949805218</v>
      </c>
      <c r="EA7" s="142" t="str">
        <v/>
      </c>
      <c r="EB7" s="142"/>
      <c r="EC7" s="142"/>
    </row>
    <row r="8" spans="1:159" x14ac:dyDescent="0.2">
      <c r="BB8" s="96" cm="1">
        <f t="array" ref="BB8">INDEX(DataBeregning!B5:CW5,BeskrivendeStatistik!BB6)</f>
        <v>12</v>
      </c>
      <c r="BC8" s="61">
        <v>3</v>
      </c>
      <c r="BD8" s="61">
        <v>-0.40935481016144565</v>
      </c>
      <c r="BE8" s="61">
        <v>-0.89773712069108735</v>
      </c>
      <c r="BF8" s="61">
        <v>-0.63891969173901442</v>
      </c>
      <c r="BG8" s="61">
        <v>-0.81221780149991241</v>
      </c>
      <c r="BH8" s="61"/>
      <c r="BI8" s="96" t="str">
        <f>"Observationer (n = "&amp;BB8&amp;")"</f>
        <v>Observationer (n = 12)</v>
      </c>
      <c r="BJ8" s="61">
        <v>3</v>
      </c>
      <c r="BK8" s="61">
        <v>-7.6211009260599187</v>
      </c>
      <c r="BL8" s="61">
        <v>-5.898354499808848</v>
      </c>
      <c r="BM8" s="61">
        <v>0</v>
      </c>
      <c r="BN8" s="61">
        <v>3</v>
      </c>
      <c r="BO8" s="61">
        <v>-1</v>
      </c>
      <c r="BP8" s="61">
        <v>86</v>
      </c>
      <c r="BQ8" s="61">
        <v>1</v>
      </c>
      <c r="BR8" s="61">
        <v>3</v>
      </c>
      <c r="BS8" s="61">
        <v>-2.9527559055118111</v>
      </c>
      <c r="BT8" s="61">
        <v>5.1009817796137192E-3</v>
      </c>
      <c r="BU8" s="61">
        <v>1</v>
      </c>
      <c r="BV8" s="61">
        <v>0</v>
      </c>
      <c r="BW8" s="61">
        <v>0</v>
      </c>
      <c r="BX8" s="61" t="str">
        <v/>
      </c>
      <c r="BY8" s="61" t="str">
        <v/>
      </c>
      <c r="BZ8" s="61"/>
      <c r="CA8" s="96" t="str">
        <f>"Observationer (n = "&amp;BB8&amp;")"</f>
        <v>Observationer (n = 12)</v>
      </c>
      <c r="CB8" s="142">
        <v>-0.89773712069108735</v>
      </c>
      <c r="CC8" s="142">
        <v>-0.89800000000000002</v>
      </c>
      <c r="CD8" s="142">
        <v>1</v>
      </c>
      <c r="CE8" s="142" t="str">
        <v>8%</v>
      </c>
      <c r="CF8" s="142">
        <v>3</v>
      </c>
      <c r="CG8" s="142">
        <v>1</v>
      </c>
      <c r="CH8" s="142">
        <v>0</v>
      </c>
      <c r="CI8" s="142">
        <v>1</v>
      </c>
      <c r="CJ8" s="142" t="str">
        <v/>
      </c>
      <c r="CK8" s="142"/>
      <c r="CL8" s="96" t="s">
        <v>32</v>
      </c>
      <c r="CM8" s="142">
        <v>2</v>
      </c>
      <c r="CN8" s="142">
        <v>0.49925963399512074</v>
      </c>
      <c r="CO8" s="168">
        <v>0.499</v>
      </c>
      <c r="CP8" s="61">
        <v>683</v>
      </c>
      <c r="CQ8" s="168">
        <v>3</v>
      </c>
      <c r="CR8" s="142">
        <v>416</v>
      </c>
      <c r="CS8" s="168">
        <v>1.0626913437795575</v>
      </c>
      <c r="CT8" s="168">
        <v>1</v>
      </c>
      <c r="CU8" s="168">
        <v>3</v>
      </c>
      <c r="CV8" s="168">
        <v>1</v>
      </c>
      <c r="CW8" s="142">
        <v>1.8192576091040986</v>
      </c>
      <c r="CX8" s="142">
        <v>1.8192576091040986</v>
      </c>
      <c r="CY8" s="142" t="e">
        <v>#N/A</v>
      </c>
      <c r="CZ8" s="142" t="e">
        <v>#N/A</v>
      </c>
      <c r="DA8" s="142" t="e">
        <v>#N/A</v>
      </c>
      <c r="DB8" s="168" t="str">
        <v/>
      </c>
      <c r="DC8" s="168"/>
      <c r="DD8" s="96" t="s">
        <v>281</v>
      </c>
      <c r="DE8" s="160">
        <f>$DD$32</f>
        <v>-1.479592604535932</v>
      </c>
      <c r="DF8" s="160">
        <v>0</v>
      </c>
      <c r="DG8" s="168">
        <v>3</v>
      </c>
      <c r="DH8" s="61">
        <v>-0.89773712069108735</v>
      </c>
      <c r="DI8" s="61">
        <v>0</v>
      </c>
      <c r="DJ8" s="61"/>
      <c r="DK8" s="61"/>
      <c r="DL8" s="61">
        <v>-0.89773712069108735</v>
      </c>
      <c r="DM8" s="61"/>
      <c r="DN8" s="98">
        <v>250</v>
      </c>
      <c r="DO8" s="142">
        <v>2</v>
      </c>
      <c r="DP8" s="169">
        <v>0.33333333333333331</v>
      </c>
      <c r="DQ8" s="70">
        <v>-0.3412757073826545</v>
      </c>
      <c r="DR8" s="70" t="str">
        <v>-0.3 (33%)</v>
      </c>
      <c r="DS8" s="170">
        <v>20</v>
      </c>
      <c r="DT8" s="170">
        <v>3</v>
      </c>
      <c r="DU8" s="142">
        <v>14</v>
      </c>
      <c r="DV8" s="142">
        <v>1.1154129396303354</v>
      </c>
      <c r="DW8" s="142">
        <v>1</v>
      </c>
      <c r="DX8" s="142">
        <v>3</v>
      </c>
      <c r="DY8" s="142">
        <v>1</v>
      </c>
      <c r="DZ8" s="142">
        <v>1.7350867949805218</v>
      </c>
      <c r="EA8" s="142" t="str">
        <v/>
      </c>
      <c r="EB8" s="142"/>
      <c r="EC8" s="142"/>
      <c r="FB8" s="48"/>
      <c r="FC8" s="48"/>
    </row>
    <row r="9" spans="1:159" x14ac:dyDescent="0.2">
      <c r="A9" s="47" t="s">
        <v>1088</v>
      </c>
      <c r="BB9" s="162" t="s">
        <v>436</v>
      </c>
      <c r="BC9" s="61">
        <v>4</v>
      </c>
      <c r="BD9" s="61">
        <v>-1.479592604535932</v>
      </c>
      <c r="BE9" s="61">
        <v>-0.40935481016144565</v>
      </c>
      <c r="BF9" s="61">
        <v>-0.52552347669826049</v>
      </c>
      <c r="BG9" s="61">
        <v>-0.54852228269809788</v>
      </c>
      <c r="BH9" s="61"/>
      <c r="BI9" s="162" t="s">
        <v>564</v>
      </c>
      <c r="BJ9" s="61">
        <v>4</v>
      </c>
      <c r="BK9" s="61">
        <v>-5.898354499808848</v>
      </c>
      <c r="BL9" s="61">
        <v>-4.1756080735577772</v>
      </c>
      <c r="BM9" s="61">
        <v>0</v>
      </c>
      <c r="BN9" s="61">
        <v>4</v>
      </c>
      <c r="BO9" s="61">
        <v>0</v>
      </c>
      <c r="BP9" s="61">
        <v>128</v>
      </c>
      <c r="BQ9" s="61">
        <v>1</v>
      </c>
      <c r="BR9" s="61">
        <v>4</v>
      </c>
      <c r="BS9" s="61">
        <v>-2.9291338582677167</v>
      </c>
      <c r="BT9" s="61">
        <v>5.4679521393008702E-3</v>
      </c>
      <c r="BU9" s="61">
        <v>1</v>
      </c>
      <c r="BV9" s="61">
        <v>0</v>
      </c>
      <c r="BW9" s="61">
        <v>0</v>
      </c>
      <c r="BX9" s="61" t="str">
        <v/>
      </c>
      <c r="BY9" s="61" t="str">
        <v/>
      </c>
      <c r="BZ9" s="61"/>
      <c r="CA9" s="162" t="s">
        <v>394</v>
      </c>
      <c r="CB9" s="142">
        <v>-0.40935481016144565</v>
      </c>
      <c r="CC9" s="142">
        <v>-0.40899999999999997</v>
      </c>
      <c r="CD9" s="142">
        <v>1</v>
      </c>
      <c r="CE9" s="142" t="str">
        <v>8%</v>
      </c>
      <c r="CF9" s="142">
        <v>4</v>
      </c>
      <c r="CG9" s="142">
        <v>1</v>
      </c>
      <c r="CH9" s="142">
        <v>0</v>
      </c>
      <c r="CI9" s="142">
        <v>1</v>
      </c>
      <c r="CJ9" s="142" t="str">
        <v>-1.48</v>
      </c>
      <c r="CK9" s="142"/>
      <c r="CL9" s="96" t="s">
        <v>33</v>
      </c>
      <c r="CM9" s="142">
        <v>3</v>
      </c>
      <c r="CN9" s="142">
        <v>1.7034016755912118</v>
      </c>
      <c r="CO9" s="168">
        <v>1.7030000000000001</v>
      </c>
      <c r="CP9" s="61">
        <v>1099</v>
      </c>
      <c r="CQ9" s="168">
        <v>4</v>
      </c>
      <c r="CR9" s="142">
        <v>3901</v>
      </c>
      <c r="CS9" s="168">
        <v>0.11332468572476186</v>
      </c>
      <c r="CT9" s="168">
        <v>1</v>
      </c>
      <c r="CU9" s="168">
        <v>4</v>
      </c>
      <c r="CV9" s="168">
        <v>1</v>
      </c>
      <c r="CW9" s="142">
        <v>1.8192576091040986</v>
      </c>
      <c r="CX9" s="142">
        <v>1.8192576091040986</v>
      </c>
      <c r="CY9" s="142" t="e">
        <v>#N/A</v>
      </c>
      <c r="CZ9" s="142" t="e">
        <v>#N/A</v>
      </c>
      <c r="DA9" s="142" t="e">
        <v>#N/A</v>
      </c>
      <c r="DB9" s="168" t="str">
        <v/>
      </c>
      <c r="DC9" s="168"/>
      <c r="DD9" s="162" t="s">
        <v>616</v>
      </c>
      <c r="DE9" s="160">
        <f>$DD$14</f>
        <v>-0.77564154305867694</v>
      </c>
      <c r="DF9" s="160">
        <v>0</v>
      </c>
      <c r="DG9" s="168">
        <v>4</v>
      </c>
      <c r="DH9" s="61">
        <v>-0.40935481016144565</v>
      </c>
      <c r="DI9" s="61">
        <v>0</v>
      </c>
      <c r="DJ9" s="61"/>
      <c r="DK9" s="61"/>
      <c r="DL9" s="61">
        <v>-0.40935481016144565</v>
      </c>
      <c r="DM9" s="61"/>
      <c r="DN9" s="162" t="s">
        <v>575</v>
      </c>
      <c r="DO9" s="142">
        <v>3</v>
      </c>
      <c r="DP9" s="169">
        <v>0.5</v>
      </c>
      <c r="DQ9" s="70">
        <v>0.49925963399512074</v>
      </c>
      <c r="DR9" s="70" t="str">
        <v>0.5 (50%)</v>
      </c>
      <c r="DS9" s="170">
        <v>34</v>
      </c>
      <c r="DT9" s="170">
        <v>4</v>
      </c>
      <c r="DU9" s="142">
        <v>15</v>
      </c>
      <c r="DV9" s="142">
        <v>1.0410520769883131</v>
      </c>
      <c r="DW9" s="142">
        <v>1</v>
      </c>
      <c r="DX9" s="142">
        <v>4</v>
      </c>
      <c r="DY9" s="142">
        <v>1</v>
      </c>
      <c r="DZ9" s="142">
        <v>1.7350867949805218</v>
      </c>
      <c r="EA9" s="142" t="str">
        <v/>
      </c>
      <c r="EB9" s="142"/>
      <c r="EC9" s="142"/>
      <c r="FB9" s="48"/>
      <c r="FC9" s="48"/>
    </row>
    <row r="10" spans="1:159" x14ac:dyDescent="0.2">
      <c r="BB10" s="96">
        <f>AVERAGE(BsData)</f>
        <v>1.8540044183209698</v>
      </c>
      <c r="BC10" s="61">
        <v>5</v>
      </c>
      <c r="BD10" s="61">
        <v>1.8110756828005981</v>
      </c>
      <c r="BE10" s="61">
        <v>-0.30723615599325882</v>
      </c>
      <c r="BF10" s="61">
        <v>-0.50181281269986555</v>
      </c>
      <c r="BG10" s="61">
        <v>-0.3186393639643752</v>
      </c>
      <c r="BH10" s="61"/>
      <c r="BI10" s="96" t="str">
        <f>IFERROR("Normalfordeling ("&amp;BB14&amp;" ; "&amp;BB16&amp;")","")</f>
        <v>Normalfordeling (1.854 ; 4.307)</v>
      </c>
      <c r="BJ10" s="61">
        <v>5</v>
      </c>
      <c r="BK10" s="61">
        <v>-4.1756080735577772</v>
      </c>
      <c r="BL10" s="61">
        <v>-2.4528616473067064</v>
      </c>
      <c r="BM10" s="61">
        <v>0</v>
      </c>
      <c r="BN10" s="61">
        <v>5</v>
      </c>
      <c r="BO10" s="61">
        <v>1</v>
      </c>
      <c r="BP10" s="61">
        <v>171</v>
      </c>
      <c r="BQ10" s="61">
        <v>1</v>
      </c>
      <c r="BR10" s="61">
        <v>5</v>
      </c>
      <c r="BS10" s="61">
        <v>-2.9055118110236222</v>
      </c>
      <c r="BT10" s="61">
        <v>5.8580530466154357E-3</v>
      </c>
      <c r="BU10" s="61">
        <v>1</v>
      </c>
      <c r="BV10" s="61">
        <v>0</v>
      </c>
      <c r="BW10" s="61">
        <v>0</v>
      </c>
      <c r="BX10" s="61" t="str">
        <v/>
      </c>
      <c r="BY10" s="61" t="str">
        <v/>
      </c>
      <c r="BZ10" s="61"/>
      <c r="CA10" s="96">
        <f>COUNTA(_xlfn.UNIQUE(_xlfn.ANCHORARRAY(BD6)))</f>
        <v>12</v>
      </c>
      <c r="CB10" s="142">
        <v>-0.30723615599325882</v>
      </c>
      <c r="CC10" s="142">
        <v>-0.307</v>
      </c>
      <c r="CD10" s="142">
        <v>1</v>
      </c>
      <c r="CE10" s="142" t="str">
        <v>8%</v>
      </c>
      <c r="CF10" s="142">
        <v>5</v>
      </c>
      <c r="CG10" s="142">
        <v>1</v>
      </c>
      <c r="CH10" s="142">
        <v>0</v>
      </c>
      <c r="CI10" s="142">
        <v>1</v>
      </c>
      <c r="CJ10" s="142" t="str">
        <v/>
      </c>
      <c r="CK10" s="142"/>
      <c r="CL10" s="96" t="s">
        <v>34</v>
      </c>
      <c r="CM10" s="142">
        <v>4</v>
      </c>
      <c r="CN10" s="142">
        <v>13</v>
      </c>
      <c r="CO10" s="168">
        <v>13</v>
      </c>
      <c r="CP10" s="61">
        <v>5000</v>
      </c>
      <c r="CQ10" s="168"/>
      <c r="CR10" s="168"/>
      <c r="CS10" s="168"/>
      <c r="CT10" s="168">
        <v>1</v>
      </c>
      <c r="CU10" s="168">
        <v>5</v>
      </c>
      <c r="CV10" s="168">
        <v>1</v>
      </c>
      <c r="CW10" s="142">
        <v>1.8192576091040986</v>
      </c>
      <c r="CX10" s="142">
        <v>1.8192576091040986</v>
      </c>
      <c r="CY10" s="142" t="e">
        <v>#N/A</v>
      </c>
      <c r="CZ10" s="142" t="e">
        <v>#N/A</v>
      </c>
      <c r="DA10" s="142" t="e">
        <v>#N/A</v>
      </c>
      <c r="DB10" s="168" t="str">
        <v/>
      </c>
      <c r="DC10" s="168"/>
      <c r="DD10" s="96" t="s">
        <v>619</v>
      </c>
      <c r="DE10" s="160">
        <f>$DD$14</f>
        <v>-0.77564154305867694</v>
      </c>
      <c r="DF10" s="160">
        <v>-1</v>
      </c>
      <c r="DG10" s="168">
        <v>5</v>
      </c>
      <c r="DH10" s="61">
        <v>-0.30723615599325882</v>
      </c>
      <c r="DI10" s="61">
        <v>0</v>
      </c>
      <c r="DJ10" s="61"/>
      <c r="DK10" s="61"/>
      <c r="DL10" s="61">
        <v>-0.30723615599325882</v>
      </c>
      <c r="DM10" s="61"/>
      <c r="DN10" s="96">
        <f>ROUNDUP(DN8/B7,0)</f>
        <v>42</v>
      </c>
      <c r="DO10" s="142">
        <v>4</v>
      </c>
      <c r="DP10" s="169">
        <v>0.66666666666666663</v>
      </c>
      <c r="DQ10" s="70">
        <v>1.3260990508894823</v>
      </c>
      <c r="DR10" s="70" t="str">
        <v>1.3 (67%)</v>
      </c>
      <c r="DS10" s="170">
        <v>49</v>
      </c>
      <c r="DT10" s="170">
        <v>5</v>
      </c>
      <c r="DU10" s="142">
        <v>26</v>
      </c>
      <c r="DV10" s="142">
        <v>0.60060696749325759</v>
      </c>
      <c r="DW10" s="142">
        <v>1</v>
      </c>
      <c r="DX10" s="142">
        <v>5</v>
      </c>
      <c r="DY10" s="142">
        <v>1</v>
      </c>
      <c r="DZ10" s="142">
        <v>1.7350867949805218</v>
      </c>
      <c r="EA10" s="142" t="str">
        <v/>
      </c>
      <c r="EB10" s="142"/>
      <c r="EC10" s="142"/>
      <c r="FB10" s="48"/>
      <c r="FC10" s="48"/>
    </row>
    <row r="11" spans="1:159" x14ac:dyDescent="0.2">
      <c r="BB11" s="162" t="s">
        <v>469</v>
      </c>
      <c r="BC11" s="61">
        <v>6</v>
      </c>
      <c r="BD11" s="61">
        <v>8</v>
      </c>
      <c r="BE11" s="61">
        <v>8.4427372017371785E-2</v>
      </c>
      <c r="BF11" s="61">
        <v>-0.41087347954148701</v>
      </c>
      <c r="BG11" s="61">
        <v>-0.10463345561407539</v>
      </c>
      <c r="BH11" s="61"/>
      <c r="BI11" s="162" t="s">
        <v>555</v>
      </c>
      <c r="BJ11" s="61">
        <v>6</v>
      </c>
      <c r="BK11" s="61">
        <v>-2.4528616473067064</v>
      </c>
      <c r="BL11" s="61">
        <v>-0.73011522105563564</v>
      </c>
      <c r="BM11" s="61">
        <v>3</v>
      </c>
      <c r="BN11" s="61">
        <v>6</v>
      </c>
      <c r="BO11" s="61">
        <v>2</v>
      </c>
      <c r="BP11" s="61">
        <v>213</v>
      </c>
      <c r="BQ11" s="61">
        <v>1</v>
      </c>
      <c r="BR11" s="61">
        <v>6</v>
      </c>
      <c r="BS11" s="61">
        <v>-2.8818897637795278</v>
      </c>
      <c r="BT11" s="61">
        <v>6.2724839501383011E-3</v>
      </c>
      <c r="BU11" s="61">
        <v>1</v>
      </c>
      <c r="BV11" s="61">
        <v>0</v>
      </c>
      <c r="BW11" s="61">
        <v>0</v>
      </c>
      <c r="BX11" s="61" t="str">
        <v/>
      </c>
      <c r="BY11" s="61" t="str">
        <v/>
      </c>
      <c r="BZ11" s="61"/>
      <c r="CA11" s="142" t="s">
        <v>584</v>
      </c>
      <c r="CB11" s="142">
        <v>8.4427372017371785E-2</v>
      </c>
      <c r="CC11" s="142">
        <v>8.4000000000000005E-2</v>
      </c>
      <c r="CD11" s="142">
        <v>1</v>
      </c>
      <c r="CE11" s="142" t="str">
        <v>8%</v>
      </c>
      <c r="CF11" s="142">
        <v>6</v>
      </c>
      <c r="CG11" s="142">
        <v>1</v>
      </c>
      <c r="CH11" s="142">
        <v>1</v>
      </c>
      <c r="CI11" s="142" t="e">
        <v>#N/A</v>
      </c>
      <c r="CJ11" s="142" t="str">
        <v/>
      </c>
      <c r="CK11" s="142"/>
      <c r="CL11" s="96" t="s">
        <v>35</v>
      </c>
      <c r="CM11" s="142"/>
      <c r="CN11" s="142"/>
      <c r="CO11" s="168"/>
      <c r="CP11" s="168"/>
      <c r="CQ11" s="168"/>
      <c r="CR11" s="168"/>
      <c r="CS11" s="168"/>
      <c r="CT11" s="168"/>
      <c r="CU11" s="168">
        <v>6</v>
      </c>
      <c r="CV11" s="168">
        <v>1</v>
      </c>
      <c r="CW11" s="142">
        <v>1.8192576091040986</v>
      </c>
      <c r="CX11" s="142">
        <v>1.8192576091040986</v>
      </c>
      <c r="CY11" s="142" t="e">
        <v>#N/A</v>
      </c>
      <c r="CZ11" s="142" t="e">
        <v>#N/A</v>
      </c>
      <c r="DA11" s="142" t="e">
        <v>#N/A</v>
      </c>
      <c r="DB11" s="168" t="str">
        <v/>
      </c>
      <c r="DC11" s="168"/>
      <c r="DD11" s="163" t="s">
        <v>617</v>
      </c>
      <c r="DE11" s="160">
        <f>$DD$18</f>
        <v>1.7034016755912118</v>
      </c>
      <c r="DF11" s="160">
        <v>-1</v>
      </c>
      <c r="DG11" s="168">
        <v>6</v>
      </c>
      <c r="DH11" s="61">
        <v>8.4427372017371785E-2</v>
      </c>
      <c r="DI11" s="61">
        <v>0</v>
      </c>
      <c r="DJ11" s="61"/>
      <c r="DK11" s="61"/>
      <c r="DL11" s="61">
        <v>8.4427372017371785E-2</v>
      </c>
      <c r="DM11" s="61"/>
      <c r="DN11" s="162" t="s">
        <v>566</v>
      </c>
      <c r="DO11" s="142">
        <v>5</v>
      </c>
      <c r="DP11" s="169">
        <v>0.83333333333333337</v>
      </c>
      <c r="DQ11" s="70">
        <v>2.8425630690005059</v>
      </c>
      <c r="DR11" s="70" t="str">
        <v>2.8 (83%)</v>
      </c>
      <c r="DS11" s="170">
        <v>75</v>
      </c>
      <c r="DT11" s="142">
        <v>6</v>
      </c>
      <c r="DU11" s="142">
        <v>177</v>
      </c>
      <c r="DV11" s="142">
        <v>8.8224752287145186E-2</v>
      </c>
      <c r="DW11" s="142">
        <v>1</v>
      </c>
      <c r="DX11" s="142">
        <v>6</v>
      </c>
      <c r="DY11" s="142">
        <v>1</v>
      </c>
      <c r="DZ11" s="142">
        <v>1.7350867949805218</v>
      </c>
      <c r="EA11" s="142" t="str">
        <v/>
      </c>
      <c r="EB11" s="142"/>
      <c r="EC11" s="142"/>
      <c r="FB11" s="48"/>
      <c r="FC11" s="48"/>
    </row>
    <row r="12" spans="1:159" x14ac:dyDescent="0.2">
      <c r="BB12" s="96">
        <f>_xlfn.STDEV.S(BsData)</f>
        <v>4.3068660656276769</v>
      </c>
      <c r="BC12" s="61">
        <v>7</v>
      </c>
      <c r="BD12" s="61">
        <v>-0.30723615599325882</v>
      </c>
      <c r="BE12" s="61">
        <v>0.91409189597286977</v>
      </c>
      <c r="BF12" s="61">
        <v>-0.21823583738750846</v>
      </c>
      <c r="BG12" s="61">
        <v>0.10463345561407525</v>
      </c>
      <c r="BH12" s="61"/>
      <c r="BI12" s="96" cm="1">
        <f t="array" ref="BI12">MAX(ABS(BzData))</f>
        <v>2.5879596467215951</v>
      </c>
      <c r="BJ12" s="61">
        <v>7</v>
      </c>
      <c r="BK12" s="61">
        <v>-0.73011522105563564</v>
      </c>
      <c r="BL12" s="61">
        <v>0.99263120519543513</v>
      </c>
      <c r="BM12" s="61">
        <v>4</v>
      </c>
      <c r="BN12" s="61">
        <v>7</v>
      </c>
      <c r="BO12" s="61">
        <v>3</v>
      </c>
      <c r="BP12" s="61">
        <v>255</v>
      </c>
      <c r="BQ12" s="61">
        <v>1</v>
      </c>
      <c r="BR12" s="61">
        <v>7</v>
      </c>
      <c r="BS12" s="61">
        <v>-2.8582677165354329</v>
      </c>
      <c r="BT12" s="61">
        <v>6.7124873553275682E-3</v>
      </c>
      <c r="BU12" s="61">
        <v>1</v>
      </c>
      <c r="BV12" s="61">
        <v>0</v>
      </c>
      <c r="BW12" s="61">
        <v>0</v>
      </c>
      <c r="BX12" s="61" t="str">
        <v/>
      </c>
      <c r="BY12" s="61" t="str">
        <v/>
      </c>
      <c r="BZ12" s="61"/>
      <c r="CA12" s="96">
        <f>IF(CA10&gt;1000,NA(),6)</f>
        <v>6</v>
      </c>
      <c r="CB12" s="142">
        <v>0.91409189597286977</v>
      </c>
      <c r="CC12" s="142">
        <v>0.91400000000000003</v>
      </c>
      <c r="CD12" s="142">
        <v>1</v>
      </c>
      <c r="CE12" s="142" t="str">
        <v>8%</v>
      </c>
      <c r="CF12" s="142">
        <v>7</v>
      </c>
      <c r="CG12" s="142">
        <v>2</v>
      </c>
      <c r="CH12" s="142">
        <v>1</v>
      </c>
      <c r="CI12" s="142" t="e">
        <v>#N/A</v>
      </c>
      <c r="CJ12" s="142" t="str">
        <v/>
      </c>
      <c r="CK12" s="142"/>
      <c r="CL12" s="166" t="s">
        <v>598</v>
      </c>
      <c r="CM12" s="142"/>
      <c r="CN12" s="142"/>
      <c r="CO12" s="168"/>
      <c r="CP12" s="168"/>
      <c r="CQ12" s="168"/>
      <c r="CR12" s="168"/>
      <c r="CS12" s="168"/>
      <c r="CT12" s="168"/>
      <c r="CU12" s="168">
        <v>7</v>
      </c>
      <c r="CV12" s="168">
        <v>1</v>
      </c>
      <c r="CW12" s="142">
        <v>1.8192576091040986</v>
      </c>
      <c r="CX12" s="142">
        <v>1.8192576091040986</v>
      </c>
      <c r="CY12" s="142" t="e">
        <v>#N/A</v>
      </c>
      <c r="CZ12" s="142" t="e">
        <v>#N/A</v>
      </c>
      <c r="DA12" s="142" t="e">
        <v>#N/A</v>
      </c>
      <c r="DB12" s="168" t="str">
        <v/>
      </c>
      <c r="DC12" s="168"/>
      <c r="DD12" s="160" t="s">
        <v>618</v>
      </c>
      <c r="DE12" s="160">
        <f>$DD$18</f>
        <v>1.7034016755912118</v>
      </c>
      <c r="DF12" s="160">
        <v>1</v>
      </c>
      <c r="DG12" s="168">
        <v>7</v>
      </c>
      <c r="DH12" s="61">
        <v>0.91409189597286977</v>
      </c>
      <c r="DI12" s="61">
        <v>0</v>
      </c>
      <c r="DJ12" s="61"/>
      <c r="DK12" s="61"/>
      <c r="DL12" s="61">
        <v>0.91409189597286977</v>
      </c>
      <c r="DM12" s="61"/>
      <c r="DN12" s="96">
        <f>DN10*B7</f>
        <v>252</v>
      </c>
      <c r="DO12" s="142">
        <v>6</v>
      </c>
      <c r="DP12" s="169">
        <v>1</v>
      </c>
      <c r="DQ12" s="70">
        <v>13</v>
      </c>
      <c r="DR12" s="70" t="str">
        <v>13 (100%)</v>
      </c>
      <c r="DS12" s="142">
        <v>252</v>
      </c>
      <c r="DT12" s="142"/>
      <c r="DU12" s="142"/>
      <c r="DV12" s="142"/>
      <c r="DW12" s="142">
        <v>1</v>
      </c>
      <c r="DX12" s="142">
        <v>7</v>
      </c>
      <c r="DY12" s="142">
        <v>1</v>
      </c>
      <c r="DZ12" s="142">
        <v>1.7350867949805218</v>
      </c>
      <c r="EA12" s="142" t="str">
        <v/>
      </c>
      <c r="EB12" s="142"/>
      <c r="EC12" s="142"/>
      <c r="FB12" s="48"/>
      <c r="FC12" s="48"/>
    </row>
    <row r="13" spans="1:159" x14ac:dyDescent="0.2">
      <c r="BB13" s="162" t="s">
        <v>548</v>
      </c>
      <c r="BC13" s="61">
        <v>8</v>
      </c>
      <c r="BD13" s="61">
        <v>13</v>
      </c>
      <c r="BE13" s="61">
        <v>1.2989587493526971</v>
      </c>
      <c r="BF13" s="61">
        <v>-0.12887460638676285</v>
      </c>
      <c r="BG13" s="61">
        <v>0.3186393639643752</v>
      </c>
      <c r="BH13" s="61"/>
      <c r="BI13" s="162" t="s">
        <v>556</v>
      </c>
      <c r="BJ13" s="61">
        <v>8</v>
      </c>
      <c r="BK13" s="61">
        <v>0.99263120519543513</v>
      </c>
      <c r="BL13" s="61">
        <v>2.7153776314465059</v>
      </c>
      <c r="BM13" s="61">
        <v>3</v>
      </c>
      <c r="BN13" s="61"/>
      <c r="BO13" s="61"/>
      <c r="BP13" s="61"/>
      <c r="BQ13" s="61">
        <v>1</v>
      </c>
      <c r="BR13" s="61">
        <v>8</v>
      </c>
      <c r="BS13" s="61">
        <v>-2.8346456692913384</v>
      </c>
      <c r="BT13" s="61">
        <v>7.1793490009733575E-3</v>
      </c>
      <c r="BU13" s="61">
        <v>1</v>
      </c>
      <c r="BV13" s="61">
        <v>0</v>
      </c>
      <c r="BW13" s="61">
        <v>0</v>
      </c>
      <c r="BX13" s="61" t="str">
        <v/>
      </c>
      <c r="BY13" s="61" t="str">
        <v/>
      </c>
      <c r="BZ13" s="61"/>
      <c r="CA13" s="162" t="s">
        <v>566</v>
      </c>
      <c r="CB13" s="142">
        <v>1.2989587493526971</v>
      </c>
      <c r="CC13" s="142">
        <v>1.2989999999999999</v>
      </c>
      <c r="CD13" s="142">
        <v>1</v>
      </c>
      <c r="CE13" s="142" t="str">
        <v>8%</v>
      </c>
      <c r="CF13" s="142">
        <v>8</v>
      </c>
      <c r="CG13" s="142">
        <v>2</v>
      </c>
      <c r="CH13" s="142">
        <v>0</v>
      </c>
      <c r="CI13" s="142">
        <v>1</v>
      </c>
      <c r="CJ13" s="142" t="str">
        <v/>
      </c>
      <c r="CK13" s="142"/>
      <c r="CL13" s="98">
        <v>5</v>
      </c>
      <c r="CM13" s="142"/>
      <c r="CN13" s="142"/>
      <c r="CO13" s="168"/>
      <c r="CP13" s="168"/>
      <c r="CQ13" s="168"/>
      <c r="CR13" s="168"/>
      <c r="CS13" s="168"/>
      <c r="CT13" s="168"/>
      <c r="CU13" s="168">
        <v>8</v>
      </c>
      <c r="CV13" s="168">
        <v>1</v>
      </c>
      <c r="CW13" s="142">
        <v>1.8192576091040986</v>
      </c>
      <c r="CX13" s="142">
        <v>1.8192576091040986</v>
      </c>
      <c r="CY13" s="142" t="e">
        <v>#N/A</v>
      </c>
      <c r="CZ13" s="142" t="e">
        <v>#N/A</v>
      </c>
      <c r="DA13" s="142" t="e">
        <v>#N/A</v>
      </c>
      <c r="DB13" s="168" t="str">
        <v/>
      </c>
      <c r="DC13" s="168"/>
      <c r="DD13" s="166" t="s">
        <v>32</v>
      </c>
      <c r="DE13" s="160">
        <f>$DD$14</f>
        <v>-0.77564154305867694</v>
      </c>
      <c r="DF13" s="160">
        <v>1</v>
      </c>
      <c r="DG13" s="168">
        <v>8</v>
      </c>
      <c r="DH13" s="61">
        <v>1.2989587493526971</v>
      </c>
      <c r="DI13" s="61">
        <v>0</v>
      </c>
      <c r="DJ13" s="61"/>
      <c r="DK13" s="61"/>
      <c r="DL13" s="61">
        <v>1.2989587493526971</v>
      </c>
      <c r="DM13" s="61"/>
      <c r="DN13" s="162" t="s">
        <v>45</v>
      </c>
      <c r="DO13" s="142"/>
      <c r="DP13" s="169"/>
      <c r="DQ13" s="70"/>
      <c r="DR13" s="70"/>
      <c r="DS13" s="142"/>
      <c r="DT13" s="142"/>
      <c r="DU13" s="142"/>
      <c r="DV13" s="142"/>
      <c r="DW13" s="142"/>
      <c r="DX13" s="142">
        <v>8</v>
      </c>
      <c r="DY13" s="142">
        <v>1</v>
      </c>
      <c r="DZ13" s="142">
        <v>1.7350867949805218</v>
      </c>
      <c r="EA13" s="142" t="str">
        <v/>
      </c>
      <c r="EB13" s="142"/>
      <c r="EC13" s="142"/>
      <c r="FB13" s="48"/>
      <c r="FC13" s="48"/>
    </row>
    <row r="14" spans="1:159" x14ac:dyDescent="0.2">
      <c r="BB14" s="96">
        <f>ROUND(BB10,3)</f>
        <v>1.8540000000000001</v>
      </c>
      <c r="BC14" s="61">
        <v>9</v>
      </c>
      <c r="BD14" s="61">
        <v>1.3803796539630533</v>
      </c>
      <c r="BE14" s="61">
        <v>1.3803796539630533</v>
      </c>
      <c r="BF14" s="61">
        <v>-0.10996969888101016</v>
      </c>
      <c r="BG14" s="61">
        <v>0.54852228269809822</v>
      </c>
      <c r="BH14" s="61"/>
      <c r="BI14" s="96">
        <f>MIN(-3,-BI12)</f>
        <v>-3</v>
      </c>
      <c r="BJ14" s="61">
        <v>9</v>
      </c>
      <c r="BK14" s="61">
        <v>2.7153776314465059</v>
      </c>
      <c r="BL14" s="61">
        <v>4.4381240576975767</v>
      </c>
      <c r="BM14" s="61">
        <v>0</v>
      </c>
      <c r="BN14" s="61"/>
      <c r="BO14" s="61"/>
      <c r="BP14" s="61"/>
      <c r="BQ14" s="61">
        <v>1</v>
      </c>
      <c r="BR14" s="61">
        <v>9</v>
      </c>
      <c r="BS14" s="61">
        <v>-2.811023622047244</v>
      </c>
      <c r="BT14" s="61">
        <v>7.674397923323451E-3</v>
      </c>
      <c r="BU14" s="61">
        <v>1</v>
      </c>
      <c r="BV14" s="61">
        <v>0</v>
      </c>
      <c r="BW14" s="61">
        <v>0</v>
      </c>
      <c r="BX14" s="61" t="str">
        <v/>
      </c>
      <c r="BY14" s="61" t="str">
        <v/>
      </c>
      <c r="BZ14" s="61"/>
      <c r="CA14" s="96">
        <f>CA10*CA12</f>
        <v>72</v>
      </c>
      <c r="CB14" s="142">
        <v>1.3803796539630533</v>
      </c>
      <c r="CC14" s="142">
        <v>1.38</v>
      </c>
      <c r="CD14" s="142">
        <v>1</v>
      </c>
      <c r="CE14" s="142" t="str">
        <v>8%</v>
      </c>
      <c r="CF14" s="142">
        <v>9</v>
      </c>
      <c r="CG14" s="142">
        <v>2</v>
      </c>
      <c r="CH14" s="142">
        <v>0</v>
      </c>
      <c r="CI14" s="142">
        <v>1</v>
      </c>
      <c r="CJ14" s="142" t="str">
        <v/>
      </c>
      <c r="CK14" s="142"/>
      <c r="CL14" s="166" t="s">
        <v>595</v>
      </c>
      <c r="CM14" s="142"/>
      <c r="CN14" s="142"/>
      <c r="CO14" s="168"/>
      <c r="CP14" s="168"/>
      <c r="CQ14" s="168"/>
      <c r="CR14" s="168"/>
      <c r="CS14" s="168"/>
      <c r="CT14" s="168"/>
      <c r="CU14" s="168">
        <v>9</v>
      </c>
      <c r="CV14" s="168">
        <v>1</v>
      </c>
      <c r="CW14" s="142">
        <v>1.8192576091040986</v>
      </c>
      <c r="CX14" s="142">
        <v>1.8192576091040986</v>
      </c>
      <c r="CY14" s="142" t="e">
        <v>#N/A</v>
      </c>
      <c r="CZ14" s="142" t="e">
        <v>#N/A</v>
      </c>
      <c r="DA14" s="142" t="e">
        <v>#N/A</v>
      </c>
      <c r="DB14" s="168" t="str">
        <v/>
      </c>
      <c r="DC14" s="168"/>
      <c r="DD14" s="98">
        <f>_xlfn.QUARTILE.EXC(_xlfn.ANCHORARRAY(BD6),1)</f>
        <v>-0.77564154305867694</v>
      </c>
      <c r="DE14" s="160">
        <f>$DD$14</f>
        <v>-0.77564154305867694</v>
      </c>
      <c r="DF14" s="160">
        <v>-1</v>
      </c>
      <c r="DG14" s="168">
        <v>9</v>
      </c>
      <c r="DH14" s="61">
        <v>1.3803796539630533</v>
      </c>
      <c r="DI14" s="61">
        <v>0</v>
      </c>
      <c r="DJ14" s="61"/>
      <c r="DK14" s="61"/>
      <c r="DL14" s="61">
        <v>1.3803796539630533</v>
      </c>
      <c r="DM14" s="61"/>
      <c r="DN14" s="96">
        <f>MIN(_xlfn.ANCHORARRAY(BD6))</f>
        <v>-1.479592604535932</v>
      </c>
      <c r="DO14" s="142"/>
      <c r="DP14" s="169"/>
      <c r="DQ14" s="70"/>
      <c r="DR14" s="70"/>
      <c r="DS14" s="142"/>
      <c r="DT14" s="142"/>
      <c r="DU14" s="142"/>
      <c r="DV14" s="142"/>
      <c r="DW14" s="142"/>
      <c r="DX14" s="142">
        <v>9</v>
      </c>
      <c r="DY14" s="142">
        <v>1</v>
      </c>
      <c r="DZ14" s="142">
        <v>1.7350867949805218</v>
      </c>
      <c r="EA14" s="142" t="str">
        <v/>
      </c>
      <c r="EB14" s="142"/>
      <c r="EC14" s="142"/>
      <c r="FB14" s="48"/>
      <c r="FC14" s="48"/>
    </row>
    <row r="15" spans="1:159" x14ac:dyDescent="0.2">
      <c r="BB15" s="162" t="s">
        <v>549</v>
      </c>
      <c r="BC15" s="61">
        <v>10</v>
      </c>
      <c r="BD15" s="61">
        <v>8.4427372017371785E-2</v>
      </c>
      <c r="BE15" s="61">
        <v>1.8110756828005981</v>
      </c>
      <c r="BF15" s="61">
        <v>-9.9675111476018041E-3</v>
      </c>
      <c r="BG15" s="61">
        <v>0.81221780149991241</v>
      </c>
      <c r="BH15" s="61"/>
      <c r="BI15" s="162" t="s">
        <v>557</v>
      </c>
      <c r="BJ15" s="61">
        <v>10</v>
      </c>
      <c r="BK15" s="61">
        <v>4.4381240576975767</v>
      </c>
      <c r="BL15" s="61">
        <v>6.1608704839486474</v>
      </c>
      <c r="BM15" s="61">
        <v>0</v>
      </c>
      <c r="BN15" s="61"/>
      <c r="BO15" s="61"/>
      <c r="BP15" s="61"/>
      <c r="BQ15" s="61">
        <v>1</v>
      </c>
      <c r="BR15" s="61">
        <v>10</v>
      </c>
      <c r="BS15" s="61">
        <v>-2.7874015748031495</v>
      </c>
      <c r="BT15" s="61">
        <v>8.1990063997801985E-3</v>
      </c>
      <c r="BU15" s="61">
        <v>1</v>
      </c>
      <c r="BV15" s="61">
        <v>0</v>
      </c>
      <c r="BW15" s="61">
        <v>0</v>
      </c>
      <c r="BX15" s="61" t="str">
        <v/>
      </c>
      <c r="BY15" s="61" t="str">
        <v/>
      </c>
      <c r="BZ15" s="61"/>
      <c r="CA15" s="162" t="s">
        <v>589</v>
      </c>
      <c r="CB15" s="142">
        <v>1.8110756828005981</v>
      </c>
      <c r="CC15" s="142">
        <v>1.8109999999999999</v>
      </c>
      <c r="CD15" s="142">
        <v>1</v>
      </c>
      <c r="CE15" s="142" t="str">
        <v>8%</v>
      </c>
      <c r="CF15" s="142">
        <v>10</v>
      </c>
      <c r="CG15" s="142">
        <v>2</v>
      </c>
      <c r="CH15" s="142">
        <v>0</v>
      </c>
      <c r="CI15" s="142">
        <v>1</v>
      </c>
      <c r="CJ15" s="142" t="str">
        <v>-1.147</v>
      </c>
      <c r="CK15" s="142"/>
      <c r="CL15" s="98">
        <v>4</v>
      </c>
      <c r="CM15" s="142"/>
      <c r="CN15" s="142"/>
      <c r="CO15" s="168"/>
      <c r="CP15" s="168"/>
      <c r="CQ15" s="168"/>
      <c r="CR15" s="168"/>
      <c r="CS15" s="168"/>
      <c r="CT15" s="168"/>
      <c r="CU15" s="168">
        <v>10</v>
      </c>
      <c r="CV15" s="168">
        <v>1</v>
      </c>
      <c r="CW15" s="142">
        <v>1.8192576091040986</v>
      </c>
      <c r="CX15" s="142">
        <v>1.8192576091040986</v>
      </c>
      <c r="CY15" s="142" t="e">
        <v>#N/A</v>
      </c>
      <c r="CZ15" s="142" t="e">
        <v>#N/A</v>
      </c>
      <c r="DA15" s="142" t="e">
        <v>#N/A</v>
      </c>
      <c r="DB15" s="168" t="str">
        <v/>
      </c>
      <c r="DC15" s="168"/>
      <c r="DD15" s="166" t="s">
        <v>618</v>
      </c>
      <c r="DE15" s="160">
        <f>$DD$18</f>
        <v>1.7034016755912118</v>
      </c>
      <c r="DF15" s="160">
        <v>-1</v>
      </c>
      <c r="DG15" s="168">
        <v>10</v>
      </c>
      <c r="DH15" s="61">
        <v>1.8110756828005981</v>
      </c>
      <c r="DI15" s="61">
        <v>0</v>
      </c>
      <c r="DJ15" s="61"/>
      <c r="DK15" s="61"/>
      <c r="DL15" s="61">
        <v>1.8110756828005981</v>
      </c>
      <c r="DM15" s="61"/>
      <c r="DN15" s="162" t="s">
        <v>393</v>
      </c>
      <c r="DO15" s="142"/>
      <c r="DP15" s="61"/>
      <c r="DQ15" s="61"/>
      <c r="DR15" s="61"/>
      <c r="DS15" s="142"/>
      <c r="DT15" s="142"/>
      <c r="DU15" s="142"/>
      <c r="DV15" s="142"/>
      <c r="DW15" s="142"/>
      <c r="DX15" s="142">
        <v>10</v>
      </c>
      <c r="DY15" s="142">
        <v>2</v>
      </c>
      <c r="DZ15" s="142">
        <v>1.4196164686204271</v>
      </c>
      <c r="EA15" s="142" t="str">
        <v>-0.9 (17%)</v>
      </c>
      <c r="EB15" s="142"/>
      <c r="EC15" s="142"/>
      <c r="FB15" s="48"/>
      <c r="FC15" s="48"/>
    </row>
    <row r="16" spans="1:159" x14ac:dyDescent="0.2">
      <c r="BB16" s="96">
        <f>ROUND(BB12,3)</f>
        <v>4.3070000000000004</v>
      </c>
      <c r="BC16" s="61">
        <v>11</v>
      </c>
      <c r="BD16" s="61">
        <v>0.91409189597286977</v>
      </c>
      <c r="BE16" s="61">
        <v>8</v>
      </c>
      <c r="BF16" s="61">
        <v>1.4270226861079138</v>
      </c>
      <c r="BG16" s="61">
        <v>1.1503493803760083</v>
      </c>
      <c r="BH16" s="61"/>
      <c r="BI16" s="96">
        <f>MAX(3,BI12)</f>
        <v>3</v>
      </c>
      <c r="BJ16" s="61">
        <v>11</v>
      </c>
      <c r="BK16" s="61">
        <v>6.1608704839486474</v>
      </c>
      <c r="BL16" s="61">
        <v>7.8836169101997182</v>
      </c>
      <c r="BM16" s="61">
        <v>0</v>
      </c>
      <c r="BN16" s="61"/>
      <c r="BO16" s="61"/>
      <c r="BP16" s="61"/>
      <c r="BQ16" s="61">
        <v>1</v>
      </c>
      <c r="BR16" s="61">
        <v>11</v>
      </c>
      <c r="BS16" s="61">
        <v>-2.7637795275590551</v>
      </c>
      <c r="BT16" s="61">
        <v>8.754589763990156E-3</v>
      </c>
      <c r="BU16" s="61">
        <v>1</v>
      </c>
      <c r="BV16" s="61">
        <v>0</v>
      </c>
      <c r="BW16" s="61">
        <v>0</v>
      </c>
      <c r="BX16" s="61" t="str">
        <v/>
      </c>
      <c r="BY16" s="61" t="str">
        <v/>
      </c>
      <c r="BZ16" s="61"/>
      <c r="CA16" s="96">
        <v>4</v>
      </c>
      <c r="CB16" s="142">
        <v>8</v>
      </c>
      <c r="CC16" s="142">
        <v>8</v>
      </c>
      <c r="CD16" s="142">
        <v>1</v>
      </c>
      <c r="CE16" s="142" t="str">
        <v>8%</v>
      </c>
      <c r="CF16" s="142">
        <v>11</v>
      </c>
      <c r="CG16" s="142">
        <v>2</v>
      </c>
      <c r="CH16" s="142">
        <v>0</v>
      </c>
      <c r="CI16" s="142">
        <v>1</v>
      </c>
      <c r="CJ16" s="142" t="str">
        <v/>
      </c>
      <c r="CK16" s="142"/>
      <c r="CL16" s="166" t="s">
        <v>45</v>
      </c>
      <c r="CM16" s="142"/>
      <c r="CN16" s="142"/>
      <c r="CO16" s="61"/>
      <c r="CP16" s="168"/>
      <c r="CQ16" s="168"/>
      <c r="CR16" s="168"/>
      <c r="CS16" s="168"/>
      <c r="CT16" s="168"/>
      <c r="CU16" s="168">
        <v>11</v>
      </c>
      <c r="CV16" s="168">
        <v>1</v>
      </c>
      <c r="CW16" s="142">
        <v>1.8192576091040986</v>
      </c>
      <c r="CX16" s="142">
        <v>1.8192576091040986</v>
      </c>
      <c r="CY16" s="142" t="e">
        <v>#N/A</v>
      </c>
      <c r="CZ16" s="142" t="e">
        <v>#N/A</v>
      </c>
      <c r="DA16" s="142" t="e">
        <v>#N/A</v>
      </c>
      <c r="DB16" s="168" t="str">
        <v/>
      </c>
      <c r="DC16" s="168"/>
      <c r="DD16" s="98">
        <f>_xlfn.QUARTILE.EXC(_xlfn.ANCHORARRAY(BD6),2)</f>
        <v>0.49925963399512074</v>
      </c>
      <c r="DE16" s="160">
        <f>$DD$18</f>
        <v>1.7034016755912118</v>
      </c>
      <c r="DF16" s="160">
        <v>0</v>
      </c>
      <c r="DG16" s="168">
        <v>11</v>
      </c>
      <c r="DH16" s="61">
        <v>8</v>
      </c>
      <c r="DI16" s="61">
        <v>1</v>
      </c>
      <c r="DJ16" s="61"/>
      <c r="DK16" s="61"/>
      <c r="DL16" s="61"/>
      <c r="DM16" s="61"/>
      <c r="DN16" s="96">
        <f>MAX(_xlfn.ANCHORARRAY(BD6))</f>
        <v>13</v>
      </c>
      <c r="DO16" s="142"/>
      <c r="DP16" s="61"/>
      <c r="DQ16" s="61"/>
      <c r="DR16" s="61"/>
      <c r="DS16" s="142"/>
      <c r="DT16" s="142"/>
      <c r="DU16" s="142"/>
      <c r="DV16" s="142"/>
      <c r="DW16" s="142"/>
      <c r="DX16" s="142">
        <v>11</v>
      </c>
      <c r="DY16" s="142">
        <v>2</v>
      </c>
      <c r="DZ16" s="142">
        <v>1.4196164686204271</v>
      </c>
      <c r="EA16" s="142" t="str">
        <v/>
      </c>
      <c r="EB16" s="142"/>
      <c r="EC16" s="142"/>
      <c r="FB16" s="48"/>
      <c r="FC16" s="48"/>
    </row>
    <row r="17" spans="1:159" x14ac:dyDescent="0.2">
      <c r="BB17" s="162" t="s">
        <v>542</v>
      </c>
      <c r="BC17" s="61">
        <v>12</v>
      </c>
      <c r="BD17" s="61">
        <v>-0.89773712069108735</v>
      </c>
      <c r="BE17" s="61">
        <v>13</v>
      </c>
      <c r="BF17" s="61">
        <v>2.5879596467215951</v>
      </c>
      <c r="BG17" s="61">
        <v>1.7316643961222455</v>
      </c>
      <c r="BH17" s="61"/>
      <c r="BI17" s="162" t="s">
        <v>552</v>
      </c>
      <c r="BJ17" s="61">
        <v>12</v>
      </c>
      <c r="BK17" s="61">
        <v>7.8836169101997182</v>
      </c>
      <c r="BL17" s="61">
        <v>9.606363336450789</v>
      </c>
      <c r="BM17" s="61">
        <v>1</v>
      </c>
      <c r="BN17" s="61"/>
      <c r="BO17" s="61"/>
      <c r="BP17" s="61"/>
      <c r="BQ17" s="61">
        <v>1</v>
      </c>
      <c r="BR17" s="61">
        <v>12</v>
      </c>
      <c r="BS17" s="61">
        <v>-2.7401574803149606</v>
      </c>
      <c r="BT17" s="61">
        <v>9.3426060841007019E-3</v>
      </c>
      <c r="BU17" s="61">
        <v>1</v>
      </c>
      <c r="BV17" s="61">
        <v>0</v>
      </c>
      <c r="BW17" s="61">
        <v>0</v>
      </c>
      <c r="BX17" s="61" t="str">
        <v/>
      </c>
      <c r="BY17" s="61" t="str">
        <v/>
      </c>
      <c r="BZ17" s="61"/>
      <c r="CA17" s="162" t="s">
        <v>399</v>
      </c>
      <c r="CB17" s="142">
        <v>13</v>
      </c>
      <c r="CC17" s="142">
        <v>13</v>
      </c>
      <c r="CD17" s="142">
        <v>1</v>
      </c>
      <c r="CE17" s="142" t="str">
        <v>8%</v>
      </c>
      <c r="CF17" s="142">
        <v>12</v>
      </c>
      <c r="CG17" s="142">
        <v>2</v>
      </c>
      <c r="CH17" s="142">
        <v>1</v>
      </c>
      <c r="CI17" s="142" t="e">
        <v>#N/A</v>
      </c>
      <c r="CJ17" s="142" t="str">
        <v/>
      </c>
      <c r="CK17" s="142"/>
      <c r="CL17" s="98">
        <f>MIN(_xlfn.ANCHORARRAY(BD6))</f>
        <v>-1.479592604535932</v>
      </c>
      <c r="CM17" s="142"/>
      <c r="CN17" s="61"/>
      <c r="CO17" s="61"/>
      <c r="CP17" s="168"/>
      <c r="CQ17" s="168"/>
      <c r="CR17" s="168"/>
      <c r="CS17" s="168"/>
      <c r="CT17" s="168"/>
      <c r="CU17" s="168">
        <v>12</v>
      </c>
      <c r="CV17" s="168">
        <v>1</v>
      </c>
      <c r="CW17" s="142">
        <v>1.8192576091040986</v>
      </c>
      <c r="CX17" s="142">
        <v>1.8192576091040986</v>
      </c>
      <c r="CY17" s="142" t="e">
        <v>#N/A</v>
      </c>
      <c r="CZ17" s="142" t="e">
        <v>#N/A</v>
      </c>
      <c r="DA17" s="142" t="e">
        <v>#N/A</v>
      </c>
      <c r="DB17" s="168" t="str">
        <v/>
      </c>
      <c r="DC17" s="168"/>
      <c r="DD17" s="166" t="s">
        <v>34</v>
      </c>
      <c r="DE17" s="160">
        <f>$DD$34</f>
        <v>1.8110756828005981</v>
      </c>
      <c r="DF17" s="160">
        <v>0</v>
      </c>
      <c r="DG17" s="168">
        <v>12</v>
      </c>
      <c r="DH17" s="61">
        <v>13</v>
      </c>
      <c r="DI17" s="61">
        <v>1</v>
      </c>
      <c r="DJ17" s="61"/>
      <c r="DK17" s="61"/>
      <c r="DL17" s="61"/>
      <c r="DM17" s="61"/>
      <c r="DN17" s="162" t="s">
        <v>284</v>
      </c>
      <c r="DO17" s="61"/>
      <c r="DP17" s="61"/>
      <c r="DQ17" s="61"/>
      <c r="DR17" s="61"/>
      <c r="DS17" s="142"/>
      <c r="DT17" s="142"/>
      <c r="DU17" s="142"/>
      <c r="DV17" s="142"/>
      <c r="DW17" s="142"/>
      <c r="DX17" s="142">
        <v>12</v>
      </c>
      <c r="DY17" s="142">
        <v>2</v>
      </c>
      <c r="DZ17" s="142">
        <v>1.4196164686204271</v>
      </c>
      <c r="EA17" s="142" t="str">
        <v/>
      </c>
      <c r="EB17" s="142"/>
      <c r="EC17" s="142"/>
      <c r="FB17" s="48"/>
      <c r="FC17" s="48"/>
    </row>
    <row r="18" spans="1:159" x14ac:dyDescent="0.2">
      <c r="BB18" s="96" t="str">
        <f>"Normalfraktildiagram af
"&amp;B5</f>
        <v>Normalfraktildiagram af
Eksempel 1 (interval)</v>
      </c>
      <c r="BC18" s="61"/>
      <c r="BD18" s="61"/>
      <c r="BE18" s="61"/>
      <c r="BF18" s="61"/>
      <c r="BG18" s="61"/>
      <c r="BH18" s="61"/>
      <c r="BI18" s="96">
        <f>BI14*BB12+BB10</f>
        <v>-11.06659377856206</v>
      </c>
      <c r="BJ18" s="61">
        <v>13</v>
      </c>
      <c r="BK18" s="61">
        <v>9.606363336450789</v>
      </c>
      <c r="BL18" s="61">
        <v>11.32910976270186</v>
      </c>
      <c r="BM18" s="61">
        <v>0</v>
      </c>
      <c r="BN18" s="61"/>
      <c r="BO18" s="61"/>
      <c r="BP18" s="61"/>
      <c r="BQ18" s="61"/>
      <c r="BR18" s="61">
        <v>13</v>
      </c>
      <c r="BS18" s="61">
        <v>-2.7165354330708662</v>
      </c>
      <c r="BT18" s="61">
        <v>9.9645556959455598E-3</v>
      </c>
      <c r="BU18" s="61">
        <v>1</v>
      </c>
      <c r="BV18" s="61">
        <v>0</v>
      </c>
      <c r="BW18" s="61">
        <v>0</v>
      </c>
      <c r="BX18" s="61" t="str">
        <v/>
      </c>
      <c r="BY18" s="61" t="str">
        <v/>
      </c>
      <c r="BZ18" s="61"/>
      <c r="CA18" s="96" t="b">
        <f>CA10&lt;=10</f>
        <v>0</v>
      </c>
      <c r="CB18" s="142"/>
      <c r="CC18" s="142"/>
      <c r="CD18" s="142"/>
      <c r="CE18" s="142"/>
      <c r="CF18" s="142">
        <v>13</v>
      </c>
      <c r="CG18" s="142">
        <v>3</v>
      </c>
      <c r="CH18" s="142">
        <v>1</v>
      </c>
      <c r="CI18" s="142" t="e">
        <v>#N/A</v>
      </c>
      <c r="CJ18" s="142" t="str">
        <v/>
      </c>
      <c r="CK18" s="142"/>
      <c r="CL18" s="166" t="s">
        <v>46</v>
      </c>
      <c r="CM18" s="142"/>
      <c r="CN18" s="61"/>
      <c r="CO18" s="61"/>
      <c r="CP18" s="168"/>
      <c r="CQ18" s="168"/>
      <c r="CR18" s="168"/>
      <c r="CS18" s="168"/>
      <c r="CT18" s="168"/>
      <c r="CU18" s="168">
        <v>13</v>
      </c>
      <c r="CV18" s="168">
        <v>1</v>
      </c>
      <c r="CW18" s="142">
        <v>1.8192576091040986</v>
      </c>
      <c r="CX18" s="142">
        <v>1.8192576091040986</v>
      </c>
      <c r="CY18" s="142" t="e">
        <v>#N/A</v>
      </c>
      <c r="CZ18" s="142" t="e">
        <v>#N/A</v>
      </c>
      <c r="DA18" s="142" t="e">
        <v>#N/A</v>
      </c>
      <c r="DB18" s="168" t="str">
        <v/>
      </c>
      <c r="DC18" s="168"/>
      <c r="DD18" s="98">
        <f>_xlfn.QUARTILE.EXC(_xlfn.ANCHORARRAY(BD6),3)</f>
        <v>1.7034016755912118</v>
      </c>
      <c r="DE18" s="160">
        <f>$DD$34</f>
        <v>1.8110756828005981</v>
      </c>
      <c r="DF18" s="160">
        <v>-1</v>
      </c>
      <c r="DG18" s="168"/>
      <c r="DH18" s="61"/>
      <c r="DI18" s="61"/>
      <c r="DJ18" s="61"/>
      <c r="DK18" s="61"/>
      <c r="DL18" s="61"/>
      <c r="DM18" s="61"/>
      <c r="DN18" s="96">
        <f>DN16-DN14</f>
        <v>14.479592604535933</v>
      </c>
      <c r="DO18" s="61"/>
      <c r="DP18" s="61"/>
      <c r="DQ18" s="61"/>
      <c r="DR18" s="168"/>
      <c r="DS18" s="142"/>
      <c r="DT18" s="142"/>
      <c r="DU18" s="142"/>
      <c r="DV18" s="142"/>
      <c r="DW18" s="142"/>
      <c r="DX18" s="142">
        <v>13</v>
      </c>
      <c r="DY18" s="142">
        <v>2</v>
      </c>
      <c r="DZ18" s="142">
        <v>1.4196164686204271</v>
      </c>
      <c r="EA18" s="142" t="str">
        <v/>
      </c>
      <c r="EB18" s="142"/>
      <c r="EC18" s="142"/>
      <c r="FB18" s="48"/>
      <c r="FC18" s="48"/>
    </row>
    <row r="19" spans="1:159" x14ac:dyDescent="0.2">
      <c r="BB19" s="162" t="s">
        <v>543</v>
      </c>
      <c r="BC19" s="61"/>
      <c r="BD19" s="61"/>
      <c r="BE19" s="61"/>
      <c r="BF19" s="61"/>
      <c r="BG19" s="61"/>
      <c r="BH19" s="61"/>
      <c r="BI19" s="162" t="s">
        <v>553</v>
      </c>
      <c r="BJ19" s="61">
        <v>14</v>
      </c>
      <c r="BK19" s="61">
        <v>11.32910976270186</v>
      </c>
      <c r="BL19" s="61">
        <v>13.051856188952931</v>
      </c>
      <c r="BM19" s="61">
        <v>1</v>
      </c>
      <c r="BN19" s="61"/>
      <c r="BO19" s="61"/>
      <c r="BP19" s="61"/>
      <c r="BQ19" s="61"/>
      <c r="BR19" s="61">
        <v>14</v>
      </c>
      <c r="BS19" s="61">
        <v>-2.6929133858267718</v>
      </c>
      <c r="BT19" s="61">
        <v>1.0621980582946014E-2</v>
      </c>
      <c r="BU19" s="61">
        <v>1</v>
      </c>
      <c r="BV19" s="61">
        <v>0</v>
      </c>
      <c r="BW19" s="61">
        <v>0</v>
      </c>
      <c r="BX19" s="61" t="str">
        <v/>
      </c>
      <c r="BY19" s="61" t="str">
        <v/>
      </c>
      <c r="BZ19" s="61"/>
      <c r="CA19" s="162" t="s">
        <v>578</v>
      </c>
      <c r="CB19" s="142"/>
      <c r="CC19" s="142"/>
      <c r="CD19" s="142"/>
      <c r="CE19" s="142"/>
      <c r="CF19" s="142">
        <v>14</v>
      </c>
      <c r="CG19" s="142">
        <v>3</v>
      </c>
      <c r="CH19" s="142">
        <v>0</v>
      </c>
      <c r="CI19" s="142">
        <v>1</v>
      </c>
      <c r="CJ19" s="142" t="str">
        <v/>
      </c>
      <c r="CK19" s="142"/>
      <c r="CL19" s="98">
        <f>MAX(_xlfn.ANCHORARRAY(BD6))</f>
        <v>13</v>
      </c>
      <c r="CM19" s="142"/>
      <c r="CN19" s="61"/>
      <c r="CO19" s="61"/>
      <c r="CP19" s="168"/>
      <c r="CQ19" s="168"/>
      <c r="CR19" s="168"/>
      <c r="CS19" s="168"/>
      <c r="CT19" s="168"/>
      <c r="CU19" s="168">
        <v>14</v>
      </c>
      <c r="CV19" s="168">
        <v>1</v>
      </c>
      <c r="CW19" s="142">
        <v>1.8192576091040986</v>
      </c>
      <c r="CX19" s="142">
        <v>1.8192576091040986</v>
      </c>
      <c r="CY19" s="142" t="e">
        <v>#N/A</v>
      </c>
      <c r="CZ19" s="142" t="e">
        <v>#N/A</v>
      </c>
      <c r="DA19" s="142" t="e">
        <v>#N/A</v>
      </c>
      <c r="DB19" s="168" t="str">
        <v/>
      </c>
      <c r="DC19" s="168"/>
      <c r="DD19" s="163" t="s">
        <v>620</v>
      </c>
      <c r="DE19" s="160">
        <f>$DD$34</f>
        <v>1.8110756828005981</v>
      </c>
      <c r="DF19" s="160">
        <v>1</v>
      </c>
      <c r="DG19" s="168"/>
      <c r="DH19" s="61"/>
      <c r="DI19" s="61"/>
      <c r="DJ19" s="61"/>
      <c r="DK19" s="61"/>
      <c r="DL19" s="61"/>
      <c r="DM19" s="61"/>
      <c r="DN19" s="162" t="s">
        <v>578</v>
      </c>
      <c r="DO19" s="61"/>
      <c r="DP19" s="61"/>
      <c r="DQ19" s="61"/>
      <c r="DR19" s="168"/>
      <c r="DS19" s="142"/>
      <c r="DT19" s="142"/>
      <c r="DU19" s="142"/>
      <c r="DV19" s="142"/>
      <c r="DW19" s="142"/>
      <c r="DX19" s="142">
        <v>14</v>
      </c>
      <c r="DY19" s="142">
        <v>2</v>
      </c>
      <c r="DZ19" s="142">
        <v>1.4196164686204271</v>
      </c>
      <c r="EA19" s="142" t="str">
        <v/>
      </c>
      <c r="EB19" s="142"/>
      <c r="EC19" s="142"/>
      <c r="FB19" s="48"/>
      <c r="FC19" s="48"/>
    </row>
    <row r="20" spans="1:159" x14ac:dyDescent="0.2">
      <c r="BB20" s="96" t="str">
        <f>"Observationer (n = "&amp;BB8&amp;")"</f>
        <v>Observationer (n = 12)</v>
      </c>
      <c r="BC20" s="61"/>
      <c r="BD20" s="61"/>
      <c r="BE20" s="61"/>
      <c r="BF20" s="61"/>
      <c r="BG20" s="61"/>
      <c r="BH20" s="61"/>
      <c r="BI20" s="96">
        <f>BI16*BB12+BB10</f>
        <v>14.774602615204001</v>
      </c>
      <c r="BJ20" s="61">
        <v>15</v>
      </c>
      <c r="BK20" s="61">
        <v>13.051856188952931</v>
      </c>
      <c r="BL20" s="61">
        <v>14.774602615204001</v>
      </c>
      <c r="BM20" s="61">
        <v>0</v>
      </c>
      <c r="BN20" s="61"/>
      <c r="BO20" s="61"/>
      <c r="BP20" s="61"/>
      <c r="BQ20" s="61"/>
      <c r="BR20" s="61">
        <v>15</v>
      </c>
      <c r="BS20" s="61">
        <v>-2.6692913385826773</v>
      </c>
      <c r="BT20" s="61">
        <v>1.1316463594578965E-2</v>
      </c>
      <c r="BU20" s="61">
        <v>1</v>
      </c>
      <c r="BV20" s="61">
        <v>0</v>
      </c>
      <c r="BW20" s="61">
        <v>0</v>
      </c>
      <c r="BX20" s="61" t="str">
        <v/>
      </c>
      <c r="BY20" s="61" t="str">
        <v/>
      </c>
      <c r="BZ20" s="61"/>
      <c r="CA20" s="96">
        <f>MAX(LEN(ROUND(ABS(MAX(_xlfn.ANCHORARRAY(CB6))),0)),LEN(ROUND(ABS(MIN(_xlfn.ANCHORARRAY(CB6))),0)))</f>
        <v>2</v>
      </c>
      <c r="CB20" s="142"/>
      <c r="CC20" s="142"/>
      <c r="CD20" s="142"/>
      <c r="CE20" s="142"/>
      <c r="CF20" s="142">
        <v>15</v>
      </c>
      <c r="CG20" s="142">
        <v>3</v>
      </c>
      <c r="CH20" s="142">
        <v>0</v>
      </c>
      <c r="CI20" s="142">
        <v>1</v>
      </c>
      <c r="CJ20" s="142" t="str">
        <v/>
      </c>
      <c r="CK20" s="142"/>
      <c r="CL20" s="166" t="s">
        <v>284</v>
      </c>
      <c r="CM20" s="142"/>
      <c r="CN20" s="61"/>
      <c r="CO20" s="61"/>
      <c r="CP20" s="168"/>
      <c r="CQ20" s="168"/>
      <c r="CR20" s="168"/>
      <c r="CS20" s="168"/>
      <c r="CT20" s="168"/>
      <c r="CU20" s="168">
        <v>15</v>
      </c>
      <c r="CV20" s="168">
        <v>1</v>
      </c>
      <c r="CW20" s="142">
        <v>1.8192576091040986</v>
      </c>
      <c r="CX20" s="142">
        <v>1.8192576091040986</v>
      </c>
      <c r="CY20" s="142" t="e">
        <v>#N/A</v>
      </c>
      <c r="CZ20" s="142" t="e">
        <v>#N/A</v>
      </c>
      <c r="DA20" s="142" t="e">
        <v>#N/A</v>
      </c>
      <c r="DB20" s="168" t="str">
        <v/>
      </c>
      <c r="DC20" s="168"/>
      <c r="DD20" s="160">
        <v>-1</v>
      </c>
      <c r="DE20" s="163" t="s">
        <v>634</v>
      </c>
      <c r="DF20" s="163" t="s">
        <v>635</v>
      </c>
      <c r="DG20" s="168"/>
      <c r="DH20" s="61"/>
      <c r="DI20" s="61"/>
      <c r="DJ20" s="61"/>
      <c r="DK20" s="61"/>
      <c r="DL20" s="61"/>
      <c r="DM20" s="61"/>
      <c r="DN20" s="96">
        <f>MAX(LEN(ROUND(ABS(MAX(_xlfn.ANCHORARRAY(DQ6))),0)),LEN(ROUND(ABS(MIN(_xlfn.ANCHORARRAY(DQ6))),0)))</f>
        <v>2</v>
      </c>
      <c r="DO20" s="61"/>
      <c r="DP20" s="61"/>
      <c r="DQ20" s="61"/>
      <c r="DR20" s="168"/>
      <c r="DS20" s="142"/>
      <c r="DT20" s="142"/>
      <c r="DU20" s="142"/>
      <c r="DV20" s="142"/>
      <c r="DW20" s="142"/>
      <c r="DX20" s="142">
        <v>15</v>
      </c>
      <c r="DY20" s="142">
        <v>2</v>
      </c>
      <c r="DZ20" s="142">
        <v>1.4196164686204271</v>
      </c>
      <c r="EA20" s="142" t="str">
        <v/>
      </c>
      <c r="EB20" s="142"/>
      <c r="EC20" s="142"/>
      <c r="ED20" s="142"/>
      <c r="FB20" s="48"/>
      <c r="FC20" s="48"/>
    </row>
    <row r="21" spans="1:159" x14ac:dyDescent="0.2">
      <c r="BB21" s="162" t="s">
        <v>544</v>
      </c>
      <c r="BC21" s="61"/>
      <c r="BD21" s="61"/>
      <c r="BE21" s="61"/>
      <c r="BF21" s="61"/>
      <c r="BG21" s="61"/>
      <c r="BH21" s="61"/>
      <c r="BI21" s="162" t="s">
        <v>558</v>
      </c>
      <c r="BJ21" s="61"/>
      <c r="BK21" s="61"/>
      <c r="BL21" s="61"/>
      <c r="BM21" s="61"/>
      <c r="BN21" s="61"/>
      <c r="BO21" s="61"/>
      <c r="BP21" s="61"/>
      <c r="BQ21" s="61"/>
      <c r="BR21" s="61">
        <v>16</v>
      </c>
      <c r="BS21" s="61">
        <v>-2.6456692913385829</v>
      </c>
      <c r="BT21" s="61">
        <v>1.2049627495369133E-2</v>
      </c>
      <c r="BU21" s="61">
        <v>1</v>
      </c>
      <c r="BV21" s="61">
        <v>0</v>
      </c>
      <c r="BW21" s="61">
        <v>0</v>
      </c>
      <c r="BX21" s="61" t="str">
        <v/>
      </c>
      <c r="BY21" s="61" t="str">
        <v/>
      </c>
      <c r="BZ21" s="61"/>
      <c r="CA21" s="162" t="s">
        <v>579</v>
      </c>
      <c r="CB21" s="142"/>
      <c r="CC21" s="142"/>
      <c r="CD21" s="142"/>
      <c r="CE21" s="142"/>
      <c r="CF21" s="142">
        <v>16</v>
      </c>
      <c r="CG21" s="142">
        <v>3</v>
      </c>
      <c r="CH21" s="142">
        <v>0</v>
      </c>
      <c r="CI21" s="142">
        <v>1</v>
      </c>
      <c r="CJ21" s="142" t="str">
        <v>-0.898</v>
      </c>
      <c r="CK21" s="142"/>
      <c r="CL21" s="98">
        <f>CL19-CL17</f>
        <v>14.479592604535933</v>
      </c>
      <c r="CM21" s="142"/>
      <c r="CN21" s="61"/>
      <c r="CO21" s="61"/>
      <c r="CP21" s="168"/>
      <c r="CQ21" s="168"/>
      <c r="CR21" s="168"/>
      <c r="CS21" s="168"/>
      <c r="CT21" s="168"/>
      <c r="CU21" s="168">
        <v>16</v>
      </c>
      <c r="CV21" s="168">
        <v>1</v>
      </c>
      <c r="CW21" s="142">
        <v>1.8192576091040986</v>
      </c>
      <c r="CX21" s="142">
        <v>1.8192576091040986</v>
      </c>
      <c r="CY21" s="142" t="e">
        <v>#N/A</v>
      </c>
      <c r="CZ21" s="142" t="e">
        <v>#N/A</v>
      </c>
      <c r="DA21" s="142" t="e">
        <v>#N/A</v>
      </c>
      <c r="DB21" s="168" t="str">
        <v/>
      </c>
      <c r="DC21" s="168"/>
      <c r="DD21" s="163" t="s">
        <v>621</v>
      </c>
      <c r="DE21" s="160">
        <f>$DD$16</f>
        <v>0.49925963399512074</v>
      </c>
      <c r="DF21" s="160">
        <v>-1</v>
      </c>
      <c r="DG21" s="168"/>
      <c r="DH21" s="61"/>
      <c r="DI21" s="61"/>
      <c r="DJ21" s="61"/>
      <c r="DK21" s="61"/>
      <c r="DL21" s="61"/>
      <c r="DM21" s="61"/>
      <c r="DN21" s="162" t="s">
        <v>579</v>
      </c>
      <c r="DO21" s="61"/>
      <c r="DP21" s="61"/>
      <c r="DQ21" s="61"/>
      <c r="DR21" s="168"/>
      <c r="DS21" s="142"/>
      <c r="DT21" s="142"/>
      <c r="DU21" s="142"/>
      <c r="DV21" s="142"/>
      <c r="DW21" s="142"/>
      <c r="DX21" s="142">
        <v>16</v>
      </c>
      <c r="DY21" s="142">
        <v>2</v>
      </c>
      <c r="DZ21" s="142">
        <v>1.4196164686204271</v>
      </c>
      <c r="EA21" s="142" t="str">
        <v/>
      </c>
      <c r="EB21" s="142"/>
      <c r="EC21" s="142"/>
      <c r="ED21" s="142"/>
      <c r="FB21" s="48"/>
      <c r="FC21" s="48"/>
    </row>
    <row r="22" spans="1:159" x14ac:dyDescent="0.2">
      <c r="BB22" s="96" t="str">
        <f>IFERROR("Normalfordeling ("&amp;BB14&amp;" ; "&amp;BB16&amp;")","")</f>
        <v>Normalfordeling (1.854 ; 4.307)</v>
      </c>
      <c r="BC22" s="61"/>
      <c r="BD22" s="61"/>
      <c r="BE22" s="61"/>
      <c r="BF22" s="61"/>
      <c r="BG22" s="61"/>
      <c r="BH22" s="61"/>
      <c r="BI22" s="96">
        <f>(BI20-BI18)/B6</f>
        <v>1.7227464262510708</v>
      </c>
      <c r="BJ22" s="61"/>
      <c r="BK22" s="61"/>
      <c r="BL22" s="61"/>
      <c r="BM22" s="61"/>
      <c r="BN22" s="61"/>
      <c r="BO22" s="61"/>
      <c r="BP22" s="61"/>
      <c r="BQ22" s="61"/>
      <c r="BR22" s="61">
        <v>17</v>
      </c>
      <c r="BS22" s="61">
        <v>-2.622047244094488</v>
      </c>
      <c r="BT22" s="61">
        <v>1.2823133836513139E-2</v>
      </c>
      <c r="BU22" s="61">
        <v>1</v>
      </c>
      <c r="BV22" s="61">
        <v>0</v>
      </c>
      <c r="BW22" s="61">
        <v>0</v>
      </c>
      <c r="BX22" s="61" t="str">
        <v/>
      </c>
      <c r="BY22" s="61" t="str">
        <v/>
      </c>
      <c r="BZ22" s="61"/>
      <c r="CA22" s="96">
        <f>7-ROUNDDOWN(CA10/5,0)</f>
        <v>5</v>
      </c>
      <c r="CB22" s="61"/>
      <c r="CC22" s="142"/>
      <c r="CD22" s="142"/>
      <c r="CE22" s="142"/>
      <c r="CF22" s="142">
        <v>17</v>
      </c>
      <c r="CG22" s="142">
        <v>3</v>
      </c>
      <c r="CH22" s="142">
        <v>0</v>
      </c>
      <c r="CI22" s="142">
        <v>1</v>
      </c>
      <c r="CJ22" s="142" t="str">
        <v/>
      </c>
      <c r="CK22" s="142"/>
      <c r="CL22" s="166" t="s">
        <v>599</v>
      </c>
      <c r="CM22" s="142"/>
      <c r="CN22" s="61"/>
      <c r="CO22" s="61"/>
      <c r="CP22" s="168"/>
      <c r="CQ22" s="168"/>
      <c r="CR22" s="168"/>
      <c r="CS22" s="168"/>
      <c r="CT22" s="168"/>
      <c r="CU22" s="168">
        <v>17</v>
      </c>
      <c r="CV22" s="168">
        <v>1</v>
      </c>
      <c r="CW22" s="142">
        <v>1.8192576091040986</v>
      </c>
      <c r="CX22" s="142">
        <v>1.8192576091040986</v>
      </c>
      <c r="CY22" s="142" t="e">
        <v>#N/A</v>
      </c>
      <c r="CZ22" s="142" t="e">
        <v>#N/A</v>
      </c>
      <c r="DA22" s="142" t="e">
        <v>#N/A</v>
      </c>
      <c r="DB22" s="168" t="str">
        <v/>
      </c>
      <c r="DC22" s="168"/>
      <c r="DD22" s="160">
        <v>1</v>
      </c>
      <c r="DE22" s="160">
        <f>$DD$16</f>
        <v>0.49925963399512074</v>
      </c>
      <c r="DF22" s="160">
        <v>1</v>
      </c>
      <c r="DG22" s="168"/>
      <c r="DH22" s="61"/>
      <c r="DI22" s="61"/>
      <c r="DJ22" s="61"/>
      <c r="DK22" s="61"/>
      <c r="DL22" s="61"/>
      <c r="DM22" s="61"/>
      <c r="DN22" s="96">
        <f>4-ROUNDDOWN(B7/5,0)</f>
        <v>3</v>
      </c>
      <c r="DO22" s="61"/>
      <c r="DP22" s="61"/>
      <c r="DQ22" s="61"/>
      <c r="DR22" s="168"/>
      <c r="DS22" s="142"/>
      <c r="DT22" s="142"/>
      <c r="DU22" s="142"/>
      <c r="DV22" s="142"/>
      <c r="DW22" s="142"/>
      <c r="DX22" s="142">
        <v>17</v>
      </c>
      <c r="DY22" s="142">
        <v>2</v>
      </c>
      <c r="DZ22" s="142">
        <v>1.4196164686204271</v>
      </c>
      <c r="EA22" s="142" t="str">
        <v/>
      </c>
      <c r="EB22" s="142"/>
      <c r="EC22" s="142"/>
      <c r="ED22" s="142"/>
      <c r="FB22" s="48"/>
      <c r="FC22" s="48"/>
    </row>
    <row r="23" spans="1:159" x14ac:dyDescent="0.2">
      <c r="C23" s="45"/>
      <c r="D23" s="45"/>
      <c r="BB23" s="61"/>
      <c r="BC23" s="61"/>
      <c r="BD23" s="61"/>
      <c r="BE23" s="61"/>
      <c r="BF23" s="61"/>
      <c r="BG23" s="61"/>
      <c r="BH23" s="61"/>
      <c r="BI23" s="162" t="s">
        <v>565</v>
      </c>
      <c r="BJ23" s="61"/>
      <c r="BK23" s="39"/>
      <c r="BL23" s="39"/>
      <c r="BM23" s="39"/>
      <c r="BN23" s="39"/>
      <c r="BO23" s="39"/>
      <c r="BP23" s="39"/>
      <c r="BQ23" s="39"/>
      <c r="BR23" s="39">
        <v>18</v>
      </c>
      <c r="BS23" s="61">
        <v>-2.5984251968503935</v>
      </c>
      <c r="BT23" s="61">
        <v>1.3638681642439747E-2</v>
      </c>
      <c r="BU23" s="61">
        <v>2</v>
      </c>
      <c r="BV23" s="61">
        <v>0</v>
      </c>
      <c r="BW23" s="61">
        <v>0</v>
      </c>
      <c r="BX23" s="61">
        <v>-9.34</v>
      </c>
      <c r="BY23" s="61" t="str">
        <v/>
      </c>
      <c r="BZ23" s="61"/>
      <c r="CA23" s="162" t="s">
        <v>577</v>
      </c>
      <c r="CB23" s="142"/>
      <c r="CC23" s="142"/>
      <c r="CD23" s="142"/>
      <c r="CE23" s="142"/>
      <c r="CF23" s="142">
        <v>18</v>
      </c>
      <c r="CG23" s="142">
        <v>3</v>
      </c>
      <c r="CH23" s="142">
        <v>1</v>
      </c>
      <c r="CI23" s="142" t="e">
        <v>#N/A</v>
      </c>
      <c r="CJ23" s="142" t="str">
        <v/>
      </c>
      <c r="CK23" s="142"/>
      <c r="CL23" s="98">
        <v>250</v>
      </c>
      <c r="CM23" s="142"/>
      <c r="CN23" s="61"/>
      <c r="CO23" s="61"/>
      <c r="CP23" s="168"/>
      <c r="CQ23" s="168"/>
      <c r="CR23" s="168"/>
      <c r="CS23" s="168"/>
      <c r="CT23" s="168"/>
      <c r="CU23" s="168">
        <v>18</v>
      </c>
      <c r="CV23" s="168">
        <v>1</v>
      </c>
      <c r="CW23" s="142">
        <v>1.8192576091040986</v>
      </c>
      <c r="CX23" s="142">
        <v>1.8192576091040986</v>
      </c>
      <c r="CY23" s="142" t="e">
        <v>#N/A</v>
      </c>
      <c r="CZ23" s="142" t="e">
        <v>#N/A</v>
      </c>
      <c r="DA23" s="142" t="e">
        <v>#N/A</v>
      </c>
      <c r="DB23" s="168" t="str">
        <v/>
      </c>
      <c r="DC23" s="168"/>
      <c r="DD23" s="166" t="s">
        <v>622</v>
      </c>
      <c r="DE23" s="168"/>
      <c r="DF23" s="168"/>
      <c r="DG23" s="168"/>
      <c r="DH23" s="61"/>
      <c r="DI23" s="61"/>
      <c r="DJ23" s="61"/>
      <c r="DK23" s="61"/>
      <c r="DL23" s="61"/>
      <c r="DM23" s="61"/>
      <c r="DN23" s="162" t="s">
        <v>577</v>
      </c>
      <c r="DO23" s="61"/>
      <c r="DP23" s="61"/>
      <c r="DQ23" s="61"/>
      <c r="DR23" s="168"/>
      <c r="DS23" s="142"/>
      <c r="DT23" s="142"/>
      <c r="DU23" s="142"/>
      <c r="DV23" s="142"/>
      <c r="DW23" s="142"/>
      <c r="DX23" s="142">
        <v>18</v>
      </c>
      <c r="DY23" s="142">
        <v>2</v>
      </c>
      <c r="DZ23" s="142">
        <v>1.4196164686204271</v>
      </c>
      <c r="EA23" s="142" t="str">
        <v/>
      </c>
      <c r="EB23" s="142"/>
      <c r="EC23" s="142"/>
      <c r="ED23" s="142"/>
      <c r="FB23" s="48"/>
      <c r="FC23" s="48"/>
    </row>
    <row r="24" spans="1:159" x14ac:dyDescent="0.2">
      <c r="C24" s="45"/>
      <c r="D24" s="45"/>
      <c r="BB24" s="61"/>
      <c r="BC24" s="61"/>
      <c r="BD24" s="61"/>
      <c r="BE24" s="61"/>
      <c r="BF24" s="61"/>
      <c r="BG24" s="61"/>
      <c r="BH24" s="61"/>
      <c r="BI24" s="98">
        <v>250</v>
      </c>
      <c r="BJ24" s="61"/>
      <c r="BK24" s="39"/>
      <c r="BL24" s="39"/>
      <c r="BM24" s="39"/>
      <c r="BN24" s="39"/>
      <c r="BO24" s="39"/>
      <c r="BP24" s="39"/>
      <c r="BQ24" s="39"/>
      <c r="BR24" s="39">
        <v>19</v>
      </c>
      <c r="BS24" s="61">
        <v>-2.5748031496062991</v>
      </c>
      <c r="BT24" s="61">
        <v>1.449800590485566E-2</v>
      </c>
      <c r="BU24" s="61">
        <v>2</v>
      </c>
      <c r="BV24" s="61">
        <v>0</v>
      </c>
      <c r="BW24" s="61">
        <v>0</v>
      </c>
      <c r="BX24" s="61" t="str">
        <v/>
      </c>
      <c r="BY24" s="61" t="str">
        <v/>
      </c>
      <c r="BZ24" s="61"/>
      <c r="CA24" s="96">
        <f>MIN(3,MAX(0,CA22-CA20))</f>
        <v>3</v>
      </c>
      <c r="CB24" s="142"/>
      <c r="CC24" s="142"/>
      <c r="CD24" s="142"/>
      <c r="CE24" s="142"/>
      <c r="CF24" s="142">
        <v>19</v>
      </c>
      <c r="CG24" s="142">
        <v>4</v>
      </c>
      <c r="CH24" s="142">
        <v>1</v>
      </c>
      <c r="CI24" s="142" t="e">
        <v>#N/A</v>
      </c>
      <c r="CJ24" s="142" t="str">
        <v/>
      </c>
      <c r="CK24" s="142"/>
      <c r="CL24" s="162" t="s">
        <v>566</v>
      </c>
      <c r="CM24" s="142"/>
      <c r="CN24" s="61"/>
      <c r="CO24" s="61"/>
      <c r="CP24" s="168"/>
      <c r="CQ24" s="168"/>
      <c r="CR24" s="168"/>
      <c r="CS24" s="168"/>
      <c r="CT24" s="168"/>
      <c r="CU24" s="168">
        <v>19</v>
      </c>
      <c r="CV24" s="168">
        <v>1</v>
      </c>
      <c r="CW24" s="142">
        <v>1.8192576091040986</v>
      </c>
      <c r="CX24" s="142">
        <v>1.8192576091040986</v>
      </c>
      <c r="CY24" s="142" t="e">
        <v>#N/A</v>
      </c>
      <c r="CZ24" s="142" t="e">
        <v>#N/A</v>
      </c>
      <c r="DA24" s="142" t="e">
        <v>#N/A</v>
      </c>
      <c r="DB24" s="168" t="str">
        <v/>
      </c>
      <c r="DC24" s="168"/>
      <c r="DD24" s="98">
        <f>DD18-DD14</f>
        <v>2.4790432186498887</v>
      </c>
      <c r="DE24" s="168"/>
      <c r="DF24" s="168"/>
      <c r="DG24" s="168"/>
      <c r="DH24" s="168"/>
      <c r="DI24" s="168"/>
      <c r="DJ24" s="48"/>
      <c r="DK24" s="61"/>
      <c r="DL24" s="61"/>
      <c r="DM24" s="61"/>
      <c r="DN24" s="96">
        <f>MIN(1,MAX(0,DN22-DN20))</f>
        <v>1</v>
      </c>
      <c r="DO24" s="168"/>
      <c r="DP24" s="168"/>
      <c r="DQ24" s="168"/>
      <c r="DR24" s="168"/>
      <c r="DS24" s="142"/>
      <c r="DT24" s="142"/>
      <c r="DU24" s="142"/>
      <c r="DV24" s="142"/>
      <c r="DW24" s="142"/>
      <c r="DX24" s="142">
        <v>19</v>
      </c>
      <c r="DY24" s="142">
        <v>2</v>
      </c>
      <c r="DZ24" s="142">
        <v>1.4196164686204271</v>
      </c>
      <c r="EA24" s="142" t="str">
        <v/>
      </c>
      <c r="EB24" s="142"/>
      <c r="EC24" s="142"/>
      <c r="ED24" s="142"/>
      <c r="FB24" s="48"/>
      <c r="FC24" s="48"/>
    </row>
    <row r="25" spans="1:159" x14ac:dyDescent="0.2">
      <c r="C25" s="45"/>
      <c r="D25" s="45"/>
      <c r="BB25" s="61"/>
      <c r="BC25" s="61"/>
      <c r="BD25" s="61"/>
      <c r="BE25" s="61"/>
      <c r="BF25" s="61"/>
      <c r="BG25" s="61"/>
      <c r="BH25" s="61"/>
      <c r="BI25" s="162" t="s">
        <v>575</v>
      </c>
      <c r="BJ25" s="61"/>
      <c r="BK25" s="39"/>
      <c r="BL25" s="39"/>
      <c r="BM25" s="39"/>
      <c r="BN25" s="39"/>
      <c r="BO25" s="39"/>
      <c r="BP25" s="39"/>
      <c r="BQ25" s="39"/>
      <c r="BR25" s="39">
        <v>20</v>
      </c>
      <c r="BS25" s="61">
        <v>-2.5511811023622046</v>
      </c>
      <c r="BT25" s="61">
        <v>1.54028758771209E-2</v>
      </c>
      <c r="BU25" s="61">
        <v>2</v>
      </c>
      <c r="BV25" s="61">
        <v>0</v>
      </c>
      <c r="BW25" s="61">
        <v>0</v>
      </c>
      <c r="BX25" s="61" t="str">
        <v/>
      </c>
      <c r="BY25" s="61" t="str">
        <v/>
      </c>
      <c r="BZ25" s="61"/>
      <c r="CA25" s="61"/>
      <c r="CB25" s="142"/>
      <c r="CC25" s="142"/>
      <c r="CD25" s="142"/>
      <c r="CE25" s="142"/>
      <c r="CF25" s="142">
        <v>20</v>
      </c>
      <c r="CG25" s="142">
        <v>4</v>
      </c>
      <c r="CH25" s="142">
        <v>0</v>
      </c>
      <c r="CI25" s="142">
        <v>1</v>
      </c>
      <c r="CJ25" s="142" t="str">
        <v/>
      </c>
      <c r="CK25" s="142"/>
      <c r="CL25" s="160">
        <v>5000</v>
      </c>
      <c r="CM25" s="142"/>
      <c r="CN25" s="61"/>
      <c r="CO25" s="61"/>
      <c r="CP25" s="168"/>
      <c r="CQ25" s="168"/>
      <c r="CR25" s="168"/>
      <c r="CS25" s="168"/>
      <c r="CT25" s="168"/>
      <c r="CU25" s="168">
        <v>20</v>
      </c>
      <c r="CV25" s="168">
        <v>1</v>
      </c>
      <c r="CW25" s="142">
        <v>1.8192576091040986</v>
      </c>
      <c r="CX25" s="142">
        <v>1.8192576091040986</v>
      </c>
      <c r="CY25" s="142" t="e">
        <v>#N/A</v>
      </c>
      <c r="CZ25" s="142" t="e">
        <v>#N/A</v>
      </c>
      <c r="DA25" s="142" t="e">
        <v>#N/A</v>
      </c>
      <c r="DB25" s="168" t="str">
        <v/>
      </c>
      <c r="DC25" s="168"/>
      <c r="DD25" s="163" t="s">
        <v>623</v>
      </c>
      <c r="DE25" s="168"/>
      <c r="DF25" s="168"/>
      <c r="DG25" s="168"/>
      <c r="DH25" s="168"/>
      <c r="DI25" s="168"/>
      <c r="DJ25" s="48"/>
      <c r="DK25" s="61"/>
      <c r="DL25" s="61"/>
      <c r="DM25" s="61"/>
      <c r="DN25" s="162" t="s">
        <v>653</v>
      </c>
      <c r="DO25" s="168"/>
      <c r="DP25" s="168"/>
      <c r="DQ25" s="168"/>
      <c r="DR25" s="168"/>
      <c r="DS25" s="142"/>
      <c r="DT25" s="142"/>
      <c r="DU25" s="142"/>
      <c r="DV25" s="142"/>
      <c r="DW25" s="142"/>
      <c r="DX25" s="142">
        <v>20</v>
      </c>
      <c r="DY25" s="142">
        <v>2</v>
      </c>
      <c r="DZ25" s="142">
        <v>1.4196164686204271</v>
      </c>
      <c r="EA25" s="142" t="str">
        <v/>
      </c>
      <c r="EB25" s="142"/>
      <c r="EC25" s="142"/>
      <c r="ED25" s="142"/>
      <c r="FB25" s="48"/>
      <c r="FC25" s="48"/>
    </row>
    <row r="26" spans="1:159" x14ac:dyDescent="0.2">
      <c r="C26" s="45"/>
      <c r="D26" s="45"/>
      <c r="BB26" s="61"/>
      <c r="BC26" s="61"/>
      <c r="BD26" s="61"/>
      <c r="BE26" s="61"/>
      <c r="BF26" s="61"/>
      <c r="BG26" s="61"/>
      <c r="BH26" s="61"/>
      <c r="BI26" s="96">
        <f>ROUNDUP(BI24/B6,0)</f>
        <v>17</v>
      </c>
      <c r="BJ26" s="61"/>
      <c r="BK26" s="39"/>
      <c r="BL26" s="39"/>
      <c r="BM26" s="39"/>
      <c r="BN26" s="39"/>
      <c r="BO26" s="39"/>
      <c r="BP26" s="39"/>
      <c r="BQ26" s="39"/>
      <c r="BR26" s="39">
        <v>21</v>
      </c>
      <c r="BS26" s="61">
        <v>-2.5275590551181102</v>
      </c>
      <c r="BT26" s="61">
        <v>1.6355093162145264E-2</v>
      </c>
      <c r="BU26" s="61">
        <v>2</v>
      </c>
      <c r="BV26" s="61">
        <v>0</v>
      </c>
      <c r="BW26" s="61">
        <v>0</v>
      </c>
      <c r="BX26" s="61" t="str">
        <v/>
      </c>
      <c r="BY26" s="61" t="str">
        <v/>
      </c>
      <c r="BZ26" s="61"/>
      <c r="CA26" s="61"/>
      <c r="CB26" s="142"/>
      <c r="CC26" s="142"/>
      <c r="CD26" s="142"/>
      <c r="CE26" s="142"/>
      <c r="CF26" s="142">
        <v>21</v>
      </c>
      <c r="CG26" s="142">
        <v>4</v>
      </c>
      <c r="CH26" s="142">
        <v>0</v>
      </c>
      <c r="CI26" s="142">
        <v>1</v>
      </c>
      <c r="CJ26" s="142" t="str">
        <v/>
      </c>
      <c r="CK26" s="142"/>
      <c r="CL26" s="162" t="s">
        <v>578</v>
      </c>
      <c r="CM26" s="142"/>
      <c r="CN26" s="61"/>
      <c r="CO26" s="61"/>
      <c r="CP26" s="168"/>
      <c r="CQ26" s="168"/>
      <c r="CR26" s="168"/>
      <c r="CS26" s="168"/>
      <c r="CT26" s="168"/>
      <c r="CU26" s="168">
        <v>21</v>
      </c>
      <c r="CV26" s="168">
        <v>1</v>
      </c>
      <c r="CW26" s="142">
        <v>1.8192576091040986</v>
      </c>
      <c r="CX26" s="142">
        <v>1.8192576091040986</v>
      </c>
      <c r="CY26" s="142" t="e">
        <v>#N/A</v>
      </c>
      <c r="CZ26" s="142" t="e">
        <v>#N/A</v>
      </c>
      <c r="DA26" s="142" t="e">
        <v>#N/A</v>
      </c>
      <c r="DB26" s="168" t="str">
        <v/>
      </c>
      <c r="DC26" s="168"/>
      <c r="DD26" s="160">
        <v>1.5</v>
      </c>
      <c r="DE26" s="168"/>
      <c r="DF26" s="168"/>
      <c r="DG26" s="168"/>
      <c r="DH26" s="168"/>
      <c r="DI26" s="168"/>
      <c r="DJ26" s="48"/>
      <c r="DK26" s="61"/>
      <c r="DL26" s="61"/>
      <c r="DM26" s="61"/>
      <c r="DN26" s="96" t="s">
        <v>640</v>
      </c>
      <c r="DO26" s="168"/>
      <c r="DP26" s="168"/>
      <c r="DQ26" s="168"/>
      <c r="DR26" s="168"/>
      <c r="DS26" s="142"/>
      <c r="DT26" s="142"/>
      <c r="DU26" s="142"/>
      <c r="DV26" s="142"/>
      <c r="DW26" s="142"/>
      <c r="DX26" s="142">
        <v>21</v>
      </c>
      <c r="DY26" s="142">
        <v>3</v>
      </c>
      <c r="DZ26" s="142">
        <v>1.1154129396303354</v>
      </c>
      <c r="EA26" s="142" t="str">
        <v>-0.3 (33%)</v>
      </c>
      <c r="EB26" s="142"/>
      <c r="EC26" s="142"/>
      <c r="ED26" s="142"/>
      <c r="FB26" s="48"/>
      <c r="FC26" s="48"/>
    </row>
    <row r="27" spans="1:159" x14ac:dyDescent="0.2">
      <c r="C27" s="45"/>
      <c r="D27" s="45"/>
      <c r="BB27" s="61"/>
      <c r="BC27" s="61"/>
      <c r="BD27" s="61"/>
      <c r="BE27" s="61"/>
      <c r="BF27" s="61"/>
      <c r="BG27" s="61"/>
      <c r="BH27" s="61"/>
      <c r="BI27" s="162" t="s">
        <v>566</v>
      </c>
      <c r="BJ27" s="61"/>
      <c r="BK27" s="39"/>
      <c r="BL27" s="39"/>
      <c r="BM27" s="39"/>
      <c r="BN27" s="39"/>
      <c r="BO27" s="39"/>
      <c r="BP27" s="39"/>
      <c r="BQ27" s="39"/>
      <c r="BR27" s="39">
        <v>22</v>
      </c>
      <c r="BS27" s="61">
        <v>-2.5039370078740157</v>
      </c>
      <c r="BT27" s="61">
        <v>1.7356489587397227E-2</v>
      </c>
      <c r="BU27" s="61">
        <v>2</v>
      </c>
      <c r="BV27" s="61">
        <v>0</v>
      </c>
      <c r="BW27" s="61">
        <v>0</v>
      </c>
      <c r="BX27" s="61" t="str">
        <v/>
      </c>
      <c r="BY27" s="61" t="str">
        <v/>
      </c>
      <c r="BZ27" s="61"/>
      <c r="CA27" s="61"/>
      <c r="CB27" s="142"/>
      <c r="CC27" s="142"/>
      <c r="CD27" s="142"/>
      <c r="CE27" s="142"/>
      <c r="CF27" s="142">
        <v>22</v>
      </c>
      <c r="CG27" s="142">
        <v>4</v>
      </c>
      <c r="CH27" s="142">
        <v>0</v>
      </c>
      <c r="CI27" s="142">
        <v>1</v>
      </c>
      <c r="CJ27" s="142" t="str">
        <v>-0.409</v>
      </c>
      <c r="CK27" s="142"/>
      <c r="CL27" s="96">
        <f>MAX(LEN(ROUND(ABS(MAX(_xlfn.ANCHORARRAY(CN6))),0)),LEN(ROUND(ABS(MIN(_xlfn.ANCHORARRAY(CN6))),0)))</f>
        <v>2</v>
      </c>
      <c r="CM27" s="142"/>
      <c r="CN27" s="61"/>
      <c r="CO27" s="61"/>
      <c r="CP27" s="168"/>
      <c r="CQ27" s="168"/>
      <c r="CR27" s="168"/>
      <c r="CS27" s="168"/>
      <c r="CT27" s="168"/>
      <c r="CU27" s="168">
        <v>22</v>
      </c>
      <c r="CV27" s="168">
        <v>1</v>
      </c>
      <c r="CW27" s="142">
        <v>1.8192576091040986</v>
      </c>
      <c r="CX27" s="142">
        <v>1.8192576091040986</v>
      </c>
      <c r="CY27" s="142" t="e">
        <v>#N/A</v>
      </c>
      <c r="CZ27" s="142" t="e">
        <v>#N/A</v>
      </c>
      <c r="DA27" s="142" t="e">
        <v>#N/A</v>
      </c>
      <c r="DB27" s="168" t="str">
        <v/>
      </c>
      <c r="DC27" s="168"/>
      <c r="DD27" s="163" t="s">
        <v>624</v>
      </c>
      <c r="DE27" s="168"/>
      <c r="DF27" s="168"/>
      <c r="DG27" s="168"/>
      <c r="DH27" s="168"/>
      <c r="DI27" s="168"/>
      <c r="DJ27" s="48"/>
      <c r="DK27" s="61"/>
      <c r="DL27" s="61"/>
      <c r="DM27" s="61"/>
      <c r="DN27" s="61"/>
      <c r="DO27" s="168"/>
      <c r="DP27" s="168"/>
      <c r="DQ27" s="168"/>
      <c r="DR27" s="168"/>
      <c r="DS27" s="142"/>
      <c r="DT27" s="142"/>
      <c r="DU27" s="142"/>
      <c r="DV27" s="142"/>
      <c r="DW27" s="142"/>
      <c r="DX27" s="142">
        <v>22</v>
      </c>
      <c r="DY27" s="142">
        <v>3</v>
      </c>
      <c r="DZ27" s="142">
        <v>1.1154129396303354</v>
      </c>
      <c r="EA27" s="142" t="str">
        <v/>
      </c>
      <c r="EB27" s="142"/>
      <c r="EC27" s="142"/>
      <c r="ED27" s="142"/>
      <c r="FB27" s="48"/>
      <c r="FC27" s="48"/>
    </row>
    <row r="28" spans="1:159" x14ac:dyDescent="0.2">
      <c r="C28" s="45"/>
      <c r="D28" s="45"/>
      <c r="G28" s="49"/>
      <c r="BB28" s="61"/>
      <c r="BC28" s="61"/>
      <c r="BD28" s="61"/>
      <c r="BE28" s="61"/>
      <c r="BF28" s="61"/>
      <c r="BG28" s="61"/>
      <c r="BH28" s="61"/>
      <c r="BI28" s="96">
        <f>BI26*B6</f>
        <v>255</v>
      </c>
      <c r="BJ28" s="61"/>
      <c r="BK28" s="39"/>
      <c r="BL28" s="39"/>
      <c r="BM28" s="39"/>
      <c r="BN28" s="39"/>
      <c r="BO28" s="39"/>
      <c r="BP28" s="39"/>
      <c r="BQ28" s="39"/>
      <c r="BR28" s="39">
        <v>23</v>
      </c>
      <c r="BS28" s="61">
        <v>-2.4803149606299213</v>
      </c>
      <c r="BT28" s="61">
        <v>1.840892486107203E-2</v>
      </c>
      <c r="BU28" s="61">
        <v>2</v>
      </c>
      <c r="BV28" s="61">
        <v>0</v>
      </c>
      <c r="BW28" s="61">
        <v>0</v>
      </c>
      <c r="BX28" s="61" t="str">
        <v/>
      </c>
      <c r="BY28" s="61" t="str">
        <v/>
      </c>
      <c r="BZ28" s="61"/>
      <c r="CA28" s="61"/>
      <c r="CB28" s="142"/>
      <c r="CC28" s="142"/>
      <c r="CD28" s="142"/>
      <c r="CE28" s="142"/>
      <c r="CF28" s="142">
        <v>23</v>
      </c>
      <c r="CG28" s="142">
        <v>4</v>
      </c>
      <c r="CH28" s="142">
        <v>0</v>
      </c>
      <c r="CI28" s="142">
        <v>1</v>
      </c>
      <c r="CJ28" s="142" t="str">
        <v/>
      </c>
      <c r="CK28" s="142"/>
      <c r="CL28" s="162" t="s">
        <v>579</v>
      </c>
      <c r="CM28" s="142"/>
      <c r="CN28" s="61"/>
      <c r="CO28" s="61"/>
      <c r="CP28" s="168"/>
      <c r="CQ28" s="168"/>
      <c r="CR28" s="168"/>
      <c r="CS28" s="168"/>
      <c r="CT28" s="168"/>
      <c r="CU28" s="168">
        <v>23</v>
      </c>
      <c r="CV28" s="168">
        <v>1</v>
      </c>
      <c r="CW28" s="142">
        <v>1.8192576091040986</v>
      </c>
      <c r="CX28" s="142">
        <v>1.8192576091040986</v>
      </c>
      <c r="CY28" s="142" t="e">
        <v>#N/A</v>
      </c>
      <c r="CZ28" s="142" t="e">
        <v>#N/A</v>
      </c>
      <c r="DA28" s="142" t="e">
        <v>#N/A</v>
      </c>
      <c r="DB28" s="168" t="str">
        <v/>
      </c>
      <c r="DC28" s="168"/>
      <c r="DD28" s="160">
        <f>DD14-DD24*DD26</f>
        <v>-4.4942063710335098</v>
      </c>
      <c r="DE28" s="168"/>
      <c r="DF28" s="168"/>
      <c r="DG28" s="168"/>
      <c r="DH28" s="168"/>
      <c r="DI28" s="168"/>
      <c r="DJ28" s="48"/>
      <c r="DK28" s="61"/>
      <c r="DL28" s="61"/>
      <c r="DM28" s="61"/>
      <c r="DO28" s="168"/>
      <c r="DP28" s="168"/>
      <c r="DQ28" s="168"/>
      <c r="DR28" s="168"/>
      <c r="DS28" s="142"/>
      <c r="DT28" s="142"/>
      <c r="DU28" s="142"/>
      <c r="DV28" s="142"/>
      <c r="DW28" s="142"/>
      <c r="DX28" s="142">
        <v>23</v>
      </c>
      <c r="DY28" s="142">
        <v>3</v>
      </c>
      <c r="DZ28" s="142">
        <v>1.1154129396303354</v>
      </c>
      <c r="EA28" s="142" t="str">
        <v/>
      </c>
      <c r="EB28" s="142"/>
      <c r="EC28" s="142"/>
      <c r="ED28" s="142"/>
    </row>
    <row r="29" spans="1:159" x14ac:dyDescent="0.2">
      <c r="A29" s="3" t="s">
        <v>1089</v>
      </c>
      <c r="B29"/>
      <c r="C29" s="45"/>
      <c r="D29" s="45"/>
      <c r="BB29" s="61"/>
      <c r="BC29" s="61"/>
      <c r="BD29" s="61"/>
      <c r="BE29" s="61"/>
      <c r="BF29" s="61"/>
      <c r="BG29" s="61"/>
      <c r="BH29" s="61"/>
      <c r="BI29" s="162" t="s">
        <v>572</v>
      </c>
      <c r="BJ29" s="61"/>
      <c r="BK29" s="39"/>
      <c r="BL29" s="39"/>
      <c r="BM29" s="39"/>
      <c r="BN29" s="39"/>
      <c r="BO29" s="39"/>
      <c r="BP29" s="39"/>
      <c r="BQ29" s="39"/>
      <c r="BR29" s="39">
        <v>24</v>
      </c>
      <c r="BS29" s="61">
        <v>-2.4566929133858268</v>
      </c>
      <c r="BT29" s="61">
        <v>1.9514284003976069E-2</v>
      </c>
      <c r="BU29" s="61">
        <v>2</v>
      </c>
      <c r="BV29" s="61">
        <v>0</v>
      </c>
      <c r="BW29" s="61">
        <v>0</v>
      </c>
      <c r="BX29" s="61" t="str">
        <v/>
      </c>
      <c r="BY29" s="61" t="str">
        <v/>
      </c>
      <c r="BZ29" s="61"/>
      <c r="CA29" s="61"/>
      <c r="CB29" s="142"/>
      <c r="CC29" s="142"/>
      <c r="CD29" s="142"/>
      <c r="CE29" s="142"/>
      <c r="CF29" s="142">
        <v>24</v>
      </c>
      <c r="CG29" s="142">
        <v>4</v>
      </c>
      <c r="CH29" s="142">
        <v>1</v>
      </c>
      <c r="CI29" s="142" t="e">
        <v>#N/A</v>
      </c>
      <c r="CJ29" s="142" t="str">
        <v/>
      </c>
      <c r="CK29" s="142"/>
      <c r="CL29" s="96">
        <f>7-ROUNDDOWN(CL13/5,0)</f>
        <v>6</v>
      </c>
      <c r="CM29" s="142"/>
      <c r="CN29" s="61"/>
      <c r="CO29" s="61"/>
      <c r="CP29" s="168"/>
      <c r="CQ29" s="168"/>
      <c r="CR29" s="168"/>
      <c r="CS29" s="168"/>
      <c r="CT29" s="168"/>
      <c r="CU29" s="168">
        <v>24</v>
      </c>
      <c r="CV29" s="168">
        <v>1</v>
      </c>
      <c r="CW29" s="142">
        <v>1.8192576091040986</v>
      </c>
      <c r="CX29" s="142">
        <v>1.8192576091040986</v>
      </c>
      <c r="CY29" s="142" t="e">
        <v>#N/A</v>
      </c>
      <c r="CZ29" s="142" t="e">
        <v>#N/A</v>
      </c>
      <c r="DA29" s="142" t="e">
        <v>#N/A</v>
      </c>
      <c r="DB29" s="168" t="str">
        <v/>
      </c>
      <c r="DC29" s="168"/>
      <c r="DD29" s="163" t="s">
        <v>625</v>
      </c>
      <c r="DE29" s="168"/>
      <c r="DF29" s="168"/>
      <c r="DG29" s="168"/>
      <c r="DH29" s="168"/>
      <c r="DI29" s="168"/>
      <c r="DJ29" s="48"/>
      <c r="DK29" s="61"/>
      <c r="DL29" s="61"/>
      <c r="DM29" s="61"/>
      <c r="DO29" s="168"/>
      <c r="DP29" s="168"/>
      <c r="DQ29" s="168"/>
      <c r="DR29" s="168"/>
      <c r="DS29" s="142"/>
      <c r="DT29" s="142"/>
      <c r="DU29" s="142"/>
      <c r="DV29" s="142"/>
      <c r="DW29" s="142"/>
      <c r="DX29" s="142">
        <v>24</v>
      </c>
      <c r="DY29" s="142">
        <v>3</v>
      </c>
      <c r="DZ29" s="142">
        <v>1.1154129396303354</v>
      </c>
      <c r="EA29" s="142" t="str">
        <v/>
      </c>
      <c r="EB29" s="142"/>
      <c r="EC29" s="142"/>
      <c r="ED29" s="142"/>
    </row>
    <row r="30" spans="1:159" x14ac:dyDescent="0.2">
      <c r="A30" s="72" t="s">
        <v>29</v>
      </c>
      <c r="B30" s="120">
        <f>COUNTA(_xlfn.ANCHORARRAY(BD6))</f>
        <v>12</v>
      </c>
      <c r="C30" s="45"/>
      <c r="D30" s="45"/>
      <c r="BB30" s="61"/>
      <c r="BC30" s="61"/>
      <c r="BD30" s="61"/>
      <c r="BE30" s="61"/>
      <c r="BF30" s="61"/>
      <c r="BG30" s="61"/>
      <c r="BH30" s="61"/>
      <c r="BI30" s="96">
        <f>(BI16-BI14)/(BI28-1)</f>
        <v>2.3622047244094488E-2</v>
      </c>
      <c r="BJ30" s="61"/>
      <c r="BK30" s="39"/>
      <c r="BL30" s="39"/>
      <c r="BM30" s="39"/>
      <c r="BN30" s="39"/>
      <c r="BO30" s="39"/>
      <c r="BP30" s="39"/>
      <c r="BQ30" s="39"/>
      <c r="BR30" s="39">
        <v>25</v>
      </c>
      <c r="BS30" s="61">
        <v>-2.4330708661417324</v>
      </c>
      <c r="BT30" s="61">
        <v>2.0674474552252395E-2</v>
      </c>
      <c r="BU30" s="61">
        <v>2</v>
      </c>
      <c r="BV30" s="61">
        <v>0</v>
      </c>
      <c r="BW30" s="61">
        <v>0</v>
      </c>
      <c r="BX30" s="61" t="str">
        <v/>
      </c>
      <c r="BY30" s="61" t="str">
        <v/>
      </c>
      <c r="BZ30" s="61"/>
      <c r="CA30" s="61"/>
      <c r="CB30" s="142"/>
      <c r="CC30" s="142"/>
      <c r="CD30" s="142"/>
      <c r="CE30" s="142"/>
      <c r="CF30" s="142">
        <v>25</v>
      </c>
      <c r="CG30" s="142">
        <v>5</v>
      </c>
      <c r="CH30" s="142">
        <v>1</v>
      </c>
      <c r="CI30" s="142" t="e">
        <v>#N/A</v>
      </c>
      <c r="CJ30" s="142" t="str">
        <v/>
      </c>
      <c r="CK30" s="142"/>
      <c r="CL30" s="162" t="s">
        <v>577</v>
      </c>
      <c r="CM30" s="142"/>
      <c r="CN30" s="61"/>
      <c r="CO30" s="61"/>
      <c r="CP30" s="168"/>
      <c r="CQ30" s="168"/>
      <c r="CR30" s="168"/>
      <c r="CS30" s="168"/>
      <c r="CT30" s="168"/>
      <c r="CU30" s="168">
        <v>25</v>
      </c>
      <c r="CV30" s="168">
        <v>1</v>
      </c>
      <c r="CW30" s="142">
        <v>1.8192576091040986</v>
      </c>
      <c r="CX30" s="142">
        <v>1.8192576091040986</v>
      </c>
      <c r="CY30" s="142" t="e">
        <v>#N/A</v>
      </c>
      <c r="CZ30" s="142" t="e">
        <v>#N/A</v>
      </c>
      <c r="DA30" s="142" t="e">
        <v>#N/A</v>
      </c>
      <c r="DB30" s="168" t="str">
        <v/>
      </c>
      <c r="DC30" s="168"/>
      <c r="DD30" s="160">
        <f>DD18+DD24*DD26</f>
        <v>5.4219665035660451</v>
      </c>
      <c r="DE30" s="168"/>
      <c r="DF30" s="168"/>
      <c r="DG30" s="168"/>
      <c r="DH30" s="168"/>
      <c r="DI30" s="168"/>
      <c r="DJ30" s="48"/>
      <c r="DK30" s="61"/>
      <c r="DL30" s="61"/>
      <c r="DM30" s="61"/>
      <c r="DN30" s="61"/>
      <c r="DO30" s="168"/>
      <c r="DP30" s="168"/>
      <c r="DQ30" s="168"/>
      <c r="DR30" s="168"/>
      <c r="DS30" s="142"/>
      <c r="DT30" s="142"/>
      <c r="DU30" s="142"/>
      <c r="DV30" s="142"/>
      <c r="DW30" s="142"/>
      <c r="DX30" s="142">
        <v>25</v>
      </c>
      <c r="DY30" s="142">
        <v>3</v>
      </c>
      <c r="DZ30" s="142">
        <v>1.1154129396303354</v>
      </c>
      <c r="EA30" s="142" t="str">
        <v/>
      </c>
      <c r="EB30" s="142"/>
      <c r="EC30" s="142"/>
      <c r="ED30" s="142"/>
    </row>
    <row r="31" spans="1:159" x14ac:dyDescent="0.2">
      <c r="A31" s="72" t="s">
        <v>0</v>
      </c>
      <c r="B31" s="87">
        <f>IFERROR(AVERAGE(_xlfn.ANCHORARRAY(BD6)),NA())</f>
        <v>1.8540044183209705</v>
      </c>
      <c r="C31" s="45"/>
      <c r="D31" s="45"/>
      <c r="BB31" s="61"/>
      <c r="BC31" s="61"/>
      <c r="BD31" s="61"/>
      <c r="BE31" s="61"/>
      <c r="BF31" s="61"/>
      <c r="BG31" s="61"/>
      <c r="BH31" s="61"/>
      <c r="BI31" s="162" t="s">
        <v>578</v>
      </c>
      <c r="BJ31" s="61"/>
      <c r="BK31" s="39"/>
      <c r="BL31" s="39"/>
      <c r="BM31" s="39"/>
      <c r="BN31" s="39"/>
      <c r="BO31" s="39"/>
      <c r="BP31" s="39"/>
      <c r="BQ31" s="39"/>
      <c r="BR31" s="39">
        <v>26</v>
      </c>
      <c r="BS31" s="61">
        <v>-2.409448818897638</v>
      </c>
      <c r="BT31" s="61">
        <v>2.1891423526696506E-2</v>
      </c>
      <c r="BU31" s="61">
        <v>2</v>
      </c>
      <c r="BV31" s="61">
        <v>0</v>
      </c>
      <c r="BW31" s="61">
        <v>0</v>
      </c>
      <c r="BX31" s="61" t="str">
        <v/>
      </c>
      <c r="BY31" s="61" t="str">
        <v/>
      </c>
      <c r="BZ31" s="61"/>
      <c r="CA31" s="61"/>
      <c r="CB31" s="142"/>
      <c r="CC31" s="142"/>
      <c r="CD31" s="142"/>
      <c r="CE31" s="142"/>
      <c r="CF31" s="142">
        <v>26</v>
      </c>
      <c r="CG31" s="142">
        <v>5</v>
      </c>
      <c r="CH31" s="142">
        <v>0</v>
      </c>
      <c r="CI31" s="142">
        <v>1</v>
      </c>
      <c r="CJ31" s="142" t="str">
        <v/>
      </c>
      <c r="CK31" s="142"/>
      <c r="CL31" s="96">
        <f>MIN(3,MAX(0,CL29-CL27))</f>
        <v>3</v>
      </c>
      <c r="CM31" s="142"/>
      <c r="CN31" s="61"/>
      <c r="CO31" s="61"/>
      <c r="CP31" s="168"/>
      <c r="CQ31" s="168"/>
      <c r="CR31" s="168"/>
      <c r="CS31" s="168"/>
      <c r="CT31" s="168"/>
      <c r="CU31" s="168">
        <v>26</v>
      </c>
      <c r="CV31" s="168">
        <v>1</v>
      </c>
      <c r="CW31" s="142">
        <v>1.8192576091040986</v>
      </c>
      <c r="CX31" s="142">
        <v>1.8192576091040986</v>
      </c>
      <c r="CY31" s="142" t="e">
        <v>#N/A</v>
      </c>
      <c r="CZ31" s="142" t="e">
        <v>#N/A</v>
      </c>
      <c r="DA31" s="142" t="e">
        <v>#N/A</v>
      </c>
      <c r="DB31" s="168" t="str">
        <v/>
      </c>
      <c r="DC31" s="168"/>
      <c r="DD31" s="163" t="s">
        <v>631</v>
      </c>
      <c r="DE31" s="168"/>
      <c r="DF31" s="168"/>
      <c r="DG31" s="168"/>
      <c r="DH31" s="168"/>
      <c r="DI31" s="168"/>
      <c r="DJ31" s="48"/>
      <c r="DK31" s="61"/>
      <c r="DL31" s="61"/>
      <c r="DM31" s="61"/>
      <c r="DN31" s="61"/>
      <c r="DO31" s="168"/>
      <c r="DP31" s="168"/>
      <c r="DQ31" s="168"/>
      <c r="DR31" s="168"/>
      <c r="DS31" s="142"/>
      <c r="DT31" s="142"/>
      <c r="DU31" s="142"/>
      <c r="DV31" s="142"/>
      <c r="DW31" s="142"/>
      <c r="DX31" s="142">
        <v>26</v>
      </c>
      <c r="DY31" s="142">
        <v>3</v>
      </c>
      <c r="DZ31" s="142">
        <v>1.1154129396303354</v>
      </c>
      <c r="EA31" s="142" t="str">
        <v/>
      </c>
      <c r="EB31" s="142"/>
      <c r="EC31" s="142"/>
      <c r="ED31" s="142"/>
    </row>
    <row r="32" spans="1:159" x14ac:dyDescent="0.2">
      <c r="A32" s="72" t="s">
        <v>469</v>
      </c>
      <c r="B32" s="87">
        <f>IFERROR(_xlfn.STDEV.S(_xlfn.ANCHORARRAY(BD6)),NA())</f>
        <v>4.3068660656276769</v>
      </c>
      <c r="C32" s="45"/>
      <c r="D32" s="45"/>
      <c r="BB32" s="142"/>
      <c r="BC32" s="61"/>
      <c r="BD32" s="61"/>
      <c r="BE32" s="61"/>
      <c r="BF32" s="61"/>
      <c r="BG32" s="61"/>
      <c r="BH32" s="61"/>
      <c r="BI32" s="96">
        <f>MAX(LEN(ROUND(ABS(BI18),0)),LEN(ROUND(ABS(BI20),0)))</f>
        <v>2</v>
      </c>
      <c r="BJ32" s="61"/>
      <c r="BK32" s="39"/>
      <c r="BL32" s="39"/>
      <c r="BM32" s="39"/>
      <c r="BN32" s="39"/>
      <c r="BO32" s="39"/>
      <c r="BP32" s="39"/>
      <c r="BQ32" s="39"/>
      <c r="BR32" s="39">
        <v>27</v>
      </c>
      <c r="BS32" s="61">
        <v>-2.3858267716535435</v>
      </c>
      <c r="BT32" s="61">
        <v>2.3167074165093303E-2</v>
      </c>
      <c r="BU32" s="61">
        <v>2</v>
      </c>
      <c r="BV32" s="61">
        <v>0</v>
      </c>
      <c r="BW32" s="61">
        <v>0</v>
      </c>
      <c r="BX32" s="61" t="str">
        <v/>
      </c>
      <c r="BY32" s="61" t="str">
        <v/>
      </c>
      <c r="BZ32" s="61"/>
      <c r="CA32" s="61"/>
      <c r="CB32" s="142"/>
      <c r="CC32" s="142"/>
      <c r="CD32" s="142"/>
      <c r="CE32" s="142"/>
      <c r="CF32" s="142">
        <v>27</v>
      </c>
      <c r="CG32" s="142">
        <v>5</v>
      </c>
      <c r="CH32" s="142">
        <v>0</v>
      </c>
      <c r="CI32" s="142">
        <v>1</v>
      </c>
      <c r="CJ32" s="142" t="str">
        <v/>
      </c>
      <c r="CK32" s="142"/>
      <c r="CL32" s="142"/>
      <c r="CM32" s="142"/>
      <c r="CN32" s="61"/>
      <c r="CO32" s="61"/>
      <c r="CP32" s="168"/>
      <c r="CQ32" s="168"/>
      <c r="CR32" s="168"/>
      <c r="CS32" s="168"/>
      <c r="CT32" s="168"/>
      <c r="CU32" s="168">
        <v>27</v>
      </c>
      <c r="CV32" s="168">
        <v>1</v>
      </c>
      <c r="CW32" s="142">
        <v>1.8192576091040986</v>
      </c>
      <c r="CX32" s="142">
        <v>1.8192576091040986</v>
      </c>
      <c r="CY32" s="142" t="e">
        <v>#N/A</v>
      </c>
      <c r="CZ32" s="142" t="e">
        <v>#N/A</v>
      </c>
      <c r="DA32" s="142" t="e">
        <v>#N/A</v>
      </c>
      <c r="DB32" s="168" t="str">
        <v/>
      </c>
      <c r="DC32" s="168"/>
      <c r="DD32" s="160">
        <f>MIN(_xlfn.ANCHORARRAY(DL6))</f>
        <v>-1.479592604535932</v>
      </c>
      <c r="DE32" s="168"/>
      <c r="DF32" s="168"/>
      <c r="DG32" s="168"/>
      <c r="DH32" s="168"/>
      <c r="DI32" s="168"/>
      <c r="DJ32" s="48"/>
      <c r="DK32" s="61"/>
      <c r="DL32" s="61"/>
      <c r="DM32" s="61"/>
      <c r="DN32" s="61"/>
      <c r="DO32" s="168"/>
      <c r="DP32" s="168"/>
      <c r="DQ32" s="168"/>
      <c r="DR32" s="168"/>
      <c r="DS32" s="142"/>
      <c r="DT32" s="142"/>
      <c r="DU32" s="142"/>
      <c r="DV32" s="142"/>
      <c r="DW32" s="142"/>
      <c r="DX32" s="142">
        <v>27</v>
      </c>
      <c r="DY32" s="142">
        <v>3</v>
      </c>
      <c r="DZ32" s="142">
        <v>1.1154129396303354</v>
      </c>
      <c r="EA32" s="142" t="str">
        <v/>
      </c>
      <c r="EB32" s="142"/>
      <c r="EC32" s="142"/>
      <c r="ED32" s="142"/>
    </row>
    <row r="33" spans="1:134" x14ac:dyDescent="0.2">
      <c r="A33" s="72" t="s">
        <v>470</v>
      </c>
      <c r="B33" s="87">
        <f>IFERROR(_xlfn.STDEV.S(_xlfn.ANCHORARRAY(BD6))^2,NA())</f>
        <v>18.549095307255225</v>
      </c>
      <c r="C33" s="45"/>
      <c r="D33" s="45"/>
      <c r="BB33" s="142"/>
      <c r="BC33" s="61"/>
      <c r="BD33" s="61"/>
      <c r="BE33" s="61"/>
      <c r="BF33" s="61"/>
      <c r="BG33" s="61"/>
      <c r="BH33" s="61"/>
      <c r="BI33" s="162" t="s">
        <v>579</v>
      </c>
      <c r="BJ33" s="61"/>
      <c r="BK33" s="39"/>
      <c r="BL33" s="39"/>
      <c r="BM33" s="39"/>
      <c r="BN33" s="39"/>
      <c r="BO33" s="39"/>
      <c r="BP33" s="39"/>
      <c r="BQ33" s="39"/>
      <c r="BR33" s="39">
        <v>28</v>
      </c>
      <c r="BS33" s="61">
        <v>-2.3622047244094491</v>
      </c>
      <c r="BT33" s="61">
        <v>2.4503382414745537E-2</v>
      </c>
      <c r="BU33" s="61">
        <v>2</v>
      </c>
      <c r="BV33" s="61">
        <v>0</v>
      </c>
      <c r="BW33" s="61">
        <v>0</v>
      </c>
      <c r="BX33" s="61" t="str">
        <v/>
      </c>
      <c r="BY33" s="61" t="str">
        <v/>
      </c>
      <c r="BZ33" s="61"/>
      <c r="CA33" s="61"/>
      <c r="CB33" s="142"/>
      <c r="CC33" s="142"/>
      <c r="CD33" s="142"/>
      <c r="CE33" s="142"/>
      <c r="CF33" s="142">
        <v>28</v>
      </c>
      <c r="CG33" s="142">
        <v>5</v>
      </c>
      <c r="CH33" s="142">
        <v>0</v>
      </c>
      <c r="CI33" s="142">
        <v>1</v>
      </c>
      <c r="CJ33" s="142" t="str">
        <v>-0.307</v>
      </c>
      <c r="CK33" s="142"/>
      <c r="CL33" s="142"/>
      <c r="CM33" s="142"/>
      <c r="CN33" s="61"/>
      <c r="CO33" s="61"/>
      <c r="CP33" s="168"/>
      <c r="CQ33" s="168"/>
      <c r="CR33" s="168"/>
      <c r="CS33" s="168"/>
      <c r="CT33" s="168"/>
      <c r="CU33" s="168">
        <v>28</v>
      </c>
      <c r="CV33" s="168">
        <v>1</v>
      </c>
      <c r="CW33" s="142">
        <v>1.8192576091040986</v>
      </c>
      <c r="CX33" s="142">
        <v>1.8192576091040986</v>
      </c>
      <c r="CY33" s="142" t="e">
        <v>#N/A</v>
      </c>
      <c r="CZ33" s="142" t="e">
        <v>#N/A</v>
      </c>
      <c r="DA33" s="142" t="e">
        <v>#N/A</v>
      </c>
      <c r="DB33" s="168" t="str">
        <v/>
      </c>
      <c r="DC33" s="168"/>
      <c r="DD33" s="163" t="s">
        <v>630</v>
      </c>
      <c r="DE33" s="168"/>
      <c r="DF33" s="168"/>
      <c r="DG33" s="168"/>
      <c r="DH33" s="168"/>
      <c r="DI33" s="168"/>
      <c r="DJ33" s="48"/>
      <c r="DK33" s="61"/>
      <c r="DL33" s="61"/>
      <c r="DM33" s="61"/>
      <c r="DN33" s="61"/>
      <c r="DO33" s="168"/>
      <c r="DP33" s="168"/>
      <c r="DQ33" s="168"/>
      <c r="DR33" s="168"/>
      <c r="DS33" s="142"/>
      <c r="DT33" s="142"/>
      <c r="DU33" s="142"/>
      <c r="DV33" s="142"/>
      <c r="DW33" s="142"/>
      <c r="DX33" s="142">
        <v>28</v>
      </c>
      <c r="DY33" s="142">
        <v>3</v>
      </c>
      <c r="DZ33" s="142">
        <v>1.1154129396303354</v>
      </c>
      <c r="EA33" s="142" t="str">
        <v/>
      </c>
      <c r="EB33" s="142"/>
      <c r="EC33" s="142"/>
      <c r="ED33" s="142"/>
    </row>
    <row r="34" spans="1:134" x14ac:dyDescent="0.2">
      <c r="A34" s="72" t="s">
        <v>2</v>
      </c>
      <c r="B34" s="117" t="e">
        <f>_xlfn.SINGLE(IF(OR(COUNTIF(_xlfn.ANCHORARRAY(BD6),TRUE)&gt;0,COUNTIF(_xlfn.ANCHORARRAY(BD6),FALSE)&gt;0),COUNTIF(_xlfn.ANCHORARRAY(BD6),TRUE)/COUNTA(_xlfn.ANCHORARRAY(BD6)),NA()))</f>
        <v>#N/A</v>
      </c>
      <c r="C34" s="45"/>
      <c r="D34" s="45"/>
      <c r="BB34" s="142"/>
      <c r="BC34" s="61"/>
      <c r="BD34" s="61"/>
      <c r="BE34" s="61"/>
      <c r="BF34" s="61"/>
      <c r="BG34" s="61"/>
      <c r="BH34" s="61"/>
      <c r="BI34" s="96">
        <f>7-ROUNDDOWN(B6/5,0)</f>
        <v>4</v>
      </c>
      <c r="BJ34" s="61"/>
      <c r="BK34" s="39"/>
      <c r="BL34" s="39"/>
      <c r="BM34" s="39"/>
      <c r="BN34" s="39"/>
      <c r="BO34" s="39"/>
      <c r="BP34" s="39"/>
      <c r="BQ34" s="39"/>
      <c r="BR34" s="39">
        <v>29</v>
      </c>
      <c r="BS34" s="61">
        <v>-2.3385826771653546</v>
      </c>
      <c r="BT34" s="61">
        <v>2.5902313183160039E-2</v>
      </c>
      <c r="BU34" s="61">
        <v>2</v>
      </c>
      <c r="BV34" s="61">
        <v>0</v>
      </c>
      <c r="BW34" s="61">
        <v>0</v>
      </c>
      <c r="BX34" s="61" t="str">
        <v/>
      </c>
      <c r="BY34" s="61" t="str">
        <v/>
      </c>
      <c r="BZ34" s="61"/>
      <c r="CA34" s="61"/>
      <c r="CB34" s="142"/>
      <c r="CC34" s="142"/>
      <c r="CD34" s="142"/>
      <c r="CE34" s="142"/>
      <c r="CF34" s="142">
        <v>29</v>
      </c>
      <c r="CG34" s="142">
        <v>5</v>
      </c>
      <c r="CH34" s="142">
        <v>0</v>
      </c>
      <c r="CI34" s="142">
        <v>1</v>
      </c>
      <c r="CJ34" s="142" t="str">
        <v/>
      </c>
      <c r="CK34" s="142"/>
      <c r="CL34" s="142"/>
      <c r="CM34" s="142"/>
      <c r="CN34" s="61"/>
      <c r="CO34" s="61"/>
      <c r="CP34" s="168"/>
      <c r="CQ34" s="168"/>
      <c r="CR34" s="168"/>
      <c r="CS34" s="168"/>
      <c r="CT34" s="168"/>
      <c r="CU34" s="168">
        <v>29</v>
      </c>
      <c r="CV34" s="168">
        <v>1</v>
      </c>
      <c r="CW34" s="142">
        <v>1.8192576091040986</v>
      </c>
      <c r="CX34" s="142">
        <v>1.8192576091040986</v>
      </c>
      <c r="CY34" s="142" t="e">
        <v>#N/A</v>
      </c>
      <c r="CZ34" s="142" t="e">
        <v>#N/A</v>
      </c>
      <c r="DA34" s="142" t="e">
        <v>#N/A</v>
      </c>
      <c r="DB34" s="168" t="str">
        <v/>
      </c>
      <c r="DC34" s="168"/>
      <c r="DD34" s="160">
        <f>MAX(_xlfn.ANCHORARRAY(DL6))</f>
        <v>1.8110756828005981</v>
      </c>
      <c r="DE34" s="168"/>
      <c r="DF34" s="168"/>
      <c r="DG34" s="168"/>
      <c r="DH34" s="168"/>
      <c r="DI34" s="168"/>
      <c r="DJ34" s="48"/>
      <c r="DK34" s="61"/>
      <c r="DL34" s="61"/>
      <c r="DM34" s="61"/>
      <c r="DN34" s="61"/>
      <c r="DO34" s="168"/>
      <c r="DP34" s="168"/>
      <c r="DQ34" s="168"/>
      <c r="DR34" s="168"/>
      <c r="DS34" s="142"/>
      <c r="DT34" s="142"/>
      <c r="DU34" s="142"/>
      <c r="DV34" s="142"/>
      <c r="DW34" s="142"/>
      <c r="DX34" s="142">
        <v>29</v>
      </c>
      <c r="DY34" s="142">
        <v>3</v>
      </c>
      <c r="DZ34" s="142">
        <v>1.1154129396303354</v>
      </c>
      <c r="EA34" s="142" t="str">
        <v/>
      </c>
      <c r="EB34" s="142"/>
      <c r="EC34" s="142"/>
      <c r="ED34" s="142"/>
    </row>
    <row r="35" spans="1:134" x14ac:dyDescent="0.2">
      <c r="A35" s="72" t="s">
        <v>3</v>
      </c>
      <c r="B35" s="87">
        <f>IFERROR(AVERAGE(_xlfn.ANCHORARRAY(BD6)),NA())</f>
        <v>1.8540044183209705</v>
      </c>
      <c r="C35" s="45"/>
      <c r="D35" s="45"/>
      <c r="BB35" s="142"/>
      <c r="BC35" s="61"/>
      <c r="BD35" s="61"/>
      <c r="BE35" s="61"/>
      <c r="BF35" s="61"/>
      <c r="BG35" s="61"/>
      <c r="BH35" s="61"/>
      <c r="BI35" s="162" t="s">
        <v>577</v>
      </c>
      <c r="BJ35" s="61"/>
      <c r="BK35" s="39"/>
      <c r="BL35" s="39"/>
      <c r="BM35" s="39"/>
      <c r="BN35" s="39"/>
      <c r="BO35" s="39"/>
      <c r="BP35" s="39"/>
      <c r="BQ35" s="39"/>
      <c r="BR35" s="39">
        <v>30</v>
      </c>
      <c r="BS35" s="61">
        <v>-2.3149606299212597</v>
      </c>
      <c r="BT35" s="61">
        <v>2.7365836345710239E-2</v>
      </c>
      <c r="BU35" s="61">
        <v>2</v>
      </c>
      <c r="BV35" s="61">
        <v>0</v>
      </c>
      <c r="BW35" s="61">
        <v>0</v>
      </c>
      <c r="BX35" s="61" t="str">
        <v/>
      </c>
      <c r="BY35" s="61" t="str">
        <v/>
      </c>
      <c r="BZ35" s="61"/>
      <c r="CA35" s="61"/>
      <c r="CB35" s="142"/>
      <c r="CC35" s="142"/>
      <c r="CD35" s="142"/>
      <c r="CE35" s="142"/>
      <c r="CF35" s="142">
        <v>30</v>
      </c>
      <c r="CG35" s="142">
        <v>5</v>
      </c>
      <c r="CH35" s="142">
        <v>1</v>
      </c>
      <c r="CI35" s="142" t="e">
        <v>#N/A</v>
      </c>
      <c r="CJ35" s="142" t="str">
        <v/>
      </c>
      <c r="CK35" s="142"/>
      <c r="CL35" s="142"/>
      <c r="CM35" s="142"/>
      <c r="CN35" s="61"/>
      <c r="CO35" s="61"/>
      <c r="CP35" s="168"/>
      <c r="CQ35" s="168"/>
      <c r="CR35" s="168"/>
      <c r="CS35" s="168"/>
      <c r="CT35" s="168"/>
      <c r="CU35" s="168">
        <v>30</v>
      </c>
      <c r="CV35" s="168">
        <v>1</v>
      </c>
      <c r="CW35" s="142">
        <v>1.8192576091040986</v>
      </c>
      <c r="CX35" s="142">
        <v>1.8192576091040986</v>
      </c>
      <c r="CY35" s="142" t="e">
        <v>#N/A</v>
      </c>
      <c r="CZ35" s="142" t="e">
        <v>#N/A</v>
      </c>
      <c r="DA35" s="142" t="e">
        <v>#N/A</v>
      </c>
      <c r="DB35" s="168" t="str">
        <v/>
      </c>
      <c r="DC35" s="168"/>
      <c r="DD35" s="61"/>
      <c r="DE35" s="168"/>
      <c r="DF35" s="168"/>
      <c r="DG35" s="168"/>
      <c r="DH35" s="168"/>
      <c r="DI35" s="168"/>
      <c r="DJ35" s="48"/>
      <c r="DK35" s="61"/>
      <c r="DL35" s="61"/>
      <c r="DM35" s="61"/>
      <c r="DN35" s="61"/>
      <c r="DO35" s="168"/>
      <c r="DP35" s="168"/>
      <c r="DQ35" s="168"/>
      <c r="DR35" s="168"/>
      <c r="DS35" s="142"/>
      <c r="DT35" s="142"/>
      <c r="DU35" s="142"/>
      <c r="DV35" s="142"/>
      <c r="DW35" s="142"/>
      <c r="DX35" s="142">
        <v>30</v>
      </c>
      <c r="DY35" s="142">
        <v>3</v>
      </c>
      <c r="DZ35" s="142">
        <v>1.1154129396303354</v>
      </c>
      <c r="EA35" s="142" t="str">
        <v/>
      </c>
      <c r="EB35" s="142"/>
      <c r="EC35" s="142"/>
      <c r="ED35" s="142"/>
    </row>
    <row r="36" spans="1:134" x14ac:dyDescent="0.2">
      <c r="A36" s="119" t="s">
        <v>45</v>
      </c>
      <c r="B36" s="118">
        <f>IF(ISNA($B$31),NA(),MIN(_xlfn.ANCHORARRAY(BD6)))</f>
        <v>-1.479592604535932</v>
      </c>
      <c r="BB36" s="142"/>
      <c r="BC36" s="61"/>
      <c r="BD36" s="61"/>
      <c r="BE36" s="61"/>
      <c r="BF36" s="61"/>
      <c r="BG36" s="61"/>
      <c r="BH36" s="61"/>
      <c r="BI36" s="96">
        <f>MIN(3,MAX(0,BI34-BI32))</f>
        <v>2</v>
      </c>
      <c r="BJ36" s="61"/>
      <c r="BK36" s="61"/>
      <c r="BL36" s="61"/>
      <c r="BM36" s="142"/>
      <c r="BN36" s="61"/>
      <c r="BO36" s="61"/>
      <c r="BP36" s="61"/>
      <c r="BQ36" s="61"/>
      <c r="BR36" s="142">
        <v>31</v>
      </c>
      <c r="BS36" s="61">
        <v>-2.2913385826771653</v>
      </c>
      <c r="BT36" s="61">
        <v>2.8895922510000907E-2</v>
      </c>
      <c r="BU36" s="61">
        <v>2</v>
      </c>
      <c r="BV36" s="61">
        <v>0</v>
      </c>
      <c r="BW36" s="61">
        <v>0</v>
      </c>
      <c r="BX36" s="61" t="str">
        <v/>
      </c>
      <c r="BY36" s="61" t="str">
        <v/>
      </c>
      <c r="BZ36" s="61"/>
      <c r="CA36" s="61"/>
      <c r="CB36" s="142"/>
      <c r="CC36" s="142"/>
      <c r="CD36" s="142"/>
      <c r="CE36" s="142"/>
      <c r="CF36" s="142">
        <v>31</v>
      </c>
      <c r="CG36" s="142">
        <v>6</v>
      </c>
      <c r="CH36" s="142">
        <v>1</v>
      </c>
      <c r="CI36" s="142" t="e">
        <v>#N/A</v>
      </c>
      <c r="CJ36" s="142" t="str">
        <v/>
      </c>
      <c r="CK36" s="142"/>
      <c r="CL36" s="142"/>
      <c r="CM36" s="142"/>
      <c r="CN36" s="61"/>
      <c r="CO36" s="61"/>
      <c r="CP36" s="168"/>
      <c r="CQ36" s="168"/>
      <c r="CR36" s="168"/>
      <c r="CS36" s="168"/>
      <c r="CT36" s="168"/>
      <c r="CU36" s="168">
        <v>31</v>
      </c>
      <c r="CV36" s="168">
        <v>1</v>
      </c>
      <c r="CW36" s="142">
        <v>1.8192576091040986</v>
      </c>
      <c r="CX36" s="142">
        <v>1.8192576091040986</v>
      </c>
      <c r="CY36" s="142" t="e">
        <v>#N/A</v>
      </c>
      <c r="CZ36" s="142" t="e">
        <v>#N/A</v>
      </c>
      <c r="DA36" s="142" t="e">
        <v>#N/A</v>
      </c>
      <c r="DB36" s="168" t="str">
        <v/>
      </c>
      <c r="DC36" s="168"/>
      <c r="DD36" s="61"/>
      <c r="DE36" s="168"/>
      <c r="DF36" s="168"/>
      <c r="DG36" s="168"/>
      <c r="DH36" s="168"/>
      <c r="DI36" s="168"/>
      <c r="DJ36" s="48"/>
      <c r="DK36" s="61"/>
      <c r="DL36" s="61"/>
      <c r="DM36" s="61"/>
      <c r="DN36" s="61"/>
      <c r="DO36" s="168"/>
      <c r="DP36" s="168"/>
      <c r="DQ36" s="168"/>
      <c r="DR36" s="168"/>
      <c r="DS36" s="142"/>
      <c r="DT36" s="142"/>
      <c r="DU36" s="142"/>
      <c r="DV36" s="142"/>
      <c r="DW36" s="142"/>
      <c r="DX36" s="142">
        <v>31</v>
      </c>
      <c r="DY36" s="142">
        <v>3</v>
      </c>
      <c r="DZ36" s="142">
        <v>1.1154129396303354</v>
      </c>
      <c r="EA36" s="142" t="str">
        <v/>
      </c>
      <c r="EB36" s="142"/>
      <c r="EC36" s="142"/>
      <c r="ED36" s="142"/>
    </row>
    <row r="37" spans="1:134" x14ac:dyDescent="0.2">
      <c r="A37" s="72" t="s">
        <v>397</v>
      </c>
      <c r="B37" s="87">
        <f>IFERROR(_xlfn.QUARTILE.EXC(_xlfn.ANCHORARRAY(BD6),1),NA())</f>
        <v>-0.77564154305867694</v>
      </c>
      <c r="BB37" s="142"/>
      <c r="BC37" s="61"/>
      <c r="BD37" s="61"/>
      <c r="BE37" s="61"/>
      <c r="BF37" s="61"/>
      <c r="BG37" s="61"/>
      <c r="BH37" s="61"/>
      <c r="BI37" s="162" t="s">
        <v>657</v>
      </c>
      <c r="BJ37" s="61"/>
      <c r="BK37" s="61"/>
      <c r="BL37" s="61"/>
      <c r="BM37" s="142"/>
      <c r="BN37" s="61"/>
      <c r="BO37" s="61"/>
      <c r="BP37" s="61"/>
      <c r="BQ37" s="61"/>
      <c r="BR37" s="142">
        <v>32</v>
      </c>
      <c r="BS37" s="142">
        <v>-2.2677165354330708</v>
      </c>
      <c r="BT37" s="61">
        <v>3.0494538537622264E-2</v>
      </c>
      <c r="BU37" s="61">
        <v>2</v>
      </c>
      <c r="BV37" s="61">
        <v>0</v>
      </c>
      <c r="BW37" s="61">
        <v>0</v>
      </c>
      <c r="BX37" s="61" t="str">
        <v/>
      </c>
      <c r="BY37" s="61" t="str">
        <v/>
      </c>
      <c r="BZ37" s="61"/>
      <c r="CA37" s="61"/>
      <c r="CB37" s="61"/>
      <c r="CC37" s="142"/>
      <c r="CD37" s="142"/>
      <c r="CE37" s="142"/>
      <c r="CF37" s="142">
        <v>32</v>
      </c>
      <c r="CG37" s="142">
        <v>6</v>
      </c>
      <c r="CH37" s="142">
        <v>0</v>
      </c>
      <c r="CI37" s="142">
        <v>1</v>
      </c>
      <c r="CJ37" s="142" t="str">
        <v/>
      </c>
      <c r="CK37" s="142"/>
      <c r="CL37" s="142"/>
      <c r="CM37" s="142"/>
      <c r="CN37" s="61"/>
      <c r="CO37" s="61"/>
      <c r="CP37" s="168"/>
      <c r="CQ37" s="168"/>
      <c r="CR37" s="168"/>
      <c r="CS37" s="168"/>
      <c r="CT37" s="168"/>
      <c r="CU37" s="168">
        <v>32</v>
      </c>
      <c r="CV37" s="168">
        <v>1</v>
      </c>
      <c r="CW37" s="142">
        <v>1.8192576091040986</v>
      </c>
      <c r="CX37" s="142">
        <v>1.8192576091040986</v>
      </c>
      <c r="CY37" s="142" t="e">
        <v>#N/A</v>
      </c>
      <c r="CZ37" s="142" t="e">
        <v>#N/A</v>
      </c>
      <c r="DA37" s="142" t="e">
        <v>#N/A</v>
      </c>
      <c r="DB37" s="168" t="str">
        <v/>
      </c>
      <c r="DC37" s="168"/>
      <c r="DD37" s="168"/>
      <c r="DE37" s="168"/>
      <c r="DF37" s="168"/>
      <c r="DG37" s="168"/>
      <c r="DH37" s="168"/>
      <c r="DI37" s="168"/>
      <c r="DJ37" s="48"/>
      <c r="DK37" s="61"/>
      <c r="DL37" s="61"/>
      <c r="DM37" s="61"/>
      <c r="DN37" s="61"/>
      <c r="DO37" s="168"/>
      <c r="DP37" s="168"/>
      <c r="DQ37" s="168"/>
      <c r="DR37" s="168"/>
      <c r="DS37" s="142"/>
      <c r="DT37" s="142"/>
      <c r="DU37" s="142"/>
      <c r="DV37" s="142"/>
      <c r="DW37" s="142"/>
      <c r="DX37" s="142">
        <v>32</v>
      </c>
      <c r="DY37" s="142">
        <v>3</v>
      </c>
      <c r="DZ37" s="142">
        <v>1.1154129396303354</v>
      </c>
      <c r="EA37" s="142" t="str">
        <v/>
      </c>
      <c r="EB37" s="142"/>
      <c r="EC37" s="142"/>
      <c r="ED37" s="142"/>
    </row>
    <row r="38" spans="1:134" x14ac:dyDescent="0.2">
      <c r="A38" s="57" t="s">
        <v>25</v>
      </c>
      <c r="B38" s="87">
        <f>IFERROR(MEDIAN(_xlfn.ANCHORARRAY(BD6)),NA())</f>
        <v>0.49925963399512074</v>
      </c>
      <c r="BB38" s="142"/>
      <c r="BC38" s="61"/>
      <c r="BD38" s="61"/>
      <c r="BE38" s="61"/>
      <c r="BF38" s="61"/>
      <c r="BG38" s="61"/>
      <c r="BH38" s="61"/>
      <c r="BI38" s="96">
        <f>MAX(6,ROUND(BI12,0)*2)+1</f>
        <v>7</v>
      </c>
      <c r="BJ38" s="61"/>
      <c r="BK38" s="61"/>
      <c r="BL38" s="61"/>
      <c r="BM38" s="142"/>
      <c r="BN38" s="61"/>
      <c r="BO38" s="61"/>
      <c r="BP38" s="61"/>
      <c r="BQ38" s="61"/>
      <c r="BR38" s="142">
        <v>33</v>
      </c>
      <c r="BS38" s="142">
        <v>-2.2440944881889764</v>
      </c>
      <c r="BT38" s="61">
        <v>3.2163642824992435E-2</v>
      </c>
      <c r="BU38" s="61">
        <v>2</v>
      </c>
      <c r="BV38" s="61">
        <v>0</v>
      </c>
      <c r="BW38" s="61">
        <v>0</v>
      </c>
      <c r="BX38" s="61" t="str">
        <v/>
      </c>
      <c r="BY38" s="61" t="str">
        <v/>
      </c>
      <c r="BZ38" s="61"/>
      <c r="CA38" s="61"/>
      <c r="CB38" s="61"/>
      <c r="CC38" s="142"/>
      <c r="CD38" s="142"/>
      <c r="CE38" s="142"/>
      <c r="CF38" s="142">
        <v>33</v>
      </c>
      <c r="CG38" s="142">
        <v>6</v>
      </c>
      <c r="CH38" s="142">
        <v>0</v>
      </c>
      <c r="CI38" s="142">
        <v>1</v>
      </c>
      <c r="CJ38" s="142" t="str">
        <v/>
      </c>
      <c r="CK38" s="142"/>
      <c r="CL38" s="142"/>
      <c r="CM38" s="142"/>
      <c r="CN38" s="61"/>
      <c r="CO38" s="61"/>
      <c r="CP38" s="168"/>
      <c r="CQ38" s="168"/>
      <c r="CR38" s="168"/>
      <c r="CS38" s="168"/>
      <c r="CT38" s="168"/>
      <c r="CU38" s="168">
        <v>33</v>
      </c>
      <c r="CV38" s="168">
        <v>1</v>
      </c>
      <c r="CW38" s="142">
        <v>1.8192576091040986</v>
      </c>
      <c r="CX38" s="142">
        <v>1.8192576091040986</v>
      </c>
      <c r="CY38" s="142" t="e">
        <v>#N/A</v>
      </c>
      <c r="CZ38" s="142" t="e">
        <v>#N/A</v>
      </c>
      <c r="DA38" s="142" t="e">
        <v>#N/A</v>
      </c>
      <c r="DB38" s="168" t="str">
        <v/>
      </c>
      <c r="DC38" s="168"/>
      <c r="DD38" s="168"/>
      <c r="DE38" s="168"/>
      <c r="DF38" s="168"/>
      <c r="DG38" s="168"/>
      <c r="DH38" s="168"/>
      <c r="DI38" s="168"/>
      <c r="DJ38" s="48"/>
      <c r="DK38" s="61"/>
      <c r="DL38" s="61"/>
      <c r="DM38" s="61"/>
      <c r="DN38" s="61"/>
      <c r="DO38" s="168"/>
      <c r="DP38" s="168"/>
      <c r="DQ38" s="168"/>
      <c r="DR38" s="168"/>
      <c r="DS38" s="142"/>
      <c r="DT38" s="142"/>
      <c r="DU38" s="142"/>
      <c r="DV38" s="142"/>
      <c r="DW38" s="142"/>
      <c r="DX38" s="142">
        <v>33</v>
      </c>
      <c r="DY38" s="142">
        <v>3</v>
      </c>
      <c r="DZ38" s="142">
        <v>1.1154129396303354</v>
      </c>
      <c r="EA38" s="142" t="str">
        <v/>
      </c>
      <c r="EB38" s="142"/>
      <c r="EC38" s="142"/>
      <c r="ED38" s="142"/>
    </row>
    <row r="39" spans="1:134" x14ac:dyDescent="0.2">
      <c r="A39" s="119" t="s">
        <v>398</v>
      </c>
      <c r="B39" s="87">
        <f>IFERROR(_xlfn.QUARTILE.EXC(_xlfn.ANCHORARRAY(BD6),3),NA())</f>
        <v>1.7034016755912118</v>
      </c>
      <c r="BB39" s="142"/>
      <c r="BC39" s="61"/>
      <c r="BD39" s="61"/>
      <c r="BE39" s="61"/>
      <c r="BF39" s="61"/>
      <c r="BG39" s="61"/>
      <c r="BH39" s="61"/>
      <c r="BI39" s="162" t="s">
        <v>658</v>
      </c>
      <c r="BJ39" s="61"/>
      <c r="BK39" s="61"/>
      <c r="BL39" s="61"/>
      <c r="BM39" s="61"/>
      <c r="BN39" s="61"/>
      <c r="BO39" s="61"/>
      <c r="BP39" s="61"/>
      <c r="BQ39" s="61"/>
      <c r="BR39" s="61">
        <v>34</v>
      </c>
      <c r="BS39" s="61">
        <v>-2.2204724409448819</v>
      </c>
      <c r="BT39" s="61">
        <v>3.3905180346050105E-2</v>
      </c>
      <c r="BU39" s="61">
        <v>2</v>
      </c>
      <c r="BV39" s="61">
        <v>0</v>
      </c>
      <c r="BW39" s="61">
        <v>0</v>
      </c>
      <c r="BX39" s="61" t="str">
        <v/>
      </c>
      <c r="BY39" s="61" t="str">
        <v/>
      </c>
      <c r="BZ39" s="61"/>
      <c r="CA39" s="61"/>
      <c r="CB39" s="61"/>
      <c r="CC39" s="142"/>
      <c r="CD39" s="142"/>
      <c r="CE39" s="142"/>
      <c r="CF39" s="142">
        <v>34</v>
      </c>
      <c r="CG39" s="142">
        <v>6</v>
      </c>
      <c r="CH39" s="142">
        <v>0</v>
      </c>
      <c r="CI39" s="142">
        <v>1</v>
      </c>
      <c r="CJ39" s="142" t="str">
        <v>0.084</v>
      </c>
      <c r="CK39" s="142"/>
      <c r="CL39" s="142"/>
      <c r="CM39" s="142"/>
      <c r="CN39" s="61"/>
      <c r="CO39" s="61"/>
      <c r="CP39" s="168"/>
      <c r="CQ39" s="168"/>
      <c r="CR39" s="168"/>
      <c r="CS39" s="168"/>
      <c r="CT39" s="168"/>
      <c r="CU39" s="168">
        <v>34</v>
      </c>
      <c r="CV39" s="168">
        <v>1</v>
      </c>
      <c r="CW39" s="142">
        <v>1.8192576091040986</v>
      </c>
      <c r="CX39" s="142">
        <v>1.8192576091040986</v>
      </c>
      <c r="CY39" s="142" t="e">
        <v>#N/A</v>
      </c>
      <c r="CZ39" s="142" t="e">
        <v>#N/A</v>
      </c>
      <c r="DA39" s="142" t="e">
        <v>#N/A</v>
      </c>
      <c r="DB39" s="168" t="str">
        <v/>
      </c>
      <c r="DC39" s="168"/>
      <c r="DD39" s="168"/>
      <c r="DE39" s="168"/>
      <c r="DF39" s="168"/>
      <c r="DG39" s="168"/>
      <c r="DH39" s="168"/>
      <c r="DI39" s="168"/>
      <c r="DJ39" s="48"/>
      <c r="DK39" s="61"/>
      <c r="DL39" s="61"/>
      <c r="DM39" s="61"/>
      <c r="DN39" s="61"/>
      <c r="DO39" s="168"/>
      <c r="DP39" s="168"/>
      <c r="DQ39" s="168"/>
      <c r="DR39" s="168"/>
      <c r="DS39" s="142"/>
      <c r="DT39" s="142"/>
      <c r="DU39" s="142"/>
      <c r="DV39" s="142"/>
      <c r="DW39" s="142"/>
      <c r="DX39" s="142">
        <v>34</v>
      </c>
      <c r="DY39" s="142">
        <v>3</v>
      </c>
      <c r="DZ39" s="142">
        <v>1.1154129396303354</v>
      </c>
      <c r="EA39" s="142" t="str">
        <v/>
      </c>
      <c r="EB39" s="142"/>
      <c r="EC39" s="142"/>
      <c r="ED39" s="142"/>
    </row>
    <row r="40" spans="1:134" x14ac:dyDescent="0.2">
      <c r="A40" s="119" t="s">
        <v>393</v>
      </c>
      <c r="B40" s="118">
        <f>IF(ISNA($B$31),NA(),MAX(_xlfn.ANCHORARRAY(BD6)))</f>
        <v>13</v>
      </c>
      <c r="BB40" s="142"/>
      <c r="BC40" s="61"/>
      <c r="BD40" s="61"/>
      <c r="BE40" s="61"/>
      <c r="BF40" s="61"/>
      <c r="BG40" s="61"/>
      <c r="BH40" s="61"/>
      <c r="BI40" s="96">
        <v>11</v>
      </c>
      <c r="BJ40" s="61"/>
      <c r="BK40" s="61"/>
      <c r="BL40" s="61"/>
      <c r="BM40" s="61"/>
      <c r="BN40" s="61"/>
      <c r="BO40" s="61"/>
      <c r="BP40" s="61"/>
      <c r="BQ40" s="61"/>
      <c r="BR40" s="61">
        <v>35</v>
      </c>
      <c r="BS40" s="61">
        <v>-2.1968503937007875</v>
      </c>
      <c r="BT40" s="61">
        <v>3.5721077460667557E-2</v>
      </c>
      <c r="BU40" s="61">
        <v>3</v>
      </c>
      <c r="BV40" s="61">
        <v>0</v>
      </c>
      <c r="BW40" s="61">
        <v>0</v>
      </c>
      <c r="BX40" s="61">
        <v>-7.62</v>
      </c>
      <c r="BY40" s="61" t="str">
        <v/>
      </c>
      <c r="BZ40" s="61"/>
      <c r="CA40" s="61"/>
      <c r="CB40" s="61"/>
      <c r="CC40" s="142"/>
      <c r="CD40" s="142"/>
      <c r="CE40" s="142"/>
      <c r="CF40" s="142">
        <v>35</v>
      </c>
      <c r="CG40" s="142">
        <v>6</v>
      </c>
      <c r="CH40" s="142">
        <v>0</v>
      </c>
      <c r="CI40" s="142">
        <v>1</v>
      </c>
      <c r="CJ40" s="142" t="str">
        <v/>
      </c>
      <c r="CK40" s="142"/>
      <c r="CL40" s="142"/>
      <c r="CM40" s="142"/>
      <c r="CN40" s="61"/>
      <c r="CO40" s="61"/>
      <c r="CP40" s="168"/>
      <c r="CQ40" s="168"/>
      <c r="CR40" s="168"/>
      <c r="CS40" s="168"/>
      <c r="CT40" s="168"/>
      <c r="CU40" s="168">
        <v>35</v>
      </c>
      <c r="CV40" s="168">
        <v>1</v>
      </c>
      <c r="CW40" s="142">
        <v>1.8192576091040986</v>
      </c>
      <c r="CX40" s="142">
        <v>1.8192576091040986</v>
      </c>
      <c r="CY40" s="142" t="e">
        <v>#N/A</v>
      </c>
      <c r="CZ40" s="142" t="e">
        <v>#N/A</v>
      </c>
      <c r="DA40" s="142" t="e">
        <v>#N/A</v>
      </c>
      <c r="DB40" s="168" t="str">
        <v/>
      </c>
      <c r="DC40" s="168"/>
      <c r="DD40" s="168"/>
      <c r="DE40" s="168"/>
      <c r="DF40" s="168"/>
      <c r="DG40" s="168"/>
      <c r="DH40" s="168"/>
      <c r="DI40" s="168"/>
      <c r="DJ40" s="48"/>
      <c r="DK40" s="61"/>
      <c r="DL40" s="61"/>
      <c r="DM40" s="61"/>
      <c r="DN40" s="61"/>
      <c r="DO40" s="168"/>
      <c r="DP40" s="168"/>
      <c r="DQ40" s="168"/>
      <c r="DR40" s="168"/>
      <c r="DS40" s="142"/>
      <c r="DT40" s="142"/>
      <c r="DU40" s="142"/>
      <c r="DV40" s="142"/>
      <c r="DW40" s="142"/>
      <c r="DX40" s="142">
        <v>35</v>
      </c>
      <c r="DY40" s="142">
        <v>4</v>
      </c>
      <c r="DZ40" s="142">
        <v>1.0410520769883131</v>
      </c>
      <c r="EA40" s="142" t="str">
        <v>0.5 (50%)</v>
      </c>
      <c r="EB40" s="142"/>
      <c r="EC40" s="142"/>
      <c r="ED40" s="142"/>
    </row>
    <row r="41" spans="1:134" x14ac:dyDescent="0.2">
      <c r="A41" s="57" t="s">
        <v>26</v>
      </c>
      <c r="B41" s="87" t="e">
        <f>_xlfn.MODE.SNGL(_xlfn.ANCHORARRAY(BD6))</f>
        <v>#N/A</v>
      </c>
      <c r="BB41" s="142"/>
      <c r="BC41" s="61"/>
      <c r="BD41" s="61"/>
      <c r="BE41" s="61"/>
      <c r="BF41" s="61"/>
      <c r="BG41" s="61"/>
      <c r="BH41" s="61"/>
      <c r="BI41" s="162" t="s">
        <v>661</v>
      </c>
      <c r="BJ41" s="61"/>
      <c r="BK41" s="61"/>
      <c r="BL41" s="61"/>
      <c r="BM41" s="61"/>
      <c r="BN41" s="61"/>
      <c r="BO41" s="61"/>
      <c r="BP41" s="61"/>
      <c r="BQ41" s="61"/>
      <c r="BR41" s="61">
        <v>36</v>
      </c>
      <c r="BS41" s="61">
        <v>-2.173228346456693</v>
      </c>
      <c r="BT41" s="61">
        <v>3.7613236493806372E-2</v>
      </c>
      <c r="BU41" s="61">
        <v>3</v>
      </c>
      <c r="BV41" s="61">
        <v>0</v>
      </c>
      <c r="BW41" s="61">
        <v>0</v>
      </c>
      <c r="BX41" s="61" t="str">
        <v/>
      </c>
      <c r="BY41" s="61" t="str">
        <v/>
      </c>
      <c r="BZ41" s="61"/>
      <c r="CA41" s="61"/>
      <c r="CB41" s="61"/>
      <c r="CC41" s="142"/>
      <c r="CD41" s="142"/>
      <c r="CE41" s="142"/>
      <c r="CF41" s="142">
        <v>36</v>
      </c>
      <c r="CG41" s="142">
        <v>6</v>
      </c>
      <c r="CH41" s="142">
        <v>1</v>
      </c>
      <c r="CI41" s="142" t="e">
        <v>#N/A</v>
      </c>
      <c r="CJ41" s="142" t="str">
        <v/>
      </c>
      <c r="CK41" s="142"/>
      <c r="CL41" s="142"/>
      <c r="CM41" s="142"/>
      <c r="CN41" s="61"/>
      <c r="CO41" s="61"/>
      <c r="CP41" s="168"/>
      <c r="CQ41" s="168"/>
      <c r="CR41" s="168"/>
      <c r="CS41" s="168"/>
      <c r="CT41" s="168"/>
      <c r="CU41" s="168">
        <v>36</v>
      </c>
      <c r="CV41" s="168">
        <v>1</v>
      </c>
      <c r="CW41" s="142">
        <v>1.8192576091040986</v>
      </c>
      <c r="CX41" s="142">
        <v>1.8192576091040986</v>
      </c>
      <c r="CY41" s="142" t="e">
        <v>#N/A</v>
      </c>
      <c r="CZ41" s="142" t="e">
        <v>#N/A</v>
      </c>
      <c r="DA41" s="142" t="e">
        <v>#N/A</v>
      </c>
      <c r="DB41" s="168" t="str">
        <v/>
      </c>
      <c r="DC41" s="168"/>
      <c r="DD41" s="168"/>
      <c r="DE41" s="168"/>
      <c r="DF41" s="168"/>
      <c r="DG41" s="168"/>
      <c r="DH41" s="168"/>
      <c r="DI41" s="168"/>
      <c r="DJ41" s="48"/>
      <c r="DK41" s="61"/>
      <c r="DL41" s="61"/>
      <c r="DM41" s="61"/>
      <c r="DN41" s="61"/>
      <c r="DO41" s="168"/>
      <c r="DP41" s="168"/>
      <c r="DQ41" s="168"/>
      <c r="DR41" s="168"/>
      <c r="DS41" s="142"/>
      <c r="DT41" s="142"/>
      <c r="DU41" s="142"/>
      <c r="DV41" s="142"/>
      <c r="DW41" s="142"/>
      <c r="DX41" s="142">
        <v>36</v>
      </c>
      <c r="DY41" s="142">
        <v>4</v>
      </c>
      <c r="DZ41" s="142">
        <v>1.0410520769883131</v>
      </c>
      <c r="EA41" s="142" t="str">
        <v/>
      </c>
      <c r="EB41" s="142"/>
      <c r="EC41" s="142"/>
      <c r="ED41" s="142"/>
    </row>
    <row r="42" spans="1:134" x14ac:dyDescent="0.2">
      <c r="A42" s="57" t="s">
        <v>27</v>
      </c>
      <c r="B42" s="87">
        <f>IF(COUNT(_xlfn.ANCHORARRAY(BD6))&lt;&gt;0,MAX(_xlfn.ANCHORARRAY(BD6))-MIN(_xlfn.ANCHORARRAY(BD6)),NA())</f>
        <v>14.479592604535933</v>
      </c>
      <c r="BB42" s="142"/>
      <c r="BC42" s="61"/>
      <c r="BD42" s="61"/>
      <c r="BE42" s="61"/>
      <c r="BF42" s="61"/>
      <c r="BG42" s="61"/>
      <c r="BH42" s="61"/>
      <c r="BI42" s="96" t="b">
        <f>BI38&gt;BI40</f>
        <v>0</v>
      </c>
      <c r="BJ42" s="61"/>
      <c r="BK42" s="61"/>
      <c r="BL42" s="61"/>
      <c r="BM42" s="61"/>
      <c r="BN42" s="61"/>
      <c r="BO42" s="61"/>
      <c r="BP42" s="61"/>
      <c r="BQ42" s="61"/>
      <c r="BR42" s="61">
        <v>37</v>
      </c>
      <c r="BS42" s="61">
        <v>-2.1496062992125982</v>
      </c>
      <c r="BT42" s="61">
        <v>3.9583530091630813E-2</v>
      </c>
      <c r="BU42" s="61">
        <v>3</v>
      </c>
      <c r="BV42" s="61">
        <v>0</v>
      </c>
      <c r="BW42" s="61">
        <v>0</v>
      </c>
      <c r="BX42" s="61" t="str">
        <v/>
      </c>
      <c r="BY42" s="61" t="str">
        <v/>
      </c>
      <c r="BZ42" s="61"/>
      <c r="CA42" s="61"/>
      <c r="CB42" s="61"/>
      <c r="CC42" s="142"/>
      <c r="CD42" s="142"/>
      <c r="CE42" s="142"/>
      <c r="CF42" s="142">
        <v>37</v>
      </c>
      <c r="CG42" s="142">
        <v>7</v>
      </c>
      <c r="CH42" s="142">
        <v>1</v>
      </c>
      <c r="CI42" s="142" t="e">
        <v>#N/A</v>
      </c>
      <c r="CJ42" s="142" t="str">
        <v/>
      </c>
      <c r="CK42" s="142"/>
      <c r="CL42" s="142"/>
      <c r="CM42" s="142"/>
      <c r="CN42" s="61"/>
      <c r="CO42" s="61"/>
      <c r="CP42" s="168"/>
      <c r="CQ42" s="168"/>
      <c r="CR42" s="168"/>
      <c r="CS42" s="168"/>
      <c r="CT42" s="168"/>
      <c r="CU42" s="168">
        <v>37</v>
      </c>
      <c r="CV42" s="168">
        <v>1</v>
      </c>
      <c r="CW42" s="142">
        <v>1.8192576091040986</v>
      </c>
      <c r="CX42" s="142">
        <v>1.8192576091040986</v>
      </c>
      <c r="CY42" s="142" t="e">
        <v>#N/A</v>
      </c>
      <c r="CZ42" s="142" t="e">
        <v>#N/A</v>
      </c>
      <c r="DA42" s="142" t="e">
        <v>#N/A</v>
      </c>
      <c r="DB42" s="168" t="str">
        <v/>
      </c>
      <c r="DC42" s="168"/>
      <c r="DD42" s="168"/>
      <c r="DE42" s="168"/>
      <c r="DF42" s="168"/>
      <c r="DG42" s="168"/>
      <c r="DH42" s="168"/>
      <c r="DI42" s="168"/>
      <c r="DJ42" s="48"/>
      <c r="DK42" s="61"/>
      <c r="DL42" s="61"/>
      <c r="DM42" s="61"/>
      <c r="DN42" s="61"/>
      <c r="DO42" s="168"/>
      <c r="DP42" s="168"/>
      <c r="DQ42" s="168"/>
      <c r="DR42" s="168"/>
      <c r="DS42" s="142"/>
      <c r="DT42" s="142"/>
      <c r="DU42" s="142"/>
      <c r="DV42" s="142"/>
      <c r="DW42" s="142"/>
      <c r="DX42" s="142">
        <v>37</v>
      </c>
      <c r="DY42" s="142">
        <v>4</v>
      </c>
      <c r="DZ42" s="142">
        <v>1.0410520769883131</v>
      </c>
      <c r="EA42" s="142" t="str">
        <v/>
      </c>
      <c r="EB42" s="142"/>
      <c r="EC42" s="142"/>
      <c r="ED42" s="142"/>
    </row>
    <row r="43" spans="1:134" x14ac:dyDescent="0.2">
      <c r="A43" s="57" t="s">
        <v>28</v>
      </c>
      <c r="B43" s="87">
        <f>IFERROR(_xlfn.QUARTILE.EXC(_xlfn.ANCHORARRAY(BD6),3)-_xlfn.QUARTILE.EXC(_xlfn.ANCHORARRAY(BD6),1),NA())</f>
        <v>2.4790432186498887</v>
      </c>
      <c r="BB43" s="61"/>
      <c r="BC43" s="61"/>
      <c r="BD43" s="61"/>
      <c r="BE43" s="61"/>
      <c r="BF43" s="61"/>
      <c r="BG43" s="61"/>
      <c r="BH43" s="61"/>
      <c r="BI43" s="162" t="s">
        <v>656</v>
      </c>
      <c r="BJ43" s="61"/>
      <c r="BK43" s="61"/>
      <c r="BL43" s="61"/>
      <c r="BM43" s="61"/>
      <c r="BN43" s="61"/>
      <c r="BO43" s="61"/>
      <c r="BP43" s="61"/>
      <c r="BQ43" s="61"/>
      <c r="BR43" s="61">
        <v>38</v>
      </c>
      <c r="BS43" s="61">
        <v>-2.1259842519685037</v>
      </c>
      <c r="BT43" s="61">
        <v>4.1633795362021969E-2</v>
      </c>
      <c r="BU43" s="61">
        <v>3</v>
      </c>
      <c r="BV43" s="61">
        <v>0</v>
      </c>
      <c r="BW43" s="61">
        <v>0</v>
      </c>
      <c r="BX43" s="61" t="str">
        <v/>
      </c>
      <c r="BY43" s="61" t="str">
        <v/>
      </c>
      <c r="BZ43" s="61"/>
      <c r="CA43" s="61"/>
      <c r="CB43" s="61"/>
      <c r="CC43" s="142"/>
      <c r="CD43" s="142"/>
      <c r="CE43" s="142"/>
      <c r="CF43" s="142">
        <v>38</v>
      </c>
      <c r="CG43" s="142">
        <v>7</v>
      </c>
      <c r="CH43" s="142">
        <v>0</v>
      </c>
      <c r="CI43" s="142">
        <v>1</v>
      </c>
      <c r="CJ43" s="142" t="str">
        <v/>
      </c>
      <c r="CK43" s="142"/>
      <c r="CL43" s="142"/>
      <c r="CM43" s="142"/>
      <c r="CN43" s="61"/>
      <c r="CO43" s="61"/>
      <c r="CP43" s="168"/>
      <c r="CQ43" s="168"/>
      <c r="CR43" s="168"/>
      <c r="CS43" s="168"/>
      <c r="CT43" s="168"/>
      <c r="CU43" s="168">
        <v>38</v>
      </c>
      <c r="CV43" s="168">
        <v>1</v>
      </c>
      <c r="CW43" s="142">
        <v>1.8192576091040986</v>
      </c>
      <c r="CX43" s="142">
        <v>1.8192576091040986</v>
      </c>
      <c r="CY43" s="142" t="e">
        <v>#N/A</v>
      </c>
      <c r="CZ43" s="142" t="e">
        <v>#N/A</v>
      </c>
      <c r="DA43" s="142" t="e">
        <v>#N/A</v>
      </c>
      <c r="DB43" s="168" t="str">
        <v/>
      </c>
      <c r="DC43" s="168"/>
      <c r="DD43" s="168"/>
      <c r="DE43" s="168"/>
      <c r="DF43" s="168"/>
      <c r="DG43" s="168"/>
      <c r="DH43" s="168"/>
      <c r="DI43" s="168"/>
      <c r="DJ43" s="48"/>
      <c r="DK43" s="61"/>
      <c r="DL43" s="61"/>
      <c r="DM43" s="61"/>
      <c r="DN43" s="61"/>
      <c r="DO43" s="168"/>
      <c r="DP43" s="168"/>
      <c r="DQ43" s="168"/>
      <c r="DR43" s="168"/>
      <c r="DS43" s="142"/>
      <c r="DT43" s="142"/>
      <c r="DU43" s="142"/>
      <c r="DV43" s="142"/>
      <c r="DW43" s="142"/>
      <c r="DX43" s="142">
        <v>38</v>
      </c>
      <c r="DY43" s="142">
        <v>4</v>
      </c>
      <c r="DZ43" s="142">
        <v>1.0410520769883131</v>
      </c>
      <c r="EA43" s="142" t="str">
        <v/>
      </c>
      <c r="EB43" s="142"/>
      <c r="EC43" s="142"/>
      <c r="ED43" s="142"/>
    </row>
    <row r="44" spans="1:134" x14ac:dyDescent="0.2">
      <c r="A44" s="57" t="s">
        <v>10</v>
      </c>
      <c r="B44" s="116" t="e">
        <f>IF(OR(COUNTIF(_xlfn.ANCHORARRAY(BD6),TRUE)&gt;0,COUNTIF(_xlfn.ANCHORARRAY(BD6),FALSE)&gt;0),TEXT(COUNTIF(_xlfn.ANCHORARRAY(BD6),TRUE)/COUNTA(_xlfn.ANCHORARRAY(BD6)),"?????????????/?????????????"),NA())</f>
        <v>#N/A</v>
      </c>
      <c r="BB44" s="61"/>
      <c r="BC44" s="61"/>
      <c r="BD44" s="61"/>
      <c r="BE44" s="61"/>
      <c r="BF44" s="61"/>
      <c r="BG44" s="61"/>
      <c r="BH44" s="61"/>
      <c r="BI44" s="96">
        <f>IF(BI42,(BI38-1)/2+1,BI38)</f>
        <v>7</v>
      </c>
      <c r="BJ44" s="61"/>
      <c r="BK44" s="61"/>
      <c r="BL44" s="61"/>
      <c r="BM44" s="61"/>
      <c r="BN44" s="61"/>
      <c r="BO44" s="61"/>
      <c r="BP44" s="61"/>
      <c r="BQ44" s="61"/>
      <c r="BR44" s="61">
        <v>39</v>
      </c>
      <c r="BS44" s="61">
        <v>-2.1023622047244093</v>
      </c>
      <c r="BT44" s="61">
        <v>4.3765827808196101E-2</v>
      </c>
      <c r="BU44" s="61">
        <v>3</v>
      </c>
      <c r="BV44" s="61">
        <v>0</v>
      </c>
      <c r="BW44" s="61">
        <v>0</v>
      </c>
      <c r="BX44" s="61" t="str">
        <v/>
      </c>
      <c r="BY44" s="61" t="str">
        <v/>
      </c>
      <c r="BZ44" s="61"/>
      <c r="CA44" s="61"/>
      <c r="CB44" s="61"/>
      <c r="CC44" s="142"/>
      <c r="CD44" s="142"/>
      <c r="CE44" s="142"/>
      <c r="CF44" s="142">
        <v>39</v>
      </c>
      <c r="CG44" s="142">
        <v>7</v>
      </c>
      <c r="CH44" s="142">
        <v>0</v>
      </c>
      <c r="CI44" s="142">
        <v>1</v>
      </c>
      <c r="CJ44" s="142" t="str">
        <v/>
      </c>
      <c r="CK44" s="142"/>
      <c r="CL44" s="142"/>
      <c r="CM44" s="142"/>
      <c r="CN44" s="61"/>
      <c r="CO44" s="61"/>
      <c r="CP44" s="168"/>
      <c r="CQ44" s="168"/>
      <c r="CR44" s="168"/>
      <c r="CS44" s="168"/>
      <c r="CT44" s="168"/>
      <c r="CU44" s="168">
        <v>39</v>
      </c>
      <c r="CV44" s="168">
        <v>1</v>
      </c>
      <c r="CW44" s="142">
        <v>1.8192576091040986</v>
      </c>
      <c r="CX44" s="142">
        <v>1.8192576091040986</v>
      </c>
      <c r="CY44" s="142" t="e">
        <v>#N/A</v>
      </c>
      <c r="CZ44" s="142" t="e">
        <v>#N/A</v>
      </c>
      <c r="DA44" s="142" t="e">
        <v>#N/A</v>
      </c>
      <c r="DB44" s="168" t="str">
        <v/>
      </c>
      <c r="DC44" s="168"/>
      <c r="DD44" s="168"/>
      <c r="DE44" s="168"/>
      <c r="DF44" s="168"/>
      <c r="DG44" s="168"/>
      <c r="DH44" s="168"/>
      <c r="DI44" s="168"/>
      <c r="DJ44" s="48"/>
      <c r="DK44" s="61"/>
      <c r="DL44" s="61"/>
      <c r="DM44" s="61"/>
      <c r="DN44" s="61"/>
      <c r="DO44" s="168"/>
      <c r="DP44" s="168"/>
      <c r="DQ44" s="168"/>
      <c r="DR44" s="168"/>
      <c r="DS44" s="142"/>
      <c r="DT44" s="142"/>
      <c r="DU44" s="142"/>
      <c r="DV44" s="142"/>
      <c r="DW44" s="142"/>
      <c r="DX44" s="142">
        <v>39</v>
      </c>
      <c r="DY44" s="142">
        <v>4</v>
      </c>
      <c r="DZ44" s="142">
        <v>1.0410520769883131</v>
      </c>
      <c r="EA44" s="142" t="str">
        <v/>
      </c>
      <c r="EB44" s="142"/>
      <c r="EC44" s="142"/>
      <c r="ED44" s="142"/>
    </row>
    <row r="45" spans="1:134" x14ac:dyDescent="0.2">
      <c r="A45" s="57" t="s">
        <v>11</v>
      </c>
      <c r="B45" s="87" t="e">
        <f>_xlfn.SINGLE(IF(OR(COUNTIF(_xlfn.ANCHORARRAY(BD6),TRUE)&gt;0,COUNTIF(_xlfn.ANCHORARRAY(BD6),FALSE)&gt;0),COUNTIF(_xlfn.ANCHORARRAY(BD6),TRUE)&amp;"/"&amp;COUNTA(_xlfn.ANCHORARRAY(BD6)),NA()))</f>
        <v>#N/A</v>
      </c>
      <c r="BB45" s="61"/>
      <c r="BC45" s="61"/>
      <c r="BD45" s="61"/>
      <c r="BE45" s="61"/>
      <c r="BF45" s="61"/>
      <c r="BG45" s="61"/>
      <c r="BH45" s="61"/>
      <c r="BI45" s="162" t="s">
        <v>660</v>
      </c>
      <c r="BJ45" s="61"/>
      <c r="BK45" s="61"/>
      <c r="BL45" s="61"/>
      <c r="BM45" s="61"/>
      <c r="BN45" s="61"/>
      <c r="BO45" s="61"/>
      <c r="BP45" s="61"/>
      <c r="BQ45" s="61"/>
      <c r="BR45" s="61">
        <v>40</v>
      </c>
      <c r="BS45" s="61">
        <v>-2.0787401574803148</v>
      </c>
      <c r="BT45" s="61">
        <v>4.5981375065417315E-2</v>
      </c>
      <c r="BU45" s="61">
        <v>3</v>
      </c>
      <c r="BV45" s="61">
        <v>0</v>
      </c>
      <c r="BW45" s="61">
        <v>0</v>
      </c>
      <c r="BX45" s="61" t="str">
        <v/>
      </c>
      <c r="BY45" s="61" t="str">
        <v/>
      </c>
      <c r="BZ45" s="61"/>
      <c r="CA45" s="61"/>
      <c r="CB45" s="61"/>
      <c r="CC45" s="142"/>
      <c r="CD45" s="142"/>
      <c r="CE45" s="142"/>
      <c r="CF45" s="142">
        <v>40</v>
      </c>
      <c r="CG45" s="142">
        <v>7</v>
      </c>
      <c r="CH45" s="142">
        <v>0</v>
      </c>
      <c r="CI45" s="142">
        <v>1</v>
      </c>
      <c r="CJ45" s="142" t="str">
        <v>0.914</v>
      </c>
      <c r="CK45" s="142"/>
      <c r="CL45" s="142"/>
      <c r="CM45" s="142"/>
      <c r="CN45" s="61"/>
      <c r="CO45" s="61"/>
      <c r="CP45" s="168"/>
      <c r="CQ45" s="168"/>
      <c r="CR45" s="168"/>
      <c r="CS45" s="168"/>
      <c r="CT45" s="168"/>
      <c r="CU45" s="168">
        <v>40</v>
      </c>
      <c r="CV45" s="168">
        <v>1</v>
      </c>
      <c r="CW45" s="142">
        <v>1.8192576091040986</v>
      </c>
      <c r="CX45" s="142">
        <v>1.8192576091040986</v>
      </c>
      <c r="CY45" s="142" t="e">
        <v>#N/A</v>
      </c>
      <c r="CZ45" s="142" t="e">
        <v>#N/A</v>
      </c>
      <c r="DA45" s="142" t="e">
        <v>#N/A</v>
      </c>
      <c r="DB45" s="168" t="str">
        <v/>
      </c>
      <c r="DC45" s="168"/>
      <c r="DD45" s="168"/>
      <c r="DE45" s="168"/>
      <c r="DF45" s="168"/>
      <c r="DG45" s="168"/>
      <c r="DH45" s="168"/>
      <c r="DI45" s="168"/>
      <c r="DJ45" s="48"/>
      <c r="DK45" s="61"/>
      <c r="DL45" s="61"/>
      <c r="DM45" s="61"/>
      <c r="DN45" s="61"/>
      <c r="DO45" s="168"/>
      <c r="DP45" s="168"/>
      <c r="DQ45" s="168"/>
      <c r="DR45" s="168"/>
      <c r="DS45" s="142"/>
      <c r="DT45" s="142"/>
      <c r="DU45" s="142"/>
      <c r="DV45" s="142"/>
      <c r="DW45" s="142"/>
      <c r="DX45" s="142">
        <v>40</v>
      </c>
      <c r="DY45" s="142">
        <v>4</v>
      </c>
      <c r="DZ45" s="142">
        <v>1.0410520769883131</v>
      </c>
      <c r="EA45" s="142" t="str">
        <v/>
      </c>
      <c r="EB45" s="142"/>
      <c r="EC45" s="142"/>
      <c r="ED45" s="142"/>
    </row>
    <row r="46" spans="1:134" x14ac:dyDescent="0.2">
      <c r="A46" s="57" t="s">
        <v>396</v>
      </c>
      <c r="B46" s="118">
        <f>IFERROR(SKEW(_xlfn.ANCHORARRAY(BD6)),NA())</f>
        <v>2.0532400290375925</v>
      </c>
      <c r="BB46" s="61"/>
      <c r="BC46" s="61"/>
      <c r="BD46" s="61"/>
      <c r="BE46" s="61"/>
      <c r="BF46" s="61"/>
      <c r="BG46" s="61"/>
      <c r="BH46" s="61"/>
      <c r="BI46" s="96">
        <f>ROUNDUP(BI44/2,0)</f>
        <v>4</v>
      </c>
      <c r="BJ46" s="61"/>
      <c r="BK46" s="61"/>
      <c r="BL46" s="61"/>
      <c r="BM46" s="61"/>
      <c r="BN46" s="61"/>
      <c r="BO46" s="61"/>
      <c r="BP46" s="61"/>
      <c r="BQ46" s="61"/>
      <c r="BR46" s="61">
        <v>41</v>
      </c>
      <c r="BS46" s="61">
        <v>-2.0551181102362204</v>
      </c>
      <c r="BT46" s="61">
        <v>4.8282130452103389E-2</v>
      </c>
      <c r="BU46" s="61">
        <v>3</v>
      </c>
      <c r="BV46" s="61">
        <v>0</v>
      </c>
      <c r="BW46" s="61">
        <v>0</v>
      </c>
      <c r="BX46" s="61" t="str">
        <v/>
      </c>
      <c r="BY46" s="61" t="str">
        <v/>
      </c>
      <c r="BZ46" s="61"/>
      <c r="CA46" s="61"/>
      <c r="CB46" s="61"/>
      <c r="CC46" s="142"/>
      <c r="CD46" s="142"/>
      <c r="CE46" s="142"/>
      <c r="CF46" s="142">
        <v>41</v>
      </c>
      <c r="CG46" s="142">
        <v>7</v>
      </c>
      <c r="CH46" s="142">
        <v>0</v>
      </c>
      <c r="CI46" s="142">
        <v>1</v>
      </c>
      <c r="CJ46" s="142" t="str">
        <v/>
      </c>
      <c r="CK46" s="142"/>
      <c r="CL46" s="142"/>
      <c r="CM46" s="142"/>
      <c r="CN46" s="61"/>
      <c r="CO46" s="61"/>
      <c r="CP46" s="168"/>
      <c r="CQ46" s="168"/>
      <c r="CR46" s="168"/>
      <c r="CS46" s="168"/>
      <c r="CT46" s="168"/>
      <c r="CU46" s="168">
        <v>41</v>
      </c>
      <c r="CV46" s="168">
        <v>1</v>
      </c>
      <c r="CW46" s="142">
        <v>1.8192576091040986</v>
      </c>
      <c r="CX46" s="142">
        <v>1.8192576091040986</v>
      </c>
      <c r="CY46" s="142" t="e">
        <v>#N/A</v>
      </c>
      <c r="CZ46" s="142" t="e">
        <v>#N/A</v>
      </c>
      <c r="DA46" s="142" t="e">
        <v>#N/A</v>
      </c>
      <c r="DB46" s="168" t="str">
        <v/>
      </c>
      <c r="DC46" s="168"/>
      <c r="DD46" s="168"/>
      <c r="DE46" s="168"/>
      <c r="DF46" s="168"/>
      <c r="DG46" s="168"/>
      <c r="DH46" s="168"/>
      <c r="DI46" s="168"/>
      <c r="DJ46" s="48"/>
      <c r="DK46" s="61"/>
      <c r="DL46" s="61"/>
      <c r="DM46" s="61"/>
      <c r="DN46" s="61"/>
      <c r="DO46" s="168"/>
      <c r="DP46" s="168"/>
      <c r="DQ46" s="168"/>
      <c r="DR46" s="168"/>
      <c r="DS46" s="142"/>
      <c r="DT46" s="142"/>
      <c r="DU46" s="142"/>
      <c r="DV46" s="142"/>
      <c r="DW46" s="142"/>
      <c r="DX46" s="142">
        <v>41</v>
      </c>
      <c r="DY46" s="142">
        <v>4</v>
      </c>
      <c r="DZ46" s="142">
        <v>1.0410520769883131</v>
      </c>
      <c r="EA46" s="142" t="str">
        <v/>
      </c>
      <c r="EB46" s="142"/>
      <c r="EC46" s="142"/>
      <c r="ED46" s="142"/>
    </row>
    <row r="47" spans="1:134" x14ac:dyDescent="0.2">
      <c r="A47" s="57" t="s">
        <v>427</v>
      </c>
      <c r="B47" s="118">
        <f>IFERROR(KURT(_xlfn.ANCHORARRAY(BD6)),NA())</f>
        <v>3.8353760782566271</v>
      </c>
      <c r="BB47" s="61"/>
      <c r="BC47" s="61"/>
      <c r="BD47" s="61"/>
      <c r="BE47" s="61"/>
      <c r="BF47" s="61"/>
      <c r="BG47" s="61"/>
      <c r="BH47" s="61"/>
      <c r="BJ47" s="61"/>
      <c r="BK47" s="61"/>
      <c r="BL47" s="61"/>
      <c r="BM47" s="61"/>
      <c r="BN47" s="61"/>
      <c r="BO47" s="61"/>
      <c r="BP47" s="61"/>
      <c r="BQ47" s="61"/>
      <c r="BR47" s="61">
        <v>42</v>
      </c>
      <c r="BS47" s="61">
        <v>-2.0314960629921259</v>
      </c>
      <c r="BT47" s="61">
        <v>5.0669726347948529E-2</v>
      </c>
      <c r="BU47" s="61">
        <v>3</v>
      </c>
      <c r="BV47" s="61">
        <v>0</v>
      </c>
      <c r="BW47" s="61">
        <v>0</v>
      </c>
      <c r="BX47" s="61" t="str">
        <v/>
      </c>
      <c r="BY47" s="61" t="str">
        <v/>
      </c>
      <c r="BZ47" s="61"/>
      <c r="CA47" s="61"/>
      <c r="CB47" s="61"/>
      <c r="CC47" s="142"/>
      <c r="CD47" s="142"/>
      <c r="CE47" s="142"/>
      <c r="CF47" s="142">
        <v>42</v>
      </c>
      <c r="CG47" s="142">
        <v>7</v>
      </c>
      <c r="CH47" s="142">
        <v>1</v>
      </c>
      <c r="CI47" s="142" t="e">
        <v>#N/A</v>
      </c>
      <c r="CJ47" s="142" t="str">
        <v/>
      </c>
      <c r="CK47" s="142"/>
      <c r="CL47" s="142"/>
      <c r="CM47" s="142"/>
      <c r="CN47" s="61"/>
      <c r="CO47" s="61"/>
      <c r="CP47" s="168"/>
      <c r="CQ47" s="168"/>
      <c r="CR47" s="168"/>
      <c r="CS47" s="168"/>
      <c r="CT47" s="168"/>
      <c r="CU47" s="168">
        <v>42</v>
      </c>
      <c r="CV47" s="168">
        <v>1</v>
      </c>
      <c r="CW47" s="142">
        <v>1.8192576091040986</v>
      </c>
      <c r="CX47" s="142">
        <v>1.8192576091040986</v>
      </c>
      <c r="CY47" s="142" t="e">
        <v>#N/A</v>
      </c>
      <c r="CZ47" s="142" t="e">
        <v>#N/A</v>
      </c>
      <c r="DA47" s="142" t="e">
        <v>#N/A</v>
      </c>
      <c r="DB47" s="168" t="str">
        <v/>
      </c>
      <c r="DC47" s="168"/>
      <c r="DD47" s="168"/>
      <c r="DE47" s="168"/>
      <c r="DF47" s="168"/>
      <c r="DG47" s="168"/>
      <c r="DH47" s="168"/>
      <c r="DI47" s="168"/>
      <c r="DJ47" s="48"/>
      <c r="DK47" s="61"/>
      <c r="DL47" s="61"/>
      <c r="DM47" s="61"/>
      <c r="DN47" s="61"/>
      <c r="DO47" s="168"/>
      <c r="DP47" s="168"/>
      <c r="DQ47" s="168"/>
      <c r="DR47" s="168"/>
      <c r="DS47" s="142"/>
      <c r="DT47" s="142"/>
      <c r="DU47" s="142"/>
      <c r="DV47" s="142"/>
      <c r="DW47" s="142"/>
      <c r="DX47" s="142">
        <v>42</v>
      </c>
      <c r="DY47" s="142">
        <v>4</v>
      </c>
      <c r="DZ47" s="142">
        <v>1.0410520769883131</v>
      </c>
      <c r="EA47" s="142" t="str">
        <v/>
      </c>
      <c r="EB47" s="142"/>
      <c r="EC47" s="142"/>
      <c r="ED47" s="142"/>
    </row>
    <row r="48" spans="1:134" x14ac:dyDescent="0.2">
      <c r="BB48" s="61"/>
      <c r="BC48" s="61"/>
      <c r="BD48" s="61"/>
      <c r="BE48" s="61"/>
      <c r="BF48" s="61"/>
      <c r="BG48" s="61"/>
      <c r="BH48" s="61"/>
      <c r="BJ48" s="61"/>
      <c r="BK48" s="61"/>
      <c r="BL48" s="61"/>
      <c r="BM48" s="61"/>
      <c r="BN48" s="61"/>
      <c r="BO48" s="61"/>
      <c r="BP48" s="61"/>
      <c r="BQ48" s="61"/>
      <c r="BR48" s="61">
        <v>43</v>
      </c>
      <c r="BS48" s="61">
        <v>-2.0078740157480315</v>
      </c>
      <c r="BT48" s="61">
        <v>5.3145727413021412E-2</v>
      </c>
      <c r="BU48" s="61">
        <v>3</v>
      </c>
      <c r="BV48" s="61">
        <v>0</v>
      </c>
      <c r="BW48" s="61">
        <v>0</v>
      </c>
      <c r="BX48" s="61" t="str">
        <v/>
      </c>
      <c r="BY48" s="61" t="str">
        <v/>
      </c>
      <c r="BZ48" s="61"/>
      <c r="CA48" s="61"/>
      <c r="CB48" s="61"/>
      <c r="CC48" s="142"/>
      <c r="CD48" s="142"/>
      <c r="CE48" s="142"/>
      <c r="CF48" s="142">
        <v>43</v>
      </c>
      <c r="CG48" s="142">
        <v>8</v>
      </c>
      <c r="CH48" s="142">
        <v>1</v>
      </c>
      <c r="CI48" s="142" t="e">
        <v>#N/A</v>
      </c>
      <c r="CJ48" s="142" t="str">
        <v/>
      </c>
      <c r="CK48" s="142"/>
      <c r="CL48" s="142"/>
      <c r="CM48" s="142"/>
      <c r="CN48" s="61"/>
      <c r="CO48" s="61"/>
      <c r="CP48" s="168"/>
      <c r="CQ48" s="168"/>
      <c r="CR48" s="168"/>
      <c r="CS48" s="168"/>
      <c r="CT48" s="168"/>
      <c r="CU48" s="168">
        <v>43</v>
      </c>
      <c r="CV48" s="168">
        <v>1</v>
      </c>
      <c r="CW48" s="142">
        <v>1.8192576091040986</v>
      </c>
      <c r="CX48" s="142">
        <v>1.8192576091040986</v>
      </c>
      <c r="CY48" s="142" t="e">
        <v>#N/A</v>
      </c>
      <c r="CZ48" s="142" t="e">
        <v>#N/A</v>
      </c>
      <c r="DA48" s="142" t="e">
        <v>#N/A</v>
      </c>
      <c r="DB48" s="168" t="str">
        <v/>
      </c>
      <c r="DC48" s="168"/>
      <c r="DD48" s="168"/>
      <c r="DE48" s="168"/>
      <c r="DF48" s="168"/>
      <c r="DG48" s="168"/>
      <c r="DH48" s="168"/>
      <c r="DI48" s="168"/>
      <c r="DJ48" s="48"/>
      <c r="DK48" s="61"/>
      <c r="DL48" s="61"/>
      <c r="DM48" s="61"/>
      <c r="DN48" s="61"/>
      <c r="DO48" s="168"/>
      <c r="DP48" s="168"/>
      <c r="DQ48" s="168"/>
      <c r="DR48" s="168"/>
      <c r="DS48" s="142"/>
      <c r="DT48" s="142"/>
      <c r="DU48" s="142"/>
      <c r="DV48" s="142"/>
      <c r="DW48" s="142"/>
      <c r="DX48" s="142">
        <v>43</v>
      </c>
      <c r="DY48" s="142">
        <v>4</v>
      </c>
      <c r="DZ48" s="142">
        <v>1.0410520769883131</v>
      </c>
      <c r="EA48" s="142" t="str">
        <v/>
      </c>
      <c r="EB48" s="142"/>
      <c r="EC48" s="142"/>
      <c r="ED48" s="142"/>
    </row>
    <row r="49" spans="8:134" x14ac:dyDescent="0.2">
      <c r="BB49" s="61"/>
      <c r="BC49" s="61"/>
      <c r="BD49" s="61"/>
      <c r="BE49" s="61"/>
      <c r="BF49" s="61"/>
      <c r="BG49" s="61"/>
      <c r="BH49" s="61"/>
      <c r="BJ49" s="61"/>
      <c r="BK49" s="61"/>
      <c r="BL49" s="61"/>
      <c r="BM49" s="61"/>
      <c r="BN49" s="61"/>
      <c r="BO49" s="61"/>
      <c r="BP49" s="61"/>
      <c r="BQ49" s="61"/>
      <c r="BR49" s="61">
        <v>44</v>
      </c>
      <c r="BS49" s="61">
        <v>-1.984251968503937</v>
      </c>
      <c r="BT49" s="61">
        <v>5.5711623663135007E-2</v>
      </c>
      <c r="BU49" s="61">
        <v>3</v>
      </c>
      <c r="BV49" s="61">
        <v>0</v>
      </c>
      <c r="BW49" s="61">
        <v>0</v>
      </c>
      <c r="BX49" s="61" t="str">
        <v/>
      </c>
      <c r="BY49" s="61" t="str">
        <v>-2σ</v>
      </c>
      <c r="BZ49" s="61"/>
      <c r="CA49" s="61"/>
      <c r="CB49" s="61"/>
      <c r="CC49" s="142"/>
      <c r="CD49" s="142"/>
      <c r="CE49" s="142"/>
      <c r="CF49" s="142">
        <v>44</v>
      </c>
      <c r="CG49" s="142">
        <v>8</v>
      </c>
      <c r="CH49" s="142">
        <v>0</v>
      </c>
      <c r="CI49" s="142">
        <v>1</v>
      </c>
      <c r="CJ49" s="142" t="str">
        <v/>
      </c>
      <c r="CK49" s="142"/>
      <c r="CL49" s="142"/>
      <c r="CM49" s="142"/>
      <c r="CN49" s="61"/>
      <c r="CO49" s="61"/>
      <c r="CP49" s="168"/>
      <c r="CQ49" s="168"/>
      <c r="CR49" s="168"/>
      <c r="CS49" s="168"/>
      <c r="CT49" s="168"/>
      <c r="CU49" s="168">
        <v>44</v>
      </c>
      <c r="CV49" s="168">
        <v>1</v>
      </c>
      <c r="CW49" s="142">
        <v>1.8192576091040986</v>
      </c>
      <c r="CX49" s="142">
        <v>1.8192576091040986</v>
      </c>
      <c r="CY49" s="142" t="e">
        <v>#N/A</v>
      </c>
      <c r="CZ49" s="142" t="e">
        <v>#N/A</v>
      </c>
      <c r="DA49" s="142" t="e">
        <v>#N/A</v>
      </c>
      <c r="DB49" s="168" t="str">
        <v/>
      </c>
      <c r="DC49" s="168"/>
      <c r="DD49" s="168"/>
      <c r="DE49" s="168"/>
      <c r="DF49" s="168"/>
      <c r="DG49" s="168"/>
      <c r="DH49" s="168"/>
      <c r="DI49" s="168"/>
      <c r="DJ49" s="48"/>
      <c r="DK49" s="61"/>
      <c r="DL49" s="61"/>
      <c r="DM49" s="61"/>
      <c r="DN49" s="61"/>
      <c r="DO49" s="168"/>
      <c r="DP49" s="168"/>
      <c r="DQ49" s="168"/>
      <c r="DR49" s="168"/>
      <c r="DS49" s="142"/>
      <c r="DT49" s="142"/>
      <c r="DU49" s="142"/>
      <c r="DV49" s="142"/>
      <c r="DW49" s="142"/>
      <c r="DX49" s="142">
        <v>44</v>
      </c>
      <c r="DY49" s="142">
        <v>4</v>
      </c>
      <c r="DZ49" s="142">
        <v>1.0410520769883131</v>
      </c>
      <c r="EA49" s="142" t="str">
        <v/>
      </c>
      <c r="EB49" s="142"/>
      <c r="EC49" s="142"/>
      <c r="ED49" s="142"/>
    </row>
    <row r="50" spans="8:134" x14ac:dyDescent="0.2">
      <c r="BB50" s="61"/>
      <c r="BC50" s="61"/>
      <c r="BD50" s="61"/>
      <c r="BE50" s="61"/>
      <c r="BF50" s="61"/>
      <c r="BG50" s="61"/>
      <c r="BH50" s="61"/>
      <c r="BI50" s="61"/>
      <c r="BJ50" s="61"/>
      <c r="BK50" s="61"/>
      <c r="BL50" s="61"/>
      <c r="BM50" s="61"/>
      <c r="BN50" s="61"/>
      <c r="BO50" s="61"/>
      <c r="BP50" s="61"/>
      <c r="BQ50" s="61"/>
      <c r="BR50" s="61">
        <v>45</v>
      </c>
      <c r="BS50" s="61">
        <v>-1.9606299212598426</v>
      </c>
      <c r="BT50" s="61">
        <v>5.836882341812101E-2</v>
      </c>
      <c r="BU50" s="61">
        <v>3</v>
      </c>
      <c r="BV50" s="61">
        <v>0</v>
      </c>
      <c r="BW50" s="61">
        <v>0</v>
      </c>
      <c r="BX50" s="61" t="str">
        <v/>
      </c>
      <c r="BY50" s="61" t="str">
        <v/>
      </c>
      <c r="BZ50" s="61"/>
      <c r="CA50" s="61"/>
      <c r="CB50" s="61"/>
      <c r="CC50" s="142"/>
      <c r="CD50" s="142"/>
      <c r="CE50" s="142"/>
      <c r="CF50" s="142">
        <v>45</v>
      </c>
      <c r="CG50" s="142">
        <v>8</v>
      </c>
      <c r="CH50" s="142">
        <v>0</v>
      </c>
      <c r="CI50" s="142">
        <v>1</v>
      </c>
      <c r="CJ50" s="142" t="str">
        <v/>
      </c>
      <c r="CK50" s="142"/>
      <c r="CL50" s="142"/>
      <c r="CM50" s="142"/>
      <c r="CN50" s="61"/>
      <c r="CO50" s="61"/>
      <c r="CP50" s="168"/>
      <c r="CQ50" s="168"/>
      <c r="CR50" s="168"/>
      <c r="CS50" s="168"/>
      <c r="CT50" s="168"/>
      <c r="CU50" s="168">
        <v>45</v>
      </c>
      <c r="CV50" s="168">
        <v>1</v>
      </c>
      <c r="CW50" s="142">
        <v>1.8192576091040986</v>
      </c>
      <c r="CX50" s="142">
        <v>1.8192576091040986</v>
      </c>
      <c r="CY50" s="142" t="e">
        <v>#N/A</v>
      </c>
      <c r="CZ50" s="142" t="e">
        <v>#N/A</v>
      </c>
      <c r="DA50" s="142" t="e">
        <v>#N/A</v>
      </c>
      <c r="DB50" s="168" t="str">
        <v/>
      </c>
      <c r="DC50" s="168"/>
      <c r="DD50" s="168"/>
      <c r="DE50" s="168"/>
      <c r="DF50" s="168"/>
      <c r="DG50" s="168"/>
      <c r="DH50" s="168"/>
      <c r="DI50" s="168"/>
      <c r="DJ50" s="48"/>
      <c r="DK50" s="61"/>
      <c r="DL50" s="61"/>
      <c r="DM50" s="61"/>
      <c r="DN50" s="61"/>
      <c r="DO50" s="168"/>
      <c r="DP50" s="168"/>
      <c r="DQ50" s="168"/>
      <c r="DR50" s="168"/>
      <c r="DS50" s="142"/>
      <c r="DT50" s="142"/>
      <c r="DU50" s="142"/>
      <c r="DV50" s="142"/>
      <c r="DW50" s="142"/>
      <c r="DX50" s="142">
        <v>45</v>
      </c>
      <c r="DY50" s="142">
        <v>4</v>
      </c>
      <c r="DZ50" s="142">
        <v>1.0410520769883131</v>
      </c>
      <c r="EA50" s="142" t="str">
        <v/>
      </c>
      <c r="EB50" s="142"/>
      <c r="EC50" s="142"/>
      <c r="ED50" s="142"/>
    </row>
    <row r="51" spans="8:134" x14ac:dyDescent="0.2">
      <c r="BB51" s="61"/>
      <c r="BC51" s="61"/>
      <c r="BD51" s="61"/>
      <c r="BE51" s="61"/>
      <c r="BF51" s="61"/>
      <c r="BG51" s="61"/>
      <c r="BH51" s="61"/>
      <c r="BI51" s="61"/>
      <c r="BJ51" s="61"/>
      <c r="BK51" s="61"/>
      <c r="BL51" s="61"/>
      <c r="BM51" s="61"/>
      <c r="BN51" s="61"/>
      <c r="BO51" s="61"/>
      <c r="BP51" s="61"/>
      <c r="BQ51" s="61"/>
      <c r="BR51" s="61">
        <v>46</v>
      </c>
      <c r="BS51" s="61">
        <v>-1.9370078740157481</v>
      </c>
      <c r="BT51" s="61">
        <v>6.1118646140966536E-2</v>
      </c>
      <c r="BU51" s="61">
        <v>3</v>
      </c>
      <c r="BV51" s="61">
        <v>0</v>
      </c>
      <c r="BW51" s="61">
        <v>0</v>
      </c>
      <c r="BX51" s="61" t="str">
        <v/>
      </c>
      <c r="BY51" s="61" t="str">
        <v/>
      </c>
      <c r="BZ51" s="61"/>
      <c r="CA51" s="61"/>
      <c r="CB51" s="61"/>
      <c r="CC51" s="142"/>
      <c r="CD51" s="142"/>
      <c r="CE51" s="142"/>
      <c r="CF51" s="142">
        <v>46</v>
      </c>
      <c r="CG51" s="142">
        <v>8</v>
      </c>
      <c r="CH51" s="142">
        <v>0</v>
      </c>
      <c r="CI51" s="142">
        <v>1</v>
      </c>
      <c r="CJ51" s="142" t="str">
        <v>1.299</v>
      </c>
      <c r="CK51" s="142"/>
      <c r="CL51" s="142"/>
      <c r="CM51" s="142"/>
      <c r="CN51" s="61"/>
      <c r="CO51" s="61"/>
      <c r="CP51" s="168"/>
      <c r="CQ51" s="168"/>
      <c r="CR51" s="168"/>
      <c r="CS51" s="168"/>
      <c r="CT51" s="168"/>
      <c r="CU51" s="168">
        <v>46</v>
      </c>
      <c r="CV51" s="168">
        <v>1</v>
      </c>
      <c r="CW51" s="142">
        <v>1.8192576091040986</v>
      </c>
      <c r="CX51" s="142">
        <v>1.8192576091040986</v>
      </c>
      <c r="CY51" s="142" t="e">
        <v>#N/A</v>
      </c>
      <c r="CZ51" s="142" t="e">
        <v>#N/A</v>
      </c>
      <c r="DA51" s="142" t="e">
        <v>#N/A</v>
      </c>
      <c r="DB51" s="168" t="str">
        <v/>
      </c>
      <c r="DC51" s="168"/>
      <c r="DD51" s="168"/>
      <c r="DE51" s="168"/>
      <c r="DF51" s="168"/>
      <c r="DG51" s="168"/>
      <c r="DH51" s="168"/>
      <c r="DI51" s="168"/>
      <c r="DJ51" s="48"/>
      <c r="DK51" s="61"/>
      <c r="DL51" s="61"/>
      <c r="DM51" s="61"/>
      <c r="DN51" s="61"/>
      <c r="DO51" s="168"/>
      <c r="DP51" s="168"/>
      <c r="DQ51" s="168"/>
      <c r="DR51" s="168"/>
      <c r="DS51" s="142"/>
      <c r="DT51" s="142"/>
      <c r="DU51" s="142"/>
      <c r="DV51" s="142"/>
      <c r="DW51" s="142"/>
      <c r="DX51" s="142">
        <v>46</v>
      </c>
      <c r="DY51" s="142">
        <v>4</v>
      </c>
      <c r="DZ51" s="142">
        <v>1.0410520769883131</v>
      </c>
      <c r="EA51" s="142" t="str">
        <v/>
      </c>
      <c r="EB51" s="142"/>
      <c r="EC51" s="142"/>
      <c r="ED51" s="142"/>
    </row>
    <row r="52" spans="8:134" x14ac:dyDescent="0.2">
      <c r="BB52" s="61"/>
      <c r="BC52" s="61"/>
      <c r="BD52" s="61"/>
      <c r="BE52" s="61"/>
      <c r="BF52" s="61"/>
      <c r="BG52" s="61"/>
      <c r="BH52" s="61"/>
      <c r="BI52" s="61"/>
      <c r="BJ52" s="61"/>
      <c r="BK52" s="61"/>
      <c r="BL52" s="61"/>
      <c r="BM52" s="61"/>
      <c r="BN52" s="61"/>
      <c r="BO52" s="61"/>
      <c r="BP52" s="61"/>
      <c r="BQ52" s="61"/>
      <c r="BR52" s="61">
        <v>47</v>
      </c>
      <c r="BS52" s="61">
        <v>-1.9133858267716535</v>
      </c>
      <c r="BT52" s="61">
        <v>6.3962315187079122E-2</v>
      </c>
      <c r="BU52" s="61">
        <v>3</v>
      </c>
      <c r="BV52" s="61">
        <v>0</v>
      </c>
      <c r="BW52" s="61">
        <v>0</v>
      </c>
      <c r="BX52" s="61" t="str">
        <v/>
      </c>
      <c r="BY52" s="61" t="str">
        <v/>
      </c>
      <c r="BZ52" s="61"/>
      <c r="CA52" s="61"/>
      <c r="CB52" s="61"/>
      <c r="CC52" s="142"/>
      <c r="CD52" s="142"/>
      <c r="CE52" s="142"/>
      <c r="CF52" s="142">
        <v>47</v>
      </c>
      <c r="CG52" s="142">
        <v>8</v>
      </c>
      <c r="CH52" s="142">
        <v>0</v>
      </c>
      <c r="CI52" s="142">
        <v>1</v>
      </c>
      <c r="CJ52" s="142" t="str">
        <v/>
      </c>
      <c r="CK52" s="142"/>
      <c r="CL52" s="142"/>
      <c r="CM52" s="142"/>
      <c r="CN52" s="61"/>
      <c r="CO52" s="61"/>
      <c r="CP52" s="168"/>
      <c r="CQ52" s="168"/>
      <c r="CR52" s="168"/>
      <c r="CS52" s="168"/>
      <c r="CT52" s="168"/>
      <c r="CU52" s="168">
        <v>47</v>
      </c>
      <c r="CV52" s="168">
        <v>1</v>
      </c>
      <c r="CW52" s="142">
        <v>1.8192576091040986</v>
      </c>
      <c r="CX52" s="142">
        <v>1.8192576091040986</v>
      </c>
      <c r="CY52" s="142" t="e">
        <v>#N/A</v>
      </c>
      <c r="CZ52" s="142" t="e">
        <v>#N/A</v>
      </c>
      <c r="DA52" s="142" t="e">
        <v>#N/A</v>
      </c>
      <c r="DB52" s="168" t="str">
        <v/>
      </c>
      <c r="DC52" s="168"/>
      <c r="DD52" s="168"/>
      <c r="DE52" s="168"/>
      <c r="DF52" s="168"/>
      <c r="DG52" s="168"/>
      <c r="DH52" s="168"/>
      <c r="DI52" s="168"/>
      <c r="DJ52" s="48"/>
      <c r="DK52" s="61"/>
      <c r="DL52" s="61"/>
      <c r="DM52" s="61"/>
      <c r="DN52" s="61"/>
      <c r="DO52" s="168"/>
      <c r="DP52" s="168"/>
      <c r="DQ52" s="168"/>
      <c r="DR52" s="168"/>
      <c r="DS52" s="142"/>
      <c r="DT52" s="142"/>
      <c r="DU52" s="142"/>
      <c r="DV52" s="142"/>
      <c r="DW52" s="142"/>
      <c r="DX52" s="142">
        <v>47</v>
      </c>
      <c r="DY52" s="142">
        <v>4</v>
      </c>
      <c r="DZ52" s="142">
        <v>1.0410520769883131</v>
      </c>
      <c r="EA52" s="142" t="str">
        <v/>
      </c>
      <c r="EB52" s="142"/>
      <c r="EC52" s="142"/>
      <c r="ED52" s="142"/>
    </row>
    <row r="53" spans="8:134" x14ac:dyDescent="0.2">
      <c r="BR53">
        <v>48</v>
      </c>
      <c r="BS53">
        <v>-1.889763779527559</v>
      </c>
      <c r="BT53" s="42">
        <v>6.6900950484229685E-2</v>
      </c>
      <c r="BU53" s="42">
        <v>3</v>
      </c>
      <c r="BV53" s="42">
        <v>0</v>
      </c>
      <c r="BW53" s="42">
        <v>0</v>
      </c>
      <c r="BX53" s="42" t="str">
        <v/>
      </c>
      <c r="BY53" s="42" t="str">
        <v/>
      </c>
      <c r="CF53" s="42">
        <v>48</v>
      </c>
      <c r="CG53" s="42">
        <v>8</v>
      </c>
      <c r="CH53" s="42">
        <v>1</v>
      </c>
      <c r="CI53" s="42" t="e">
        <v>#N/A</v>
      </c>
      <c r="CJ53" s="42" t="str">
        <v/>
      </c>
      <c r="CU53" s="42">
        <v>48</v>
      </c>
      <c r="CV53" s="42">
        <v>1</v>
      </c>
      <c r="CW53" s="42">
        <v>1.8192576091040986</v>
      </c>
      <c r="CX53" s="42">
        <v>1.8192576091040986</v>
      </c>
      <c r="CY53" s="42" t="e">
        <v>#N/A</v>
      </c>
      <c r="CZ53" s="42" t="e">
        <v>#N/A</v>
      </c>
      <c r="DA53" t="e">
        <v>#N/A</v>
      </c>
      <c r="DB53" t="str">
        <v/>
      </c>
      <c r="DX53">
        <v>48</v>
      </c>
      <c r="DY53">
        <v>4</v>
      </c>
      <c r="DZ53">
        <v>1.0410520769883131</v>
      </c>
      <c r="EA53" t="str">
        <v/>
      </c>
      <c r="EB53" s="142"/>
      <c r="EC53" s="142"/>
      <c r="ED53" s="142"/>
    </row>
    <row r="54" spans="8:134" x14ac:dyDescent="0.2">
      <c r="BB54" s="61"/>
      <c r="BC54" s="61"/>
      <c r="BD54" s="61"/>
      <c r="BE54" s="61"/>
      <c r="BF54" s="61"/>
      <c r="BG54" s="61"/>
      <c r="BH54" s="61"/>
      <c r="BI54" s="61"/>
      <c r="BJ54" s="61"/>
      <c r="BK54" s="61"/>
      <c r="BL54" s="61"/>
      <c r="BM54" s="61"/>
      <c r="BN54" s="61"/>
      <c r="BO54" s="61"/>
      <c r="BP54" s="61"/>
      <c r="BQ54" s="61"/>
      <c r="BR54" s="61">
        <v>49</v>
      </c>
      <c r="BS54" s="61">
        <v>-1.8661417322834646</v>
      </c>
      <c r="BT54" s="61">
        <v>6.9935561164973667E-2</v>
      </c>
      <c r="BU54" s="61">
        <v>3</v>
      </c>
      <c r="BV54" s="61">
        <v>0</v>
      </c>
      <c r="BW54" s="61">
        <v>0</v>
      </c>
      <c r="BX54" s="61" t="str">
        <v/>
      </c>
      <c r="BY54" s="61" t="str">
        <v/>
      </c>
      <c r="BZ54" s="61"/>
      <c r="CA54" s="61"/>
      <c r="CB54" s="61"/>
      <c r="CC54" s="142"/>
      <c r="CD54" s="142"/>
      <c r="CE54" s="142"/>
      <c r="CF54" s="142">
        <v>49</v>
      </c>
      <c r="CG54" s="142">
        <v>9</v>
      </c>
      <c r="CH54" s="142">
        <v>1</v>
      </c>
      <c r="CI54" s="142" t="e">
        <v>#N/A</v>
      </c>
      <c r="CJ54" s="142" t="str">
        <v/>
      </c>
      <c r="CK54" s="142"/>
      <c r="CL54" s="142"/>
      <c r="CM54" s="142"/>
      <c r="CN54" s="61"/>
      <c r="CO54" s="61"/>
      <c r="CP54" s="168"/>
      <c r="CQ54" s="168"/>
      <c r="CR54" s="168"/>
      <c r="CS54" s="168"/>
      <c r="CT54" s="168"/>
      <c r="CU54" s="168">
        <v>49</v>
      </c>
      <c r="CV54" s="168">
        <v>1</v>
      </c>
      <c r="CW54" s="142">
        <v>1.8192576091040986</v>
      </c>
      <c r="CX54" s="142">
        <v>1.8192576091040986</v>
      </c>
      <c r="CY54" s="142" t="e">
        <v>#N/A</v>
      </c>
      <c r="CZ54" s="142" t="e">
        <v>#N/A</v>
      </c>
      <c r="DA54" s="142" t="e">
        <v>#N/A</v>
      </c>
      <c r="DB54" s="168" t="str">
        <v/>
      </c>
      <c r="DC54" s="168"/>
      <c r="DD54" s="168"/>
      <c r="DE54" s="168"/>
      <c r="DF54" s="168"/>
      <c r="DG54" s="168"/>
      <c r="DH54" s="168"/>
      <c r="DI54" s="168"/>
      <c r="DJ54" s="48"/>
      <c r="DK54" s="61"/>
      <c r="DL54" s="61"/>
      <c r="DM54" s="61"/>
      <c r="DN54" s="61"/>
      <c r="DO54" s="168"/>
      <c r="DP54" s="168"/>
      <c r="DQ54" s="168"/>
      <c r="DR54" s="168"/>
      <c r="DS54" s="142"/>
      <c r="DT54" s="142"/>
      <c r="DU54" s="142"/>
      <c r="DV54" s="142"/>
      <c r="DW54" s="142"/>
      <c r="DX54" s="142">
        <v>49</v>
      </c>
      <c r="DY54" s="142">
        <v>4</v>
      </c>
      <c r="DZ54" s="142">
        <v>1.0410520769883131</v>
      </c>
      <c r="EA54" s="142" t="str">
        <v/>
      </c>
      <c r="EB54" s="142"/>
      <c r="EC54" s="142"/>
      <c r="ED54" s="142"/>
    </row>
    <row r="55" spans="8:134" x14ac:dyDescent="0.2">
      <c r="BB55" s="61"/>
      <c r="BC55" s="61"/>
      <c r="BD55" s="61"/>
      <c r="BE55" s="61"/>
      <c r="BF55" s="61"/>
      <c r="BG55" s="61"/>
      <c r="BH55" s="61"/>
      <c r="BI55" s="61"/>
      <c r="BJ55" s="61"/>
      <c r="BK55" s="61"/>
      <c r="BL55" s="61"/>
      <c r="BM55" s="61"/>
      <c r="BN55" s="61"/>
      <c r="BO55" s="61"/>
      <c r="BP55" s="61"/>
      <c r="BQ55" s="61"/>
      <c r="BR55" s="61">
        <v>50</v>
      </c>
      <c r="BS55" s="61">
        <v>-1.8425196850393701</v>
      </c>
      <c r="BT55" s="61">
        <v>7.3067038174560756E-2</v>
      </c>
      <c r="BU55" s="61">
        <v>3</v>
      </c>
      <c r="BV55" s="61">
        <v>0</v>
      </c>
      <c r="BW55" s="61">
        <v>0</v>
      </c>
      <c r="BX55" s="61" t="str">
        <v/>
      </c>
      <c r="BY55" s="61" t="str">
        <v/>
      </c>
      <c r="BZ55" s="61"/>
      <c r="CA55" s="61"/>
      <c r="CB55" s="61"/>
      <c r="CC55" s="142"/>
      <c r="CD55" s="142"/>
      <c r="CE55" s="142"/>
      <c r="CF55" s="142">
        <v>50</v>
      </c>
      <c r="CG55" s="142">
        <v>9</v>
      </c>
      <c r="CH55" s="142">
        <v>0</v>
      </c>
      <c r="CI55" s="142">
        <v>1</v>
      </c>
      <c r="CJ55" s="142" t="str">
        <v/>
      </c>
      <c r="CK55" s="142"/>
      <c r="CL55" s="142"/>
      <c r="CM55" s="142"/>
      <c r="CN55" s="61"/>
      <c r="CO55" s="61"/>
      <c r="CP55" s="168"/>
      <c r="CQ55" s="168"/>
      <c r="CR55" s="168"/>
      <c r="CS55" s="168"/>
      <c r="CT55" s="168"/>
      <c r="CU55" s="168">
        <v>50</v>
      </c>
      <c r="CV55" s="168">
        <v>1</v>
      </c>
      <c r="CW55" s="142">
        <v>1.8192576091040986</v>
      </c>
      <c r="CX55" s="142">
        <v>1.8192576091040986</v>
      </c>
      <c r="CY55" s="142" t="e">
        <v>#N/A</v>
      </c>
      <c r="CZ55" s="142" t="e">
        <v>#N/A</v>
      </c>
      <c r="DA55" s="142" t="e">
        <v>#N/A</v>
      </c>
      <c r="DB55" s="168" t="str">
        <v/>
      </c>
      <c r="DC55" s="168"/>
      <c r="DD55" s="168"/>
      <c r="DE55" s="168"/>
      <c r="DF55" s="168"/>
      <c r="DG55" s="168"/>
      <c r="DH55" s="168"/>
      <c r="DI55" s="168"/>
      <c r="DJ55" s="48"/>
      <c r="DK55" s="61"/>
      <c r="DL55" s="61"/>
      <c r="DM55" s="61"/>
      <c r="DN55" s="61"/>
      <c r="DO55" s="168"/>
      <c r="DP55" s="168"/>
      <c r="DQ55" s="168"/>
      <c r="DR55" s="168"/>
      <c r="DS55" s="142"/>
      <c r="DT55" s="142"/>
      <c r="DU55" s="142"/>
      <c r="DV55" s="142"/>
      <c r="DW55" s="142"/>
      <c r="DX55" s="142">
        <v>50</v>
      </c>
      <c r="DY55" s="142">
        <v>5</v>
      </c>
      <c r="DZ55" s="142">
        <v>0.60060696749325759</v>
      </c>
      <c r="EA55" s="142" t="str">
        <v>1.3 (67%)</v>
      </c>
      <c r="EB55" s="142"/>
      <c r="EC55" s="142"/>
      <c r="ED55" s="142"/>
    </row>
    <row r="56" spans="8:134" x14ac:dyDescent="0.2">
      <c r="H56" s="49"/>
      <c r="BB56" s="61"/>
      <c r="BC56" s="61"/>
      <c r="BD56" s="61"/>
      <c r="BE56" s="61"/>
      <c r="BF56" s="61"/>
      <c r="BG56" s="61"/>
      <c r="BH56" s="61"/>
      <c r="BI56" s="61"/>
      <c r="BJ56" s="61"/>
      <c r="BK56" s="61"/>
      <c r="BL56" s="61"/>
      <c r="BM56" s="61"/>
      <c r="BN56" s="61"/>
      <c r="BO56" s="61"/>
      <c r="BP56" s="61"/>
      <c r="BQ56" s="61"/>
      <c r="BR56" s="61">
        <v>51</v>
      </c>
      <c r="BS56" s="61">
        <v>-1.8188976377952757</v>
      </c>
      <c r="BT56" s="61">
        <v>7.6296146878504542E-2</v>
      </c>
      <c r="BU56" s="61">
        <v>3</v>
      </c>
      <c r="BV56" s="61">
        <v>0</v>
      </c>
      <c r="BW56" s="61">
        <v>0</v>
      </c>
      <c r="BX56" s="61" t="str">
        <v/>
      </c>
      <c r="BY56" s="61" t="str">
        <v/>
      </c>
      <c r="BZ56" s="61"/>
      <c r="CA56" s="61"/>
      <c r="CB56" s="61"/>
      <c r="CC56" s="142"/>
      <c r="CD56" s="142"/>
      <c r="CE56" s="142"/>
      <c r="CF56" s="142">
        <v>51</v>
      </c>
      <c r="CG56" s="142">
        <v>9</v>
      </c>
      <c r="CH56" s="142">
        <v>0</v>
      </c>
      <c r="CI56" s="142">
        <v>1</v>
      </c>
      <c r="CJ56" s="142" t="str">
        <v/>
      </c>
      <c r="CK56" s="142"/>
      <c r="CL56" s="142"/>
      <c r="CM56" s="142"/>
      <c r="CN56" s="61"/>
      <c r="CO56" s="61"/>
      <c r="CP56" s="168"/>
      <c r="CQ56" s="168"/>
      <c r="CR56" s="168"/>
      <c r="CS56" s="168"/>
      <c r="CT56" s="168"/>
      <c r="CU56" s="168">
        <v>51</v>
      </c>
      <c r="CV56" s="168">
        <v>1</v>
      </c>
      <c r="CW56" s="142">
        <v>1.8192576091040986</v>
      </c>
      <c r="CX56" s="142">
        <v>1.8192576091040986</v>
      </c>
      <c r="CY56" s="142" t="e">
        <v>#N/A</v>
      </c>
      <c r="CZ56" s="142" t="e">
        <v>#N/A</v>
      </c>
      <c r="DA56" s="142" t="e">
        <v>#N/A</v>
      </c>
      <c r="DB56" s="168" t="str">
        <v/>
      </c>
      <c r="DC56" s="168"/>
      <c r="DD56" s="168"/>
      <c r="DE56" s="168"/>
      <c r="DF56" s="168"/>
      <c r="DG56" s="168"/>
      <c r="DH56" s="168"/>
      <c r="DI56" s="168"/>
      <c r="DJ56" s="48"/>
      <c r="DK56" s="61"/>
      <c r="DL56" s="61"/>
      <c r="DM56" s="61"/>
      <c r="DN56" s="61"/>
      <c r="DO56" s="168"/>
      <c r="DP56" s="168"/>
      <c r="DQ56" s="168"/>
      <c r="DR56" s="168"/>
      <c r="DS56" s="142"/>
      <c r="DT56" s="142"/>
      <c r="DU56" s="142"/>
      <c r="DV56" s="142"/>
      <c r="DW56" s="142"/>
      <c r="DX56" s="142">
        <v>51</v>
      </c>
      <c r="DY56" s="142">
        <v>5</v>
      </c>
      <c r="DZ56" s="142">
        <v>0.60060696749325759</v>
      </c>
      <c r="EA56" s="142" t="str">
        <v/>
      </c>
      <c r="EB56" s="142"/>
      <c r="EC56" s="142"/>
      <c r="ED56" s="142"/>
    </row>
    <row r="57" spans="8:134" x14ac:dyDescent="0.2">
      <c r="H57" s="49"/>
      <c r="BB57" s="61"/>
      <c r="BC57" s="61"/>
      <c r="BD57" s="61"/>
      <c r="BE57" s="61"/>
      <c r="BF57" s="61"/>
      <c r="BG57" s="61"/>
      <c r="BH57" s="61"/>
      <c r="BI57" s="61"/>
      <c r="BJ57" s="61"/>
      <c r="BK57" s="61"/>
      <c r="BL57" s="61"/>
      <c r="BM57" s="61"/>
      <c r="BN57" s="61"/>
      <c r="BO57" s="61"/>
      <c r="BP57" s="61"/>
      <c r="BQ57" s="61"/>
      <c r="BR57" s="61">
        <v>52</v>
      </c>
      <c r="BS57" s="61">
        <v>-1.795275590551181</v>
      </c>
      <c r="BT57" s="61">
        <v>7.9623519695089101E-2</v>
      </c>
      <c r="BU57" s="61">
        <v>4</v>
      </c>
      <c r="BV57" s="61">
        <v>0</v>
      </c>
      <c r="BW57" s="61">
        <v>0</v>
      </c>
      <c r="BX57" s="61">
        <v>-5.9</v>
      </c>
      <c r="BY57" s="61" t="str">
        <v/>
      </c>
      <c r="BZ57" s="61"/>
      <c r="CA57" s="61"/>
      <c r="CB57" s="61"/>
      <c r="CC57" s="142"/>
      <c r="CD57" s="142"/>
      <c r="CE57" s="142"/>
      <c r="CF57" s="142">
        <v>52</v>
      </c>
      <c r="CG57" s="142">
        <v>9</v>
      </c>
      <c r="CH57" s="142">
        <v>0</v>
      </c>
      <c r="CI57" s="142">
        <v>1</v>
      </c>
      <c r="CJ57" s="142" t="str">
        <v>1.38</v>
      </c>
      <c r="CK57" s="142"/>
      <c r="CL57" s="142"/>
      <c r="CM57" s="142"/>
      <c r="CN57" s="61"/>
      <c r="CO57" s="61"/>
      <c r="CP57" s="168"/>
      <c r="CQ57" s="168"/>
      <c r="CR57" s="168"/>
      <c r="CS57" s="168"/>
      <c r="CT57" s="168"/>
      <c r="CU57" s="168">
        <v>52</v>
      </c>
      <c r="CV57" s="168">
        <v>1</v>
      </c>
      <c r="CW57" s="142">
        <v>1.8192576091040986</v>
      </c>
      <c r="CX57" s="142">
        <v>1.8192576091040986</v>
      </c>
      <c r="CY57" s="142" t="e">
        <v>#N/A</v>
      </c>
      <c r="CZ57" s="142" t="e">
        <v>#N/A</v>
      </c>
      <c r="DA57" s="142" t="e">
        <v>#N/A</v>
      </c>
      <c r="DB57" s="168" t="str">
        <v/>
      </c>
      <c r="DC57" s="168"/>
      <c r="DD57" s="168"/>
      <c r="DE57" s="168"/>
      <c r="DF57" s="168"/>
      <c r="DG57" s="168"/>
      <c r="DH57" s="168"/>
      <c r="DI57" s="168"/>
      <c r="DJ57" s="48"/>
      <c r="DK57" s="61"/>
      <c r="DL57" s="61"/>
      <c r="DM57" s="61"/>
      <c r="DN57" s="61"/>
      <c r="DO57" s="168"/>
      <c r="DP57" s="168"/>
      <c r="DQ57" s="168"/>
      <c r="DR57" s="168"/>
      <c r="DS57" s="142"/>
      <c r="DT57" s="142"/>
      <c r="DU57" s="142"/>
      <c r="DV57" s="142"/>
      <c r="DW57" s="142"/>
      <c r="DX57" s="142">
        <v>52</v>
      </c>
      <c r="DY57" s="142">
        <v>5</v>
      </c>
      <c r="DZ57" s="142">
        <v>0.60060696749325759</v>
      </c>
      <c r="EA57" s="142" t="str">
        <v/>
      </c>
      <c r="EB57" s="142"/>
      <c r="EC57" s="142"/>
      <c r="ED57" s="142"/>
    </row>
    <row r="58" spans="8:134" x14ac:dyDescent="0.2">
      <c r="H58" s="49"/>
      <c r="BB58" s="61"/>
      <c r="BC58" s="61"/>
      <c r="BD58" s="61"/>
      <c r="BE58" s="61"/>
      <c r="BF58" s="61"/>
      <c r="BG58" s="61"/>
      <c r="BH58" s="61"/>
      <c r="BI58" s="61"/>
      <c r="BJ58" s="61"/>
      <c r="BK58" s="61"/>
      <c r="BL58" s="61"/>
      <c r="BM58" s="61"/>
      <c r="BN58" s="61"/>
      <c r="BO58" s="61"/>
      <c r="BP58" s="61"/>
      <c r="BQ58" s="61"/>
      <c r="BR58" s="61">
        <v>53</v>
      </c>
      <c r="BS58" s="61">
        <v>-1.7716535433070866</v>
      </c>
      <c r="BT58" s="61">
        <v>8.3049648779127044E-2</v>
      </c>
      <c r="BU58" s="61">
        <v>4</v>
      </c>
      <c r="BV58" s="61">
        <v>0</v>
      </c>
      <c r="BW58" s="61">
        <v>0</v>
      </c>
      <c r="BX58" s="61" t="str">
        <v/>
      </c>
      <c r="BY58" s="61" t="str">
        <v/>
      </c>
      <c r="BZ58" s="61"/>
      <c r="CA58" s="61"/>
      <c r="CB58" s="61"/>
      <c r="CC58" s="142"/>
      <c r="CD58" s="142"/>
      <c r="CE58" s="142"/>
      <c r="CF58" s="142">
        <v>53</v>
      </c>
      <c r="CG58" s="142">
        <v>9</v>
      </c>
      <c r="CH58" s="142">
        <v>0</v>
      </c>
      <c r="CI58" s="142">
        <v>1</v>
      </c>
      <c r="CJ58" s="142" t="str">
        <v/>
      </c>
      <c r="CK58" s="142"/>
      <c r="CL58" s="142"/>
      <c r="CM58" s="142"/>
      <c r="CN58" s="61"/>
      <c r="CO58" s="61"/>
      <c r="CP58" s="168"/>
      <c r="CQ58" s="168"/>
      <c r="CR58" s="168"/>
      <c r="CS58" s="168"/>
      <c r="CT58" s="168"/>
      <c r="CU58" s="168">
        <v>53</v>
      </c>
      <c r="CV58" s="168">
        <v>1</v>
      </c>
      <c r="CW58" s="142">
        <v>1.8192576091040986</v>
      </c>
      <c r="CX58" s="142">
        <v>1.8192576091040986</v>
      </c>
      <c r="CY58" s="142" t="e">
        <v>#N/A</v>
      </c>
      <c r="CZ58" s="142" t="e">
        <v>#N/A</v>
      </c>
      <c r="DA58" s="142" t="e">
        <v>#N/A</v>
      </c>
      <c r="DB58" s="168" t="str">
        <v/>
      </c>
      <c r="DC58" s="168"/>
      <c r="DD58" s="168"/>
      <c r="DE58" s="168"/>
      <c r="DF58" s="168"/>
      <c r="DG58" s="168"/>
      <c r="DH58" s="168"/>
      <c r="DI58" s="168"/>
      <c r="DJ58" s="48"/>
      <c r="DK58" s="61"/>
      <c r="DL58" s="61"/>
      <c r="DM58" s="61"/>
      <c r="DN58" s="61"/>
      <c r="DO58" s="168"/>
      <c r="DP58" s="168"/>
      <c r="DQ58" s="168"/>
      <c r="DR58" s="168"/>
      <c r="DS58" s="142"/>
      <c r="DT58" s="142"/>
      <c r="DU58" s="142"/>
      <c r="DV58" s="142"/>
      <c r="DW58" s="142"/>
      <c r="DX58" s="142">
        <v>53</v>
      </c>
      <c r="DY58" s="142">
        <v>5</v>
      </c>
      <c r="DZ58" s="142">
        <v>0.60060696749325759</v>
      </c>
      <c r="EA58" s="142" t="str">
        <v/>
      </c>
      <c r="EB58" s="142"/>
      <c r="EC58" s="142"/>
      <c r="ED58" s="142"/>
    </row>
    <row r="59" spans="8:134" x14ac:dyDescent="0.2">
      <c r="H59" s="49"/>
      <c r="BB59" s="61"/>
      <c r="BC59" s="61"/>
      <c r="BD59" s="61"/>
      <c r="BE59" s="61"/>
      <c r="BF59" s="61"/>
      <c r="BG59" s="61"/>
      <c r="BH59" s="61"/>
      <c r="BI59" s="61"/>
      <c r="BJ59" s="61"/>
      <c r="BK59" s="61"/>
      <c r="BL59" s="61"/>
      <c r="BM59" s="61"/>
      <c r="BN59" s="61"/>
      <c r="BO59" s="61"/>
      <c r="BP59" s="61"/>
      <c r="BQ59" s="61"/>
      <c r="BR59" s="61">
        <v>54</v>
      </c>
      <c r="BS59" s="61">
        <v>-1.7480314960629921</v>
      </c>
      <c r="BT59" s="61">
        <v>8.6574878784251505E-2</v>
      </c>
      <c r="BU59" s="61">
        <v>4</v>
      </c>
      <c r="BV59" s="61">
        <v>0</v>
      </c>
      <c r="BW59" s="61">
        <v>0</v>
      </c>
      <c r="BX59" s="61" t="str">
        <v/>
      </c>
      <c r="BY59" s="61" t="str">
        <v/>
      </c>
      <c r="BZ59" s="61"/>
      <c r="CA59" s="61"/>
      <c r="CB59" s="61"/>
      <c r="CC59" s="142"/>
      <c r="CD59" s="142"/>
      <c r="CE59" s="142"/>
      <c r="CF59" s="142">
        <v>54</v>
      </c>
      <c r="CG59" s="142">
        <v>9</v>
      </c>
      <c r="CH59" s="142">
        <v>1</v>
      </c>
      <c r="CI59" s="142" t="e">
        <v>#N/A</v>
      </c>
      <c r="CJ59" s="142" t="str">
        <v/>
      </c>
      <c r="CK59" s="142"/>
      <c r="CL59" s="142"/>
      <c r="CM59" s="142"/>
      <c r="CN59" s="61"/>
      <c r="CO59" s="61"/>
      <c r="CP59" s="168"/>
      <c r="CQ59" s="168"/>
      <c r="CR59" s="168"/>
      <c r="CS59" s="168"/>
      <c r="CT59" s="168"/>
      <c r="CU59" s="168">
        <v>54</v>
      </c>
      <c r="CV59" s="168">
        <v>1</v>
      </c>
      <c r="CW59" s="142">
        <v>1.8192576091040986</v>
      </c>
      <c r="CX59" s="142">
        <v>1.8192576091040986</v>
      </c>
      <c r="CY59" s="142" t="e">
        <v>#N/A</v>
      </c>
      <c r="CZ59" s="142" t="e">
        <v>#N/A</v>
      </c>
      <c r="DA59" s="142" t="e">
        <v>#N/A</v>
      </c>
      <c r="DB59" s="168" t="str">
        <v/>
      </c>
      <c r="DC59" s="168"/>
      <c r="DD59" s="168"/>
      <c r="DE59" s="168"/>
      <c r="DF59" s="168"/>
      <c r="DG59" s="168"/>
      <c r="DH59" s="168"/>
      <c r="DI59" s="168"/>
      <c r="DJ59" s="48"/>
      <c r="DK59" s="61"/>
      <c r="DL59" s="61"/>
      <c r="DM59" s="61"/>
      <c r="DN59" s="61"/>
      <c r="DO59" s="168"/>
      <c r="DP59" s="168"/>
      <c r="DQ59" s="168"/>
      <c r="DR59" s="168"/>
      <c r="DS59" s="142"/>
      <c r="DT59" s="142"/>
      <c r="DU59" s="142"/>
      <c r="DV59" s="142"/>
      <c r="DW59" s="142"/>
      <c r="DX59" s="142">
        <v>54</v>
      </c>
      <c r="DY59" s="142">
        <v>5</v>
      </c>
      <c r="DZ59" s="142">
        <v>0.60060696749325759</v>
      </c>
      <c r="EA59" s="142" t="str">
        <v/>
      </c>
      <c r="EB59" s="142"/>
      <c r="EC59" s="142"/>
      <c r="ED59" s="142"/>
    </row>
    <row r="60" spans="8:134" x14ac:dyDescent="0.2">
      <c r="H60" s="49"/>
      <c r="BB60" s="61"/>
      <c r="BC60" s="61"/>
      <c r="BD60" s="61"/>
      <c r="BE60" s="61"/>
      <c r="BF60" s="61"/>
      <c r="BG60" s="61"/>
      <c r="BH60" s="61"/>
      <c r="BI60" s="61"/>
      <c r="BJ60" s="61"/>
      <c r="BK60" s="61"/>
      <c r="BL60" s="61"/>
      <c r="BM60" s="61"/>
      <c r="BN60" s="61"/>
      <c r="BO60" s="61"/>
      <c r="BP60" s="61"/>
      <c r="BQ60" s="61"/>
      <c r="BR60" s="61">
        <v>55</v>
      </c>
      <c r="BS60" s="61">
        <v>-1.7244094488188977</v>
      </c>
      <c r="BT60" s="61">
        <v>9.0199399731906077E-2</v>
      </c>
      <c r="BU60" s="61">
        <v>4</v>
      </c>
      <c r="BV60" s="61">
        <v>0</v>
      </c>
      <c r="BW60" s="61">
        <v>0</v>
      </c>
      <c r="BX60" s="61" t="str">
        <v/>
      </c>
      <c r="BY60" s="61" t="str">
        <v/>
      </c>
      <c r="BZ60" s="61"/>
      <c r="CA60" s="61"/>
      <c r="CB60" s="61"/>
      <c r="CC60" s="142"/>
      <c r="CD60" s="142"/>
      <c r="CE60" s="142"/>
      <c r="CF60" s="142">
        <v>55</v>
      </c>
      <c r="CG60" s="142">
        <v>10</v>
      </c>
      <c r="CH60" s="142">
        <v>1</v>
      </c>
      <c r="CI60" s="142" t="e">
        <v>#N/A</v>
      </c>
      <c r="CJ60" s="142" t="str">
        <v/>
      </c>
      <c r="CK60" s="142"/>
      <c r="CL60" s="142"/>
      <c r="CM60" s="142"/>
      <c r="CN60" s="61"/>
      <c r="CO60" s="61"/>
      <c r="CP60" s="168"/>
      <c r="CQ60" s="168"/>
      <c r="CR60" s="168"/>
      <c r="CS60" s="168"/>
      <c r="CT60" s="168"/>
      <c r="CU60" s="168">
        <v>55</v>
      </c>
      <c r="CV60" s="168">
        <v>1</v>
      </c>
      <c r="CW60" s="142">
        <v>1.8192576091040986</v>
      </c>
      <c r="CX60" s="142">
        <v>1.8192576091040986</v>
      </c>
      <c r="CY60" s="142" t="e">
        <v>#N/A</v>
      </c>
      <c r="CZ60" s="142" t="e">
        <v>#N/A</v>
      </c>
      <c r="DA60" s="142" t="e">
        <v>#N/A</v>
      </c>
      <c r="DB60" s="168" t="str">
        <v/>
      </c>
      <c r="DC60" s="168"/>
      <c r="DD60" s="168"/>
      <c r="DE60" s="168"/>
      <c r="DF60" s="168"/>
      <c r="DG60" s="168"/>
      <c r="DH60" s="168"/>
      <c r="DI60" s="168"/>
      <c r="DJ60" s="48"/>
      <c r="DK60" s="61"/>
      <c r="DL60" s="61"/>
      <c r="DM60" s="61"/>
      <c r="DN60" s="61"/>
      <c r="DO60" s="168"/>
      <c r="DP60" s="168"/>
      <c r="DQ60" s="168"/>
      <c r="DR60" s="168"/>
      <c r="DS60" s="142"/>
      <c r="DT60" s="142"/>
      <c r="DU60" s="142"/>
      <c r="DV60" s="142"/>
      <c r="DW60" s="142"/>
      <c r="DX60" s="142">
        <v>55</v>
      </c>
      <c r="DY60" s="142">
        <v>5</v>
      </c>
      <c r="DZ60" s="142">
        <v>0.60060696749325759</v>
      </c>
      <c r="EA60" s="142" t="str">
        <v/>
      </c>
      <c r="EB60" s="142"/>
      <c r="EC60" s="142"/>
      <c r="ED60" s="142"/>
    </row>
    <row r="61" spans="8:134" x14ac:dyDescent="0.2">
      <c r="H61" s="49"/>
      <c r="BB61" s="61"/>
      <c r="BC61" s="61"/>
      <c r="BD61" s="61"/>
      <c r="BE61" s="61"/>
      <c r="BF61" s="61"/>
      <c r="BG61" s="61"/>
      <c r="BH61" s="61"/>
      <c r="BI61" s="61"/>
      <c r="BJ61" s="61"/>
      <c r="BK61" s="61"/>
      <c r="BL61" s="61"/>
      <c r="BM61" s="61"/>
      <c r="BN61" s="61"/>
      <c r="BO61" s="61"/>
      <c r="BP61" s="61"/>
      <c r="BQ61" s="61"/>
      <c r="BR61" s="61">
        <v>56</v>
      </c>
      <c r="BS61" s="61">
        <v>-1.7007874015748032</v>
      </c>
      <c r="BT61" s="61">
        <v>9.392324001599342E-2</v>
      </c>
      <c r="BU61" s="61">
        <v>4</v>
      </c>
      <c r="BV61" s="61">
        <v>0</v>
      </c>
      <c r="BW61" s="61">
        <v>0</v>
      </c>
      <c r="BX61" s="61" t="str">
        <v/>
      </c>
      <c r="BY61" s="61" t="str">
        <v/>
      </c>
      <c r="BZ61" s="61"/>
      <c r="CA61" s="61"/>
      <c r="CB61" s="61"/>
      <c r="CC61" s="142"/>
      <c r="CD61" s="142"/>
      <c r="CE61" s="142"/>
      <c r="CF61" s="142">
        <v>56</v>
      </c>
      <c r="CG61" s="142">
        <v>10</v>
      </c>
      <c r="CH61" s="142">
        <v>0</v>
      </c>
      <c r="CI61" s="142">
        <v>1</v>
      </c>
      <c r="CJ61" s="142" t="str">
        <v/>
      </c>
      <c r="CK61" s="142"/>
      <c r="CL61" s="142"/>
      <c r="CM61" s="142"/>
      <c r="CN61" s="61"/>
      <c r="CO61" s="61"/>
      <c r="CP61" s="168"/>
      <c r="CQ61" s="168"/>
      <c r="CR61" s="168"/>
      <c r="CS61" s="168"/>
      <c r="CT61" s="168"/>
      <c r="CU61" s="168">
        <v>56</v>
      </c>
      <c r="CV61" s="168">
        <v>1</v>
      </c>
      <c r="CW61" s="142">
        <v>1.8192576091040986</v>
      </c>
      <c r="CX61" s="142">
        <v>1.8192576091040986</v>
      </c>
      <c r="CY61" s="142" t="e">
        <v>#N/A</v>
      </c>
      <c r="CZ61" s="142" t="e">
        <v>#N/A</v>
      </c>
      <c r="DA61" s="142" t="e">
        <v>#N/A</v>
      </c>
      <c r="DB61" s="168" t="str">
        <v/>
      </c>
      <c r="DC61" s="168"/>
      <c r="DD61" s="168"/>
      <c r="DE61" s="168"/>
      <c r="DF61" s="168"/>
      <c r="DG61" s="168"/>
      <c r="DH61" s="168"/>
      <c r="DI61" s="168"/>
      <c r="DJ61" s="48"/>
      <c r="DK61" s="61"/>
      <c r="DL61" s="61"/>
      <c r="DM61" s="61"/>
      <c r="DN61" s="61"/>
      <c r="DO61" s="168"/>
      <c r="DP61" s="168"/>
      <c r="DQ61" s="168"/>
      <c r="DR61" s="168"/>
      <c r="DS61" s="142"/>
      <c r="DT61" s="142"/>
      <c r="DU61" s="142"/>
      <c r="DV61" s="142"/>
      <c r="DW61" s="142"/>
      <c r="DX61" s="142">
        <v>56</v>
      </c>
      <c r="DY61" s="142">
        <v>5</v>
      </c>
      <c r="DZ61" s="142">
        <v>0.60060696749325759</v>
      </c>
      <c r="EA61" s="142" t="str">
        <v/>
      </c>
      <c r="EB61" s="142"/>
      <c r="EC61" s="142"/>
      <c r="ED61" s="142"/>
    </row>
    <row r="62" spans="8:134" x14ac:dyDescent="0.2">
      <c r="H62" s="49"/>
      <c r="BB62" s="61"/>
      <c r="BC62" s="61"/>
      <c r="BD62" s="61"/>
      <c r="BE62" s="61"/>
      <c r="BF62" s="61"/>
      <c r="BG62" s="61"/>
      <c r="BH62" s="61"/>
      <c r="BI62" s="61"/>
      <c r="BJ62" s="61"/>
      <c r="BK62" s="61"/>
      <c r="BL62" s="61"/>
      <c r="BM62" s="61"/>
      <c r="BN62" s="61"/>
      <c r="BO62" s="61"/>
      <c r="BP62" s="61"/>
      <c r="BQ62" s="61"/>
      <c r="BR62" s="61">
        <v>57</v>
      </c>
      <c r="BS62" s="61">
        <v>-1.6771653543307088</v>
      </c>
      <c r="BT62" s="61">
        <v>9.7746259572838501E-2</v>
      </c>
      <c r="BU62" s="61">
        <v>4</v>
      </c>
      <c r="BV62" s="61">
        <v>0</v>
      </c>
      <c r="BW62" s="61">
        <v>0</v>
      </c>
      <c r="BX62" s="61" t="str">
        <v/>
      </c>
      <c r="BY62" s="61" t="str">
        <v/>
      </c>
      <c r="BZ62" s="61"/>
      <c r="CA62" s="61"/>
      <c r="CB62" s="61"/>
      <c r="CC62" s="142"/>
      <c r="CD62" s="142"/>
      <c r="CE62" s="142"/>
      <c r="CF62" s="142">
        <v>57</v>
      </c>
      <c r="CG62" s="142">
        <v>10</v>
      </c>
      <c r="CH62" s="142">
        <v>0</v>
      </c>
      <c r="CI62" s="142">
        <v>1</v>
      </c>
      <c r="CJ62" s="142" t="str">
        <v/>
      </c>
      <c r="CK62" s="142"/>
      <c r="CL62" s="142"/>
      <c r="CM62" s="142"/>
      <c r="CN62" s="61"/>
      <c r="CO62" s="61"/>
      <c r="CP62" s="168"/>
      <c r="CQ62" s="168"/>
      <c r="CR62" s="168"/>
      <c r="CS62" s="168"/>
      <c r="CT62" s="168"/>
      <c r="CU62" s="168">
        <v>57</v>
      </c>
      <c r="CV62" s="168">
        <v>1</v>
      </c>
      <c r="CW62" s="142">
        <v>1.8192576091040986</v>
      </c>
      <c r="CX62" s="142">
        <v>1.8192576091040986</v>
      </c>
      <c r="CY62" s="142" t="e">
        <v>#N/A</v>
      </c>
      <c r="CZ62" s="142" t="e">
        <v>#N/A</v>
      </c>
      <c r="DA62" s="142" t="e">
        <v>#N/A</v>
      </c>
      <c r="DB62" s="168" t="str">
        <v/>
      </c>
      <c r="DC62" s="168"/>
      <c r="DD62" s="168"/>
      <c r="DE62" s="168"/>
      <c r="DF62" s="168"/>
      <c r="DG62" s="168"/>
      <c r="DH62" s="168"/>
      <c r="DI62" s="168"/>
      <c r="DJ62" s="48"/>
      <c r="DK62" s="61"/>
      <c r="DL62" s="61"/>
      <c r="DM62" s="61"/>
      <c r="DN62" s="61"/>
      <c r="DO62" s="168"/>
      <c r="DP62" s="168"/>
      <c r="DQ62" s="168"/>
      <c r="DR62" s="168"/>
      <c r="DS62" s="142"/>
      <c r="DT62" s="142"/>
      <c r="DU62" s="142"/>
      <c r="DV62" s="142"/>
      <c r="DW62" s="142"/>
      <c r="DX62" s="142">
        <v>57</v>
      </c>
      <c r="DY62" s="142">
        <v>5</v>
      </c>
      <c r="DZ62" s="142">
        <v>0.60060696749325759</v>
      </c>
      <c r="EA62" s="142" t="str">
        <v/>
      </c>
      <c r="EB62" s="142"/>
      <c r="EC62" s="142"/>
      <c r="ED62" s="142"/>
    </row>
    <row r="63" spans="8:134" x14ac:dyDescent="0.2">
      <c r="H63" s="49"/>
      <c r="BB63" s="61"/>
      <c r="BC63" s="61"/>
      <c r="BD63" s="61"/>
      <c r="BE63" s="61"/>
      <c r="BF63" s="61"/>
      <c r="BG63" s="61"/>
      <c r="BH63" s="61"/>
      <c r="BI63" s="61"/>
      <c r="BJ63" s="61"/>
      <c r="BK63" s="61"/>
      <c r="BL63" s="61"/>
      <c r="BM63" s="61"/>
      <c r="BN63" s="61"/>
      <c r="BO63" s="61"/>
      <c r="BP63" s="61"/>
      <c r="BQ63" s="61"/>
      <c r="BR63" s="61">
        <v>58</v>
      </c>
      <c r="BS63" s="61">
        <v>-1.6535433070866141</v>
      </c>
      <c r="BT63" s="61">
        <v>0.10166814324671321</v>
      </c>
      <c r="BU63" s="61">
        <v>4</v>
      </c>
      <c r="BV63" s="61">
        <v>0</v>
      </c>
      <c r="BW63" s="61">
        <v>0</v>
      </c>
      <c r="BX63" s="61" t="str">
        <v/>
      </c>
      <c r="BY63" s="61" t="str">
        <v/>
      </c>
      <c r="BZ63" s="61"/>
      <c r="CA63" s="61"/>
      <c r="CB63" s="61"/>
      <c r="CC63" s="142"/>
      <c r="CD63" s="142"/>
      <c r="CE63" s="142"/>
      <c r="CF63" s="142">
        <v>58</v>
      </c>
      <c r="CG63" s="142">
        <v>10</v>
      </c>
      <c r="CH63" s="142">
        <v>0</v>
      </c>
      <c r="CI63" s="142">
        <v>1</v>
      </c>
      <c r="CJ63" s="142" t="str">
        <v>1.811</v>
      </c>
      <c r="CK63" s="142"/>
      <c r="CL63" s="142"/>
      <c r="CM63" s="142"/>
      <c r="CN63" s="61"/>
      <c r="CO63" s="61"/>
      <c r="CP63" s="168"/>
      <c r="CQ63" s="168"/>
      <c r="CR63" s="168"/>
      <c r="CS63" s="168"/>
      <c r="CT63" s="168"/>
      <c r="CU63" s="168">
        <v>58</v>
      </c>
      <c r="CV63" s="168">
        <v>1</v>
      </c>
      <c r="CW63" s="142">
        <v>1.8192576091040986</v>
      </c>
      <c r="CX63" s="142">
        <v>1.8192576091040986</v>
      </c>
      <c r="CY63" s="142" t="e">
        <v>#N/A</v>
      </c>
      <c r="CZ63" s="142" t="e">
        <v>#N/A</v>
      </c>
      <c r="DA63" s="142" t="e">
        <v>#N/A</v>
      </c>
      <c r="DB63" s="168" t="str">
        <v/>
      </c>
      <c r="DC63" s="168"/>
      <c r="DD63" s="168"/>
      <c r="DE63" s="168"/>
      <c r="DF63" s="168"/>
      <c r="DG63" s="168"/>
      <c r="DH63" s="168"/>
      <c r="DI63" s="168"/>
      <c r="DJ63" s="48"/>
      <c r="DK63" s="61"/>
      <c r="DL63" s="61"/>
      <c r="DM63" s="61"/>
      <c r="DN63" s="61"/>
      <c r="DO63" s="168"/>
      <c r="DP63" s="168"/>
      <c r="DQ63" s="168"/>
      <c r="DR63" s="168"/>
      <c r="DS63" s="142"/>
      <c r="DT63" s="142"/>
      <c r="DU63" s="142"/>
      <c r="DV63" s="142"/>
      <c r="DW63" s="142"/>
      <c r="DX63" s="142">
        <v>58</v>
      </c>
      <c r="DY63" s="142">
        <v>5</v>
      </c>
      <c r="DZ63" s="142">
        <v>0.60060696749325759</v>
      </c>
      <c r="EA63" s="142" t="str">
        <v/>
      </c>
      <c r="EB63" s="142"/>
      <c r="EC63" s="142"/>
      <c r="ED63" s="142"/>
    </row>
    <row r="64" spans="8:134" x14ac:dyDescent="0.2">
      <c r="BB64" s="61"/>
      <c r="BC64" s="61"/>
      <c r="BD64" s="61"/>
      <c r="BE64" s="61"/>
      <c r="BF64" s="61"/>
      <c r="BG64" s="61"/>
      <c r="BH64" s="61"/>
      <c r="BI64" s="61"/>
      <c r="BJ64" s="61"/>
      <c r="BK64" s="61"/>
      <c r="BL64" s="61"/>
      <c r="BM64" s="61"/>
      <c r="BN64" s="61"/>
      <c r="BO64" s="61"/>
      <c r="BP64" s="61"/>
      <c r="BQ64" s="61"/>
      <c r="BR64" s="61">
        <v>59</v>
      </c>
      <c r="BS64" s="61">
        <v>-1.6299212598425197</v>
      </c>
      <c r="BT64" s="61">
        <v>0.10568839438164808</v>
      </c>
      <c r="BU64" s="61">
        <v>4</v>
      </c>
      <c r="BV64" s="61">
        <v>0</v>
      </c>
      <c r="BW64" s="61">
        <v>0</v>
      </c>
      <c r="BX64" s="61" t="str">
        <v/>
      </c>
      <c r="BY64" s="61" t="str">
        <v/>
      </c>
      <c r="BZ64" s="61"/>
      <c r="CA64" s="61"/>
      <c r="CB64" s="61"/>
      <c r="CC64" s="142"/>
      <c r="CD64" s="142"/>
      <c r="CE64" s="142"/>
      <c r="CF64" s="142">
        <v>59</v>
      </c>
      <c r="CG64" s="142">
        <v>10</v>
      </c>
      <c r="CH64" s="142">
        <v>0</v>
      </c>
      <c r="CI64" s="142">
        <v>1</v>
      </c>
      <c r="CJ64" s="142" t="str">
        <v/>
      </c>
      <c r="CK64" s="142"/>
      <c r="CL64" s="142"/>
      <c r="CM64" s="142"/>
      <c r="CN64" s="61"/>
      <c r="CO64" s="61"/>
      <c r="CP64" s="168"/>
      <c r="CQ64" s="168"/>
      <c r="CR64" s="168"/>
      <c r="CS64" s="168"/>
      <c r="CT64" s="168"/>
      <c r="CU64" s="168">
        <v>59</v>
      </c>
      <c r="CV64" s="168">
        <v>1</v>
      </c>
      <c r="CW64" s="142">
        <v>1.8192576091040986</v>
      </c>
      <c r="CX64" s="142">
        <v>1.8192576091040986</v>
      </c>
      <c r="CY64" s="142" t="e">
        <v>#N/A</v>
      </c>
      <c r="CZ64" s="142" t="e">
        <v>#N/A</v>
      </c>
      <c r="DA64" s="142" t="e">
        <v>#N/A</v>
      </c>
      <c r="DB64" s="168" t="str">
        <v/>
      </c>
      <c r="DC64" s="168"/>
      <c r="DD64" s="168"/>
      <c r="DE64" s="168"/>
      <c r="DF64" s="168"/>
      <c r="DG64" s="168"/>
      <c r="DH64" s="168"/>
      <c r="DI64" s="168"/>
      <c r="DJ64" s="48"/>
      <c r="DK64" s="61"/>
      <c r="DL64" s="61"/>
      <c r="DM64" s="61"/>
      <c r="DN64" s="61"/>
      <c r="DO64" s="168"/>
      <c r="DP64" s="168"/>
      <c r="DQ64" s="168"/>
      <c r="DR64" s="168"/>
      <c r="DS64" s="142"/>
      <c r="DT64" s="142"/>
      <c r="DU64" s="142"/>
      <c r="DV64" s="142"/>
      <c r="DW64" s="142"/>
      <c r="DX64" s="142">
        <v>59</v>
      </c>
      <c r="DY64" s="142">
        <v>5</v>
      </c>
      <c r="DZ64" s="142">
        <v>0.60060696749325759</v>
      </c>
      <c r="EA64" s="142" t="str">
        <v/>
      </c>
      <c r="EB64" s="142"/>
      <c r="EC64" s="142"/>
      <c r="ED64" s="142"/>
    </row>
    <row r="65" spans="54:157" x14ac:dyDescent="0.2">
      <c r="BB65" s="61"/>
      <c r="BC65" s="61"/>
      <c r="BD65" s="61"/>
      <c r="BE65" s="61"/>
      <c r="BF65" s="61"/>
      <c r="BG65" s="61"/>
      <c r="BH65" s="61"/>
      <c r="BI65" s="61"/>
      <c r="BJ65" s="61"/>
      <c r="BK65" s="61"/>
      <c r="BL65" s="61"/>
      <c r="BM65" s="61"/>
      <c r="BN65" s="61"/>
      <c r="BO65" s="61"/>
      <c r="BP65" s="61"/>
      <c r="BQ65" s="61"/>
      <c r="BR65" s="61">
        <v>60</v>
      </c>
      <c r="BS65" s="61">
        <v>-1.6062992125984252</v>
      </c>
      <c r="BT65" s="61">
        <v>0.1098063286706146</v>
      </c>
      <c r="BU65" s="61">
        <v>4</v>
      </c>
      <c r="BV65" s="61">
        <v>0</v>
      </c>
      <c r="BW65" s="61">
        <v>0</v>
      </c>
      <c r="BX65" s="61" t="str">
        <v/>
      </c>
      <c r="BY65" s="61" t="str">
        <v/>
      </c>
      <c r="BZ65" s="61"/>
      <c r="CA65" s="61"/>
      <c r="CB65" s="61"/>
      <c r="CC65" s="142"/>
      <c r="CD65" s="142"/>
      <c r="CE65" s="142"/>
      <c r="CF65" s="142">
        <v>60</v>
      </c>
      <c r="CG65" s="142">
        <v>10</v>
      </c>
      <c r="CH65" s="142">
        <v>1</v>
      </c>
      <c r="CI65" s="142" t="e">
        <v>#N/A</v>
      </c>
      <c r="CJ65" s="142" t="str">
        <v/>
      </c>
      <c r="CK65" s="142"/>
      <c r="CL65" s="142"/>
      <c r="CM65" s="142"/>
      <c r="CN65" s="61"/>
      <c r="CO65" s="61"/>
      <c r="CP65" s="168"/>
      <c r="CQ65" s="168"/>
      <c r="CR65" s="168"/>
      <c r="CS65" s="168"/>
      <c r="CT65" s="168"/>
      <c r="CU65" s="168">
        <v>60</v>
      </c>
      <c r="CV65" s="168">
        <v>1</v>
      </c>
      <c r="CW65" s="142">
        <v>1.8192576091040986</v>
      </c>
      <c r="CX65" s="142">
        <v>1.8192576091040986</v>
      </c>
      <c r="CY65" s="142" t="e">
        <v>#N/A</v>
      </c>
      <c r="CZ65" s="142" t="e">
        <v>#N/A</v>
      </c>
      <c r="DA65" s="142" t="e">
        <v>#N/A</v>
      </c>
      <c r="DB65" s="168" t="str">
        <v/>
      </c>
      <c r="DC65" s="168"/>
      <c r="DD65" s="168"/>
      <c r="DE65" s="168"/>
      <c r="DF65" s="168"/>
      <c r="DG65" s="168"/>
      <c r="DH65" s="168"/>
      <c r="DI65" s="168"/>
      <c r="DJ65" s="48"/>
      <c r="DK65" s="61"/>
      <c r="DL65" s="61"/>
      <c r="DM65" s="61"/>
      <c r="DN65" s="61"/>
      <c r="DO65" s="168"/>
      <c r="DP65" s="168"/>
      <c r="DQ65" s="168"/>
      <c r="DR65" s="168"/>
      <c r="DS65" s="142"/>
      <c r="DT65" s="142"/>
      <c r="DU65" s="142"/>
      <c r="DV65" s="142"/>
      <c r="DW65" s="142"/>
      <c r="DX65" s="142">
        <v>60</v>
      </c>
      <c r="DY65" s="142">
        <v>5</v>
      </c>
      <c r="DZ65" s="142">
        <v>0.60060696749325759</v>
      </c>
      <c r="EA65" s="142" t="str">
        <v/>
      </c>
      <c r="EB65" s="142"/>
      <c r="EC65" s="142"/>
      <c r="ED65" s="142"/>
    </row>
    <row r="66" spans="54:157" x14ac:dyDescent="0.2">
      <c r="BB66" s="61"/>
      <c r="BC66" s="61"/>
      <c r="BD66" s="61"/>
      <c r="BE66" s="61"/>
      <c r="BF66" s="61"/>
      <c r="BG66" s="61"/>
      <c r="BH66" s="61"/>
      <c r="BI66" s="61"/>
      <c r="BJ66" s="61"/>
      <c r="BK66" s="61"/>
      <c r="BL66" s="61"/>
      <c r="BM66" s="61"/>
      <c r="BN66" s="61"/>
      <c r="BO66" s="61"/>
      <c r="BP66" s="61"/>
      <c r="BQ66" s="61"/>
      <c r="BR66" s="61">
        <v>61</v>
      </c>
      <c r="BS66" s="61">
        <v>-1.5826771653543308</v>
      </c>
      <c r="BT66" s="61">
        <v>0.11402106829339084</v>
      </c>
      <c r="BU66" s="61">
        <v>4</v>
      </c>
      <c r="BV66" s="61">
        <v>0</v>
      </c>
      <c r="BW66" s="61">
        <v>0</v>
      </c>
      <c r="BX66" s="61" t="str">
        <v/>
      </c>
      <c r="BY66" s="61" t="str">
        <v/>
      </c>
      <c r="BZ66" s="61"/>
      <c r="CA66" s="61"/>
      <c r="CB66" s="61"/>
      <c r="CC66" s="142"/>
      <c r="CD66" s="142"/>
      <c r="CE66" s="142"/>
      <c r="CF66" s="142">
        <v>61</v>
      </c>
      <c r="CG66" s="142">
        <v>11</v>
      </c>
      <c r="CH66" s="142">
        <v>1</v>
      </c>
      <c r="CI66" s="142" t="e">
        <v>#N/A</v>
      </c>
      <c r="CJ66" s="142" t="str">
        <v/>
      </c>
      <c r="CK66" s="142"/>
      <c r="CL66" s="142"/>
      <c r="CM66" s="142"/>
      <c r="CN66" s="61"/>
      <c r="CO66" s="61"/>
      <c r="CP66" s="168"/>
      <c r="CQ66" s="168"/>
      <c r="CR66" s="168"/>
      <c r="CS66" s="168"/>
      <c r="CT66" s="168"/>
      <c r="CU66" s="168">
        <v>61</v>
      </c>
      <c r="CV66" s="168">
        <v>1</v>
      </c>
      <c r="CW66" s="142">
        <v>1.8192576091040986</v>
      </c>
      <c r="CX66" s="142">
        <v>1.8192576091040986</v>
      </c>
      <c r="CY66" s="142" t="e">
        <v>#N/A</v>
      </c>
      <c r="CZ66" s="142" t="e">
        <v>#N/A</v>
      </c>
      <c r="DA66" s="142" t="e">
        <v>#N/A</v>
      </c>
      <c r="DB66" s="168" t="str">
        <v/>
      </c>
      <c r="DC66" s="168"/>
      <c r="DD66" s="168"/>
      <c r="DE66" s="168"/>
      <c r="DF66" s="168"/>
      <c r="DG66" s="168"/>
      <c r="DH66" s="168"/>
      <c r="DI66" s="168"/>
      <c r="DJ66" s="48"/>
      <c r="DK66" s="61"/>
      <c r="DL66" s="61"/>
      <c r="DM66" s="61"/>
      <c r="DN66" s="61"/>
      <c r="DO66" s="168"/>
      <c r="DP66" s="168"/>
      <c r="DQ66" s="168"/>
      <c r="DR66" s="168"/>
      <c r="DS66" s="142"/>
      <c r="DT66" s="142"/>
      <c r="DU66" s="142"/>
      <c r="DV66" s="142"/>
      <c r="DW66" s="142"/>
      <c r="DX66" s="142">
        <v>61</v>
      </c>
      <c r="DY66" s="142">
        <v>5</v>
      </c>
      <c r="DZ66" s="142">
        <v>0.60060696749325759</v>
      </c>
      <c r="EA66" s="142" t="str">
        <v/>
      </c>
      <c r="EB66" s="142"/>
      <c r="EC66" s="142"/>
      <c r="ED66" s="142"/>
    </row>
    <row r="67" spans="54:157" x14ac:dyDescent="0.2">
      <c r="BB67" s="61"/>
      <c r="BC67" s="61"/>
      <c r="BD67" s="61"/>
      <c r="BE67" s="61"/>
      <c r="BF67" s="61"/>
      <c r="BG67" s="61"/>
      <c r="BH67" s="61"/>
      <c r="BI67" s="61"/>
      <c r="BJ67" s="61"/>
      <c r="BK67" s="61"/>
      <c r="BL67" s="61"/>
      <c r="BM67" s="61"/>
      <c r="BN67" s="61"/>
      <c r="BO67" s="61"/>
      <c r="BP67" s="61"/>
      <c r="BQ67" s="61"/>
      <c r="BR67" s="61">
        <v>62</v>
      </c>
      <c r="BS67" s="61">
        <v>-1.5590551181102363</v>
      </c>
      <c r="BT67" s="61">
        <v>0.11833153637452416</v>
      </c>
      <c r="BU67" s="61">
        <v>4</v>
      </c>
      <c r="BV67" s="61">
        <v>0</v>
      </c>
      <c r="BW67" s="61">
        <v>0</v>
      </c>
      <c r="BX67" s="61" t="str">
        <v/>
      </c>
      <c r="BY67" s="61" t="str">
        <v/>
      </c>
      <c r="BZ67" s="61"/>
      <c r="CA67" s="61"/>
      <c r="CB67" s="61"/>
      <c r="CC67" s="142"/>
      <c r="CD67" s="142"/>
      <c r="CE67" s="142"/>
      <c r="CF67" s="142">
        <v>62</v>
      </c>
      <c r="CG67" s="142">
        <v>11</v>
      </c>
      <c r="CH67" s="142">
        <v>0</v>
      </c>
      <c r="CI67" s="142">
        <v>1</v>
      </c>
      <c r="CJ67" s="142" t="str">
        <v/>
      </c>
      <c r="CK67" s="142"/>
      <c r="CL67" s="142"/>
      <c r="CM67" s="142"/>
      <c r="CN67" s="61"/>
      <c r="CO67" s="61"/>
      <c r="CP67" s="168"/>
      <c r="CQ67" s="168"/>
      <c r="CR67" s="168"/>
      <c r="CS67" s="168"/>
      <c r="CT67" s="168"/>
      <c r="CU67" s="168">
        <v>62</v>
      </c>
      <c r="CV67" s="168">
        <v>1</v>
      </c>
      <c r="CW67" s="142">
        <v>1.8192576091040986</v>
      </c>
      <c r="CX67" s="142">
        <v>1.8192576091040986</v>
      </c>
      <c r="CY67" s="142" t="e">
        <v>#N/A</v>
      </c>
      <c r="CZ67" s="142" t="e">
        <v>#N/A</v>
      </c>
      <c r="DA67" s="142" t="e">
        <v>#N/A</v>
      </c>
      <c r="DB67" s="168" t="str">
        <v/>
      </c>
      <c r="DC67" s="168"/>
      <c r="DD67" s="168"/>
      <c r="DE67" s="168"/>
      <c r="DF67" s="168"/>
      <c r="DG67" s="168"/>
      <c r="DH67" s="168"/>
      <c r="DI67" s="168"/>
      <c r="DJ67" s="48"/>
      <c r="DK67" s="61"/>
      <c r="DL67" s="61"/>
      <c r="DM67" s="61"/>
      <c r="DN67" s="61"/>
      <c r="DO67" s="168"/>
      <c r="DP67" s="168"/>
      <c r="DQ67" s="168"/>
      <c r="DR67" s="168"/>
      <c r="DS67" s="142"/>
      <c r="DT67" s="142"/>
      <c r="DU67" s="142"/>
      <c r="DV67" s="142"/>
      <c r="DW67" s="142"/>
      <c r="DX67" s="142">
        <v>62</v>
      </c>
      <c r="DY67" s="142">
        <v>5</v>
      </c>
      <c r="DZ67" s="142">
        <v>0.60060696749325759</v>
      </c>
      <c r="EA67" s="142" t="str">
        <v/>
      </c>
      <c r="EB67" s="142"/>
      <c r="EC67" s="142"/>
      <c r="ED67" s="142"/>
    </row>
    <row r="68" spans="54:157" x14ac:dyDescent="0.2">
      <c r="BB68" s="61"/>
      <c r="BC68" s="61"/>
      <c r="BD68" s="61"/>
      <c r="BE68" s="61"/>
      <c r="BF68" s="61"/>
      <c r="BG68" s="61"/>
      <c r="BH68" s="61"/>
      <c r="BI68" s="61"/>
      <c r="BJ68" s="61"/>
      <c r="BK68" s="61"/>
      <c r="BL68" s="61"/>
      <c r="BM68" s="61"/>
      <c r="BN68" s="61"/>
      <c r="BO68" s="61"/>
      <c r="BP68" s="61"/>
      <c r="BQ68" s="61"/>
      <c r="BR68" s="61">
        <v>63</v>
      </c>
      <c r="BS68" s="61">
        <v>-1.5354330708661417</v>
      </c>
      <c r="BT68" s="61">
        <v>0.12273645179276051</v>
      </c>
      <c r="BU68" s="61">
        <v>4</v>
      </c>
      <c r="BV68" s="61">
        <v>0</v>
      </c>
      <c r="BW68" s="61">
        <v>0</v>
      </c>
      <c r="BX68" s="61" t="str">
        <v/>
      </c>
      <c r="BY68" s="61" t="str">
        <v/>
      </c>
      <c r="BZ68" s="61"/>
      <c r="CA68" s="61"/>
      <c r="CB68" s="61"/>
      <c r="CC68" s="142"/>
      <c r="CD68" s="142"/>
      <c r="CE68" s="142"/>
      <c r="CF68" s="142">
        <v>63</v>
      </c>
      <c r="CG68" s="142">
        <v>11</v>
      </c>
      <c r="CH68" s="142">
        <v>0</v>
      </c>
      <c r="CI68" s="142">
        <v>1</v>
      </c>
      <c r="CJ68" s="142" t="str">
        <v/>
      </c>
      <c r="CK68" s="142"/>
      <c r="CL68" s="142"/>
      <c r="CM68" s="142"/>
      <c r="CN68" s="61"/>
      <c r="CO68" s="61"/>
      <c r="CP68" s="168"/>
      <c r="CQ68" s="168"/>
      <c r="CR68" s="168"/>
      <c r="CS68" s="168"/>
      <c r="CT68" s="168"/>
      <c r="CU68" s="168">
        <v>63</v>
      </c>
      <c r="CV68" s="168">
        <v>1</v>
      </c>
      <c r="CW68" s="142">
        <v>1.8192576091040986</v>
      </c>
      <c r="CX68" s="142">
        <v>1.8192576091040986</v>
      </c>
      <c r="CY68" s="142" t="e">
        <v>#N/A</v>
      </c>
      <c r="CZ68" s="142" t="e">
        <v>#N/A</v>
      </c>
      <c r="DA68" s="142" t="e">
        <v>#N/A</v>
      </c>
      <c r="DB68" s="168" t="str">
        <v/>
      </c>
      <c r="DC68" s="168"/>
      <c r="DD68" s="168"/>
      <c r="DE68" s="168"/>
      <c r="DF68" s="168"/>
      <c r="DG68" s="168"/>
      <c r="DH68" s="168"/>
      <c r="DI68" s="168"/>
      <c r="DJ68" s="48"/>
      <c r="DK68" s="61"/>
      <c r="DL68" s="61"/>
      <c r="DM68" s="61"/>
      <c r="DN68" s="61"/>
      <c r="DO68" s="168"/>
      <c r="DP68" s="168"/>
      <c r="DQ68" s="168"/>
      <c r="DR68" s="168"/>
      <c r="DS68" s="142"/>
      <c r="DT68" s="142"/>
      <c r="DU68" s="142"/>
      <c r="DV68" s="142"/>
      <c r="DW68" s="142"/>
      <c r="DX68" s="142">
        <v>63</v>
      </c>
      <c r="DY68" s="142">
        <v>5</v>
      </c>
      <c r="DZ68" s="142">
        <v>0.60060696749325759</v>
      </c>
      <c r="EA68" s="142" t="str">
        <v/>
      </c>
      <c r="EB68" s="142"/>
      <c r="EC68" s="142"/>
      <c r="ED68" s="142"/>
    </row>
    <row r="69" spans="54:157" s="73" customFormat="1" x14ac:dyDescent="0.2">
      <c r="BB69" s="61"/>
      <c r="BC69" s="61"/>
      <c r="BD69" s="61"/>
      <c r="BE69" s="61"/>
      <c r="BF69" s="61"/>
      <c r="BG69" s="61"/>
      <c r="BH69" s="61"/>
      <c r="BI69" s="61"/>
      <c r="BJ69" s="61"/>
      <c r="BK69" s="61"/>
      <c r="BL69" s="61"/>
      <c r="BM69" s="61"/>
      <c r="BN69" s="61"/>
      <c r="BO69" s="61"/>
      <c r="BP69" s="61"/>
      <c r="BQ69" s="61"/>
      <c r="BR69" s="61">
        <v>64</v>
      </c>
      <c r="BS69" s="61">
        <v>-1.5118110236220472</v>
      </c>
      <c r="BT69" s="61">
        <v>0.12723432437312576</v>
      </c>
      <c r="BU69" s="61">
        <v>4</v>
      </c>
      <c r="BV69" s="61">
        <v>0</v>
      </c>
      <c r="BW69" s="61">
        <v>0</v>
      </c>
      <c r="BX69" s="61" t="str">
        <v/>
      </c>
      <c r="BY69" s="61" t="str">
        <v/>
      </c>
      <c r="BZ69" s="61"/>
      <c r="CA69" s="61"/>
      <c r="CB69" s="61"/>
      <c r="CC69" s="142"/>
      <c r="CD69" s="142"/>
      <c r="CE69" s="142"/>
      <c r="CF69" s="142">
        <v>64</v>
      </c>
      <c r="CG69" s="142">
        <v>11</v>
      </c>
      <c r="CH69" s="142">
        <v>0</v>
      </c>
      <c r="CI69" s="142">
        <v>1</v>
      </c>
      <c r="CJ69" s="142" t="str">
        <v>8</v>
      </c>
      <c r="CK69" s="142"/>
      <c r="CL69" s="142"/>
      <c r="CM69" s="142"/>
      <c r="CN69" s="61"/>
      <c r="CO69" s="61"/>
      <c r="CP69" s="168"/>
      <c r="CQ69" s="168"/>
      <c r="CR69" s="168"/>
      <c r="CS69" s="168"/>
      <c r="CT69" s="168"/>
      <c r="CU69" s="168">
        <v>64</v>
      </c>
      <c r="CV69" s="168">
        <v>1</v>
      </c>
      <c r="CW69" s="142">
        <v>1.8192576091040986</v>
      </c>
      <c r="CX69" s="142">
        <v>1.8192576091040986</v>
      </c>
      <c r="CY69" s="142" t="e">
        <v>#N/A</v>
      </c>
      <c r="CZ69" s="142" t="e">
        <v>#N/A</v>
      </c>
      <c r="DA69" s="142" t="e">
        <v>#N/A</v>
      </c>
      <c r="DB69" s="168" t="str">
        <v/>
      </c>
      <c r="DC69" s="168"/>
      <c r="DD69" s="168"/>
      <c r="DE69" s="168"/>
      <c r="DF69" s="168"/>
      <c r="DG69" s="168"/>
      <c r="DH69" s="168"/>
      <c r="DI69" s="168"/>
      <c r="DJ69" s="48"/>
      <c r="DK69" s="61"/>
      <c r="DL69" s="61"/>
      <c r="DM69" s="61"/>
      <c r="DN69" s="61"/>
      <c r="DO69" s="168"/>
      <c r="DP69" s="168"/>
      <c r="DQ69" s="168"/>
      <c r="DR69" s="168"/>
      <c r="DS69" s="142"/>
      <c r="DT69" s="142"/>
      <c r="DU69" s="142"/>
      <c r="DV69" s="142"/>
      <c r="DW69" s="142"/>
      <c r="DX69" s="142">
        <v>64</v>
      </c>
      <c r="DY69" s="142">
        <v>5</v>
      </c>
      <c r="DZ69" s="142">
        <v>0.60060696749325759</v>
      </c>
      <c r="EA69" s="142" t="str">
        <v/>
      </c>
      <c r="EB69" s="142"/>
      <c r="EC69" s="142"/>
      <c r="ED69" s="142"/>
      <c r="EE69" s="164"/>
      <c r="EF69" s="164"/>
      <c r="EG69" s="164"/>
      <c r="EH69" s="164"/>
      <c r="EI69" s="164"/>
      <c r="EJ69" s="164"/>
      <c r="EK69" s="164"/>
      <c r="EL69" s="164"/>
      <c r="EM69" s="164"/>
      <c r="EN69" s="164"/>
      <c r="EO69" s="164"/>
      <c r="EP69" s="164"/>
      <c r="EQ69" s="164"/>
      <c r="ER69" s="164"/>
      <c r="ES69" s="164"/>
      <c r="ET69" s="164"/>
      <c r="EU69" s="164"/>
      <c r="EV69" s="164"/>
      <c r="EW69" s="164"/>
      <c r="EX69" s="164"/>
      <c r="EY69" s="164"/>
      <c r="EZ69" s="164"/>
      <c r="FA69" s="164"/>
    </row>
    <row r="70" spans="54:157" x14ac:dyDescent="0.2">
      <c r="BB70" s="61"/>
      <c r="BC70" s="61"/>
      <c r="BD70" s="61"/>
      <c r="BE70" s="61"/>
      <c r="BF70" s="61"/>
      <c r="BG70" s="61"/>
      <c r="BH70" s="61"/>
      <c r="BI70" s="61"/>
      <c r="BJ70" s="61"/>
      <c r="BK70" s="61"/>
      <c r="BL70" s="61"/>
      <c r="BM70" s="61"/>
      <c r="BN70" s="61"/>
      <c r="BO70" s="61"/>
      <c r="BP70" s="61"/>
      <c r="BQ70" s="61"/>
      <c r="BR70" s="61">
        <v>65</v>
      </c>
      <c r="BS70" s="61">
        <v>-1.4881889763779528</v>
      </c>
      <c r="BT70" s="61">
        <v>0.1318234504925114</v>
      </c>
      <c r="BU70" s="61">
        <v>4</v>
      </c>
      <c r="BV70" s="61">
        <v>0</v>
      </c>
      <c r="BW70" s="61">
        <v>0</v>
      </c>
      <c r="BX70" s="61" t="str">
        <v/>
      </c>
      <c r="BY70" s="61" t="str">
        <v/>
      </c>
      <c r="BZ70" s="61"/>
      <c r="CA70" s="61"/>
      <c r="CB70" s="61"/>
      <c r="CC70" s="142"/>
      <c r="CD70" s="142"/>
      <c r="CE70" s="142"/>
      <c r="CF70" s="142">
        <v>65</v>
      </c>
      <c r="CG70" s="142">
        <v>11</v>
      </c>
      <c r="CH70" s="142">
        <v>0</v>
      </c>
      <c r="CI70" s="142">
        <v>1</v>
      </c>
      <c r="CJ70" s="142" t="str">
        <v/>
      </c>
      <c r="CK70" s="142"/>
      <c r="CL70" s="142"/>
      <c r="CM70" s="142"/>
      <c r="CN70" s="61"/>
      <c r="CO70" s="61"/>
      <c r="CP70" s="168"/>
      <c r="CQ70" s="168"/>
      <c r="CR70" s="168"/>
      <c r="CS70" s="168"/>
      <c r="CT70" s="168"/>
      <c r="CU70" s="168">
        <v>65</v>
      </c>
      <c r="CV70" s="168">
        <v>1</v>
      </c>
      <c r="CW70" s="142">
        <v>1.8192576091040986</v>
      </c>
      <c r="CX70" s="142">
        <v>1.8192576091040986</v>
      </c>
      <c r="CY70" s="142" t="e">
        <v>#N/A</v>
      </c>
      <c r="CZ70" s="142" t="e">
        <v>#N/A</v>
      </c>
      <c r="DA70" s="142" t="e">
        <v>#N/A</v>
      </c>
      <c r="DB70" s="168" t="str">
        <v/>
      </c>
      <c r="DC70" s="168"/>
      <c r="DD70" s="168"/>
      <c r="DE70" s="168"/>
      <c r="DF70" s="168"/>
      <c r="DG70" s="168"/>
      <c r="DH70" s="168"/>
      <c r="DI70" s="168"/>
      <c r="DJ70" s="48"/>
      <c r="DK70" s="61"/>
      <c r="DL70" s="61"/>
      <c r="DM70" s="61"/>
      <c r="DN70" s="61"/>
      <c r="DO70" s="168"/>
      <c r="DP70" s="168"/>
      <c r="DQ70" s="168"/>
      <c r="DR70" s="168"/>
      <c r="DS70" s="142"/>
      <c r="DT70" s="142"/>
      <c r="DU70" s="142"/>
      <c r="DV70" s="142"/>
      <c r="DW70" s="142"/>
      <c r="DX70" s="142">
        <v>65</v>
      </c>
      <c r="DY70" s="142">
        <v>5</v>
      </c>
      <c r="DZ70" s="142">
        <v>0.60060696749325759</v>
      </c>
      <c r="EA70" s="142" t="str">
        <v/>
      </c>
      <c r="EB70" s="142"/>
      <c r="EC70" s="142"/>
      <c r="ED70" s="142"/>
    </row>
    <row r="71" spans="54:157" x14ac:dyDescent="0.2">
      <c r="BB71" s="61"/>
      <c r="BC71" s="61"/>
      <c r="BD71" s="61"/>
      <c r="BE71" s="61"/>
      <c r="BF71" s="61"/>
      <c r="BG71" s="61"/>
      <c r="BH71" s="61"/>
      <c r="BI71" s="61"/>
      <c r="BJ71" s="61"/>
      <c r="BK71" s="61"/>
      <c r="BL71" s="61"/>
      <c r="BM71" s="61"/>
      <c r="BN71" s="61"/>
      <c r="BO71" s="61"/>
      <c r="BP71" s="61"/>
      <c r="BQ71" s="61"/>
      <c r="BR71" s="61">
        <v>66</v>
      </c>
      <c r="BS71" s="61">
        <v>-1.4645669291338583</v>
      </c>
      <c r="BT71" s="61">
        <v>0.13650190912912655</v>
      </c>
      <c r="BU71" s="61">
        <v>4</v>
      </c>
      <c r="BV71" s="61">
        <v>0</v>
      </c>
      <c r="BW71" s="61">
        <v>0</v>
      </c>
      <c r="BX71" s="61" t="str">
        <v/>
      </c>
      <c r="BY71" s="61" t="str">
        <v/>
      </c>
      <c r="BZ71" s="61"/>
      <c r="CA71" s="61"/>
      <c r="CB71" s="61"/>
      <c r="CC71" s="142"/>
      <c r="CD71" s="142"/>
      <c r="CE71" s="142"/>
      <c r="CF71" s="142">
        <v>66</v>
      </c>
      <c r="CG71" s="142">
        <v>11</v>
      </c>
      <c r="CH71" s="142">
        <v>1</v>
      </c>
      <c r="CI71" s="142" t="e">
        <v>#N/A</v>
      </c>
      <c r="CJ71" s="142" t="str">
        <v/>
      </c>
      <c r="CK71" s="142"/>
      <c r="CL71" s="142"/>
      <c r="CM71" s="142"/>
      <c r="CN71" s="61"/>
      <c r="CO71" s="61"/>
      <c r="CP71" s="168"/>
      <c r="CQ71" s="168"/>
      <c r="CR71" s="168"/>
      <c r="CS71" s="168"/>
      <c r="CT71" s="168"/>
      <c r="CU71" s="168">
        <v>66</v>
      </c>
      <c r="CV71" s="168">
        <v>1</v>
      </c>
      <c r="CW71" s="142">
        <v>1.8192576091040986</v>
      </c>
      <c r="CX71" s="142">
        <v>1.8192576091040986</v>
      </c>
      <c r="CY71" s="142" t="e">
        <v>#N/A</v>
      </c>
      <c r="CZ71" s="142" t="e">
        <v>#N/A</v>
      </c>
      <c r="DA71" s="142" t="e">
        <v>#N/A</v>
      </c>
      <c r="DB71" s="168" t="str">
        <v/>
      </c>
      <c r="DC71" s="168"/>
      <c r="DD71" s="168"/>
      <c r="DE71" s="168"/>
      <c r="DF71" s="168"/>
      <c r="DG71" s="168"/>
      <c r="DH71" s="168"/>
      <c r="DI71" s="168"/>
      <c r="DJ71" s="48"/>
      <c r="DK71" s="61"/>
      <c r="DL71" s="61"/>
      <c r="DM71" s="61"/>
      <c r="DN71" s="61"/>
      <c r="DO71" s="168"/>
      <c r="DP71" s="168"/>
      <c r="DQ71" s="168"/>
      <c r="DR71" s="168"/>
      <c r="DS71" s="142"/>
      <c r="DT71" s="142"/>
      <c r="DU71" s="142"/>
      <c r="DV71" s="142"/>
      <c r="DW71" s="142"/>
      <c r="DX71" s="142">
        <v>66</v>
      </c>
      <c r="DY71" s="142">
        <v>5</v>
      </c>
      <c r="DZ71" s="142">
        <v>0.60060696749325759</v>
      </c>
      <c r="EA71" s="142" t="str">
        <v/>
      </c>
      <c r="EB71" s="142"/>
      <c r="EC71" s="142"/>
      <c r="ED71" s="142"/>
    </row>
    <row r="72" spans="54:157" x14ac:dyDescent="0.2">
      <c r="BB72" s="61"/>
      <c r="BC72" s="61"/>
      <c r="BD72" s="61"/>
      <c r="BE72" s="61"/>
      <c r="BF72" s="61"/>
      <c r="BG72" s="61"/>
      <c r="BH72" s="61"/>
      <c r="BI72" s="61"/>
      <c r="BJ72" s="61"/>
      <c r="BK72" s="61"/>
      <c r="BL72" s="61"/>
      <c r="BM72" s="61"/>
      <c r="BN72" s="61"/>
      <c r="BO72" s="61"/>
      <c r="BP72" s="61"/>
      <c r="BQ72" s="61"/>
      <c r="BR72" s="61">
        <v>67</v>
      </c>
      <c r="BS72" s="61">
        <v>-1.4409448818897639</v>
      </c>
      <c r="BT72" s="61">
        <v>0.14126755838553859</v>
      </c>
      <c r="BU72" s="61">
        <v>4</v>
      </c>
      <c r="BV72" s="61">
        <v>0</v>
      </c>
      <c r="BW72" s="61">
        <v>0</v>
      </c>
      <c r="BX72" s="61" t="str">
        <v/>
      </c>
      <c r="BY72" s="61" t="str">
        <v/>
      </c>
      <c r="BZ72" s="61"/>
      <c r="CA72" s="61"/>
      <c r="CB72" s="61"/>
      <c r="CC72" s="142"/>
      <c r="CD72" s="142"/>
      <c r="CE72" s="142"/>
      <c r="CF72" s="142">
        <v>67</v>
      </c>
      <c r="CG72" s="142">
        <v>12</v>
      </c>
      <c r="CH72" s="142">
        <v>1</v>
      </c>
      <c r="CI72" s="142" t="e">
        <v>#N/A</v>
      </c>
      <c r="CJ72" s="142" t="str">
        <v/>
      </c>
      <c r="CK72" s="142"/>
      <c r="CL72" s="142"/>
      <c r="CM72" s="142"/>
      <c r="CN72" s="61"/>
      <c r="CO72" s="61"/>
      <c r="CP72" s="168"/>
      <c r="CQ72" s="168"/>
      <c r="CR72" s="168"/>
      <c r="CS72" s="168"/>
      <c r="CT72" s="168"/>
      <c r="CU72" s="168">
        <v>67</v>
      </c>
      <c r="CV72" s="168">
        <v>1</v>
      </c>
      <c r="CW72" s="142">
        <v>1.8192576091040986</v>
      </c>
      <c r="CX72" s="142">
        <v>1.8192576091040986</v>
      </c>
      <c r="CY72" s="142" t="e">
        <v>#N/A</v>
      </c>
      <c r="CZ72" s="142" t="e">
        <v>#N/A</v>
      </c>
      <c r="DA72" s="142" t="e">
        <v>#N/A</v>
      </c>
      <c r="DB72" s="168" t="str">
        <v/>
      </c>
      <c r="DC72" s="168"/>
      <c r="DD72" s="168"/>
      <c r="DE72" s="168"/>
      <c r="DF72" s="168"/>
      <c r="DG72" s="168"/>
      <c r="DH72" s="168"/>
      <c r="DI72" s="168"/>
      <c r="DJ72" s="48"/>
      <c r="DK72" s="61"/>
      <c r="DL72" s="61"/>
      <c r="DM72" s="61"/>
      <c r="DN72" s="61"/>
      <c r="DO72" s="168"/>
      <c r="DP72" s="168"/>
      <c r="DQ72" s="168"/>
      <c r="DR72" s="168"/>
      <c r="DS72" s="142"/>
      <c r="DT72" s="142"/>
      <c r="DU72" s="142"/>
      <c r="DV72" s="142"/>
      <c r="DW72" s="142"/>
      <c r="DX72" s="142">
        <v>67</v>
      </c>
      <c r="DY72" s="142">
        <v>5</v>
      </c>
      <c r="DZ72" s="142">
        <v>0.60060696749325759</v>
      </c>
      <c r="EA72" s="142" t="str">
        <v/>
      </c>
      <c r="EB72" s="142"/>
      <c r="EC72" s="142"/>
      <c r="ED72" s="142"/>
    </row>
    <row r="73" spans="54:157" x14ac:dyDescent="0.2">
      <c r="BB73" s="61"/>
      <c r="BC73" s="61"/>
      <c r="BD73" s="61"/>
      <c r="BE73" s="61"/>
      <c r="BF73" s="61"/>
      <c r="BG73" s="61"/>
      <c r="BH73" s="61"/>
      <c r="BI73" s="61"/>
      <c r="BJ73" s="61"/>
      <c r="BK73" s="61"/>
      <c r="BL73" s="61"/>
      <c r="BM73" s="61"/>
      <c r="BN73" s="61"/>
      <c r="BO73" s="61"/>
      <c r="BP73" s="61"/>
      <c r="BQ73" s="61"/>
      <c r="BR73" s="61">
        <v>68</v>
      </c>
      <c r="BS73" s="61">
        <v>-1.4173228346456692</v>
      </c>
      <c r="BT73" s="61">
        <v>0.14611803251422095</v>
      </c>
      <c r="BU73" s="61">
        <v>4</v>
      </c>
      <c r="BV73" s="61">
        <v>0</v>
      </c>
      <c r="BW73" s="61">
        <v>0</v>
      </c>
      <c r="BX73" s="61" t="str">
        <v/>
      </c>
      <c r="BY73" s="61" t="str">
        <v/>
      </c>
      <c r="BZ73" s="61"/>
      <c r="CA73" s="61"/>
      <c r="CB73" s="61"/>
      <c r="CC73" s="142"/>
      <c r="CD73" s="142"/>
      <c r="CE73" s="142"/>
      <c r="CF73" s="142">
        <v>68</v>
      </c>
      <c r="CG73" s="142">
        <v>12</v>
      </c>
      <c r="CH73" s="142">
        <v>0</v>
      </c>
      <c r="CI73" s="142">
        <v>1</v>
      </c>
      <c r="CJ73" s="142" t="str">
        <v/>
      </c>
      <c r="CK73" s="142"/>
      <c r="CL73" s="142"/>
      <c r="CM73" s="142"/>
      <c r="CN73" s="61"/>
      <c r="CO73" s="61"/>
      <c r="CP73" s="168"/>
      <c r="CQ73" s="168"/>
      <c r="CR73" s="168"/>
      <c r="CS73" s="168"/>
      <c r="CT73" s="168"/>
      <c r="CU73" s="168">
        <v>68</v>
      </c>
      <c r="CV73" s="168">
        <v>1</v>
      </c>
      <c r="CW73" s="142">
        <v>1.8192576091040986</v>
      </c>
      <c r="CX73" s="142">
        <v>1.8192576091040986</v>
      </c>
      <c r="CY73" s="142" t="e">
        <v>#N/A</v>
      </c>
      <c r="CZ73" s="142" t="e">
        <v>#N/A</v>
      </c>
      <c r="DA73" s="142" t="e">
        <v>#N/A</v>
      </c>
      <c r="DB73" s="168" t="str">
        <v/>
      </c>
      <c r="DC73" s="168"/>
      <c r="DD73" s="168"/>
      <c r="DE73" s="168"/>
      <c r="DF73" s="168"/>
      <c r="DG73" s="168"/>
      <c r="DH73" s="168"/>
      <c r="DI73" s="168"/>
      <c r="DJ73" s="48"/>
      <c r="DK73" s="61"/>
      <c r="DL73" s="61"/>
      <c r="DM73" s="61"/>
      <c r="DN73" s="61"/>
      <c r="DO73" s="168"/>
      <c r="DP73" s="168"/>
      <c r="DQ73" s="168"/>
      <c r="DR73" s="168"/>
      <c r="DS73" s="142"/>
      <c r="DT73" s="142"/>
      <c r="DU73" s="142"/>
      <c r="DV73" s="142"/>
      <c r="DW73" s="142"/>
      <c r="DX73" s="142">
        <v>68</v>
      </c>
      <c r="DY73" s="142">
        <v>5</v>
      </c>
      <c r="DZ73" s="142">
        <v>0.60060696749325759</v>
      </c>
      <c r="EA73" s="142" t="str">
        <v/>
      </c>
      <c r="EB73" s="142"/>
      <c r="EC73" s="142"/>
      <c r="ED73" s="142"/>
    </row>
    <row r="74" spans="54:157" x14ac:dyDescent="0.2">
      <c r="BB74" s="61"/>
      <c r="BC74" s="61"/>
      <c r="BD74" s="61"/>
      <c r="BE74" s="61"/>
      <c r="BF74" s="61"/>
      <c r="BG74" s="61"/>
      <c r="BH74" s="61"/>
      <c r="BI74" s="61"/>
      <c r="BJ74" s="61"/>
      <c r="BK74" s="61"/>
      <c r="BL74" s="61"/>
      <c r="BM74" s="61"/>
      <c r="BN74" s="61"/>
      <c r="BO74" s="61"/>
      <c r="BP74" s="61"/>
      <c r="BQ74" s="61"/>
      <c r="BR74" s="61">
        <v>69</v>
      </c>
      <c r="BS74" s="61">
        <v>-1.3937007874015748</v>
      </c>
      <c r="BT74" s="61">
        <v>0.1510507394735649</v>
      </c>
      <c r="BU74" s="61">
        <v>5</v>
      </c>
      <c r="BV74" s="61">
        <v>0</v>
      </c>
      <c r="BW74" s="61">
        <v>0</v>
      </c>
      <c r="BX74" s="61">
        <v>-4.18</v>
      </c>
      <c r="BY74" s="61" t="str">
        <v/>
      </c>
      <c r="BZ74" s="61"/>
      <c r="CA74" s="61"/>
      <c r="CB74" s="61"/>
      <c r="CC74" s="142"/>
      <c r="CD74" s="142"/>
      <c r="CE74" s="142"/>
      <c r="CF74" s="142">
        <v>69</v>
      </c>
      <c r="CG74" s="142">
        <v>12</v>
      </c>
      <c r="CH74" s="142">
        <v>0</v>
      </c>
      <c r="CI74" s="142">
        <v>1</v>
      </c>
      <c r="CJ74" s="142" t="str">
        <v/>
      </c>
      <c r="CK74" s="142"/>
      <c r="CL74" s="142"/>
      <c r="CM74" s="142"/>
      <c r="CN74" s="61"/>
      <c r="CO74" s="61"/>
      <c r="CP74" s="168"/>
      <c r="CQ74" s="168"/>
      <c r="CR74" s="168"/>
      <c r="CS74" s="168"/>
      <c r="CT74" s="168"/>
      <c r="CU74" s="168">
        <v>69</v>
      </c>
      <c r="CV74" s="168">
        <v>1</v>
      </c>
      <c r="CW74" s="142">
        <v>1.8192576091040986</v>
      </c>
      <c r="CX74" s="142">
        <v>1.8192576091040986</v>
      </c>
      <c r="CY74" s="142" t="e">
        <v>#N/A</v>
      </c>
      <c r="CZ74" s="142" t="e">
        <v>#N/A</v>
      </c>
      <c r="DA74" s="142" t="e">
        <v>#N/A</v>
      </c>
      <c r="DB74" s="168" t="str">
        <v/>
      </c>
      <c r="DC74" s="168"/>
      <c r="DD74" s="168"/>
      <c r="DE74" s="168"/>
      <c r="DF74" s="168"/>
      <c r="DG74" s="168"/>
      <c r="DH74" s="168"/>
      <c r="DI74" s="168"/>
      <c r="DJ74" s="48"/>
      <c r="DK74" s="61"/>
      <c r="DL74" s="61"/>
      <c r="DM74" s="61"/>
      <c r="DN74" s="61"/>
      <c r="DO74" s="168"/>
      <c r="DP74" s="168"/>
      <c r="DQ74" s="168"/>
      <c r="DR74" s="168"/>
      <c r="DS74" s="142"/>
      <c r="DT74" s="142"/>
      <c r="DU74" s="142"/>
      <c r="DV74" s="142"/>
      <c r="DW74" s="142"/>
      <c r="DX74" s="142">
        <v>69</v>
      </c>
      <c r="DY74" s="142">
        <v>5</v>
      </c>
      <c r="DZ74" s="142">
        <v>0.60060696749325759</v>
      </c>
      <c r="EA74" s="142" t="str">
        <v/>
      </c>
      <c r="EB74" s="142"/>
      <c r="EC74" s="142"/>
      <c r="ED74" s="142"/>
    </row>
    <row r="75" spans="54:157" x14ac:dyDescent="0.2">
      <c r="BB75" s="61"/>
      <c r="BC75" s="61"/>
      <c r="BD75" s="61"/>
      <c r="BE75" s="61"/>
      <c r="BF75" s="61"/>
      <c r="BG75" s="61"/>
      <c r="BH75" s="61"/>
      <c r="BI75" s="61"/>
      <c r="BJ75" s="61"/>
      <c r="BK75" s="61"/>
      <c r="BL75" s="61"/>
      <c r="BM75" s="61"/>
      <c r="BN75" s="61"/>
      <c r="BO75" s="61"/>
      <c r="BP75" s="61"/>
      <c r="BQ75" s="61"/>
      <c r="BR75" s="61">
        <v>70</v>
      </c>
      <c r="BS75" s="61">
        <v>-1.3700787401574803</v>
      </c>
      <c r="BT75" s="61">
        <v>0.15606285904118991</v>
      </c>
      <c r="BU75" s="61">
        <v>5</v>
      </c>
      <c r="BV75" s="61">
        <v>0</v>
      </c>
      <c r="BW75" s="61">
        <v>0</v>
      </c>
      <c r="BX75" s="61" t="str">
        <v/>
      </c>
      <c r="BY75" s="61" t="str">
        <v/>
      </c>
      <c r="BZ75" s="61"/>
      <c r="CA75" s="61"/>
      <c r="CB75" s="61"/>
      <c r="CC75" s="142"/>
      <c r="CD75" s="142"/>
      <c r="CE75" s="142"/>
      <c r="CF75" s="142">
        <v>70</v>
      </c>
      <c r="CG75" s="142">
        <v>12</v>
      </c>
      <c r="CH75" s="142">
        <v>0</v>
      </c>
      <c r="CI75" s="142">
        <v>1</v>
      </c>
      <c r="CJ75" s="142" t="str">
        <v>13</v>
      </c>
      <c r="CK75" s="142"/>
      <c r="CL75" s="142"/>
      <c r="CM75" s="142"/>
      <c r="CN75" s="61"/>
      <c r="CO75" s="61"/>
      <c r="CP75" s="168"/>
      <c r="CQ75" s="168"/>
      <c r="CR75" s="168"/>
      <c r="CS75" s="168"/>
      <c r="CT75" s="168"/>
      <c r="CU75" s="168">
        <v>70</v>
      </c>
      <c r="CV75" s="168">
        <v>1</v>
      </c>
      <c r="CW75" s="142">
        <v>1.8192576091040986</v>
      </c>
      <c r="CX75" s="142">
        <v>1.8192576091040986</v>
      </c>
      <c r="CY75" s="142" t="e">
        <v>#N/A</v>
      </c>
      <c r="CZ75" s="142" t="e">
        <v>#N/A</v>
      </c>
      <c r="DA75" s="142" t="e">
        <v>#N/A</v>
      </c>
      <c r="DB75" s="168" t="str">
        <v/>
      </c>
      <c r="DC75" s="168"/>
      <c r="DD75" s="168"/>
      <c r="DE75" s="168"/>
      <c r="DF75" s="168"/>
      <c r="DG75" s="168"/>
      <c r="DH75" s="168"/>
      <c r="DI75" s="168"/>
      <c r="DJ75" s="48"/>
      <c r="DK75" s="61"/>
      <c r="DL75" s="61"/>
      <c r="DM75" s="61"/>
      <c r="DN75" s="61"/>
      <c r="DO75" s="168"/>
      <c r="DP75" s="168"/>
      <c r="DQ75" s="168"/>
      <c r="DR75" s="168"/>
      <c r="DS75" s="142"/>
      <c r="DT75" s="142"/>
      <c r="DU75" s="142"/>
      <c r="DV75" s="142"/>
      <c r="DW75" s="142"/>
      <c r="DX75" s="142">
        <v>70</v>
      </c>
      <c r="DY75" s="142">
        <v>5</v>
      </c>
      <c r="DZ75" s="142">
        <v>0.60060696749325759</v>
      </c>
      <c r="EA75" s="142" t="str">
        <v/>
      </c>
      <c r="EB75" s="142"/>
      <c r="EC75" s="142"/>
      <c r="ED75" s="142"/>
    </row>
    <row r="76" spans="54:157" x14ac:dyDescent="0.2">
      <c r="BB76" s="61"/>
      <c r="BC76" s="61"/>
      <c r="BD76" s="61"/>
      <c r="BE76" s="61"/>
      <c r="BF76" s="61"/>
      <c r="BG76" s="61"/>
      <c r="BH76" s="61"/>
      <c r="BI76" s="61"/>
      <c r="BJ76" s="61"/>
      <c r="BK76" s="61"/>
      <c r="BL76" s="61"/>
      <c r="BM76" s="61"/>
      <c r="BN76" s="61"/>
      <c r="BO76" s="61"/>
      <c r="BP76" s="61"/>
      <c r="BQ76" s="61"/>
      <c r="BR76" s="61">
        <v>71</v>
      </c>
      <c r="BS76" s="61">
        <v>-1.3464566929133859</v>
      </c>
      <c r="BT76" s="61">
        <v>0.16115134151010232</v>
      </c>
      <c r="BU76" s="61">
        <v>5</v>
      </c>
      <c r="BV76" s="61">
        <v>0</v>
      </c>
      <c r="BW76" s="61">
        <v>0</v>
      </c>
      <c r="BX76" s="61" t="str">
        <v/>
      </c>
      <c r="BY76" s="61" t="str">
        <v/>
      </c>
      <c r="BZ76" s="61"/>
      <c r="CA76" s="61"/>
      <c r="CB76" s="61"/>
      <c r="CC76" s="142"/>
      <c r="CD76" s="142"/>
      <c r="CE76" s="142"/>
      <c r="CF76" s="142">
        <v>71</v>
      </c>
      <c r="CG76" s="142">
        <v>12</v>
      </c>
      <c r="CH76" s="142">
        <v>0</v>
      </c>
      <c r="CI76" s="142">
        <v>1</v>
      </c>
      <c r="CJ76" s="142" t="str">
        <v/>
      </c>
      <c r="CK76" s="142"/>
      <c r="CL76" s="142"/>
      <c r="CM76" s="142"/>
      <c r="CN76" s="61"/>
      <c r="CO76" s="61"/>
      <c r="CP76" s="168"/>
      <c r="CQ76" s="168"/>
      <c r="CR76" s="168"/>
      <c r="CS76" s="168"/>
      <c r="CT76" s="168"/>
      <c r="CU76" s="168">
        <v>71</v>
      </c>
      <c r="CV76" s="168">
        <v>1</v>
      </c>
      <c r="CW76" s="142">
        <v>1.8192576091040986</v>
      </c>
      <c r="CX76" s="142">
        <v>1.8192576091040986</v>
      </c>
      <c r="CY76" s="142" t="e">
        <v>#N/A</v>
      </c>
      <c r="CZ76" s="142" t="e">
        <v>#N/A</v>
      </c>
      <c r="DA76" s="142" t="e">
        <v>#N/A</v>
      </c>
      <c r="DB76" s="168" t="str">
        <v/>
      </c>
      <c r="DC76" s="168"/>
      <c r="DD76" s="168"/>
      <c r="DE76" s="168"/>
      <c r="DF76" s="168"/>
      <c r="DG76" s="168"/>
      <c r="DH76" s="168"/>
      <c r="DI76" s="168"/>
      <c r="DJ76" s="48"/>
      <c r="DK76" s="61"/>
      <c r="DL76" s="61"/>
      <c r="DM76" s="61"/>
      <c r="DN76" s="61"/>
      <c r="DO76" s="168"/>
      <c r="DP76" s="168"/>
      <c r="DQ76" s="168"/>
      <c r="DR76" s="168"/>
      <c r="DS76" s="142"/>
      <c r="DT76" s="142"/>
      <c r="DU76" s="142"/>
      <c r="DV76" s="142"/>
      <c r="DW76" s="142"/>
      <c r="DX76" s="142">
        <v>71</v>
      </c>
      <c r="DY76" s="142">
        <v>5</v>
      </c>
      <c r="DZ76" s="142">
        <v>0.60060696749325759</v>
      </c>
      <c r="EA76" s="142" t="str">
        <v/>
      </c>
      <c r="EB76" s="142"/>
      <c r="EC76" s="142"/>
      <c r="ED76" s="142"/>
    </row>
    <row r="77" spans="54:157" x14ac:dyDescent="0.2">
      <c r="BB77" s="61"/>
      <c r="BC77" s="61"/>
      <c r="BD77" s="61"/>
      <c r="BE77" s="61"/>
      <c r="BF77" s="61"/>
      <c r="BG77" s="61"/>
      <c r="BH77" s="61"/>
      <c r="BI77" s="61"/>
      <c r="BJ77" s="61"/>
      <c r="BK77" s="61"/>
      <c r="BL77" s="61"/>
      <c r="BM77" s="61"/>
      <c r="BN77" s="61"/>
      <c r="BO77" s="61"/>
      <c r="BP77" s="61"/>
      <c r="BQ77" s="61"/>
      <c r="BR77" s="61">
        <v>72</v>
      </c>
      <c r="BS77" s="61">
        <v>-1.3228346456692914</v>
      </c>
      <c r="BT77" s="61">
        <v>0.16631290699180915</v>
      </c>
      <c r="BU77" s="61">
        <v>5</v>
      </c>
      <c r="BV77" s="61">
        <v>0</v>
      </c>
      <c r="BW77" s="61">
        <v>0</v>
      </c>
      <c r="BX77" s="61" t="str">
        <v/>
      </c>
      <c r="BY77" s="61" t="str">
        <v/>
      </c>
      <c r="BZ77" s="61"/>
      <c r="CA77" s="61"/>
      <c r="CB77" s="61"/>
      <c r="CC77" s="142"/>
      <c r="CD77" s="142"/>
      <c r="CE77" s="142"/>
      <c r="CF77" s="142">
        <v>72</v>
      </c>
      <c r="CG77" s="142">
        <v>12</v>
      </c>
      <c r="CH77" s="142">
        <v>1</v>
      </c>
      <c r="CI77" s="142" t="e">
        <v>#N/A</v>
      </c>
      <c r="CJ77" s="142" t="str">
        <v/>
      </c>
      <c r="CK77" s="142"/>
      <c r="CL77" s="142"/>
      <c r="CM77" s="142"/>
      <c r="CN77" s="61"/>
      <c r="CO77" s="61"/>
      <c r="CP77" s="168"/>
      <c r="CQ77" s="168"/>
      <c r="CR77" s="168"/>
      <c r="CS77" s="168"/>
      <c r="CT77" s="168"/>
      <c r="CU77" s="168">
        <v>72</v>
      </c>
      <c r="CV77" s="168">
        <v>1</v>
      </c>
      <c r="CW77" s="142">
        <v>1.8192576091040986</v>
      </c>
      <c r="CX77" s="142">
        <v>1.8192576091040986</v>
      </c>
      <c r="CY77" s="142" t="e">
        <v>#N/A</v>
      </c>
      <c r="CZ77" s="142" t="e">
        <v>#N/A</v>
      </c>
      <c r="DA77" s="142" t="e">
        <v>#N/A</v>
      </c>
      <c r="DB77" s="168" t="str">
        <v/>
      </c>
      <c r="DC77" s="168"/>
      <c r="DD77" s="168"/>
      <c r="DE77" s="168"/>
      <c r="DF77" s="168"/>
      <c r="DG77" s="168"/>
      <c r="DH77" s="168"/>
      <c r="DI77" s="168"/>
      <c r="DJ77" s="48"/>
      <c r="DK77" s="61"/>
      <c r="DL77" s="61"/>
      <c r="DM77" s="61"/>
      <c r="DN77" s="61"/>
      <c r="DO77" s="168"/>
      <c r="DP77" s="168"/>
      <c r="DQ77" s="168"/>
      <c r="DR77" s="168"/>
      <c r="DS77" s="142"/>
      <c r="DT77" s="142"/>
      <c r="DU77" s="142"/>
      <c r="DV77" s="142"/>
      <c r="DW77" s="142"/>
      <c r="DX77" s="142">
        <v>72</v>
      </c>
      <c r="DY77" s="142">
        <v>5</v>
      </c>
      <c r="DZ77" s="142">
        <v>0.60060696749325759</v>
      </c>
      <c r="EA77" s="142" t="str">
        <v/>
      </c>
      <c r="EB77" s="142"/>
      <c r="EC77" s="142"/>
      <c r="ED77" s="142"/>
    </row>
    <row r="78" spans="54:157" x14ac:dyDescent="0.2">
      <c r="BB78" s="61"/>
      <c r="BC78" s="61"/>
      <c r="BD78" s="61"/>
      <c r="BE78" s="61"/>
      <c r="BF78" s="61"/>
      <c r="BG78" s="61"/>
      <c r="BH78" s="61"/>
      <c r="BI78" s="61"/>
      <c r="BJ78" s="61"/>
      <c r="BK78" s="61"/>
      <c r="BL78" s="61"/>
      <c r="BM78" s="61"/>
      <c r="BN78" s="61"/>
      <c r="BO78" s="61"/>
      <c r="BP78" s="61"/>
      <c r="BQ78" s="61"/>
      <c r="BR78" s="61">
        <v>73</v>
      </c>
      <c r="BS78" s="61">
        <v>-1.2992125984251968</v>
      </c>
      <c r="BT78" s="61">
        <v>0.17154404534889048</v>
      </c>
      <c r="BU78" s="61">
        <v>5</v>
      </c>
      <c r="BV78" s="61">
        <v>0</v>
      </c>
      <c r="BW78" s="61">
        <v>0</v>
      </c>
      <c r="BX78" s="61" t="str">
        <v/>
      </c>
      <c r="BY78" s="61" t="str">
        <v/>
      </c>
      <c r="BZ78" s="61"/>
      <c r="CA78" s="61"/>
      <c r="CB78" s="61"/>
      <c r="CC78" s="142"/>
      <c r="CD78" s="142"/>
      <c r="CE78" s="142"/>
      <c r="CF78" s="142"/>
      <c r="CG78" s="142"/>
      <c r="CH78" s="142"/>
      <c r="CI78" s="142"/>
      <c r="CJ78" s="142"/>
      <c r="CK78" s="142"/>
      <c r="CL78" s="142"/>
      <c r="CM78" s="142"/>
      <c r="CN78" s="61"/>
      <c r="CO78" s="61"/>
      <c r="CP78" s="168"/>
      <c r="CQ78" s="168"/>
      <c r="CR78" s="168"/>
      <c r="CS78" s="168"/>
      <c r="CT78" s="168"/>
      <c r="CU78" s="168">
        <v>73</v>
      </c>
      <c r="CV78" s="168">
        <v>1</v>
      </c>
      <c r="CW78" s="142">
        <v>1.8192576091040986</v>
      </c>
      <c r="CX78" s="142">
        <v>1.8192576091040986</v>
      </c>
      <c r="CY78" s="142" t="e">
        <v>#N/A</v>
      </c>
      <c r="CZ78" s="142" t="e">
        <v>#N/A</v>
      </c>
      <c r="DA78" s="142" t="e">
        <v>#N/A</v>
      </c>
      <c r="DB78" s="168" t="str">
        <v/>
      </c>
      <c r="DC78" s="168"/>
      <c r="DD78" s="168"/>
      <c r="DE78" s="168"/>
      <c r="DF78" s="168"/>
      <c r="DG78" s="168"/>
      <c r="DH78" s="168"/>
      <c r="DI78" s="168"/>
      <c r="DJ78" s="48"/>
      <c r="DK78" s="61"/>
      <c r="DL78" s="61"/>
      <c r="DM78" s="61"/>
      <c r="DN78" s="61"/>
      <c r="DO78" s="168"/>
      <c r="DP78" s="168"/>
      <c r="DQ78" s="168"/>
      <c r="DR78" s="168"/>
      <c r="DS78" s="142"/>
      <c r="DT78" s="142"/>
      <c r="DU78" s="142"/>
      <c r="DV78" s="142"/>
      <c r="DW78" s="142"/>
      <c r="DX78" s="142">
        <v>73</v>
      </c>
      <c r="DY78" s="142">
        <v>5</v>
      </c>
      <c r="DZ78" s="142">
        <v>0.60060696749325759</v>
      </c>
      <c r="EA78" s="142" t="str">
        <v/>
      </c>
      <c r="EB78" s="142"/>
      <c r="EC78" s="142"/>
      <c r="ED78" s="142"/>
    </row>
    <row r="79" spans="54:157" x14ac:dyDescent="0.2">
      <c r="BB79" s="61"/>
      <c r="BC79" s="61"/>
      <c r="BD79" s="61"/>
      <c r="BE79" s="61"/>
      <c r="BF79" s="61"/>
      <c r="BG79" s="61"/>
      <c r="BH79" s="61"/>
      <c r="BI79" s="61"/>
      <c r="BJ79" s="61"/>
      <c r="BK79" s="61"/>
      <c r="BL79" s="61"/>
      <c r="BM79" s="61"/>
      <c r="BN79" s="61"/>
      <c r="BO79" s="61"/>
      <c r="BP79" s="61"/>
      <c r="BQ79" s="61"/>
      <c r="BR79" s="61">
        <v>74</v>
      </c>
      <c r="BS79" s="61">
        <v>-1.2755905511811023</v>
      </c>
      <c r="BT79" s="61">
        <v>0.17684101677777864</v>
      </c>
      <c r="BU79" s="61">
        <v>5</v>
      </c>
      <c r="BV79" s="61">
        <v>0</v>
      </c>
      <c r="BW79" s="61">
        <v>0</v>
      </c>
      <c r="BX79" s="61" t="str">
        <v/>
      </c>
      <c r="BY79" s="61" t="str">
        <v/>
      </c>
      <c r="BZ79" s="61"/>
      <c r="CA79" s="61"/>
      <c r="CB79" s="61"/>
      <c r="CC79" s="142"/>
      <c r="CD79" s="142"/>
      <c r="CE79" s="142"/>
      <c r="CF79" s="142"/>
      <c r="CG79" s="142"/>
      <c r="CH79" s="142"/>
      <c r="CI79" s="142"/>
      <c r="CJ79" s="142"/>
      <c r="CK79" s="142"/>
      <c r="CL79" s="142"/>
      <c r="CM79" s="142"/>
      <c r="CN79" s="61"/>
      <c r="CO79" s="61"/>
      <c r="CP79" s="168"/>
      <c r="CQ79" s="168"/>
      <c r="CR79" s="168"/>
      <c r="CS79" s="168"/>
      <c r="CT79" s="168"/>
      <c r="CU79" s="168">
        <v>74</v>
      </c>
      <c r="CV79" s="168">
        <v>1</v>
      </c>
      <c r="CW79" s="142">
        <v>1.8192576091040986</v>
      </c>
      <c r="CX79" s="142">
        <v>1.8192576091040986</v>
      </c>
      <c r="CY79" s="142" t="e">
        <v>#N/A</v>
      </c>
      <c r="CZ79" s="142" t="e">
        <v>#N/A</v>
      </c>
      <c r="DA79" s="142" t="e">
        <v>#N/A</v>
      </c>
      <c r="DB79" s="168" t="str">
        <v/>
      </c>
      <c r="DC79" s="168"/>
      <c r="DD79" s="168"/>
      <c r="DE79" s="168"/>
      <c r="DF79" s="168"/>
      <c r="DG79" s="168"/>
      <c r="DH79" s="168"/>
      <c r="DI79" s="168"/>
      <c r="DJ79" s="48"/>
      <c r="DK79" s="61"/>
      <c r="DL79" s="61"/>
      <c r="DM79" s="61"/>
      <c r="DN79" s="61"/>
      <c r="DO79" s="168"/>
      <c r="DP79" s="168"/>
      <c r="DQ79" s="168"/>
      <c r="DR79" s="168"/>
      <c r="DS79" s="142"/>
      <c r="DT79" s="142"/>
      <c r="DU79" s="142"/>
      <c r="DV79" s="142"/>
      <c r="DW79" s="142"/>
      <c r="DX79" s="142">
        <v>74</v>
      </c>
      <c r="DY79" s="142">
        <v>5</v>
      </c>
      <c r="DZ79" s="142">
        <v>0.60060696749325759</v>
      </c>
      <c r="EA79" s="142" t="str">
        <v/>
      </c>
      <c r="EB79" s="142"/>
      <c r="EC79" s="142"/>
      <c r="ED79" s="142"/>
    </row>
    <row r="80" spans="54:157" x14ac:dyDescent="0.2">
      <c r="BB80" s="61"/>
      <c r="BC80" s="61"/>
      <c r="BD80" s="61"/>
      <c r="BE80" s="61"/>
      <c r="BF80" s="61"/>
      <c r="BG80" s="61"/>
      <c r="BH80" s="61"/>
      <c r="BI80" s="61"/>
      <c r="BJ80" s="61"/>
      <c r="BK80" s="61"/>
      <c r="BL80" s="61"/>
      <c r="BM80" s="61"/>
      <c r="BN80" s="61"/>
      <c r="BO80" s="61"/>
      <c r="BP80" s="61"/>
      <c r="BQ80" s="61"/>
      <c r="BR80" s="61">
        <v>75</v>
      </c>
      <c r="BS80" s="61">
        <v>-1.2519685039370079</v>
      </c>
      <c r="BT80" s="61">
        <v>0.18219985306058237</v>
      </c>
      <c r="BU80" s="61">
        <v>5</v>
      </c>
      <c r="BV80" s="61">
        <v>0</v>
      </c>
      <c r="BW80" s="61">
        <v>0</v>
      </c>
      <c r="BX80" s="61" t="str">
        <v/>
      </c>
      <c r="BY80" s="61" t="str">
        <v/>
      </c>
      <c r="BZ80" s="61"/>
      <c r="CA80" s="61"/>
      <c r="CB80" s="61"/>
      <c r="CC80" s="142"/>
      <c r="CD80" s="142"/>
      <c r="CE80" s="142"/>
      <c r="CF80" s="142"/>
      <c r="CG80" s="142"/>
      <c r="CH80" s="142"/>
      <c r="CI80" s="142"/>
      <c r="CJ80" s="142"/>
      <c r="CK80" s="142"/>
      <c r="CL80" s="142"/>
      <c r="CM80" s="142"/>
      <c r="CN80" s="61"/>
      <c r="CO80" s="61"/>
      <c r="CP80" s="168"/>
      <c r="CQ80" s="168"/>
      <c r="CR80" s="168"/>
      <c r="CS80" s="168"/>
      <c r="CT80" s="168"/>
      <c r="CU80" s="168">
        <v>75</v>
      </c>
      <c r="CV80" s="168">
        <v>1</v>
      </c>
      <c r="CW80" s="142">
        <v>1.8192576091040986</v>
      </c>
      <c r="CX80" s="142">
        <v>1.8192576091040986</v>
      </c>
      <c r="CY80" s="142" t="e">
        <v>#N/A</v>
      </c>
      <c r="CZ80" s="142" t="e">
        <v>#N/A</v>
      </c>
      <c r="DA80" s="142" t="e">
        <v>#N/A</v>
      </c>
      <c r="DB80" s="168" t="str">
        <v/>
      </c>
      <c r="DC80" s="168"/>
      <c r="DD80" s="168"/>
      <c r="DE80" s="168"/>
      <c r="DF80" s="168"/>
      <c r="DG80" s="168"/>
      <c r="DH80" s="168"/>
      <c r="DI80" s="168"/>
      <c r="DJ80" s="48"/>
      <c r="DK80" s="61"/>
      <c r="DL80" s="61"/>
      <c r="DM80" s="61"/>
      <c r="DN80" s="61"/>
      <c r="DO80" s="168"/>
      <c r="DP80" s="168"/>
      <c r="DQ80" s="168"/>
      <c r="DR80" s="168"/>
      <c r="DS80" s="142"/>
      <c r="DT80" s="142"/>
      <c r="DU80" s="142"/>
      <c r="DV80" s="142"/>
      <c r="DW80" s="142"/>
      <c r="DX80" s="142">
        <v>75</v>
      </c>
      <c r="DY80" s="142">
        <v>5</v>
      </c>
      <c r="DZ80" s="142">
        <v>0.60060696749325759</v>
      </c>
      <c r="EA80" s="142" t="str">
        <v/>
      </c>
      <c r="EB80" s="142"/>
      <c r="EC80" s="142"/>
      <c r="ED80" s="142"/>
    </row>
    <row r="81" spans="54:134" x14ac:dyDescent="0.2">
      <c r="BB81" s="61"/>
      <c r="BC81" s="61"/>
      <c r="BD81" s="61"/>
      <c r="BE81" s="61"/>
      <c r="BF81" s="61"/>
      <c r="BG81" s="61"/>
      <c r="BH81" s="61"/>
      <c r="BI81" s="61"/>
      <c r="BJ81" s="61"/>
      <c r="BK81" s="61"/>
      <c r="BL81" s="61"/>
      <c r="BM81" s="61"/>
      <c r="BN81" s="61"/>
      <c r="BO81" s="61"/>
      <c r="BP81" s="61"/>
      <c r="BQ81" s="61"/>
      <c r="BR81" s="61">
        <v>76</v>
      </c>
      <c r="BS81" s="61">
        <v>-1.2283464566929134</v>
      </c>
      <c r="BT81" s="61">
        <v>0.18761635950273947</v>
      </c>
      <c r="BU81" s="61">
        <v>5</v>
      </c>
      <c r="BV81" s="61">
        <v>0</v>
      </c>
      <c r="BW81" s="61">
        <v>0</v>
      </c>
      <c r="BX81" s="61" t="str">
        <v/>
      </c>
      <c r="BY81" s="61" t="str">
        <v/>
      </c>
      <c r="BZ81" s="61"/>
      <c r="CA81" s="61"/>
      <c r="CB81" s="61"/>
      <c r="CC81" s="142"/>
      <c r="CD81" s="142"/>
      <c r="CE81" s="142"/>
      <c r="CF81" s="142"/>
      <c r="CG81" s="142"/>
      <c r="CH81" s="142"/>
      <c r="CI81" s="142"/>
      <c r="CJ81" s="142"/>
      <c r="CK81" s="142"/>
      <c r="CL81" s="142"/>
      <c r="CM81" s="142"/>
      <c r="CN81" s="61"/>
      <c r="CO81" s="61"/>
      <c r="CP81" s="168"/>
      <c r="CQ81" s="168"/>
      <c r="CR81" s="168"/>
      <c r="CS81" s="168"/>
      <c r="CT81" s="168"/>
      <c r="CU81" s="168">
        <v>76</v>
      </c>
      <c r="CV81" s="168">
        <v>1</v>
      </c>
      <c r="CW81" s="142">
        <v>1.8192576091040986</v>
      </c>
      <c r="CX81" s="142">
        <v>1.8192576091040986</v>
      </c>
      <c r="CY81" s="142" t="e">
        <v>#N/A</v>
      </c>
      <c r="CZ81" s="142" t="e">
        <v>#N/A</v>
      </c>
      <c r="DA81" s="142" t="e">
        <v>#N/A</v>
      </c>
      <c r="DB81" s="168" t="str">
        <v/>
      </c>
      <c r="DC81" s="168"/>
      <c r="DD81" s="168"/>
      <c r="DE81" s="168"/>
      <c r="DF81" s="168"/>
      <c r="DG81" s="168"/>
      <c r="DH81" s="168"/>
      <c r="DI81" s="168"/>
      <c r="DJ81" s="48"/>
      <c r="DK81" s="61"/>
      <c r="DL81" s="61"/>
      <c r="DM81" s="61"/>
      <c r="DN81" s="61"/>
      <c r="DO81" s="168"/>
      <c r="DP81" s="168"/>
      <c r="DQ81" s="168"/>
      <c r="DR81" s="168"/>
      <c r="DS81" s="142"/>
      <c r="DT81" s="142"/>
      <c r="DU81" s="142"/>
      <c r="DV81" s="142"/>
      <c r="DW81" s="142"/>
      <c r="DX81" s="142">
        <v>76</v>
      </c>
      <c r="DY81" s="142">
        <v>6</v>
      </c>
      <c r="DZ81" s="142">
        <v>8.8224752287145186E-2</v>
      </c>
      <c r="EA81" s="142" t="str">
        <v>2.8 (83%)</v>
      </c>
      <c r="EB81" s="142"/>
      <c r="EC81" s="142"/>
      <c r="ED81" s="142"/>
    </row>
    <row r="82" spans="54:134" x14ac:dyDescent="0.2">
      <c r="BB82" s="61"/>
      <c r="BC82" s="61"/>
      <c r="BD82" s="61"/>
      <c r="BE82" s="61"/>
      <c r="BF82" s="61"/>
      <c r="BG82" s="61"/>
      <c r="BH82" s="61"/>
      <c r="BI82" s="61"/>
      <c r="BJ82" s="61"/>
      <c r="BK82" s="61"/>
      <c r="BL82" s="61"/>
      <c r="BM82" s="61"/>
      <c r="BN82" s="61"/>
      <c r="BO82" s="61"/>
      <c r="BP82" s="61"/>
      <c r="BQ82" s="61"/>
      <c r="BR82" s="61">
        <v>77</v>
      </c>
      <c r="BS82" s="61">
        <v>-1.204724409448819</v>
      </c>
      <c r="BT82" s="61">
        <v>0.19308611757108682</v>
      </c>
      <c r="BU82" s="61">
        <v>5</v>
      </c>
      <c r="BV82" s="61">
        <v>0</v>
      </c>
      <c r="BW82" s="61">
        <v>0</v>
      </c>
      <c r="BX82" s="61" t="str">
        <v/>
      </c>
      <c r="BY82" s="61" t="str">
        <v/>
      </c>
      <c r="BZ82" s="61"/>
      <c r="CA82" s="61"/>
      <c r="CB82" s="61"/>
      <c r="CC82" s="142"/>
      <c r="CD82" s="142"/>
      <c r="CE82" s="142"/>
      <c r="CF82" s="142"/>
      <c r="CG82" s="142"/>
      <c r="CH82" s="142"/>
      <c r="CI82" s="142"/>
      <c r="CJ82" s="142"/>
      <c r="CK82" s="142"/>
      <c r="CL82" s="142"/>
      <c r="CM82" s="142"/>
      <c r="CN82" s="61"/>
      <c r="CO82" s="61"/>
      <c r="CP82" s="168"/>
      <c r="CQ82" s="168"/>
      <c r="CR82" s="168"/>
      <c r="CS82" s="168"/>
      <c r="CT82" s="168"/>
      <c r="CU82" s="168">
        <v>77</v>
      </c>
      <c r="CV82" s="168">
        <v>1</v>
      </c>
      <c r="CW82" s="142">
        <v>1.8192576091040986</v>
      </c>
      <c r="CX82" s="142">
        <v>1.8192576091040986</v>
      </c>
      <c r="CY82" s="142" t="e">
        <v>#N/A</v>
      </c>
      <c r="CZ82" s="142" t="e">
        <v>#N/A</v>
      </c>
      <c r="DA82" s="142" t="e">
        <v>#N/A</v>
      </c>
      <c r="DB82" s="168" t="str">
        <v/>
      </c>
      <c r="DC82" s="168"/>
      <c r="DD82" s="168"/>
      <c r="DE82" s="168"/>
      <c r="DF82" s="168"/>
      <c r="DG82" s="168"/>
      <c r="DH82" s="168"/>
      <c r="DI82" s="168"/>
      <c r="DJ82" s="48"/>
      <c r="DK82" s="61"/>
      <c r="DL82" s="61"/>
      <c r="DM82" s="61"/>
      <c r="DN82" s="61"/>
      <c r="DO82" s="168"/>
      <c r="DP82" s="168"/>
      <c r="DQ82" s="168"/>
      <c r="DR82" s="168"/>
      <c r="DS82" s="142"/>
      <c r="DT82" s="142"/>
      <c r="DU82" s="142"/>
      <c r="DV82" s="142"/>
      <c r="DW82" s="142"/>
      <c r="DX82" s="142">
        <v>77</v>
      </c>
      <c r="DY82" s="142">
        <v>6</v>
      </c>
      <c r="DZ82" s="142">
        <v>8.8224752287145186E-2</v>
      </c>
      <c r="EA82" s="142" t="str">
        <v/>
      </c>
      <c r="EB82" s="142"/>
      <c r="EC82" s="142"/>
      <c r="ED82" s="142"/>
    </row>
    <row r="83" spans="54:134" x14ac:dyDescent="0.2">
      <c r="BB83" s="61"/>
      <c r="BC83" s="61"/>
      <c r="BD83" s="61"/>
      <c r="BE83" s="61"/>
      <c r="BF83" s="61"/>
      <c r="BG83" s="61"/>
      <c r="BH83" s="61"/>
      <c r="BI83" s="61"/>
      <c r="BJ83" s="61"/>
      <c r="BK83" s="61"/>
      <c r="BL83" s="61"/>
      <c r="BM83" s="61"/>
      <c r="BN83" s="61"/>
      <c r="BO83" s="61"/>
      <c r="BP83" s="61"/>
      <c r="BQ83" s="61"/>
      <c r="BR83" s="61">
        <v>78</v>
      </c>
      <c r="BS83" s="61">
        <v>-1.1811023622047245</v>
      </c>
      <c r="BT83" s="61">
        <v>0.19860448824460644</v>
      </c>
      <c r="BU83" s="61">
        <v>5</v>
      </c>
      <c r="BV83" s="61">
        <v>0</v>
      </c>
      <c r="BW83" s="61">
        <v>0</v>
      </c>
      <c r="BX83" s="61" t="str">
        <v/>
      </c>
      <c r="BY83" s="61" t="str">
        <v/>
      </c>
      <c r="BZ83" s="61"/>
      <c r="CA83" s="61"/>
      <c r="CB83" s="61"/>
      <c r="CC83" s="142"/>
      <c r="CD83" s="142"/>
      <c r="CE83" s="142"/>
      <c r="CF83" s="142"/>
      <c r="CG83" s="142"/>
      <c r="CH83" s="142"/>
      <c r="CI83" s="142"/>
      <c r="CJ83" s="142"/>
      <c r="CK83" s="142"/>
      <c r="CL83" s="142"/>
      <c r="CM83" s="142"/>
      <c r="CN83" s="61"/>
      <c r="CO83" s="61"/>
      <c r="CP83" s="168"/>
      <c r="CQ83" s="168"/>
      <c r="CR83" s="168"/>
      <c r="CS83" s="168"/>
      <c r="CT83" s="168"/>
      <c r="CU83" s="168">
        <v>78</v>
      </c>
      <c r="CV83" s="168">
        <v>1</v>
      </c>
      <c r="CW83" s="142">
        <v>1.8192576091040986</v>
      </c>
      <c r="CX83" s="142">
        <v>1.8192576091040986</v>
      </c>
      <c r="CY83" s="142" t="e">
        <v>#N/A</v>
      </c>
      <c r="CZ83" s="142" t="e">
        <v>#N/A</v>
      </c>
      <c r="DA83" s="142" t="e">
        <v>#N/A</v>
      </c>
      <c r="DB83" s="168" t="str">
        <v/>
      </c>
      <c r="DC83" s="168"/>
      <c r="DD83" s="168"/>
      <c r="DE83" s="168"/>
      <c r="DF83" s="168"/>
      <c r="DG83" s="168"/>
      <c r="DH83" s="168"/>
      <c r="DI83" s="168"/>
      <c r="DJ83" s="48"/>
      <c r="DK83" s="61"/>
      <c r="DL83" s="61"/>
      <c r="DM83" s="61"/>
      <c r="DN83" s="61"/>
      <c r="DO83" s="168"/>
      <c r="DP83" s="168"/>
      <c r="DQ83" s="168"/>
      <c r="DR83" s="168"/>
      <c r="DS83" s="142"/>
      <c r="DT83" s="142"/>
      <c r="DU83" s="142"/>
      <c r="DV83" s="142"/>
      <c r="DW83" s="142"/>
      <c r="DX83" s="142">
        <v>78</v>
      </c>
      <c r="DY83" s="142">
        <v>6</v>
      </c>
      <c r="DZ83" s="142">
        <v>8.8224752287145186E-2</v>
      </c>
      <c r="EA83" s="142" t="str">
        <v/>
      </c>
      <c r="EB83" s="142"/>
      <c r="EC83" s="142"/>
      <c r="ED83" s="142"/>
    </row>
    <row r="84" spans="54:134" x14ac:dyDescent="0.2">
      <c r="BR84">
        <v>79</v>
      </c>
      <c r="BS84">
        <v>-1.1574803149606299</v>
      </c>
      <c r="BT84" s="42">
        <v>0.20416661608765052</v>
      </c>
      <c r="BU84" s="42">
        <v>5</v>
      </c>
      <c r="BV84" s="42">
        <v>0</v>
      </c>
      <c r="BW84" s="42">
        <v>0</v>
      </c>
      <c r="BX84" s="42" t="str">
        <v/>
      </c>
      <c r="BY84" s="42" t="str">
        <v/>
      </c>
      <c r="CU84" s="42">
        <v>79</v>
      </c>
      <c r="CV84" s="42">
        <v>1</v>
      </c>
      <c r="CW84" s="42">
        <v>1.8192576091040986</v>
      </c>
      <c r="CX84" s="42">
        <v>1.8192576091040986</v>
      </c>
      <c r="CY84" s="42" t="e">
        <v>#N/A</v>
      </c>
      <c r="CZ84" s="42" t="e">
        <v>#N/A</v>
      </c>
      <c r="DA84" t="e">
        <v>#N/A</v>
      </c>
      <c r="DB84" t="str">
        <v/>
      </c>
      <c r="DX84">
        <v>79</v>
      </c>
      <c r="DY84">
        <v>6</v>
      </c>
      <c r="DZ84">
        <v>8.8224752287145186E-2</v>
      </c>
      <c r="EA84" t="str">
        <v/>
      </c>
    </row>
    <row r="85" spans="54:134" x14ac:dyDescent="0.2">
      <c r="BR85">
        <v>80</v>
      </c>
      <c r="BS85">
        <v>-1.1338582677165354</v>
      </c>
      <c r="BT85" s="42">
        <v>0.20976743405287621</v>
      </c>
      <c r="BU85" s="42">
        <v>5</v>
      </c>
      <c r="BV85" s="42">
        <v>0</v>
      </c>
      <c r="BW85" s="42">
        <v>0</v>
      </c>
      <c r="BX85" s="42" t="str">
        <v/>
      </c>
      <c r="BY85" s="42" t="str">
        <v/>
      </c>
      <c r="CU85" s="42">
        <v>80</v>
      </c>
      <c r="CV85" s="42">
        <v>1</v>
      </c>
      <c r="CW85" s="42">
        <v>1.8192576091040986</v>
      </c>
      <c r="CX85" s="42">
        <v>1.8192576091040986</v>
      </c>
      <c r="CY85" s="42" t="e">
        <v>#N/A</v>
      </c>
      <c r="CZ85" s="42" t="e">
        <v>#N/A</v>
      </c>
      <c r="DA85" t="e">
        <v>#N/A</v>
      </c>
      <c r="DB85" t="str">
        <v/>
      </c>
      <c r="DX85">
        <v>80</v>
      </c>
      <c r="DY85">
        <v>6</v>
      </c>
      <c r="DZ85">
        <v>8.8224752287145186E-2</v>
      </c>
      <c r="EA85" t="str">
        <v/>
      </c>
    </row>
    <row r="86" spans="54:134" x14ac:dyDescent="0.2">
      <c r="BR86">
        <v>81</v>
      </c>
      <c r="BS86">
        <v>-1.110236220472441</v>
      </c>
      <c r="BT86" s="42">
        <v>0.21540166901844124</v>
      </c>
      <c r="BU86" s="42">
        <v>5</v>
      </c>
      <c r="BV86" s="42">
        <v>0</v>
      </c>
      <c r="BW86" s="42">
        <v>0</v>
      </c>
      <c r="BX86" s="42" t="str">
        <v/>
      </c>
      <c r="BY86" s="42" t="str">
        <v/>
      </c>
      <c r="CU86" s="42">
        <v>81</v>
      </c>
      <c r="CV86" s="42">
        <v>1</v>
      </c>
      <c r="CW86" s="42">
        <v>1.8192576091040986</v>
      </c>
      <c r="CX86" s="42">
        <v>1.8192576091040986</v>
      </c>
      <c r="CY86" s="42" t="e">
        <v>#N/A</v>
      </c>
      <c r="CZ86" s="42" t="e">
        <v>#N/A</v>
      </c>
      <c r="DA86" t="e">
        <v>#N/A</v>
      </c>
      <c r="DB86" t="str">
        <v/>
      </c>
      <c r="DX86">
        <v>81</v>
      </c>
      <c r="DY86">
        <v>6</v>
      </c>
      <c r="DZ86">
        <v>8.8224752287145186E-2</v>
      </c>
      <c r="EA86" t="str">
        <v/>
      </c>
    </row>
    <row r="87" spans="54:134" x14ac:dyDescent="0.2">
      <c r="BR87">
        <v>82</v>
      </c>
      <c r="BS87">
        <v>-1.0866141732283465</v>
      </c>
      <c r="BT87" s="42">
        <v>0.22106384806123056</v>
      </c>
      <c r="BU87" s="42">
        <v>5</v>
      </c>
      <c r="BV87" s="42">
        <v>0</v>
      </c>
      <c r="BW87" s="42">
        <v>0</v>
      </c>
      <c r="BX87" s="42" t="str">
        <v/>
      </c>
      <c r="BY87" s="42" t="str">
        <v/>
      </c>
      <c r="CU87" s="42">
        <v>82</v>
      </c>
      <c r="CV87" s="42">
        <v>1</v>
      </c>
      <c r="CW87" s="42">
        <v>1.8192576091040986</v>
      </c>
      <c r="CX87" s="42">
        <v>1.8192576091040986</v>
      </c>
      <c r="CY87" s="42" t="e">
        <v>#N/A</v>
      </c>
      <c r="CZ87" s="42" t="e">
        <v>#N/A</v>
      </c>
      <c r="DA87" t="e">
        <v>#N/A</v>
      </c>
      <c r="DB87" t="str">
        <v/>
      </c>
      <c r="DX87">
        <v>82</v>
      </c>
      <c r="DY87">
        <v>6</v>
      </c>
      <c r="DZ87">
        <v>8.8224752287145186E-2</v>
      </c>
      <c r="EA87" t="str">
        <v/>
      </c>
    </row>
    <row r="88" spans="54:134" x14ac:dyDescent="0.2">
      <c r="BR88">
        <v>83</v>
      </c>
      <c r="BS88">
        <v>-1.0629921259842521</v>
      </c>
      <c r="BT88" s="42">
        <v>0.22674830546502484</v>
      </c>
      <c r="BU88" s="42">
        <v>5</v>
      </c>
      <c r="BV88" s="42">
        <v>0</v>
      </c>
      <c r="BW88" s="42">
        <v>0</v>
      </c>
      <c r="BX88" s="42" t="str">
        <v/>
      </c>
      <c r="BY88" s="42" t="str">
        <v/>
      </c>
      <c r="CU88" s="42">
        <v>83</v>
      </c>
      <c r="CV88" s="42">
        <v>1</v>
      </c>
      <c r="CW88" s="42">
        <v>1.8192576091040986</v>
      </c>
      <c r="CX88" s="42">
        <v>1.8192576091040986</v>
      </c>
      <c r="CY88" s="42" t="e">
        <v>#N/A</v>
      </c>
      <c r="CZ88" s="42" t="e">
        <v>#N/A</v>
      </c>
      <c r="DA88" t="e">
        <v>#N/A</v>
      </c>
      <c r="DB88" t="str">
        <v/>
      </c>
      <c r="DX88">
        <v>83</v>
      </c>
      <c r="DY88">
        <v>6</v>
      </c>
      <c r="DZ88">
        <v>8.8224752287145186E-2</v>
      </c>
      <c r="EA88" t="str">
        <v/>
      </c>
    </row>
    <row r="89" spans="54:134" x14ac:dyDescent="0.2">
      <c r="BR89">
        <v>84</v>
      </c>
      <c r="BS89">
        <v>-1.0393700787401574</v>
      </c>
      <c r="BT89" s="42">
        <v>0.23244919045958226</v>
      </c>
      <c r="BU89" s="42">
        <v>5</v>
      </c>
      <c r="BV89" s="42">
        <v>0</v>
      </c>
      <c r="BW89" s="42">
        <v>0</v>
      </c>
      <c r="BX89" s="42" t="str">
        <v/>
      </c>
      <c r="BY89" s="42" t="str">
        <v/>
      </c>
      <c r="CU89" s="42">
        <v>84</v>
      </c>
      <c r="CV89" s="42">
        <v>1</v>
      </c>
      <c r="CW89" s="42">
        <v>1.8192576091040986</v>
      </c>
      <c r="CX89" s="42">
        <v>1.8192576091040986</v>
      </c>
      <c r="CY89" s="42" t="e">
        <v>#N/A</v>
      </c>
      <c r="CZ89" s="42" t="e">
        <v>#N/A</v>
      </c>
      <c r="DA89" t="e">
        <v>#N/A</v>
      </c>
      <c r="DB89" t="str">
        <v/>
      </c>
      <c r="DX89">
        <v>84</v>
      </c>
      <c r="DY89">
        <v>6</v>
      </c>
      <c r="DZ89">
        <v>8.8224752287145186E-2</v>
      </c>
      <c r="EA89" t="str">
        <v/>
      </c>
    </row>
    <row r="90" spans="54:134" x14ac:dyDescent="0.2">
      <c r="BR90">
        <v>85</v>
      </c>
      <c r="BS90">
        <v>-1.015748031496063</v>
      </c>
      <c r="BT90" s="42">
        <v>0.2381604756836066</v>
      </c>
      <c r="BU90" s="42">
        <v>5</v>
      </c>
      <c r="BV90" s="42">
        <v>0</v>
      </c>
      <c r="BW90" s="42">
        <v>0</v>
      </c>
      <c r="BX90" s="42" t="str">
        <v/>
      </c>
      <c r="BY90" s="42" t="str">
        <v/>
      </c>
      <c r="CU90" s="42">
        <v>85</v>
      </c>
      <c r="CV90" s="42">
        <v>1</v>
      </c>
      <c r="CW90" s="42">
        <v>1.8192576091040986</v>
      </c>
      <c r="CX90" s="42">
        <v>1.8192576091040986</v>
      </c>
      <c r="CY90" s="42" t="e">
        <v>#N/A</v>
      </c>
      <c r="CZ90" s="42" t="e">
        <v>#N/A</v>
      </c>
      <c r="DA90" t="e">
        <v>#N/A</v>
      </c>
      <c r="DB90" t="str">
        <v/>
      </c>
      <c r="DX90">
        <v>85</v>
      </c>
      <c r="DY90">
        <v>6</v>
      </c>
      <c r="DZ90">
        <v>8.8224752287145186E-2</v>
      </c>
      <c r="EA90" t="str">
        <v/>
      </c>
    </row>
    <row r="91" spans="54:134" x14ac:dyDescent="0.2">
      <c r="BR91">
        <v>86</v>
      </c>
      <c r="BS91">
        <v>-0.99212598425196852</v>
      </c>
      <c r="BT91" s="42">
        <v>0.24387596636153336</v>
      </c>
      <c r="BU91" s="42">
        <v>6</v>
      </c>
      <c r="BV91" s="42">
        <v>3</v>
      </c>
      <c r="BW91" s="42">
        <v>0.6209326687253206</v>
      </c>
      <c r="BX91" s="42">
        <v>-2.4500000000000002</v>
      </c>
      <c r="BY91" s="42" t="str">
        <v>-1σ</v>
      </c>
      <c r="CU91" s="42">
        <v>86</v>
      </c>
      <c r="CV91" s="42">
        <v>1</v>
      </c>
      <c r="CW91" s="42">
        <v>1.8192576091040986</v>
      </c>
      <c r="CX91" s="42">
        <v>1.8192576091040986</v>
      </c>
      <c r="CY91" s="42" t="e">
        <v>#N/A</v>
      </c>
      <c r="CZ91" s="42" t="e">
        <v>#N/A</v>
      </c>
      <c r="DA91" t="e">
        <v>#N/A</v>
      </c>
      <c r="DB91" t="str">
        <v/>
      </c>
      <c r="DX91">
        <v>86</v>
      </c>
      <c r="DY91">
        <v>6</v>
      </c>
      <c r="DZ91">
        <v>8.8224752287145186E-2</v>
      </c>
      <c r="EA91" t="str">
        <v/>
      </c>
    </row>
    <row r="92" spans="54:134" x14ac:dyDescent="0.2">
      <c r="BR92">
        <v>87</v>
      </c>
      <c r="BS92">
        <v>-0.96850393700787407</v>
      </c>
      <c r="BT92" s="42">
        <v>0.24958931018098326</v>
      </c>
      <c r="BU92" s="42">
        <v>6</v>
      </c>
      <c r="BV92" s="42">
        <v>3</v>
      </c>
      <c r="BW92" s="42">
        <v>0.6209326687253206</v>
      </c>
      <c r="BX92" s="42" t="str">
        <v/>
      </c>
      <c r="BY92" s="42" t="str">
        <v/>
      </c>
      <c r="CU92" s="42">
        <v>87</v>
      </c>
      <c r="CV92" s="42">
        <v>1</v>
      </c>
      <c r="CW92" s="42">
        <v>1.8192576091040986</v>
      </c>
      <c r="CX92" s="42">
        <v>1.8192576091040986</v>
      </c>
      <c r="CY92" s="42" t="e">
        <v>#N/A</v>
      </c>
      <c r="CZ92" s="42" t="e">
        <v>#N/A</v>
      </c>
      <c r="DA92" t="e">
        <v>#N/A</v>
      </c>
      <c r="DB92" t="str">
        <v/>
      </c>
      <c r="DX92">
        <v>87</v>
      </c>
      <c r="DY92">
        <v>6</v>
      </c>
      <c r="DZ92">
        <v>8.8224752287145186E-2</v>
      </c>
      <c r="EA92" t="str">
        <v/>
      </c>
    </row>
    <row r="93" spans="54:134" x14ac:dyDescent="0.2">
      <c r="BR93">
        <v>88</v>
      </c>
      <c r="BS93">
        <v>-0.94488188976377963</v>
      </c>
      <c r="BT93" s="42">
        <v>0.25529400785464174</v>
      </c>
      <c r="BU93" s="42">
        <v>6</v>
      </c>
      <c r="BV93" s="42">
        <v>3</v>
      </c>
      <c r="BW93" s="42">
        <v>0.6209326687253206</v>
      </c>
      <c r="BX93" s="42" t="str">
        <v/>
      </c>
      <c r="BY93" s="42" t="str">
        <v/>
      </c>
      <c r="CU93" s="42">
        <v>88</v>
      </c>
      <c r="CV93" s="42">
        <v>1</v>
      </c>
      <c r="CW93" s="42">
        <v>1.8192576091040986</v>
      </c>
      <c r="CX93" s="42">
        <v>1.8192576091040986</v>
      </c>
      <c r="CY93" s="42" t="e">
        <v>#N/A</v>
      </c>
      <c r="CZ93" s="42" t="e">
        <v>#N/A</v>
      </c>
      <c r="DA93" t="e">
        <v>#N/A</v>
      </c>
      <c r="DB93" t="str">
        <v/>
      </c>
      <c r="DX93">
        <v>88</v>
      </c>
      <c r="DY93">
        <v>6</v>
      </c>
      <c r="DZ93">
        <v>8.8224752287145186E-2</v>
      </c>
      <c r="EA93" t="str">
        <v/>
      </c>
    </row>
    <row r="94" spans="54:134" x14ac:dyDescent="0.2">
      <c r="BR94">
        <v>89</v>
      </c>
      <c r="BS94">
        <v>-0.92125984251968518</v>
      </c>
      <c r="BT94" s="42">
        <v>0.26098342434722177</v>
      </c>
      <c r="BU94" s="42">
        <v>6</v>
      </c>
      <c r="BV94" s="42">
        <v>3</v>
      </c>
      <c r="BW94" s="42">
        <v>0.6209326687253206</v>
      </c>
      <c r="BX94" s="42" t="str">
        <v/>
      </c>
      <c r="BY94" s="42" t="str">
        <v/>
      </c>
      <c r="CU94" s="42">
        <v>89</v>
      </c>
      <c r="CV94" s="42">
        <v>1</v>
      </c>
      <c r="CW94" s="42">
        <v>1.8192576091040986</v>
      </c>
      <c r="CX94" s="42">
        <v>1.8192576091040986</v>
      </c>
      <c r="CY94" s="42" t="e">
        <v>#N/A</v>
      </c>
      <c r="CZ94" s="42" t="e">
        <v>#N/A</v>
      </c>
      <c r="DA94" t="e">
        <v>#N/A</v>
      </c>
      <c r="DB94" t="str">
        <v/>
      </c>
      <c r="DX94">
        <v>89</v>
      </c>
      <c r="DY94">
        <v>6</v>
      </c>
      <c r="DZ94">
        <v>8.8224752287145186E-2</v>
      </c>
      <c r="EA94" t="str">
        <v/>
      </c>
    </row>
    <row r="95" spans="54:134" x14ac:dyDescent="0.2">
      <c r="BR95">
        <v>90</v>
      </c>
      <c r="BS95">
        <v>-0.89763779527559073</v>
      </c>
      <c r="BT95" s="42">
        <v>0.26665080074508374</v>
      </c>
      <c r="BU95" s="42">
        <v>6</v>
      </c>
      <c r="BV95" s="42">
        <v>3</v>
      </c>
      <c r="BW95" s="42">
        <v>0.6209326687253206</v>
      </c>
      <c r="BX95" s="42" t="str">
        <v/>
      </c>
      <c r="BY95" s="42" t="str">
        <v/>
      </c>
      <c r="CU95" s="42">
        <v>90</v>
      </c>
      <c r="CV95" s="42">
        <v>1</v>
      </c>
      <c r="CW95" s="42">
        <v>1.8192576091040986</v>
      </c>
      <c r="CX95" s="42">
        <v>1.8192576091040986</v>
      </c>
      <c r="CY95" s="42" t="e">
        <v>#N/A</v>
      </c>
      <c r="CZ95" s="42" t="e">
        <v>#N/A</v>
      </c>
      <c r="DA95" t="e">
        <v>#N/A</v>
      </c>
      <c r="DB95" t="str">
        <v/>
      </c>
      <c r="DX95">
        <v>90</v>
      </c>
      <c r="DY95">
        <v>6</v>
      </c>
      <c r="DZ95">
        <v>8.8224752287145186E-2</v>
      </c>
      <c r="EA95" t="str">
        <v/>
      </c>
    </row>
    <row r="96" spans="54:134" x14ac:dyDescent="0.2">
      <c r="BR96">
        <v>91</v>
      </c>
      <c r="BS96">
        <v>-0.87401574803149629</v>
      </c>
      <c r="BT96" s="42">
        <v>0.27228926674302883</v>
      </c>
      <c r="BU96" s="42">
        <v>6</v>
      </c>
      <c r="BV96" s="42">
        <v>3</v>
      </c>
      <c r="BW96" s="42">
        <v>0.6209326687253206</v>
      </c>
      <c r="BX96" s="42" t="str">
        <v/>
      </c>
      <c r="BY96" s="42" t="str">
        <v/>
      </c>
      <c r="CU96" s="42">
        <v>91</v>
      </c>
      <c r="CV96" s="42">
        <v>1</v>
      </c>
      <c r="CW96" s="42">
        <v>1.8192576091040986</v>
      </c>
      <c r="CX96" s="42">
        <v>1.8192576091040986</v>
      </c>
      <c r="CY96" s="42" t="e">
        <v>#N/A</v>
      </c>
      <c r="CZ96" s="42" t="e">
        <v>#N/A</v>
      </c>
      <c r="DA96" t="e">
        <v>#N/A</v>
      </c>
      <c r="DB96" t="str">
        <v/>
      </c>
      <c r="DX96">
        <v>91</v>
      </c>
      <c r="DY96">
        <v>6</v>
      </c>
      <c r="DZ96">
        <v>8.8224752287145186E-2</v>
      </c>
      <c r="EA96" t="str">
        <v/>
      </c>
    </row>
    <row r="97" spans="70:131" x14ac:dyDescent="0.2">
      <c r="BR97">
        <v>92</v>
      </c>
      <c r="BS97">
        <v>-0.8503937007874014</v>
      </c>
      <c r="BT97" s="42">
        <v>0.27789185371977293</v>
      </c>
      <c r="BU97" s="42">
        <v>6</v>
      </c>
      <c r="BV97" s="42">
        <v>3</v>
      </c>
      <c r="BW97" s="42">
        <v>0.6209326687253206</v>
      </c>
      <c r="BX97" s="42" t="str">
        <v/>
      </c>
      <c r="BY97" s="42" t="str">
        <v/>
      </c>
      <c r="CU97" s="42">
        <v>92</v>
      </c>
      <c r="CV97" s="42">
        <v>1</v>
      </c>
      <c r="CW97" s="42">
        <v>1.8192576091040986</v>
      </c>
      <c r="CX97" s="42">
        <v>1.8192576091040986</v>
      </c>
      <c r="CY97" s="42" t="e">
        <v>#N/A</v>
      </c>
      <c r="CZ97" s="42" t="e">
        <v>#N/A</v>
      </c>
      <c r="DA97" t="e">
        <v>#N/A</v>
      </c>
      <c r="DB97" t="str">
        <v/>
      </c>
      <c r="DX97">
        <v>92</v>
      </c>
      <c r="DY97">
        <v>6</v>
      </c>
      <c r="DZ97">
        <v>8.8224752287145186E-2</v>
      </c>
      <c r="EA97" t="str">
        <v/>
      </c>
    </row>
    <row r="98" spans="70:131" x14ac:dyDescent="0.2">
      <c r="BR98">
        <v>93</v>
      </c>
      <c r="BS98">
        <v>-0.82677165354330695</v>
      </c>
      <c r="BT98" s="42">
        <v>0.28345150837065552</v>
      </c>
      <c r="BU98" s="42">
        <v>6</v>
      </c>
      <c r="BV98" s="42">
        <v>3</v>
      </c>
      <c r="BW98" s="42">
        <v>0.6209326687253206</v>
      </c>
      <c r="BX98" s="42" t="str">
        <v/>
      </c>
      <c r="BY98" s="42" t="str">
        <v/>
      </c>
      <c r="CU98" s="42">
        <v>93</v>
      </c>
      <c r="CV98" s="42">
        <v>1</v>
      </c>
      <c r="CW98" s="42">
        <v>1.8192576091040986</v>
      </c>
      <c r="CX98" s="42">
        <v>1.8192576091040986</v>
      </c>
      <c r="CY98" s="42" t="e">
        <v>#N/A</v>
      </c>
      <c r="CZ98" s="42" t="e">
        <v>#N/A</v>
      </c>
      <c r="DA98" t="e">
        <v>#N/A</v>
      </c>
      <c r="DB98" t="str">
        <v/>
      </c>
      <c r="DX98">
        <v>93</v>
      </c>
      <c r="DY98">
        <v>6</v>
      </c>
      <c r="DZ98">
        <v>8.8224752287145186E-2</v>
      </c>
      <c r="EA98" t="str">
        <v/>
      </c>
    </row>
    <row r="99" spans="70:131" x14ac:dyDescent="0.2">
      <c r="BR99">
        <v>94</v>
      </c>
      <c r="BS99">
        <v>-0.8031496062992125</v>
      </c>
      <c r="BT99" s="42">
        <v>0.28896110686327098</v>
      </c>
      <c r="BU99" s="42">
        <v>6</v>
      </c>
      <c r="BV99" s="42">
        <v>3</v>
      </c>
      <c r="BW99" s="42">
        <v>0.6209326687253206</v>
      </c>
      <c r="BX99" s="42" t="str">
        <v/>
      </c>
      <c r="BY99" s="42" t="str">
        <v/>
      </c>
      <c r="CU99" s="42">
        <v>94</v>
      </c>
      <c r="CV99" s="42">
        <v>1</v>
      </c>
      <c r="CW99" s="42">
        <v>1.8192576091040986</v>
      </c>
      <c r="CX99" s="42">
        <v>1.8192576091040986</v>
      </c>
      <c r="CY99" s="42" t="e">
        <v>#N/A</v>
      </c>
      <c r="CZ99" s="42" t="e">
        <v>#N/A</v>
      </c>
      <c r="DA99" t="e">
        <v>#N/A</v>
      </c>
      <c r="DB99" t="str">
        <v/>
      </c>
      <c r="DX99">
        <v>94</v>
      </c>
      <c r="DY99">
        <v>6</v>
      </c>
      <c r="DZ99">
        <v>8.8224752287145186E-2</v>
      </c>
      <c r="EA99" t="str">
        <v/>
      </c>
    </row>
    <row r="100" spans="70:131" x14ac:dyDescent="0.2">
      <c r="BR100">
        <v>95</v>
      </c>
      <c r="BS100">
        <v>-0.77952755905511806</v>
      </c>
      <c r="BT100" s="42">
        <v>0.29441346947892549</v>
      </c>
      <c r="BU100" s="42">
        <v>6</v>
      </c>
      <c r="BV100" s="42">
        <v>3</v>
      </c>
      <c r="BW100" s="42">
        <v>0.6209326687253206</v>
      </c>
      <c r="BX100" s="42" t="str">
        <v/>
      </c>
      <c r="BY100" s="42" t="str">
        <v/>
      </c>
      <c r="CU100" s="42">
        <v>95</v>
      </c>
      <c r="CV100" s="42">
        <v>1</v>
      </c>
      <c r="CW100" s="42">
        <v>1.8192576091040986</v>
      </c>
      <c r="CX100" s="42">
        <v>1.8192576091040986</v>
      </c>
      <c r="CY100" s="42" t="e">
        <v>#N/A</v>
      </c>
      <c r="CZ100" s="42" t="e">
        <v>#N/A</v>
      </c>
      <c r="DA100" t="e">
        <v>#N/A</v>
      </c>
      <c r="DB100" t="str">
        <v/>
      </c>
      <c r="DX100">
        <v>95</v>
      </c>
      <c r="DY100">
        <v>6</v>
      </c>
      <c r="DZ100">
        <v>8.8224752287145186E-2</v>
      </c>
      <c r="EA100" t="str">
        <v/>
      </c>
    </row>
    <row r="101" spans="70:131" x14ac:dyDescent="0.2">
      <c r="BR101">
        <v>96</v>
      </c>
      <c r="BS101">
        <v>-0.75590551181102361</v>
      </c>
      <c r="BT101" s="42">
        <v>0.29980137570016047</v>
      </c>
      <c r="BU101" s="42">
        <v>6</v>
      </c>
      <c r="BV101" s="42">
        <v>3</v>
      </c>
      <c r="BW101" s="42">
        <v>0.6209326687253206</v>
      </c>
      <c r="BX101" s="42" t="str">
        <v/>
      </c>
      <c r="BY101" s="42" t="str">
        <v/>
      </c>
      <c r="CU101" s="42">
        <v>96</v>
      </c>
      <c r="CV101" s="42">
        <v>1</v>
      </c>
      <c r="CW101" s="42">
        <v>1.8192576091040986</v>
      </c>
      <c r="CX101" s="42">
        <v>1.8192576091040986</v>
      </c>
      <c r="CY101" s="42" t="e">
        <v>#N/A</v>
      </c>
      <c r="CZ101" s="42" t="e">
        <v>#N/A</v>
      </c>
      <c r="DA101" t="e">
        <v>#N/A</v>
      </c>
      <c r="DB101" t="str">
        <v/>
      </c>
      <c r="DX101">
        <v>96</v>
      </c>
      <c r="DY101">
        <v>6</v>
      </c>
      <c r="DZ101">
        <v>8.8224752287145186E-2</v>
      </c>
      <c r="EA101" t="str">
        <v/>
      </c>
    </row>
    <row r="102" spans="70:131" x14ac:dyDescent="0.2">
      <c r="BR102">
        <v>97</v>
      </c>
      <c r="BS102">
        <v>-0.73228346456692917</v>
      </c>
      <c r="BT102" s="42">
        <v>0.30511757970203796</v>
      </c>
      <c r="BU102" s="42">
        <v>6</v>
      </c>
      <c r="BV102" s="42">
        <v>3</v>
      </c>
      <c r="BW102" s="42">
        <v>0.6209326687253206</v>
      </c>
      <c r="BX102" s="42" t="str">
        <v/>
      </c>
      <c r="BY102" s="42" t="str">
        <v/>
      </c>
      <c r="CU102" s="42">
        <v>97</v>
      </c>
      <c r="CV102" s="42">
        <v>1</v>
      </c>
      <c r="CW102" s="42">
        <v>1.8192576091040986</v>
      </c>
      <c r="CX102" s="42">
        <v>1.8192576091040986</v>
      </c>
      <c r="CY102" s="42" t="e">
        <v>#N/A</v>
      </c>
      <c r="CZ102" s="42" t="e">
        <v>#N/A</v>
      </c>
      <c r="DA102" t="e">
        <v>#N/A</v>
      </c>
      <c r="DB102" t="str">
        <v/>
      </c>
      <c r="DX102">
        <v>97</v>
      </c>
      <c r="DY102">
        <v>6</v>
      </c>
      <c r="DZ102">
        <v>8.8224752287145186E-2</v>
      </c>
      <c r="EA102" t="str">
        <v/>
      </c>
    </row>
    <row r="103" spans="70:131" x14ac:dyDescent="0.2">
      <c r="BR103">
        <v>98</v>
      </c>
      <c r="BS103">
        <v>-0.70866141732283472</v>
      </c>
      <c r="BT103" s="42">
        <v>0.31035482620248367</v>
      </c>
      <c r="BU103" s="42">
        <v>6</v>
      </c>
      <c r="BV103" s="42">
        <v>3</v>
      </c>
      <c r="BW103" s="42">
        <v>0.6209326687253206</v>
      </c>
      <c r="BX103" s="42" t="str">
        <v/>
      </c>
      <c r="BY103" s="42" t="str">
        <v/>
      </c>
      <c r="CU103" s="42">
        <v>98</v>
      </c>
      <c r="CV103" s="42">
        <v>1</v>
      </c>
      <c r="CW103" s="42">
        <v>1.8192576091040986</v>
      </c>
      <c r="CX103" s="42">
        <v>1.8192576091040986</v>
      </c>
      <c r="CY103" s="42" t="e">
        <v>#N/A</v>
      </c>
      <c r="CZ103" s="42" t="e">
        <v>#N/A</v>
      </c>
      <c r="DA103" t="e">
        <v>#N/A</v>
      </c>
      <c r="DB103" t="str">
        <v/>
      </c>
      <c r="DX103">
        <v>98</v>
      </c>
      <c r="DY103">
        <v>6</v>
      </c>
      <c r="DZ103">
        <v>8.8224752287145186E-2</v>
      </c>
      <c r="EA103" t="str">
        <v/>
      </c>
    </row>
    <row r="104" spans="70:131" x14ac:dyDescent="0.2">
      <c r="BR104">
        <v>99</v>
      </c>
      <c r="BS104">
        <v>-0.68503937007874027</v>
      </c>
      <c r="BT104" s="42">
        <v>0.31550586662473823</v>
      </c>
      <c r="BU104" s="42">
        <v>6</v>
      </c>
      <c r="BV104" s="42">
        <v>3</v>
      </c>
      <c r="BW104" s="42">
        <v>0.6209326687253206</v>
      </c>
      <c r="BX104" s="42" t="str">
        <v/>
      </c>
      <c r="BY104" s="42" t="str">
        <v/>
      </c>
      <c r="CU104" s="42">
        <v>99</v>
      </c>
      <c r="CV104" s="42">
        <v>1</v>
      </c>
      <c r="CW104" s="42">
        <v>1.8192576091040986</v>
      </c>
      <c r="CX104" s="42">
        <v>1.8192576091040986</v>
      </c>
      <c r="CY104" s="42" t="e">
        <v>#N/A</v>
      </c>
      <c r="CZ104" s="42" t="e">
        <v>#N/A</v>
      </c>
      <c r="DA104" t="e">
        <v>#N/A</v>
      </c>
      <c r="DB104" t="str">
        <v/>
      </c>
      <c r="DX104">
        <v>99</v>
      </c>
      <c r="DY104">
        <v>6</v>
      </c>
      <c r="DZ104">
        <v>8.8224752287145186E-2</v>
      </c>
      <c r="EA104" t="str">
        <v/>
      </c>
    </row>
    <row r="105" spans="70:131" x14ac:dyDescent="0.2">
      <c r="BR105">
        <v>100</v>
      </c>
      <c r="BS105">
        <v>-0.66141732283464583</v>
      </c>
      <c r="BT105" s="42">
        <v>0.32056347552289172</v>
      </c>
      <c r="BU105" s="42">
        <v>6</v>
      </c>
      <c r="BV105" s="42">
        <v>3</v>
      </c>
      <c r="BW105" s="42">
        <v>0.6209326687253206</v>
      </c>
      <c r="BX105" s="42" t="str">
        <v/>
      </c>
      <c r="BY105" s="42" t="str">
        <v/>
      </c>
      <c r="CU105" s="42">
        <v>100</v>
      </c>
      <c r="CV105" s="42">
        <v>1</v>
      </c>
      <c r="CW105" s="42">
        <v>1.8192576091040986</v>
      </c>
      <c r="CX105" s="42">
        <v>1.8192576091040986</v>
      </c>
      <c r="CY105" s="42" t="e">
        <v>#N/A</v>
      </c>
      <c r="CZ105" s="42" t="e">
        <v>#N/A</v>
      </c>
      <c r="DA105" t="e">
        <v>#N/A</v>
      </c>
      <c r="DB105" t="str">
        <v/>
      </c>
      <c r="DX105">
        <v>100</v>
      </c>
      <c r="DY105">
        <v>6</v>
      </c>
      <c r="DZ105">
        <v>8.8224752287145186E-2</v>
      </c>
      <c r="EA105" t="str">
        <v/>
      </c>
    </row>
    <row r="106" spans="70:131" x14ac:dyDescent="0.2">
      <c r="BR106">
        <v>101</v>
      </c>
      <c r="BS106">
        <v>-0.63779527559055138</v>
      </c>
      <c r="BT106" s="42">
        <v>0.32552046721958716</v>
      </c>
      <c r="BU106" s="42">
        <v>6</v>
      </c>
      <c r="BV106" s="42">
        <v>3</v>
      </c>
      <c r="BW106" s="42">
        <v>0.6209326687253206</v>
      </c>
      <c r="BX106" s="42" t="str">
        <v/>
      </c>
      <c r="BY106" s="42" t="str">
        <v/>
      </c>
      <c r="CU106" s="42">
        <v>101</v>
      </c>
      <c r="CV106" s="42">
        <v>1</v>
      </c>
      <c r="CW106" s="42">
        <v>1.8192576091040986</v>
      </c>
      <c r="CX106" s="42">
        <v>1.8192576091040986</v>
      </c>
      <c r="CY106" s="42" t="e">
        <v>#N/A</v>
      </c>
      <c r="CZ106" s="42" t="e">
        <v>#N/A</v>
      </c>
      <c r="DA106" t="e">
        <v>#N/A</v>
      </c>
      <c r="DB106" t="str">
        <v/>
      </c>
      <c r="DX106">
        <v>101</v>
      </c>
      <c r="DY106">
        <v>6</v>
      </c>
      <c r="DZ106">
        <v>8.8224752287145186E-2</v>
      </c>
      <c r="EA106" t="str">
        <v/>
      </c>
    </row>
    <row r="107" spans="70:131" x14ac:dyDescent="0.2">
      <c r="BR107">
        <v>102</v>
      </c>
      <c r="BS107">
        <v>-0.61417322834645693</v>
      </c>
      <c r="BT107" s="42">
        <v>0.33036971260328207</v>
      </c>
      <c r="BU107" s="42">
        <v>6</v>
      </c>
      <c r="BV107" s="42">
        <v>3</v>
      </c>
      <c r="BW107" s="42">
        <v>0.6209326687253206</v>
      </c>
      <c r="BX107" s="42" t="str">
        <v/>
      </c>
      <c r="BY107" s="42" t="str">
        <v/>
      </c>
      <c r="CU107" s="42">
        <v>102</v>
      </c>
      <c r="CV107" s="42">
        <v>1</v>
      </c>
      <c r="CW107" s="42">
        <v>1.8192576091040986</v>
      </c>
      <c r="CX107" s="42">
        <v>1.8192576091040986</v>
      </c>
      <c r="CY107" s="42" t="e">
        <v>#N/A</v>
      </c>
      <c r="CZ107" s="42" t="e">
        <v>#N/A</v>
      </c>
      <c r="DA107" t="e">
        <v>#N/A</v>
      </c>
      <c r="DB107" t="str">
        <v/>
      </c>
      <c r="DX107">
        <v>102</v>
      </c>
      <c r="DY107">
        <v>6</v>
      </c>
      <c r="DZ107">
        <v>8.8224752287145186E-2</v>
      </c>
      <c r="EA107" t="str">
        <v/>
      </c>
    </row>
    <row r="108" spans="70:131" x14ac:dyDescent="0.2">
      <c r="BR108">
        <v>103</v>
      </c>
      <c r="BS108">
        <v>-0.59055118110236204</v>
      </c>
      <c r="BT108" s="42">
        <v>0.33510415603097365</v>
      </c>
      <c r="BU108" s="42">
        <v>7</v>
      </c>
      <c r="BV108" s="42">
        <v>4</v>
      </c>
      <c r="BW108" s="42">
        <v>0.8279102249670941</v>
      </c>
      <c r="BX108" s="42">
        <v>-0.73</v>
      </c>
      <c r="BY108" s="42" t="str">
        <v/>
      </c>
      <c r="CU108" s="42">
        <v>103</v>
      </c>
      <c r="CV108" s="42">
        <v>1</v>
      </c>
      <c r="CW108" s="42">
        <v>1.8192576091040986</v>
      </c>
      <c r="CX108" s="42">
        <v>1.8192576091040986</v>
      </c>
      <c r="CY108" s="42" t="e">
        <v>#N/A</v>
      </c>
      <c r="CZ108" s="42" t="e">
        <v>#N/A</v>
      </c>
      <c r="DA108" t="e">
        <v>#N/A</v>
      </c>
      <c r="DB108" t="str">
        <v/>
      </c>
      <c r="DX108">
        <v>103</v>
      </c>
      <c r="DY108">
        <v>6</v>
      </c>
      <c r="DZ108">
        <v>8.8224752287145186E-2</v>
      </c>
      <c r="EA108" t="str">
        <v/>
      </c>
    </row>
    <row r="109" spans="70:131" x14ac:dyDescent="0.2">
      <c r="BR109">
        <v>104</v>
      </c>
      <c r="BS109">
        <v>-0.5669291338582676</v>
      </c>
      <c r="BT109" s="42">
        <v>0.33971683228102528</v>
      </c>
      <c r="BU109" s="42">
        <v>7</v>
      </c>
      <c r="BV109" s="42">
        <v>4</v>
      </c>
      <c r="BW109" s="42">
        <v>0.8279102249670941</v>
      </c>
      <c r="BX109" s="42" t="str">
        <v/>
      </c>
      <c r="BY109" s="42" t="str">
        <v/>
      </c>
      <c r="CU109" s="42">
        <v>104</v>
      </c>
      <c r="CV109" s="42">
        <v>1</v>
      </c>
      <c r="CW109" s="42">
        <v>1.8192576091040986</v>
      </c>
      <c r="CX109" s="42">
        <v>1.8192576091040986</v>
      </c>
      <c r="CY109" s="42" t="e">
        <v>#N/A</v>
      </c>
      <c r="CZ109" s="42" t="e">
        <v>#N/A</v>
      </c>
      <c r="DA109" t="e">
        <v>#N/A</v>
      </c>
      <c r="DB109" t="str">
        <v/>
      </c>
      <c r="DX109">
        <v>104</v>
      </c>
      <c r="DY109">
        <v>6</v>
      </c>
      <c r="DZ109">
        <v>8.8224752287145186E-2</v>
      </c>
      <c r="EA109" t="str">
        <v/>
      </c>
    </row>
    <row r="110" spans="70:131" x14ac:dyDescent="0.2">
      <c r="BR110">
        <v>105</v>
      </c>
      <c r="BS110">
        <v>-0.54330708661417315</v>
      </c>
      <c r="BT110" s="42">
        <v>0.34420088349969502</v>
      </c>
      <c r="BU110" s="42">
        <v>7</v>
      </c>
      <c r="BV110" s="42">
        <v>4</v>
      </c>
      <c r="BW110" s="42">
        <v>0.8279102249670941</v>
      </c>
      <c r="BX110" s="42" t="str">
        <v/>
      </c>
      <c r="BY110" s="42" t="str">
        <v/>
      </c>
      <c r="CU110" s="42">
        <v>105</v>
      </c>
      <c r="CV110" s="42">
        <v>1</v>
      </c>
      <c r="CW110" s="42">
        <v>1.8192576091040986</v>
      </c>
      <c r="CX110" s="42">
        <v>1.8192576091040986</v>
      </c>
      <c r="CY110" s="42" t="e">
        <v>#N/A</v>
      </c>
      <c r="CZ110" s="42" t="e">
        <v>#N/A</v>
      </c>
      <c r="DA110" t="e">
        <v>#N/A</v>
      </c>
      <c r="DB110" t="str">
        <v/>
      </c>
      <c r="DX110">
        <v>105</v>
      </c>
      <c r="DY110">
        <v>6</v>
      </c>
      <c r="DZ110">
        <v>8.8224752287145186E-2</v>
      </c>
      <c r="EA110" t="str">
        <v/>
      </c>
    </row>
    <row r="111" spans="70:131" x14ac:dyDescent="0.2">
      <c r="BR111">
        <v>106</v>
      </c>
      <c r="BS111">
        <v>-0.51968503937007871</v>
      </c>
      <c r="BT111" s="42">
        <v>0.34854957608416842</v>
      </c>
      <c r="BU111" s="42">
        <v>7</v>
      </c>
      <c r="BV111" s="42">
        <v>4</v>
      </c>
      <c r="BW111" s="42">
        <v>0.8279102249670941</v>
      </c>
      <c r="BX111" s="42" t="str">
        <v/>
      </c>
      <c r="BY111" s="42" t="str">
        <v/>
      </c>
      <c r="CU111" s="42">
        <v>106</v>
      </c>
      <c r="CV111" s="42">
        <v>1</v>
      </c>
      <c r="CW111" s="42">
        <v>1.8192576091040986</v>
      </c>
      <c r="CX111" s="42">
        <v>1.8192576091040986</v>
      </c>
      <c r="CY111" s="42" t="e">
        <v>#N/A</v>
      </c>
      <c r="CZ111" s="42" t="e">
        <v>#N/A</v>
      </c>
      <c r="DA111" t="e">
        <v>#N/A</v>
      </c>
      <c r="DB111" t="str">
        <v/>
      </c>
      <c r="DX111">
        <v>106</v>
      </c>
      <c r="DY111">
        <v>6</v>
      </c>
      <c r="DZ111">
        <v>8.8224752287145186E-2</v>
      </c>
      <c r="EA111" t="str">
        <v/>
      </c>
    </row>
    <row r="112" spans="70:131" x14ac:dyDescent="0.2">
      <c r="BR112">
        <v>107</v>
      </c>
      <c r="BS112">
        <v>-0.49606299212598426</v>
      </c>
      <c r="BT112" s="42">
        <v>0.35275631744434299</v>
      </c>
      <c r="BU112" s="42">
        <v>7</v>
      </c>
      <c r="BV112" s="42">
        <v>4</v>
      </c>
      <c r="BW112" s="42">
        <v>0.8279102249670941</v>
      </c>
      <c r="BX112" s="42" t="str">
        <v/>
      </c>
      <c r="BY112" s="42" t="str">
        <v/>
      </c>
      <c r="CU112" s="42">
        <v>107</v>
      </c>
      <c r="CV112" s="42">
        <v>1</v>
      </c>
      <c r="CW112" s="42">
        <v>1.8192576091040986</v>
      </c>
      <c r="CX112" s="42">
        <v>1.8192576091040986</v>
      </c>
      <c r="CY112" s="42" t="e">
        <v>#N/A</v>
      </c>
      <c r="CZ112" s="42" t="e">
        <v>#N/A</v>
      </c>
      <c r="DA112" t="e">
        <v>#N/A</v>
      </c>
      <c r="DB112" t="str">
        <v/>
      </c>
      <c r="DX112">
        <v>107</v>
      </c>
      <c r="DY112">
        <v>6</v>
      </c>
      <c r="DZ112">
        <v>8.8224752287145186E-2</v>
      </c>
      <c r="EA112" t="str">
        <v/>
      </c>
    </row>
    <row r="113" spans="70:131" x14ac:dyDescent="0.2">
      <c r="BR113">
        <v>108</v>
      </c>
      <c r="BS113">
        <v>-0.47244094488188981</v>
      </c>
      <c r="BT113" s="42">
        <v>0.35681467258531119</v>
      </c>
      <c r="BU113" s="42">
        <v>7</v>
      </c>
      <c r="BV113" s="42">
        <v>4</v>
      </c>
      <c r="BW113" s="42">
        <v>0.8279102249670941</v>
      </c>
      <c r="BX113" s="42" t="str">
        <v/>
      </c>
      <c r="BY113" s="42" t="str">
        <v/>
      </c>
      <c r="CU113" s="42">
        <v>108</v>
      </c>
      <c r="CV113" s="42">
        <v>1</v>
      </c>
      <c r="CW113" s="42">
        <v>1.8192576091040986</v>
      </c>
      <c r="CX113" s="42">
        <v>1.8192576091040986</v>
      </c>
      <c r="CY113" s="42" t="e">
        <v>#N/A</v>
      </c>
      <c r="CZ113" s="42" t="e">
        <v>#N/A</v>
      </c>
      <c r="DA113" t="e">
        <v>#N/A</v>
      </c>
      <c r="DB113" t="str">
        <v/>
      </c>
      <c r="DX113">
        <v>108</v>
      </c>
      <c r="DY113">
        <v>6</v>
      </c>
      <c r="DZ113">
        <v>8.8224752287145186E-2</v>
      </c>
      <c r="EA113" t="str">
        <v/>
      </c>
    </row>
    <row r="114" spans="70:131" x14ac:dyDescent="0.2">
      <c r="BR114">
        <v>109</v>
      </c>
      <c r="BS114">
        <v>-0.44881889763779537</v>
      </c>
      <c r="BT114" s="42">
        <v>0.36071838045244237</v>
      </c>
      <c r="BU114" s="42">
        <v>7</v>
      </c>
      <c r="BV114" s="42">
        <v>4</v>
      </c>
      <c r="BW114" s="42">
        <v>0.8279102249670941</v>
      </c>
      <c r="BX114" s="42" t="str">
        <v/>
      </c>
      <c r="BY114" s="42" t="str">
        <v/>
      </c>
      <c r="CU114" s="42">
        <v>109</v>
      </c>
      <c r="CV114" s="42">
        <v>1</v>
      </c>
      <c r="CW114" s="42">
        <v>1.8192576091040986</v>
      </c>
      <c r="CX114" s="42">
        <v>1.8192576091040986</v>
      </c>
      <c r="CY114" s="42" t="e">
        <v>#N/A</v>
      </c>
      <c r="CZ114" s="42" t="e">
        <v>#N/A</v>
      </c>
      <c r="DA114" t="e">
        <v>#N/A</v>
      </c>
      <c r="DB114" t="str">
        <v/>
      </c>
      <c r="DX114">
        <v>109</v>
      </c>
      <c r="DY114">
        <v>6</v>
      </c>
      <c r="DZ114">
        <v>8.8224752287145186E-2</v>
      </c>
      <c r="EA114" t="str">
        <v/>
      </c>
    </row>
    <row r="115" spans="70:131" x14ac:dyDescent="0.2">
      <c r="BR115">
        <v>110</v>
      </c>
      <c r="BS115">
        <v>-0.42519685039370092</v>
      </c>
      <c r="BT115" s="42">
        <v>0.36446136998117984</v>
      </c>
      <c r="BU115" s="42">
        <v>7</v>
      </c>
      <c r="BV115" s="42">
        <v>4</v>
      </c>
      <c r="BW115" s="42">
        <v>0.8279102249670941</v>
      </c>
      <c r="BX115" s="42" t="str">
        <v/>
      </c>
      <c r="BY115" s="42" t="str">
        <v/>
      </c>
      <c r="CU115" s="42">
        <v>110</v>
      </c>
      <c r="CV115" s="42">
        <v>1</v>
      </c>
      <c r="CW115" s="42">
        <v>1.8192576091040986</v>
      </c>
      <c r="CX115" s="42">
        <v>1.8192576091040986</v>
      </c>
      <c r="CY115" s="42" t="e">
        <v>#N/A</v>
      </c>
      <c r="CZ115" s="42" t="e">
        <v>#N/A</v>
      </c>
      <c r="DA115" t="e">
        <v>#N/A</v>
      </c>
      <c r="DB115" t="str">
        <v/>
      </c>
      <c r="DX115">
        <v>110</v>
      </c>
      <c r="DY115">
        <v>6</v>
      </c>
      <c r="DZ115">
        <v>8.8224752287145186E-2</v>
      </c>
      <c r="EA115" t="str">
        <v/>
      </c>
    </row>
    <row r="116" spans="70:131" x14ac:dyDescent="0.2">
      <c r="BR116">
        <v>111</v>
      </c>
      <c r="BS116">
        <v>-0.40157480314960647</v>
      </c>
      <c r="BT116" s="42">
        <v>0.36803777579414604</v>
      </c>
      <c r="BU116" s="42">
        <v>7</v>
      </c>
      <c r="BV116" s="42">
        <v>4</v>
      </c>
      <c r="BW116" s="42">
        <v>0.8279102249670941</v>
      </c>
      <c r="BX116" s="42" t="str">
        <v/>
      </c>
      <c r="BY116" s="42" t="str">
        <v/>
      </c>
      <c r="CU116" s="42">
        <v>111</v>
      </c>
      <c r="CV116" s="42">
        <v>1</v>
      </c>
      <c r="CW116" s="42">
        <v>1.8192576091040986</v>
      </c>
      <c r="CX116" s="42">
        <v>1.8192576091040986</v>
      </c>
      <c r="CY116" s="42" t="e">
        <v>#N/A</v>
      </c>
      <c r="CZ116" s="42" t="e">
        <v>#N/A</v>
      </c>
      <c r="DA116" t="e">
        <v>#N/A</v>
      </c>
      <c r="DB116" t="str">
        <v/>
      </c>
      <c r="DX116">
        <v>111</v>
      </c>
      <c r="DY116">
        <v>6</v>
      </c>
      <c r="DZ116">
        <v>8.8224752287145186E-2</v>
      </c>
      <c r="EA116" t="str">
        <v/>
      </c>
    </row>
    <row r="117" spans="70:131" x14ac:dyDescent="0.2">
      <c r="BR117">
        <v>112</v>
      </c>
      <c r="BS117">
        <v>-0.37795275590551203</v>
      </c>
      <c r="BT117" s="42">
        <v>0.3714419534888897</v>
      </c>
      <c r="BU117" s="42">
        <v>7</v>
      </c>
      <c r="BV117" s="42">
        <v>4</v>
      </c>
      <c r="BW117" s="42">
        <v>0.8279102249670941</v>
      </c>
      <c r="BX117" s="42" t="str">
        <v/>
      </c>
      <c r="BY117" s="42" t="str">
        <v/>
      </c>
      <c r="CU117" s="42">
        <v>112</v>
      </c>
      <c r="CV117" s="42">
        <v>1</v>
      </c>
      <c r="CW117" s="42">
        <v>1.8192576091040986</v>
      </c>
      <c r="CX117" s="42">
        <v>1.8192576091040986</v>
      </c>
      <c r="CY117" s="42" t="e">
        <v>#N/A</v>
      </c>
      <c r="CZ117" s="42" t="e">
        <v>#N/A</v>
      </c>
      <c r="DA117" t="e">
        <v>#N/A</v>
      </c>
      <c r="DB117" t="str">
        <v/>
      </c>
      <c r="DX117">
        <v>112</v>
      </c>
      <c r="DY117">
        <v>6</v>
      </c>
      <c r="DZ117">
        <v>8.8224752287145186E-2</v>
      </c>
      <c r="EA117" t="str">
        <v/>
      </c>
    </row>
    <row r="118" spans="70:131" x14ac:dyDescent="0.2">
      <c r="BR118">
        <v>113</v>
      </c>
      <c r="BS118">
        <v>-0.35433070866141758</v>
      </c>
      <c r="BT118" s="42">
        <v>0.37466849446061029</v>
      </c>
      <c r="BU118" s="42">
        <v>7</v>
      </c>
      <c r="BV118" s="42">
        <v>4</v>
      </c>
      <c r="BW118" s="42">
        <v>0.8279102249670941</v>
      </c>
      <c r="BX118" s="42" t="str">
        <v/>
      </c>
      <c r="BY118" s="42" t="str">
        <v/>
      </c>
      <c r="CU118" s="42">
        <v>113</v>
      </c>
      <c r="CV118" s="42">
        <v>1</v>
      </c>
      <c r="CW118" s="42">
        <v>1.8192576091040986</v>
      </c>
      <c r="CX118" s="42">
        <v>1.8192576091040986</v>
      </c>
      <c r="CY118" s="42" t="e">
        <v>#N/A</v>
      </c>
      <c r="CZ118" s="42" t="e">
        <v>#N/A</v>
      </c>
      <c r="DA118" t="e">
        <v>#N/A</v>
      </c>
      <c r="DB118" t="str">
        <v/>
      </c>
      <c r="DX118">
        <v>113</v>
      </c>
      <c r="DY118">
        <v>6</v>
      </c>
      <c r="DZ118">
        <v>8.8224752287145186E-2</v>
      </c>
      <c r="EA118" t="str">
        <v/>
      </c>
    </row>
    <row r="119" spans="70:131" x14ac:dyDescent="0.2">
      <c r="BR119">
        <v>114</v>
      </c>
      <c r="BS119">
        <v>-0.33070866141732269</v>
      </c>
      <c r="BT119" s="42">
        <v>0.3777122402054594</v>
      </c>
      <c r="BU119" s="42">
        <v>7</v>
      </c>
      <c r="BV119" s="42">
        <v>4</v>
      </c>
      <c r="BW119" s="42">
        <v>0.8279102249670941</v>
      </c>
      <c r="BX119" s="42" t="str">
        <v/>
      </c>
      <c r="BY119" s="42" t="str">
        <v/>
      </c>
      <c r="CU119" s="42">
        <v>114</v>
      </c>
      <c r="CV119" s="42">
        <v>1</v>
      </c>
      <c r="CW119" s="42">
        <v>1.8192576091040986</v>
      </c>
      <c r="CX119" s="42">
        <v>1.8192576091040986</v>
      </c>
      <c r="CY119" s="42" t="e">
        <v>#N/A</v>
      </c>
      <c r="CZ119" s="42" t="e">
        <v>#N/A</v>
      </c>
      <c r="DA119" t="e">
        <v>#N/A</v>
      </c>
      <c r="DB119" t="str">
        <v/>
      </c>
      <c r="DX119">
        <v>114</v>
      </c>
      <c r="DY119">
        <v>6</v>
      </c>
      <c r="DZ119">
        <v>8.8224752287145186E-2</v>
      </c>
      <c r="EA119" t="str">
        <v/>
      </c>
    </row>
    <row r="120" spans="70:131" x14ac:dyDescent="0.2">
      <c r="BR120">
        <v>115</v>
      </c>
      <c r="BS120">
        <v>-0.30708661417322825</v>
      </c>
      <c r="BT120" s="42">
        <v>0.38056829605153553</v>
      </c>
      <c r="BU120" s="42">
        <v>7</v>
      </c>
      <c r="BV120" s="42">
        <v>4</v>
      </c>
      <c r="BW120" s="42">
        <v>0.8279102249670941</v>
      </c>
      <c r="BX120" s="42" t="str">
        <v/>
      </c>
      <c r="BY120" s="42" t="str">
        <v/>
      </c>
      <c r="CU120" s="42">
        <v>115</v>
      </c>
      <c r="CV120" s="42">
        <v>1</v>
      </c>
      <c r="CW120" s="42">
        <v>1.8192576091040986</v>
      </c>
      <c r="CX120" s="42">
        <v>1.8192576091040986</v>
      </c>
      <c r="CY120" s="42" t="e">
        <v>#N/A</v>
      </c>
      <c r="CZ120" s="42" t="e">
        <v>#N/A</v>
      </c>
      <c r="DA120" t="e">
        <v>#N/A</v>
      </c>
      <c r="DB120" t="str">
        <v/>
      </c>
      <c r="DX120">
        <v>115</v>
      </c>
      <c r="DY120">
        <v>6</v>
      </c>
      <c r="DZ120">
        <v>8.8224752287145186E-2</v>
      </c>
      <c r="EA120" t="str">
        <v/>
      </c>
    </row>
    <row r="121" spans="70:131" x14ac:dyDescent="0.2">
      <c r="BR121">
        <v>116</v>
      </c>
      <c r="BS121">
        <v>-0.2834645669291338</v>
      </c>
      <c r="BT121" s="42">
        <v>0.38323204426646018</v>
      </c>
      <c r="BU121" s="42">
        <v>7</v>
      </c>
      <c r="BV121" s="42">
        <v>4</v>
      </c>
      <c r="BW121" s="42">
        <v>0.8279102249670941</v>
      </c>
      <c r="BX121" s="42" t="str">
        <v/>
      </c>
      <c r="BY121" s="42" t="str">
        <v/>
      </c>
      <c r="CU121" s="42">
        <v>116</v>
      </c>
      <c r="CV121" s="42">
        <v>1</v>
      </c>
      <c r="CW121" s="42">
        <v>1.8192576091040986</v>
      </c>
      <c r="CX121" s="42">
        <v>1.8192576091040986</v>
      </c>
      <c r="CY121" s="42" t="e">
        <v>#N/A</v>
      </c>
      <c r="CZ121" s="42" t="e">
        <v>#N/A</v>
      </c>
      <c r="DA121" t="e">
        <v>#N/A</v>
      </c>
      <c r="DB121" t="str">
        <v/>
      </c>
      <c r="DX121">
        <v>116</v>
      </c>
      <c r="DY121">
        <v>6</v>
      </c>
      <c r="DZ121">
        <v>8.8224752287145186E-2</v>
      </c>
      <c r="EA121" t="str">
        <v/>
      </c>
    </row>
    <row r="122" spans="70:131" x14ac:dyDescent="0.2">
      <c r="BR122">
        <v>117</v>
      </c>
      <c r="BS122">
        <v>-0.25984251968503935</v>
      </c>
      <c r="BT122" s="42">
        <v>0.38569915649243564</v>
      </c>
      <c r="BU122" s="42">
        <v>7</v>
      </c>
      <c r="BV122" s="42">
        <v>4</v>
      </c>
      <c r="BW122" s="42">
        <v>0.8279102249670941</v>
      </c>
      <c r="BX122" s="42" t="str">
        <v/>
      </c>
      <c r="BY122" s="42" t="str">
        <v/>
      </c>
      <c r="CU122" s="42">
        <v>117</v>
      </c>
      <c r="CV122" s="42">
        <v>1</v>
      </c>
      <c r="CW122" s="42">
        <v>1.8192576091040986</v>
      </c>
      <c r="CX122" s="42">
        <v>1.8192576091040986</v>
      </c>
      <c r="CY122" s="42" t="e">
        <v>#N/A</v>
      </c>
      <c r="CZ122" s="42" t="e">
        <v>#N/A</v>
      </c>
      <c r="DA122" t="e">
        <v>#N/A</v>
      </c>
      <c r="DB122" t="str">
        <v/>
      </c>
      <c r="DX122">
        <v>117</v>
      </c>
      <c r="DY122">
        <v>6</v>
      </c>
      <c r="DZ122">
        <v>8.8224752287145186E-2</v>
      </c>
      <c r="EA122" t="str">
        <v/>
      </c>
    </row>
    <row r="123" spans="70:131" x14ac:dyDescent="0.2">
      <c r="BR123">
        <v>118</v>
      </c>
      <c r="BS123">
        <v>-0.23622047244094491</v>
      </c>
      <c r="BT123" s="42">
        <v>0.38796560546193709</v>
      </c>
      <c r="BU123" s="42">
        <v>7</v>
      </c>
      <c r="BV123" s="42">
        <v>4</v>
      </c>
      <c r="BW123" s="42">
        <v>0.8279102249670941</v>
      </c>
      <c r="BX123" s="42" t="str">
        <v/>
      </c>
      <c r="BY123" s="42" t="str">
        <v/>
      </c>
      <c r="CU123" s="42">
        <v>118</v>
      </c>
      <c r="CV123" s="42">
        <v>1</v>
      </c>
      <c r="CW123" s="42">
        <v>1.8192576091040986</v>
      </c>
      <c r="CX123" s="42">
        <v>1.8192576091040986</v>
      </c>
      <c r="CY123" s="42" t="e">
        <v>#N/A</v>
      </c>
      <c r="CZ123" s="42" t="e">
        <v>#N/A</v>
      </c>
      <c r="DA123" t="e">
        <v>#N/A</v>
      </c>
      <c r="DB123" t="str">
        <v/>
      </c>
      <c r="DX123">
        <v>118</v>
      </c>
      <c r="DY123">
        <v>6</v>
      </c>
      <c r="DZ123">
        <v>8.8224752287145186E-2</v>
      </c>
      <c r="EA123" t="str">
        <v/>
      </c>
    </row>
    <row r="124" spans="70:131" x14ac:dyDescent="0.2">
      <c r="BR124">
        <v>119</v>
      </c>
      <c r="BS124">
        <v>-0.21259842519685046</v>
      </c>
      <c r="BT124" s="42">
        <v>0.39002767594966714</v>
      </c>
      <c r="BU124" s="42">
        <v>7</v>
      </c>
      <c r="BV124" s="42">
        <v>4</v>
      </c>
      <c r="BW124" s="42">
        <v>0.8279102249670941</v>
      </c>
      <c r="BX124" s="42" t="str">
        <v/>
      </c>
      <c r="BY124" s="42" t="str">
        <v/>
      </c>
      <c r="CU124" s="42">
        <v>119</v>
      </c>
      <c r="CV124" s="42">
        <v>1</v>
      </c>
      <c r="CW124" s="42">
        <v>1.8192576091040986</v>
      </c>
      <c r="CX124" s="42">
        <v>1.8192576091040986</v>
      </c>
      <c r="CY124" s="42" t="e">
        <v>#N/A</v>
      </c>
      <c r="CZ124" s="42" t="e">
        <v>#N/A</v>
      </c>
      <c r="DA124" t="e">
        <v>#N/A</v>
      </c>
      <c r="DB124" t="str">
        <v/>
      </c>
      <c r="DX124">
        <v>119</v>
      </c>
      <c r="DY124">
        <v>6</v>
      </c>
      <c r="DZ124">
        <v>8.8224752287145186E-2</v>
      </c>
      <c r="EA124" t="str">
        <v/>
      </c>
    </row>
    <row r="125" spans="70:131" x14ac:dyDescent="0.2">
      <c r="BR125">
        <v>120</v>
      </c>
      <c r="BS125">
        <v>-0.18897637795275601</v>
      </c>
      <c r="BT125" s="42">
        <v>0.39188197491909466</v>
      </c>
      <c r="BU125" s="42">
        <v>8</v>
      </c>
      <c r="BV125" s="42">
        <v>3</v>
      </c>
      <c r="BW125" s="42">
        <v>0.6209326687253206</v>
      </c>
      <c r="BX125" s="42">
        <v>0.99</v>
      </c>
      <c r="BY125" s="42" t="str">
        <v/>
      </c>
      <c r="CU125" s="42">
        <v>120</v>
      </c>
      <c r="CV125" s="42">
        <v>1</v>
      </c>
      <c r="CW125" s="42">
        <v>1.8192576091040986</v>
      </c>
      <c r="CX125" s="42">
        <v>1.8192576091040986</v>
      </c>
      <c r="CY125" s="42" t="e">
        <v>#N/A</v>
      </c>
      <c r="CZ125" s="42" t="e">
        <v>#N/A</v>
      </c>
      <c r="DA125" t="e">
        <v>#N/A</v>
      </c>
      <c r="DB125" t="str">
        <v/>
      </c>
      <c r="DX125">
        <v>120</v>
      </c>
      <c r="DY125">
        <v>6</v>
      </c>
      <c r="DZ125">
        <v>8.8224752287145186E-2</v>
      </c>
      <c r="EA125" t="str">
        <v/>
      </c>
    </row>
    <row r="126" spans="70:131" x14ac:dyDescent="0.2">
      <c r="BR126">
        <v>121</v>
      </c>
      <c r="BS126">
        <v>-0.16535433070866157</v>
      </c>
      <c r="BT126" s="42">
        <v>0.39352544082479718</v>
      </c>
      <c r="BU126" s="42">
        <v>8</v>
      </c>
      <c r="BV126" s="42">
        <v>3</v>
      </c>
      <c r="BW126" s="42">
        <v>0.6209326687253206</v>
      </c>
      <c r="BX126" s="42" t="str">
        <v/>
      </c>
      <c r="BY126" s="42" t="str">
        <v/>
      </c>
      <c r="CU126" s="42">
        <v>121</v>
      </c>
      <c r="CV126" s="42">
        <v>1</v>
      </c>
      <c r="CW126" s="42">
        <v>1.8192576091040986</v>
      </c>
      <c r="CX126" s="42">
        <v>1.8192576091040986</v>
      </c>
      <c r="CY126" s="42" t="e">
        <v>#N/A</v>
      </c>
      <c r="CZ126" s="42" t="e">
        <v>#N/A</v>
      </c>
      <c r="DA126" t="e">
        <v>#N/A</v>
      </c>
      <c r="DB126" t="str">
        <v/>
      </c>
      <c r="DX126">
        <v>121</v>
      </c>
      <c r="DY126">
        <v>6</v>
      </c>
      <c r="DZ126">
        <v>8.8224752287145186E-2</v>
      </c>
      <c r="EA126" t="str">
        <v/>
      </c>
    </row>
    <row r="127" spans="70:131" x14ac:dyDescent="0.2">
      <c r="BR127">
        <v>122</v>
      </c>
      <c r="BS127">
        <v>-0.14173228346456712</v>
      </c>
      <c r="BT127" s="42">
        <v>0.39495535203491233</v>
      </c>
      <c r="BU127" s="42">
        <v>8</v>
      </c>
      <c r="BV127" s="42">
        <v>3</v>
      </c>
      <c r="BW127" s="42">
        <v>0.6209326687253206</v>
      </c>
      <c r="BX127" s="42" t="str">
        <v/>
      </c>
      <c r="BY127" s="42" t="str">
        <v/>
      </c>
      <c r="CU127" s="42">
        <v>122</v>
      </c>
      <c r="CV127" s="42">
        <v>1</v>
      </c>
      <c r="CW127" s="42">
        <v>1.8192576091040986</v>
      </c>
      <c r="CX127" s="42">
        <v>1.8192576091040986</v>
      </c>
      <c r="CY127" s="42" t="e">
        <v>#N/A</v>
      </c>
      <c r="CZ127" s="42" t="e">
        <v>#N/A</v>
      </c>
      <c r="DA127" t="e">
        <v>#N/A</v>
      </c>
      <c r="DB127" t="str">
        <v/>
      </c>
      <c r="DX127">
        <v>122</v>
      </c>
      <c r="DY127">
        <v>6</v>
      </c>
      <c r="DZ127">
        <v>8.8224752287145186E-2</v>
      </c>
      <c r="EA127" t="str">
        <v/>
      </c>
    </row>
    <row r="128" spans="70:131" x14ac:dyDescent="0.2">
      <c r="BR128">
        <v>123</v>
      </c>
      <c r="BS128">
        <v>-0.11811023622047268</v>
      </c>
      <c r="BT128" s="42">
        <v>0.39616933434126872</v>
      </c>
      <c r="BU128" s="42">
        <v>8</v>
      </c>
      <c r="BV128" s="42">
        <v>3</v>
      </c>
      <c r="BW128" s="42">
        <v>0.6209326687253206</v>
      </c>
      <c r="BX128" s="42" t="str">
        <v/>
      </c>
      <c r="BY128" s="42" t="str">
        <v/>
      </c>
      <c r="CU128" s="42">
        <v>123</v>
      </c>
      <c r="CV128" s="42">
        <v>1</v>
      </c>
      <c r="CW128" s="42">
        <v>1.8192576091040986</v>
      </c>
      <c r="CX128" s="42">
        <v>1.8192576091040986</v>
      </c>
      <c r="CY128" s="42" t="e">
        <v>#N/A</v>
      </c>
      <c r="CZ128" s="42" t="e">
        <v>#N/A</v>
      </c>
      <c r="DA128" t="e">
        <v>#N/A</v>
      </c>
      <c r="DB128" t="str">
        <v/>
      </c>
      <c r="DX128">
        <v>123</v>
      </c>
      <c r="DY128">
        <v>6</v>
      </c>
      <c r="DZ128">
        <v>8.8224752287145186E-2</v>
      </c>
      <c r="EA128" t="str">
        <v/>
      </c>
    </row>
    <row r="129" spans="70:131" x14ac:dyDescent="0.2">
      <c r="BR129">
        <v>124</v>
      </c>
      <c r="BS129">
        <v>-9.4488188976377785E-2</v>
      </c>
      <c r="BT129" s="42">
        <v>0.39716536752818871</v>
      </c>
      <c r="BU129" s="42">
        <v>8</v>
      </c>
      <c r="BV129" s="42">
        <v>3</v>
      </c>
      <c r="BW129" s="42">
        <v>0.6209326687253206</v>
      </c>
      <c r="BX129" s="42" t="str">
        <v/>
      </c>
      <c r="BY129" s="42" t="str">
        <v/>
      </c>
      <c r="CU129" s="42">
        <v>124</v>
      </c>
      <c r="CV129" s="42">
        <v>1</v>
      </c>
      <c r="CW129" s="42">
        <v>1.8192576091040986</v>
      </c>
      <c r="CX129" s="42">
        <v>1.8192576091040986</v>
      </c>
      <c r="CY129" s="42" t="e">
        <v>#N/A</v>
      </c>
      <c r="CZ129" s="42" t="e">
        <v>#N/A</v>
      </c>
      <c r="DA129" t="e">
        <v>#N/A</v>
      </c>
      <c r="DB129" t="str">
        <v/>
      </c>
      <c r="DX129">
        <v>124</v>
      </c>
      <c r="DY129">
        <v>6</v>
      </c>
      <c r="DZ129">
        <v>8.8224752287145186E-2</v>
      </c>
      <c r="EA129" t="str">
        <v/>
      </c>
    </row>
    <row r="130" spans="70:131" x14ac:dyDescent="0.2">
      <c r="BR130">
        <v>125</v>
      </c>
      <c r="BS130">
        <v>-7.0866141732283339E-2</v>
      </c>
      <c r="BT130" s="42">
        <v>0.39794179097452625</v>
      </c>
      <c r="BU130" s="42">
        <v>8</v>
      </c>
      <c r="BV130" s="42">
        <v>3</v>
      </c>
      <c r="BW130" s="42">
        <v>0.6209326687253206</v>
      </c>
      <c r="BX130" s="42" t="str">
        <v/>
      </c>
      <c r="BY130" s="42" t="str">
        <v/>
      </c>
      <c r="CU130" s="42">
        <v>125</v>
      </c>
      <c r="CV130" s="42">
        <v>1</v>
      </c>
      <c r="CW130" s="42">
        <v>1.8192576091040986</v>
      </c>
      <c r="CX130" s="42">
        <v>1.8192576091040986</v>
      </c>
      <c r="CY130" s="42" t="e">
        <v>#N/A</v>
      </c>
      <c r="CZ130" s="42" t="e">
        <v>#N/A</v>
      </c>
      <c r="DA130" t="e">
        <v>#N/A</v>
      </c>
      <c r="DB130" t="str">
        <v/>
      </c>
      <c r="DX130">
        <v>125</v>
      </c>
      <c r="DY130">
        <v>6</v>
      </c>
      <c r="DZ130">
        <v>8.8224752287145186E-2</v>
      </c>
      <c r="EA130" t="str">
        <v/>
      </c>
    </row>
    <row r="131" spans="70:131" x14ac:dyDescent="0.2">
      <c r="BR131">
        <v>126</v>
      </c>
      <c r="BS131">
        <v>-4.7244094488188892E-2</v>
      </c>
      <c r="BT131" s="42">
        <v>0.39849730826719421</v>
      </c>
      <c r="BU131" s="42">
        <v>8</v>
      </c>
      <c r="BV131" s="42">
        <v>3</v>
      </c>
      <c r="BW131" s="42">
        <v>0.6209326687253206</v>
      </c>
      <c r="BX131" s="42" t="str">
        <v/>
      </c>
      <c r="BY131" s="42" t="str">
        <v/>
      </c>
      <c r="CU131" s="42">
        <v>126</v>
      </c>
      <c r="CV131" s="42">
        <v>1</v>
      </c>
      <c r="CW131" s="42">
        <v>1.8192576091040986</v>
      </c>
      <c r="CX131" s="42">
        <v>1.8192576091040986</v>
      </c>
      <c r="CY131" s="42" t="e">
        <v>#N/A</v>
      </c>
      <c r="CZ131" s="42" t="e">
        <v>#N/A</v>
      </c>
      <c r="DA131" t="e">
        <v>#N/A</v>
      </c>
      <c r="DB131" t="str">
        <v/>
      </c>
      <c r="DX131">
        <v>126</v>
      </c>
      <c r="DY131">
        <v>6</v>
      </c>
      <c r="DZ131">
        <v>8.8224752287145186E-2</v>
      </c>
      <c r="EA131" t="str">
        <v/>
      </c>
    </row>
    <row r="132" spans="70:131" x14ac:dyDescent="0.2">
      <c r="BR132">
        <v>127</v>
      </c>
      <c r="BS132">
        <v>-2.3622047244094446E-2</v>
      </c>
      <c r="BT132" s="42">
        <v>0.39883099080824164</v>
      </c>
      <c r="BU132" s="42">
        <v>8</v>
      </c>
      <c r="BV132" s="42">
        <v>3</v>
      </c>
      <c r="BW132" s="42">
        <v>0.6209326687253206</v>
      </c>
      <c r="BX132" s="42" t="str">
        <v/>
      </c>
      <c r="BY132" s="42" t="str">
        <v/>
      </c>
      <c r="CU132" s="42">
        <v>127</v>
      </c>
      <c r="CV132" s="42">
        <v>1</v>
      </c>
      <c r="CW132" s="42">
        <v>1.8192576091040986</v>
      </c>
      <c r="CX132" s="42">
        <v>1.8192576091040986</v>
      </c>
      <c r="CY132" s="42" t="e">
        <v>#N/A</v>
      </c>
      <c r="CZ132" s="42" t="e">
        <v>#N/A</v>
      </c>
      <c r="DA132" t="e">
        <v>#N/A</v>
      </c>
      <c r="DB132" t="str">
        <v/>
      </c>
      <c r="DX132">
        <v>127</v>
      </c>
      <c r="DY132">
        <v>6</v>
      </c>
      <c r="DZ132">
        <v>8.8224752287145186E-2</v>
      </c>
      <c r="EA132" t="str">
        <v/>
      </c>
    </row>
    <row r="133" spans="70:131" x14ac:dyDescent="0.2">
      <c r="BR133">
        <v>128</v>
      </c>
      <c r="BS133">
        <v>0</v>
      </c>
      <c r="BT133" s="42">
        <v>0.3989422804014327</v>
      </c>
      <c r="BU133" s="42">
        <v>8</v>
      </c>
      <c r="BV133" s="42">
        <v>3</v>
      </c>
      <c r="BW133" s="42">
        <v>0.6209326687253206</v>
      </c>
      <c r="BX133" s="42" t="str">
        <v/>
      </c>
      <c r="BY133" s="42" t="str">
        <v>0σ</v>
      </c>
      <c r="CU133" s="42">
        <v>128</v>
      </c>
      <c r="CV133" s="42">
        <v>1</v>
      </c>
      <c r="CW133" s="42">
        <v>1.8192576091040986</v>
      </c>
      <c r="CX133" s="42">
        <v>1.8192576091040986</v>
      </c>
      <c r="CY133" s="42" t="e">
        <v>#N/A</v>
      </c>
      <c r="CZ133" s="42" t="e">
        <v>#N/A</v>
      </c>
      <c r="DA133" t="e">
        <v>#N/A</v>
      </c>
      <c r="DB133" t="str">
        <v/>
      </c>
      <c r="DX133">
        <v>128</v>
      </c>
      <c r="DY133">
        <v>6</v>
      </c>
      <c r="DZ133">
        <v>8.8224752287145186E-2</v>
      </c>
      <c r="EA133" t="str">
        <v/>
      </c>
    </row>
    <row r="134" spans="70:131" x14ac:dyDescent="0.2">
      <c r="BR134">
        <v>129</v>
      </c>
      <c r="BS134">
        <v>2.3622047244094446E-2</v>
      </c>
      <c r="BT134" s="42">
        <v>0.39883099080824164</v>
      </c>
      <c r="BU134" s="42">
        <v>8</v>
      </c>
      <c r="BV134" s="42">
        <v>3</v>
      </c>
      <c r="BW134" s="42">
        <v>0.6209326687253206</v>
      </c>
      <c r="BX134" s="42" t="str">
        <v/>
      </c>
      <c r="BY134" s="42" t="str">
        <v/>
      </c>
      <c r="CU134" s="42">
        <v>129</v>
      </c>
      <c r="CV134" s="42">
        <v>1</v>
      </c>
      <c r="CW134" s="42">
        <v>1.8192576091040986</v>
      </c>
      <c r="CX134" s="42">
        <v>1.8192576091040986</v>
      </c>
      <c r="CY134" s="42" t="e">
        <v>#N/A</v>
      </c>
      <c r="CZ134" s="42" t="e">
        <v>#N/A</v>
      </c>
      <c r="DA134" t="e">
        <v>#N/A</v>
      </c>
      <c r="DB134" t="str">
        <v/>
      </c>
      <c r="DX134">
        <v>129</v>
      </c>
      <c r="DY134">
        <v>6</v>
      </c>
      <c r="DZ134">
        <v>8.8224752287145186E-2</v>
      </c>
      <c r="EA134" t="str">
        <v/>
      </c>
    </row>
    <row r="135" spans="70:131" x14ac:dyDescent="0.2">
      <c r="BR135">
        <v>130</v>
      </c>
      <c r="BS135">
        <v>4.7244094488188892E-2</v>
      </c>
      <c r="BT135" s="42">
        <v>0.39849730826719421</v>
      </c>
      <c r="BU135" s="42">
        <v>8</v>
      </c>
      <c r="BV135" s="42">
        <v>3</v>
      </c>
      <c r="BW135" s="42">
        <v>0.6209326687253206</v>
      </c>
      <c r="BX135" s="42" t="str">
        <v/>
      </c>
      <c r="BY135" s="42" t="str">
        <v/>
      </c>
      <c r="CU135" s="42">
        <v>130</v>
      </c>
      <c r="CV135" s="42">
        <v>1</v>
      </c>
      <c r="CW135" s="42">
        <v>1.8192576091040986</v>
      </c>
      <c r="CX135" s="42">
        <v>1.8192576091040986</v>
      </c>
      <c r="CY135" s="42" t="e">
        <v>#N/A</v>
      </c>
      <c r="CZ135" s="42" t="e">
        <v>#N/A</v>
      </c>
      <c r="DA135" t="e">
        <v>#N/A</v>
      </c>
      <c r="DB135" t="str">
        <v/>
      </c>
      <c r="DX135">
        <v>130</v>
      </c>
      <c r="DY135">
        <v>6</v>
      </c>
      <c r="DZ135">
        <v>8.8224752287145186E-2</v>
      </c>
      <c r="EA135" t="str">
        <v/>
      </c>
    </row>
    <row r="136" spans="70:131" x14ac:dyDescent="0.2">
      <c r="BR136">
        <v>131</v>
      </c>
      <c r="BS136">
        <v>7.0866141732283339E-2</v>
      </c>
      <c r="BT136" s="42">
        <v>0.39794179097452625</v>
      </c>
      <c r="BU136" s="42">
        <v>8</v>
      </c>
      <c r="BV136" s="42">
        <v>3</v>
      </c>
      <c r="BW136" s="42">
        <v>0.6209326687253206</v>
      </c>
      <c r="BX136" s="42" t="str">
        <v/>
      </c>
      <c r="BY136" s="42" t="str">
        <v/>
      </c>
      <c r="CU136" s="42">
        <v>131</v>
      </c>
      <c r="CV136" s="42">
        <v>1</v>
      </c>
      <c r="CW136" s="42">
        <v>1.8192576091040986</v>
      </c>
      <c r="CX136" s="42">
        <v>1.8192576091040986</v>
      </c>
      <c r="CY136" s="42" t="e">
        <v>#N/A</v>
      </c>
      <c r="CZ136" s="42" t="e">
        <v>#N/A</v>
      </c>
      <c r="DA136" t="e">
        <v>#N/A</v>
      </c>
      <c r="DB136" t="str">
        <v/>
      </c>
      <c r="DX136">
        <v>131</v>
      </c>
      <c r="DY136">
        <v>6</v>
      </c>
      <c r="DZ136">
        <v>8.8224752287145186E-2</v>
      </c>
      <c r="EA136" t="str">
        <v/>
      </c>
    </row>
    <row r="137" spans="70:131" x14ac:dyDescent="0.2">
      <c r="BR137">
        <v>132</v>
      </c>
      <c r="BS137">
        <v>9.4488188976377785E-2</v>
      </c>
      <c r="BT137" s="42">
        <v>0.39716536752818871</v>
      </c>
      <c r="BU137" s="42">
        <v>8</v>
      </c>
      <c r="BV137" s="42">
        <v>3</v>
      </c>
      <c r="BW137" s="42">
        <v>0.6209326687253206</v>
      </c>
      <c r="BX137" s="42" t="str">
        <v/>
      </c>
      <c r="BY137" s="42" t="str">
        <v/>
      </c>
      <c r="CU137" s="42">
        <v>132</v>
      </c>
      <c r="CV137" s="42">
        <v>1</v>
      </c>
      <c r="CW137" s="42">
        <v>1.8192576091040986</v>
      </c>
      <c r="CX137" s="42">
        <v>1.8192576091040986</v>
      </c>
      <c r="CY137" s="42" t="e">
        <v>#N/A</v>
      </c>
      <c r="CZ137" s="42" t="e">
        <v>#N/A</v>
      </c>
      <c r="DA137" t="e">
        <v>#N/A</v>
      </c>
      <c r="DB137" t="str">
        <v/>
      </c>
      <c r="DX137">
        <v>132</v>
      </c>
      <c r="DY137">
        <v>6</v>
      </c>
      <c r="DZ137">
        <v>8.8224752287145186E-2</v>
      </c>
      <c r="EA137" t="str">
        <v/>
      </c>
    </row>
    <row r="138" spans="70:131" x14ac:dyDescent="0.2">
      <c r="BR138">
        <v>133</v>
      </c>
      <c r="BS138">
        <v>0.11811023622047223</v>
      </c>
      <c r="BT138" s="42">
        <v>0.39616933434126872</v>
      </c>
      <c r="BU138" s="42">
        <v>8</v>
      </c>
      <c r="BV138" s="42">
        <v>3</v>
      </c>
      <c r="BW138" s="42">
        <v>0.6209326687253206</v>
      </c>
      <c r="BX138" s="42" t="str">
        <v/>
      </c>
      <c r="BY138" s="42" t="str">
        <v/>
      </c>
      <c r="CU138" s="42">
        <v>133</v>
      </c>
      <c r="CV138" s="42">
        <v>1</v>
      </c>
      <c r="CW138" s="42">
        <v>1.8192576091040986</v>
      </c>
      <c r="CX138" s="42">
        <v>1.8192576091040986</v>
      </c>
      <c r="CY138" s="42" t="e">
        <v>#N/A</v>
      </c>
      <c r="CZ138" s="42" t="e">
        <v>#N/A</v>
      </c>
      <c r="DA138" t="e">
        <v>#N/A</v>
      </c>
      <c r="DB138" t="str">
        <v/>
      </c>
      <c r="DX138">
        <v>133</v>
      </c>
      <c r="DY138">
        <v>6</v>
      </c>
      <c r="DZ138">
        <v>8.8224752287145186E-2</v>
      </c>
      <c r="EA138" t="str">
        <v/>
      </c>
    </row>
    <row r="139" spans="70:131" x14ac:dyDescent="0.2">
      <c r="BR139">
        <v>134</v>
      </c>
      <c r="BS139">
        <v>0.14173228346456668</v>
      </c>
      <c r="BT139" s="42">
        <v>0.39495535203491233</v>
      </c>
      <c r="BU139" s="42">
        <v>8</v>
      </c>
      <c r="BV139" s="42">
        <v>3</v>
      </c>
      <c r="BW139" s="42">
        <v>0.6209326687253206</v>
      </c>
      <c r="BX139" s="42" t="str">
        <v/>
      </c>
      <c r="BY139" s="42" t="str">
        <v/>
      </c>
      <c r="CU139" s="42">
        <v>134</v>
      </c>
      <c r="CV139" s="42">
        <v>1</v>
      </c>
      <c r="CW139" s="42">
        <v>1.8192576091040986</v>
      </c>
      <c r="CX139" s="42">
        <v>1.8192576091040986</v>
      </c>
      <c r="CY139" s="42" t="e">
        <v>#N/A</v>
      </c>
      <c r="CZ139" s="42" t="e">
        <v>#N/A</v>
      </c>
      <c r="DA139" t="e">
        <v>#N/A</v>
      </c>
      <c r="DB139" t="str">
        <v/>
      </c>
      <c r="DX139">
        <v>134</v>
      </c>
      <c r="DY139">
        <v>6</v>
      </c>
      <c r="DZ139">
        <v>8.8224752287145186E-2</v>
      </c>
      <c r="EA139" t="str">
        <v/>
      </c>
    </row>
    <row r="140" spans="70:131" x14ac:dyDescent="0.2">
      <c r="BR140">
        <v>135</v>
      </c>
      <c r="BS140">
        <v>0.16535433070866157</v>
      </c>
      <c r="BT140" s="42">
        <v>0.39352544082479718</v>
      </c>
      <c r="BU140" s="42">
        <v>8</v>
      </c>
      <c r="BV140" s="42">
        <v>3</v>
      </c>
      <c r="BW140" s="42">
        <v>0.6209326687253206</v>
      </c>
      <c r="BX140" s="42" t="str">
        <v/>
      </c>
      <c r="BY140" s="42" t="str">
        <v/>
      </c>
      <c r="CU140" s="42">
        <v>135</v>
      </c>
      <c r="CV140" s="42">
        <v>1</v>
      </c>
      <c r="CW140" s="42">
        <v>1.8192576091040986</v>
      </c>
      <c r="CX140" s="42">
        <v>1.8192576091040986</v>
      </c>
      <c r="CY140" s="42" t="e">
        <v>#N/A</v>
      </c>
      <c r="CZ140" s="42" t="e">
        <v>#N/A</v>
      </c>
      <c r="DA140" t="e">
        <v>#N/A</v>
      </c>
      <c r="DB140" t="str">
        <v/>
      </c>
      <c r="DX140">
        <v>135</v>
      </c>
      <c r="DY140">
        <v>6</v>
      </c>
      <c r="DZ140">
        <v>8.8224752287145186E-2</v>
      </c>
      <c r="EA140" t="str">
        <v/>
      </c>
    </row>
    <row r="141" spans="70:131" x14ac:dyDescent="0.2">
      <c r="BR141">
        <v>136</v>
      </c>
      <c r="BS141">
        <v>0.18897637795275601</v>
      </c>
      <c r="BT141" s="42">
        <v>0.39188197491909466</v>
      </c>
      <c r="BU141" s="42">
        <v>8</v>
      </c>
      <c r="BV141" s="42">
        <v>3</v>
      </c>
      <c r="BW141" s="42">
        <v>0.6209326687253206</v>
      </c>
      <c r="BX141" s="42" t="str">
        <v/>
      </c>
      <c r="BY141" s="42" t="str">
        <v/>
      </c>
      <c r="CU141" s="42">
        <v>136</v>
      </c>
      <c r="CV141" s="42">
        <v>1</v>
      </c>
      <c r="CW141" s="42">
        <v>1.8192576091040986</v>
      </c>
      <c r="CX141" s="42">
        <v>1.8192576091040986</v>
      </c>
      <c r="CY141" s="42" t="e">
        <v>#N/A</v>
      </c>
      <c r="CZ141" s="42" t="e">
        <v>#N/A</v>
      </c>
      <c r="DA141" t="e">
        <v>#N/A</v>
      </c>
      <c r="DB141" t="str">
        <v/>
      </c>
      <c r="DX141">
        <v>136</v>
      </c>
      <c r="DY141">
        <v>6</v>
      </c>
      <c r="DZ141">
        <v>8.8224752287145186E-2</v>
      </c>
      <c r="EA141" t="str">
        <v/>
      </c>
    </row>
    <row r="142" spans="70:131" x14ac:dyDescent="0.2">
      <c r="BR142">
        <v>137</v>
      </c>
      <c r="BS142">
        <v>0.21259842519685046</v>
      </c>
      <c r="BT142" s="42">
        <v>0.39002767594966714</v>
      </c>
      <c r="BU142" s="42">
        <v>9</v>
      </c>
      <c r="BV142" s="42">
        <v>0</v>
      </c>
      <c r="BW142" s="42">
        <v>0</v>
      </c>
      <c r="BX142" s="42">
        <v>2.72</v>
      </c>
      <c r="BY142" s="42" t="str">
        <v/>
      </c>
      <c r="CU142" s="42">
        <v>137</v>
      </c>
      <c r="CV142" s="42">
        <v>1</v>
      </c>
      <c r="CW142" s="42">
        <v>1.8192576091040986</v>
      </c>
      <c r="CX142" s="42">
        <v>1.8192576091040986</v>
      </c>
      <c r="CY142" s="42" t="e">
        <v>#N/A</v>
      </c>
      <c r="CZ142" s="42" t="e">
        <v>#N/A</v>
      </c>
      <c r="DA142" t="e">
        <v>#N/A</v>
      </c>
      <c r="DB142" t="str">
        <v/>
      </c>
      <c r="DX142">
        <v>137</v>
      </c>
      <c r="DY142">
        <v>6</v>
      </c>
      <c r="DZ142">
        <v>8.8224752287145186E-2</v>
      </c>
      <c r="EA142" t="str">
        <v/>
      </c>
    </row>
    <row r="143" spans="70:131" x14ac:dyDescent="0.2">
      <c r="BR143">
        <v>138</v>
      </c>
      <c r="BS143">
        <v>0.23622047244094491</v>
      </c>
      <c r="BT143" s="42">
        <v>0.38796560546193709</v>
      </c>
      <c r="BU143" s="42">
        <v>9</v>
      </c>
      <c r="BV143" s="42">
        <v>0</v>
      </c>
      <c r="BW143" s="42">
        <v>0</v>
      </c>
      <c r="BX143" s="42" t="str">
        <v/>
      </c>
      <c r="BY143" s="42" t="str">
        <v/>
      </c>
      <c r="CU143" s="42">
        <v>138</v>
      </c>
      <c r="CV143" s="42">
        <v>1</v>
      </c>
      <c r="CW143" s="42">
        <v>1.8192576091040986</v>
      </c>
      <c r="CX143" s="42">
        <v>1.8192576091040986</v>
      </c>
      <c r="CY143" s="42" t="e">
        <v>#N/A</v>
      </c>
      <c r="CZ143" s="42" t="e">
        <v>#N/A</v>
      </c>
      <c r="DA143" t="e">
        <v>#N/A</v>
      </c>
      <c r="DB143" t="str">
        <v/>
      </c>
      <c r="DX143">
        <v>138</v>
      </c>
      <c r="DY143">
        <v>6</v>
      </c>
      <c r="DZ143">
        <v>8.8224752287145186E-2</v>
      </c>
      <c r="EA143" t="str">
        <v/>
      </c>
    </row>
    <row r="144" spans="70:131" x14ac:dyDescent="0.2">
      <c r="BR144">
        <v>139</v>
      </c>
      <c r="BS144">
        <v>0.25984251968503935</v>
      </c>
      <c r="BT144" s="42">
        <v>0.38569915649243564</v>
      </c>
      <c r="BU144" s="42">
        <v>9</v>
      </c>
      <c r="BV144" s="42">
        <v>0</v>
      </c>
      <c r="BW144" s="42">
        <v>0</v>
      </c>
      <c r="BX144" s="42" t="str">
        <v/>
      </c>
      <c r="BY144" s="42" t="str">
        <v/>
      </c>
      <c r="CU144" s="42">
        <v>139</v>
      </c>
      <c r="CV144" s="42">
        <v>1</v>
      </c>
      <c r="CW144" s="42">
        <v>1.8192576091040986</v>
      </c>
      <c r="CX144" s="42">
        <v>1.8192576091040986</v>
      </c>
      <c r="CY144" s="42" t="e">
        <v>#N/A</v>
      </c>
      <c r="CZ144" s="42" t="e">
        <v>#N/A</v>
      </c>
      <c r="DA144" t="e">
        <v>#N/A</v>
      </c>
      <c r="DB144" t="str">
        <v/>
      </c>
      <c r="DX144">
        <v>139</v>
      </c>
      <c r="DY144">
        <v>6</v>
      </c>
      <c r="DZ144">
        <v>8.8224752287145186E-2</v>
      </c>
      <c r="EA144" t="str">
        <v/>
      </c>
    </row>
    <row r="145" spans="70:131" x14ac:dyDescent="0.2">
      <c r="BR145">
        <v>140</v>
      </c>
      <c r="BS145">
        <v>0.2834645669291338</v>
      </c>
      <c r="BT145" s="42">
        <v>0.38323204426646018</v>
      </c>
      <c r="BU145" s="42">
        <v>9</v>
      </c>
      <c r="BV145" s="42">
        <v>0</v>
      </c>
      <c r="BW145" s="42">
        <v>0</v>
      </c>
      <c r="BX145" s="42" t="str">
        <v/>
      </c>
      <c r="BY145" s="42" t="str">
        <v/>
      </c>
      <c r="CU145" s="42">
        <v>140</v>
      </c>
      <c r="CV145" s="42">
        <v>1</v>
      </c>
      <c r="CW145" s="42">
        <v>1.8192576091040986</v>
      </c>
      <c r="CX145" s="42">
        <v>1.8192576091040986</v>
      </c>
      <c r="CY145" s="42" t="e">
        <v>#N/A</v>
      </c>
      <c r="CZ145" s="42" t="e">
        <v>#N/A</v>
      </c>
      <c r="DA145" t="e">
        <v>#N/A</v>
      </c>
      <c r="DB145" t="str">
        <v/>
      </c>
      <c r="DX145">
        <v>140</v>
      </c>
      <c r="DY145">
        <v>6</v>
      </c>
      <c r="DZ145">
        <v>8.8224752287145186E-2</v>
      </c>
      <c r="EA145" t="str">
        <v/>
      </c>
    </row>
    <row r="146" spans="70:131" x14ac:dyDescent="0.2">
      <c r="BR146">
        <v>141</v>
      </c>
      <c r="BS146">
        <v>0.30708661417322825</v>
      </c>
      <c r="BT146" s="42">
        <v>0.38056829605153553</v>
      </c>
      <c r="BU146" s="42">
        <v>9</v>
      </c>
      <c r="BV146" s="42">
        <v>0</v>
      </c>
      <c r="BW146" s="42">
        <v>0</v>
      </c>
      <c r="BX146" s="42" t="str">
        <v/>
      </c>
      <c r="BY146" s="42" t="str">
        <v/>
      </c>
      <c r="CU146" s="42">
        <v>141</v>
      </c>
      <c r="CV146" s="42">
        <v>1</v>
      </c>
      <c r="CW146" s="42">
        <v>1.8192576091040986</v>
      </c>
      <c r="CX146" s="42">
        <v>1.8192576091040986</v>
      </c>
      <c r="CY146" s="42" t="e">
        <v>#N/A</v>
      </c>
      <c r="CZ146" s="42" t="e">
        <v>#N/A</v>
      </c>
      <c r="DA146" t="e">
        <v>#N/A</v>
      </c>
      <c r="DB146" t="str">
        <v/>
      </c>
      <c r="DX146">
        <v>141</v>
      </c>
      <c r="DY146">
        <v>6</v>
      </c>
      <c r="DZ146">
        <v>8.8224752287145186E-2</v>
      </c>
      <c r="EA146" t="str">
        <v/>
      </c>
    </row>
    <row r="147" spans="70:131" x14ac:dyDescent="0.2">
      <c r="BR147">
        <v>142</v>
      </c>
      <c r="BS147">
        <v>0.33070866141732269</v>
      </c>
      <c r="BT147" s="42">
        <v>0.3777122402054594</v>
      </c>
      <c r="BU147" s="42">
        <v>9</v>
      </c>
      <c r="BV147" s="42">
        <v>0</v>
      </c>
      <c r="BW147" s="42">
        <v>0</v>
      </c>
      <c r="BX147" s="42" t="str">
        <v/>
      </c>
      <c r="BY147" s="42" t="str">
        <v/>
      </c>
      <c r="CU147" s="42">
        <v>142</v>
      </c>
      <c r="CV147" s="42">
        <v>1</v>
      </c>
      <c r="CW147" s="42">
        <v>1.8192576091040986</v>
      </c>
      <c r="CX147" s="42">
        <v>1.8192576091040986</v>
      </c>
      <c r="CY147" s="42" t="e">
        <v>#N/A</v>
      </c>
      <c r="CZ147" s="42" t="e">
        <v>#N/A</v>
      </c>
      <c r="DA147" t="e">
        <v>#N/A</v>
      </c>
      <c r="DB147" t="str">
        <v/>
      </c>
      <c r="DX147">
        <v>142</v>
      </c>
      <c r="DY147">
        <v>6</v>
      </c>
      <c r="DZ147">
        <v>8.8224752287145186E-2</v>
      </c>
      <c r="EA147" t="str">
        <v/>
      </c>
    </row>
    <row r="148" spans="70:131" x14ac:dyDescent="0.2">
      <c r="BR148">
        <v>143</v>
      </c>
      <c r="BS148">
        <v>0.35433070866141714</v>
      </c>
      <c r="BT148" s="42">
        <v>0.37466849446061029</v>
      </c>
      <c r="BU148" s="42">
        <v>9</v>
      </c>
      <c r="BV148" s="42">
        <v>0</v>
      </c>
      <c r="BW148" s="42">
        <v>0</v>
      </c>
      <c r="BX148" s="42" t="str">
        <v/>
      </c>
      <c r="BY148" s="42" t="str">
        <v/>
      </c>
      <c r="CU148" s="42">
        <v>143</v>
      </c>
      <c r="CV148" s="42">
        <v>1</v>
      </c>
      <c r="CW148" s="42">
        <v>1.8192576091040986</v>
      </c>
      <c r="CX148" s="42">
        <v>1.8192576091040986</v>
      </c>
      <c r="CY148" s="42" t="e">
        <v>#N/A</v>
      </c>
      <c r="CZ148" s="42" t="e">
        <v>#N/A</v>
      </c>
      <c r="DA148" t="e">
        <v>#N/A</v>
      </c>
      <c r="DB148" t="str">
        <v/>
      </c>
      <c r="DX148">
        <v>143</v>
      </c>
      <c r="DY148">
        <v>6</v>
      </c>
      <c r="DZ148">
        <v>8.8224752287145186E-2</v>
      </c>
      <c r="EA148" t="str">
        <v/>
      </c>
    </row>
    <row r="149" spans="70:131" x14ac:dyDescent="0.2">
      <c r="BR149">
        <v>144</v>
      </c>
      <c r="BS149">
        <v>0.37795275590551158</v>
      </c>
      <c r="BT149" s="42">
        <v>0.37144195348888975</v>
      </c>
      <c r="BU149" s="42">
        <v>9</v>
      </c>
      <c r="BV149" s="42">
        <v>0</v>
      </c>
      <c r="BW149" s="42">
        <v>0</v>
      </c>
      <c r="BX149" s="42" t="str">
        <v/>
      </c>
      <c r="BY149" s="42" t="str">
        <v/>
      </c>
      <c r="CU149" s="42">
        <v>144</v>
      </c>
      <c r="CV149" s="42">
        <v>1</v>
      </c>
      <c r="CW149" s="42">
        <v>1.8192576091040986</v>
      </c>
      <c r="CX149" s="42">
        <v>1.8192576091040986</v>
      </c>
      <c r="CY149" s="42" t="e">
        <v>#N/A</v>
      </c>
      <c r="CZ149" s="42" t="e">
        <v>#N/A</v>
      </c>
      <c r="DA149" t="e">
        <v>#N/A</v>
      </c>
      <c r="DB149" t="str">
        <v/>
      </c>
      <c r="DX149">
        <v>144</v>
      </c>
      <c r="DY149">
        <v>6</v>
      </c>
      <c r="DZ149">
        <v>8.8224752287145186E-2</v>
      </c>
      <c r="EA149" t="str">
        <v/>
      </c>
    </row>
    <row r="150" spans="70:131" x14ac:dyDescent="0.2">
      <c r="BR150">
        <v>145</v>
      </c>
      <c r="BS150">
        <v>0.40157480314960647</v>
      </c>
      <c r="BT150" s="42">
        <v>0.36803777579414604</v>
      </c>
      <c r="BU150" s="42">
        <v>9</v>
      </c>
      <c r="BV150" s="42">
        <v>0</v>
      </c>
      <c r="BW150" s="42">
        <v>0</v>
      </c>
      <c r="BX150" s="42" t="str">
        <v/>
      </c>
      <c r="BY150" s="42" t="str">
        <v/>
      </c>
      <c r="CU150" s="42">
        <v>145</v>
      </c>
      <c r="CV150" s="42">
        <v>1</v>
      </c>
      <c r="CW150" s="42">
        <v>1.8192576091040986</v>
      </c>
      <c r="CX150" s="42">
        <v>1.8192576091040986</v>
      </c>
      <c r="CY150" s="42" t="e">
        <v>#N/A</v>
      </c>
      <c r="CZ150" s="42" t="e">
        <v>#N/A</v>
      </c>
      <c r="DA150" t="e">
        <v>#N/A</v>
      </c>
      <c r="DB150" t="str">
        <v/>
      </c>
      <c r="DX150">
        <v>145</v>
      </c>
      <c r="DY150">
        <v>6</v>
      </c>
      <c r="DZ150">
        <v>8.8224752287145186E-2</v>
      </c>
      <c r="EA150" t="str">
        <v/>
      </c>
    </row>
    <row r="151" spans="70:131" x14ac:dyDescent="0.2">
      <c r="BR151">
        <v>146</v>
      </c>
      <c r="BS151">
        <v>0.42519685039370092</v>
      </c>
      <c r="BT151" s="42">
        <v>0.36446136998117984</v>
      </c>
      <c r="BU151" s="42">
        <v>9</v>
      </c>
      <c r="BV151" s="42">
        <v>0</v>
      </c>
      <c r="BW151" s="42">
        <v>0</v>
      </c>
      <c r="BX151" s="42" t="str">
        <v/>
      </c>
      <c r="BY151" s="42" t="str">
        <v/>
      </c>
      <c r="CU151" s="42">
        <v>146</v>
      </c>
      <c r="CV151" s="42">
        <v>1</v>
      </c>
      <c r="CW151" s="42">
        <v>1.8192576091040986</v>
      </c>
      <c r="CX151" s="42">
        <v>1.8192576091040986</v>
      </c>
      <c r="CY151" s="42" t="e">
        <v>#N/A</v>
      </c>
      <c r="CZ151" s="42" t="e">
        <v>#N/A</v>
      </c>
      <c r="DA151" t="e">
        <v>#N/A</v>
      </c>
      <c r="DB151" t="str">
        <v/>
      </c>
      <c r="DX151">
        <v>146</v>
      </c>
      <c r="DY151">
        <v>6</v>
      </c>
      <c r="DZ151">
        <v>8.8224752287145186E-2</v>
      </c>
      <c r="EA151" t="str">
        <v/>
      </c>
    </row>
    <row r="152" spans="70:131" x14ac:dyDescent="0.2">
      <c r="BR152">
        <v>147</v>
      </c>
      <c r="BS152">
        <v>0.44881889763779537</v>
      </c>
      <c r="BT152" s="42">
        <v>0.36071838045244237</v>
      </c>
      <c r="BU152" s="42">
        <v>9</v>
      </c>
      <c r="BV152" s="115">
        <v>0</v>
      </c>
      <c r="BW152" s="115">
        <v>0</v>
      </c>
      <c r="BX152" s="115" t="str">
        <v/>
      </c>
      <c r="BY152" s="115" t="str">
        <v/>
      </c>
      <c r="BZ152" s="115"/>
      <c r="CA152" s="115"/>
      <c r="CB152" s="115"/>
      <c r="CC152" s="115"/>
      <c r="CD152" s="115"/>
      <c r="CE152"/>
      <c r="CF152"/>
      <c r="CG152"/>
      <c r="CH152"/>
      <c r="CI152"/>
      <c r="CJ152" s="115"/>
      <c r="CK152" s="115"/>
      <c r="CL152" s="115"/>
      <c r="CM152" s="115"/>
      <c r="CN152" s="115"/>
      <c r="CO152" s="115"/>
      <c r="CP152" s="115"/>
      <c r="CQ152" s="115"/>
      <c r="CR152" s="48"/>
      <c r="CU152" s="42">
        <v>147</v>
      </c>
      <c r="CV152" s="115">
        <v>1</v>
      </c>
      <c r="CW152" s="115">
        <v>1.8192576091040986</v>
      </c>
      <c r="CX152" s="115">
        <v>1.8192576091040986</v>
      </c>
      <c r="CY152" s="115" t="e">
        <v>#N/A</v>
      </c>
      <c r="CZ152" t="e">
        <v>#N/A</v>
      </c>
      <c r="DA152" t="e">
        <v>#N/A</v>
      </c>
      <c r="DB152" t="str">
        <v/>
      </c>
      <c r="DX152">
        <v>147</v>
      </c>
      <c r="DY152">
        <v>6</v>
      </c>
      <c r="DZ152">
        <v>8.8224752287145186E-2</v>
      </c>
      <c r="EA152" t="str">
        <v/>
      </c>
    </row>
    <row r="153" spans="70:131" x14ac:dyDescent="0.2">
      <c r="BR153">
        <v>148</v>
      </c>
      <c r="BS153">
        <v>0.47244094488188981</v>
      </c>
      <c r="BT153" s="42">
        <v>0.35681467258531119</v>
      </c>
      <c r="BU153" s="42">
        <v>9</v>
      </c>
      <c r="BV153" s="115">
        <v>0</v>
      </c>
      <c r="BW153" s="115">
        <v>0</v>
      </c>
      <c r="BX153" s="115" t="str">
        <v/>
      </c>
      <c r="BY153" s="115" t="str">
        <v/>
      </c>
      <c r="BZ153" s="115"/>
      <c r="CA153" s="115"/>
      <c r="CB153" s="115"/>
      <c r="CC153" s="115"/>
      <c r="CD153" s="115"/>
      <c r="CE153"/>
      <c r="CF153"/>
      <c r="CG153"/>
      <c r="CH153"/>
      <c r="CI153"/>
      <c r="CJ153" s="115"/>
      <c r="CK153" s="115"/>
      <c r="CL153" s="115"/>
      <c r="CM153" s="115"/>
      <c r="CN153" s="115"/>
      <c r="CO153" s="115"/>
      <c r="CP153" s="115"/>
      <c r="CQ153" s="115"/>
      <c r="CR153" s="48"/>
      <c r="CU153" s="42">
        <v>148</v>
      </c>
      <c r="CV153" s="115">
        <v>1</v>
      </c>
      <c r="CW153" s="115">
        <v>1.8192576091040986</v>
      </c>
      <c r="CX153" s="115">
        <v>1.8192576091040986</v>
      </c>
      <c r="CY153" s="115" t="e">
        <v>#N/A</v>
      </c>
      <c r="CZ153" t="e">
        <v>#N/A</v>
      </c>
      <c r="DA153" t="e">
        <v>#N/A</v>
      </c>
      <c r="DB153" t="str">
        <v/>
      </c>
      <c r="DX153">
        <v>148</v>
      </c>
      <c r="DY153">
        <v>6</v>
      </c>
      <c r="DZ153">
        <v>8.8224752287145186E-2</v>
      </c>
      <c r="EA153" t="str">
        <v/>
      </c>
    </row>
    <row r="154" spans="70:131" x14ac:dyDescent="0.2">
      <c r="BR154">
        <v>149</v>
      </c>
      <c r="BS154">
        <v>0.49606299212598426</v>
      </c>
      <c r="BT154" s="42">
        <v>0.35275631744434299</v>
      </c>
      <c r="BU154" s="42">
        <v>9</v>
      </c>
      <c r="BV154" s="115">
        <v>0</v>
      </c>
      <c r="BW154" s="115">
        <v>0</v>
      </c>
      <c r="BX154" s="115" t="str">
        <v/>
      </c>
      <c r="BY154" s="115" t="str">
        <v/>
      </c>
      <c r="BZ154" s="115"/>
      <c r="CA154" s="115"/>
      <c r="CB154" s="115"/>
      <c r="CC154" s="115"/>
      <c r="CD154" s="115"/>
      <c r="CE154"/>
      <c r="CF154"/>
      <c r="CG154"/>
      <c r="CH154"/>
      <c r="CI154"/>
      <c r="CJ154" s="115"/>
      <c r="CK154" s="115"/>
      <c r="CL154" s="115"/>
      <c r="CM154" s="115"/>
      <c r="CN154" s="115"/>
      <c r="CO154" s="115"/>
      <c r="CP154" s="115"/>
      <c r="CQ154" s="115"/>
      <c r="CR154" s="48"/>
      <c r="CU154" s="42">
        <v>149</v>
      </c>
      <c r="CV154" s="115">
        <v>1</v>
      </c>
      <c r="CW154" s="115">
        <v>1.8192576091040986</v>
      </c>
      <c r="CX154" s="115">
        <v>1.8192576091040986</v>
      </c>
      <c r="CY154" s="115" t="e">
        <v>#N/A</v>
      </c>
      <c r="CZ154" t="e">
        <v>#N/A</v>
      </c>
      <c r="DA154" t="e">
        <v>#N/A</v>
      </c>
      <c r="DB154" t="str">
        <v/>
      </c>
      <c r="DX154">
        <v>149</v>
      </c>
      <c r="DY154">
        <v>6</v>
      </c>
      <c r="DZ154">
        <v>8.8224752287145186E-2</v>
      </c>
      <c r="EA154" t="str">
        <v/>
      </c>
    </row>
    <row r="155" spans="70:131" x14ac:dyDescent="0.2">
      <c r="BR155">
        <v>150</v>
      </c>
      <c r="BS155">
        <v>0.51968503937007871</v>
      </c>
      <c r="BT155" s="42">
        <v>0.34854957608416842</v>
      </c>
      <c r="BU155" s="42">
        <v>9</v>
      </c>
      <c r="BV155" s="115">
        <v>0</v>
      </c>
      <c r="BW155" s="115">
        <v>0</v>
      </c>
      <c r="BX155" s="115" t="str">
        <v/>
      </c>
      <c r="BY155" s="115" t="str">
        <v/>
      </c>
      <c r="BZ155" s="115"/>
      <c r="CA155" s="115"/>
      <c r="CB155" s="115"/>
      <c r="CC155" s="115"/>
      <c r="CD155" s="115"/>
      <c r="CE155"/>
      <c r="CF155"/>
      <c r="CG155"/>
      <c r="CH155"/>
      <c r="CI155"/>
      <c r="CJ155" s="115"/>
      <c r="CK155" s="115"/>
      <c r="CL155" s="115"/>
      <c r="CM155" s="115"/>
      <c r="CN155" s="115"/>
      <c r="CO155" s="115"/>
      <c r="CP155" s="115"/>
      <c r="CQ155" s="115"/>
      <c r="CR155" s="48"/>
      <c r="CU155" s="42">
        <v>150</v>
      </c>
      <c r="CV155" s="115">
        <v>1</v>
      </c>
      <c r="CW155" s="115">
        <v>1.8192576091040986</v>
      </c>
      <c r="CX155" s="115">
        <v>1.8192576091040986</v>
      </c>
      <c r="CY155" s="115" t="e">
        <v>#N/A</v>
      </c>
      <c r="CZ155" t="e">
        <v>#N/A</v>
      </c>
      <c r="DA155" t="e">
        <v>#N/A</v>
      </c>
      <c r="DB155" t="str">
        <v/>
      </c>
      <c r="DX155">
        <v>150</v>
      </c>
      <c r="DY155">
        <v>6</v>
      </c>
      <c r="DZ155">
        <v>8.8224752287145186E-2</v>
      </c>
      <c r="EA155" t="str">
        <v/>
      </c>
    </row>
    <row r="156" spans="70:131" x14ac:dyDescent="0.2">
      <c r="BR156">
        <v>151</v>
      </c>
      <c r="BS156">
        <v>0.54330708661417315</v>
      </c>
      <c r="BT156" s="42">
        <v>0.34420088349969502</v>
      </c>
      <c r="BU156" s="42">
        <v>9</v>
      </c>
      <c r="BV156" s="115">
        <v>0</v>
      </c>
      <c r="BW156" s="115">
        <v>0</v>
      </c>
      <c r="BX156" s="115" t="str">
        <v/>
      </c>
      <c r="BY156" s="115" t="str">
        <v/>
      </c>
      <c r="BZ156" s="115"/>
      <c r="CA156" s="115"/>
      <c r="CB156" s="115"/>
      <c r="CC156" s="115"/>
      <c r="CD156" s="115"/>
      <c r="CE156"/>
      <c r="CF156"/>
      <c r="CG156"/>
      <c r="CH156"/>
      <c r="CI156"/>
      <c r="CJ156" s="115"/>
      <c r="CK156" s="115"/>
      <c r="CL156" s="115"/>
      <c r="CM156" s="115"/>
      <c r="CN156" s="115"/>
      <c r="CO156" s="115"/>
      <c r="CP156" s="115"/>
      <c r="CQ156" s="115"/>
      <c r="CR156" s="48"/>
      <c r="CU156" s="42">
        <v>151</v>
      </c>
      <c r="CV156" s="115">
        <v>1</v>
      </c>
      <c r="CW156" s="115">
        <v>1.8192576091040986</v>
      </c>
      <c r="CX156" s="115">
        <v>1.8192576091040986</v>
      </c>
      <c r="CY156" s="115" t="e">
        <v>#N/A</v>
      </c>
      <c r="CZ156" t="e">
        <v>#N/A</v>
      </c>
      <c r="DA156" t="e">
        <v>#N/A</v>
      </c>
      <c r="DB156" t="str">
        <v/>
      </c>
      <c r="DX156">
        <v>151</v>
      </c>
      <c r="DY156">
        <v>6</v>
      </c>
      <c r="DZ156">
        <v>8.8224752287145186E-2</v>
      </c>
      <c r="EA156" t="str">
        <v/>
      </c>
    </row>
    <row r="157" spans="70:131" x14ac:dyDescent="0.2">
      <c r="BR157">
        <v>152</v>
      </c>
      <c r="BS157">
        <v>0.5669291338582676</v>
      </c>
      <c r="BT157" s="42">
        <v>0.33971683228102528</v>
      </c>
      <c r="BU157" s="42">
        <v>9</v>
      </c>
      <c r="BV157" s="115">
        <v>0</v>
      </c>
      <c r="BW157" s="115">
        <v>0</v>
      </c>
      <c r="BX157" s="115" t="str">
        <v/>
      </c>
      <c r="BY157" s="115" t="str">
        <v/>
      </c>
      <c r="BZ157" s="115"/>
      <c r="CA157" s="115"/>
      <c r="CB157" s="115"/>
      <c r="CC157" s="115"/>
      <c r="CD157" s="115"/>
      <c r="CE157"/>
      <c r="CF157"/>
      <c r="CG157"/>
      <c r="CH157"/>
      <c r="CI157"/>
      <c r="CJ157" s="115"/>
      <c r="CK157" s="115"/>
      <c r="CL157" s="115"/>
      <c r="CM157" s="115"/>
      <c r="CN157" s="115"/>
      <c r="CO157" s="115"/>
      <c r="CP157" s="115"/>
      <c r="CQ157" s="115"/>
      <c r="CR157" s="48"/>
      <c r="CU157" s="42">
        <v>152</v>
      </c>
      <c r="CV157" s="115">
        <v>1</v>
      </c>
      <c r="CW157" s="115">
        <v>1.8192576091040986</v>
      </c>
      <c r="CX157" s="115">
        <v>1.8192576091040986</v>
      </c>
      <c r="CY157" s="115" t="e">
        <v>#N/A</v>
      </c>
      <c r="CZ157" t="e">
        <v>#N/A</v>
      </c>
      <c r="DA157" t="e">
        <v>#N/A</v>
      </c>
      <c r="DB157" t="str">
        <v/>
      </c>
      <c r="DX157">
        <v>152</v>
      </c>
      <c r="DY157">
        <v>6</v>
      </c>
      <c r="DZ157">
        <v>8.8224752287145186E-2</v>
      </c>
      <c r="EA157" t="str">
        <v/>
      </c>
    </row>
    <row r="158" spans="70:131" x14ac:dyDescent="0.2">
      <c r="BR158">
        <v>153</v>
      </c>
      <c r="BS158">
        <v>0.59055118110236204</v>
      </c>
      <c r="BT158" s="42">
        <v>0.33510415603097365</v>
      </c>
      <c r="BU158" s="42">
        <v>9</v>
      </c>
      <c r="BV158" s="115">
        <v>0</v>
      </c>
      <c r="BW158" s="115">
        <v>0</v>
      </c>
      <c r="BX158" s="115" t="str">
        <v/>
      </c>
      <c r="BY158" s="115" t="str">
        <v/>
      </c>
      <c r="BZ158" s="115"/>
      <c r="CA158" s="115"/>
      <c r="CB158" s="115"/>
      <c r="CC158" s="115"/>
      <c r="CD158" s="115"/>
      <c r="CE158"/>
      <c r="CF158"/>
      <c r="CG158"/>
      <c r="CH158"/>
      <c r="CI158"/>
      <c r="CJ158" s="115"/>
      <c r="CK158" s="115"/>
      <c r="CL158" s="115"/>
      <c r="CM158" s="115"/>
      <c r="CN158" s="115"/>
      <c r="CO158" s="115"/>
      <c r="CP158" s="115"/>
      <c r="CQ158" s="115"/>
      <c r="CR158" s="48"/>
      <c r="CU158" s="42">
        <v>153</v>
      </c>
      <c r="CV158" s="115">
        <v>1</v>
      </c>
      <c r="CW158" s="115">
        <v>1.8192576091040986</v>
      </c>
      <c r="CX158" s="115">
        <v>1.8192576091040986</v>
      </c>
      <c r="CY158" s="115" t="e">
        <v>#N/A</v>
      </c>
      <c r="CZ158" t="e">
        <v>#N/A</v>
      </c>
      <c r="DA158" t="e">
        <v>#N/A</v>
      </c>
      <c r="DB158" t="str">
        <v/>
      </c>
      <c r="DX158">
        <v>153</v>
      </c>
      <c r="DY158">
        <v>6</v>
      </c>
      <c r="DZ158">
        <v>8.8224752287145186E-2</v>
      </c>
      <c r="EA158" t="str">
        <v/>
      </c>
    </row>
    <row r="159" spans="70:131" x14ac:dyDescent="0.2">
      <c r="BR159">
        <v>154</v>
      </c>
      <c r="BS159">
        <v>0.61417322834645649</v>
      </c>
      <c r="BT159" s="42">
        <v>0.33036971260328218</v>
      </c>
      <c r="BU159" s="42">
        <v>10</v>
      </c>
      <c r="BV159" s="115">
        <v>0</v>
      </c>
      <c r="BW159" s="115">
        <v>0</v>
      </c>
      <c r="BX159" s="115">
        <v>4.4400000000000004</v>
      </c>
      <c r="BY159" s="115" t="str">
        <v/>
      </c>
      <c r="BZ159" s="115"/>
      <c r="CA159" s="115"/>
      <c r="CB159" s="115"/>
      <c r="CC159" s="115"/>
      <c r="CD159" s="115"/>
      <c r="CE159"/>
      <c r="CF159"/>
      <c r="CG159"/>
      <c r="CH159"/>
      <c r="CI159"/>
      <c r="CJ159" s="115"/>
      <c r="CK159" s="115"/>
      <c r="CL159" s="115"/>
      <c r="CM159" s="115"/>
      <c r="CN159" s="115"/>
      <c r="CO159" s="115"/>
      <c r="CP159" s="115"/>
      <c r="CQ159" s="115"/>
      <c r="CR159" s="48"/>
      <c r="CU159" s="42">
        <v>154</v>
      </c>
      <c r="CV159" s="115">
        <v>1</v>
      </c>
      <c r="CW159" s="115">
        <v>1.8192576091040986</v>
      </c>
      <c r="CX159" s="115">
        <v>1.8192576091040986</v>
      </c>
      <c r="CY159" s="115" t="e">
        <v>#N/A</v>
      </c>
      <c r="CZ159" t="e">
        <v>#N/A</v>
      </c>
      <c r="DA159" t="e">
        <v>#N/A</v>
      </c>
      <c r="DB159" t="str">
        <v/>
      </c>
      <c r="DX159">
        <v>154</v>
      </c>
      <c r="DY159">
        <v>6</v>
      </c>
      <c r="DZ159">
        <v>8.8224752287145186E-2</v>
      </c>
      <c r="EA159" t="str">
        <v/>
      </c>
    </row>
    <row r="160" spans="70:131" x14ac:dyDescent="0.2">
      <c r="BR160">
        <v>155</v>
      </c>
      <c r="BS160">
        <v>0.63779527559055094</v>
      </c>
      <c r="BT160" s="42">
        <v>0.32552046721958727</v>
      </c>
      <c r="BU160" s="42">
        <v>10</v>
      </c>
      <c r="BV160" s="115">
        <v>0</v>
      </c>
      <c r="BW160" s="115">
        <v>0</v>
      </c>
      <c r="BX160" s="115" t="str">
        <v/>
      </c>
      <c r="BY160" s="115" t="str">
        <v/>
      </c>
      <c r="BZ160" s="115"/>
      <c r="CA160" s="115"/>
      <c r="CB160" s="115"/>
      <c r="CC160" s="115"/>
      <c r="CD160" s="115"/>
      <c r="CE160"/>
      <c r="CF160"/>
      <c r="CG160"/>
      <c r="CH160"/>
      <c r="CI160"/>
      <c r="CJ160" s="115"/>
      <c r="CK160" s="115"/>
      <c r="CL160" s="115"/>
      <c r="CM160" s="115"/>
      <c r="CN160" s="115"/>
      <c r="CO160" s="115"/>
      <c r="CP160" s="115"/>
      <c r="CQ160" s="115"/>
      <c r="CR160" s="48"/>
      <c r="CU160" s="42">
        <v>155</v>
      </c>
      <c r="CV160" s="115">
        <v>1</v>
      </c>
      <c r="CW160" s="115">
        <v>1.8192576091040986</v>
      </c>
      <c r="CX160" s="115">
        <v>1.8192576091040986</v>
      </c>
      <c r="CY160" s="115" t="e">
        <v>#N/A</v>
      </c>
      <c r="CZ160" t="e">
        <v>#N/A</v>
      </c>
      <c r="DA160" t="e">
        <v>#N/A</v>
      </c>
      <c r="DB160" t="str">
        <v/>
      </c>
      <c r="DX160">
        <v>155</v>
      </c>
      <c r="DY160">
        <v>6</v>
      </c>
      <c r="DZ160">
        <v>8.8224752287145186E-2</v>
      </c>
      <c r="EA160" t="str">
        <v/>
      </c>
    </row>
    <row r="161" spans="70:131" x14ac:dyDescent="0.2">
      <c r="BR161">
        <v>156</v>
      </c>
      <c r="BS161">
        <v>0.66141732283464583</v>
      </c>
      <c r="BT161" s="42">
        <v>0.32056347552289172</v>
      </c>
      <c r="BU161" s="42">
        <v>10</v>
      </c>
      <c r="BV161" s="115">
        <v>0</v>
      </c>
      <c r="BW161" s="115">
        <v>0</v>
      </c>
      <c r="BX161" s="115" t="str">
        <v/>
      </c>
      <c r="BY161" s="115" t="str">
        <v/>
      </c>
      <c r="BZ161" s="115"/>
      <c r="CA161" s="115"/>
      <c r="CB161" s="115"/>
      <c r="CC161" s="115"/>
      <c r="CD161" s="115"/>
      <c r="CE161"/>
      <c r="CF161"/>
      <c r="CG161"/>
      <c r="CH161"/>
      <c r="CI161"/>
      <c r="CJ161" s="115"/>
      <c r="CK161" s="115"/>
      <c r="CL161" s="115"/>
      <c r="CM161" s="115"/>
      <c r="CN161" s="115"/>
      <c r="CO161" s="115"/>
      <c r="CP161" s="115"/>
      <c r="CQ161" s="115"/>
      <c r="CR161" s="48"/>
      <c r="CU161" s="42">
        <v>156</v>
      </c>
      <c r="CV161" s="115">
        <v>1</v>
      </c>
      <c r="CW161" s="115">
        <v>1.8192576091040986</v>
      </c>
      <c r="CX161" s="115">
        <v>1.8192576091040986</v>
      </c>
      <c r="CY161" s="115" t="e">
        <v>#N/A</v>
      </c>
      <c r="CZ161" t="e">
        <v>#N/A</v>
      </c>
      <c r="DA161" t="e">
        <v>#N/A</v>
      </c>
      <c r="DB161" t="str">
        <v/>
      </c>
      <c r="DX161">
        <v>156</v>
      </c>
      <c r="DY161">
        <v>6</v>
      </c>
      <c r="DZ161">
        <v>8.8224752287145186E-2</v>
      </c>
      <c r="EA161" t="str">
        <v/>
      </c>
    </row>
    <row r="162" spans="70:131" x14ac:dyDescent="0.2">
      <c r="BR162">
        <v>157</v>
      </c>
      <c r="BS162">
        <v>0.68503937007874027</v>
      </c>
      <c r="BT162" s="42">
        <v>0.31550586662473823</v>
      </c>
      <c r="BU162" s="42">
        <v>10</v>
      </c>
      <c r="BV162" s="115">
        <v>0</v>
      </c>
      <c r="BW162" s="115">
        <v>0</v>
      </c>
      <c r="BX162" s="115" t="str">
        <v/>
      </c>
      <c r="BY162" s="115" t="str">
        <v/>
      </c>
      <c r="BZ162" s="115"/>
      <c r="CA162" s="115"/>
      <c r="CB162" s="115"/>
      <c r="CC162" s="115"/>
      <c r="CD162" s="115"/>
      <c r="CE162"/>
      <c r="CF162"/>
      <c r="CG162"/>
      <c r="CH162"/>
      <c r="CI162"/>
      <c r="CJ162" s="115"/>
      <c r="CK162" s="115"/>
      <c r="CL162" s="115"/>
      <c r="CM162" s="115"/>
      <c r="CN162" s="115"/>
      <c r="CO162" s="115"/>
      <c r="CP162" s="115"/>
      <c r="CQ162" s="115"/>
      <c r="CR162" s="48"/>
      <c r="CU162" s="42">
        <v>157</v>
      </c>
      <c r="CV162" s="115">
        <v>1</v>
      </c>
      <c r="CW162" s="115">
        <v>1.8192576091040986</v>
      </c>
      <c r="CX162" s="115">
        <v>1.8192576091040986</v>
      </c>
      <c r="CY162" s="115" t="e">
        <v>#N/A</v>
      </c>
      <c r="CZ162" t="e">
        <v>#N/A</v>
      </c>
      <c r="DA162" t="e">
        <v>#N/A</v>
      </c>
      <c r="DB162" t="str">
        <v/>
      </c>
      <c r="DX162">
        <v>157</v>
      </c>
      <c r="DY162">
        <v>6</v>
      </c>
      <c r="DZ162">
        <v>8.8224752287145186E-2</v>
      </c>
      <c r="EA162" t="str">
        <v/>
      </c>
    </row>
    <row r="163" spans="70:131" x14ac:dyDescent="0.2">
      <c r="BR163">
        <v>158</v>
      </c>
      <c r="BS163">
        <v>0.70866141732283472</v>
      </c>
      <c r="BT163" s="42">
        <v>0.31035482620248367</v>
      </c>
      <c r="BU163" s="42">
        <v>10</v>
      </c>
      <c r="BV163" s="115">
        <v>0</v>
      </c>
      <c r="BW163" s="115">
        <v>0</v>
      </c>
      <c r="BX163" s="115" t="str">
        <v/>
      </c>
      <c r="BY163" s="115" t="str">
        <v/>
      </c>
      <c r="BZ163" s="115"/>
      <c r="CA163" s="115"/>
      <c r="CB163" s="115"/>
      <c r="CC163" s="115"/>
      <c r="CD163" s="115"/>
      <c r="CE163"/>
      <c r="CF163"/>
      <c r="CG163"/>
      <c r="CH163"/>
      <c r="CI163"/>
      <c r="CJ163" s="115"/>
      <c r="CK163" s="115"/>
      <c r="CL163" s="115"/>
      <c r="CM163" s="115"/>
      <c r="CN163" s="115"/>
      <c r="CO163" s="115"/>
      <c r="CP163" s="115"/>
      <c r="CQ163" s="115"/>
      <c r="CR163" s="48"/>
      <c r="CU163" s="42">
        <v>158</v>
      </c>
      <c r="CV163" s="115">
        <v>1</v>
      </c>
      <c r="CW163" s="115">
        <v>1.8192576091040986</v>
      </c>
      <c r="CX163" s="115">
        <v>1.8192576091040986</v>
      </c>
      <c r="CY163" s="115" t="e">
        <v>#N/A</v>
      </c>
      <c r="CZ163" t="e">
        <v>#N/A</v>
      </c>
      <c r="DA163" t="e">
        <v>#N/A</v>
      </c>
      <c r="DB163" t="str">
        <v/>
      </c>
      <c r="DX163">
        <v>158</v>
      </c>
      <c r="DY163">
        <v>6</v>
      </c>
      <c r="DZ163">
        <v>8.8224752287145186E-2</v>
      </c>
      <c r="EA163" t="str">
        <v/>
      </c>
    </row>
    <row r="164" spans="70:131" x14ac:dyDescent="0.2">
      <c r="BR164">
        <v>159</v>
      </c>
      <c r="BS164">
        <v>0.73228346456692917</v>
      </c>
      <c r="BT164" s="42">
        <v>0.30511757970203796</v>
      </c>
      <c r="BU164" s="42">
        <v>10</v>
      </c>
      <c r="BV164" s="115">
        <v>0</v>
      </c>
      <c r="BW164" s="115">
        <v>0</v>
      </c>
      <c r="BX164" s="115" t="str">
        <v/>
      </c>
      <c r="BY164" s="115" t="str">
        <v/>
      </c>
      <c r="BZ164" s="115"/>
      <c r="CA164" s="115"/>
      <c r="CB164" s="115"/>
      <c r="CC164" s="115"/>
      <c r="CD164" s="115"/>
      <c r="CE164"/>
      <c r="CF164"/>
      <c r="CG164"/>
      <c r="CH164"/>
      <c r="CI164"/>
      <c r="CJ164" s="115"/>
      <c r="CK164" s="115"/>
      <c r="CL164" s="115"/>
      <c r="CM164" s="115"/>
      <c r="CN164" s="115"/>
      <c r="CO164" s="115"/>
      <c r="CP164" s="115"/>
      <c r="CQ164" s="115"/>
      <c r="CR164" s="48"/>
      <c r="CU164" s="42">
        <v>159</v>
      </c>
      <c r="CV164" s="115">
        <v>1</v>
      </c>
      <c r="CW164" s="115">
        <v>1.8192576091040986</v>
      </c>
      <c r="CX164" s="115">
        <v>1.8192576091040986</v>
      </c>
      <c r="CY164" s="115" t="e">
        <v>#N/A</v>
      </c>
      <c r="CZ164" t="e">
        <v>#N/A</v>
      </c>
      <c r="DA164" t="e">
        <v>#N/A</v>
      </c>
      <c r="DB164" t="str">
        <v/>
      </c>
      <c r="DX164">
        <v>159</v>
      </c>
      <c r="DY164">
        <v>6</v>
      </c>
      <c r="DZ164">
        <v>8.8224752287145186E-2</v>
      </c>
      <c r="EA164" t="str">
        <v/>
      </c>
    </row>
    <row r="165" spans="70:131" x14ac:dyDescent="0.2">
      <c r="BR165">
        <v>160</v>
      </c>
      <c r="BS165">
        <v>0.75590551181102361</v>
      </c>
      <c r="BT165" s="42">
        <v>0.29980137570016047</v>
      </c>
      <c r="BU165" s="42">
        <v>10</v>
      </c>
      <c r="BV165" s="115">
        <v>0</v>
      </c>
      <c r="BW165" s="115">
        <v>0</v>
      </c>
      <c r="BX165" s="115" t="str">
        <v/>
      </c>
      <c r="BY165" s="115" t="str">
        <v/>
      </c>
      <c r="BZ165" s="115"/>
      <c r="CA165" s="115"/>
      <c r="CB165" s="115"/>
      <c r="CC165" s="115"/>
      <c r="CD165" s="115"/>
      <c r="CE165"/>
      <c r="CF165"/>
      <c r="CG165"/>
      <c r="CH165"/>
      <c r="CI165"/>
      <c r="CJ165" s="115"/>
      <c r="CK165" s="115"/>
      <c r="CL165" s="115"/>
      <c r="CM165" s="115"/>
      <c r="CN165" s="115"/>
      <c r="CO165" s="115"/>
      <c r="CP165" s="115"/>
      <c r="CQ165" s="115"/>
      <c r="CR165" s="48"/>
      <c r="CU165" s="42">
        <v>160</v>
      </c>
      <c r="CV165" s="115">
        <v>1</v>
      </c>
      <c r="CW165" s="115">
        <v>1.8192576091040986</v>
      </c>
      <c r="CX165" s="115">
        <v>1.8192576091040986</v>
      </c>
      <c r="CY165" s="115" t="e">
        <v>#N/A</v>
      </c>
      <c r="CZ165" t="e">
        <v>#N/A</v>
      </c>
      <c r="DA165" t="e">
        <v>#N/A</v>
      </c>
      <c r="DB165" t="str">
        <v/>
      </c>
      <c r="DX165">
        <v>160</v>
      </c>
      <c r="DY165">
        <v>6</v>
      </c>
      <c r="DZ165">
        <v>8.8224752287145186E-2</v>
      </c>
      <c r="EA165" t="str">
        <v/>
      </c>
    </row>
    <row r="166" spans="70:131" x14ac:dyDescent="0.2">
      <c r="BR166">
        <v>161</v>
      </c>
      <c r="BS166">
        <v>0.77952755905511806</v>
      </c>
      <c r="BT166" s="42">
        <v>0.29441346947892549</v>
      </c>
      <c r="BU166" s="42">
        <v>10</v>
      </c>
      <c r="BV166" s="115">
        <v>0</v>
      </c>
      <c r="BW166" s="115">
        <v>0</v>
      </c>
      <c r="BX166" s="115" t="str">
        <v/>
      </c>
      <c r="BY166" s="115" t="str">
        <v/>
      </c>
      <c r="BZ166" s="115"/>
      <c r="CA166" s="115"/>
      <c r="CB166" s="115"/>
      <c r="CC166" s="115"/>
      <c r="CD166" s="115"/>
      <c r="CE166"/>
      <c r="CF166"/>
      <c r="CG166"/>
      <c r="CH166"/>
      <c r="CI166"/>
      <c r="CJ166" s="115"/>
      <c r="CK166" s="115"/>
      <c r="CL166" s="115"/>
      <c r="CM166" s="115"/>
      <c r="CN166" s="115"/>
      <c r="CO166" s="115"/>
      <c r="CP166" s="115"/>
      <c r="CQ166" s="115"/>
      <c r="CR166" s="48"/>
      <c r="CU166" s="42">
        <v>161</v>
      </c>
      <c r="CV166" s="115">
        <v>1</v>
      </c>
      <c r="CW166" s="115">
        <v>1.8192576091040986</v>
      </c>
      <c r="CX166" s="115">
        <v>1.8192576091040986</v>
      </c>
      <c r="CY166" s="115" t="e">
        <v>#N/A</v>
      </c>
      <c r="CZ166" t="e">
        <v>#N/A</v>
      </c>
      <c r="DA166" t="e">
        <v>#N/A</v>
      </c>
      <c r="DB166" t="str">
        <v/>
      </c>
      <c r="DX166">
        <v>161</v>
      </c>
      <c r="DY166">
        <v>6</v>
      </c>
      <c r="DZ166">
        <v>8.8224752287145186E-2</v>
      </c>
      <c r="EA166" t="str">
        <v/>
      </c>
    </row>
    <row r="167" spans="70:131" x14ac:dyDescent="0.2">
      <c r="BR167">
        <v>162</v>
      </c>
      <c r="BS167">
        <v>0.8031496062992125</v>
      </c>
      <c r="BT167" s="42">
        <v>0.28896110686327098</v>
      </c>
      <c r="BU167" s="42">
        <v>10</v>
      </c>
      <c r="BV167" s="115">
        <v>0</v>
      </c>
      <c r="BW167" s="115">
        <v>0</v>
      </c>
      <c r="BX167" s="115" t="str">
        <v/>
      </c>
      <c r="BY167" s="115" t="str">
        <v/>
      </c>
      <c r="BZ167" s="115"/>
      <c r="CA167" s="115"/>
      <c r="CB167" s="115"/>
      <c r="CC167" s="115"/>
      <c r="CD167" s="115"/>
      <c r="CE167"/>
      <c r="CF167"/>
      <c r="CG167"/>
      <c r="CH167"/>
      <c r="CI167"/>
      <c r="CJ167" s="115"/>
      <c r="CK167" s="115"/>
      <c r="CL167" s="115"/>
      <c r="CM167" s="115"/>
      <c r="CN167" s="115"/>
      <c r="CO167" s="115"/>
      <c r="CP167" s="115"/>
      <c r="CQ167" s="115"/>
      <c r="CR167" s="48"/>
      <c r="CU167" s="42">
        <v>162</v>
      </c>
      <c r="CV167" s="115">
        <v>1</v>
      </c>
      <c r="CW167" s="115">
        <v>1.8192576091040986</v>
      </c>
      <c r="CX167" s="115">
        <v>1.8192576091040986</v>
      </c>
      <c r="CY167" s="115" t="e">
        <v>#N/A</v>
      </c>
      <c r="CZ167" t="e">
        <v>#N/A</v>
      </c>
      <c r="DA167" t="e">
        <v>#N/A</v>
      </c>
      <c r="DB167" t="str">
        <v/>
      </c>
      <c r="DX167">
        <v>162</v>
      </c>
      <c r="DY167">
        <v>6</v>
      </c>
      <c r="DZ167">
        <v>8.8224752287145186E-2</v>
      </c>
      <c r="EA167" t="str">
        <v/>
      </c>
    </row>
    <row r="168" spans="70:131" x14ac:dyDescent="0.2">
      <c r="BR168">
        <v>163</v>
      </c>
      <c r="BS168">
        <v>0.82677165354330695</v>
      </c>
      <c r="BT168" s="42">
        <v>0.28345150837065552</v>
      </c>
      <c r="BU168" s="42">
        <v>10</v>
      </c>
      <c r="BV168" s="115">
        <v>0</v>
      </c>
      <c r="BW168" s="115">
        <v>0</v>
      </c>
      <c r="BX168" s="115" t="str">
        <v/>
      </c>
      <c r="BY168" s="115" t="str">
        <v/>
      </c>
      <c r="BZ168" s="115"/>
      <c r="CA168" s="115"/>
      <c r="CB168" s="115"/>
      <c r="CC168" s="115"/>
      <c r="CD168" s="115"/>
      <c r="CE168"/>
      <c r="CF168"/>
      <c r="CG168"/>
      <c r="CH168"/>
      <c r="CI168"/>
      <c r="CJ168" s="115"/>
      <c r="CK168" s="115"/>
      <c r="CL168" s="115"/>
      <c r="CM168" s="115"/>
      <c r="CN168" s="115"/>
      <c r="CO168" s="115"/>
      <c r="CP168" s="115"/>
      <c r="CQ168" s="115"/>
      <c r="CR168" s="48"/>
      <c r="CU168" s="42">
        <v>163</v>
      </c>
      <c r="CV168" s="115">
        <v>1</v>
      </c>
      <c r="CW168" s="115">
        <v>1.8192576091040986</v>
      </c>
      <c r="CX168" s="115">
        <v>1.8192576091040986</v>
      </c>
      <c r="CY168" s="115" t="e">
        <v>#N/A</v>
      </c>
      <c r="CZ168" t="e">
        <v>#N/A</v>
      </c>
      <c r="DA168" t="e">
        <v>#N/A</v>
      </c>
      <c r="DB168" t="str">
        <v/>
      </c>
      <c r="DX168">
        <v>163</v>
      </c>
      <c r="DY168">
        <v>6</v>
      </c>
      <c r="DZ168">
        <v>8.8224752287145186E-2</v>
      </c>
      <c r="EA168" t="str">
        <v/>
      </c>
    </row>
    <row r="169" spans="70:131" x14ac:dyDescent="0.2">
      <c r="BR169">
        <v>164</v>
      </c>
      <c r="BS169">
        <v>0.8503937007874014</v>
      </c>
      <c r="BT169" s="42">
        <v>0.27789185371977293</v>
      </c>
      <c r="BU169" s="42">
        <v>10</v>
      </c>
      <c r="BV169" s="115">
        <v>0</v>
      </c>
      <c r="BW169" s="115">
        <v>0</v>
      </c>
      <c r="BX169" s="115" t="str">
        <v/>
      </c>
      <c r="BY169" s="115" t="str">
        <v/>
      </c>
      <c r="BZ169" s="115"/>
      <c r="CA169" s="115"/>
      <c r="CB169" s="115"/>
      <c r="CC169" s="115"/>
      <c r="CD169" s="115"/>
      <c r="CE169"/>
      <c r="CF169"/>
      <c r="CG169"/>
      <c r="CH169"/>
      <c r="CI169"/>
      <c r="CJ169" s="115"/>
      <c r="CK169" s="115"/>
      <c r="CL169" s="115"/>
      <c r="CM169" s="115"/>
      <c r="CN169" s="115"/>
      <c r="CO169" s="115"/>
      <c r="CP169" s="115"/>
      <c r="CQ169" s="115"/>
      <c r="CR169" s="48"/>
      <c r="CU169" s="42">
        <v>164</v>
      </c>
      <c r="CV169" s="115">
        <v>1</v>
      </c>
      <c r="CW169" s="115">
        <v>1.8192576091040986</v>
      </c>
      <c r="CX169" s="115">
        <v>1.8192576091040986</v>
      </c>
      <c r="CY169" s="115" t="e">
        <v>#N/A</v>
      </c>
      <c r="CZ169" t="e">
        <v>#N/A</v>
      </c>
      <c r="DA169" t="e">
        <v>#N/A</v>
      </c>
      <c r="DB169" t="str">
        <v/>
      </c>
      <c r="DX169">
        <v>164</v>
      </c>
      <c r="DY169">
        <v>6</v>
      </c>
      <c r="DZ169">
        <v>8.8224752287145186E-2</v>
      </c>
      <c r="EA169" t="str">
        <v/>
      </c>
    </row>
    <row r="170" spans="70:131" x14ac:dyDescent="0.2">
      <c r="BR170">
        <v>165</v>
      </c>
      <c r="BS170">
        <v>0.87401574803149584</v>
      </c>
      <c r="BT170" s="42">
        <v>0.272289266743029</v>
      </c>
      <c r="BU170" s="42">
        <v>10</v>
      </c>
      <c r="BV170" s="115">
        <v>0</v>
      </c>
      <c r="BW170" s="115">
        <v>0</v>
      </c>
      <c r="BX170" s="115" t="str">
        <v/>
      </c>
      <c r="BY170" s="115" t="str">
        <v/>
      </c>
      <c r="BZ170" s="115"/>
      <c r="CA170" s="115"/>
      <c r="CB170" s="115"/>
      <c r="CC170" s="115"/>
      <c r="CD170" s="115"/>
      <c r="CE170"/>
      <c r="CF170"/>
      <c r="CG170"/>
      <c r="CH170"/>
      <c r="CI170"/>
      <c r="CJ170" s="115"/>
      <c r="CK170" s="115"/>
      <c r="CL170" s="115"/>
      <c r="CM170" s="115"/>
      <c r="CN170" s="115"/>
      <c r="CO170" s="115"/>
      <c r="CP170" s="115"/>
      <c r="CQ170" s="115"/>
      <c r="CR170" s="48"/>
      <c r="CU170" s="42">
        <v>165</v>
      </c>
      <c r="CV170" s="115">
        <v>1</v>
      </c>
      <c r="CW170" s="115">
        <v>1.8192576091040986</v>
      </c>
      <c r="CX170" s="115">
        <v>1.8192576091040986</v>
      </c>
      <c r="CY170" s="115" t="e">
        <v>#N/A</v>
      </c>
      <c r="CZ170" t="e">
        <v>#N/A</v>
      </c>
      <c r="DA170" t="e">
        <v>#N/A</v>
      </c>
      <c r="DB170" t="str">
        <v/>
      </c>
      <c r="DX170">
        <v>165</v>
      </c>
      <c r="DY170">
        <v>6</v>
      </c>
      <c r="DZ170">
        <v>8.8224752287145186E-2</v>
      </c>
      <c r="EA170" t="str">
        <v/>
      </c>
    </row>
    <row r="171" spans="70:131" x14ac:dyDescent="0.2">
      <c r="BR171">
        <v>166</v>
      </c>
      <c r="BS171">
        <v>0.89763779527559029</v>
      </c>
      <c r="BT171" s="42">
        <v>0.26665080074508385</v>
      </c>
      <c r="BU171" s="42">
        <v>10</v>
      </c>
      <c r="BV171" s="115">
        <v>0</v>
      </c>
      <c r="BW171" s="115">
        <v>0</v>
      </c>
      <c r="BX171" s="115" t="str">
        <v/>
      </c>
      <c r="BY171" s="115" t="str">
        <v/>
      </c>
      <c r="BZ171" s="115"/>
      <c r="CA171" s="115"/>
      <c r="CB171" s="115"/>
      <c r="CC171" s="115"/>
      <c r="CD171" s="115"/>
      <c r="CE171"/>
      <c r="CF171"/>
      <c r="CG171"/>
      <c r="CH171"/>
      <c r="CI171"/>
      <c r="CJ171" s="115"/>
      <c r="CK171" s="115"/>
      <c r="CL171" s="115"/>
      <c r="CM171" s="115"/>
      <c r="CN171" s="115"/>
      <c r="CO171" s="115"/>
      <c r="CP171" s="115"/>
      <c r="CQ171" s="115"/>
      <c r="CR171" s="48"/>
      <c r="CU171" s="42">
        <v>166</v>
      </c>
      <c r="CV171" s="115">
        <v>1</v>
      </c>
      <c r="CW171" s="115">
        <v>1.8192576091040986</v>
      </c>
      <c r="CX171" s="115">
        <v>1.8192576091040986</v>
      </c>
      <c r="CY171" s="115" t="e">
        <v>#N/A</v>
      </c>
      <c r="CZ171" t="e">
        <v>#N/A</v>
      </c>
      <c r="DA171" t="e">
        <v>#N/A</v>
      </c>
      <c r="DB171" t="str">
        <v/>
      </c>
      <c r="DX171">
        <v>166</v>
      </c>
      <c r="DY171">
        <v>6</v>
      </c>
      <c r="DZ171">
        <v>8.8224752287145186E-2</v>
      </c>
      <c r="EA171" t="str">
        <v/>
      </c>
    </row>
    <row r="172" spans="70:131" x14ac:dyDescent="0.2">
      <c r="BR172">
        <v>167</v>
      </c>
      <c r="BS172">
        <v>0.92125984251968518</v>
      </c>
      <c r="BT172" s="42">
        <v>0.26098342434722177</v>
      </c>
      <c r="BU172" s="42">
        <v>10</v>
      </c>
      <c r="BV172" s="115">
        <v>0</v>
      </c>
      <c r="BW172" s="115">
        <v>0</v>
      </c>
      <c r="BX172" s="115" t="str">
        <v/>
      </c>
      <c r="BY172" s="115" t="str">
        <v/>
      </c>
      <c r="BZ172" s="115"/>
      <c r="CA172" s="115"/>
      <c r="CB172" s="115"/>
      <c r="CC172" s="115"/>
      <c r="CD172" s="115"/>
      <c r="CE172"/>
      <c r="CF172"/>
      <c r="CG172"/>
      <c r="CH172"/>
      <c r="CI172"/>
      <c r="CJ172" s="115"/>
      <c r="CK172" s="115"/>
      <c r="CL172" s="115"/>
      <c r="CM172" s="115"/>
      <c r="CN172" s="115"/>
      <c r="CO172" s="115"/>
      <c r="CP172" s="115"/>
      <c r="CQ172" s="115"/>
      <c r="CR172" s="48"/>
      <c r="CU172" s="42">
        <v>167</v>
      </c>
      <c r="CV172" s="115">
        <v>1</v>
      </c>
      <c r="CW172" s="115">
        <v>1.8192576091040986</v>
      </c>
      <c r="CX172" s="115">
        <v>1.8192576091040986</v>
      </c>
      <c r="CY172" s="115" t="e">
        <v>#N/A</v>
      </c>
      <c r="CZ172" t="e">
        <v>#N/A</v>
      </c>
      <c r="DA172" t="e">
        <v>#N/A</v>
      </c>
      <c r="DB172" t="str">
        <v/>
      </c>
      <c r="DX172">
        <v>167</v>
      </c>
      <c r="DY172">
        <v>6</v>
      </c>
      <c r="DZ172">
        <v>8.8224752287145186E-2</v>
      </c>
      <c r="EA172" t="str">
        <v/>
      </c>
    </row>
    <row r="173" spans="70:131" x14ac:dyDescent="0.2">
      <c r="BR173">
        <v>168</v>
      </c>
      <c r="BS173">
        <v>0.94488188976377963</v>
      </c>
      <c r="BT173" s="42">
        <v>0.25529400785464174</v>
      </c>
      <c r="BU173" s="42">
        <v>10</v>
      </c>
      <c r="BV173" s="115">
        <v>0</v>
      </c>
      <c r="BW173" s="115">
        <v>0</v>
      </c>
      <c r="BX173" s="115" t="str">
        <v/>
      </c>
      <c r="BY173" s="115" t="str">
        <v/>
      </c>
      <c r="BZ173" s="115"/>
      <c r="CA173" s="115"/>
      <c r="CB173" s="115"/>
      <c r="CC173" s="115"/>
      <c r="CD173" s="115"/>
      <c r="CE173"/>
      <c r="CF173"/>
      <c r="CG173"/>
      <c r="CH173"/>
      <c r="CI173"/>
      <c r="CJ173" s="115"/>
      <c r="CK173" s="115"/>
      <c r="CL173" s="115"/>
      <c r="CM173" s="115"/>
      <c r="CN173" s="115"/>
      <c r="CO173" s="115"/>
      <c r="CP173" s="115"/>
      <c r="CQ173" s="115"/>
      <c r="CR173" s="48"/>
      <c r="CU173" s="42">
        <v>168</v>
      </c>
      <c r="CV173" s="115">
        <v>1</v>
      </c>
      <c r="CW173" s="115">
        <v>1.8192576091040986</v>
      </c>
      <c r="CX173" s="115">
        <v>1.8192576091040986</v>
      </c>
      <c r="CY173" s="115" t="e">
        <v>#N/A</v>
      </c>
      <c r="CZ173" t="e">
        <v>#N/A</v>
      </c>
      <c r="DA173" t="e">
        <v>#N/A</v>
      </c>
      <c r="DB173" t="str">
        <v/>
      </c>
      <c r="DX173">
        <v>168</v>
      </c>
      <c r="DY173">
        <v>6</v>
      </c>
      <c r="DZ173">
        <v>8.8224752287145186E-2</v>
      </c>
      <c r="EA173" t="str">
        <v/>
      </c>
    </row>
    <row r="174" spans="70:131" x14ac:dyDescent="0.2">
      <c r="BR174">
        <v>169</v>
      </c>
      <c r="BS174">
        <v>0.96850393700787407</v>
      </c>
      <c r="BT174" s="42">
        <v>0.24958931018098326</v>
      </c>
      <c r="BU174" s="42">
        <v>10</v>
      </c>
      <c r="BV174" s="115">
        <v>0</v>
      </c>
      <c r="BW174" s="115">
        <v>0</v>
      </c>
      <c r="BX174" s="115" t="str">
        <v/>
      </c>
      <c r="BY174" s="115" t="str">
        <v/>
      </c>
      <c r="BZ174" s="115"/>
      <c r="CA174" s="115"/>
      <c r="CB174" s="115"/>
      <c r="CC174" s="115"/>
      <c r="CD174" s="115"/>
      <c r="CE174"/>
      <c r="CF174"/>
      <c r="CG174"/>
      <c r="CH174"/>
      <c r="CI174"/>
      <c r="CJ174" s="115"/>
      <c r="CK174" s="115"/>
      <c r="CL174" s="115"/>
      <c r="CM174" s="115"/>
      <c r="CN174" s="115"/>
      <c r="CO174" s="115"/>
      <c r="CP174" s="115"/>
      <c r="CQ174" s="115"/>
      <c r="CR174" s="48"/>
      <c r="CU174" s="42">
        <v>169</v>
      </c>
      <c r="CV174" s="115">
        <v>1</v>
      </c>
      <c r="CW174" s="115">
        <v>1.8192576091040986</v>
      </c>
      <c r="CX174" s="115">
        <v>1.8192576091040986</v>
      </c>
      <c r="CY174" s="115" t="e">
        <v>#N/A</v>
      </c>
      <c r="CZ174" t="e">
        <v>#N/A</v>
      </c>
      <c r="DA174" t="e">
        <v>#N/A</v>
      </c>
      <c r="DB174" t="str">
        <v/>
      </c>
      <c r="DX174">
        <v>169</v>
      </c>
      <c r="DY174">
        <v>6</v>
      </c>
      <c r="DZ174">
        <v>8.8224752287145186E-2</v>
      </c>
      <c r="EA174" t="str">
        <v/>
      </c>
    </row>
    <row r="175" spans="70:131" x14ac:dyDescent="0.2">
      <c r="BR175">
        <v>170</v>
      </c>
      <c r="BS175">
        <v>0.99212598425196852</v>
      </c>
      <c r="BT175" s="42">
        <v>0.24387596636153336</v>
      </c>
      <c r="BU175" s="42">
        <v>10</v>
      </c>
      <c r="BV175" s="115">
        <v>0</v>
      </c>
      <c r="BW175" s="115">
        <v>0</v>
      </c>
      <c r="BX175" s="115" t="str">
        <v/>
      </c>
      <c r="BY175" s="115" t="str">
        <v/>
      </c>
      <c r="BZ175" s="115"/>
      <c r="CA175" s="115"/>
      <c r="CB175" s="115"/>
      <c r="CC175" s="115"/>
      <c r="CD175" s="115"/>
      <c r="CE175"/>
      <c r="CF175"/>
      <c r="CG175"/>
      <c r="CH175"/>
      <c r="CI175"/>
      <c r="CJ175" s="115"/>
      <c r="CK175" s="115"/>
      <c r="CL175" s="115"/>
      <c r="CM175" s="115"/>
      <c r="CN175" s="115"/>
      <c r="CO175" s="115"/>
      <c r="CP175" s="115"/>
      <c r="CQ175" s="115"/>
      <c r="CR175" s="48"/>
      <c r="CU175" s="42">
        <v>170</v>
      </c>
      <c r="CV175" s="115">
        <v>1</v>
      </c>
      <c r="CW175" s="115">
        <v>1.8192576091040986</v>
      </c>
      <c r="CX175" s="115">
        <v>1.8192576091040986</v>
      </c>
      <c r="CY175" s="115" t="e">
        <v>#N/A</v>
      </c>
      <c r="CZ175" t="e">
        <v>#N/A</v>
      </c>
      <c r="DA175" t="e">
        <v>#N/A</v>
      </c>
      <c r="DB175" t="str">
        <v/>
      </c>
      <c r="DX175">
        <v>170</v>
      </c>
      <c r="DY175">
        <v>6</v>
      </c>
      <c r="DZ175">
        <v>8.8224752287145186E-2</v>
      </c>
      <c r="EA175" t="str">
        <v/>
      </c>
    </row>
    <row r="176" spans="70:131" x14ac:dyDescent="0.2">
      <c r="BR176">
        <v>171</v>
      </c>
      <c r="BS176">
        <v>1.015748031496063</v>
      </c>
      <c r="BT176" s="42">
        <v>0.2381604756836066</v>
      </c>
      <c r="BU176" s="42">
        <v>11</v>
      </c>
      <c r="BV176" s="115">
        <v>0</v>
      </c>
      <c r="BW176" s="115">
        <v>0</v>
      </c>
      <c r="BX176" s="115">
        <v>6.16</v>
      </c>
      <c r="BY176" s="115" t="str">
        <v>1σ</v>
      </c>
      <c r="BZ176" s="115"/>
      <c r="CA176" s="115"/>
      <c r="CB176" s="115"/>
      <c r="CC176" s="115"/>
      <c r="CD176" s="115"/>
      <c r="CE176"/>
      <c r="CF176"/>
      <c r="CG176"/>
      <c r="CH176"/>
      <c r="CI176"/>
      <c r="CJ176" s="115"/>
      <c r="CK176" s="115"/>
      <c r="CL176" s="115"/>
      <c r="CM176" s="115"/>
      <c r="CN176" s="115"/>
      <c r="CO176" s="115"/>
      <c r="CP176" s="115"/>
      <c r="CQ176" s="115"/>
      <c r="CR176" s="48"/>
      <c r="CU176" s="42">
        <v>171</v>
      </c>
      <c r="CV176" s="115">
        <v>1</v>
      </c>
      <c r="CW176" s="115">
        <v>1.8192576091040986</v>
      </c>
      <c r="CX176" s="115">
        <v>1.8192576091040986</v>
      </c>
      <c r="CY176" s="115" t="e">
        <v>#N/A</v>
      </c>
      <c r="CZ176" t="e">
        <v>#N/A</v>
      </c>
      <c r="DA176" t="e">
        <v>#N/A</v>
      </c>
      <c r="DB176" t="str">
        <v/>
      </c>
      <c r="DX176">
        <v>171</v>
      </c>
      <c r="DY176">
        <v>6</v>
      </c>
      <c r="DZ176">
        <v>8.8224752287145186E-2</v>
      </c>
      <c r="EA176" t="str">
        <v/>
      </c>
    </row>
    <row r="177" spans="70:131" x14ac:dyDescent="0.2">
      <c r="BR177">
        <v>172</v>
      </c>
      <c r="BS177">
        <v>1.0393700787401574</v>
      </c>
      <c r="BT177" s="42">
        <v>0.23244919045958226</v>
      </c>
      <c r="BU177" s="42">
        <v>11</v>
      </c>
      <c r="BV177" s="115">
        <v>0</v>
      </c>
      <c r="BW177" s="115">
        <v>0</v>
      </c>
      <c r="BX177" s="115" t="str">
        <v/>
      </c>
      <c r="BY177" s="115" t="str">
        <v/>
      </c>
      <c r="BZ177" s="115"/>
      <c r="CA177" s="115"/>
      <c r="CB177" s="115"/>
      <c r="CC177" s="115"/>
      <c r="CD177" s="115"/>
      <c r="CE177"/>
      <c r="CF177"/>
      <c r="CG177"/>
      <c r="CH177"/>
      <c r="CI177"/>
      <c r="CJ177" s="115"/>
      <c r="CK177" s="115"/>
      <c r="CL177" s="115"/>
      <c r="CM177" s="115"/>
      <c r="CN177" s="115"/>
      <c r="CO177" s="115"/>
      <c r="CP177" s="115"/>
      <c r="CQ177" s="115"/>
      <c r="CR177" s="48"/>
      <c r="CU177" s="42">
        <v>172</v>
      </c>
      <c r="CV177" s="115">
        <v>1</v>
      </c>
      <c r="CW177" s="115">
        <v>1.8192576091040986</v>
      </c>
      <c r="CX177" s="115">
        <v>1.8192576091040986</v>
      </c>
      <c r="CY177" s="115" t="e">
        <v>#N/A</v>
      </c>
      <c r="CZ177" t="e">
        <v>#N/A</v>
      </c>
      <c r="DA177" t="e">
        <v>#N/A</v>
      </c>
      <c r="DB177" t="str">
        <v/>
      </c>
      <c r="DX177">
        <v>172</v>
      </c>
      <c r="DY177">
        <v>6</v>
      </c>
      <c r="DZ177">
        <v>8.8224752287145186E-2</v>
      </c>
      <c r="EA177" t="str">
        <v/>
      </c>
    </row>
    <row r="178" spans="70:131" x14ac:dyDescent="0.2">
      <c r="BR178">
        <v>173</v>
      </c>
      <c r="BS178">
        <v>1.0629921259842519</v>
      </c>
      <c r="BT178" s="42">
        <v>0.22674830546502489</v>
      </c>
      <c r="BU178" s="42">
        <v>11</v>
      </c>
      <c r="BV178" s="115">
        <v>0</v>
      </c>
      <c r="BW178" s="115">
        <v>0</v>
      </c>
      <c r="BX178" s="115" t="str">
        <v/>
      </c>
      <c r="BY178" s="115" t="str">
        <v/>
      </c>
      <c r="BZ178" s="115"/>
      <c r="CA178" s="115"/>
      <c r="CB178" s="115"/>
      <c r="CC178" s="115"/>
      <c r="CD178" s="115"/>
      <c r="CE178"/>
      <c r="CF178"/>
      <c r="CG178"/>
      <c r="CH178"/>
      <c r="CI178"/>
      <c r="CJ178" s="115"/>
      <c r="CK178" s="115"/>
      <c r="CL178" s="115"/>
      <c r="CM178" s="115"/>
      <c r="CN178" s="115"/>
      <c r="CO178" s="115"/>
      <c r="CP178" s="115"/>
      <c r="CQ178" s="115"/>
      <c r="CR178" s="48"/>
      <c r="CU178" s="42">
        <v>173</v>
      </c>
      <c r="CV178" s="115">
        <v>1</v>
      </c>
      <c r="CW178" s="115">
        <v>1.8192576091040986</v>
      </c>
      <c r="CX178" s="115">
        <v>1.8192576091040986</v>
      </c>
      <c r="CY178" s="115" t="e">
        <v>#N/A</v>
      </c>
      <c r="CZ178" t="e">
        <v>#N/A</v>
      </c>
      <c r="DA178" t="e">
        <v>#N/A</v>
      </c>
      <c r="DB178" t="str">
        <v/>
      </c>
      <c r="DX178">
        <v>173</v>
      </c>
      <c r="DY178">
        <v>6</v>
      </c>
      <c r="DZ178">
        <v>8.8224752287145186E-2</v>
      </c>
      <c r="EA178" t="str">
        <v/>
      </c>
    </row>
    <row r="179" spans="70:131" x14ac:dyDescent="0.2">
      <c r="BR179">
        <v>174</v>
      </c>
      <c r="BS179">
        <v>1.0866141732283463</v>
      </c>
      <c r="BT179" s="42">
        <v>0.22106384806123058</v>
      </c>
      <c r="BU179" s="42">
        <v>11</v>
      </c>
      <c r="BV179" s="115">
        <v>0</v>
      </c>
      <c r="BW179" s="115">
        <v>0</v>
      </c>
      <c r="BX179" s="115" t="str">
        <v/>
      </c>
      <c r="BY179" s="115" t="str">
        <v/>
      </c>
      <c r="BZ179" s="115"/>
      <c r="CA179" s="115"/>
      <c r="CB179" s="115"/>
      <c r="CC179" s="115"/>
      <c r="CD179" s="115"/>
      <c r="CE179"/>
      <c r="CF179"/>
      <c r="CG179"/>
      <c r="CH179"/>
      <c r="CI179"/>
      <c r="CJ179" s="115"/>
      <c r="CK179" s="115"/>
      <c r="CL179" s="115"/>
      <c r="CM179" s="115"/>
      <c r="CN179" s="115"/>
      <c r="CO179" s="115"/>
      <c r="CP179" s="115"/>
      <c r="CQ179" s="115"/>
      <c r="CR179" s="48"/>
      <c r="CU179" s="42">
        <v>174</v>
      </c>
      <c r="CV179" s="115">
        <v>1</v>
      </c>
      <c r="CW179" s="115">
        <v>1.8192576091040986</v>
      </c>
      <c r="CX179" s="115">
        <v>1.8192576091040986</v>
      </c>
      <c r="CY179" s="115" t="e">
        <v>#N/A</v>
      </c>
      <c r="CZ179" t="e">
        <v>#N/A</v>
      </c>
      <c r="DA179" t="e">
        <v>#N/A</v>
      </c>
      <c r="DB179" t="str">
        <v/>
      </c>
      <c r="DX179">
        <v>174</v>
      </c>
      <c r="DY179">
        <v>6</v>
      </c>
      <c r="DZ179">
        <v>8.8224752287145186E-2</v>
      </c>
      <c r="EA179" t="str">
        <v/>
      </c>
    </row>
    <row r="180" spans="70:131" x14ac:dyDescent="0.2">
      <c r="BR180">
        <v>175</v>
      </c>
      <c r="BS180">
        <v>1.1102362204724407</v>
      </c>
      <c r="BT180" s="42">
        <v>0.21540166901844132</v>
      </c>
      <c r="BU180" s="42">
        <v>11</v>
      </c>
      <c r="BV180" s="115">
        <v>0</v>
      </c>
      <c r="BW180" s="115">
        <v>0</v>
      </c>
      <c r="BX180" s="115" t="str">
        <v/>
      </c>
      <c r="BY180" s="115" t="str">
        <v/>
      </c>
      <c r="BZ180" s="115"/>
      <c r="CA180" s="115"/>
      <c r="CB180" s="115"/>
      <c r="CC180" s="115"/>
      <c r="CD180" s="115"/>
      <c r="CE180"/>
      <c r="CF180"/>
      <c r="CG180"/>
      <c r="CH180"/>
      <c r="CI180"/>
      <c r="CJ180" s="115"/>
      <c r="CK180" s="115"/>
      <c r="CL180" s="115"/>
      <c r="CM180" s="115"/>
      <c r="CN180" s="115"/>
      <c r="CO180" s="115"/>
      <c r="CP180" s="115"/>
      <c r="CQ180" s="115"/>
      <c r="CR180" s="48"/>
      <c r="CU180" s="42">
        <v>175</v>
      </c>
      <c r="CV180" s="115">
        <v>1</v>
      </c>
      <c r="CW180" s="115">
        <v>1.8192576091040986</v>
      </c>
      <c r="CX180" s="115">
        <v>1.8192576091040986</v>
      </c>
      <c r="CY180" s="115" t="e">
        <v>#N/A</v>
      </c>
      <c r="CZ180" t="e">
        <v>#N/A</v>
      </c>
      <c r="DA180" t="e">
        <v>#N/A</v>
      </c>
      <c r="DB180" t="str">
        <v/>
      </c>
      <c r="DX180">
        <v>175</v>
      </c>
      <c r="DY180">
        <v>6</v>
      </c>
      <c r="DZ180">
        <v>8.8224752287145186E-2</v>
      </c>
      <c r="EA180" t="str">
        <v/>
      </c>
    </row>
    <row r="181" spans="70:131" x14ac:dyDescent="0.2">
      <c r="BR181">
        <v>176</v>
      </c>
      <c r="BS181">
        <v>1.1338582677165352</v>
      </c>
      <c r="BT181" s="42">
        <v>0.20976743405287629</v>
      </c>
      <c r="BU181" s="42">
        <v>11</v>
      </c>
      <c r="BV181" s="115">
        <v>0</v>
      </c>
      <c r="BW181" s="115">
        <v>0</v>
      </c>
      <c r="BX181" s="115" t="str">
        <v/>
      </c>
      <c r="BY181" s="115" t="str">
        <v/>
      </c>
      <c r="BZ181" s="115"/>
      <c r="CA181" s="115"/>
      <c r="CB181" s="115"/>
      <c r="CC181" s="115"/>
      <c r="CD181" s="115"/>
      <c r="CE181"/>
      <c r="CF181"/>
      <c r="CG181"/>
      <c r="CH181"/>
      <c r="CI181"/>
      <c r="CJ181" s="115"/>
      <c r="CK181" s="115"/>
      <c r="CL181" s="115"/>
      <c r="CM181" s="115"/>
      <c r="CN181" s="115"/>
      <c r="CO181" s="115"/>
      <c r="CP181" s="115"/>
      <c r="CQ181" s="115"/>
      <c r="CR181" s="48"/>
      <c r="CU181" s="42">
        <v>176</v>
      </c>
      <c r="CV181" s="115">
        <v>1</v>
      </c>
      <c r="CW181" s="115">
        <v>1.8192576091040986</v>
      </c>
      <c r="CX181" s="115">
        <v>1.8192576091040986</v>
      </c>
      <c r="CY181" s="115" t="e">
        <v>#N/A</v>
      </c>
      <c r="CZ181" t="e">
        <v>#N/A</v>
      </c>
      <c r="DA181" t="e">
        <v>#N/A</v>
      </c>
      <c r="DB181" t="str">
        <v/>
      </c>
      <c r="DX181">
        <v>176</v>
      </c>
      <c r="DY181">
        <v>6</v>
      </c>
      <c r="DZ181">
        <v>8.8224752287145186E-2</v>
      </c>
      <c r="EA181" t="str">
        <v/>
      </c>
    </row>
    <row r="182" spans="70:131" x14ac:dyDescent="0.2">
      <c r="BR182">
        <v>177</v>
      </c>
      <c r="BS182">
        <v>1.1574803149606296</v>
      </c>
      <c r="BT182" s="42">
        <v>0.20416661608765058</v>
      </c>
      <c r="BU182" s="42">
        <v>11</v>
      </c>
      <c r="BV182" s="115">
        <v>0</v>
      </c>
      <c r="BW182" s="115">
        <v>0</v>
      </c>
      <c r="BX182" s="115" t="str">
        <v/>
      </c>
      <c r="BY182" s="115" t="str">
        <v/>
      </c>
      <c r="BZ182" s="115"/>
      <c r="CA182" s="115"/>
      <c r="CB182" s="115"/>
      <c r="CC182" s="115"/>
      <c r="CD182" s="115"/>
      <c r="CE182"/>
      <c r="CF182"/>
      <c r="CG182"/>
      <c r="CH182"/>
      <c r="CI182"/>
      <c r="CJ182" s="115"/>
      <c r="CK182" s="115"/>
      <c r="CL182" s="115"/>
      <c r="CM182" s="115"/>
      <c r="CN182" s="115"/>
      <c r="CO182" s="115"/>
      <c r="CP182" s="115"/>
      <c r="CQ182" s="115"/>
      <c r="CR182" s="48"/>
      <c r="CU182" s="42">
        <v>177</v>
      </c>
      <c r="CV182" s="115">
        <v>1</v>
      </c>
      <c r="CW182" s="115">
        <v>1.8192576091040986</v>
      </c>
      <c r="CX182" s="115">
        <v>1.8192576091040986</v>
      </c>
      <c r="CY182" s="115" t="e">
        <v>#N/A</v>
      </c>
      <c r="CZ182" t="e">
        <v>#N/A</v>
      </c>
      <c r="DA182" t="e">
        <v>#N/A</v>
      </c>
      <c r="DB182" t="str">
        <v/>
      </c>
      <c r="DX182">
        <v>177</v>
      </c>
      <c r="DY182">
        <v>6</v>
      </c>
      <c r="DZ182">
        <v>8.8224752287145186E-2</v>
      </c>
      <c r="EA182" t="str">
        <v/>
      </c>
    </row>
    <row r="183" spans="70:131" x14ac:dyDescent="0.2">
      <c r="BR183">
        <v>178</v>
      </c>
      <c r="BS183">
        <v>1.1811023622047241</v>
      </c>
      <c r="BT183" s="42">
        <v>0.19860448824460655</v>
      </c>
      <c r="BU183" s="42">
        <v>11</v>
      </c>
      <c r="BV183" s="115">
        <v>0</v>
      </c>
      <c r="BW183" s="115">
        <v>0</v>
      </c>
      <c r="BX183" s="115" t="str">
        <v/>
      </c>
      <c r="BY183" s="115" t="str">
        <v/>
      </c>
      <c r="BZ183" s="115"/>
      <c r="CA183" s="115"/>
      <c r="CB183" s="115"/>
      <c r="CC183" s="115"/>
      <c r="CD183" s="115"/>
      <c r="CE183"/>
      <c r="CF183"/>
      <c r="CG183"/>
      <c r="CH183"/>
      <c r="CI183"/>
      <c r="CJ183" s="115"/>
      <c r="CK183" s="115"/>
      <c r="CL183" s="115"/>
      <c r="CM183" s="115"/>
      <c r="CN183" s="115"/>
      <c r="CO183" s="115"/>
      <c r="CP183" s="115"/>
      <c r="CQ183" s="115"/>
      <c r="CR183" s="48"/>
      <c r="CU183" s="42">
        <v>178</v>
      </c>
      <c r="CV183" s="115">
        <v>1</v>
      </c>
      <c r="CW183" s="115">
        <v>1.8192576091040986</v>
      </c>
      <c r="CX183" s="115">
        <v>1.8192576091040986</v>
      </c>
      <c r="CY183" s="115" t="e">
        <v>#N/A</v>
      </c>
      <c r="CZ183" t="e">
        <v>#N/A</v>
      </c>
      <c r="DA183" t="e">
        <v>#N/A</v>
      </c>
      <c r="DB183" t="str">
        <v/>
      </c>
      <c r="DX183">
        <v>178</v>
      </c>
      <c r="DY183">
        <v>6</v>
      </c>
      <c r="DZ183">
        <v>8.8224752287145186E-2</v>
      </c>
      <c r="EA183" t="str">
        <v/>
      </c>
    </row>
    <row r="184" spans="70:131" x14ac:dyDescent="0.2">
      <c r="BR184">
        <v>179</v>
      </c>
      <c r="BS184">
        <v>1.2047244094488185</v>
      </c>
      <c r="BT184" s="42">
        <v>0.19308611757108693</v>
      </c>
      <c r="BU184" s="42">
        <v>11</v>
      </c>
      <c r="BV184" s="115">
        <v>0</v>
      </c>
      <c r="BW184" s="115">
        <v>0</v>
      </c>
      <c r="BX184" s="115" t="str">
        <v/>
      </c>
      <c r="BY184" s="115" t="str">
        <v/>
      </c>
      <c r="BZ184" s="115"/>
      <c r="CA184" s="115"/>
      <c r="CB184" s="115"/>
      <c r="CC184" s="115"/>
      <c r="CD184" s="115"/>
      <c r="CE184"/>
      <c r="CF184"/>
      <c r="CG184"/>
      <c r="CH184"/>
      <c r="CI184"/>
      <c r="CJ184" s="115"/>
      <c r="CK184" s="115"/>
      <c r="CL184" s="115"/>
      <c r="CM184" s="115"/>
      <c r="CN184" s="115"/>
      <c r="CO184" s="115"/>
      <c r="CP184" s="115"/>
      <c r="CQ184" s="115"/>
      <c r="CR184" s="48"/>
      <c r="CU184" s="42">
        <v>179</v>
      </c>
      <c r="CV184" s="115">
        <v>1</v>
      </c>
      <c r="CW184" s="115">
        <v>1.8192576091040986</v>
      </c>
      <c r="CX184" s="115">
        <v>1.8192576091040986</v>
      </c>
      <c r="CY184" s="115" t="e">
        <v>#N/A</v>
      </c>
      <c r="CZ184" t="e">
        <v>#N/A</v>
      </c>
      <c r="DA184" t="e">
        <v>#N/A</v>
      </c>
      <c r="DB184" t="str">
        <v/>
      </c>
      <c r="DX184">
        <v>179</v>
      </c>
      <c r="DY184">
        <v>6</v>
      </c>
      <c r="DZ184">
        <v>8.8224752287145186E-2</v>
      </c>
      <c r="EA184" t="str">
        <v/>
      </c>
    </row>
    <row r="185" spans="70:131" x14ac:dyDescent="0.2">
      <c r="BR185">
        <v>180</v>
      </c>
      <c r="BS185">
        <v>1.228346456692913</v>
      </c>
      <c r="BT185" s="42">
        <v>0.18761635950273958</v>
      </c>
      <c r="BU185" s="42">
        <v>11</v>
      </c>
      <c r="BV185" s="115">
        <v>0</v>
      </c>
      <c r="BW185" s="115">
        <v>0</v>
      </c>
      <c r="BX185" s="115" t="str">
        <v/>
      </c>
      <c r="BY185" s="115" t="str">
        <v/>
      </c>
      <c r="BZ185" s="115"/>
      <c r="CA185" s="115"/>
      <c r="CB185" s="115"/>
      <c r="CC185" s="115"/>
      <c r="CD185" s="115"/>
      <c r="CE185"/>
      <c r="CF185"/>
      <c r="CG185"/>
      <c r="CH185"/>
      <c r="CI185"/>
      <c r="CJ185" s="115"/>
      <c r="CK185" s="115"/>
      <c r="CL185" s="115"/>
      <c r="CM185" s="115"/>
      <c r="CN185" s="115"/>
      <c r="CO185" s="115"/>
      <c r="CP185" s="115"/>
      <c r="CQ185" s="115"/>
      <c r="CR185" s="48"/>
      <c r="CU185" s="42">
        <v>180</v>
      </c>
      <c r="CV185" s="115">
        <v>1</v>
      </c>
      <c r="CW185" s="115">
        <v>1.8192576091040986</v>
      </c>
      <c r="CX185" s="115">
        <v>1.8192576091040986</v>
      </c>
      <c r="CY185" s="115" t="e">
        <v>#N/A</v>
      </c>
      <c r="CZ185" t="e">
        <v>#N/A</v>
      </c>
      <c r="DA185" t="e">
        <v>#N/A</v>
      </c>
      <c r="DB185" t="str">
        <v/>
      </c>
      <c r="DX185">
        <v>180</v>
      </c>
      <c r="DY185">
        <v>6</v>
      </c>
      <c r="DZ185">
        <v>8.8224752287145186E-2</v>
      </c>
      <c r="EA185" t="str">
        <v/>
      </c>
    </row>
    <row r="186" spans="70:131" x14ac:dyDescent="0.2">
      <c r="BR186">
        <v>181</v>
      </c>
      <c r="BS186">
        <v>1.2519685039370074</v>
      </c>
      <c r="BT186" s="42">
        <v>0.18219985306058248</v>
      </c>
      <c r="BU186" s="42">
        <v>11</v>
      </c>
      <c r="BV186" s="115">
        <v>0</v>
      </c>
      <c r="BW186" s="115">
        <v>0</v>
      </c>
      <c r="BX186" s="115" t="str">
        <v/>
      </c>
      <c r="BY186" s="115" t="str">
        <v/>
      </c>
      <c r="BZ186" s="115"/>
      <c r="CA186" s="115"/>
      <c r="CB186" s="115"/>
      <c r="CC186" s="115"/>
      <c r="CD186" s="115"/>
      <c r="CE186"/>
      <c r="CF186"/>
      <c r="CG186"/>
      <c r="CH186"/>
      <c r="CI186"/>
      <c r="CJ186" s="115"/>
      <c r="CK186" s="115"/>
      <c r="CL186" s="115"/>
      <c r="CM186" s="115"/>
      <c r="CN186" s="115"/>
      <c r="CO186" s="115"/>
      <c r="CP186" s="115"/>
      <c r="CQ186" s="115"/>
      <c r="CR186" s="48"/>
      <c r="CU186" s="42">
        <v>181</v>
      </c>
      <c r="CV186" s="115">
        <v>1</v>
      </c>
      <c r="CW186" s="115">
        <v>1.8192576091040986</v>
      </c>
      <c r="CX186" s="115">
        <v>1.8192576091040986</v>
      </c>
      <c r="CY186" s="115" t="e">
        <v>#N/A</v>
      </c>
      <c r="CZ186" t="e">
        <v>#N/A</v>
      </c>
      <c r="DA186" t="e">
        <v>#N/A</v>
      </c>
      <c r="DB186" t="str">
        <v/>
      </c>
      <c r="DX186">
        <v>181</v>
      </c>
      <c r="DY186">
        <v>6</v>
      </c>
      <c r="DZ186">
        <v>8.8224752287145186E-2</v>
      </c>
      <c r="EA186" t="str">
        <v/>
      </c>
    </row>
    <row r="187" spans="70:131" x14ac:dyDescent="0.2">
      <c r="BR187">
        <v>182</v>
      </c>
      <c r="BS187">
        <v>1.2755905511811019</v>
      </c>
      <c r="BT187" s="42">
        <v>0.17684101677777875</v>
      </c>
      <c r="BU187" s="42">
        <v>11</v>
      </c>
      <c r="BV187" s="115">
        <v>0</v>
      </c>
      <c r="BW187" s="115">
        <v>0</v>
      </c>
      <c r="BX187" s="115" t="str">
        <v/>
      </c>
      <c r="BY187" s="115" t="str">
        <v/>
      </c>
      <c r="BZ187" s="115"/>
      <c r="CA187" s="115"/>
      <c r="CB187" s="115"/>
      <c r="CC187" s="115"/>
      <c r="CD187" s="115"/>
      <c r="CE187"/>
      <c r="CF187"/>
      <c r="CG187"/>
      <c r="CH187"/>
      <c r="CI187"/>
      <c r="CJ187" s="115"/>
      <c r="CK187" s="115"/>
      <c r="CL187" s="115"/>
      <c r="CM187" s="115"/>
      <c r="CN187" s="115"/>
      <c r="CO187" s="115"/>
      <c r="CP187" s="115"/>
      <c r="CQ187" s="115"/>
      <c r="CR187" s="48"/>
      <c r="CU187" s="42">
        <v>182</v>
      </c>
      <c r="CV187" s="115">
        <v>1</v>
      </c>
      <c r="CW187" s="115">
        <v>1.8192576091040986</v>
      </c>
      <c r="CX187" s="115">
        <v>1.8192576091040986</v>
      </c>
      <c r="CY187" s="115" t="e">
        <v>#N/A</v>
      </c>
      <c r="CZ187" t="e">
        <v>#N/A</v>
      </c>
      <c r="DA187" t="e">
        <v>#N/A</v>
      </c>
      <c r="DB187" t="str">
        <v/>
      </c>
      <c r="DX187">
        <v>182</v>
      </c>
      <c r="DY187">
        <v>6</v>
      </c>
      <c r="DZ187">
        <v>8.8224752287145186E-2</v>
      </c>
      <c r="EA187" t="str">
        <v/>
      </c>
    </row>
    <row r="188" spans="70:131" x14ac:dyDescent="0.2">
      <c r="BR188">
        <v>183</v>
      </c>
      <c r="BS188">
        <v>1.2992125984251972</v>
      </c>
      <c r="BT188" s="42">
        <v>0.17154404534889039</v>
      </c>
      <c r="BU188" s="42">
        <v>11</v>
      </c>
      <c r="BV188" s="115">
        <v>0</v>
      </c>
      <c r="BW188" s="115">
        <v>0</v>
      </c>
      <c r="BX188" s="115" t="str">
        <v/>
      </c>
      <c r="BY188" s="115" t="str">
        <v/>
      </c>
      <c r="BZ188" s="115"/>
      <c r="CA188" s="115"/>
      <c r="CB188" s="115"/>
      <c r="CC188" s="115"/>
      <c r="CD188" s="115"/>
      <c r="CE188"/>
      <c r="CF188"/>
      <c r="CG188"/>
      <c r="CH188"/>
      <c r="CI188"/>
      <c r="CJ188" s="115"/>
      <c r="CK188" s="115"/>
      <c r="CL188" s="115"/>
      <c r="CM188" s="115"/>
      <c r="CN188" s="115"/>
      <c r="CO188" s="115"/>
      <c r="CP188" s="115"/>
      <c r="CQ188" s="115"/>
      <c r="CR188" s="48"/>
      <c r="CU188" s="42">
        <v>183</v>
      </c>
      <c r="CV188" s="115">
        <v>1</v>
      </c>
      <c r="CW188" s="115">
        <v>1.8192576091040986</v>
      </c>
      <c r="CX188" s="115">
        <v>1.8192576091040986</v>
      </c>
      <c r="CY188" s="115" t="e">
        <v>#N/A</v>
      </c>
      <c r="CZ188" t="e">
        <v>#N/A</v>
      </c>
      <c r="DA188" t="e">
        <v>#N/A</v>
      </c>
      <c r="DB188" t="str">
        <v/>
      </c>
      <c r="DX188">
        <v>183</v>
      </c>
      <c r="DY188">
        <v>6</v>
      </c>
      <c r="DZ188">
        <v>8.8224752287145186E-2</v>
      </c>
      <c r="EA188" t="str">
        <v/>
      </c>
    </row>
    <row r="189" spans="70:131" x14ac:dyDescent="0.2">
      <c r="BR189">
        <v>184</v>
      </c>
      <c r="BS189">
        <v>1.3228346456692917</v>
      </c>
      <c r="BT189" s="42">
        <v>0.16631290699180909</v>
      </c>
      <c r="BU189" s="42">
        <v>11</v>
      </c>
      <c r="BV189" s="115">
        <v>0</v>
      </c>
      <c r="BW189" s="115">
        <v>0</v>
      </c>
      <c r="BX189" s="115" t="str">
        <v/>
      </c>
      <c r="BY189" s="115" t="str">
        <v/>
      </c>
      <c r="BZ189" s="115"/>
      <c r="CA189" s="115"/>
      <c r="CB189" s="115"/>
      <c r="CC189" s="115"/>
      <c r="CD189" s="115"/>
      <c r="CE189"/>
      <c r="CF189"/>
      <c r="CG189"/>
      <c r="CH189"/>
      <c r="CI189"/>
      <c r="CJ189" s="115"/>
      <c r="CK189" s="115"/>
      <c r="CL189" s="115"/>
      <c r="CM189" s="115"/>
      <c r="CN189" s="115"/>
      <c r="CO189" s="115"/>
      <c r="CP189" s="115"/>
      <c r="CQ189" s="115"/>
      <c r="CR189" s="48"/>
      <c r="CU189" s="42">
        <v>184</v>
      </c>
      <c r="CV189" s="115">
        <v>1</v>
      </c>
      <c r="CW189" s="115">
        <v>1.8192576091040986</v>
      </c>
      <c r="CX189" s="115">
        <v>1.8192576091040986</v>
      </c>
      <c r="CY189" s="115" t="e">
        <v>#N/A</v>
      </c>
      <c r="CZ189" t="e">
        <v>#N/A</v>
      </c>
      <c r="DA189" t="e">
        <v>#N/A</v>
      </c>
      <c r="DB189" t="str">
        <v/>
      </c>
      <c r="DX189">
        <v>184</v>
      </c>
      <c r="DY189">
        <v>6</v>
      </c>
      <c r="DZ189">
        <v>8.8224752287145186E-2</v>
      </c>
      <c r="EA189" t="str">
        <v/>
      </c>
    </row>
    <row r="190" spans="70:131" x14ac:dyDescent="0.2">
      <c r="BR190">
        <v>185</v>
      </c>
      <c r="BS190">
        <v>1.3464566929133861</v>
      </c>
      <c r="BT190" s="42">
        <v>0.1611513415101023</v>
      </c>
      <c r="BU190" s="42">
        <v>11</v>
      </c>
      <c r="BV190" s="115">
        <v>0</v>
      </c>
      <c r="BW190" s="115">
        <v>0</v>
      </c>
      <c r="BX190" s="115" t="str">
        <v/>
      </c>
      <c r="BY190" s="115" t="str">
        <v/>
      </c>
      <c r="BZ190" s="115"/>
      <c r="CA190" s="115"/>
      <c r="CB190" s="115"/>
      <c r="CC190" s="115"/>
      <c r="CD190" s="115"/>
      <c r="CE190"/>
      <c r="CF190"/>
      <c r="CG190"/>
      <c r="CH190"/>
      <c r="CI190"/>
      <c r="CJ190" s="115"/>
      <c r="CK190" s="115"/>
      <c r="CL190" s="115"/>
      <c r="CM190" s="115"/>
      <c r="CN190" s="115"/>
      <c r="CO190" s="115"/>
      <c r="CP190" s="115"/>
      <c r="CQ190" s="115"/>
      <c r="CR190" s="48"/>
      <c r="CU190" s="42">
        <v>185</v>
      </c>
      <c r="CV190" s="115">
        <v>1</v>
      </c>
      <c r="CW190" s="115">
        <v>1.8192576091040986</v>
      </c>
      <c r="CX190" s="115">
        <v>1.8192576091040986</v>
      </c>
      <c r="CY190" s="115" t="e">
        <v>#N/A</v>
      </c>
      <c r="CZ190" t="e">
        <v>#N/A</v>
      </c>
      <c r="DA190" t="e">
        <v>#N/A</v>
      </c>
      <c r="DB190" t="str">
        <v/>
      </c>
      <c r="DX190">
        <v>185</v>
      </c>
      <c r="DY190">
        <v>6</v>
      </c>
      <c r="DZ190">
        <v>8.8224752287145186E-2</v>
      </c>
      <c r="EA190" t="str">
        <v/>
      </c>
    </row>
    <row r="191" spans="70:131" x14ac:dyDescent="0.2">
      <c r="BR191">
        <v>186</v>
      </c>
      <c r="BS191">
        <v>1.3700787401574805</v>
      </c>
      <c r="BT191" s="42">
        <v>0.15606285904118986</v>
      </c>
      <c r="BU191" s="42">
        <v>11</v>
      </c>
      <c r="BV191" s="115">
        <v>0</v>
      </c>
      <c r="BW191" s="115">
        <v>0</v>
      </c>
      <c r="BX191" s="115" t="str">
        <v/>
      </c>
      <c r="BY191" s="115" t="str">
        <v/>
      </c>
      <c r="BZ191" s="115"/>
      <c r="CA191" s="115"/>
      <c r="CB191" s="115"/>
      <c r="CC191" s="115"/>
      <c r="CD191" s="115"/>
      <c r="CE191"/>
      <c r="CF191"/>
      <c r="CG191"/>
      <c r="CH191"/>
      <c r="CI191"/>
      <c r="CJ191" s="115"/>
      <c r="CK191" s="115"/>
      <c r="CL191" s="115"/>
      <c r="CM191" s="115"/>
      <c r="CN191" s="115"/>
      <c r="CO191" s="115"/>
      <c r="CP191" s="115"/>
      <c r="CQ191" s="115"/>
      <c r="CR191" s="48"/>
      <c r="CU191" s="42">
        <v>186</v>
      </c>
      <c r="CV191" s="115">
        <v>1</v>
      </c>
      <c r="CW191" s="115">
        <v>1.8192576091040986</v>
      </c>
      <c r="CX191" s="115">
        <v>1.8192576091040986</v>
      </c>
      <c r="CY191" s="115" t="e">
        <v>#N/A</v>
      </c>
      <c r="CZ191" t="e">
        <v>#N/A</v>
      </c>
      <c r="DA191" t="e">
        <v>#N/A</v>
      </c>
      <c r="DB191" t="str">
        <v/>
      </c>
      <c r="DX191">
        <v>186</v>
      </c>
      <c r="DY191">
        <v>6</v>
      </c>
      <c r="DZ191">
        <v>8.8224752287145186E-2</v>
      </c>
      <c r="EA191" t="str">
        <v/>
      </c>
    </row>
    <row r="192" spans="70:131" x14ac:dyDescent="0.2">
      <c r="BR192">
        <v>187</v>
      </c>
      <c r="BS192">
        <v>1.393700787401575</v>
      </c>
      <c r="BT192" s="42">
        <v>0.15105073947356487</v>
      </c>
      <c r="BU192" s="42">
        <v>11</v>
      </c>
      <c r="BV192" s="115">
        <v>0</v>
      </c>
      <c r="BW192" s="115">
        <v>0</v>
      </c>
      <c r="BX192" s="115" t="str">
        <v/>
      </c>
      <c r="BY192" s="115" t="str">
        <v/>
      </c>
      <c r="BZ192" s="115"/>
      <c r="CA192" s="115"/>
      <c r="CB192" s="115"/>
      <c r="CC192" s="115"/>
      <c r="CD192" s="115"/>
      <c r="CE192"/>
      <c r="CF192"/>
      <c r="CG192"/>
      <c r="CH192"/>
      <c r="CI192"/>
      <c r="CJ192" s="115"/>
      <c r="CK192" s="115"/>
      <c r="CL192" s="115"/>
      <c r="CM192" s="115"/>
      <c r="CN192" s="115"/>
      <c r="CO192" s="115"/>
      <c r="CP192" s="115"/>
      <c r="CQ192" s="115"/>
      <c r="CR192" s="48"/>
      <c r="CU192" s="42">
        <v>187</v>
      </c>
      <c r="CV192" s="115">
        <v>1</v>
      </c>
      <c r="CW192" s="115">
        <v>1.8192576091040986</v>
      </c>
      <c r="CX192" s="115">
        <v>1.8192576091040986</v>
      </c>
      <c r="CY192" s="115" t="e">
        <v>#N/A</v>
      </c>
      <c r="CZ192" t="e">
        <v>#N/A</v>
      </c>
      <c r="DA192" t="e">
        <v>#N/A</v>
      </c>
      <c r="DB192" t="str">
        <v/>
      </c>
      <c r="DX192">
        <v>187</v>
      </c>
      <c r="DY192">
        <v>6</v>
      </c>
      <c r="DZ192">
        <v>8.8224752287145186E-2</v>
      </c>
      <c r="EA192" t="str">
        <v/>
      </c>
    </row>
    <row r="193" spans="70:131" x14ac:dyDescent="0.2">
      <c r="BR193">
        <v>188</v>
      </c>
      <c r="BS193">
        <v>1.4173228346456694</v>
      </c>
      <c r="BT193" s="42">
        <v>0.1461180325142209</v>
      </c>
      <c r="BU193" s="42">
        <v>12</v>
      </c>
      <c r="BV193" s="115">
        <v>1</v>
      </c>
      <c r="BW193" s="115">
        <v>0.20697755624177352</v>
      </c>
      <c r="BX193" s="115">
        <v>7.88</v>
      </c>
      <c r="BY193" s="115" t="str">
        <v/>
      </c>
      <c r="BZ193" s="115"/>
      <c r="CA193" s="115"/>
      <c r="CB193" s="115"/>
      <c r="CC193" s="115"/>
      <c r="CD193" s="115"/>
      <c r="CE193"/>
      <c r="CF193"/>
      <c r="CG193"/>
      <c r="CH193"/>
      <c r="CI193"/>
      <c r="CJ193" s="115"/>
      <c r="CK193" s="115"/>
      <c r="CL193" s="115"/>
      <c r="CM193" s="115"/>
      <c r="CN193" s="115"/>
      <c r="CO193" s="115"/>
      <c r="CP193" s="115"/>
      <c r="CQ193" s="115"/>
      <c r="CR193" s="48"/>
      <c r="CU193" s="42">
        <v>188</v>
      </c>
      <c r="CV193" s="115">
        <v>1</v>
      </c>
      <c r="CW193" s="115">
        <v>1.8192576091040986</v>
      </c>
      <c r="CX193" s="115">
        <v>1.8192576091040986</v>
      </c>
      <c r="CY193" s="115" t="e">
        <v>#N/A</v>
      </c>
      <c r="CZ193" t="e">
        <v>#N/A</v>
      </c>
      <c r="DA193" t="e">
        <v>#N/A</v>
      </c>
      <c r="DB193" t="str">
        <v/>
      </c>
      <c r="DX193">
        <v>188</v>
      </c>
      <c r="DY193">
        <v>6</v>
      </c>
      <c r="DZ193">
        <v>8.8224752287145186E-2</v>
      </c>
      <c r="EA193" t="str">
        <v/>
      </c>
    </row>
    <row r="194" spans="70:131" x14ac:dyDescent="0.2">
      <c r="BR194">
        <v>189</v>
      </c>
      <c r="BS194">
        <v>1.4409448818897639</v>
      </c>
      <c r="BT194" s="42">
        <v>0.14126755838553859</v>
      </c>
      <c r="BU194" s="42">
        <v>12</v>
      </c>
      <c r="BV194" s="115">
        <v>1</v>
      </c>
      <c r="BW194" s="115">
        <v>0.20697755624177352</v>
      </c>
      <c r="BX194" s="115" t="str">
        <v/>
      </c>
      <c r="BY194" s="115" t="str">
        <v/>
      </c>
      <c r="BZ194" s="115"/>
      <c r="CA194" s="115"/>
      <c r="CB194" s="115"/>
      <c r="CC194" s="115"/>
      <c r="CD194" s="115"/>
      <c r="CE194"/>
      <c r="CF194"/>
      <c r="CG194"/>
      <c r="CH194"/>
      <c r="CI194"/>
      <c r="CJ194" s="115"/>
      <c r="CK194" s="115"/>
      <c r="CL194" s="115"/>
      <c r="CM194" s="115"/>
      <c r="CN194" s="115"/>
      <c r="CO194" s="115"/>
      <c r="CP194" s="115"/>
      <c r="CQ194" s="115"/>
      <c r="CR194" s="48"/>
      <c r="CU194" s="42">
        <v>189</v>
      </c>
      <c r="CV194" s="115">
        <v>1</v>
      </c>
      <c r="CW194" s="115">
        <v>1.8192576091040986</v>
      </c>
      <c r="CX194" s="115">
        <v>1.8192576091040986</v>
      </c>
      <c r="CY194" s="115" t="e">
        <v>#N/A</v>
      </c>
      <c r="CZ194" t="e">
        <v>#N/A</v>
      </c>
      <c r="DA194" t="e">
        <v>#N/A</v>
      </c>
      <c r="DB194" t="str">
        <v/>
      </c>
      <c r="DX194">
        <v>189</v>
      </c>
      <c r="DY194">
        <v>6</v>
      </c>
      <c r="DZ194">
        <v>8.8224752287145186E-2</v>
      </c>
      <c r="EA194" t="str">
        <v/>
      </c>
    </row>
    <row r="195" spans="70:131" x14ac:dyDescent="0.2">
      <c r="BR195">
        <v>190</v>
      </c>
      <c r="BS195">
        <v>1.4645669291338583</v>
      </c>
      <c r="BT195" s="42">
        <v>0.13650190912912655</v>
      </c>
      <c r="BU195" s="42">
        <v>12</v>
      </c>
      <c r="BV195" s="115">
        <v>1</v>
      </c>
      <c r="BW195" s="115">
        <v>0.20697755624177352</v>
      </c>
      <c r="BX195" s="115" t="str">
        <v/>
      </c>
      <c r="BY195" s="115" t="str">
        <v/>
      </c>
      <c r="BZ195" s="115"/>
      <c r="CA195" s="115"/>
      <c r="CB195" s="115"/>
      <c r="CC195" s="115"/>
      <c r="CD195" s="115"/>
      <c r="CE195"/>
      <c r="CF195"/>
      <c r="CG195"/>
      <c r="CH195"/>
      <c r="CI195"/>
      <c r="CJ195" s="115"/>
      <c r="CK195" s="115"/>
      <c r="CL195" s="115"/>
      <c r="CM195" s="115"/>
      <c r="CN195" s="115"/>
      <c r="CO195" s="115"/>
      <c r="CP195" s="115"/>
      <c r="CQ195" s="115"/>
      <c r="CR195" s="48"/>
      <c r="CU195" s="42">
        <v>190</v>
      </c>
      <c r="CV195" s="115">
        <v>1</v>
      </c>
      <c r="CW195" s="115">
        <v>1.8192576091040986</v>
      </c>
      <c r="CX195" s="115">
        <v>1.8192576091040986</v>
      </c>
      <c r="CY195" s="115" t="e">
        <v>#N/A</v>
      </c>
      <c r="CZ195" t="e">
        <v>#N/A</v>
      </c>
      <c r="DA195" t="e">
        <v>#N/A</v>
      </c>
      <c r="DB195" t="str">
        <v/>
      </c>
      <c r="DX195">
        <v>190</v>
      </c>
      <c r="DY195">
        <v>6</v>
      </c>
      <c r="DZ195">
        <v>8.8224752287145186E-2</v>
      </c>
      <c r="EA195" t="str">
        <v/>
      </c>
    </row>
    <row r="196" spans="70:131" x14ac:dyDescent="0.2">
      <c r="BR196">
        <v>191</v>
      </c>
      <c r="BS196">
        <v>1.4881889763779528</v>
      </c>
      <c r="BT196" s="42">
        <v>0.1318234504925114</v>
      </c>
      <c r="BU196" s="42">
        <v>12</v>
      </c>
      <c r="BV196" s="115">
        <v>1</v>
      </c>
      <c r="BW196" s="115">
        <v>0.20697755624177352</v>
      </c>
      <c r="BX196" s="115" t="str">
        <v/>
      </c>
      <c r="BY196" s="115" t="str">
        <v/>
      </c>
      <c r="BZ196" s="115"/>
      <c r="CA196" s="115"/>
      <c r="CB196" s="115"/>
      <c r="CC196" s="115"/>
      <c r="CD196" s="115"/>
      <c r="CE196"/>
      <c r="CF196"/>
      <c r="CG196"/>
      <c r="CH196"/>
      <c r="CI196"/>
      <c r="CJ196" s="115"/>
      <c r="CK196" s="115"/>
      <c r="CL196" s="115"/>
      <c r="CM196" s="115"/>
      <c r="CN196" s="115"/>
      <c r="CO196" s="115"/>
      <c r="CP196" s="115"/>
      <c r="CQ196" s="115"/>
      <c r="CR196" s="48"/>
      <c r="CU196" s="42">
        <v>191</v>
      </c>
      <c r="CV196" s="115">
        <v>1</v>
      </c>
      <c r="CW196" s="115">
        <v>1.8192576091040986</v>
      </c>
      <c r="CX196" s="115">
        <v>1.8192576091040986</v>
      </c>
      <c r="CY196" s="115" t="e">
        <v>#N/A</v>
      </c>
      <c r="CZ196" t="e">
        <v>#N/A</v>
      </c>
      <c r="DA196" t="e">
        <v>#N/A</v>
      </c>
      <c r="DB196" t="str">
        <v/>
      </c>
      <c r="DX196">
        <v>191</v>
      </c>
      <c r="DY196">
        <v>6</v>
      </c>
      <c r="DZ196">
        <v>8.8224752287145186E-2</v>
      </c>
      <c r="EA196" t="str">
        <v/>
      </c>
    </row>
    <row r="197" spans="70:131" x14ac:dyDescent="0.2">
      <c r="BR197">
        <v>192</v>
      </c>
      <c r="BS197">
        <v>1.5118110236220472</v>
      </c>
      <c r="BT197" s="42">
        <v>0.12723432437312576</v>
      </c>
      <c r="BU197" s="42">
        <v>12</v>
      </c>
      <c r="BV197" s="115">
        <v>1</v>
      </c>
      <c r="BW197" s="115">
        <v>0.20697755624177352</v>
      </c>
      <c r="BX197" s="115" t="str">
        <v/>
      </c>
      <c r="BY197" s="115" t="str">
        <v/>
      </c>
      <c r="BZ197" s="115"/>
      <c r="CA197" s="115"/>
      <c r="CB197" s="115"/>
      <c r="CC197" s="115"/>
      <c r="CD197" s="115"/>
      <c r="CE197"/>
      <c r="CF197"/>
      <c r="CG197"/>
      <c r="CH197"/>
      <c r="CI197"/>
      <c r="CJ197" s="115"/>
      <c r="CK197" s="115"/>
      <c r="CL197" s="115"/>
      <c r="CM197" s="115"/>
      <c r="CN197" s="115"/>
      <c r="CO197" s="115"/>
      <c r="CP197" s="115"/>
      <c r="CQ197" s="115"/>
      <c r="CR197" s="48"/>
      <c r="CU197" s="42">
        <v>192</v>
      </c>
      <c r="CV197" s="115">
        <v>1</v>
      </c>
      <c r="CW197" s="115">
        <v>1.8192576091040986</v>
      </c>
      <c r="CX197" s="115">
        <v>1.8192576091040986</v>
      </c>
      <c r="CY197" s="115" t="e">
        <v>#N/A</v>
      </c>
      <c r="CZ197" t="e">
        <v>#N/A</v>
      </c>
      <c r="DA197" t="e">
        <v>#N/A</v>
      </c>
      <c r="DB197" t="str">
        <v/>
      </c>
      <c r="DX197">
        <v>192</v>
      </c>
      <c r="DY197">
        <v>6</v>
      </c>
      <c r="DZ197">
        <v>8.8224752287145186E-2</v>
      </c>
      <c r="EA197" t="str">
        <v/>
      </c>
    </row>
    <row r="198" spans="70:131" x14ac:dyDescent="0.2">
      <c r="BR198">
        <v>193</v>
      </c>
      <c r="BS198">
        <v>1.5354330708661417</v>
      </c>
      <c r="BT198" s="42">
        <v>0.12273645179276051</v>
      </c>
      <c r="BU198" s="42">
        <v>12</v>
      </c>
      <c r="BV198" s="115">
        <v>1</v>
      </c>
      <c r="BW198" s="115">
        <v>0.20697755624177352</v>
      </c>
      <c r="BX198" s="115" t="str">
        <v/>
      </c>
      <c r="BY198" s="115" t="str">
        <v/>
      </c>
      <c r="BZ198" s="115"/>
      <c r="CA198" s="115"/>
      <c r="CB198" s="115"/>
      <c r="CC198" s="115"/>
      <c r="CD198" s="115"/>
      <c r="CE198"/>
      <c r="CF198"/>
      <c r="CG198"/>
      <c r="CH198"/>
      <c r="CI198"/>
      <c r="CJ198" s="115"/>
      <c r="CK198" s="115"/>
      <c r="CL198" s="115"/>
      <c r="CM198" s="115"/>
      <c r="CN198" s="115"/>
      <c r="CO198" s="115"/>
      <c r="CP198" s="115"/>
      <c r="CQ198" s="115"/>
      <c r="CR198" s="48"/>
      <c r="CU198" s="42">
        <v>193</v>
      </c>
      <c r="CV198" s="115">
        <v>1</v>
      </c>
      <c r="CW198" s="115">
        <v>1.8192576091040986</v>
      </c>
      <c r="CX198" s="115">
        <v>1.8192576091040986</v>
      </c>
      <c r="CY198" s="115" t="e">
        <v>#N/A</v>
      </c>
      <c r="CZ198" t="e">
        <v>#N/A</v>
      </c>
      <c r="DA198" t="e">
        <v>#N/A</v>
      </c>
      <c r="DB198" t="str">
        <v/>
      </c>
      <c r="DX198">
        <v>193</v>
      </c>
      <c r="DY198">
        <v>6</v>
      </c>
      <c r="DZ198">
        <v>8.8224752287145186E-2</v>
      </c>
      <c r="EA198" t="str">
        <v/>
      </c>
    </row>
    <row r="199" spans="70:131" x14ac:dyDescent="0.2">
      <c r="BR199">
        <v>194</v>
      </c>
      <c r="BS199">
        <v>1.5590551181102361</v>
      </c>
      <c r="BT199" s="42">
        <v>0.11833153637452423</v>
      </c>
      <c r="BU199" s="42">
        <v>12</v>
      </c>
      <c r="BV199" s="115">
        <v>1</v>
      </c>
      <c r="BW199" s="115">
        <v>0.20697755624177352</v>
      </c>
      <c r="BX199" s="115" t="str">
        <v/>
      </c>
      <c r="BY199" s="115" t="str">
        <v/>
      </c>
      <c r="BZ199" s="115"/>
      <c r="CA199" s="115"/>
      <c r="CB199" s="115"/>
      <c r="CC199" s="115"/>
      <c r="CD199" s="115"/>
      <c r="CE199"/>
      <c r="CF199"/>
      <c r="CG199"/>
      <c r="CH199"/>
      <c r="CI199"/>
      <c r="CJ199" s="115"/>
      <c r="CK199" s="115"/>
      <c r="CL199" s="115"/>
      <c r="CM199" s="115"/>
      <c r="CN199" s="115"/>
      <c r="CO199" s="115"/>
      <c r="CP199" s="115"/>
      <c r="CQ199" s="115"/>
      <c r="CR199" s="48"/>
      <c r="CU199" s="42">
        <v>194</v>
      </c>
      <c r="CV199" s="115">
        <v>1</v>
      </c>
      <c r="CW199" s="115">
        <v>1.8192576091040986</v>
      </c>
      <c r="CX199" s="115">
        <v>1.8192576091040986</v>
      </c>
      <c r="CY199" s="115" t="e">
        <v>#N/A</v>
      </c>
      <c r="CZ199" t="e">
        <v>#N/A</v>
      </c>
      <c r="DA199" t="e">
        <v>#N/A</v>
      </c>
      <c r="DB199" t="str">
        <v/>
      </c>
      <c r="DX199">
        <v>194</v>
      </c>
      <c r="DY199">
        <v>6</v>
      </c>
      <c r="DZ199">
        <v>8.8224752287145186E-2</v>
      </c>
      <c r="EA199" t="str">
        <v/>
      </c>
    </row>
    <row r="200" spans="70:131" x14ac:dyDescent="0.2">
      <c r="BR200">
        <v>195</v>
      </c>
      <c r="BS200">
        <v>1.5826771653543306</v>
      </c>
      <c r="BT200" s="42">
        <v>0.11402106829339088</v>
      </c>
      <c r="BU200" s="42">
        <v>12</v>
      </c>
      <c r="BV200" s="115">
        <v>1</v>
      </c>
      <c r="BW200" s="115">
        <v>0.20697755624177352</v>
      </c>
      <c r="BX200" s="115" t="str">
        <v/>
      </c>
      <c r="BY200" s="115" t="str">
        <v/>
      </c>
      <c r="BZ200" s="115"/>
      <c r="CA200" s="115"/>
      <c r="CB200" s="115"/>
      <c r="CC200" s="115"/>
      <c r="CD200" s="115"/>
      <c r="CE200"/>
      <c r="CF200"/>
      <c r="CG200"/>
      <c r="CH200"/>
      <c r="CI200"/>
      <c r="CJ200" s="115"/>
      <c r="CK200" s="115"/>
      <c r="CL200" s="115"/>
      <c r="CM200" s="115"/>
      <c r="CN200" s="115"/>
      <c r="CO200" s="115"/>
      <c r="CP200" s="115"/>
      <c r="CQ200" s="115"/>
      <c r="CR200" s="48"/>
      <c r="CU200" s="42">
        <v>195</v>
      </c>
      <c r="CV200" s="115">
        <v>1</v>
      </c>
      <c r="CW200" s="115">
        <v>1.8192576091040986</v>
      </c>
      <c r="CX200" s="115">
        <v>1.8192576091040986</v>
      </c>
      <c r="CY200" s="115" t="e">
        <v>#N/A</v>
      </c>
      <c r="CZ200" t="e">
        <v>#N/A</v>
      </c>
      <c r="DA200" t="e">
        <v>#N/A</v>
      </c>
      <c r="DB200" t="str">
        <v/>
      </c>
      <c r="DX200">
        <v>195</v>
      </c>
      <c r="DY200">
        <v>6</v>
      </c>
      <c r="DZ200">
        <v>8.8224752287145186E-2</v>
      </c>
      <c r="EA200" t="str">
        <v/>
      </c>
    </row>
    <row r="201" spans="70:131" x14ac:dyDescent="0.2">
      <c r="BR201">
        <v>196</v>
      </c>
      <c r="BS201">
        <v>1.606299212598425</v>
      </c>
      <c r="BT201" s="42">
        <v>0.10980632867061464</v>
      </c>
      <c r="BU201" s="42">
        <v>12</v>
      </c>
      <c r="BV201" s="115">
        <v>1</v>
      </c>
      <c r="BW201" s="115">
        <v>0.20697755624177352</v>
      </c>
      <c r="BX201" s="115" t="str">
        <v/>
      </c>
      <c r="BY201" s="115" t="str">
        <v/>
      </c>
      <c r="BZ201" s="115"/>
      <c r="CA201" s="115"/>
      <c r="CB201" s="115"/>
      <c r="CC201" s="115"/>
      <c r="CD201" s="115"/>
      <c r="CE201"/>
      <c r="CF201"/>
      <c r="CG201"/>
      <c r="CH201"/>
      <c r="CI201"/>
      <c r="CJ201" s="115"/>
      <c r="CK201" s="115"/>
      <c r="CL201" s="115"/>
      <c r="CM201" s="115"/>
      <c r="CN201" s="115"/>
      <c r="CO201" s="115"/>
      <c r="CP201" s="115"/>
      <c r="CQ201" s="115"/>
      <c r="CR201" s="48"/>
      <c r="CU201" s="42">
        <v>196</v>
      </c>
      <c r="CV201" s="115">
        <v>1</v>
      </c>
      <c r="CW201" s="115">
        <v>1.8192576091040986</v>
      </c>
      <c r="CX201" s="115">
        <v>1.8192576091040986</v>
      </c>
      <c r="CY201" s="115" t="e">
        <v>#N/A</v>
      </c>
      <c r="CZ201" t="e">
        <v>#N/A</v>
      </c>
      <c r="DA201" t="e">
        <v>#N/A</v>
      </c>
      <c r="DB201" t="str">
        <v/>
      </c>
      <c r="DX201">
        <v>196</v>
      </c>
      <c r="DY201">
        <v>6</v>
      </c>
      <c r="DZ201">
        <v>8.8224752287145186E-2</v>
      </c>
      <c r="EA201" t="str">
        <v/>
      </c>
    </row>
    <row r="202" spans="70:131" x14ac:dyDescent="0.2">
      <c r="BR202">
        <v>197</v>
      </c>
      <c r="BS202">
        <v>1.6299212598425195</v>
      </c>
      <c r="BT202" s="42">
        <v>0.10568839438164815</v>
      </c>
      <c r="BU202" s="42">
        <v>12</v>
      </c>
      <c r="BV202" s="115">
        <v>1</v>
      </c>
      <c r="BW202" s="115">
        <v>0.20697755624177352</v>
      </c>
      <c r="BX202" s="115" t="str">
        <v/>
      </c>
      <c r="BY202" s="115" t="str">
        <v/>
      </c>
      <c r="BZ202" s="115"/>
      <c r="CA202" s="115"/>
      <c r="CB202" s="115"/>
      <c r="CC202" s="115"/>
      <c r="CD202" s="115"/>
      <c r="CE202"/>
      <c r="CF202"/>
      <c r="CG202"/>
      <c r="CH202"/>
      <c r="CI202"/>
      <c r="CJ202" s="115"/>
      <c r="CK202" s="115"/>
      <c r="CL202" s="115"/>
      <c r="CM202" s="115"/>
      <c r="CN202" s="115"/>
      <c r="CO202" s="115"/>
      <c r="CP202" s="115"/>
      <c r="CQ202" s="115"/>
      <c r="CR202" s="48"/>
      <c r="CU202" s="42">
        <v>197</v>
      </c>
      <c r="CV202" s="115">
        <v>1</v>
      </c>
      <c r="CW202" s="115">
        <v>1.8192576091040986</v>
      </c>
      <c r="CX202" s="115">
        <v>1.8192576091040986</v>
      </c>
      <c r="CY202" s="115" t="e">
        <v>#N/A</v>
      </c>
      <c r="CZ202" t="e">
        <v>#N/A</v>
      </c>
      <c r="DA202" t="e">
        <v>#N/A</v>
      </c>
      <c r="DB202" t="str">
        <v/>
      </c>
      <c r="DX202">
        <v>197</v>
      </c>
      <c r="DY202">
        <v>6</v>
      </c>
      <c r="DZ202">
        <v>8.8224752287145186E-2</v>
      </c>
      <c r="EA202" t="str">
        <v/>
      </c>
    </row>
    <row r="203" spans="70:131" x14ac:dyDescent="0.2">
      <c r="BR203">
        <v>198</v>
      </c>
      <c r="BS203">
        <v>1.6535433070866139</v>
      </c>
      <c r="BT203" s="42">
        <v>0.10166814324671322</v>
      </c>
      <c r="BU203" s="42">
        <v>12</v>
      </c>
      <c r="BV203" s="115">
        <v>1</v>
      </c>
      <c r="BW203" s="115">
        <v>0.20697755624177352</v>
      </c>
      <c r="BX203" s="115" t="str">
        <v/>
      </c>
      <c r="BY203" s="115" t="str">
        <v/>
      </c>
      <c r="BZ203" s="115"/>
      <c r="CA203" s="115"/>
      <c r="CB203" s="115"/>
      <c r="CC203" s="115"/>
      <c r="CD203" s="115"/>
      <c r="CE203"/>
      <c r="CF203"/>
      <c r="CG203"/>
      <c r="CH203"/>
      <c r="CI203"/>
      <c r="CJ203" s="115"/>
      <c r="CK203" s="115"/>
      <c r="CL203" s="115"/>
      <c r="CM203" s="115"/>
      <c r="CN203" s="115"/>
      <c r="CO203" s="115"/>
      <c r="CP203" s="115"/>
      <c r="CQ203" s="115"/>
      <c r="CR203" s="48"/>
      <c r="CU203" s="42">
        <v>198</v>
      </c>
      <c r="CV203" s="115">
        <v>1</v>
      </c>
      <c r="CW203" s="115">
        <v>1.8192576091040986</v>
      </c>
      <c r="CX203" s="115">
        <v>1.8192576091040986</v>
      </c>
      <c r="CY203" s="115" t="e">
        <v>#N/A</v>
      </c>
      <c r="CZ203" t="e">
        <v>#N/A</v>
      </c>
      <c r="DA203" t="e">
        <v>#N/A</v>
      </c>
      <c r="DB203" t="str">
        <v/>
      </c>
      <c r="DX203">
        <v>198</v>
      </c>
      <c r="DY203">
        <v>6</v>
      </c>
      <c r="DZ203">
        <v>8.8224752287145186E-2</v>
      </c>
      <c r="EA203" t="str">
        <v/>
      </c>
    </row>
    <row r="204" spans="70:131" x14ac:dyDescent="0.2">
      <c r="BR204">
        <v>199</v>
      </c>
      <c r="BS204">
        <v>1.6771653543307083</v>
      </c>
      <c r="BT204" s="42">
        <v>9.7746259572838598E-2</v>
      </c>
      <c r="BU204" s="42">
        <v>12</v>
      </c>
      <c r="BV204" s="115">
        <v>1</v>
      </c>
      <c r="BW204" s="115">
        <v>0.20697755624177352</v>
      </c>
      <c r="BX204" s="115" t="str">
        <v/>
      </c>
      <c r="BY204" s="115" t="str">
        <v/>
      </c>
      <c r="BZ204" s="115"/>
      <c r="CA204" s="115"/>
      <c r="CB204" s="115"/>
      <c r="CC204" s="115"/>
      <c r="CD204" s="115"/>
      <c r="CE204"/>
      <c r="CF204"/>
      <c r="CG204"/>
      <c r="CH204"/>
      <c r="CI204"/>
      <c r="CJ204" s="115"/>
      <c r="CK204" s="115"/>
      <c r="CL204" s="115"/>
      <c r="CM204" s="115"/>
      <c r="CN204" s="115"/>
      <c r="CO204" s="115"/>
      <c r="CP204" s="115"/>
      <c r="CQ204" s="115"/>
      <c r="CR204" s="48"/>
      <c r="CU204" s="42">
        <v>199</v>
      </c>
      <c r="CV204" s="115">
        <v>1</v>
      </c>
      <c r="CW204" s="115">
        <v>1.8192576091040986</v>
      </c>
      <c r="CX204" s="115">
        <v>1.8192576091040986</v>
      </c>
      <c r="CY204" s="115" t="e">
        <v>#N/A</v>
      </c>
      <c r="CZ204" t="e">
        <v>#N/A</v>
      </c>
      <c r="DA204" t="e">
        <v>#N/A</v>
      </c>
      <c r="DB204" t="str">
        <v/>
      </c>
      <c r="DX204">
        <v>199</v>
      </c>
      <c r="DY204">
        <v>6</v>
      </c>
      <c r="DZ204">
        <v>8.8224752287145186E-2</v>
      </c>
      <c r="EA204" t="str">
        <v/>
      </c>
    </row>
    <row r="205" spans="70:131" x14ac:dyDescent="0.2">
      <c r="BR205">
        <v>200</v>
      </c>
      <c r="BS205">
        <v>1.7007874015748028</v>
      </c>
      <c r="BT205" s="42">
        <v>9.3923240015993517E-2</v>
      </c>
      <c r="BU205" s="42">
        <v>12</v>
      </c>
      <c r="BV205" s="115">
        <v>1</v>
      </c>
      <c r="BW205" s="115">
        <v>0.20697755624177352</v>
      </c>
      <c r="BX205" s="115" t="str">
        <v/>
      </c>
      <c r="BY205" s="115" t="str">
        <v/>
      </c>
      <c r="BZ205" s="115"/>
      <c r="CA205" s="115"/>
      <c r="CB205" s="115"/>
      <c r="CC205" s="115"/>
      <c r="CD205" s="115"/>
      <c r="CE205"/>
      <c r="CF205"/>
      <c r="CG205"/>
      <c r="CH205"/>
      <c r="CI205"/>
      <c r="CJ205" s="115"/>
      <c r="CK205" s="115"/>
      <c r="CL205" s="115"/>
      <c r="CM205" s="115"/>
      <c r="CN205" s="115"/>
      <c r="CO205" s="115"/>
      <c r="CP205" s="115"/>
      <c r="CQ205" s="115"/>
      <c r="CR205" s="48"/>
      <c r="CU205" s="42">
        <v>200</v>
      </c>
      <c r="CV205" s="115">
        <v>1</v>
      </c>
      <c r="CW205" s="115">
        <v>1.8192576091040986</v>
      </c>
      <c r="CX205" s="115">
        <v>1.8192576091040986</v>
      </c>
      <c r="CY205" s="115" t="e">
        <v>#N/A</v>
      </c>
      <c r="CZ205" t="e">
        <v>#N/A</v>
      </c>
      <c r="DA205" t="e">
        <v>#N/A</v>
      </c>
      <c r="DB205" t="str">
        <v/>
      </c>
      <c r="DX205">
        <v>200</v>
      </c>
      <c r="DY205">
        <v>6</v>
      </c>
      <c r="DZ205">
        <v>8.8224752287145186E-2</v>
      </c>
      <c r="EA205" t="str">
        <v/>
      </c>
    </row>
    <row r="206" spans="70:131" x14ac:dyDescent="0.2">
      <c r="BR206">
        <v>201</v>
      </c>
      <c r="BS206">
        <v>1.7244094488188972</v>
      </c>
      <c r="BT206" s="42">
        <v>9.0199399731906132E-2</v>
      </c>
      <c r="BU206" s="42">
        <v>12</v>
      </c>
      <c r="BV206" s="115">
        <v>1</v>
      </c>
      <c r="BW206" s="115">
        <v>0.20697755624177352</v>
      </c>
      <c r="BX206" s="115" t="str">
        <v/>
      </c>
      <c r="BY206" s="115" t="str">
        <v/>
      </c>
      <c r="BZ206" s="115"/>
      <c r="CA206" s="115"/>
      <c r="CB206" s="115"/>
      <c r="CC206" s="115"/>
      <c r="CD206" s="115"/>
      <c r="CE206"/>
      <c r="CF206"/>
      <c r="CG206"/>
      <c r="CH206"/>
      <c r="CI206"/>
      <c r="CJ206" s="115"/>
      <c r="CK206" s="115"/>
      <c r="CL206" s="115"/>
      <c r="CM206" s="115"/>
      <c r="CN206" s="115"/>
      <c r="CO206" s="115"/>
      <c r="CP206" s="115"/>
      <c r="CQ206" s="115"/>
      <c r="CR206" s="48"/>
      <c r="CU206" s="42">
        <v>201</v>
      </c>
      <c r="CV206" s="115">
        <v>1</v>
      </c>
      <c r="CW206" s="115">
        <v>1.8192576091040986</v>
      </c>
      <c r="CX206" s="115">
        <v>1.8192576091040986</v>
      </c>
      <c r="CY206" s="115" t="e">
        <v>#N/A</v>
      </c>
      <c r="CZ206" t="e">
        <v>#N/A</v>
      </c>
      <c r="DA206" t="e">
        <v>#N/A</v>
      </c>
      <c r="DB206" t="str">
        <v/>
      </c>
      <c r="DX206">
        <v>201</v>
      </c>
      <c r="DY206">
        <v>6</v>
      </c>
      <c r="DZ206">
        <v>8.8224752287145186E-2</v>
      </c>
      <c r="EA206" t="str">
        <v/>
      </c>
    </row>
    <row r="207" spans="70:131" x14ac:dyDescent="0.2">
      <c r="BR207">
        <v>202</v>
      </c>
      <c r="BS207">
        <v>1.7480314960629917</v>
      </c>
      <c r="BT207" s="42">
        <v>8.657487878425156E-2</v>
      </c>
      <c r="BU207" s="42">
        <v>12</v>
      </c>
      <c r="BV207" s="115">
        <v>1</v>
      </c>
      <c r="BW207" s="115">
        <v>0.20697755624177352</v>
      </c>
      <c r="BX207" s="115" t="str">
        <v/>
      </c>
      <c r="BY207" s="115" t="str">
        <v/>
      </c>
      <c r="BZ207" s="115"/>
      <c r="CA207" s="115"/>
      <c r="CB207" s="115"/>
      <c r="CC207" s="115"/>
      <c r="CD207" s="115"/>
      <c r="CE207"/>
      <c r="CF207"/>
      <c r="CG207"/>
      <c r="CH207"/>
      <c r="CI207"/>
      <c r="CJ207" s="115"/>
      <c r="CK207" s="115"/>
      <c r="CL207" s="115"/>
      <c r="CM207" s="115"/>
      <c r="CN207" s="115"/>
      <c r="CO207" s="115"/>
      <c r="CP207" s="115"/>
      <c r="CQ207" s="115"/>
      <c r="CR207" s="48"/>
      <c r="CU207" s="42">
        <v>202</v>
      </c>
      <c r="CV207" s="115">
        <v>1</v>
      </c>
      <c r="CW207" s="115">
        <v>1.8192576091040986</v>
      </c>
      <c r="CX207" s="115">
        <v>1.8192576091040986</v>
      </c>
      <c r="CY207" s="115" t="e">
        <v>#N/A</v>
      </c>
      <c r="CZ207" t="e">
        <v>#N/A</v>
      </c>
      <c r="DA207" t="e">
        <v>#N/A</v>
      </c>
      <c r="DB207" t="str">
        <v/>
      </c>
      <c r="DX207">
        <v>202</v>
      </c>
      <c r="DY207">
        <v>6</v>
      </c>
      <c r="DZ207">
        <v>8.8224752287145186E-2</v>
      </c>
      <c r="EA207" t="str">
        <v/>
      </c>
    </row>
    <row r="208" spans="70:131" x14ac:dyDescent="0.2">
      <c r="BR208">
        <v>203</v>
      </c>
      <c r="BS208">
        <v>1.7716535433070861</v>
      </c>
      <c r="BT208" s="42">
        <v>8.3049648779127114E-2</v>
      </c>
      <c r="BU208" s="42">
        <v>12</v>
      </c>
      <c r="BV208" s="115">
        <v>1</v>
      </c>
      <c r="BW208" s="115">
        <v>0.20697755624177352</v>
      </c>
      <c r="BX208" s="115" t="str">
        <v/>
      </c>
      <c r="BY208" s="115" t="str">
        <v/>
      </c>
      <c r="BZ208" s="115"/>
      <c r="CA208" s="115"/>
      <c r="CB208" s="115"/>
      <c r="CC208" s="115"/>
      <c r="CD208" s="115"/>
      <c r="CE208"/>
      <c r="CF208"/>
      <c r="CG208"/>
      <c r="CH208"/>
      <c r="CI208"/>
      <c r="CJ208" s="115"/>
      <c r="CK208" s="115"/>
      <c r="CL208" s="115"/>
      <c r="CM208" s="115"/>
      <c r="CN208" s="115"/>
      <c r="CO208" s="115"/>
      <c r="CP208" s="115"/>
      <c r="CQ208" s="115"/>
      <c r="CR208" s="48"/>
      <c r="CU208" s="42">
        <v>203</v>
      </c>
      <c r="CV208" s="115">
        <v>1</v>
      </c>
      <c r="CW208" s="115">
        <v>1.8192576091040986</v>
      </c>
      <c r="CX208" s="115">
        <v>1.8192576091040986</v>
      </c>
      <c r="CY208" s="115" t="e">
        <v>#N/A</v>
      </c>
      <c r="CZ208" t="e">
        <v>#N/A</v>
      </c>
      <c r="DA208" t="e">
        <v>#N/A</v>
      </c>
      <c r="DB208" t="str">
        <v/>
      </c>
      <c r="DX208">
        <v>203</v>
      </c>
      <c r="DY208">
        <v>6</v>
      </c>
      <c r="DZ208">
        <v>8.8224752287145186E-2</v>
      </c>
      <c r="EA208" t="str">
        <v/>
      </c>
    </row>
    <row r="209" spans="70:131" x14ac:dyDescent="0.2">
      <c r="BR209">
        <v>204</v>
      </c>
      <c r="BS209">
        <v>1.7952755905511815</v>
      </c>
      <c r="BT209" s="42">
        <v>7.9623519695089018E-2</v>
      </c>
      <c r="BU209" s="42">
        <v>12</v>
      </c>
      <c r="BV209" s="115">
        <v>1</v>
      </c>
      <c r="BW209" s="115">
        <v>0.20697755624177352</v>
      </c>
      <c r="BX209" s="115" t="str">
        <v/>
      </c>
      <c r="BY209" s="115" t="str">
        <v/>
      </c>
      <c r="BZ209" s="115"/>
      <c r="CA209" s="115"/>
      <c r="CB209" s="115"/>
      <c r="CC209" s="115"/>
      <c r="CD209" s="115"/>
      <c r="CE209"/>
      <c r="CF209"/>
      <c r="CG209"/>
      <c r="CH209"/>
      <c r="CI209"/>
      <c r="CJ209" s="115"/>
      <c r="CK209" s="115"/>
      <c r="CL209" s="115"/>
      <c r="CM209" s="115"/>
      <c r="CN209" s="115"/>
      <c r="CO209" s="115"/>
      <c r="CP209" s="115"/>
      <c r="CQ209" s="115"/>
      <c r="CR209" s="48"/>
      <c r="CU209" s="42">
        <v>204</v>
      </c>
      <c r="CV209" s="115">
        <v>1</v>
      </c>
      <c r="CW209" s="115">
        <v>1.8192576091040986</v>
      </c>
      <c r="CX209" s="115">
        <v>1.8192576091040986</v>
      </c>
      <c r="CY209" s="115" t="e">
        <v>#N/A</v>
      </c>
      <c r="CZ209" t="e">
        <v>#N/A</v>
      </c>
      <c r="DA209" t="e">
        <v>#N/A</v>
      </c>
      <c r="DB209" t="str">
        <v/>
      </c>
      <c r="DX209">
        <v>204</v>
      </c>
      <c r="DY209">
        <v>6</v>
      </c>
      <c r="DZ209">
        <v>8.8224752287145186E-2</v>
      </c>
      <c r="EA209" t="str">
        <v/>
      </c>
    </row>
    <row r="210" spans="70:131" x14ac:dyDescent="0.2">
      <c r="BR210">
        <v>205</v>
      </c>
      <c r="BS210">
        <v>1.8188976377952759</v>
      </c>
      <c r="BT210" s="42">
        <v>7.6296146878504514E-2</v>
      </c>
      <c r="BU210" s="42">
        <v>13</v>
      </c>
      <c r="BV210" s="115">
        <v>0</v>
      </c>
      <c r="BW210" s="115">
        <v>0</v>
      </c>
      <c r="BX210" s="115">
        <v>9.61</v>
      </c>
      <c r="BY210" s="115" t="str">
        <v/>
      </c>
      <c r="BZ210" s="115"/>
      <c r="CA210" s="115"/>
      <c r="CB210" s="115"/>
      <c r="CC210" s="115"/>
      <c r="CD210" s="115"/>
      <c r="CE210"/>
      <c r="CF210"/>
      <c r="CG210"/>
      <c r="CH210"/>
      <c r="CI210"/>
      <c r="CJ210" s="115"/>
      <c r="CK210" s="115"/>
      <c r="CL210" s="115"/>
      <c r="CM210" s="115"/>
      <c r="CN210" s="115"/>
      <c r="CO210" s="115"/>
      <c r="CP210" s="115"/>
      <c r="CQ210" s="115"/>
      <c r="CR210" s="48"/>
      <c r="CU210" s="42">
        <v>205</v>
      </c>
      <c r="CV210" s="115">
        <v>1</v>
      </c>
      <c r="CW210" s="115">
        <v>1.8192576091040986</v>
      </c>
      <c r="CX210" s="115">
        <v>1.8192576091040986</v>
      </c>
      <c r="CY210" s="115" t="e">
        <v>#N/A</v>
      </c>
      <c r="CZ210" t="e">
        <v>#N/A</v>
      </c>
      <c r="DA210" t="e">
        <v>#N/A</v>
      </c>
      <c r="DB210" t="str">
        <v/>
      </c>
      <c r="DX210">
        <v>205</v>
      </c>
      <c r="DY210">
        <v>6</v>
      </c>
      <c r="DZ210">
        <v>8.8224752287145186E-2</v>
      </c>
      <c r="EA210" t="str">
        <v/>
      </c>
    </row>
    <row r="211" spans="70:131" x14ac:dyDescent="0.2">
      <c r="BR211">
        <v>206</v>
      </c>
      <c r="BS211">
        <v>1.8425196850393704</v>
      </c>
      <c r="BT211" s="42">
        <v>7.3067038174560742E-2</v>
      </c>
      <c r="BU211" s="42">
        <v>13</v>
      </c>
      <c r="BV211" s="115">
        <v>0</v>
      </c>
      <c r="BW211" s="115">
        <v>0</v>
      </c>
      <c r="BX211" s="115" t="str">
        <v/>
      </c>
      <c r="BY211" s="115" t="str">
        <v/>
      </c>
      <c r="BZ211" s="115"/>
      <c r="CA211" s="115"/>
      <c r="CB211" s="115"/>
      <c r="CC211" s="115"/>
      <c r="CD211" s="115"/>
      <c r="CE211"/>
      <c r="CF211"/>
      <c r="CG211"/>
      <c r="CH211"/>
      <c r="CI211"/>
      <c r="CJ211" s="115"/>
      <c r="CK211" s="115"/>
      <c r="CL211" s="115"/>
      <c r="CM211" s="115"/>
      <c r="CN211" s="115"/>
      <c r="CO211" s="115"/>
      <c r="CP211" s="115"/>
      <c r="CQ211" s="115"/>
      <c r="CR211" s="48"/>
      <c r="CU211" s="42">
        <v>206</v>
      </c>
      <c r="CV211" s="115">
        <v>1</v>
      </c>
      <c r="CW211" s="115">
        <v>1.8192576091040986</v>
      </c>
      <c r="CX211" s="115">
        <v>1.8192576091040986</v>
      </c>
      <c r="CY211" s="115" t="e">
        <v>#N/A</v>
      </c>
      <c r="CZ211" t="e">
        <v>#N/A</v>
      </c>
      <c r="DA211" t="e">
        <v>#N/A</v>
      </c>
      <c r="DB211" t="str">
        <v/>
      </c>
      <c r="DX211">
        <v>206</v>
      </c>
      <c r="DY211">
        <v>6</v>
      </c>
      <c r="DZ211">
        <v>8.8224752287145186E-2</v>
      </c>
      <c r="EA211" t="str">
        <v/>
      </c>
    </row>
    <row r="212" spans="70:131" x14ac:dyDescent="0.2">
      <c r="BR212">
        <v>207</v>
      </c>
      <c r="BS212">
        <v>1.8661417322834648</v>
      </c>
      <c r="BT212" s="42">
        <v>6.9935561164973653E-2</v>
      </c>
      <c r="BU212" s="42">
        <v>13</v>
      </c>
      <c r="BV212" s="115">
        <v>0</v>
      </c>
      <c r="BW212" s="115">
        <v>0</v>
      </c>
      <c r="BX212" s="115" t="str">
        <v/>
      </c>
      <c r="BY212" s="115" t="str">
        <v/>
      </c>
      <c r="BZ212" s="115"/>
      <c r="CA212" s="115"/>
      <c r="CB212" s="115"/>
      <c r="CC212" s="115"/>
      <c r="CD212" s="115"/>
      <c r="CE212"/>
      <c r="CF212"/>
      <c r="CG212"/>
      <c r="CH212"/>
      <c r="CI212"/>
      <c r="CJ212" s="115"/>
      <c r="CK212" s="115"/>
      <c r="CL212" s="115"/>
      <c r="CM212" s="115"/>
      <c r="CN212" s="115"/>
      <c r="CO212" s="115"/>
      <c r="CP212" s="115"/>
      <c r="CQ212" s="115"/>
      <c r="CR212" s="48"/>
      <c r="CU212" s="42">
        <v>207</v>
      </c>
      <c r="CV212" s="115">
        <v>1</v>
      </c>
      <c r="CW212" s="115">
        <v>1.8192576091040986</v>
      </c>
      <c r="CX212" s="115">
        <v>1.8192576091040986</v>
      </c>
      <c r="CY212" s="115" t="e">
        <v>#N/A</v>
      </c>
      <c r="CZ212" t="e">
        <v>#N/A</v>
      </c>
      <c r="DA212" t="e">
        <v>#N/A</v>
      </c>
      <c r="DB212" t="str">
        <v/>
      </c>
      <c r="DX212">
        <v>207</v>
      </c>
      <c r="DY212">
        <v>6</v>
      </c>
      <c r="DZ212">
        <v>8.8224752287145186E-2</v>
      </c>
      <c r="EA212" t="str">
        <v/>
      </c>
    </row>
    <row r="213" spans="70:131" x14ac:dyDescent="0.2">
      <c r="BR213">
        <v>208</v>
      </c>
      <c r="BS213">
        <v>1.8897637795275593</v>
      </c>
      <c r="BT213" s="42">
        <v>6.6900950484229643E-2</v>
      </c>
      <c r="BU213" s="42">
        <v>13</v>
      </c>
      <c r="BV213" s="115">
        <v>0</v>
      </c>
      <c r="BW213" s="115">
        <v>0</v>
      </c>
      <c r="BX213" s="115" t="str">
        <v/>
      </c>
      <c r="BY213" s="115" t="str">
        <v/>
      </c>
      <c r="BZ213" s="115"/>
      <c r="CA213" s="115"/>
      <c r="CB213" s="115"/>
      <c r="CC213" s="115"/>
      <c r="CD213" s="115"/>
      <c r="CE213"/>
      <c r="CF213"/>
      <c r="CG213"/>
      <c r="CH213"/>
      <c r="CI213"/>
      <c r="CJ213" s="115"/>
      <c r="CK213" s="115"/>
      <c r="CL213" s="115"/>
      <c r="CM213" s="115"/>
      <c r="CN213" s="115"/>
      <c r="CO213" s="115"/>
      <c r="CP213" s="115"/>
      <c r="CQ213" s="115"/>
      <c r="CR213" s="48"/>
      <c r="CU213" s="42">
        <v>208</v>
      </c>
      <c r="CV213" s="115">
        <v>1</v>
      </c>
      <c r="CW213" s="115">
        <v>1.8192576091040986</v>
      </c>
      <c r="CX213" s="115">
        <v>1.8192576091040986</v>
      </c>
      <c r="CY213" s="115" t="e">
        <v>#N/A</v>
      </c>
      <c r="CZ213" t="e">
        <v>#N/A</v>
      </c>
      <c r="DA213" t="e">
        <v>#N/A</v>
      </c>
      <c r="DB213" t="str">
        <v/>
      </c>
      <c r="DX213">
        <v>208</v>
      </c>
      <c r="DY213">
        <v>6</v>
      </c>
      <c r="DZ213">
        <v>8.8224752287145186E-2</v>
      </c>
      <c r="EA213" t="str">
        <v/>
      </c>
    </row>
    <row r="214" spans="70:131" x14ac:dyDescent="0.2">
      <c r="BR214">
        <v>209</v>
      </c>
      <c r="BS214">
        <v>1.9133858267716537</v>
      </c>
      <c r="BT214" s="42">
        <v>6.3962315187079094E-2</v>
      </c>
      <c r="BU214" s="42">
        <v>13</v>
      </c>
      <c r="BV214" s="115">
        <v>0</v>
      </c>
      <c r="BW214" s="115">
        <v>0</v>
      </c>
      <c r="BX214" s="115" t="str">
        <v/>
      </c>
      <c r="BY214" s="115" t="str">
        <v/>
      </c>
      <c r="BZ214" s="115"/>
      <c r="CA214" s="115"/>
      <c r="CB214" s="115"/>
      <c r="CC214" s="115"/>
      <c r="CD214" s="115"/>
      <c r="CE214"/>
      <c r="CF214"/>
      <c r="CG214"/>
      <c r="CH214"/>
      <c r="CI214"/>
      <c r="CJ214" s="115"/>
      <c r="CK214" s="115"/>
      <c r="CL214" s="115"/>
      <c r="CM214" s="115"/>
      <c r="CN214" s="115"/>
      <c r="CO214" s="115"/>
      <c r="CP214" s="115"/>
      <c r="CQ214" s="115"/>
      <c r="CR214" s="48"/>
      <c r="CU214" s="42">
        <v>209</v>
      </c>
      <c r="CV214" s="115">
        <v>1</v>
      </c>
      <c r="CW214" s="115">
        <v>1.8192576091040986</v>
      </c>
      <c r="CX214" s="115">
        <v>1.8192576091040986</v>
      </c>
      <c r="CY214" s="115" t="e">
        <v>#N/A</v>
      </c>
      <c r="CZ214" t="e">
        <v>#N/A</v>
      </c>
      <c r="DA214" t="e">
        <v>#N/A</v>
      </c>
      <c r="DB214" t="str">
        <v/>
      </c>
      <c r="DX214">
        <v>209</v>
      </c>
      <c r="DY214">
        <v>6</v>
      </c>
      <c r="DZ214">
        <v>8.8224752287145186E-2</v>
      </c>
      <c r="EA214" t="str">
        <v/>
      </c>
    </row>
    <row r="215" spans="70:131" x14ac:dyDescent="0.2">
      <c r="BR215">
        <v>210</v>
      </c>
      <c r="BS215">
        <v>1.9370078740157481</v>
      </c>
      <c r="BT215" s="42">
        <v>6.1118646140966536E-2</v>
      </c>
      <c r="BU215" s="42">
        <v>13</v>
      </c>
      <c r="BV215" s="115">
        <v>0</v>
      </c>
      <c r="BW215" s="115">
        <v>0</v>
      </c>
      <c r="BX215" s="115" t="str">
        <v/>
      </c>
      <c r="BY215" s="115" t="str">
        <v/>
      </c>
      <c r="BZ215" s="115"/>
      <c r="CA215" s="115"/>
      <c r="CB215" s="115"/>
      <c r="CC215" s="115"/>
      <c r="CD215" s="115"/>
      <c r="CE215"/>
      <c r="CF215"/>
      <c r="CG215"/>
      <c r="CH215"/>
      <c r="CI215"/>
      <c r="CJ215" s="115"/>
      <c r="CK215" s="115"/>
      <c r="CL215" s="115"/>
      <c r="CM215" s="115"/>
      <c r="CN215" s="115"/>
      <c r="CO215" s="115"/>
      <c r="CP215" s="115"/>
      <c r="CQ215" s="115"/>
      <c r="CR215" s="48"/>
      <c r="CU215" s="42">
        <v>210</v>
      </c>
      <c r="CV215" s="115">
        <v>1</v>
      </c>
      <c r="CW215" s="115">
        <v>1.8192576091040986</v>
      </c>
      <c r="CX215" s="115">
        <v>1.8192576091040986</v>
      </c>
      <c r="CY215" s="115" t="e">
        <v>#N/A</v>
      </c>
      <c r="CZ215" t="e">
        <v>#N/A</v>
      </c>
      <c r="DA215" t="e">
        <v>#N/A</v>
      </c>
      <c r="DB215" t="str">
        <v/>
      </c>
      <c r="DX215">
        <v>210</v>
      </c>
      <c r="DY215">
        <v>6</v>
      </c>
      <c r="DZ215">
        <v>8.8224752287145186E-2</v>
      </c>
      <c r="EA215" t="str">
        <v/>
      </c>
    </row>
    <row r="216" spans="70:131" x14ac:dyDescent="0.2">
      <c r="BR216">
        <v>211</v>
      </c>
      <c r="BS216">
        <v>1.9606299212598426</v>
      </c>
      <c r="BT216" s="42">
        <v>5.836882341812101E-2</v>
      </c>
      <c r="BU216" s="42">
        <v>13</v>
      </c>
      <c r="BV216" s="115">
        <v>0</v>
      </c>
      <c r="BW216" s="115">
        <v>0</v>
      </c>
      <c r="BX216" s="115" t="str">
        <v/>
      </c>
      <c r="BY216" s="115" t="str">
        <v/>
      </c>
      <c r="BZ216" s="115"/>
      <c r="CA216" s="115"/>
      <c r="CB216" s="115"/>
      <c r="CC216" s="115"/>
      <c r="CD216" s="115"/>
      <c r="CE216"/>
      <c r="CF216"/>
      <c r="CG216"/>
      <c r="CH216"/>
      <c r="CI216"/>
      <c r="CJ216" s="115"/>
      <c r="CK216" s="115"/>
      <c r="CL216" s="115"/>
      <c r="CM216" s="115"/>
      <c r="CN216" s="115"/>
      <c r="CO216" s="115"/>
      <c r="CP216" s="115"/>
      <c r="CQ216" s="115"/>
      <c r="CR216" s="48"/>
      <c r="CU216" s="42">
        <v>211</v>
      </c>
      <c r="CV216" s="115">
        <v>1</v>
      </c>
      <c r="CW216" s="115">
        <v>1.8192576091040986</v>
      </c>
      <c r="CX216" s="115">
        <v>1.8192576091040986</v>
      </c>
      <c r="CY216" s="115" t="e">
        <v>#N/A</v>
      </c>
      <c r="CZ216" t="e">
        <v>#N/A</v>
      </c>
      <c r="DA216" t="e">
        <v>#N/A</v>
      </c>
      <c r="DB216" t="str">
        <v/>
      </c>
      <c r="DX216">
        <v>211</v>
      </c>
      <c r="DY216">
        <v>6</v>
      </c>
      <c r="DZ216">
        <v>8.8224752287145186E-2</v>
      </c>
      <c r="EA216" t="str">
        <v/>
      </c>
    </row>
    <row r="217" spans="70:131" x14ac:dyDescent="0.2">
      <c r="BR217">
        <v>212</v>
      </c>
      <c r="BS217">
        <v>1.984251968503937</v>
      </c>
      <c r="BT217" s="42">
        <v>5.5711623663135007E-2</v>
      </c>
      <c r="BU217" s="42">
        <v>13</v>
      </c>
      <c r="BV217" s="115">
        <v>0</v>
      </c>
      <c r="BW217" s="115">
        <v>0</v>
      </c>
      <c r="BX217" s="115" t="str">
        <v/>
      </c>
      <c r="BY217" s="115" t="str">
        <v/>
      </c>
      <c r="BZ217" s="115"/>
      <c r="CA217" s="115"/>
      <c r="CB217" s="115"/>
      <c r="CC217" s="115"/>
      <c r="CD217" s="115"/>
      <c r="CE217"/>
      <c r="CF217"/>
      <c r="CG217"/>
      <c r="CH217"/>
      <c r="CI217"/>
      <c r="CJ217" s="115"/>
      <c r="CK217" s="115"/>
      <c r="CL217" s="115"/>
      <c r="CM217" s="115"/>
      <c r="CN217" s="115"/>
      <c r="CO217" s="115"/>
      <c r="CP217" s="115"/>
      <c r="CQ217" s="115"/>
      <c r="CR217" s="48"/>
      <c r="CU217" s="42">
        <v>212</v>
      </c>
      <c r="CV217" s="115">
        <v>1</v>
      </c>
      <c r="CW217" s="115">
        <v>1.8192576091040986</v>
      </c>
      <c r="CX217" s="115">
        <v>1.8192576091040986</v>
      </c>
      <c r="CY217" s="115" t="e">
        <v>#N/A</v>
      </c>
      <c r="CZ217" t="e">
        <v>#N/A</v>
      </c>
      <c r="DA217" t="e">
        <v>#N/A</v>
      </c>
      <c r="DB217" t="str">
        <v/>
      </c>
      <c r="DX217">
        <v>212</v>
      </c>
      <c r="DY217">
        <v>6</v>
      </c>
      <c r="DZ217">
        <v>8.8224752287145186E-2</v>
      </c>
      <c r="EA217" t="str">
        <v/>
      </c>
    </row>
    <row r="218" spans="70:131" x14ac:dyDescent="0.2">
      <c r="BR218">
        <v>213</v>
      </c>
      <c r="BS218">
        <v>2.0078740157480315</v>
      </c>
      <c r="BT218" s="42">
        <v>5.3145727413021412E-2</v>
      </c>
      <c r="BU218" s="42">
        <v>13</v>
      </c>
      <c r="BV218" s="115">
        <v>0</v>
      </c>
      <c r="BW218" s="115">
        <v>0</v>
      </c>
      <c r="BX218" s="115" t="str">
        <v/>
      </c>
      <c r="BY218" s="115" t="str">
        <v>2σ</v>
      </c>
      <c r="BZ218" s="115"/>
      <c r="CA218" s="115"/>
      <c r="CB218" s="115"/>
      <c r="CC218" s="115"/>
      <c r="CD218" s="115"/>
      <c r="CE218"/>
      <c r="CF218"/>
      <c r="CG218"/>
      <c r="CH218"/>
      <c r="CI218"/>
      <c r="CJ218" s="115"/>
      <c r="CK218" s="115"/>
      <c r="CL218" s="115"/>
      <c r="CM218" s="115"/>
      <c r="CN218" s="115"/>
      <c r="CO218" s="115"/>
      <c r="CP218" s="115"/>
      <c r="CQ218" s="115"/>
      <c r="CR218" s="48"/>
      <c r="CU218" s="42">
        <v>213</v>
      </c>
      <c r="CV218" s="115">
        <v>1</v>
      </c>
      <c r="CW218" s="115">
        <v>1.8192576091040986</v>
      </c>
      <c r="CX218" s="115">
        <v>1.8192576091040986</v>
      </c>
      <c r="CY218" s="115" t="e">
        <v>#N/A</v>
      </c>
      <c r="CZ218" t="e">
        <v>#N/A</v>
      </c>
      <c r="DA218" t="e">
        <v>#N/A</v>
      </c>
      <c r="DB218" t="str">
        <v/>
      </c>
      <c r="DX218">
        <v>213</v>
      </c>
      <c r="DY218">
        <v>6</v>
      </c>
      <c r="DZ218">
        <v>8.8224752287145186E-2</v>
      </c>
      <c r="EA218" t="str">
        <v/>
      </c>
    </row>
    <row r="219" spans="70:131" x14ac:dyDescent="0.2">
      <c r="BR219">
        <v>214</v>
      </c>
      <c r="BS219">
        <v>2.0314960629921259</v>
      </c>
      <c r="BT219" s="42">
        <v>5.0669726347948529E-2</v>
      </c>
      <c r="BU219" s="42">
        <v>13</v>
      </c>
      <c r="BV219" s="115">
        <v>0</v>
      </c>
      <c r="BW219" s="115">
        <v>0</v>
      </c>
      <c r="BX219" s="115" t="str">
        <v/>
      </c>
      <c r="BY219" s="115" t="str">
        <v/>
      </c>
      <c r="BZ219" s="115"/>
      <c r="CA219" s="115"/>
      <c r="CB219" s="115"/>
      <c r="CC219" s="115"/>
      <c r="CD219" s="115"/>
      <c r="CE219"/>
      <c r="CF219"/>
      <c r="CG219"/>
      <c r="CH219"/>
      <c r="CI219"/>
      <c r="CJ219" s="115"/>
      <c r="CK219" s="115"/>
      <c r="CL219" s="115"/>
      <c r="CM219" s="115"/>
      <c r="CN219" s="115"/>
      <c r="CO219" s="115"/>
      <c r="CP219" s="115"/>
      <c r="CQ219" s="115"/>
      <c r="CR219" s="48"/>
      <c r="CU219" s="42">
        <v>214</v>
      </c>
      <c r="CV219" s="115">
        <v>1</v>
      </c>
      <c r="CW219" s="115">
        <v>1.8192576091040986</v>
      </c>
      <c r="CX219" s="115">
        <v>1.8192576091040986</v>
      </c>
      <c r="CY219" s="115" t="e">
        <v>#N/A</v>
      </c>
      <c r="CZ219" t="e">
        <v>#N/A</v>
      </c>
      <c r="DA219" t="e">
        <v>#N/A</v>
      </c>
      <c r="DB219" t="str">
        <v/>
      </c>
      <c r="DX219">
        <v>214</v>
      </c>
      <c r="DY219">
        <v>6</v>
      </c>
      <c r="DZ219">
        <v>8.8224752287145186E-2</v>
      </c>
      <c r="EA219" t="str">
        <v/>
      </c>
    </row>
    <row r="220" spans="70:131" x14ac:dyDescent="0.2">
      <c r="BR220">
        <v>215</v>
      </c>
      <c r="BS220">
        <v>2.0551181102362204</v>
      </c>
      <c r="BT220" s="42">
        <v>4.8282130452103389E-2</v>
      </c>
      <c r="BU220" s="42">
        <v>13</v>
      </c>
      <c r="BV220" s="115">
        <v>0</v>
      </c>
      <c r="BW220" s="115">
        <v>0</v>
      </c>
      <c r="BX220" s="115" t="str">
        <v/>
      </c>
      <c r="BY220" s="115" t="str">
        <v/>
      </c>
      <c r="BZ220" s="115"/>
      <c r="CA220" s="115"/>
      <c r="CB220" s="115"/>
      <c r="CC220" s="115"/>
      <c r="CD220" s="115"/>
      <c r="CE220"/>
      <c r="CF220"/>
      <c r="CG220"/>
      <c r="CH220"/>
      <c r="CI220"/>
      <c r="CJ220" s="115"/>
      <c r="CK220" s="115"/>
      <c r="CL220" s="115"/>
      <c r="CM220" s="115"/>
      <c r="CN220" s="115"/>
      <c r="CO220" s="115"/>
      <c r="CP220" s="115"/>
      <c r="CQ220" s="115"/>
      <c r="CR220" s="48"/>
      <c r="CU220" s="42">
        <v>215</v>
      </c>
      <c r="CV220" s="115">
        <v>1</v>
      </c>
      <c r="CW220" s="115">
        <v>1.8192576091040986</v>
      </c>
      <c r="CX220" s="115">
        <v>1.8192576091040986</v>
      </c>
      <c r="CY220" s="115" t="e">
        <v>#N/A</v>
      </c>
      <c r="CZ220" t="e">
        <v>#N/A</v>
      </c>
      <c r="DA220" t="e">
        <v>#N/A</v>
      </c>
      <c r="DB220" t="str">
        <v/>
      </c>
      <c r="DX220">
        <v>215</v>
      </c>
      <c r="DY220">
        <v>6</v>
      </c>
      <c r="DZ220">
        <v>8.8224752287145186E-2</v>
      </c>
      <c r="EA220" t="str">
        <v/>
      </c>
    </row>
    <row r="221" spans="70:131" x14ac:dyDescent="0.2">
      <c r="BR221">
        <v>216</v>
      </c>
      <c r="BS221">
        <v>2.0787401574803148</v>
      </c>
      <c r="BT221" s="42">
        <v>4.5981375065417315E-2</v>
      </c>
      <c r="BU221" s="42">
        <v>13</v>
      </c>
      <c r="BV221" s="115">
        <v>0</v>
      </c>
      <c r="BW221" s="115">
        <v>0</v>
      </c>
      <c r="BX221" s="115" t="str">
        <v/>
      </c>
      <c r="BY221" s="115" t="str">
        <v/>
      </c>
      <c r="BZ221" s="115"/>
      <c r="CA221" s="115"/>
      <c r="CB221" s="115"/>
      <c r="CC221" s="115"/>
      <c r="CD221" s="115"/>
      <c r="CE221"/>
      <c r="CF221"/>
      <c r="CG221"/>
      <c r="CH221"/>
      <c r="CI221"/>
      <c r="CJ221" s="115"/>
      <c r="CK221" s="115"/>
      <c r="CL221" s="115"/>
      <c r="CM221" s="115"/>
      <c r="CN221" s="115"/>
      <c r="CO221" s="115"/>
      <c r="CP221" s="115"/>
      <c r="CQ221" s="115"/>
      <c r="CR221" s="48"/>
      <c r="CU221" s="42">
        <v>216</v>
      </c>
      <c r="CV221" s="115">
        <v>1</v>
      </c>
      <c r="CW221" s="115">
        <v>1.8192576091040986</v>
      </c>
      <c r="CX221" s="115">
        <v>1.8192576091040986</v>
      </c>
      <c r="CY221" s="115" t="e">
        <v>#N/A</v>
      </c>
      <c r="CZ221" t="e">
        <v>#N/A</v>
      </c>
      <c r="DA221" t="e">
        <v>#N/A</v>
      </c>
      <c r="DB221" t="str">
        <v/>
      </c>
      <c r="DX221">
        <v>216</v>
      </c>
      <c r="DY221">
        <v>6</v>
      </c>
      <c r="DZ221">
        <v>8.8224752287145186E-2</v>
      </c>
      <c r="EA221" t="str">
        <v/>
      </c>
    </row>
    <row r="222" spans="70:131" x14ac:dyDescent="0.2">
      <c r="BR222">
        <v>217</v>
      </c>
      <c r="BS222">
        <v>2.1023622047244093</v>
      </c>
      <c r="BT222" s="42">
        <v>4.3765827808196101E-2</v>
      </c>
      <c r="BU222" s="42">
        <v>13</v>
      </c>
      <c r="BV222" s="115">
        <v>0</v>
      </c>
      <c r="BW222" s="115">
        <v>0</v>
      </c>
      <c r="BX222" s="115" t="str">
        <v/>
      </c>
      <c r="BY222" s="115" t="str">
        <v/>
      </c>
      <c r="BZ222" s="115"/>
      <c r="CA222" s="115"/>
      <c r="CB222" s="115"/>
      <c r="CC222" s="115"/>
      <c r="CD222" s="115"/>
      <c r="CE222"/>
      <c r="CF222"/>
      <c r="CG222"/>
      <c r="CH222"/>
      <c r="CI222"/>
      <c r="CJ222" s="115"/>
      <c r="CK222" s="115"/>
      <c r="CL222" s="115"/>
      <c r="CM222" s="115"/>
      <c r="CN222" s="115"/>
      <c r="CO222" s="115"/>
      <c r="CP222" s="115"/>
      <c r="CQ222" s="115"/>
      <c r="CR222" s="48"/>
      <c r="CU222" s="42">
        <v>217</v>
      </c>
      <c r="CV222" s="115">
        <v>1</v>
      </c>
      <c r="CW222" s="115">
        <v>1.8192576091040986</v>
      </c>
      <c r="CX222" s="115">
        <v>1.8192576091040986</v>
      </c>
      <c r="CY222" s="115" t="e">
        <v>#N/A</v>
      </c>
      <c r="CZ222" t="e">
        <v>#N/A</v>
      </c>
      <c r="DA222" t="e">
        <v>#N/A</v>
      </c>
      <c r="DB222" t="str">
        <v/>
      </c>
      <c r="DX222">
        <v>217</v>
      </c>
      <c r="DY222">
        <v>6</v>
      </c>
      <c r="DZ222">
        <v>8.8224752287145186E-2</v>
      </c>
      <c r="EA222" t="str">
        <v/>
      </c>
    </row>
    <row r="223" spans="70:131" x14ac:dyDescent="0.2">
      <c r="BR223">
        <v>218</v>
      </c>
      <c r="BS223">
        <v>2.1259842519685037</v>
      </c>
      <c r="BT223" s="42">
        <v>4.1633795362021969E-2</v>
      </c>
      <c r="BU223" s="42">
        <v>13</v>
      </c>
      <c r="BV223" s="115">
        <v>0</v>
      </c>
      <c r="BW223" s="115">
        <v>0</v>
      </c>
      <c r="BX223" s="115" t="str">
        <v/>
      </c>
      <c r="BY223" s="115" t="str">
        <v/>
      </c>
      <c r="BZ223" s="115"/>
      <c r="CA223" s="115"/>
      <c r="CB223" s="115"/>
      <c r="CC223" s="115"/>
      <c r="CD223" s="115"/>
      <c r="CE223"/>
      <c r="CF223"/>
      <c r="CG223"/>
      <c r="CH223"/>
      <c r="CI223"/>
      <c r="CJ223" s="115"/>
      <c r="CK223" s="115"/>
      <c r="CL223" s="115"/>
      <c r="CM223" s="115"/>
      <c r="CN223" s="115"/>
      <c r="CO223" s="115"/>
      <c r="CP223" s="115"/>
      <c r="CQ223" s="115"/>
      <c r="CR223" s="48"/>
      <c r="CU223" s="42">
        <v>218</v>
      </c>
      <c r="CV223" s="115">
        <v>1</v>
      </c>
      <c r="CW223" s="115">
        <v>1.8192576091040986</v>
      </c>
      <c r="CX223" s="115">
        <v>1.8192576091040986</v>
      </c>
      <c r="CY223" s="115" t="e">
        <v>#N/A</v>
      </c>
      <c r="CZ223" t="e">
        <v>#N/A</v>
      </c>
      <c r="DA223" t="e">
        <v>#N/A</v>
      </c>
      <c r="DB223" t="str">
        <v/>
      </c>
      <c r="DX223">
        <v>218</v>
      </c>
      <c r="DY223">
        <v>6</v>
      </c>
      <c r="DZ223">
        <v>8.8224752287145186E-2</v>
      </c>
      <c r="EA223" t="str">
        <v/>
      </c>
    </row>
    <row r="224" spans="70:131" x14ac:dyDescent="0.2">
      <c r="BR224">
        <v>219</v>
      </c>
      <c r="BS224">
        <v>2.1496062992125982</v>
      </c>
      <c r="BT224" s="42">
        <v>3.9583530091630813E-2</v>
      </c>
      <c r="BU224" s="42">
        <v>13</v>
      </c>
      <c r="BV224" s="115">
        <v>0</v>
      </c>
      <c r="BW224" s="115">
        <v>0</v>
      </c>
      <c r="BX224" s="115" t="str">
        <v/>
      </c>
      <c r="BY224" s="115" t="str">
        <v/>
      </c>
      <c r="BZ224" s="115"/>
      <c r="CA224" s="115"/>
      <c r="CB224" s="115"/>
      <c r="CC224" s="115"/>
      <c r="CD224" s="115"/>
      <c r="CE224"/>
      <c r="CF224"/>
      <c r="CG224"/>
      <c r="CH224"/>
      <c r="CI224"/>
      <c r="CJ224" s="115"/>
      <c r="CK224" s="115"/>
      <c r="CL224" s="115"/>
      <c r="CM224" s="115"/>
      <c r="CN224" s="115"/>
      <c r="CO224" s="115"/>
      <c r="CP224" s="115"/>
      <c r="CQ224" s="115"/>
      <c r="CR224" s="48"/>
      <c r="CU224" s="42">
        <v>219</v>
      </c>
      <c r="CV224" s="115">
        <v>1</v>
      </c>
      <c r="CW224" s="115">
        <v>1.8192576091040986</v>
      </c>
      <c r="CX224" s="115">
        <v>1.8192576091040986</v>
      </c>
      <c r="CY224" s="115" t="e">
        <v>#N/A</v>
      </c>
      <c r="CZ224" t="e">
        <v>#N/A</v>
      </c>
      <c r="DA224" t="e">
        <v>#N/A</v>
      </c>
      <c r="DB224" t="str">
        <v/>
      </c>
      <c r="DX224">
        <v>219</v>
      </c>
      <c r="DY224">
        <v>6</v>
      </c>
      <c r="DZ224">
        <v>8.8224752287145186E-2</v>
      </c>
      <c r="EA224" t="str">
        <v/>
      </c>
    </row>
    <row r="225" spans="70:131" x14ac:dyDescent="0.2">
      <c r="BR225">
        <v>220</v>
      </c>
      <c r="BS225">
        <v>2.1732283464566926</v>
      </c>
      <c r="BT225" s="42">
        <v>3.7613236493806407E-2</v>
      </c>
      <c r="BU225" s="42">
        <v>13</v>
      </c>
      <c r="BV225" s="115">
        <v>0</v>
      </c>
      <c r="BW225" s="115">
        <v>0</v>
      </c>
      <c r="BX225" s="115" t="str">
        <v/>
      </c>
      <c r="BY225" s="115" t="str">
        <v/>
      </c>
      <c r="BZ225" s="115"/>
      <c r="CA225" s="115"/>
      <c r="CB225" s="115"/>
      <c r="CC225" s="115"/>
      <c r="CD225" s="115"/>
      <c r="CE225"/>
      <c r="CF225"/>
      <c r="CG225"/>
      <c r="CH225"/>
      <c r="CI225"/>
      <c r="CJ225" s="115"/>
      <c r="CK225" s="115"/>
      <c r="CL225" s="115"/>
      <c r="CM225" s="115"/>
      <c r="CN225" s="115"/>
      <c r="CO225" s="115"/>
      <c r="CP225" s="115"/>
      <c r="CQ225" s="115"/>
      <c r="CR225" s="48"/>
      <c r="CU225" s="42">
        <v>220</v>
      </c>
      <c r="CV225" s="115">
        <v>1</v>
      </c>
      <c r="CW225" s="115">
        <v>1.8192576091040986</v>
      </c>
      <c r="CX225" s="115">
        <v>1.8192576091040986</v>
      </c>
      <c r="CY225" s="115" t="e">
        <v>#N/A</v>
      </c>
      <c r="CZ225" t="e">
        <v>#N/A</v>
      </c>
      <c r="DA225" t="e">
        <v>#N/A</v>
      </c>
      <c r="DB225" t="str">
        <v/>
      </c>
      <c r="DX225">
        <v>220</v>
      </c>
      <c r="DY225">
        <v>6</v>
      </c>
      <c r="DZ225">
        <v>8.8224752287145186E-2</v>
      </c>
      <c r="EA225" t="str">
        <v/>
      </c>
    </row>
    <row r="226" spans="70:131" x14ac:dyDescent="0.2">
      <c r="BR226">
        <v>221</v>
      </c>
      <c r="BS226">
        <v>2.1968503937007871</v>
      </c>
      <c r="BT226" s="42">
        <v>3.5721077460667591E-2</v>
      </c>
      <c r="BU226" s="42">
        <v>13</v>
      </c>
      <c r="BV226" s="115">
        <v>0</v>
      </c>
      <c r="BW226" s="115">
        <v>0</v>
      </c>
      <c r="BX226" s="115" t="str">
        <v/>
      </c>
      <c r="BY226" s="115" t="str">
        <v/>
      </c>
      <c r="BZ226" s="115"/>
      <c r="CA226" s="115"/>
      <c r="CB226" s="115"/>
      <c r="CC226" s="115"/>
      <c r="CD226" s="115"/>
      <c r="CE226"/>
      <c r="CF226"/>
      <c r="CG226"/>
      <c r="CH226"/>
      <c r="CI226"/>
      <c r="CJ226" s="115"/>
      <c r="CK226" s="115"/>
      <c r="CL226" s="115"/>
      <c r="CM226" s="115"/>
      <c r="CN226" s="115"/>
      <c r="CO226" s="115"/>
      <c r="CP226" s="115"/>
      <c r="CQ226" s="115"/>
      <c r="CR226" s="48"/>
      <c r="CU226" s="42">
        <v>221</v>
      </c>
      <c r="CV226" s="115">
        <v>1</v>
      </c>
      <c r="CW226" s="115">
        <v>1.8192576091040986</v>
      </c>
      <c r="CX226" s="115">
        <v>1.8192576091040986</v>
      </c>
      <c r="CY226" s="115" t="e">
        <v>#N/A</v>
      </c>
      <c r="CZ226" t="e">
        <v>#N/A</v>
      </c>
      <c r="DA226" t="e">
        <v>#N/A</v>
      </c>
      <c r="DB226" t="str">
        <v/>
      </c>
      <c r="DX226">
        <v>221</v>
      </c>
      <c r="DY226">
        <v>6</v>
      </c>
      <c r="DZ226">
        <v>8.8224752287145186E-2</v>
      </c>
      <c r="EA226" t="str">
        <v/>
      </c>
    </row>
    <row r="227" spans="70:131" x14ac:dyDescent="0.2">
      <c r="BR227">
        <v>222</v>
      </c>
      <c r="BS227">
        <v>2.2204724409448815</v>
      </c>
      <c r="BT227" s="42">
        <v>3.3905180346050147E-2</v>
      </c>
      <c r="BU227" s="42">
        <v>14</v>
      </c>
      <c r="BV227" s="115">
        <v>1</v>
      </c>
      <c r="BW227" s="115">
        <v>0.20697755624177352</v>
      </c>
      <c r="BX227" s="115">
        <v>11.33</v>
      </c>
      <c r="BY227" s="115" t="str">
        <v/>
      </c>
      <c r="BZ227" s="115"/>
      <c r="CA227" s="115"/>
      <c r="CB227" s="115"/>
      <c r="CC227" s="115"/>
      <c r="CD227" s="115"/>
      <c r="CE227"/>
      <c r="CF227"/>
      <c r="CG227"/>
      <c r="CH227"/>
      <c r="CI227"/>
      <c r="CJ227" s="115"/>
      <c r="CK227" s="115"/>
      <c r="CL227" s="115"/>
      <c r="CM227" s="115"/>
      <c r="CN227" s="115"/>
      <c r="CO227" s="115"/>
      <c r="CP227" s="115"/>
      <c r="CQ227" s="115"/>
      <c r="CR227" s="48"/>
      <c r="CU227" s="42">
        <v>222</v>
      </c>
      <c r="CV227" s="115">
        <v>1</v>
      </c>
      <c r="CW227" s="115">
        <v>1.8192576091040986</v>
      </c>
      <c r="CX227" s="115">
        <v>1.8192576091040986</v>
      </c>
      <c r="CY227" s="115" t="e">
        <v>#N/A</v>
      </c>
      <c r="CZ227" t="e">
        <v>#N/A</v>
      </c>
      <c r="DA227" t="e">
        <v>#N/A</v>
      </c>
      <c r="DB227" t="str">
        <v/>
      </c>
      <c r="DX227">
        <v>222</v>
      </c>
      <c r="DY227">
        <v>6</v>
      </c>
      <c r="DZ227">
        <v>8.8224752287145186E-2</v>
      </c>
      <c r="EA227" t="str">
        <v/>
      </c>
    </row>
    <row r="228" spans="70:131" x14ac:dyDescent="0.2">
      <c r="BR228">
        <v>223</v>
      </c>
      <c r="BS228">
        <v>2.2440944881889759</v>
      </c>
      <c r="BT228" s="42">
        <v>3.2163642824992462E-2</v>
      </c>
      <c r="BU228" s="42">
        <v>14</v>
      </c>
      <c r="BV228" s="115">
        <v>1</v>
      </c>
      <c r="BW228" s="115">
        <v>0.20697755624177352</v>
      </c>
      <c r="BX228" s="115" t="str">
        <v/>
      </c>
      <c r="BY228" s="115" t="str">
        <v/>
      </c>
      <c r="BZ228" s="115"/>
      <c r="CA228" s="115"/>
      <c r="CB228" s="115"/>
      <c r="CC228" s="115"/>
      <c r="CD228" s="115"/>
      <c r="CE228"/>
      <c r="CF228"/>
      <c r="CG228"/>
      <c r="CH228"/>
      <c r="CI228"/>
      <c r="CJ228" s="115"/>
      <c r="CK228" s="115"/>
      <c r="CL228" s="115"/>
      <c r="CM228" s="115"/>
      <c r="CN228" s="115"/>
      <c r="CO228" s="115"/>
      <c r="CP228" s="115"/>
      <c r="CQ228" s="115"/>
      <c r="CR228" s="48"/>
      <c r="CU228" s="42">
        <v>223</v>
      </c>
      <c r="CV228" s="115">
        <v>1</v>
      </c>
      <c r="CW228" s="115">
        <v>1.8192576091040986</v>
      </c>
      <c r="CX228" s="115">
        <v>1.8192576091040986</v>
      </c>
      <c r="CY228" s="115" t="e">
        <v>#N/A</v>
      </c>
      <c r="CZ228" t="e">
        <v>#N/A</v>
      </c>
      <c r="DA228" t="e">
        <v>#N/A</v>
      </c>
      <c r="DB228" t="str">
        <v/>
      </c>
      <c r="DX228">
        <v>223</v>
      </c>
      <c r="DY228">
        <v>6</v>
      </c>
      <c r="DZ228">
        <v>8.8224752287145186E-2</v>
      </c>
      <c r="EA228" t="str">
        <v/>
      </c>
    </row>
    <row r="229" spans="70:131" x14ac:dyDescent="0.2">
      <c r="BR229">
        <v>224</v>
      </c>
      <c r="BS229">
        <v>2.2677165354330704</v>
      </c>
      <c r="BT229" s="42">
        <v>3.0494538537622302E-2</v>
      </c>
      <c r="BU229" s="42">
        <v>14</v>
      </c>
      <c r="BV229" s="115">
        <v>1</v>
      </c>
      <c r="BW229" s="115">
        <v>0.20697755624177352</v>
      </c>
      <c r="BX229" s="115" t="str">
        <v/>
      </c>
      <c r="BY229" s="115" t="str">
        <v/>
      </c>
      <c r="BZ229" s="115"/>
      <c r="CA229" s="115"/>
      <c r="CB229" s="115"/>
      <c r="CC229" s="115"/>
      <c r="CD229" s="115"/>
      <c r="CE229"/>
      <c r="CF229"/>
      <c r="CG229"/>
      <c r="CH229"/>
      <c r="CI229"/>
      <c r="CJ229" s="115"/>
      <c r="CK229" s="115"/>
      <c r="CL229" s="115"/>
      <c r="CM229" s="115"/>
      <c r="CN229" s="115"/>
      <c r="CO229" s="115"/>
      <c r="CP229" s="115"/>
      <c r="CQ229" s="115"/>
      <c r="CR229" s="48"/>
      <c r="CU229" s="42">
        <v>224</v>
      </c>
      <c r="CV229" s="115">
        <v>1</v>
      </c>
      <c r="CW229" s="115">
        <v>1.8192576091040986</v>
      </c>
      <c r="CX229" s="115">
        <v>1.8192576091040986</v>
      </c>
      <c r="CY229" s="115" t="e">
        <v>#N/A</v>
      </c>
      <c r="CZ229" t="e">
        <v>#N/A</v>
      </c>
      <c r="DA229" t="e">
        <v>#N/A</v>
      </c>
      <c r="DB229" t="str">
        <v/>
      </c>
      <c r="DX229">
        <v>224</v>
      </c>
      <c r="DY229">
        <v>6</v>
      </c>
      <c r="DZ229">
        <v>8.8224752287145186E-2</v>
      </c>
      <c r="EA229" t="str">
        <v/>
      </c>
    </row>
    <row r="230" spans="70:131" x14ac:dyDescent="0.2">
      <c r="BR230">
        <v>225</v>
      </c>
      <c r="BS230">
        <v>2.2913385826771648</v>
      </c>
      <c r="BT230" s="42">
        <v>2.8895922510000935E-2</v>
      </c>
      <c r="BU230" s="42">
        <v>14</v>
      </c>
      <c r="BV230" s="115">
        <v>1</v>
      </c>
      <c r="BW230" s="115">
        <v>0.20697755624177352</v>
      </c>
      <c r="BX230" s="115" t="str">
        <v/>
      </c>
      <c r="BY230" s="115" t="str">
        <v/>
      </c>
      <c r="BZ230" s="115"/>
      <c r="CA230" s="115"/>
      <c r="CB230" s="115"/>
      <c r="CC230" s="115"/>
      <c r="CD230" s="115"/>
      <c r="CE230"/>
      <c r="CF230"/>
      <c r="CG230"/>
      <c r="CH230"/>
      <c r="CI230"/>
      <c r="CJ230" s="115"/>
      <c r="CK230" s="115"/>
      <c r="CL230" s="115"/>
      <c r="CM230" s="115"/>
      <c r="CN230" s="115"/>
      <c r="CO230" s="115"/>
      <c r="CP230" s="115"/>
      <c r="CQ230" s="115"/>
      <c r="CR230" s="48"/>
      <c r="CU230" s="42">
        <v>225</v>
      </c>
      <c r="CV230" s="115">
        <v>1</v>
      </c>
      <c r="CW230" s="115">
        <v>1.8192576091040986</v>
      </c>
      <c r="CX230" s="115">
        <v>1.8192576091040986</v>
      </c>
      <c r="CY230" s="115" t="e">
        <v>#N/A</v>
      </c>
      <c r="CZ230" t="e">
        <v>#N/A</v>
      </c>
      <c r="DA230" t="e">
        <v>#N/A</v>
      </c>
      <c r="DB230" t="str">
        <v/>
      </c>
      <c r="DX230">
        <v>225</v>
      </c>
      <c r="DY230">
        <v>6</v>
      </c>
      <c r="DZ230">
        <v>8.8224752287145186E-2</v>
      </c>
      <c r="EA230" t="str">
        <v/>
      </c>
    </row>
    <row r="231" spans="70:131" x14ac:dyDescent="0.2">
      <c r="BR231">
        <v>226</v>
      </c>
      <c r="BS231">
        <v>2.3149606299212602</v>
      </c>
      <c r="BT231" s="42">
        <v>2.7365836345710208E-2</v>
      </c>
      <c r="BU231" s="42">
        <v>14</v>
      </c>
      <c r="BV231" s="115">
        <v>1</v>
      </c>
      <c r="BW231" s="115">
        <v>0.20697755624177352</v>
      </c>
      <c r="BX231" s="115" t="str">
        <v/>
      </c>
      <c r="BY231" s="115" t="str">
        <v/>
      </c>
      <c r="BZ231" s="115"/>
      <c r="CA231" s="115"/>
      <c r="CB231" s="115"/>
      <c r="CC231" s="115"/>
      <c r="CD231" s="115"/>
      <c r="CE231"/>
      <c r="CF231"/>
      <c r="CG231"/>
      <c r="CH231"/>
      <c r="CI231"/>
      <c r="CJ231" s="115"/>
      <c r="CK231" s="115"/>
      <c r="CL231" s="115"/>
      <c r="CM231" s="115"/>
      <c r="CN231" s="115"/>
      <c r="CO231" s="115"/>
      <c r="CP231" s="115"/>
      <c r="CQ231" s="115"/>
      <c r="CR231" s="48"/>
      <c r="CU231" s="42">
        <v>226</v>
      </c>
      <c r="CV231" s="115">
        <v>1</v>
      </c>
      <c r="CW231" s="115">
        <v>1.8192576091040986</v>
      </c>
      <c r="CX231" s="115">
        <v>1.8192576091040986</v>
      </c>
      <c r="CY231" s="115" t="e">
        <v>#N/A</v>
      </c>
      <c r="CZ231" t="e">
        <v>#N/A</v>
      </c>
      <c r="DA231" t="e">
        <v>#N/A</v>
      </c>
      <c r="DB231" t="str">
        <v/>
      </c>
      <c r="DX231">
        <v>226</v>
      </c>
      <c r="DY231">
        <v>6</v>
      </c>
      <c r="DZ231">
        <v>8.8224752287145186E-2</v>
      </c>
      <c r="EA231" t="str">
        <v/>
      </c>
    </row>
    <row r="232" spans="70:131" x14ac:dyDescent="0.2">
      <c r="BR232">
        <v>227</v>
      </c>
      <c r="BS232">
        <v>2.3385826771653546</v>
      </c>
      <c r="BT232" s="42">
        <v>2.5902313183160039E-2</v>
      </c>
      <c r="BU232" s="42">
        <v>14</v>
      </c>
      <c r="BV232" s="115">
        <v>1</v>
      </c>
      <c r="BW232" s="115">
        <v>0.20697755624177352</v>
      </c>
      <c r="BX232" s="115" t="str">
        <v/>
      </c>
      <c r="BY232" s="115" t="str">
        <v/>
      </c>
      <c r="BZ232" s="115"/>
      <c r="CA232" s="115"/>
      <c r="CB232" s="115"/>
      <c r="CC232" s="115"/>
      <c r="CD232" s="115"/>
      <c r="CE232"/>
      <c r="CF232"/>
      <c r="CG232"/>
      <c r="CH232"/>
      <c r="CI232"/>
      <c r="CJ232" s="115"/>
      <c r="CK232" s="115"/>
      <c r="CL232" s="115"/>
      <c r="CM232" s="115"/>
      <c r="CN232" s="115"/>
      <c r="CO232" s="115"/>
      <c r="CP232" s="115"/>
      <c r="CQ232" s="115"/>
      <c r="CR232" s="48"/>
      <c r="CU232" s="42">
        <v>227</v>
      </c>
      <c r="CV232" s="115">
        <v>1</v>
      </c>
      <c r="CW232" s="115">
        <v>1.8192576091040986</v>
      </c>
      <c r="CX232" s="115">
        <v>1.8192576091040986</v>
      </c>
      <c r="CY232" s="115" t="e">
        <v>#N/A</v>
      </c>
      <c r="CZ232" t="e">
        <v>#N/A</v>
      </c>
      <c r="DA232" t="e">
        <v>#N/A</v>
      </c>
      <c r="DB232" t="str">
        <v/>
      </c>
      <c r="DX232">
        <v>227</v>
      </c>
      <c r="DY232">
        <v>6</v>
      </c>
      <c r="DZ232">
        <v>8.8224752287145186E-2</v>
      </c>
      <c r="EA232" t="str">
        <v/>
      </c>
    </row>
    <row r="233" spans="70:131" x14ac:dyDescent="0.2">
      <c r="BR233">
        <v>228</v>
      </c>
      <c r="BS233">
        <v>2.3622047244094491</v>
      </c>
      <c r="BT233" s="42">
        <v>2.4503382414745537E-2</v>
      </c>
      <c r="BU233" s="42">
        <v>14</v>
      </c>
      <c r="BV233" s="115">
        <v>1</v>
      </c>
      <c r="BW233" s="115">
        <v>0.20697755624177352</v>
      </c>
      <c r="BX233" s="115" t="str">
        <v/>
      </c>
      <c r="BY233" s="115" t="str">
        <v/>
      </c>
      <c r="BZ233" s="115"/>
      <c r="CA233" s="115"/>
      <c r="CB233" s="115"/>
      <c r="CC233" s="115"/>
      <c r="CD233" s="115"/>
      <c r="CE233"/>
      <c r="CF233"/>
      <c r="CG233"/>
      <c r="CH233"/>
      <c r="CI233"/>
      <c r="CJ233" s="115"/>
      <c r="CK233" s="115"/>
      <c r="CL233" s="115"/>
      <c r="CM233" s="115"/>
      <c r="CN233" s="115"/>
      <c r="CO233" s="115"/>
      <c r="CP233" s="115"/>
      <c r="CQ233" s="115"/>
      <c r="CR233" s="48"/>
      <c r="CU233" s="42">
        <v>228</v>
      </c>
      <c r="CV233" s="115">
        <v>1</v>
      </c>
      <c r="CW233" s="115">
        <v>1.8192576091040986</v>
      </c>
      <c r="CX233" s="115">
        <v>1.8192576091040986</v>
      </c>
      <c r="CY233" s="115" t="e">
        <v>#N/A</v>
      </c>
      <c r="CZ233" t="e">
        <v>#N/A</v>
      </c>
      <c r="DA233" t="e">
        <v>#N/A</v>
      </c>
      <c r="DB233" t="str">
        <v/>
      </c>
      <c r="DX233">
        <v>228</v>
      </c>
      <c r="DY233">
        <v>6</v>
      </c>
      <c r="DZ233">
        <v>8.8224752287145186E-2</v>
      </c>
      <c r="EA233" t="str">
        <v/>
      </c>
    </row>
    <row r="234" spans="70:131" x14ac:dyDescent="0.2">
      <c r="BR234">
        <v>229</v>
      </c>
      <c r="BS234">
        <v>2.3858267716535435</v>
      </c>
      <c r="BT234" s="42">
        <v>2.3167074165093303E-2</v>
      </c>
      <c r="BU234" s="42">
        <v>14</v>
      </c>
      <c r="BV234" s="115">
        <v>1</v>
      </c>
      <c r="BW234" s="115">
        <v>0.20697755624177352</v>
      </c>
      <c r="BX234" s="115" t="str">
        <v/>
      </c>
      <c r="BY234" s="115" t="str">
        <v/>
      </c>
      <c r="BZ234" s="115"/>
      <c r="CA234" s="115"/>
      <c r="CB234" s="115"/>
      <c r="CC234" s="115"/>
      <c r="CD234" s="115"/>
      <c r="CE234"/>
      <c r="CF234"/>
      <c r="CG234"/>
      <c r="CH234"/>
      <c r="CI234"/>
      <c r="CJ234" s="115"/>
      <c r="CK234" s="115"/>
      <c r="CL234" s="115"/>
      <c r="CM234" s="115"/>
      <c r="CN234" s="115"/>
      <c r="CO234" s="115"/>
      <c r="CP234" s="115"/>
      <c r="CQ234" s="115"/>
      <c r="CR234" s="48"/>
      <c r="CU234" s="42">
        <v>229</v>
      </c>
      <c r="CV234" s="115">
        <v>1</v>
      </c>
      <c r="CW234" s="115">
        <v>1.8192576091040986</v>
      </c>
      <c r="CX234" s="115">
        <v>1.8192576091040986</v>
      </c>
      <c r="CY234" s="115" t="e">
        <v>#N/A</v>
      </c>
      <c r="CZ234" t="e">
        <v>#N/A</v>
      </c>
      <c r="DA234" t="e">
        <v>#N/A</v>
      </c>
      <c r="DB234" t="str">
        <v/>
      </c>
      <c r="DX234">
        <v>229</v>
      </c>
      <c r="DY234">
        <v>6</v>
      </c>
      <c r="DZ234">
        <v>8.8224752287145186E-2</v>
      </c>
      <c r="EA234" t="str">
        <v/>
      </c>
    </row>
    <row r="235" spans="70:131" x14ac:dyDescent="0.2">
      <c r="BR235">
        <v>230</v>
      </c>
      <c r="BS235">
        <v>2.409448818897638</v>
      </c>
      <c r="BT235" s="42">
        <v>2.1891423526696506E-2</v>
      </c>
      <c r="BU235" s="42">
        <v>14</v>
      </c>
      <c r="BV235" s="115">
        <v>1</v>
      </c>
      <c r="BW235" s="115">
        <v>0.20697755624177352</v>
      </c>
      <c r="BX235" s="115" t="str">
        <v/>
      </c>
      <c r="BY235" s="115" t="str">
        <v/>
      </c>
      <c r="BZ235" s="115"/>
      <c r="CA235" s="115"/>
      <c r="CB235" s="115"/>
      <c r="CC235" s="115"/>
      <c r="CD235" s="115"/>
      <c r="CE235"/>
      <c r="CF235"/>
      <c r="CG235"/>
      <c r="CH235"/>
      <c r="CI235"/>
      <c r="CJ235" s="115"/>
      <c r="CK235" s="115"/>
      <c r="CL235" s="115"/>
      <c r="CM235" s="115"/>
      <c r="CN235" s="115"/>
      <c r="CO235" s="115"/>
      <c r="CP235" s="115"/>
      <c r="CQ235" s="115"/>
      <c r="CR235" s="48"/>
      <c r="CU235" s="42">
        <v>230</v>
      </c>
      <c r="CV235" s="115">
        <v>1</v>
      </c>
      <c r="CW235" s="115">
        <v>1.8192576091040986</v>
      </c>
      <c r="CX235" s="115">
        <v>1.8192576091040986</v>
      </c>
      <c r="CY235" s="115" t="e">
        <v>#N/A</v>
      </c>
      <c r="CZ235" t="e">
        <v>#N/A</v>
      </c>
      <c r="DA235" t="e">
        <v>#N/A</v>
      </c>
      <c r="DB235" t="str">
        <v/>
      </c>
      <c r="DX235">
        <v>230</v>
      </c>
      <c r="DY235">
        <v>6</v>
      </c>
      <c r="DZ235">
        <v>8.8224752287145186E-2</v>
      </c>
      <c r="EA235" t="str">
        <v/>
      </c>
    </row>
    <row r="236" spans="70:131" x14ac:dyDescent="0.2">
      <c r="BR236">
        <v>231</v>
      </c>
      <c r="BS236">
        <v>2.4330708661417324</v>
      </c>
      <c r="BT236" s="42">
        <v>2.0674474552252395E-2</v>
      </c>
      <c r="BU236" s="42">
        <v>14</v>
      </c>
      <c r="BV236" s="115">
        <v>1</v>
      </c>
      <c r="BW236" s="115">
        <v>0.20697755624177352</v>
      </c>
      <c r="BX236" s="115" t="str">
        <v/>
      </c>
      <c r="BY236" s="115" t="str">
        <v/>
      </c>
      <c r="BZ236" s="115"/>
      <c r="CA236" s="115"/>
      <c r="CB236" s="115"/>
      <c r="CC236" s="115"/>
      <c r="CD236" s="115"/>
      <c r="CE236"/>
      <c r="CF236"/>
      <c r="CG236"/>
      <c r="CH236"/>
      <c r="CI236"/>
      <c r="CJ236" s="115"/>
      <c r="CK236" s="115"/>
      <c r="CL236" s="115"/>
      <c r="CM236" s="115"/>
      <c r="CN236" s="115"/>
      <c r="CO236" s="115"/>
      <c r="CP236" s="115"/>
      <c r="CQ236" s="115"/>
      <c r="CR236" s="48"/>
      <c r="CU236" s="42">
        <v>231</v>
      </c>
      <c r="CV236" s="115">
        <v>1</v>
      </c>
      <c r="CW236" s="115">
        <v>1.8192576091040986</v>
      </c>
      <c r="CX236" s="115">
        <v>1.8192576091040986</v>
      </c>
      <c r="CY236" s="115" t="e">
        <v>#N/A</v>
      </c>
      <c r="CZ236" t="e">
        <v>#N/A</v>
      </c>
      <c r="DA236" t="e">
        <v>#N/A</v>
      </c>
      <c r="DB236" t="str">
        <v/>
      </c>
      <c r="DX236">
        <v>231</v>
      </c>
      <c r="DY236">
        <v>6</v>
      </c>
      <c r="DZ236">
        <v>8.8224752287145186E-2</v>
      </c>
      <c r="EA236" t="str">
        <v/>
      </c>
    </row>
    <row r="237" spans="70:131" x14ac:dyDescent="0.2">
      <c r="BR237">
        <v>232</v>
      </c>
      <c r="BS237">
        <v>2.4566929133858268</v>
      </c>
      <c r="BT237" s="42">
        <v>1.9514284003976069E-2</v>
      </c>
      <c r="BU237" s="42">
        <v>14</v>
      </c>
      <c r="BV237" s="115">
        <v>1</v>
      </c>
      <c r="BW237" s="115">
        <v>0.20697755624177352</v>
      </c>
      <c r="BX237" s="115" t="str">
        <v/>
      </c>
      <c r="BY237" s="115" t="str">
        <v/>
      </c>
      <c r="BZ237" s="115"/>
      <c r="CA237" s="115"/>
      <c r="CB237" s="115"/>
      <c r="CC237" s="115"/>
      <c r="CD237" s="115"/>
      <c r="CE237"/>
      <c r="CF237"/>
      <c r="CG237"/>
      <c r="CH237"/>
      <c r="CI237"/>
      <c r="CJ237" s="115"/>
      <c r="CK237" s="115"/>
      <c r="CL237" s="115"/>
      <c r="CM237" s="115"/>
      <c r="CN237" s="115"/>
      <c r="CO237" s="115"/>
      <c r="CP237" s="115"/>
      <c r="CQ237" s="115"/>
      <c r="CR237" s="48"/>
      <c r="CU237" s="42">
        <v>232</v>
      </c>
      <c r="CV237" s="115">
        <v>1</v>
      </c>
      <c r="CW237" s="115">
        <v>1.8192576091040986</v>
      </c>
      <c r="CX237" s="115">
        <v>1.8192576091040986</v>
      </c>
      <c r="CY237" s="115" t="e">
        <v>#N/A</v>
      </c>
      <c r="CZ237" t="e">
        <v>#N/A</v>
      </c>
      <c r="DA237" t="e">
        <v>#N/A</v>
      </c>
      <c r="DB237" t="str">
        <v/>
      </c>
      <c r="DX237">
        <v>232</v>
      </c>
      <c r="DY237">
        <v>6</v>
      </c>
      <c r="DZ237">
        <v>8.8224752287145186E-2</v>
      </c>
      <c r="EA237" t="str">
        <v/>
      </c>
    </row>
    <row r="238" spans="70:131" x14ac:dyDescent="0.2">
      <c r="BR238">
        <v>233</v>
      </c>
      <c r="BS238">
        <v>2.4803149606299213</v>
      </c>
      <c r="BT238" s="42">
        <v>1.840892486107203E-2</v>
      </c>
      <c r="BU238" s="42">
        <v>14</v>
      </c>
      <c r="BV238" s="115">
        <v>1</v>
      </c>
      <c r="BW238" s="115">
        <v>0.20697755624177352</v>
      </c>
      <c r="BX238" s="115" t="str">
        <v/>
      </c>
      <c r="BY238" s="115" t="str">
        <v/>
      </c>
      <c r="BZ238" s="115"/>
      <c r="CA238" s="115"/>
      <c r="CB238" s="115"/>
      <c r="CC238" s="115"/>
      <c r="CD238" s="115"/>
      <c r="CE238"/>
      <c r="CF238"/>
      <c r="CG238"/>
      <c r="CH238"/>
      <c r="CI238"/>
      <c r="CJ238" s="115"/>
      <c r="CK238" s="115"/>
      <c r="CL238" s="115"/>
      <c r="CM238" s="115"/>
      <c r="CN238" s="115"/>
      <c r="CO238" s="115"/>
      <c r="CP238" s="115"/>
      <c r="CQ238" s="115"/>
      <c r="CR238" s="48"/>
      <c r="CU238" s="42">
        <v>233</v>
      </c>
      <c r="CV238" s="115">
        <v>1</v>
      </c>
      <c r="CW238" s="115">
        <v>1.8192576091040986</v>
      </c>
      <c r="CX238" s="115">
        <v>1.8192576091040986</v>
      </c>
      <c r="CY238" s="115" t="e">
        <v>#N/A</v>
      </c>
      <c r="CZ238" t="e">
        <v>#N/A</v>
      </c>
      <c r="DA238" t="e">
        <v>#N/A</v>
      </c>
      <c r="DB238" t="str">
        <v/>
      </c>
      <c r="DX238">
        <v>233</v>
      </c>
      <c r="DY238">
        <v>6</v>
      </c>
      <c r="DZ238">
        <v>8.8224752287145186E-2</v>
      </c>
      <c r="EA238" t="str">
        <v/>
      </c>
    </row>
    <row r="239" spans="70:131" x14ac:dyDescent="0.2">
      <c r="BR239">
        <v>234</v>
      </c>
      <c r="BS239">
        <v>2.5039370078740157</v>
      </c>
      <c r="BT239" s="42">
        <v>1.7356489587397227E-2</v>
      </c>
      <c r="BU239" s="42">
        <v>14</v>
      </c>
      <c r="BV239" s="115">
        <v>1</v>
      </c>
      <c r="BW239" s="115">
        <v>0.20697755624177352</v>
      </c>
      <c r="BX239" s="115" t="str">
        <v/>
      </c>
      <c r="BY239" s="115" t="str">
        <v/>
      </c>
      <c r="BZ239" s="115"/>
      <c r="CA239" s="115"/>
      <c r="CB239" s="115"/>
      <c r="CC239" s="115"/>
      <c r="CD239" s="115"/>
      <c r="CE239"/>
      <c r="CF239"/>
      <c r="CG239"/>
      <c r="CH239"/>
      <c r="CI239"/>
      <c r="CJ239" s="115"/>
      <c r="CK239" s="115"/>
      <c r="CL239" s="115"/>
      <c r="CM239" s="115"/>
      <c r="CN239" s="115"/>
      <c r="CO239" s="115"/>
      <c r="CP239" s="115"/>
      <c r="CQ239" s="115"/>
      <c r="CR239" s="48"/>
      <c r="CU239" s="42">
        <v>234</v>
      </c>
      <c r="CV239" s="115">
        <v>1</v>
      </c>
      <c r="CW239" s="115">
        <v>1.8192576091040986</v>
      </c>
      <c r="CX239" s="115">
        <v>1.8192576091040986</v>
      </c>
      <c r="CY239" s="115" t="e">
        <v>#N/A</v>
      </c>
      <c r="CZ239" t="e">
        <v>#N/A</v>
      </c>
      <c r="DA239" t="e">
        <v>#N/A</v>
      </c>
      <c r="DB239" t="str">
        <v/>
      </c>
      <c r="DX239">
        <v>234</v>
      </c>
      <c r="DY239">
        <v>6</v>
      </c>
      <c r="DZ239">
        <v>8.8224752287145186E-2</v>
      </c>
      <c r="EA239" t="str">
        <v/>
      </c>
    </row>
    <row r="240" spans="70:131" x14ac:dyDescent="0.2">
      <c r="BR240">
        <v>235</v>
      </c>
      <c r="BS240">
        <v>2.5275590551181102</v>
      </c>
      <c r="BT240" s="42">
        <v>1.6355093162145264E-2</v>
      </c>
      <c r="BU240" s="42">
        <v>14</v>
      </c>
      <c r="BV240" s="115">
        <v>1</v>
      </c>
      <c r="BW240" s="115">
        <v>0.20697755624177352</v>
      </c>
      <c r="BX240" s="115" t="str">
        <v/>
      </c>
      <c r="BY240" s="115" t="str">
        <v/>
      </c>
      <c r="BZ240" s="115"/>
      <c r="CA240" s="115"/>
      <c r="CB240" s="115"/>
      <c r="CC240" s="115"/>
      <c r="CD240" s="115"/>
      <c r="CE240"/>
      <c r="CF240"/>
      <c r="CG240"/>
      <c r="CH240"/>
      <c r="CI240"/>
      <c r="CJ240" s="115"/>
      <c r="CK240" s="115"/>
      <c r="CL240" s="115"/>
      <c r="CM240" s="115"/>
      <c r="CN240" s="115"/>
      <c r="CO240" s="115"/>
      <c r="CP240" s="115"/>
      <c r="CQ240" s="115"/>
      <c r="CR240" s="48"/>
      <c r="CU240" s="42">
        <v>235</v>
      </c>
      <c r="CV240" s="115">
        <v>1</v>
      </c>
      <c r="CW240" s="115">
        <v>1.8192576091040986</v>
      </c>
      <c r="CX240" s="115">
        <v>1.8192576091040986</v>
      </c>
      <c r="CY240" s="115" t="e">
        <v>#N/A</v>
      </c>
      <c r="CZ240" t="e">
        <v>#N/A</v>
      </c>
      <c r="DA240" t="e">
        <v>#N/A</v>
      </c>
      <c r="DB240" t="str">
        <v/>
      </c>
      <c r="DX240">
        <v>235</v>
      </c>
      <c r="DY240">
        <v>6</v>
      </c>
      <c r="DZ240">
        <v>8.8224752287145186E-2</v>
      </c>
      <c r="EA240" t="str">
        <v/>
      </c>
    </row>
    <row r="241" spans="70:131" x14ac:dyDescent="0.2">
      <c r="BR241">
        <v>236</v>
      </c>
      <c r="BS241">
        <v>2.5511811023622046</v>
      </c>
      <c r="BT241" s="42">
        <v>1.54028758771209E-2</v>
      </c>
      <c r="BU241" s="42">
        <v>14</v>
      </c>
      <c r="BV241" s="115">
        <v>1</v>
      </c>
      <c r="BW241" s="115">
        <v>0.20697755624177352</v>
      </c>
      <c r="BX241" s="115" t="str">
        <v/>
      </c>
      <c r="BY241" s="115" t="str">
        <v/>
      </c>
      <c r="BZ241" s="115"/>
      <c r="CA241" s="115"/>
      <c r="CB241" s="115"/>
      <c r="CC241" s="115"/>
      <c r="CD241" s="115"/>
      <c r="CE241"/>
      <c r="CF241"/>
      <c r="CG241"/>
      <c r="CH241"/>
      <c r="CI241"/>
      <c r="CJ241" s="115"/>
      <c r="CK241" s="115"/>
      <c r="CL241" s="115"/>
      <c r="CM241" s="115"/>
      <c r="CN241" s="115"/>
      <c r="CO241" s="115"/>
      <c r="CP241" s="115"/>
      <c r="CQ241" s="115"/>
      <c r="CR241" s="48"/>
      <c r="CU241" s="42">
        <v>236</v>
      </c>
      <c r="CV241" s="115">
        <v>1</v>
      </c>
      <c r="CW241" s="115">
        <v>1.8192576091040986</v>
      </c>
      <c r="CX241" s="115">
        <v>1.8192576091040986</v>
      </c>
      <c r="CY241" s="115" t="e">
        <v>#N/A</v>
      </c>
      <c r="CZ241" t="e">
        <v>#N/A</v>
      </c>
      <c r="DA241" t="e">
        <v>#N/A</v>
      </c>
      <c r="DB241" t="str">
        <v/>
      </c>
      <c r="DX241">
        <v>236</v>
      </c>
      <c r="DY241">
        <v>6</v>
      </c>
      <c r="DZ241">
        <v>8.8224752287145186E-2</v>
      </c>
      <c r="EA241" t="str">
        <v/>
      </c>
    </row>
    <row r="242" spans="70:131" x14ac:dyDescent="0.2">
      <c r="BR242">
        <v>237</v>
      </c>
      <c r="BS242">
        <v>2.5748031496062991</v>
      </c>
      <c r="BT242" s="42">
        <v>1.449800590485566E-2</v>
      </c>
      <c r="BU242" s="42">
        <v>14</v>
      </c>
      <c r="BV242" s="115">
        <v>1</v>
      </c>
      <c r="BW242" s="115">
        <v>0.20697755624177352</v>
      </c>
      <c r="BX242" s="115" t="str">
        <v/>
      </c>
      <c r="BY242" s="115" t="str">
        <v/>
      </c>
      <c r="BZ242" s="115"/>
      <c r="CA242" s="115"/>
      <c r="CB242" s="115"/>
      <c r="CC242" s="115"/>
      <c r="CD242" s="115"/>
      <c r="CE242"/>
      <c r="CF242"/>
      <c r="CG242"/>
      <c r="CH242"/>
      <c r="CI242"/>
      <c r="CJ242" s="115"/>
      <c r="CK242" s="115"/>
      <c r="CL242" s="115"/>
      <c r="CM242" s="115"/>
      <c r="CN242" s="115"/>
      <c r="CO242" s="115"/>
      <c r="CP242" s="115"/>
      <c r="CQ242" s="115"/>
      <c r="CR242" s="48"/>
      <c r="CU242" s="42">
        <v>237</v>
      </c>
      <c r="CV242" s="115">
        <v>1</v>
      </c>
      <c r="CW242" s="115">
        <v>1.8192576091040986</v>
      </c>
      <c r="CX242" s="115">
        <v>1.8192576091040986</v>
      </c>
      <c r="CY242" s="115" t="e">
        <v>#N/A</v>
      </c>
      <c r="CZ242" t="e">
        <v>#N/A</v>
      </c>
      <c r="DA242" t="e">
        <v>#N/A</v>
      </c>
      <c r="DB242" t="str">
        <v/>
      </c>
      <c r="DX242">
        <v>237</v>
      </c>
      <c r="DY242">
        <v>6</v>
      </c>
      <c r="DZ242">
        <v>8.8224752287145186E-2</v>
      </c>
      <c r="EA242" t="str">
        <v/>
      </c>
    </row>
    <row r="243" spans="70:131" x14ac:dyDescent="0.2">
      <c r="BR243">
        <v>238</v>
      </c>
      <c r="BS243">
        <v>2.5984251968503935</v>
      </c>
      <c r="BT243" s="42">
        <v>1.3638681642439747E-2</v>
      </c>
      <c r="BU243" s="42">
        <v>14</v>
      </c>
      <c r="BV243" s="115">
        <v>1</v>
      </c>
      <c r="BW243" s="115">
        <v>0.20697755624177352</v>
      </c>
      <c r="BX243" s="115" t="str">
        <v/>
      </c>
      <c r="BY243" s="115" t="str">
        <v/>
      </c>
      <c r="BZ243" s="115"/>
      <c r="CA243" s="115"/>
      <c r="CB243" s="115"/>
      <c r="CC243" s="115"/>
      <c r="CD243" s="115"/>
      <c r="CE243"/>
      <c r="CF243"/>
      <c r="CG243"/>
      <c r="CH243"/>
      <c r="CI243"/>
      <c r="CJ243" s="115"/>
      <c r="CK243" s="115"/>
      <c r="CL243" s="115"/>
      <c r="CM243" s="115"/>
      <c r="CN243" s="115"/>
      <c r="CO243" s="115"/>
      <c r="CP243" s="115"/>
      <c r="CQ243" s="115"/>
      <c r="CR243" s="48"/>
      <c r="CU243" s="42">
        <v>238</v>
      </c>
      <c r="CV243" s="115">
        <v>1</v>
      </c>
      <c r="CW243" s="115">
        <v>1.8192576091040986</v>
      </c>
      <c r="CX243" s="115">
        <v>1.8192576091040986</v>
      </c>
      <c r="CY243" s="115" t="e">
        <v>#N/A</v>
      </c>
      <c r="CZ243" t="e">
        <v>#N/A</v>
      </c>
      <c r="DA243" t="e">
        <v>#N/A</v>
      </c>
      <c r="DB243" t="str">
        <v/>
      </c>
      <c r="DX243">
        <v>238</v>
      </c>
      <c r="DY243">
        <v>6</v>
      </c>
      <c r="DZ243">
        <v>8.8224752287145186E-2</v>
      </c>
      <c r="EA243" t="str">
        <v/>
      </c>
    </row>
    <row r="244" spans="70:131" x14ac:dyDescent="0.2">
      <c r="BR244">
        <v>239</v>
      </c>
      <c r="BS244">
        <v>2.622047244094488</v>
      </c>
      <c r="BT244" s="42">
        <v>1.2823133836513139E-2</v>
      </c>
      <c r="BU244" s="42">
        <v>15</v>
      </c>
      <c r="BV244" s="115">
        <v>0</v>
      </c>
      <c r="BW244" s="115">
        <v>0</v>
      </c>
      <c r="BX244" s="115">
        <v>13.05</v>
      </c>
      <c r="BY244" s="115" t="str">
        <v/>
      </c>
      <c r="BZ244" s="115"/>
      <c r="CA244" s="115"/>
      <c r="CB244" s="115"/>
      <c r="CC244" s="115"/>
      <c r="CD244" s="115"/>
      <c r="CE244"/>
      <c r="CF244"/>
      <c r="CG244"/>
      <c r="CH244"/>
      <c r="CI244"/>
      <c r="CJ244" s="115"/>
      <c r="CK244" s="115"/>
      <c r="CL244" s="115"/>
      <c r="CM244" s="115"/>
      <c r="CN244" s="115"/>
      <c r="CO244" s="115"/>
      <c r="CP244" s="115"/>
      <c r="CQ244" s="115"/>
      <c r="CR244" s="48"/>
      <c r="CU244" s="42">
        <v>239</v>
      </c>
      <c r="CV244" s="115">
        <v>1</v>
      </c>
      <c r="CW244" s="115">
        <v>1.8192576091040986</v>
      </c>
      <c r="CX244" s="115">
        <v>1.8192576091040986</v>
      </c>
      <c r="CY244" s="115" t="e">
        <v>#N/A</v>
      </c>
      <c r="CZ244" t="e">
        <v>#N/A</v>
      </c>
      <c r="DA244" t="e">
        <v>#N/A</v>
      </c>
      <c r="DB244" t="str">
        <v/>
      </c>
      <c r="DX244">
        <v>239</v>
      </c>
      <c r="DY244">
        <v>6</v>
      </c>
      <c r="DZ244">
        <v>8.8224752287145186E-2</v>
      </c>
      <c r="EA244" t="str">
        <v/>
      </c>
    </row>
    <row r="245" spans="70:131" x14ac:dyDescent="0.2">
      <c r="BR245">
        <v>240</v>
      </c>
      <c r="BS245">
        <v>2.6456692913385824</v>
      </c>
      <c r="BT245" s="42">
        <v>1.2049627495369144E-2</v>
      </c>
      <c r="BU245" s="42">
        <v>15</v>
      </c>
      <c r="BV245" s="115">
        <v>0</v>
      </c>
      <c r="BW245" s="115">
        <v>0</v>
      </c>
      <c r="BX245" s="115" t="str">
        <v/>
      </c>
      <c r="BY245" s="115" t="str">
        <v/>
      </c>
      <c r="BZ245" s="115"/>
      <c r="CA245" s="115"/>
      <c r="CB245" s="115"/>
      <c r="CC245" s="115"/>
      <c r="CD245" s="115"/>
      <c r="CE245"/>
      <c r="CF245"/>
      <c r="CG245"/>
      <c r="CH245"/>
      <c r="CI245"/>
      <c r="CJ245" s="115"/>
      <c r="CK245" s="115"/>
      <c r="CL245" s="115"/>
      <c r="CM245" s="115"/>
      <c r="CN245" s="115"/>
      <c r="CO245" s="115"/>
      <c r="CP245" s="115"/>
      <c r="CQ245" s="115"/>
      <c r="CR245" s="48"/>
      <c r="CU245" s="42">
        <v>240</v>
      </c>
      <c r="CV245" s="115">
        <v>1</v>
      </c>
      <c r="CW245" s="115">
        <v>1.8192576091040986</v>
      </c>
      <c r="CX245" s="115">
        <v>1.8192576091040986</v>
      </c>
      <c r="CY245" s="115" t="e">
        <v>#N/A</v>
      </c>
      <c r="CZ245" t="e">
        <v>#N/A</v>
      </c>
      <c r="DA245" t="e">
        <v>#N/A</v>
      </c>
      <c r="DB245" t="str">
        <v/>
      </c>
      <c r="DX245">
        <v>240</v>
      </c>
      <c r="DY245">
        <v>6</v>
      </c>
      <c r="DZ245">
        <v>8.8224752287145186E-2</v>
      </c>
      <c r="EA245" t="str">
        <v/>
      </c>
    </row>
    <row r="246" spans="70:131" x14ac:dyDescent="0.2">
      <c r="BR246">
        <v>241</v>
      </c>
      <c r="BS246">
        <v>2.6692913385826769</v>
      </c>
      <c r="BT246" s="42">
        <v>1.131646359457898E-2</v>
      </c>
      <c r="BU246" s="42">
        <v>15</v>
      </c>
      <c r="BV246" s="115">
        <v>0</v>
      </c>
      <c r="BW246" s="115">
        <v>0</v>
      </c>
      <c r="BX246" s="115" t="str">
        <v/>
      </c>
      <c r="BY246" s="115" t="str">
        <v/>
      </c>
      <c r="BZ246" s="115"/>
      <c r="CA246" s="115"/>
      <c r="CB246" s="115"/>
      <c r="CC246" s="115"/>
      <c r="CD246" s="115"/>
      <c r="CE246"/>
      <c r="CF246"/>
      <c r="CG246"/>
      <c r="CH246"/>
      <c r="CI246"/>
      <c r="CJ246" s="115"/>
      <c r="CK246" s="115"/>
      <c r="CL246" s="115"/>
      <c r="CM246" s="115"/>
      <c r="CN246" s="115"/>
      <c r="CO246" s="115"/>
      <c r="CP246" s="115"/>
      <c r="CQ246" s="115"/>
      <c r="CR246" s="48"/>
      <c r="CU246" s="42">
        <v>241</v>
      </c>
      <c r="CV246" s="115">
        <v>1</v>
      </c>
      <c r="CW246" s="115">
        <v>1.8192576091040986</v>
      </c>
      <c r="CX246" s="115">
        <v>1.8192576091040986</v>
      </c>
      <c r="CY246" s="115" t="e">
        <v>#N/A</v>
      </c>
      <c r="CZ246" t="e">
        <v>#N/A</v>
      </c>
      <c r="DA246" t="e">
        <v>#N/A</v>
      </c>
      <c r="DB246" t="str">
        <v/>
      </c>
      <c r="DX246">
        <v>241</v>
      </c>
      <c r="DY246">
        <v>6</v>
      </c>
      <c r="DZ246">
        <v>8.8224752287145186E-2</v>
      </c>
      <c r="EA246" t="str">
        <v/>
      </c>
    </row>
    <row r="247" spans="70:131" x14ac:dyDescent="0.2">
      <c r="BR247">
        <v>242</v>
      </c>
      <c r="BS247">
        <v>2.6929133858267713</v>
      </c>
      <c r="BT247" s="42">
        <v>1.0621980582946028E-2</v>
      </c>
      <c r="BU247" s="42">
        <v>15</v>
      </c>
      <c r="BV247" s="115">
        <v>0</v>
      </c>
      <c r="BW247" s="115">
        <v>0</v>
      </c>
      <c r="BX247" s="115" t="str">
        <v/>
      </c>
      <c r="BY247" s="115" t="str">
        <v/>
      </c>
      <c r="BZ247" s="115"/>
      <c r="CA247" s="115"/>
      <c r="CB247" s="115"/>
      <c r="CC247" s="115"/>
      <c r="CD247" s="115"/>
      <c r="CE247"/>
      <c r="CF247"/>
      <c r="CG247"/>
      <c r="CH247"/>
      <c r="CI247"/>
      <c r="CJ247" s="115"/>
      <c r="CK247" s="115"/>
      <c r="CL247" s="115"/>
      <c r="CM247" s="115"/>
      <c r="CN247" s="115"/>
      <c r="CO247" s="115"/>
      <c r="CP247" s="115"/>
      <c r="CQ247" s="115"/>
      <c r="CR247" s="48"/>
      <c r="CU247" s="42">
        <v>242</v>
      </c>
      <c r="CV247" s="115">
        <v>1</v>
      </c>
      <c r="CW247" s="115">
        <v>1.8192576091040986</v>
      </c>
      <c r="CX247" s="115">
        <v>1.8192576091040986</v>
      </c>
      <c r="CY247" s="115" t="e">
        <v>#N/A</v>
      </c>
      <c r="CZ247" t="e">
        <v>#N/A</v>
      </c>
      <c r="DA247" t="e">
        <v>#N/A</v>
      </c>
      <c r="DB247" t="str">
        <v/>
      </c>
      <c r="DX247">
        <v>242</v>
      </c>
      <c r="DY247">
        <v>6</v>
      </c>
      <c r="DZ247">
        <v>8.8224752287145186E-2</v>
      </c>
      <c r="EA247" t="str">
        <v/>
      </c>
    </row>
    <row r="248" spans="70:131" x14ac:dyDescent="0.2">
      <c r="BR248">
        <v>243</v>
      </c>
      <c r="BS248">
        <v>2.7165354330708658</v>
      </c>
      <c r="BT248" s="42">
        <v>9.9645556959455719E-3</v>
      </c>
      <c r="BU248" s="42">
        <v>15</v>
      </c>
      <c r="BV248" s="115">
        <v>0</v>
      </c>
      <c r="BW248" s="115">
        <v>0</v>
      </c>
      <c r="BX248" s="115" t="str">
        <v/>
      </c>
      <c r="BY248" s="115" t="str">
        <v/>
      </c>
      <c r="BZ248" s="115"/>
      <c r="CA248" s="115"/>
      <c r="CB248" s="115"/>
      <c r="CC248" s="115"/>
      <c r="CD248" s="115"/>
      <c r="CE248"/>
      <c r="CF248"/>
      <c r="CG248"/>
      <c r="CH248"/>
      <c r="CI248"/>
      <c r="CJ248" s="115"/>
      <c r="CK248" s="115"/>
      <c r="CL248" s="115"/>
      <c r="CM248" s="115"/>
      <c r="CN248" s="115"/>
      <c r="CO248" s="115"/>
      <c r="CP248" s="115"/>
      <c r="CQ248" s="115"/>
      <c r="CR248" s="48"/>
      <c r="CU248" s="42">
        <v>243</v>
      </c>
      <c r="CV248" s="115">
        <v>1</v>
      </c>
      <c r="CW248" s="115">
        <v>1.8192576091040986</v>
      </c>
      <c r="CX248" s="115">
        <v>1.8192576091040986</v>
      </c>
      <c r="CY248" s="115" t="e">
        <v>#N/A</v>
      </c>
      <c r="CZ248" t="e">
        <v>#N/A</v>
      </c>
      <c r="DA248" t="e">
        <v>#N/A</v>
      </c>
      <c r="DB248" t="str">
        <v/>
      </c>
      <c r="DX248">
        <v>243</v>
      </c>
      <c r="DY248">
        <v>6</v>
      </c>
      <c r="DZ248">
        <v>8.8224752287145186E-2</v>
      </c>
      <c r="EA248" t="str">
        <v/>
      </c>
    </row>
    <row r="249" spans="70:131" x14ac:dyDescent="0.2">
      <c r="BR249">
        <v>244</v>
      </c>
      <c r="BS249">
        <v>2.7401574803149602</v>
      </c>
      <c r="BT249" s="42">
        <v>9.3426060841007141E-3</v>
      </c>
      <c r="BU249" s="42">
        <v>15</v>
      </c>
      <c r="BV249" s="115">
        <v>0</v>
      </c>
      <c r="BW249" s="115">
        <v>0</v>
      </c>
      <c r="BX249" s="115" t="str">
        <v/>
      </c>
      <c r="BY249" s="115" t="str">
        <v/>
      </c>
      <c r="BZ249" s="115"/>
      <c r="CA249" s="115"/>
      <c r="CB249" s="115"/>
      <c r="CC249" s="115"/>
      <c r="CD249" s="115"/>
      <c r="CE249"/>
      <c r="CF249"/>
      <c r="CG249"/>
      <c r="CH249"/>
      <c r="CI249"/>
      <c r="CJ249" s="115"/>
      <c r="CK249" s="115"/>
      <c r="CL249" s="115"/>
      <c r="CM249" s="115"/>
      <c r="CN249" s="115"/>
      <c r="CO249" s="115"/>
      <c r="CP249" s="115"/>
      <c r="CQ249" s="115"/>
      <c r="CR249" s="48"/>
      <c r="CU249" s="42">
        <v>244</v>
      </c>
      <c r="CV249" s="115">
        <v>2</v>
      </c>
      <c r="CW249" s="115">
        <v>1.0047263613915816</v>
      </c>
      <c r="CX249" s="115" t="e">
        <v>#N/A</v>
      </c>
      <c r="CY249" s="115">
        <v>1.0047263613915816</v>
      </c>
      <c r="CZ249" t="e">
        <v>#N/A</v>
      </c>
      <c r="DA249" t="e">
        <v>#N/A</v>
      </c>
      <c r="DB249">
        <v>-0.77600000000000002</v>
      </c>
      <c r="DX249">
        <v>244</v>
      </c>
      <c r="DY249">
        <v>6</v>
      </c>
      <c r="DZ249">
        <v>8.8224752287145186E-2</v>
      </c>
      <c r="EA249" t="str">
        <v/>
      </c>
    </row>
    <row r="250" spans="70:131" x14ac:dyDescent="0.2">
      <c r="BR250">
        <v>245</v>
      </c>
      <c r="BS250">
        <v>2.7637795275590546</v>
      </c>
      <c r="BT250" s="42">
        <v>8.7545897639901629E-3</v>
      </c>
      <c r="BU250" s="42">
        <v>15</v>
      </c>
      <c r="BV250" s="115">
        <v>0</v>
      </c>
      <c r="BW250" s="115">
        <v>0</v>
      </c>
      <c r="BX250" s="115" t="str">
        <v/>
      </c>
      <c r="BY250" s="115" t="str">
        <v/>
      </c>
      <c r="BZ250" s="115"/>
      <c r="CA250" s="115"/>
      <c r="CB250" s="115"/>
      <c r="CC250" s="115"/>
      <c r="CD250" s="115"/>
      <c r="CE250"/>
      <c r="CF250"/>
      <c r="CG250"/>
      <c r="CH250"/>
      <c r="CI250"/>
      <c r="CJ250" s="115"/>
      <c r="CK250" s="115"/>
      <c r="CL250" s="115"/>
      <c r="CM250" s="115"/>
      <c r="CN250" s="115"/>
      <c r="CO250" s="115"/>
      <c r="CP250" s="115"/>
      <c r="CQ250" s="115"/>
      <c r="CR250" s="48"/>
      <c r="CU250" s="42">
        <v>245</v>
      </c>
      <c r="CV250" s="115">
        <v>2</v>
      </c>
      <c r="CW250" s="115">
        <v>1.0047263613915816</v>
      </c>
      <c r="CX250" s="115" t="e">
        <v>#N/A</v>
      </c>
      <c r="CY250" s="115">
        <v>1.0047263613915816</v>
      </c>
      <c r="CZ250" t="e">
        <v>#N/A</v>
      </c>
      <c r="DA250" t="e">
        <v>#N/A</v>
      </c>
      <c r="DB250" t="str">
        <v/>
      </c>
      <c r="DX250">
        <v>245</v>
      </c>
      <c r="DY250">
        <v>6</v>
      </c>
      <c r="DZ250">
        <v>8.8224752287145186E-2</v>
      </c>
      <c r="EA250" t="str">
        <v/>
      </c>
    </row>
    <row r="251" spans="70:131" x14ac:dyDescent="0.2">
      <c r="BR251">
        <v>246</v>
      </c>
      <c r="BS251">
        <v>2.7874015748031491</v>
      </c>
      <c r="BT251" s="42">
        <v>8.1990063997802055E-3</v>
      </c>
      <c r="BU251" s="42">
        <v>15</v>
      </c>
      <c r="BV251" s="115">
        <v>0</v>
      </c>
      <c r="BW251" s="115">
        <v>0</v>
      </c>
      <c r="BX251" s="115" t="str">
        <v/>
      </c>
      <c r="BY251" s="115" t="str">
        <v/>
      </c>
      <c r="BZ251" s="115"/>
      <c r="CA251" s="115"/>
      <c r="CB251" s="115"/>
      <c r="CC251" s="115"/>
      <c r="CD251" s="115"/>
      <c r="CE251"/>
      <c r="CF251"/>
      <c r="CG251"/>
      <c r="CH251"/>
      <c r="CI251"/>
      <c r="CJ251" s="115"/>
      <c r="CK251" s="115"/>
      <c r="CL251" s="115"/>
      <c r="CM251" s="115"/>
      <c r="CN251" s="115"/>
      <c r="CO251" s="115"/>
      <c r="CP251" s="115"/>
      <c r="CQ251" s="115"/>
      <c r="CR251" s="48"/>
      <c r="CU251" s="42">
        <v>246</v>
      </c>
      <c r="CV251" s="115">
        <v>2</v>
      </c>
      <c r="CW251" s="115">
        <v>1.0047263613915816</v>
      </c>
      <c r="CX251" s="115" t="e">
        <v>#N/A</v>
      </c>
      <c r="CY251" s="115">
        <v>1.0047263613915816</v>
      </c>
      <c r="CZ251" t="e">
        <v>#N/A</v>
      </c>
      <c r="DA251" t="e">
        <v>#N/A</v>
      </c>
      <c r="DB251" t="str">
        <v/>
      </c>
      <c r="DX251">
        <v>246</v>
      </c>
      <c r="DY251">
        <v>6</v>
      </c>
      <c r="DZ251">
        <v>8.8224752287145186E-2</v>
      </c>
      <c r="EA251" t="str">
        <v/>
      </c>
    </row>
    <row r="252" spans="70:131" x14ac:dyDescent="0.2">
      <c r="BR252">
        <v>247</v>
      </c>
      <c r="BS252">
        <v>2.8110236220472444</v>
      </c>
      <c r="BT252" s="42">
        <v>7.6743979233234441E-3</v>
      </c>
      <c r="BU252" s="42">
        <v>15</v>
      </c>
      <c r="BV252" s="115">
        <v>0</v>
      </c>
      <c r="BW252" s="115">
        <v>0</v>
      </c>
      <c r="BX252" s="115" t="str">
        <v/>
      </c>
      <c r="BY252" s="115" t="str">
        <v/>
      </c>
      <c r="BZ252" s="115"/>
      <c r="CA252" s="115"/>
      <c r="CB252" s="115"/>
      <c r="CC252" s="115"/>
      <c r="CD252" s="115"/>
      <c r="CE252"/>
      <c r="CF252"/>
      <c r="CG252"/>
      <c r="CH252"/>
      <c r="CI252"/>
      <c r="CJ252" s="115"/>
      <c r="CK252" s="115"/>
      <c r="CL252" s="115"/>
      <c r="CM252" s="115"/>
      <c r="CN252" s="115"/>
      <c r="CO252" s="115"/>
      <c r="CP252" s="115"/>
      <c r="CQ252" s="115"/>
      <c r="CR252" s="48"/>
      <c r="CU252" s="42">
        <v>247</v>
      </c>
      <c r="CV252" s="115">
        <v>2</v>
      </c>
      <c r="CW252" s="115">
        <v>1.0047263613915816</v>
      </c>
      <c r="CX252" s="115" t="e">
        <v>#N/A</v>
      </c>
      <c r="CY252" s="115">
        <v>1.0047263613915816</v>
      </c>
      <c r="CZ252" t="e">
        <v>#N/A</v>
      </c>
      <c r="DA252" t="e">
        <v>#N/A</v>
      </c>
      <c r="DB252" t="str">
        <v/>
      </c>
      <c r="DX252">
        <v>247</v>
      </c>
      <c r="DY252">
        <v>6</v>
      </c>
      <c r="DZ252">
        <v>8.8224752287145186E-2</v>
      </c>
      <c r="EA252" t="str">
        <v/>
      </c>
    </row>
    <row r="253" spans="70:131" x14ac:dyDescent="0.2">
      <c r="BR253">
        <v>248</v>
      </c>
      <c r="BS253">
        <v>2.8346456692913389</v>
      </c>
      <c r="BT253" s="42">
        <v>7.1793490009733505E-3</v>
      </c>
      <c r="BU253" s="42">
        <v>15</v>
      </c>
      <c r="BV253" s="115">
        <v>0</v>
      </c>
      <c r="BW253" s="115">
        <v>0</v>
      </c>
      <c r="BX253" s="115" t="str">
        <v/>
      </c>
      <c r="BY253" s="115" t="str">
        <v/>
      </c>
      <c r="BZ253" s="115"/>
      <c r="CA253" s="115"/>
      <c r="CB253" s="115"/>
      <c r="CC253" s="115"/>
      <c r="CD253" s="115"/>
      <c r="CE253"/>
      <c r="CF253"/>
      <c r="CG253"/>
      <c r="CH253"/>
      <c r="CI253"/>
      <c r="CJ253" s="115"/>
      <c r="CK253" s="115"/>
      <c r="CL253" s="115"/>
      <c r="CM253" s="115"/>
      <c r="CN253" s="115"/>
      <c r="CO253" s="115"/>
      <c r="CP253" s="115"/>
      <c r="CQ253" s="115"/>
      <c r="CR253" s="48"/>
      <c r="CU253" s="42">
        <v>248</v>
      </c>
      <c r="CV253" s="115">
        <v>2</v>
      </c>
      <c r="CW253" s="115">
        <v>1.0047263613915816</v>
      </c>
      <c r="CX253" s="115" t="e">
        <v>#N/A</v>
      </c>
      <c r="CY253" s="115">
        <v>1.0047263613915816</v>
      </c>
      <c r="CZ253" t="e">
        <v>#N/A</v>
      </c>
      <c r="DA253" t="e">
        <v>#N/A</v>
      </c>
      <c r="DB253" t="str">
        <v/>
      </c>
      <c r="DX253">
        <v>248</v>
      </c>
      <c r="DY253">
        <v>6</v>
      </c>
      <c r="DZ253">
        <v>8.8224752287145186E-2</v>
      </c>
      <c r="EA253" t="str">
        <v/>
      </c>
    </row>
    <row r="254" spans="70:131" x14ac:dyDescent="0.2">
      <c r="BR254">
        <v>249</v>
      </c>
      <c r="BS254">
        <v>2.8582677165354333</v>
      </c>
      <c r="BT254" s="42">
        <v>6.7124873553275569E-3</v>
      </c>
      <c r="BU254" s="42">
        <v>15</v>
      </c>
      <c r="BV254" s="115">
        <v>0</v>
      </c>
      <c r="BW254" s="115">
        <v>0</v>
      </c>
      <c r="BX254" s="115" t="str">
        <v/>
      </c>
      <c r="BY254" s="115" t="str">
        <v/>
      </c>
      <c r="BZ254" s="115"/>
      <c r="CA254" s="115"/>
      <c r="CB254" s="115"/>
      <c r="CC254" s="115"/>
      <c r="CD254" s="115"/>
      <c r="CE254"/>
      <c r="CF254"/>
      <c r="CG254"/>
      <c r="CH254"/>
      <c r="CI254"/>
      <c r="CJ254" s="115"/>
      <c r="CK254" s="115"/>
      <c r="CL254" s="115"/>
      <c r="CM254" s="115"/>
      <c r="CN254" s="115"/>
      <c r="CO254" s="115"/>
      <c r="CP254" s="115"/>
      <c r="CQ254" s="115"/>
      <c r="CR254" s="48"/>
      <c r="CU254" s="42">
        <v>249</v>
      </c>
      <c r="CV254" s="115">
        <v>2</v>
      </c>
      <c r="CW254" s="115">
        <v>1.0047263613915816</v>
      </c>
      <c r="CX254" s="115" t="e">
        <v>#N/A</v>
      </c>
      <c r="CY254" s="115">
        <v>1.0047263613915816</v>
      </c>
      <c r="CZ254" t="e">
        <v>#N/A</v>
      </c>
      <c r="DA254" t="e">
        <v>#N/A</v>
      </c>
      <c r="DB254" t="str">
        <v/>
      </c>
      <c r="DX254">
        <v>249</v>
      </c>
      <c r="DY254">
        <v>6</v>
      </c>
      <c r="DZ254">
        <v>8.8224752287145186E-2</v>
      </c>
      <c r="EA254" t="str">
        <v/>
      </c>
    </row>
    <row r="255" spans="70:131" x14ac:dyDescent="0.2">
      <c r="BR255">
        <v>250</v>
      </c>
      <c r="BS255">
        <v>2.8818897637795278</v>
      </c>
      <c r="BT255" s="42">
        <v>6.2724839501383011E-3</v>
      </c>
      <c r="BU255" s="42">
        <v>15</v>
      </c>
      <c r="BV255" s="115">
        <v>0</v>
      </c>
      <c r="BW255" s="115">
        <v>0</v>
      </c>
      <c r="BX255" s="115" t="str">
        <v/>
      </c>
      <c r="BY255" s="115" t="str">
        <v/>
      </c>
      <c r="BZ255" s="115"/>
      <c r="CA255" s="115"/>
      <c r="CB255" s="115"/>
      <c r="CC255" s="115"/>
      <c r="CD255" s="115"/>
      <c r="CE255"/>
      <c r="CF255"/>
      <c r="CG255"/>
      <c r="CH255"/>
      <c r="CI255"/>
      <c r="CJ255" s="115"/>
      <c r="CK255" s="115"/>
      <c r="CL255" s="115"/>
      <c r="CM255" s="115"/>
      <c r="CN255" s="115"/>
      <c r="CO255" s="115"/>
      <c r="CP255" s="115"/>
      <c r="CQ255" s="115"/>
      <c r="CR255" s="48"/>
      <c r="CU255" s="42">
        <v>250</v>
      </c>
      <c r="CV255" s="115">
        <v>2</v>
      </c>
      <c r="CW255" s="115">
        <v>1.0047263613915816</v>
      </c>
      <c r="CX255" s="115" t="e">
        <v>#N/A</v>
      </c>
      <c r="CY255" s="115">
        <v>1.0047263613915816</v>
      </c>
      <c r="CZ255" t="e">
        <v>#N/A</v>
      </c>
      <c r="DA255" t="e">
        <v>#N/A</v>
      </c>
      <c r="DB255" t="str">
        <v/>
      </c>
      <c r="DX255">
        <v>250</v>
      </c>
      <c r="DY255">
        <v>6</v>
      </c>
      <c r="DZ255">
        <v>8.8224752287145186E-2</v>
      </c>
      <c r="EA255" t="str">
        <v/>
      </c>
    </row>
    <row r="256" spans="70:131" x14ac:dyDescent="0.2">
      <c r="BR256">
        <v>251</v>
      </c>
      <c r="BS256">
        <v>2.9055118110236222</v>
      </c>
      <c r="BT256" s="42">
        <v>5.8580530466154357E-3</v>
      </c>
      <c r="BU256" s="42">
        <v>15</v>
      </c>
      <c r="BV256" s="115">
        <v>0</v>
      </c>
      <c r="BW256" s="115">
        <v>0</v>
      </c>
      <c r="BX256" s="115" t="str">
        <v/>
      </c>
      <c r="BY256" s="115" t="str">
        <v/>
      </c>
      <c r="BZ256" s="115"/>
      <c r="CA256" s="115"/>
      <c r="CB256" s="115"/>
      <c r="CC256" s="115"/>
      <c r="CD256" s="115"/>
      <c r="CE256"/>
      <c r="CF256"/>
      <c r="CG256"/>
      <c r="CH256"/>
      <c r="CI256"/>
      <c r="CJ256" s="115"/>
      <c r="CK256" s="115"/>
      <c r="CL256" s="115"/>
      <c r="CM256" s="115"/>
      <c r="CN256" s="115"/>
      <c r="CO256" s="115"/>
      <c r="CP256" s="115"/>
      <c r="CQ256" s="115"/>
      <c r="CR256" s="48"/>
      <c r="CU256" s="42">
        <v>251</v>
      </c>
      <c r="CV256" s="115">
        <v>2</v>
      </c>
      <c r="CW256" s="115">
        <v>1.0047263613915816</v>
      </c>
      <c r="CX256" s="115" t="e">
        <v>#N/A</v>
      </c>
      <c r="CY256" s="115">
        <v>1.0047263613915816</v>
      </c>
      <c r="CZ256" t="e">
        <v>#N/A</v>
      </c>
      <c r="DA256" t="e">
        <v>#N/A</v>
      </c>
      <c r="DB256" t="str">
        <v/>
      </c>
      <c r="DX256">
        <v>251</v>
      </c>
      <c r="DY256">
        <v>6</v>
      </c>
      <c r="DZ256">
        <v>8.8224752287145186E-2</v>
      </c>
      <c r="EA256" t="str">
        <v/>
      </c>
    </row>
    <row r="257" spans="70:131" x14ac:dyDescent="0.2">
      <c r="BR257">
        <v>252</v>
      </c>
      <c r="BS257">
        <v>2.9291338582677167</v>
      </c>
      <c r="BT257" s="42">
        <v>5.4679521393008702E-3</v>
      </c>
      <c r="BU257" s="42">
        <v>15</v>
      </c>
      <c r="BV257" s="115">
        <v>0</v>
      </c>
      <c r="BW257" s="115">
        <v>0</v>
      </c>
      <c r="BX257" s="115" t="str">
        <v/>
      </c>
      <c r="BY257" s="115" t="str">
        <v/>
      </c>
      <c r="BZ257" s="115"/>
      <c r="CA257" s="115"/>
      <c r="CB257" s="115"/>
      <c r="CC257" s="115"/>
      <c r="CD257" s="115"/>
      <c r="CE257"/>
      <c r="CF257"/>
      <c r="CG257"/>
      <c r="CH257"/>
      <c r="CI257"/>
      <c r="CJ257" s="115"/>
      <c r="CK257" s="115"/>
      <c r="CL257" s="115"/>
      <c r="CM257" s="115"/>
      <c r="CN257" s="115"/>
      <c r="CO257" s="115"/>
      <c r="CP257" s="115"/>
      <c r="CQ257" s="115"/>
      <c r="CR257" s="48"/>
      <c r="CU257" s="42">
        <v>252</v>
      </c>
      <c r="CV257" s="115">
        <v>2</v>
      </c>
      <c r="CW257" s="115">
        <v>1.0047263613915816</v>
      </c>
      <c r="CX257" s="115" t="e">
        <v>#N/A</v>
      </c>
      <c r="CY257" s="115">
        <v>1.0047263613915816</v>
      </c>
      <c r="CZ257" t="e">
        <v>#N/A</v>
      </c>
      <c r="DA257" t="e">
        <v>#N/A</v>
      </c>
      <c r="DB257" t="str">
        <v/>
      </c>
      <c r="DX257">
        <v>252</v>
      </c>
      <c r="DY257">
        <v>6</v>
      </c>
      <c r="DZ257">
        <v>8.8224752287145186E-2</v>
      </c>
      <c r="EA257" t="str">
        <v>13 (100%)</v>
      </c>
    </row>
    <row r="258" spans="70:131" x14ac:dyDescent="0.2">
      <c r="BR258">
        <v>253</v>
      </c>
      <c r="BS258">
        <v>2.9527559055118111</v>
      </c>
      <c r="BT258" s="42">
        <v>5.1009817796137192E-3</v>
      </c>
      <c r="BU258" s="42">
        <v>15</v>
      </c>
      <c r="BV258" s="115">
        <v>0</v>
      </c>
      <c r="BW258" s="115">
        <v>0</v>
      </c>
      <c r="BX258" s="115" t="str">
        <v/>
      </c>
      <c r="BY258" s="115" t="str">
        <v/>
      </c>
      <c r="BZ258" s="115"/>
      <c r="CA258" s="115"/>
      <c r="CB258" s="115"/>
      <c r="CC258" s="115"/>
      <c r="CD258" s="115"/>
      <c r="CE258"/>
      <c r="CF258"/>
      <c r="CG258"/>
      <c r="CH258"/>
      <c r="CI258"/>
      <c r="CJ258" s="115"/>
      <c r="CK258" s="115"/>
      <c r="CL258" s="115"/>
      <c r="CM258" s="115"/>
      <c r="CN258" s="115"/>
      <c r="CO258" s="115"/>
      <c r="CP258" s="115"/>
      <c r="CQ258" s="115"/>
      <c r="CR258" s="48"/>
      <c r="CU258" s="42">
        <v>253</v>
      </c>
      <c r="CV258" s="115">
        <v>2</v>
      </c>
      <c r="CW258" s="115">
        <v>1.0047263613915816</v>
      </c>
      <c r="CX258" s="115" t="e">
        <v>#N/A</v>
      </c>
      <c r="CY258" s="115">
        <v>1.0047263613915816</v>
      </c>
      <c r="CZ258" t="e">
        <v>#N/A</v>
      </c>
      <c r="DA258" t="e">
        <v>#N/A</v>
      </c>
      <c r="DB258" t="str">
        <v/>
      </c>
    </row>
    <row r="259" spans="70:131" x14ac:dyDescent="0.2">
      <c r="BR259">
        <v>254</v>
      </c>
      <c r="BS259">
        <v>2.9763779527559056</v>
      </c>
      <c r="BT259" s="42">
        <v>4.7559852950567272E-3</v>
      </c>
      <c r="BU259" s="42">
        <v>15</v>
      </c>
      <c r="BV259" s="115">
        <v>0</v>
      </c>
      <c r="BW259" s="115">
        <v>0</v>
      </c>
      <c r="BX259" s="115" t="str">
        <v/>
      </c>
      <c r="BY259" s="115" t="str">
        <v/>
      </c>
      <c r="BZ259" s="115"/>
      <c r="CA259" s="115"/>
      <c r="CB259" s="115"/>
      <c r="CC259" s="115"/>
      <c r="CD259" s="115"/>
      <c r="CE259"/>
      <c r="CF259"/>
      <c r="CG259"/>
      <c r="CH259"/>
      <c r="CI259"/>
      <c r="CJ259" s="115"/>
      <c r="CK259" s="115"/>
      <c r="CL259" s="115"/>
      <c r="CM259" s="115"/>
      <c r="CN259" s="115"/>
      <c r="CO259" s="115"/>
      <c r="CP259" s="115"/>
      <c r="CQ259" s="115"/>
      <c r="CR259" s="48"/>
      <c r="CU259" s="42">
        <v>254</v>
      </c>
      <c r="CV259" s="115">
        <v>2</v>
      </c>
      <c r="CW259" s="115">
        <v>1.0047263613915816</v>
      </c>
      <c r="CX259" s="115" t="e">
        <v>#N/A</v>
      </c>
      <c r="CY259" s="115">
        <v>1.0047263613915816</v>
      </c>
      <c r="CZ259" t="e">
        <v>#N/A</v>
      </c>
      <c r="DA259" t="e">
        <v>#N/A</v>
      </c>
      <c r="DB259" t="str">
        <v/>
      </c>
    </row>
    <row r="260" spans="70:131" x14ac:dyDescent="0.2">
      <c r="BR260">
        <v>255</v>
      </c>
      <c r="BS260">
        <v>3</v>
      </c>
      <c r="BT260" s="42">
        <v>4.4318484119380075E-3</v>
      </c>
      <c r="BU260" s="42">
        <v>15</v>
      </c>
      <c r="BV260" s="115">
        <v>0</v>
      </c>
      <c r="BW260" s="115">
        <v>0</v>
      </c>
      <c r="BX260" s="115">
        <v>14.77</v>
      </c>
      <c r="BY260" s="115" t="str">
        <v>3σ</v>
      </c>
      <c r="BZ260" s="115"/>
      <c r="CA260" s="115"/>
      <c r="CB260" s="115"/>
      <c r="CC260" s="115"/>
      <c r="CD260" s="115"/>
      <c r="CE260"/>
      <c r="CF260"/>
      <c r="CG260"/>
      <c r="CH260"/>
      <c r="CI260"/>
      <c r="CJ260" s="115"/>
      <c r="CK260" s="115"/>
      <c r="CL260" s="115"/>
      <c r="CM260" s="115"/>
      <c r="CN260" s="115"/>
      <c r="CO260" s="115"/>
      <c r="CP260" s="115"/>
      <c r="CQ260" s="115"/>
      <c r="CR260" s="48"/>
      <c r="CU260" s="42">
        <v>255</v>
      </c>
      <c r="CV260" s="115">
        <v>2</v>
      </c>
      <c r="CW260" s="115">
        <v>1.0047263613915816</v>
      </c>
      <c r="CX260" s="115" t="e">
        <v>#N/A</v>
      </c>
      <c r="CY260" s="115">
        <v>1.0047263613915816</v>
      </c>
      <c r="CZ260" t="e">
        <v>#N/A</v>
      </c>
      <c r="DA260" t="e">
        <v>#N/A</v>
      </c>
      <c r="DB260" t="str">
        <v/>
      </c>
    </row>
    <row r="261" spans="70:131" x14ac:dyDescent="0.2">
      <c r="BV261" s="115"/>
      <c r="BW261" s="115"/>
      <c r="BX261" s="115"/>
      <c r="BY261" s="115"/>
      <c r="BZ261" s="115"/>
      <c r="CA261" s="115"/>
      <c r="CB261" s="115"/>
      <c r="CC261" s="115"/>
      <c r="CD261" s="115"/>
      <c r="CE261"/>
      <c r="CF261"/>
      <c r="CG261"/>
      <c r="CH261"/>
      <c r="CI261"/>
      <c r="CJ261" s="115"/>
      <c r="CK261" s="115"/>
      <c r="CL261" s="115"/>
      <c r="CM261" s="115"/>
      <c r="CN261" s="115"/>
      <c r="CO261" s="115"/>
      <c r="CP261" s="115"/>
      <c r="CQ261" s="115"/>
      <c r="CR261" s="48"/>
      <c r="CU261" s="42">
        <v>256</v>
      </c>
      <c r="CV261" s="115">
        <v>2</v>
      </c>
      <c r="CW261" s="115">
        <v>1.0047263613915816</v>
      </c>
      <c r="CX261" s="115" t="e">
        <v>#N/A</v>
      </c>
      <c r="CY261" s="115">
        <v>1.0047263613915816</v>
      </c>
      <c r="CZ261" t="e">
        <v>#N/A</v>
      </c>
      <c r="DA261" t="e">
        <v>#N/A</v>
      </c>
      <c r="DB261" t="str">
        <v/>
      </c>
    </row>
    <row r="262" spans="70:131" x14ac:dyDescent="0.2">
      <c r="BV262" s="115"/>
      <c r="BW262" s="115"/>
      <c r="BX262" s="115"/>
      <c r="BY262" s="115"/>
      <c r="BZ262" s="115"/>
      <c r="CA262" s="115"/>
      <c r="CB262" s="115"/>
      <c r="CC262" s="115"/>
      <c r="CD262" s="115"/>
      <c r="CE262"/>
      <c r="CF262"/>
      <c r="CG262"/>
      <c r="CH262"/>
      <c r="CI262"/>
      <c r="CJ262" s="115"/>
      <c r="CK262" s="115"/>
      <c r="CL262" s="115"/>
      <c r="CM262" s="115"/>
      <c r="CN262" s="115"/>
      <c r="CO262" s="115"/>
      <c r="CP262" s="115"/>
      <c r="CQ262" s="115"/>
      <c r="CR262" s="48"/>
      <c r="CU262" s="42">
        <v>257</v>
      </c>
      <c r="CV262" s="115">
        <v>2</v>
      </c>
      <c r="CW262" s="115">
        <v>1.0047263613915816</v>
      </c>
      <c r="CX262" s="115" t="e">
        <v>#N/A</v>
      </c>
      <c r="CY262" s="115">
        <v>1.0047263613915816</v>
      </c>
      <c r="CZ262" t="e">
        <v>#N/A</v>
      </c>
      <c r="DA262" t="e">
        <v>#N/A</v>
      </c>
      <c r="DB262" t="str">
        <v/>
      </c>
    </row>
    <row r="263" spans="70:131" x14ac:dyDescent="0.2">
      <c r="BV263" s="115"/>
      <c r="BW263" s="115"/>
      <c r="BX263" s="115"/>
      <c r="BY263" s="115"/>
      <c r="BZ263" s="115"/>
      <c r="CA263" s="115"/>
      <c r="CB263" s="115"/>
      <c r="CC263" s="115"/>
      <c r="CD263" s="115"/>
      <c r="CE263"/>
      <c r="CF263"/>
      <c r="CG263"/>
      <c r="CH263"/>
      <c r="CI263"/>
      <c r="CJ263" s="115"/>
      <c r="CK263" s="115"/>
      <c r="CL263" s="115"/>
      <c r="CM263" s="115"/>
      <c r="CN263" s="115"/>
      <c r="CO263" s="115"/>
      <c r="CP263" s="115"/>
      <c r="CQ263" s="115"/>
      <c r="CR263" s="48"/>
      <c r="CU263" s="42">
        <v>258</v>
      </c>
      <c r="CV263" s="115">
        <v>2</v>
      </c>
      <c r="CW263" s="115">
        <v>1.0047263613915816</v>
      </c>
      <c r="CX263" s="115" t="e">
        <v>#N/A</v>
      </c>
      <c r="CY263" s="115">
        <v>1.0047263613915816</v>
      </c>
      <c r="CZ263" t="e">
        <v>#N/A</v>
      </c>
      <c r="DA263" t="e">
        <v>#N/A</v>
      </c>
      <c r="DB263" t="str">
        <v/>
      </c>
    </row>
    <row r="264" spans="70:131" x14ac:dyDescent="0.2">
      <c r="BV264" s="115"/>
      <c r="BW264" s="115"/>
      <c r="BX264" s="115"/>
      <c r="BY264" s="115"/>
      <c r="BZ264" s="115"/>
      <c r="CA264" s="115"/>
      <c r="CB264" s="115"/>
      <c r="CC264" s="115"/>
      <c r="CD264" s="115"/>
      <c r="CE264"/>
      <c r="CF264"/>
      <c r="CG264"/>
      <c r="CH264"/>
      <c r="CI264"/>
      <c r="CJ264" s="115"/>
      <c r="CK264" s="115"/>
      <c r="CL264" s="115"/>
      <c r="CM264" s="115"/>
      <c r="CN264" s="115"/>
      <c r="CO264" s="115"/>
      <c r="CP264" s="115"/>
      <c r="CQ264" s="115"/>
      <c r="CR264" s="48"/>
      <c r="CU264" s="42">
        <v>259</v>
      </c>
      <c r="CV264" s="115">
        <v>2</v>
      </c>
      <c r="CW264" s="115">
        <v>1.0047263613915816</v>
      </c>
      <c r="CX264" s="115" t="e">
        <v>#N/A</v>
      </c>
      <c r="CY264" s="115">
        <v>1.0047263613915816</v>
      </c>
      <c r="CZ264" t="e">
        <v>#N/A</v>
      </c>
      <c r="DA264" t="e">
        <v>#N/A</v>
      </c>
      <c r="DB264" t="str">
        <v/>
      </c>
    </row>
    <row r="265" spans="70:131" x14ac:dyDescent="0.2">
      <c r="BV265" s="115"/>
      <c r="BW265" s="115"/>
      <c r="BX265" s="115"/>
      <c r="BY265" s="115"/>
      <c r="BZ265" s="115"/>
      <c r="CA265" s="115"/>
      <c r="CB265" s="115"/>
      <c r="CC265" s="115"/>
      <c r="CD265" s="115"/>
      <c r="CE265"/>
      <c r="CF265"/>
      <c r="CG265"/>
      <c r="CH265"/>
      <c r="CI265"/>
      <c r="CJ265" s="115"/>
      <c r="CK265" s="115"/>
      <c r="CL265" s="115"/>
      <c r="CM265" s="115"/>
      <c r="CN265" s="115"/>
      <c r="CO265" s="115"/>
      <c r="CP265" s="115"/>
      <c r="CQ265" s="115"/>
      <c r="CR265" s="48"/>
      <c r="CU265" s="42">
        <v>260</v>
      </c>
      <c r="CV265" s="115">
        <v>2</v>
      </c>
      <c r="CW265" s="115">
        <v>1.0047263613915816</v>
      </c>
      <c r="CX265" s="115" t="e">
        <v>#N/A</v>
      </c>
      <c r="CY265" s="115">
        <v>1.0047263613915816</v>
      </c>
      <c r="CZ265" t="e">
        <v>#N/A</v>
      </c>
      <c r="DA265" t="e">
        <v>#N/A</v>
      </c>
      <c r="DB265" t="str">
        <v/>
      </c>
    </row>
    <row r="266" spans="70:131" x14ac:dyDescent="0.2">
      <c r="BV266" s="115"/>
      <c r="BW266" s="115"/>
      <c r="BX266" s="115"/>
      <c r="BY266" s="115"/>
      <c r="BZ266" s="115"/>
      <c r="CA266" s="115"/>
      <c r="CB266" s="115"/>
      <c r="CC266" s="115"/>
      <c r="CD266" s="115"/>
      <c r="CE266"/>
      <c r="CF266"/>
      <c r="CG266"/>
      <c r="CH266"/>
      <c r="CI266"/>
      <c r="CJ266" s="115"/>
      <c r="CK266" s="115"/>
      <c r="CL266" s="115"/>
      <c r="CM266" s="115"/>
      <c r="CN266" s="115"/>
      <c r="CO266" s="115"/>
      <c r="CP266" s="115"/>
      <c r="CQ266" s="115"/>
      <c r="CR266" s="48"/>
      <c r="CU266" s="42">
        <v>261</v>
      </c>
      <c r="CV266" s="115">
        <v>2</v>
      </c>
      <c r="CW266" s="115">
        <v>1.0047263613915816</v>
      </c>
      <c r="CX266" s="115" t="e">
        <v>#N/A</v>
      </c>
      <c r="CY266" s="115">
        <v>1.0047263613915816</v>
      </c>
      <c r="CZ266" t="e">
        <v>#N/A</v>
      </c>
      <c r="DA266" t="e">
        <v>#N/A</v>
      </c>
      <c r="DB266" t="str">
        <v/>
      </c>
    </row>
    <row r="267" spans="70:131" x14ac:dyDescent="0.2">
      <c r="CE267"/>
      <c r="CF267"/>
      <c r="CG267"/>
      <c r="CH267"/>
      <c r="CI267"/>
      <c r="CU267" s="42">
        <v>262</v>
      </c>
      <c r="CV267" s="115">
        <v>2</v>
      </c>
      <c r="CW267" s="115">
        <v>1.0047263613915816</v>
      </c>
      <c r="CX267" s="115" t="e">
        <v>#N/A</v>
      </c>
      <c r="CY267" s="115">
        <v>1.0047263613915816</v>
      </c>
      <c r="CZ267" t="e">
        <v>#N/A</v>
      </c>
      <c r="DA267" t="e">
        <v>#N/A</v>
      </c>
      <c r="DB267" t="str">
        <v/>
      </c>
    </row>
    <row r="268" spans="70:131" x14ac:dyDescent="0.2">
      <c r="CE268"/>
      <c r="CF268"/>
      <c r="CG268"/>
      <c r="CH268"/>
      <c r="CI268"/>
      <c r="CU268" s="42">
        <v>263</v>
      </c>
      <c r="CV268" s="115">
        <v>2</v>
      </c>
      <c r="CW268" s="115">
        <v>1.0047263613915816</v>
      </c>
      <c r="CX268" s="115" t="e">
        <v>#N/A</v>
      </c>
      <c r="CY268" s="115">
        <v>1.0047263613915816</v>
      </c>
      <c r="CZ268" t="e">
        <v>#N/A</v>
      </c>
      <c r="DA268" t="e">
        <v>#N/A</v>
      </c>
      <c r="DB268" t="str">
        <v/>
      </c>
    </row>
    <row r="269" spans="70:131" x14ac:dyDescent="0.2">
      <c r="CE269"/>
      <c r="CF269"/>
      <c r="CG269"/>
      <c r="CH269"/>
      <c r="CI269"/>
      <c r="CU269" s="42">
        <v>264</v>
      </c>
      <c r="CV269" s="115">
        <v>2</v>
      </c>
      <c r="CW269" s="115">
        <v>1.0047263613915816</v>
      </c>
      <c r="CX269" s="115" t="e">
        <v>#N/A</v>
      </c>
      <c r="CY269" s="115">
        <v>1.0047263613915816</v>
      </c>
      <c r="CZ269" t="e">
        <v>#N/A</v>
      </c>
      <c r="DA269" t="e">
        <v>#N/A</v>
      </c>
      <c r="DB269" t="str">
        <v/>
      </c>
    </row>
    <row r="270" spans="70:131" x14ac:dyDescent="0.2">
      <c r="CE270"/>
      <c r="CF270"/>
      <c r="CG270"/>
      <c r="CH270"/>
      <c r="CI270"/>
      <c r="CU270" s="42">
        <v>265</v>
      </c>
      <c r="CV270" s="115">
        <v>2</v>
      </c>
      <c r="CW270" s="115">
        <v>1.0047263613915816</v>
      </c>
      <c r="CX270" s="115" t="e">
        <v>#N/A</v>
      </c>
      <c r="CY270" s="115">
        <v>1.0047263613915816</v>
      </c>
      <c r="CZ270" t="e">
        <v>#N/A</v>
      </c>
      <c r="DA270" t="e">
        <v>#N/A</v>
      </c>
      <c r="DB270" t="str">
        <v/>
      </c>
    </row>
    <row r="271" spans="70:131" x14ac:dyDescent="0.2">
      <c r="CE271"/>
      <c r="CF271"/>
      <c r="CG271"/>
      <c r="CH271"/>
      <c r="CI271"/>
      <c r="CU271" s="42">
        <v>266</v>
      </c>
      <c r="CV271" s="115">
        <v>2</v>
      </c>
      <c r="CW271" s="115">
        <v>1.0047263613915816</v>
      </c>
      <c r="CX271" s="115" t="e">
        <v>#N/A</v>
      </c>
      <c r="CY271" s="115">
        <v>1.0047263613915816</v>
      </c>
      <c r="CZ271" t="e">
        <v>#N/A</v>
      </c>
      <c r="DA271" t="e">
        <v>#N/A</v>
      </c>
      <c r="DB271" t="str">
        <v/>
      </c>
    </row>
    <row r="272" spans="70:131" x14ac:dyDescent="0.2">
      <c r="CE272"/>
      <c r="CF272"/>
      <c r="CG272"/>
      <c r="CH272"/>
      <c r="CI272"/>
      <c r="CU272" s="42">
        <v>267</v>
      </c>
      <c r="CV272" s="115">
        <v>2</v>
      </c>
      <c r="CW272" s="115">
        <v>1.0047263613915816</v>
      </c>
      <c r="CX272" s="115" t="e">
        <v>#N/A</v>
      </c>
      <c r="CY272" s="115">
        <v>1.0047263613915816</v>
      </c>
      <c r="CZ272" t="e">
        <v>#N/A</v>
      </c>
      <c r="DA272" t="e">
        <v>#N/A</v>
      </c>
      <c r="DB272" t="str">
        <v/>
      </c>
    </row>
    <row r="273" spans="83:106" x14ac:dyDescent="0.2">
      <c r="CE273"/>
      <c r="CF273"/>
      <c r="CG273"/>
      <c r="CH273"/>
      <c r="CI273"/>
      <c r="CU273" s="42">
        <v>268</v>
      </c>
      <c r="CV273" s="115">
        <v>2</v>
      </c>
      <c r="CW273" s="115">
        <v>1.0047263613915816</v>
      </c>
      <c r="CX273" s="115" t="e">
        <v>#N/A</v>
      </c>
      <c r="CY273" s="115">
        <v>1.0047263613915816</v>
      </c>
      <c r="CZ273" t="e">
        <v>#N/A</v>
      </c>
      <c r="DA273" t="e">
        <v>#N/A</v>
      </c>
      <c r="DB273" t="str">
        <v/>
      </c>
    </row>
    <row r="274" spans="83:106" x14ac:dyDescent="0.2">
      <c r="CE274"/>
      <c r="CF274"/>
      <c r="CG274"/>
      <c r="CH274"/>
      <c r="CI274"/>
      <c r="CU274" s="42">
        <v>269</v>
      </c>
      <c r="CV274" s="115">
        <v>2</v>
      </c>
      <c r="CW274" s="115">
        <v>1.0047263613915816</v>
      </c>
      <c r="CX274" s="115" t="e">
        <v>#N/A</v>
      </c>
      <c r="CY274" s="115">
        <v>1.0047263613915816</v>
      </c>
      <c r="CZ274" t="e">
        <v>#N/A</v>
      </c>
      <c r="DA274" t="e">
        <v>#N/A</v>
      </c>
      <c r="DB274" t="str">
        <v/>
      </c>
    </row>
    <row r="275" spans="83:106" x14ac:dyDescent="0.2">
      <c r="CE275"/>
      <c r="CF275"/>
      <c r="CG275"/>
      <c r="CH275"/>
      <c r="CI275"/>
      <c r="CU275" s="42">
        <v>270</v>
      </c>
      <c r="CV275" s="115">
        <v>2</v>
      </c>
      <c r="CW275" s="115">
        <v>1.0047263613915816</v>
      </c>
      <c r="CX275" s="115" t="e">
        <v>#N/A</v>
      </c>
      <c r="CY275" s="115">
        <v>1.0047263613915816</v>
      </c>
      <c r="CZ275" t="e">
        <v>#N/A</v>
      </c>
      <c r="DA275" t="e">
        <v>#N/A</v>
      </c>
      <c r="DB275" t="str">
        <v/>
      </c>
    </row>
    <row r="276" spans="83:106" x14ac:dyDescent="0.2">
      <c r="CE276"/>
      <c r="CF276"/>
      <c r="CG276"/>
      <c r="CH276"/>
      <c r="CI276"/>
      <c r="CU276" s="42">
        <v>271</v>
      </c>
      <c r="CV276" s="115">
        <v>2</v>
      </c>
      <c r="CW276" s="115">
        <v>1.0047263613915816</v>
      </c>
      <c r="CX276" s="115" t="e">
        <v>#N/A</v>
      </c>
      <c r="CY276" s="115">
        <v>1.0047263613915816</v>
      </c>
      <c r="CZ276" t="e">
        <v>#N/A</v>
      </c>
      <c r="DA276" t="e">
        <v>#N/A</v>
      </c>
      <c r="DB276" t="str">
        <v/>
      </c>
    </row>
    <row r="277" spans="83:106" x14ac:dyDescent="0.2">
      <c r="CE277"/>
      <c r="CF277"/>
      <c r="CG277"/>
      <c r="CH277"/>
      <c r="CI277"/>
      <c r="CU277" s="42">
        <v>272</v>
      </c>
      <c r="CV277" s="115">
        <v>2</v>
      </c>
      <c r="CW277" s="115">
        <v>1.0047263613915816</v>
      </c>
      <c r="CX277" s="115" t="e">
        <v>#N/A</v>
      </c>
      <c r="CY277" s="115">
        <v>1.0047263613915816</v>
      </c>
      <c r="CZ277" t="e">
        <v>#N/A</v>
      </c>
      <c r="DA277" t="e">
        <v>#N/A</v>
      </c>
      <c r="DB277" t="str">
        <v/>
      </c>
    </row>
    <row r="278" spans="83:106" x14ac:dyDescent="0.2">
      <c r="CE278"/>
      <c r="CF278"/>
      <c r="CG278"/>
      <c r="CH278"/>
      <c r="CI278"/>
      <c r="CU278" s="42">
        <v>273</v>
      </c>
      <c r="CV278" s="115">
        <v>2</v>
      </c>
      <c r="CW278" s="115">
        <v>1.0047263613915816</v>
      </c>
      <c r="CX278" s="115" t="e">
        <v>#N/A</v>
      </c>
      <c r="CY278" s="115">
        <v>1.0047263613915816</v>
      </c>
      <c r="CZ278" t="e">
        <v>#N/A</v>
      </c>
      <c r="DA278" t="e">
        <v>#N/A</v>
      </c>
      <c r="DB278" t="str">
        <v/>
      </c>
    </row>
    <row r="279" spans="83:106" x14ac:dyDescent="0.2">
      <c r="CE279"/>
      <c r="CF279"/>
      <c r="CG279"/>
      <c r="CH279"/>
      <c r="CI279"/>
      <c r="CU279" s="42">
        <v>274</v>
      </c>
      <c r="CV279" s="115">
        <v>2</v>
      </c>
      <c r="CW279" s="115">
        <v>1.0047263613915816</v>
      </c>
      <c r="CX279" s="115" t="e">
        <v>#N/A</v>
      </c>
      <c r="CY279" s="115">
        <v>1.0047263613915816</v>
      </c>
      <c r="CZ279" t="e">
        <v>#N/A</v>
      </c>
      <c r="DA279" t="e">
        <v>#N/A</v>
      </c>
      <c r="DB279" t="str">
        <v/>
      </c>
    </row>
    <row r="280" spans="83:106" x14ac:dyDescent="0.2">
      <c r="CE280"/>
      <c r="CF280"/>
      <c r="CG280"/>
      <c r="CH280"/>
      <c r="CI280"/>
      <c r="CU280" s="42">
        <v>275</v>
      </c>
      <c r="CV280" s="115">
        <v>2</v>
      </c>
      <c r="CW280" s="115">
        <v>1.0047263613915816</v>
      </c>
      <c r="CX280" s="115" t="e">
        <v>#N/A</v>
      </c>
      <c r="CY280" s="115">
        <v>1.0047263613915816</v>
      </c>
      <c r="CZ280" t="e">
        <v>#N/A</v>
      </c>
      <c r="DA280" t="e">
        <v>#N/A</v>
      </c>
      <c r="DB280" t="str">
        <v/>
      </c>
    </row>
    <row r="281" spans="83:106" x14ac:dyDescent="0.2">
      <c r="CE281"/>
      <c r="CF281"/>
      <c r="CG281"/>
      <c r="CH281"/>
      <c r="CI281"/>
      <c r="CU281" s="42">
        <v>276</v>
      </c>
      <c r="CV281" s="115">
        <v>2</v>
      </c>
      <c r="CW281" s="115">
        <v>1.0047263613915816</v>
      </c>
      <c r="CX281" s="115" t="e">
        <v>#N/A</v>
      </c>
      <c r="CY281" s="115">
        <v>1.0047263613915816</v>
      </c>
      <c r="CZ281" t="e">
        <v>#N/A</v>
      </c>
      <c r="DA281" t="e">
        <v>#N/A</v>
      </c>
      <c r="DB281" t="str">
        <v/>
      </c>
    </row>
    <row r="282" spans="83:106" x14ac:dyDescent="0.2">
      <c r="CE282"/>
      <c r="CF282"/>
      <c r="CG282"/>
      <c r="CH282"/>
      <c r="CI282"/>
      <c r="CU282" s="42">
        <v>277</v>
      </c>
      <c r="CV282" s="115">
        <v>2</v>
      </c>
      <c r="CW282" s="115">
        <v>1.0047263613915816</v>
      </c>
      <c r="CX282" s="115" t="e">
        <v>#N/A</v>
      </c>
      <c r="CY282" s="115">
        <v>1.0047263613915816</v>
      </c>
      <c r="CZ282" t="e">
        <v>#N/A</v>
      </c>
      <c r="DA282" t="e">
        <v>#N/A</v>
      </c>
      <c r="DB282" t="str">
        <v/>
      </c>
    </row>
    <row r="283" spans="83:106" x14ac:dyDescent="0.2">
      <c r="CE283"/>
      <c r="CF283"/>
      <c r="CG283"/>
      <c r="CH283"/>
      <c r="CI283"/>
      <c r="CU283" s="42">
        <v>278</v>
      </c>
      <c r="CV283" s="115">
        <v>2</v>
      </c>
      <c r="CW283" s="115">
        <v>1.0047263613915816</v>
      </c>
      <c r="CX283" s="115" t="e">
        <v>#N/A</v>
      </c>
      <c r="CY283" s="115">
        <v>1.0047263613915816</v>
      </c>
      <c r="CZ283" t="e">
        <v>#N/A</v>
      </c>
      <c r="DA283" t="e">
        <v>#N/A</v>
      </c>
      <c r="DB283" t="str">
        <v/>
      </c>
    </row>
    <row r="284" spans="83:106" x14ac:dyDescent="0.2">
      <c r="CE284"/>
      <c r="CF284"/>
      <c r="CG284"/>
      <c r="CH284"/>
      <c r="CI284"/>
      <c r="CU284" s="42">
        <v>279</v>
      </c>
      <c r="CV284" s="115">
        <v>2</v>
      </c>
      <c r="CW284" s="115">
        <v>1.0047263613915816</v>
      </c>
      <c r="CX284" s="115" t="e">
        <v>#N/A</v>
      </c>
      <c r="CY284" s="115">
        <v>1.0047263613915816</v>
      </c>
      <c r="CZ284" t="e">
        <v>#N/A</v>
      </c>
      <c r="DA284" t="e">
        <v>#N/A</v>
      </c>
      <c r="DB284" t="str">
        <v/>
      </c>
    </row>
    <row r="285" spans="83:106" x14ac:dyDescent="0.2">
      <c r="CE285"/>
      <c r="CF285"/>
      <c r="CG285"/>
      <c r="CH285"/>
      <c r="CI285"/>
      <c r="CU285" s="42">
        <v>280</v>
      </c>
      <c r="CV285" s="115">
        <v>2</v>
      </c>
      <c r="CW285" s="115">
        <v>1.0047263613915816</v>
      </c>
      <c r="CX285" s="115" t="e">
        <v>#N/A</v>
      </c>
      <c r="CY285" s="115">
        <v>1.0047263613915816</v>
      </c>
      <c r="CZ285" t="e">
        <v>#N/A</v>
      </c>
      <c r="DA285" t="e">
        <v>#N/A</v>
      </c>
      <c r="DB285" t="str">
        <v/>
      </c>
    </row>
    <row r="286" spans="83:106" x14ac:dyDescent="0.2">
      <c r="CE286"/>
      <c r="CF286"/>
      <c r="CG286"/>
      <c r="CH286"/>
      <c r="CI286"/>
      <c r="CU286" s="42">
        <v>281</v>
      </c>
      <c r="CV286" s="115">
        <v>2</v>
      </c>
      <c r="CW286" s="115">
        <v>1.0047263613915816</v>
      </c>
      <c r="CX286" s="115" t="e">
        <v>#N/A</v>
      </c>
      <c r="CY286" s="115">
        <v>1.0047263613915816</v>
      </c>
      <c r="CZ286" t="e">
        <v>#N/A</v>
      </c>
      <c r="DA286" t="e">
        <v>#N/A</v>
      </c>
      <c r="DB286" t="str">
        <v/>
      </c>
    </row>
    <row r="287" spans="83:106" x14ac:dyDescent="0.2">
      <c r="CE287"/>
      <c r="CF287"/>
      <c r="CG287"/>
      <c r="CH287"/>
      <c r="CI287"/>
      <c r="CU287" s="42">
        <v>282</v>
      </c>
      <c r="CV287" s="115">
        <v>2</v>
      </c>
      <c r="CW287" s="115">
        <v>1.0047263613915816</v>
      </c>
      <c r="CX287" s="115" t="e">
        <v>#N/A</v>
      </c>
      <c r="CY287" s="115">
        <v>1.0047263613915816</v>
      </c>
      <c r="CZ287" t="e">
        <v>#N/A</v>
      </c>
      <c r="DA287" t="e">
        <v>#N/A</v>
      </c>
      <c r="DB287" t="str">
        <v/>
      </c>
    </row>
    <row r="288" spans="83:106" x14ac:dyDescent="0.2">
      <c r="CE288"/>
      <c r="CF288"/>
      <c r="CG288"/>
      <c r="CH288"/>
      <c r="CI288"/>
      <c r="CU288" s="42">
        <v>283</v>
      </c>
      <c r="CV288" s="115">
        <v>2</v>
      </c>
      <c r="CW288" s="115">
        <v>1.0047263613915816</v>
      </c>
      <c r="CX288" s="115" t="e">
        <v>#N/A</v>
      </c>
      <c r="CY288" s="115">
        <v>1.0047263613915816</v>
      </c>
      <c r="CZ288" t="e">
        <v>#N/A</v>
      </c>
      <c r="DA288" t="e">
        <v>#N/A</v>
      </c>
      <c r="DB288" t="str">
        <v/>
      </c>
    </row>
    <row r="289" spans="83:106" x14ac:dyDescent="0.2">
      <c r="CE289"/>
      <c r="CF289"/>
      <c r="CG289"/>
      <c r="CH289"/>
      <c r="CI289"/>
      <c r="CU289" s="42">
        <v>284</v>
      </c>
      <c r="CV289" s="115">
        <v>2</v>
      </c>
      <c r="CW289" s="115">
        <v>1.0047263613915816</v>
      </c>
      <c r="CX289" s="115" t="e">
        <v>#N/A</v>
      </c>
      <c r="CY289" s="115">
        <v>1.0047263613915816</v>
      </c>
      <c r="CZ289" t="e">
        <v>#N/A</v>
      </c>
      <c r="DA289" t="e">
        <v>#N/A</v>
      </c>
      <c r="DB289" t="str">
        <v/>
      </c>
    </row>
    <row r="290" spans="83:106" x14ac:dyDescent="0.2">
      <c r="CE290"/>
      <c r="CF290"/>
      <c r="CG290"/>
      <c r="CH290"/>
      <c r="CI290"/>
      <c r="CU290" s="42">
        <v>285</v>
      </c>
      <c r="CV290" s="115">
        <v>2</v>
      </c>
      <c r="CW290" s="115">
        <v>1.0047263613915816</v>
      </c>
      <c r="CX290" s="115" t="e">
        <v>#N/A</v>
      </c>
      <c r="CY290" s="115">
        <v>1.0047263613915816</v>
      </c>
      <c r="CZ290" t="e">
        <v>#N/A</v>
      </c>
      <c r="DA290" t="e">
        <v>#N/A</v>
      </c>
      <c r="DB290" t="str">
        <v/>
      </c>
    </row>
    <row r="291" spans="83:106" x14ac:dyDescent="0.2">
      <c r="CE291"/>
      <c r="CF291"/>
      <c r="CG291"/>
      <c r="CH291"/>
      <c r="CI291"/>
      <c r="CU291" s="42">
        <v>286</v>
      </c>
      <c r="CV291" s="115">
        <v>2</v>
      </c>
      <c r="CW291" s="115">
        <v>1.0047263613915816</v>
      </c>
      <c r="CX291" s="115" t="e">
        <v>#N/A</v>
      </c>
      <c r="CY291" s="115">
        <v>1.0047263613915816</v>
      </c>
      <c r="CZ291" t="e">
        <v>#N/A</v>
      </c>
      <c r="DA291" t="e">
        <v>#N/A</v>
      </c>
      <c r="DB291" t="str">
        <v/>
      </c>
    </row>
    <row r="292" spans="83:106" x14ac:dyDescent="0.2">
      <c r="CE292"/>
      <c r="CF292"/>
      <c r="CG292"/>
      <c r="CH292"/>
      <c r="CI292"/>
      <c r="CU292" s="42">
        <v>287</v>
      </c>
      <c r="CV292" s="115">
        <v>2</v>
      </c>
      <c r="CW292" s="115">
        <v>1.0047263613915816</v>
      </c>
      <c r="CX292" s="115" t="e">
        <v>#N/A</v>
      </c>
      <c r="CY292" s="115">
        <v>1.0047263613915816</v>
      </c>
      <c r="CZ292" t="e">
        <v>#N/A</v>
      </c>
      <c r="DA292" t="e">
        <v>#N/A</v>
      </c>
      <c r="DB292" t="str">
        <v/>
      </c>
    </row>
    <row r="293" spans="83:106" x14ac:dyDescent="0.2">
      <c r="CE293"/>
      <c r="CF293"/>
      <c r="CG293"/>
      <c r="CH293"/>
      <c r="CI293"/>
      <c r="CU293" s="42">
        <v>288</v>
      </c>
      <c r="CV293" s="115">
        <v>2</v>
      </c>
      <c r="CW293" s="115">
        <v>1.0047263613915816</v>
      </c>
      <c r="CX293" s="115" t="e">
        <v>#N/A</v>
      </c>
      <c r="CY293" s="115">
        <v>1.0047263613915816</v>
      </c>
      <c r="CZ293" t="e">
        <v>#N/A</v>
      </c>
      <c r="DA293" t="e">
        <v>#N/A</v>
      </c>
      <c r="DB293" t="str">
        <v/>
      </c>
    </row>
    <row r="294" spans="83:106" x14ac:dyDescent="0.2">
      <c r="CE294"/>
      <c r="CF294"/>
      <c r="CG294"/>
      <c r="CH294"/>
      <c r="CI294"/>
      <c r="CU294" s="42">
        <v>289</v>
      </c>
      <c r="CV294" s="115">
        <v>2</v>
      </c>
      <c r="CW294" s="115">
        <v>1.0047263613915816</v>
      </c>
      <c r="CX294" s="115" t="e">
        <v>#N/A</v>
      </c>
      <c r="CY294" s="115">
        <v>1.0047263613915816</v>
      </c>
      <c r="CZ294" t="e">
        <v>#N/A</v>
      </c>
      <c r="DA294" t="e">
        <v>#N/A</v>
      </c>
      <c r="DB294" t="str">
        <v/>
      </c>
    </row>
    <row r="295" spans="83:106" x14ac:dyDescent="0.2">
      <c r="CE295"/>
      <c r="CF295"/>
      <c r="CG295"/>
      <c r="CH295"/>
      <c r="CI295"/>
      <c r="CU295" s="42">
        <v>290</v>
      </c>
      <c r="CV295" s="115">
        <v>2</v>
      </c>
      <c r="CW295" s="115">
        <v>1.0047263613915816</v>
      </c>
      <c r="CX295" s="115" t="e">
        <v>#N/A</v>
      </c>
      <c r="CY295" s="115">
        <v>1.0047263613915816</v>
      </c>
      <c r="CZ295" t="e">
        <v>#N/A</v>
      </c>
      <c r="DA295" t="e">
        <v>#N/A</v>
      </c>
      <c r="DB295" t="str">
        <v/>
      </c>
    </row>
    <row r="296" spans="83:106" x14ac:dyDescent="0.2">
      <c r="CE296"/>
      <c r="CF296"/>
      <c r="CG296"/>
      <c r="CH296"/>
      <c r="CI296"/>
      <c r="CU296" s="42">
        <v>291</v>
      </c>
      <c r="CV296" s="115">
        <v>2</v>
      </c>
      <c r="CW296" s="115">
        <v>1.0047263613915816</v>
      </c>
      <c r="CX296" s="115" t="e">
        <v>#N/A</v>
      </c>
      <c r="CY296" s="115">
        <v>1.0047263613915816</v>
      </c>
      <c r="CZ296" t="e">
        <v>#N/A</v>
      </c>
      <c r="DA296" t="e">
        <v>#N/A</v>
      </c>
      <c r="DB296" t="str">
        <v/>
      </c>
    </row>
    <row r="297" spans="83:106" x14ac:dyDescent="0.2">
      <c r="CE297"/>
      <c r="CF297"/>
      <c r="CG297"/>
      <c r="CH297"/>
      <c r="CI297"/>
      <c r="CU297" s="42">
        <v>292</v>
      </c>
      <c r="CV297" s="115">
        <v>2</v>
      </c>
      <c r="CW297" s="115">
        <v>1.0047263613915816</v>
      </c>
      <c r="CX297" s="115" t="e">
        <v>#N/A</v>
      </c>
      <c r="CY297" s="115">
        <v>1.0047263613915816</v>
      </c>
      <c r="CZ297" t="e">
        <v>#N/A</v>
      </c>
      <c r="DA297" t="e">
        <v>#N/A</v>
      </c>
      <c r="DB297" t="str">
        <v/>
      </c>
    </row>
    <row r="298" spans="83:106" x14ac:dyDescent="0.2">
      <c r="CE298"/>
      <c r="CF298"/>
      <c r="CG298"/>
      <c r="CH298"/>
      <c r="CI298"/>
      <c r="CU298" s="42">
        <v>293</v>
      </c>
      <c r="CV298" s="115">
        <v>2</v>
      </c>
      <c r="CW298" s="115">
        <v>1.0047263613915816</v>
      </c>
      <c r="CX298" s="115" t="e">
        <v>#N/A</v>
      </c>
      <c r="CY298" s="115">
        <v>1.0047263613915816</v>
      </c>
      <c r="CZ298" t="e">
        <v>#N/A</v>
      </c>
      <c r="DA298" t="e">
        <v>#N/A</v>
      </c>
      <c r="DB298" t="str">
        <v/>
      </c>
    </row>
    <row r="299" spans="83:106" x14ac:dyDescent="0.2">
      <c r="CE299"/>
      <c r="CF299"/>
      <c r="CG299"/>
      <c r="CH299"/>
      <c r="CI299"/>
      <c r="CU299" s="42">
        <v>294</v>
      </c>
      <c r="CV299" s="115">
        <v>2</v>
      </c>
      <c r="CW299" s="115">
        <v>1.0047263613915816</v>
      </c>
      <c r="CX299" s="115" t="e">
        <v>#N/A</v>
      </c>
      <c r="CY299" s="115">
        <v>1.0047263613915816</v>
      </c>
      <c r="CZ299" t="e">
        <v>#N/A</v>
      </c>
      <c r="DA299" t="e">
        <v>#N/A</v>
      </c>
      <c r="DB299" t="str">
        <v/>
      </c>
    </row>
    <row r="300" spans="83:106" x14ac:dyDescent="0.2">
      <c r="CE300"/>
      <c r="CF300"/>
      <c r="CG300"/>
      <c r="CH300"/>
      <c r="CI300"/>
      <c r="CU300" s="42">
        <v>295</v>
      </c>
      <c r="CV300" s="115">
        <v>2</v>
      </c>
      <c r="CW300" s="115">
        <v>1.0047263613915816</v>
      </c>
      <c r="CX300" s="115" t="e">
        <v>#N/A</v>
      </c>
      <c r="CY300" s="115">
        <v>1.0047263613915816</v>
      </c>
      <c r="CZ300" t="e">
        <v>#N/A</v>
      </c>
      <c r="DA300" t="e">
        <v>#N/A</v>
      </c>
      <c r="DB300" t="str">
        <v/>
      </c>
    </row>
    <row r="301" spans="83:106" x14ac:dyDescent="0.2">
      <c r="CE301"/>
      <c r="CF301"/>
      <c r="CG301"/>
      <c r="CH301"/>
      <c r="CI301"/>
      <c r="CU301" s="42">
        <v>296</v>
      </c>
      <c r="CV301" s="115">
        <v>2</v>
      </c>
      <c r="CW301" s="115">
        <v>1.0047263613915816</v>
      </c>
      <c r="CX301" s="115" t="e">
        <v>#N/A</v>
      </c>
      <c r="CY301" s="115">
        <v>1.0047263613915816</v>
      </c>
      <c r="CZ301" t="e">
        <v>#N/A</v>
      </c>
      <c r="DA301" t="e">
        <v>#N/A</v>
      </c>
      <c r="DB301" t="str">
        <v/>
      </c>
    </row>
    <row r="302" spans="83:106" x14ac:dyDescent="0.2">
      <c r="CE302"/>
      <c r="CF302"/>
      <c r="CG302"/>
      <c r="CH302"/>
      <c r="CI302"/>
      <c r="CU302" s="42">
        <v>297</v>
      </c>
      <c r="CV302" s="115">
        <v>2</v>
      </c>
      <c r="CW302" s="115">
        <v>1.0047263613915816</v>
      </c>
      <c r="CX302" s="115" t="e">
        <v>#N/A</v>
      </c>
      <c r="CY302" s="115">
        <v>1.0047263613915816</v>
      </c>
      <c r="CZ302" t="e">
        <v>#N/A</v>
      </c>
      <c r="DA302" t="e">
        <v>#N/A</v>
      </c>
      <c r="DB302" t="str">
        <v/>
      </c>
    </row>
    <row r="303" spans="83:106" x14ac:dyDescent="0.2">
      <c r="CE303"/>
      <c r="CF303"/>
      <c r="CG303"/>
      <c r="CH303"/>
      <c r="CI303"/>
      <c r="CU303" s="42">
        <v>298</v>
      </c>
      <c r="CV303" s="115">
        <v>2</v>
      </c>
      <c r="CW303" s="115">
        <v>1.0047263613915816</v>
      </c>
      <c r="CX303" s="115" t="e">
        <v>#N/A</v>
      </c>
      <c r="CY303" s="115">
        <v>1.0047263613915816</v>
      </c>
      <c r="CZ303" t="e">
        <v>#N/A</v>
      </c>
      <c r="DA303" t="e">
        <v>#N/A</v>
      </c>
      <c r="DB303" t="str">
        <v/>
      </c>
    </row>
    <row r="304" spans="83:106" x14ac:dyDescent="0.2">
      <c r="CE304"/>
      <c r="CF304"/>
      <c r="CG304"/>
      <c r="CH304"/>
      <c r="CI304"/>
      <c r="CU304" s="42">
        <v>299</v>
      </c>
      <c r="CV304" s="115">
        <v>2</v>
      </c>
      <c r="CW304" s="115">
        <v>1.0047263613915816</v>
      </c>
      <c r="CX304" s="115" t="e">
        <v>#N/A</v>
      </c>
      <c r="CY304" s="115">
        <v>1.0047263613915816</v>
      </c>
      <c r="CZ304" t="e">
        <v>#N/A</v>
      </c>
      <c r="DA304" t="e">
        <v>#N/A</v>
      </c>
      <c r="DB304" t="str">
        <v/>
      </c>
    </row>
    <row r="305" spans="83:106" x14ac:dyDescent="0.2">
      <c r="CE305"/>
      <c r="CF305"/>
      <c r="CG305"/>
      <c r="CH305"/>
      <c r="CI305"/>
      <c r="CU305" s="42">
        <v>300</v>
      </c>
      <c r="CV305" s="115">
        <v>2</v>
      </c>
      <c r="CW305" s="115">
        <v>1.0047263613915816</v>
      </c>
      <c r="CX305" s="115" t="e">
        <v>#N/A</v>
      </c>
      <c r="CY305" s="115">
        <v>1.0047263613915816</v>
      </c>
      <c r="CZ305" t="e">
        <v>#N/A</v>
      </c>
      <c r="DA305" t="e">
        <v>#N/A</v>
      </c>
      <c r="DB305" t="str">
        <v/>
      </c>
    </row>
    <row r="306" spans="83:106" x14ac:dyDescent="0.2">
      <c r="CE306"/>
      <c r="CF306"/>
      <c r="CG306"/>
      <c r="CH306"/>
      <c r="CI306"/>
      <c r="CU306" s="42">
        <v>301</v>
      </c>
      <c r="CV306" s="115">
        <v>2</v>
      </c>
      <c r="CW306" s="115">
        <v>1.0047263613915816</v>
      </c>
      <c r="CX306" s="115" t="e">
        <v>#N/A</v>
      </c>
      <c r="CY306" s="115">
        <v>1.0047263613915816</v>
      </c>
      <c r="CZ306" t="e">
        <v>#N/A</v>
      </c>
      <c r="DA306" t="e">
        <v>#N/A</v>
      </c>
      <c r="DB306" t="str">
        <v/>
      </c>
    </row>
    <row r="307" spans="83:106" x14ac:dyDescent="0.2">
      <c r="CE307"/>
      <c r="CF307"/>
      <c r="CG307"/>
      <c r="CH307"/>
      <c r="CI307"/>
      <c r="CU307" s="42">
        <v>302</v>
      </c>
      <c r="CV307" s="115">
        <v>2</v>
      </c>
      <c r="CW307" s="115">
        <v>1.0047263613915816</v>
      </c>
      <c r="CX307" s="115" t="e">
        <v>#N/A</v>
      </c>
      <c r="CY307" s="115">
        <v>1.0047263613915816</v>
      </c>
      <c r="CZ307" t="e">
        <v>#N/A</v>
      </c>
      <c r="DA307" t="e">
        <v>#N/A</v>
      </c>
      <c r="DB307" t="str">
        <v/>
      </c>
    </row>
    <row r="308" spans="83:106" x14ac:dyDescent="0.2">
      <c r="CE308"/>
      <c r="CF308"/>
      <c r="CG308"/>
      <c r="CH308"/>
      <c r="CI308"/>
      <c r="CU308" s="42">
        <v>303</v>
      </c>
      <c r="CV308" s="115">
        <v>2</v>
      </c>
      <c r="CW308" s="115">
        <v>1.0047263613915816</v>
      </c>
      <c r="CX308" s="115" t="e">
        <v>#N/A</v>
      </c>
      <c r="CY308" s="115">
        <v>1.0047263613915816</v>
      </c>
      <c r="CZ308" t="e">
        <v>#N/A</v>
      </c>
      <c r="DA308" t="e">
        <v>#N/A</v>
      </c>
      <c r="DB308" t="str">
        <v/>
      </c>
    </row>
    <row r="309" spans="83:106" x14ac:dyDescent="0.2">
      <c r="CE309"/>
      <c r="CF309"/>
      <c r="CG309"/>
      <c r="CH309"/>
      <c r="CI309"/>
      <c r="CU309" s="42">
        <v>304</v>
      </c>
      <c r="CV309" s="115">
        <v>2</v>
      </c>
      <c r="CW309" s="115">
        <v>1.0047263613915816</v>
      </c>
      <c r="CX309" s="115" t="e">
        <v>#N/A</v>
      </c>
      <c r="CY309" s="115">
        <v>1.0047263613915816</v>
      </c>
      <c r="CZ309" t="e">
        <v>#N/A</v>
      </c>
      <c r="DA309" t="e">
        <v>#N/A</v>
      </c>
      <c r="DB309" t="str">
        <v/>
      </c>
    </row>
    <row r="310" spans="83:106" x14ac:dyDescent="0.2">
      <c r="CE310"/>
      <c r="CF310"/>
      <c r="CG310"/>
      <c r="CH310"/>
      <c r="CI310"/>
      <c r="CU310" s="42">
        <v>305</v>
      </c>
      <c r="CV310" s="115">
        <v>2</v>
      </c>
      <c r="CW310" s="115">
        <v>1.0047263613915816</v>
      </c>
      <c r="CX310" s="115" t="e">
        <v>#N/A</v>
      </c>
      <c r="CY310" s="115">
        <v>1.0047263613915816</v>
      </c>
      <c r="CZ310" t="e">
        <v>#N/A</v>
      </c>
      <c r="DA310" t="e">
        <v>#N/A</v>
      </c>
      <c r="DB310" t="str">
        <v/>
      </c>
    </row>
    <row r="311" spans="83:106" x14ac:dyDescent="0.2">
      <c r="CE311"/>
      <c r="CF311"/>
      <c r="CG311"/>
      <c r="CH311"/>
      <c r="CI311"/>
      <c r="CU311" s="42">
        <v>306</v>
      </c>
      <c r="CV311" s="115">
        <v>2</v>
      </c>
      <c r="CW311" s="115">
        <v>1.0047263613915816</v>
      </c>
      <c r="CX311" s="115" t="e">
        <v>#N/A</v>
      </c>
      <c r="CY311" s="115">
        <v>1.0047263613915816</v>
      </c>
      <c r="CZ311" t="e">
        <v>#N/A</v>
      </c>
      <c r="DA311" t="e">
        <v>#N/A</v>
      </c>
      <c r="DB311" t="str">
        <v/>
      </c>
    </row>
    <row r="312" spans="83:106" x14ac:dyDescent="0.2">
      <c r="CE312"/>
      <c r="CF312"/>
      <c r="CG312"/>
      <c r="CH312"/>
      <c r="CI312"/>
      <c r="CU312" s="42">
        <v>307</v>
      </c>
      <c r="CV312" s="115">
        <v>2</v>
      </c>
      <c r="CW312" s="115">
        <v>1.0047263613915816</v>
      </c>
      <c r="CX312" s="115" t="e">
        <v>#N/A</v>
      </c>
      <c r="CY312" s="115">
        <v>1.0047263613915816</v>
      </c>
      <c r="CZ312" t="e">
        <v>#N/A</v>
      </c>
      <c r="DA312" t="e">
        <v>#N/A</v>
      </c>
      <c r="DB312" t="str">
        <v/>
      </c>
    </row>
    <row r="313" spans="83:106" x14ac:dyDescent="0.2">
      <c r="CE313"/>
      <c r="CF313"/>
      <c r="CG313"/>
      <c r="CH313"/>
      <c r="CI313"/>
      <c r="CU313" s="42">
        <v>308</v>
      </c>
      <c r="CV313" s="115">
        <v>2</v>
      </c>
      <c r="CW313" s="115">
        <v>1.0047263613915816</v>
      </c>
      <c r="CX313" s="115" t="e">
        <v>#N/A</v>
      </c>
      <c r="CY313" s="115">
        <v>1.0047263613915816</v>
      </c>
      <c r="CZ313" t="e">
        <v>#N/A</v>
      </c>
      <c r="DA313" t="e">
        <v>#N/A</v>
      </c>
      <c r="DB313" t="str">
        <v/>
      </c>
    </row>
    <row r="314" spans="83:106" x14ac:dyDescent="0.2">
      <c r="CE314"/>
      <c r="CF314"/>
      <c r="CG314"/>
      <c r="CH314"/>
      <c r="CI314"/>
      <c r="CU314" s="42">
        <v>309</v>
      </c>
      <c r="CV314" s="115">
        <v>2</v>
      </c>
      <c r="CW314" s="115">
        <v>1.0047263613915816</v>
      </c>
      <c r="CX314" s="115" t="e">
        <v>#N/A</v>
      </c>
      <c r="CY314" s="115">
        <v>1.0047263613915816</v>
      </c>
      <c r="CZ314" t="e">
        <v>#N/A</v>
      </c>
      <c r="DA314" t="e">
        <v>#N/A</v>
      </c>
      <c r="DB314" t="str">
        <v/>
      </c>
    </row>
    <row r="315" spans="83:106" x14ac:dyDescent="0.2">
      <c r="CE315"/>
      <c r="CF315"/>
      <c r="CG315"/>
      <c r="CH315"/>
      <c r="CI315"/>
      <c r="CU315" s="42">
        <v>310</v>
      </c>
      <c r="CV315" s="115">
        <v>2</v>
      </c>
      <c r="CW315" s="115">
        <v>1.0047263613915816</v>
      </c>
      <c r="CX315" s="115" t="e">
        <v>#N/A</v>
      </c>
      <c r="CY315" s="115">
        <v>1.0047263613915816</v>
      </c>
      <c r="CZ315" t="e">
        <v>#N/A</v>
      </c>
      <c r="DA315" t="e">
        <v>#N/A</v>
      </c>
      <c r="DB315" t="str">
        <v/>
      </c>
    </row>
    <row r="316" spans="83:106" x14ac:dyDescent="0.2">
      <c r="CE316"/>
      <c r="CF316"/>
      <c r="CG316"/>
      <c r="CH316"/>
      <c r="CI316"/>
      <c r="CU316" s="42">
        <v>311</v>
      </c>
      <c r="CV316" s="115">
        <v>2</v>
      </c>
      <c r="CW316" s="115">
        <v>1.0047263613915816</v>
      </c>
      <c r="CX316" s="115" t="e">
        <v>#N/A</v>
      </c>
      <c r="CY316" s="115">
        <v>1.0047263613915816</v>
      </c>
      <c r="CZ316" t="e">
        <v>#N/A</v>
      </c>
      <c r="DA316" t="e">
        <v>#N/A</v>
      </c>
      <c r="DB316" t="str">
        <v/>
      </c>
    </row>
    <row r="317" spans="83:106" x14ac:dyDescent="0.2">
      <c r="CE317"/>
      <c r="CF317"/>
      <c r="CG317"/>
      <c r="CH317"/>
      <c r="CI317"/>
      <c r="CU317" s="42">
        <v>312</v>
      </c>
      <c r="CV317" s="115">
        <v>2</v>
      </c>
      <c r="CW317" s="115">
        <v>1.0047263613915816</v>
      </c>
      <c r="CX317" s="115" t="e">
        <v>#N/A</v>
      </c>
      <c r="CY317" s="115">
        <v>1.0047263613915816</v>
      </c>
      <c r="CZ317" t="e">
        <v>#N/A</v>
      </c>
      <c r="DA317" t="e">
        <v>#N/A</v>
      </c>
      <c r="DB317" t="str">
        <v/>
      </c>
    </row>
    <row r="318" spans="83:106" x14ac:dyDescent="0.2">
      <c r="CE318"/>
      <c r="CF318"/>
      <c r="CG318"/>
      <c r="CH318"/>
      <c r="CI318"/>
      <c r="CU318" s="42">
        <v>313</v>
      </c>
      <c r="CV318" s="115">
        <v>2</v>
      </c>
      <c r="CW318" s="115">
        <v>1.0047263613915816</v>
      </c>
      <c r="CX318" s="115" t="e">
        <v>#N/A</v>
      </c>
      <c r="CY318" s="115">
        <v>1.0047263613915816</v>
      </c>
      <c r="CZ318" t="e">
        <v>#N/A</v>
      </c>
      <c r="DA318" t="e">
        <v>#N/A</v>
      </c>
      <c r="DB318" t="str">
        <v/>
      </c>
    </row>
    <row r="319" spans="83:106" x14ac:dyDescent="0.2">
      <c r="CE319"/>
      <c r="CF319"/>
      <c r="CG319"/>
      <c r="CH319"/>
      <c r="CI319"/>
      <c r="CU319" s="42">
        <v>314</v>
      </c>
      <c r="CV319" s="115">
        <v>2</v>
      </c>
      <c r="CW319" s="115">
        <v>1.0047263613915816</v>
      </c>
      <c r="CX319" s="115" t="e">
        <v>#N/A</v>
      </c>
      <c r="CY319" s="115">
        <v>1.0047263613915816</v>
      </c>
      <c r="CZ319" t="e">
        <v>#N/A</v>
      </c>
      <c r="DA319" t="e">
        <v>#N/A</v>
      </c>
      <c r="DB319" t="str">
        <v/>
      </c>
    </row>
    <row r="320" spans="83:106" x14ac:dyDescent="0.2">
      <c r="CE320"/>
      <c r="CF320"/>
      <c r="CG320"/>
      <c r="CH320"/>
      <c r="CI320"/>
      <c r="CU320" s="42">
        <v>315</v>
      </c>
      <c r="CV320" s="115">
        <v>2</v>
      </c>
      <c r="CW320" s="115">
        <v>1.0047263613915816</v>
      </c>
      <c r="CX320" s="115" t="e">
        <v>#N/A</v>
      </c>
      <c r="CY320" s="115">
        <v>1.0047263613915816</v>
      </c>
      <c r="CZ320" s="137" t="e">
        <v>#N/A</v>
      </c>
      <c r="DA320" t="e">
        <v>#N/A</v>
      </c>
      <c r="DB320" t="str">
        <v/>
      </c>
    </row>
    <row r="321" spans="83:106" x14ac:dyDescent="0.2">
      <c r="CE321"/>
      <c r="CF321"/>
      <c r="CG321"/>
      <c r="CH321"/>
      <c r="CI321"/>
      <c r="CU321" s="42">
        <v>316</v>
      </c>
      <c r="CV321" s="115">
        <v>2</v>
      </c>
      <c r="CW321" s="115">
        <v>1.0047263613915816</v>
      </c>
      <c r="CX321" s="115" t="e">
        <v>#N/A</v>
      </c>
      <c r="CY321" s="115">
        <v>1.0047263613915816</v>
      </c>
      <c r="CZ321" s="137" t="e">
        <v>#N/A</v>
      </c>
      <c r="DA321" t="e">
        <v>#N/A</v>
      </c>
      <c r="DB321" t="str">
        <v/>
      </c>
    </row>
    <row r="322" spans="83:106" x14ac:dyDescent="0.2">
      <c r="CE322"/>
      <c r="CF322"/>
      <c r="CG322"/>
      <c r="CH322"/>
      <c r="CI322"/>
      <c r="CU322" s="42">
        <v>317</v>
      </c>
      <c r="CV322" s="115">
        <v>2</v>
      </c>
      <c r="CW322" s="115">
        <v>1.0047263613915816</v>
      </c>
      <c r="CX322" s="115" t="e">
        <v>#N/A</v>
      </c>
      <c r="CY322" s="115">
        <v>1.0047263613915816</v>
      </c>
      <c r="CZ322" s="137" t="e">
        <v>#N/A</v>
      </c>
      <c r="DA322" t="e">
        <v>#N/A</v>
      </c>
      <c r="DB322" t="str">
        <v/>
      </c>
    </row>
    <row r="323" spans="83:106" x14ac:dyDescent="0.2">
      <c r="CE323"/>
      <c r="CF323"/>
      <c r="CG323"/>
      <c r="CH323"/>
      <c r="CI323"/>
      <c r="CU323" s="42">
        <v>318</v>
      </c>
      <c r="CV323" s="115">
        <v>2</v>
      </c>
      <c r="CW323" s="115">
        <v>1.0047263613915816</v>
      </c>
      <c r="CX323" s="115" t="e">
        <v>#N/A</v>
      </c>
      <c r="CY323" s="115">
        <v>1.0047263613915816</v>
      </c>
      <c r="CZ323" s="137" t="e">
        <v>#N/A</v>
      </c>
      <c r="DA323" t="e">
        <v>#N/A</v>
      </c>
      <c r="DB323" t="str">
        <v/>
      </c>
    </row>
    <row r="324" spans="83:106" x14ac:dyDescent="0.2">
      <c r="CE324"/>
      <c r="CF324"/>
      <c r="CG324"/>
      <c r="CH324"/>
      <c r="CI324"/>
      <c r="CU324" s="42">
        <v>319</v>
      </c>
      <c r="CV324" s="115">
        <v>2</v>
      </c>
      <c r="CW324" s="115">
        <v>1.0047263613915816</v>
      </c>
      <c r="CX324" s="115" t="e">
        <v>#N/A</v>
      </c>
      <c r="CY324" s="115">
        <v>1.0047263613915816</v>
      </c>
      <c r="CZ324" s="137" t="e">
        <v>#N/A</v>
      </c>
      <c r="DA324" t="e">
        <v>#N/A</v>
      </c>
      <c r="DB324" t="str">
        <v/>
      </c>
    </row>
    <row r="325" spans="83:106" x14ac:dyDescent="0.2">
      <c r="CE325"/>
      <c r="CF325"/>
      <c r="CG325"/>
      <c r="CH325"/>
      <c r="CI325"/>
      <c r="CU325" s="42">
        <v>320</v>
      </c>
      <c r="CV325" s="115">
        <v>2</v>
      </c>
      <c r="CW325" s="115">
        <v>1.0047263613915816</v>
      </c>
      <c r="CX325" s="115" t="e">
        <v>#N/A</v>
      </c>
      <c r="CY325" s="115">
        <v>1.0047263613915816</v>
      </c>
      <c r="CZ325" s="137" t="e">
        <v>#N/A</v>
      </c>
      <c r="DA325" t="e">
        <v>#N/A</v>
      </c>
      <c r="DB325" t="str">
        <v/>
      </c>
    </row>
    <row r="326" spans="83:106" x14ac:dyDescent="0.2">
      <c r="CE326"/>
      <c r="CF326"/>
      <c r="CG326"/>
      <c r="CH326"/>
      <c r="CI326"/>
      <c r="CU326" s="42">
        <v>321</v>
      </c>
      <c r="CV326" s="115">
        <v>2</v>
      </c>
      <c r="CW326" s="115">
        <v>1.0047263613915816</v>
      </c>
      <c r="CX326" s="115" t="e">
        <v>#N/A</v>
      </c>
      <c r="CY326" s="115">
        <v>1.0047263613915816</v>
      </c>
      <c r="CZ326" s="137" t="e">
        <v>#N/A</v>
      </c>
      <c r="DA326" t="e">
        <v>#N/A</v>
      </c>
      <c r="DB326" t="str">
        <v/>
      </c>
    </row>
    <row r="327" spans="83:106" x14ac:dyDescent="0.2">
      <c r="CE327"/>
      <c r="CF327"/>
      <c r="CG327"/>
      <c r="CH327"/>
      <c r="CI327"/>
      <c r="CU327" s="42">
        <v>322</v>
      </c>
      <c r="CV327" s="115">
        <v>2</v>
      </c>
      <c r="CW327" s="115">
        <v>1.0047263613915816</v>
      </c>
      <c r="CX327" s="115" t="e">
        <v>#N/A</v>
      </c>
      <c r="CY327" s="115">
        <v>1.0047263613915816</v>
      </c>
      <c r="CZ327" s="137" t="e">
        <v>#N/A</v>
      </c>
      <c r="DA327" t="e">
        <v>#N/A</v>
      </c>
      <c r="DB327" t="str">
        <v/>
      </c>
    </row>
    <row r="328" spans="83:106" x14ac:dyDescent="0.2">
      <c r="CE328"/>
      <c r="CF328"/>
      <c r="CG328"/>
      <c r="CH328"/>
      <c r="CI328"/>
      <c r="CU328" s="42">
        <v>323</v>
      </c>
      <c r="CV328" s="115">
        <v>2</v>
      </c>
      <c r="CW328" s="115">
        <v>1.0047263613915816</v>
      </c>
      <c r="CX328" s="115" t="e">
        <v>#N/A</v>
      </c>
      <c r="CY328" s="115">
        <v>1.0047263613915816</v>
      </c>
      <c r="CZ328" s="137" t="e">
        <v>#N/A</v>
      </c>
      <c r="DA328" t="e">
        <v>#N/A</v>
      </c>
      <c r="DB328" t="str">
        <v/>
      </c>
    </row>
    <row r="329" spans="83:106" x14ac:dyDescent="0.2">
      <c r="CE329"/>
      <c r="CF329"/>
      <c r="CG329"/>
      <c r="CH329"/>
      <c r="CI329"/>
      <c r="CU329" s="42">
        <v>324</v>
      </c>
      <c r="CV329" s="115">
        <v>2</v>
      </c>
      <c r="CW329" s="115">
        <v>1.0047263613915816</v>
      </c>
      <c r="CX329" s="115" t="e">
        <v>#N/A</v>
      </c>
      <c r="CY329" s="115">
        <v>1.0047263613915816</v>
      </c>
      <c r="CZ329" s="137" t="e">
        <v>#N/A</v>
      </c>
      <c r="DA329" t="e">
        <v>#N/A</v>
      </c>
      <c r="DB329" t="str">
        <v/>
      </c>
    </row>
    <row r="330" spans="83:106" x14ac:dyDescent="0.2">
      <c r="CE330"/>
      <c r="CF330"/>
      <c r="CG330"/>
      <c r="CH330"/>
      <c r="CI330"/>
      <c r="CU330" s="42">
        <v>325</v>
      </c>
      <c r="CV330" s="115">
        <v>2</v>
      </c>
      <c r="CW330" s="115">
        <v>1.0047263613915816</v>
      </c>
      <c r="CX330" s="115" t="e">
        <v>#N/A</v>
      </c>
      <c r="CY330" s="115">
        <v>1.0047263613915816</v>
      </c>
      <c r="CZ330" s="137" t="e">
        <v>#N/A</v>
      </c>
      <c r="DA330" t="e">
        <v>#N/A</v>
      </c>
      <c r="DB330" t="str">
        <v/>
      </c>
    </row>
    <row r="331" spans="83:106" x14ac:dyDescent="0.2">
      <c r="CE331"/>
      <c r="CF331"/>
      <c r="CG331"/>
      <c r="CH331"/>
      <c r="CI331"/>
      <c r="CU331" s="42">
        <v>326</v>
      </c>
      <c r="CV331" s="115">
        <v>2</v>
      </c>
      <c r="CW331" s="115">
        <v>1.0047263613915816</v>
      </c>
      <c r="CX331" s="115" t="e">
        <v>#N/A</v>
      </c>
      <c r="CY331" s="115">
        <v>1.0047263613915816</v>
      </c>
      <c r="CZ331" s="137" t="e">
        <v>#N/A</v>
      </c>
      <c r="DA331" t="e">
        <v>#N/A</v>
      </c>
      <c r="DB331" t="str">
        <v/>
      </c>
    </row>
    <row r="332" spans="83:106" x14ac:dyDescent="0.2">
      <c r="CE332"/>
      <c r="CF332"/>
      <c r="CG332"/>
      <c r="CH332"/>
      <c r="CI332"/>
      <c r="CU332" s="42">
        <v>327</v>
      </c>
      <c r="CV332" s="115">
        <v>2</v>
      </c>
      <c r="CW332" s="115">
        <v>1.0047263613915816</v>
      </c>
      <c r="CX332" s="115" t="e">
        <v>#N/A</v>
      </c>
      <c r="CY332" s="115">
        <v>1.0047263613915816</v>
      </c>
      <c r="CZ332" s="137" t="e">
        <v>#N/A</v>
      </c>
      <c r="DA332" t="e">
        <v>#N/A</v>
      </c>
      <c r="DB332" t="str">
        <v/>
      </c>
    </row>
    <row r="333" spans="83:106" x14ac:dyDescent="0.2">
      <c r="CE333"/>
      <c r="CF333"/>
      <c r="CG333"/>
      <c r="CH333"/>
      <c r="CI333"/>
      <c r="CU333" s="42">
        <v>328</v>
      </c>
      <c r="CV333" s="115">
        <v>2</v>
      </c>
      <c r="CW333" s="115">
        <v>1.0047263613915816</v>
      </c>
      <c r="CX333" s="115" t="e">
        <v>#N/A</v>
      </c>
      <c r="CY333" s="115">
        <v>1.0047263613915816</v>
      </c>
      <c r="CZ333" s="137" t="e">
        <v>#N/A</v>
      </c>
      <c r="DA333" t="e">
        <v>#N/A</v>
      </c>
      <c r="DB333" t="str">
        <v/>
      </c>
    </row>
    <row r="334" spans="83:106" x14ac:dyDescent="0.2">
      <c r="CE334"/>
      <c r="CF334"/>
      <c r="CG334"/>
      <c r="CH334"/>
      <c r="CI334"/>
      <c r="CU334" s="42">
        <v>329</v>
      </c>
      <c r="CV334" s="115">
        <v>2</v>
      </c>
      <c r="CW334" s="115">
        <v>1.0047263613915816</v>
      </c>
      <c r="CX334" s="115" t="e">
        <v>#N/A</v>
      </c>
      <c r="CY334" s="115">
        <v>1.0047263613915816</v>
      </c>
      <c r="CZ334" s="137" t="e">
        <v>#N/A</v>
      </c>
      <c r="DA334" t="e">
        <v>#N/A</v>
      </c>
      <c r="DB334" t="str">
        <v/>
      </c>
    </row>
    <row r="335" spans="83:106" x14ac:dyDescent="0.2">
      <c r="CE335"/>
      <c r="CF335"/>
      <c r="CG335"/>
      <c r="CH335"/>
      <c r="CI335"/>
      <c r="CU335" s="42">
        <v>330</v>
      </c>
      <c r="CV335" s="115">
        <v>2</v>
      </c>
      <c r="CW335" s="115">
        <v>1.0047263613915816</v>
      </c>
      <c r="CX335" s="115" t="e">
        <v>#N/A</v>
      </c>
      <c r="CY335" s="115">
        <v>1.0047263613915816</v>
      </c>
      <c r="CZ335" s="137" t="e">
        <v>#N/A</v>
      </c>
      <c r="DA335" t="e">
        <v>#N/A</v>
      </c>
      <c r="DB335" t="str">
        <v/>
      </c>
    </row>
    <row r="336" spans="83:106" x14ac:dyDescent="0.2">
      <c r="CE336"/>
      <c r="CF336"/>
      <c r="CG336"/>
      <c r="CH336"/>
      <c r="CI336"/>
      <c r="CU336" s="42">
        <v>331</v>
      </c>
      <c r="CV336" s="115">
        <v>2</v>
      </c>
      <c r="CW336" s="115">
        <v>1.0047263613915816</v>
      </c>
      <c r="CX336" s="115" t="e">
        <v>#N/A</v>
      </c>
      <c r="CY336" s="115">
        <v>1.0047263613915816</v>
      </c>
      <c r="CZ336" s="137" t="e">
        <v>#N/A</v>
      </c>
      <c r="DA336" t="e">
        <v>#N/A</v>
      </c>
      <c r="DB336" t="str">
        <v/>
      </c>
    </row>
    <row r="337" spans="83:106" x14ac:dyDescent="0.2">
      <c r="CE337"/>
      <c r="CF337"/>
      <c r="CG337"/>
      <c r="CH337"/>
      <c r="CI337"/>
      <c r="CU337" s="42">
        <v>332</v>
      </c>
      <c r="CV337" s="115">
        <v>2</v>
      </c>
      <c r="CW337" s="115">
        <v>1.0047263613915816</v>
      </c>
      <c r="CX337" s="115" t="e">
        <v>#N/A</v>
      </c>
      <c r="CY337" s="115">
        <v>1.0047263613915816</v>
      </c>
      <c r="CZ337" s="137" t="e">
        <v>#N/A</v>
      </c>
      <c r="DA337" t="e">
        <v>#N/A</v>
      </c>
      <c r="DB337" t="str">
        <v/>
      </c>
    </row>
    <row r="338" spans="83:106" x14ac:dyDescent="0.2">
      <c r="CE338"/>
      <c r="CF338"/>
      <c r="CG338"/>
      <c r="CH338"/>
      <c r="CI338"/>
      <c r="CU338" s="42">
        <v>333</v>
      </c>
      <c r="CV338" s="115">
        <v>2</v>
      </c>
      <c r="CW338" s="115">
        <v>1.0047263613915816</v>
      </c>
      <c r="CX338" s="115" t="e">
        <v>#N/A</v>
      </c>
      <c r="CY338" s="115">
        <v>1.0047263613915816</v>
      </c>
      <c r="CZ338" s="137" t="e">
        <v>#N/A</v>
      </c>
      <c r="DA338" t="e">
        <v>#N/A</v>
      </c>
      <c r="DB338" t="str">
        <v/>
      </c>
    </row>
    <row r="339" spans="83:106" x14ac:dyDescent="0.2">
      <c r="CE339"/>
      <c r="CF339"/>
      <c r="CG339"/>
      <c r="CH339"/>
      <c r="CI339"/>
      <c r="CU339" s="42">
        <v>334</v>
      </c>
      <c r="CV339" s="115">
        <v>2</v>
      </c>
      <c r="CW339" s="115">
        <v>1.0047263613915816</v>
      </c>
      <c r="CX339" s="115" t="e">
        <v>#N/A</v>
      </c>
      <c r="CY339" s="115">
        <v>1.0047263613915816</v>
      </c>
      <c r="CZ339" s="137" t="e">
        <v>#N/A</v>
      </c>
      <c r="DA339" t="e">
        <v>#N/A</v>
      </c>
      <c r="DB339" t="str">
        <v/>
      </c>
    </row>
    <row r="340" spans="83:106" x14ac:dyDescent="0.2">
      <c r="CE340"/>
      <c r="CF340"/>
      <c r="CG340"/>
      <c r="CH340"/>
      <c r="CI340"/>
      <c r="CU340" s="42">
        <v>335</v>
      </c>
      <c r="CV340" s="115">
        <v>2</v>
      </c>
      <c r="CW340" s="115">
        <v>1.0047263613915816</v>
      </c>
      <c r="CX340" s="115" t="e">
        <v>#N/A</v>
      </c>
      <c r="CY340" s="115">
        <v>1.0047263613915816</v>
      </c>
      <c r="CZ340" s="137" t="e">
        <v>#N/A</v>
      </c>
      <c r="DA340" t="e">
        <v>#N/A</v>
      </c>
      <c r="DB340" t="str">
        <v/>
      </c>
    </row>
    <row r="341" spans="83:106" x14ac:dyDescent="0.2">
      <c r="CE341"/>
      <c r="CF341"/>
      <c r="CG341"/>
      <c r="CH341"/>
      <c r="CI341"/>
      <c r="CU341" s="42">
        <v>336</v>
      </c>
      <c r="CV341" s="115">
        <v>2</v>
      </c>
      <c r="CW341" s="115">
        <v>1.0047263613915816</v>
      </c>
      <c r="CX341" s="115" t="e">
        <v>#N/A</v>
      </c>
      <c r="CY341" s="115">
        <v>1.0047263613915816</v>
      </c>
      <c r="CZ341" s="137" t="e">
        <v>#N/A</v>
      </c>
      <c r="DA341" t="e">
        <v>#N/A</v>
      </c>
      <c r="DB341" t="str">
        <v/>
      </c>
    </row>
    <row r="342" spans="83:106" x14ac:dyDescent="0.2">
      <c r="CE342"/>
      <c r="CF342"/>
      <c r="CG342"/>
      <c r="CH342"/>
      <c r="CI342"/>
      <c r="CU342" s="42">
        <v>337</v>
      </c>
      <c r="CV342" s="115">
        <v>2</v>
      </c>
      <c r="CW342" s="115">
        <v>1.0047263613915816</v>
      </c>
      <c r="CX342" s="115" t="e">
        <v>#N/A</v>
      </c>
      <c r="CY342" s="115">
        <v>1.0047263613915816</v>
      </c>
      <c r="CZ342" s="137" t="e">
        <v>#N/A</v>
      </c>
      <c r="DA342" t="e">
        <v>#N/A</v>
      </c>
      <c r="DB342" t="str">
        <v/>
      </c>
    </row>
    <row r="343" spans="83:106" x14ac:dyDescent="0.2">
      <c r="CE343"/>
      <c r="CF343"/>
      <c r="CG343"/>
      <c r="CH343"/>
      <c r="CI343"/>
      <c r="CU343" s="42">
        <v>338</v>
      </c>
      <c r="CV343" s="115">
        <v>2</v>
      </c>
      <c r="CW343" s="115">
        <v>1.0047263613915816</v>
      </c>
      <c r="CX343" s="115" t="e">
        <v>#N/A</v>
      </c>
      <c r="CY343" s="115">
        <v>1.0047263613915816</v>
      </c>
      <c r="CZ343" s="137" t="e">
        <v>#N/A</v>
      </c>
      <c r="DA343" t="e">
        <v>#N/A</v>
      </c>
      <c r="DB343" t="str">
        <v/>
      </c>
    </row>
    <row r="344" spans="83:106" x14ac:dyDescent="0.2">
      <c r="CE344"/>
      <c r="CF344"/>
      <c r="CG344"/>
      <c r="CH344"/>
      <c r="CI344"/>
      <c r="CU344" s="42">
        <v>339</v>
      </c>
      <c r="CV344" s="115">
        <v>2</v>
      </c>
      <c r="CW344" s="115">
        <v>1.0047263613915816</v>
      </c>
      <c r="CX344" s="115" t="e">
        <v>#N/A</v>
      </c>
      <c r="CY344" s="115">
        <v>1.0047263613915816</v>
      </c>
      <c r="CZ344" s="137" t="e">
        <v>#N/A</v>
      </c>
      <c r="DA344" t="e">
        <v>#N/A</v>
      </c>
      <c r="DB344" t="str">
        <v/>
      </c>
    </row>
    <row r="345" spans="83:106" x14ac:dyDescent="0.2">
      <c r="CE345"/>
      <c r="CF345"/>
      <c r="CG345"/>
      <c r="CH345"/>
      <c r="CI345"/>
      <c r="CU345" s="42">
        <v>340</v>
      </c>
      <c r="CV345" s="115">
        <v>2</v>
      </c>
      <c r="CW345" s="115">
        <v>1.0047263613915816</v>
      </c>
      <c r="CX345" s="115" t="e">
        <v>#N/A</v>
      </c>
      <c r="CY345" s="115">
        <v>1.0047263613915816</v>
      </c>
      <c r="CZ345" s="137" t="e">
        <v>#N/A</v>
      </c>
      <c r="DA345" t="e">
        <v>#N/A</v>
      </c>
      <c r="DB345" t="str">
        <v/>
      </c>
    </row>
    <row r="346" spans="83:106" x14ac:dyDescent="0.2">
      <c r="CE346"/>
      <c r="CF346"/>
      <c r="CG346"/>
      <c r="CH346"/>
      <c r="CI346"/>
      <c r="CU346" s="42">
        <v>341</v>
      </c>
      <c r="CV346" s="115">
        <v>2</v>
      </c>
      <c r="CW346" s="115">
        <v>1.0047263613915816</v>
      </c>
      <c r="CX346" s="115" t="e">
        <v>#N/A</v>
      </c>
      <c r="CY346" s="115">
        <v>1.0047263613915816</v>
      </c>
      <c r="CZ346" s="137" t="e">
        <v>#N/A</v>
      </c>
      <c r="DA346" t="e">
        <v>#N/A</v>
      </c>
      <c r="DB346" t="str">
        <v/>
      </c>
    </row>
    <row r="347" spans="83:106" x14ac:dyDescent="0.2">
      <c r="CE347"/>
      <c r="CF347"/>
      <c r="CG347"/>
      <c r="CH347"/>
      <c r="CI347"/>
      <c r="CU347" s="42">
        <v>342</v>
      </c>
      <c r="CV347" s="115">
        <v>2</v>
      </c>
      <c r="CW347" s="115">
        <v>1.0047263613915816</v>
      </c>
      <c r="CX347" s="115" t="e">
        <v>#N/A</v>
      </c>
      <c r="CY347" s="115">
        <v>1.0047263613915816</v>
      </c>
      <c r="CZ347" s="137" t="e">
        <v>#N/A</v>
      </c>
      <c r="DA347" t="e">
        <v>#N/A</v>
      </c>
      <c r="DB347" t="str">
        <v/>
      </c>
    </row>
    <row r="348" spans="83:106" x14ac:dyDescent="0.2">
      <c r="CE348"/>
      <c r="CF348"/>
      <c r="CG348"/>
      <c r="CH348"/>
      <c r="CI348"/>
      <c r="CU348" s="42">
        <v>343</v>
      </c>
      <c r="CV348" s="115">
        <v>2</v>
      </c>
      <c r="CW348" s="115">
        <v>1.0047263613915816</v>
      </c>
      <c r="CX348" s="115" t="e">
        <v>#N/A</v>
      </c>
      <c r="CY348" s="115">
        <v>1.0047263613915816</v>
      </c>
      <c r="CZ348" s="137" t="e">
        <v>#N/A</v>
      </c>
      <c r="DA348" t="e">
        <v>#N/A</v>
      </c>
      <c r="DB348" t="str">
        <v/>
      </c>
    </row>
    <row r="349" spans="83:106" x14ac:dyDescent="0.2">
      <c r="CE349"/>
      <c r="CF349"/>
      <c r="CG349"/>
      <c r="CH349"/>
      <c r="CI349"/>
      <c r="CU349" s="42">
        <v>344</v>
      </c>
      <c r="CV349" s="115">
        <v>2</v>
      </c>
      <c r="CW349" s="115">
        <v>1.0047263613915816</v>
      </c>
      <c r="CX349" s="115" t="e">
        <v>#N/A</v>
      </c>
      <c r="CY349" s="115">
        <v>1.0047263613915816</v>
      </c>
      <c r="CZ349" s="137" t="e">
        <v>#N/A</v>
      </c>
      <c r="DA349" t="e">
        <v>#N/A</v>
      </c>
      <c r="DB349" t="str">
        <v/>
      </c>
    </row>
    <row r="350" spans="83:106" x14ac:dyDescent="0.2">
      <c r="CE350"/>
      <c r="CF350"/>
      <c r="CG350"/>
      <c r="CH350"/>
      <c r="CI350"/>
      <c r="CU350" s="42">
        <v>345</v>
      </c>
      <c r="CV350" s="115">
        <v>2</v>
      </c>
      <c r="CW350" s="115">
        <v>1.0047263613915816</v>
      </c>
      <c r="CX350" s="115" t="e">
        <v>#N/A</v>
      </c>
      <c r="CY350" s="115">
        <v>1.0047263613915816</v>
      </c>
      <c r="CZ350" s="137" t="e">
        <v>#N/A</v>
      </c>
      <c r="DA350" t="e">
        <v>#N/A</v>
      </c>
      <c r="DB350" t="str">
        <v/>
      </c>
    </row>
    <row r="351" spans="83:106" x14ac:dyDescent="0.2">
      <c r="CE351"/>
      <c r="CF351"/>
      <c r="CG351"/>
      <c r="CH351"/>
      <c r="CI351"/>
      <c r="CU351" s="42">
        <v>346</v>
      </c>
      <c r="CV351" s="115">
        <v>2</v>
      </c>
      <c r="CW351" s="115">
        <v>1.0047263613915816</v>
      </c>
      <c r="CX351" s="115" t="e">
        <v>#N/A</v>
      </c>
      <c r="CY351" s="115">
        <v>1.0047263613915816</v>
      </c>
      <c r="CZ351" s="137" t="e">
        <v>#N/A</v>
      </c>
      <c r="DA351" t="e">
        <v>#N/A</v>
      </c>
      <c r="DB351" t="str">
        <v/>
      </c>
    </row>
    <row r="352" spans="83:106" x14ac:dyDescent="0.2">
      <c r="CE352"/>
      <c r="CF352"/>
      <c r="CG352"/>
      <c r="CH352"/>
      <c r="CI352"/>
      <c r="CU352" s="42">
        <v>347</v>
      </c>
      <c r="CV352" s="115">
        <v>2</v>
      </c>
      <c r="CW352" s="115">
        <v>1.0047263613915816</v>
      </c>
      <c r="CX352" s="115" t="e">
        <v>#N/A</v>
      </c>
      <c r="CY352" s="115">
        <v>1.0047263613915816</v>
      </c>
      <c r="CZ352" s="137" t="e">
        <v>#N/A</v>
      </c>
      <c r="DA352" t="e">
        <v>#N/A</v>
      </c>
      <c r="DB352" t="str">
        <v/>
      </c>
    </row>
    <row r="353" spans="83:106" x14ac:dyDescent="0.2">
      <c r="CE353"/>
      <c r="CF353"/>
      <c r="CG353"/>
      <c r="CH353"/>
      <c r="CI353"/>
      <c r="CU353" s="42">
        <v>348</v>
      </c>
      <c r="CV353" s="115">
        <v>2</v>
      </c>
      <c r="CW353" s="115">
        <v>1.0047263613915816</v>
      </c>
      <c r="CX353" s="115" t="e">
        <v>#N/A</v>
      </c>
      <c r="CY353" s="115">
        <v>1.0047263613915816</v>
      </c>
      <c r="CZ353" s="137" t="e">
        <v>#N/A</v>
      </c>
      <c r="DA353" t="e">
        <v>#N/A</v>
      </c>
      <c r="DB353" t="str">
        <v/>
      </c>
    </row>
    <row r="354" spans="83:106" x14ac:dyDescent="0.2">
      <c r="CE354"/>
      <c r="CF354"/>
      <c r="CG354"/>
      <c r="CH354"/>
      <c r="CI354"/>
      <c r="CU354" s="42">
        <v>349</v>
      </c>
      <c r="CV354" s="115">
        <v>2</v>
      </c>
      <c r="CW354" s="115">
        <v>1.0047263613915816</v>
      </c>
      <c r="CX354" s="115" t="e">
        <v>#N/A</v>
      </c>
      <c r="CY354" s="115">
        <v>1.0047263613915816</v>
      </c>
      <c r="CZ354" s="137" t="e">
        <v>#N/A</v>
      </c>
      <c r="DA354" t="e">
        <v>#N/A</v>
      </c>
      <c r="DB354" t="str">
        <v/>
      </c>
    </row>
    <row r="355" spans="83:106" x14ac:dyDescent="0.2">
      <c r="CE355"/>
      <c r="CF355"/>
      <c r="CG355"/>
      <c r="CH355"/>
      <c r="CI355"/>
      <c r="CU355" s="42">
        <v>350</v>
      </c>
      <c r="CV355" s="115">
        <v>2</v>
      </c>
      <c r="CW355" s="115">
        <v>1.0047263613915816</v>
      </c>
      <c r="CX355" s="115" t="e">
        <v>#N/A</v>
      </c>
      <c r="CY355" s="115">
        <v>1.0047263613915816</v>
      </c>
      <c r="CZ355" s="137" t="e">
        <v>#N/A</v>
      </c>
      <c r="DA355" t="e">
        <v>#N/A</v>
      </c>
      <c r="DB355" t="str">
        <v/>
      </c>
    </row>
    <row r="356" spans="83:106" x14ac:dyDescent="0.2">
      <c r="CE356"/>
      <c r="CF356"/>
      <c r="CG356"/>
      <c r="CH356"/>
      <c r="CI356"/>
      <c r="CU356" s="42">
        <v>351</v>
      </c>
      <c r="CV356" s="115">
        <v>2</v>
      </c>
      <c r="CW356" s="115">
        <v>1.0047263613915816</v>
      </c>
      <c r="CX356" s="115" t="e">
        <v>#N/A</v>
      </c>
      <c r="CY356" s="115">
        <v>1.0047263613915816</v>
      </c>
      <c r="CZ356" s="137" t="e">
        <v>#N/A</v>
      </c>
      <c r="DA356" t="e">
        <v>#N/A</v>
      </c>
      <c r="DB356" t="str">
        <v/>
      </c>
    </row>
    <row r="357" spans="83:106" x14ac:dyDescent="0.2">
      <c r="CE357"/>
      <c r="CF357"/>
      <c r="CG357"/>
      <c r="CH357"/>
      <c r="CI357"/>
      <c r="CU357" s="42">
        <v>352</v>
      </c>
      <c r="CV357" s="115">
        <v>2</v>
      </c>
      <c r="CW357" s="115">
        <v>1.0047263613915816</v>
      </c>
      <c r="CX357" s="115" t="e">
        <v>#N/A</v>
      </c>
      <c r="CY357" s="115">
        <v>1.0047263613915816</v>
      </c>
      <c r="CZ357" s="137" t="e">
        <v>#N/A</v>
      </c>
      <c r="DA357" t="e">
        <v>#N/A</v>
      </c>
      <c r="DB357" t="str">
        <v/>
      </c>
    </row>
    <row r="358" spans="83:106" x14ac:dyDescent="0.2">
      <c r="CE358"/>
      <c r="CF358"/>
      <c r="CG358"/>
      <c r="CH358"/>
      <c r="CI358"/>
      <c r="CU358" s="42">
        <v>353</v>
      </c>
      <c r="CV358" s="115">
        <v>2</v>
      </c>
      <c r="CW358" s="115">
        <v>1.0047263613915816</v>
      </c>
      <c r="CX358" s="115" t="e">
        <v>#N/A</v>
      </c>
      <c r="CY358" s="115">
        <v>1.0047263613915816</v>
      </c>
      <c r="CZ358" s="137" t="e">
        <v>#N/A</v>
      </c>
      <c r="DA358" t="e">
        <v>#N/A</v>
      </c>
      <c r="DB358" t="str">
        <v/>
      </c>
    </row>
    <row r="359" spans="83:106" x14ac:dyDescent="0.2">
      <c r="CE359"/>
      <c r="CF359"/>
      <c r="CG359"/>
      <c r="CH359"/>
      <c r="CI359"/>
      <c r="CU359" s="42">
        <v>354</v>
      </c>
      <c r="CV359" s="115">
        <v>2</v>
      </c>
      <c r="CW359" s="115">
        <v>1.0047263613915816</v>
      </c>
      <c r="CX359" s="115" t="e">
        <v>#N/A</v>
      </c>
      <c r="CY359" s="115">
        <v>1.0047263613915816</v>
      </c>
      <c r="CZ359" s="137" t="e">
        <v>#N/A</v>
      </c>
      <c r="DA359" t="e">
        <v>#N/A</v>
      </c>
      <c r="DB359" t="str">
        <v/>
      </c>
    </row>
    <row r="360" spans="83:106" x14ac:dyDescent="0.2">
      <c r="CE360"/>
      <c r="CF360"/>
      <c r="CG360"/>
      <c r="CH360"/>
      <c r="CI360"/>
      <c r="CU360" s="42">
        <v>355</v>
      </c>
      <c r="CV360" s="115">
        <v>2</v>
      </c>
      <c r="CW360" s="115">
        <v>1.0047263613915816</v>
      </c>
      <c r="CX360" s="115" t="e">
        <v>#N/A</v>
      </c>
      <c r="CY360" s="115">
        <v>1.0047263613915816</v>
      </c>
      <c r="CZ360" s="137" t="e">
        <v>#N/A</v>
      </c>
      <c r="DA360" t="e">
        <v>#N/A</v>
      </c>
      <c r="DB360" t="str">
        <v/>
      </c>
    </row>
    <row r="361" spans="83:106" x14ac:dyDescent="0.2">
      <c r="CE361"/>
      <c r="CF361"/>
      <c r="CG361"/>
      <c r="CH361"/>
      <c r="CI361"/>
      <c r="CU361" s="42">
        <v>356</v>
      </c>
      <c r="CV361" s="115">
        <v>2</v>
      </c>
      <c r="CW361" s="115">
        <v>1.0047263613915816</v>
      </c>
      <c r="CX361" s="115" t="e">
        <v>#N/A</v>
      </c>
      <c r="CY361" s="115">
        <v>1.0047263613915816</v>
      </c>
      <c r="CZ361" s="137" t="e">
        <v>#N/A</v>
      </c>
      <c r="DA361" t="e">
        <v>#N/A</v>
      </c>
      <c r="DB361" t="str">
        <v/>
      </c>
    </row>
    <row r="362" spans="83:106" x14ac:dyDescent="0.2">
      <c r="CE362"/>
      <c r="CF362"/>
      <c r="CG362"/>
      <c r="CH362"/>
      <c r="CI362"/>
      <c r="CU362" s="42">
        <v>357</v>
      </c>
      <c r="CV362" s="115">
        <v>2</v>
      </c>
      <c r="CW362" s="115">
        <v>1.0047263613915816</v>
      </c>
      <c r="CX362" s="115" t="e">
        <v>#N/A</v>
      </c>
      <c r="CY362" s="115">
        <v>1.0047263613915816</v>
      </c>
      <c r="CZ362" s="137" t="e">
        <v>#N/A</v>
      </c>
      <c r="DA362" t="e">
        <v>#N/A</v>
      </c>
      <c r="DB362" t="str">
        <v/>
      </c>
    </row>
    <row r="363" spans="83:106" x14ac:dyDescent="0.2">
      <c r="CE363"/>
      <c r="CF363"/>
      <c r="CG363"/>
      <c r="CH363"/>
      <c r="CI363"/>
      <c r="CU363" s="42">
        <v>358</v>
      </c>
      <c r="CV363" s="115">
        <v>2</v>
      </c>
      <c r="CW363" s="115">
        <v>1.0047263613915816</v>
      </c>
      <c r="CX363" s="115" t="e">
        <v>#N/A</v>
      </c>
      <c r="CY363" s="115">
        <v>1.0047263613915816</v>
      </c>
      <c r="CZ363" s="137" t="e">
        <v>#N/A</v>
      </c>
      <c r="DA363" t="e">
        <v>#N/A</v>
      </c>
      <c r="DB363" t="str">
        <v/>
      </c>
    </row>
    <row r="364" spans="83:106" x14ac:dyDescent="0.2">
      <c r="CE364"/>
      <c r="CF364"/>
      <c r="CG364"/>
      <c r="CH364"/>
      <c r="CI364"/>
      <c r="CU364" s="42">
        <v>359</v>
      </c>
      <c r="CV364" s="115">
        <v>2</v>
      </c>
      <c r="CW364" s="115">
        <v>1.0047263613915816</v>
      </c>
      <c r="CX364" s="115" t="e">
        <v>#N/A</v>
      </c>
      <c r="CY364" s="115">
        <v>1.0047263613915816</v>
      </c>
      <c r="CZ364" s="137" t="e">
        <v>#N/A</v>
      </c>
      <c r="DA364" t="e">
        <v>#N/A</v>
      </c>
      <c r="DB364" t="str">
        <v/>
      </c>
    </row>
    <row r="365" spans="83:106" x14ac:dyDescent="0.2">
      <c r="CE365"/>
      <c r="CF365"/>
      <c r="CG365"/>
      <c r="CH365"/>
      <c r="CI365"/>
      <c r="CU365" s="42">
        <v>360</v>
      </c>
      <c r="CV365" s="115">
        <v>2</v>
      </c>
      <c r="CW365" s="115">
        <v>1.0047263613915816</v>
      </c>
      <c r="CX365" s="115" t="e">
        <v>#N/A</v>
      </c>
      <c r="CY365" s="115">
        <v>1.0047263613915816</v>
      </c>
      <c r="CZ365" s="137" t="e">
        <v>#N/A</v>
      </c>
      <c r="DA365" t="e">
        <v>#N/A</v>
      </c>
      <c r="DB365" t="str">
        <v/>
      </c>
    </row>
    <row r="366" spans="83:106" x14ac:dyDescent="0.2">
      <c r="CE366"/>
      <c r="CF366"/>
      <c r="CG366"/>
      <c r="CH366"/>
      <c r="CI366"/>
      <c r="CU366" s="42">
        <v>361</v>
      </c>
      <c r="CV366" s="115">
        <v>2</v>
      </c>
      <c r="CW366" s="115">
        <v>1.0047263613915816</v>
      </c>
      <c r="CX366" s="115" t="e">
        <v>#N/A</v>
      </c>
      <c r="CY366" s="115">
        <v>1.0047263613915816</v>
      </c>
      <c r="CZ366" s="137" t="e">
        <v>#N/A</v>
      </c>
      <c r="DA366" t="e">
        <v>#N/A</v>
      </c>
      <c r="DB366" t="str">
        <v/>
      </c>
    </row>
    <row r="367" spans="83:106" x14ac:dyDescent="0.2">
      <c r="CE367"/>
      <c r="CF367"/>
      <c r="CG367"/>
      <c r="CH367"/>
      <c r="CI367"/>
      <c r="CU367" s="42">
        <v>362</v>
      </c>
      <c r="CV367" s="115">
        <v>2</v>
      </c>
      <c r="CW367" s="115">
        <v>1.0047263613915816</v>
      </c>
      <c r="CX367" s="115" t="e">
        <v>#N/A</v>
      </c>
      <c r="CY367" s="115">
        <v>1.0047263613915816</v>
      </c>
      <c r="CZ367" s="137" t="e">
        <v>#N/A</v>
      </c>
      <c r="DA367" t="e">
        <v>#N/A</v>
      </c>
      <c r="DB367" t="str">
        <v/>
      </c>
    </row>
    <row r="368" spans="83:106" x14ac:dyDescent="0.2">
      <c r="CE368"/>
      <c r="CF368"/>
      <c r="CG368"/>
      <c r="CH368"/>
      <c r="CI368"/>
      <c r="CU368" s="42">
        <v>363</v>
      </c>
      <c r="CV368" s="115">
        <v>2</v>
      </c>
      <c r="CW368" s="115">
        <v>1.0047263613915816</v>
      </c>
      <c r="CX368" s="115" t="e">
        <v>#N/A</v>
      </c>
      <c r="CY368" s="115">
        <v>1.0047263613915816</v>
      </c>
      <c r="CZ368" s="137" t="e">
        <v>#N/A</v>
      </c>
      <c r="DA368" t="e">
        <v>#N/A</v>
      </c>
      <c r="DB368" t="str">
        <v/>
      </c>
    </row>
    <row r="369" spans="83:106" x14ac:dyDescent="0.2">
      <c r="CE369"/>
      <c r="CF369"/>
      <c r="CG369"/>
      <c r="CH369"/>
      <c r="CI369"/>
      <c r="CU369" s="42">
        <v>364</v>
      </c>
      <c r="CV369" s="115">
        <v>2</v>
      </c>
      <c r="CW369" s="115">
        <v>1.0047263613915816</v>
      </c>
      <c r="CX369" s="115" t="e">
        <v>#N/A</v>
      </c>
      <c r="CY369" s="115">
        <v>1.0047263613915816</v>
      </c>
      <c r="CZ369" s="137" t="e">
        <v>#N/A</v>
      </c>
      <c r="DA369" t="e">
        <v>#N/A</v>
      </c>
      <c r="DB369" t="str">
        <v/>
      </c>
    </row>
    <row r="370" spans="83:106" x14ac:dyDescent="0.2">
      <c r="CE370"/>
      <c r="CF370"/>
      <c r="CG370"/>
      <c r="CH370"/>
      <c r="CI370"/>
      <c r="CU370" s="42">
        <v>365</v>
      </c>
      <c r="CV370" s="115">
        <v>2</v>
      </c>
      <c r="CW370" s="115">
        <v>1.0047263613915816</v>
      </c>
      <c r="CX370" s="115" t="e">
        <v>#N/A</v>
      </c>
      <c r="CY370" s="115">
        <v>1.0047263613915816</v>
      </c>
      <c r="CZ370" s="137" t="e">
        <v>#N/A</v>
      </c>
      <c r="DA370" t="e">
        <v>#N/A</v>
      </c>
      <c r="DB370" t="str">
        <v/>
      </c>
    </row>
    <row r="371" spans="83:106" x14ac:dyDescent="0.2">
      <c r="CE371"/>
      <c r="CF371"/>
      <c r="CG371"/>
      <c r="CH371"/>
      <c r="CI371"/>
      <c r="CU371" s="42">
        <v>366</v>
      </c>
      <c r="CV371" s="115">
        <v>2</v>
      </c>
      <c r="CW371" s="115">
        <v>1.0047263613915816</v>
      </c>
      <c r="CX371" s="115" t="e">
        <v>#N/A</v>
      </c>
      <c r="CY371" s="115">
        <v>1.0047263613915816</v>
      </c>
      <c r="CZ371" s="137" t="e">
        <v>#N/A</v>
      </c>
      <c r="DA371" t="e">
        <v>#N/A</v>
      </c>
      <c r="DB371" t="str">
        <v/>
      </c>
    </row>
    <row r="372" spans="83:106" x14ac:dyDescent="0.2">
      <c r="CE372"/>
      <c r="CF372"/>
      <c r="CG372"/>
      <c r="CH372"/>
      <c r="CI372"/>
      <c r="CU372" s="42">
        <v>367</v>
      </c>
      <c r="CV372" s="115">
        <v>2</v>
      </c>
      <c r="CW372" s="115">
        <v>1.0047263613915816</v>
      </c>
      <c r="CX372" s="115" t="e">
        <v>#N/A</v>
      </c>
      <c r="CY372" s="115">
        <v>1.0047263613915816</v>
      </c>
      <c r="CZ372" s="137" t="e">
        <v>#N/A</v>
      </c>
      <c r="DA372" t="e">
        <v>#N/A</v>
      </c>
      <c r="DB372" t="str">
        <v/>
      </c>
    </row>
    <row r="373" spans="83:106" x14ac:dyDescent="0.2">
      <c r="CE373"/>
      <c r="CF373"/>
      <c r="CG373"/>
      <c r="CH373"/>
      <c r="CI373"/>
      <c r="CU373" s="42">
        <v>368</v>
      </c>
      <c r="CV373" s="115">
        <v>2</v>
      </c>
      <c r="CW373" s="115">
        <v>1.0047263613915816</v>
      </c>
      <c r="CX373" s="115" t="e">
        <v>#N/A</v>
      </c>
      <c r="CY373" s="115">
        <v>1.0047263613915816</v>
      </c>
      <c r="CZ373" s="137" t="e">
        <v>#N/A</v>
      </c>
      <c r="DA373" t="e">
        <v>#N/A</v>
      </c>
      <c r="DB373" t="str">
        <v/>
      </c>
    </row>
    <row r="374" spans="83:106" x14ac:dyDescent="0.2">
      <c r="CE374"/>
      <c r="CF374"/>
      <c r="CG374"/>
      <c r="CH374"/>
      <c r="CI374"/>
      <c r="CU374" s="42">
        <v>369</v>
      </c>
      <c r="CV374" s="115">
        <v>2</v>
      </c>
      <c r="CW374" s="115">
        <v>1.0047263613915816</v>
      </c>
      <c r="CX374" s="115" t="e">
        <v>#N/A</v>
      </c>
      <c r="CY374" s="115">
        <v>1.0047263613915816</v>
      </c>
      <c r="CZ374" s="137" t="e">
        <v>#N/A</v>
      </c>
      <c r="DA374" t="e">
        <v>#N/A</v>
      </c>
      <c r="DB374" t="str">
        <v/>
      </c>
    </row>
    <row r="375" spans="83:106" x14ac:dyDescent="0.2">
      <c r="CE375"/>
      <c r="CF375"/>
      <c r="CG375"/>
      <c r="CH375"/>
      <c r="CI375"/>
      <c r="CU375" s="42">
        <v>370</v>
      </c>
      <c r="CV375" s="115">
        <v>2</v>
      </c>
      <c r="CW375" s="115">
        <v>1.0047263613915816</v>
      </c>
      <c r="CX375" s="115" t="e">
        <v>#N/A</v>
      </c>
      <c r="CY375" s="115">
        <v>1.0047263613915816</v>
      </c>
      <c r="CZ375" s="137" t="e">
        <v>#N/A</v>
      </c>
      <c r="DA375" t="e">
        <v>#N/A</v>
      </c>
      <c r="DB375" t="str">
        <v/>
      </c>
    </row>
    <row r="376" spans="83:106" x14ac:dyDescent="0.2">
      <c r="CE376"/>
      <c r="CF376"/>
      <c r="CG376"/>
      <c r="CH376"/>
      <c r="CI376"/>
      <c r="CU376" s="42">
        <v>371</v>
      </c>
      <c r="CV376" s="115">
        <v>2</v>
      </c>
      <c r="CW376" s="115">
        <v>1.0047263613915816</v>
      </c>
      <c r="CX376" s="115" t="e">
        <v>#N/A</v>
      </c>
      <c r="CY376" s="115">
        <v>1.0047263613915816</v>
      </c>
      <c r="CZ376" s="137" t="e">
        <v>#N/A</v>
      </c>
      <c r="DA376" t="e">
        <v>#N/A</v>
      </c>
      <c r="DB376" t="str">
        <v/>
      </c>
    </row>
    <row r="377" spans="83:106" x14ac:dyDescent="0.2">
      <c r="CE377"/>
      <c r="CF377"/>
      <c r="CG377"/>
      <c r="CH377"/>
      <c r="CI377"/>
      <c r="CU377" s="42">
        <v>372</v>
      </c>
      <c r="CV377" s="115">
        <v>2</v>
      </c>
      <c r="CW377" s="115">
        <v>1.0047263613915816</v>
      </c>
      <c r="CX377" s="115" t="e">
        <v>#N/A</v>
      </c>
      <c r="CY377" s="115">
        <v>1.0047263613915816</v>
      </c>
      <c r="CZ377" s="137" t="e">
        <v>#N/A</v>
      </c>
      <c r="DA377" t="e">
        <v>#N/A</v>
      </c>
      <c r="DB377" t="str">
        <v/>
      </c>
    </row>
    <row r="378" spans="83:106" x14ac:dyDescent="0.2">
      <c r="CE378"/>
      <c r="CF378"/>
      <c r="CG378"/>
      <c r="CH378"/>
      <c r="CI378"/>
      <c r="CU378" s="42">
        <v>373</v>
      </c>
      <c r="CV378" s="115">
        <v>2</v>
      </c>
      <c r="CW378" s="115">
        <v>1.0047263613915816</v>
      </c>
      <c r="CX378" s="115" t="e">
        <v>#N/A</v>
      </c>
      <c r="CY378" s="115">
        <v>1.0047263613915816</v>
      </c>
      <c r="CZ378" s="137" t="e">
        <v>#N/A</v>
      </c>
      <c r="DA378" t="e">
        <v>#N/A</v>
      </c>
      <c r="DB378" t="str">
        <v/>
      </c>
    </row>
    <row r="379" spans="83:106" x14ac:dyDescent="0.2">
      <c r="CE379"/>
      <c r="CF379"/>
      <c r="CG379"/>
      <c r="CH379"/>
      <c r="CI379"/>
      <c r="CU379" s="42">
        <v>374</v>
      </c>
      <c r="CV379" s="115">
        <v>2</v>
      </c>
      <c r="CW379" s="115">
        <v>1.0047263613915816</v>
      </c>
      <c r="CX379" s="115" t="e">
        <v>#N/A</v>
      </c>
      <c r="CY379" s="115">
        <v>1.0047263613915816</v>
      </c>
      <c r="CZ379" s="137" t="e">
        <v>#N/A</v>
      </c>
      <c r="DA379" t="e">
        <v>#N/A</v>
      </c>
      <c r="DB379" t="str">
        <v/>
      </c>
    </row>
    <row r="380" spans="83:106" x14ac:dyDescent="0.2">
      <c r="CE380"/>
      <c r="CF380"/>
      <c r="CG380"/>
      <c r="CH380"/>
      <c r="CI380"/>
      <c r="CU380" s="42">
        <v>375</v>
      </c>
      <c r="CV380" s="115">
        <v>2</v>
      </c>
      <c r="CW380" s="115">
        <v>1.0047263613915816</v>
      </c>
      <c r="CX380" s="115" t="e">
        <v>#N/A</v>
      </c>
      <c r="CY380" s="115">
        <v>1.0047263613915816</v>
      </c>
      <c r="CZ380" s="137" t="e">
        <v>#N/A</v>
      </c>
      <c r="DA380" t="e">
        <v>#N/A</v>
      </c>
      <c r="DB380" t="str">
        <v/>
      </c>
    </row>
    <row r="381" spans="83:106" x14ac:dyDescent="0.2">
      <c r="CE381"/>
      <c r="CF381"/>
      <c r="CG381"/>
      <c r="CH381"/>
      <c r="CI381"/>
      <c r="CU381" s="42">
        <v>376</v>
      </c>
      <c r="CV381" s="115">
        <v>2</v>
      </c>
      <c r="CW381" s="115">
        <v>1.0047263613915816</v>
      </c>
      <c r="CX381" s="115" t="e">
        <v>#N/A</v>
      </c>
      <c r="CY381" s="115">
        <v>1.0047263613915816</v>
      </c>
      <c r="CZ381" s="137" t="e">
        <v>#N/A</v>
      </c>
      <c r="DA381" t="e">
        <v>#N/A</v>
      </c>
      <c r="DB381" t="str">
        <v/>
      </c>
    </row>
    <row r="382" spans="83:106" x14ac:dyDescent="0.2">
      <c r="CE382"/>
      <c r="CF382"/>
      <c r="CG382"/>
      <c r="CH382"/>
      <c r="CI382"/>
      <c r="CU382" s="42">
        <v>377</v>
      </c>
      <c r="CV382" s="115">
        <v>2</v>
      </c>
      <c r="CW382" s="115">
        <v>1.0047263613915816</v>
      </c>
      <c r="CX382" s="115" t="e">
        <v>#N/A</v>
      </c>
      <c r="CY382" s="115">
        <v>1.0047263613915816</v>
      </c>
      <c r="CZ382" s="137" t="e">
        <v>#N/A</v>
      </c>
      <c r="DA382" t="e">
        <v>#N/A</v>
      </c>
      <c r="DB382" t="str">
        <v/>
      </c>
    </row>
    <row r="383" spans="83:106" x14ac:dyDescent="0.2">
      <c r="CE383"/>
      <c r="CF383"/>
      <c r="CG383"/>
      <c r="CH383"/>
      <c r="CI383"/>
      <c r="CU383" s="42">
        <v>378</v>
      </c>
      <c r="CV383" s="115">
        <v>2</v>
      </c>
      <c r="CW383" s="115">
        <v>1.0047263613915816</v>
      </c>
      <c r="CX383" s="115" t="e">
        <v>#N/A</v>
      </c>
      <c r="CY383" s="115">
        <v>1.0047263613915816</v>
      </c>
      <c r="CZ383" s="137" t="e">
        <v>#N/A</v>
      </c>
      <c r="DA383" t="e">
        <v>#N/A</v>
      </c>
      <c r="DB383" t="str">
        <v/>
      </c>
    </row>
    <row r="384" spans="83:106" x14ac:dyDescent="0.2">
      <c r="CE384"/>
      <c r="CF384"/>
      <c r="CG384"/>
      <c r="CH384"/>
      <c r="CI384"/>
      <c r="CU384" s="42">
        <v>379</v>
      </c>
      <c r="CV384" s="115">
        <v>2</v>
      </c>
      <c r="CW384" s="115">
        <v>1.0047263613915816</v>
      </c>
      <c r="CX384" s="115" t="e">
        <v>#N/A</v>
      </c>
      <c r="CY384" s="115">
        <v>1.0047263613915816</v>
      </c>
      <c r="CZ384" s="137" t="e">
        <v>#N/A</v>
      </c>
      <c r="DA384" t="e">
        <v>#N/A</v>
      </c>
      <c r="DB384" t="str">
        <v/>
      </c>
    </row>
    <row r="385" spans="83:106" x14ac:dyDescent="0.2">
      <c r="CE385"/>
      <c r="CF385"/>
      <c r="CG385"/>
      <c r="CH385"/>
      <c r="CI385"/>
      <c r="CU385" s="42">
        <v>380</v>
      </c>
      <c r="CV385" s="115">
        <v>2</v>
      </c>
      <c r="CW385" s="115">
        <v>1.0047263613915816</v>
      </c>
      <c r="CX385" s="115" t="e">
        <v>#N/A</v>
      </c>
      <c r="CY385" s="115">
        <v>1.0047263613915816</v>
      </c>
      <c r="CZ385" s="137" t="e">
        <v>#N/A</v>
      </c>
      <c r="DA385" t="e">
        <v>#N/A</v>
      </c>
      <c r="DB385" t="str">
        <v/>
      </c>
    </row>
    <row r="386" spans="83:106" x14ac:dyDescent="0.2">
      <c r="CE386"/>
      <c r="CF386"/>
      <c r="CG386"/>
      <c r="CH386"/>
      <c r="CI386"/>
      <c r="CU386" s="42">
        <v>381</v>
      </c>
      <c r="CV386" s="115">
        <v>2</v>
      </c>
      <c r="CW386" s="115">
        <v>1.0047263613915816</v>
      </c>
      <c r="CX386" s="115" t="e">
        <v>#N/A</v>
      </c>
      <c r="CY386" s="115">
        <v>1.0047263613915816</v>
      </c>
      <c r="CZ386" s="137" t="e">
        <v>#N/A</v>
      </c>
      <c r="DA386" t="e">
        <v>#N/A</v>
      </c>
      <c r="DB386" t="str">
        <v/>
      </c>
    </row>
    <row r="387" spans="83:106" x14ac:dyDescent="0.2">
      <c r="CE387"/>
      <c r="CF387"/>
      <c r="CG387"/>
      <c r="CH387"/>
      <c r="CI387"/>
      <c r="CU387" s="42">
        <v>382</v>
      </c>
      <c r="CV387" s="115">
        <v>2</v>
      </c>
      <c r="CW387" s="115">
        <v>1.0047263613915816</v>
      </c>
      <c r="CX387" s="115" t="e">
        <v>#N/A</v>
      </c>
      <c r="CY387" s="115">
        <v>1.0047263613915816</v>
      </c>
      <c r="CZ387" s="137" t="e">
        <v>#N/A</v>
      </c>
      <c r="DA387" t="e">
        <v>#N/A</v>
      </c>
      <c r="DB387" t="str">
        <v/>
      </c>
    </row>
    <row r="388" spans="83:106" x14ac:dyDescent="0.2">
      <c r="CE388"/>
      <c r="CF388"/>
      <c r="CG388"/>
      <c r="CH388"/>
      <c r="CI388"/>
      <c r="CU388" s="42">
        <v>383</v>
      </c>
      <c r="CV388" s="115">
        <v>2</v>
      </c>
      <c r="CW388" s="115">
        <v>1.0047263613915816</v>
      </c>
      <c r="CX388" s="115" t="e">
        <v>#N/A</v>
      </c>
      <c r="CY388" s="115">
        <v>1.0047263613915816</v>
      </c>
      <c r="CZ388" s="137" t="e">
        <v>#N/A</v>
      </c>
      <c r="DA388" t="e">
        <v>#N/A</v>
      </c>
      <c r="DB388" t="str">
        <v/>
      </c>
    </row>
    <row r="389" spans="83:106" x14ac:dyDescent="0.2">
      <c r="CE389"/>
      <c r="CF389"/>
      <c r="CG389"/>
      <c r="CH389"/>
      <c r="CI389"/>
      <c r="CU389" s="42">
        <v>384</v>
      </c>
      <c r="CV389" s="115">
        <v>2</v>
      </c>
      <c r="CW389" s="115">
        <v>1.0047263613915816</v>
      </c>
      <c r="CX389" s="115" t="e">
        <v>#N/A</v>
      </c>
      <c r="CY389" s="115">
        <v>1.0047263613915816</v>
      </c>
      <c r="CZ389" s="137" t="e">
        <v>#N/A</v>
      </c>
      <c r="DA389" t="e">
        <v>#N/A</v>
      </c>
      <c r="DB389" t="str">
        <v/>
      </c>
    </row>
    <row r="390" spans="83:106" x14ac:dyDescent="0.2">
      <c r="CE390"/>
      <c r="CF390"/>
      <c r="CG390"/>
      <c r="CH390"/>
      <c r="CI390"/>
      <c r="CU390" s="42">
        <v>385</v>
      </c>
      <c r="CV390" s="115">
        <v>2</v>
      </c>
      <c r="CW390" s="115">
        <v>1.0047263613915816</v>
      </c>
      <c r="CX390" s="115" t="e">
        <v>#N/A</v>
      </c>
      <c r="CY390" s="115">
        <v>1.0047263613915816</v>
      </c>
      <c r="CZ390" s="137" t="e">
        <v>#N/A</v>
      </c>
      <c r="DA390" t="e">
        <v>#N/A</v>
      </c>
      <c r="DB390" t="str">
        <v/>
      </c>
    </row>
    <row r="391" spans="83:106" x14ac:dyDescent="0.2">
      <c r="CE391"/>
      <c r="CF391"/>
      <c r="CG391"/>
      <c r="CH391"/>
      <c r="CI391"/>
      <c r="CU391" s="42">
        <v>386</v>
      </c>
      <c r="CV391" s="115">
        <v>2</v>
      </c>
      <c r="CW391" s="115">
        <v>1.0047263613915816</v>
      </c>
      <c r="CX391" s="115" t="e">
        <v>#N/A</v>
      </c>
      <c r="CY391" s="115">
        <v>1.0047263613915816</v>
      </c>
      <c r="CZ391" s="137" t="e">
        <v>#N/A</v>
      </c>
      <c r="DA391" t="e">
        <v>#N/A</v>
      </c>
      <c r="DB391" t="str">
        <v/>
      </c>
    </row>
    <row r="392" spans="83:106" x14ac:dyDescent="0.2">
      <c r="CE392"/>
      <c r="CF392"/>
      <c r="CG392"/>
      <c r="CH392"/>
      <c r="CI392"/>
      <c r="CU392" s="42">
        <v>387</v>
      </c>
      <c r="CV392" s="115">
        <v>2</v>
      </c>
      <c r="CW392" s="115">
        <v>1.0047263613915816</v>
      </c>
      <c r="CX392" s="115" t="e">
        <v>#N/A</v>
      </c>
      <c r="CY392" s="115">
        <v>1.0047263613915816</v>
      </c>
      <c r="CZ392" s="137" t="e">
        <v>#N/A</v>
      </c>
      <c r="DA392" t="e">
        <v>#N/A</v>
      </c>
      <c r="DB392" t="str">
        <v/>
      </c>
    </row>
    <row r="393" spans="83:106" x14ac:dyDescent="0.2">
      <c r="CE393"/>
      <c r="CF393"/>
      <c r="CG393"/>
      <c r="CH393"/>
      <c r="CI393"/>
      <c r="CU393" s="42">
        <v>388</v>
      </c>
      <c r="CV393" s="115">
        <v>2</v>
      </c>
      <c r="CW393" s="115">
        <v>1.0047263613915816</v>
      </c>
      <c r="CX393" s="115" t="e">
        <v>#N/A</v>
      </c>
      <c r="CY393" s="115">
        <v>1.0047263613915816</v>
      </c>
      <c r="CZ393" s="137" t="e">
        <v>#N/A</v>
      </c>
      <c r="DA393" t="e">
        <v>#N/A</v>
      </c>
      <c r="DB393" t="str">
        <v/>
      </c>
    </row>
    <row r="394" spans="83:106" x14ac:dyDescent="0.2">
      <c r="CE394"/>
      <c r="CF394"/>
      <c r="CG394"/>
      <c r="CH394"/>
      <c r="CI394"/>
      <c r="CU394" s="42">
        <v>389</v>
      </c>
      <c r="CV394" s="115">
        <v>2</v>
      </c>
      <c r="CW394" s="115">
        <v>1.0047263613915816</v>
      </c>
      <c r="CX394" s="115" t="e">
        <v>#N/A</v>
      </c>
      <c r="CY394" s="115">
        <v>1.0047263613915816</v>
      </c>
      <c r="CZ394" s="137" t="e">
        <v>#N/A</v>
      </c>
      <c r="DA394" t="e">
        <v>#N/A</v>
      </c>
      <c r="DB394" t="str">
        <v/>
      </c>
    </row>
    <row r="395" spans="83:106" x14ac:dyDescent="0.2">
      <c r="CE395"/>
      <c r="CF395"/>
      <c r="CG395"/>
      <c r="CH395"/>
      <c r="CI395"/>
      <c r="CU395" s="42">
        <v>390</v>
      </c>
      <c r="CV395" s="115">
        <v>2</v>
      </c>
      <c r="CW395" s="115">
        <v>1.0047263613915816</v>
      </c>
      <c r="CX395" s="115" t="e">
        <v>#N/A</v>
      </c>
      <c r="CY395" s="115">
        <v>1.0047263613915816</v>
      </c>
      <c r="CZ395" s="137" t="e">
        <v>#N/A</v>
      </c>
      <c r="DA395" t="e">
        <v>#N/A</v>
      </c>
      <c r="DB395" t="str">
        <v/>
      </c>
    </row>
    <row r="396" spans="83:106" x14ac:dyDescent="0.2">
      <c r="CE396"/>
      <c r="CF396"/>
      <c r="CG396"/>
      <c r="CH396"/>
      <c r="CI396"/>
      <c r="CU396" s="42">
        <v>391</v>
      </c>
      <c r="CV396" s="115">
        <v>2</v>
      </c>
      <c r="CW396" s="115">
        <v>1.0047263613915816</v>
      </c>
      <c r="CX396" s="115" t="e">
        <v>#N/A</v>
      </c>
      <c r="CY396" s="115">
        <v>1.0047263613915816</v>
      </c>
      <c r="CZ396" s="137" t="e">
        <v>#N/A</v>
      </c>
      <c r="DA396" t="e">
        <v>#N/A</v>
      </c>
      <c r="DB396" t="str">
        <v/>
      </c>
    </row>
    <row r="397" spans="83:106" x14ac:dyDescent="0.2">
      <c r="CE397"/>
      <c r="CF397"/>
      <c r="CG397"/>
      <c r="CH397"/>
      <c r="CI397"/>
      <c r="CU397" s="42">
        <v>392</v>
      </c>
      <c r="CV397" s="115">
        <v>2</v>
      </c>
      <c r="CW397" s="115">
        <v>1.0047263613915816</v>
      </c>
      <c r="CX397" s="115" t="e">
        <v>#N/A</v>
      </c>
      <c r="CY397" s="115">
        <v>1.0047263613915816</v>
      </c>
      <c r="CZ397" s="137" t="e">
        <v>#N/A</v>
      </c>
      <c r="DA397" t="e">
        <v>#N/A</v>
      </c>
      <c r="DB397" t="str">
        <v/>
      </c>
    </row>
    <row r="398" spans="83:106" x14ac:dyDescent="0.2">
      <c r="CE398"/>
      <c r="CF398"/>
      <c r="CG398"/>
      <c r="CH398"/>
      <c r="CI398"/>
      <c r="CU398" s="42">
        <v>393</v>
      </c>
      <c r="CV398" s="115">
        <v>2</v>
      </c>
      <c r="CW398" s="115">
        <v>1.0047263613915816</v>
      </c>
      <c r="CX398" s="115" t="e">
        <v>#N/A</v>
      </c>
      <c r="CY398" s="115">
        <v>1.0047263613915816</v>
      </c>
      <c r="CZ398" s="137" t="e">
        <v>#N/A</v>
      </c>
      <c r="DA398" t="e">
        <v>#N/A</v>
      </c>
      <c r="DB398" t="str">
        <v/>
      </c>
    </row>
    <row r="399" spans="83:106" x14ac:dyDescent="0.2">
      <c r="CE399"/>
      <c r="CF399"/>
      <c r="CG399"/>
      <c r="CH399"/>
      <c r="CI399"/>
      <c r="CU399" s="42">
        <v>394</v>
      </c>
      <c r="CV399" s="115">
        <v>2</v>
      </c>
      <c r="CW399" s="115">
        <v>1.0047263613915816</v>
      </c>
      <c r="CX399" s="115" t="e">
        <v>#N/A</v>
      </c>
      <c r="CY399" s="115">
        <v>1.0047263613915816</v>
      </c>
      <c r="CZ399" s="137" t="e">
        <v>#N/A</v>
      </c>
      <c r="DA399" t="e">
        <v>#N/A</v>
      </c>
      <c r="DB399" t="str">
        <v/>
      </c>
    </row>
    <row r="400" spans="83:106" x14ac:dyDescent="0.2">
      <c r="CE400"/>
      <c r="CF400"/>
      <c r="CG400"/>
      <c r="CH400"/>
      <c r="CI400"/>
      <c r="CU400" s="42">
        <v>395</v>
      </c>
      <c r="CV400" s="115">
        <v>2</v>
      </c>
      <c r="CW400" s="115">
        <v>1.0047263613915816</v>
      </c>
      <c r="CX400" s="115" t="e">
        <v>#N/A</v>
      </c>
      <c r="CY400" s="115">
        <v>1.0047263613915816</v>
      </c>
      <c r="CZ400" s="137" t="e">
        <v>#N/A</v>
      </c>
      <c r="DA400" t="e">
        <v>#N/A</v>
      </c>
      <c r="DB400" t="str">
        <v/>
      </c>
    </row>
    <row r="401" spans="83:106" x14ac:dyDescent="0.2">
      <c r="CE401"/>
      <c r="CF401"/>
      <c r="CG401"/>
      <c r="CH401"/>
      <c r="CI401"/>
      <c r="CU401" s="42">
        <v>396</v>
      </c>
      <c r="CV401" s="115">
        <v>2</v>
      </c>
      <c r="CW401" s="115">
        <v>1.0047263613915816</v>
      </c>
      <c r="CX401" s="115" t="e">
        <v>#N/A</v>
      </c>
      <c r="CY401" s="115">
        <v>1.0047263613915816</v>
      </c>
      <c r="CZ401" s="137" t="e">
        <v>#N/A</v>
      </c>
      <c r="DA401" t="e">
        <v>#N/A</v>
      </c>
      <c r="DB401" t="str">
        <v/>
      </c>
    </row>
    <row r="402" spans="83:106" x14ac:dyDescent="0.2">
      <c r="CE402"/>
      <c r="CF402"/>
      <c r="CG402"/>
      <c r="CH402"/>
      <c r="CI402"/>
      <c r="CU402" s="42">
        <v>397</v>
      </c>
      <c r="CV402" s="115">
        <v>2</v>
      </c>
      <c r="CW402" s="115">
        <v>1.0047263613915816</v>
      </c>
      <c r="CX402" s="115" t="e">
        <v>#N/A</v>
      </c>
      <c r="CY402" s="115">
        <v>1.0047263613915816</v>
      </c>
      <c r="CZ402" s="137" t="e">
        <v>#N/A</v>
      </c>
      <c r="DA402" t="e">
        <v>#N/A</v>
      </c>
      <c r="DB402" t="str">
        <v/>
      </c>
    </row>
    <row r="403" spans="83:106" x14ac:dyDescent="0.2">
      <c r="CE403"/>
      <c r="CF403"/>
      <c r="CG403"/>
      <c r="CH403"/>
      <c r="CI403"/>
      <c r="CU403" s="42">
        <v>398</v>
      </c>
      <c r="CV403" s="115">
        <v>2</v>
      </c>
      <c r="CW403" s="115">
        <v>1.0047263613915816</v>
      </c>
      <c r="CX403" s="115" t="e">
        <v>#N/A</v>
      </c>
      <c r="CY403" s="115">
        <v>1.0047263613915816</v>
      </c>
      <c r="CZ403" s="137" t="e">
        <v>#N/A</v>
      </c>
      <c r="DA403" t="e">
        <v>#N/A</v>
      </c>
      <c r="DB403" t="str">
        <v/>
      </c>
    </row>
    <row r="404" spans="83:106" x14ac:dyDescent="0.2">
      <c r="CE404"/>
      <c r="CF404"/>
      <c r="CG404"/>
      <c r="CH404"/>
      <c r="CI404"/>
      <c r="CU404" s="42">
        <v>399</v>
      </c>
      <c r="CV404" s="115">
        <v>2</v>
      </c>
      <c r="CW404" s="115">
        <v>1.0047263613915816</v>
      </c>
      <c r="CX404" s="115" t="e">
        <v>#N/A</v>
      </c>
      <c r="CY404" s="115">
        <v>1.0047263613915816</v>
      </c>
      <c r="CZ404" s="137" t="e">
        <v>#N/A</v>
      </c>
      <c r="DA404" t="e">
        <v>#N/A</v>
      </c>
      <c r="DB404" t="str">
        <v/>
      </c>
    </row>
    <row r="405" spans="83:106" x14ac:dyDescent="0.2">
      <c r="CE405"/>
      <c r="CF405"/>
      <c r="CG405"/>
      <c r="CH405"/>
      <c r="CI405"/>
      <c r="CU405" s="42">
        <v>400</v>
      </c>
      <c r="CV405" s="115">
        <v>2</v>
      </c>
      <c r="CW405" s="115">
        <v>1.0047263613915816</v>
      </c>
      <c r="CX405" s="115" t="e">
        <v>#N/A</v>
      </c>
      <c r="CY405" s="115">
        <v>1.0047263613915816</v>
      </c>
      <c r="CZ405" s="137" t="e">
        <v>#N/A</v>
      </c>
      <c r="DA405" t="e">
        <v>#N/A</v>
      </c>
      <c r="DB405" t="str">
        <v/>
      </c>
    </row>
    <row r="406" spans="83:106" x14ac:dyDescent="0.2">
      <c r="CE406"/>
      <c r="CF406"/>
      <c r="CG406"/>
      <c r="CH406"/>
      <c r="CI406"/>
      <c r="CU406" s="42">
        <v>401</v>
      </c>
      <c r="CV406" s="115">
        <v>2</v>
      </c>
      <c r="CW406" s="115">
        <v>1.0047263613915816</v>
      </c>
      <c r="CX406" s="115" t="e">
        <v>#N/A</v>
      </c>
      <c r="CY406" s="115">
        <v>1.0047263613915816</v>
      </c>
      <c r="CZ406" s="137" t="e">
        <v>#N/A</v>
      </c>
      <c r="DA406" t="e">
        <v>#N/A</v>
      </c>
      <c r="DB406" t="str">
        <v/>
      </c>
    </row>
    <row r="407" spans="83:106" x14ac:dyDescent="0.2">
      <c r="CE407"/>
      <c r="CF407"/>
      <c r="CG407"/>
      <c r="CH407"/>
      <c r="CI407"/>
      <c r="CU407" s="42">
        <v>402</v>
      </c>
      <c r="CV407" s="115">
        <v>2</v>
      </c>
      <c r="CW407" s="115">
        <v>1.0047263613915816</v>
      </c>
      <c r="CX407" s="115" t="e">
        <v>#N/A</v>
      </c>
      <c r="CY407" s="115">
        <v>1.0047263613915816</v>
      </c>
      <c r="CZ407" s="137" t="e">
        <v>#N/A</v>
      </c>
      <c r="DA407" t="e">
        <v>#N/A</v>
      </c>
      <c r="DB407" t="str">
        <v/>
      </c>
    </row>
    <row r="408" spans="83:106" x14ac:dyDescent="0.2">
      <c r="CE408"/>
      <c r="CF408"/>
      <c r="CG408"/>
      <c r="CH408"/>
      <c r="CI408"/>
      <c r="CU408" s="42">
        <v>403</v>
      </c>
      <c r="CV408" s="115">
        <v>2</v>
      </c>
      <c r="CW408" s="115">
        <v>1.0047263613915816</v>
      </c>
      <c r="CX408" s="115" t="e">
        <v>#N/A</v>
      </c>
      <c r="CY408" s="115">
        <v>1.0047263613915816</v>
      </c>
      <c r="CZ408" s="137" t="e">
        <v>#N/A</v>
      </c>
      <c r="DA408" t="e">
        <v>#N/A</v>
      </c>
      <c r="DB408" t="str">
        <v/>
      </c>
    </row>
    <row r="409" spans="83:106" x14ac:dyDescent="0.2">
      <c r="CE409"/>
      <c r="CF409"/>
      <c r="CG409"/>
      <c r="CH409"/>
      <c r="CI409"/>
      <c r="CU409" s="42">
        <v>404</v>
      </c>
      <c r="CV409" s="115">
        <v>2</v>
      </c>
      <c r="CW409" s="115">
        <v>1.0047263613915816</v>
      </c>
      <c r="CX409" s="115" t="e">
        <v>#N/A</v>
      </c>
      <c r="CY409" s="115">
        <v>1.0047263613915816</v>
      </c>
      <c r="CZ409" s="137" t="e">
        <v>#N/A</v>
      </c>
      <c r="DA409" t="e">
        <v>#N/A</v>
      </c>
      <c r="DB409" t="str">
        <v/>
      </c>
    </row>
    <row r="410" spans="83:106" x14ac:dyDescent="0.2">
      <c r="CE410"/>
      <c r="CF410"/>
      <c r="CG410"/>
      <c r="CH410"/>
      <c r="CI410"/>
      <c r="CU410" s="42">
        <v>405</v>
      </c>
      <c r="CV410" s="115">
        <v>2</v>
      </c>
      <c r="CW410" s="115">
        <v>1.0047263613915816</v>
      </c>
      <c r="CX410" s="115" t="e">
        <v>#N/A</v>
      </c>
      <c r="CY410" s="115">
        <v>1.0047263613915816</v>
      </c>
      <c r="CZ410" s="137" t="e">
        <v>#N/A</v>
      </c>
      <c r="DA410" t="e">
        <v>#N/A</v>
      </c>
      <c r="DB410" t="str">
        <v/>
      </c>
    </row>
    <row r="411" spans="83:106" x14ac:dyDescent="0.2">
      <c r="CE411"/>
      <c r="CF411"/>
      <c r="CG411"/>
      <c r="CH411"/>
      <c r="CI411"/>
      <c r="CU411" s="42">
        <v>406</v>
      </c>
      <c r="CV411" s="115">
        <v>2</v>
      </c>
      <c r="CW411" s="115">
        <v>1.0047263613915816</v>
      </c>
      <c r="CX411" s="115" t="e">
        <v>#N/A</v>
      </c>
      <c r="CY411" s="115">
        <v>1.0047263613915816</v>
      </c>
      <c r="CZ411" s="137" t="e">
        <v>#N/A</v>
      </c>
      <c r="DA411" t="e">
        <v>#N/A</v>
      </c>
      <c r="DB411" t="str">
        <v/>
      </c>
    </row>
    <row r="412" spans="83:106" x14ac:dyDescent="0.2">
      <c r="CE412"/>
      <c r="CF412"/>
      <c r="CG412"/>
      <c r="CH412"/>
      <c r="CI412"/>
      <c r="CU412" s="42">
        <v>407</v>
      </c>
      <c r="CV412" s="115">
        <v>2</v>
      </c>
      <c r="CW412" s="115">
        <v>1.0047263613915816</v>
      </c>
      <c r="CX412" s="115" t="e">
        <v>#N/A</v>
      </c>
      <c r="CY412" s="115">
        <v>1.0047263613915816</v>
      </c>
      <c r="CZ412" s="137" t="e">
        <v>#N/A</v>
      </c>
      <c r="DA412" t="e">
        <v>#N/A</v>
      </c>
      <c r="DB412" t="str">
        <v/>
      </c>
    </row>
    <row r="413" spans="83:106" x14ac:dyDescent="0.2">
      <c r="CE413"/>
      <c r="CF413"/>
      <c r="CG413"/>
      <c r="CH413"/>
      <c r="CI413"/>
      <c r="CU413" s="42">
        <v>408</v>
      </c>
      <c r="CV413" s="115">
        <v>2</v>
      </c>
      <c r="CW413" s="115">
        <v>1.0047263613915816</v>
      </c>
      <c r="CX413" s="115" t="e">
        <v>#N/A</v>
      </c>
      <c r="CY413" s="115">
        <v>1.0047263613915816</v>
      </c>
      <c r="CZ413" s="137" t="e">
        <v>#N/A</v>
      </c>
      <c r="DA413" t="e">
        <v>#N/A</v>
      </c>
      <c r="DB413" t="str">
        <v/>
      </c>
    </row>
    <row r="414" spans="83:106" x14ac:dyDescent="0.2">
      <c r="CE414"/>
      <c r="CF414"/>
      <c r="CG414"/>
      <c r="CH414"/>
      <c r="CI414"/>
      <c r="CU414" s="42">
        <v>409</v>
      </c>
      <c r="CV414" s="115">
        <v>2</v>
      </c>
      <c r="CW414" s="115">
        <v>1.0047263613915816</v>
      </c>
      <c r="CX414" s="115" t="e">
        <v>#N/A</v>
      </c>
      <c r="CY414" s="115">
        <v>1.0047263613915816</v>
      </c>
      <c r="CZ414" s="137" t="e">
        <v>#N/A</v>
      </c>
      <c r="DA414" t="e">
        <v>#N/A</v>
      </c>
      <c r="DB414" t="str">
        <v/>
      </c>
    </row>
    <row r="415" spans="83:106" x14ac:dyDescent="0.2">
      <c r="CE415"/>
      <c r="CF415"/>
      <c r="CG415"/>
      <c r="CH415"/>
      <c r="CI415"/>
      <c r="CU415" s="42">
        <v>410</v>
      </c>
      <c r="CV415" s="115">
        <v>2</v>
      </c>
      <c r="CW415" s="115">
        <v>1.0047263613915816</v>
      </c>
      <c r="CX415" s="115" t="e">
        <v>#N/A</v>
      </c>
      <c r="CY415" s="115">
        <v>1.0047263613915816</v>
      </c>
      <c r="CZ415" s="137" t="e">
        <v>#N/A</v>
      </c>
      <c r="DA415" t="e">
        <v>#N/A</v>
      </c>
      <c r="DB415" t="str">
        <v/>
      </c>
    </row>
    <row r="416" spans="83:106" x14ac:dyDescent="0.2">
      <c r="CE416"/>
      <c r="CF416"/>
      <c r="CG416"/>
      <c r="CH416"/>
      <c r="CI416"/>
      <c r="CU416" s="42">
        <v>411</v>
      </c>
      <c r="CV416" s="115">
        <v>2</v>
      </c>
      <c r="CW416" s="115">
        <v>1.0047263613915816</v>
      </c>
      <c r="CX416" s="115" t="e">
        <v>#N/A</v>
      </c>
      <c r="CY416" s="115">
        <v>1.0047263613915816</v>
      </c>
      <c r="CZ416" s="137" t="e">
        <v>#N/A</v>
      </c>
      <c r="DA416" t="e">
        <v>#N/A</v>
      </c>
      <c r="DB416" t="str">
        <v/>
      </c>
    </row>
    <row r="417" spans="83:106" x14ac:dyDescent="0.2">
      <c r="CE417"/>
      <c r="CF417"/>
      <c r="CG417"/>
      <c r="CH417"/>
      <c r="CI417"/>
      <c r="CU417" s="42">
        <v>412</v>
      </c>
      <c r="CV417" s="115">
        <v>2</v>
      </c>
      <c r="CW417" s="115">
        <v>1.0047263613915816</v>
      </c>
      <c r="CX417" s="115" t="e">
        <v>#N/A</v>
      </c>
      <c r="CY417" s="115">
        <v>1.0047263613915816</v>
      </c>
      <c r="CZ417" s="137" t="e">
        <v>#N/A</v>
      </c>
      <c r="DA417" t="e">
        <v>#N/A</v>
      </c>
      <c r="DB417" t="str">
        <v/>
      </c>
    </row>
    <row r="418" spans="83:106" x14ac:dyDescent="0.2">
      <c r="CE418"/>
      <c r="CF418"/>
      <c r="CG418"/>
      <c r="CH418"/>
      <c r="CI418"/>
      <c r="CU418" s="42">
        <v>413</v>
      </c>
      <c r="CV418" s="115">
        <v>2</v>
      </c>
      <c r="CW418" s="115">
        <v>1.0047263613915816</v>
      </c>
      <c r="CX418" s="115" t="e">
        <v>#N/A</v>
      </c>
      <c r="CY418" s="115">
        <v>1.0047263613915816</v>
      </c>
      <c r="CZ418" s="137" t="e">
        <v>#N/A</v>
      </c>
      <c r="DA418" t="e">
        <v>#N/A</v>
      </c>
      <c r="DB418" t="str">
        <v/>
      </c>
    </row>
    <row r="419" spans="83:106" x14ac:dyDescent="0.2">
      <c r="CE419"/>
      <c r="CF419"/>
      <c r="CG419"/>
      <c r="CH419"/>
      <c r="CI419"/>
      <c r="CU419" s="42">
        <v>414</v>
      </c>
      <c r="CV419" s="115">
        <v>2</v>
      </c>
      <c r="CW419" s="115">
        <v>1.0047263613915816</v>
      </c>
      <c r="CX419" s="115" t="e">
        <v>#N/A</v>
      </c>
      <c r="CY419" s="115">
        <v>1.0047263613915816</v>
      </c>
      <c r="CZ419" s="137" t="e">
        <v>#N/A</v>
      </c>
      <c r="DA419" t="e">
        <v>#N/A</v>
      </c>
      <c r="DB419" t="str">
        <v/>
      </c>
    </row>
    <row r="420" spans="83:106" x14ac:dyDescent="0.2">
      <c r="CE420"/>
      <c r="CF420"/>
      <c r="CG420"/>
      <c r="CH420"/>
      <c r="CI420"/>
      <c r="CU420" s="42">
        <v>415</v>
      </c>
      <c r="CV420" s="115">
        <v>2</v>
      </c>
      <c r="CW420" s="115">
        <v>1.0047263613915816</v>
      </c>
      <c r="CX420" s="115" t="e">
        <v>#N/A</v>
      </c>
      <c r="CY420" s="115">
        <v>1.0047263613915816</v>
      </c>
      <c r="CZ420" s="137" t="e">
        <v>#N/A</v>
      </c>
      <c r="DA420" t="e">
        <v>#N/A</v>
      </c>
      <c r="DB420" t="str">
        <v/>
      </c>
    </row>
    <row r="421" spans="83:106" x14ac:dyDescent="0.2">
      <c r="CE421"/>
      <c r="CF421"/>
      <c r="CG421"/>
      <c r="CH421"/>
      <c r="CI421"/>
      <c r="CU421" s="42">
        <v>416</v>
      </c>
      <c r="CV421" s="115">
        <v>2</v>
      </c>
      <c r="CW421" s="115">
        <v>1.0047263613915816</v>
      </c>
      <c r="CX421" s="115" t="e">
        <v>#N/A</v>
      </c>
      <c r="CY421" s="115">
        <v>1.0047263613915816</v>
      </c>
      <c r="CZ421" s="137" t="e">
        <v>#N/A</v>
      </c>
      <c r="DA421" t="e">
        <v>#N/A</v>
      </c>
      <c r="DB421" t="str">
        <v/>
      </c>
    </row>
    <row r="422" spans="83:106" x14ac:dyDescent="0.2">
      <c r="CE422"/>
      <c r="CF422"/>
      <c r="CG422"/>
      <c r="CH422"/>
      <c r="CI422"/>
      <c r="CU422" s="42">
        <v>417</v>
      </c>
      <c r="CV422" s="115">
        <v>2</v>
      </c>
      <c r="CW422" s="115">
        <v>1.0047263613915816</v>
      </c>
      <c r="CX422" s="115" t="e">
        <v>#N/A</v>
      </c>
      <c r="CY422" s="115">
        <v>1.0047263613915816</v>
      </c>
      <c r="CZ422" s="137" t="e">
        <v>#N/A</v>
      </c>
      <c r="DA422" t="e">
        <v>#N/A</v>
      </c>
      <c r="DB422" t="str">
        <v/>
      </c>
    </row>
    <row r="423" spans="83:106" x14ac:dyDescent="0.2">
      <c r="CE423"/>
      <c r="CF423"/>
      <c r="CG423"/>
      <c r="CH423"/>
      <c r="CI423"/>
      <c r="CU423" s="42">
        <v>418</v>
      </c>
      <c r="CV423" s="115">
        <v>2</v>
      </c>
      <c r="CW423" s="115">
        <v>1.0047263613915816</v>
      </c>
      <c r="CX423" s="115" t="e">
        <v>#N/A</v>
      </c>
      <c r="CY423" s="115">
        <v>1.0047263613915816</v>
      </c>
      <c r="CZ423" s="137" t="e">
        <v>#N/A</v>
      </c>
      <c r="DA423" t="e">
        <v>#N/A</v>
      </c>
      <c r="DB423" t="str">
        <v/>
      </c>
    </row>
    <row r="424" spans="83:106" x14ac:dyDescent="0.2">
      <c r="CE424"/>
      <c r="CF424"/>
      <c r="CG424"/>
      <c r="CH424"/>
      <c r="CI424"/>
      <c r="CU424" s="42">
        <v>419</v>
      </c>
      <c r="CV424" s="115">
        <v>2</v>
      </c>
      <c r="CW424" s="115">
        <v>1.0047263613915816</v>
      </c>
      <c r="CX424" s="115" t="e">
        <v>#N/A</v>
      </c>
      <c r="CY424" s="115">
        <v>1.0047263613915816</v>
      </c>
      <c r="CZ424" s="137" t="e">
        <v>#N/A</v>
      </c>
      <c r="DA424" t="e">
        <v>#N/A</v>
      </c>
      <c r="DB424" t="str">
        <v/>
      </c>
    </row>
    <row r="425" spans="83:106" x14ac:dyDescent="0.2">
      <c r="CE425"/>
      <c r="CF425"/>
      <c r="CG425"/>
      <c r="CH425"/>
      <c r="CI425"/>
      <c r="CU425" s="42">
        <v>420</v>
      </c>
      <c r="CV425" s="115">
        <v>2</v>
      </c>
      <c r="CW425" s="115">
        <v>1.0047263613915816</v>
      </c>
      <c r="CX425" s="115" t="e">
        <v>#N/A</v>
      </c>
      <c r="CY425" s="115">
        <v>1.0047263613915816</v>
      </c>
      <c r="CZ425" s="137" t="e">
        <v>#N/A</v>
      </c>
      <c r="DA425" t="e">
        <v>#N/A</v>
      </c>
      <c r="DB425" t="str">
        <v/>
      </c>
    </row>
    <row r="426" spans="83:106" x14ac:dyDescent="0.2">
      <c r="CE426"/>
      <c r="CF426"/>
      <c r="CG426"/>
      <c r="CH426"/>
      <c r="CI426"/>
      <c r="CU426" s="42">
        <v>421</v>
      </c>
      <c r="CV426" s="115">
        <v>2</v>
      </c>
      <c r="CW426" s="115">
        <v>1.0047263613915816</v>
      </c>
      <c r="CX426" s="115" t="e">
        <v>#N/A</v>
      </c>
      <c r="CY426" s="115">
        <v>1.0047263613915816</v>
      </c>
      <c r="CZ426" s="137" t="e">
        <v>#N/A</v>
      </c>
      <c r="DA426" t="e">
        <v>#N/A</v>
      </c>
      <c r="DB426" t="str">
        <v/>
      </c>
    </row>
    <row r="427" spans="83:106" x14ac:dyDescent="0.2">
      <c r="CE427"/>
      <c r="CF427"/>
      <c r="CG427"/>
      <c r="CH427"/>
      <c r="CI427"/>
      <c r="CU427" s="42">
        <v>422</v>
      </c>
      <c r="CV427" s="115">
        <v>2</v>
      </c>
      <c r="CW427" s="115">
        <v>1.0047263613915816</v>
      </c>
      <c r="CX427" s="115" t="e">
        <v>#N/A</v>
      </c>
      <c r="CY427" s="115">
        <v>1.0047263613915816</v>
      </c>
      <c r="CZ427" s="137" t="e">
        <v>#N/A</v>
      </c>
      <c r="DA427" t="e">
        <v>#N/A</v>
      </c>
      <c r="DB427" t="str">
        <v/>
      </c>
    </row>
    <row r="428" spans="83:106" x14ac:dyDescent="0.2">
      <c r="CE428"/>
      <c r="CF428"/>
      <c r="CG428"/>
      <c r="CH428"/>
      <c r="CI428"/>
      <c r="CU428" s="42">
        <v>423</v>
      </c>
      <c r="CV428" s="115">
        <v>2</v>
      </c>
      <c r="CW428" s="115">
        <v>1.0047263613915816</v>
      </c>
      <c r="CX428" s="115" t="e">
        <v>#N/A</v>
      </c>
      <c r="CY428" s="115">
        <v>1.0047263613915816</v>
      </c>
      <c r="CZ428" s="137" t="e">
        <v>#N/A</v>
      </c>
      <c r="DA428" t="e">
        <v>#N/A</v>
      </c>
      <c r="DB428" t="str">
        <v/>
      </c>
    </row>
    <row r="429" spans="83:106" x14ac:dyDescent="0.2">
      <c r="CE429"/>
      <c r="CF429"/>
      <c r="CG429"/>
      <c r="CH429"/>
      <c r="CI429"/>
      <c r="CU429" s="42">
        <v>424</v>
      </c>
      <c r="CV429" s="115">
        <v>2</v>
      </c>
      <c r="CW429" s="115">
        <v>1.0047263613915816</v>
      </c>
      <c r="CX429" s="115" t="e">
        <v>#N/A</v>
      </c>
      <c r="CY429" s="115">
        <v>1.0047263613915816</v>
      </c>
      <c r="CZ429" s="137" t="e">
        <v>#N/A</v>
      </c>
      <c r="DA429" t="e">
        <v>#N/A</v>
      </c>
      <c r="DB429" t="str">
        <v/>
      </c>
    </row>
    <row r="430" spans="83:106" x14ac:dyDescent="0.2">
      <c r="CE430"/>
      <c r="CF430"/>
      <c r="CG430"/>
      <c r="CH430"/>
      <c r="CI430"/>
      <c r="CU430" s="42">
        <v>425</v>
      </c>
      <c r="CV430" s="115">
        <v>2</v>
      </c>
      <c r="CW430" s="115">
        <v>1.0047263613915816</v>
      </c>
      <c r="CX430" s="115" t="e">
        <v>#N/A</v>
      </c>
      <c r="CY430" s="115">
        <v>1.0047263613915816</v>
      </c>
      <c r="CZ430" s="137" t="e">
        <v>#N/A</v>
      </c>
      <c r="DA430" t="e">
        <v>#N/A</v>
      </c>
      <c r="DB430" t="str">
        <v/>
      </c>
    </row>
    <row r="431" spans="83:106" x14ac:dyDescent="0.2">
      <c r="CE431"/>
      <c r="CF431"/>
      <c r="CG431"/>
      <c r="CH431"/>
      <c r="CI431"/>
      <c r="CU431" s="42">
        <v>426</v>
      </c>
      <c r="CV431" s="115">
        <v>2</v>
      </c>
      <c r="CW431" s="115">
        <v>1.0047263613915816</v>
      </c>
      <c r="CX431" s="115" t="e">
        <v>#N/A</v>
      </c>
      <c r="CY431" s="115">
        <v>1.0047263613915816</v>
      </c>
      <c r="CZ431" s="137" t="e">
        <v>#N/A</v>
      </c>
      <c r="DA431" t="e">
        <v>#N/A</v>
      </c>
      <c r="DB431" t="str">
        <v/>
      </c>
    </row>
    <row r="432" spans="83:106" x14ac:dyDescent="0.2">
      <c r="CE432"/>
      <c r="CF432"/>
      <c r="CG432"/>
      <c r="CH432"/>
      <c r="CI432"/>
      <c r="CU432" s="42">
        <v>427</v>
      </c>
      <c r="CV432" s="115">
        <v>2</v>
      </c>
      <c r="CW432" s="115">
        <v>1.0047263613915816</v>
      </c>
      <c r="CX432" s="115" t="e">
        <v>#N/A</v>
      </c>
      <c r="CY432" s="115">
        <v>1.0047263613915816</v>
      </c>
      <c r="CZ432" s="137" t="e">
        <v>#N/A</v>
      </c>
      <c r="DA432" t="e">
        <v>#N/A</v>
      </c>
      <c r="DB432" t="str">
        <v/>
      </c>
    </row>
    <row r="433" spans="83:106" x14ac:dyDescent="0.2">
      <c r="CE433"/>
      <c r="CF433"/>
      <c r="CG433"/>
      <c r="CH433"/>
      <c r="CI433"/>
      <c r="CU433" s="42">
        <v>428</v>
      </c>
      <c r="CV433" s="115">
        <v>2</v>
      </c>
      <c r="CW433" s="115">
        <v>1.0047263613915816</v>
      </c>
      <c r="CX433" s="115" t="e">
        <v>#N/A</v>
      </c>
      <c r="CY433" s="115">
        <v>1.0047263613915816</v>
      </c>
      <c r="CZ433" s="137" t="e">
        <v>#N/A</v>
      </c>
      <c r="DA433" t="e">
        <v>#N/A</v>
      </c>
      <c r="DB433" t="str">
        <v/>
      </c>
    </row>
    <row r="434" spans="83:106" x14ac:dyDescent="0.2">
      <c r="CE434"/>
      <c r="CF434"/>
      <c r="CG434"/>
      <c r="CH434"/>
      <c r="CI434"/>
      <c r="CU434" s="42">
        <v>429</v>
      </c>
      <c r="CV434" s="115">
        <v>2</v>
      </c>
      <c r="CW434" s="115">
        <v>1.0047263613915816</v>
      </c>
      <c r="CX434" s="115" t="e">
        <v>#N/A</v>
      </c>
      <c r="CY434" s="115">
        <v>1.0047263613915816</v>
      </c>
      <c r="CZ434" s="137" t="e">
        <v>#N/A</v>
      </c>
      <c r="DA434" t="e">
        <v>#N/A</v>
      </c>
      <c r="DB434" t="str">
        <v/>
      </c>
    </row>
    <row r="435" spans="83:106" x14ac:dyDescent="0.2">
      <c r="CE435"/>
      <c r="CF435"/>
      <c r="CG435"/>
      <c r="CH435"/>
      <c r="CI435"/>
      <c r="CU435" s="42">
        <v>430</v>
      </c>
      <c r="CV435" s="115">
        <v>2</v>
      </c>
      <c r="CW435" s="115">
        <v>1.0047263613915816</v>
      </c>
      <c r="CX435" s="115" t="e">
        <v>#N/A</v>
      </c>
      <c r="CY435" s="115">
        <v>1.0047263613915816</v>
      </c>
      <c r="CZ435" s="137" t="e">
        <v>#N/A</v>
      </c>
      <c r="DA435" t="e">
        <v>#N/A</v>
      </c>
      <c r="DB435" t="str">
        <v/>
      </c>
    </row>
    <row r="436" spans="83:106" x14ac:dyDescent="0.2">
      <c r="CE436"/>
      <c r="CF436"/>
      <c r="CG436"/>
      <c r="CH436"/>
      <c r="CI436"/>
      <c r="CU436" s="42">
        <v>431</v>
      </c>
      <c r="CV436" s="115">
        <v>2</v>
      </c>
      <c r="CW436" s="115">
        <v>1.0047263613915816</v>
      </c>
      <c r="CX436" s="115" t="e">
        <v>#N/A</v>
      </c>
      <c r="CY436" s="115">
        <v>1.0047263613915816</v>
      </c>
      <c r="CZ436" s="137" t="e">
        <v>#N/A</v>
      </c>
      <c r="DA436" t="e">
        <v>#N/A</v>
      </c>
      <c r="DB436" t="str">
        <v/>
      </c>
    </row>
    <row r="437" spans="83:106" x14ac:dyDescent="0.2">
      <c r="CE437"/>
      <c r="CF437"/>
      <c r="CG437"/>
      <c r="CH437"/>
      <c r="CI437"/>
      <c r="CU437" s="42">
        <v>432</v>
      </c>
      <c r="CV437" s="115">
        <v>2</v>
      </c>
      <c r="CW437" s="115">
        <v>1.0047263613915816</v>
      </c>
      <c r="CX437" s="115" t="e">
        <v>#N/A</v>
      </c>
      <c r="CY437" s="115">
        <v>1.0047263613915816</v>
      </c>
      <c r="CZ437" s="137" t="e">
        <v>#N/A</v>
      </c>
      <c r="DA437" t="e">
        <v>#N/A</v>
      </c>
      <c r="DB437" t="str">
        <v/>
      </c>
    </row>
    <row r="438" spans="83:106" x14ac:dyDescent="0.2">
      <c r="CE438"/>
      <c r="CF438"/>
      <c r="CG438"/>
      <c r="CH438"/>
      <c r="CI438"/>
      <c r="CU438" s="42">
        <v>433</v>
      </c>
      <c r="CV438" s="115">
        <v>2</v>
      </c>
      <c r="CW438" s="115">
        <v>1.0047263613915816</v>
      </c>
      <c r="CX438" s="115" t="e">
        <v>#N/A</v>
      </c>
      <c r="CY438" s="115">
        <v>1.0047263613915816</v>
      </c>
      <c r="CZ438" s="137" t="e">
        <v>#N/A</v>
      </c>
      <c r="DA438" t="e">
        <v>#N/A</v>
      </c>
      <c r="DB438" t="str">
        <v/>
      </c>
    </row>
    <row r="439" spans="83:106" x14ac:dyDescent="0.2">
      <c r="CE439"/>
      <c r="CF439"/>
      <c r="CG439"/>
      <c r="CH439"/>
      <c r="CI439"/>
      <c r="CU439" s="42">
        <v>434</v>
      </c>
      <c r="CV439" s="115">
        <v>2</v>
      </c>
      <c r="CW439" s="115">
        <v>1.0047263613915816</v>
      </c>
      <c r="CX439" s="115" t="e">
        <v>#N/A</v>
      </c>
      <c r="CY439" s="115">
        <v>1.0047263613915816</v>
      </c>
      <c r="CZ439" s="137" t="e">
        <v>#N/A</v>
      </c>
      <c r="DA439" t="e">
        <v>#N/A</v>
      </c>
      <c r="DB439" t="str">
        <v/>
      </c>
    </row>
    <row r="440" spans="83:106" x14ac:dyDescent="0.2">
      <c r="CE440"/>
      <c r="CF440"/>
      <c r="CG440"/>
      <c r="CH440"/>
      <c r="CI440"/>
      <c r="CU440" s="42">
        <v>435</v>
      </c>
      <c r="CV440" s="115">
        <v>2</v>
      </c>
      <c r="CW440" s="115">
        <v>1.0047263613915816</v>
      </c>
      <c r="CX440" s="115" t="e">
        <v>#N/A</v>
      </c>
      <c r="CY440" s="115">
        <v>1.0047263613915816</v>
      </c>
      <c r="CZ440" s="137" t="e">
        <v>#N/A</v>
      </c>
      <c r="DA440" t="e">
        <v>#N/A</v>
      </c>
      <c r="DB440" t="str">
        <v/>
      </c>
    </row>
    <row r="441" spans="83:106" x14ac:dyDescent="0.2">
      <c r="CE441"/>
      <c r="CF441"/>
      <c r="CG441"/>
      <c r="CH441"/>
      <c r="CI441"/>
      <c r="CU441" s="42">
        <v>436</v>
      </c>
      <c r="CV441" s="115">
        <v>2</v>
      </c>
      <c r="CW441" s="115">
        <v>1.0047263613915816</v>
      </c>
      <c r="CX441" s="115" t="e">
        <v>#N/A</v>
      </c>
      <c r="CY441" s="115">
        <v>1.0047263613915816</v>
      </c>
      <c r="CZ441" s="137" t="e">
        <v>#N/A</v>
      </c>
      <c r="DA441" t="e">
        <v>#N/A</v>
      </c>
      <c r="DB441" t="str">
        <v/>
      </c>
    </row>
    <row r="442" spans="83:106" x14ac:dyDescent="0.2">
      <c r="CE442"/>
      <c r="CF442"/>
      <c r="CG442"/>
      <c r="CH442"/>
      <c r="CI442"/>
      <c r="CU442" s="42">
        <v>437</v>
      </c>
      <c r="CV442" s="115">
        <v>2</v>
      </c>
      <c r="CW442" s="115">
        <v>1.0047263613915816</v>
      </c>
      <c r="CX442" s="115" t="e">
        <v>#N/A</v>
      </c>
      <c r="CY442" s="115">
        <v>1.0047263613915816</v>
      </c>
      <c r="CZ442" s="137" t="e">
        <v>#N/A</v>
      </c>
      <c r="DA442" t="e">
        <v>#N/A</v>
      </c>
      <c r="DB442" t="str">
        <v/>
      </c>
    </row>
    <row r="443" spans="83:106" x14ac:dyDescent="0.2">
      <c r="CE443"/>
      <c r="CF443"/>
      <c r="CG443"/>
      <c r="CH443"/>
      <c r="CI443"/>
      <c r="CU443" s="42">
        <v>438</v>
      </c>
      <c r="CV443" s="115">
        <v>2</v>
      </c>
      <c r="CW443" s="115">
        <v>1.0047263613915816</v>
      </c>
      <c r="CX443" s="115" t="e">
        <v>#N/A</v>
      </c>
      <c r="CY443" s="115">
        <v>1.0047263613915816</v>
      </c>
      <c r="CZ443" s="137" t="e">
        <v>#N/A</v>
      </c>
      <c r="DA443" t="e">
        <v>#N/A</v>
      </c>
      <c r="DB443" t="str">
        <v/>
      </c>
    </row>
    <row r="444" spans="83:106" x14ac:dyDescent="0.2">
      <c r="CE444"/>
      <c r="CF444"/>
      <c r="CG444"/>
      <c r="CH444"/>
      <c r="CI444"/>
      <c r="CU444" s="42">
        <v>439</v>
      </c>
      <c r="CV444" s="115">
        <v>2</v>
      </c>
      <c r="CW444" s="115">
        <v>1.0047263613915816</v>
      </c>
      <c r="CX444" s="115" t="e">
        <v>#N/A</v>
      </c>
      <c r="CY444" s="115">
        <v>1.0047263613915816</v>
      </c>
      <c r="CZ444" s="137" t="e">
        <v>#N/A</v>
      </c>
      <c r="DA444" t="e">
        <v>#N/A</v>
      </c>
      <c r="DB444" t="str">
        <v/>
      </c>
    </row>
    <row r="445" spans="83:106" x14ac:dyDescent="0.2">
      <c r="CE445"/>
      <c r="CF445"/>
      <c r="CG445"/>
      <c r="CH445"/>
      <c r="CI445"/>
      <c r="CU445" s="42">
        <v>440</v>
      </c>
      <c r="CV445" s="115">
        <v>2</v>
      </c>
      <c r="CW445" s="115">
        <v>1.0047263613915816</v>
      </c>
      <c r="CX445" s="115" t="e">
        <v>#N/A</v>
      </c>
      <c r="CY445" s="115">
        <v>1.0047263613915816</v>
      </c>
      <c r="CZ445" s="137" t="e">
        <v>#N/A</v>
      </c>
      <c r="DA445" t="e">
        <v>#N/A</v>
      </c>
      <c r="DB445" t="str">
        <v/>
      </c>
    </row>
    <row r="446" spans="83:106" x14ac:dyDescent="0.2">
      <c r="CE446"/>
      <c r="CF446"/>
      <c r="CG446"/>
      <c r="CH446"/>
      <c r="CI446"/>
      <c r="CU446" s="42">
        <v>441</v>
      </c>
      <c r="CV446" s="115">
        <v>2</v>
      </c>
      <c r="CW446" s="115">
        <v>1.0047263613915816</v>
      </c>
      <c r="CX446" s="115" t="e">
        <v>#N/A</v>
      </c>
      <c r="CY446" s="115">
        <v>1.0047263613915816</v>
      </c>
      <c r="CZ446" s="137" t="e">
        <v>#N/A</v>
      </c>
      <c r="DA446" t="e">
        <v>#N/A</v>
      </c>
      <c r="DB446" t="str">
        <v/>
      </c>
    </row>
    <row r="447" spans="83:106" x14ac:dyDescent="0.2">
      <c r="CE447"/>
      <c r="CF447"/>
      <c r="CG447"/>
      <c r="CH447"/>
      <c r="CI447"/>
      <c r="CU447" s="42">
        <v>442</v>
      </c>
      <c r="CV447" s="115">
        <v>2</v>
      </c>
      <c r="CW447" s="115">
        <v>1.0047263613915816</v>
      </c>
      <c r="CX447" s="115" t="e">
        <v>#N/A</v>
      </c>
      <c r="CY447" s="115">
        <v>1.0047263613915816</v>
      </c>
      <c r="CZ447" s="137" t="e">
        <v>#N/A</v>
      </c>
      <c r="DA447" t="e">
        <v>#N/A</v>
      </c>
      <c r="DB447" t="str">
        <v/>
      </c>
    </row>
    <row r="448" spans="83:106" x14ac:dyDescent="0.2">
      <c r="CE448"/>
      <c r="CF448"/>
      <c r="CG448"/>
      <c r="CH448"/>
      <c r="CI448"/>
      <c r="CU448" s="42">
        <v>443</v>
      </c>
      <c r="CV448" s="115">
        <v>2</v>
      </c>
      <c r="CW448" s="115">
        <v>1.0047263613915816</v>
      </c>
      <c r="CX448" s="115" t="e">
        <v>#N/A</v>
      </c>
      <c r="CY448" s="115">
        <v>1.0047263613915816</v>
      </c>
      <c r="CZ448" s="137" t="e">
        <v>#N/A</v>
      </c>
      <c r="DA448" t="e">
        <v>#N/A</v>
      </c>
      <c r="DB448" t="str">
        <v/>
      </c>
    </row>
    <row r="449" spans="83:106" x14ac:dyDescent="0.2">
      <c r="CE449"/>
      <c r="CF449"/>
      <c r="CG449"/>
      <c r="CH449"/>
      <c r="CI449"/>
      <c r="CU449" s="42">
        <v>444</v>
      </c>
      <c r="CV449" s="115">
        <v>2</v>
      </c>
      <c r="CW449" s="115">
        <v>1.0047263613915816</v>
      </c>
      <c r="CX449" s="115" t="e">
        <v>#N/A</v>
      </c>
      <c r="CY449" s="115">
        <v>1.0047263613915816</v>
      </c>
      <c r="CZ449" s="137" t="e">
        <v>#N/A</v>
      </c>
      <c r="DA449" t="e">
        <v>#N/A</v>
      </c>
      <c r="DB449" t="str">
        <v/>
      </c>
    </row>
    <row r="450" spans="83:106" x14ac:dyDescent="0.2">
      <c r="CE450"/>
      <c r="CF450"/>
      <c r="CG450"/>
      <c r="CH450"/>
      <c r="CI450"/>
      <c r="CU450" s="42">
        <v>445</v>
      </c>
      <c r="CV450" s="115">
        <v>2</v>
      </c>
      <c r="CW450" s="115">
        <v>1.0047263613915816</v>
      </c>
      <c r="CX450" s="115" t="e">
        <v>#N/A</v>
      </c>
      <c r="CY450" s="115">
        <v>1.0047263613915816</v>
      </c>
      <c r="CZ450" s="137" t="e">
        <v>#N/A</v>
      </c>
      <c r="DA450" t="e">
        <v>#N/A</v>
      </c>
      <c r="DB450" t="str">
        <v/>
      </c>
    </row>
    <row r="451" spans="83:106" x14ac:dyDescent="0.2">
      <c r="CE451"/>
      <c r="CF451"/>
      <c r="CG451"/>
      <c r="CH451"/>
      <c r="CI451"/>
      <c r="CU451" s="42">
        <v>446</v>
      </c>
      <c r="CV451" s="115">
        <v>2</v>
      </c>
      <c r="CW451" s="115">
        <v>1.0047263613915816</v>
      </c>
      <c r="CX451" s="115" t="e">
        <v>#N/A</v>
      </c>
      <c r="CY451" s="115">
        <v>1.0047263613915816</v>
      </c>
      <c r="CZ451" s="137" t="e">
        <v>#N/A</v>
      </c>
      <c r="DA451" t="e">
        <v>#N/A</v>
      </c>
      <c r="DB451" t="str">
        <v/>
      </c>
    </row>
    <row r="452" spans="83:106" x14ac:dyDescent="0.2">
      <c r="CE452"/>
      <c r="CF452"/>
      <c r="CG452"/>
      <c r="CH452"/>
      <c r="CI452"/>
      <c r="CU452" s="42">
        <v>447</v>
      </c>
      <c r="CV452" s="115">
        <v>2</v>
      </c>
      <c r="CW452" s="115">
        <v>1.0047263613915816</v>
      </c>
      <c r="CX452" s="115" t="e">
        <v>#N/A</v>
      </c>
      <c r="CY452" s="115">
        <v>1.0047263613915816</v>
      </c>
      <c r="CZ452" s="137" t="e">
        <v>#N/A</v>
      </c>
      <c r="DA452" t="e">
        <v>#N/A</v>
      </c>
      <c r="DB452" t="str">
        <v/>
      </c>
    </row>
    <row r="453" spans="83:106" x14ac:dyDescent="0.2">
      <c r="CE453"/>
      <c r="CF453"/>
      <c r="CG453"/>
      <c r="CH453"/>
      <c r="CI453"/>
      <c r="CU453" s="42">
        <v>448</v>
      </c>
      <c r="CV453" s="115">
        <v>2</v>
      </c>
      <c r="CW453" s="115">
        <v>1.0047263613915816</v>
      </c>
      <c r="CX453" s="115" t="e">
        <v>#N/A</v>
      </c>
      <c r="CY453" s="115">
        <v>1.0047263613915816</v>
      </c>
      <c r="CZ453" s="137" t="e">
        <v>#N/A</v>
      </c>
      <c r="DA453" t="e">
        <v>#N/A</v>
      </c>
      <c r="DB453" t="str">
        <v/>
      </c>
    </row>
    <row r="454" spans="83:106" x14ac:dyDescent="0.2">
      <c r="CE454"/>
      <c r="CF454"/>
      <c r="CG454"/>
      <c r="CH454"/>
      <c r="CI454"/>
      <c r="CU454" s="42">
        <v>449</v>
      </c>
      <c r="CV454" s="115">
        <v>2</v>
      </c>
      <c r="CW454" s="115">
        <v>1.0047263613915816</v>
      </c>
      <c r="CX454" s="115" t="e">
        <v>#N/A</v>
      </c>
      <c r="CY454" s="115">
        <v>1.0047263613915816</v>
      </c>
      <c r="CZ454" s="137" t="e">
        <v>#N/A</v>
      </c>
      <c r="DA454" t="e">
        <v>#N/A</v>
      </c>
      <c r="DB454" t="str">
        <v/>
      </c>
    </row>
    <row r="455" spans="83:106" x14ac:dyDescent="0.2">
      <c r="CE455"/>
      <c r="CF455"/>
      <c r="CG455"/>
      <c r="CH455"/>
      <c r="CI455"/>
      <c r="CU455" s="42">
        <v>450</v>
      </c>
      <c r="CV455" s="115">
        <v>2</v>
      </c>
      <c r="CW455" s="115">
        <v>1.0047263613915816</v>
      </c>
      <c r="CX455" s="115" t="e">
        <v>#N/A</v>
      </c>
      <c r="CY455" s="115">
        <v>1.0047263613915816</v>
      </c>
      <c r="CZ455" s="137" t="e">
        <v>#N/A</v>
      </c>
      <c r="DA455" t="e">
        <v>#N/A</v>
      </c>
      <c r="DB455" t="str">
        <v/>
      </c>
    </row>
    <row r="456" spans="83:106" x14ac:dyDescent="0.2">
      <c r="CE456"/>
      <c r="CF456"/>
      <c r="CG456"/>
      <c r="CH456"/>
      <c r="CI456"/>
      <c r="CU456" s="42">
        <v>451</v>
      </c>
      <c r="CV456" s="115">
        <v>2</v>
      </c>
      <c r="CW456" s="115">
        <v>1.0047263613915816</v>
      </c>
      <c r="CX456" s="115" t="e">
        <v>#N/A</v>
      </c>
      <c r="CY456" s="115">
        <v>1.0047263613915816</v>
      </c>
      <c r="CZ456" s="137" t="e">
        <v>#N/A</v>
      </c>
      <c r="DA456" t="e">
        <v>#N/A</v>
      </c>
      <c r="DB456" t="str">
        <v/>
      </c>
    </row>
    <row r="457" spans="83:106" x14ac:dyDescent="0.2">
      <c r="CE457"/>
      <c r="CF457"/>
      <c r="CG457"/>
      <c r="CH457"/>
      <c r="CI457"/>
      <c r="CU457" s="42">
        <v>452</v>
      </c>
      <c r="CV457" s="115">
        <v>2</v>
      </c>
      <c r="CW457" s="115">
        <v>1.0047263613915816</v>
      </c>
      <c r="CX457" s="115" t="e">
        <v>#N/A</v>
      </c>
      <c r="CY457" s="115">
        <v>1.0047263613915816</v>
      </c>
      <c r="CZ457" s="137" t="e">
        <v>#N/A</v>
      </c>
      <c r="DA457" t="e">
        <v>#N/A</v>
      </c>
      <c r="DB457" t="str">
        <v/>
      </c>
    </row>
    <row r="458" spans="83:106" x14ac:dyDescent="0.2">
      <c r="CE458"/>
      <c r="CF458"/>
      <c r="CG458"/>
      <c r="CH458"/>
      <c r="CI458"/>
      <c r="CU458" s="42">
        <v>453</v>
      </c>
      <c r="CV458" s="115">
        <v>2</v>
      </c>
      <c r="CW458" s="115">
        <v>1.0047263613915816</v>
      </c>
      <c r="CX458" s="115" t="e">
        <v>#N/A</v>
      </c>
      <c r="CY458" s="115">
        <v>1.0047263613915816</v>
      </c>
      <c r="CZ458" s="137" t="e">
        <v>#N/A</v>
      </c>
      <c r="DA458" t="e">
        <v>#N/A</v>
      </c>
      <c r="DB458" t="str">
        <v/>
      </c>
    </row>
    <row r="459" spans="83:106" x14ac:dyDescent="0.2">
      <c r="CE459"/>
      <c r="CF459"/>
      <c r="CG459"/>
      <c r="CH459"/>
      <c r="CI459"/>
      <c r="CU459" s="42">
        <v>454</v>
      </c>
      <c r="CV459" s="115">
        <v>2</v>
      </c>
      <c r="CW459" s="115">
        <v>1.0047263613915816</v>
      </c>
      <c r="CX459" s="115" t="e">
        <v>#N/A</v>
      </c>
      <c r="CY459" s="115">
        <v>1.0047263613915816</v>
      </c>
      <c r="CZ459" s="137" t="e">
        <v>#N/A</v>
      </c>
      <c r="DA459" t="e">
        <v>#N/A</v>
      </c>
      <c r="DB459" t="str">
        <v/>
      </c>
    </row>
    <row r="460" spans="83:106" x14ac:dyDescent="0.2">
      <c r="CE460"/>
      <c r="CF460"/>
      <c r="CG460"/>
      <c r="CH460"/>
      <c r="CI460"/>
      <c r="CU460" s="42">
        <v>455</v>
      </c>
      <c r="CV460" s="115">
        <v>2</v>
      </c>
      <c r="CW460" s="115">
        <v>1.0047263613915816</v>
      </c>
      <c r="CX460" s="115" t="e">
        <v>#N/A</v>
      </c>
      <c r="CY460" s="115">
        <v>1.0047263613915816</v>
      </c>
      <c r="CZ460" s="137" t="e">
        <v>#N/A</v>
      </c>
      <c r="DA460" t="e">
        <v>#N/A</v>
      </c>
      <c r="DB460" t="str">
        <v/>
      </c>
    </row>
    <row r="461" spans="83:106" x14ac:dyDescent="0.2">
      <c r="CE461"/>
      <c r="CF461"/>
      <c r="CG461"/>
      <c r="CH461"/>
      <c r="CI461"/>
      <c r="CU461" s="42">
        <v>456</v>
      </c>
      <c r="CV461" s="115">
        <v>2</v>
      </c>
      <c r="CW461" s="115">
        <v>1.0047263613915816</v>
      </c>
      <c r="CX461" s="115" t="e">
        <v>#N/A</v>
      </c>
      <c r="CY461" s="115">
        <v>1.0047263613915816</v>
      </c>
      <c r="CZ461" s="137" t="e">
        <v>#N/A</v>
      </c>
      <c r="DA461" t="e">
        <v>#N/A</v>
      </c>
      <c r="DB461" t="str">
        <v/>
      </c>
    </row>
    <row r="462" spans="83:106" x14ac:dyDescent="0.2">
      <c r="CE462"/>
      <c r="CF462"/>
      <c r="CG462"/>
      <c r="CH462"/>
      <c r="CI462"/>
      <c r="CU462" s="42">
        <v>457</v>
      </c>
      <c r="CV462" s="115">
        <v>2</v>
      </c>
      <c r="CW462" s="115">
        <v>1.0047263613915816</v>
      </c>
      <c r="CX462" s="115" t="e">
        <v>#N/A</v>
      </c>
      <c r="CY462" s="115">
        <v>1.0047263613915816</v>
      </c>
      <c r="CZ462" s="137" t="e">
        <v>#N/A</v>
      </c>
      <c r="DA462" t="e">
        <v>#N/A</v>
      </c>
      <c r="DB462" t="str">
        <v/>
      </c>
    </row>
    <row r="463" spans="83:106" x14ac:dyDescent="0.2">
      <c r="CE463"/>
      <c r="CF463"/>
      <c r="CG463"/>
      <c r="CH463"/>
      <c r="CI463"/>
      <c r="CU463" s="42">
        <v>458</v>
      </c>
      <c r="CV463" s="115">
        <v>2</v>
      </c>
      <c r="CW463" s="115">
        <v>1.0047263613915816</v>
      </c>
      <c r="CX463" s="115" t="e">
        <v>#N/A</v>
      </c>
      <c r="CY463" s="115">
        <v>1.0047263613915816</v>
      </c>
      <c r="CZ463" s="137" t="e">
        <v>#N/A</v>
      </c>
      <c r="DA463" t="e">
        <v>#N/A</v>
      </c>
      <c r="DB463" t="str">
        <v/>
      </c>
    </row>
    <row r="464" spans="83:106" x14ac:dyDescent="0.2">
      <c r="CE464"/>
      <c r="CF464"/>
      <c r="CG464"/>
      <c r="CH464"/>
      <c r="CI464"/>
      <c r="CU464" s="42">
        <v>459</v>
      </c>
      <c r="CV464" s="115">
        <v>2</v>
      </c>
      <c r="CW464" s="115">
        <v>1.0047263613915816</v>
      </c>
      <c r="CX464" s="115" t="e">
        <v>#N/A</v>
      </c>
      <c r="CY464" s="115">
        <v>1.0047263613915816</v>
      </c>
      <c r="CZ464" s="137" t="e">
        <v>#N/A</v>
      </c>
      <c r="DA464" t="e">
        <v>#N/A</v>
      </c>
      <c r="DB464" t="str">
        <v/>
      </c>
    </row>
    <row r="465" spans="83:106" x14ac:dyDescent="0.2">
      <c r="CE465"/>
      <c r="CF465"/>
      <c r="CG465"/>
      <c r="CH465"/>
      <c r="CI465"/>
      <c r="CU465" s="42">
        <v>460</v>
      </c>
      <c r="CV465" s="115">
        <v>2</v>
      </c>
      <c r="CW465" s="115">
        <v>1.0047263613915816</v>
      </c>
      <c r="CX465" s="115" t="e">
        <v>#N/A</v>
      </c>
      <c r="CY465" s="115">
        <v>1.0047263613915816</v>
      </c>
      <c r="CZ465" s="137" t="e">
        <v>#N/A</v>
      </c>
      <c r="DA465" t="e">
        <v>#N/A</v>
      </c>
      <c r="DB465" t="str">
        <v/>
      </c>
    </row>
    <row r="466" spans="83:106" x14ac:dyDescent="0.2">
      <c r="CE466"/>
      <c r="CF466"/>
      <c r="CG466"/>
      <c r="CH466"/>
      <c r="CI466"/>
      <c r="CU466" s="42">
        <v>461</v>
      </c>
      <c r="CV466" s="115">
        <v>2</v>
      </c>
      <c r="CW466" s="115">
        <v>1.0047263613915816</v>
      </c>
      <c r="CX466" s="115" t="e">
        <v>#N/A</v>
      </c>
      <c r="CY466" s="115">
        <v>1.0047263613915816</v>
      </c>
      <c r="CZ466" s="137" t="e">
        <v>#N/A</v>
      </c>
      <c r="DA466" t="e">
        <v>#N/A</v>
      </c>
      <c r="DB466" t="str">
        <v/>
      </c>
    </row>
    <row r="467" spans="83:106" x14ac:dyDescent="0.2">
      <c r="CE467"/>
      <c r="CF467"/>
      <c r="CG467"/>
      <c r="CH467"/>
      <c r="CI467"/>
      <c r="CU467" s="42">
        <v>462</v>
      </c>
      <c r="CV467" s="115">
        <v>2</v>
      </c>
      <c r="CW467" s="115">
        <v>1.0047263613915816</v>
      </c>
      <c r="CX467" s="115" t="e">
        <v>#N/A</v>
      </c>
      <c r="CY467" s="115">
        <v>1.0047263613915816</v>
      </c>
      <c r="CZ467" s="137" t="e">
        <v>#N/A</v>
      </c>
      <c r="DA467" t="e">
        <v>#N/A</v>
      </c>
      <c r="DB467" t="str">
        <v/>
      </c>
    </row>
    <row r="468" spans="83:106" x14ac:dyDescent="0.2">
      <c r="CE468"/>
      <c r="CF468"/>
      <c r="CG468"/>
      <c r="CH468"/>
      <c r="CI468"/>
      <c r="CU468" s="42">
        <v>463</v>
      </c>
      <c r="CV468" s="115">
        <v>2</v>
      </c>
      <c r="CW468" s="115">
        <v>1.0047263613915816</v>
      </c>
      <c r="CX468" s="115" t="e">
        <v>#N/A</v>
      </c>
      <c r="CY468" s="115">
        <v>1.0047263613915816</v>
      </c>
      <c r="CZ468" s="137" t="e">
        <v>#N/A</v>
      </c>
      <c r="DA468" t="e">
        <v>#N/A</v>
      </c>
      <c r="DB468" t="str">
        <v/>
      </c>
    </row>
    <row r="469" spans="83:106" x14ac:dyDescent="0.2">
      <c r="CE469"/>
      <c r="CF469"/>
      <c r="CG469"/>
      <c r="CH469"/>
      <c r="CI469"/>
      <c r="CU469" s="42">
        <v>464</v>
      </c>
      <c r="CV469" s="115">
        <v>2</v>
      </c>
      <c r="CW469" s="115">
        <v>1.0047263613915816</v>
      </c>
      <c r="CX469" s="115" t="e">
        <v>#N/A</v>
      </c>
      <c r="CY469" s="115">
        <v>1.0047263613915816</v>
      </c>
      <c r="CZ469" s="137" t="e">
        <v>#N/A</v>
      </c>
      <c r="DA469" t="e">
        <v>#N/A</v>
      </c>
      <c r="DB469" t="str">
        <v/>
      </c>
    </row>
    <row r="470" spans="83:106" x14ac:dyDescent="0.2">
      <c r="CE470"/>
      <c r="CF470"/>
      <c r="CG470"/>
      <c r="CH470"/>
      <c r="CI470"/>
      <c r="CU470" s="42">
        <v>465</v>
      </c>
      <c r="CV470" s="115">
        <v>2</v>
      </c>
      <c r="CW470" s="115">
        <v>1.0047263613915816</v>
      </c>
      <c r="CX470" s="115" t="e">
        <v>#N/A</v>
      </c>
      <c r="CY470" s="115">
        <v>1.0047263613915816</v>
      </c>
      <c r="CZ470" s="137" t="e">
        <v>#N/A</v>
      </c>
      <c r="DA470" t="e">
        <v>#N/A</v>
      </c>
      <c r="DB470" t="str">
        <v/>
      </c>
    </row>
    <row r="471" spans="83:106" x14ac:dyDescent="0.2">
      <c r="CE471"/>
      <c r="CF471"/>
      <c r="CG471"/>
      <c r="CH471"/>
      <c r="CI471"/>
      <c r="CU471" s="42">
        <v>466</v>
      </c>
      <c r="CV471" s="115">
        <v>2</v>
      </c>
      <c r="CW471" s="115">
        <v>1.0047263613915816</v>
      </c>
      <c r="CX471" s="115" t="e">
        <v>#N/A</v>
      </c>
      <c r="CY471" s="115">
        <v>1.0047263613915816</v>
      </c>
      <c r="CZ471" s="137" t="e">
        <v>#N/A</v>
      </c>
      <c r="DA471" t="e">
        <v>#N/A</v>
      </c>
      <c r="DB471" t="str">
        <v/>
      </c>
    </row>
    <row r="472" spans="83:106" x14ac:dyDescent="0.2">
      <c r="CE472"/>
      <c r="CF472"/>
      <c r="CG472"/>
      <c r="CH472"/>
      <c r="CI472"/>
      <c r="CU472" s="42">
        <v>467</v>
      </c>
      <c r="CV472" s="115">
        <v>2</v>
      </c>
      <c r="CW472" s="115">
        <v>1.0047263613915816</v>
      </c>
      <c r="CX472" s="115" t="e">
        <v>#N/A</v>
      </c>
      <c r="CY472" s="115">
        <v>1.0047263613915816</v>
      </c>
      <c r="CZ472" s="137" t="e">
        <v>#N/A</v>
      </c>
      <c r="DA472" t="e">
        <v>#N/A</v>
      </c>
      <c r="DB472" t="str">
        <v/>
      </c>
    </row>
    <row r="473" spans="83:106" x14ac:dyDescent="0.2">
      <c r="CE473"/>
      <c r="CF473"/>
      <c r="CG473"/>
      <c r="CH473"/>
      <c r="CI473"/>
      <c r="CU473" s="42">
        <v>468</v>
      </c>
      <c r="CV473" s="115">
        <v>2</v>
      </c>
      <c r="CW473" s="115">
        <v>1.0047263613915816</v>
      </c>
      <c r="CX473" s="115" t="e">
        <v>#N/A</v>
      </c>
      <c r="CY473" s="115">
        <v>1.0047263613915816</v>
      </c>
      <c r="CZ473" s="137" t="e">
        <v>#N/A</v>
      </c>
      <c r="DA473" t="e">
        <v>#N/A</v>
      </c>
      <c r="DB473" t="str">
        <v/>
      </c>
    </row>
    <row r="474" spans="83:106" x14ac:dyDescent="0.2">
      <c r="CE474"/>
      <c r="CF474"/>
      <c r="CG474"/>
      <c r="CH474"/>
      <c r="CI474"/>
      <c r="CU474" s="42">
        <v>469</v>
      </c>
      <c r="CV474" s="115">
        <v>2</v>
      </c>
      <c r="CW474" s="115">
        <v>1.0047263613915816</v>
      </c>
      <c r="CX474" s="115" t="e">
        <v>#N/A</v>
      </c>
      <c r="CY474" s="115">
        <v>1.0047263613915816</v>
      </c>
      <c r="CZ474" s="137" t="e">
        <v>#N/A</v>
      </c>
      <c r="DA474" t="e">
        <v>#N/A</v>
      </c>
      <c r="DB474" t="str">
        <v/>
      </c>
    </row>
    <row r="475" spans="83:106" x14ac:dyDescent="0.2">
      <c r="CE475"/>
      <c r="CF475"/>
      <c r="CG475"/>
      <c r="CH475"/>
      <c r="CI475"/>
      <c r="CU475" s="42">
        <v>470</v>
      </c>
      <c r="CV475" s="115">
        <v>2</v>
      </c>
      <c r="CW475" s="115">
        <v>1.0047263613915816</v>
      </c>
      <c r="CX475" s="115" t="e">
        <v>#N/A</v>
      </c>
      <c r="CY475" s="115">
        <v>1.0047263613915816</v>
      </c>
      <c r="CZ475" s="137" t="e">
        <v>#N/A</v>
      </c>
      <c r="DA475" t="e">
        <v>#N/A</v>
      </c>
      <c r="DB475" t="str">
        <v/>
      </c>
    </row>
    <row r="476" spans="83:106" x14ac:dyDescent="0.2">
      <c r="CE476"/>
      <c r="CF476"/>
      <c r="CG476"/>
      <c r="CH476"/>
      <c r="CI476"/>
      <c r="CU476" s="42">
        <v>471</v>
      </c>
      <c r="CV476" s="115">
        <v>2</v>
      </c>
      <c r="CW476" s="115">
        <v>1.0047263613915816</v>
      </c>
      <c r="CX476" s="115" t="e">
        <v>#N/A</v>
      </c>
      <c r="CY476" s="115">
        <v>1.0047263613915816</v>
      </c>
      <c r="CZ476" s="137" t="e">
        <v>#N/A</v>
      </c>
      <c r="DA476" t="e">
        <v>#N/A</v>
      </c>
      <c r="DB476" t="str">
        <v/>
      </c>
    </row>
    <row r="477" spans="83:106" x14ac:dyDescent="0.2">
      <c r="CE477"/>
      <c r="CF477"/>
      <c r="CG477"/>
      <c r="CH477"/>
      <c r="CI477"/>
      <c r="CU477" s="42">
        <v>472</v>
      </c>
      <c r="CV477" s="115">
        <v>2</v>
      </c>
      <c r="CW477" s="115">
        <v>1.0047263613915816</v>
      </c>
      <c r="CX477" s="115" t="e">
        <v>#N/A</v>
      </c>
      <c r="CY477" s="115">
        <v>1.0047263613915816</v>
      </c>
      <c r="CZ477" s="137" t="e">
        <v>#N/A</v>
      </c>
      <c r="DA477" t="e">
        <v>#N/A</v>
      </c>
      <c r="DB477" t="str">
        <v/>
      </c>
    </row>
    <row r="478" spans="83:106" x14ac:dyDescent="0.2">
      <c r="CE478"/>
      <c r="CF478"/>
      <c r="CG478"/>
      <c r="CH478"/>
      <c r="CI478"/>
      <c r="CU478" s="42">
        <v>473</v>
      </c>
      <c r="CV478" s="115">
        <v>2</v>
      </c>
      <c r="CW478" s="115">
        <v>1.0047263613915816</v>
      </c>
      <c r="CX478" s="115" t="e">
        <v>#N/A</v>
      </c>
      <c r="CY478" s="115">
        <v>1.0047263613915816</v>
      </c>
      <c r="CZ478" s="137" t="e">
        <v>#N/A</v>
      </c>
      <c r="DA478" t="e">
        <v>#N/A</v>
      </c>
      <c r="DB478" t="str">
        <v/>
      </c>
    </row>
    <row r="479" spans="83:106" x14ac:dyDescent="0.2">
      <c r="CE479"/>
      <c r="CF479"/>
      <c r="CG479"/>
      <c r="CH479"/>
      <c r="CI479"/>
      <c r="CU479" s="42">
        <v>474</v>
      </c>
      <c r="CV479" s="115">
        <v>2</v>
      </c>
      <c r="CW479" s="115">
        <v>1.0047263613915816</v>
      </c>
      <c r="CX479" s="115" t="e">
        <v>#N/A</v>
      </c>
      <c r="CY479" s="115">
        <v>1.0047263613915816</v>
      </c>
      <c r="CZ479" s="137" t="e">
        <v>#N/A</v>
      </c>
      <c r="DA479" t="e">
        <v>#N/A</v>
      </c>
      <c r="DB479" t="str">
        <v/>
      </c>
    </row>
    <row r="480" spans="83:106" x14ac:dyDescent="0.2">
      <c r="CE480"/>
      <c r="CF480"/>
      <c r="CG480"/>
      <c r="CH480"/>
      <c r="CI480"/>
      <c r="CU480" s="42">
        <v>475</v>
      </c>
      <c r="CV480" s="115">
        <v>2</v>
      </c>
      <c r="CW480" s="115">
        <v>1.0047263613915816</v>
      </c>
      <c r="CX480" s="115" t="e">
        <v>#N/A</v>
      </c>
      <c r="CY480" s="115">
        <v>1.0047263613915816</v>
      </c>
      <c r="CZ480" s="137" t="e">
        <v>#N/A</v>
      </c>
      <c r="DA480" t="e">
        <v>#N/A</v>
      </c>
      <c r="DB480" t="str">
        <v/>
      </c>
    </row>
    <row r="481" spans="83:106" x14ac:dyDescent="0.2">
      <c r="CE481"/>
      <c r="CF481"/>
      <c r="CG481"/>
      <c r="CH481"/>
      <c r="CI481"/>
      <c r="CU481" s="42">
        <v>476</v>
      </c>
      <c r="CV481" s="115">
        <v>2</v>
      </c>
      <c r="CW481" s="115">
        <v>1.0047263613915816</v>
      </c>
      <c r="CX481" s="115" t="e">
        <v>#N/A</v>
      </c>
      <c r="CY481" s="115">
        <v>1.0047263613915816</v>
      </c>
      <c r="CZ481" s="137" t="e">
        <v>#N/A</v>
      </c>
      <c r="DA481" t="e">
        <v>#N/A</v>
      </c>
      <c r="DB481" t="str">
        <v/>
      </c>
    </row>
    <row r="482" spans="83:106" x14ac:dyDescent="0.2">
      <c r="CE482"/>
      <c r="CF482"/>
      <c r="CG482"/>
      <c r="CH482"/>
      <c r="CI482"/>
      <c r="CU482" s="42">
        <v>477</v>
      </c>
      <c r="CV482" s="115">
        <v>2</v>
      </c>
      <c r="CW482" s="115">
        <v>1.0047263613915816</v>
      </c>
      <c r="CX482" s="115" t="e">
        <v>#N/A</v>
      </c>
      <c r="CY482" s="115">
        <v>1.0047263613915816</v>
      </c>
      <c r="CZ482" s="137" t="e">
        <v>#N/A</v>
      </c>
      <c r="DA482" t="e">
        <v>#N/A</v>
      </c>
      <c r="DB482" t="str">
        <v/>
      </c>
    </row>
    <row r="483" spans="83:106" x14ac:dyDescent="0.2">
      <c r="CE483"/>
      <c r="CF483"/>
      <c r="CG483"/>
      <c r="CH483"/>
      <c r="CI483"/>
      <c r="CU483" s="42">
        <v>478</v>
      </c>
      <c r="CV483" s="115">
        <v>2</v>
      </c>
      <c r="CW483" s="115">
        <v>1.0047263613915816</v>
      </c>
      <c r="CX483" s="115" t="e">
        <v>#N/A</v>
      </c>
      <c r="CY483" s="115">
        <v>1.0047263613915816</v>
      </c>
      <c r="CZ483" s="137" t="e">
        <v>#N/A</v>
      </c>
      <c r="DA483" t="e">
        <v>#N/A</v>
      </c>
      <c r="DB483" t="str">
        <v/>
      </c>
    </row>
    <row r="484" spans="83:106" x14ac:dyDescent="0.2">
      <c r="CE484"/>
      <c r="CF484"/>
      <c r="CG484"/>
      <c r="CH484"/>
      <c r="CI484"/>
      <c r="CU484" s="42">
        <v>479</v>
      </c>
      <c r="CV484" s="115">
        <v>2</v>
      </c>
      <c r="CW484" s="115">
        <v>1.0047263613915816</v>
      </c>
      <c r="CX484" s="115" t="e">
        <v>#N/A</v>
      </c>
      <c r="CY484" s="115">
        <v>1.0047263613915816</v>
      </c>
      <c r="CZ484" s="137" t="e">
        <v>#N/A</v>
      </c>
      <c r="DA484" t="e">
        <v>#N/A</v>
      </c>
      <c r="DB484" t="str">
        <v/>
      </c>
    </row>
    <row r="485" spans="83:106" x14ac:dyDescent="0.2">
      <c r="CE485"/>
      <c r="CF485"/>
      <c r="CG485"/>
      <c r="CH485"/>
      <c r="CI485"/>
      <c r="CU485" s="42">
        <v>480</v>
      </c>
      <c r="CV485" s="115">
        <v>2</v>
      </c>
      <c r="CW485" s="115">
        <v>1.0047263613915816</v>
      </c>
      <c r="CX485" s="115" t="e">
        <v>#N/A</v>
      </c>
      <c r="CY485" s="115">
        <v>1.0047263613915816</v>
      </c>
      <c r="CZ485" s="137" t="e">
        <v>#N/A</v>
      </c>
      <c r="DA485" t="e">
        <v>#N/A</v>
      </c>
      <c r="DB485" t="str">
        <v/>
      </c>
    </row>
    <row r="486" spans="83:106" x14ac:dyDescent="0.2">
      <c r="CE486"/>
      <c r="CF486"/>
      <c r="CG486"/>
      <c r="CH486"/>
      <c r="CI486"/>
      <c r="CU486" s="42">
        <v>481</v>
      </c>
      <c r="CV486" s="115">
        <v>2</v>
      </c>
      <c r="CW486" s="115">
        <v>1.0047263613915816</v>
      </c>
      <c r="CX486" s="115" t="e">
        <v>#N/A</v>
      </c>
      <c r="CY486" s="115">
        <v>1.0047263613915816</v>
      </c>
      <c r="CZ486" s="137" t="e">
        <v>#N/A</v>
      </c>
      <c r="DA486" t="e">
        <v>#N/A</v>
      </c>
      <c r="DB486" t="str">
        <v/>
      </c>
    </row>
    <row r="487" spans="83:106" x14ac:dyDescent="0.2">
      <c r="CE487"/>
      <c r="CF487"/>
      <c r="CG487"/>
      <c r="CH487"/>
      <c r="CI487"/>
      <c r="CU487" s="42">
        <v>482</v>
      </c>
      <c r="CV487" s="115">
        <v>2</v>
      </c>
      <c r="CW487" s="115">
        <v>1.0047263613915816</v>
      </c>
      <c r="CX487" s="115" t="e">
        <v>#N/A</v>
      </c>
      <c r="CY487" s="115">
        <v>1.0047263613915816</v>
      </c>
      <c r="CZ487" s="137" t="e">
        <v>#N/A</v>
      </c>
      <c r="DA487" t="e">
        <v>#N/A</v>
      </c>
      <c r="DB487" t="str">
        <v/>
      </c>
    </row>
    <row r="488" spans="83:106" x14ac:dyDescent="0.2">
      <c r="CE488"/>
      <c r="CF488"/>
      <c r="CG488"/>
      <c r="CH488"/>
      <c r="CI488"/>
      <c r="CU488" s="42">
        <v>483</v>
      </c>
      <c r="CV488" s="115">
        <v>2</v>
      </c>
      <c r="CW488" s="115">
        <v>1.0047263613915816</v>
      </c>
      <c r="CX488" s="115" t="e">
        <v>#N/A</v>
      </c>
      <c r="CY488" s="115">
        <v>1.0047263613915816</v>
      </c>
      <c r="CZ488" s="137" t="e">
        <v>#N/A</v>
      </c>
      <c r="DA488" t="e">
        <v>#N/A</v>
      </c>
      <c r="DB488" t="str">
        <v/>
      </c>
    </row>
    <row r="489" spans="83:106" x14ac:dyDescent="0.2">
      <c r="CE489"/>
      <c r="CF489"/>
      <c r="CG489"/>
      <c r="CH489"/>
      <c r="CI489"/>
      <c r="CU489" s="42">
        <v>484</v>
      </c>
      <c r="CV489" s="115">
        <v>2</v>
      </c>
      <c r="CW489" s="115">
        <v>1.0047263613915816</v>
      </c>
      <c r="CX489" s="115" t="e">
        <v>#N/A</v>
      </c>
      <c r="CY489" s="115">
        <v>1.0047263613915816</v>
      </c>
      <c r="CZ489" s="137" t="e">
        <v>#N/A</v>
      </c>
      <c r="DA489" t="e">
        <v>#N/A</v>
      </c>
      <c r="DB489" t="str">
        <v/>
      </c>
    </row>
    <row r="490" spans="83:106" x14ac:dyDescent="0.2">
      <c r="CE490"/>
      <c r="CF490"/>
      <c r="CG490"/>
      <c r="CH490"/>
      <c r="CI490"/>
      <c r="CU490" s="42">
        <v>485</v>
      </c>
      <c r="CV490" s="115">
        <v>2</v>
      </c>
      <c r="CW490" s="115">
        <v>1.0047263613915816</v>
      </c>
      <c r="CX490" s="115" t="e">
        <v>#N/A</v>
      </c>
      <c r="CY490" s="115">
        <v>1.0047263613915816</v>
      </c>
      <c r="CZ490" s="137" t="e">
        <v>#N/A</v>
      </c>
      <c r="DA490" t="e">
        <v>#N/A</v>
      </c>
      <c r="DB490" t="str">
        <v/>
      </c>
    </row>
    <row r="491" spans="83:106" x14ac:dyDescent="0.2">
      <c r="CE491"/>
      <c r="CF491"/>
      <c r="CG491"/>
      <c r="CH491"/>
      <c r="CI491"/>
      <c r="CU491" s="42">
        <v>486</v>
      </c>
      <c r="CV491" s="115">
        <v>2</v>
      </c>
      <c r="CW491" s="115">
        <v>1.0047263613915816</v>
      </c>
      <c r="CX491" s="115" t="e">
        <v>#N/A</v>
      </c>
      <c r="CY491" s="115">
        <v>1.0047263613915816</v>
      </c>
      <c r="CZ491" s="137" t="e">
        <v>#N/A</v>
      </c>
      <c r="DA491" t="e">
        <v>#N/A</v>
      </c>
      <c r="DB491" t="str">
        <v/>
      </c>
    </row>
    <row r="492" spans="83:106" x14ac:dyDescent="0.2">
      <c r="CE492"/>
      <c r="CF492"/>
      <c r="CG492"/>
      <c r="CH492"/>
      <c r="CI492"/>
      <c r="CU492" s="42">
        <v>487</v>
      </c>
      <c r="CV492" s="115">
        <v>2</v>
      </c>
      <c r="CW492" s="115">
        <v>1.0047263613915816</v>
      </c>
      <c r="CX492" s="115" t="e">
        <v>#N/A</v>
      </c>
      <c r="CY492" s="115">
        <v>1.0047263613915816</v>
      </c>
      <c r="CZ492" s="137" t="e">
        <v>#N/A</v>
      </c>
      <c r="DA492" t="e">
        <v>#N/A</v>
      </c>
      <c r="DB492" t="str">
        <v/>
      </c>
    </row>
    <row r="493" spans="83:106" x14ac:dyDescent="0.2">
      <c r="CE493"/>
      <c r="CF493"/>
      <c r="CG493"/>
      <c r="CH493"/>
      <c r="CI493"/>
      <c r="CU493" s="42">
        <v>488</v>
      </c>
      <c r="CV493" s="115">
        <v>2</v>
      </c>
      <c r="CW493" s="115">
        <v>1.0047263613915816</v>
      </c>
      <c r="CX493" s="115" t="e">
        <v>#N/A</v>
      </c>
      <c r="CY493" s="115">
        <v>1.0047263613915816</v>
      </c>
      <c r="CZ493" s="137" t="e">
        <v>#N/A</v>
      </c>
      <c r="DA493" t="e">
        <v>#N/A</v>
      </c>
      <c r="DB493" t="str">
        <v/>
      </c>
    </row>
    <row r="494" spans="83:106" x14ac:dyDescent="0.2">
      <c r="CE494"/>
      <c r="CF494"/>
      <c r="CG494"/>
      <c r="CH494"/>
      <c r="CI494"/>
      <c r="CU494" s="42">
        <v>489</v>
      </c>
      <c r="CV494" s="115">
        <v>2</v>
      </c>
      <c r="CW494" s="115">
        <v>1.0047263613915816</v>
      </c>
      <c r="CX494" s="115" t="e">
        <v>#N/A</v>
      </c>
      <c r="CY494" s="115">
        <v>1.0047263613915816</v>
      </c>
      <c r="CZ494" s="137" t="e">
        <v>#N/A</v>
      </c>
      <c r="DA494" t="e">
        <v>#N/A</v>
      </c>
      <c r="DB494" t="str">
        <v/>
      </c>
    </row>
    <row r="495" spans="83:106" x14ac:dyDescent="0.2">
      <c r="CE495"/>
      <c r="CF495"/>
      <c r="CG495"/>
      <c r="CH495"/>
      <c r="CI495"/>
      <c r="CU495" s="42">
        <v>490</v>
      </c>
      <c r="CV495" s="115">
        <v>2</v>
      </c>
      <c r="CW495" s="115">
        <v>1.0047263613915816</v>
      </c>
      <c r="CX495" s="115" t="e">
        <v>#N/A</v>
      </c>
      <c r="CY495" s="115">
        <v>1.0047263613915816</v>
      </c>
      <c r="CZ495" s="137" t="e">
        <v>#N/A</v>
      </c>
      <c r="DA495" t="e">
        <v>#N/A</v>
      </c>
      <c r="DB495" t="str">
        <v/>
      </c>
    </row>
    <row r="496" spans="83:106" x14ac:dyDescent="0.2">
      <c r="CE496"/>
      <c r="CF496"/>
      <c r="CG496"/>
      <c r="CH496"/>
      <c r="CI496"/>
      <c r="CU496" s="42">
        <v>491</v>
      </c>
      <c r="CV496" s="115">
        <v>2</v>
      </c>
      <c r="CW496" s="115">
        <v>1.0047263613915816</v>
      </c>
      <c r="CX496" s="115" t="e">
        <v>#N/A</v>
      </c>
      <c r="CY496" s="115">
        <v>1.0047263613915816</v>
      </c>
      <c r="CZ496" s="137" t="e">
        <v>#N/A</v>
      </c>
      <c r="DA496" t="e">
        <v>#N/A</v>
      </c>
      <c r="DB496" t="str">
        <v/>
      </c>
    </row>
    <row r="497" spans="83:106" x14ac:dyDescent="0.2">
      <c r="CE497"/>
      <c r="CF497"/>
      <c r="CG497"/>
      <c r="CH497"/>
      <c r="CI497"/>
      <c r="CU497" s="42">
        <v>492</v>
      </c>
      <c r="CV497" s="115">
        <v>2</v>
      </c>
      <c r="CW497" s="115">
        <v>1.0047263613915816</v>
      </c>
      <c r="CX497" s="115" t="e">
        <v>#N/A</v>
      </c>
      <c r="CY497" s="115">
        <v>1.0047263613915816</v>
      </c>
      <c r="CZ497" s="137" t="e">
        <v>#N/A</v>
      </c>
      <c r="DA497" t="e">
        <v>#N/A</v>
      </c>
      <c r="DB497" t="str">
        <v/>
      </c>
    </row>
    <row r="498" spans="83:106" x14ac:dyDescent="0.2">
      <c r="CE498"/>
      <c r="CF498"/>
      <c r="CG498"/>
      <c r="CH498"/>
      <c r="CI498"/>
      <c r="CU498" s="42">
        <v>493</v>
      </c>
      <c r="CV498" s="115">
        <v>2</v>
      </c>
      <c r="CW498" s="115">
        <v>1.0047263613915816</v>
      </c>
      <c r="CX498" s="115" t="e">
        <v>#N/A</v>
      </c>
      <c r="CY498" s="115">
        <v>1.0047263613915816</v>
      </c>
      <c r="CZ498" s="137" t="e">
        <v>#N/A</v>
      </c>
      <c r="DA498" t="e">
        <v>#N/A</v>
      </c>
      <c r="DB498" t="str">
        <v/>
      </c>
    </row>
    <row r="499" spans="83:106" x14ac:dyDescent="0.2">
      <c r="CE499"/>
      <c r="CF499"/>
      <c r="CG499"/>
      <c r="CH499"/>
      <c r="CI499"/>
      <c r="CU499" s="42">
        <v>494</v>
      </c>
      <c r="CV499" s="115">
        <v>2</v>
      </c>
      <c r="CW499" s="115">
        <v>1.0047263613915816</v>
      </c>
      <c r="CX499" s="115" t="e">
        <v>#N/A</v>
      </c>
      <c r="CY499" s="115">
        <v>1.0047263613915816</v>
      </c>
      <c r="CZ499" s="137" t="e">
        <v>#N/A</v>
      </c>
      <c r="DA499" t="e">
        <v>#N/A</v>
      </c>
      <c r="DB499" t="str">
        <v/>
      </c>
    </row>
    <row r="500" spans="83:106" x14ac:dyDescent="0.2">
      <c r="CE500"/>
      <c r="CF500"/>
      <c r="CG500"/>
      <c r="CH500"/>
      <c r="CI500"/>
      <c r="CU500" s="42">
        <v>495</v>
      </c>
      <c r="CV500" s="115">
        <v>2</v>
      </c>
      <c r="CW500" s="115">
        <v>1.0047263613915816</v>
      </c>
      <c r="CX500" s="115" t="e">
        <v>#N/A</v>
      </c>
      <c r="CY500" s="115">
        <v>1.0047263613915816</v>
      </c>
      <c r="CZ500" s="137" t="e">
        <v>#N/A</v>
      </c>
      <c r="DA500" t="e">
        <v>#N/A</v>
      </c>
      <c r="DB500" t="str">
        <v/>
      </c>
    </row>
    <row r="501" spans="83:106" x14ac:dyDescent="0.2">
      <c r="CE501"/>
      <c r="CF501"/>
      <c r="CG501"/>
      <c r="CH501"/>
      <c r="CI501"/>
      <c r="CU501" s="42">
        <v>496</v>
      </c>
      <c r="CV501" s="115">
        <v>2</v>
      </c>
      <c r="CW501" s="115">
        <v>1.0047263613915816</v>
      </c>
      <c r="CX501" s="115" t="e">
        <v>#N/A</v>
      </c>
      <c r="CY501" s="115">
        <v>1.0047263613915816</v>
      </c>
      <c r="CZ501" s="137" t="e">
        <v>#N/A</v>
      </c>
      <c r="DA501" t="e">
        <v>#N/A</v>
      </c>
      <c r="DB501" t="str">
        <v/>
      </c>
    </row>
    <row r="502" spans="83:106" x14ac:dyDescent="0.2">
      <c r="CE502"/>
      <c r="CF502"/>
      <c r="CG502"/>
      <c r="CH502"/>
      <c r="CI502"/>
      <c r="CU502" s="42">
        <v>497</v>
      </c>
      <c r="CV502" s="115">
        <v>2</v>
      </c>
      <c r="CW502" s="115">
        <v>1.0047263613915816</v>
      </c>
      <c r="CX502" s="115" t="e">
        <v>#N/A</v>
      </c>
      <c r="CY502" s="115">
        <v>1.0047263613915816</v>
      </c>
      <c r="CZ502" s="137" t="e">
        <v>#N/A</v>
      </c>
      <c r="DA502" t="e">
        <v>#N/A</v>
      </c>
      <c r="DB502" t="str">
        <v/>
      </c>
    </row>
    <row r="503" spans="83:106" x14ac:dyDescent="0.2">
      <c r="CE503"/>
      <c r="CF503"/>
      <c r="CG503"/>
      <c r="CH503"/>
      <c r="CI503"/>
      <c r="CU503" s="42">
        <v>498</v>
      </c>
      <c r="CV503" s="115">
        <v>2</v>
      </c>
      <c r="CW503" s="115">
        <v>1.0047263613915816</v>
      </c>
      <c r="CX503" s="115" t="e">
        <v>#N/A</v>
      </c>
      <c r="CY503" s="115">
        <v>1.0047263613915816</v>
      </c>
      <c r="CZ503" s="137" t="e">
        <v>#N/A</v>
      </c>
      <c r="DA503" t="e">
        <v>#N/A</v>
      </c>
      <c r="DB503" t="str">
        <v/>
      </c>
    </row>
    <row r="504" spans="83:106" x14ac:dyDescent="0.2">
      <c r="CE504"/>
      <c r="CF504"/>
      <c r="CG504"/>
      <c r="CH504"/>
      <c r="CI504"/>
      <c r="CU504" s="42">
        <v>499</v>
      </c>
      <c r="CV504" s="115">
        <v>2</v>
      </c>
      <c r="CW504" s="115">
        <v>1.0047263613915816</v>
      </c>
      <c r="CX504" s="115" t="e">
        <v>#N/A</v>
      </c>
      <c r="CY504" s="115">
        <v>1.0047263613915816</v>
      </c>
      <c r="CZ504" s="137" t="e">
        <v>#N/A</v>
      </c>
      <c r="DA504" t="e">
        <v>#N/A</v>
      </c>
      <c r="DB504" t="str">
        <v/>
      </c>
    </row>
    <row r="505" spans="83:106" x14ac:dyDescent="0.2">
      <c r="CE505"/>
      <c r="CF505"/>
      <c r="CG505"/>
      <c r="CH505"/>
      <c r="CI505"/>
      <c r="CU505" s="42">
        <v>500</v>
      </c>
      <c r="CV505" s="115">
        <v>2</v>
      </c>
      <c r="CW505" s="115">
        <v>1.0047263613915816</v>
      </c>
      <c r="CX505" s="115" t="e">
        <v>#N/A</v>
      </c>
      <c r="CY505" s="115">
        <v>1.0047263613915816</v>
      </c>
      <c r="CZ505" s="137" t="e">
        <v>#N/A</v>
      </c>
      <c r="DA505" t="e">
        <v>#N/A</v>
      </c>
      <c r="DB505" t="str">
        <v/>
      </c>
    </row>
    <row r="506" spans="83:106" x14ac:dyDescent="0.2">
      <c r="CE506"/>
      <c r="CF506"/>
      <c r="CG506"/>
      <c r="CH506"/>
      <c r="CI506"/>
      <c r="CU506" s="42">
        <v>501</v>
      </c>
      <c r="CV506" s="115">
        <v>2</v>
      </c>
      <c r="CW506" s="115">
        <v>1.0047263613915816</v>
      </c>
      <c r="CX506" s="115" t="e">
        <v>#N/A</v>
      </c>
      <c r="CY506" s="115">
        <v>1.0047263613915816</v>
      </c>
      <c r="CZ506" s="137" t="e">
        <v>#N/A</v>
      </c>
      <c r="DA506" t="e">
        <v>#N/A</v>
      </c>
      <c r="DB506" t="str">
        <v/>
      </c>
    </row>
    <row r="507" spans="83:106" x14ac:dyDescent="0.2">
      <c r="CE507"/>
      <c r="CF507"/>
      <c r="CG507"/>
      <c r="CH507"/>
      <c r="CI507"/>
      <c r="CU507" s="42">
        <v>502</v>
      </c>
      <c r="CV507" s="115">
        <v>2</v>
      </c>
      <c r="CW507" s="115">
        <v>1.0047263613915816</v>
      </c>
      <c r="CX507" s="115" t="e">
        <v>#N/A</v>
      </c>
      <c r="CY507" s="115">
        <v>1.0047263613915816</v>
      </c>
      <c r="CZ507" s="137" t="e">
        <v>#N/A</v>
      </c>
      <c r="DA507" t="e">
        <v>#N/A</v>
      </c>
      <c r="DB507" t="str">
        <v/>
      </c>
    </row>
    <row r="508" spans="83:106" x14ac:dyDescent="0.2">
      <c r="CE508"/>
      <c r="CF508"/>
      <c r="CG508"/>
      <c r="CH508"/>
      <c r="CI508"/>
      <c r="CU508" s="42">
        <v>503</v>
      </c>
      <c r="CV508" s="115">
        <v>2</v>
      </c>
      <c r="CW508" s="115">
        <v>1.0047263613915816</v>
      </c>
      <c r="CX508" s="115" t="e">
        <v>#N/A</v>
      </c>
      <c r="CY508" s="115">
        <v>1.0047263613915816</v>
      </c>
      <c r="CZ508" s="137" t="e">
        <v>#N/A</v>
      </c>
      <c r="DA508" t="e">
        <v>#N/A</v>
      </c>
      <c r="DB508" t="str">
        <v/>
      </c>
    </row>
    <row r="509" spans="83:106" x14ac:dyDescent="0.2">
      <c r="CE509"/>
      <c r="CF509"/>
      <c r="CG509"/>
      <c r="CH509"/>
      <c r="CI509"/>
      <c r="CU509" s="42">
        <v>504</v>
      </c>
      <c r="CV509" s="115">
        <v>2</v>
      </c>
      <c r="CW509" s="115">
        <v>1.0047263613915816</v>
      </c>
      <c r="CX509" s="115" t="e">
        <v>#N/A</v>
      </c>
      <c r="CY509" s="115">
        <v>1.0047263613915816</v>
      </c>
      <c r="CZ509" s="137" t="e">
        <v>#N/A</v>
      </c>
      <c r="DA509" t="e">
        <v>#N/A</v>
      </c>
      <c r="DB509" t="str">
        <v/>
      </c>
    </row>
    <row r="510" spans="83:106" x14ac:dyDescent="0.2">
      <c r="CE510"/>
      <c r="CF510"/>
      <c r="CG510"/>
      <c r="CH510"/>
      <c r="CI510"/>
      <c r="CU510" s="42">
        <v>505</v>
      </c>
      <c r="CV510" s="115">
        <v>2</v>
      </c>
      <c r="CW510" s="115">
        <v>1.0047263613915816</v>
      </c>
      <c r="CX510" s="115" t="e">
        <v>#N/A</v>
      </c>
      <c r="CY510" s="115">
        <v>1.0047263613915816</v>
      </c>
      <c r="CZ510" s="137" t="e">
        <v>#N/A</v>
      </c>
      <c r="DA510" t="e">
        <v>#N/A</v>
      </c>
      <c r="DB510" t="str">
        <v/>
      </c>
    </row>
    <row r="511" spans="83:106" x14ac:dyDescent="0.2">
      <c r="CE511"/>
      <c r="CF511"/>
      <c r="CG511"/>
      <c r="CH511"/>
      <c r="CI511"/>
      <c r="CU511" s="42">
        <v>506</v>
      </c>
      <c r="CV511" s="115">
        <v>2</v>
      </c>
      <c r="CW511" s="115">
        <v>1.0047263613915816</v>
      </c>
      <c r="CX511" s="115" t="e">
        <v>#N/A</v>
      </c>
      <c r="CY511" s="115">
        <v>1.0047263613915816</v>
      </c>
      <c r="CZ511" s="137" t="e">
        <v>#N/A</v>
      </c>
      <c r="DA511" t="e">
        <v>#N/A</v>
      </c>
      <c r="DB511" t="str">
        <v/>
      </c>
    </row>
    <row r="512" spans="83:106" x14ac:dyDescent="0.2">
      <c r="CE512"/>
      <c r="CF512"/>
      <c r="CG512"/>
      <c r="CH512"/>
      <c r="CI512"/>
      <c r="CU512" s="42">
        <v>507</v>
      </c>
      <c r="CV512" s="115">
        <v>2</v>
      </c>
      <c r="CW512" s="115">
        <v>1.0047263613915816</v>
      </c>
      <c r="CX512" s="115" t="e">
        <v>#N/A</v>
      </c>
      <c r="CY512" s="115">
        <v>1.0047263613915816</v>
      </c>
      <c r="CZ512" s="137" t="e">
        <v>#N/A</v>
      </c>
      <c r="DA512" t="e">
        <v>#N/A</v>
      </c>
      <c r="DB512" t="str">
        <v/>
      </c>
    </row>
    <row r="513" spans="83:106" x14ac:dyDescent="0.2">
      <c r="CE513"/>
      <c r="CF513"/>
      <c r="CG513"/>
      <c r="CH513"/>
      <c r="CI513"/>
      <c r="CU513" s="42">
        <v>508</v>
      </c>
      <c r="CV513" s="115">
        <v>2</v>
      </c>
      <c r="CW513" s="115">
        <v>1.0047263613915816</v>
      </c>
      <c r="CX513" s="115" t="e">
        <v>#N/A</v>
      </c>
      <c r="CY513" s="115">
        <v>1.0047263613915816</v>
      </c>
      <c r="CZ513" s="137" t="e">
        <v>#N/A</v>
      </c>
      <c r="DA513" t="e">
        <v>#N/A</v>
      </c>
      <c r="DB513" t="str">
        <v/>
      </c>
    </row>
    <row r="514" spans="83:106" x14ac:dyDescent="0.2">
      <c r="CE514"/>
      <c r="CF514"/>
      <c r="CG514"/>
      <c r="CH514"/>
      <c r="CI514"/>
      <c r="CU514" s="42">
        <v>509</v>
      </c>
      <c r="CV514" s="115">
        <v>2</v>
      </c>
      <c r="CW514" s="115">
        <v>1.0047263613915816</v>
      </c>
      <c r="CX514" s="115" t="e">
        <v>#N/A</v>
      </c>
      <c r="CY514" s="115">
        <v>1.0047263613915816</v>
      </c>
      <c r="CZ514" s="137" t="e">
        <v>#N/A</v>
      </c>
      <c r="DA514" t="e">
        <v>#N/A</v>
      </c>
      <c r="DB514" t="str">
        <v/>
      </c>
    </row>
    <row r="515" spans="83:106" x14ac:dyDescent="0.2">
      <c r="CE515"/>
      <c r="CF515"/>
      <c r="CG515"/>
      <c r="CH515"/>
      <c r="CI515"/>
      <c r="CU515" s="42">
        <v>510</v>
      </c>
      <c r="CV515" s="115">
        <v>2</v>
      </c>
      <c r="CW515" s="115">
        <v>1.0047263613915816</v>
      </c>
      <c r="CX515" s="115" t="e">
        <v>#N/A</v>
      </c>
      <c r="CY515" s="115">
        <v>1.0047263613915816</v>
      </c>
      <c r="CZ515" s="137" t="e">
        <v>#N/A</v>
      </c>
      <c r="DA515" t="e">
        <v>#N/A</v>
      </c>
      <c r="DB515" t="str">
        <v/>
      </c>
    </row>
    <row r="516" spans="83:106" x14ac:dyDescent="0.2">
      <c r="CE516"/>
      <c r="CF516"/>
      <c r="CG516"/>
      <c r="CH516"/>
      <c r="CI516"/>
      <c r="CU516" s="42">
        <v>511</v>
      </c>
      <c r="CV516" s="115">
        <v>2</v>
      </c>
      <c r="CW516" s="115">
        <v>1.0047263613915816</v>
      </c>
      <c r="CX516" s="115" t="e">
        <v>#N/A</v>
      </c>
      <c r="CY516" s="115">
        <v>1.0047263613915816</v>
      </c>
      <c r="CZ516" s="137" t="e">
        <v>#N/A</v>
      </c>
      <c r="DA516" t="e">
        <v>#N/A</v>
      </c>
      <c r="DB516" t="str">
        <v/>
      </c>
    </row>
    <row r="517" spans="83:106" x14ac:dyDescent="0.2">
      <c r="CE517"/>
      <c r="CF517"/>
      <c r="CG517"/>
      <c r="CH517"/>
      <c r="CI517"/>
      <c r="CU517" s="42">
        <v>512</v>
      </c>
      <c r="CV517" s="115">
        <v>2</v>
      </c>
      <c r="CW517" s="115">
        <v>1.0047263613915816</v>
      </c>
      <c r="CX517" s="115" t="e">
        <v>#N/A</v>
      </c>
      <c r="CY517" s="115">
        <v>1.0047263613915816</v>
      </c>
      <c r="CZ517" s="137" t="e">
        <v>#N/A</v>
      </c>
      <c r="DA517" t="e">
        <v>#N/A</v>
      </c>
      <c r="DB517" t="str">
        <v/>
      </c>
    </row>
    <row r="518" spans="83:106" x14ac:dyDescent="0.2">
      <c r="CE518"/>
      <c r="CF518"/>
      <c r="CG518"/>
      <c r="CH518"/>
      <c r="CI518"/>
      <c r="CU518" s="42">
        <v>513</v>
      </c>
      <c r="CV518" s="115">
        <v>2</v>
      </c>
      <c r="CW518" s="115">
        <v>1.0047263613915816</v>
      </c>
      <c r="CX518" s="115" t="e">
        <v>#N/A</v>
      </c>
      <c r="CY518" s="115">
        <v>1.0047263613915816</v>
      </c>
      <c r="CZ518" s="137" t="e">
        <v>#N/A</v>
      </c>
      <c r="DA518" t="e">
        <v>#N/A</v>
      </c>
      <c r="DB518" t="str">
        <v/>
      </c>
    </row>
    <row r="519" spans="83:106" x14ac:dyDescent="0.2">
      <c r="CE519"/>
      <c r="CF519"/>
      <c r="CG519"/>
      <c r="CH519"/>
      <c r="CI519"/>
      <c r="CU519" s="42">
        <v>514</v>
      </c>
      <c r="CV519" s="115">
        <v>2</v>
      </c>
      <c r="CW519" s="115">
        <v>1.0047263613915816</v>
      </c>
      <c r="CX519" s="115" t="e">
        <v>#N/A</v>
      </c>
      <c r="CY519" s="115">
        <v>1.0047263613915816</v>
      </c>
      <c r="CZ519" s="137" t="e">
        <v>#N/A</v>
      </c>
      <c r="DA519" t="e">
        <v>#N/A</v>
      </c>
      <c r="DB519" t="str">
        <v/>
      </c>
    </row>
    <row r="520" spans="83:106" x14ac:dyDescent="0.2">
      <c r="CE520"/>
      <c r="CF520"/>
      <c r="CG520"/>
      <c r="CH520"/>
      <c r="CI520"/>
      <c r="CU520" s="42">
        <v>515</v>
      </c>
      <c r="CV520" s="115">
        <v>2</v>
      </c>
      <c r="CW520" s="115">
        <v>1.0047263613915816</v>
      </c>
      <c r="CX520" s="115" t="e">
        <v>#N/A</v>
      </c>
      <c r="CY520" s="115">
        <v>1.0047263613915816</v>
      </c>
      <c r="CZ520" s="137" t="e">
        <v>#N/A</v>
      </c>
      <c r="DA520" t="e">
        <v>#N/A</v>
      </c>
      <c r="DB520" t="str">
        <v/>
      </c>
    </row>
    <row r="521" spans="83:106" x14ac:dyDescent="0.2">
      <c r="CE521"/>
      <c r="CF521"/>
      <c r="CG521"/>
      <c r="CH521"/>
      <c r="CI521"/>
      <c r="CU521" s="42">
        <v>516</v>
      </c>
      <c r="CV521" s="115">
        <v>2</v>
      </c>
      <c r="CW521" s="115">
        <v>1.0047263613915816</v>
      </c>
      <c r="CX521" s="115" t="e">
        <v>#N/A</v>
      </c>
      <c r="CY521" s="115">
        <v>1.0047263613915816</v>
      </c>
      <c r="CZ521" s="137" t="e">
        <v>#N/A</v>
      </c>
      <c r="DA521" t="e">
        <v>#N/A</v>
      </c>
      <c r="DB521" t="str">
        <v/>
      </c>
    </row>
    <row r="522" spans="83:106" x14ac:dyDescent="0.2">
      <c r="CE522"/>
      <c r="CF522"/>
      <c r="CG522"/>
      <c r="CH522"/>
      <c r="CI522"/>
      <c r="CU522" s="42">
        <v>517</v>
      </c>
      <c r="CV522" s="115">
        <v>2</v>
      </c>
      <c r="CW522" s="115">
        <v>1.0047263613915816</v>
      </c>
      <c r="CX522" s="115" t="e">
        <v>#N/A</v>
      </c>
      <c r="CY522" s="115">
        <v>1.0047263613915816</v>
      </c>
      <c r="CZ522" s="137" t="e">
        <v>#N/A</v>
      </c>
      <c r="DA522" t="e">
        <v>#N/A</v>
      </c>
      <c r="DB522" t="str">
        <v/>
      </c>
    </row>
    <row r="523" spans="83:106" x14ac:dyDescent="0.2">
      <c r="CE523"/>
      <c r="CF523"/>
      <c r="CG523"/>
      <c r="CH523"/>
      <c r="CI523"/>
      <c r="CU523" s="42">
        <v>518</v>
      </c>
      <c r="CV523" s="115">
        <v>2</v>
      </c>
      <c r="CW523" s="115">
        <v>1.0047263613915816</v>
      </c>
      <c r="CX523" s="115" t="e">
        <v>#N/A</v>
      </c>
      <c r="CY523" s="115">
        <v>1.0047263613915816</v>
      </c>
      <c r="CZ523" s="137" t="e">
        <v>#N/A</v>
      </c>
      <c r="DA523" t="e">
        <v>#N/A</v>
      </c>
      <c r="DB523" t="str">
        <v/>
      </c>
    </row>
    <row r="524" spans="83:106" x14ac:dyDescent="0.2">
      <c r="CE524"/>
      <c r="CF524"/>
      <c r="CG524"/>
      <c r="CH524"/>
      <c r="CI524"/>
      <c r="CU524" s="42">
        <v>519</v>
      </c>
      <c r="CV524" s="115">
        <v>2</v>
      </c>
      <c r="CW524" s="115">
        <v>1.0047263613915816</v>
      </c>
      <c r="CX524" s="115" t="e">
        <v>#N/A</v>
      </c>
      <c r="CY524" s="115">
        <v>1.0047263613915816</v>
      </c>
      <c r="CZ524" s="137" t="e">
        <v>#N/A</v>
      </c>
      <c r="DA524" t="e">
        <v>#N/A</v>
      </c>
      <c r="DB524" t="str">
        <v/>
      </c>
    </row>
    <row r="525" spans="83:106" x14ac:dyDescent="0.2">
      <c r="CE525"/>
      <c r="CF525"/>
      <c r="CG525"/>
      <c r="CH525"/>
      <c r="CI525"/>
      <c r="CU525" s="42">
        <v>520</v>
      </c>
      <c r="CV525" s="115">
        <v>2</v>
      </c>
      <c r="CW525" s="115">
        <v>1.0047263613915816</v>
      </c>
      <c r="CX525" s="115" t="e">
        <v>#N/A</v>
      </c>
      <c r="CY525" s="115">
        <v>1.0047263613915816</v>
      </c>
      <c r="CZ525" s="137" t="e">
        <v>#N/A</v>
      </c>
      <c r="DA525" t="e">
        <v>#N/A</v>
      </c>
      <c r="DB525" t="str">
        <v/>
      </c>
    </row>
    <row r="526" spans="83:106" x14ac:dyDescent="0.2">
      <c r="CE526"/>
      <c r="CF526"/>
      <c r="CG526"/>
      <c r="CH526"/>
      <c r="CI526"/>
      <c r="CU526" s="42">
        <v>521</v>
      </c>
      <c r="CV526" s="115">
        <v>2</v>
      </c>
      <c r="CW526" s="115">
        <v>1.0047263613915816</v>
      </c>
      <c r="CX526" s="115" t="e">
        <v>#N/A</v>
      </c>
      <c r="CY526" s="115">
        <v>1.0047263613915816</v>
      </c>
      <c r="CZ526" s="137" t="e">
        <v>#N/A</v>
      </c>
      <c r="DA526" t="e">
        <v>#N/A</v>
      </c>
      <c r="DB526" t="str">
        <v/>
      </c>
    </row>
    <row r="527" spans="83:106" x14ac:dyDescent="0.2">
      <c r="CE527"/>
      <c r="CF527"/>
      <c r="CG527"/>
      <c r="CH527"/>
      <c r="CI527"/>
      <c r="CU527" s="42">
        <v>522</v>
      </c>
      <c r="CV527" s="115">
        <v>2</v>
      </c>
      <c r="CW527" s="115">
        <v>1.0047263613915816</v>
      </c>
      <c r="CX527" s="115" t="e">
        <v>#N/A</v>
      </c>
      <c r="CY527" s="115">
        <v>1.0047263613915816</v>
      </c>
      <c r="CZ527" s="137" t="e">
        <v>#N/A</v>
      </c>
      <c r="DA527" t="e">
        <v>#N/A</v>
      </c>
      <c r="DB527" t="str">
        <v/>
      </c>
    </row>
    <row r="528" spans="83:106" x14ac:dyDescent="0.2">
      <c r="CE528"/>
      <c r="CF528"/>
      <c r="CG528"/>
      <c r="CH528"/>
      <c r="CI528"/>
      <c r="CU528" s="42">
        <v>523</v>
      </c>
      <c r="CV528" s="115">
        <v>2</v>
      </c>
      <c r="CW528" s="115">
        <v>1.0047263613915816</v>
      </c>
      <c r="CX528" s="115" t="e">
        <v>#N/A</v>
      </c>
      <c r="CY528" s="115">
        <v>1.0047263613915816</v>
      </c>
      <c r="CZ528" s="137" t="e">
        <v>#N/A</v>
      </c>
      <c r="DA528" t="e">
        <v>#N/A</v>
      </c>
      <c r="DB528" t="str">
        <v/>
      </c>
    </row>
    <row r="529" spans="83:106" x14ac:dyDescent="0.2">
      <c r="CE529"/>
      <c r="CF529"/>
      <c r="CG529"/>
      <c r="CH529"/>
      <c r="CI529"/>
      <c r="CU529" s="42">
        <v>524</v>
      </c>
      <c r="CV529" s="115">
        <v>2</v>
      </c>
      <c r="CW529" s="115">
        <v>1.0047263613915816</v>
      </c>
      <c r="CX529" s="115" t="e">
        <v>#N/A</v>
      </c>
      <c r="CY529" s="115">
        <v>1.0047263613915816</v>
      </c>
      <c r="CZ529" s="137" t="e">
        <v>#N/A</v>
      </c>
      <c r="DA529" t="e">
        <v>#N/A</v>
      </c>
      <c r="DB529" t="str">
        <v/>
      </c>
    </row>
    <row r="530" spans="83:106" x14ac:dyDescent="0.2">
      <c r="CE530"/>
      <c r="CF530"/>
      <c r="CG530"/>
      <c r="CH530"/>
      <c r="CI530"/>
      <c r="CU530" s="42">
        <v>525</v>
      </c>
      <c r="CV530" s="115">
        <v>2</v>
      </c>
      <c r="CW530" s="115">
        <v>1.0047263613915816</v>
      </c>
      <c r="CX530" s="115" t="e">
        <v>#N/A</v>
      </c>
      <c r="CY530" s="115">
        <v>1.0047263613915816</v>
      </c>
      <c r="CZ530" s="137" t="e">
        <v>#N/A</v>
      </c>
      <c r="DA530" t="e">
        <v>#N/A</v>
      </c>
      <c r="DB530" t="str">
        <v/>
      </c>
    </row>
    <row r="531" spans="83:106" x14ac:dyDescent="0.2">
      <c r="CE531"/>
      <c r="CF531"/>
      <c r="CG531"/>
      <c r="CH531"/>
      <c r="CI531"/>
      <c r="CU531" s="42">
        <v>526</v>
      </c>
      <c r="CV531" s="115">
        <v>2</v>
      </c>
      <c r="CW531" s="115">
        <v>1.0047263613915816</v>
      </c>
      <c r="CX531" s="115" t="e">
        <v>#N/A</v>
      </c>
      <c r="CY531" s="115">
        <v>1.0047263613915816</v>
      </c>
      <c r="CZ531" s="137" t="e">
        <v>#N/A</v>
      </c>
      <c r="DA531" t="e">
        <v>#N/A</v>
      </c>
      <c r="DB531" t="str">
        <v/>
      </c>
    </row>
    <row r="532" spans="83:106" x14ac:dyDescent="0.2">
      <c r="CE532"/>
      <c r="CF532"/>
      <c r="CG532"/>
      <c r="CH532"/>
      <c r="CI532"/>
      <c r="CU532" s="42">
        <v>527</v>
      </c>
      <c r="CV532" s="115">
        <v>2</v>
      </c>
      <c r="CW532" s="115">
        <v>1.0047263613915816</v>
      </c>
      <c r="CX532" s="115" t="e">
        <v>#N/A</v>
      </c>
      <c r="CY532" s="115">
        <v>1.0047263613915816</v>
      </c>
      <c r="CZ532" s="137" t="e">
        <v>#N/A</v>
      </c>
      <c r="DA532" t="e">
        <v>#N/A</v>
      </c>
      <c r="DB532" t="str">
        <v/>
      </c>
    </row>
    <row r="533" spans="83:106" x14ac:dyDescent="0.2">
      <c r="CE533"/>
      <c r="CF533"/>
      <c r="CG533"/>
      <c r="CH533"/>
      <c r="CI533"/>
      <c r="CU533" s="42">
        <v>528</v>
      </c>
      <c r="CV533" s="115">
        <v>2</v>
      </c>
      <c r="CW533" s="115">
        <v>1.0047263613915816</v>
      </c>
      <c r="CX533" s="115" t="e">
        <v>#N/A</v>
      </c>
      <c r="CY533" s="115">
        <v>1.0047263613915816</v>
      </c>
      <c r="CZ533" s="137" t="e">
        <v>#N/A</v>
      </c>
      <c r="DA533" t="e">
        <v>#N/A</v>
      </c>
      <c r="DB533" t="str">
        <v/>
      </c>
    </row>
    <row r="534" spans="83:106" x14ac:dyDescent="0.2">
      <c r="CE534"/>
      <c r="CF534"/>
      <c r="CG534"/>
      <c r="CH534"/>
      <c r="CI534"/>
      <c r="CU534" s="42">
        <v>529</v>
      </c>
      <c r="CV534" s="115">
        <v>2</v>
      </c>
      <c r="CW534" s="115">
        <v>1.0047263613915816</v>
      </c>
      <c r="CX534" s="115" t="e">
        <v>#N/A</v>
      </c>
      <c r="CY534" s="115">
        <v>1.0047263613915816</v>
      </c>
      <c r="CZ534" s="137" t="e">
        <v>#N/A</v>
      </c>
      <c r="DA534" t="e">
        <v>#N/A</v>
      </c>
      <c r="DB534" t="str">
        <v/>
      </c>
    </row>
    <row r="535" spans="83:106" x14ac:dyDescent="0.2">
      <c r="CE535"/>
      <c r="CF535"/>
      <c r="CG535"/>
      <c r="CH535"/>
      <c r="CI535"/>
      <c r="CU535" s="42">
        <v>530</v>
      </c>
      <c r="CV535" s="115">
        <v>2</v>
      </c>
      <c r="CW535" s="115">
        <v>1.0047263613915816</v>
      </c>
      <c r="CX535" s="115" t="e">
        <v>#N/A</v>
      </c>
      <c r="CY535" s="115">
        <v>1.0047263613915816</v>
      </c>
      <c r="CZ535" s="137" t="e">
        <v>#N/A</v>
      </c>
      <c r="DA535" t="e">
        <v>#N/A</v>
      </c>
      <c r="DB535" t="str">
        <v/>
      </c>
    </row>
    <row r="536" spans="83:106" x14ac:dyDescent="0.2">
      <c r="CE536"/>
      <c r="CF536"/>
      <c r="CG536"/>
      <c r="CH536"/>
      <c r="CI536"/>
      <c r="CU536" s="42">
        <v>531</v>
      </c>
      <c r="CV536" s="115">
        <v>2</v>
      </c>
      <c r="CW536" s="115">
        <v>1.0047263613915816</v>
      </c>
      <c r="CX536" s="115" t="e">
        <v>#N/A</v>
      </c>
      <c r="CY536" s="115">
        <v>1.0047263613915816</v>
      </c>
      <c r="CZ536" s="137" t="e">
        <v>#N/A</v>
      </c>
      <c r="DA536" t="e">
        <v>#N/A</v>
      </c>
      <c r="DB536" t="str">
        <v/>
      </c>
    </row>
    <row r="537" spans="83:106" x14ac:dyDescent="0.2">
      <c r="CE537"/>
      <c r="CF537"/>
      <c r="CG537"/>
      <c r="CH537"/>
      <c r="CI537"/>
      <c r="CU537" s="42">
        <v>532</v>
      </c>
      <c r="CV537" s="115">
        <v>2</v>
      </c>
      <c r="CW537" s="115">
        <v>1.0047263613915816</v>
      </c>
      <c r="CX537" s="115" t="e">
        <v>#N/A</v>
      </c>
      <c r="CY537" s="115">
        <v>1.0047263613915816</v>
      </c>
      <c r="CZ537" s="137" t="e">
        <v>#N/A</v>
      </c>
      <c r="DA537" t="e">
        <v>#N/A</v>
      </c>
      <c r="DB537" t="str">
        <v/>
      </c>
    </row>
    <row r="538" spans="83:106" x14ac:dyDescent="0.2">
      <c r="CE538"/>
      <c r="CF538"/>
      <c r="CG538"/>
      <c r="CH538"/>
      <c r="CI538"/>
      <c r="CU538" s="42">
        <v>533</v>
      </c>
      <c r="CV538" s="115">
        <v>2</v>
      </c>
      <c r="CW538" s="115">
        <v>1.0047263613915816</v>
      </c>
      <c r="CX538" s="115" t="e">
        <v>#N/A</v>
      </c>
      <c r="CY538" s="115">
        <v>1.0047263613915816</v>
      </c>
      <c r="CZ538" s="137" t="e">
        <v>#N/A</v>
      </c>
      <c r="DA538" t="e">
        <v>#N/A</v>
      </c>
      <c r="DB538" t="str">
        <v/>
      </c>
    </row>
    <row r="539" spans="83:106" x14ac:dyDescent="0.2">
      <c r="CE539"/>
      <c r="CF539"/>
      <c r="CG539"/>
      <c r="CH539"/>
      <c r="CI539"/>
      <c r="CU539" s="42">
        <v>534</v>
      </c>
      <c r="CV539" s="115">
        <v>2</v>
      </c>
      <c r="CW539" s="115">
        <v>1.0047263613915816</v>
      </c>
      <c r="CX539" s="115" t="e">
        <v>#N/A</v>
      </c>
      <c r="CY539" s="115">
        <v>1.0047263613915816</v>
      </c>
      <c r="CZ539" s="137" t="e">
        <v>#N/A</v>
      </c>
      <c r="DA539" t="e">
        <v>#N/A</v>
      </c>
      <c r="DB539" t="str">
        <v/>
      </c>
    </row>
    <row r="540" spans="83:106" x14ac:dyDescent="0.2">
      <c r="CE540"/>
      <c r="CF540"/>
      <c r="CG540"/>
      <c r="CH540"/>
      <c r="CI540"/>
      <c r="CU540" s="42">
        <v>535</v>
      </c>
      <c r="CV540" s="115">
        <v>2</v>
      </c>
      <c r="CW540" s="115">
        <v>1.0047263613915816</v>
      </c>
      <c r="CX540" s="115" t="e">
        <v>#N/A</v>
      </c>
      <c r="CY540" s="115">
        <v>1.0047263613915816</v>
      </c>
      <c r="CZ540" s="137" t="e">
        <v>#N/A</v>
      </c>
      <c r="DA540" t="e">
        <v>#N/A</v>
      </c>
      <c r="DB540" t="str">
        <v/>
      </c>
    </row>
    <row r="541" spans="83:106" x14ac:dyDescent="0.2">
      <c r="CE541"/>
      <c r="CF541"/>
      <c r="CG541"/>
      <c r="CH541"/>
      <c r="CI541"/>
      <c r="CU541" s="42">
        <v>536</v>
      </c>
      <c r="CV541" s="115">
        <v>2</v>
      </c>
      <c r="CW541" s="115">
        <v>1.0047263613915816</v>
      </c>
      <c r="CX541" s="115" t="e">
        <v>#N/A</v>
      </c>
      <c r="CY541" s="115">
        <v>1.0047263613915816</v>
      </c>
      <c r="CZ541" s="137" t="e">
        <v>#N/A</v>
      </c>
      <c r="DA541" t="e">
        <v>#N/A</v>
      </c>
      <c r="DB541" t="str">
        <v/>
      </c>
    </row>
    <row r="542" spans="83:106" x14ac:dyDescent="0.2">
      <c r="CE542"/>
      <c r="CF542"/>
      <c r="CG542"/>
      <c r="CH542"/>
      <c r="CI542"/>
      <c r="CU542" s="42">
        <v>537</v>
      </c>
      <c r="CV542" s="115">
        <v>2</v>
      </c>
      <c r="CW542" s="115">
        <v>1.0047263613915816</v>
      </c>
      <c r="CX542" s="115" t="e">
        <v>#N/A</v>
      </c>
      <c r="CY542" s="115">
        <v>1.0047263613915816</v>
      </c>
      <c r="CZ542" s="137" t="e">
        <v>#N/A</v>
      </c>
      <c r="DA542" t="e">
        <v>#N/A</v>
      </c>
      <c r="DB542" t="str">
        <v/>
      </c>
    </row>
    <row r="543" spans="83:106" x14ac:dyDescent="0.2">
      <c r="CE543"/>
      <c r="CF543"/>
      <c r="CG543"/>
      <c r="CH543"/>
      <c r="CI543"/>
      <c r="CU543" s="42">
        <v>538</v>
      </c>
      <c r="CV543" s="115">
        <v>2</v>
      </c>
      <c r="CW543" s="115">
        <v>1.0047263613915816</v>
      </c>
      <c r="CX543" s="115" t="e">
        <v>#N/A</v>
      </c>
      <c r="CY543" s="115">
        <v>1.0047263613915816</v>
      </c>
      <c r="CZ543" s="137" t="e">
        <v>#N/A</v>
      </c>
      <c r="DA543" t="e">
        <v>#N/A</v>
      </c>
      <c r="DB543" t="str">
        <v/>
      </c>
    </row>
    <row r="544" spans="83:106" x14ac:dyDescent="0.2">
      <c r="CE544"/>
      <c r="CF544"/>
      <c r="CG544"/>
      <c r="CH544"/>
      <c r="CI544"/>
      <c r="CU544" s="42">
        <v>539</v>
      </c>
      <c r="CV544" s="115">
        <v>2</v>
      </c>
      <c r="CW544" s="115">
        <v>1.0047263613915816</v>
      </c>
      <c r="CX544" s="115" t="e">
        <v>#N/A</v>
      </c>
      <c r="CY544" s="115">
        <v>1.0047263613915816</v>
      </c>
      <c r="CZ544" s="137" t="e">
        <v>#N/A</v>
      </c>
      <c r="DA544" t="e">
        <v>#N/A</v>
      </c>
      <c r="DB544" t="str">
        <v/>
      </c>
    </row>
    <row r="545" spans="83:106" x14ac:dyDescent="0.2">
      <c r="CE545"/>
      <c r="CF545"/>
      <c r="CG545"/>
      <c r="CH545"/>
      <c r="CI545"/>
      <c r="CU545" s="42">
        <v>540</v>
      </c>
      <c r="CV545" s="115">
        <v>2</v>
      </c>
      <c r="CW545" s="115">
        <v>1.0047263613915816</v>
      </c>
      <c r="CX545" s="115" t="e">
        <v>#N/A</v>
      </c>
      <c r="CY545" s="115">
        <v>1.0047263613915816</v>
      </c>
      <c r="CZ545" s="137" t="e">
        <v>#N/A</v>
      </c>
      <c r="DA545" t="e">
        <v>#N/A</v>
      </c>
      <c r="DB545" t="str">
        <v/>
      </c>
    </row>
    <row r="546" spans="83:106" x14ac:dyDescent="0.2">
      <c r="CE546"/>
      <c r="CF546"/>
      <c r="CG546"/>
      <c r="CH546"/>
      <c r="CI546"/>
      <c r="CU546" s="42">
        <v>541</v>
      </c>
      <c r="CV546" s="115">
        <v>2</v>
      </c>
      <c r="CW546" s="115">
        <v>1.0047263613915816</v>
      </c>
      <c r="CX546" s="115" t="e">
        <v>#N/A</v>
      </c>
      <c r="CY546" s="115">
        <v>1.0047263613915816</v>
      </c>
      <c r="CZ546" s="137" t="e">
        <v>#N/A</v>
      </c>
      <c r="DA546" t="e">
        <v>#N/A</v>
      </c>
      <c r="DB546" t="str">
        <v/>
      </c>
    </row>
    <row r="547" spans="83:106" x14ac:dyDescent="0.2">
      <c r="CE547"/>
      <c r="CF547"/>
      <c r="CG547"/>
      <c r="CH547"/>
      <c r="CI547"/>
      <c r="CU547" s="42">
        <v>542</v>
      </c>
      <c r="CV547" s="115">
        <v>2</v>
      </c>
      <c r="CW547" s="115">
        <v>1.0047263613915816</v>
      </c>
      <c r="CX547" s="115" t="e">
        <v>#N/A</v>
      </c>
      <c r="CY547" s="115">
        <v>1.0047263613915816</v>
      </c>
      <c r="CZ547" s="137" t="e">
        <v>#N/A</v>
      </c>
      <c r="DA547" t="e">
        <v>#N/A</v>
      </c>
      <c r="DB547" t="str">
        <v/>
      </c>
    </row>
    <row r="548" spans="83:106" x14ac:dyDescent="0.2">
      <c r="CE548"/>
      <c r="CF548"/>
      <c r="CG548"/>
      <c r="CH548"/>
      <c r="CI548"/>
      <c r="CU548" s="42">
        <v>543</v>
      </c>
      <c r="CV548" s="115">
        <v>2</v>
      </c>
      <c r="CW548" s="115">
        <v>1.0047263613915816</v>
      </c>
      <c r="CX548" s="115" t="e">
        <v>#N/A</v>
      </c>
      <c r="CY548" s="115">
        <v>1.0047263613915816</v>
      </c>
      <c r="CZ548" s="137" t="e">
        <v>#N/A</v>
      </c>
      <c r="DA548" t="e">
        <v>#N/A</v>
      </c>
      <c r="DB548" t="str">
        <v/>
      </c>
    </row>
    <row r="549" spans="83:106" x14ac:dyDescent="0.2">
      <c r="CE549"/>
      <c r="CF549"/>
      <c r="CG549"/>
      <c r="CH549"/>
      <c r="CI549"/>
      <c r="CU549" s="42">
        <v>544</v>
      </c>
      <c r="CV549" s="115">
        <v>2</v>
      </c>
      <c r="CW549" s="115">
        <v>1.0047263613915816</v>
      </c>
      <c r="CX549" s="115" t="e">
        <v>#N/A</v>
      </c>
      <c r="CY549" s="115">
        <v>1.0047263613915816</v>
      </c>
      <c r="CZ549" s="137" t="e">
        <v>#N/A</v>
      </c>
      <c r="DA549" t="e">
        <v>#N/A</v>
      </c>
      <c r="DB549" t="str">
        <v/>
      </c>
    </row>
    <row r="550" spans="83:106" x14ac:dyDescent="0.2">
      <c r="CE550"/>
      <c r="CF550"/>
      <c r="CG550"/>
      <c r="CH550"/>
      <c r="CI550"/>
      <c r="CU550" s="42">
        <v>545</v>
      </c>
      <c r="CV550" s="115">
        <v>2</v>
      </c>
      <c r="CW550" s="115">
        <v>1.0047263613915816</v>
      </c>
      <c r="CX550" s="115" t="e">
        <v>#N/A</v>
      </c>
      <c r="CY550" s="115">
        <v>1.0047263613915816</v>
      </c>
      <c r="CZ550" s="137" t="e">
        <v>#N/A</v>
      </c>
      <c r="DA550" t="e">
        <v>#N/A</v>
      </c>
      <c r="DB550" t="str">
        <v/>
      </c>
    </row>
    <row r="551" spans="83:106" x14ac:dyDescent="0.2">
      <c r="CE551"/>
      <c r="CF551"/>
      <c r="CG551"/>
      <c r="CH551"/>
      <c r="CI551"/>
      <c r="CU551" s="42">
        <v>546</v>
      </c>
      <c r="CV551" s="115">
        <v>2</v>
      </c>
      <c r="CW551" s="115">
        <v>1.0047263613915816</v>
      </c>
      <c r="CX551" s="115" t="e">
        <v>#N/A</v>
      </c>
      <c r="CY551" s="115">
        <v>1.0047263613915816</v>
      </c>
      <c r="CZ551" s="137" t="e">
        <v>#N/A</v>
      </c>
      <c r="DA551" t="e">
        <v>#N/A</v>
      </c>
      <c r="DB551" t="str">
        <v/>
      </c>
    </row>
    <row r="552" spans="83:106" x14ac:dyDescent="0.2">
      <c r="CE552"/>
      <c r="CF552"/>
      <c r="CG552"/>
      <c r="CH552"/>
      <c r="CI552"/>
      <c r="CU552" s="42">
        <v>547</v>
      </c>
      <c r="CV552" s="115">
        <v>2</v>
      </c>
      <c r="CW552" s="115">
        <v>1.0047263613915816</v>
      </c>
      <c r="CX552" s="115" t="e">
        <v>#N/A</v>
      </c>
      <c r="CY552" s="115">
        <v>1.0047263613915816</v>
      </c>
      <c r="CZ552" s="137" t="e">
        <v>#N/A</v>
      </c>
      <c r="DA552" t="e">
        <v>#N/A</v>
      </c>
      <c r="DB552" t="str">
        <v/>
      </c>
    </row>
    <row r="553" spans="83:106" x14ac:dyDescent="0.2">
      <c r="CE553"/>
      <c r="CF553"/>
      <c r="CG553"/>
      <c r="CH553"/>
      <c r="CI553"/>
      <c r="CU553" s="42">
        <v>548</v>
      </c>
      <c r="CV553" s="115">
        <v>2</v>
      </c>
      <c r="CW553" s="115">
        <v>1.0047263613915816</v>
      </c>
      <c r="CX553" s="115" t="e">
        <v>#N/A</v>
      </c>
      <c r="CY553" s="115">
        <v>1.0047263613915816</v>
      </c>
      <c r="CZ553" s="137" t="e">
        <v>#N/A</v>
      </c>
      <c r="DA553" t="e">
        <v>#N/A</v>
      </c>
      <c r="DB553" t="str">
        <v/>
      </c>
    </row>
    <row r="554" spans="83:106" x14ac:dyDescent="0.2">
      <c r="CE554"/>
      <c r="CF554"/>
      <c r="CG554"/>
      <c r="CH554"/>
      <c r="CI554"/>
      <c r="CU554" s="42">
        <v>549</v>
      </c>
      <c r="CV554" s="115">
        <v>2</v>
      </c>
      <c r="CW554" s="115">
        <v>1.0047263613915816</v>
      </c>
      <c r="CX554" s="115" t="e">
        <v>#N/A</v>
      </c>
      <c r="CY554" s="115">
        <v>1.0047263613915816</v>
      </c>
      <c r="CZ554" s="137" t="e">
        <v>#N/A</v>
      </c>
      <c r="DA554" t="e">
        <v>#N/A</v>
      </c>
      <c r="DB554" t="str">
        <v/>
      </c>
    </row>
    <row r="555" spans="83:106" x14ac:dyDescent="0.2">
      <c r="CE555"/>
      <c r="CF555"/>
      <c r="CG555"/>
      <c r="CH555"/>
      <c r="CI555"/>
      <c r="CU555" s="42">
        <v>550</v>
      </c>
      <c r="CV555" s="115">
        <v>2</v>
      </c>
      <c r="CW555" s="115">
        <v>1.0047263613915816</v>
      </c>
      <c r="CX555" s="115" t="e">
        <v>#N/A</v>
      </c>
      <c r="CY555" s="115">
        <v>1.0047263613915816</v>
      </c>
      <c r="CZ555" s="137" t="e">
        <v>#N/A</v>
      </c>
      <c r="DA555" t="e">
        <v>#N/A</v>
      </c>
      <c r="DB555" t="str">
        <v/>
      </c>
    </row>
    <row r="556" spans="83:106" x14ac:dyDescent="0.2">
      <c r="CE556"/>
      <c r="CF556"/>
      <c r="CG556"/>
      <c r="CH556"/>
      <c r="CI556"/>
      <c r="CU556" s="42">
        <v>551</v>
      </c>
      <c r="CV556" s="115">
        <v>2</v>
      </c>
      <c r="CW556" s="115">
        <v>1.0047263613915816</v>
      </c>
      <c r="CX556" s="115" t="e">
        <v>#N/A</v>
      </c>
      <c r="CY556" s="115">
        <v>1.0047263613915816</v>
      </c>
      <c r="CZ556" s="137" t="e">
        <v>#N/A</v>
      </c>
      <c r="DA556" t="e">
        <v>#N/A</v>
      </c>
      <c r="DB556" t="str">
        <v/>
      </c>
    </row>
    <row r="557" spans="83:106" x14ac:dyDescent="0.2">
      <c r="CE557"/>
      <c r="CF557"/>
      <c r="CG557"/>
      <c r="CH557"/>
      <c r="CI557"/>
      <c r="CU557" s="42">
        <v>552</v>
      </c>
      <c r="CV557" s="115">
        <v>2</v>
      </c>
      <c r="CW557" s="115">
        <v>1.0047263613915816</v>
      </c>
      <c r="CX557" s="115" t="e">
        <v>#N/A</v>
      </c>
      <c r="CY557" s="115">
        <v>1.0047263613915816</v>
      </c>
      <c r="CZ557" s="137" t="e">
        <v>#N/A</v>
      </c>
      <c r="DA557" t="e">
        <v>#N/A</v>
      </c>
      <c r="DB557" t="str">
        <v/>
      </c>
    </row>
    <row r="558" spans="83:106" x14ac:dyDescent="0.2">
      <c r="CE558"/>
      <c r="CF558"/>
      <c r="CG558"/>
      <c r="CH558"/>
      <c r="CI558"/>
      <c r="CU558" s="42">
        <v>553</v>
      </c>
      <c r="CV558" s="115">
        <v>2</v>
      </c>
      <c r="CW558" s="115">
        <v>1.0047263613915816</v>
      </c>
      <c r="CX558" s="115" t="e">
        <v>#N/A</v>
      </c>
      <c r="CY558" s="115">
        <v>1.0047263613915816</v>
      </c>
      <c r="CZ558" s="137" t="e">
        <v>#N/A</v>
      </c>
      <c r="DA558" t="e">
        <v>#N/A</v>
      </c>
      <c r="DB558" t="str">
        <v/>
      </c>
    </row>
    <row r="559" spans="83:106" x14ac:dyDescent="0.2">
      <c r="CE559"/>
      <c r="CF559"/>
      <c r="CG559"/>
      <c r="CH559"/>
      <c r="CI559"/>
      <c r="CU559" s="42">
        <v>554</v>
      </c>
      <c r="CV559" s="115">
        <v>2</v>
      </c>
      <c r="CW559" s="115">
        <v>1.0047263613915816</v>
      </c>
      <c r="CX559" s="115" t="e">
        <v>#N/A</v>
      </c>
      <c r="CY559" s="115">
        <v>1.0047263613915816</v>
      </c>
      <c r="CZ559" s="137" t="e">
        <v>#N/A</v>
      </c>
      <c r="DA559" t="e">
        <v>#N/A</v>
      </c>
      <c r="DB559" t="str">
        <v/>
      </c>
    </row>
    <row r="560" spans="83:106" x14ac:dyDescent="0.2">
      <c r="CE560"/>
      <c r="CF560"/>
      <c r="CG560"/>
      <c r="CH560"/>
      <c r="CI560"/>
      <c r="CU560" s="42">
        <v>555</v>
      </c>
      <c r="CV560" s="115">
        <v>2</v>
      </c>
      <c r="CW560" s="115">
        <v>1.0047263613915816</v>
      </c>
      <c r="CX560" s="115" t="e">
        <v>#N/A</v>
      </c>
      <c r="CY560" s="115">
        <v>1.0047263613915816</v>
      </c>
      <c r="CZ560" s="137" t="e">
        <v>#N/A</v>
      </c>
      <c r="DA560" t="e">
        <v>#N/A</v>
      </c>
      <c r="DB560" t="str">
        <v/>
      </c>
    </row>
    <row r="561" spans="83:106" x14ac:dyDescent="0.2">
      <c r="CE561"/>
      <c r="CF561"/>
      <c r="CG561"/>
      <c r="CH561"/>
      <c r="CI561"/>
      <c r="CU561" s="42">
        <v>556</v>
      </c>
      <c r="CV561" s="115">
        <v>2</v>
      </c>
      <c r="CW561" s="115">
        <v>1.0047263613915816</v>
      </c>
      <c r="CX561" s="115" t="e">
        <v>#N/A</v>
      </c>
      <c r="CY561" s="115">
        <v>1.0047263613915816</v>
      </c>
      <c r="CZ561" s="137" t="e">
        <v>#N/A</v>
      </c>
      <c r="DA561" t="e">
        <v>#N/A</v>
      </c>
      <c r="DB561" t="str">
        <v/>
      </c>
    </row>
    <row r="562" spans="83:106" x14ac:dyDescent="0.2">
      <c r="CE562"/>
      <c r="CF562"/>
      <c r="CG562"/>
      <c r="CH562"/>
      <c r="CI562"/>
      <c r="CU562" s="42">
        <v>557</v>
      </c>
      <c r="CV562" s="115">
        <v>2</v>
      </c>
      <c r="CW562" s="115">
        <v>1.0047263613915816</v>
      </c>
      <c r="CX562" s="115" t="e">
        <v>#N/A</v>
      </c>
      <c r="CY562" s="115">
        <v>1.0047263613915816</v>
      </c>
      <c r="CZ562" s="137" t="e">
        <v>#N/A</v>
      </c>
      <c r="DA562" t="e">
        <v>#N/A</v>
      </c>
      <c r="DB562" t="str">
        <v/>
      </c>
    </row>
    <row r="563" spans="83:106" x14ac:dyDescent="0.2">
      <c r="CE563"/>
      <c r="CF563"/>
      <c r="CG563"/>
      <c r="CH563"/>
      <c r="CI563"/>
      <c r="CU563" s="42">
        <v>558</v>
      </c>
      <c r="CV563" s="115">
        <v>2</v>
      </c>
      <c r="CW563" s="115">
        <v>1.0047263613915816</v>
      </c>
      <c r="CX563" s="115" t="e">
        <v>#N/A</v>
      </c>
      <c r="CY563" s="115">
        <v>1.0047263613915816</v>
      </c>
      <c r="CZ563" s="137" t="e">
        <v>#N/A</v>
      </c>
      <c r="DA563" t="e">
        <v>#N/A</v>
      </c>
      <c r="DB563" t="str">
        <v/>
      </c>
    </row>
    <row r="564" spans="83:106" x14ac:dyDescent="0.2">
      <c r="CE564"/>
      <c r="CF564"/>
      <c r="CG564"/>
      <c r="CH564"/>
      <c r="CI564"/>
      <c r="CU564" s="42">
        <v>559</v>
      </c>
      <c r="CV564" s="115">
        <v>2</v>
      </c>
      <c r="CW564" s="115">
        <v>1.0047263613915816</v>
      </c>
      <c r="CX564" s="115" t="e">
        <v>#N/A</v>
      </c>
      <c r="CY564" s="115">
        <v>1.0047263613915816</v>
      </c>
      <c r="CZ564" s="137" t="e">
        <v>#N/A</v>
      </c>
      <c r="DA564" t="e">
        <v>#N/A</v>
      </c>
      <c r="DB564" t="str">
        <v/>
      </c>
    </row>
    <row r="565" spans="83:106" x14ac:dyDescent="0.2">
      <c r="CE565"/>
      <c r="CF565"/>
      <c r="CG565"/>
      <c r="CH565"/>
      <c r="CI565"/>
      <c r="CU565" s="42">
        <v>560</v>
      </c>
      <c r="CV565" s="115">
        <v>2</v>
      </c>
      <c r="CW565" s="115">
        <v>1.0047263613915816</v>
      </c>
      <c r="CX565" s="115" t="e">
        <v>#N/A</v>
      </c>
      <c r="CY565" s="115">
        <v>1.0047263613915816</v>
      </c>
      <c r="CZ565" s="137" t="e">
        <v>#N/A</v>
      </c>
      <c r="DA565" t="e">
        <v>#N/A</v>
      </c>
      <c r="DB565" t="str">
        <v/>
      </c>
    </row>
    <row r="566" spans="83:106" x14ac:dyDescent="0.2">
      <c r="CE566"/>
      <c r="CF566"/>
      <c r="CG566"/>
      <c r="CH566"/>
      <c r="CI566"/>
      <c r="CU566" s="42">
        <v>561</v>
      </c>
      <c r="CV566" s="115">
        <v>2</v>
      </c>
      <c r="CW566" s="115">
        <v>1.0047263613915816</v>
      </c>
      <c r="CX566" s="115" t="e">
        <v>#N/A</v>
      </c>
      <c r="CY566" s="115">
        <v>1.0047263613915816</v>
      </c>
      <c r="CZ566" s="137" t="e">
        <v>#N/A</v>
      </c>
      <c r="DA566" t="e">
        <v>#N/A</v>
      </c>
      <c r="DB566" t="str">
        <v/>
      </c>
    </row>
    <row r="567" spans="83:106" x14ac:dyDescent="0.2">
      <c r="CE567"/>
      <c r="CF567"/>
      <c r="CG567"/>
      <c r="CH567"/>
      <c r="CI567"/>
      <c r="CU567" s="42">
        <v>562</v>
      </c>
      <c r="CV567" s="115">
        <v>2</v>
      </c>
      <c r="CW567" s="115">
        <v>1.0047263613915816</v>
      </c>
      <c r="CX567" s="115" t="e">
        <v>#N/A</v>
      </c>
      <c r="CY567" s="115">
        <v>1.0047263613915816</v>
      </c>
      <c r="CZ567" s="137" t="e">
        <v>#N/A</v>
      </c>
      <c r="DA567" t="e">
        <v>#N/A</v>
      </c>
      <c r="DB567" t="str">
        <v/>
      </c>
    </row>
    <row r="568" spans="83:106" x14ac:dyDescent="0.2">
      <c r="CE568"/>
      <c r="CF568"/>
      <c r="CG568"/>
      <c r="CH568"/>
      <c r="CI568"/>
      <c r="CU568" s="42">
        <v>563</v>
      </c>
      <c r="CV568" s="115">
        <v>2</v>
      </c>
      <c r="CW568" s="115">
        <v>1.0047263613915816</v>
      </c>
      <c r="CX568" s="115" t="e">
        <v>#N/A</v>
      </c>
      <c r="CY568" s="115">
        <v>1.0047263613915816</v>
      </c>
      <c r="CZ568" s="137" t="e">
        <v>#N/A</v>
      </c>
      <c r="DA568" t="e">
        <v>#N/A</v>
      </c>
      <c r="DB568" t="str">
        <v/>
      </c>
    </row>
    <row r="569" spans="83:106" x14ac:dyDescent="0.2">
      <c r="CE569"/>
      <c r="CF569"/>
      <c r="CG569"/>
      <c r="CH569"/>
      <c r="CI569"/>
      <c r="CU569" s="42">
        <v>564</v>
      </c>
      <c r="CV569" s="115">
        <v>2</v>
      </c>
      <c r="CW569" s="115">
        <v>1.0047263613915816</v>
      </c>
      <c r="CX569" s="115" t="e">
        <v>#N/A</v>
      </c>
      <c r="CY569" s="115">
        <v>1.0047263613915816</v>
      </c>
      <c r="CZ569" s="137" t="e">
        <v>#N/A</v>
      </c>
      <c r="DA569" t="e">
        <v>#N/A</v>
      </c>
      <c r="DB569" t="str">
        <v/>
      </c>
    </row>
    <row r="570" spans="83:106" x14ac:dyDescent="0.2">
      <c r="CE570"/>
      <c r="CF570"/>
      <c r="CG570"/>
      <c r="CH570"/>
      <c r="CI570"/>
      <c r="CU570" s="42">
        <v>565</v>
      </c>
      <c r="CV570" s="115">
        <v>2</v>
      </c>
      <c r="CW570" s="115">
        <v>1.0047263613915816</v>
      </c>
      <c r="CX570" s="115" t="e">
        <v>#N/A</v>
      </c>
      <c r="CY570" s="115">
        <v>1.0047263613915816</v>
      </c>
      <c r="CZ570" s="137" t="e">
        <v>#N/A</v>
      </c>
      <c r="DA570" t="e">
        <v>#N/A</v>
      </c>
      <c r="DB570" t="str">
        <v/>
      </c>
    </row>
    <row r="571" spans="83:106" x14ac:dyDescent="0.2">
      <c r="CE571"/>
      <c r="CF571"/>
      <c r="CG571"/>
      <c r="CH571"/>
      <c r="CI571"/>
      <c r="CU571" s="42">
        <v>566</v>
      </c>
      <c r="CV571" s="115">
        <v>2</v>
      </c>
      <c r="CW571" s="115">
        <v>1.0047263613915816</v>
      </c>
      <c r="CX571" s="115" t="e">
        <v>#N/A</v>
      </c>
      <c r="CY571" s="115">
        <v>1.0047263613915816</v>
      </c>
      <c r="CZ571" s="137" t="e">
        <v>#N/A</v>
      </c>
      <c r="DA571" t="e">
        <v>#N/A</v>
      </c>
      <c r="DB571" t="str">
        <v/>
      </c>
    </row>
    <row r="572" spans="83:106" x14ac:dyDescent="0.2">
      <c r="CE572"/>
      <c r="CF572"/>
      <c r="CG572"/>
      <c r="CH572"/>
      <c r="CI572"/>
      <c r="CU572" s="42">
        <v>567</v>
      </c>
      <c r="CV572" s="115">
        <v>2</v>
      </c>
      <c r="CW572" s="115">
        <v>1.0047263613915816</v>
      </c>
      <c r="CX572" s="115" t="e">
        <v>#N/A</v>
      </c>
      <c r="CY572" s="115">
        <v>1.0047263613915816</v>
      </c>
      <c r="CZ572" s="137" t="e">
        <v>#N/A</v>
      </c>
      <c r="DA572" t="e">
        <v>#N/A</v>
      </c>
      <c r="DB572" t="str">
        <v/>
      </c>
    </row>
    <row r="573" spans="83:106" x14ac:dyDescent="0.2">
      <c r="CE573"/>
      <c r="CF573"/>
      <c r="CG573"/>
      <c r="CH573"/>
      <c r="CI573"/>
      <c r="CU573" s="42">
        <v>568</v>
      </c>
      <c r="CV573" s="115">
        <v>2</v>
      </c>
      <c r="CW573" s="115">
        <v>1.0047263613915816</v>
      </c>
      <c r="CX573" s="115" t="e">
        <v>#N/A</v>
      </c>
      <c r="CY573" s="115">
        <v>1.0047263613915816</v>
      </c>
      <c r="CZ573" s="137" t="e">
        <v>#N/A</v>
      </c>
      <c r="DA573" t="e">
        <v>#N/A</v>
      </c>
      <c r="DB573" t="str">
        <v/>
      </c>
    </row>
    <row r="574" spans="83:106" x14ac:dyDescent="0.2">
      <c r="CE574"/>
      <c r="CF574"/>
      <c r="CG574"/>
      <c r="CH574"/>
      <c r="CI574"/>
      <c r="CU574" s="42">
        <v>569</v>
      </c>
      <c r="CV574" s="115">
        <v>2</v>
      </c>
      <c r="CW574" s="115">
        <v>1.0047263613915816</v>
      </c>
      <c r="CX574" s="115" t="e">
        <v>#N/A</v>
      </c>
      <c r="CY574" s="115">
        <v>1.0047263613915816</v>
      </c>
      <c r="CZ574" s="137" t="e">
        <v>#N/A</v>
      </c>
      <c r="DA574" t="e">
        <v>#N/A</v>
      </c>
      <c r="DB574" t="str">
        <v/>
      </c>
    </row>
    <row r="575" spans="83:106" x14ac:dyDescent="0.2">
      <c r="CE575"/>
      <c r="CF575"/>
      <c r="CG575"/>
      <c r="CH575"/>
      <c r="CI575"/>
      <c r="CU575" s="42">
        <v>570</v>
      </c>
      <c r="CV575" s="115">
        <v>2</v>
      </c>
      <c r="CW575" s="115">
        <v>1.0047263613915816</v>
      </c>
      <c r="CX575" s="115" t="e">
        <v>#N/A</v>
      </c>
      <c r="CY575" s="115">
        <v>1.0047263613915816</v>
      </c>
      <c r="CZ575" s="137" t="e">
        <v>#N/A</v>
      </c>
      <c r="DA575" t="e">
        <v>#N/A</v>
      </c>
      <c r="DB575" t="str">
        <v/>
      </c>
    </row>
    <row r="576" spans="83:106" x14ac:dyDescent="0.2">
      <c r="CE576"/>
      <c r="CF576"/>
      <c r="CG576"/>
      <c r="CH576"/>
      <c r="CI576"/>
      <c r="CU576" s="42">
        <v>571</v>
      </c>
      <c r="CV576" s="115">
        <v>2</v>
      </c>
      <c r="CW576" s="115">
        <v>1.0047263613915816</v>
      </c>
      <c r="CX576" s="115" t="e">
        <v>#N/A</v>
      </c>
      <c r="CY576" s="115">
        <v>1.0047263613915816</v>
      </c>
      <c r="CZ576" s="137" t="e">
        <v>#N/A</v>
      </c>
      <c r="DA576" t="e">
        <v>#N/A</v>
      </c>
      <c r="DB576" t="str">
        <v/>
      </c>
    </row>
    <row r="577" spans="83:106" x14ac:dyDescent="0.2">
      <c r="CE577"/>
      <c r="CF577"/>
      <c r="CG577"/>
      <c r="CH577"/>
      <c r="CI577"/>
      <c r="CU577" s="42">
        <v>572</v>
      </c>
      <c r="CV577" s="115">
        <v>2</v>
      </c>
      <c r="CW577" s="115">
        <v>1.0047263613915816</v>
      </c>
      <c r="CX577" s="115" t="e">
        <v>#N/A</v>
      </c>
      <c r="CY577" s="115">
        <v>1.0047263613915816</v>
      </c>
      <c r="CZ577" s="137" t="e">
        <v>#N/A</v>
      </c>
      <c r="DA577" t="e">
        <v>#N/A</v>
      </c>
      <c r="DB577" t="str">
        <v/>
      </c>
    </row>
    <row r="578" spans="83:106" x14ac:dyDescent="0.2">
      <c r="CE578"/>
      <c r="CF578"/>
      <c r="CG578"/>
      <c r="CH578"/>
      <c r="CI578"/>
      <c r="CU578" s="42">
        <v>573</v>
      </c>
      <c r="CV578" s="115">
        <v>2</v>
      </c>
      <c r="CW578" s="115">
        <v>1.0047263613915816</v>
      </c>
      <c r="CX578" s="115" t="e">
        <v>#N/A</v>
      </c>
      <c r="CY578" s="115">
        <v>1.0047263613915816</v>
      </c>
      <c r="CZ578" s="137" t="e">
        <v>#N/A</v>
      </c>
      <c r="DA578" t="e">
        <v>#N/A</v>
      </c>
      <c r="DB578" t="str">
        <v/>
      </c>
    </row>
    <row r="579" spans="83:106" x14ac:dyDescent="0.2">
      <c r="CE579"/>
      <c r="CF579"/>
      <c r="CG579"/>
      <c r="CH579"/>
      <c r="CI579"/>
      <c r="CU579" s="42">
        <v>574</v>
      </c>
      <c r="CV579" s="115">
        <v>2</v>
      </c>
      <c r="CW579" s="115">
        <v>1.0047263613915816</v>
      </c>
      <c r="CX579" s="115" t="e">
        <v>#N/A</v>
      </c>
      <c r="CY579" s="115">
        <v>1.0047263613915816</v>
      </c>
      <c r="CZ579" s="137" t="e">
        <v>#N/A</v>
      </c>
      <c r="DA579" t="e">
        <v>#N/A</v>
      </c>
      <c r="DB579" t="str">
        <v/>
      </c>
    </row>
    <row r="580" spans="83:106" x14ac:dyDescent="0.2">
      <c r="CE580"/>
      <c r="CF580"/>
      <c r="CG580"/>
      <c r="CH580"/>
      <c r="CI580"/>
      <c r="CU580" s="42">
        <v>575</v>
      </c>
      <c r="CV580" s="115">
        <v>2</v>
      </c>
      <c r="CW580" s="115">
        <v>1.0047263613915816</v>
      </c>
      <c r="CX580" s="115" t="e">
        <v>#N/A</v>
      </c>
      <c r="CY580" s="115">
        <v>1.0047263613915816</v>
      </c>
      <c r="CZ580" s="137" t="e">
        <v>#N/A</v>
      </c>
      <c r="DA580" t="e">
        <v>#N/A</v>
      </c>
      <c r="DB580" t="str">
        <v/>
      </c>
    </row>
    <row r="581" spans="83:106" x14ac:dyDescent="0.2">
      <c r="CE581"/>
      <c r="CF581"/>
      <c r="CG581"/>
      <c r="CH581"/>
      <c r="CI581"/>
      <c r="CU581" s="42">
        <v>576</v>
      </c>
      <c r="CV581" s="115">
        <v>2</v>
      </c>
      <c r="CW581" s="115">
        <v>1.0047263613915816</v>
      </c>
      <c r="CX581" s="115" t="e">
        <v>#N/A</v>
      </c>
      <c r="CY581" s="115">
        <v>1.0047263613915816</v>
      </c>
      <c r="CZ581" s="137" t="e">
        <v>#N/A</v>
      </c>
      <c r="DA581" t="e">
        <v>#N/A</v>
      </c>
      <c r="DB581" t="str">
        <v/>
      </c>
    </row>
    <row r="582" spans="83:106" x14ac:dyDescent="0.2">
      <c r="CE582"/>
      <c r="CF582"/>
      <c r="CG582"/>
      <c r="CH582"/>
      <c r="CI582"/>
      <c r="CU582" s="42">
        <v>577</v>
      </c>
      <c r="CV582" s="115">
        <v>2</v>
      </c>
      <c r="CW582" s="115">
        <v>1.0047263613915816</v>
      </c>
      <c r="CX582" s="115" t="e">
        <v>#N/A</v>
      </c>
      <c r="CY582" s="115">
        <v>1.0047263613915816</v>
      </c>
      <c r="CZ582" s="137" t="e">
        <v>#N/A</v>
      </c>
      <c r="DA582" t="e">
        <v>#N/A</v>
      </c>
      <c r="DB582" t="str">
        <v/>
      </c>
    </row>
    <row r="583" spans="83:106" x14ac:dyDescent="0.2">
      <c r="CE583"/>
      <c r="CF583"/>
      <c r="CG583"/>
      <c r="CH583"/>
      <c r="CI583"/>
      <c r="CU583" s="42">
        <v>578</v>
      </c>
      <c r="CV583" s="115">
        <v>2</v>
      </c>
      <c r="CW583" s="115">
        <v>1.0047263613915816</v>
      </c>
      <c r="CX583" s="115" t="e">
        <v>#N/A</v>
      </c>
      <c r="CY583" s="115">
        <v>1.0047263613915816</v>
      </c>
      <c r="CZ583" s="137" t="e">
        <v>#N/A</v>
      </c>
      <c r="DA583" t="e">
        <v>#N/A</v>
      </c>
      <c r="DB583" t="str">
        <v/>
      </c>
    </row>
    <row r="584" spans="83:106" x14ac:dyDescent="0.2">
      <c r="CE584"/>
      <c r="CF584"/>
      <c r="CG584"/>
      <c r="CH584"/>
      <c r="CI584"/>
      <c r="CU584" s="42">
        <v>579</v>
      </c>
      <c r="CV584" s="115">
        <v>2</v>
      </c>
      <c r="CW584" s="115">
        <v>1.0047263613915816</v>
      </c>
      <c r="CX584" s="115" t="e">
        <v>#N/A</v>
      </c>
      <c r="CY584" s="115">
        <v>1.0047263613915816</v>
      </c>
      <c r="CZ584" s="137" t="e">
        <v>#N/A</v>
      </c>
      <c r="DA584" t="e">
        <v>#N/A</v>
      </c>
      <c r="DB584" t="str">
        <v/>
      </c>
    </row>
    <row r="585" spans="83:106" x14ac:dyDescent="0.2">
      <c r="CE585"/>
      <c r="CF585"/>
      <c r="CG585"/>
      <c r="CH585"/>
      <c r="CI585"/>
      <c r="CU585" s="42">
        <v>580</v>
      </c>
      <c r="CV585" s="115">
        <v>2</v>
      </c>
      <c r="CW585" s="115">
        <v>1.0047263613915816</v>
      </c>
      <c r="CX585" s="115" t="e">
        <v>#N/A</v>
      </c>
      <c r="CY585" s="115">
        <v>1.0047263613915816</v>
      </c>
      <c r="CZ585" s="137" t="e">
        <v>#N/A</v>
      </c>
      <c r="DA585" t="e">
        <v>#N/A</v>
      </c>
      <c r="DB585" t="str">
        <v/>
      </c>
    </row>
    <row r="586" spans="83:106" x14ac:dyDescent="0.2">
      <c r="CE586"/>
      <c r="CF586"/>
      <c r="CG586"/>
      <c r="CH586"/>
      <c r="CI586"/>
      <c r="CU586" s="42">
        <v>581</v>
      </c>
      <c r="CV586" s="115">
        <v>2</v>
      </c>
      <c r="CW586" s="115">
        <v>1.0047263613915816</v>
      </c>
      <c r="CX586" s="115" t="e">
        <v>#N/A</v>
      </c>
      <c r="CY586" s="115">
        <v>1.0047263613915816</v>
      </c>
      <c r="CZ586" s="137" t="e">
        <v>#N/A</v>
      </c>
      <c r="DA586" t="e">
        <v>#N/A</v>
      </c>
      <c r="DB586" t="str">
        <v/>
      </c>
    </row>
    <row r="587" spans="83:106" x14ac:dyDescent="0.2">
      <c r="CE587"/>
      <c r="CF587"/>
      <c r="CG587"/>
      <c r="CH587"/>
      <c r="CI587"/>
      <c r="CU587" s="42">
        <v>582</v>
      </c>
      <c r="CV587" s="115">
        <v>2</v>
      </c>
      <c r="CW587" s="115">
        <v>1.0047263613915816</v>
      </c>
      <c r="CX587" s="115" t="e">
        <v>#N/A</v>
      </c>
      <c r="CY587" s="115">
        <v>1.0047263613915816</v>
      </c>
      <c r="CZ587" s="137" t="e">
        <v>#N/A</v>
      </c>
      <c r="DA587" t="e">
        <v>#N/A</v>
      </c>
      <c r="DB587" t="str">
        <v/>
      </c>
    </row>
    <row r="588" spans="83:106" x14ac:dyDescent="0.2">
      <c r="CE588"/>
      <c r="CF588"/>
      <c r="CG588"/>
      <c r="CH588"/>
      <c r="CI588"/>
      <c r="CU588" s="42">
        <v>583</v>
      </c>
      <c r="CV588" s="115">
        <v>2</v>
      </c>
      <c r="CW588" s="115">
        <v>1.0047263613915816</v>
      </c>
      <c r="CX588" s="115" t="e">
        <v>#N/A</v>
      </c>
      <c r="CY588" s="115">
        <v>1.0047263613915816</v>
      </c>
      <c r="CZ588" s="137" t="e">
        <v>#N/A</v>
      </c>
      <c r="DA588" t="e">
        <v>#N/A</v>
      </c>
      <c r="DB588" t="str">
        <v/>
      </c>
    </row>
    <row r="589" spans="83:106" x14ac:dyDescent="0.2">
      <c r="CE589"/>
      <c r="CF589"/>
      <c r="CG589"/>
      <c r="CH589"/>
      <c r="CI589"/>
      <c r="CU589" s="42">
        <v>584</v>
      </c>
      <c r="CV589" s="115">
        <v>2</v>
      </c>
      <c r="CW589" s="115">
        <v>1.0047263613915816</v>
      </c>
      <c r="CX589" s="115" t="e">
        <v>#N/A</v>
      </c>
      <c r="CY589" s="115">
        <v>1.0047263613915816</v>
      </c>
      <c r="CZ589" s="137" t="e">
        <v>#N/A</v>
      </c>
      <c r="DA589" t="e">
        <v>#N/A</v>
      </c>
      <c r="DB589" t="str">
        <v/>
      </c>
    </row>
    <row r="590" spans="83:106" x14ac:dyDescent="0.2">
      <c r="CE590"/>
      <c r="CF590"/>
      <c r="CG590"/>
      <c r="CH590"/>
      <c r="CI590"/>
      <c r="CU590" s="42">
        <v>585</v>
      </c>
      <c r="CV590" s="115">
        <v>2</v>
      </c>
      <c r="CW590" s="115">
        <v>1.0047263613915816</v>
      </c>
      <c r="CX590" s="115" t="e">
        <v>#N/A</v>
      </c>
      <c r="CY590" s="115">
        <v>1.0047263613915816</v>
      </c>
      <c r="CZ590" s="137" t="e">
        <v>#N/A</v>
      </c>
      <c r="DA590" t="e">
        <v>#N/A</v>
      </c>
      <c r="DB590" t="str">
        <v/>
      </c>
    </row>
    <row r="591" spans="83:106" x14ac:dyDescent="0.2">
      <c r="CE591"/>
      <c r="CF591"/>
      <c r="CG591"/>
      <c r="CH591"/>
      <c r="CI591"/>
      <c r="CU591" s="42">
        <v>586</v>
      </c>
      <c r="CV591" s="115">
        <v>2</v>
      </c>
      <c r="CW591" s="115">
        <v>1.0047263613915816</v>
      </c>
      <c r="CX591" s="115" t="e">
        <v>#N/A</v>
      </c>
      <c r="CY591" s="115">
        <v>1.0047263613915816</v>
      </c>
      <c r="CZ591" s="137" t="e">
        <v>#N/A</v>
      </c>
      <c r="DA591" t="e">
        <v>#N/A</v>
      </c>
      <c r="DB591" t="str">
        <v/>
      </c>
    </row>
    <row r="592" spans="83:106" x14ac:dyDescent="0.2">
      <c r="CE592"/>
      <c r="CF592"/>
      <c r="CG592"/>
      <c r="CH592"/>
      <c r="CI592"/>
      <c r="CU592" s="42">
        <v>587</v>
      </c>
      <c r="CV592" s="115">
        <v>2</v>
      </c>
      <c r="CW592" s="115">
        <v>1.0047263613915816</v>
      </c>
      <c r="CX592" s="115" t="e">
        <v>#N/A</v>
      </c>
      <c r="CY592" s="115">
        <v>1.0047263613915816</v>
      </c>
      <c r="CZ592" s="137" t="e">
        <v>#N/A</v>
      </c>
      <c r="DA592" t="e">
        <v>#N/A</v>
      </c>
      <c r="DB592" t="str">
        <v/>
      </c>
    </row>
    <row r="593" spans="83:106" x14ac:dyDescent="0.2">
      <c r="CE593"/>
      <c r="CF593"/>
      <c r="CG593"/>
      <c r="CH593"/>
      <c r="CI593"/>
      <c r="CU593" s="42">
        <v>588</v>
      </c>
      <c r="CV593" s="115">
        <v>2</v>
      </c>
      <c r="CW593" s="115">
        <v>1.0047263613915816</v>
      </c>
      <c r="CX593" s="115" t="e">
        <v>#N/A</v>
      </c>
      <c r="CY593" s="115">
        <v>1.0047263613915816</v>
      </c>
      <c r="CZ593" s="137" t="e">
        <v>#N/A</v>
      </c>
      <c r="DA593" t="e">
        <v>#N/A</v>
      </c>
      <c r="DB593" t="str">
        <v/>
      </c>
    </row>
    <row r="594" spans="83:106" x14ac:dyDescent="0.2">
      <c r="CE594"/>
      <c r="CF594"/>
      <c r="CG594"/>
      <c r="CH594"/>
      <c r="CI594"/>
      <c r="CU594" s="42">
        <v>589</v>
      </c>
      <c r="CV594" s="115">
        <v>2</v>
      </c>
      <c r="CW594" s="115">
        <v>1.0047263613915816</v>
      </c>
      <c r="CX594" s="115" t="e">
        <v>#N/A</v>
      </c>
      <c r="CY594" s="115">
        <v>1.0047263613915816</v>
      </c>
      <c r="CZ594" s="137" t="e">
        <v>#N/A</v>
      </c>
      <c r="DA594" t="e">
        <v>#N/A</v>
      </c>
      <c r="DB594" t="str">
        <v/>
      </c>
    </row>
    <row r="595" spans="83:106" x14ac:dyDescent="0.2">
      <c r="CE595"/>
      <c r="CF595"/>
      <c r="CG595"/>
      <c r="CH595"/>
      <c r="CI595"/>
      <c r="CU595" s="42">
        <v>590</v>
      </c>
      <c r="CV595" s="115">
        <v>2</v>
      </c>
      <c r="CW595" s="115">
        <v>1.0047263613915816</v>
      </c>
      <c r="CX595" s="115" t="e">
        <v>#N/A</v>
      </c>
      <c r="CY595" s="115">
        <v>1.0047263613915816</v>
      </c>
      <c r="CZ595" s="137" t="e">
        <v>#N/A</v>
      </c>
      <c r="DA595" t="e">
        <v>#N/A</v>
      </c>
      <c r="DB595" t="str">
        <v/>
      </c>
    </row>
    <row r="596" spans="83:106" x14ac:dyDescent="0.2">
      <c r="CE596"/>
      <c r="CF596"/>
      <c r="CG596"/>
      <c r="CH596"/>
      <c r="CI596"/>
      <c r="CU596" s="42">
        <v>591</v>
      </c>
      <c r="CV596" s="115">
        <v>2</v>
      </c>
      <c r="CW596" s="115">
        <v>1.0047263613915816</v>
      </c>
      <c r="CX596" s="115" t="e">
        <v>#N/A</v>
      </c>
      <c r="CY596" s="115">
        <v>1.0047263613915816</v>
      </c>
      <c r="CZ596" s="137" t="e">
        <v>#N/A</v>
      </c>
      <c r="DA596" t="e">
        <v>#N/A</v>
      </c>
      <c r="DB596" t="str">
        <v/>
      </c>
    </row>
    <row r="597" spans="83:106" x14ac:dyDescent="0.2">
      <c r="CE597"/>
      <c r="CF597"/>
      <c r="CG597"/>
      <c r="CH597"/>
      <c r="CI597"/>
      <c r="CU597" s="42">
        <v>592</v>
      </c>
      <c r="CV597" s="115">
        <v>2</v>
      </c>
      <c r="CW597" s="115">
        <v>1.0047263613915816</v>
      </c>
      <c r="CX597" s="115" t="e">
        <v>#N/A</v>
      </c>
      <c r="CY597" s="115">
        <v>1.0047263613915816</v>
      </c>
      <c r="CZ597" s="137" t="e">
        <v>#N/A</v>
      </c>
      <c r="DA597" t="e">
        <v>#N/A</v>
      </c>
      <c r="DB597" t="str">
        <v/>
      </c>
    </row>
    <row r="598" spans="83:106" x14ac:dyDescent="0.2">
      <c r="CE598"/>
      <c r="CF598"/>
      <c r="CG598"/>
      <c r="CH598"/>
      <c r="CI598"/>
      <c r="CU598" s="42">
        <v>593</v>
      </c>
      <c r="CV598" s="115">
        <v>2</v>
      </c>
      <c r="CW598" s="115">
        <v>1.0047263613915816</v>
      </c>
      <c r="CX598" s="115" t="e">
        <v>#N/A</v>
      </c>
      <c r="CY598" s="115">
        <v>1.0047263613915816</v>
      </c>
      <c r="CZ598" s="137" t="e">
        <v>#N/A</v>
      </c>
      <c r="DA598" t="e">
        <v>#N/A</v>
      </c>
      <c r="DB598" t="str">
        <v/>
      </c>
    </row>
    <row r="599" spans="83:106" x14ac:dyDescent="0.2">
      <c r="CE599"/>
      <c r="CF599"/>
      <c r="CG599"/>
      <c r="CH599"/>
      <c r="CI599"/>
      <c r="CU599" s="42">
        <v>594</v>
      </c>
      <c r="CV599" s="115">
        <v>2</v>
      </c>
      <c r="CW599" s="115">
        <v>1.0047263613915816</v>
      </c>
      <c r="CX599" s="115" t="e">
        <v>#N/A</v>
      </c>
      <c r="CY599" s="115">
        <v>1.0047263613915816</v>
      </c>
      <c r="CZ599" s="137" t="e">
        <v>#N/A</v>
      </c>
      <c r="DA599" t="e">
        <v>#N/A</v>
      </c>
      <c r="DB599" t="str">
        <v/>
      </c>
    </row>
    <row r="600" spans="83:106" x14ac:dyDescent="0.2">
      <c r="CE600"/>
      <c r="CF600"/>
      <c r="CG600"/>
      <c r="CH600"/>
      <c r="CI600"/>
      <c r="CU600" s="42">
        <v>595</v>
      </c>
      <c r="CV600" s="115">
        <v>2</v>
      </c>
      <c r="CW600" s="115">
        <v>1.0047263613915816</v>
      </c>
      <c r="CX600" s="115" t="e">
        <v>#N/A</v>
      </c>
      <c r="CY600" s="115">
        <v>1.0047263613915816</v>
      </c>
      <c r="CZ600" s="137" t="e">
        <v>#N/A</v>
      </c>
      <c r="DA600" t="e">
        <v>#N/A</v>
      </c>
      <c r="DB600" t="str">
        <v/>
      </c>
    </row>
    <row r="601" spans="83:106" x14ac:dyDescent="0.2">
      <c r="CE601"/>
      <c r="CF601"/>
      <c r="CG601"/>
      <c r="CH601"/>
      <c r="CI601"/>
      <c r="CU601" s="42">
        <v>596</v>
      </c>
      <c r="CV601" s="115">
        <v>2</v>
      </c>
      <c r="CW601" s="115">
        <v>1.0047263613915816</v>
      </c>
      <c r="CX601" s="115" t="e">
        <v>#N/A</v>
      </c>
      <c r="CY601" s="115">
        <v>1.0047263613915816</v>
      </c>
      <c r="CZ601" s="137" t="e">
        <v>#N/A</v>
      </c>
      <c r="DA601" t="e">
        <v>#N/A</v>
      </c>
      <c r="DB601" t="str">
        <v/>
      </c>
    </row>
    <row r="602" spans="83:106" x14ac:dyDescent="0.2">
      <c r="CE602"/>
      <c r="CF602"/>
      <c r="CG602"/>
      <c r="CH602"/>
      <c r="CI602"/>
      <c r="CU602" s="42">
        <v>597</v>
      </c>
      <c r="CV602" s="115">
        <v>2</v>
      </c>
      <c r="CW602" s="115">
        <v>1.0047263613915816</v>
      </c>
      <c r="CX602" s="115" t="e">
        <v>#N/A</v>
      </c>
      <c r="CY602" s="115">
        <v>1.0047263613915816</v>
      </c>
      <c r="CZ602" s="137" t="e">
        <v>#N/A</v>
      </c>
      <c r="DA602" t="e">
        <v>#N/A</v>
      </c>
      <c r="DB602" t="str">
        <v/>
      </c>
    </row>
    <row r="603" spans="83:106" x14ac:dyDescent="0.2">
      <c r="CE603"/>
      <c r="CF603"/>
      <c r="CG603"/>
      <c r="CH603"/>
      <c r="CI603"/>
      <c r="CU603" s="42">
        <v>598</v>
      </c>
      <c r="CV603" s="115">
        <v>2</v>
      </c>
      <c r="CW603" s="115">
        <v>1.0047263613915816</v>
      </c>
      <c r="CX603" s="115" t="e">
        <v>#N/A</v>
      </c>
      <c r="CY603" s="115">
        <v>1.0047263613915816</v>
      </c>
      <c r="CZ603" s="137" t="e">
        <v>#N/A</v>
      </c>
      <c r="DA603" t="e">
        <v>#N/A</v>
      </c>
      <c r="DB603" t="str">
        <v/>
      </c>
    </row>
    <row r="604" spans="83:106" x14ac:dyDescent="0.2">
      <c r="CE604"/>
      <c r="CF604"/>
      <c r="CG604"/>
      <c r="CH604"/>
      <c r="CI604"/>
      <c r="CU604" s="42">
        <v>599</v>
      </c>
      <c r="CV604" s="115">
        <v>2</v>
      </c>
      <c r="CW604" s="115">
        <v>1.0047263613915816</v>
      </c>
      <c r="CX604" s="115" t="e">
        <v>#N/A</v>
      </c>
      <c r="CY604" s="115">
        <v>1.0047263613915816</v>
      </c>
      <c r="CZ604" s="137" t="e">
        <v>#N/A</v>
      </c>
      <c r="DA604" t="e">
        <v>#N/A</v>
      </c>
      <c r="DB604" t="str">
        <v/>
      </c>
    </row>
    <row r="605" spans="83:106" x14ac:dyDescent="0.2">
      <c r="CE605"/>
      <c r="CF605"/>
      <c r="CG605"/>
      <c r="CH605"/>
      <c r="CI605"/>
      <c r="CU605" s="42">
        <v>600</v>
      </c>
      <c r="CV605" s="115">
        <v>2</v>
      </c>
      <c r="CW605" s="115">
        <v>1.0047263613915816</v>
      </c>
      <c r="CX605" s="115" t="e">
        <v>#N/A</v>
      </c>
      <c r="CY605" s="115">
        <v>1.0047263613915816</v>
      </c>
      <c r="CZ605" s="137" t="e">
        <v>#N/A</v>
      </c>
      <c r="DA605" t="e">
        <v>#N/A</v>
      </c>
      <c r="DB605" t="str">
        <v/>
      </c>
    </row>
    <row r="606" spans="83:106" x14ac:dyDescent="0.2">
      <c r="CE606"/>
      <c r="CF606"/>
      <c r="CG606"/>
      <c r="CH606"/>
      <c r="CI606"/>
      <c r="CU606" s="42">
        <v>601</v>
      </c>
      <c r="CV606" s="115">
        <v>2</v>
      </c>
      <c r="CW606" s="115">
        <v>1.0047263613915816</v>
      </c>
      <c r="CX606" s="115" t="e">
        <v>#N/A</v>
      </c>
      <c r="CY606" s="115">
        <v>1.0047263613915816</v>
      </c>
      <c r="CZ606" s="137" t="e">
        <v>#N/A</v>
      </c>
      <c r="DA606" t="e">
        <v>#N/A</v>
      </c>
      <c r="DB606" t="str">
        <v/>
      </c>
    </row>
    <row r="607" spans="83:106" x14ac:dyDescent="0.2">
      <c r="CE607"/>
      <c r="CF607"/>
      <c r="CG607"/>
      <c r="CH607"/>
      <c r="CI607"/>
      <c r="CU607" s="42">
        <v>602</v>
      </c>
      <c r="CV607" s="115">
        <v>2</v>
      </c>
      <c r="CW607" s="115">
        <v>1.0047263613915816</v>
      </c>
      <c r="CX607" s="115" t="e">
        <v>#N/A</v>
      </c>
      <c r="CY607" s="115">
        <v>1.0047263613915816</v>
      </c>
      <c r="CZ607" s="137" t="e">
        <v>#N/A</v>
      </c>
      <c r="DA607" t="e">
        <v>#N/A</v>
      </c>
      <c r="DB607" t="str">
        <v/>
      </c>
    </row>
    <row r="608" spans="83:106" x14ac:dyDescent="0.2">
      <c r="CE608"/>
      <c r="CF608"/>
      <c r="CG608"/>
      <c r="CH608"/>
      <c r="CI608"/>
      <c r="CU608" s="42">
        <v>603</v>
      </c>
      <c r="CV608" s="115">
        <v>2</v>
      </c>
      <c r="CW608" s="115">
        <v>1.0047263613915816</v>
      </c>
      <c r="CX608" s="115" t="e">
        <v>#N/A</v>
      </c>
      <c r="CY608" s="115">
        <v>1.0047263613915816</v>
      </c>
      <c r="CZ608" s="137" t="e">
        <v>#N/A</v>
      </c>
      <c r="DA608" t="e">
        <v>#N/A</v>
      </c>
      <c r="DB608" t="str">
        <v/>
      </c>
    </row>
    <row r="609" spans="83:106" x14ac:dyDescent="0.2">
      <c r="CE609"/>
      <c r="CF609"/>
      <c r="CG609"/>
      <c r="CH609"/>
      <c r="CI609"/>
      <c r="CU609" s="42">
        <v>604</v>
      </c>
      <c r="CV609" s="115">
        <v>2</v>
      </c>
      <c r="CW609" s="115">
        <v>1.0047263613915816</v>
      </c>
      <c r="CX609" s="115" t="e">
        <v>#N/A</v>
      </c>
      <c r="CY609" s="115">
        <v>1.0047263613915816</v>
      </c>
      <c r="CZ609" s="137" t="e">
        <v>#N/A</v>
      </c>
      <c r="DA609" t="e">
        <v>#N/A</v>
      </c>
      <c r="DB609" t="str">
        <v/>
      </c>
    </row>
    <row r="610" spans="83:106" x14ac:dyDescent="0.2">
      <c r="CE610"/>
      <c r="CF610"/>
      <c r="CG610"/>
      <c r="CH610"/>
      <c r="CI610"/>
      <c r="CU610" s="42">
        <v>605</v>
      </c>
      <c r="CV610" s="115">
        <v>2</v>
      </c>
      <c r="CW610" s="115">
        <v>1.0047263613915816</v>
      </c>
      <c r="CX610" s="115" t="e">
        <v>#N/A</v>
      </c>
      <c r="CY610" s="115">
        <v>1.0047263613915816</v>
      </c>
      <c r="CZ610" s="137" t="e">
        <v>#N/A</v>
      </c>
      <c r="DA610" t="e">
        <v>#N/A</v>
      </c>
      <c r="DB610" t="str">
        <v/>
      </c>
    </row>
    <row r="611" spans="83:106" x14ac:dyDescent="0.2">
      <c r="CE611"/>
      <c r="CF611"/>
      <c r="CG611"/>
      <c r="CH611"/>
      <c r="CI611"/>
      <c r="CU611" s="42">
        <v>606</v>
      </c>
      <c r="CV611" s="115">
        <v>2</v>
      </c>
      <c r="CW611" s="115">
        <v>1.0047263613915816</v>
      </c>
      <c r="CX611" s="115" t="e">
        <v>#N/A</v>
      </c>
      <c r="CY611" s="115">
        <v>1.0047263613915816</v>
      </c>
      <c r="CZ611" s="137" t="e">
        <v>#N/A</v>
      </c>
      <c r="DA611" t="e">
        <v>#N/A</v>
      </c>
      <c r="DB611" t="str">
        <v/>
      </c>
    </row>
    <row r="612" spans="83:106" x14ac:dyDescent="0.2">
      <c r="CE612"/>
      <c r="CF612"/>
      <c r="CG612"/>
      <c r="CH612"/>
      <c r="CI612"/>
      <c r="CU612" s="42">
        <v>607</v>
      </c>
      <c r="CV612" s="115">
        <v>2</v>
      </c>
      <c r="CW612" s="115">
        <v>1.0047263613915816</v>
      </c>
      <c r="CX612" s="115" t="e">
        <v>#N/A</v>
      </c>
      <c r="CY612" s="115">
        <v>1.0047263613915816</v>
      </c>
      <c r="CZ612" s="137" t="e">
        <v>#N/A</v>
      </c>
      <c r="DA612" t="e">
        <v>#N/A</v>
      </c>
      <c r="DB612" t="str">
        <v/>
      </c>
    </row>
    <row r="613" spans="83:106" x14ac:dyDescent="0.2">
      <c r="CE613"/>
      <c r="CF613"/>
      <c r="CG613"/>
      <c r="CH613"/>
      <c r="CI613"/>
      <c r="CU613" s="42">
        <v>608</v>
      </c>
      <c r="CV613" s="115">
        <v>2</v>
      </c>
      <c r="CW613" s="115">
        <v>1.0047263613915816</v>
      </c>
      <c r="CX613" s="115" t="e">
        <v>#N/A</v>
      </c>
      <c r="CY613" s="115">
        <v>1.0047263613915816</v>
      </c>
      <c r="CZ613" s="137" t="e">
        <v>#N/A</v>
      </c>
      <c r="DA613" t="e">
        <v>#N/A</v>
      </c>
      <c r="DB613" t="str">
        <v/>
      </c>
    </row>
    <row r="614" spans="83:106" x14ac:dyDescent="0.2">
      <c r="CE614"/>
      <c r="CF614"/>
      <c r="CG614"/>
      <c r="CH614"/>
      <c r="CI614"/>
      <c r="CU614" s="42">
        <v>609</v>
      </c>
      <c r="CV614" s="115">
        <v>2</v>
      </c>
      <c r="CW614" s="115">
        <v>1.0047263613915816</v>
      </c>
      <c r="CX614" s="115" t="e">
        <v>#N/A</v>
      </c>
      <c r="CY614" s="115">
        <v>1.0047263613915816</v>
      </c>
      <c r="CZ614" s="137" t="e">
        <v>#N/A</v>
      </c>
      <c r="DA614" t="e">
        <v>#N/A</v>
      </c>
      <c r="DB614" t="str">
        <v/>
      </c>
    </row>
    <row r="615" spans="83:106" x14ac:dyDescent="0.2">
      <c r="CE615"/>
      <c r="CF615"/>
      <c r="CG615"/>
      <c r="CH615"/>
      <c r="CI615"/>
      <c r="CU615" s="42">
        <v>610</v>
      </c>
      <c r="CV615" s="115">
        <v>2</v>
      </c>
      <c r="CW615" s="115">
        <v>1.0047263613915816</v>
      </c>
      <c r="CX615" s="115" t="e">
        <v>#N/A</v>
      </c>
      <c r="CY615" s="115">
        <v>1.0047263613915816</v>
      </c>
      <c r="CZ615" s="137" t="e">
        <v>#N/A</v>
      </c>
      <c r="DA615" t="e">
        <v>#N/A</v>
      </c>
      <c r="DB615" t="str">
        <v/>
      </c>
    </row>
    <row r="616" spans="83:106" x14ac:dyDescent="0.2">
      <c r="CE616"/>
      <c r="CF616"/>
      <c r="CG616"/>
      <c r="CH616"/>
      <c r="CI616"/>
      <c r="CU616" s="42">
        <v>611</v>
      </c>
      <c r="CV616" s="115">
        <v>2</v>
      </c>
      <c r="CW616" s="115">
        <v>1.0047263613915816</v>
      </c>
      <c r="CX616" s="115" t="e">
        <v>#N/A</v>
      </c>
      <c r="CY616" s="115">
        <v>1.0047263613915816</v>
      </c>
      <c r="CZ616" s="137" t="e">
        <v>#N/A</v>
      </c>
      <c r="DA616" t="e">
        <v>#N/A</v>
      </c>
      <c r="DB616" t="str">
        <v/>
      </c>
    </row>
    <row r="617" spans="83:106" x14ac:dyDescent="0.2">
      <c r="CE617"/>
      <c r="CF617"/>
      <c r="CG617"/>
      <c r="CH617"/>
      <c r="CI617"/>
      <c r="CU617" s="42">
        <v>612</v>
      </c>
      <c r="CV617" s="115">
        <v>2</v>
      </c>
      <c r="CW617" s="115">
        <v>1.0047263613915816</v>
      </c>
      <c r="CX617" s="115" t="e">
        <v>#N/A</v>
      </c>
      <c r="CY617" s="115">
        <v>1.0047263613915816</v>
      </c>
      <c r="CZ617" s="137" t="e">
        <v>#N/A</v>
      </c>
      <c r="DA617" t="e">
        <v>#N/A</v>
      </c>
      <c r="DB617" t="str">
        <v/>
      </c>
    </row>
    <row r="618" spans="83:106" x14ac:dyDescent="0.2">
      <c r="CE618"/>
      <c r="CF618"/>
      <c r="CG618"/>
      <c r="CH618"/>
      <c r="CI618"/>
      <c r="CU618" s="42">
        <v>613</v>
      </c>
      <c r="CV618" s="115">
        <v>2</v>
      </c>
      <c r="CW618" s="115">
        <v>1.0047263613915816</v>
      </c>
      <c r="CX618" s="115" t="e">
        <v>#N/A</v>
      </c>
      <c r="CY618" s="115">
        <v>1.0047263613915816</v>
      </c>
      <c r="CZ618" s="137" t="e">
        <v>#N/A</v>
      </c>
      <c r="DA618" t="e">
        <v>#N/A</v>
      </c>
      <c r="DB618" t="str">
        <v/>
      </c>
    </row>
    <row r="619" spans="83:106" x14ac:dyDescent="0.2">
      <c r="CE619"/>
      <c r="CF619"/>
      <c r="CG619"/>
      <c r="CH619"/>
      <c r="CI619"/>
      <c r="CU619" s="42">
        <v>614</v>
      </c>
      <c r="CV619" s="115">
        <v>2</v>
      </c>
      <c r="CW619" s="115">
        <v>1.0047263613915816</v>
      </c>
      <c r="CX619" s="115" t="e">
        <v>#N/A</v>
      </c>
      <c r="CY619" s="115">
        <v>1.0047263613915816</v>
      </c>
      <c r="CZ619" s="137" t="e">
        <v>#N/A</v>
      </c>
      <c r="DA619" t="e">
        <v>#N/A</v>
      </c>
      <c r="DB619" t="str">
        <v/>
      </c>
    </row>
    <row r="620" spans="83:106" x14ac:dyDescent="0.2">
      <c r="CE620"/>
      <c r="CF620"/>
      <c r="CG620"/>
      <c r="CH620"/>
      <c r="CI620"/>
      <c r="CU620" s="42">
        <v>615</v>
      </c>
      <c r="CV620" s="115">
        <v>2</v>
      </c>
      <c r="CW620" s="115">
        <v>1.0047263613915816</v>
      </c>
      <c r="CX620" s="115" t="e">
        <v>#N/A</v>
      </c>
      <c r="CY620" s="115">
        <v>1.0047263613915816</v>
      </c>
      <c r="CZ620" s="137" t="e">
        <v>#N/A</v>
      </c>
      <c r="DA620" t="e">
        <v>#N/A</v>
      </c>
      <c r="DB620" t="str">
        <v/>
      </c>
    </row>
    <row r="621" spans="83:106" x14ac:dyDescent="0.2">
      <c r="CE621"/>
      <c r="CF621"/>
      <c r="CG621"/>
      <c r="CH621"/>
      <c r="CI621"/>
      <c r="CU621" s="42">
        <v>616</v>
      </c>
      <c r="CV621" s="115">
        <v>2</v>
      </c>
      <c r="CW621" s="115">
        <v>1.0047263613915816</v>
      </c>
      <c r="CX621" s="115" t="e">
        <v>#N/A</v>
      </c>
      <c r="CY621" s="115">
        <v>1.0047263613915816</v>
      </c>
      <c r="CZ621" s="137" t="e">
        <v>#N/A</v>
      </c>
      <c r="DA621" t="e">
        <v>#N/A</v>
      </c>
      <c r="DB621" t="str">
        <v/>
      </c>
    </row>
    <row r="622" spans="83:106" x14ac:dyDescent="0.2">
      <c r="CE622"/>
      <c r="CF622"/>
      <c r="CG622"/>
      <c r="CH622"/>
      <c r="CI622"/>
      <c r="CU622" s="42">
        <v>617</v>
      </c>
      <c r="CV622" s="115">
        <v>2</v>
      </c>
      <c r="CW622" s="115">
        <v>1.0047263613915816</v>
      </c>
      <c r="CX622" s="115" t="e">
        <v>#N/A</v>
      </c>
      <c r="CY622" s="115">
        <v>1.0047263613915816</v>
      </c>
      <c r="CZ622" s="137" t="e">
        <v>#N/A</v>
      </c>
      <c r="DA622" t="e">
        <v>#N/A</v>
      </c>
      <c r="DB622" t="str">
        <v/>
      </c>
    </row>
    <row r="623" spans="83:106" x14ac:dyDescent="0.2">
      <c r="CE623"/>
      <c r="CF623"/>
      <c r="CG623"/>
      <c r="CH623"/>
      <c r="CI623"/>
      <c r="CU623" s="42">
        <v>618</v>
      </c>
      <c r="CV623" s="115">
        <v>2</v>
      </c>
      <c r="CW623" s="115">
        <v>1.0047263613915816</v>
      </c>
      <c r="CX623" s="115" t="e">
        <v>#N/A</v>
      </c>
      <c r="CY623" s="115">
        <v>1.0047263613915816</v>
      </c>
      <c r="CZ623" s="137" t="e">
        <v>#N/A</v>
      </c>
      <c r="DA623" t="e">
        <v>#N/A</v>
      </c>
      <c r="DB623" t="str">
        <v/>
      </c>
    </row>
    <row r="624" spans="83:106" x14ac:dyDescent="0.2">
      <c r="CE624"/>
      <c r="CF624"/>
      <c r="CG624"/>
      <c r="CH624"/>
      <c r="CI624"/>
      <c r="CU624" s="42">
        <v>619</v>
      </c>
      <c r="CV624" s="115">
        <v>2</v>
      </c>
      <c r="CW624" s="115">
        <v>1.0047263613915816</v>
      </c>
      <c r="CX624" s="115" t="e">
        <v>#N/A</v>
      </c>
      <c r="CY624" s="115">
        <v>1.0047263613915816</v>
      </c>
      <c r="CZ624" s="137" t="e">
        <v>#N/A</v>
      </c>
      <c r="DA624" t="e">
        <v>#N/A</v>
      </c>
      <c r="DB624" t="str">
        <v/>
      </c>
    </row>
    <row r="625" spans="83:106" x14ac:dyDescent="0.2">
      <c r="CE625"/>
      <c r="CF625"/>
      <c r="CG625"/>
      <c r="CH625"/>
      <c r="CI625"/>
      <c r="CU625" s="42">
        <v>620</v>
      </c>
      <c r="CV625" s="115">
        <v>2</v>
      </c>
      <c r="CW625" s="115">
        <v>1.0047263613915816</v>
      </c>
      <c r="CX625" s="115" t="e">
        <v>#N/A</v>
      </c>
      <c r="CY625" s="115">
        <v>1.0047263613915816</v>
      </c>
      <c r="CZ625" s="137" t="e">
        <v>#N/A</v>
      </c>
      <c r="DA625" t="e">
        <v>#N/A</v>
      </c>
      <c r="DB625" t="str">
        <v/>
      </c>
    </row>
    <row r="626" spans="83:106" x14ac:dyDescent="0.2">
      <c r="CE626"/>
      <c r="CF626"/>
      <c r="CG626"/>
      <c r="CH626"/>
      <c r="CI626"/>
      <c r="CU626" s="42">
        <v>621</v>
      </c>
      <c r="CV626" s="115">
        <v>2</v>
      </c>
      <c r="CW626" s="115">
        <v>1.0047263613915816</v>
      </c>
      <c r="CX626" s="115" t="e">
        <v>#N/A</v>
      </c>
      <c r="CY626" s="115">
        <v>1.0047263613915816</v>
      </c>
      <c r="CZ626" s="137" t="e">
        <v>#N/A</v>
      </c>
      <c r="DA626" t="e">
        <v>#N/A</v>
      </c>
      <c r="DB626" t="str">
        <v/>
      </c>
    </row>
    <row r="627" spans="83:106" x14ac:dyDescent="0.2">
      <c r="CE627"/>
      <c r="CF627"/>
      <c r="CG627"/>
      <c r="CH627"/>
      <c r="CI627"/>
      <c r="CU627" s="42">
        <v>622</v>
      </c>
      <c r="CV627" s="115">
        <v>2</v>
      </c>
      <c r="CW627" s="115">
        <v>1.0047263613915816</v>
      </c>
      <c r="CX627" s="115" t="e">
        <v>#N/A</v>
      </c>
      <c r="CY627" s="115">
        <v>1.0047263613915816</v>
      </c>
      <c r="CZ627" s="137" t="e">
        <v>#N/A</v>
      </c>
      <c r="DA627" t="e">
        <v>#N/A</v>
      </c>
      <c r="DB627" t="str">
        <v/>
      </c>
    </row>
    <row r="628" spans="83:106" x14ac:dyDescent="0.2">
      <c r="CE628"/>
      <c r="CF628"/>
      <c r="CG628"/>
      <c r="CH628"/>
      <c r="CI628"/>
      <c r="CU628" s="42">
        <v>623</v>
      </c>
      <c r="CV628" s="115">
        <v>2</v>
      </c>
      <c r="CW628" s="115">
        <v>1.0047263613915816</v>
      </c>
      <c r="CX628" s="115" t="e">
        <v>#N/A</v>
      </c>
      <c r="CY628" s="115">
        <v>1.0047263613915816</v>
      </c>
      <c r="CZ628" s="137" t="e">
        <v>#N/A</v>
      </c>
      <c r="DA628" t="e">
        <v>#N/A</v>
      </c>
      <c r="DB628" t="str">
        <v/>
      </c>
    </row>
    <row r="629" spans="83:106" x14ac:dyDescent="0.2">
      <c r="CE629"/>
      <c r="CF629"/>
      <c r="CG629"/>
      <c r="CH629"/>
      <c r="CI629"/>
      <c r="CU629" s="42">
        <v>624</v>
      </c>
      <c r="CV629" s="115">
        <v>2</v>
      </c>
      <c r="CW629" s="115">
        <v>1.0047263613915816</v>
      </c>
      <c r="CX629" s="115" t="e">
        <v>#N/A</v>
      </c>
      <c r="CY629" s="115">
        <v>1.0047263613915816</v>
      </c>
      <c r="CZ629" s="137" t="e">
        <v>#N/A</v>
      </c>
      <c r="DA629" t="e">
        <v>#N/A</v>
      </c>
      <c r="DB629" t="str">
        <v/>
      </c>
    </row>
    <row r="630" spans="83:106" x14ac:dyDescent="0.2">
      <c r="CE630"/>
      <c r="CF630"/>
      <c r="CG630"/>
      <c r="CH630"/>
      <c r="CI630"/>
      <c r="CU630" s="42">
        <v>625</v>
      </c>
      <c r="CV630" s="115">
        <v>2</v>
      </c>
      <c r="CW630" s="115">
        <v>1.0047263613915816</v>
      </c>
      <c r="CX630" s="115" t="e">
        <v>#N/A</v>
      </c>
      <c r="CY630" s="115">
        <v>1.0047263613915816</v>
      </c>
      <c r="CZ630" s="137" t="e">
        <v>#N/A</v>
      </c>
      <c r="DA630" t="e">
        <v>#N/A</v>
      </c>
      <c r="DB630" t="str">
        <v/>
      </c>
    </row>
    <row r="631" spans="83:106" x14ac:dyDescent="0.2">
      <c r="CE631"/>
      <c r="CF631"/>
      <c r="CG631"/>
      <c r="CH631"/>
      <c r="CI631"/>
      <c r="CU631" s="42">
        <v>626</v>
      </c>
      <c r="CV631" s="115">
        <v>2</v>
      </c>
      <c r="CW631" s="115">
        <v>1.0047263613915816</v>
      </c>
      <c r="CX631" s="115" t="e">
        <v>#N/A</v>
      </c>
      <c r="CY631" s="115">
        <v>1.0047263613915816</v>
      </c>
      <c r="CZ631" s="137" t="e">
        <v>#N/A</v>
      </c>
      <c r="DA631" t="e">
        <v>#N/A</v>
      </c>
      <c r="DB631" t="str">
        <v/>
      </c>
    </row>
    <row r="632" spans="83:106" x14ac:dyDescent="0.2">
      <c r="CE632"/>
      <c r="CF632"/>
      <c r="CG632"/>
      <c r="CH632"/>
      <c r="CI632"/>
      <c r="CU632" s="42">
        <v>627</v>
      </c>
      <c r="CV632" s="115">
        <v>2</v>
      </c>
      <c r="CW632" s="115">
        <v>1.0047263613915816</v>
      </c>
      <c r="CX632" s="115" t="e">
        <v>#N/A</v>
      </c>
      <c r="CY632" s="115">
        <v>1.0047263613915816</v>
      </c>
      <c r="CZ632" s="137" t="e">
        <v>#N/A</v>
      </c>
      <c r="DA632" t="e">
        <v>#N/A</v>
      </c>
      <c r="DB632" t="str">
        <v/>
      </c>
    </row>
    <row r="633" spans="83:106" x14ac:dyDescent="0.2">
      <c r="CE633"/>
      <c r="CF633"/>
      <c r="CG633"/>
      <c r="CH633"/>
      <c r="CI633"/>
      <c r="CU633" s="42">
        <v>628</v>
      </c>
      <c r="CV633" s="115">
        <v>2</v>
      </c>
      <c r="CW633" s="115">
        <v>1.0047263613915816</v>
      </c>
      <c r="CX633" s="115" t="e">
        <v>#N/A</v>
      </c>
      <c r="CY633" s="115">
        <v>1.0047263613915816</v>
      </c>
      <c r="CZ633" s="137" t="e">
        <v>#N/A</v>
      </c>
      <c r="DA633" t="e">
        <v>#N/A</v>
      </c>
      <c r="DB633" t="str">
        <v/>
      </c>
    </row>
    <row r="634" spans="83:106" x14ac:dyDescent="0.2">
      <c r="CE634"/>
      <c r="CF634"/>
      <c r="CG634"/>
      <c r="CH634"/>
      <c r="CI634"/>
      <c r="CU634" s="42">
        <v>629</v>
      </c>
      <c r="CV634" s="115">
        <v>2</v>
      </c>
      <c r="CW634" s="115">
        <v>1.0047263613915816</v>
      </c>
      <c r="CX634" s="115" t="e">
        <v>#N/A</v>
      </c>
      <c r="CY634" s="115">
        <v>1.0047263613915816</v>
      </c>
      <c r="CZ634" s="137" t="e">
        <v>#N/A</v>
      </c>
      <c r="DA634" t="e">
        <v>#N/A</v>
      </c>
      <c r="DB634" t="str">
        <v/>
      </c>
    </row>
    <row r="635" spans="83:106" x14ac:dyDescent="0.2">
      <c r="CE635"/>
      <c r="CF635"/>
      <c r="CG635"/>
      <c r="CH635"/>
      <c r="CI635"/>
      <c r="CU635" s="42">
        <v>630</v>
      </c>
      <c r="CV635" s="115">
        <v>2</v>
      </c>
      <c r="CW635" s="115">
        <v>1.0047263613915816</v>
      </c>
      <c r="CX635" s="115" t="e">
        <v>#N/A</v>
      </c>
      <c r="CY635" s="115">
        <v>1.0047263613915816</v>
      </c>
      <c r="CZ635" s="137" t="e">
        <v>#N/A</v>
      </c>
      <c r="DA635" t="e">
        <v>#N/A</v>
      </c>
      <c r="DB635" t="str">
        <v/>
      </c>
    </row>
    <row r="636" spans="83:106" x14ac:dyDescent="0.2">
      <c r="CE636"/>
      <c r="CF636"/>
      <c r="CG636"/>
      <c r="CH636"/>
      <c r="CI636"/>
      <c r="CU636" s="42">
        <v>631</v>
      </c>
      <c r="CV636" s="115">
        <v>2</v>
      </c>
      <c r="CW636" s="115">
        <v>1.0047263613915816</v>
      </c>
      <c r="CX636" s="115" t="e">
        <v>#N/A</v>
      </c>
      <c r="CY636" s="115">
        <v>1.0047263613915816</v>
      </c>
      <c r="CZ636" s="137" t="e">
        <v>#N/A</v>
      </c>
      <c r="DA636" t="e">
        <v>#N/A</v>
      </c>
      <c r="DB636" t="str">
        <v/>
      </c>
    </row>
    <row r="637" spans="83:106" x14ac:dyDescent="0.2">
      <c r="CE637"/>
      <c r="CF637"/>
      <c r="CG637"/>
      <c r="CH637"/>
      <c r="CI637"/>
      <c r="CU637" s="42">
        <v>632</v>
      </c>
      <c r="CV637" s="115">
        <v>2</v>
      </c>
      <c r="CW637" s="115">
        <v>1.0047263613915816</v>
      </c>
      <c r="CX637" s="115" t="e">
        <v>#N/A</v>
      </c>
      <c r="CY637" s="115">
        <v>1.0047263613915816</v>
      </c>
      <c r="CZ637" s="137" t="e">
        <v>#N/A</v>
      </c>
      <c r="DA637" t="e">
        <v>#N/A</v>
      </c>
      <c r="DB637" t="str">
        <v/>
      </c>
    </row>
    <row r="638" spans="83:106" x14ac:dyDescent="0.2">
      <c r="CE638"/>
      <c r="CF638"/>
      <c r="CG638"/>
      <c r="CH638"/>
      <c r="CI638"/>
      <c r="CU638" s="42">
        <v>633</v>
      </c>
      <c r="CV638" s="115">
        <v>2</v>
      </c>
      <c r="CW638" s="115">
        <v>1.0047263613915816</v>
      </c>
      <c r="CX638" s="115" t="e">
        <v>#N/A</v>
      </c>
      <c r="CY638" s="115">
        <v>1.0047263613915816</v>
      </c>
      <c r="CZ638" s="137" t="e">
        <v>#N/A</v>
      </c>
      <c r="DA638" t="e">
        <v>#N/A</v>
      </c>
      <c r="DB638" t="str">
        <v/>
      </c>
    </row>
    <row r="639" spans="83:106" x14ac:dyDescent="0.2">
      <c r="CE639"/>
      <c r="CF639"/>
      <c r="CG639"/>
      <c r="CH639"/>
      <c r="CI639"/>
      <c r="CU639" s="42">
        <v>634</v>
      </c>
      <c r="CV639" s="115">
        <v>2</v>
      </c>
      <c r="CW639" s="115">
        <v>1.0047263613915816</v>
      </c>
      <c r="CX639" s="115" t="e">
        <v>#N/A</v>
      </c>
      <c r="CY639" s="115">
        <v>1.0047263613915816</v>
      </c>
      <c r="CZ639" s="137" t="e">
        <v>#N/A</v>
      </c>
      <c r="DA639" t="e">
        <v>#N/A</v>
      </c>
      <c r="DB639" t="str">
        <v/>
      </c>
    </row>
    <row r="640" spans="83:106" x14ac:dyDescent="0.2">
      <c r="CE640"/>
      <c r="CF640"/>
      <c r="CG640"/>
      <c r="CH640"/>
      <c r="CI640"/>
      <c r="CU640" s="42">
        <v>635</v>
      </c>
      <c r="CV640" s="115">
        <v>2</v>
      </c>
      <c r="CW640" s="115">
        <v>1.0047263613915816</v>
      </c>
      <c r="CX640" s="115" t="e">
        <v>#N/A</v>
      </c>
      <c r="CY640" s="115">
        <v>1.0047263613915816</v>
      </c>
      <c r="CZ640" s="137" t="e">
        <v>#N/A</v>
      </c>
      <c r="DA640" t="e">
        <v>#N/A</v>
      </c>
      <c r="DB640" t="str">
        <v/>
      </c>
    </row>
    <row r="641" spans="83:106" x14ac:dyDescent="0.2">
      <c r="CE641"/>
      <c r="CF641"/>
      <c r="CG641"/>
      <c r="CH641"/>
      <c r="CI641"/>
      <c r="CU641" s="42">
        <v>636</v>
      </c>
      <c r="CV641" s="115">
        <v>2</v>
      </c>
      <c r="CW641" s="115">
        <v>1.0047263613915816</v>
      </c>
      <c r="CX641" s="115" t="e">
        <v>#N/A</v>
      </c>
      <c r="CY641" s="115">
        <v>1.0047263613915816</v>
      </c>
      <c r="CZ641" s="137" t="e">
        <v>#N/A</v>
      </c>
      <c r="DA641" t="e">
        <v>#N/A</v>
      </c>
      <c r="DB641" t="str">
        <v/>
      </c>
    </row>
    <row r="642" spans="83:106" x14ac:dyDescent="0.2">
      <c r="CE642"/>
      <c r="CF642"/>
      <c r="CG642"/>
      <c r="CH642"/>
      <c r="CI642"/>
      <c r="CU642" s="42">
        <v>637</v>
      </c>
      <c r="CV642" s="115">
        <v>2</v>
      </c>
      <c r="CW642" s="115">
        <v>1.0047263613915816</v>
      </c>
      <c r="CX642" s="115" t="e">
        <v>#N/A</v>
      </c>
      <c r="CY642" s="115">
        <v>1.0047263613915816</v>
      </c>
      <c r="CZ642" s="137" t="e">
        <v>#N/A</v>
      </c>
      <c r="DA642" t="e">
        <v>#N/A</v>
      </c>
      <c r="DB642" t="str">
        <v/>
      </c>
    </row>
    <row r="643" spans="83:106" x14ac:dyDescent="0.2">
      <c r="CE643"/>
      <c r="CF643"/>
      <c r="CG643"/>
      <c r="CH643"/>
      <c r="CI643"/>
      <c r="CU643" s="42">
        <v>638</v>
      </c>
      <c r="CV643" s="115">
        <v>2</v>
      </c>
      <c r="CW643" s="115">
        <v>1.0047263613915816</v>
      </c>
      <c r="CX643" s="115" t="e">
        <v>#N/A</v>
      </c>
      <c r="CY643" s="115">
        <v>1.0047263613915816</v>
      </c>
      <c r="CZ643" s="137" t="e">
        <v>#N/A</v>
      </c>
      <c r="DA643" t="e">
        <v>#N/A</v>
      </c>
      <c r="DB643" t="str">
        <v/>
      </c>
    </row>
    <row r="644" spans="83:106" x14ac:dyDescent="0.2">
      <c r="CE644"/>
      <c r="CF644"/>
      <c r="CG644"/>
      <c r="CH644"/>
      <c r="CI644"/>
      <c r="CU644" s="42">
        <v>639</v>
      </c>
      <c r="CV644" s="115">
        <v>2</v>
      </c>
      <c r="CW644" s="115">
        <v>1.0047263613915816</v>
      </c>
      <c r="CX644" s="115" t="e">
        <v>#N/A</v>
      </c>
      <c r="CY644" s="115">
        <v>1.0047263613915816</v>
      </c>
      <c r="CZ644" s="137" t="e">
        <v>#N/A</v>
      </c>
      <c r="DA644" t="e">
        <v>#N/A</v>
      </c>
      <c r="DB644" t="str">
        <v/>
      </c>
    </row>
    <row r="645" spans="83:106" x14ac:dyDescent="0.2">
      <c r="CE645"/>
      <c r="CF645"/>
      <c r="CG645"/>
      <c r="CH645"/>
      <c r="CI645"/>
      <c r="CU645" s="42">
        <v>640</v>
      </c>
      <c r="CV645" s="115">
        <v>2</v>
      </c>
      <c r="CW645" s="115">
        <v>1.0047263613915816</v>
      </c>
      <c r="CX645" s="115" t="e">
        <v>#N/A</v>
      </c>
      <c r="CY645" s="115">
        <v>1.0047263613915816</v>
      </c>
      <c r="CZ645" s="137" t="e">
        <v>#N/A</v>
      </c>
      <c r="DA645" t="e">
        <v>#N/A</v>
      </c>
      <c r="DB645" t="str">
        <v/>
      </c>
    </row>
    <row r="646" spans="83:106" x14ac:dyDescent="0.2">
      <c r="CE646"/>
      <c r="CF646"/>
      <c r="CG646"/>
      <c r="CH646"/>
      <c r="CI646"/>
      <c r="CU646" s="42">
        <v>641</v>
      </c>
      <c r="CV646" s="115">
        <v>2</v>
      </c>
      <c r="CW646" s="115">
        <v>1.0047263613915816</v>
      </c>
      <c r="CX646" s="115" t="e">
        <v>#N/A</v>
      </c>
      <c r="CY646" s="115">
        <v>1.0047263613915816</v>
      </c>
      <c r="CZ646" s="137" t="e">
        <v>#N/A</v>
      </c>
      <c r="DA646" t="e">
        <v>#N/A</v>
      </c>
      <c r="DB646" t="str">
        <v/>
      </c>
    </row>
    <row r="647" spans="83:106" x14ac:dyDescent="0.2">
      <c r="CE647"/>
      <c r="CF647"/>
      <c r="CG647"/>
      <c r="CH647"/>
      <c r="CI647"/>
      <c r="CU647" s="42">
        <v>642</v>
      </c>
      <c r="CV647" s="115">
        <v>2</v>
      </c>
      <c r="CW647" s="115">
        <v>1.0047263613915816</v>
      </c>
      <c r="CX647" s="115" t="e">
        <v>#N/A</v>
      </c>
      <c r="CY647" s="115">
        <v>1.0047263613915816</v>
      </c>
      <c r="CZ647" s="137" t="e">
        <v>#N/A</v>
      </c>
      <c r="DA647" t="e">
        <v>#N/A</v>
      </c>
      <c r="DB647" t="str">
        <v/>
      </c>
    </row>
    <row r="648" spans="83:106" x14ac:dyDescent="0.2">
      <c r="CE648"/>
      <c r="CF648"/>
      <c r="CG648"/>
      <c r="CH648"/>
      <c r="CI648"/>
      <c r="CU648" s="42">
        <v>643</v>
      </c>
      <c r="CV648" s="115">
        <v>2</v>
      </c>
      <c r="CW648" s="115">
        <v>1.0047263613915816</v>
      </c>
      <c r="CX648" s="115" t="e">
        <v>#N/A</v>
      </c>
      <c r="CY648" s="115">
        <v>1.0047263613915816</v>
      </c>
      <c r="CZ648" s="137" t="e">
        <v>#N/A</v>
      </c>
      <c r="DA648" t="e">
        <v>#N/A</v>
      </c>
      <c r="DB648" t="str">
        <v/>
      </c>
    </row>
    <row r="649" spans="83:106" x14ac:dyDescent="0.2">
      <c r="CE649"/>
      <c r="CF649"/>
      <c r="CG649"/>
      <c r="CH649"/>
      <c r="CI649"/>
      <c r="CU649" s="42">
        <v>644</v>
      </c>
      <c r="CV649" s="115">
        <v>2</v>
      </c>
      <c r="CW649" s="115">
        <v>1.0047263613915816</v>
      </c>
      <c r="CX649" s="115" t="e">
        <v>#N/A</v>
      </c>
      <c r="CY649" s="115">
        <v>1.0047263613915816</v>
      </c>
      <c r="CZ649" s="137" t="e">
        <v>#N/A</v>
      </c>
      <c r="DA649" t="e">
        <v>#N/A</v>
      </c>
      <c r="DB649" t="str">
        <v/>
      </c>
    </row>
    <row r="650" spans="83:106" x14ac:dyDescent="0.2">
      <c r="CE650"/>
      <c r="CF650"/>
      <c r="CG650"/>
      <c r="CH650"/>
      <c r="CI650"/>
      <c r="CU650" s="42">
        <v>645</v>
      </c>
      <c r="CV650" s="115">
        <v>2</v>
      </c>
      <c r="CW650" s="115">
        <v>1.0047263613915816</v>
      </c>
      <c r="CX650" s="115" t="e">
        <v>#N/A</v>
      </c>
      <c r="CY650" s="115">
        <v>1.0047263613915816</v>
      </c>
      <c r="CZ650" s="137" t="e">
        <v>#N/A</v>
      </c>
      <c r="DA650" t="e">
        <v>#N/A</v>
      </c>
      <c r="DB650" t="str">
        <v/>
      </c>
    </row>
    <row r="651" spans="83:106" x14ac:dyDescent="0.2">
      <c r="CE651"/>
      <c r="CF651"/>
      <c r="CG651"/>
      <c r="CH651"/>
      <c r="CI651"/>
      <c r="CU651" s="42">
        <v>646</v>
      </c>
      <c r="CV651" s="115">
        <v>2</v>
      </c>
      <c r="CW651" s="115">
        <v>1.0047263613915816</v>
      </c>
      <c r="CX651" s="115" t="e">
        <v>#N/A</v>
      </c>
      <c r="CY651" s="115">
        <v>1.0047263613915816</v>
      </c>
      <c r="CZ651" s="137" t="e">
        <v>#N/A</v>
      </c>
      <c r="DA651" t="e">
        <v>#N/A</v>
      </c>
      <c r="DB651" t="str">
        <v/>
      </c>
    </row>
    <row r="652" spans="83:106" x14ac:dyDescent="0.2">
      <c r="CE652"/>
      <c r="CF652"/>
      <c r="CG652"/>
      <c r="CH652"/>
      <c r="CI652"/>
      <c r="CU652" s="42">
        <v>647</v>
      </c>
      <c r="CV652" s="115">
        <v>2</v>
      </c>
      <c r="CW652" s="115">
        <v>1.0047263613915816</v>
      </c>
      <c r="CX652" s="115" t="e">
        <v>#N/A</v>
      </c>
      <c r="CY652" s="115">
        <v>1.0047263613915816</v>
      </c>
      <c r="CZ652" s="137" t="e">
        <v>#N/A</v>
      </c>
      <c r="DA652" t="e">
        <v>#N/A</v>
      </c>
      <c r="DB652" t="str">
        <v/>
      </c>
    </row>
    <row r="653" spans="83:106" x14ac:dyDescent="0.2">
      <c r="CE653"/>
      <c r="CF653"/>
      <c r="CG653"/>
      <c r="CH653"/>
      <c r="CI653"/>
      <c r="CU653" s="42">
        <v>648</v>
      </c>
      <c r="CV653" s="115">
        <v>2</v>
      </c>
      <c r="CW653" s="115">
        <v>1.0047263613915816</v>
      </c>
      <c r="CX653" s="115" t="e">
        <v>#N/A</v>
      </c>
      <c r="CY653" s="115">
        <v>1.0047263613915816</v>
      </c>
      <c r="CZ653" s="137" t="e">
        <v>#N/A</v>
      </c>
      <c r="DA653" t="e">
        <v>#N/A</v>
      </c>
      <c r="DB653" t="str">
        <v/>
      </c>
    </row>
    <row r="654" spans="83:106" x14ac:dyDescent="0.2">
      <c r="CE654"/>
      <c r="CF654"/>
      <c r="CG654"/>
      <c r="CH654"/>
      <c r="CI654"/>
      <c r="CU654" s="42">
        <v>649</v>
      </c>
      <c r="CV654" s="115">
        <v>2</v>
      </c>
      <c r="CW654" s="115">
        <v>1.0047263613915816</v>
      </c>
      <c r="CX654" s="115" t="e">
        <v>#N/A</v>
      </c>
      <c r="CY654" s="115">
        <v>1.0047263613915816</v>
      </c>
      <c r="CZ654" s="137" t="e">
        <v>#N/A</v>
      </c>
      <c r="DA654" t="e">
        <v>#N/A</v>
      </c>
      <c r="DB654" t="str">
        <v/>
      </c>
    </row>
    <row r="655" spans="83:106" x14ac:dyDescent="0.2">
      <c r="CE655"/>
      <c r="CF655"/>
      <c r="CG655"/>
      <c r="CH655"/>
      <c r="CI655"/>
      <c r="CU655" s="42">
        <v>650</v>
      </c>
      <c r="CV655" s="115">
        <v>2</v>
      </c>
      <c r="CW655" s="115">
        <v>1.0047263613915816</v>
      </c>
      <c r="CX655" s="115" t="e">
        <v>#N/A</v>
      </c>
      <c r="CY655" s="115">
        <v>1.0047263613915816</v>
      </c>
      <c r="CZ655" s="137" t="e">
        <v>#N/A</v>
      </c>
      <c r="DA655" t="e">
        <v>#N/A</v>
      </c>
      <c r="DB655" t="str">
        <v/>
      </c>
    </row>
    <row r="656" spans="83:106" x14ac:dyDescent="0.2">
      <c r="CE656"/>
      <c r="CF656"/>
      <c r="CG656"/>
      <c r="CH656"/>
      <c r="CI656"/>
      <c r="CU656" s="42">
        <v>651</v>
      </c>
      <c r="CV656" s="115">
        <v>2</v>
      </c>
      <c r="CW656" s="115">
        <v>1.0047263613915816</v>
      </c>
      <c r="CX656" s="115" t="e">
        <v>#N/A</v>
      </c>
      <c r="CY656" s="115">
        <v>1.0047263613915816</v>
      </c>
      <c r="CZ656" s="137" t="e">
        <v>#N/A</v>
      </c>
      <c r="DA656" t="e">
        <v>#N/A</v>
      </c>
      <c r="DB656" t="str">
        <v/>
      </c>
    </row>
    <row r="657" spans="83:106" x14ac:dyDescent="0.2">
      <c r="CE657"/>
      <c r="CF657"/>
      <c r="CG657"/>
      <c r="CH657"/>
      <c r="CI657"/>
      <c r="CU657" s="42">
        <v>652</v>
      </c>
      <c r="CV657" s="115">
        <v>2</v>
      </c>
      <c r="CW657" s="115">
        <v>1.0047263613915816</v>
      </c>
      <c r="CX657" s="115" t="e">
        <v>#N/A</v>
      </c>
      <c r="CY657" s="115">
        <v>1.0047263613915816</v>
      </c>
      <c r="CZ657" s="137" t="e">
        <v>#N/A</v>
      </c>
      <c r="DA657" t="e">
        <v>#N/A</v>
      </c>
      <c r="DB657" t="str">
        <v/>
      </c>
    </row>
    <row r="658" spans="83:106" x14ac:dyDescent="0.2">
      <c r="CE658"/>
      <c r="CF658"/>
      <c r="CG658"/>
      <c r="CH658"/>
      <c r="CI658"/>
      <c r="CU658" s="42">
        <v>653</v>
      </c>
      <c r="CV658" s="115">
        <v>2</v>
      </c>
      <c r="CW658" s="115">
        <v>1.0047263613915816</v>
      </c>
      <c r="CX658" s="115" t="e">
        <v>#N/A</v>
      </c>
      <c r="CY658" s="115">
        <v>1.0047263613915816</v>
      </c>
      <c r="CZ658" s="137" t="e">
        <v>#N/A</v>
      </c>
      <c r="DA658" t="e">
        <v>#N/A</v>
      </c>
      <c r="DB658" t="str">
        <v/>
      </c>
    </row>
    <row r="659" spans="83:106" x14ac:dyDescent="0.2">
      <c r="CE659"/>
      <c r="CF659"/>
      <c r="CG659"/>
      <c r="CH659"/>
      <c r="CI659"/>
      <c r="CU659" s="42">
        <v>654</v>
      </c>
      <c r="CV659" s="115">
        <v>2</v>
      </c>
      <c r="CW659" s="115">
        <v>1.0047263613915816</v>
      </c>
      <c r="CX659" s="115" t="e">
        <v>#N/A</v>
      </c>
      <c r="CY659" s="115">
        <v>1.0047263613915816</v>
      </c>
      <c r="CZ659" s="137" t="e">
        <v>#N/A</v>
      </c>
      <c r="DA659" t="e">
        <v>#N/A</v>
      </c>
      <c r="DB659" t="str">
        <v/>
      </c>
    </row>
    <row r="660" spans="83:106" x14ac:dyDescent="0.2">
      <c r="CE660"/>
      <c r="CF660"/>
      <c r="CG660"/>
      <c r="CH660"/>
      <c r="CI660"/>
      <c r="CU660" s="42">
        <v>655</v>
      </c>
      <c r="CV660" s="115">
        <v>2</v>
      </c>
      <c r="CW660" s="115">
        <v>1.0047263613915816</v>
      </c>
      <c r="CX660" s="115" t="e">
        <v>#N/A</v>
      </c>
      <c r="CY660" s="115">
        <v>1.0047263613915816</v>
      </c>
      <c r="CZ660" s="137" t="e">
        <v>#N/A</v>
      </c>
      <c r="DA660" t="e">
        <v>#N/A</v>
      </c>
      <c r="DB660" t="str">
        <v/>
      </c>
    </row>
    <row r="661" spans="83:106" x14ac:dyDescent="0.2">
      <c r="CE661"/>
      <c r="CF661"/>
      <c r="CG661"/>
      <c r="CH661"/>
      <c r="CI661"/>
      <c r="CU661" s="42">
        <v>656</v>
      </c>
      <c r="CV661" s="115">
        <v>2</v>
      </c>
      <c r="CW661" s="115">
        <v>1.0047263613915816</v>
      </c>
      <c r="CX661" s="115" t="e">
        <v>#N/A</v>
      </c>
      <c r="CY661" s="115">
        <v>1.0047263613915816</v>
      </c>
      <c r="CZ661" s="137" t="e">
        <v>#N/A</v>
      </c>
      <c r="DA661" t="e">
        <v>#N/A</v>
      </c>
      <c r="DB661" t="str">
        <v/>
      </c>
    </row>
    <row r="662" spans="83:106" x14ac:dyDescent="0.2">
      <c r="CE662"/>
      <c r="CF662"/>
      <c r="CG662"/>
      <c r="CH662"/>
      <c r="CI662"/>
      <c r="CU662" s="42">
        <v>657</v>
      </c>
      <c r="CV662" s="115">
        <v>2</v>
      </c>
      <c r="CW662" s="115">
        <v>1.0047263613915816</v>
      </c>
      <c r="CX662" s="115" t="e">
        <v>#N/A</v>
      </c>
      <c r="CY662" s="115">
        <v>1.0047263613915816</v>
      </c>
      <c r="CZ662" s="137" t="e">
        <v>#N/A</v>
      </c>
      <c r="DA662" t="e">
        <v>#N/A</v>
      </c>
      <c r="DB662" t="str">
        <v/>
      </c>
    </row>
    <row r="663" spans="83:106" x14ac:dyDescent="0.2">
      <c r="CE663"/>
      <c r="CF663"/>
      <c r="CG663"/>
      <c r="CH663"/>
      <c r="CI663"/>
      <c r="CU663" s="42">
        <v>658</v>
      </c>
      <c r="CV663" s="115">
        <v>2</v>
      </c>
      <c r="CW663" s="115">
        <v>1.0047263613915816</v>
      </c>
      <c r="CX663" s="115" t="e">
        <v>#N/A</v>
      </c>
      <c r="CY663" s="115">
        <v>1.0047263613915816</v>
      </c>
      <c r="CZ663" s="137" t="e">
        <v>#N/A</v>
      </c>
      <c r="DA663" t="e">
        <v>#N/A</v>
      </c>
      <c r="DB663" t="str">
        <v/>
      </c>
    </row>
    <row r="664" spans="83:106" x14ac:dyDescent="0.2">
      <c r="CE664"/>
      <c r="CF664"/>
      <c r="CG664"/>
      <c r="CH664"/>
      <c r="CI664"/>
      <c r="CU664" s="42">
        <v>659</v>
      </c>
      <c r="CV664" s="115">
        <v>2</v>
      </c>
      <c r="CW664" s="115">
        <v>1.0047263613915816</v>
      </c>
      <c r="CX664" s="115" t="e">
        <v>#N/A</v>
      </c>
      <c r="CY664" s="115">
        <v>1.0047263613915816</v>
      </c>
      <c r="CZ664" s="137" t="e">
        <v>#N/A</v>
      </c>
      <c r="DA664" t="e">
        <v>#N/A</v>
      </c>
      <c r="DB664" t="str">
        <v/>
      </c>
    </row>
    <row r="665" spans="83:106" x14ac:dyDescent="0.2">
      <c r="CE665"/>
      <c r="CF665"/>
      <c r="CG665"/>
      <c r="CH665"/>
      <c r="CI665"/>
      <c r="CU665" s="42">
        <v>660</v>
      </c>
      <c r="CV665" s="115">
        <v>2</v>
      </c>
      <c r="CW665" s="115">
        <v>1.0047263613915816</v>
      </c>
      <c r="CX665" s="115" t="e">
        <v>#N/A</v>
      </c>
      <c r="CY665" s="115">
        <v>1.0047263613915816</v>
      </c>
      <c r="CZ665" s="137" t="e">
        <v>#N/A</v>
      </c>
      <c r="DA665" t="e">
        <v>#N/A</v>
      </c>
      <c r="DB665" t="str">
        <v/>
      </c>
    </row>
    <row r="666" spans="83:106" x14ac:dyDescent="0.2">
      <c r="CE666"/>
      <c r="CF666"/>
      <c r="CG666"/>
      <c r="CH666"/>
      <c r="CI666"/>
      <c r="CU666" s="42">
        <v>661</v>
      </c>
      <c r="CV666" s="115">
        <v>2</v>
      </c>
      <c r="CW666" s="115">
        <v>1.0047263613915816</v>
      </c>
      <c r="CX666" s="115" t="e">
        <v>#N/A</v>
      </c>
      <c r="CY666" s="115">
        <v>1.0047263613915816</v>
      </c>
      <c r="CZ666" s="137" t="e">
        <v>#N/A</v>
      </c>
      <c r="DA666" t="e">
        <v>#N/A</v>
      </c>
      <c r="DB666" t="str">
        <v/>
      </c>
    </row>
    <row r="667" spans="83:106" x14ac:dyDescent="0.2">
      <c r="CE667"/>
      <c r="CF667"/>
      <c r="CG667"/>
      <c r="CH667"/>
      <c r="CI667"/>
      <c r="CU667" s="42">
        <v>662</v>
      </c>
      <c r="CV667" s="115">
        <v>2</v>
      </c>
      <c r="CW667" s="115">
        <v>1.0047263613915816</v>
      </c>
      <c r="CX667" s="115" t="e">
        <v>#N/A</v>
      </c>
      <c r="CY667" s="115">
        <v>1.0047263613915816</v>
      </c>
      <c r="CZ667" s="137" t="e">
        <v>#N/A</v>
      </c>
      <c r="DA667" t="e">
        <v>#N/A</v>
      </c>
      <c r="DB667" t="str">
        <v/>
      </c>
    </row>
    <row r="668" spans="83:106" x14ac:dyDescent="0.2">
      <c r="CE668"/>
      <c r="CF668"/>
      <c r="CG668"/>
      <c r="CH668"/>
      <c r="CI668"/>
      <c r="CU668" s="42">
        <v>663</v>
      </c>
      <c r="CV668" s="115">
        <v>2</v>
      </c>
      <c r="CW668" s="115">
        <v>1.0047263613915816</v>
      </c>
      <c r="CX668" s="115" t="e">
        <v>#N/A</v>
      </c>
      <c r="CY668" s="115">
        <v>1.0047263613915816</v>
      </c>
      <c r="CZ668" s="137" t="e">
        <v>#N/A</v>
      </c>
      <c r="DA668" t="e">
        <v>#N/A</v>
      </c>
      <c r="DB668" t="str">
        <v/>
      </c>
    </row>
    <row r="669" spans="83:106" x14ac:dyDescent="0.2">
      <c r="CE669"/>
      <c r="CF669"/>
      <c r="CG669"/>
      <c r="CH669"/>
      <c r="CI669"/>
      <c r="CU669" s="42">
        <v>664</v>
      </c>
      <c r="CV669" s="115">
        <v>2</v>
      </c>
      <c r="CW669" s="115">
        <v>1.0047263613915816</v>
      </c>
      <c r="CX669" s="115" t="e">
        <v>#N/A</v>
      </c>
      <c r="CY669" s="115">
        <v>1.0047263613915816</v>
      </c>
      <c r="CZ669" s="137" t="e">
        <v>#N/A</v>
      </c>
      <c r="DA669" t="e">
        <v>#N/A</v>
      </c>
      <c r="DB669" t="str">
        <v/>
      </c>
    </row>
    <row r="670" spans="83:106" x14ac:dyDescent="0.2">
      <c r="CE670"/>
      <c r="CF670"/>
      <c r="CG670"/>
      <c r="CH670"/>
      <c r="CI670"/>
      <c r="CU670" s="42">
        <v>665</v>
      </c>
      <c r="CV670" s="115">
        <v>2</v>
      </c>
      <c r="CW670" s="115">
        <v>1.0047263613915816</v>
      </c>
      <c r="CX670" s="115" t="e">
        <v>#N/A</v>
      </c>
      <c r="CY670" s="115">
        <v>1.0047263613915816</v>
      </c>
      <c r="CZ670" s="137" t="e">
        <v>#N/A</v>
      </c>
      <c r="DA670" t="e">
        <v>#N/A</v>
      </c>
      <c r="DB670" t="str">
        <v/>
      </c>
    </row>
    <row r="671" spans="83:106" x14ac:dyDescent="0.2">
      <c r="CE671"/>
      <c r="CF671"/>
      <c r="CG671"/>
      <c r="CH671"/>
      <c r="CI671"/>
      <c r="CU671" s="42">
        <v>666</v>
      </c>
      <c r="CV671" s="115">
        <v>2</v>
      </c>
      <c r="CW671" s="115">
        <v>1.0047263613915816</v>
      </c>
      <c r="CX671" s="115" t="e">
        <v>#N/A</v>
      </c>
      <c r="CY671" s="115">
        <v>1.0047263613915816</v>
      </c>
      <c r="CZ671" s="137" t="e">
        <v>#N/A</v>
      </c>
      <c r="DA671" t="e">
        <v>#N/A</v>
      </c>
      <c r="DB671" t="str">
        <v/>
      </c>
    </row>
    <row r="672" spans="83:106" x14ac:dyDescent="0.2">
      <c r="CE672"/>
      <c r="CF672"/>
      <c r="CG672"/>
      <c r="CH672"/>
      <c r="CI672"/>
      <c r="CU672" s="42">
        <v>667</v>
      </c>
      <c r="CV672" s="115">
        <v>2</v>
      </c>
      <c r="CW672" s="115">
        <v>1.0047263613915816</v>
      </c>
      <c r="CX672" s="115" t="e">
        <v>#N/A</v>
      </c>
      <c r="CY672" s="115">
        <v>1.0047263613915816</v>
      </c>
      <c r="CZ672" s="137" t="e">
        <v>#N/A</v>
      </c>
      <c r="DA672" t="e">
        <v>#N/A</v>
      </c>
      <c r="DB672" t="str">
        <v/>
      </c>
    </row>
    <row r="673" spans="83:106" x14ac:dyDescent="0.2">
      <c r="CE673"/>
      <c r="CF673"/>
      <c r="CG673"/>
      <c r="CH673"/>
      <c r="CI673"/>
      <c r="CU673" s="42">
        <v>668</v>
      </c>
      <c r="CV673" s="115">
        <v>2</v>
      </c>
      <c r="CW673" s="115">
        <v>1.0047263613915816</v>
      </c>
      <c r="CX673" s="115" t="e">
        <v>#N/A</v>
      </c>
      <c r="CY673" s="115">
        <v>1.0047263613915816</v>
      </c>
      <c r="CZ673" s="137" t="e">
        <v>#N/A</v>
      </c>
      <c r="DA673" t="e">
        <v>#N/A</v>
      </c>
      <c r="DB673" t="str">
        <v/>
      </c>
    </row>
    <row r="674" spans="83:106" x14ac:dyDescent="0.2">
      <c r="CE674"/>
      <c r="CF674"/>
      <c r="CG674"/>
      <c r="CH674"/>
      <c r="CI674"/>
      <c r="CU674" s="42">
        <v>669</v>
      </c>
      <c r="CV674" s="115">
        <v>2</v>
      </c>
      <c r="CW674" s="115">
        <v>1.0047263613915816</v>
      </c>
      <c r="CX674" s="115" t="e">
        <v>#N/A</v>
      </c>
      <c r="CY674" s="115">
        <v>1.0047263613915816</v>
      </c>
      <c r="CZ674" s="137" t="e">
        <v>#N/A</v>
      </c>
      <c r="DA674" t="e">
        <v>#N/A</v>
      </c>
      <c r="DB674" t="str">
        <v/>
      </c>
    </row>
    <row r="675" spans="83:106" x14ac:dyDescent="0.2">
      <c r="CE675"/>
      <c r="CF675"/>
      <c r="CG675"/>
      <c r="CH675"/>
      <c r="CI675"/>
      <c r="CU675" s="42">
        <v>670</v>
      </c>
      <c r="CV675" s="115">
        <v>2</v>
      </c>
      <c r="CW675" s="115">
        <v>1.0047263613915816</v>
      </c>
      <c r="CX675" s="115" t="e">
        <v>#N/A</v>
      </c>
      <c r="CY675" s="115">
        <v>1.0047263613915816</v>
      </c>
      <c r="CZ675" s="137" t="e">
        <v>#N/A</v>
      </c>
      <c r="DA675" t="e">
        <v>#N/A</v>
      </c>
      <c r="DB675" t="str">
        <v/>
      </c>
    </row>
    <row r="676" spans="83:106" x14ac:dyDescent="0.2">
      <c r="CE676"/>
      <c r="CF676"/>
      <c r="CG676"/>
      <c r="CH676"/>
      <c r="CI676"/>
      <c r="CU676" s="42">
        <v>671</v>
      </c>
      <c r="CV676" s="115">
        <v>2</v>
      </c>
      <c r="CW676" s="115">
        <v>1.0047263613915816</v>
      </c>
      <c r="CX676" s="115" t="e">
        <v>#N/A</v>
      </c>
      <c r="CY676" s="115">
        <v>1.0047263613915816</v>
      </c>
      <c r="CZ676" s="137" t="e">
        <v>#N/A</v>
      </c>
      <c r="DA676" t="e">
        <v>#N/A</v>
      </c>
      <c r="DB676" t="str">
        <v/>
      </c>
    </row>
    <row r="677" spans="83:106" x14ac:dyDescent="0.2">
      <c r="CE677"/>
      <c r="CF677"/>
      <c r="CG677"/>
      <c r="CH677"/>
      <c r="CI677"/>
      <c r="CU677" s="42">
        <v>672</v>
      </c>
      <c r="CV677" s="115">
        <v>2</v>
      </c>
      <c r="CW677" s="115">
        <v>1.0047263613915816</v>
      </c>
      <c r="CX677" s="115" t="e">
        <v>#N/A</v>
      </c>
      <c r="CY677" s="115">
        <v>1.0047263613915816</v>
      </c>
      <c r="CZ677" s="137" t="e">
        <v>#N/A</v>
      </c>
      <c r="DA677" t="e">
        <v>#N/A</v>
      </c>
      <c r="DB677" t="str">
        <v/>
      </c>
    </row>
    <row r="678" spans="83:106" x14ac:dyDescent="0.2">
      <c r="CE678"/>
      <c r="CF678"/>
      <c r="CG678"/>
      <c r="CH678"/>
      <c r="CI678"/>
      <c r="CU678" s="42">
        <v>673</v>
      </c>
      <c r="CV678" s="115">
        <v>2</v>
      </c>
      <c r="CW678" s="115">
        <v>1.0047263613915816</v>
      </c>
      <c r="CX678" s="115" t="e">
        <v>#N/A</v>
      </c>
      <c r="CY678" s="115">
        <v>1.0047263613915816</v>
      </c>
      <c r="CZ678" s="137" t="e">
        <v>#N/A</v>
      </c>
      <c r="DA678" t="e">
        <v>#N/A</v>
      </c>
      <c r="DB678" t="str">
        <v/>
      </c>
    </row>
    <row r="679" spans="83:106" x14ac:dyDescent="0.2">
      <c r="CE679"/>
      <c r="CF679"/>
      <c r="CG679"/>
      <c r="CH679"/>
      <c r="CI679"/>
      <c r="CU679" s="42">
        <v>674</v>
      </c>
      <c r="CV679" s="115">
        <v>2</v>
      </c>
      <c r="CW679" s="115">
        <v>1.0047263613915816</v>
      </c>
      <c r="CX679" s="115" t="e">
        <v>#N/A</v>
      </c>
      <c r="CY679" s="115">
        <v>1.0047263613915816</v>
      </c>
      <c r="CZ679" s="137" t="e">
        <v>#N/A</v>
      </c>
      <c r="DA679" t="e">
        <v>#N/A</v>
      </c>
      <c r="DB679" t="str">
        <v/>
      </c>
    </row>
    <row r="680" spans="83:106" x14ac:dyDescent="0.2">
      <c r="CE680"/>
      <c r="CF680"/>
      <c r="CG680"/>
      <c r="CH680"/>
      <c r="CI680"/>
      <c r="CU680" s="42">
        <v>675</v>
      </c>
      <c r="CV680" s="115">
        <v>2</v>
      </c>
      <c r="CW680" s="115">
        <v>1.0047263613915816</v>
      </c>
      <c r="CX680" s="115" t="e">
        <v>#N/A</v>
      </c>
      <c r="CY680" s="115">
        <v>1.0047263613915816</v>
      </c>
      <c r="CZ680" s="137" t="e">
        <v>#N/A</v>
      </c>
      <c r="DA680" t="e">
        <v>#N/A</v>
      </c>
      <c r="DB680" t="str">
        <v/>
      </c>
    </row>
    <row r="681" spans="83:106" x14ac:dyDescent="0.2">
      <c r="CE681"/>
      <c r="CF681"/>
      <c r="CG681"/>
      <c r="CH681"/>
      <c r="CI681"/>
      <c r="CU681" s="42">
        <v>676</v>
      </c>
      <c r="CV681" s="115">
        <v>2</v>
      </c>
      <c r="CW681" s="115">
        <v>1.0047263613915816</v>
      </c>
      <c r="CX681" s="115" t="e">
        <v>#N/A</v>
      </c>
      <c r="CY681" s="115">
        <v>1.0047263613915816</v>
      </c>
      <c r="CZ681" s="137" t="e">
        <v>#N/A</v>
      </c>
      <c r="DA681" t="e">
        <v>#N/A</v>
      </c>
      <c r="DB681" t="str">
        <v/>
      </c>
    </row>
    <row r="682" spans="83:106" x14ac:dyDescent="0.2">
      <c r="CE682"/>
      <c r="CF682"/>
      <c r="CG682"/>
      <c r="CH682"/>
      <c r="CI682"/>
      <c r="CU682" s="42">
        <v>677</v>
      </c>
      <c r="CV682" s="115">
        <v>2</v>
      </c>
      <c r="CW682" s="115">
        <v>1.0047263613915816</v>
      </c>
      <c r="CX682" s="115" t="e">
        <v>#N/A</v>
      </c>
      <c r="CY682" s="115">
        <v>1.0047263613915816</v>
      </c>
      <c r="CZ682" s="137" t="e">
        <v>#N/A</v>
      </c>
      <c r="DA682" t="e">
        <v>#N/A</v>
      </c>
      <c r="DB682" t="str">
        <v/>
      </c>
    </row>
    <row r="683" spans="83:106" x14ac:dyDescent="0.2">
      <c r="CE683"/>
      <c r="CF683"/>
      <c r="CG683"/>
      <c r="CH683"/>
      <c r="CI683"/>
      <c r="CU683" s="42">
        <v>678</v>
      </c>
      <c r="CV683" s="115">
        <v>2</v>
      </c>
      <c r="CW683" s="115">
        <v>1.0047263613915816</v>
      </c>
      <c r="CX683" s="115" t="e">
        <v>#N/A</v>
      </c>
      <c r="CY683" s="115">
        <v>1.0047263613915816</v>
      </c>
      <c r="CZ683" s="137" t="e">
        <v>#N/A</v>
      </c>
      <c r="DA683" t="e">
        <v>#N/A</v>
      </c>
      <c r="DB683" t="str">
        <v/>
      </c>
    </row>
    <row r="684" spans="83:106" x14ac:dyDescent="0.2">
      <c r="CE684"/>
      <c r="CF684"/>
      <c r="CG684"/>
      <c r="CH684"/>
      <c r="CI684"/>
      <c r="CU684" s="42">
        <v>679</v>
      </c>
      <c r="CV684" s="115">
        <v>2</v>
      </c>
      <c r="CW684" s="115">
        <v>1.0047263613915816</v>
      </c>
      <c r="CX684" s="115" t="e">
        <v>#N/A</v>
      </c>
      <c r="CY684" s="115">
        <v>1.0047263613915816</v>
      </c>
      <c r="CZ684" s="137" t="e">
        <v>#N/A</v>
      </c>
      <c r="DA684" t="e">
        <v>#N/A</v>
      </c>
      <c r="DB684" t="str">
        <v/>
      </c>
    </row>
    <row r="685" spans="83:106" x14ac:dyDescent="0.2">
      <c r="CE685"/>
      <c r="CF685"/>
      <c r="CG685"/>
      <c r="CH685"/>
      <c r="CI685"/>
      <c r="CU685" s="42">
        <v>680</v>
      </c>
      <c r="CV685" s="115">
        <v>2</v>
      </c>
      <c r="CW685" s="115">
        <v>1.0047263613915816</v>
      </c>
      <c r="CX685" s="115" t="e">
        <v>#N/A</v>
      </c>
      <c r="CY685" s="115">
        <v>1.0047263613915816</v>
      </c>
      <c r="CZ685" s="137" t="e">
        <v>#N/A</v>
      </c>
      <c r="DA685" t="e">
        <v>#N/A</v>
      </c>
      <c r="DB685" t="str">
        <v/>
      </c>
    </row>
    <row r="686" spans="83:106" x14ac:dyDescent="0.2">
      <c r="CE686"/>
      <c r="CF686"/>
      <c r="CG686"/>
      <c r="CH686"/>
      <c r="CI686"/>
      <c r="CU686" s="42">
        <v>681</v>
      </c>
      <c r="CV686" s="115">
        <v>2</v>
      </c>
      <c r="CW686" s="115">
        <v>1.0047263613915816</v>
      </c>
      <c r="CX686" s="115" t="e">
        <v>#N/A</v>
      </c>
      <c r="CY686" s="115">
        <v>1.0047263613915816</v>
      </c>
      <c r="CZ686" s="137" t="e">
        <v>#N/A</v>
      </c>
      <c r="DA686" t="e">
        <v>#N/A</v>
      </c>
      <c r="DB686" t="str">
        <v/>
      </c>
    </row>
    <row r="687" spans="83:106" x14ac:dyDescent="0.2">
      <c r="CE687"/>
      <c r="CF687"/>
      <c r="CG687"/>
      <c r="CH687"/>
      <c r="CI687"/>
      <c r="CU687" s="42">
        <v>682</v>
      </c>
      <c r="CV687" s="115">
        <v>2</v>
      </c>
      <c r="CW687" s="115">
        <v>1.0047263613915816</v>
      </c>
      <c r="CX687" s="115" t="e">
        <v>#N/A</v>
      </c>
      <c r="CY687" s="115">
        <v>1.0047263613915816</v>
      </c>
      <c r="CZ687" s="137" t="e">
        <v>#N/A</v>
      </c>
      <c r="DA687" t="e">
        <v>#N/A</v>
      </c>
      <c r="DB687" t="str">
        <v/>
      </c>
    </row>
    <row r="688" spans="83:106" x14ac:dyDescent="0.2">
      <c r="CE688"/>
      <c r="CF688"/>
      <c r="CG688"/>
      <c r="CH688"/>
      <c r="CI688"/>
      <c r="CU688" s="42">
        <v>683</v>
      </c>
      <c r="CV688" s="115">
        <v>2</v>
      </c>
      <c r="CW688" s="115">
        <v>1.0047263613915816</v>
      </c>
      <c r="CX688" s="115" t="e">
        <v>#N/A</v>
      </c>
      <c r="CY688" s="115">
        <v>1.0047263613915816</v>
      </c>
      <c r="CZ688" s="137" t="e">
        <v>#N/A</v>
      </c>
      <c r="DA688" t="e">
        <v>#N/A</v>
      </c>
      <c r="DB688" t="str">
        <v/>
      </c>
    </row>
    <row r="689" spans="83:106" x14ac:dyDescent="0.2">
      <c r="CE689"/>
      <c r="CF689"/>
      <c r="CG689"/>
      <c r="CH689"/>
      <c r="CI689"/>
      <c r="CU689" s="42">
        <v>684</v>
      </c>
      <c r="CV689" s="115">
        <v>3</v>
      </c>
      <c r="CW689" s="115">
        <v>1.0626913437795575</v>
      </c>
      <c r="CX689" s="115" t="e">
        <v>#N/A</v>
      </c>
      <c r="CY689" s="115" t="e">
        <v>#N/A</v>
      </c>
      <c r="CZ689" s="137">
        <v>1.0626913437795575</v>
      </c>
      <c r="DA689" t="e">
        <v>#N/A</v>
      </c>
      <c r="DB689">
        <v>0.499</v>
      </c>
    </row>
    <row r="690" spans="83:106" x14ac:dyDescent="0.2">
      <c r="CE690"/>
      <c r="CF690"/>
      <c r="CG690"/>
      <c r="CH690"/>
      <c r="CI690"/>
      <c r="CU690" s="42">
        <v>685</v>
      </c>
      <c r="CV690" s="115">
        <v>3</v>
      </c>
      <c r="CW690" s="115">
        <v>1.0626913437795575</v>
      </c>
      <c r="CX690" s="115" t="e">
        <v>#N/A</v>
      </c>
      <c r="CY690" s="115" t="e">
        <v>#N/A</v>
      </c>
      <c r="CZ690" s="137">
        <v>1.0626913437795575</v>
      </c>
      <c r="DA690" t="e">
        <v>#N/A</v>
      </c>
      <c r="DB690" t="str">
        <v/>
      </c>
    </row>
    <row r="691" spans="83:106" x14ac:dyDescent="0.2">
      <c r="CE691"/>
      <c r="CF691"/>
      <c r="CG691"/>
      <c r="CH691"/>
      <c r="CI691"/>
      <c r="CU691" s="42">
        <v>686</v>
      </c>
      <c r="CV691" s="115">
        <v>3</v>
      </c>
      <c r="CW691" s="115">
        <v>1.0626913437795575</v>
      </c>
      <c r="CX691" s="115" t="e">
        <v>#N/A</v>
      </c>
      <c r="CY691" s="115" t="e">
        <v>#N/A</v>
      </c>
      <c r="CZ691" s="137">
        <v>1.0626913437795575</v>
      </c>
      <c r="DA691" t="e">
        <v>#N/A</v>
      </c>
      <c r="DB691" t="str">
        <v/>
      </c>
    </row>
    <row r="692" spans="83:106" x14ac:dyDescent="0.2">
      <c r="CE692"/>
      <c r="CF692"/>
      <c r="CG692"/>
      <c r="CH692"/>
      <c r="CI692"/>
      <c r="CU692" s="42">
        <v>687</v>
      </c>
      <c r="CV692" s="115">
        <v>3</v>
      </c>
      <c r="CW692" s="115">
        <v>1.0626913437795575</v>
      </c>
      <c r="CX692" s="115" t="e">
        <v>#N/A</v>
      </c>
      <c r="CY692" s="115" t="e">
        <v>#N/A</v>
      </c>
      <c r="CZ692" s="137">
        <v>1.0626913437795575</v>
      </c>
      <c r="DA692" t="e">
        <v>#N/A</v>
      </c>
      <c r="DB692" t="str">
        <v/>
      </c>
    </row>
    <row r="693" spans="83:106" x14ac:dyDescent="0.2">
      <c r="CE693"/>
      <c r="CF693"/>
      <c r="CG693"/>
      <c r="CH693"/>
      <c r="CI693"/>
      <c r="CU693" s="42">
        <v>688</v>
      </c>
      <c r="CV693" s="115">
        <v>3</v>
      </c>
      <c r="CW693" s="115">
        <v>1.0626913437795575</v>
      </c>
      <c r="CX693" s="115" t="e">
        <v>#N/A</v>
      </c>
      <c r="CY693" s="115" t="e">
        <v>#N/A</v>
      </c>
      <c r="CZ693" s="137">
        <v>1.0626913437795575</v>
      </c>
      <c r="DA693" t="e">
        <v>#N/A</v>
      </c>
      <c r="DB693" t="str">
        <v/>
      </c>
    </row>
    <row r="694" spans="83:106" x14ac:dyDescent="0.2">
      <c r="CE694"/>
      <c r="CF694"/>
      <c r="CG694"/>
      <c r="CH694"/>
      <c r="CI694"/>
      <c r="CU694" s="42">
        <v>689</v>
      </c>
      <c r="CV694" s="115">
        <v>3</v>
      </c>
      <c r="CW694" s="115">
        <v>1.0626913437795575</v>
      </c>
      <c r="CX694" s="115" t="e">
        <v>#N/A</v>
      </c>
      <c r="CY694" s="115" t="e">
        <v>#N/A</v>
      </c>
      <c r="CZ694" s="137">
        <v>1.0626913437795575</v>
      </c>
      <c r="DA694" t="e">
        <v>#N/A</v>
      </c>
      <c r="DB694" t="str">
        <v/>
      </c>
    </row>
    <row r="695" spans="83:106" x14ac:dyDescent="0.2">
      <c r="CE695"/>
      <c r="CF695"/>
      <c r="CG695"/>
      <c r="CH695"/>
      <c r="CI695"/>
      <c r="CU695" s="42">
        <v>690</v>
      </c>
      <c r="CV695" s="115">
        <v>3</v>
      </c>
      <c r="CW695" s="115">
        <v>1.0626913437795575</v>
      </c>
      <c r="CX695" s="115" t="e">
        <v>#N/A</v>
      </c>
      <c r="CY695" s="115" t="e">
        <v>#N/A</v>
      </c>
      <c r="CZ695" s="137">
        <v>1.0626913437795575</v>
      </c>
      <c r="DA695" t="e">
        <v>#N/A</v>
      </c>
      <c r="DB695" t="str">
        <v/>
      </c>
    </row>
    <row r="696" spans="83:106" x14ac:dyDescent="0.2">
      <c r="CE696"/>
      <c r="CF696"/>
      <c r="CG696"/>
      <c r="CH696"/>
      <c r="CI696"/>
      <c r="CU696" s="42">
        <v>691</v>
      </c>
      <c r="CV696" s="115">
        <v>3</v>
      </c>
      <c r="CW696" s="115">
        <v>1.0626913437795575</v>
      </c>
      <c r="CX696" s="115" t="e">
        <v>#N/A</v>
      </c>
      <c r="CY696" s="115" t="e">
        <v>#N/A</v>
      </c>
      <c r="CZ696" s="137">
        <v>1.0626913437795575</v>
      </c>
      <c r="DA696" t="e">
        <v>#N/A</v>
      </c>
      <c r="DB696" t="str">
        <v/>
      </c>
    </row>
    <row r="697" spans="83:106" x14ac:dyDescent="0.2">
      <c r="CE697"/>
      <c r="CF697"/>
      <c r="CG697"/>
      <c r="CH697"/>
      <c r="CI697"/>
      <c r="CU697" s="42">
        <v>692</v>
      </c>
      <c r="CV697" s="115">
        <v>3</v>
      </c>
      <c r="CW697" s="115">
        <v>1.0626913437795575</v>
      </c>
      <c r="CX697" s="115" t="e">
        <v>#N/A</v>
      </c>
      <c r="CY697" s="115" t="e">
        <v>#N/A</v>
      </c>
      <c r="CZ697" s="137">
        <v>1.0626913437795575</v>
      </c>
      <c r="DA697" t="e">
        <v>#N/A</v>
      </c>
      <c r="DB697" t="str">
        <v/>
      </c>
    </row>
    <row r="698" spans="83:106" x14ac:dyDescent="0.2">
      <c r="CE698"/>
      <c r="CF698"/>
      <c r="CG698"/>
      <c r="CH698"/>
      <c r="CI698"/>
      <c r="CU698" s="42">
        <v>693</v>
      </c>
      <c r="CV698" s="115">
        <v>3</v>
      </c>
      <c r="CW698" s="115">
        <v>1.0626913437795575</v>
      </c>
      <c r="CX698" s="115" t="e">
        <v>#N/A</v>
      </c>
      <c r="CY698" s="115" t="e">
        <v>#N/A</v>
      </c>
      <c r="CZ698" s="137">
        <v>1.0626913437795575</v>
      </c>
      <c r="DA698" t="e">
        <v>#N/A</v>
      </c>
      <c r="DB698" t="str">
        <v/>
      </c>
    </row>
    <row r="699" spans="83:106" x14ac:dyDescent="0.2">
      <c r="CE699"/>
      <c r="CF699"/>
      <c r="CG699"/>
      <c r="CH699"/>
      <c r="CI699"/>
      <c r="CU699" s="42">
        <v>694</v>
      </c>
      <c r="CV699" s="115">
        <v>3</v>
      </c>
      <c r="CW699" s="115">
        <v>1.0626913437795575</v>
      </c>
      <c r="CX699" s="115" t="e">
        <v>#N/A</v>
      </c>
      <c r="CY699" s="115" t="e">
        <v>#N/A</v>
      </c>
      <c r="CZ699" s="137">
        <v>1.0626913437795575</v>
      </c>
      <c r="DA699" t="e">
        <v>#N/A</v>
      </c>
      <c r="DB699" t="str">
        <v/>
      </c>
    </row>
    <row r="700" spans="83:106" x14ac:dyDescent="0.2">
      <c r="CE700"/>
      <c r="CF700"/>
      <c r="CG700"/>
      <c r="CH700"/>
      <c r="CI700"/>
      <c r="CU700" s="42">
        <v>695</v>
      </c>
      <c r="CV700" s="115">
        <v>3</v>
      </c>
      <c r="CW700" s="115">
        <v>1.0626913437795575</v>
      </c>
      <c r="CX700" s="115" t="e">
        <v>#N/A</v>
      </c>
      <c r="CY700" s="115" t="e">
        <v>#N/A</v>
      </c>
      <c r="CZ700" s="137">
        <v>1.0626913437795575</v>
      </c>
      <c r="DA700" t="e">
        <v>#N/A</v>
      </c>
      <c r="DB700" t="str">
        <v/>
      </c>
    </row>
    <row r="701" spans="83:106" x14ac:dyDescent="0.2">
      <c r="CE701"/>
      <c r="CF701"/>
      <c r="CG701"/>
      <c r="CH701"/>
      <c r="CI701"/>
      <c r="CU701" s="42">
        <v>696</v>
      </c>
      <c r="CV701" s="115">
        <v>3</v>
      </c>
      <c r="CW701" s="115">
        <v>1.0626913437795575</v>
      </c>
      <c r="CX701" s="115" t="e">
        <v>#N/A</v>
      </c>
      <c r="CY701" s="115" t="e">
        <v>#N/A</v>
      </c>
      <c r="CZ701" s="137">
        <v>1.0626913437795575</v>
      </c>
      <c r="DA701" t="e">
        <v>#N/A</v>
      </c>
      <c r="DB701" t="str">
        <v/>
      </c>
    </row>
    <row r="702" spans="83:106" x14ac:dyDescent="0.2">
      <c r="CE702"/>
      <c r="CF702"/>
      <c r="CG702"/>
      <c r="CH702"/>
      <c r="CI702"/>
      <c r="CU702" s="42">
        <v>697</v>
      </c>
      <c r="CV702" s="115">
        <v>3</v>
      </c>
      <c r="CW702" s="115">
        <v>1.0626913437795575</v>
      </c>
      <c r="CX702" s="115" t="e">
        <v>#N/A</v>
      </c>
      <c r="CY702" s="115" t="e">
        <v>#N/A</v>
      </c>
      <c r="CZ702" s="137">
        <v>1.0626913437795575</v>
      </c>
      <c r="DA702" t="e">
        <v>#N/A</v>
      </c>
      <c r="DB702" t="str">
        <v/>
      </c>
    </row>
    <row r="703" spans="83:106" x14ac:dyDescent="0.2">
      <c r="CE703"/>
      <c r="CF703"/>
      <c r="CG703"/>
      <c r="CH703"/>
      <c r="CI703"/>
      <c r="CU703" s="42">
        <v>698</v>
      </c>
      <c r="CV703" s="115">
        <v>3</v>
      </c>
      <c r="CW703" s="115">
        <v>1.0626913437795575</v>
      </c>
      <c r="CX703" s="115" t="e">
        <v>#N/A</v>
      </c>
      <c r="CY703" s="115" t="e">
        <v>#N/A</v>
      </c>
      <c r="CZ703" s="137">
        <v>1.0626913437795575</v>
      </c>
      <c r="DA703" t="e">
        <v>#N/A</v>
      </c>
      <c r="DB703" t="str">
        <v/>
      </c>
    </row>
    <row r="704" spans="83:106" x14ac:dyDescent="0.2">
      <c r="CE704"/>
      <c r="CF704"/>
      <c r="CG704"/>
      <c r="CH704"/>
      <c r="CI704"/>
      <c r="CU704" s="42">
        <v>699</v>
      </c>
      <c r="CV704" s="115">
        <v>3</v>
      </c>
      <c r="CW704" s="115">
        <v>1.0626913437795575</v>
      </c>
      <c r="CX704" s="115" t="e">
        <v>#N/A</v>
      </c>
      <c r="CY704" s="115" t="e">
        <v>#N/A</v>
      </c>
      <c r="CZ704" s="137">
        <v>1.0626913437795575</v>
      </c>
      <c r="DA704" t="e">
        <v>#N/A</v>
      </c>
      <c r="DB704" t="str">
        <v/>
      </c>
    </row>
    <row r="705" spans="83:106" x14ac:dyDescent="0.2">
      <c r="CE705"/>
      <c r="CF705"/>
      <c r="CG705"/>
      <c r="CH705"/>
      <c r="CI705"/>
      <c r="CU705" s="42">
        <v>700</v>
      </c>
      <c r="CV705" s="115">
        <v>3</v>
      </c>
      <c r="CW705" s="115">
        <v>1.0626913437795575</v>
      </c>
      <c r="CX705" s="115" t="e">
        <v>#N/A</v>
      </c>
      <c r="CY705" s="115" t="e">
        <v>#N/A</v>
      </c>
      <c r="CZ705" s="137">
        <v>1.0626913437795575</v>
      </c>
      <c r="DA705" t="e">
        <v>#N/A</v>
      </c>
      <c r="DB705" t="str">
        <v/>
      </c>
    </row>
    <row r="706" spans="83:106" x14ac:dyDescent="0.2">
      <c r="CE706"/>
      <c r="CF706"/>
      <c r="CG706"/>
      <c r="CH706"/>
      <c r="CI706"/>
      <c r="CU706" s="42">
        <v>701</v>
      </c>
      <c r="CV706" s="115">
        <v>3</v>
      </c>
      <c r="CW706" s="115">
        <v>1.0626913437795575</v>
      </c>
      <c r="CX706" s="115" t="e">
        <v>#N/A</v>
      </c>
      <c r="CY706" s="115" t="e">
        <v>#N/A</v>
      </c>
      <c r="CZ706" s="137">
        <v>1.0626913437795575</v>
      </c>
      <c r="DA706" t="e">
        <v>#N/A</v>
      </c>
      <c r="DB706" t="str">
        <v/>
      </c>
    </row>
    <row r="707" spans="83:106" x14ac:dyDescent="0.2">
      <c r="CE707"/>
      <c r="CF707"/>
      <c r="CG707"/>
      <c r="CH707"/>
      <c r="CI707"/>
      <c r="CU707" s="42">
        <v>702</v>
      </c>
      <c r="CV707" s="115">
        <v>3</v>
      </c>
      <c r="CW707" s="115">
        <v>1.0626913437795575</v>
      </c>
      <c r="CX707" s="115" t="e">
        <v>#N/A</v>
      </c>
      <c r="CY707" s="115" t="e">
        <v>#N/A</v>
      </c>
      <c r="CZ707" s="137">
        <v>1.0626913437795575</v>
      </c>
      <c r="DA707" t="e">
        <v>#N/A</v>
      </c>
      <c r="DB707" t="str">
        <v/>
      </c>
    </row>
    <row r="708" spans="83:106" x14ac:dyDescent="0.2">
      <c r="CE708"/>
      <c r="CF708"/>
      <c r="CG708"/>
      <c r="CH708"/>
      <c r="CI708"/>
      <c r="CU708" s="42">
        <v>703</v>
      </c>
      <c r="CV708" s="115">
        <v>3</v>
      </c>
      <c r="CW708" s="115">
        <v>1.0626913437795575</v>
      </c>
      <c r="CX708" s="115" t="e">
        <v>#N/A</v>
      </c>
      <c r="CY708" s="115" t="e">
        <v>#N/A</v>
      </c>
      <c r="CZ708" s="137">
        <v>1.0626913437795575</v>
      </c>
      <c r="DA708" t="e">
        <v>#N/A</v>
      </c>
      <c r="DB708" t="str">
        <v/>
      </c>
    </row>
    <row r="709" spans="83:106" x14ac:dyDescent="0.2">
      <c r="CE709"/>
      <c r="CF709"/>
      <c r="CG709"/>
      <c r="CH709"/>
      <c r="CI709"/>
      <c r="CU709" s="42">
        <v>704</v>
      </c>
      <c r="CV709" s="115">
        <v>3</v>
      </c>
      <c r="CW709" s="115">
        <v>1.0626913437795575</v>
      </c>
      <c r="CX709" s="115" t="e">
        <v>#N/A</v>
      </c>
      <c r="CY709" s="115" t="e">
        <v>#N/A</v>
      </c>
      <c r="CZ709" s="137">
        <v>1.0626913437795575</v>
      </c>
      <c r="DA709" t="e">
        <v>#N/A</v>
      </c>
      <c r="DB709" t="str">
        <v/>
      </c>
    </row>
    <row r="710" spans="83:106" x14ac:dyDescent="0.2">
      <c r="CE710"/>
      <c r="CF710"/>
      <c r="CG710"/>
      <c r="CH710"/>
      <c r="CI710"/>
      <c r="CU710" s="42">
        <v>705</v>
      </c>
      <c r="CV710" s="115">
        <v>3</v>
      </c>
      <c r="CW710" s="115">
        <v>1.0626913437795575</v>
      </c>
      <c r="CX710" s="115" t="e">
        <v>#N/A</v>
      </c>
      <c r="CY710" s="115" t="e">
        <v>#N/A</v>
      </c>
      <c r="CZ710" s="137">
        <v>1.0626913437795575</v>
      </c>
      <c r="DA710" t="e">
        <v>#N/A</v>
      </c>
      <c r="DB710" t="str">
        <v/>
      </c>
    </row>
    <row r="711" spans="83:106" x14ac:dyDescent="0.2">
      <c r="CE711"/>
      <c r="CF711"/>
      <c r="CG711"/>
      <c r="CH711"/>
      <c r="CI711"/>
      <c r="CU711" s="42">
        <v>706</v>
      </c>
      <c r="CV711" s="115">
        <v>3</v>
      </c>
      <c r="CW711" s="115">
        <v>1.0626913437795575</v>
      </c>
      <c r="CX711" s="115" t="e">
        <v>#N/A</v>
      </c>
      <c r="CY711" s="115" t="e">
        <v>#N/A</v>
      </c>
      <c r="CZ711" s="137">
        <v>1.0626913437795575</v>
      </c>
      <c r="DA711" t="e">
        <v>#N/A</v>
      </c>
      <c r="DB711" t="str">
        <v/>
      </c>
    </row>
    <row r="712" spans="83:106" x14ac:dyDescent="0.2">
      <c r="CE712"/>
      <c r="CF712"/>
      <c r="CG712"/>
      <c r="CH712"/>
      <c r="CI712"/>
      <c r="CU712" s="42">
        <v>707</v>
      </c>
      <c r="CV712" s="115">
        <v>3</v>
      </c>
      <c r="CW712" s="115">
        <v>1.0626913437795575</v>
      </c>
      <c r="CX712" s="115" t="e">
        <v>#N/A</v>
      </c>
      <c r="CY712" s="115" t="e">
        <v>#N/A</v>
      </c>
      <c r="CZ712" s="137">
        <v>1.0626913437795575</v>
      </c>
      <c r="DA712" t="e">
        <v>#N/A</v>
      </c>
      <c r="DB712" t="str">
        <v/>
      </c>
    </row>
    <row r="713" spans="83:106" x14ac:dyDescent="0.2">
      <c r="CE713"/>
      <c r="CF713"/>
      <c r="CG713"/>
      <c r="CH713"/>
      <c r="CI713"/>
      <c r="CU713" s="42">
        <v>708</v>
      </c>
      <c r="CV713" s="115">
        <v>3</v>
      </c>
      <c r="CW713" s="115">
        <v>1.0626913437795575</v>
      </c>
      <c r="CX713" s="115" t="e">
        <v>#N/A</v>
      </c>
      <c r="CY713" s="115" t="e">
        <v>#N/A</v>
      </c>
      <c r="CZ713" s="137">
        <v>1.0626913437795575</v>
      </c>
      <c r="DA713" t="e">
        <v>#N/A</v>
      </c>
      <c r="DB713" t="str">
        <v/>
      </c>
    </row>
    <row r="714" spans="83:106" x14ac:dyDescent="0.2">
      <c r="CE714"/>
      <c r="CF714"/>
      <c r="CG714"/>
      <c r="CH714"/>
      <c r="CI714"/>
      <c r="CU714" s="42">
        <v>709</v>
      </c>
      <c r="CV714" s="115">
        <v>3</v>
      </c>
      <c r="CW714" s="115">
        <v>1.0626913437795575</v>
      </c>
      <c r="CX714" s="115" t="e">
        <v>#N/A</v>
      </c>
      <c r="CY714" s="115" t="e">
        <v>#N/A</v>
      </c>
      <c r="CZ714" s="137">
        <v>1.0626913437795575</v>
      </c>
      <c r="DA714" t="e">
        <v>#N/A</v>
      </c>
      <c r="DB714" t="str">
        <v/>
      </c>
    </row>
    <row r="715" spans="83:106" x14ac:dyDescent="0.2">
      <c r="CE715"/>
      <c r="CF715"/>
      <c r="CG715"/>
      <c r="CH715"/>
      <c r="CI715"/>
      <c r="CU715" s="42">
        <v>710</v>
      </c>
      <c r="CV715" s="115">
        <v>3</v>
      </c>
      <c r="CW715" s="115">
        <v>1.0626913437795575</v>
      </c>
      <c r="CX715" s="115" t="e">
        <v>#N/A</v>
      </c>
      <c r="CY715" s="115" t="e">
        <v>#N/A</v>
      </c>
      <c r="CZ715" s="137">
        <v>1.0626913437795575</v>
      </c>
      <c r="DA715" t="e">
        <v>#N/A</v>
      </c>
      <c r="DB715" t="str">
        <v/>
      </c>
    </row>
    <row r="716" spans="83:106" x14ac:dyDescent="0.2">
      <c r="CE716"/>
      <c r="CF716"/>
      <c r="CG716"/>
      <c r="CH716"/>
      <c r="CI716"/>
      <c r="CU716" s="42">
        <v>711</v>
      </c>
      <c r="CV716" s="115">
        <v>3</v>
      </c>
      <c r="CW716" s="115">
        <v>1.0626913437795575</v>
      </c>
      <c r="CX716" s="115" t="e">
        <v>#N/A</v>
      </c>
      <c r="CY716" s="115" t="e">
        <v>#N/A</v>
      </c>
      <c r="CZ716" s="137">
        <v>1.0626913437795575</v>
      </c>
      <c r="DA716" t="e">
        <v>#N/A</v>
      </c>
      <c r="DB716" t="str">
        <v/>
      </c>
    </row>
    <row r="717" spans="83:106" x14ac:dyDescent="0.2">
      <c r="CE717"/>
      <c r="CF717"/>
      <c r="CG717"/>
      <c r="CH717"/>
      <c r="CI717"/>
      <c r="CU717" s="42">
        <v>712</v>
      </c>
      <c r="CV717" s="115">
        <v>3</v>
      </c>
      <c r="CW717" s="115">
        <v>1.0626913437795575</v>
      </c>
      <c r="CX717" s="115" t="e">
        <v>#N/A</v>
      </c>
      <c r="CY717" s="115" t="e">
        <v>#N/A</v>
      </c>
      <c r="CZ717" s="137">
        <v>1.0626913437795575</v>
      </c>
      <c r="DA717" t="e">
        <v>#N/A</v>
      </c>
      <c r="DB717" t="str">
        <v/>
      </c>
    </row>
    <row r="718" spans="83:106" x14ac:dyDescent="0.2">
      <c r="CE718"/>
      <c r="CF718"/>
      <c r="CG718"/>
      <c r="CH718"/>
      <c r="CI718"/>
      <c r="CU718" s="42">
        <v>713</v>
      </c>
      <c r="CV718" s="115">
        <v>3</v>
      </c>
      <c r="CW718" s="115">
        <v>1.0626913437795575</v>
      </c>
      <c r="CX718" s="115" t="e">
        <v>#N/A</v>
      </c>
      <c r="CY718" s="115" t="e">
        <v>#N/A</v>
      </c>
      <c r="CZ718" s="137">
        <v>1.0626913437795575</v>
      </c>
      <c r="DA718" t="e">
        <v>#N/A</v>
      </c>
      <c r="DB718" t="str">
        <v/>
      </c>
    </row>
    <row r="719" spans="83:106" x14ac:dyDescent="0.2">
      <c r="CE719"/>
      <c r="CF719"/>
      <c r="CG719"/>
      <c r="CH719"/>
      <c r="CI719"/>
      <c r="CU719" s="42">
        <v>714</v>
      </c>
      <c r="CV719" s="115">
        <v>3</v>
      </c>
      <c r="CW719" s="115">
        <v>1.0626913437795575</v>
      </c>
      <c r="CX719" s="115" t="e">
        <v>#N/A</v>
      </c>
      <c r="CY719" s="115" t="e">
        <v>#N/A</v>
      </c>
      <c r="CZ719" s="137">
        <v>1.0626913437795575</v>
      </c>
      <c r="DA719" t="e">
        <v>#N/A</v>
      </c>
      <c r="DB719" t="str">
        <v/>
      </c>
    </row>
    <row r="720" spans="83:106" x14ac:dyDescent="0.2">
      <c r="CE720"/>
      <c r="CF720"/>
      <c r="CG720"/>
      <c r="CH720"/>
      <c r="CI720"/>
      <c r="CU720" s="42">
        <v>715</v>
      </c>
      <c r="CV720" s="115">
        <v>3</v>
      </c>
      <c r="CW720" s="115">
        <v>1.0626913437795575</v>
      </c>
      <c r="CX720" s="115" t="e">
        <v>#N/A</v>
      </c>
      <c r="CY720" s="115" t="e">
        <v>#N/A</v>
      </c>
      <c r="CZ720" s="137">
        <v>1.0626913437795575</v>
      </c>
      <c r="DA720" t="e">
        <v>#N/A</v>
      </c>
      <c r="DB720" t="str">
        <v/>
      </c>
    </row>
    <row r="721" spans="83:106" x14ac:dyDescent="0.2">
      <c r="CE721"/>
      <c r="CF721"/>
      <c r="CG721"/>
      <c r="CH721"/>
      <c r="CI721"/>
      <c r="CU721" s="42">
        <v>716</v>
      </c>
      <c r="CV721" s="115">
        <v>3</v>
      </c>
      <c r="CW721" s="115">
        <v>1.0626913437795575</v>
      </c>
      <c r="CX721" s="115" t="e">
        <v>#N/A</v>
      </c>
      <c r="CY721" s="115" t="e">
        <v>#N/A</v>
      </c>
      <c r="CZ721" s="137">
        <v>1.0626913437795575</v>
      </c>
      <c r="DA721" t="e">
        <v>#N/A</v>
      </c>
      <c r="DB721" t="str">
        <v/>
      </c>
    </row>
    <row r="722" spans="83:106" x14ac:dyDescent="0.2">
      <c r="CE722"/>
      <c r="CF722"/>
      <c r="CG722"/>
      <c r="CH722"/>
      <c r="CI722"/>
      <c r="CU722" s="42">
        <v>717</v>
      </c>
      <c r="CV722" s="115">
        <v>3</v>
      </c>
      <c r="CW722" s="115">
        <v>1.0626913437795575</v>
      </c>
      <c r="CX722" s="115" t="e">
        <v>#N/A</v>
      </c>
      <c r="CY722" s="115" t="e">
        <v>#N/A</v>
      </c>
      <c r="CZ722" s="137">
        <v>1.0626913437795575</v>
      </c>
      <c r="DA722" t="e">
        <v>#N/A</v>
      </c>
      <c r="DB722" t="str">
        <v/>
      </c>
    </row>
    <row r="723" spans="83:106" x14ac:dyDescent="0.2">
      <c r="CE723"/>
      <c r="CF723"/>
      <c r="CG723"/>
      <c r="CH723"/>
      <c r="CI723"/>
      <c r="CU723" s="42">
        <v>718</v>
      </c>
      <c r="CV723" s="115">
        <v>3</v>
      </c>
      <c r="CW723" s="115">
        <v>1.0626913437795575</v>
      </c>
      <c r="CX723" s="115" t="e">
        <v>#N/A</v>
      </c>
      <c r="CY723" s="115" t="e">
        <v>#N/A</v>
      </c>
      <c r="CZ723" s="137">
        <v>1.0626913437795575</v>
      </c>
      <c r="DA723" t="e">
        <v>#N/A</v>
      </c>
      <c r="DB723" t="str">
        <v/>
      </c>
    </row>
    <row r="724" spans="83:106" x14ac:dyDescent="0.2">
      <c r="CE724"/>
      <c r="CF724"/>
      <c r="CG724"/>
      <c r="CH724"/>
      <c r="CI724"/>
      <c r="CU724" s="42">
        <v>719</v>
      </c>
      <c r="CV724" s="115">
        <v>3</v>
      </c>
      <c r="CW724" s="115">
        <v>1.0626913437795575</v>
      </c>
      <c r="CX724" s="115" t="e">
        <v>#N/A</v>
      </c>
      <c r="CY724" s="115" t="e">
        <v>#N/A</v>
      </c>
      <c r="CZ724" s="137">
        <v>1.0626913437795575</v>
      </c>
      <c r="DA724" t="e">
        <v>#N/A</v>
      </c>
      <c r="DB724" t="str">
        <v/>
      </c>
    </row>
    <row r="725" spans="83:106" x14ac:dyDescent="0.2">
      <c r="CE725"/>
      <c r="CF725"/>
      <c r="CG725"/>
      <c r="CH725"/>
      <c r="CI725"/>
      <c r="CU725" s="42">
        <v>720</v>
      </c>
      <c r="CV725" s="115">
        <v>3</v>
      </c>
      <c r="CW725" s="115">
        <v>1.0626913437795575</v>
      </c>
      <c r="CX725" s="115" t="e">
        <v>#N/A</v>
      </c>
      <c r="CY725" s="115" t="e">
        <v>#N/A</v>
      </c>
      <c r="CZ725" s="137">
        <v>1.0626913437795575</v>
      </c>
      <c r="DA725" t="e">
        <v>#N/A</v>
      </c>
      <c r="DB725" t="str">
        <v/>
      </c>
    </row>
    <row r="726" spans="83:106" x14ac:dyDescent="0.2">
      <c r="CE726"/>
      <c r="CF726"/>
      <c r="CG726"/>
      <c r="CH726"/>
      <c r="CI726"/>
      <c r="CU726" s="42">
        <v>721</v>
      </c>
      <c r="CV726" s="115">
        <v>3</v>
      </c>
      <c r="CW726" s="115">
        <v>1.0626913437795575</v>
      </c>
      <c r="CX726" s="115" t="e">
        <v>#N/A</v>
      </c>
      <c r="CY726" s="115" t="e">
        <v>#N/A</v>
      </c>
      <c r="CZ726" s="137">
        <v>1.0626913437795575</v>
      </c>
      <c r="DA726" t="e">
        <v>#N/A</v>
      </c>
      <c r="DB726" t="str">
        <v/>
      </c>
    </row>
    <row r="727" spans="83:106" x14ac:dyDescent="0.2">
      <c r="CE727"/>
      <c r="CF727"/>
      <c r="CG727"/>
      <c r="CH727"/>
      <c r="CI727"/>
      <c r="CU727" s="42">
        <v>722</v>
      </c>
      <c r="CV727" s="115">
        <v>3</v>
      </c>
      <c r="CW727" s="115">
        <v>1.0626913437795575</v>
      </c>
      <c r="CX727" s="115" t="e">
        <v>#N/A</v>
      </c>
      <c r="CY727" s="115" t="e">
        <v>#N/A</v>
      </c>
      <c r="CZ727" s="137">
        <v>1.0626913437795575</v>
      </c>
      <c r="DA727" t="e">
        <v>#N/A</v>
      </c>
      <c r="DB727" t="str">
        <v/>
      </c>
    </row>
    <row r="728" spans="83:106" x14ac:dyDescent="0.2">
      <c r="CE728"/>
      <c r="CF728"/>
      <c r="CG728"/>
      <c r="CH728"/>
      <c r="CI728"/>
      <c r="CU728" s="42">
        <v>723</v>
      </c>
      <c r="CV728" s="115">
        <v>3</v>
      </c>
      <c r="CW728" s="115">
        <v>1.0626913437795575</v>
      </c>
      <c r="CX728" s="115" t="e">
        <v>#N/A</v>
      </c>
      <c r="CY728" s="115" t="e">
        <v>#N/A</v>
      </c>
      <c r="CZ728" s="137">
        <v>1.0626913437795575</v>
      </c>
      <c r="DA728" t="e">
        <v>#N/A</v>
      </c>
      <c r="DB728" t="str">
        <v/>
      </c>
    </row>
    <row r="729" spans="83:106" x14ac:dyDescent="0.2">
      <c r="CE729"/>
      <c r="CF729"/>
      <c r="CG729"/>
      <c r="CH729"/>
      <c r="CI729"/>
      <c r="CU729" s="42">
        <v>724</v>
      </c>
      <c r="CV729" s="115">
        <v>3</v>
      </c>
      <c r="CW729" s="115">
        <v>1.0626913437795575</v>
      </c>
      <c r="CX729" s="115" t="e">
        <v>#N/A</v>
      </c>
      <c r="CY729" s="115" t="e">
        <v>#N/A</v>
      </c>
      <c r="CZ729" s="137">
        <v>1.0626913437795575</v>
      </c>
      <c r="DA729" t="e">
        <v>#N/A</v>
      </c>
      <c r="DB729" t="str">
        <v/>
      </c>
    </row>
    <row r="730" spans="83:106" x14ac:dyDescent="0.2">
      <c r="CE730"/>
      <c r="CF730"/>
      <c r="CG730"/>
      <c r="CH730"/>
      <c r="CI730"/>
      <c r="CU730" s="42">
        <v>725</v>
      </c>
      <c r="CV730" s="115">
        <v>3</v>
      </c>
      <c r="CW730" s="115">
        <v>1.0626913437795575</v>
      </c>
      <c r="CX730" s="115" t="e">
        <v>#N/A</v>
      </c>
      <c r="CY730" s="115" t="e">
        <v>#N/A</v>
      </c>
      <c r="CZ730" s="137">
        <v>1.0626913437795575</v>
      </c>
      <c r="DA730" t="e">
        <v>#N/A</v>
      </c>
      <c r="DB730" t="str">
        <v/>
      </c>
    </row>
    <row r="731" spans="83:106" x14ac:dyDescent="0.2">
      <c r="CE731"/>
      <c r="CF731"/>
      <c r="CG731"/>
      <c r="CH731"/>
      <c r="CI731"/>
      <c r="CU731" s="42">
        <v>726</v>
      </c>
      <c r="CV731" s="115">
        <v>3</v>
      </c>
      <c r="CW731" s="115">
        <v>1.0626913437795575</v>
      </c>
      <c r="CX731" s="115" t="e">
        <v>#N/A</v>
      </c>
      <c r="CY731" s="115" t="e">
        <v>#N/A</v>
      </c>
      <c r="CZ731" s="137">
        <v>1.0626913437795575</v>
      </c>
      <c r="DA731" t="e">
        <v>#N/A</v>
      </c>
      <c r="DB731" t="str">
        <v/>
      </c>
    </row>
    <row r="732" spans="83:106" x14ac:dyDescent="0.2">
      <c r="CE732"/>
      <c r="CF732"/>
      <c r="CG732"/>
      <c r="CH732"/>
      <c r="CI732"/>
      <c r="CU732" s="42">
        <v>727</v>
      </c>
      <c r="CV732" s="115">
        <v>3</v>
      </c>
      <c r="CW732" s="115">
        <v>1.0626913437795575</v>
      </c>
      <c r="CX732" s="115" t="e">
        <v>#N/A</v>
      </c>
      <c r="CY732" s="115" t="e">
        <v>#N/A</v>
      </c>
      <c r="CZ732" s="137">
        <v>1.0626913437795575</v>
      </c>
      <c r="DA732" t="e">
        <v>#N/A</v>
      </c>
      <c r="DB732" t="str">
        <v/>
      </c>
    </row>
    <row r="733" spans="83:106" x14ac:dyDescent="0.2">
      <c r="CE733"/>
      <c r="CF733"/>
      <c r="CG733"/>
      <c r="CH733"/>
      <c r="CI733"/>
      <c r="CU733" s="42">
        <v>728</v>
      </c>
      <c r="CV733" s="115">
        <v>3</v>
      </c>
      <c r="CW733" s="115">
        <v>1.0626913437795575</v>
      </c>
      <c r="CX733" s="115" t="e">
        <v>#N/A</v>
      </c>
      <c r="CY733" s="115" t="e">
        <v>#N/A</v>
      </c>
      <c r="CZ733" s="137">
        <v>1.0626913437795575</v>
      </c>
      <c r="DA733" t="e">
        <v>#N/A</v>
      </c>
      <c r="DB733" t="str">
        <v/>
      </c>
    </row>
    <row r="734" spans="83:106" x14ac:dyDescent="0.2">
      <c r="CE734"/>
      <c r="CF734"/>
      <c r="CG734"/>
      <c r="CH734"/>
      <c r="CI734"/>
      <c r="CU734" s="42">
        <v>729</v>
      </c>
      <c r="CV734" s="115">
        <v>3</v>
      </c>
      <c r="CW734" s="115">
        <v>1.0626913437795575</v>
      </c>
      <c r="CX734" s="115" t="e">
        <v>#N/A</v>
      </c>
      <c r="CY734" s="115" t="e">
        <v>#N/A</v>
      </c>
      <c r="CZ734" s="137">
        <v>1.0626913437795575</v>
      </c>
      <c r="DA734" t="e">
        <v>#N/A</v>
      </c>
      <c r="DB734" t="str">
        <v/>
      </c>
    </row>
    <row r="735" spans="83:106" x14ac:dyDescent="0.2">
      <c r="CE735"/>
      <c r="CF735"/>
      <c r="CG735"/>
      <c r="CH735"/>
      <c r="CI735"/>
      <c r="CU735" s="42">
        <v>730</v>
      </c>
      <c r="CV735" s="115">
        <v>3</v>
      </c>
      <c r="CW735" s="115">
        <v>1.0626913437795575</v>
      </c>
      <c r="CX735" s="115" t="e">
        <v>#N/A</v>
      </c>
      <c r="CY735" s="115" t="e">
        <v>#N/A</v>
      </c>
      <c r="CZ735" s="137">
        <v>1.0626913437795575</v>
      </c>
      <c r="DA735" t="e">
        <v>#N/A</v>
      </c>
      <c r="DB735" t="str">
        <v/>
      </c>
    </row>
    <row r="736" spans="83:106" x14ac:dyDescent="0.2">
      <c r="CE736"/>
      <c r="CF736"/>
      <c r="CG736"/>
      <c r="CH736"/>
      <c r="CI736"/>
      <c r="CU736" s="42">
        <v>731</v>
      </c>
      <c r="CV736" s="115">
        <v>3</v>
      </c>
      <c r="CW736" s="115">
        <v>1.0626913437795575</v>
      </c>
      <c r="CX736" s="115" t="e">
        <v>#N/A</v>
      </c>
      <c r="CY736" s="115" t="e">
        <v>#N/A</v>
      </c>
      <c r="CZ736" s="137">
        <v>1.0626913437795575</v>
      </c>
      <c r="DA736" t="e">
        <v>#N/A</v>
      </c>
      <c r="DB736" t="str">
        <v/>
      </c>
    </row>
    <row r="737" spans="83:106" x14ac:dyDescent="0.2">
      <c r="CE737"/>
      <c r="CF737"/>
      <c r="CG737"/>
      <c r="CH737"/>
      <c r="CI737"/>
      <c r="CU737" s="42">
        <v>732</v>
      </c>
      <c r="CV737" s="115">
        <v>3</v>
      </c>
      <c r="CW737" s="115">
        <v>1.0626913437795575</v>
      </c>
      <c r="CX737" s="115" t="e">
        <v>#N/A</v>
      </c>
      <c r="CY737" s="115" t="e">
        <v>#N/A</v>
      </c>
      <c r="CZ737" s="137">
        <v>1.0626913437795575</v>
      </c>
      <c r="DA737" t="e">
        <v>#N/A</v>
      </c>
      <c r="DB737" t="str">
        <v/>
      </c>
    </row>
    <row r="738" spans="83:106" x14ac:dyDescent="0.2">
      <c r="CE738"/>
      <c r="CF738"/>
      <c r="CG738"/>
      <c r="CH738"/>
      <c r="CI738"/>
      <c r="CU738" s="42">
        <v>733</v>
      </c>
      <c r="CV738" s="115">
        <v>3</v>
      </c>
      <c r="CW738" s="115">
        <v>1.0626913437795575</v>
      </c>
      <c r="CX738" s="115" t="e">
        <v>#N/A</v>
      </c>
      <c r="CY738" s="115" t="e">
        <v>#N/A</v>
      </c>
      <c r="CZ738" s="137">
        <v>1.0626913437795575</v>
      </c>
      <c r="DA738" t="e">
        <v>#N/A</v>
      </c>
      <c r="DB738" t="str">
        <v/>
      </c>
    </row>
    <row r="739" spans="83:106" x14ac:dyDescent="0.2">
      <c r="CE739"/>
      <c r="CF739"/>
      <c r="CG739"/>
      <c r="CH739"/>
      <c r="CI739"/>
      <c r="CU739" s="42">
        <v>734</v>
      </c>
      <c r="CV739" s="115">
        <v>3</v>
      </c>
      <c r="CW739" s="115">
        <v>1.0626913437795575</v>
      </c>
      <c r="CX739" s="115" t="e">
        <v>#N/A</v>
      </c>
      <c r="CY739" s="115" t="e">
        <v>#N/A</v>
      </c>
      <c r="CZ739" s="137">
        <v>1.0626913437795575</v>
      </c>
      <c r="DA739" t="e">
        <v>#N/A</v>
      </c>
      <c r="DB739" t="str">
        <v/>
      </c>
    </row>
    <row r="740" spans="83:106" x14ac:dyDescent="0.2">
      <c r="CE740"/>
      <c r="CF740"/>
      <c r="CG740"/>
      <c r="CH740"/>
      <c r="CI740"/>
      <c r="CU740" s="42">
        <v>735</v>
      </c>
      <c r="CV740" s="115">
        <v>3</v>
      </c>
      <c r="CW740" s="115">
        <v>1.0626913437795575</v>
      </c>
      <c r="CX740" s="115" t="e">
        <v>#N/A</v>
      </c>
      <c r="CY740" s="115" t="e">
        <v>#N/A</v>
      </c>
      <c r="CZ740" s="137">
        <v>1.0626913437795575</v>
      </c>
      <c r="DA740" t="e">
        <v>#N/A</v>
      </c>
      <c r="DB740" t="str">
        <v/>
      </c>
    </row>
    <row r="741" spans="83:106" x14ac:dyDescent="0.2">
      <c r="CE741"/>
      <c r="CF741"/>
      <c r="CG741"/>
      <c r="CH741"/>
      <c r="CI741"/>
      <c r="CU741" s="42">
        <v>736</v>
      </c>
      <c r="CV741" s="115">
        <v>3</v>
      </c>
      <c r="CW741" s="115">
        <v>1.0626913437795575</v>
      </c>
      <c r="CX741" s="115" t="e">
        <v>#N/A</v>
      </c>
      <c r="CY741" s="115" t="e">
        <v>#N/A</v>
      </c>
      <c r="CZ741" s="137">
        <v>1.0626913437795575</v>
      </c>
      <c r="DA741" t="e">
        <v>#N/A</v>
      </c>
      <c r="DB741" t="str">
        <v/>
      </c>
    </row>
    <row r="742" spans="83:106" x14ac:dyDescent="0.2">
      <c r="CE742"/>
      <c r="CF742"/>
      <c r="CG742"/>
      <c r="CH742"/>
      <c r="CI742"/>
      <c r="CU742" s="42">
        <v>737</v>
      </c>
      <c r="CV742" s="115">
        <v>3</v>
      </c>
      <c r="CW742" s="115">
        <v>1.0626913437795575</v>
      </c>
      <c r="CX742" s="115" t="e">
        <v>#N/A</v>
      </c>
      <c r="CY742" s="115" t="e">
        <v>#N/A</v>
      </c>
      <c r="CZ742" s="137">
        <v>1.0626913437795575</v>
      </c>
      <c r="DA742" t="e">
        <v>#N/A</v>
      </c>
      <c r="DB742" t="str">
        <v/>
      </c>
    </row>
    <row r="743" spans="83:106" x14ac:dyDescent="0.2">
      <c r="CE743"/>
      <c r="CF743"/>
      <c r="CG743"/>
      <c r="CH743"/>
      <c r="CI743"/>
      <c r="CU743" s="42">
        <v>738</v>
      </c>
      <c r="CV743" s="115">
        <v>3</v>
      </c>
      <c r="CW743" s="115">
        <v>1.0626913437795575</v>
      </c>
      <c r="CX743" s="115" t="e">
        <v>#N/A</v>
      </c>
      <c r="CY743" s="115" t="e">
        <v>#N/A</v>
      </c>
      <c r="CZ743" s="137">
        <v>1.0626913437795575</v>
      </c>
      <c r="DA743" t="e">
        <v>#N/A</v>
      </c>
      <c r="DB743" t="str">
        <v/>
      </c>
    </row>
    <row r="744" spans="83:106" x14ac:dyDescent="0.2">
      <c r="CE744"/>
      <c r="CF744"/>
      <c r="CG744"/>
      <c r="CH744"/>
      <c r="CI744"/>
      <c r="CU744" s="42">
        <v>739</v>
      </c>
      <c r="CV744" s="115">
        <v>3</v>
      </c>
      <c r="CW744" s="115">
        <v>1.0626913437795575</v>
      </c>
      <c r="CX744" s="115" t="e">
        <v>#N/A</v>
      </c>
      <c r="CY744" s="115" t="e">
        <v>#N/A</v>
      </c>
      <c r="CZ744" s="137">
        <v>1.0626913437795575</v>
      </c>
      <c r="DA744" t="e">
        <v>#N/A</v>
      </c>
      <c r="DB744" t="str">
        <v/>
      </c>
    </row>
    <row r="745" spans="83:106" x14ac:dyDescent="0.2">
      <c r="CE745"/>
      <c r="CF745"/>
      <c r="CG745"/>
      <c r="CH745"/>
      <c r="CI745"/>
      <c r="CU745" s="42">
        <v>740</v>
      </c>
      <c r="CV745" s="115">
        <v>3</v>
      </c>
      <c r="CW745" s="115">
        <v>1.0626913437795575</v>
      </c>
      <c r="CX745" s="115" t="e">
        <v>#N/A</v>
      </c>
      <c r="CY745" s="115" t="e">
        <v>#N/A</v>
      </c>
      <c r="CZ745" s="137">
        <v>1.0626913437795575</v>
      </c>
      <c r="DA745" t="e">
        <v>#N/A</v>
      </c>
      <c r="DB745" t="str">
        <v/>
      </c>
    </row>
    <row r="746" spans="83:106" x14ac:dyDescent="0.2">
      <c r="CE746"/>
      <c r="CF746"/>
      <c r="CG746"/>
      <c r="CH746"/>
      <c r="CI746"/>
      <c r="CU746" s="42">
        <v>741</v>
      </c>
      <c r="CV746" s="115">
        <v>3</v>
      </c>
      <c r="CW746" s="115">
        <v>1.0626913437795575</v>
      </c>
      <c r="CX746" s="115" t="e">
        <v>#N/A</v>
      </c>
      <c r="CY746" s="115" t="e">
        <v>#N/A</v>
      </c>
      <c r="CZ746" s="137">
        <v>1.0626913437795575</v>
      </c>
      <c r="DA746" t="e">
        <v>#N/A</v>
      </c>
      <c r="DB746" t="str">
        <v/>
      </c>
    </row>
    <row r="747" spans="83:106" x14ac:dyDescent="0.2">
      <c r="CE747"/>
      <c r="CF747"/>
      <c r="CG747"/>
      <c r="CH747"/>
      <c r="CI747"/>
      <c r="CU747" s="42">
        <v>742</v>
      </c>
      <c r="CV747" s="115">
        <v>3</v>
      </c>
      <c r="CW747" s="115">
        <v>1.0626913437795575</v>
      </c>
      <c r="CX747" s="115" t="e">
        <v>#N/A</v>
      </c>
      <c r="CY747" s="115" t="e">
        <v>#N/A</v>
      </c>
      <c r="CZ747" s="137">
        <v>1.0626913437795575</v>
      </c>
      <c r="DA747" t="e">
        <v>#N/A</v>
      </c>
      <c r="DB747" t="str">
        <v/>
      </c>
    </row>
    <row r="748" spans="83:106" x14ac:dyDescent="0.2">
      <c r="CE748"/>
      <c r="CF748"/>
      <c r="CG748"/>
      <c r="CH748"/>
      <c r="CI748"/>
      <c r="CU748" s="42">
        <v>743</v>
      </c>
      <c r="CV748" s="115">
        <v>3</v>
      </c>
      <c r="CW748" s="115">
        <v>1.0626913437795575</v>
      </c>
      <c r="CX748" s="115" t="e">
        <v>#N/A</v>
      </c>
      <c r="CY748" s="115" t="e">
        <v>#N/A</v>
      </c>
      <c r="CZ748" s="137">
        <v>1.0626913437795575</v>
      </c>
      <c r="DA748" t="e">
        <v>#N/A</v>
      </c>
      <c r="DB748" t="str">
        <v/>
      </c>
    </row>
    <row r="749" spans="83:106" x14ac:dyDescent="0.2">
      <c r="CE749"/>
      <c r="CF749"/>
      <c r="CG749"/>
      <c r="CH749"/>
      <c r="CI749"/>
      <c r="CU749" s="42">
        <v>744</v>
      </c>
      <c r="CV749" s="115">
        <v>3</v>
      </c>
      <c r="CW749" s="115">
        <v>1.0626913437795575</v>
      </c>
      <c r="CX749" s="115" t="e">
        <v>#N/A</v>
      </c>
      <c r="CY749" s="115" t="e">
        <v>#N/A</v>
      </c>
      <c r="CZ749" s="137">
        <v>1.0626913437795575</v>
      </c>
      <c r="DA749" t="e">
        <v>#N/A</v>
      </c>
      <c r="DB749" t="str">
        <v/>
      </c>
    </row>
    <row r="750" spans="83:106" x14ac:dyDescent="0.2">
      <c r="CE750"/>
      <c r="CF750"/>
      <c r="CG750"/>
      <c r="CH750"/>
      <c r="CI750"/>
      <c r="CU750" s="42">
        <v>745</v>
      </c>
      <c r="CV750" s="115">
        <v>3</v>
      </c>
      <c r="CW750" s="115">
        <v>1.0626913437795575</v>
      </c>
      <c r="CX750" s="115" t="e">
        <v>#N/A</v>
      </c>
      <c r="CY750" s="115" t="e">
        <v>#N/A</v>
      </c>
      <c r="CZ750" s="137">
        <v>1.0626913437795575</v>
      </c>
      <c r="DA750" t="e">
        <v>#N/A</v>
      </c>
      <c r="DB750" t="str">
        <v/>
      </c>
    </row>
    <row r="751" spans="83:106" x14ac:dyDescent="0.2">
      <c r="CE751"/>
      <c r="CF751"/>
      <c r="CG751"/>
      <c r="CH751"/>
      <c r="CI751"/>
      <c r="CU751" s="42">
        <v>746</v>
      </c>
      <c r="CV751" s="115">
        <v>3</v>
      </c>
      <c r="CW751" s="115">
        <v>1.0626913437795575</v>
      </c>
      <c r="CX751" s="115" t="e">
        <v>#N/A</v>
      </c>
      <c r="CY751" s="115" t="e">
        <v>#N/A</v>
      </c>
      <c r="CZ751" s="137">
        <v>1.0626913437795575</v>
      </c>
      <c r="DA751" t="e">
        <v>#N/A</v>
      </c>
      <c r="DB751" t="str">
        <v/>
      </c>
    </row>
    <row r="752" spans="83:106" x14ac:dyDescent="0.2">
      <c r="CE752"/>
      <c r="CF752"/>
      <c r="CG752"/>
      <c r="CH752"/>
      <c r="CI752"/>
      <c r="CU752" s="42">
        <v>747</v>
      </c>
      <c r="CV752" s="115">
        <v>3</v>
      </c>
      <c r="CW752" s="115">
        <v>1.0626913437795575</v>
      </c>
      <c r="CX752" s="115" t="e">
        <v>#N/A</v>
      </c>
      <c r="CY752" s="115" t="e">
        <v>#N/A</v>
      </c>
      <c r="CZ752" s="137">
        <v>1.0626913437795575</v>
      </c>
      <c r="DA752" t="e">
        <v>#N/A</v>
      </c>
      <c r="DB752" t="str">
        <v/>
      </c>
    </row>
    <row r="753" spans="83:106" x14ac:dyDescent="0.2">
      <c r="CE753"/>
      <c r="CF753"/>
      <c r="CG753"/>
      <c r="CH753"/>
      <c r="CI753"/>
      <c r="CU753" s="42">
        <v>748</v>
      </c>
      <c r="CV753" s="115">
        <v>3</v>
      </c>
      <c r="CW753" s="115">
        <v>1.0626913437795575</v>
      </c>
      <c r="CX753" s="115" t="e">
        <v>#N/A</v>
      </c>
      <c r="CY753" s="115" t="e">
        <v>#N/A</v>
      </c>
      <c r="CZ753" s="137">
        <v>1.0626913437795575</v>
      </c>
      <c r="DA753" t="e">
        <v>#N/A</v>
      </c>
      <c r="DB753" t="str">
        <v/>
      </c>
    </row>
    <row r="754" spans="83:106" x14ac:dyDescent="0.2">
      <c r="CE754"/>
      <c r="CF754"/>
      <c r="CG754"/>
      <c r="CH754"/>
      <c r="CI754"/>
      <c r="CU754" s="42">
        <v>749</v>
      </c>
      <c r="CV754" s="115">
        <v>3</v>
      </c>
      <c r="CW754" s="115">
        <v>1.0626913437795575</v>
      </c>
      <c r="CX754" s="115" t="e">
        <v>#N/A</v>
      </c>
      <c r="CY754" s="115" t="e">
        <v>#N/A</v>
      </c>
      <c r="CZ754" s="137">
        <v>1.0626913437795575</v>
      </c>
      <c r="DA754" t="e">
        <v>#N/A</v>
      </c>
      <c r="DB754" t="str">
        <v/>
      </c>
    </row>
    <row r="755" spans="83:106" x14ac:dyDescent="0.2">
      <c r="CE755"/>
      <c r="CF755"/>
      <c r="CG755"/>
      <c r="CH755"/>
      <c r="CI755"/>
      <c r="CU755" s="42">
        <v>750</v>
      </c>
      <c r="CV755" s="115">
        <v>3</v>
      </c>
      <c r="CW755" s="115">
        <v>1.0626913437795575</v>
      </c>
      <c r="CX755" s="115" t="e">
        <v>#N/A</v>
      </c>
      <c r="CY755" s="115" t="e">
        <v>#N/A</v>
      </c>
      <c r="CZ755" s="137">
        <v>1.0626913437795575</v>
      </c>
      <c r="DA755" t="e">
        <v>#N/A</v>
      </c>
      <c r="DB755" t="str">
        <v/>
      </c>
    </row>
    <row r="756" spans="83:106" x14ac:dyDescent="0.2">
      <c r="CE756"/>
      <c r="CF756"/>
      <c r="CG756"/>
      <c r="CH756"/>
      <c r="CI756"/>
      <c r="CU756" s="42">
        <v>751</v>
      </c>
      <c r="CV756" s="115">
        <v>3</v>
      </c>
      <c r="CW756" s="115">
        <v>1.0626913437795575</v>
      </c>
      <c r="CX756" s="115" t="e">
        <v>#N/A</v>
      </c>
      <c r="CY756" s="115" t="e">
        <v>#N/A</v>
      </c>
      <c r="CZ756" s="137">
        <v>1.0626913437795575</v>
      </c>
      <c r="DA756" t="e">
        <v>#N/A</v>
      </c>
      <c r="DB756" t="str">
        <v/>
      </c>
    </row>
    <row r="757" spans="83:106" x14ac:dyDescent="0.2">
      <c r="CE757"/>
      <c r="CF757"/>
      <c r="CG757"/>
      <c r="CH757"/>
      <c r="CI757"/>
      <c r="CU757" s="42">
        <v>752</v>
      </c>
      <c r="CV757" s="115">
        <v>3</v>
      </c>
      <c r="CW757" s="115">
        <v>1.0626913437795575</v>
      </c>
      <c r="CX757" s="115" t="e">
        <v>#N/A</v>
      </c>
      <c r="CY757" s="115" t="e">
        <v>#N/A</v>
      </c>
      <c r="CZ757" s="137">
        <v>1.0626913437795575</v>
      </c>
      <c r="DA757" t="e">
        <v>#N/A</v>
      </c>
      <c r="DB757" t="str">
        <v/>
      </c>
    </row>
    <row r="758" spans="83:106" x14ac:dyDescent="0.2">
      <c r="CE758"/>
      <c r="CF758"/>
      <c r="CG758"/>
      <c r="CH758"/>
      <c r="CI758"/>
      <c r="CU758" s="42">
        <v>753</v>
      </c>
      <c r="CV758" s="115">
        <v>3</v>
      </c>
      <c r="CW758" s="115">
        <v>1.0626913437795575</v>
      </c>
      <c r="CX758" s="115" t="e">
        <v>#N/A</v>
      </c>
      <c r="CY758" s="115" t="e">
        <v>#N/A</v>
      </c>
      <c r="CZ758" s="137">
        <v>1.0626913437795575</v>
      </c>
      <c r="DA758" t="e">
        <v>#N/A</v>
      </c>
      <c r="DB758" t="str">
        <v/>
      </c>
    </row>
    <row r="759" spans="83:106" x14ac:dyDescent="0.2">
      <c r="CE759"/>
      <c r="CF759"/>
      <c r="CG759"/>
      <c r="CH759"/>
      <c r="CI759"/>
      <c r="CU759" s="42">
        <v>754</v>
      </c>
      <c r="CV759" s="115">
        <v>3</v>
      </c>
      <c r="CW759" s="115">
        <v>1.0626913437795575</v>
      </c>
      <c r="CX759" s="115" t="e">
        <v>#N/A</v>
      </c>
      <c r="CY759" s="115" t="e">
        <v>#N/A</v>
      </c>
      <c r="CZ759" s="137">
        <v>1.0626913437795575</v>
      </c>
      <c r="DA759" t="e">
        <v>#N/A</v>
      </c>
      <c r="DB759" t="str">
        <v/>
      </c>
    </row>
    <row r="760" spans="83:106" x14ac:dyDescent="0.2">
      <c r="CE760"/>
      <c r="CF760"/>
      <c r="CG760"/>
      <c r="CH760"/>
      <c r="CI760"/>
      <c r="CU760" s="42">
        <v>755</v>
      </c>
      <c r="CV760" s="115">
        <v>3</v>
      </c>
      <c r="CW760" s="115">
        <v>1.0626913437795575</v>
      </c>
      <c r="CX760" s="115" t="e">
        <v>#N/A</v>
      </c>
      <c r="CY760" s="115" t="e">
        <v>#N/A</v>
      </c>
      <c r="CZ760" s="137">
        <v>1.0626913437795575</v>
      </c>
      <c r="DA760" t="e">
        <v>#N/A</v>
      </c>
      <c r="DB760" t="str">
        <v/>
      </c>
    </row>
    <row r="761" spans="83:106" x14ac:dyDescent="0.2">
      <c r="CE761"/>
      <c r="CF761"/>
      <c r="CG761"/>
      <c r="CH761"/>
      <c r="CI761"/>
      <c r="CU761" s="42">
        <v>756</v>
      </c>
      <c r="CV761" s="115">
        <v>3</v>
      </c>
      <c r="CW761" s="115">
        <v>1.0626913437795575</v>
      </c>
      <c r="CX761" s="115" t="e">
        <v>#N/A</v>
      </c>
      <c r="CY761" s="115" t="e">
        <v>#N/A</v>
      </c>
      <c r="CZ761" s="137">
        <v>1.0626913437795575</v>
      </c>
      <c r="DA761" t="e">
        <v>#N/A</v>
      </c>
      <c r="DB761" t="str">
        <v/>
      </c>
    </row>
    <row r="762" spans="83:106" x14ac:dyDescent="0.2">
      <c r="CE762"/>
      <c r="CF762"/>
      <c r="CG762"/>
      <c r="CH762"/>
      <c r="CI762"/>
      <c r="CU762" s="42">
        <v>757</v>
      </c>
      <c r="CV762" s="115">
        <v>3</v>
      </c>
      <c r="CW762" s="115">
        <v>1.0626913437795575</v>
      </c>
      <c r="CX762" s="115" t="e">
        <v>#N/A</v>
      </c>
      <c r="CY762" s="115" t="e">
        <v>#N/A</v>
      </c>
      <c r="CZ762" s="137">
        <v>1.0626913437795575</v>
      </c>
      <c r="DA762" t="e">
        <v>#N/A</v>
      </c>
      <c r="DB762" t="str">
        <v/>
      </c>
    </row>
    <row r="763" spans="83:106" x14ac:dyDescent="0.2">
      <c r="CE763"/>
      <c r="CF763"/>
      <c r="CG763"/>
      <c r="CH763"/>
      <c r="CI763"/>
      <c r="CU763" s="42">
        <v>758</v>
      </c>
      <c r="CV763" s="115">
        <v>3</v>
      </c>
      <c r="CW763" s="115">
        <v>1.0626913437795575</v>
      </c>
      <c r="CX763" s="115" t="e">
        <v>#N/A</v>
      </c>
      <c r="CY763" s="115" t="e">
        <v>#N/A</v>
      </c>
      <c r="CZ763" s="137">
        <v>1.0626913437795575</v>
      </c>
      <c r="DA763" t="e">
        <v>#N/A</v>
      </c>
      <c r="DB763" t="str">
        <v/>
      </c>
    </row>
    <row r="764" spans="83:106" x14ac:dyDescent="0.2">
      <c r="CE764"/>
      <c r="CF764"/>
      <c r="CG764"/>
      <c r="CH764"/>
      <c r="CI764"/>
      <c r="CU764" s="42">
        <v>759</v>
      </c>
      <c r="CV764" s="115">
        <v>3</v>
      </c>
      <c r="CW764" s="115">
        <v>1.0626913437795575</v>
      </c>
      <c r="CX764" s="115" t="e">
        <v>#N/A</v>
      </c>
      <c r="CY764" s="115" t="e">
        <v>#N/A</v>
      </c>
      <c r="CZ764" s="137">
        <v>1.0626913437795575</v>
      </c>
      <c r="DA764" t="e">
        <v>#N/A</v>
      </c>
      <c r="DB764" t="str">
        <v/>
      </c>
    </row>
    <row r="765" spans="83:106" x14ac:dyDescent="0.2">
      <c r="CE765"/>
      <c r="CF765"/>
      <c r="CG765"/>
      <c r="CH765"/>
      <c r="CI765"/>
      <c r="CU765" s="42">
        <v>760</v>
      </c>
      <c r="CV765" s="115">
        <v>3</v>
      </c>
      <c r="CW765" s="115">
        <v>1.0626913437795575</v>
      </c>
      <c r="CX765" s="115" t="e">
        <v>#N/A</v>
      </c>
      <c r="CY765" s="115" t="e">
        <v>#N/A</v>
      </c>
      <c r="CZ765" s="137">
        <v>1.0626913437795575</v>
      </c>
      <c r="DA765" t="e">
        <v>#N/A</v>
      </c>
      <c r="DB765" t="str">
        <v/>
      </c>
    </row>
    <row r="766" spans="83:106" x14ac:dyDescent="0.2">
      <c r="CE766"/>
      <c r="CF766"/>
      <c r="CG766"/>
      <c r="CH766"/>
      <c r="CI766"/>
      <c r="CU766" s="42">
        <v>761</v>
      </c>
      <c r="CV766" s="115">
        <v>3</v>
      </c>
      <c r="CW766" s="115">
        <v>1.0626913437795575</v>
      </c>
      <c r="CX766" s="115" t="e">
        <v>#N/A</v>
      </c>
      <c r="CY766" s="115" t="e">
        <v>#N/A</v>
      </c>
      <c r="CZ766" s="137">
        <v>1.0626913437795575</v>
      </c>
      <c r="DA766" t="e">
        <v>#N/A</v>
      </c>
      <c r="DB766" t="str">
        <v/>
      </c>
    </row>
    <row r="767" spans="83:106" x14ac:dyDescent="0.2">
      <c r="CE767"/>
      <c r="CF767"/>
      <c r="CG767"/>
      <c r="CH767"/>
      <c r="CI767"/>
      <c r="CU767" s="42">
        <v>762</v>
      </c>
      <c r="CV767" s="115">
        <v>3</v>
      </c>
      <c r="CW767" s="115">
        <v>1.0626913437795575</v>
      </c>
      <c r="CX767" s="115" t="e">
        <v>#N/A</v>
      </c>
      <c r="CY767" s="115" t="e">
        <v>#N/A</v>
      </c>
      <c r="CZ767" s="137">
        <v>1.0626913437795575</v>
      </c>
      <c r="DA767" t="e">
        <v>#N/A</v>
      </c>
      <c r="DB767" t="str">
        <v/>
      </c>
    </row>
    <row r="768" spans="83:106" x14ac:dyDescent="0.2">
      <c r="CE768"/>
      <c r="CF768"/>
      <c r="CG768"/>
      <c r="CH768"/>
      <c r="CI768"/>
      <c r="CU768" s="42">
        <v>763</v>
      </c>
      <c r="CV768" s="115">
        <v>3</v>
      </c>
      <c r="CW768" s="115">
        <v>1.0626913437795575</v>
      </c>
      <c r="CX768" s="115" t="e">
        <v>#N/A</v>
      </c>
      <c r="CY768" s="115" t="e">
        <v>#N/A</v>
      </c>
      <c r="CZ768" s="137">
        <v>1.0626913437795575</v>
      </c>
      <c r="DA768" t="e">
        <v>#N/A</v>
      </c>
      <c r="DB768" t="str">
        <v/>
      </c>
    </row>
    <row r="769" spans="83:106" x14ac:dyDescent="0.2">
      <c r="CE769"/>
      <c r="CF769"/>
      <c r="CG769"/>
      <c r="CH769"/>
      <c r="CI769"/>
      <c r="CU769" s="42">
        <v>764</v>
      </c>
      <c r="CV769" s="115">
        <v>3</v>
      </c>
      <c r="CW769" s="115">
        <v>1.0626913437795575</v>
      </c>
      <c r="CX769" s="115" t="e">
        <v>#N/A</v>
      </c>
      <c r="CY769" s="115" t="e">
        <v>#N/A</v>
      </c>
      <c r="CZ769" s="137">
        <v>1.0626913437795575</v>
      </c>
      <c r="DA769" t="e">
        <v>#N/A</v>
      </c>
      <c r="DB769" t="str">
        <v/>
      </c>
    </row>
    <row r="770" spans="83:106" x14ac:dyDescent="0.2">
      <c r="CE770"/>
      <c r="CF770"/>
      <c r="CG770"/>
      <c r="CH770"/>
      <c r="CI770"/>
      <c r="CU770" s="42">
        <v>765</v>
      </c>
      <c r="CV770" s="115">
        <v>3</v>
      </c>
      <c r="CW770" s="115">
        <v>1.0626913437795575</v>
      </c>
      <c r="CX770" s="115" t="e">
        <v>#N/A</v>
      </c>
      <c r="CY770" s="115" t="e">
        <v>#N/A</v>
      </c>
      <c r="CZ770" s="137">
        <v>1.0626913437795575</v>
      </c>
      <c r="DA770" t="e">
        <v>#N/A</v>
      </c>
      <c r="DB770" t="str">
        <v/>
      </c>
    </row>
    <row r="771" spans="83:106" x14ac:dyDescent="0.2">
      <c r="CE771"/>
      <c r="CF771"/>
      <c r="CG771"/>
      <c r="CH771"/>
      <c r="CI771"/>
      <c r="CU771" s="42">
        <v>766</v>
      </c>
      <c r="CV771" s="115">
        <v>3</v>
      </c>
      <c r="CW771" s="115">
        <v>1.0626913437795575</v>
      </c>
      <c r="CX771" s="115" t="e">
        <v>#N/A</v>
      </c>
      <c r="CY771" s="115" t="e">
        <v>#N/A</v>
      </c>
      <c r="CZ771" s="137">
        <v>1.0626913437795575</v>
      </c>
      <c r="DA771" t="e">
        <v>#N/A</v>
      </c>
      <c r="DB771" t="str">
        <v/>
      </c>
    </row>
    <row r="772" spans="83:106" x14ac:dyDescent="0.2">
      <c r="CE772"/>
      <c r="CF772"/>
      <c r="CG772"/>
      <c r="CH772"/>
      <c r="CI772"/>
      <c r="CU772" s="42">
        <v>767</v>
      </c>
      <c r="CV772" s="115">
        <v>3</v>
      </c>
      <c r="CW772" s="115">
        <v>1.0626913437795575</v>
      </c>
      <c r="CX772" s="115" t="e">
        <v>#N/A</v>
      </c>
      <c r="CY772" s="115" t="e">
        <v>#N/A</v>
      </c>
      <c r="CZ772" s="137">
        <v>1.0626913437795575</v>
      </c>
      <c r="DA772" t="e">
        <v>#N/A</v>
      </c>
      <c r="DB772" t="str">
        <v/>
      </c>
    </row>
    <row r="773" spans="83:106" x14ac:dyDescent="0.2">
      <c r="CE773"/>
      <c r="CF773"/>
      <c r="CG773"/>
      <c r="CH773"/>
      <c r="CI773"/>
      <c r="CU773" s="42">
        <v>768</v>
      </c>
      <c r="CV773" s="115">
        <v>3</v>
      </c>
      <c r="CW773" s="115">
        <v>1.0626913437795575</v>
      </c>
      <c r="CX773" s="115" t="e">
        <v>#N/A</v>
      </c>
      <c r="CY773" s="115" t="e">
        <v>#N/A</v>
      </c>
      <c r="CZ773" s="137">
        <v>1.0626913437795575</v>
      </c>
      <c r="DA773" t="e">
        <v>#N/A</v>
      </c>
      <c r="DB773" t="str">
        <v/>
      </c>
    </row>
    <row r="774" spans="83:106" x14ac:dyDescent="0.2">
      <c r="CE774"/>
      <c r="CF774"/>
      <c r="CG774"/>
      <c r="CH774"/>
      <c r="CI774"/>
      <c r="CU774" s="42">
        <v>769</v>
      </c>
      <c r="CV774" s="115">
        <v>3</v>
      </c>
      <c r="CW774" s="115">
        <v>1.0626913437795575</v>
      </c>
      <c r="CX774" s="115" t="e">
        <v>#N/A</v>
      </c>
      <c r="CY774" s="115" t="e">
        <v>#N/A</v>
      </c>
      <c r="CZ774" s="137">
        <v>1.0626913437795575</v>
      </c>
      <c r="DA774" t="e">
        <v>#N/A</v>
      </c>
      <c r="DB774" t="str">
        <v/>
      </c>
    </row>
    <row r="775" spans="83:106" x14ac:dyDescent="0.2">
      <c r="CE775"/>
      <c r="CF775"/>
      <c r="CG775"/>
      <c r="CH775"/>
      <c r="CI775"/>
      <c r="CU775" s="42">
        <v>770</v>
      </c>
      <c r="CV775" s="115">
        <v>3</v>
      </c>
      <c r="CW775" s="115">
        <v>1.0626913437795575</v>
      </c>
      <c r="CX775" s="115" t="e">
        <v>#N/A</v>
      </c>
      <c r="CY775" s="115" t="e">
        <v>#N/A</v>
      </c>
      <c r="CZ775" s="137">
        <v>1.0626913437795575</v>
      </c>
      <c r="DA775" t="e">
        <v>#N/A</v>
      </c>
      <c r="DB775" t="str">
        <v/>
      </c>
    </row>
    <row r="776" spans="83:106" x14ac:dyDescent="0.2">
      <c r="CE776"/>
      <c r="CF776"/>
      <c r="CG776"/>
      <c r="CH776"/>
      <c r="CI776"/>
      <c r="CU776" s="42">
        <v>771</v>
      </c>
      <c r="CV776" s="115">
        <v>3</v>
      </c>
      <c r="CW776" s="115">
        <v>1.0626913437795575</v>
      </c>
      <c r="CX776" s="115" t="e">
        <v>#N/A</v>
      </c>
      <c r="CY776" s="115" t="e">
        <v>#N/A</v>
      </c>
      <c r="CZ776" s="137">
        <v>1.0626913437795575</v>
      </c>
      <c r="DA776" t="e">
        <v>#N/A</v>
      </c>
      <c r="DB776" t="str">
        <v/>
      </c>
    </row>
    <row r="777" spans="83:106" x14ac:dyDescent="0.2">
      <c r="CE777"/>
      <c r="CF777"/>
      <c r="CG777"/>
      <c r="CH777"/>
      <c r="CI777"/>
      <c r="CU777" s="42">
        <v>772</v>
      </c>
      <c r="CV777" s="115">
        <v>3</v>
      </c>
      <c r="CW777" s="115">
        <v>1.0626913437795575</v>
      </c>
      <c r="CX777" s="115" t="e">
        <v>#N/A</v>
      </c>
      <c r="CY777" s="115" t="e">
        <v>#N/A</v>
      </c>
      <c r="CZ777" s="137">
        <v>1.0626913437795575</v>
      </c>
      <c r="DA777" t="e">
        <v>#N/A</v>
      </c>
      <c r="DB777" t="str">
        <v/>
      </c>
    </row>
    <row r="778" spans="83:106" x14ac:dyDescent="0.2">
      <c r="CE778"/>
      <c r="CF778"/>
      <c r="CG778"/>
      <c r="CH778"/>
      <c r="CI778"/>
      <c r="CU778" s="42">
        <v>773</v>
      </c>
      <c r="CV778" s="115">
        <v>3</v>
      </c>
      <c r="CW778" s="115">
        <v>1.0626913437795575</v>
      </c>
      <c r="CX778" s="115" t="e">
        <v>#N/A</v>
      </c>
      <c r="CY778" s="115" t="e">
        <v>#N/A</v>
      </c>
      <c r="CZ778" s="137">
        <v>1.0626913437795575</v>
      </c>
      <c r="DA778" t="e">
        <v>#N/A</v>
      </c>
      <c r="DB778" t="str">
        <v/>
      </c>
    </row>
    <row r="779" spans="83:106" x14ac:dyDescent="0.2">
      <c r="CE779"/>
      <c r="CF779"/>
      <c r="CG779"/>
      <c r="CH779"/>
      <c r="CI779"/>
      <c r="CU779" s="42">
        <v>774</v>
      </c>
      <c r="CV779" s="115">
        <v>3</v>
      </c>
      <c r="CW779" s="115">
        <v>1.0626913437795575</v>
      </c>
      <c r="CX779" s="115" t="e">
        <v>#N/A</v>
      </c>
      <c r="CY779" s="115" t="e">
        <v>#N/A</v>
      </c>
      <c r="CZ779" s="137">
        <v>1.0626913437795575</v>
      </c>
      <c r="DA779" t="e">
        <v>#N/A</v>
      </c>
      <c r="DB779" t="str">
        <v/>
      </c>
    </row>
    <row r="780" spans="83:106" x14ac:dyDescent="0.2">
      <c r="CE780"/>
      <c r="CF780"/>
      <c r="CG780"/>
      <c r="CH780"/>
      <c r="CI780"/>
      <c r="CU780" s="42">
        <v>775</v>
      </c>
      <c r="CV780" s="115">
        <v>3</v>
      </c>
      <c r="CW780" s="115">
        <v>1.0626913437795575</v>
      </c>
      <c r="CX780" s="115" t="e">
        <v>#N/A</v>
      </c>
      <c r="CY780" s="115" t="e">
        <v>#N/A</v>
      </c>
      <c r="CZ780" s="137">
        <v>1.0626913437795575</v>
      </c>
      <c r="DA780" t="e">
        <v>#N/A</v>
      </c>
      <c r="DB780" t="str">
        <v/>
      </c>
    </row>
    <row r="781" spans="83:106" x14ac:dyDescent="0.2">
      <c r="CE781"/>
      <c r="CF781"/>
      <c r="CG781"/>
      <c r="CH781"/>
      <c r="CI781"/>
      <c r="CU781" s="42">
        <v>776</v>
      </c>
      <c r="CV781" s="115">
        <v>3</v>
      </c>
      <c r="CW781" s="115">
        <v>1.0626913437795575</v>
      </c>
      <c r="CX781" s="115" t="e">
        <v>#N/A</v>
      </c>
      <c r="CY781" s="115" t="e">
        <v>#N/A</v>
      </c>
      <c r="CZ781" s="137">
        <v>1.0626913437795575</v>
      </c>
      <c r="DA781" t="e">
        <v>#N/A</v>
      </c>
      <c r="DB781" t="str">
        <v/>
      </c>
    </row>
    <row r="782" spans="83:106" x14ac:dyDescent="0.2">
      <c r="CE782"/>
      <c r="CF782"/>
      <c r="CG782"/>
      <c r="CH782"/>
      <c r="CI782"/>
      <c r="CU782" s="42">
        <v>777</v>
      </c>
      <c r="CV782" s="115">
        <v>3</v>
      </c>
      <c r="CW782" s="115">
        <v>1.0626913437795575</v>
      </c>
      <c r="CX782" s="115" t="e">
        <v>#N/A</v>
      </c>
      <c r="CY782" s="115" t="e">
        <v>#N/A</v>
      </c>
      <c r="CZ782" s="137">
        <v>1.0626913437795575</v>
      </c>
      <c r="DA782" t="e">
        <v>#N/A</v>
      </c>
      <c r="DB782" t="str">
        <v/>
      </c>
    </row>
    <row r="783" spans="83:106" x14ac:dyDescent="0.2">
      <c r="CE783"/>
      <c r="CF783"/>
      <c r="CG783"/>
      <c r="CH783"/>
      <c r="CI783"/>
      <c r="CU783" s="42">
        <v>778</v>
      </c>
      <c r="CV783" s="115">
        <v>3</v>
      </c>
      <c r="CW783" s="115">
        <v>1.0626913437795575</v>
      </c>
      <c r="CX783" s="115" t="e">
        <v>#N/A</v>
      </c>
      <c r="CY783" s="115" t="e">
        <v>#N/A</v>
      </c>
      <c r="CZ783" s="137">
        <v>1.0626913437795575</v>
      </c>
      <c r="DA783" t="e">
        <v>#N/A</v>
      </c>
      <c r="DB783" t="str">
        <v/>
      </c>
    </row>
    <row r="784" spans="83:106" x14ac:dyDescent="0.2">
      <c r="CE784"/>
      <c r="CF784"/>
      <c r="CG784"/>
      <c r="CH784"/>
      <c r="CI784"/>
      <c r="CU784" s="42">
        <v>779</v>
      </c>
      <c r="CV784" s="115">
        <v>3</v>
      </c>
      <c r="CW784" s="115">
        <v>1.0626913437795575</v>
      </c>
      <c r="CX784" s="115" t="e">
        <v>#N/A</v>
      </c>
      <c r="CY784" s="115" t="e">
        <v>#N/A</v>
      </c>
      <c r="CZ784" s="137">
        <v>1.0626913437795575</v>
      </c>
      <c r="DA784" t="e">
        <v>#N/A</v>
      </c>
      <c r="DB784" t="str">
        <v/>
      </c>
    </row>
    <row r="785" spans="83:106" x14ac:dyDescent="0.2">
      <c r="CE785"/>
      <c r="CF785"/>
      <c r="CG785"/>
      <c r="CH785"/>
      <c r="CI785"/>
      <c r="CU785" s="42">
        <v>780</v>
      </c>
      <c r="CV785" s="115">
        <v>3</v>
      </c>
      <c r="CW785" s="115">
        <v>1.0626913437795575</v>
      </c>
      <c r="CX785" s="115" t="e">
        <v>#N/A</v>
      </c>
      <c r="CY785" s="115" t="e">
        <v>#N/A</v>
      </c>
      <c r="CZ785" s="137">
        <v>1.0626913437795575</v>
      </c>
      <c r="DA785" t="e">
        <v>#N/A</v>
      </c>
      <c r="DB785" t="str">
        <v/>
      </c>
    </row>
    <row r="786" spans="83:106" x14ac:dyDescent="0.2">
      <c r="CE786"/>
      <c r="CF786"/>
      <c r="CG786"/>
      <c r="CH786"/>
      <c r="CI786"/>
      <c r="CU786" s="42">
        <v>781</v>
      </c>
      <c r="CV786" s="115">
        <v>3</v>
      </c>
      <c r="CW786" s="115">
        <v>1.0626913437795575</v>
      </c>
      <c r="CX786" s="115" t="e">
        <v>#N/A</v>
      </c>
      <c r="CY786" s="115" t="e">
        <v>#N/A</v>
      </c>
      <c r="CZ786" s="137">
        <v>1.0626913437795575</v>
      </c>
      <c r="DA786" t="e">
        <v>#N/A</v>
      </c>
      <c r="DB786" t="str">
        <v/>
      </c>
    </row>
    <row r="787" spans="83:106" x14ac:dyDescent="0.2">
      <c r="CE787"/>
      <c r="CF787"/>
      <c r="CG787"/>
      <c r="CH787"/>
      <c r="CI787"/>
      <c r="CU787" s="42">
        <v>782</v>
      </c>
      <c r="CV787" s="115">
        <v>3</v>
      </c>
      <c r="CW787" s="115">
        <v>1.0626913437795575</v>
      </c>
      <c r="CX787" s="115" t="e">
        <v>#N/A</v>
      </c>
      <c r="CY787" s="115" t="e">
        <v>#N/A</v>
      </c>
      <c r="CZ787" s="137">
        <v>1.0626913437795575</v>
      </c>
      <c r="DA787" t="e">
        <v>#N/A</v>
      </c>
      <c r="DB787" t="str">
        <v/>
      </c>
    </row>
    <row r="788" spans="83:106" x14ac:dyDescent="0.2">
      <c r="CE788"/>
      <c r="CF788"/>
      <c r="CG788"/>
      <c r="CH788"/>
      <c r="CI788"/>
      <c r="CU788" s="42">
        <v>783</v>
      </c>
      <c r="CV788" s="115">
        <v>3</v>
      </c>
      <c r="CW788" s="115">
        <v>1.0626913437795575</v>
      </c>
      <c r="CX788" s="115" t="e">
        <v>#N/A</v>
      </c>
      <c r="CY788" s="115" t="e">
        <v>#N/A</v>
      </c>
      <c r="CZ788" s="137">
        <v>1.0626913437795575</v>
      </c>
      <c r="DA788" t="e">
        <v>#N/A</v>
      </c>
      <c r="DB788" t="str">
        <v/>
      </c>
    </row>
    <row r="789" spans="83:106" x14ac:dyDescent="0.2">
      <c r="CE789"/>
      <c r="CF789"/>
      <c r="CG789"/>
      <c r="CH789"/>
      <c r="CI789"/>
      <c r="CU789" s="42">
        <v>784</v>
      </c>
      <c r="CV789" s="115">
        <v>3</v>
      </c>
      <c r="CW789" s="115">
        <v>1.0626913437795575</v>
      </c>
      <c r="CX789" s="115" t="e">
        <v>#N/A</v>
      </c>
      <c r="CY789" s="115" t="e">
        <v>#N/A</v>
      </c>
      <c r="CZ789" s="137">
        <v>1.0626913437795575</v>
      </c>
      <c r="DA789" t="e">
        <v>#N/A</v>
      </c>
      <c r="DB789" t="str">
        <v/>
      </c>
    </row>
    <row r="790" spans="83:106" x14ac:dyDescent="0.2">
      <c r="CE790"/>
      <c r="CF790"/>
      <c r="CG790"/>
      <c r="CH790"/>
      <c r="CI790"/>
      <c r="CU790" s="42">
        <v>785</v>
      </c>
      <c r="CV790" s="115">
        <v>3</v>
      </c>
      <c r="CW790" s="115">
        <v>1.0626913437795575</v>
      </c>
      <c r="CX790" s="115" t="e">
        <v>#N/A</v>
      </c>
      <c r="CY790" s="115" t="e">
        <v>#N/A</v>
      </c>
      <c r="CZ790" s="137">
        <v>1.0626913437795575</v>
      </c>
      <c r="DA790" t="e">
        <v>#N/A</v>
      </c>
      <c r="DB790" t="str">
        <v/>
      </c>
    </row>
    <row r="791" spans="83:106" x14ac:dyDescent="0.2">
      <c r="CE791"/>
      <c r="CF791"/>
      <c r="CG791"/>
      <c r="CH791"/>
      <c r="CI791"/>
      <c r="CU791" s="42">
        <v>786</v>
      </c>
      <c r="CV791" s="115">
        <v>3</v>
      </c>
      <c r="CW791" s="115">
        <v>1.0626913437795575</v>
      </c>
      <c r="CX791" s="115" t="e">
        <v>#N/A</v>
      </c>
      <c r="CY791" s="115" t="e">
        <v>#N/A</v>
      </c>
      <c r="CZ791" s="137">
        <v>1.0626913437795575</v>
      </c>
      <c r="DA791" t="e">
        <v>#N/A</v>
      </c>
      <c r="DB791" t="str">
        <v/>
      </c>
    </row>
    <row r="792" spans="83:106" x14ac:dyDescent="0.2">
      <c r="CE792"/>
      <c r="CF792"/>
      <c r="CG792"/>
      <c r="CH792"/>
      <c r="CI792"/>
      <c r="CU792" s="42">
        <v>787</v>
      </c>
      <c r="CV792" s="115">
        <v>3</v>
      </c>
      <c r="CW792" s="115">
        <v>1.0626913437795575</v>
      </c>
      <c r="CX792" s="115" t="e">
        <v>#N/A</v>
      </c>
      <c r="CY792" s="115" t="e">
        <v>#N/A</v>
      </c>
      <c r="CZ792" s="137">
        <v>1.0626913437795575</v>
      </c>
      <c r="DA792" t="e">
        <v>#N/A</v>
      </c>
      <c r="DB792" t="str">
        <v/>
      </c>
    </row>
    <row r="793" spans="83:106" x14ac:dyDescent="0.2">
      <c r="CE793"/>
      <c r="CF793"/>
      <c r="CG793"/>
      <c r="CH793"/>
      <c r="CI793"/>
      <c r="CU793" s="42">
        <v>788</v>
      </c>
      <c r="CV793" s="115">
        <v>3</v>
      </c>
      <c r="CW793" s="115">
        <v>1.0626913437795575</v>
      </c>
      <c r="CX793" s="115" t="e">
        <v>#N/A</v>
      </c>
      <c r="CY793" s="115" t="e">
        <v>#N/A</v>
      </c>
      <c r="CZ793" s="137">
        <v>1.0626913437795575</v>
      </c>
      <c r="DA793" t="e">
        <v>#N/A</v>
      </c>
      <c r="DB793" t="str">
        <v/>
      </c>
    </row>
    <row r="794" spans="83:106" x14ac:dyDescent="0.2">
      <c r="CE794"/>
      <c r="CF794"/>
      <c r="CG794"/>
      <c r="CH794"/>
      <c r="CI794"/>
      <c r="CU794" s="42">
        <v>789</v>
      </c>
      <c r="CV794" s="115">
        <v>3</v>
      </c>
      <c r="CW794" s="115">
        <v>1.0626913437795575</v>
      </c>
      <c r="CX794" s="115" t="e">
        <v>#N/A</v>
      </c>
      <c r="CY794" s="115" t="e">
        <v>#N/A</v>
      </c>
      <c r="CZ794" s="137">
        <v>1.0626913437795575</v>
      </c>
      <c r="DA794" t="e">
        <v>#N/A</v>
      </c>
      <c r="DB794" t="str">
        <v/>
      </c>
    </row>
    <row r="795" spans="83:106" x14ac:dyDescent="0.2">
      <c r="CE795"/>
      <c r="CF795"/>
      <c r="CG795"/>
      <c r="CH795"/>
      <c r="CI795"/>
      <c r="CU795" s="42">
        <v>790</v>
      </c>
      <c r="CV795" s="115">
        <v>3</v>
      </c>
      <c r="CW795" s="115">
        <v>1.0626913437795575</v>
      </c>
      <c r="CX795" s="115" t="e">
        <v>#N/A</v>
      </c>
      <c r="CY795" s="115" t="e">
        <v>#N/A</v>
      </c>
      <c r="CZ795" s="137">
        <v>1.0626913437795575</v>
      </c>
      <c r="DA795" t="e">
        <v>#N/A</v>
      </c>
      <c r="DB795" t="str">
        <v/>
      </c>
    </row>
    <row r="796" spans="83:106" x14ac:dyDescent="0.2">
      <c r="CE796"/>
      <c r="CF796"/>
      <c r="CG796"/>
      <c r="CH796"/>
      <c r="CI796"/>
      <c r="CU796" s="42">
        <v>791</v>
      </c>
      <c r="CV796" s="115">
        <v>3</v>
      </c>
      <c r="CW796" s="115">
        <v>1.0626913437795575</v>
      </c>
      <c r="CX796" s="115" t="e">
        <v>#N/A</v>
      </c>
      <c r="CY796" s="115" t="e">
        <v>#N/A</v>
      </c>
      <c r="CZ796" s="137">
        <v>1.0626913437795575</v>
      </c>
      <c r="DA796" t="e">
        <v>#N/A</v>
      </c>
      <c r="DB796" t="str">
        <v/>
      </c>
    </row>
    <row r="797" spans="83:106" x14ac:dyDescent="0.2">
      <c r="CE797"/>
      <c r="CF797"/>
      <c r="CG797"/>
      <c r="CH797"/>
      <c r="CI797"/>
      <c r="CU797" s="42">
        <v>792</v>
      </c>
      <c r="CV797" s="115">
        <v>3</v>
      </c>
      <c r="CW797" s="115">
        <v>1.0626913437795575</v>
      </c>
      <c r="CX797" s="115" t="e">
        <v>#N/A</v>
      </c>
      <c r="CY797" s="115" t="e">
        <v>#N/A</v>
      </c>
      <c r="CZ797" s="137">
        <v>1.0626913437795575</v>
      </c>
      <c r="DA797" t="e">
        <v>#N/A</v>
      </c>
      <c r="DB797" t="str">
        <v/>
      </c>
    </row>
    <row r="798" spans="83:106" x14ac:dyDescent="0.2">
      <c r="CE798"/>
      <c r="CF798"/>
      <c r="CG798"/>
      <c r="CH798"/>
      <c r="CI798"/>
      <c r="CU798" s="42">
        <v>793</v>
      </c>
      <c r="CV798" s="115">
        <v>3</v>
      </c>
      <c r="CW798" s="115">
        <v>1.0626913437795575</v>
      </c>
      <c r="CX798" s="115" t="e">
        <v>#N/A</v>
      </c>
      <c r="CY798" s="115" t="e">
        <v>#N/A</v>
      </c>
      <c r="CZ798" s="137">
        <v>1.0626913437795575</v>
      </c>
      <c r="DA798" t="e">
        <v>#N/A</v>
      </c>
      <c r="DB798" t="str">
        <v/>
      </c>
    </row>
    <row r="799" spans="83:106" x14ac:dyDescent="0.2">
      <c r="CE799"/>
      <c r="CF799"/>
      <c r="CG799"/>
      <c r="CH799"/>
      <c r="CI799"/>
      <c r="CU799" s="42">
        <v>794</v>
      </c>
      <c r="CV799" s="115">
        <v>3</v>
      </c>
      <c r="CW799" s="115">
        <v>1.0626913437795575</v>
      </c>
      <c r="CX799" s="115" t="e">
        <v>#N/A</v>
      </c>
      <c r="CY799" s="115" t="e">
        <v>#N/A</v>
      </c>
      <c r="CZ799" s="137">
        <v>1.0626913437795575</v>
      </c>
      <c r="DA799" t="e">
        <v>#N/A</v>
      </c>
      <c r="DB799" t="str">
        <v/>
      </c>
    </row>
    <row r="800" spans="83:106" x14ac:dyDescent="0.2">
      <c r="CE800"/>
      <c r="CF800"/>
      <c r="CG800"/>
      <c r="CH800"/>
      <c r="CI800"/>
      <c r="CU800" s="42">
        <v>795</v>
      </c>
      <c r="CV800" s="115">
        <v>3</v>
      </c>
      <c r="CW800" s="115">
        <v>1.0626913437795575</v>
      </c>
      <c r="CX800" s="115" t="e">
        <v>#N/A</v>
      </c>
      <c r="CY800" s="115" t="e">
        <v>#N/A</v>
      </c>
      <c r="CZ800" s="137">
        <v>1.0626913437795575</v>
      </c>
      <c r="DA800" t="e">
        <v>#N/A</v>
      </c>
      <c r="DB800" t="str">
        <v/>
      </c>
    </row>
    <row r="801" spans="83:106" x14ac:dyDescent="0.2">
      <c r="CE801"/>
      <c r="CF801"/>
      <c r="CG801"/>
      <c r="CH801"/>
      <c r="CI801"/>
      <c r="CU801" s="42">
        <v>796</v>
      </c>
      <c r="CV801" s="115">
        <v>3</v>
      </c>
      <c r="CW801" s="115">
        <v>1.0626913437795575</v>
      </c>
      <c r="CX801" s="115" t="e">
        <v>#N/A</v>
      </c>
      <c r="CY801" s="115" t="e">
        <v>#N/A</v>
      </c>
      <c r="CZ801" s="137">
        <v>1.0626913437795575</v>
      </c>
      <c r="DA801" t="e">
        <v>#N/A</v>
      </c>
      <c r="DB801" t="str">
        <v/>
      </c>
    </row>
    <row r="802" spans="83:106" x14ac:dyDescent="0.2">
      <c r="CE802"/>
      <c r="CF802"/>
      <c r="CG802"/>
      <c r="CH802"/>
      <c r="CI802"/>
      <c r="CU802" s="42">
        <v>797</v>
      </c>
      <c r="CV802" s="115">
        <v>3</v>
      </c>
      <c r="CW802" s="115">
        <v>1.0626913437795575</v>
      </c>
      <c r="CX802" s="115" t="e">
        <v>#N/A</v>
      </c>
      <c r="CY802" s="115" t="e">
        <v>#N/A</v>
      </c>
      <c r="CZ802" s="137">
        <v>1.0626913437795575</v>
      </c>
      <c r="DA802" t="e">
        <v>#N/A</v>
      </c>
      <c r="DB802" t="str">
        <v/>
      </c>
    </row>
    <row r="803" spans="83:106" x14ac:dyDescent="0.2">
      <c r="CE803"/>
      <c r="CF803"/>
      <c r="CG803"/>
      <c r="CH803"/>
      <c r="CI803"/>
      <c r="CU803" s="42">
        <v>798</v>
      </c>
      <c r="CV803" s="115">
        <v>3</v>
      </c>
      <c r="CW803" s="115">
        <v>1.0626913437795575</v>
      </c>
      <c r="CX803" s="115" t="e">
        <v>#N/A</v>
      </c>
      <c r="CY803" s="115" t="e">
        <v>#N/A</v>
      </c>
      <c r="CZ803" s="137">
        <v>1.0626913437795575</v>
      </c>
      <c r="DA803" t="e">
        <v>#N/A</v>
      </c>
      <c r="DB803" t="str">
        <v/>
      </c>
    </row>
    <row r="804" spans="83:106" x14ac:dyDescent="0.2">
      <c r="CE804"/>
      <c r="CF804"/>
      <c r="CG804"/>
      <c r="CH804"/>
      <c r="CI804"/>
      <c r="CU804" s="42">
        <v>799</v>
      </c>
      <c r="CV804" s="115">
        <v>3</v>
      </c>
      <c r="CW804" s="115">
        <v>1.0626913437795575</v>
      </c>
      <c r="CX804" s="115" t="e">
        <v>#N/A</v>
      </c>
      <c r="CY804" s="115" t="e">
        <v>#N/A</v>
      </c>
      <c r="CZ804" s="137">
        <v>1.0626913437795575</v>
      </c>
      <c r="DA804" t="e">
        <v>#N/A</v>
      </c>
      <c r="DB804" t="str">
        <v/>
      </c>
    </row>
    <row r="805" spans="83:106" x14ac:dyDescent="0.2">
      <c r="CE805"/>
      <c r="CF805"/>
      <c r="CG805"/>
      <c r="CH805"/>
      <c r="CI805"/>
      <c r="CU805" s="42">
        <v>800</v>
      </c>
      <c r="CV805" s="115">
        <v>3</v>
      </c>
      <c r="CW805" s="115">
        <v>1.0626913437795575</v>
      </c>
      <c r="CX805" s="115" t="e">
        <v>#N/A</v>
      </c>
      <c r="CY805" s="115" t="e">
        <v>#N/A</v>
      </c>
      <c r="CZ805" s="137">
        <v>1.0626913437795575</v>
      </c>
      <c r="DA805" t="e">
        <v>#N/A</v>
      </c>
      <c r="DB805" t="str">
        <v/>
      </c>
    </row>
    <row r="806" spans="83:106" x14ac:dyDescent="0.2">
      <c r="CE806"/>
      <c r="CF806"/>
      <c r="CG806"/>
      <c r="CH806"/>
      <c r="CI806"/>
      <c r="CU806" s="42">
        <v>801</v>
      </c>
      <c r="CV806" s="115">
        <v>3</v>
      </c>
      <c r="CW806" s="115">
        <v>1.0626913437795575</v>
      </c>
      <c r="CX806" s="115" t="e">
        <v>#N/A</v>
      </c>
      <c r="CY806" s="115" t="e">
        <v>#N/A</v>
      </c>
      <c r="CZ806" s="137">
        <v>1.0626913437795575</v>
      </c>
      <c r="DA806" t="e">
        <v>#N/A</v>
      </c>
      <c r="DB806" t="str">
        <v/>
      </c>
    </row>
    <row r="807" spans="83:106" x14ac:dyDescent="0.2">
      <c r="CE807"/>
      <c r="CF807"/>
      <c r="CG807"/>
      <c r="CH807"/>
      <c r="CI807"/>
      <c r="CU807" s="42">
        <v>802</v>
      </c>
      <c r="CV807" s="115">
        <v>3</v>
      </c>
      <c r="CW807" s="115">
        <v>1.0626913437795575</v>
      </c>
      <c r="CX807" s="115" t="e">
        <v>#N/A</v>
      </c>
      <c r="CY807" s="115" t="e">
        <v>#N/A</v>
      </c>
      <c r="CZ807" s="137">
        <v>1.0626913437795575</v>
      </c>
      <c r="DA807" t="e">
        <v>#N/A</v>
      </c>
      <c r="DB807" t="str">
        <v/>
      </c>
    </row>
    <row r="808" spans="83:106" x14ac:dyDescent="0.2">
      <c r="CE808"/>
      <c r="CF808"/>
      <c r="CG808"/>
      <c r="CH808"/>
      <c r="CI808"/>
      <c r="CU808" s="42">
        <v>803</v>
      </c>
      <c r="CV808" s="115">
        <v>3</v>
      </c>
      <c r="CW808" s="115">
        <v>1.0626913437795575</v>
      </c>
      <c r="CX808" s="115" t="e">
        <v>#N/A</v>
      </c>
      <c r="CY808" s="115" t="e">
        <v>#N/A</v>
      </c>
      <c r="CZ808" s="137">
        <v>1.0626913437795575</v>
      </c>
      <c r="DA808" t="e">
        <v>#N/A</v>
      </c>
      <c r="DB808" t="str">
        <v/>
      </c>
    </row>
    <row r="809" spans="83:106" x14ac:dyDescent="0.2">
      <c r="CE809"/>
      <c r="CF809"/>
      <c r="CG809"/>
      <c r="CH809"/>
      <c r="CI809"/>
      <c r="CU809" s="42">
        <v>804</v>
      </c>
      <c r="CV809" s="115">
        <v>3</v>
      </c>
      <c r="CW809" s="115">
        <v>1.0626913437795575</v>
      </c>
      <c r="CX809" s="115" t="e">
        <v>#N/A</v>
      </c>
      <c r="CY809" s="115" t="e">
        <v>#N/A</v>
      </c>
      <c r="CZ809" s="137">
        <v>1.0626913437795575</v>
      </c>
      <c r="DA809" t="e">
        <v>#N/A</v>
      </c>
      <c r="DB809" t="str">
        <v/>
      </c>
    </row>
    <row r="810" spans="83:106" x14ac:dyDescent="0.2">
      <c r="CE810"/>
      <c r="CF810"/>
      <c r="CG810"/>
      <c r="CH810"/>
      <c r="CI810"/>
      <c r="CU810" s="42">
        <v>805</v>
      </c>
      <c r="CV810" s="115">
        <v>3</v>
      </c>
      <c r="CW810" s="115">
        <v>1.0626913437795575</v>
      </c>
      <c r="CX810" s="115" t="e">
        <v>#N/A</v>
      </c>
      <c r="CY810" s="115" t="e">
        <v>#N/A</v>
      </c>
      <c r="CZ810" s="137">
        <v>1.0626913437795575</v>
      </c>
      <c r="DA810" t="e">
        <v>#N/A</v>
      </c>
      <c r="DB810" t="str">
        <v/>
      </c>
    </row>
    <row r="811" spans="83:106" x14ac:dyDescent="0.2">
      <c r="CE811"/>
      <c r="CF811"/>
      <c r="CG811"/>
      <c r="CH811"/>
      <c r="CI811"/>
      <c r="CU811" s="42">
        <v>806</v>
      </c>
      <c r="CV811" s="115">
        <v>3</v>
      </c>
      <c r="CW811" s="115">
        <v>1.0626913437795575</v>
      </c>
      <c r="CX811" s="115" t="e">
        <v>#N/A</v>
      </c>
      <c r="CY811" s="115" t="e">
        <v>#N/A</v>
      </c>
      <c r="CZ811" s="137">
        <v>1.0626913437795575</v>
      </c>
      <c r="DA811" t="e">
        <v>#N/A</v>
      </c>
      <c r="DB811" t="str">
        <v/>
      </c>
    </row>
    <row r="812" spans="83:106" x14ac:dyDescent="0.2">
      <c r="CE812"/>
      <c r="CF812"/>
      <c r="CG812"/>
      <c r="CH812"/>
      <c r="CI812"/>
      <c r="CU812" s="42">
        <v>807</v>
      </c>
      <c r="CV812" s="115">
        <v>3</v>
      </c>
      <c r="CW812" s="115">
        <v>1.0626913437795575</v>
      </c>
      <c r="CX812" s="115" t="e">
        <v>#N/A</v>
      </c>
      <c r="CY812" s="115" t="e">
        <v>#N/A</v>
      </c>
      <c r="CZ812" s="137">
        <v>1.0626913437795575</v>
      </c>
      <c r="DA812" t="e">
        <v>#N/A</v>
      </c>
      <c r="DB812" t="str">
        <v/>
      </c>
    </row>
    <row r="813" spans="83:106" x14ac:dyDescent="0.2">
      <c r="CE813"/>
      <c r="CF813"/>
      <c r="CG813"/>
      <c r="CH813"/>
      <c r="CI813"/>
      <c r="CU813" s="42">
        <v>808</v>
      </c>
      <c r="CV813" s="115">
        <v>3</v>
      </c>
      <c r="CW813" s="115">
        <v>1.0626913437795575</v>
      </c>
      <c r="CX813" s="115" t="e">
        <v>#N/A</v>
      </c>
      <c r="CY813" s="115" t="e">
        <v>#N/A</v>
      </c>
      <c r="CZ813" s="137">
        <v>1.0626913437795575</v>
      </c>
      <c r="DA813" t="e">
        <v>#N/A</v>
      </c>
      <c r="DB813" t="str">
        <v/>
      </c>
    </row>
    <row r="814" spans="83:106" x14ac:dyDescent="0.2">
      <c r="CE814"/>
      <c r="CF814"/>
      <c r="CG814"/>
      <c r="CH814"/>
      <c r="CI814"/>
      <c r="CU814" s="42">
        <v>809</v>
      </c>
      <c r="CV814" s="115">
        <v>3</v>
      </c>
      <c r="CW814" s="115">
        <v>1.0626913437795575</v>
      </c>
      <c r="CX814" s="115" t="e">
        <v>#N/A</v>
      </c>
      <c r="CY814" s="115" t="e">
        <v>#N/A</v>
      </c>
      <c r="CZ814" s="137">
        <v>1.0626913437795575</v>
      </c>
      <c r="DA814" t="e">
        <v>#N/A</v>
      </c>
      <c r="DB814" t="str">
        <v/>
      </c>
    </row>
    <row r="815" spans="83:106" x14ac:dyDescent="0.2">
      <c r="CE815"/>
      <c r="CF815"/>
      <c r="CG815"/>
      <c r="CH815"/>
      <c r="CI815"/>
      <c r="CU815" s="42">
        <v>810</v>
      </c>
      <c r="CV815" s="115">
        <v>3</v>
      </c>
      <c r="CW815" s="115">
        <v>1.0626913437795575</v>
      </c>
      <c r="CX815" s="115" t="e">
        <v>#N/A</v>
      </c>
      <c r="CY815" s="115" t="e">
        <v>#N/A</v>
      </c>
      <c r="CZ815" s="137">
        <v>1.0626913437795575</v>
      </c>
      <c r="DA815" t="e">
        <v>#N/A</v>
      </c>
      <c r="DB815" t="str">
        <v/>
      </c>
    </row>
    <row r="816" spans="83:106" x14ac:dyDescent="0.2">
      <c r="CE816"/>
      <c r="CF816"/>
      <c r="CG816"/>
      <c r="CH816"/>
      <c r="CI816"/>
      <c r="CU816" s="42">
        <v>811</v>
      </c>
      <c r="CV816" s="115">
        <v>3</v>
      </c>
      <c r="CW816" s="115">
        <v>1.0626913437795575</v>
      </c>
      <c r="CX816" s="115" t="e">
        <v>#N/A</v>
      </c>
      <c r="CY816" s="115" t="e">
        <v>#N/A</v>
      </c>
      <c r="CZ816" s="137">
        <v>1.0626913437795575</v>
      </c>
      <c r="DA816" t="e">
        <v>#N/A</v>
      </c>
      <c r="DB816" t="str">
        <v/>
      </c>
    </row>
    <row r="817" spans="83:106" x14ac:dyDescent="0.2">
      <c r="CE817"/>
      <c r="CF817"/>
      <c r="CG817"/>
      <c r="CH817"/>
      <c r="CI817"/>
      <c r="CU817" s="42">
        <v>812</v>
      </c>
      <c r="CV817" s="115">
        <v>3</v>
      </c>
      <c r="CW817" s="115">
        <v>1.0626913437795575</v>
      </c>
      <c r="CX817" s="115" t="e">
        <v>#N/A</v>
      </c>
      <c r="CY817" s="115" t="e">
        <v>#N/A</v>
      </c>
      <c r="CZ817" s="137">
        <v>1.0626913437795575</v>
      </c>
      <c r="DA817" t="e">
        <v>#N/A</v>
      </c>
      <c r="DB817" t="str">
        <v/>
      </c>
    </row>
    <row r="818" spans="83:106" x14ac:dyDescent="0.2">
      <c r="CE818"/>
      <c r="CF818"/>
      <c r="CG818"/>
      <c r="CH818"/>
      <c r="CI818"/>
      <c r="CU818" s="42">
        <v>813</v>
      </c>
      <c r="CV818" s="115">
        <v>3</v>
      </c>
      <c r="CW818" s="115">
        <v>1.0626913437795575</v>
      </c>
      <c r="CX818" s="115" t="e">
        <v>#N/A</v>
      </c>
      <c r="CY818" s="115" t="e">
        <v>#N/A</v>
      </c>
      <c r="CZ818" s="137">
        <v>1.0626913437795575</v>
      </c>
      <c r="DA818" t="e">
        <v>#N/A</v>
      </c>
      <c r="DB818" t="str">
        <v/>
      </c>
    </row>
    <row r="819" spans="83:106" x14ac:dyDescent="0.2">
      <c r="CE819"/>
      <c r="CF819"/>
      <c r="CG819"/>
      <c r="CH819"/>
      <c r="CI819"/>
      <c r="CU819" s="42">
        <v>814</v>
      </c>
      <c r="CV819" s="115">
        <v>3</v>
      </c>
      <c r="CW819" s="115">
        <v>1.0626913437795575</v>
      </c>
      <c r="CX819" s="115" t="e">
        <v>#N/A</v>
      </c>
      <c r="CY819" s="115" t="e">
        <v>#N/A</v>
      </c>
      <c r="CZ819" s="137">
        <v>1.0626913437795575</v>
      </c>
      <c r="DA819" t="e">
        <v>#N/A</v>
      </c>
      <c r="DB819" t="str">
        <v/>
      </c>
    </row>
    <row r="820" spans="83:106" x14ac:dyDescent="0.2">
      <c r="CE820"/>
      <c r="CF820"/>
      <c r="CG820"/>
      <c r="CH820"/>
      <c r="CI820"/>
      <c r="CU820" s="42">
        <v>815</v>
      </c>
      <c r="CV820" s="115">
        <v>3</v>
      </c>
      <c r="CW820" s="115">
        <v>1.0626913437795575</v>
      </c>
      <c r="CX820" s="115" t="e">
        <v>#N/A</v>
      </c>
      <c r="CY820" s="115" t="e">
        <v>#N/A</v>
      </c>
      <c r="CZ820" s="137">
        <v>1.0626913437795575</v>
      </c>
      <c r="DA820" t="e">
        <v>#N/A</v>
      </c>
      <c r="DB820" t="str">
        <v/>
      </c>
    </row>
    <row r="821" spans="83:106" x14ac:dyDescent="0.2">
      <c r="CE821"/>
      <c r="CF821"/>
      <c r="CG821"/>
      <c r="CH821"/>
      <c r="CI821"/>
      <c r="CU821" s="42">
        <v>816</v>
      </c>
      <c r="CV821" s="115">
        <v>3</v>
      </c>
      <c r="CW821" s="115">
        <v>1.0626913437795575</v>
      </c>
      <c r="CX821" s="115" t="e">
        <v>#N/A</v>
      </c>
      <c r="CY821" s="115" t="e">
        <v>#N/A</v>
      </c>
      <c r="CZ821" s="137">
        <v>1.0626913437795575</v>
      </c>
      <c r="DA821" t="e">
        <v>#N/A</v>
      </c>
      <c r="DB821" t="str">
        <v/>
      </c>
    </row>
    <row r="822" spans="83:106" x14ac:dyDescent="0.2">
      <c r="CE822"/>
      <c r="CF822"/>
      <c r="CG822"/>
      <c r="CH822"/>
      <c r="CI822"/>
      <c r="CU822" s="42">
        <v>817</v>
      </c>
      <c r="CV822" s="115">
        <v>3</v>
      </c>
      <c r="CW822" s="115">
        <v>1.0626913437795575</v>
      </c>
      <c r="CX822" s="115" t="e">
        <v>#N/A</v>
      </c>
      <c r="CY822" s="115" t="e">
        <v>#N/A</v>
      </c>
      <c r="CZ822" s="137">
        <v>1.0626913437795575</v>
      </c>
      <c r="DA822" t="e">
        <v>#N/A</v>
      </c>
      <c r="DB822" t="str">
        <v/>
      </c>
    </row>
    <row r="823" spans="83:106" x14ac:dyDescent="0.2">
      <c r="CE823"/>
      <c r="CF823"/>
      <c r="CG823"/>
      <c r="CH823"/>
      <c r="CI823"/>
      <c r="CU823" s="42">
        <v>818</v>
      </c>
      <c r="CV823" s="115">
        <v>3</v>
      </c>
      <c r="CW823" s="115">
        <v>1.0626913437795575</v>
      </c>
      <c r="CX823" s="115" t="e">
        <v>#N/A</v>
      </c>
      <c r="CY823" s="115" t="e">
        <v>#N/A</v>
      </c>
      <c r="CZ823" s="137">
        <v>1.0626913437795575</v>
      </c>
      <c r="DA823" t="e">
        <v>#N/A</v>
      </c>
      <c r="DB823" t="str">
        <v/>
      </c>
    </row>
    <row r="824" spans="83:106" x14ac:dyDescent="0.2">
      <c r="CE824"/>
      <c r="CF824"/>
      <c r="CG824"/>
      <c r="CH824"/>
      <c r="CI824"/>
      <c r="CU824" s="42">
        <v>819</v>
      </c>
      <c r="CV824" s="115">
        <v>3</v>
      </c>
      <c r="CW824" s="115">
        <v>1.0626913437795575</v>
      </c>
      <c r="CX824" s="115" t="e">
        <v>#N/A</v>
      </c>
      <c r="CY824" s="115" t="e">
        <v>#N/A</v>
      </c>
      <c r="CZ824" s="137">
        <v>1.0626913437795575</v>
      </c>
      <c r="DA824" t="e">
        <v>#N/A</v>
      </c>
      <c r="DB824" t="str">
        <v/>
      </c>
    </row>
    <row r="825" spans="83:106" x14ac:dyDescent="0.2">
      <c r="CE825"/>
      <c r="CF825"/>
      <c r="CG825"/>
      <c r="CH825"/>
      <c r="CI825"/>
      <c r="CU825" s="42">
        <v>820</v>
      </c>
      <c r="CV825" s="115">
        <v>3</v>
      </c>
      <c r="CW825" s="115">
        <v>1.0626913437795575</v>
      </c>
      <c r="CX825" s="115" t="e">
        <v>#N/A</v>
      </c>
      <c r="CY825" s="115" t="e">
        <v>#N/A</v>
      </c>
      <c r="CZ825" s="137">
        <v>1.0626913437795575</v>
      </c>
      <c r="DA825" t="e">
        <v>#N/A</v>
      </c>
      <c r="DB825" t="str">
        <v/>
      </c>
    </row>
    <row r="826" spans="83:106" x14ac:dyDescent="0.2">
      <c r="CE826"/>
      <c r="CF826"/>
      <c r="CG826"/>
      <c r="CH826"/>
      <c r="CI826"/>
      <c r="CU826" s="42">
        <v>821</v>
      </c>
      <c r="CV826" s="115">
        <v>3</v>
      </c>
      <c r="CW826" s="115">
        <v>1.0626913437795575</v>
      </c>
      <c r="CX826" s="115" t="e">
        <v>#N/A</v>
      </c>
      <c r="CY826" s="115" t="e">
        <v>#N/A</v>
      </c>
      <c r="CZ826" s="137">
        <v>1.0626913437795575</v>
      </c>
      <c r="DA826" t="e">
        <v>#N/A</v>
      </c>
      <c r="DB826" t="str">
        <v/>
      </c>
    </row>
    <row r="827" spans="83:106" x14ac:dyDescent="0.2">
      <c r="CE827"/>
      <c r="CF827"/>
      <c r="CG827"/>
      <c r="CH827"/>
      <c r="CI827"/>
      <c r="CU827" s="42">
        <v>822</v>
      </c>
      <c r="CV827" s="115">
        <v>3</v>
      </c>
      <c r="CW827" s="115">
        <v>1.0626913437795575</v>
      </c>
      <c r="CX827" s="115" t="e">
        <v>#N/A</v>
      </c>
      <c r="CY827" s="115" t="e">
        <v>#N/A</v>
      </c>
      <c r="CZ827" s="137">
        <v>1.0626913437795575</v>
      </c>
      <c r="DA827" t="e">
        <v>#N/A</v>
      </c>
      <c r="DB827" t="str">
        <v/>
      </c>
    </row>
    <row r="828" spans="83:106" x14ac:dyDescent="0.2">
      <c r="CE828"/>
      <c r="CF828"/>
      <c r="CG828"/>
      <c r="CH828"/>
      <c r="CI828"/>
      <c r="CU828" s="42">
        <v>823</v>
      </c>
      <c r="CV828" s="115">
        <v>3</v>
      </c>
      <c r="CW828" s="115">
        <v>1.0626913437795575</v>
      </c>
      <c r="CX828" s="115" t="e">
        <v>#N/A</v>
      </c>
      <c r="CY828" s="115" t="e">
        <v>#N/A</v>
      </c>
      <c r="CZ828" s="137">
        <v>1.0626913437795575</v>
      </c>
      <c r="DA828" t="e">
        <v>#N/A</v>
      </c>
      <c r="DB828" t="str">
        <v/>
      </c>
    </row>
    <row r="829" spans="83:106" x14ac:dyDescent="0.2">
      <c r="CE829"/>
      <c r="CF829"/>
      <c r="CG829"/>
      <c r="CH829"/>
      <c r="CI829"/>
      <c r="CU829" s="42">
        <v>824</v>
      </c>
      <c r="CV829" s="115">
        <v>3</v>
      </c>
      <c r="CW829" s="115">
        <v>1.0626913437795575</v>
      </c>
      <c r="CX829" s="115" t="e">
        <v>#N/A</v>
      </c>
      <c r="CY829" s="115" t="e">
        <v>#N/A</v>
      </c>
      <c r="CZ829" s="137">
        <v>1.0626913437795575</v>
      </c>
      <c r="DA829" t="e">
        <v>#N/A</v>
      </c>
      <c r="DB829" t="str">
        <v/>
      </c>
    </row>
    <row r="830" spans="83:106" x14ac:dyDescent="0.2">
      <c r="CE830"/>
      <c r="CF830"/>
      <c r="CG830"/>
      <c r="CH830"/>
      <c r="CI830"/>
      <c r="CU830" s="42">
        <v>825</v>
      </c>
      <c r="CV830" s="115">
        <v>3</v>
      </c>
      <c r="CW830" s="115">
        <v>1.0626913437795575</v>
      </c>
      <c r="CX830" s="115" t="e">
        <v>#N/A</v>
      </c>
      <c r="CY830" s="115" t="e">
        <v>#N/A</v>
      </c>
      <c r="CZ830" s="137">
        <v>1.0626913437795575</v>
      </c>
      <c r="DA830" t="e">
        <v>#N/A</v>
      </c>
      <c r="DB830" t="str">
        <v/>
      </c>
    </row>
    <row r="831" spans="83:106" x14ac:dyDescent="0.2">
      <c r="CE831"/>
      <c r="CF831"/>
      <c r="CG831"/>
      <c r="CH831"/>
      <c r="CI831"/>
      <c r="CU831" s="42">
        <v>826</v>
      </c>
      <c r="CV831" s="115">
        <v>3</v>
      </c>
      <c r="CW831" s="115">
        <v>1.0626913437795575</v>
      </c>
      <c r="CX831" s="115" t="e">
        <v>#N/A</v>
      </c>
      <c r="CY831" s="115" t="e">
        <v>#N/A</v>
      </c>
      <c r="CZ831" s="137">
        <v>1.0626913437795575</v>
      </c>
      <c r="DA831" t="e">
        <v>#N/A</v>
      </c>
      <c r="DB831" t="str">
        <v/>
      </c>
    </row>
    <row r="832" spans="83:106" x14ac:dyDescent="0.2">
      <c r="CE832"/>
      <c r="CF832"/>
      <c r="CG832"/>
      <c r="CH832"/>
      <c r="CI832"/>
      <c r="CU832" s="42">
        <v>827</v>
      </c>
      <c r="CV832" s="115">
        <v>3</v>
      </c>
      <c r="CW832" s="115">
        <v>1.0626913437795575</v>
      </c>
      <c r="CX832" s="115" t="e">
        <v>#N/A</v>
      </c>
      <c r="CY832" s="115" t="e">
        <v>#N/A</v>
      </c>
      <c r="CZ832" s="137">
        <v>1.0626913437795575</v>
      </c>
      <c r="DA832" t="e">
        <v>#N/A</v>
      </c>
      <c r="DB832" t="str">
        <v/>
      </c>
    </row>
    <row r="833" spans="83:106" x14ac:dyDescent="0.2">
      <c r="CE833"/>
      <c r="CF833"/>
      <c r="CG833"/>
      <c r="CH833"/>
      <c r="CI833"/>
      <c r="CU833" s="42">
        <v>828</v>
      </c>
      <c r="CV833" s="115">
        <v>3</v>
      </c>
      <c r="CW833" s="115">
        <v>1.0626913437795575</v>
      </c>
      <c r="CX833" s="115" t="e">
        <v>#N/A</v>
      </c>
      <c r="CY833" s="115" t="e">
        <v>#N/A</v>
      </c>
      <c r="CZ833" s="137">
        <v>1.0626913437795575</v>
      </c>
      <c r="DA833" t="e">
        <v>#N/A</v>
      </c>
      <c r="DB833" t="str">
        <v/>
      </c>
    </row>
    <row r="834" spans="83:106" x14ac:dyDescent="0.2">
      <c r="CE834"/>
      <c r="CF834"/>
      <c r="CG834"/>
      <c r="CH834"/>
      <c r="CI834"/>
      <c r="CU834" s="42">
        <v>829</v>
      </c>
      <c r="CV834" s="115">
        <v>3</v>
      </c>
      <c r="CW834" s="115">
        <v>1.0626913437795575</v>
      </c>
      <c r="CX834" s="115" t="e">
        <v>#N/A</v>
      </c>
      <c r="CY834" s="115" t="e">
        <v>#N/A</v>
      </c>
      <c r="CZ834" s="137">
        <v>1.0626913437795575</v>
      </c>
      <c r="DA834" t="e">
        <v>#N/A</v>
      </c>
      <c r="DB834" t="str">
        <v/>
      </c>
    </row>
    <row r="835" spans="83:106" x14ac:dyDescent="0.2">
      <c r="CE835"/>
      <c r="CF835"/>
      <c r="CG835"/>
      <c r="CH835"/>
      <c r="CI835"/>
      <c r="CU835" s="42">
        <v>830</v>
      </c>
      <c r="CV835" s="115">
        <v>3</v>
      </c>
      <c r="CW835" s="115">
        <v>1.0626913437795575</v>
      </c>
      <c r="CX835" s="115" t="e">
        <v>#N/A</v>
      </c>
      <c r="CY835" s="115" t="e">
        <v>#N/A</v>
      </c>
      <c r="CZ835" s="137">
        <v>1.0626913437795575</v>
      </c>
      <c r="DA835" t="e">
        <v>#N/A</v>
      </c>
      <c r="DB835" t="str">
        <v/>
      </c>
    </row>
    <row r="836" spans="83:106" x14ac:dyDescent="0.2">
      <c r="CE836"/>
      <c r="CF836"/>
      <c r="CG836"/>
      <c r="CH836"/>
      <c r="CI836"/>
      <c r="CU836" s="42">
        <v>831</v>
      </c>
      <c r="CV836" s="115">
        <v>3</v>
      </c>
      <c r="CW836" s="115">
        <v>1.0626913437795575</v>
      </c>
      <c r="CX836" s="115" t="e">
        <v>#N/A</v>
      </c>
      <c r="CY836" s="115" t="e">
        <v>#N/A</v>
      </c>
      <c r="CZ836" s="137">
        <v>1.0626913437795575</v>
      </c>
      <c r="DA836" t="e">
        <v>#N/A</v>
      </c>
      <c r="DB836" t="str">
        <v/>
      </c>
    </row>
    <row r="837" spans="83:106" x14ac:dyDescent="0.2">
      <c r="CE837"/>
      <c r="CF837"/>
      <c r="CG837"/>
      <c r="CH837"/>
      <c r="CI837"/>
      <c r="CU837" s="42">
        <v>832</v>
      </c>
      <c r="CV837" s="115">
        <v>3</v>
      </c>
      <c r="CW837" s="115">
        <v>1.0626913437795575</v>
      </c>
      <c r="CX837" s="115" t="e">
        <v>#N/A</v>
      </c>
      <c r="CY837" s="115" t="e">
        <v>#N/A</v>
      </c>
      <c r="CZ837" s="137">
        <v>1.0626913437795575</v>
      </c>
      <c r="DA837" t="e">
        <v>#N/A</v>
      </c>
      <c r="DB837" t="str">
        <v/>
      </c>
    </row>
    <row r="838" spans="83:106" x14ac:dyDescent="0.2">
      <c r="CE838"/>
      <c r="CF838"/>
      <c r="CG838"/>
      <c r="CH838"/>
      <c r="CI838"/>
      <c r="CU838" s="42">
        <v>833</v>
      </c>
      <c r="CV838" s="115">
        <v>3</v>
      </c>
      <c r="CW838" s="115">
        <v>1.0626913437795575</v>
      </c>
      <c r="CX838" s="115" t="e">
        <v>#N/A</v>
      </c>
      <c r="CY838" s="115" t="e">
        <v>#N/A</v>
      </c>
      <c r="CZ838" s="137">
        <v>1.0626913437795575</v>
      </c>
      <c r="DA838" t="e">
        <v>#N/A</v>
      </c>
      <c r="DB838" t="str">
        <v/>
      </c>
    </row>
    <row r="839" spans="83:106" x14ac:dyDescent="0.2">
      <c r="CE839"/>
      <c r="CF839"/>
      <c r="CG839"/>
      <c r="CH839"/>
      <c r="CI839"/>
      <c r="CU839" s="42">
        <v>834</v>
      </c>
      <c r="CV839" s="115">
        <v>3</v>
      </c>
      <c r="CW839" s="115">
        <v>1.0626913437795575</v>
      </c>
      <c r="CX839" s="115" t="e">
        <v>#N/A</v>
      </c>
      <c r="CY839" s="115" t="e">
        <v>#N/A</v>
      </c>
      <c r="CZ839" s="137">
        <v>1.0626913437795575</v>
      </c>
      <c r="DA839" t="e">
        <v>#N/A</v>
      </c>
      <c r="DB839" t="str">
        <v/>
      </c>
    </row>
    <row r="840" spans="83:106" x14ac:dyDescent="0.2">
      <c r="CE840"/>
      <c r="CF840"/>
      <c r="CG840"/>
      <c r="CH840"/>
      <c r="CI840"/>
      <c r="CU840" s="42">
        <v>835</v>
      </c>
      <c r="CV840" s="115">
        <v>3</v>
      </c>
      <c r="CW840" s="115">
        <v>1.0626913437795575</v>
      </c>
      <c r="CX840" s="115" t="e">
        <v>#N/A</v>
      </c>
      <c r="CY840" s="115" t="e">
        <v>#N/A</v>
      </c>
      <c r="CZ840" s="137">
        <v>1.0626913437795575</v>
      </c>
      <c r="DA840" t="e">
        <v>#N/A</v>
      </c>
      <c r="DB840" t="str">
        <v/>
      </c>
    </row>
    <row r="841" spans="83:106" x14ac:dyDescent="0.2">
      <c r="CE841"/>
      <c r="CF841"/>
      <c r="CG841"/>
      <c r="CH841"/>
      <c r="CI841"/>
      <c r="CU841" s="42">
        <v>836</v>
      </c>
      <c r="CV841" s="115">
        <v>3</v>
      </c>
      <c r="CW841" s="115">
        <v>1.0626913437795575</v>
      </c>
      <c r="CX841" s="115" t="e">
        <v>#N/A</v>
      </c>
      <c r="CY841" s="115" t="e">
        <v>#N/A</v>
      </c>
      <c r="CZ841" s="137">
        <v>1.0626913437795575</v>
      </c>
      <c r="DA841" t="e">
        <v>#N/A</v>
      </c>
      <c r="DB841" t="str">
        <v/>
      </c>
    </row>
    <row r="842" spans="83:106" x14ac:dyDescent="0.2">
      <c r="CE842"/>
      <c r="CF842"/>
      <c r="CG842"/>
      <c r="CH842"/>
      <c r="CI842"/>
      <c r="CU842" s="42">
        <v>837</v>
      </c>
      <c r="CV842" s="115">
        <v>3</v>
      </c>
      <c r="CW842" s="115">
        <v>1.0626913437795575</v>
      </c>
      <c r="CX842" s="115" t="e">
        <v>#N/A</v>
      </c>
      <c r="CY842" s="115" t="e">
        <v>#N/A</v>
      </c>
      <c r="CZ842" s="137">
        <v>1.0626913437795575</v>
      </c>
      <c r="DA842" t="e">
        <v>#N/A</v>
      </c>
      <c r="DB842" t="str">
        <v/>
      </c>
    </row>
    <row r="843" spans="83:106" x14ac:dyDescent="0.2">
      <c r="CE843"/>
      <c r="CF843"/>
      <c r="CG843"/>
      <c r="CH843"/>
      <c r="CI843"/>
      <c r="CU843" s="42">
        <v>838</v>
      </c>
      <c r="CV843" s="115">
        <v>3</v>
      </c>
      <c r="CW843" s="115">
        <v>1.0626913437795575</v>
      </c>
      <c r="CX843" s="115" t="e">
        <v>#N/A</v>
      </c>
      <c r="CY843" s="115" t="e">
        <v>#N/A</v>
      </c>
      <c r="CZ843" s="137">
        <v>1.0626913437795575</v>
      </c>
      <c r="DA843" t="e">
        <v>#N/A</v>
      </c>
      <c r="DB843" t="str">
        <v/>
      </c>
    </row>
    <row r="844" spans="83:106" x14ac:dyDescent="0.2">
      <c r="CE844"/>
      <c r="CF844"/>
      <c r="CG844"/>
      <c r="CH844"/>
      <c r="CI844"/>
      <c r="CU844" s="42">
        <v>839</v>
      </c>
      <c r="CV844" s="115">
        <v>3</v>
      </c>
      <c r="CW844" s="115">
        <v>1.0626913437795575</v>
      </c>
      <c r="CX844" s="115" t="e">
        <v>#N/A</v>
      </c>
      <c r="CY844" s="115" t="e">
        <v>#N/A</v>
      </c>
      <c r="CZ844" s="137">
        <v>1.0626913437795575</v>
      </c>
      <c r="DA844" t="e">
        <v>#N/A</v>
      </c>
      <c r="DB844" t="str">
        <v/>
      </c>
    </row>
    <row r="845" spans="83:106" x14ac:dyDescent="0.2">
      <c r="CE845"/>
      <c r="CF845"/>
      <c r="CG845"/>
      <c r="CH845"/>
      <c r="CI845"/>
      <c r="CU845" s="42">
        <v>840</v>
      </c>
      <c r="CV845" s="115">
        <v>3</v>
      </c>
      <c r="CW845" s="115">
        <v>1.0626913437795575</v>
      </c>
      <c r="CX845" s="115" t="e">
        <v>#N/A</v>
      </c>
      <c r="CY845" s="115" t="e">
        <v>#N/A</v>
      </c>
      <c r="CZ845" s="137">
        <v>1.0626913437795575</v>
      </c>
      <c r="DA845" t="e">
        <v>#N/A</v>
      </c>
      <c r="DB845" t="str">
        <v/>
      </c>
    </row>
    <row r="846" spans="83:106" x14ac:dyDescent="0.2">
      <c r="CE846"/>
      <c r="CF846"/>
      <c r="CG846"/>
      <c r="CH846"/>
      <c r="CI846"/>
      <c r="CU846" s="42">
        <v>841</v>
      </c>
      <c r="CV846" s="115">
        <v>3</v>
      </c>
      <c r="CW846" s="115">
        <v>1.0626913437795575</v>
      </c>
      <c r="CX846" s="115" t="e">
        <v>#N/A</v>
      </c>
      <c r="CY846" s="115" t="e">
        <v>#N/A</v>
      </c>
      <c r="CZ846" s="137">
        <v>1.0626913437795575</v>
      </c>
      <c r="DA846" t="e">
        <v>#N/A</v>
      </c>
      <c r="DB846" t="str">
        <v/>
      </c>
    </row>
    <row r="847" spans="83:106" x14ac:dyDescent="0.2">
      <c r="CE847"/>
      <c r="CF847"/>
      <c r="CG847"/>
      <c r="CH847"/>
      <c r="CI847"/>
      <c r="CU847" s="42">
        <v>842</v>
      </c>
      <c r="CV847" s="115">
        <v>3</v>
      </c>
      <c r="CW847" s="115">
        <v>1.0626913437795575</v>
      </c>
      <c r="CX847" s="115" t="e">
        <v>#N/A</v>
      </c>
      <c r="CY847" s="115" t="e">
        <v>#N/A</v>
      </c>
      <c r="CZ847" s="137">
        <v>1.0626913437795575</v>
      </c>
      <c r="DA847" t="e">
        <v>#N/A</v>
      </c>
      <c r="DB847" t="str">
        <v/>
      </c>
    </row>
    <row r="848" spans="83:106" x14ac:dyDescent="0.2">
      <c r="CE848"/>
      <c r="CF848"/>
      <c r="CG848"/>
      <c r="CH848"/>
      <c r="CI848"/>
      <c r="CU848" s="42">
        <v>843</v>
      </c>
      <c r="CV848" s="115">
        <v>3</v>
      </c>
      <c r="CW848" s="115">
        <v>1.0626913437795575</v>
      </c>
      <c r="CX848" s="115" t="e">
        <v>#N/A</v>
      </c>
      <c r="CY848" s="115" t="e">
        <v>#N/A</v>
      </c>
      <c r="CZ848" s="137">
        <v>1.0626913437795575</v>
      </c>
      <c r="DA848" t="e">
        <v>#N/A</v>
      </c>
      <c r="DB848" t="str">
        <v/>
      </c>
    </row>
    <row r="849" spans="83:106" x14ac:dyDescent="0.2">
      <c r="CE849"/>
      <c r="CF849"/>
      <c r="CG849"/>
      <c r="CH849"/>
      <c r="CI849"/>
      <c r="CU849" s="42">
        <v>844</v>
      </c>
      <c r="CV849" s="115">
        <v>3</v>
      </c>
      <c r="CW849" s="115">
        <v>1.0626913437795575</v>
      </c>
      <c r="CX849" s="115" t="e">
        <v>#N/A</v>
      </c>
      <c r="CY849" s="115" t="e">
        <v>#N/A</v>
      </c>
      <c r="CZ849" s="137">
        <v>1.0626913437795575</v>
      </c>
      <c r="DA849" t="e">
        <v>#N/A</v>
      </c>
      <c r="DB849" t="str">
        <v/>
      </c>
    </row>
    <row r="850" spans="83:106" x14ac:dyDescent="0.2">
      <c r="CE850"/>
      <c r="CF850"/>
      <c r="CG850"/>
      <c r="CH850"/>
      <c r="CI850"/>
      <c r="CU850" s="42">
        <v>845</v>
      </c>
      <c r="CV850" s="115">
        <v>3</v>
      </c>
      <c r="CW850" s="115">
        <v>1.0626913437795575</v>
      </c>
      <c r="CX850" s="115" t="e">
        <v>#N/A</v>
      </c>
      <c r="CY850" s="115" t="e">
        <v>#N/A</v>
      </c>
      <c r="CZ850" s="137">
        <v>1.0626913437795575</v>
      </c>
      <c r="DA850" t="e">
        <v>#N/A</v>
      </c>
      <c r="DB850" t="str">
        <v/>
      </c>
    </row>
    <row r="851" spans="83:106" x14ac:dyDescent="0.2">
      <c r="CE851"/>
      <c r="CF851"/>
      <c r="CG851"/>
      <c r="CH851"/>
      <c r="CI851"/>
      <c r="CU851" s="42">
        <v>846</v>
      </c>
      <c r="CV851" s="115">
        <v>3</v>
      </c>
      <c r="CW851" s="115">
        <v>1.0626913437795575</v>
      </c>
      <c r="CX851" s="115" t="e">
        <v>#N/A</v>
      </c>
      <c r="CY851" s="115" t="e">
        <v>#N/A</v>
      </c>
      <c r="CZ851" s="137">
        <v>1.0626913437795575</v>
      </c>
      <c r="DA851" t="e">
        <v>#N/A</v>
      </c>
      <c r="DB851" t="str">
        <v/>
      </c>
    </row>
    <row r="852" spans="83:106" x14ac:dyDescent="0.2">
      <c r="CE852"/>
      <c r="CF852"/>
      <c r="CG852"/>
      <c r="CH852"/>
      <c r="CI852"/>
      <c r="CU852" s="42">
        <v>847</v>
      </c>
      <c r="CV852" s="115">
        <v>3</v>
      </c>
      <c r="CW852" s="115">
        <v>1.0626913437795575</v>
      </c>
      <c r="CX852" s="115" t="e">
        <v>#N/A</v>
      </c>
      <c r="CY852" s="115" t="e">
        <v>#N/A</v>
      </c>
      <c r="CZ852" s="137">
        <v>1.0626913437795575</v>
      </c>
      <c r="DA852" t="e">
        <v>#N/A</v>
      </c>
      <c r="DB852" t="str">
        <v/>
      </c>
    </row>
    <row r="853" spans="83:106" x14ac:dyDescent="0.2">
      <c r="CE853"/>
      <c r="CF853"/>
      <c r="CG853"/>
      <c r="CH853"/>
      <c r="CI853"/>
      <c r="CU853" s="42">
        <v>848</v>
      </c>
      <c r="CV853" s="115">
        <v>3</v>
      </c>
      <c r="CW853" s="115">
        <v>1.0626913437795575</v>
      </c>
      <c r="CX853" s="115" t="e">
        <v>#N/A</v>
      </c>
      <c r="CY853" s="115" t="e">
        <v>#N/A</v>
      </c>
      <c r="CZ853" s="137">
        <v>1.0626913437795575</v>
      </c>
      <c r="DA853" t="e">
        <v>#N/A</v>
      </c>
      <c r="DB853" t="str">
        <v/>
      </c>
    </row>
    <row r="854" spans="83:106" x14ac:dyDescent="0.2">
      <c r="CE854"/>
      <c r="CF854"/>
      <c r="CG854"/>
      <c r="CH854"/>
      <c r="CI854"/>
      <c r="CU854" s="42">
        <v>849</v>
      </c>
      <c r="CV854" s="115">
        <v>3</v>
      </c>
      <c r="CW854" s="115">
        <v>1.0626913437795575</v>
      </c>
      <c r="CX854" s="115" t="e">
        <v>#N/A</v>
      </c>
      <c r="CY854" s="115" t="e">
        <v>#N/A</v>
      </c>
      <c r="CZ854" s="137">
        <v>1.0626913437795575</v>
      </c>
      <c r="DA854" t="e">
        <v>#N/A</v>
      </c>
      <c r="DB854" t="str">
        <v/>
      </c>
    </row>
    <row r="855" spans="83:106" x14ac:dyDescent="0.2">
      <c r="CE855"/>
      <c r="CF855"/>
      <c r="CG855"/>
      <c r="CH855"/>
      <c r="CI855"/>
      <c r="CU855" s="42">
        <v>850</v>
      </c>
      <c r="CV855" s="115">
        <v>3</v>
      </c>
      <c r="CW855" s="115">
        <v>1.0626913437795575</v>
      </c>
      <c r="CX855" s="115" t="e">
        <v>#N/A</v>
      </c>
      <c r="CY855" s="115" t="e">
        <v>#N/A</v>
      </c>
      <c r="CZ855" s="137">
        <v>1.0626913437795575</v>
      </c>
      <c r="DA855" t="e">
        <v>#N/A</v>
      </c>
      <c r="DB855" t="str">
        <v/>
      </c>
    </row>
    <row r="856" spans="83:106" x14ac:dyDescent="0.2">
      <c r="CE856"/>
      <c r="CF856"/>
      <c r="CG856"/>
      <c r="CH856"/>
      <c r="CI856"/>
      <c r="CU856" s="42">
        <v>851</v>
      </c>
      <c r="CV856" s="115">
        <v>3</v>
      </c>
      <c r="CW856" s="115">
        <v>1.0626913437795575</v>
      </c>
      <c r="CX856" s="115" t="e">
        <v>#N/A</v>
      </c>
      <c r="CY856" s="115" t="e">
        <v>#N/A</v>
      </c>
      <c r="CZ856" s="137">
        <v>1.0626913437795575</v>
      </c>
      <c r="DA856" t="e">
        <v>#N/A</v>
      </c>
      <c r="DB856" t="str">
        <v/>
      </c>
    </row>
    <row r="857" spans="83:106" x14ac:dyDescent="0.2">
      <c r="CE857"/>
      <c r="CF857"/>
      <c r="CG857"/>
      <c r="CH857"/>
      <c r="CI857"/>
      <c r="CU857" s="42">
        <v>852</v>
      </c>
      <c r="CV857" s="115">
        <v>3</v>
      </c>
      <c r="CW857" s="115">
        <v>1.0626913437795575</v>
      </c>
      <c r="CX857" s="115" t="e">
        <v>#N/A</v>
      </c>
      <c r="CY857" s="115" t="e">
        <v>#N/A</v>
      </c>
      <c r="CZ857" s="137">
        <v>1.0626913437795575</v>
      </c>
      <c r="DA857" t="e">
        <v>#N/A</v>
      </c>
      <c r="DB857" t="str">
        <v/>
      </c>
    </row>
    <row r="858" spans="83:106" x14ac:dyDescent="0.2">
      <c r="CE858"/>
      <c r="CF858"/>
      <c r="CG858"/>
      <c r="CH858"/>
      <c r="CI858"/>
      <c r="CU858" s="42">
        <v>853</v>
      </c>
      <c r="CV858" s="115">
        <v>3</v>
      </c>
      <c r="CW858" s="115">
        <v>1.0626913437795575</v>
      </c>
      <c r="CX858" s="115" t="e">
        <v>#N/A</v>
      </c>
      <c r="CY858" s="115" t="e">
        <v>#N/A</v>
      </c>
      <c r="CZ858" s="137">
        <v>1.0626913437795575</v>
      </c>
      <c r="DA858" t="e">
        <v>#N/A</v>
      </c>
      <c r="DB858" t="str">
        <v/>
      </c>
    </row>
    <row r="859" spans="83:106" x14ac:dyDescent="0.2">
      <c r="CE859"/>
      <c r="CF859"/>
      <c r="CG859"/>
      <c r="CH859"/>
      <c r="CI859"/>
      <c r="CU859" s="42">
        <v>854</v>
      </c>
      <c r="CV859" s="115">
        <v>3</v>
      </c>
      <c r="CW859" s="115">
        <v>1.0626913437795575</v>
      </c>
      <c r="CX859" s="115" t="e">
        <v>#N/A</v>
      </c>
      <c r="CY859" s="115" t="e">
        <v>#N/A</v>
      </c>
      <c r="CZ859" s="137">
        <v>1.0626913437795575</v>
      </c>
      <c r="DA859" t="e">
        <v>#N/A</v>
      </c>
      <c r="DB859" t="str">
        <v/>
      </c>
    </row>
    <row r="860" spans="83:106" x14ac:dyDescent="0.2">
      <c r="CE860"/>
      <c r="CF860"/>
      <c r="CG860"/>
      <c r="CH860"/>
      <c r="CI860"/>
      <c r="CU860" s="42">
        <v>855</v>
      </c>
      <c r="CV860" s="115">
        <v>3</v>
      </c>
      <c r="CW860" s="115">
        <v>1.0626913437795575</v>
      </c>
      <c r="CX860" s="115" t="e">
        <v>#N/A</v>
      </c>
      <c r="CY860" s="115" t="e">
        <v>#N/A</v>
      </c>
      <c r="CZ860" s="137">
        <v>1.0626913437795575</v>
      </c>
      <c r="DA860" t="e">
        <v>#N/A</v>
      </c>
      <c r="DB860" t="str">
        <v/>
      </c>
    </row>
    <row r="861" spans="83:106" x14ac:dyDescent="0.2">
      <c r="CE861"/>
      <c r="CF861"/>
      <c r="CG861"/>
      <c r="CH861"/>
      <c r="CI861"/>
      <c r="CU861" s="42">
        <v>856</v>
      </c>
      <c r="CV861" s="115">
        <v>3</v>
      </c>
      <c r="CW861" s="115">
        <v>1.0626913437795575</v>
      </c>
      <c r="CX861" s="115" t="e">
        <v>#N/A</v>
      </c>
      <c r="CY861" s="115" t="e">
        <v>#N/A</v>
      </c>
      <c r="CZ861" s="137">
        <v>1.0626913437795575</v>
      </c>
      <c r="DA861" t="e">
        <v>#N/A</v>
      </c>
      <c r="DB861" t="str">
        <v/>
      </c>
    </row>
    <row r="862" spans="83:106" x14ac:dyDescent="0.2">
      <c r="CE862"/>
      <c r="CF862"/>
      <c r="CG862"/>
      <c r="CH862"/>
      <c r="CI862"/>
      <c r="CU862" s="42">
        <v>857</v>
      </c>
      <c r="CV862" s="115">
        <v>3</v>
      </c>
      <c r="CW862" s="115">
        <v>1.0626913437795575</v>
      </c>
      <c r="CX862" s="115" t="e">
        <v>#N/A</v>
      </c>
      <c r="CY862" s="115" t="e">
        <v>#N/A</v>
      </c>
      <c r="CZ862" s="137">
        <v>1.0626913437795575</v>
      </c>
      <c r="DA862" t="e">
        <v>#N/A</v>
      </c>
      <c r="DB862" t="str">
        <v/>
      </c>
    </row>
    <row r="863" spans="83:106" x14ac:dyDescent="0.2">
      <c r="CE863"/>
      <c r="CF863"/>
      <c r="CG863"/>
      <c r="CH863"/>
      <c r="CI863"/>
      <c r="CU863" s="42">
        <v>858</v>
      </c>
      <c r="CV863" s="115">
        <v>3</v>
      </c>
      <c r="CW863" s="115">
        <v>1.0626913437795575</v>
      </c>
      <c r="CX863" s="115" t="e">
        <v>#N/A</v>
      </c>
      <c r="CY863" s="115" t="e">
        <v>#N/A</v>
      </c>
      <c r="CZ863" s="137">
        <v>1.0626913437795575</v>
      </c>
      <c r="DA863" t="e">
        <v>#N/A</v>
      </c>
      <c r="DB863" t="str">
        <v/>
      </c>
    </row>
    <row r="864" spans="83:106" x14ac:dyDescent="0.2">
      <c r="CE864"/>
      <c r="CF864"/>
      <c r="CG864"/>
      <c r="CH864"/>
      <c r="CI864"/>
      <c r="CU864" s="42">
        <v>859</v>
      </c>
      <c r="CV864" s="115">
        <v>3</v>
      </c>
      <c r="CW864" s="115">
        <v>1.0626913437795575</v>
      </c>
      <c r="CX864" s="115" t="e">
        <v>#N/A</v>
      </c>
      <c r="CY864" s="115" t="e">
        <v>#N/A</v>
      </c>
      <c r="CZ864" s="137">
        <v>1.0626913437795575</v>
      </c>
      <c r="DA864" t="e">
        <v>#N/A</v>
      </c>
      <c r="DB864" t="str">
        <v/>
      </c>
    </row>
    <row r="865" spans="83:106" x14ac:dyDescent="0.2">
      <c r="CE865"/>
      <c r="CF865"/>
      <c r="CG865"/>
      <c r="CH865"/>
      <c r="CI865"/>
      <c r="CU865" s="42">
        <v>860</v>
      </c>
      <c r="CV865" s="115">
        <v>3</v>
      </c>
      <c r="CW865" s="115">
        <v>1.0626913437795575</v>
      </c>
      <c r="CX865" s="115" t="e">
        <v>#N/A</v>
      </c>
      <c r="CY865" s="115" t="e">
        <v>#N/A</v>
      </c>
      <c r="CZ865" s="137">
        <v>1.0626913437795575</v>
      </c>
      <c r="DA865" t="e">
        <v>#N/A</v>
      </c>
      <c r="DB865" t="str">
        <v/>
      </c>
    </row>
    <row r="866" spans="83:106" x14ac:dyDescent="0.2">
      <c r="CE866"/>
      <c r="CF866"/>
      <c r="CG866"/>
      <c r="CH866"/>
      <c r="CI866"/>
      <c r="CU866" s="42">
        <v>861</v>
      </c>
      <c r="CV866" s="115">
        <v>3</v>
      </c>
      <c r="CW866" s="115">
        <v>1.0626913437795575</v>
      </c>
      <c r="CX866" s="115" t="e">
        <v>#N/A</v>
      </c>
      <c r="CY866" s="115" t="e">
        <v>#N/A</v>
      </c>
      <c r="CZ866" s="137">
        <v>1.0626913437795575</v>
      </c>
      <c r="DA866" t="e">
        <v>#N/A</v>
      </c>
      <c r="DB866" t="str">
        <v/>
      </c>
    </row>
    <row r="867" spans="83:106" x14ac:dyDescent="0.2">
      <c r="CE867"/>
      <c r="CF867"/>
      <c r="CG867"/>
      <c r="CH867"/>
      <c r="CI867"/>
      <c r="CU867" s="42">
        <v>862</v>
      </c>
      <c r="CV867" s="115">
        <v>3</v>
      </c>
      <c r="CW867" s="115">
        <v>1.0626913437795575</v>
      </c>
      <c r="CX867" s="115" t="e">
        <v>#N/A</v>
      </c>
      <c r="CY867" s="115" t="e">
        <v>#N/A</v>
      </c>
      <c r="CZ867" s="137">
        <v>1.0626913437795575</v>
      </c>
      <c r="DA867" t="e">
        <v>#N/A</v>
      </c>
      <c r="DB867" t="str">
        <v/>
      </c>
    </row>
    <row r="868" spans="83:106" x14ac:dyDescent="0.2">
      <c r="CE868"/>
      <c r="CF868"/>
      <c r="CG868"/>
      <c r="CH868"/>
      <c r="CI868"/>
      <c r="CU868" s="42">
        <v>863</v>
      </c>
      <c r="CV868" s="115">
        <v>3</v>
      </c>
      <c r="CW868" s="115">
        <v>1.0626913437795575</v>
      </c>
      <c r="CX868" s="115" t="e">
        <v>#N/A</v>
      </c>
      <c r="CY868" s="115" t="e">
        <v>#N/A</v>
      </c>
      <c r="CZ868" s="137">
        <v>1.0626913437795575</v>
      </c>
      <c r="DA868" t="e">
        <v>#N/A</v>
      </c>
      <c r="DB868" t="str">
        <v/>
      </c>
    </row>
    <row r="869" spans="83:106" x14ac:dyDescent="0.2">
      <c r="CE869"/>
      <c r="CF869"/>
      <c r="CG869"/>
      <c r="CH869"/>
      <c r="CI869"/>
      <c r="CU869" s="42">
        <v>864</v>
      </c>
      <c r="CV869" s="115">
        <v>3</v>
      </c>
      <c r="CW869" s="115">
        <v>1.0626913437795575</v>
      </c>
      <c r="CX869" s="115" t="e">
        <v>#N/A</v>
      </c>
      <c r="CY869" s="115" t="e">
        <v>#N/A</v>
      </c>
      <c r="CZ869" s="137">
        <v>1.0626913437795575</v>
      </c>
      <c r="DA869" t="e">
        <v>#N/A</v>
      </c>
      <c r="DB869" t="str">
        <v/>
      </c>
    </row>
    <row r="870" spans="83:106" x14ac:dyDescent="0.2">
      <c r="CE870"/>
      <c r="CF870"/>
      <c r="CG870"/>
      <c r="CH870"/>
      <c r="CI870"/>
      <c r="CU870" s="42">
        <v>865</v>
      </c>
      <c r="CV870" s="115">
        <v>3</v>
      </c>
      <c r="CW870" s="115">
        <v>1.0626913437795575</v>
      </c>
      <c r="CX870" s="115" t="e">
        <v>#N/A</v>
      </c>
      <c r="CY870" s="115" t="e">
        <v>#N/A</v>
      </c>
      <c r="CZ870" s="137">
        <v>1.0626913437795575</v>
      </c>
      <c r="DA870" t="e">
        <v>#N/A</v>
      </c>
      <c r="DB870" t="str">
        <v/>
      </c>
    </row>
    <row r="871" spans="83:106" x14ac:dyDescent="0.2">
      <c r="CE871"/>
      <c r="CF871"/>
      <c r="CG871"/>
      <c r="CH871"/>
      <c r="CI871"/>
      <c r="CU871" s="42">
        <v>866</v>
      </c>
      <c r="CV871" s="115">
        <v>3</v>
      </c>
      <c r="CW871" s="115">
        <v>1.0626913437795575</v>
      </c>
      <c r="CX871" s="115" t="e">
        <v>#N/A</v>
      </c>
      <c r="CY871" s="115" t="e">
        <v>#N/A</v>
      </c>
      <c r="CZ871" s="137">
        <v>1.0626913437795575</v>
      </c>
      <c r="DA871" t="e">
        <v>#N/A</v>
      </c>
      <c r="DB871" t="str">
        <v/>
      </c>
    </row>
    <row r="872" spans="83:106" x14ac:dyDescent="0.2">
      <c r="CE872"/>
      <c r="CF872"/>
      <c r="CG872"/>
      <c r="CH872"/>
      <c r="CI872"/>
      <c r="CU872" s="42">
        <v>867</v>
      </c>
      <c r="CV872" s="115">
        <v>3</v>
      </c>
      <c r="CW872" s="115">
        <v>1.0626913437795575</v>
      </c>
      <c r="CX872" s="115" t="e">
        <v>#N/A</v>
      </c>
      <c r="CY872" s="115" t="e">
        <v>#N/A</v>
      </c>
      <c r="CZ872" s="137">
        <v>1.0626913437795575</v>
      </c>
      <c r="DA872" t="e">
        <v>#N/A</v>
      </c>
      <c r="DB872" t="str">
        <v/>
      </c>
    </row>
    <row r="873" spans="83:106" x14ac:dyDescent="0.2">
      <c r="CE873"/>
      <c r="CF873"/>
      <c r="CG873"/>
      <c r="CH873"/>
      <c r="CI873"/>
      <c r="CU873" s="42">
        <v>868</v>
      </c>
      <c r="CV873" s="115">
        <v>3</v>
      </c>
      <c r="CW873" s="115">
        <v>1.0626913437795575</v>
      </c>
      <c r="CX873" s="115" t="e">
        <v>#N/A</v>
      </c>
      <c r="CY873" s="115" t="e">
        <v>#N/A</v>
      </c>
      <c r="CZ873" s="137">
        <v>1.0626913437795575</v>
      </c>
      <c r="DA873" t="e">
        <v>#N/A</v>
      </c>
      <c r="DB873" t="str">
        <v/>
      </c>
    </row>
    <row r="874" spans="83:106" x14ac:dyDescent="0.2">
      <c r="CE874"/>
      <c r="CF874"/>
      <c r="CG874"/>
      <c r="CH874"/>
      <c r="CI874"/>
      <c r="CU874" s="42">
        <v>869</v>
      </c>
      <c r="CV874" s="115">
        <v>3</v>
      </c>
      <c r="CW874" s="115">
        <v>1.0626913437795575</v>
      </c>
      <c r="CX874" s="115" t="e">
        <v>#N/A</v>
      </c>
      <c r="CY874" s="115" t="e">
        <v>#N/A</v>
      </c>
      <c r="CZ874" s="137">
        <v>1.0626913437795575</v>
      </c>
      <c r="DA874" t="e">
        <v>#N/A</v>
      </c>
      <c r="DB874" t="str">
        <v/>
      </c>
    </row>
    <row r="875" spans="83:106" x14ac:dyDescent="0.2">
      <c r="CE875"/>
      <c r="CF875"/>
      <c r="CG875"/>
      <c r="CH875"/>
      <c r="CI875"/>
      <c r="CU875" s="42">
        <v>870</v>
      </c>
      <c r="CV875" s="115">
        <v>3</v>
      </c>
      <c r="CW875" s="115">
        <v>1.0626913437795575</v>
      </c>
      <c r="CX875" s="115" t="e">
        <v>#N/A</v>
      </c>
      <c r="CY875" s="115" t="e">
        <v>#N/A</v>
      </c>
      <c r="CZ875" s="137">
        <v>1.0626913437795575</v>
      </c>
      <c r="DA875" t="e">
        <v>#N/A</v>
      </c>
      <c r="DB875" t="str">
        <v/>
      </c>
    </row>
    <row r="876" spans="83:106" x14ac:dyDescent="0.2">
      <c r="CE876"/>
      <c r="CF876"/>
      <c r="CG876"/>
      <c r="CH876"/>
      <c r="CI876"/>
      <c r="CU876" s="42">
        <v>871</v>
      </c>
      <c r="CV876" s="115">
        <v>3</v>
      </c>
      <c r="CW876" s="115">
        <v>1.0626913437795575</v>
      </c>
      <c r="CX876" s="115" t="e">
        <v>#N/A</v>
      </c>
      <c r="CY876" s="115" t="e">
        <v>#N/A</v>
      </c>
      <c r="CZ876" s="137">
        <v>1.0626913437795575</v>
      </c>
      <c r="DA876" t="e">
        <v>#N/A</v>
      </c>
      <c r="DB876" t="str">
        <v/>
      </c>
    </row>
    <row r="877" spans="83:106" x14ac:dyDescent="0.2">
      <c r="CE877"/>
      <c r="CF877"/>
      <c r="CG877"/>
      <c r="CH877"/>
      <c r="CI877"/>
      <c r="CU877" s="42">
        <v>872</v>
      </c>
      <c r="CV877" s="115">
        <v>3</v>
      </c>
      <c r="CW877" s="115">
        <v>1.0626913437795575</v>
      </c>
      <c r="CX877" s="115" t="e">
        <v>#N/A</v>
      </c>
      <c r="CY877" s="115" t="e">
        <v>#N/A</v>
      </c>
      <c r="CZ877" s="137">
        <v>1.0626913437795575</v>
      </c>
      <c r="DA877" t="e">
        <v>#N/A</v>
      </c>
      <c r="DB877" t="str">
        <v/>
      </c>
    </row>
    <row r="878" spans="83:106" x14ac:dyDescent="0.2">
      <c r="CE878"/>
      <c r="CF878"/>
      <c r="CG878"/>
      <c r="CH878"/>
      <c r="CI878"/>
      <c r="CU878" s="42">
        <v>873</v>
      </c>
      <c r="CV878" s="115">
        <v>3</v>
      </c>
      <c r="CW878" s="115">
        <v>1.0626913437795575</v>
      </c>
      <c r="CX878" s="115" t="e">
        <v>#N/A</v>
      </c>
      <c r="CY878" s="115" t="e">
        <v>#N/A</v>
      </c>
      <c r="CZ878" s="137">
        <v>1.0626913437795575</v>
      </c>
      <c r="DA878" t="e">
        <v>#N/A</v>
      </c>
      <c r="DB878" t="str">
        <v/>
      </c>
    </row>
    <row r="879" spans="83:106" x14ac:dyDescent="0.2">
      <c r="CE879"/>
      <c r="CF879"/>
      <c r="CG879"/>
      <c r="CH879"/>
      <c r="CI879"/>
      <c r="CU879" s="42">
        <v>874</v>
      </c>
      <c r="CV879" s="115">
        <v>3</v>
      </c>
      <c r="CW879" s="115">
        <v>1.0626913437795575</v>
      </c>
      <c r="CX879" s="115" t="e">
        <v>#N/A</v>
      </c>
      <c r="CY879" s="115" t="e">
        <v>#N/A</v>
      </c>
      <c r="CZ879" s="137">
        <v>1.0626913437795575</v>
      </c>
      <c r="DA879" t="e">
        <v>#N/A</v>
      </c>
      <c r="DB879" t="str">
        <v/>
      </c>
    </row>
    <row r="880" spans="83:106" x14ac:dyDescent="0.2">
      <c r="CE880"/>
      <c r="CF880"/>
      <c r="CG880"/>
      <c r="CH880"/>
      <c r="CI880"/>
      <c r="CU880" s="42">
        <v>875</v>
      </c>
      <c r="CV880" s="115">
        <v>3</v>
      </c>
      <c r="CW880" s="115">
        <v>1.0626913437795575</v>
      </c>
      <c r="CX880" s="115" t="e">
        <v>#N/A</v>
      </c>
      <c r="CY880" s="115" t="e">
        <v>#N/A</v>
      </c>
      <c r="CZ880" s="137">
        <v>1.0626913437795575</v>
      </c>
      <c r="DA880" t="e">
        <v>#N/A</v>
      </c>
      <c r="DB880" t="str">
        <v/>
      </c>
    </row>
    <row r="881" spans="83:106" x14ac:dyDescent="0.2">
      <c r="CE881"/>
      <c r="CF881"/>
      <c r="CG881"/>
      <c r="CH881"/>
      <c r="CI881"/>
      <c r="CU881" s="42">
        <v>876</v>
      </c>
      <c r="CV881" s="115">
        <v>3</v>
      </c>
      <c r="CW881" s="115">
        <v>1.0626913437795575</v>
      </c>
      <c r="CX881" s="115" t="e">
        <v>#N/A</v>
      </c>
      <c r="CY881" s="115" t="e">
        <v>#N/A</v>
      </c>
      <c r="CZ881" s="137">
        <v>1.0626913437795575</v>
      </c>
      <c r="DA881" t="e">
        <v>#N/A</v>
      </c>
      <c r="DB881" t="str">
        <v/>
      </c>
    </row>
    <row r="882" spans="83:106" x14ac:dyDescent="0.2">
      <c r="CE882"/>
      <c r="CF882"/>
      <c r="CG882"/>
      <c r="CH882"/>
      <c r="CI882"/>
      <c r="CU882" s="42">
        <v>877</v>
      </c>
      <c r="CV882" s="115">
        <v>3</v>
      </c>
      <c r="CW882" s="115">
        <v>1.0626913437795575</v>
      </c>
      <c r="CX882" s="115" t="e">
        <v>#N/A</v>
      </c>
      <c r="CY882" s="115" t="e">
        <v>#N/A</v>
      </c>
      <c r="CZ882" s="137">
        <v>1.0626913437795575</v>
      </c>
      <c r="DA882" t="e">
        <v>#N/A</v>
      </c>
      <c r="DB882" t="str">
        <v/>
      </c>
    </row>
    <row r="883" spans="83:106" x14ac:dyDescent="0.2">
      <c r="CE883"/>
      <c r="CF883"/>
      <c r="CG883"/>
      <c r="CH883"/>
      <c r="CI883"/>
      <c r="CU883" s="42">
        <v>878</v>
      </c>
      <c r="CV883" s="115">
        <v>3</v>
      </c>
      <c r="CW883" s="115">
        <v>1.0626913437795575</v>
      </c>
      <c r="CX883" s="115" t="e">
        <v>#N/A</v>
      </c>
      <c r="CY883" s="115" t="e">
        <v>#N/A</v>
      </c>
      <c r="CZ883" s="137">
        <v>1.0626913437795575</v>
      </c>
      <c r="DA883" t="e">
        <v>#N/A</v>
      </c>
      <c r="DB883" t="str">
        <v/>
      </c>
    </row>
    <row r="884" spans="83:106" x14ac:dyDescent="0.2">
      <c r="CE884"/>
      <c r="CF884"/>
      <c r="CG884"/>
      <c r="CH884"/>
      <c r="CI884"/>
      <c r="CU884" s="42">
        <v>879</v>
      </c>
      <c r="CV884" s="115">
        <v>3</v>
      </c>
      <c r="CW884" s="115">
        <v>1.0626913437795575</v>
      </c>
      <c r="CX884" s="115" t="e">
        <v>#N/A</v>
      </c>
      <c r="CY884" s="115" t="e">
        <v>#N/A</v>
      </c>
      <c r="CZ884" s="137">
        <v>1.0626913437795575</v>
      </c>
      <c r="DA884" t="e">
        <v>#N/A</v>
      </c>
      <c r="DB884" t="str">
        <v/>
      </c>
    </row>
    <row r="885" spans="83:106" x14ac:dyDescent="0.2">
      <c r="CE885"/>
      <c r="CF885"/>
      <c r="CG885"/>
      <c r="CH885"/>
      <c r="CI885"/>
      <c r="CU885" s="42">
        <v>880</v>
      </c>
      <c r="CV885" s="115">
        <v>3</v>
      </c>
      <c r="CW885" s="115">
        <v>1.0626913437795575</v>
      </c>
      <c r="CX885" s="115" t="e">
        <v>#N/A</v>
      </c>
      <c r="CY885" s="115" t="e">
        <v>#N/A</v>
      </c>
      <c r="CZ885" s="137">
        <v>1.0626913437795575</v>
      </c>
      <c r="DA885" t="e">
        <v>#N/A</v>
      </c>
      <c r="DB885" t="str">
        <v/>
      </c>
    </row>
    <row r="886" spans="83:106" x14ac:dyDescent="0.2">
      <c r="CE886"/>
      <c r="CF886"/>
      <c r="CG886"/>
      <c r="CH886"/>
      <c r="CI886"/>
      <c r="CU886" s="42">
        <v>881</v>
      </c>
      <c r="CV886" s="115">
        <v>3</v>
      </c>
      <c r="CW886" s="115">
        <v>1.0626913437795575</v>
      </c>
      <c r="CX886" s="115" t="e">
        <v>#N/A</v>
      </c>
      <c r="CY886" s="115" t="e">
        <v>#N/A</v>
      </c>
      <c r="CZ886" s="137">
        <v>1.0626913437795575</v>
      </c>
      <c r="DA886" t="e">
        <v>#N/A</v>
      </c>
      <c r="DB886" t="str">
        <v/>
      </c>
    </row>
    <row r="887" spans="83:106" x14ac:dyDescent="0.2">
      <c r="CE887"/>
      <c r="CF887"/>
      <c r="CG887"/>
      <c r="CH887"/>
      <c r="CI887"/>
      <c r="CU887" s="42">
        <v>882</v>
      </c>
      <c r="CV887" s="115">
        <v>3</v>
      </c>
      <c r="CW887" s="115">
        <v>1.0626913437795575</v>
      </c>
      <c r="CX887" s="115" t="e">
        <v>#N/A</v>
      </c>
      <c r="CY887" s="115" t="e">
        <v>#N/A</v>
      </c>
      <c r="CZ887" s="137">
        <v>1.0626913437795575</v>
      </c>
      <c r="DA887" t="e">
        <v>#N/A</v>
      </c>
      <c r="DB887" t="str">
        <v/>
      </c>
    </row>
    <row r="888" spans="83:106" x14ac:dyDescent="0.2">
      <c r="CE888"/>
      <c r="CF888"/>
      <c r="CG888"/>
      <c r="CH888"/>
      <c r="CI888"/>
      <c r="CU888" s="42">
        <v>883</v>
      </c>
      <c r="CV888" s="115">
        <v>3</v>
      </c>
      <c r="CW888" s="115">
        <v>1.0626913437795575</v>
      </c>
      <c r="CX888" s="115" t="e">
        <v>#N/A</v>
      </c>
      <c r="CY888" s="115" t="e">
        <v>#N/A</v>
      </c>
      <c r="CZ888" s="137">
        <v>1.0626913437795575</v>
      </c>
      <c r="DA888" t="e">
        <v>#N/A</v>
      </c>
      <c r="DB888" t="str">
        <v/>
      </c>
    </row>
    <row r="889" spans="83:106" x14ac:dyDescent="0.2">
      <c r="CE889"/>
      <c r="CF889"/>
      <c r="CG889"/>
      <c r="CH889"/>
      <c r="CI889"/>
      <c r="CU889" s="42">
        <v>884</v>
      </c>
      <c r="CV889" s="115">
        <v>3</v>
      </c>
      <c r="CW889" s="115">
        <v>1.0626913437795575</v>
      </c>
      <c r="CX889" s="115" t="e">
        <v>#N/A</v>
      </c>
      <c r="CY889" s="115" t="e">
        <v>#N/A</v>
      </c>
      <c r="CZ889" s="137">
        <v>1.0626913437795575</v>
      </c>
      <c r="DA889" t="e">
        <v>#N/A</v>
      </c>
      <c r="DB889" t="str">
        <v/>
      </c>
    </row>
    <row r="890" spans="83:106" x14ac:dyDescent="0.2">
      <c r="CE890"/>
      <c r="CF890"/>
      <c r="CG890"/>
      <c r="CH890"/>
      <c r="CI890"/>
      <c r="CU890" s="42">
        <v>885</v>
      </c>
      <c r="CV890" s="115">
        <v>3</v>
      </c>
      <c r="CW890" s="115">
        <v>1.0626913437795575</v>
      </c>
      <c r="CX890" s="115" t="e">
        <v>#N/A</v>
      </c>
      <c r="CY890" s="115" t="e">
        <v>#N/A</v>
      </c>
      <c r="CZ890" s="137">
        <v>1.0626913437795575</v>
      </c>
      <c r="DA890" t="e">
        <v>#N/A</v>
      </c>
      <c r="DB890" t="str">
        <v/>
      </c>
    </row>
    <row r="891" spans="83:106" x14ac:dyDescent="0.2">
      <c r="CE891"/>
      <c r="CF891"/>
      <c r="CG891"/>
      <c r="CH891"/>
      <c r="CI891"/>
      <c r="CU891" s="42">
        <v>886</v>
      </c>
      <c r="CV891" s="115">
        <v>3</v>
      </c>
      <c r="CW891" s="115">
        <v>1.0626913437795575</v>
      </c>
      <c r="CX891" s="115" t="e">
        <v>#N/A</v>
      </c>
      <c r="CY891" s="115" t="e">
        <v>#N/A</v>
      </c>
      <c r="CZ891" s="137">
        <v>1.0626913437795575</v>
      </c>
      <c r="DA891" t="e">
        <v>#N/A</v>
      </c>
      <c r="DB891" t="str">
        <v/>
      </c>
    </row>
    <row r="892" spans="83:106" x14ac:dyDescent="0.2">
      <c r="CE892"/>
      <c r="CF892"/>
      <c r="CG892"/>
      <c r="CH892"/>
      <c r="CI892"/>
      <c r="CU892" s="42">
        <v>887</v>
      </c>
      <c r="CV892" s="115">
        <v>3</v>
      </c>
      <c r="CW892" s="115">
        <v>1.0626913437795575</v>
      </c>
      <c r="CX892" s="115" t="e">
        <v>#N/A</v>
      </c>
      <c r="CY892" s="115" t="e">
        <v>#N/A</v>
      </c>
      <c r="CZ892" s="137">
        <v>1.0626913437795575</v>
      </c>
      <c r="DA892" t="e">
        <v>#N/A</v>
      </c>
      <c r="DB892" t="str">
        <v/>
      </c>
    </row>
    <row r="893" spans="83:106" x14ac:dyDescent="0.2">
      <c r="CE893"/>
      <c r="CF893"/>
      <c r="CG893"/>
      <c r="CH893"/>
      <c r="CI893"/>
      <c r="CU893" s="42">
        <v>888</v>
      </c>
      <c r="CV893" s="115">
        <v>3</v>
      </c>
      <c r="CW893" s="115">
        <v>1.0626913437795575</v>
      </c>
      <c r="CX893" s="115" t="e">
        <v>#N/A</v>
      </c>
      <c r="CY893" s="115" t="e">
        <v>#N/A</v>
      </c>
      <c r="CZ893" s="137">
        <v>1.0626913437795575</v>
      </c>
      <c r="DA893" t="e">
        <v>#N/A</v>
      </c>
      <c r="DB893" t="str">
        <v/>
      </c>
    </row>
    <row r="894" spans="83:106" x14ac:dyDescent="0.2">
      <c r="CE894"/>
      <c r="CF894"/>
      <c r="CG894"/>
      <c r="CH894"/>
      <c r="CI894"/>
      <c r="CU894" s="42">
        <v>889</v>
      </c>
      <c r="CV894" s="115">
        <v>3</v>
      </c>
      <c r="CW894" s="115">
        <v>1.0626913437795575</v>
      </c>
      <c r="CX894" s="115" t="e">
        <v>#N/A</v>
      </c>
      <c r="CY894" s="115" t="e">
        <v>#N/A</v>
      </c>
      <c r="CZ894" s="137">
        <v>1.0626913437795575</v>
      </c>
      <c r="DA894" t="e">
        <v>#N/A</v>
      </c>
      <c r="DB894" t="str">
        <v/>
      </c>
    </row>
    <row r="895" spans="83:106" x14ac:dyDescent="0.2">
      <c r="CE895"/>
      <c r="CF895"/>
      <c r="CG895"/>
      <c r="CH895"/>
      <c r="CI895"/>
      <c r="CU895" s="42">
        <v>890</v>
      </c>
      <c r="CV895" s="115">
        <v>3</v>
      </c>
      <c r="CW895" s="115">
        <v>1.0626913437795575</v>
      </c>
      <c r="CX895" s="115" t="e">
        <v>#N/A</v>
      </c>
      <c r="CY895" s="115" t="e">
        <v>#N/A</v>
      </c>
      <c r="CZ895" s="137">
        <v>1.0626913437795575</v>
      </c>
      <c r="DA895" t="e">
        <v>#N/A</v>
      </c>
      <c r="DB895" t="str">
        <v/>
      </c>
    </row>
    <row r="896" spans="83:106" x14ac:dyDescent="0.2">
      <c r="CE896"/>
      <c r="CF896"/>
      <c r="CG896"/>
      <c r="CH896"/>
      <c r="CI896"/>
      <c r="CU896" s="42">
        <v>891</v>
      </c>
      <c r="CV896" s="115">
        <v>3</v>
      </c>
      <c r="CW896" s="115">
        <v>1.0626913437795575</v>
      </c>
      <c r="CX896" s="115" t="e">
        <v>#N/A</v>
      </c>
      <c r="CY896" s="115" t="e">
        <v>#N/A</v>
      </c>
      <c r="CZ896" s="137">
        <v>1.0626913437795575</v>
      </c>
      <c r="DA896" t="e">
        <v>#N/A</v>
      </c>
      <c r="DB896" t="str">
        <v/>
      </c>
    </row>
    <row r="897" spans="83:106" x14ac:dyDescent="0.2">
      <c r="CE897"/>
      <c r="CF897"/>
      <c r="CG897"/>
      <c r="CH897"/>
      <c r="CI897"/>
      <c r="CU897" s="42">
        <v>892</v>
      </c>
      <c r="CV897" s="115">
        <v>3</v>
      </c>
      <c r="CW897" s="115">
        <v>1.0626913437795575</v>
      </c>
      <c r="CX897" s="115" t="e">
        <v>#N/A</v>
      </c>
      <c r="CY897" s="115" t="e">
        <v>#N/A</v>
      </c>
      <c r="CZ897" s="137">
        <v>1.0626913437795575</v>
      </c>
      <c r="DA897" t="e">
        <v>#N/A</v>
      </c>
      <c r="DB897" t="str">
        <v/>
      </c>
    </row>
    <row r="898" spans="83:106" x14ac:dyDescent="0.2">
      <c r="CE898"/>
      <c r="CF898"/>
      <c r="CG898"/>
      <c r="CH898"/>
      <c r="CI898"/>
      <c r="CU898" s="42">
        <v>893</v>
      </c>
      <c r="CV898" s="115">
        <v>3</v>
      </c>
      <c r="CW898" s="115">
        <v>1.0626913437795575</v>
      </c>
      <c r="CX898" s="115" t="e">
        <v>#N/A</v>
      </c>
      <c r="CY898" s="115" t="e">
        <v>#N/A</v>
      </c>
      <c r="CZ898" s="137">
        <v>1.0626913437795575</v>
      </c>
      <c r="DA898" t="e">
        <v>#N/A</v>
      </c>
      <c r="DB898" t="str">
        <v/>
      </c>
    </row>
    <row r="899" spans="83:106" x14ac:dyDescent="0.2">
      <c r="CE899"/>
      <c r="CF899"/>
      <c r="CG899"/>
      <c r="CH899"/>
      <c r="CI899"/>
      <c r="CU899" s="42">
        <v>894</v>
      </c>
      <c r="CV899" s="115">
        <v>3</v>
      </c>
      <c r="CW899" s="115">
        <v>1.0626913437795575</v>
      </c>
      <c r="CX899" s="115" t="e">
        <v>#N/A</v>
      </c>
      <c r="CY899" s="115" t="e">
        <v>#N/A</v>
      </c>
      <c r="CZ899" s="137">
        <v>1.0626913437795575</v>
      </c>
      <c r="DA899" t="e">
        <v>#N/A</v>
      </c>
      <c r="DB899" t="str">
        <v/>
      </c>
    </row>
    <row r="900" spans="83:106" x14ac:dyDescent="0.2">
      <c r="CE900"/>
      <c r="CF900"/>
      <c r="CG900"/>
      <c r="CH900"/>
      <c r="CI900"/>
      <c r="CU900" s="42">
        <v>895</v>
      </c>
      <c r="CV900" s="115">
        <v>3</v>
      </c>
      <c r="CW900" s="115">
        <v>1.0626913437795575</v>
      </c>
      <c r="CX900" s="115" t="e">
        <v>#N/A</v>
      </c>
      <c r="CY900" s="115" t="e">
        <v>#N/A</v>
      </c>
      <c r="CZ900" s="137">
        <v>1.0626913437795575</v>
      </c>
      <c r="DA900" t="e">
        <v>#N/A</v>
      </c>
      <c r="DB900" t="str">
        <v/>
      </c>
    </row>
    <row r="901" spans="83:106" x14ac:dyDescent="0.2">
      <c r="CE901"/>
      <c r="CF901"/>
      <c r="CG901"/>
      <c r="CH901"/>
      <c r="CI901"/>
      <c r="CU901" s="42">
        <v>896</v>
      </c>
      <c r="CV901" s="115">
        <v>3</v>
      </c>
      <c r="CW901" s="115">
        <v>1.0626913437795575</v>
      </c>
      <c r="CX901" s="115" t="e">
        <v>#N/A</v>
      </c>
      <c r="CY901" s="115" t="e">
        <v>#N/A</v>
      </c>
      <c r="CZ901" s="137">
        <v>1.0626913437795575</v>
      </c>
      <c r="DA901" t="e">
        <v>#N/A</v>
      </c>
      <c r="DB901" t="str">
        <v/>
      </c>
    </row>
    <row r="902" spans="83:106" x14ac:dyDescent="0.2">
      <c r="CE902"/>
      <c r="CF902"/>
      <c r="CG902"/>
      <c r="CH902"/>
      <c r="CI902"/>
      <c r="CU902" s="42">
        <v>897</v>
      </c>
      <c r="CV902" s="115">
        <v>3</v>
      </c>
      <c r="CW902" s="115">
        <v>1.0626913437795575</v>
      </c>
      <c r="CX902" s="115" t="e">
        <v>#N/A</v>
      </c>
      <c r="CY902" s="115" t="e">
        <v>#N/A</v>
      </c>
      <c r="CZ902" s="137">
        <v>1.0626913437795575</v>
      </c>
      <c r="DA902" t="e">
        <v>#N/A</v>
      </c>
      <c r="DB902" t="str">
        <v/>
      </c>
    </row>
    <row r="903" spans="83:106" x14ac:dyDescent="0.2">
      <c r="CE903"/>
      <c r="CF903"/>
      <c r="CG903"/>
      <c r="CH903"/>
      <c r="CI903"/>
      <c r="CU903" s="42">
        <v>898</v>
      </c>
      <c r="CV903" s="115">
        <v>3</v>
      </c>
      <c r="CW903" s="115">
        <v>1.0626913437795575</v>
      </c>
      <c r="CX903" s="115" t="e">
        <v>#N/A</v>
      </c>
      <c r="CY903" s="115" t="e">
        <v>#N/A</v>
      </c>
      <c r="CZ903" s="137">
        <v>1.0626913437795575</v>
      </c>
      <c r="DA903" t="e">
        <v>#N/A</v>
      </c>
      <c r="DB903" t="str">
        <v/>
      </c>
    </row>
    <row r="904" spans="83:106" x14ac:dyDescent="0.2">
      <c r="CE904"/>
      <c r="CF904"/>
      <c r="CG904"/>
      <c r="CH904"/>
      <c r="CI904"/>
      <c r="CU904" s="42">
        <v>899</v>
      </c>
      <c r="CV904" s="115">
        <v>3</v>
      </c>
      <c r="CW904" s="115">
        <v>1.0626913437795575</v>
      </c>
      <c r="CX904" s="115" t="e">
        <v>#N/A</v>
      </c>
      <c r="CY904" s="115" t="e">
        <v>#N/A</v>
      </c>
      <c r="CZ904" s="137">
        <v>1.0626913437795575</v>
      </c>
      <c r="DA904" t="e">
        <v>#N/A</v>
      </c>
      <c r="DB904" t="str">
        <v/>
      </c>
    </row>
    <row r="905" spans="83:106" x14ac:dyDescent="0.2">
      <c r="CE905"/>
      <c r="CF905"/>
      <c r="CG905"/>
      <c r="CH905"/>
      <c r="CI905"/>
      <c r="CU905" s="42">
        <v>900</v>
      </c>
      <c r="CV905" s="115">
        <v>3</v>
      </c>
      <c r="CW905" s="115">
        <v>1.0626913437795575</v>
      </c>
      <c r="CX905" s="115" t="e">
        <v>#N/A</v>
      </c>
      <c r="CY905" s="115" t="e">
        <v>#N/A</v>
      </c>
      <c r="CZ905" s="137">
        <v>1.0626913437795575</v>
      </c>
      <c r="DA905" t="e">
        <v>#N/A</v>
      </c>
      <c r="DB905" t="str">
        <v/>
      </c>
    </row>
    <row r="906" spans="83:106" x14ac:dyDescent="0.2">
      <c r="CE906"/>
      <c r="CF906"/>
      <c r="CG906"/>
      <c r="CH906"/>
      <c r="CI906"/>
      <c r="CU906" s="42">
        <v>901</v>
      </c>
      <c r="CV906" s="115">
        <v>3</v>
      </c>
      <c r="CW906" s="115">
        <v>1.0626913437795575</v>
      </c>
      <c r="CX906" s="115" t="e">
        <v>#N/A</v>
      </c>
      <c r="CY906" s="115" t="e">
        <v>#N/A</v>
      </c>
      <c r="CZ906" s="137">
        <v>1.0626913437795575</v>
      </c>
      <c r="DA906" t="e">
        <v>#N/A</v>
      </c>
      <c r="DB906" t="str">
        <v/>
      </c>
    </row>
    <row r="907" spans="83:106" x14ac:dyDescent="0.2">
      <c r="CE907"/>
      <c r="CF907"/>
      <c r="CG907"/>
      <c r="CH907"/>
      <c r="CI907"/>
      <c r="CU907" s="42">
        <v>902</v>
      </c>
      <c r="CV907" s="115">
        <v>3</v>
      </c>
      <c r="CW907" s="115">
        <v>1.0626913437795575</v>
      </c>
      <c r="CX907" s="115" t="e">
        <v>#N/A</v>
      </c>
      <c r="CY907" s="115" t="e">
        <v>#N/A</v>
      </c>
      <c r="CZ907" s="137">
        <v>1.0626913437795575</v>
      </c>
      <c r="DA907" t="e">
        <v>#N/A</v>
      </c>
      <c r="DB907" t="str">
        <v/>
      </c>
    </row>
    <row r="908" spans="83:106" x14ac:dyDescent="0.2">
      <c r="CE908"/>
      <c r="CF908"/>
      <c r="CG908"/>
      <c r="CH908"/>
      <c r="CI908"/>
      <c r="CU908" s="42">
        <v>903</v>
      </c>
      <c r="CV908" s="115">
        <v>3</v>
      </c>
      <c r="CW908" s="115">
        <v>1.0626913437795575</v>
      </c>
      <c r="CX908" s="115" t="e">
        <v>#N/A</v>
      </c>
      <c r="CY908" s="115" t="e">
        <v>#N/A</v>
      </c>
      <c r="CZ908" s="137">
        <v>1.0626913437795575</v>
      </c>
      <c r="DA908" t="e">
        <v>#N/A</v>
      </c>
      <c r="DB908" t="str">
        <v/>
      </c>
    </row>
    <row r="909" spans="83:106" x14ac:dyDescent="0.2">
      <c r="CE909"/>
      <c r="CF909"/>
      <c r="CG909"/>
      <c r="CH909"/>
      <c r="CI909"/>
      <c r="CU909" s="42">
        <v>904</v>
      </c>
      <c r="CV909" s="115">
        <v>3</v>
      </c>
      <c r="CW909" s="115">
        <v>1.0626913437795575</v>
      </c>
      <c r="CX909" s="115" t="e">
        <v>#N/A</v>
      </c>
      <c r="CY909" s="115" t="e">
        <v>#N/A</v>
      </c>
      <c r="CZ909" s="137">
        <v>1.0626913437795575</v>
      </c>
      <c r="DA909" t="e">
        <v>#N/A</v>
      </c>
      <c r="DB909" t="str">
        <v/>
      </c>
    </row>
    <row r="910" spans="83:106" x14ac:dyDescent="0.2">
      <c r="CE910"/>
      <c r="CF910"/>
      <c r="CG910"/>
      <c r="CH910"/>
      <c r="CI910"/>
      <c r="CU910" s="42">
        <v>905</v>
      </c>
      <c r="CV910" s="115">
        <v>3</v>
      </c>
      <c r="CW910" s="115">
        <v>1.0626913437795575</v>
      </c>
      <c r="CX910" s="115" t="e">
        <v>#N/A</v>
      </c>
      <c r="CY910" s="115" t="e">
        <v>#N/A</v>
      </c>
      <c r="CZ910" s="137">
        <v>1.0626913437795575</v>
      </c>
      <c r="DA910" t="e">
        <v>#N/A</v>
      </c>
      <c r="DB910" t="str">
        <v/>
      </c>
    </row>
    <row r="911" spans="83:106" x14ac:dyDescent="0.2">
      <c r="CE911"/>
      <c r="CF911"/>
      <c r="CG911"/>
      <c r="CH911"/>
      <c r="CI911"/>
      <c r="CU911" s="42">
        <v>906</v>
      </c>
      <c r="CV911" s="115">
        <v>3</v>
      </c>
      <c r="CW911" s="115">
        <v>1.0626913437795575</v>
      </c>
      <c r="CX911" s="115" t="e">
        <v>#N/A</v>
      </c>
      <c r="CY911" s="115" t="e">
        <v>#N/A</v>
      </c>
      <c r="CZ911" s="137">
        <v>1.0626913437795575</v>
      </c>
      <c r="DA911" t="e">
        <v>#N/A</v>
      </c>
      <c r="DB911" t="str">
        <v/>
      </c>
    </row>
    <row r="912" spans="83:106" x14ac:dyDescent="0.2">
      <c r="CE912"/>
      <c r="CF912"/>
      <c r="CG912"/>
      <c r="CH912"/>
      <c r="CI912"/>
      <c r="CU912" s="42">
        <v>907</v>
      </c>
      <c r="CV912" s="115">
        <v>3</v>
      </c>
      <c r="CW912" s="115">
        <v>1.0626913437795575</v>
      </c>
      <c r="CX912" s="115" t="e">
        <v>#N/A</v>
      </c>
      <c r="CY912" s="115" t="e">
        <v>#N/A</v>
      </c>
      <c r="CZ912" s="137">
        <v>1.0626913437795575</v>
      </c>
      <c r="DA912" t="e">
        <v>#N/A</v>
      </c>
      <c r="DB912" t="str">
        <v/>
      </c>
    </row>
    <row r="913" spans="83:106" x14ac:dyDescent="0.2">
      <c r="CE913"/>
      <c r="CF913"/>
      <c r="CG913"/>
      <c r="CH913"/>
      <c r="CI913"/>
      <c r="CU913" s="42">
        <v>908</v>
      </c>
      <c r="CV913" s="115">
        <v>3</v>
      </c>
      <c r="CW913" s="115">
        <v>1.0626913437795575</v>
      </c>
      <c r="CX913" s="115" t="e">
        <v>#N/A</v>
      </c>
      <c r="CY913" s="115" t="e">
        <v>#N/A</v>
      </c>
      <c r="CZ913" s="137">
        <v>1.0626913437795575</v>
      </c>
      <c r="DA913" t="e">
        <v>#N/A</v>
      </c>
      <c r="DB913" t="str">
        <v/>
      </c>
    </row>
    <row r="914" spans="83:106" x14ac:dyDescent="0.2">
      <c r="CE914"/>
      <c r="CF914"/>
      <c r="CG914"/>
      <c r="CH914"/>
      <c r="CI914"/>
      <c r="CU914" s="42">
        <v>909</v>
      </c>
      <c r="CV914" s="115">
        <v>3</v>
      </c>
      <c r="CW914" s="115">
        <v>1.0626913437795575</v>
      </c>
      <c r="CX914" s="115" t="e">
        <v>#N/A</v>
      </c>
      <c r="CY914" s="115" t="e">
        <v>#N/A</v>
      </c>
      <c r="CZ914" s="137">
        <v>1.0626913437795575</v>
      </c>
      <c r="DA914" t="e">
        <v>#N/A</v>
      </c>
      <c r="DB914" t="str">
        <v/>
      </c>
    </row>
    <row r="915" spans="83:106" x14ac:dyDescent="0.2">
      <c r="CE915"/>
      <c r="CF915"/>
      <c r="CG915"/>
      <c r="CH915"/>
      <c r="CI915"/>
      <c r="CU915" s="42">
        <v>910</v>
      </c>
      <c r="CV915" s="115">
        <v>3</v>
      </c>
      <c r="CW915" s="115">
        <v>1.0626913437795575</v>
      </c>
      <c r="CX915" s="115" t="e">
        <v>#N/A</v>
      </c>
      <c r="CY915" s="115" t="e">
        <v>#N/A</v>
      </c>
      <c r="CZ915" s="137">
        <v>1.0626913437795575</v>
      </c>
      <c r="DA915" t="e">
        <v>#N/A</v>
      </c>
      <c r="DB915" t="str">
        <v/>
      </c>
    </row>
    <row r="916" spans="83:106" x14ac:dyDescent="0.2">
      <c r="CE916"/>
      <c r="CF916"/>
      <c r="CG916"/>
      <c r="CH916"/>
      <c r="CI916"/>
      <c r="CU916" s="42">
        <v>911</v>
      </c>
      <c r="CV916" s="115">
        <v>3</v>
      </c>
      <c r="CW916" s="115">
        <v>1.0626913437795575</v>
      </c>
      <c r="CX916" s="115" t="e">
        <v>#N/A</v>
      </c>
      <c r="CY916" s="115" t="e">
        <v>#N/A</v>
      </c>
      <c r="CZ916" s="137">
        <v>1.0626913437795575</v>
      </c>
      <c r="DA916" t="e">
        <v>#N/A</v>
      </c>
      <c r="DB916" t="str">
        <v/>
      </c>
    </row>
    <row r="917" spans="83:106" x14ac:dyDescent="0.2">
      <c r="CE917"/>
      <c r="CF917"/>
      <c r="CG917"/>
      <c r="CH917"/>
      <c r="CI917"/>
      <c r="CU917" s="42">
        <v>912</v>
      </c>
      <c r="CV917" s="115">
        <v>3</v>
      </c>
      <c r="CW917" s="115">
        <v>1.0626913437795575</v>
      </c>
      <c r="CX917" s="115" t="e">
        <v>#N/A</v>
      </c>
      <c r="CY917" s="115" t="e">
        <v>#N/A</v>
      </c>
      <c r="CZ917" s="137">
        <v>1.0626913437795575</v>
      </c>
      <c r="DA917" t="e">
        <v>#N/A</v>
      </c>
      <c r="DB917" t="str">
        <v/>
      </c>
    </row>
    <row r="918" spans="83:106" x14ac:dyDescent="0.2">
      <c r="CE918"/>
      <c r="CF918"/>
      <c r="CG918"/>
      <c r="CH918"/>
      <c r="CI918"/>
      <c r="CU918" s="42">
        <v>913</v>
      </c>
      <c r="CV918" s="115">
        <v>3</v>
      </c>
      <c r="CW918" s="115">
        <v>1.0626913437795575</v>
      </c>
      <c r="CX918" s="115" t="e">
        <v>#N/A</v>
      </c>
      <c r="CY918" s="115" t="e">
        <v>#N/A</v>
      </c>
      <c r="CZ918" s="137">
        <v>1.0626913437795575</v>
      </c>
      <c r="DA918" t="e">
        <v>#N/A</v>
      </c>
      <c r="DB918" t="str">
        <v/>
      </c>
    </row>
    <row r="919" spans="83:106" x14ac:dyDescent="0.2">
      <c r="CE919"/>
      <c r="CF919"/>
      <c r="CG919"/>
      <c r="CH919"/>
      <c r="CI919"/>
      <c r="CU919" s="42">
        <v>914</v>
      </c>
      <c r="CV919" s="115">
        <v>3</v>
      </c>
      <c r="CW919" s="115">
        <v>1.0626913437795575</v>
      </c>
      <c r="CX919" s="115" t="e">
        <v>#N/A</v>
      </c>
      <c r="CY919" s="115" t="e">
        <v>#N/A</v>
      </c>
      <c r="CZ919" s="137">
        <v>1.0626913437795575</v>
      </c>
      <c r="DA919" t="e">
        <v>#N/A</v>
      </c>
      <c r="DB919" t="str">
        <v/>
      </c>
    </row>
    <row r="920" spans="83:106" x14ac:dyDescent="0.2">
      <c r="CE920"/>
      <c r="CF920"/>
      <c r="CG920"/>
      <c r="CH920"/>
      <c r="CI920"/>
      <c r="CU920" s="42">
        <v>915</v>
      </c>
      <c r="CV920" s="115">
        <v>3</v>
      </c>
      <c r="CW920" s="115">
        <v>1.0626913437795575</v>
      </c>
      <c r="CX920" s="115" t="e">
        <v>#N/A</v>
      </c>
      <c r="CY920" s="115" t="e">
        <v>#N/A</v>
      </c>
      <c r="CZ920" s="137">
        <v>1.0626913437795575</v>
      </c>
      <c r="DA920" t="e">
        <v>#N/A</v>
      </c>
      <c r="DB920" t="str">
        <v/>
      </c>
    </row>
    <row r="921" spans="83:106" x14ac:dyDescent="0.2">
      <c r="CE921"/>
      <c r="CF921"/>
      <c r="CG921"/>
      <c r="CH921"/>
      <c r="CI921"/>
      <c r="CU921" s="42">
        <v>916</v>
      </c>
      <c r="CV921" s="115">
        <v>3</v>
      </c>
      <c r="CW921" s="115">
        <v>1.0626913437795575</v>
      </c>
      <c r="CX921" s="115" t="e">
        <v>#N/A</v>
      </c>
      <c r="CY921" s="115" t="e">
        <v>#N/A</v>
      </c>
      <c r="CZ921" s="137">
        <v>1.0626913437795575</v>
      </c>
      <c r="DA921" t="e">
        <v>#N/A</v>
      </c>
      <c r="DB921" t="str">
        <v/>
      </c>
    </row>
    <row r="922" spans="83:106" x14ac:dyDescent="0.2">
      <c r="CE922"/>
      <c r="CF922"/>
      <c r="CG922"/>
      <c r="CH922"/>
      <c r="CI922"/>
      <c r="CU922" s="42">
        <v>917</v>
      </c>
      <c r="CV922" s="115">
        <v>3</v>
      </c>
      <c r="CW922" s="115">
        <v>1.0626913437795575</v>
      </c>
      <c r="CX922" s="115" t="e">
        <v>#N/A</v>
      </c>
      <c r="CY922" s="115" t="e">
        <v>#N/A</v>
      </c>
      <c r="CZ922" s="137">
        <v>1.0626913437795575</v>
      </c>
      <c r="DA922" t="e">
        <v>#N/A</v>
      </c>
      <c r="DB922" t="str">
        <v/>
      </c>
    </row>
    <row r="923" spans="83:106" x14ac:dyDescent="0.2">
      <c r="CE923"/>
      <c r="CF923"/>
      <c r="CG923"/>
      <c r="CH923"/>
      <c r="CI923"/>
      <c r="CU923" s="42">
        <v>918</v>
      </c>
      <c r="CV923" s="115">
        <v>3</v>
      </c>
      <c r="CW923" s="115">
        <v>1.0626913437795575</v>
      </c>
      <c r="CX923" s="115" t="e">
        <v>#N/A</v>
      </c>
      <c r="CY923" s="115" t="e">
        <v>#N/A</v>
      </c>
      <c r="CZ923" s="137">
        <v>1.0626913437795575</v>
      </c>
      <c r="DA923" t="e">
        <v>#N/A</v>
      </c>
      <c r="DB923" t="str">
        <v/>
      </c>
    </row>
    <row r="924" spans="83:106" x14ac:dyDescent="0.2">
      <c r="CE924"/>
      <c r="CF924"/>
      <c r="CG924"/>
      <c r="CH924"/>
      <c r="CI924"/>
      <c r="CU924" s="42">
        <v>919</v>
      </c>
      <c r="CV924" s="115">
        <v>3</v>
      </c>
      <c r="CW924" s="115">
        <v>1.0626913437795575</v>
      </c>
      <c r="CX924" s="115" t="e">
        <v>#N/A</v>
      </c>
      <c r="CY924" s="115" t="e">
        <v>#N/A</v>
      </c>
      <c r="CZ924" s="137">
        <v>1.0626913437795575</v>
      </c>
      <c r="DA924" t="e">
        <v>#N/A</v>
      </c>
      <c r="DB924" t="str">
        <v/>
      </c>
    </row>
    <row r="925" spans="83:106" x14ac:dyDescent="0.2">
      <c r="CE925"/>
      <c r="CF925"/>
      <c r="CG925"/>
      <c r="CH925"/>
      <c r="CI925"/>
      <c r="CU925" s="42">
        <v>920</v>
      </c>
      <c r="CV925" s="115">
        <v>3</v>
      </c>
      <c r="CW925" s="115">
        <v>1.0626913437795575</v>
      </c>
      <c r="CX925" s="115" t="e">
        <v>#N/A</v>
      </c>
      <c r="CY925" s="115" t="e">
        <v>#N/A</v>
      </c>
      <c r="CZ925" s="137">
        <v>1.0626913437795575</v>
      </c>
      <c r="DA925" t="e">
        <v>#N/A</v>
      </c>
      <c r="DB925" t="str">
        <v/>
      </c>
    </row>
    <row r="926" spans="83:106" x14ac:dyDescent="0.2">
      <c r="CE926"/>
      <c r="CF926"/>
      <c r="CG926"/>
      <c r="CH926"/>
      <c r="CI926"/>
      <c r="CU926" s="42">
        <v>921</v>
      </c>
      <c r="CV926" s="115">
        <v>3</v>
      </c>
      <c r="CW926" s="115">
        <v>1.0626913437795575</v>
      </c>
      <c r="CX926" s="115" t="e">
        <v>#N/A</v>
      </c>
      <c r="CY926" s="115" t="e">
        <v>#N/A</v>
      </c>
      <c r="CZ926" s="137">
        <v>1.0626913437795575</v>
      </c>
      <c r="DA926" t="e">
        <v>#N/A</v>
      </c>
      <c r="DB926" t="str">
        <v/>
      </c>
    </row>
    <row r="927" spans="83:106" x14ac:dyDescent="0.2">
      <c r="CE927"/>
      <c r="CF927"/>
      <c r="CG927"/>
      <c r="CH927"/>
      <c r="CI927"/>
      <c r="CU927" s="42">
        <v>922</v>
      </c>
      <c r="CV927" s="115">
        <v>3</v>
      </c>
      <c r="CW927" s="115">
        <v>1.0626913437795575</v>
      </c>
      <c r="CX927" s="115" t="e">
        <v>#N/A</v>
      </c>
      <c r="CY927" s="115" t="e">
        <v>#N/A</v>
      </c>
      <c r="CZ927" s="137">
        <v>1.0626913437795575</v>
      </c>
      <c r="DA927" t="e">
        <v>#N/A</v>
      </c>
      <c r="DB927" t="str">
        <v/>
      </c>
    </row>
    <row r="928" spans="83:106" x14ac:dyDescent="0.2">
      <c r="CE928"/>
      <c r="CF928"/>
      <c r="CG928"/>
      <c r="CH928"/>
      <c r="CI928"/>
      <c r="CU928" s="42">
        <v>923</v>
      </c>
      <c r="CV928" s="115">
        <v>3</v>
      </c>
      <c r="CW928" s="115">
        <v>1.0626913437795575</v>
      </c>
      <c r="CX928" s="115" t="e">
        <v>#N/A</v>
      </c>
      <c r="CY928" s="115" t="e">
        <v>#N/A</v>
      </c>
      <c r="CZ928" s="137">
        <v>1.0626913437795575</v>
      </c>
      <c r="DA928" t="e">
        <v>#N/A</v>
      </c>
      <c r="DB928" t="str">
        <v/>
      </c>
    </row>
    <row r="929" spans="83:106" x14ac:dyDescent="0.2">
      <c r="CE929"/>
      <c r="CF929"/>
      <c r="CG929"/>
      <c r="CH929"/>
      <c r="CI929"/>
      <c r="CU929" s="42">
        <v>924</v>
      </c>
      <c r="CV929" s="115">
        <v>3</v>
      </c>
      <c r="CW929" s="115">
        <v>1.0626913437795575</v>
      </c>
      <c r="CX929" s="115" t="e">
        <v>#N/A</v>
      </c>
      <c r="CY929" s="115" t="e">
        <v>#N/A</v>
      </c>
      <c r="CZ929" s="137">
        <v>1.0626913437795575</v>
      </c>
      <c r="DA929" t="e">
        <v>#N/A</v>
      </c>
      <c r="DB929" t="str">
        <v/>
      </c>
    </row>
    <row r="930" spans="83:106" x14ac:dyDescent="0.2">
      <c r="CE930"/>
      <c r="CF930"/>
      <c r="CG930"/>
      <c r="CH930"/>
      <c r="CI930"/>
      <c r="CU930" s="42">
        <v>925</v>
      </c>
      <c r="CV930" s="115">
        <v>3</v>
      </c>
      <c r="CW930" s="115">
        <v>1.0626913437795575</v>
      </c>
      <c r="CX930" s="115" t="e">
        <v>#N/A</v>
      </c>
      <c r="CY930" s="115" t="e">
        <v>#N/A</v>
      </c>
      <c r="CZ930" s="137">
        <v>1.0626913437795575</v>
      </c>
      <c r="DA930" t="e">
        <v>#N/A</v>
      </c>
      <c r="DB930" t="str">
        <v/>
      </c>
    </row>
    <row r="931" spans="83:106" x14ac:dyDescent="0.2">
      <c r="CE931"/>
      <c r="CF931"/>
      <c r="CG931"/>
      <c r="CH931"/>
      <c r="CI931"/>
      <c r="CU931" s="42">
        <v>926</v>
      </c>
      <c r="CV931" s="115">
        <v>3</v>
      </c>
      <c r="CW931" s="115">
        <v>1.0626913437795575</v>
      </c>
      <c r="CX931" s="115" t="e">
        <v>#N/A</v>
      </c>
      <c r="CY931" s="115" t="e">
        <v>#N/A</v>
      </c>
      <c r="CZ931" s="137">
        <v>1.0626913437795575</v>
      </c>
      <c r="DA931" t="e">
        <v>#N/A</v>
      </c>
      <c r="DB931" t="str">
        <v/>
      </c>
    </row>
    <row r="932" spans="83:106" x14ac:dyDescent="0.2">
      <c r="CE932"/>
      <c r="CF932"/>
      <c r="CG932"/>
      <c r="CH932"/>
      <c r="CI932"/>
      <c r="CU932" s="42">
        <v>927</v>
      </c>
      <c r="CV932" s="115">
        <v>3</v>
      </c>
      <c r="CW932" s="115">
        <v>1.0626913437795575</v>
      </c>
      <c r="CX932" s="115" t="e">
        <v>#N/A</v>
      </c>
      <c r="CY932" s="115" t="e">
        <v>#N/A</v>
      </c>
      <c r="CZ932" s="137">
        <v>1.0626913437795575</v>
      </c>
      <c r="DA932" t="e">
        <v>#N/A</v>
      </c>
      <c r="DB932" t="str">
        <v/>
      </c>
    </row>
    <row r="933" spans="83:106" x14ac:dyDescent="0.2">
      <c r="CE933"/>
      <c r="CF933"/>
      <c r="CG933"/>
      <c r="CH933"/>
      <c r="CI933"/>
      <c r="CU933" s="42">
        <v>928</v>
      </c>
      <c r="CV933" s="115">
        <v>3</v>
      </c>
      <c r="CW933" s="115">
        <v>1.0626913437795575</v>
      </c>
      <c r="CX933" s="115" t="e">
        <v>#N/A</v>
      </c>
      <c r="CY933" s="115" t="e">
        <v>#N/A</v>
      </c>
      <c r="CZ933" s="137">
        <v>1.0626913437795575</v>
      </c>
      <c r="DA933" t="e">
        <v>#N/A</v>
      </c>
      <c r="DB933" t="str">
        <v/>
      </c>
    </row>
    <row r="934" spans="83:106" x14ac:dyDescent="0.2">
      <c r="CE934"/>
      <c r="CF934"/>
      <c r="CG934"/>
      <c r="CH934"/>
      <c r="CI934"/>
      <c r="CU934" s="42">
        <v>929</v>
      </c>
      <c r="CV934" s="115">
        <v>3</v>
      </c>
      <c r="CW934" s="115">
        <v>1.0626913437795575</v>
      </c>
      <c r="CX934" s="115" t="e">
        <v>#N/A</v>
      </c>
      <c r="CY934" s="115" t="e">
        <v>#N/A</v>
      </c>
      <c r="CZ934" s="137">
        <v>1.0626913437795575</v>
      </c>
      <c r="DA934" t="e">
        <v>#N/A</v>
      </c>
      <c r="DB934" t="str">
        <v/>
      </c>
    </row>
    <row r="935" spans="83:106" x14ac:dyDescent="0.2">
      <c r="CE935"/>
      <c r="CF935"/>
      <c r="CG935"/>
      <c r="CH935"/>
      <c r="CI935"/>
      <c r="CU935" s="42">
        <v>930</v>
      </c>
      <c r="CV935" s="115">
        <v>3</v>
      </c>
      <c r="CW935" s="115">
        <v>1.0626913437795575</v>
      </c>
      <c r="CX935" s="115" t="e">
        <v>#N/A</v>
      </c>
      <c r="CY935" s="115" t="e">
        <v>#N/A</v>
      </c>
      <c r="CZ935" s="137">
        <v>1.0626913437795575</v>
      </c>
      <c r="DA935" t="e">
        <v>#N/A</v>
      </c>
      <c r="DB935" t="str">
        <v/>
      </c>
    </row>
    <row r="936" spans="83:106" x14ac:dyDescent="0.2">
      <c r="CE936"/>
      <c r="CF936"/>
      <c r="CG936"/>
      <c r="CH936"/>
      <c r="CI936"/>
      <c r="CU936" s="42">
        <v>931</v>
      </c>
      <c r="CV936" s="115">
        <v>3</v>
      </c>
      <c r="CW936" s="115">
        <v>1.0626913437795575</v>
      </c>
      <c r="CX936" s="115" t="e">
        <v>#N/A</v>
      </c>
      <c r="CY936" s="115" t="e">
        <v>#N/A</v>
      </c>
      <c r="CZ936" s="137">
        <v>1.0626913437795575</v>
      </c>
      <c r="DA936" t="e">
        <v>#N/A</v>
      </c>
      <c r="DB936" t="str">
        <v/>
      </c>
    </row>
    <row r="937" spans="83:106" x14ac:dyDescent="0.2">
      <c r="CE937"/>
      <c r="CF937"/>
      <c r="CG937"/>
      <c r="CH937"/>
      <c r="CI937"/>
      <c r="CU937" s="42">
        <v>932</v>
      </c>
      <c r="CV937" s="115">
        <v>3</v>
      </c>
      <c r="CW937" s="115">
        <v>1.0626913437795575</v>
      </c>
      <c r="CX937" s="115" t="e">
        <v>#N/A</v>
      </c>
      <c r="CY937" s="115" t="e">
        <v>#N/A</v>
      </c>
      <c r="CZ937" s="137">
        <v>1.0626913437795575</v>
      </c>
      <c r="DA937" t="e">
        <v>#N/A</v>
      </c>
      <c r="DB937" t="str">
        <v/>
      </c>
    </row>
    <row r="938" spans="83:106" x14ac:dyDescent="0.2">
      <c r="CE938"/>
      <c r="CF938"/>
      <c r="CG938"/>
      <c r="CH938"/>
      <c r="CI938"/>
      <c r="CU938" s="42">
        <v>933</v>
      </c>
      <c r="CV938" s="115">
        <v>3</v>
      </c>
      <c r="CW938" s="115">
        <v>1.0626913437795575</v>
      </c>
      <c r="CX938" s="115" t="e">
        <v>#N/A</v>
      </c>
      <c r="CY938" s="115" t="e">
        <v>#N/A</v>
      </c>
      <c r="CZ938" s="137">
        <v>1.0626913437795575</v>
      </c>
      <c r="DA938" t="e">
        <v>#N/A</v>
      </c>
      <c r="DB938" t="str">
        <v/>
      </c>
    </row>
    <row r="939" spans="83:106" x14ac:dyDescent="0.2">
      <c r="CE939"/>
      <c r="CF939"/>
      <c r="CG939"/>
      <c r="CH939"/>
      <c r="CI939"/>
      <c r="CU939" s="42">
        <v>934</v>
      </c>
      <c r="CV939" s="115">
        <v>3</v>
      </c>
      <c r="CW939" s="115">
        <v>1.0626913437795575</v>
      </c>
      <c r="CX939" s="115" t="e">
        <v>#N/A</v>
      </c>
      <c r="CY939" s="115" t="e">
        <v>#N/A</v>
      </c>
      <c r="CZ939" s="137">
        <v>1.0626913437795575</v>
      </c>
      <c r="DA939" t="e">
        <v>#N/A</v>
      </c>
      <c r="DB939" t="str">
        <v/>
      </c>
    </row>
    <row r="940" spans="83:106" x14ac:dyDescent="0.2">
      <c r="CE940"/>
      <c r="CF940"/>
      <c r="CG940"/>
      <c r="CH940"/>
      <c r="CI940"/>
      <c r="CU940" s="42">
        <v>935</v>
      </c>
      <c r="CV940" s="115">
        <v>3</v>
      </c>
      <c r="CW940" s="115">
        <v>1.0626913437795575</v>
      </c>
      <c r="CX940" s="115" t="e">
        <v>#N/A</v>
      </c>
      <c r="CY940" s="115" t="e">
        <v>#N/A</v>
      </c>
      <c r="CZ940" s="137">
        <v>1.0626913437795575</v>
      </c>
      <c r="DA940" t="e">
        <v>#N/A</v>
      </c>
      <c r="DB940" t="str">
        <v/>
      </c>
    </row>
    <row r="941" spans="83:106" x14ac:dyDescent="0.2">
      <c r="CE941"/>
      <c r="CF941"/>
      <c r="CG941"/>
      <c r="CH941"/>
      <c r="CI941"/>
      <c r="CU941" s="42">
        <v>936</v>
      </c>
      <c r="CV941" s="115">
        <v>3</v>
      </c>
      <c r="CW941" s="115">
        <v>1.0626913437795575</v>
      </c>
      <c r="CX941" s="115" t="e">
        <v>#N/A</v>
      </c>
      <c r="CY941" s="115" t="e">
        <v>#N/A</v>
      </c>
      <c r="CZ941" s="137">
        <v>1.0626913437795575</v>
      </c>
      <c r="DA941" t="e">
        <v>#N/A</v>
      </c>
      <c r="DB941" t="str">
        <v/>
      </c>
    </row>
    <row r="942" spans="83:106" x14ac:dyDescent="0.2">
      <c r="CE942"/>
      <c r="CF942"/>
      <c r="CG942"/>
      <c r="CH942"/>
      <c r="CI942"/>
      <c r="CU942" s="42">
        <v>937</v>
      </c>
      <c r="CV942" s="115">
        <v>3</v>
      </c>
      <c r="CW942" s="115">
        <v>1.0626913437795575</v>
      </c>
      <c r="CX942" s="115" t="e">
        <v>#N/A</v>
      </c>
      <c r="CY942" s="115" t="e">
        <v>#N/A</v>
      </c>
      <c r="CZ942" s="137">
        <v>1.0626913437795575</v>
      </c>
      <c r="DA942" t="e">
        <v>#N/A</v>
      </c>
      <c r="DB942" t="str">
        <v/>
      </c>
    </row>
    <row r="943" spans="83:106" x14ac:dyDescent="0.2">
      <c r="CE943"/>
      <c r="CF943"/>
      <c r="CG943"/>
      <c r="CH943"/>
      <c r="CI943"/>
      <c r="CU943" s="42">
        <v>938</v>
      </c>
      <c r="CV943" s="115">
        <v>3</v>
      </c>
      <c r="CW943" s="115">
        <v>1.0626913437795575</v>
      </c>
      <c r="CX943" s="115" t="e">
        <v>#N/A</v>
      </c>
      <c r="CY943" s="115" t="e">
        <v>#N/A</v>
      </c>
      <c r="CZ943" s="137">
        <v>1.0626913437795575</v>
      </c>
      <c r="DA943" t="e">
        <v>#N/A</v>
      </c>
      <c r="DB943" t="str">
        <v/>
      </c>
    </row>
    <row r="944" spans="83:106" x14ac:dyDescent="0.2">
      <c r="CE944"/>
      <c r="CF944"/>
      <c r="CG944"/>
      <c r="CH944"/>
      <c r="CI944"/>
      <c r="CU944" s="42">
        <v>939</v>
      </c>
      <c r="CV944" s="115">
        <v>3</v>
      </c>
      <c r="CW944" s="115">
        <v>1.0626913437795575</v>
      </c>
      <c r="CX944" s="115" t="e">
        <v>#N/A</v>
      </c>
      <c r="CY944" s="115" t="e">
        <v>#N/A</v>
      </c>
      <c r="CZ944" s="137">
        <v>1.0626913437795575</v>
      </c>
      <c r="DA944" t="e">
        <v>#N/A</v>
      </c>
      <c r="DB944" t="str">
        <v/>
      </c>
    </row>
    <row r="945" spans="83:106" x14ac:dyDescent="0.2">
      <c r="CE945"/>
      <c r="CF945"/>
      <c r="CG945"/>
      <c r="CH945"/>
      <c r="CI945"/>
      <c r="CU945" s="42">
        <v>940</v>
      </c>
      <c r="CV945" s="115">
        <v>3</v>
      </c>
      <c r="CW945" s="115">
        <v>1.0626913437795575</v>
      </c>
      <c r="CX945" s="115" t="e">
        <v>#N/A</v>
      </c>
      <c r="CY945" s="115" t="e">
        <v>#N/A</v>
      </c>
      <c r="CZ945" s="137">
        <v>1.0626913437795575</v>
      </c>
      <c r="DA945" t="e">
        <v>#N/A</v>
      </c>
      <c r="DB945" t="str">
        <v/>
      </c>
    </row>
    <row r="946" spans="83:106" x14ac:dyDescent="0.2">
      <c r="CE946"/>
      <c r="CF946"/>
      <c r="CG946"/>
      <c r="CH946"/>
      <c r="CI946"/>
      <c r="CU946" s="42">
        <v>941</v>
      </c>
      <c r="CV946" s="115">
        <v>3</v>
      </c>
      <c r="CW946" s="115">
        <v>1.0626913437795575</v>
      </c>
      <c r="CX946" s="115" t="e">
        <v>#N/A</v>
      </c>
      <c r="CY946" s="115" t="e">
        <v>#N/A</v>
      </c>
      <c r="CZ946" s="137">
        <v>1.0626913437795575</v>
      </c>
      <c r="DA946" t="e">
        <v>#N/A</v>
      </c>
      <c r="DB946" t="str">
        <v/>
      </c>
    </row>
    <row r="947" spans="83:106" x14ac:dyDescent="0.2">
      <c r="CE947"/>
      <c r="CF947"/>
      <c r="CG947"/>
      <c r="CH947"/>
      <c r="CI947"/>
      <c r="CU947" s="42">
        <v>942</v>
      </c>
      <c r="CV947" s="115">
        <v>3</v>
      </c>
      <c r="CW947" s="115">
        <v>1.0626913437795575</v>
      </c>
      <c r="CX947" s="115" t="e">
        <v>#N/A</v>
      </c>
      <c r="CY947" s="115" t="e">
        <v>#N/A</v>
      </c>
      <c r="CZ947" s="137">
        <v>1.0626913437795575</v>
      </c>
      <c r="DA947" t="e">
        <v>#N/A</v>
      </c>
      <c r="DB947" t="str">
        <v/>
      </c>
    </row>
    <row r="948" spans="83:106" x14ac:dyDescent="0.2">
      <c r="CE948"/>
      <c r="CF948"/>
      <c r="CG948"/>
      <c r="CH948"/>
      <c r="CI948"/>
      <c r="CU948" s="42">
        <v>943</v>
      </c>
      <c r="CV948" s="115">
        <v>3</v>
      </c>
      <c r="CW948" s="115">
        <v>1.0626913437795575</v>
      </c>
      <c r="CX948" s="115" t="e">
        <v>#N/A</v>
      </c>
      <c r="CY948" s="115" t="e">
        <v>#N/A</v>
      </c>
      <c r="CZ948" s="137">
        <v>1.0626913437795575</v>
      </c>
      <c r="DA948" t="e">
        <v>#N/A</v>
      </c>
      <c r="DB948" t="str">
        <v/>
      </c>
    </row>
    <row r="949" spans="83:106" x14ac:dyDescent="0.2">
      <c r="CE949"/>
      <c r="CF949"/>
      <c r="CG949"/>
      <c r="CH949"/>
      <c r="CI949"/>
      <c r="CU949" s="42">
        <v>944</v>
      </c>
      <c r="CV949" s="115">
        <v>3</v>
      </c>
      <c r="CW949" s="115">
        <v>1.0626913437795575</v>
      </c>
      <c r="CX949" s="115" t="e">
        <v>#N/A</v>
      </c>
      <c r="CY949" s="115" t="e">
        <v>#N/A</v>
      </c>
      <c r="CZ949" s="137">
        <v>1.0626913437795575</v>
      </c>
      <c r="DA949" t="e">
        <v>#N/A</v>
      </c>
      <c r="DB949" t="str">
        <v/>
      </c>
    </row>
    <row r="950" spans="83:106" x14ac:dyDescent="0.2">
      <c r="CE950"/>
      <c r="CF950"/>
      <c r="CG950"/>
      <c r="CH950"/>
      <c r="CI950"/>
      <c r="CU950" s="42">
        <v>945</v>
      </c>
      <c r="CV950" s="115">
        <v>3</v>
      </c>
      <c r="CW950" s="115">
        <v>1.0626913437795575</v>
      </c>
      <c r="CX950" s="115" t="e">
        <v>#N/A</v>
      </c>
      <c r="CY950" s="115" t="e">
        <v>#N/A</v>
      </c>
      <c r="CZ950" s="137">
        <v>1.0626913437795575</v>
      </c>
      <c r="DA950" t="e">
        <v>#N/A</v>
      </c>
      <c r="DB950" t="str">
        <v/>
      </c>
    </row>
    <row r="951" spans="83:106" x14ac:dyDescent="0.2">
      <c r="CE951"/>
      <c r="CF951"/>
      <c r="CG951"/>
      <c r="CH951"/>
      <c r="CI951"/>
      <c r="CU951" s="42">
        <v>946</v>
      </c>
      <c r="CV951" s="115">
        <v>3</v>
      </c>
      <c r="CW951" s="115">
        <v>1.0626913437795575</v>
      </c>
      <c r="CX951" s="115" t="e">
        <v>#N/A</v>
      </c>
      <c r="CY951" s="115" t="e">
        <v>#N/A</v>
      </c>
      <c r="CZ951" s="137">
        <v>1.0626913437795575</v>
      </c>
      <c r="DA951" t="e">
        <v>#N/A</v>
      </c>
      <c r="DB951" t="str">
        <v/>
      </c>
    </row>
    <row r="952" spans="83:106" x14ac:dyDescent="0.2">
      <c r="CE952"/>
      <c r="CF952"/>
      <c r="CG952"/>
      <c r="CH952"/>
      <c r="CI952"/>
      <c r="CU952" s="42">
        <v>947</v>
      </c>
      <c r="CV952" s="115">
        <v>3</v>
      </c>
      <c r="CW952" s="115">
        <v>1.0626913437795575</v>
      </c>
      <c r="CX952" s="115" t="e">
        <v>#N/A</v>
      </c>
      <c r="CY952" s="115" t="e">
        <v>#N/A</v>
      </c>
      <c r="CZ952" s="137">
        <v>1.0626913437795575</v>
      </c>
      <c r="DA952" t="e">
        <v>#N/A</v>
      </c>
      <c r="DB952" t="str">
        <v/>
      </c>
    </row>
    <row r="953" spans="83:106" x14ac:dyDescent="0.2">
      <c r="CE953"/>
      <c r="CF953"/>
      <c r="CG953"/>
      <c r="CH953"/>
      <c r="CI953"/>
      <c r="CU953" s="42">
        <v>948</v>
      </c>
      <c r="CV953" s="115">
        <v>3</v>
      </c>
      <c r="CW953" s="115">
        <v>1.0626913437795575</v>
      </c>
      <c r="CX953" s="115" t="e">
        <v>#N/A</v>
      </c>
      <c r="CY953" s="115" t="e">
        <v>#N/A</v>
      </c>
      <c r="CZ953" s="137">
        <v>1.0626913437795575</v>
      </c>
      <c r="DA953" t="e">
        <v>#N/A</v>
      </c>
      <c r="DB953" t="str">
        <v/>
      </c>
    </row>
    <row r="954" spans="83:106" x14ac:dyDescent="0.2">
      <c r="CE954"/>
      <c r="CF954"/>
      <c r="CG954"/>
      <c r="CH954"/>
      <c r="CI954"/>
      <c r="CU954" s="42">
        <v>949</v>
      </c>
      <c r="CV954" s="115">
        <v>3</v>
      </c>
      <c r="CW954" s="115">
        <v>1.0626913437795575</v>
      </c>
      <c r="CX954" s="115" t="e">
        <v>#N/A</v>
      </c>
      <c r="CY954" s="115" t="e">
        <v>#N/A</v>
      </c>
      <c r="CZ954" s="137">
        <v>1.0626913437795575</v>
      </c>
      <c r="DA954" t="e">
        <v>#N/A</v>
      </c>
      <c r="DB954" t="str">
        <v/>
      </c>
    </row>
    <row r="955" spans="83:106" x14ac:dyDescent="0.2">
      <c r="CE955"/>
      <c r="CF955"/>
      <c r="CG955"/>
      <c r="CH955"/>
      <c r="CI955"/>
      <c r="CU955" s="42">
        <v>950</v>
      </c>
      <c r="CV955" s="115">
        <v>3</v>
      </c>
      <c r="CW955" s="115">
        <v>1.0626913437795575</v>
      </c>
      <c r="CX955" s="115" t="e">
        <v>#N/A</v>
      </c>
      <c r="CY955" s="115" t="e">
        <v>#N/A</v>
      </c>
      <c r="CZ955" s="137">
        <v>1.0626913437795575</v>
      </c>
      <c r="DA955" t="e">
        <v>#N/A</v>
      </c>
      <c r="DB955" t="str">
        <v/>
      </c>
    </row>
    <row r="956" spans="83:106" x14ac:dyDescent="0.2">
      <c r="CE956"/>
      <c r="CF956"/>
      <c r="CG956"/>
      <c r="CH956"/>
      <c r="CI956"/>
      <c r="CU956" s="42">
        <v>951</v>
      </c>
      <c r="CV956" s="115">
        <v>3</v>
      </c>
      <c r="CW956" s="115">
        <v>1.0626913437795575</v>
      </c>
      <c r="CX956" s="115" t="e">
        <v>#N/A</v>
      </c>
      <c r="CY956" s="115" t="e">
        <v>#N/A</v>
      </c>
      <c r="CZ956" s="137">
        <v>1.0626913437795575</v>
      </c>
      <c r="DA956" t="e">
        <v>#N/A</v>
      </c>
      <c r="DB956" t="str">
        <v/>
      </c>
    </row>
    <row r="957" spans="83:106" x14ac:dyDescent="0.2">
      <c r="CE957"/>
      <c r="CF957"/>
      <c r="CG957"/>
      <c r="CH957"/>
      <c r="CI957"/>
      <c r="CU957" s="42">
        <v>952</v>
      </c>
      <c r="CV957" s="115">
        <v>3</v>
      </c>
      <c r="CW957" s="115">
        <v>1.0626913437795575</v>
      </c>
      <c r="CX957" s="115" t="e">
        <v>#N/A</v>
      </c>
      <c r="CY957" s="115" t="e">
        <v>#N/A</v>
      </c>
      <c r="CZ957" s="137">
        <v>1.0626913437795575</v>
      </c>
      <c r="DA957" t="e">
        <v>#N/A</v>
      </c>
      <c r="DB957" t="str">
        <v/>
      </c>
    </row>
    <row r="958" spans="83:106" x14ac:dyDescent="0.2">
      <c r="CE958"/>
      <c r="CF958"/>
      <c r="CG958"/>
      <c r="CH958"/>
      <c r="CI958"/>
      <c r="CU958" s="42">
        <v>953</v>
      </c>
      <c r="CV958" s="115">
        <v>3</v>
      </c>
      <c r="CW958" s="115">
        <v>1.0626913437795575</v>
      </c>
      <c r="CX958" s="115" t="e">
        <v>#N/A</v>
      </c>
      <c r="CY958" s="115" t="e">
        <v>#N/A</v>
      </c>
      <c r="CZ958" s="137">
        <v>1.0626913437795575</v>
      </c>
      <c r="DA958" t="e">
        <v>#N/A</v>
      </c>
      <c r="DB958" t="str">
        <v/>
      </c>
    </row>
    <row r="959" spans="83:106" x14ac:dyDescent="0.2">
      <c r="CE959"/>
      <c r="CF959"/>
      <c r="CG959"/>
      <c r="CH959"/>
      <c r="CI959"/>
      <c r="CU959" s="42">
        <v>954</v>
      </c>
      <c r="CV959" s="115">
        <v>3</v>
      </c>
      <c r="CW959" s="115">
        <v>1.0626913437795575</v>
      </c>
      <c r="CX959" s="115" t="e">
        <v>#N/A</v>
      </c>
      <c r="CY959" s="115" t="e">
        <v>#N/A</v>
      </c>
      <c r="CZ959" s="137">
        <v>1.0626913437795575</v>
      </c>
      <c r="DA959" t="e">
        <v>#N/A</v>
      </c>
      <c r="DB959" t="str">
        <v/>
      </c>
    </row>
    <row r="960" spans="83:106" x14ac:dyDescent="0.2">
      <c r="CE960"/>
      <c r="CF960"/>
      <c r="CG960"/>
      <c r="CH960"/>
      <c r="CI960"/>
      <c r="CU960" s="42">
        <v>955</v>
      </c>
      <c r="CV960" s="115">
        <v>3</v>
      </c>
      <c r="CW960" s="115">
        <v>1.0626913437795575</v>
      </c>
      <c r="CX960" s="115" t="e">
        <v>#N/A</v>
      </c>
      <c r="CY960" s="115" t="e">
        <v>#N/A</v>
      </c>
      <c r="CZ960" s="137">
        <v>1.0626913437795575</v>
      </c>
      <c r="DA960" t="e">
        <v>#N/A</v>
      </c>
      <c r="DB960" t="str">
        <v/>
      </c>
    </row>
    <row r="961" spans="83:106" x14ac:dyDescent="0.2">
      <c r="CE961"/>
      <c r="CF961"/>
      <c r="CG961"/>
      <c r="CH961"/>
      <c r="CI961"/>
      <c r="CU961" s="42">
        <v>956</v>
      </c>
      <c r="CV961" s="115">
        <v>3</v>
      </c>
      <c r="CW961" s="115">
        <v>1.0626913437795575</v>
      </c>
      <c r="CX961" s="115" t="e">
        <v>#N/A</v>
      </c>
      <c r="CY961" s="115" t="e">
        <v>#N/A</v>
      </c>
      <c r="CZ961" s="137">
        <v>1.0626913437795575</v>
      </c>
      <c r="DA961" t="e">
        <v>#N/A</v>
      </c>
      <c r="DB961" t="str">
        <v/>
      </c>
    </row>
    <row r="962" spans="83:106" x14ac:dyDescent="0.2">
      <c r="CE962"/>
      <c r="CF962"/>
      <c r="CG962"/>
      <c r="CH962"/>
      <c r="CI962"/>
      <c r="CU962" s="42">
        <v>957</v>
      </c>
      <c r="CV962" s="115">
        <v>3</v>
      </c>
      <c r="CW962" s="115">
        <v>1.0626913437795575</v>
      </c>
      <c r="CX962" s="115" t="e">
        <v>#N/A</v>
      </c>
      <c r="CY962" s="115" t="e">
        <v>#N/A</v>
      </c>
      <c r="CZ962" s="137">
        <v>1.0626913437795575</v>
      </c>
      <c r="DA962" t="e">
        <v>#N/A</v>
      </c>
      <c r="DB962" t="str">
        <v/>
      </c>
    </row>
    <row r="963" spans="83:106" x14ac:dyDescent="0.2">
      <c r="CE963"/>
      <c r="CF963"/>
      <c r="CG963"/>
      <c r="CH963"/>
      <c r="CI963"/>
      <c r="CU963" s="42">
        <v>958</v>
      </c>
      <c r="CV963" s="115">
        <v>3</v>
      </c>
      <c r="CW963" s="115">
        <v>1.0626913437795575</v>
      </c>
      <c r="CX963" s="115" t="e">
        <v>#N/A</v>
      </c>
      <c r="CY963" s="115" t="e">
        <v>#N/A</v>
      </c>
      <c r="CZ963" s="137">
        <v>1.0626913437795575</v>
      </c>
      <c r="DA963" t="e">
        <v>#N/A</v>
      </c>
      <c r="DB963" t="str">
        <v/>
      </c>
    </row>
    <row r="964" spans="83:106" x14ac:dyDescent="0.2">
      <c r="CE964"/>
      <c r="CF964"/>
      <c r="CG964"/>
      <c r="CH964"/>
      <c r="CI964"/>
      <c r="CU964" s="42">
        <v>959</v>
      </c>
      <c r="CV964" s="115">
        <v>3</v>
      </c>
      <c r="CW964" s="115">
        <v>1.0626913437795575</v>
      </c>
      <c r="CX964" s="115" t="e">
        <v>#N/A</v>
      </c>
      <c r="CY964" s="115" t="e">
        <v>#N/A</v>
      </c>
      <c r="CZ964" s="137">
        <v>1.0626913437795575</v>
      </c>
      <c r="DA964" t="e">
        <v>#N/A</v>
      </c>
      <c r="DB964" t="str">
        <v/>
      </c>
    </row>
    <row r="965" spans="83:106" x14ac:dyDescent="0.2">
      <c r="CE965"/>
      <c r="CF965"/>
      <c r="CG965"/>
      <c r="CH965"/>
      <c r="CI965"/>
      <c r="CU965" s="42">
        <v>960</v>
      </c>
      <c r="CV965" s="115">
        <v>3</v>
      </c>
      <c r="CW965" s="115">
        <v>1.0626913437795575</v>
      </c>
      <c r="CX965" s="115" t="e">
        <v>#N/A</v>
      </c>
      <c r="CY965" s="115" t="e">
        <v>#N/A</v>
      </c>
      <c r="CZ965" s="137">
        <v>1.0626913437795575</v>
      </c>
      <c r="DA965" t="e">
        <v>#N/A</v>
      </c>
      <c r="DB965" t="str">
        <v/>
      </c>
    </row>
    <row r="966" spans="83:106" x14ac:dyDescent="0.2">
      <c r="CE966"/>
      <c r="CF966"/>
      <c r="CG966"/>
      <c r="CH966"/>
      <c r="CI966"/>
      <c r="CU966" s="42">
        <v>961</v>
      </c>
      <c r="CV966" s="115">
        <v>3</v>
      </c>
      <c r="CW966" s="115">
        <v>1.0626913437795575</v>
      </c>
      <c r="CX966" s="115" t="e">
        <v>#N/A</v>
      </c>
      <c r="CY966" s="115" t="e">
        <v>#N/A</v>
      </c>
      <c r="CZ966" s="137">
        <v>1.0626913437795575</v>
      </c>
      <c r="DA966" t="e">
        <v>#N/A</v>
      </c>
      <c r="DB966" t="str">
        <v/>
      </c>
    </row>
    <row r="967" spans="83:106" x14ac:dyDescent="0.2">
      <c r="CE967"/>
      <c r="CF967"/>
      <c r="CG967"/>
      <c r="CH967"/>
      <c r="CI967"/>
      <c r="CU967" s="42">
        <v>962</v>
      </c>
      <c r="CV967" s="115">
        <v>3</v>
      </c>
      <c r="CW967" s="115">
        <v>1.0626913437795575</v>
      </c>
      <c r="CX967" s="115" t="e">
        <v>#N/A</v>
      </c>
      <c r="CY967" s="115" t="e">
        <v>#N/A</v>
      </c>
      <c r="CZ967" s="137">
        <v>1.0626913437795575</v>
      </c>
      <c r="DA967" t="e">
        <v>#N/A</v>
      </c>
      <c r="DB967" t="str">
        <v/>
      </c>
    </row>
    <row r="968" spans="83:106" x14ac:dyDescent="0.2">
      <c r="CE968"/>
      <c r="CF968"/>
      <c r="CG968"/>
      <c r="CH968"/>
      <c r="CI968"/>
      <c r="CU968" s="42">
        <v>963</v>
      </c>
      <c r="CV968" s="115">
        <v>3</v>
      </c>
      <c r="CW968" s="115">
        <v>1.0626913437795575</v>
      </c>
      <c r="CX968" s="115" t="e">
        <v>#N/A</v>
      </c>
      <c r="CY968" s="115" t="e">
        <v>#N/A</v>
      </c>
      <c r="CZ968" s="137">
        <v>1.0626913437795575</v>
      </c>
      <c r="DA968" t="e">
        <v>#N/A</v>
      </c>
      <c r="DB968" t="str">
        <v/>
      </c>
    </row>
    <row r="969" spans="83:106" x14ac:dyDescent="0.2">
      <c r="CE969"/>
      <c r="CF969"/>
      <c r="CG969"/>
      <c r="CH969"/>
      <c r="CI969"/>
      <c r="CU969" s="42">
        <v>964</v>
      </c>
      <c r="CV969" s="115">
        <v>3</v>
      </c>
      <c r="CW969" s="115">
        <v>1.0626913437795575</v>
      </c>
      <c r="CX969" s="115" t="e">
        <v>#N/A</v>
      </c>
      <c r="CY969" s="115" t="e">
        <v>#N/A</v>
      </c>
      <c r="CZ969" s="137">
        <v>1.0626913437795575</v>
      </c>
      <c r="DA969" t="e">
        <v>#N/A</v>
      </c>
      <c r="DB969" t="str">
        <v/>
      </c>
    </row>
    <row r="970" spans="83:106" x14ac:dyDescent="0.2">
      <c r="CE970"/>
      <c r="CF970"/>
      <c r="CG970"/>
      <c r="CH970"/>
      <c r="CI970"/>
      <c r="CU970" s="42">
        <v>965</v>
      </c>
      <c r="CV970" s="115">
        <v>3</v>
      </c>
      <c r="CW970" s="115">
        <v>1.0626913437795575</v>
      </c>
      <c r="CX970" s="115" t="e">
        <v>#N/A</v>
      </c>
      <c r="CY970" s="115" t="e">
        <v>#N/A</v>
      </c>
      <c r="CZ970" s="137">
        <v>1.0626913437795575</v>
      </c>
      <c r="DA970" t="e">
        <v>#N/A</v>
      </c>
      <c r="DB970" t="str">
        <v/>
      </c>
    </row>
    <row r="971" spans="83:106" x14ac:dyDescent="0.2">
      <c r="CE971"/>
      <c r="CF971"/>
      <c r="CG971"/>
      <c r="CH971"/>
      <c r="CI971"/>
      <c r="CU971" s="42">
        <v>966</v>
      </c>
      <c r="CV971" s="115">
        <v>3</v>
      </c>
      <c r="CW971" s="115">
        <v>1.0626913437795575</v>
      </c>
      <c r="CX971" s="115" t="e">
        <v>#N/A</v>
      </c>
      <c r="CY971" s="115" t="e">
        <v>#N/A</v>
      </c>
      <c r="CZ971" s="137">
        <v>1.0626913437795575</v>
      </c>
      <c r="DA971" t="e">
        <v>#N/A</v>
      </c>
      <c r="DB971" t="str">
        <v/>
      </c>
    </row>
    <row r="972" spans="83:106" x14ac:dyDescent="0.2">
      <c r="CE972"/>
      <c r="CF972"/>
      <c r="CG972"/>
      <c r="CH972"/>
      <c r="CI972"/>
      <c r="CU972" s="42">
        <v>967</v>
      </c>
      <c r="CV972" s="115">
        <v>3</v>
      </c>
      <c r="CW972" s="115">
        <v>1.0626913437795575</v>
      </c>
      <c r="CX972" s="115" t="e">
        <v>#N/A</v>
      </c>
      <c r="CY972" s="115" t="e">
        <v>#N/A</v>
      </c>
      <c r="CZ972" s="137">
        <v>1.0626913437795575</v>
      </c>
      <c r="DA972" t="e">
        <v>#N/A</v>
      </c>
      <c r="DB972" t="str">
        <v/>
      </c>
    </row>
    <row r="973" spans="83:106" x14ac:dyDescent="0.2">
      <c r="CE973"/>
      <c r="CF973"/>
      <c r="CG973"/>
      <c r="CH973"/>
      <c r="CI973"/>
      <c r="CU973" s="42">
        <v>968</v>
      </c>
      <c r="CV973" s="115">
        <v>3</v>
      </c>
      <c r="CW973" s="115">
        <v>1.0626913437795575</v>
      </c>
      <c r="CX973" s="115" t="e">
        <v>#N/A</v>
      </c>
      <c r="CY973" s="115" t="e">
        <v>#N/A</v>
      </c>
      <c r="CZ973" s="137">
        <v>1.0626913437795575</v>
      </c>
      <c r="DA973" t="e">
        <v>#N/A</v>
      </c>
      <c r="DB973" t="str">
        <v/>
      </c>
    </row>
    <row r="974" spans="83:106" x14ac:dyDescent="0.2">
      <c r="CE974"/>
      <c r="CF974"/>
      <c r="CG974"/>
      <c r="CH974"/>
      <c r="CI974"/>
      <c r="CU974" s="42">
        <v>969</v>
      </c>
      <c r="CV974" s="115">
        <v>3</v>
      </c>
      <c r="CW974" s="115">
        <v>1.0626913437795575</v>
      </c>
      <c r="CX974" s="115" t="e">
        <v>#N/A</v>
      </c>
      <c r="CY974" s="115" t="e">
        <v>#N/A</v>
      </c>
      <c r="CZ974" s="137">
        <v>1.0626913437795575</v>
      </c>
      <c r="DA974" t="e">
        <v>#N/A</v>
      </c>
      <c r="DB974" t="str">
        <v/>
      </c>
    </row>
    <row r="975" spans="83:106" x14ac:dyDescent="0.2">
      <c r="CE975"/>
      <c r="CF975"/>
      <c r="CG975"/>
      <c r="CH975"/>
      <c r="CI975"/>
      <c r="CU975" s="42">
        <v>970</v>
      </c>
      <c r="CV975" s="115">
        <v>3</v>
      </c>
      <c r="CW975" s="115">
        <v>1.0626913437795575</v>
      </c>
      <c r="CX975" s="115" t="e">
        <v>#N/A</v>
      </c>
      <c r="CY975" s="115" t="e">
        <v>#N/A</v>
      </c>
      <c r="CZ975" s="137">
        <v>1.0626913437795575</v>
      </c>
      <c r="DA975" t="e">
        <v>#N/A</v>
      </c>
      <c r="DB975" t="str">
        <v/>
      </c>
    </row>
    <row r="976" spans="83:106" x14ac:dyDescent="0.2">
      <c r="CE976"/>
      <c r="CF976"/>
      <c r="CG976"/>
      <c r="CH976"/>
      <c r="CI976"/>
      <c r="CU976" s="42">
        <v>971</v>
      </c>
      <c r="CV976" s="115">
        <v>3</v>
      </c>
      <c r="CW976" s="115">
        <v>1.0626913437795575</v>
      </c>
      <c r="CX976" s="115" t="e">
        <v>#N/A</v>
      </c>
      <c r="CY976" s="115" t="e">
        <v>#N/A</v>
      </c>
      <c r="CZ976" s="137">
        <v>1.0626913437795575</v>
      </c>
      <c r="DA976" t="e">
        <v>#N/A</v>
      </c>
      <c r="DB976" t="str">
        <v/>
      </c>
    </row>
    <row r="977" spans="83:106" x14ac:dyDescent="0.2">
      <c r="CE977"/>
      <c r="CF977"/>
      <c r="CG977"/>
      <c r="CH977"/>
      <c r="CI977"/>
      <c r="CU977" s="42">
        <v>972</v>
      </c>
      <c r="CV977" s="115">
        <v>3</v>
      </c>
      <c r="CW977" s="115">
        <v>1.0626913437795575</v>
      </c>
      <c r="CX977" s="115" t="e">
        <v>#N/A</v>
      </c>
      <c r="CY977" s="115" t="e">
        <v>#N/A</v>
      </c>
      <c r="CZ977" s="137">
        <v>1.0626913437795575</v>
      </c>
      <c r="DA977" t="e">
        <v>#N/A</v>
      </c>
      <c r="DB977" t="str">
        <v/>
      </c>
    </row>
    <row r="978" spans="83:106" x14ac:dyDescent="0.2">
      <c r="CE978"/>
      <c r="CF978"/>
      <c r="CG978"/>
      <c r="CH978"/>
      <c r="CI978"/>
      <c r="CU978" s="42">
        <v>973</v>
      </c>
      <c r="CV978" s="115">
        <v>3</v>
      </c>
      <c r="CW978" s="115">
        <v>1.0626913437795575</v>
      </c>
      <c r="CX978" s="115" t="e">
        <v>#N/A</v>
      </c>
      <c r="CY978" s="115" t="e">
        <v>#N/A</v>
      </c>
      <c r="CZ978" s="137">
        <v>1.0626913437795575</v>
      </c>
      <c r="DA978" t="e">
        <v>#N/A</v>
      </c>
      <c r="DB978" t="str">
        <v/>
      </c>
    </row>
    <row r="979" spans="83:106" x14ac:dyDescent="0.2">
      <c r="CE979"/>
      <c r="CF979"/>
      <c r="CG979"/>
      <c r="CH979"/>
      <c r="CI979"/>
      <c r="CU979" s="42">
        <v>974</v>
      </c>
      <c r="CV979" s="115">
        <v>3</v>
      </c>
      <c r="CW979" s="115">
        <v>1.0626913437795575</v>
      </c>
      <c r="CX979" s="115" t="e">
        <v>#N/A</v>
      </c>
      <c r="CY979" s="115" t="e">
        <v>#N/A</v>
      </c>
      <c r="CZ979" s="137">
        <v>1.0626913437795575</v>
      </c>
      <c r="DA979" t="e">
        <v>#N/A</v>
      </c>
      <c r="DB979" t="str">
        <v/>
      </c>
    </row>
    <row r="980" spans="83:106" x14ac:dyDescent="0.2">
      <c r="CE980"/>
      <c r="CF980"/>
      <c r="CG980"/>
      <c r="CH980"/>
      <c r="CI980"/>
      <c r="CU980" s="42">
        <v>975</v>
      </c>
      <c r="CV980" s="115">
        <v>3</v>
      </c>
      <c r="CW980" s="115">
        <v>1.0626913437795575</v>
      </c>
      <c r="CX980" s="115" t="e">
        <v>#N/A</v>
      </c>
      <c r="CY980" s="115" t="e">
        <v>#N/A</v>
      </c>
      <c r="CZ980" s="137">
        <v>1.0626913437795575</v>
      </c>
      <c r="DA980" t="e">
        <v>#N/A</v>
      </c>
      <c r="DB980" t="str">
        <v/>
      </c>
    </row>
    <row r="981" spans="83:106" x14ac:dyDescent="0.2">
      <c r="CE981"/>
      <c r="CF981"/>
      <c r="CG981"/>
      <c r="CH981"/>
      <c r="CI981"/>
      <c r="CU981" s="42">
        <v>976</v>
      </c>
      <c r="CV981" s="115">
        <v>3</v>
      </c>
      <c r="CW981" s="115">
        <v>1.0626913437795575</v>
      </c>
      <c r="CX981" s="115" t="e">
        <v>#N/A</v>
      </c>
      <c r="CY981" s="115" t="e">
        <v>#N/A</v>
      </c>
      <c r="CZ981" s="137">
        <v>1.0626913437795575</v>
      </c>
      <c r="DA981" t="e">
        <v>#N/A</v>
      </c>
      <c r="DB981" t="str">
        <v/>
      </c>
    </row>
    <row r="982" spans="83:106" x14ac:dyDescent="0.2">
      <c r="CE982"/>
      <c r="CF982"/>
      <c r="CG982"/>
      <c r="CH982"/>
      <c r="CI982"/>
      <c r="CU982" s="42">
        <v>977</v>
      </c>
      <c r="CV982" s="115">
        <v>3</v>
      </c>
      <c r="CW982" s="115">
        <v>1.0626913437795575</v>
      </c>
      <c r="CX982" s="115" t="e">
        <v>#N/A</v>
      </c>
      <c r="CY982" s="115" t="e">
        <v>#N/A</v>
      </c>
      <c r="CZ982" s="137">
        <v>1.0626913437795575</v>
      </c>
      <c r="DA982" t="e">
        <v>#N/A</v>
      </c>
      <c r="DB982" t="str">
        <v/>
      </c>
    </row>
    <row r="983" spans="83:106" x14ac:dyDescent="0.2">
      <c r="CE983"/>
      <c r="CF983"/>
      <c r="CG983"/>
      <c r="CH983"/>
      <c r="CI983"/>
      <c r="CU983" s="42">
        <v>978</v>
      </c>
      <c r="CV983" s="115">
        <v>3</v>
      </c>
      <c r="CW983" s="115">
        <v>1.0626913437795575</v>
      </c>
      <c r="CX983" s="115" t="e">
        <v>#N/A</v>
      </c>
      <c r="CY983" s="115" t="e">
        <v>#N/A</v>
      </c>
      <c r="CZ983" s="137">
        <v>1.0626913437795575</v>
      </c>
      <c r="DA983" t="e">
        <v>#N/A</v>
      </c>
      <c r="DB983" t="str">
        <v/>
      </c>
    </row>
    <row r="984" spans="83:106" x14ac:dyDescent="0.2">
      <c r="CE984"/>
      <c r="CF984"/>
      <c r="CG984"/>
      <c r="CH984"/>
      <c r="CI984"/>
      <c r="CU984" s="42">
        <v>979</v>
      </c>
      <c r="CV984" s="115">
        <v>3</v>
      </c>
      <c r="CW984" s="115">
        <v>1.0626913437795575</v>
      </c>
      <c r="CX984" s="115" t="e">
        <v>#N/A</v>
      </c>
      <c r="CY984" s="115" t="e">
        <v>#N/A</v>
      </c>
      <c r="CZ984" s="137">
        <v>1.0626913437795575</v>
      </c>
      <c r="DA984" t="e">
        <v>#N/A</v>
      </c>
      <c r="DB984" t="str">
        <v/>
      </c>
    </row>
    <row r="985" spans="83:106" x14ac:dyDescent="0.2">
      <c r="CE985"/>
      <c r="CF985"/>
      <c r="CG985"/>
      <c r="CH985"/>
      <c r="CI985"/>
      <c r="CU985" s="42">
        <v>980</v>
      </c>
      <c r="CV985" s="115">
        <v>3</v>
      </c>
      <c r="CW985" s="115">
        <v>1.0626913437795575</v>
      </c>
      <c r="CX985" s="115" t="e">
        <v>#N/A</v>
      </c>
      <c r="CY985" s="115" t="e">
        <v>#N/A</v>
      </c>
      <c r="CZ985" s="137">
        <v>1.0626913437795575</v>
      </c>
      <c r="DA985" t="e">
        <v>#N/A</v>
      </c>
      <c r="DB985" t="str">
        <v/>
      </c>
    </row>
    <row r="986" spans="83:106" x14ac:dyDescent="0.2">
      <c r="CE986"/>
      <c r="CF986"/>
      <c r="CG986"/>
      <c r="CH986"/>
      <c r="CI986"/>
      <c r="CU986" s="42">
        <v>981</v>
      </c>
      <c r="CV986" s="115">
        <v>3</v>
      </c>
      <c r="CW986" s="115">
        <v>1.0626913437795575</v>
      </c>
      <c r="CX986" s="115" t="e">
        <v>#N/A</v>
      </c>
      <c r="CY986" s="115" t="e">
        <v>#N/A</v>
      </c>
      <c r="CZ986" s="137">
        <v>1.0626913437795575</v>
      </c>
      <c r="DA986" t="e">
        <v>#N/A</v>
      </c>
      <c r="DB986" t="str">
        <v/>
      </c>
    </row>
    <row r="987" spans="83:106" x14ac:dyDescent="0.2">
      <c r="CE987"/>
      <c r="CF987"/>
      <c r="CG987"/>
      <c r="CH987"/>
      <c r="CI987"/>
      <c r="CU987" s="42">
        <v>982</v>
      </c>
      <c r="CV987" s="115">
        <v>3</v>
      </c>
      <c r="CW987" s="115">
        <v>1.0626913437795575</v>
      </c>
      <c r="CX987" s="115" t="e">
        <v>#N/A</v>
      </c>
      <c r="CY987" s="115" t="e">
        <v>#N/A</v>
      </c>
      <c r="CZ987" s="137">
        <v>1.0626913437795575</v>
      </c>
      <c r="DA987" t="e">
        <v>#N/A</v>
      </c>
      <c r="DB987" t="str">
        <v/>
      </c>
    </row>
    <row r="988" spans="83:106" x14ac:dyDescent="0.2">
      <c r="CE988"/>
      <c r="CF988"/>
      <c r="CG988"/>
      <c r="CH988"/>
      <c r="CI988"/>
      <c r="CU988" s="42">
        <v>983</v>
      </c>
      <c r="CV988" s="115">
        <v>3</v>
      </c>
      <c r="CW988" s="115">
        <v>1.0626913437795575</v>
      </c>
      <c r="CX988" s="115" t="e">
        <v>#N/A</v>
      </c>
      <c r="CY988" s="115" t="e">
        <v>#N/A</v>
      </c>
      <c r="CZ988" s="137">
        <v>1.0626913437795575</v>
      </c>
      <c r="DA988" t="e">
        <v>#N/A</v>
      </c>
      <c r="DB988" t="str">
        <v/>
      </c>
    </row>
    <row r="989" spans="83:106" x14ac:dyDescent="0.2">
      <c r="CE989"/>
      <c r="CF989"/>
      <c r="CG989"/>
      <c r="CH989"/>
      <c r="CI989"/>
      <c r="CU989" s="42">
        <v>984</v>
      </c>
      <c r="CV989" s="115">
        <v>3</v>
      </c>
      <c r="CW989" s="115">
        <v>1.0626913437795575</v>
      </c>
      <c r="CX989" s="115" t="e">
        <v>#N/A</v>
      </c>
      <c r="CY989" s="115" t="e">
        <v>#N/A</v>
      </c>
      <c r="CZ989" s="137">
        <v>1.0626913437795575</v>
      </c>
      <c r="DA989" t="e">
        <v>#N/A</v>
      </c>
      <c r="DB989" t="str">
        <v/>
      </c>
    </row>
    <row r="990" spans="83:106" x14ac:dyDescent="0.2">
      <c r="CE990"/>
      <c r="CF990"/>
      <c r="CG990"/>
      <c r="CH990"/>
      <c r="CI990"/>
      <c r="CU990" s="42">
        <v>985</v>
      </c>
      <c r="CV990" s="115">
        <v>3</v>
      </c>
      <c r="CW990" s="115">
        <v>1.0626913437795575</v>
      </c>
      <c r="CX990" s="115" t="e">
        <v>#N/A</v>
      </c>
      <c r="CY990" s="115" t="e">
        <v>#N/A</v>
      </c>
      <c r="CZ990" s="137">
        <v>1.0626913437795575</v>
      </c>
      <c r="DA990" t="e">
        <v>#N/A</v>
      </c>
      <c r="DB990" t="str">
        <v/>
      </c>
    </row>
    <row r="991" spans="83:106" x14ac:dyDescent="0.2">
      <c r="CE991"/>
      <c r="CF991"/>
      <c r="CG991"/>
      <c r="CH991"/>
      <c r="CI991"/>
      <c r="CU991" s="42">
        <v>986</v>
      </c>
      <c r="CV991" s="115">
        <v>3</v>
      </c>
      <c r="CW991" s="115">
        <v>1.0626913437795575</v>
      </c>
      <c r="CX991" s="115" t="e">
        <v>#N/A</v>
      </c>
      <c r="CY991" s="115" t="e">
        <v>#N/A</v>
      </c>
      <c r="CZ991" s="137">
        <v>1.0626913437795575</v>
      </c>
      <c r="DA991" t="e">
        <v>#N/A</v>
      </c>
      <c r="DB991" t="str">
        <v/>
      </c>
    </row>
    <row r="992" spans="83:106" x14ac:dyDescent="0.2">
      <c r="CE992"/>
      <c r="CF992"/>
      <c r="CG992"/>
      <c r="CH992"/>
      <c r="CI992"/>
      <c r="CU992" s="42">
        <v>987</v>
      </c>
      <c r="CV992" s="115">
        <v>3</v>
      </c>
      <c r="CW992" s="115">
        <v>1.0626913437795575</v>
      </c>
      <c r="CX992" s="115" t="e">
        <v>#N/A</v>
      </c>
      <c r="CY992" s="115" t="e">
        <v>#N/A</v>
      </c>
      <c r="CZ992" s="137">
        <v>1.0626913437795575</v>
      </c>
      <c r="DA992" t="e">
        <v>#N/A</v>
      </c>
      <c r="DB992" t="str">
        <v/>
      </c>
    </row>
    <row r="993" spans="83:106" x14ac:dyDescent="0.2">
      <c r="CE993"/>
      <c r="CF993"/>
      <c r="CG993"/>
      <c r="CH993"/>
      <c r="CI993"/>
      <c r="CU993" s="42">
        <v>988</v>
      </c>
      <c r="CV993" s="115">
        <v>3</v>
      </c>
      <c r="CW993" s="115">
        <v>1.0626913437795575</v>
      </c>
      <c r="CX993" s="115" t="e">
        <v>#N/A</v>
      </c>
      <c r="CY993" s="115" t="e">
        <v>#N/A</v>
      </c>
      <c r="CZ993" s="137">
        <v>1.0626913437795575</v>
      </c>
      <c r="DA993" t="e">
        <v>#N/A</v>
      </c>
      <c r="DB993" t="str">
        <v/>
      </c>
    </row>
    <row r="994" spans="83:106" x14ac:dyDescent="0.2">
      <c r="CE994"/>
      <c r="CF994"/>
      <c r="CG994"/>
      <c r="CH994"/>
      <c r="CI994"/>
      <c r="CU994" s="42">
        <v>989</v>
      </c>
      <c r="CV994" s="115">
        <v>3</v>
      </c>
      <c r="CW994" s="115">
        <v>1.0626913437795575</v>
      </c>
      <c r="CX994" s="115" t="e">
        <v>#N/A</v>
      </c>
      <c r="CY994" s="115" t="e">
        <v>#N/A</v>
      </c>
      <c r="CZ994" s="137">
        <v>1.0626913437795575</v>
      </c>
      <c r="DA994" t="e">
        <v>#N/A</v>
      </c>
      <c r="DB994" t="str">
        <v/>
      </c>
    </row>
    <row r="995" spans="83:106" x14ac:dyDescent="0.2">
      <c r="CE995"/>
      <c r="CF995"/>
      <c r="CG995"/>
      <c r="CH995"/>
      <c r="CI995"/>
      <c r="CU995" s="42">
        <v>990</v>
      </c>
      <c r="CV995" s="115">
        <v>3</v>
      </c>
      <c r="CW995" s="115">
        <v>1.0626913437795575</v>
      </c>
      <c r="CX995" s="115" t="e">
        <v>#N/A</v>
      </c>
      <c r="CY995" s="115" t="e">
        <v>#N/A</v>
      </c>
      <c r="CZ995" s="137">
        <v>1.0626913437795575</v>
      </c>
      <c r="DA995" t="e">
        <v>#N/A</v>
      </c>
      <c r="DB995" t="str">
        <v/>
      </c>
    </row>
    <row r="996" spans="83:106" x14ac:dyDescent="0.2">
      <c r="CE996"/>
      <c r="CF996"/>
      <c r="CG996"/>
      <c r="CH996"/>
      <c r="CI996"/>
      <c r="CU996" s="42">
        <v>991</v>
      </c>
      <c r="CV996" s="115">
        <v>3</v>
      </c>
      <c r="CW996" s="115">
        <v>1.0626913437795575</v>
      </c>
      <c r="CX996" s="115" t="e">
        <v>#N/A</v>
      </c>
      <c r="CY996" s="115" t="e">
        <v>#N/A</v>
      </c>
      <c r="CZ996" s="137">
        <v>1.0626913437795575</v>
      </c>
      <c r="DA996" t="e">
        <v>#N/A</v>
      </c>
      <c r="DB996" t="str">
        <v/>
      </c>
    </row>
    <row r="997" spans="83:106" x14ac:dyDescent="0.2">
      <c r="CE997"/>
      <c r="CF997"/>
      <c r="CG997"/>
      <c r="CH997"/>
      <c r="CI997"/>
      <c r="CU997" s="42">
        <v>992</v>
      </c>
      <c r="CV997" s="115">
        <v>3</v>
      </c>
      <c r="CW997" s="115">
        <v>1.0626913437795575</v>
      </c>
      <c r="CX997" s="115" t="e">
        <v>#N/A</v>
      </c>
      <c r="CY997" s="115" t="e">
        <v>#N/A</v>
      </c>
      <c r="CZ997" s="137">
        <v>1.0626913437795575</v>
      </c>
      <c r="DA997" t="e">
        <v>#N/A</v>
      </c>
      <c r="DB997" t="str">
        <v/>
      </c>
    </row>
    <row r="998" spans="83:106" x14ac:dyDescent="0.2">
      <c r="CE998"/>
      <c r="CF998"/>
      <c r="CG998"/>
      <c r="CH998"/>
      <c r="CI998"/>
      <c r="CU998" s="42">
        <v>993</v>
      </c>
      <c r="CV998" s="115">
        <v>3</v>
      </c>
      <c r="CW998" s="115">
        <v>1.0626913437795575</v>
      </c>
      <c r="CX998" s="115" t="e">
        <v>#N/A</v>
      </c>
      <c r="CY998" s="115" t="e">
        <v>#N/A</v>
      </c>
      <c r="CZ998" s="137">
        <v>1.0626913437795575</v>
      </c>
      <c r="DA998" t="e">
        <v>#N/A</v>
      </c>
      <c r="DB998" t="str">
        <v/>
      </c>
    </row>
    <row r="999" spans="83:106" x14ac:dyDescent="0.2">
      <c r="CE999"/>
      <c r="CF999"/>
      <c r="CG999"/>
      <c r="CH999"/>
      <c r="CI999"/>
      <c r="CU999" s="42">
        <v>994</v>
      </c>
      <c r="CV999" s="115">
        <v>3</v>
      </c>
      <c r="CW999" s="115">
        <v>1.0626913437795575</v>
      </c>
      <c r="CX999" s="115" t="e">
        <v>#N/A</v>
      </c>
      <c r="CY999" s="115" t="e">
        <v>#N/A</v>
      </c>
      <c r="CZ999" s="137">
        <v>1.0626913437795575</v>
      </c>
      <c r="DA999" t="e">
        <v>#N/A</v>
      </c>
      <c r="DB999" t="str">
        <v/>
      </c>
    </row>
    <row r="1000" spans="83:106" x14ac:dyDescent="0.2">
      <c r="CE1000"/>
      <c r="CF1000"/>
      <c r="CG1000"/>
      <c r="CH1000"/>
      <c r="CI1000"/>
      <c r="CU1000" s="42">
        <v>995</v>
      </c>
      <c r="CV1000" s="115">
        <v>3</v>
      </c>
      <c r="CW1000" s="115">
        <v>1.0626913437795575</v>
      </c>
      <c r="CX1000" s="115" t="e">
        <v>#N/A</v>
      </c>
      <c r="CY1000" s="115" t="e">
        <v>#N/A</v>
      </c>
      <c r="CZ1000" s="137">
        <v>1.0626913437795575</v>
      </c>
      <c r="DA1000" t="e">
        <v>#N/A</v>
      </c>
      <c r="DB1000" t="str">
        <v/>
      </c>
    </row>
    <row r="1001" spans="83:106" x14ac:dyDescent="0.2">
      <c r="CE1001"/>
      <c r="CF1001"/>
      <c r="CG1001"/>
      <c r="CH1001"/>
      <c r="CI1001"/>
      <c r="CU1001" s="42">
        <v>996</v>
      </c>
      <c r="CV1001" s="115">
        <v>3</v>
      </c>
      <c r="CW1001" s="115">
        <v>1.0626913437795575</v>
      </c>
      <c r="CX1001" s="115" t="e">
        <v>#N/A</v>
      </c>
      <c r="CY1001" s="115" t="e">
        <v>#N/A</v>
      </c>
      <c r="CZ1001" s="137">
        <v>1.0626913437795575</v>
      </c>
      <c r="DA1001" t="e">
        <v>#N/A</v>
      </c>
      <c r="DB1001" t="str">
        <v/>
      </c>
    </row>
    <row r="1002" spans="83:106" x14ac:dyDescent="0.2">
      <c r="CE1002"/>
      <c r="CF1002"/>
      <c r="CG1002"/>
      <c r="CH1002"/>
      <c r="CI1002"/>
      <c r="CU1002" s="42">
        <v>997</v>
      </c>
      <c r="CV1002" s="115">
        <v>3</v>
      </c>
      <c r="CW1002" s="115">
        <v>1.0626913437795575</v>
      </c>
      <c r="CX1002" s="115" t="e">
        <v>#N/A</v>
      </c>
      <c r="CY1002" s="115" t="e">
        <v>#N/A</v>
      </c>
      <c r="CZ1002" s="137">
        <v>1.0626913437795575</v>
      </c>
      <c r="DA1002" t="e">
        <v>#N/A</v>
      </c>
      <c r="DB1002" t="str">
        <v/>
      </c>
    </row>
    <row r="1003" spans="83:106" x14ac:dyDescent="0.2">
      <c r="CE1003"/>
      <c r="CF1003"/>
      <c r="CG1003"/>
      <c r="CH1003"/>
      <c r="CI1003"/>
      <c r="CU1003" s="42">
        <v>998</v>
      </c>
      <c r="CV1003" s="115">
        <v>3</v>
      </c>
      <c r="CW1003" s="115">
        <v>1.0626913437795575</v>
      </c>
      <c r="CX1003" s="115" t="e">
        <v>#N/A</v>
      </c>
      <c r="CY1003" s="115" t="e">
        <v>#N/A</v>
      </c>
      <c r="CZ1003" s="137">
        <v>1.0626913437795575</v>
      </c>
      <c r="DA1003" t="e">
        <v>#N/A</v>
      </c>
      <c r="DB1003" t="str">
        <v/>
      </c>
    </row>
    <row r="1004" spans="83:106" x14ac:dyDescent="0.2">
      <c r="CE1004"/>
      <c r="CF1004"/>
      <c r="CG1004"/>
      <c r="CH1004"/>
      <c r="CI1004"/>
      <c r="CU1004" s="42">
        <v>999</v>
      </c>
      <c r="CV1004" s="115">
        <v>3</v>
      </c>
      <c r="CW1004" s="115">
        <v>1.0626913437795575</v>
      </c>
      <c r="CX1004" s="115" t="e">
        <v>#N/A</v>
      </c>
      <c r="CY1004" s="115" t="e">
        <v>#N/A</v>
      </c>
      <c r="CZ1004" s="137">
        <v>1.0626913437795575</v>
      </c>
      <c r="DA1004" t="e">
        <v>#N/A</v>
      </c>
      <c r="DB1004" t="str">
        <v/>
      </c>
    </row>
    <row r="1005" spans="83:106" x14ac:dyDescent="0.2">
      <c r="CE1005"/>
      <c r="CF1005"/>
      <c r="CG1005"/>
      <c r="CH1005"/>
      <c r="CI1005"/>
      <c r="CU1005" s="42">
        <v>1000</v>
      </c>
      <c r="CV1005" s="115">
        <v>3</v>
      </c>
      <c r="CW1005" s="115">
        <v>1.0626913437795575</v>
      </c>
      <c r="CX1005" s="115" t="e">
        <v>#N/A</v>
      </c>
      <c r="CY1005" s="115" t="e">
        <v>#N/A</v>
      </c>
      <c r="CZ1005" s="137">
        <v>1.0626913437795575</v>
      </c>
      <c r="DA1005" t="e">
        <v>#N/A</v>
      </c>
      <c r="DB1005" t="str">
        <v/>
      </c>
    </row>
    <row r="1006" spans="83:106" x14ac:dyDescent="0.2">
      <c r="CE1006"/>
      <c r="CF1006"/>
      <c r="CG1006"/>
      <c r="CH1006"/>
      <c r="CI1006"/>
      <c r="CU1006" s="42">
        <v>1001</v>
      </c>
      <c r="CV1006" s="115">
        <v>3</v>
      </c>
      <c r="CW1006" s="115">
        <v>1.0626913437795575</v>
      </c>
      <c r="CX1006" s="115" t="e">
        <v>#N/A</v>
      </c>
      <c r="CY1006" s="115" t="e">
        <v>#N/A</v>
      </c>
      <c r="CZ1006" s="137">
        <v>1.0626913437795575</v>
      </c>
      <c r="DA1006" t="e">
        <v>#N/A</v>
      </c>
      <c r="DB1006" t="str">
        <v/>
      </c>
    </row>
    <row r="1007" spans="83:106" x14ac:dyDescent="0.2">
      <c r="CE1007"/>
      <c r="CF1007"/>
      <c r="CG1007"/>
      <c r="CH1007"/>
      <c r="CI1007"/>
      <c r="CU1007" s="42">
        <v>1002</v>
      </c>
      <c r="CV1007" s="115">
        <v>3</v>
      </c>
      <c r="CW1007" s="115">
        <v>1.0626913437795575</v>
      </c>
      <c r="CX1007" s="115" t="e">
        <v>#N/A</v>
      </c>
      <c r="CY1007" s="115" t="e">
        <v>#N/A</v>
      </c>
      <c r="CZ1007" s="137">
        <v>1.0626913437795575</v>
      </c>
      <c r="DA1007" t="e">
        <v>#N/A</v>
      </c>
      <c r="DB1007" t="str">
        <v/>
      </c>
    </row>
    <row r="1008" spans="83:106" x14ac:dyDescent="0.2">
      <c r="CE1008"/>
      <c r="CF1008"/>
      <c r="CG1008"/>
      <c r="CH1008"/>
      <c r="CI1008"/>
      <c r="CU1008" s="42">
        <v>1003</v>
      </c>
      <c r="CV1008" s="115">
        <v>3</v>
      </c>
      <c r="CW1008" s="115">
        <v>1.0626913437795575</v>
      </c>
      <c r="CX1008" s="115" t="e">
        <v>#N/A</v>
      </c>
      <c r="CY1008" s="115" t="e">
        <v>#N/A</v>
      </c>
      <c r="CZ1008" s="137">
        <v>1.0626913437795575</v>
      </c>
      <c r="DA1008" t="e">
        <v>#N/A</v>
      </c>
      <c r="DB1008" t="str">
        <v/>
      </c>
    </row>
    <row r="1009" spans="83:106" x14ac:dyDescent="0.2">
      <c r="CE1009"/>
      <c r="CF1009"/>
      <c r="CG1009"/>
      <c r="CH1009"/>
      <c r="CI1009"/>
      <c r="CU1009" s="42">
        <v>1004</v>
      </c>
      <c r="CV1009" s="115">
        <v>3</v>
      </c>
      <c r="CW1009" s="115">
        <v>1.0626913437795575</v>
      </c>
      <c r="CX1009" s="115" t="e">
        <v>#N/A</v>
      </c>
      <c r="CY1009" s="115" t="e">
        <v>#N/A</v>
      </c>
      <c r="CZ1009" s="137">
        <v>1.0626913437795575</v>
      </c>
      <c r="DA1009" t="e">
        <v>#N/A</v>
      </c>
      <c r="DB1009" t="str">
        <v/>
      </c>
    </row>
    <row r="1010" spans="83:106" x14ac:dyDescent="0.2">
      <c r="CE1010"/>
      <c r="CF1010"/>
      <c r="CG1010"/>
      <c r="CH1010"/>
      <c r="CI1010"/>
      <c r="CU1010" s="42">
        <v>1005</v>
      </c>
      <c r="CV1010" s="115">
        <v>3</v>
      </c>
      <c r="CW1010" s="115">
        <v>1.0626913437795575</v>
      </c>
      <c r="CX1010" s="115" t="e">
        <v>#N/A</v>
      </c>
      <c r="CY1010" s="115" t="e">
        <v>#N/A</v>
      </c>
      <c r="CZ1010" s="137">
        <v>1.0626913437795575</v>
      </c>
      <c r="DA1010" t="e">
        <v>#N/A</v>
      </c>
      <c r="DB1010" t="str">
        <v/>
      </c>
    </row>
    <row r="1011" spans="83:106" x14ac:dyDescent="0.2">
      <c r="CE1011"/>
      <c r="CF1011"/>
      <c r="CG1011"/>
      <c r="CH1011"/>
      <c r="CI1011"/>
      <c r="CU1011" s="42">
        <v>1006</v>
      </c>
      <c r="CV1011" s="115">
        <v>3</v>
      </c>
      <c r="CW1011" s="115">
        <v>1.0626913437795575</v>
      </c>
      <c r="CX1011" s="115" t="e">
        <v>#N/A</v>
      </c>
      <c r="CY1011" s="115" t="e">
        <v>#N/A</v>
      </c>
      <c r="CZ1011" s="137">
        <v>1.0626913437795575</v>
      </c>
      <c r="DA1011" t="e">
        <v>#N/A</v>
      </c>
      <c r="DB1011" t="str">
        <v/>
      </c>
    </row>
    <row r="1012" spans="83:106" x14ac:dyDescent="0.2">
      <c r="CE1012"/>
      <c r="CF1012"/>
      <c r="CG1012"/>
      <c r="CH1012"/>
      <c r="CI1012"/>
      <c r="CU1012" s="42">
        <v>1007</v>
      </c>
      <c r="CV1012" s="115">
        <v>3</v>
      </c>
      <c r="CW1012" s="115">
        <v>1.0626913437795575</v>
      </c>
      <c r="CX1012" s="115" t="e">
        <v>#N/A</v>
      </c>
      <c r="CY1012" s="115" t="e">
        <v>#N/A</v>
      </c>
      <c r="CZ1012" s="137">
        <v>1.0626913437795575</v>
      </c>
      <c r="DA1012" t="e">
        <v>#N/A</v>
      </c>
      <c r="DB1012" t="str">
        <v/>
      </c>
    </row>
    <row r="1013" spans="83:106" x14ac:dyDescent="0.2">
      <c r="CE1013"/>
      <c r="CF1013"/>
      <c r="CG1013"/>
      <c r="CH1013"/>
      <c r="CI1013"/>
      <c r="CU1013" s="42">
        <v>1008</v>
      </c>
      <c r="CV1013" s="115">
        <v>3</v>
      </c>
      <c r="CW1013" s="115">
        <v>1.0626913437795575</v>
      </c>
      <c r="CX1013" s="115" t="e">
        <v>#N/A</v>
      </c>
      <c r="CY1013" s="115" t="e">
        <v>#N/A</v>
      </c>
      <c r="CZ1013" s="137">
        <v>1.0626913437795575</v>
      </c>
      <c r="DA1013" t="e">
        <v>#N/A</v>
      </c>
      <c r="DB1013" t="str">
        <v/>
      </c>
    </row>
    <row r="1014" spans="83:106" x14ac:dyDescent="0.2">
      <c r="CE1014"/>
      <c r="CF1014"/>
      <c r="CG1014"/>
      <c r="CH1014"/>
      <c r="CI1014"/>
      <c r="CU1014" s="42">
        <v>1009</v>
      </c>
      <c r="CV1014" s="115">
        <v>3</v>
      </c>
      <c r="CW1014" s="115">
        <v>1.0626913437795575</v>
      </c>
      <c r="CX1014" s="115" t="e">
        <v>#N/A</v>
      </c>
      <c r="CY1014" s="115" t="e">
        <v>#N/A</v>
      </c>
      <c r="CZ1014" s="137">
        <v>1.0626913437795575</v>
      </c>
      <c r="DA1014" t="e">
        <v>#N/A</v>
      </c>
      <c r="DB1014" t="str">
        <v/>
      </c>
    </row>
    <row r="1015" spans="83:106" x14ac:dyDescent="0.2">
      <c r="CE1015"/>
      <c r="CF1015"/>
      <c r="CG1015"/>
      <c r="CH1015"/>
      <c r="CI1015"/>
      <c r="CU1015" s="42">
        <v>1010</v>
      </c>
      <c r="CV1015" s="115">
        <v>3</v>
      </c>
      <c r="CW1015" s="115">
        <v>1.0626913437795575</v>
      </c>
      <c r="CX1015" s="115" t="e">
        <v>#N/A</v>
      </c>
      <c r="CY1015" s="115" t="e">
        <v>#N/A</v>
      </c>
      <c r="CZ1015" s="137">
        <v>1.0626913437795575</v>
      </c>
      <c r="DA1015" t="e">
        <v>#N/A</v>
      </c>
      <c r="DB1015" t="str">
        <v/>
      </c>
    </row>
    <row r="1016" spans="83:106" x14ac:dyDescent="0.2">
      <c r="CE1016"/>
      <c r="CF1016"/>
      <c r="CG1016"/>
      <c r="CH1016"/>
      <c r="CI1016"/>
      <c r="CU1016" s="42">
        <v>1011</v>
      </c>
      <c r="CV1016" s="115">
        <v>3</v>
      </c>
      <c r="CW1016" s="115">
        <v>1.0626913437795575</v>
      </c>
      <c r="CX1016" s="115" t="e">
        <v>#N/A</v>
      </c>
      <c r="CY1016" s="115" t="e">
        <v>#N/A</v>
      </c>
      <c r="CZ1016" s="137">
        <v>1.0626913437795575</v>
      </c>
      <c r="DA1016" t="e">
        <v>#N/A</v>
      </c>
      <c r="DB1016" t="str">
        <v/>
      </c>
    </row>
    <row r="1017" spans="83:106" x14ac:dyDescent="0.2">
      <c r="CE1017"/>
      <c r="CF1017"/>
      <c r="CG1017"/>
      <c r="CH1017"/>
      <c r="CI1017"/>
      <c r="CU1017" s="42">
        <v>1012</v>
      </c>
      <c r="CV1017" s="115">
        <v>3</v>
      </c>
      <c r="CW1017" s="115">
        <v>1.0626913437795575</v>
      </c>
      <c r="CX1017" s="115" t="e">
        <v>#N/A</v>
      </c>
      <c r="CY1017" s="115" t="e">
        <v>#N/A</v>
      </c>
      <c r="CZ1017" s="137">
        <v>1.0626913437795575</v>
      </c>
      <c r="DA1017" t="e">
        <v>#N/A</v>
      </c>
      <c r="DB1017" t="str">
        <v/>
      </c>
    </row>
    <row r="1018" spans="83:106" x14ac:dyDescent="0.2">
      <c r="CE1018"/>
      <c r="CF1018"/>
      <c r="CG1018"/>
      <c r="CH1018"/>
      <c r="CI1018"/>
      <c r="CU1018" s="42">
        <v>1013</v>
      </c>
      <c r="CV1018" s="115">
        <v>3</v>
      </c>
      <c r="CW1018" s="115">
        <v>1.0626913437795575</v>
      </c>
      <c r="CX1018" s="115" t="e">
        <v>#N/A</v>
      </c>
      <c r="CY1018" s="115" t="e">
        <v>#N/A</v>
      </c>
      <c r="CZ1018" s="137">
        <v>1.0626913437795575</v>
      </c>
      <c r="DA1018" t="e">
        <v>#N/A</v>
      </c>
      <c r="DB1018" t="str">
        <v/>
      </c>
    </row>
    <row r="1019" spans="83:106" x14ac:dyDescent="0.2">
      <c r="CE1019"/>
      <c r="CF1019"/>
      <c r="CG1019"/>
      <c r="CH1019"/>
      <c r="CI1019"/>
      <c r="CU1019" s="42">
        <v>1014</v>
      </c>
      <c r="CV1019" s="115">
        <v>3</v>
      </c>
      <c r="CW1019" s="115">
        <v>1.0626913437795575</v>
      </c>
      <c r="CX1019" s="115" t="e">
        <v>#N/A</v>
      </c>
      <c r="CY1019" s="115" t="e">
        <v>#N/A</v>
      </c>
      <c r="CZ1019" s="137">
        <v>1.0626913437795575</v>
      </c>
      <c r="DA1019" t="e">
        <v>#N/A</v>
      </c>
      <c r="DB1019" t="str">
        <v/>
      </c>
    </row>
    <row r="1020" spans="83:106" x14ac:dyDescent="0.2">
      <c r="CE1020"/>
      <c r="CF1020"/>
      <c r="CG1020"/>
      <c r="CH1020"/>
      <c r="CI1020"/>
      <c r="CU1020" s="42">
        <v>1015</v>
      </c>
      <c r="CV1020" s="115">
        <v>3</v>
      </c>
      <c r="CW1020" s="115">
        <v>1.0626913437795575</v>
      </c>
      <c r="CX1020" s="115" t="e">
        <v>#N/A</v>
      </c>
      <c r="CY1020" s="115" t="e">
        <v>#N/A</v>
      </c>
      <c r="CZ1020" s="137">
        <v>1.0626913437795575</v>
      </c>
      <c r="DA1020" t="e">
        <v>#N/A</v>
      </c>
      <c r="DB1020" t="str">
        <v/>
      </c>
    </row>
    <row r="1021" spans="83:106" x14ac:dyDescent="0.2">
      <c r="CE1021"/>
      <c r="CF1021"/>
      <c r="CG1021"/>
      <c r="CH1021"/>
      <c r="CI1021"/>
      <c r="CU1021" s="42">
        <v>1016</v>
      </c>
      <c r="CV1021" s="115">
        <v>3</v>
      </c>
      <c r="CW1021" s="115">
        <v>1.0626913437795575</v>
      </c>
      <c r="CX1021" s="115" t="e">
        <v>#N/A</v>
      </c>
      <c r="CY1021" s="115" t="e">
        <v>#N/A</v>
      </c>
      <c r="CZ1021" s="137">
        <v>1.0626913437795575</v>
      </c>
      <c r="DA1021" t="e">
        <v>#N/A</v>
      </c>
      <c r="DB1021" t="str">
        <v/>
      </c>
    </row>
    <row r="1022" spans="83:106" x14ac:dyDescent="0.2">
      <c r="CE1022"/>
      <c r="CF1022"/>
      <c r="CG1022"/>
      <c r="CH1022"/>
      <c r="CI1022"/>
      <c r="CU1022" s="42">
        <v>1017</v>
      </c>
      <c r="CV1022" s="115">
        <v>3</v>
      </c>
      <c r="CW1022" s="115">
        <v>1.0626913437795575</v>
      </c>
      <c r="CX1022" s="115" t="e">
        <v>#N/A</v>
      </c>
      <c r="CY1022" s="115" t="e">
        <v>#N/A</v>
      </c>
      <c r="CZ1022" s="137">
        <v>1.0626913437795575</v>
      </c>
      <c r="DA1022" t="e">
        <v>#N/A</v>
      </c>
      <c r="DB1022" t="str">
        <v/>
      </c>
    </row>
    <row r="1023" spans="83:106" x14ac:dyDescent="0.2">
      <c r="CE1023"/>
      <c r="CF1023"/>
      <c r="CG1023"/>
      <c r="CH1023"/>
      <c r="CI1023"/>
      <c r="CU1023" s="42">
        <v>1018</v>
      </c>
      <c r="CV1023" s="115">
        <v>3</v>
      </c>
      <c r="CW1023" s="115">
        <v>1.0626913437795575</v>
      </c>
      <c r="CX1023" s="115" t="e">
        <v>#N/A</v>
      </c>
      <c r="CY1023" s="115" t="e">
        <v>#N/A</v>
      </c>
      <c r="CZ1023" s="137">
        <v>1.0626913437795575</v>
      </c>
      <c r="DA1023" t="e">
        <v>#N/A</v>
      </c>
      <c r="DB1023" t="str">
        <v/>
      </c>
    </row>
    <row r="1024" spans="83:106" x14ac:dyDescent="0.2">
      <c r="CE1024"/>
      <c r="CF1024"/>
      <c r="CG1024"/>
      <c r="CH1024"/>
      <c r="CI1024"/>
      <c r="CU1024" s="42">
        <v>1019</v>
      </c>
      <c r="CV1024" s="115">
        <v>3</v>
      </c>
      <c r="CW1024" s="115">
        <v>1.0626913437795575</v>
      </c>
      <c r="CX1024" s="115" t="e">
        <v>#N/A</v>
      </c>
      <c r="CY1024" s="115" t="e">
        <v>#N/A</v>
      </c>
      <c r="CZ1024" s="137">
        <v>1.0626913437795575</v>
      </c>
      <c r="DA1024" t="e">
        <v>#N/A</v>
      </c>
      <c r="DB1024" t="str">
        <v/>
      </c>
    </row>
    <row r="1025" spans="83:106" x14ac:dyDescent="0.2">
      <c r="CE1025"/>
      <c r="CF1025"/>
      <c r="CG1025"/>
      <c r="CH1025"/>
      <c r="CI1025"/>
      <c r="CU1025" s="42">
        <v>1020</v>
      </c>
      <c r="CV1025" s="115">
        <v>3</v>
      </c>
      <c r="CW1025" s="115">
        <v>1.0626913437795575</v>
      </c>
      <c r="CX1025" s="115" t="e">
        <v>#N/A</v>
      </c>
      <c r="CY1025" s="115" t="e">
        <v>#N/A</v>
      </c>
      <c r="CZ1025" s="137">
        <v>1.0626913437795575</v>
      </c>
      <c r="DA1025" t="e">
        <v>#N/A</v>
      </c>
      <c r="DB1025" t="str">
        <v/>
      </c>
    </row>
    <row r="1026" spans="83:106" x14ac:dyDescent="0.2">
      <c r="CE1026"/>
      <c r="CF1026"/>
      <c r="CG1026"/>
      <c r="CH1026"/>
      <c r="CI1026"/>
      <c r="CU1026" s="42">
        <v>1021</v>
      </c>
      <c r="CV1026" s="115">
        <v>3</v>
      </c>
      <c r="CW1026" s="115">
        <v>1.0626913437795575</v>
      </c>
      <c r="CX1026" s="115" t="e">
        <v>#N/A</v>
      </c>
      <c r="CY1026" s="115" t="e">
        <v>#N/A</v>
      </c>
      <c r="CZ1026" s="137">
        <v>1.0626913437795575</v>
      </c>
      <c r="DA1026" t="e">
        <v>#N/A</v>
      </c>
      <c r="DB1026" t="str">
        <v/>
      </c>
    </row>
    <row r="1027" spans="83:106" x14ac:dyDescent="0.2">
      <c r="CE1027"/>
      <c r="CF1027"/>
      <c r="CG1027"/>
      <c r="CH1027"/>
      <c r="CI1027"/>
      <c r="CU1027" s="42">
        <v>1022</v>
      </c>
      <c r="CV1027" s="115">
        <v>3</v>
      </c>
      <c r="CW1027" s="115">
        <v>1.0626913437795575</v>
      </c>
      <c r="CX1027" s="115" t="e">
        <v>#N/A</v>
      </c>
      <c r="CY1027" s="115" t="e">
        <v>#N/A</v>
      </c>
      <c r="CZ1027" s="137">
        <v>1.0626913437795575</v>
      </c>
      <c r="DA1027" t="e">
        <v>#N/A</v>
      </c>
      <c r="DB1027" t="str">
        <v/>
      </c>
    </row>
    <row r="1028" spans="83:106" x14ac:dyDescent="0.2">
      <c r="CE1028"/>
      <c r="CF1028"/>
      <c r="CG1028"/>
      <c r="CH1028"/>
      <c r="CI1028"/>
      <c r="CU1028" s="42">
        <v>1023</v>
      </c>
      <c r="CV1028" s="115">
        <v>3</v>
      </c>
      <c r="CW1028" s="115">
        <v>1.0626913437795575</v>
      </c>
      <c r="CX1028" s="115" t="e">
        <v>#N/A</v>
      </c>
      <c r="CY1028" s="115" t="e">
        <v>#N/A</v>
      </c>
      <c r="CZ1028" s="137">
        <v>1.0626913437795575</v>
      </c>
      <c r="DA1028" t="e">
        <v>#N/A</v>
      </c>
      <c r="DB1028" t="str">
        <v/>
      </c>
    </row>
    <row r="1029" spans="83:106" x14ac:dyDescent="0.2">
      <c r="CE1029"/>
      <c r="CF1029"/>
      <c r="CG1029"/>
      <c r="CH1029"/>
      <c r="CI1029"/>
      <c r="CU1029" s="42">
        <v>1024</v>
      </c>
      <c r="CV1029" s="115">
        <v>3</v>
      </c>
      <c r="CW1029" s="115">
        <v>1.0626913437795575</v>
      </c>
      <c r="CX1029" s="115" t="e">
        <v>#N/A</v>
      </c>
      <c r="CY1029" s="115" t="e">
        <v>#N/A</v>
      </c>
      <c r="CZ1029" s="137">
        <v>1.0626913437795575</v>
      </c>
      <c r="DA1029" t="e">
        <v>#N/A</v>
      </c>
      <c r="DB1029" t="str">
        <v/>
      </c>
    </row>
    <row r="1030" spans="83:106" x14ac:dyDescent="0.2">
      <c r="CE1030"/>
      <c r="CF1030"/>
      <c r="CG1030"/>
      <c r="CH1030"/>
      <c r="CI1030"/>
      <c r="CU1030" s="42">
        <v>1025</v>
      </c>
      <c r="CV1030" s="115">
        <v>3</v>
      </c>
      <c r="CW1030" s="115">
        <v>1.0626913437795575</v>
      </c>
      <c r="CX1030" s="115" t="e">
        <v>#N/A</v>
      </c>
      <c r="CY1030" s="115" t="e">
        <v>#N/A</v>
      </c>
      <c r="CZ1030" s="137">
        <v>1.0626913437795575</v>
      </c>
      <c r="DA1030" t="e">
        <v>#N/A</v>
      </c>
      <c r="DB1030" t="str">
        <v/>
      </c>
    </row>
    <row r="1031" spans="83:106" x14ac:dyDescent="0.2">
      <c r="CE1031"/>
      <c r="CF1031"/>
      <c r="CG1031"/>
      <c r="CH1031"/>
      <c r="CI1031"/>
      <c r="CU1031" s="42">
        <v>1026</v>
      </c>
      <c r="CV1031" s="115">
        <v>3</v>
      </c>
      <c r="CW1031" s="115">
        <v>1.0626913437795575</v>
      </c>
      <c r="CX1031" s="115" t="e">
        <v>#N/A</v>
      </c>
      <c r="CY1031" s="115" t="e">
        <v>#N/A</v>
      </c>
      <c r="CZ1031" s="137">
        <v>1.0626913437795575</v>
      </c>
      <c r="DA1031" t="e">
        <v>#N/A</v>
      </c>
      <c r="DB1031" t="str">
        <v/>
      </c>
    </row>
    <row r="1032" spans="83:106" x14ac:dyDescent="0.2">
      <c r="CE1032"/>
      <c r="CF1032"/>
      <c r="CG1032"/>
      <c r="CH1032"/>
      <c r="CI1032"/>
      <c r="CU1032" s="42">
        <v>1027</v>
      </c>
      <c r="CV1032" s="115">
        <v>3</v>
      </c>
      <c r="CW1032" s="115">
        <v>1.0626913437795575</v>
      </c>
      <c r="CX1032" s="115" t="e">
        <v>#N/A</v>
      </c>
      <c r="CY1032" s="115" t="e">
        <v>#N/A</v>
      </c>
      <c r="CZ1032" s="137">
        <v>1.0626913437795575</v>
      </c>
      <c r="DA1032" t="e">
        <v>#N/A</v>
      </c>
      <c r="DB1032" t="str">
        <v/>
      </c>
    </row>
    <row r="1033" spans="83:106" x14ac:dyDescent="0.2">
      <c r="CE1033"/>
      <c r="CF1033"/>
      <c r="CG1033"/>
      <c r="CH1033"/>
      <c r="CI1033"/>
      <c r="CU1033" s="42">
        <v>1028</v>
      </c>
      <c r="CV1033" s="115">
        <v>3</v>
      </c>
      <c r="CW1033" s="115">
        <v>1.0626913437795575</v>
      </c>
      <c r="CX1033" s="115" t="e">
        <v>#N/A</v>
      </c>
      <c r="CY1033" s="115" t="e">
        <v>#N/A</v>
      </c>
      <c r="CZ1033" s="137">
        <v>1.0626913437795575</v>
      </c>
      <c r="DA1033" t="e">
        <v>#N/A</v>
      </c>
      <c r="DB1033" t="str">
        <v/>
      </c>
    </row>
    <row r="1034" spans="83:106" x14ac:dyDescent="0.2">
      <c r="CE1034"/>
      <c r="CF1034"/>
      <c r="CG1034"/>
      <c r="CH1034"/>
      <c r="CI1034"/>
      <c r="CU1034" s="42">
        <v>1029</v>
      </c>
      <c r="CV1034" s="115">
        <v>3</v>
      </c>
      <c r="CW1034" s="115">
        <v>1.0626913437795575</v>
      </c>
      <c r="CX1034" s="115" t="e">
        <v>#N/A</v>
      </c>
      <c r="CY1034" s="115" t="e">
        <v>#N/A</v>
      </c>
      <c r="CZ1034" s="137">
        <v>1.0626913437795575</v>
      </c>
      <c r="DA1034" t="e">
        <v>#N/A</v>
      </c>
      <c r="DB1034" t="str">
        <v/>
      </c>
    </row>
    <row r="1035" spans="83:106" x14ac:dyDescent="0.2">
      <c r="CE1035"/>
      <c r="CF1035"/>
      <c r="CG1035"/>
      <c r="CH1035"/>
      <c r="CI1035"/>
      <c r="CU1035" s="42">
        <v>1030</v>
      </c>
      <c r="CV1035" s="115">
        <v>3</v>
      </c>
      <c r="CW1035" s="115">
        <v>1.0626913437795575</v>
      </c>
      <c r="CX1035" s="115" t="e">
        <v>#N/A</v>
      </c>
      <c r="CY1035" s="115" t="e">
        <v>#N/A</v>
      </c>
      <c r="CZ1035" s="137">
        <v>1.0626913437795575</v>
      </c>
      <c r="DA1035" t="e">
        <v>#N/A</v>
      </c>
      <c r="DB1035" t="str">
        <v/>
      </c>
    </row>
    <row r="1036" spans="83:106" x14ac:dyDescent="0.2">
      <c r="CE1036"/>
      <c r="CF1036"/>
      <c r="CG1036"/>
      <c r="CH1036"/>
      <c r="CI1036"/>
      <c r="CU1036" s="42">
        <v>1031</v>
      </c>
      <c r="CV1036" s="115">
        <v>3</v>
      </c>
      <c r="CW1036" s="115">
        <v>1.0626913437795575</v>
      </c>
      <c r="CX1036" s="115" t="e">
        <v>#N/A</v>
      </c>
      <c r="CY1036" s="115" t="e">
        <v>#N/A</v>
      </c>
      <c r="CZ1036" s="137">
        <v>1.0626913437795575</v>
      </c>
      <c r="DA1036" t="e">
        <v>#N/A</v>
      </c>
      <c r="DB1036" t="str">
        <v/>
      </c>
    </row>
    <row r="1037" spans="83:106" x14ac:dyDescent="0.2">
      <c r="CE1037"/>
      <c r="CF1037"/>
      <c r="CG1037"/>
      <c r="CH1037"/>
      <c r="CI1037"/>
      <c r="CU1037" s="42">
        <v>1032</v>
      </c>
      <c r="CV1037" s="115">
        <v>3</v>
      </c>
      <c r="CW1037" s="115">
        <v>1.0626913437795575</v>
      </c>
      <c r="CX1037" s="115" t="e">
        <v>#N/A</v>
      </c>
      <c r="CY1037" s="115" t="e">
        <v>#N/A</v>
      </c>
      <c r="CZ1037" s="137">
        <v>1.0626913437795575</v>
      </c>
      <c r="DA1037" t="e">
        <v>#N/A</v>
      </c>
      <c r="DB1037" t="str">
        <v/>
      </c>
    </row>
    <row r="1038" spans="83:106" x14ac:dyDescent="0.2">
      <c r="CE1038"/>
      <c r="CF1038"/>
      <c r="CG1038"/>
      <c r="CH1038"/>
      <c r="CI1038"/>
      <c r="CU1038" s="42">
        <v>1033</v>
      </c>
      <c r="CV1038" s="115">
        <v>3</v>
      </c>
      <c r="CW1038" s="115">
        <v>1.0626913437795575</v>
      </c>
      <c r="CX1038" s="115" t="e">
        <v>#N/A</v>
      </c>
      <c r="CY1038" s="115" t="e">
        <v>#N/A</v>
      </c>
      <c r="CZ1038" s="137">
        <v>1.0626913437795575</v>
      </c>
      <c r="DA1038" t="e">
        <v>#N/A</v>
      </c>
      <c r="DB1038" t="str">
        <v/>
      </c>
    </row>
    <row r="1039" spans="83:106" x14ac:dyDescent="0.2">
      <c r="CE1039"/>
      <c r="CF1039"/>
      <c r="CG1039"/>
      <c r="CH1039"/>
      <c r="CI1039"/>
      <c r="CU1039" s="42">
        <v>1034</v>
      </c>
      <c r="CV1039" s="115">
        <v>3</v>
      </c>
      <c r="CW1039" s="115">
        <v>1.0626913437795575</v>
      </c>
      <c r="CX1039" s="115" t="e">
        <v>#N/A</v>
      </c>
      <c r="CY1039" s="115" t="e">
        <v>#N/A</v>
      </c>
      <c r="CZ1039" s="137">
        <v>1.0626913437795575</v>
      </c>
      <c r="DA1039" t="e">
        <v>#N/A</v>
      </c>
      <c r="DB1039" t="str">
        <v/>
      </c>
    </row>
    <row r="1040" spans="83:106" x14ac:dyDescent="0.2">
      <c r="CE1040"/>
      <c r="CF1040"/>
      <c r="CG1040"/>
      <c r="CH1040"/>
      <c r="CI1040"/>
      <c r="CU1040" s="42">
        <v>1035</v>
      </c>
      <c r="CV1040" s="115">
        <v>3</v>
      </c>
      <c r="CW1040" s="115">
        <v>1.0626913437795575</v>
      </c>
      <c r="CX1040" s="115" t="e">
        <v>#N/A</v>
      </c>
      <c r="CY1040" s="115" t="e">
        <v>#N/A</v>
      </c>
      <c r="CZ1040" s="137">
        <v>1.0626913437795575</v>
      </c>
      <c r="DA1040" t="e">
        <v>#N/A</v>
      </c>
      <c r="DB1040" t="str">
        <v/>
      </c>
    </row>
    <row r="1041" spans="83:106" x14ac:dyDescent="0.2">
      <c r="CE1041"/>
      <c r="CF1041"/>
      <c r="CG1041"/>
      <c r="CH1041"/>
      <c r="CI1041"/>
      <c r="CU1041" s="42">
        <v>1036</v>
      </c>
      <c r="CV1041" s="115">
        <v>3</v>
      </c>
      <c r="CW1041" s="115">
        <v>1.0626913437795575</v>
      </c>
      <c r="CX1041" s="115" t="e">
        <v>#N/A</v>
      </c>
      <c r="CY1041" s="115" t="e">
        <v>#N/A</v>
      </c>
      <c r="CZ1041" s="137">
        <v>1.0626913437795575</v>
      </c>
      <c r="DA1041" t="e">
        <v>#N/A</v>
      </c>
      <c r="DB1041" t="str">
        <v/>
      </c>
    </row>
    <row r="1042" spans="83:106" x14ac:dyDescent="0.2">
      <c r="CE1042"/>
      <c r="CF1042"/>
      <c r="CG1042"/>
      <c r="CH1042"/>
      <c r="CI1042"/>
      <c r="CU1042" s="42">
        <v>1037</v>
      </c>
      <c r="CV1042" s="115">
        <v>3</v>
      </c>
      <c r="CW1042" s="115">
        <v>1.0626913437795575</v>
      </c>
      <c r="CX1042" s="115" t="e">
        <v>#N/A</v>
      </c>
      <c r="CY1042" s="115" t="e">
        <v>#N/A</v>
      </c>
      <c r="CZ1042" s="137">
        <v>1.0626913437795575</v>
      </c>
      <c r="DA1042" t="e">
        <v>#N/A</v>
      </c>
      <c r="DB1042" t="str">
        <v/>
      </c>
    </row>
    <row r="1043" spans="83:106" x14ac:dyDescent="0.2">
      <c r="CE1043"/>
      <c r="CF1043"/>
      <c r="CG1043"/>
      <c r="CH1043"/>
      <c r="CI1043"/>
      <c r="CU1043" s="42">
        <v>1038</v>
      </c>
      <c r="CV1043" s="115">
        <v>3</v>
      </c>
      <c r="CW1043" s="115">
        <v>1.0626913437795575</v>
      </c>
      <c r="CX1043" s="115" t="e">
        <v>#N/A</v>
      </c>
      <c r="CY1043" s="115" t="e">
        <v>#N/A</v>
      </c>
      <c r="CZ1043" s="137">
        <v>1.0626913437795575</v>
      </c>
      <c r="DA1043" t="e">
        <v>#N/A</v>
      </c>
      <c r="DB1043" t="str">
        <v/>
      </c>
    </row>
    <row r="1044" spans="83:106" x14ac:dyDescent="0.2">
      <c r="CE1044"/>
      <c r="CF1044"/>
      <c r="CG1044"/>
      <c r="CH1044"/>
      <c r="CI1044"/>
      <c r="CU1044" s="42">
        <v>1039</v>
      </c>
      <c r="CV1044" s="115">
        <v>3</v>
      </c>
      <c r="CW1044" s="115">
        <v>1.0626913437795575</v>
      </c>
      <c r="CX1044" s="115" t="e">
        <v>#N/A</v>
      </c>
      <c r="CY1044" s="115" t="e">
        <v>#N/A</v>
      </c>
      <c r="CZ1044" s="137">
        <v>1.0626913437795575</v>
      </c>
      <c r="DA1044" t="e">
        <v>#N/A</v>
      </c>
      <c r="DB1044" t="str">
        <v/>
      </c>
    </row>
    <row r="1045" spans="83:106" x14ac:dyDescent="0.2">
      <c r="CE1045"/>
      <c r="CF1045"/>
      <c r="CG1045"/>
      <c r="CH1045"/>
      <c r="CI1045"/>
      <c r="CU1045" s="42">
        <v>1040</v>
      </c>
      <c r="CV1045" s="115">
        <v>3</v>
      </c>
      <c r="CW1045" s="115">
        <v>1.0626913437795575</v>
      </c>
      <c r="CX1045" s="115" t="e">
        <v>#N/A</v>
      </c>
      <c r="CY1045" s="115" t="e">
        <v>#N/A</v>
      </c>
      <c r="CZ1045" s="137">
        <v>1.0626913437795575</v>
      </c>
      <c r="DA1045" t="e">
        <v>#N/A</v>
      </c>
      <c r="DB1045" t="str">
        <v/>
      </c>
    </row>
    <row r="1046" spans="83:106" x14ac:dyDescent="0.2">
      <c r="CE1046"/>
      <c r="CF1046"/>
      <c r="CG1046"/>
      <c r="CH1046"/>
      <c r="CI1046"/>
      <c r="CU1046" s="42">
        <v>1041</v>
      </c>
      <c r="CV1046" s="115">
        <v>3</v>
      </c>
      <c r="CW1046" s="115">
        <v>1.0626913437795575</v>
      </c>
      <c r="CX1046" s="115" t="e">
        <v>#N/A</v>
      </c>
      <c r="CY1046" s="115" t="e">
        <v>#N/A</v>
      </c>
      <c r="CZ1046" s="137">
        <v>1.0626913437795575</v>
      </c>
      <c r="DA1046" t="e">
        <v>#N/A</v>
      </c>
      <c r="DB1046" t="str">
        <v/>
      </c>
    </row>
    <row r="1047" spans="83:106" x14ac:dyDescent="0.2">
      <c r="CE1047"/>
      <c r="CF1047"/>
      <c r="CG1047"/>
      <c r="CH1047"/>
      <c r="CI1047"/>
      <c r="CU1047" s="42">
        <v>1042</v>
      </c>
      <c r="CV1047" s="115">
        <v>3</v>
      </c>
      <c r="CW1047" s="115">
        <v>1.0626913437795575</v>
      </c>
      <c r="CX1047" s="115" t="e">
        <v>#N/A</v>
      </c>
      <c r="CY1047" s="115" t="e">
        <v>#N/A</v>
      </c>
      <c r="CZ1047" s="137">
        <v>1.0626913437795575</v>
      </c>
      <c r="DA1047" t="e">
        <v>#N/A</v>
      </c>
      <c r="DB1047" t="str">
        <v/>
      </c>
    </row>
    <row r="1048" spans="83:106" x14ac:dyDescent="0.2">
      <c r="CE1048"/>
      <c r="CF1048"/>
      <c r="CG1048"/>
      <c r="CH1048"/>
      <c r="CI1048"/>
      <c r="CU1048" s="42">
        <v>1043</v>
      </c>
      <c r="CV1048" s="115">
        <v>3</v>
      </c>
      <c r="CW1048" s="115">
        <v>1.0626913437795575</v>
      </c>
      <c r="CX1048" s="115" t="e">
        <v>#N/A</v>
      </c>
      <c r="CY1048" s="115" t="e">
        <v>#N/A</v>
      </c>
      <c r="CZ1048" s="137">
        <v>1.0626913437795575</v>
      </c>
      <c r="DA1048" t="e">
        <v>#N/A</v>
      </c>
      <c r="DB1048" t="str">
        <v/>
      </c>
    </row>
    <row r="1049" spans="83:106" x14ac:dyDescent="0.2">
      <c r="CE1049"/>
      <c r="CF1049"/>
      <c r="CG1049"/>
      <c r="CH1049"/>
      <c r="CI1049"/>
      <c r="CU1049" s="42">
        <v>1044</v>
      </c>
      <c r="CV1049" s="115">
        <v>3</v>
      </c>
      <c r="CW1049" s="115">
        <v>1.0626913437795575</v>
      </c>
      <c r="CX1049" s="115" t="e">
        <v>#N/A</v>
      </c>
      <c r="CY1049" s="115" t="e">
        <v>#N/A</v>
      </c>
      <c r="CZ1049" s="137">
        <v>1.0626913437795575</v>
      </c>
      <c r="DA1049" t="e">
        <v>#N/A</v>
      </c>
      <c r="DB1049" t="str">
        <v/>
      </c>
    </row>
    <row r="1050" spans="83:106" x14ac:dyDescent="0.2">
      <c r="CE1050"/>
      <c r="CF1050"/>
      <c r="CG1050"/>
      <c r="CH1050"/>
      <c r="CI1050"/>
      <c r="CU1050" s="42">
        <v>1045</v>
      </c>
      <c r="CV1050" s="115">
        <v>3</v>
      </c>
      <c r="CW1050" s="115">
        <v>1.0626913437795575</v>
      </c>
      <c r="CX1050" s="115" t="e">
        <v>#N/A</v>
      </c>
      <c r="CY1050" s="115" t="e">
        <v>#N/A</v>
      </c>
      <c r="CZ1050" s="137">
        <v>1.0626913437795575</v>
      </c>
      <c r="DA1050" t="e">
        <v>#N/A</v>
      </c>
      <c r="DB1050" t="str">
        <v/>
      </c>
    </row>
    <row r="1051" spans="83:106" x14ac:dyDescent="0.2">
      <c r="CE1051"/>
      <c r="CF1051"/>
      <c r="CG1051"/>
      <c r="CH1051"/>
      <c r="CI1051"/>
      <c r="CU1051" s="42">
        <v>1046</v>
      </c>
      <c r="CV1051" s="115">
        <v>3</v>
      </c>
      <c r="CW1051" s="115">
        <v>1.0626913437795575</v>
      </c>
      <c r="CX1051" s="115" t="e">
        <v>#N/A</v>
      </c>
      <c r="CY1051" s="115" t="e">
        <v>#N/A</v>
      </c>
      <c r="CZ1051" s="137">
        <v>1.0626913437795575</v>
      </c>
      <c r="DA1051" t="e">
        <v>#N/A</v>
      </c>
      <c r="DB1051" t="str">
        <v/>
      </c>
    </row>
    <row r="1052" spans="83:106" x14ac:dyDescent="0.2">
      <c r="CE1052"/>
      <c r="CF1052"/>
      <c r="CG1052"/>
      <c r="CH1052"/>
      <c r="CI1052"/>
      <c r="CU1052" s="42">
        <v>1047</v>
      </c>
      <c r="CV1052" s="115">
        <v>3</v>
      </c>
      <c r="CW1052" s="115">
        <v>1.0626913437795575</v>
      </c>
      <c r="CX1052" s="115" t="e">
        <v>#N/A</v>
      </c>
      <c r="CY1052" s="115" t="e">
        <v>#N/A</v>
      </c>
      <c r="CZ1052" s="137">
        <v>1.0626913437795575</v>
      </c>
      <c r="DA1052" t="e">
        <v>#N/A</v>
      </c>
      <c r="DB1052" t="str">
        <v/>
      </c>
    </row>
    <row r="1053" spans="83:106" x14ac:dyDescent="0.2">
      <c r="CE1053"/>
      <c r="CF1053"/>
      <c r="CG1053"/>
      <c r="CH1053"/>
      <c r="CI1053"/>
      <c r="CU1053" s="42">
        <v>1048</v>
      </c>
      <c r="CV1053" s="115">
        <v>3</v>
      </c>
      <c r="CW1053" s="115">
        <v>1.0626913437795575</v>
      </c>
      <c r="CX1053" s="115" t="e">
        <v>#N/A</v>
      </c>
      <c r="CY1053" s="115" t="e">
        <v>#N/A</v>
      </c>
      <c r="CZ1053" s="137">
        <v>1.0626913437795575</v>
      </c>
      <c r="DA1053" t="e">
        <v>#N/A</v>
      </c>
      <c r="DB1053" t="str">
        <v/>
      </c>
    </row>
    <row r="1054" spans="83:106" x14ac:dyDescent="0.2">
      <c r="CE1054"/>
      <c r="CF1054"/>
      <c r="CG1054"/>
      <c r="CH1054"/>
      <c r="CI1054"/>
      <c r="CU1054" s="42">
        <v>1049</v>
      </c>
      <c r="CV1054" s="115">
        <v>3</v>
      </c>
      <c r="CW1054" s="115">
        <v>1.0626913437795575</v>
      </c>
      <c r="CX1054" s="115" t="e">
        <v>#N/A</v>
      </c>
      <c r="CY1054" s="115" t="e">
        <v>#N/A</v>
      </c>
      <c r="CZ1054" s="137">
        <v>1.0626913437795575</v>
      </c>
      <c r="DA1054" t="e">
        <v>#N/A</v>
      </c>
      <c r="DB1054" t="str">
        <v/>
      </c>
    </row>
    <row r="1055" spans="83:106" x14ac:dyDescent="0.2">
      <c r="CE1055"/>
      <c r="CF1055"/>
      <c r="CG1055"/>
      <c r="CH1055"/>
      <c r="CI1055"/>
      <c r="CU1055" s="42">
        <v>1050</v>
      </c>
      <c r="CV1055" s="115">
        <v>3</v>
      </c>
      <c r="CW1055" s="115">
        <v>1.0626913437795575</v>
      </c>
      <c r="CX1055" s="115" t="e">
        <v>#N/A</v>
      </c>
      <c r="CY1055" s="115" t="e">
        <v>#N/A</v>
      </c>
      <c r="CZ1055" s="137">
        <v>1.0626913437795575</v>
      </c>
      <c r="DA1055" t="e">
        <v>#N/A</v>
      </c>
      <c r="DB1055" t="str">
        <v/>
      </c>
    </row>
    <row r="1056" spans="83:106" x14ac:dyDescent="0.2">
      <c r="CE1056"/>
      <c r="CF1056"/>
      <c r="CG1056"/>
      <c r="CH1056"/>
      <c r="CI1056"/>
      <c r="CU1056" s="42">
        <v>1051</v>
      </c>
      <c r="CV1056" s="115">
        <v>3</v>
      </c>
      <c r="CW1056" s="115">
        <v>1.0626913437795575</v>
      </c>
      <c r="CX1056" s="115" t="e">
        <v>#N/A</v>
      </c>
      <c r="CY1056" s="115" t="e">
        <v>#N/A</v>
      </c>
      <c r="CZ1056" s="137">
        <v>1.0626913437795575</v>
      </c>
      <c r="DA1056" t="e">
        <v>#N/A</v>
      </c>
      <c r="DB1056" t="str">
        <v/>
      </c>
    </row>
    <row r="1057" spans="83:106" x14ac:dyDescent="0.2">
      <c r="CE1057"/>
      <c r="CF1057"/>
      <c r="CG1057"/>
      <c r="CH1057"/>
      <c r="CI1057"/>
      <c r="CU1057" s="42">
        <v>1052</v>
      </c>
      <c r="CV1057" s="115">
        <v>3</v>
      </c>
      <c r="CW1057" s="115">
        <v>1.0626913437795575</v>
      </c>
      <c r="CX1057" s="115" t="e">
        <v>#N/A</v>
      </c>
      <c r="CY1057" s="115" t="e">
        <v>#N/A</v>
      </c>
      <c r="CZ1057" s="137">
        <v>1.0626913437795575</v>
      </c>
      <c r="DA1057" t="e">
        <v>#N/A</v>
      </c>
      <c r="DB1057" t="str">
        <v/>
      </c>
    </row>
    <row r="1058" spans="83:106" x14ac:dyDescent="0.2">
      <c r="CE1058"/>
      <c r="CF1058"/>
      <c r="CG1058"/>
      <c r="CH1058"/>
      <c r="CI1058"/>
      <c r="CU1058" s="42">
        <v>1053</v>
      </c>
      <c r="CV1058" s="115">
        <v>3</v>
      </c>
      <c r="CW1058" s="115">
        <v>1.0626913437795575</v>
      </c>
      <c r="CX1058" s="115" t="e">
        <v>#N/A</v>
      </c>
      <c r="CY1058" s="115" t="e">
        <v>#N/A</v>
      </c>
      <c r="CZ1058" s="137">
        <v>1.0626913437795575</v>
      </c>
      <c r="DA1058" t="e">
        <v>#N/A</v>
      </c>
      <c r="DB1058" t="str">
        <v/>
      </c>
    </row>
    <row r="1059" spans="83:106" x14ac:dyDescent="0.2">
      <c r="CE1059"/>
      <c r="CF1059"/>
      <c r="CG1059"/>
      <c r="CH1059"/>
      <c r="CI1059"/>
      <c r="CU1059" s="42">
        <v>1054</v>
      </c>
      <c r="CV1059" s="115">
        <v>3</v>
      </c>
      <c r="CW1059" s="115">
        <v>1.0626913437795575</v>
      </c>
      <c r="CX1059" s="115" t="e">
        <v>#N/A</v>
      </c>
      <c r="CY1059" s="115" t="e">
        <v>#N/A</v>
      </c>
      <c r="CZ1059" s="137">
        <v>1.0626913437795575</v>
      </c>
      <c r="DA1059" t="e">
        <v>#N/A</v>
      </c>
      <c r="DB1059" t="str">
        <v/>
      </c>
    </row>
    <row r="1060" spans="83:106" x14ac:dyDescent="0.2">
      <c r="CE1060"/>
      <c r="CF1060"/>
      <c r="CG1060"/>
      <c r="CH1060"/>
      <c r="CI1060"/>
      <c r="CU1060" s="42">
        <v>1055</v>
      </c>
      <c r="CV1060" s="115">
        <v>3</v>
      </c>
      <c r="CW1060" s="115">
        <v>1.0626913437795575</v>
      </c>
      <c r="CX1060" s="115" t="e">
        <v>#N/A</v>
      </c>
      <c r="CY1060" s="115" t="e">
        <v>#N/A</v>
      </c>
      <c r="CZ1060" s="137">
        <v>1.0626913437795575</v>
      </c>
      <c r="DA1060" t="e">
        <v>#N/A</v>
      </c>
      <c r="DB1060" t="str">
        <v/>
      </c>
    </row>
    <row r="1061" spans="83:106" x14ac:dyDescent="0.2">
      <c r="CE1061"/>
      <c r="CF1061"/>
      <c r="CG1061"/>
      <c r="CH1061"/>
      <c r="CI1061"/>
      <c r="CU1061" s="42">
        <v>1056</v>
      </c>
      <c r="CV1061" s="115">
        <v>3</v>
      </c>
      <c r="CW1061" s="115">
        <v>1.0626913437795575</v>
      </c>
      <c r="CX1061" s="115" t="e">
        <v>#N/A</v>
      </c>
      <c r="CY1061" s="115" t="e">
        <v>#N/A</v>
      </c>
      <c r="CZ1061" s="137">
        <v>1.0626913437795575</v>
      </c>
      <c r="DA1061" t="e">
        <v>#N/A</v>
      </c>
      <c r="DB1061" t="str">
        <v/>
      </c>
    </row>
    <row r="1062" spans="83:106" x14ac:dyDescent="0.2">
      <c r="CE1062"/>
      <c r="CF1062"/>
      <c r="CG1062"/>
      <c r="CH1062"/>
      <c r="CI1062"/>
      <c r="CU1062" s="42">
        <v>1057</v>
      </c>
      <c r="CV1062" s="115">
        <v>3</v>
      </c>
      <c r="CW1062" s="115">
        <v>1.0626913437795575</v>
      </c>
      <c r="CX1062" s="115" t="e">
        <v>#N/A</v>
      </c>
      <c r="CY1062" s="115" t="e">
        <v>#N/A</v>
      </c>
      <c r="CZ1062" s="137">
        <v>1.0626913437795575</v>
      </c>
      <c r="DA1062" t="e">
        <v>#N/A</v>
      </c>
      <c r="DB1062" t="str">
        <v/>
      </c>
    </row>
    <row r="1063" spans="83:106" x14ac:dyDescent="0.2">
      <c r="CE1063"/>
      <c r="CF1063"/>
      <c r="CG1063"/>
      <c r="CH1063"/>
      <c r="CI1063"/>
      <c r="CU1063" s="42">
        <v>1058</v>
      </c>
      <c r="CV1063" s="115">
        <v>3</v>
      </c>
      <c r="CW1063" s="115">
        <v>1.0626913437795575</v>
      </c>
      <c r="CX1063" s="115" t="e">
        <v>#N/A</v>
      </c>
      <c r="CY1063" s="115" t="e">
        <v>#N/A</v>
      </c>
      <c r="CZ1063" s="137">
        <v>1.0626913437795575</v>
      </c>
      <c r="DA1063" t="e">
        <v>#N/A</v>
      </c>
      <c r="DB1063" t="str">
        <v/>
      </c>
    </row>
    <row r="1064" spans="83:106" x14ac:dyDescent="0.2">
      <c r="CE1064"/>
      <c r="CF1064"/>
      <c r="CG1064"/>
      <c r="CH1064"/>
      <c r="CI1064"/>
      <c r="CU1064" s="42">
        <v>1059</v>
      </c>
      <c r="CV1064" s="115">
        <v>3</v>
      </c>
      <c r="CW1064" s="115">
        <v>1.0626913437795575</v>
      </c>
      <c r="CX1064" s="115" t="e">
        <v>#N/A</v>
      </c>
      <c r="CY1064" s="115" t="e">
        <v>#N/A</v>
      </c>
      <c r="CZ1064" s="137">
        <v>1.0626913437795575</v>
      </c>
      <c r="DA1064" t="e">
        <v>#N/A</v>
      </c>
      <c r="DB1064" t="str">
        <v/>
      </c>
    </row>
    <row r="1065" spans="83:106" x14ac:dyDescent="0.2">
      <c r="CE1065"/>
      <c r="CF1065"/>
      <c r="CG1065"/>
      <c r="CH1065"/>
      <c r="CI1065"/>
      <c r="CU1065" s="42">
        <v>1060</v>
      </c>
      <c r="CV1065" s="115">
        <v>3</v>
      </c>
      <c r="CW1065" s="115">
        <v>1.0626913437795575</v>
      </c>
      <c r="CX1065" s="115" t="e">
        <v>#N/A</v>
      </c>
      <c r="CY1065" s="115" t="e">
        <v>#N/A</v>
      </c>
      <c r="CZ1065" s="137">
        <v>1.0626913437795575</v>
      </c>
      <c r="DA1065" t="e">
        <v>#N/A</v>
      </c>
      <c r="DB1065" t="str">
        <v/>
      </c>
    </row>
    <row r="1066" spans="83:106" x14ac:dyDescent="0.2">
      <c r="CE1066"/>
      <c r="CF1066"/>
      <c r="CG1066"/>
      <c r="CH1066"/>
      <c r="CI1066"/>
      <c r="CU1066" s="42">
        <v>1061</v>
      </c>
      <c r="CV1066" s="115">
        <v>3</v>
      </c>
      <c r="CW1066" s="115">
        <v>1.0626913437795575</v>
      </c>
      <c r="CX1066" s="115" t="e">
        <v>#N/A</v>
      </c>
      <c r="CY1066" s="115" t="e">
        <v>#N/A</v>
      </c>
      <c r="CZ1066" s="137">
        <v>1.0626913437795575</v>
      </c>
      <c r="DA1066" t="e">
        <v>#N/A</v>
      </c>
      <c r="DB1066" t="str">
        <v/>
      </c>
    </row>
    <row r="1067" spans="83:106" x14ac:dyDescent="0.2">
      <c r="CE1067"/>
      <c r="CF1067"/>
      <c r="CG1067"/>
      <c r="CH1067"/>
      <c r="CI1067"/>
      <c r="CU1067" s="42">
        <v>1062</v>
      </c>
      <c r="CV1067" s="115">
        <v>3</v>
      </c>
      <c r="CW1067" s="115">
        <v>1.0626913437795575</v>
      </c>
      <c r="CX1067" s="115" t="e">
        <v>#N/A</v>
      </c>
      <c r="CY1067" s="115" t="e">
        <v>#N/A</v>
      </c>
      <c r="CZ1067" s="137">
        <v>1.0626913437795575</v>
      </c>
      <c r="DA1067" t="e">
        <v>#N/A</v>
      </c>
      <c r="DB1067" t="str">
        <v/>
      </c>
    </row>
    <row r="1068" spans="83:106" x14ac:dyDescent="0.2">
      <c r="CE1068"/>
      <c r="CF1068"/>
      <c r="CG1068"/>
      <c r="CH1068"/>
      <c r="CI1068"/>
      <c r="CU1068" s="42">
        <v>1063</v>
      </c>
      <c r="CV1068" s="115">
        <v>3</v>
      </c>
      <c r="CW1068" s="115">
        <v>1.0626913437795575</v>
      </c>
      <c r="CX1068" s="115" t="e">
        <v>#N/A</v>
      </c>
      <c r="CY1068" s="115" t="e">
        <v>#N/A</v>
      </c>
      <c r="CZ1068" s="137">
        <v>1.0626913437795575</v>
      </c>
      <c r="DA1068" t="e">
        <v>#N/A</v>
      </c>
      <c r="DB1068" t="str">
        <v/>
      </c>
    </row>
    <row r="1069" spans="83:106" x14ac:dyDescent="0.2">
      <c r="CE1069"/>
      <c r="CF1069"/>
      <c r="CG1069"/>
      <c r="CH1069"/>
      <c r="CI1069"/>
      <c r="CU1069" s="42">
        <v>1064</v>
      </c>
      <c r="CV1069" s="115">
        <v>3</v>
      </c>
      <c r="CW1069" s="115">
        <v>1.0626913437795575</v>
      </c>
      <c r="CX1069" s="115" t="e">
        <v>#N/A</v>
      </c>
      <c r="CY1069" s="115" t="e">
        <v>#N/A</v>
      </c>
      <c r="CZ1069" s="137">
        <v>1.0626913437795575</v>
      </c>
      <c r="DA1069" t="e">
        <v>#N/A</v>
      </c>
      <c r="DB1069" t="str">
        <v/>
      </c>
    </row>
    <row r="1070" spans="83:106" x14ac:dyDescent="0.2">
      <c r="CE1070"/>
      <c r="CF1070"/>
      <c r="CG1070"/>
      <c r="CH1070"/>
      <c r="CI1070"/>
      <c r="CU1070" s="42">
        <v>1065</v>
      </c>
      <c r="CV1070" s="115">
        <v>3</v>
      </c>
      <c r="CW1070" s="115">
        <v>1.0626913437795575</v>
      </c>
      <c r="CX1070" s="115" t="e">
        <v>#N/A</v>
      </c>
      <c r="CY1070" s="115" t="e">
        <v>#N/A</v>
      </c>
      <c r="CZ1070" s="137">
        <v>1.0626913437795575</v>
      </c>
      <c r="DA1070" t="e">
        <v>#N/A</v>
      </c>
      <c r="DB1070" t="str">
        <v/>
      </c>
    </row>
    <row r="1071" spans="83:106" x14ac:dyDescent="0.2">
      <c r="CE1071"/>
      <c r="CF1071"/>
      <c r="CG1071"/>
      <c r="CH1071"/>
      <c r="CI1071"/>
      <c r="CU1071" s="42">
        <v>1066</v>
      </c>
      <c r="CV1071" s="115">
        <v>3</v>
      </c>
      <c r="CW1071" s="115">
        <v>1.0626913437795575</v>
      </c>
      <c r="CX1071" s="115" t="e">
        <v>#N/A</v>
      </c>
      <c r="CY1071" s="115" t="e">
        <v>#N/A</v>
      </c>
      <c r="CZ1071" s="137">
        <v>1.0626913437795575</v>
      </c>
      <c r="DA1071" t="e">
        <v>#N/A</v>
      </c>
      <c r="DB1071" t="str">
        <v/>
      </c>
    </row>
    <row r="1072" spans="83:106" x14ac:dyDescent="0.2">
      <c r="CE1072"/>
      <c r="CF1072"/>
      <c r="CG1072"/>
      <c r="CH1072"/>
      <c r="CI1072"/>
      <c r="CU1072" s="42">
        <v>1067</v>
      </c>
      <c r="CV1072" s="115">
        <v>3</v>
      </c>
      <c r="CW1072" s="115">
        <v>1.0626913437795575</v>
      </c>
      <c r="CX1072" s="115" t="e">
        <v>#N/A</v>
      </c>
      <c r="CY1072" s="115" t="e">
        <v>#N/A</v>
      </c>
      <c r="CZ1072" s="137">
        <v>1.0626913437795575</v>
      </c>
      <c r="DA1072" t="e">
        <v>#N/A</v>
      </c>
      <c r="DB1072" t="str">
        <v/>
      </c>
    </row>
    <row r="1073" spans="83:106" x14ac:dyDescent="0.2">
      <c r="CE1073"/>
      <c r="CF1073"/>
      <c r="CG1073"/>
      <c r="CH1073"/>
      <c r="CI1073"/>
      <c r="CU1073" s="42">
        <v>1068</v>
      </c>
      <c r="CV1073" s="115">
        <v>3</v>
      </c>
      <c r="CW1073" s="115">
        <v>1.0626913437795575</v>
      </c>
      <c r="CX1073" s="115" t="e">
        <v>#N/A</v>
      </c>
      <c r="CY1073" s="115" t="e">
        <v>#N/A</v>
      </c>
      <c r="CZ1073" s="137">
        <v>1.0626913437795575</v>
      </c>
      <c r="DA1073" t="e">
        <v>#N/A</v>
      </c>
      <c r="DB1073" t="str">
        <v/>
      </c>
    </row>
    <row r="1074" spans="83:106" x14ac:dyDescent="0.2">
      <c r="CE1074"/>
      <c r="CF1074"/>
      <c r="CG1074"/>
      <c r="CH1074"/>
      <c r="CI1074"/>
      <c r="CU1074" s="42">
        <v>1069</v>
      </c>
      <c r="CV1074" s="115">
        <v>3</v>
      </c>
      <c r="CW1074" s="115">
        <v>1.0626913437795575</v>
      </c>
      <c r="CX1074" s="115" t="e">
        <v>#N/A</v>
      </c>
      <c r="CY1074" s="115" t="e">
        <v>#N/A</v>
      </c>
      <c r="CZ1074" s="137">
        <v>1.0626913437795575</v>
      </c>
      <c r="DA1074" t="e">
        <v>#N/A</v>
      </c>
      <c r="DB1074" t="str">
        <v/>
      </c>
    </row>
    <row r="1075" spans="83:106" x14ac:dyDescent="0.2">
      <c r="CE1075"/>
      <c r="CF1075"/>
      <c r="CG1075"/>
      <c r="CH1075"/>
      <c r="CI1075"/>
      <c r="CU1075" s="42">
        <v>1070</v>
      </c>
      <c r="CV1075" s="115">
        <v>3</v>
      </c>
      <c r="CW1075" s="115">
        <v>1.0626913437795575</v>
      </c>
      <c r="CX1075" s="115" t="e">
        <v>#N/A</v>
      </c>
      <c r="CY1075" s="115" t="e">
        <v>#N/A</v>
      </c>
      <c r="CZ1075" s="137">
        <v>1.0626913437795575</v>
      </c>
      <c r="DA1075" t="e">
        <v>#N/A</v>
      </c>
      <c r="DB1075" t="str">
        <v/>
      </c>
    </row>
    <row r="1076" spans="83:106" x14ac:dyDescent="0.2">
      <c r="CE1076"/>
      <c r="CF1076"/>
      <c r="CG1076"/>
      <c r="CH1076"/>
      <c r="CI1076"/>
      <c r="CU1076" s="42">
        <v>1071</v>
      </c>
      <c r="CV1076" s="115">
        <v>3</v>
      </c>
      <c r="CW1076" s="115">
        <v>1.0626913437795575</v>
      </c>
      <c r="CX1076" s="115" t="e">
        <v>#N/A</v>
      </c>
      <c r="CY1076" s="115" t="e">
        <v>#N/A</v>
      </c>
      <c r="CZ1076" s="137">
        <v>1.0626913437795575</v>
      </c>
      <c r="DA1076" t="e">
        <v>#N/A</v>
      </c>
      <c r="DB1076" t="str">
        <v/>
      </c>
    </row>
    <row r="1077" spans="83:106" x14ac:dyDescent="0.2">
      <c r="CE1077"/>
      <c r="CF1077"/>
      <c r="CG1077"/>
      <c r="CH1077"/>
      <c r="CI1077"/>
      <c r="CU1077" s="42">
        <v>1072</v>
      </c>
      <c r="CV1077" s="115">
        <v>3</v>
      </c>
      <c r="CW1077" s="115">
        <v>1.0626913437795575</v>
      </c>
      <c r="CX1077" s="115" t="e">
        <v>#N/A</v>
      </c>
      <c r="CY1077" s="115" t="e">
        <v>#N/A</v>
      </c>
      <c r="CZ1077" s="137">
        <v>1.0626913437795575</v>
      </c>
      <c r="DA1077" t="e">
        <v>#N/A</v>
      </c>
      <c r="DB1077" t="str">
        <v/>
      </c>
    </row>
    <row r="1078" spans="83:106" x14ac:dyDescent="0.2">
      <c r="CE1078"/>
      <c r="CF1078"/>
      <c r="CG1078"/>
      <c r="CH1078"/>
      <c r="CI1078"/>
      <c r="CU1078" s="42">
        <v>1073</v>
      </c>
      <c r="CV1078" s="115">
        <v>3</v>
      </c>
      <c r="CW1078" s="115">
        <v>1.0626913437795575</v>
      </c>
      <c r="CX1078" s="115" t="e">
        <v>#N/A</v>
      </c>
      <c r="CY1078" s="115" t="e">
        <v>#N/A</v>
      </c>
      <c r="CZ1078" s="137">
        <v>1.0626913437795575</v>
      </c>
      <c r="DA1078" t="e">
        <v>#N/A</v>
      </c>
      <c r="DB1078" t="str">
        <v/>
      </c>
    </row>
    <row r="1079" spans="83:106" x14ac:dyDescent="0.2">
      <c r="CE1079"/>
      <c r="CF1079"/>
      <c r="CG1079"/>
      <c r="CH1079"/>
      <c r="CI1079"/>
      <c r="CU1079" s="42">
        <v>1074</v>
      </c>
      <c r="CV1079" s="115">
        <v>3</v>
      </c>
      <c r="CW1079" s="115">
        <v>1.0626913437795575</v>
      </c>
      <c r="CX1079" s="115" t="e">
        <v>#N/A</v>
      </c>
      <c r="CY1079" s="115" t="e">
        <v>#N/A</v>
      </c>
      <c r="CZ1079" s="137">
        <v>1.0626913437795575</v>
      </c>
      <c r="DA1079" t="e">
        <v>#N/A</v>
      </c>
      <c r="DB1079" t="str">
        <v/>
      </c>
    </row>
    <row r="1080" spans="83:106" x14ac:dyDescent="0.2">
      <c r="CE1080"/>
      <c r="CF1080"/>
      <c r="CG1080"/>
      <c r="CH1080"/>
      <c r="CI1080"/>
      <c r="CU1080" s="42">
        <v>1075</v>
      </c>
      <c r="CV1080" s="115">
        <v>3</v>
      </c>
      <c r="CW1080" s="115">
        <v>1.0626913437795575</v>
      </c>
      <c r="CX1080" s="115" t="e">
        <v>#N/A</v>
      </c>
      <c r="CY1080" s="115" t="e">
        <v>#N/A</v>
      </c>
      <c r="CZ1080" s="137">
        <v>1.0626913437795575</v>
      </c>
      <c r="DA1080" t="e">
        <v>#N/A</v>
      </c>
      <c r="DB1080" t="str">
        <v/>
      </c>
    </row>
    <row r="1081" spans="83:106" x14ac:dyDescent="0.2">
      <c r="CE1081"/>
      <c r="CF1081"/>
      <c r="CG1081"/>
      <c r="CH1081"/>
      <c r="CI1081"/>
      <c r="CU1081" s="42">
        <v>1076</v>
      </c>
      <c r="CV1081" s="115">
        <v>3</v>
      </c>
      <c r="CW1081" s="115">
        <v>1.0626913437795575</v>
      </c>
      <c r="CX1081" s="115" t="e">
        <v>#N/A</v>
      </c>
      <c r="CY1081" s="115" t="e">
        <v>#N/A</v>
      </c>
      <c r="CZ1081" s="137">
        <v>1.0626913437795575</v>
      </c>
      <c r="DA1081" t="e">
        <v>#N/A</v>
      </c>
      <c r="DB1081" t="str">
        <v/>
      </c>
    </row>
    <row r="1082" spans="83:106" x14ac:dyDescent="0.2">
      <c r="CE1082"/>
      <c r="CF1082"/>
      <c r="CG1082"/>
      <c r="CH1082"/>
      <c r="CI1082"/>
      <c r="CU1082" s="42">
        <v>1077</v>
      </c>
      <c r="CV1082" s="115">
        <v>3</v>
      </c>
      <c r="CW1082" s="115">
        <v>1.0626913437795575</v>
      </c>
      <c r="CX1082" s="115" t="e">
        <v>#N/A</v>
      </c>
      <c r="CY1082" s="115" t="e">
        <v>#N/A</v>
      </c>
      <c r="CZ1082" s="137">
        <v>1.0626913437795575</v>
      </c>
      <c r="DA1082" t="e">
        <v>#N/A</v>
      </c>
      <c r="DB1082" t="str">
        <v/>
      </c>
    </row>
    <row r="1083" spans="83:106" x14ac:dyDescent="0.2">
      <c r="CE1083"/>
      <c r="CF1083"/>
      <c r="CG1083"/>
      <c r="CH1083"/>
      <c r="CI1083"/>
      <c r="CU1083" s="42">
        <v>1078</v>
      </c>
      <c r="CV1083" s="115">
        <v>3</v>
      </c>
      <c r="CW1083" s="115">
        <v>1.0626913437795575</v>
      </c>
      <c r="CX1083" s="115" t="e">
        <v>#N/A</v>
      </c>
      <c r="CY1083" s="115" t="e">
        <v>#N/A</v>
      </c>
      <c r="CZ1083" s="137">
        <v>1.0626913437795575</v>
      </c>
      <c r="DA1083" t="e">
        <v>#N/A</v>
      </c>
      <c r="DB1083" t="str">
        <v/>
      </c>
    </row>
    <row r="1084" spans="83:106" x14ac:dyDescent="0.2">
      <c r="CE1084"/>
      <c r="CF1084"/>
      <c r="CG1084"/>
      <c r="CH1084"/>
      <c r="CI1084"/>
      <c r="CU1084" s="42">
        <v>1079</v>
      </c>
      <c r="CV1084" s="115">
        <v>3</v>
      </c>
      <c r="CW1084" s="115">
        <v>1.0626913437795575</v>
      </c>
      <c r="CX1084" s="115" t="e">
        <v>#N/A</v>
      </c>
      <c r="CY1084" s="115" t="e">
        <v>#N/A</v>
      </c>
      <c r="CZ1084" s="137">
        <v>1.0626913437795575</v>
      </c>
      <c r="DA1084" t="e">
        <v>#N/A</v>
      </c>
      <c r="DB1084" t="str">
        <v/>
      </c>
    </row>
    <row r="1085" spans="83:106" x14ac:dyDescent="0.2">
      <c r="CE1085"/>
      <c r="CF1085"/>
      <c r="CG1085"/>
      <c r="CH1085"/>
      <c r="CI1085"/>
      <c r="CU1085" s="42">
        <v>1080</v>
      </c>
      <c r="CV1085" s="115">
        <v>3</v>
      </c>
      <c r="CW1085" s="115">
        <v>1.0626913437795575</v>
      </c>
      <c r="CX1085" s="115" t="e">
        <v>#N/A</v>
      </c>
      <c r="CY1085" s="115" t="e">
        <v>#N/A</v>
      </c>
      <c r="CZ1085" s="137">
        <v>1.0626913437795575</v>
      </c>
      <c r="DA1085" t="e">
        <v>#N/A</v>
      </c>
      <c r="DB1085" t="str">
        <v/>
      </c>
    </row>
    <row r="1086" spans="83:106" x14ac:dyDescent="0.2">
      <c r="CE1086"/>
      <c r="CF1086"/>
      <c r="CG1086"/>
      <c r="CH1086"/>
      <c r="CI1086"/>
      <c r="CU1086" s="42">
        <v>1081</v>
      </c>
      <c r="CV1086" s="115">
        <v>3</v>
      </c>
      <c r="CW1086" s="115">
        <v>1.0626913437795575</v>
      </c>
      <c r="CX1086" s="115" t="e">
        <v>#N/A</v>
      </c>
      <c r="CY1086" s="115" t="e">
        <v>#N/A</v>
      </c>
      <c r="CZ1086" s="137">
        <v>1.0626913437795575</v>
      </c>
      <c r="DA1086" t="e">
        <v>#N/A</v>
      </c>
      <c r="DB1086" t="str">
        <v/>
      </c>
    </row>
    <row r="1087" spans="83:106" x14ac:dyDescent="0.2">
      <c r="CE1087"/>
      <c r="CF1087"/>
      <c r="CG1087"/>
      <c r="CH1087"/>
      <c r="CI1087"/>
      <c r="CU1087" s="42">
        <v>1082</v>
      </c>
      <c r="CV1087" s="115">
        <v>3</v>
      </c>
      <c r="CW1087" s="115">
        <v>1.0626913437795575</v>
      </c>
      <c r="CX1087" s="115" t="e">
        <v>#N/A</v>
      </c>
      <c r="CY1087" s="115" t="e">
        <v>#N/A</v>
      </c>
      <c r="CZ1087" s="137">
        <v>1.0626913437795575</v>
      </c>
      <c r="DA1087" t="e">
        <v>#N/A</v>
      </c>
      <c r="DB1087" t="str">
        <v/>
      </c>
    </row>
    <row r="1088" spans="83:106" x14ac:dyDescent="0.2">
      <c r="CE1088"/>
      <c r="CF1088"/>
      <c r="CG1088"/>
      <c r="CH1088"/>
      <c r="CI1088"/>
      <c r="CU1088" s="42">
        <v>1083</v>
      </c>
      <c r="CV1088" s="115">
        <v>3</v>
      </c>
      <c r="CW1088" s="115">
        <v>1.0626913437795575</v>
      </c>
      <c r="CX1088" s="115" t="e">
        <v>#N/A</v>
      </c>
      <c r="CY1088" s="115" t="e">
        <v>#N/A</v>
      </c>
      <c r="CZ1088" s="137">
        <v>1.0626913437795575</v>
      </c>
      <c r="DA1088" t="e">
        <v>#N/A</v>
      </c>
      <c r="DB1088" t="str">
        <v/>
      </c>
    </row>
    <row r="1089" spans="83:106" x14ac:dyDescent="0.2">
      <c r="CE1089"/>
      <c r="CF1089"/>
      <c r="CG1089"/>
      <c r="CH1089"/>
      <c r="CI1089"/>
      <c r="CU1089" s="42">
        <v>1084</v>
      </c>
      <c r="CV1089" s="115">
        <v>3</v>
      </c>
      <c r="CW1089" s="115">
        <v>1.0626913437795575</v>
      </c>
      <c r="CX1089" s="115" t="e">
        <v>#N/A</v>
      </c>
      <c r="CY1089" s="115" t="e">
        <v>#N/A</v>
      </c>
      <c r="CZ1089" s="137">
        <v>1.0626913437795575</v>
      </c>
      <c r="DA1089" t="e">
        <v>#N/A</v>
      </c>
      <c r="DB1089" t="str">
        <v/>
      </c>
    </row>
    <row r="1090" spans="83:106" x14ac:dyDescent="0.2">
      <c r="CE1090"/>
      <c r="CF1090"/>
      <c r="CG1090"/>
      <c r="CH1090"/>
      <c r="CI1090"/>
      <c r="CU1090" s="42">
        <v>1085</v>
      </c>
      <c r="CV1090" s="115">
        <v>3</v>
      </c>
      <c r="CW1090" s="115">
        <v>1.0626913437795575</v>
      </c>
      <c r="CX1090" s="115" t="e">
        <v>#N/A</v>
      </c>
      <c r="CY1090" s="115" t="e">
        <v>#N/A</v>
      </c>
      <c r="CZ1090" s="137">
        <v>1.0626913437795575</v>
      </c>
      <c r="DA1090" t="e">
        <v>#N/A</v>
      </c>
      <c r="DB1090" t="str">
        <v/>
      </c>
    </row>
    <row r="1091" spans="83:106" x14ac:dyDescent="0.2">
      <c r="CE1091"/>
      <c r="CF1091"/>
      <c r="CG1091"/>
      <c r="CH1091"/>
      <c r="CI1091"/>
      <c r="CU1091" s="42">
        <v>1086</v>
      </c>
      <c r="CV1091" s="115">
        <v>3</v>
      </c>
      <c r="CW1091" s="115">
        <v>1.0626913437795575</v>
      </c>
      <c r="CX1091" s="115" t="e">
        <v>#N/A</v>
      </c>
      <c r="CY1091" s="115" t="e">
        <v>#N/A</v>
      </c>
      <c r="CZ1091" s="137">
        <v>1.0626913437795575</v>
      </c>
      <c r="DA1091" t="e">
        <v>#N/A</v>
      </c>
      <c r="DB1091" t="str">
        <v/>
      </c>
    </row>
    <row r="1092" spans="83:106" x14ac:dyDescent="0.2">
      <c r="CE1092"/>
      <c r="CF1092"/>
      <c r="CG1092"/>
      <c r="CH1092"/>
      <c r="CI1092"/>
      <c r="CU1092" s="42">
        <v>1087</v>
      </c>
      <c r="CV1092" s="115">
        <v>3</v>
      </c>
      <c r="CW1092" s="115">
        <v>1.0626913437795575</v>
      </c>
      <c r="CX1092" s="115" t="e">
        <v>#N/A</v>
      </c>
      <c r="CY1092" s="115" t="e">
        <v>#N/A</v>
      </c>
      <c r="CZ1092" s="137">
        <v>1.0626913437795575</v>
      </c>
      <c r="DA1092" t="e">
        <v>#N/A</v>
      </c>
      <c r="DB1092" t="str">
        <v/>
      </c>
    </row>
    <row r="1093" spans="83:106" x14ac:dyDescent="0.2">
      <c r="CE1093"/>
      <c r="CF1093"/>
      <c r="CG1093"/>
      <c r="CH1093"/>
      <c r="CI1093"/>
      <c r="CU1093" s="42">
        <v>1088</v>
      </c>
      <c r="CV1093" s="115">
        <v>3</v>
      </c>
      <c r="CW1093" s="115">
        <v>1.0626913437795575</v>
      </c>
      <c r="CX1093" s="115" t="e">
        <v>#N/A</v>
      </c>
      <c r="CY1093" s="115" t="e">
        <v>#N/A</v>
      </c>
      <c r="CZ1093" s="137">
        <v>1.0626913437795575</v>
      </c>
      <c r="DA1093" t="e">
        <v>#N/A</v>
      </c>
      <c r="DB1093" t="str">
        <v/>
      </c>
    </row>
    <row r="1094" spans="83:106" x14ac:dyDescent="0.2">
      <c r="CE1094"/>
      <c r="CF1094"/>
      <c r="CG1094"/>
      <c r="CH1094"/>
      <c r="CI1094"/>
      <c r="CU1094" s="42">
        <v>1089</v>
      </c>
      <c r="CV1094" s="115">
        <v>3</v>
      </c>
      <c r="CW1094" s="115">
        <v>1.0626913437795575</v>
      </c>
      <c r="CX1094" s="115" t="e">
        <v>#N/A</v>
      </c>
      <c r="CY1094" s="115" t="e">
        <v>#N/A</v>
      </c>
      <c r="CZ1094" s="137">
        <v>1.0626913437795575</v>
      </c>
      <c r="DA1094" t="e">
        <v>#N/A</v>
      </c>
      <c r="DB1094" t="str">
        <v/>
      </c>
    </row>
    <row r="1095" spans="83:106" x14ac:dyDescent="0.2">
      <c r="CE1095"/>
      <c r="CF1095"/>
      <c r="CG1095"/>
      <c r="CH1095"/>
      <c r="CI1095"/>
      <c r="CU1095" s="42">
        <v>1090</v>
      </c>
      <c r="CV1095" s="115">
        <v>3</v>
      </c>
      <c r="CW1095" s="115">
        <v>1.0626913437795575</v>
      </c>
      <c r="CX1095" s="115" t="e">
        <v>#N/A</v>
      </c>
      <c r="CY1095" s="115" t="e">
        <v>#N/A</v>
      </c>
      <c r="CZ1095" s="137">
        <v>1.0626913437795575</v>
      </c>
      <c r="DA1095" t="e">
        <v>#N/A</v>
      </c>
      <c r="DB1095" t="str">
        <v/>
      </c>
    </row>
    <row r="1096" spans="83:106" x14ac:dyDescent="0.2">
      <c r="CE1096"/>
      <c r="CF1096"/>
      <c r="CG1096"/>
      <c r="CH1096"/>
      <c r="CI1096"/>
      <c r="CU1096" s="42">
        <v>1091</v>
      </c>
      <c r="CV1096" s="115">
        <v>3</v>
      </c>
      <c r="CW1096" s="115">
        <v>1.0626913437795575</v>
      </c>
      <c r="CX1096" s="115" t="e">
        <v>#N/A</v>
      </c>
      <c r="CY1096" s="115" t="e">
        <v>#N/A</v>
      </c>
      <c r="CZ1096" s="137">
        <v>1.0626913437795575</v>
      </c>
      <c r="DA1096" t="e">
        <v>#N/A</v>
      </c>
      <c r="DB1096" t="str">
        <v/>
      </c>
    </row>
    <row r="1097" spans="83:106" x14ac:dyDescent="0.2">
      <c r="CE1097"/>
      <c r="CF1097"/>
      <c r="CG1097"/>
      <c r="CH1097"/>
      <c r="CI1097"/>
      <c r="CU1097" s="42">
        <v>1092</v>
      </c>
      <c r="CV1097" s="115">
        <v>3</v>
      </c>
      <c r="CW1097" s="115">
        <v>1.0626913437795575</v>
      </c>
      <c r="CX1097" s="115" t="e">
        <v>#N/A</v>
      </c>
      <c r="CY1097" s="115" t="e">
        <v>#N/A</v>
      </c>
      <c r="CZ1097" s="137">
        <v>1.0626913437795575</v>
      </c>
      <c r="DA1097" t="e">
        <v>#N/A</v>
      </c>
      <c r="DB1097" t="str">
        <v/>
      </c>
    </row>
    <row r="1098" spans="83:106" x14ac:dyDescent="0.2">
      <c r="CE1098"/>
      <c r="CF1098"/>
      <c r="CG1098"/>
      <c r="CH1098"/>
      <c r="CI1098"/>
      <c r="CU1098" s="42">
        <v>1093</v>
      </c>
      <c r="CV1098" s="115">
        <v>3</v>
      </c>
      <c r="CW1098" s="115">
        <v>1.0626913437795575</v>
      </c>
      <c r="CX1098" s="115" t="e">
        <v>#N/A</v>
      </c>
      <c r="CY1098" s="115" t="e">
        <v>#N/A</v>
      </c>
      <c r="CZ1098" s="137">
        <v>1.0626913437795575</v>
      </c>
      <c r="DA1098" t="e">
        <v>#N/A</v>
      </c>
      <c r="DB1098" t="str">
        <v/>
      </c>
    </row>
    <row r="1099" spans="83:106" x14ac:dyDescent="0.2">
      <c r="CE1099"/>
      <c r="CF1099"/>
      <c r="CG1099"/>
      <c r="CH1099"/>
      <c r="CI1099"/>
      <c r="CU1099" s="42">
        <v>1094</v>
      </c>
      <c r="CV1099" s="115">
        <v>3</v>
      </c>
      <c r="CW1099" s="115">
        <v>1.0626913437795575</v>
      </c>
      <c r="CX1099" s="115" t="e">
        <v>#N/A</v>
      </c>
      <c r="CY1099" s="115" t="e">
        <v>#N/A</v>
      </c>
      <c r="CZ1099" s="137">
        <v>1.0626913437795575</v>
      </c>
      <c r="DA1099" t="e">
        <v>#N/A</v>
      </c>
      <c r="DB1099" t="str">
        <v/>
      </c>
    </row>
    <row r="1100" spans="83:106" x14ac:dyDescent="0.2">
      <c r="CE1100"/>
      <c r="CF1100"/>
      <c r="CG1100"/>
      <c r="CH1100"/>
      <c r="CI1100"/>
      <c r="CU1100" s="42">
        <v>1095</v>
      </c>
      <c r="CV1100" s="115">
        <v>3</v>
      </c>
      <c r="CW1100" s="115">
        <v>1.0626913437795575</v>
      </c>
      <c r="CX1100" s="115" t="e">
        <v>#N/A</v>
      </c>
      <c r="CY1100" s="115" t="e">
        <v>#N/A</v>
      </c>
      <c r="CZ1100" s="137">
        <v>1.0626913437795575</v>
      </c>
      <c r="DA1100" t="e">
        <v>#N/A</v>
      </c>
      <c r="DB1100" t="str">
        <v/>
      </c>
    </row>
    <row r="1101" spans="83:106" x14ac:dyDescent="0.2">
      <c r="CE1101"/>
      <c r="CF1101"/>
      <c r="CG1101"/>
      <c r="CH1101"/>
      <c r="CI1101"/>
      <c r="CU1101" s="42">
        <v>1096</v>
      </c>
      <c r="CV1101" s="115">
        <v>3</v>
      </c>
      <c r="CW1101" s="115">
        <v>1.0626913437795575</v>
      </c>
      <c r="CX1101" s="115" t="e">
        <v>#N/A</v>
      </c>
      <c r="CY1101" s="115" t="e">
        <v>#N/A</v>
      </c>
      <c r="CZ1101" s="137">
        <v>1.0626913437795575</v>
      </c>
      <c r="DA1101" t="e">
        <v>#N/A</v>
      </c>
      <c r="DB1101" t="str">
        <v/>
      </c>
    </row>
    <row r="1102" spans="83:106" x14ac:dyDescent="0.2">
      <c r="CE1102"/>
      <c r="CF1102"/>
      <c r="CG1102"/>
      <c r="CH1102"/>
      <c r="CI1102"/>
      <c r="CU1102" s="42">
        <v>1097</v>
      </c>
      <c r="CV1102" s="115">
        <v>3</v>
      </c>
      <c r="CW1102" s="115">
        <v>1.0626913437795575</v>
      </c>
      <c r="CX1102" s="115" t="e">
        <v>#N/A</v>
      </c>
      <c r="CY1102" s="115" t="e">
        <v>#N/A</v>
      </c>
      <c r="CZ1102" s="137">
        <v>1.0626913437795575</v>
      </c>
      <c r="DA1102" t="e">
        <v>#N/A</v>
      </c>
      <c r="DB1102" t="str">
        <v/>
      </c>
    </row>
    <row r="1103" spans="83:106" x14ac:dyDescent="0.2">
      <c r="CE1103"/>
      <c r="CF1103"/>
      <c r="CG1103"/>
      <c r="CH1103"/>
      <c r="CI1103"/>
      <c r="CU1103" s="42">
        <v>1098</v>
      </c>
      <c r="CV1103" s="115">
        <v>3</v>
      </c>
      <c r="CW1103" s="115">
        <v>1.0626913437795575</v>
      </c>
      <c r="CX1103" s="115" t="e">
        <v>#N/A</v>
      </c>
      <c r="CY1103" s="115" t="e">
        <v>#N/A</v>
      </c>
      <c r="CZ1103" s="137">
        <v>1.0626913437795575</v>
      </c>
      <c r="DA1103" t="e">
        <v>#N/A</v>
      </c>
      <c r="DB1103" t="str">
        <v/>
      </c>
    </row>
    <row r="1104" spans="83:106" x14ac:dyDescent="0.2">
      <c r="CE1104"/>
      <c r="CF1104"/>
      <c r="CG1104"/>
      <c r="CH1104"/>
      <c r="CI1104"/>
      <c r="CU1104" s="42">
        <v>1099</v>
      </c>
      <c r="CV1104" s="115">
        <v>3</v>
      </c>
      <c r="CW1104" s="115">
        <v>1.0626913437795575</v>
      </c>
      <c r="CX1104" s="115" t="e">
        <v>#N/A</v>
      </c>
      <c r="CY1104" s="115" t="e">
        <v>#N/A</v>
      </c>
      <c r="CZ1104" s="137">
        <v>1.0626913437795575</v>
      </c>
      <c r="DA1104" t="e">
        <v>#N/A</v>
      </c>
      <c r="DB1104" t="str">
        <v/>
      </c>
    </row>
    <row r="1105" spans="83:106" x14ac:dyDescent="0.2">
      <c r="CE1105"/>
      <c r="CF1105"/>
      <c r="CG1105"/>
      <c r="CH1105"/>
      <c r="CI1105"/>
      <c r="CU1105" s="42">
        <v>1100</v>
      </c>
      <c r="CV1105" s="115">
        <v>4</v>
      </c>
      <c r="CW1105" s="115">
        <v>0.11332468572476186</v>
      </c>
      <c r="CX1105" s="115" t="e">
        <v>#N/A</v>
      </c>
      <c r="CY1105" s="115" t="e">
        <v>#N/A</v>
      </c>
      <c r="CZ1105" s="137" t="e">
        <v>#N/A</v>
      </c>
      <c r="DA1105">
        <v>0.11332468572476186</v>
      </c>
      <c r="DB1105">
        <v>1.7030000000000001</v>
      </c>
    </row>
    <row r="1106" spans="83:106" x14ac:dyDescent="0.2">
      <c r="CE1106"/>
      <c r="CF1106"/>
      <c r="CG1106"/>
      <c r="CH1106"/>
      <c r="CI1106"/>
      <c r="CU1106" s="42">
        <v>1101</v>
      </c>
      <c r="CV1106" s="115">
        <v>4</v>
      </c>
      <c r="CW1106" s="115">
        <v>0.11332468572476186</v>
      </c>
      <c r="CX1106" s="115" t="e">
        <v>#N/A</v>
      </c>
      <c r="CY1106" s="115" t="e">
        <v>#N/A</v>
      </c>
      <c r="CZ1106" s="137" t="e">
        <v>#N/A</v>
      </c>
      <c r="DA1106">
        <v>0.11332468572476186</v>
      </c>
      <c r="DB1106" t="str">
        <v/>
      </c>
    </row>
    <row r="1107" spans="83:106" x14ac:dyDescent="0.2">
      <c r="CE1107"/>
      <c r="CF1107"/>
      <c r="CG1107"/>
      <c r="CH1107"/>
      <c r="CI1107"/>
      <c r="CU1107" s="42">
        <v>1102</v>
      </c>
      <c r="CV1107" s="115">
        <v>4</v>
      </c>
      <c r="CW1107" s="115">
        <v>0.11332468572476186</v>
      </c>
      <c r="CX1107" s="115" t="e">
        <v>#N/A</v>
      </c>
      <c r="CY1107" s="115" t="e">
        <v>#N/A</v>
      </c>
      <c r="CZ1107" s="137" t="e">
        <v>#N/A</v>
      </c>
      <c r="DA1107">
        <v>0.11332468572476186</v>
      </c>
      <c r="DB1107" t="str">
        <v/>
      </c>
    </row>
    <row r="1108" spans="83:106" x14ac:dyDescent="0.2">
      <c r="CE1108"/>
      <c r="CF1108"/>
      <c r="CG1108"/>
      <c r="CH1108"/>
      <c r="CI1108"/>
      <c r="CU1108" s="42">
        <v>1103</v>
      </c>
      <c r="CV1108" s="115">
        <v>4</v>
      </c>
      <c r="CW1108" s="115">
        <v>0.11332468572476186</v>
      </c>
      <c r="CX1108" s="115" t="e">
        <v>#N/A</v>
      </c>
      <c r="CY1108" s="115" t="e">
        <v>#N/A</v>
      </c>
      <c r="CZ1108" s="137" t="e">
        <v>#N/A</v>
      </c>
      <c r="DA1108">
        <v>0.11332468572476186</v>
      </c>
      <c r="DB1108" t="str">
        <v/>
      </c>
    </row>
    <row r="1109" spans="83:106" x14ac:dyDescent="0.2">
      <c r="CE1109"/>
      <c r="CF1109"/>
      <c r="CG1109"/>
      <c r="CH1109"/>
      <c r="CI1109"/>
      <c r="CU1109" s="42">
        <v>1104</v>
      </c>
      <c r="CV1109" s="115">
        <v>4</v>
      </c>
      <c r="CW1109" s="115">
        <v>0.11332468572476186</v>
      </c>
      <c r="CX1109" s="115" t="e">
        <v>#N/A</v>
      </c>
      <c r="CY1109" s="115" t="e">
        <v>#N/A</v>
      </c>
      <c r="CZ1109" s="137" t="e">
        <v>#N/A</v>
      </c>
      <c r="DA1109">
        <v>0.11332468572476186</v>
      </c>
      <c r="DB1109" t="str">
        <v/>
      </c>
    </row>
    <row r="1110" spans="83:106" x14ac:dyDescent="0.2">
      <c r="CE1110"/>
      <c r="CF1110"/>
      <c r="CG1110"/>
      <c r="CH1110"/>
      <c r="CI1110"/>
      <c r="CU1110" s="42">
        <v>1105</v>
      </c>
      <c r="CV1110" s="115">
        <v>4</v>
      </c>
      <c r="CW1110" s="115">
        <v>0.11332468572476186</v>
      </c>
      <c r="CX1110" s="115" t="e">
        <v>#N/A</v>
      </c>
      <c r="CY1110" s="115" t="e">
        <v>#N/A</v>
      </c>
      <c r="CZ1110" s="137" t="e">
        <v>#N/A</v>
      </c>
      <c r="DA1110">
        <v>0.11332468572476186</v>
      </c>
      <c r="DB1110" t="str">
        <v/>
      </c>
    </row>
    <row r="1111" spans="83:106" x14ac:dyDescent="0.2">
      <c r="CE1111"/>
      <c r="CF1111"/>
      <c r="CG1111"/>
      <c r="CH1111"/>
      <c r="CI1111"/>
      <c r="CU1111" s="42">
        <v>1106</v>
      </c>
      <c r="CV1111" s="115">
        <v>4</v>
      </c>
      <c r="CW1111" s="115">
        <v>0.11332468572476186</v>
      </c>
      <c r="CX1111" s="115" t="e">
        <v>#N/A</v>
      </c>
      <c r="CY1111" s="115" t="e">
        <v>#N/A</v>
      </c>
      <c r="CZ1111" s="137" t="e">
        <v>#N/A</v>
      </c>
      <c r="DA1111">
        <v>0.11332468572476186</v>
      </c>
      <c r="DB1111" t="str">
        <v/>
      </c>
    </row>
    <row r="1112" spans="83:106" x14ac:dyDescent="0.2">
      <c r="CE1112"/>
      <c r="CF1112"/>
      <c r="CG1112"/>
      <c r="CH1112"/>
      <c r="CI1112"/>
      <c r="CU1112" s="42">
        <v>1107</v>
      </c>
      <c r="CV1112" s="115">
        <v>4</v>
      </c>
      <c r="CW1112" s="115">
        <v>0.11332468572476186</v>
      </c>
      <c r="CX1112" s="115" t="e">
        <v>#N/A</v>
      </c>
      <c r="CY1112" s="115" t="e">
        <v>#N/A</v>
      </c>
      <c r="CZ1112" s="137" t="e">
        <v>#N/A</v>
      </c>
      <c r="DA1112">
        <v>0.11332468572476186</v>
      </c>
      <c r="DB1112" t="str">
        <v/>
      </c>
    </row>
    <row r="1113" spans="83:106" x14ac:dyDescent="0.2">
      <c r="CE1113"/>
      <c r="CF1113"/>
      <c r="CG1113"/>
      <c r="CH1113"/>
      <c r="CI1113"/>
      <c r="CU1113" s="42">
        <v>1108</v>
      </c>
      <c r="CV1113" s="115">
        <v>4</v>
      </c>
      <c r="CW1113" s="115">
        <v>0.11332468572476186</v>
      </c>
      <c r="CX1113" s="115" t="e">
        <v>#N/A</v>
      </c>
      <c r="CY1113" s="115" t="e">
        <v>#N/A</v>
      </c>
      <c r="CZ1113" s="137" t="e">
        <v>#N/A</v>
      </c>
      <c r="DA1113">
        <v>0.11332468572476186</v>
      </c>
      <c r="DB1113" t="str">
        <v/>
      </c>
    </row>
    <row r="1114" spans="83:106" x14ac:dyDescent="0.2">
      <c r="CE1114"/>
      <c r="CF1114"/>
      <c r="CG1114"/>
      <c r="CH1114"/>
      <c r="CI1114"/>
      <c r="CU1114" s="42">
        <v>1109</v>
      </c>
      <c r="CV1114" s="115">
        <v>4</v>
      </c>
      <c r="CW1114" s="115">
        <v>0.11332468572476186</v>
      </c>
      <c r="CX1114" s="115" t="e">
        <v>#N/A</v>
      </c>
      <c r="CY1114" s="115" t="e">
        <v>#N/A</v>
      </c>
      <c r="CZ1114" s="137" t="e">
        <v>#N/A</v>
      </c>
      <c r="DA1114">
        <v>0.11332468572476186</v>
      </c>
      <c r="DB1114" t="str">
        <v/>
      </c>
    </row>
    <row r="1115" spans="83:106" x14ac:dyDescent="0.2">
      <c r="CE1115"/>
      <c r="CF1115"/>
      <c r="CG1115"/>
      <c r="CH1115"/>
      <c r="CI1115"/>
      <c r="CU1115" s="42">
        <v>1110</v>
      </c>
      <c r="CV1115" s="115">
        <v>4</v>
      </c>
      <c r="CW1115" s="115">
        <v>0.11332468572476186</v>
      </c>
      <c r="CX1115" s="115" t="e">
        <v>#N/A</v>
      </c>
      <c r="CY1115" s="115" t="e">
        <v>#N/A</v>
      </c>
      <c r="CZ1115" s="137" t="e">
        <v>#N/A</v>
      </c>
      <c r="DA1115">
        <v>0.11332468572476186</v>
      </c>
      <c r="DB1115" t="str">
        <v/>
      </c>
    </row>
    <row r="1116" spans="83:106" x14ac:dyDescent="0.2">
      <c r="CE1116"/>
      <c r="CF1116"/>
      <c r="CG1116"/>
      <c r="CH1116"/>
      <c r="CI1116"/>
      <c r="CU1116" s="42">
        <v>1111</v>
      </c>
      <c r="CV1116" s="115">
        <v>4</v>
      </c>
      <c r="CW1116" s="115">
        <v>0.11332468572476186</v>
      </c>
      <c r="CX1116" s="115" t="e">
        <v>#N/A</v>
      </c>
      <c r="CY1116" s="115" t="e">
        <v>#N/A</v>
      </c>
      <c r="CZ1116" s="137" t="e">
        <v>#N/A</v>
      </c>
      <c r="DA1116">
        <v>0.11332468572476186</v>
      </c>
      <c r="DB1116" t="str">
        <v/>
      </c>
    </row>
    <row r="1117" spans="83:106" x14ac:dyDescent="0.2">
      <c r="CE1117"/>
      <c r="CF1117"/>
      <c r="CG1117"/>
      <c r="CH1117"/>
      <c r="CI1117"/>
      <c r="CU1117" s="42">
        <v>1112</v>
      </c>
      <c r="CV1117" s="115">
        <v>4</v>
      </c>
      <c r="CW1117" s="115">
        <v>0.11332468572476186</v>
      </c>
      <c r="CX1117" s="115" t="e">
        <v>#N/A</v>
      </c>
      <c r="CY1117" s="115" t="e">
        <v>#N/A</v>
      </c>
      <c r="CZ1117" s="137" t="e">
        <v>#N/A</v>
      </c>
      <c r="DA1117">
        <v>0.11332468572476186</v>
      </c>
      <c r="DB1117" t="str">
        <v/>
      </c>
    </row>
    <row r="1118" spans="83:106" x14ac:dyDescent="0.2">
      <c r="CE1118"/>
      <c r="CF1118"/>
      <c r="CG1118"/>
      <c r="CH1118"/>
      <c r="CI1118"/>
      <c r="CU1118" s="42">
        <v>1113</v>
      </c>
      <c r="CV1118" s="115">
        <v>4</v>
      </c>
      <c r="CW1118" s="115">
        <v>0.11332468572476186</v>
      </c>
      <c r="CX1118" s="115" t="e">
        <v>#N/A</v>
      </c>
      <c r="CY1118" s="115" t="e">
        <v>#N/A</v>
      </c>
      <c r="CZ1118" s="137" t="e">
        <v>#N/A</v>
      </c>
      <c r="DA1118">
        <v>0.11332468572476186</v>
      </c>
      <c r="DB1118" t="str">
        <v/>
      </c>
    </row>
    <row r="1119" spans="83:106" x14ac:dyDescent="0.2">
      <c r="CE1119"/>
      <c r="CF1119"/>
      <c r="CG1119"/>
      <c r="CH1119"/>
      <c r="CI1119"/>
      <c r="CU1119" s="42">
        <v>1114</v>
      </c>
      <c r="CV1119" s="115">
        <v>4</v>
      </c>
      <c r="CW1119" s="115">
        <v>0.11332468572476186</v>
      </c>
      <c r="CX1119" s="115" t="e">
        <v>#N/A</v>
      </c>
      <c r="CY1119" s="115" t="e">
        <v>#N/A</v>
      </c>
      <c r="CZ1119" s="137" t="e">
        <v>#N/A</v>
      </c>
      <c r="DA1119">
        <v>0.11332468572476186</v>
      </c>
      <c r="DB1119" t="str">
        <v/>
      </c>
    </row>
    <row r="1120" spans="83:106" x14ac:dyDescent="0.2">
      <c r="CE1120"/>
      <c r="CF1120"/>
      <c r="CG1120"/>
      <c r="CH1120"/>
      <c r="CI1120"/>
      <c r="CU1120" s="42">
        <v>1115</v>
      </c>
      <c r="CV1120" s="115">
        <v>4</v>
      </c>
      <c r="CW1120" s="115">
        <v>0.11332468572476186</v>
      </c>
      <c r="CX1120" s="115" t="e">
        <v>#N/A</v>
      </c>
      <c r="CY1120" s="115" t="e">
        <v>#N/A</v>
      </c>
      <c r="CZ1120" s="137" t="e">
        <v>#N/A</v>
      </c>
      <c r="DA1120">
        <v>0.11332468572476186</v>
      </c>
      <c r="DB1120" t="str">
        <v/>
      </c>
    </row>
    <row r="1121" spans="83:106" x14ac:dyDescent="0.2">
      <c r="CE1121"/>
      <c r="CF1121"/>
      <c r="CG1121"/>
      <c r="CH1121"/>
      <c r="CI1121"/>
      <c r="CU1121" s="42">
        <v>1116</v>
      </c>
      <c r="CV1121" s="115">
        <v>4</v>
      </c>
      <c r="CW1121" s="115">
        <v>0.11332468572476186</v>
      </c>
      <c r="CX1121" s="115" t="e">
        <v>#N/A</v>
      </c>
      <c r="CY1121" s="115" t="e">
        <v>#N/A</v>
      </c>
      <c r="CZ1121" s="137" t="e">
        <v>#N/A</v>
      </c>
      <c r="DA1121">
        <v>0.11332468572476186</v>
      </c>
      <c r="DB1121" t="str">
        <v/>
      </c>
    </row>
    <row r="1122" spans="83:106" x14ac:dyDescent="0.2">
      <c r="CE1122"/>
      <c r="CF1122"/>
      <c r="CG1122"/>
      <c r="CH1122"/>
      <c r="CI1122"/>
      <c r="CU1122" s="42">
        <v>1117</v>
      </c>
      <c r="CV1122" s="115">
        <v>4</v>
      </c>
      <c r="CW1122" s="115">
        <v>0.11332468572476186</v>
      </c>
      <c r="CX1122" s="115" t="e">
        <v>#N/A</v>
      </c>
      <c r="CY1122" s="115" t="e">
        <v>#N/A</v>
      </c>
      <c r="CZ1122" s="137" t="e">
        <v>#N/A</v>
      </c>
      <c r="DA1122">
        <v>0.11332468572476186</v>
      </c>
      <c r="DB1122" t="str">
        <v/>
      </c>
    </row>
    <row r="1123" spans="83:106" x14ac:dyDescent="0.2">
      <c r="CE1123"/>
      <c r="CF1123"/>
      <c r="CG1123"/>
      <c r="CH1123"/>
      <c r="CI1123"/>
      <c r="CU1123" s="42">
        <v>1118</v>
      </c>
      <c r="CV1123" s="115">
        <v>4</v>
      </c>
      <c r="CW1123" s="115">
        <v>0.11332468572476186</v>
      </c>
      <c r="CX1123" s="115" t="e">
        <v>#N/A</v>
      </c>
      <c r="CY1123" s="115" t="e">
        <v>#N/A</v>
      </c>
      <c r="CZ1123" s="137" t="e">
        <v>#N/A</v>
      </c>
      <c r="DA1123">
        <v>0.11332468572476186</v>
      </c>
      <c r="DB1123" t="str">
        <v/>
      </c>
    </row>
    <row r="1124" spans="83:106" x14ac:dyDescent="0.2">
      <c r="CE1124"/>
      <c r="CF1124"/>
      <c r="CG1124"/>
      <c r="CH1124"/>
      <c r="CI1124"/>
      <c r="CU1124" s="42">
        <v>1119</v>
      </c>
      <c r="CV1124" s="115">
        <v>4</v>
      </c>
      <c r="CW1124" s="115">
        <v>0.11332468572476186</v>
      </c>
      <c r="CX1124" s="115" t="e">
        <v>#N/A</v>
      </c>
      <c r="CY1124" s="115" t="e">
        <v>#N/A</v>
      </c>
      <c r="CZ1124" s="137" t="e">
        <v>#N/A</v>
      </c>
      <c r="DA1124">
        <v>0.11332468572476186</v>
      </c>
      <c r="DB1124" t="str">
        <v/>
      </c>
    </row>
    <row r="1125" spans="83:106" x14ac:dyDescent="0.2">
      <c r="CE1125"/>
      <c r="CF1125"/>
      <c r="CG1125"/>
      <c r="CH1125"/>
      <c r="CI1125"/>
      <c r="CU1125" s="42">
        <v>1120</v>
      </c>
      <c r="CV1125" s="115">
        <v>4</v>
      </c>
      <c r="CW1125" s="115">
        <v>0.11332468572476186</v>
      </c>
      <c r="CX1125" s="115" t="e">
        <v>#N/A</v>
      </c>
      <c r="CY1125" s="115" t="e">
        <v>#N/A</v>
      </c>
      <c r="CZ1125" s="137" t="e">
        <v>#N/A</v>
      </c>
      <c r="DA1125">
        <v>0.11332468572476186</v>
      </c>
      <c r="DB1125" t="str">
        <v/>
      </c>
    </row>
    <row r="1126" spans="83:106" x14ac:dyDescent="0.2">
      <c r="CE1126"/>
      <c r="CF1126"/>
      <c r="CG1126"/>
      <c r="CH1126"/>
      <c r="CI1126"/>
      <c r="CU1126" s="42">
        <v>1121</v>
      </c>
      <c r="CV1126" s="115">
        <v>4</v>
      </c>
      <c r="CW1126" s="115">
        <v>0.11332468572476186</v>
      </c>
      <c r="CX1126" s="115" t="e">
        <v>#N/A</v>
      </c>
      <c r="CY1126" s="115" t="e">
        <v>#N/A</v>
      </c>
      <c r="CZ1126" s="137" t="e">
        <v>#N/A</v>
      </c>
      <c r="DA1126">
        <v>0.11332468572476186</v>
      </c>
      <c r="DB1126" t="str">
        <v/>
      </c>
    </row>
    <row r="1127" spans="83:106" x14ac:dyDescent="0.2">
      <c r="CE1127"/>
      <c r="CF1127"/>
      <c r="CG1127"/>
      <c r="CH1127"/>
      <c r="CI1127"/>
      <c r="CU1127" s="42">
        <v>1122</v>
      </c>
      <c r="CV1127" s="115">
        <v>4</v>
      </c>
      <c r="CW1127" s="115">
        <v>0.11332468572476186</v>
      </c>
      <c r="CX1127" s="115" t="e">
        <v>#N/A</v>
      </c>
      <c r="CY1127" s="115" t="e">
        <v>#N/A</v>
      </c>
      <c r="CZ1127" s="137" t="e">
        <v>#N/A</v>
      </c>
      <c r="DA1127">
        <v>0.11332468572476186</v>
      </c>
      <c r="DB1127" t="str">
        <v/>
      </c>
    </row>
    <row r="1128" spans="83:106" x14ac:dyDescent="0.2">
      <c r="CE1128"/>
      <c r="CF1128"/>
      <c r="CG1128"/>
      <c r="CH1128"/>
      <c r="CI1128"/>
      <c r="CU1128" s="42">
        <v>1123</v>
      </c>
      <c r="CV1128" s="115">
        <v>4</v>
      </c>
      <c r="CW1128" s="115">
        <v>0.11332468572476186</v>
      </c>
      <c r="CX1128" s="115" t="e">
        <v>#N/A</v>
      </c>
      <c r="CY1128" s="115" t="e">
        <v>#N/A</v>
      </c>
      <c r="CZ1128" s="137" t="e">
        <v>#N/A</v>
      </c>
      <c r="DA1128">
        <v>0.11332468572476186</v>
      </c>
      <c r="DB1128" t="str">
        <v/>
      </c>
    </row>
    <row r="1129" spans="83:106" x14ac:dyDescent="0.2">
      <c r="CE1129"/>
      <c r="CF1129"/>
      <c r="CG1129"/>
      <c r="CH1129"/>
      <c r="CI1129"/>
      <c r="CU1129" s="42">
        <v>1124</v>
      </c>
      <c r="CV1129" s="115">
        <v>4</v>
      </c>
      <c r="CW1129" s="115">
        <v>0.11332468572476186</v>
      </c>
      <c r="CX1129" s="115" t="e">
        <v>#N/A</v>
      </c>
      <c r="CY1129" s="115" t="e">
        <v>#N/A</v>
      </c>
      <c r="CZ1129" s="137" t="e">
        <v>#N/A</v>
      </c>
      <c r="DA1129">
        <v>0.11332468572476186</v>
      </c>
      <c r="DB1129" t="str">
        <v/>
      </c>
    </row>
    <row r="1130" spans="83:106" x14ac:dyDescent="0.2">
      <c r="CE1130"/>
      <c r="CF1130"/>
      <c r="CG1130"/>
      <c r="CH1130"/>
      <c r="CI1130"/>
      <c r="CU1130" s="42">
        <v>1125</v>
      </c>
      <c r="CV1130" s="115">
        <v>4</v>
      </c>
      <c r="CW1130" s="115">
        <v>0.11332468572476186</v>
      </c>
      <c r="CX1130" s="115" t="e">
        <v>#N/A</v>
      </c>
      <c r="CY1130" s="115" t="e">
        <v>#N/A</v>
      </c>
      <c r="CZ1130" s="137" t="e">
        <v>#N/A</v>
      </c>
      <c r="DA1130">
        <v>0.11332468572476186</v>
      </c>
      <c r="DB1130" t="str">
        <v/>
      </c>
    </row>
    <row r="1131" spans="83:106" x14ac:dyDescent="0.2">
      <c r="CE1131"/>
      <c r="CF1131"/>
      <c r="CG1131"/>
      <c r="CH1131"/>
      <c r="CI1131"/>
      <c r="CU1131" s="42">
        <v>1126</v>
      </c>
      <c r="CV1131" s="115">
        <v>4</v>
      </c>
      <c r="CW1131" s="115">
        <v>0.11332468572476186</v>
      </c>
      <c r="CX1131" s="115" t="e">
        <v>#N/A</v>
      </c>
      <c r="CY1131" s="115" t="e">
        <v>#N/A</v>
      </c>
      <c r="CZ1131" s="137" t="e">
        <v>#N/A</v>
      </c>
      <c r="DA1131">
        <v>0.11332468572476186</v>
      </c>
      <c r="DB1131" t="str">
        <v/>
      </c>
    </row>
    <row r="1132" spans="83:106" x14ac:dyDescent="0.2">
      <c r="CE1132"/>
      <c r="CF1132"/>
      <c r="CG1132"/>
      <c r="CH1132"/>
      <c r="CI1132"/>
      <c r="CU1132" s="42">
        <v>1127</v>
      </c>
      <c r="CV1132" s="115">
        <v>4</v>
      </c>
      <c r="CW1132" s="115">
        <v>0.11332468572476186</v>
      </c>
      <c r="CX1132" s="115" t="e">
        <v>#N/A</v>
      </c>
      <c r="CY1132" s="115" t="e">
        <v>#N/A</v>
      </c>
      <c r="CZ1132" s="137" t="e">
        <v>#N/A</v>
      </c>
      <c r="DA1132">
        <v>0.11332468572476186</v>
      </c>
      <c r="DB1132" t="str">
        <v/>
      </c>
    </row>
    <row r="1133" spans="83:106" x14ac:dyDescent="0.2">
      <c r="CE1133"/>
      <c r="CF1133"/>
      <c r="CG1133"/>
      <c r="CH1133"/>
      <c r="CI1133"/>
      <c r="CU1133" s="42">
        <v>1128</v>
      </c>
      <c r="CV1133" s="115">
        <v>4</v>
      </c>
      <c r="CW1133" s="115">
        <v>0.11332468572476186</v>
      </c>
      <c r="CX1133" s="115" t="e">
        <v>#N/A</v>
      </c>
      <c r="CY1133" s="115" t="e">
        <v>#N/A</v>
      </c>
      <c r="CZ1133" s="137" t="e">
        <v>#N/A</v>
      </c>
      <c r="DA1133">
        <v>0.11332468572476186</v>
      </c>
      <c r="DB1133" t="str">
        <v/>
      </c>
    </row>
    <row r="1134" spans="83:106" x14ac:dyDescent="0.2">
      <c r="CE1134"/>
      <c r="CF1134"/>
      <c r="CG1134"/>
      <c r="CH1134"/>
      <c r="CI1134"/>
      <c r="CU1134" s="42">
        <v>1129</v>
      </c>
      <c r="CV1134" s="115">
        <v>4</v>
      </c>
      <c r="CW1134" s="115">
        <v>0.11332468572476186</v>
      </c>
      <c r="CX1134" s="115" t="e">
        <v>#N/A</v>
      </c>
      <c r="CY1134" s="115" t="e">
        <v>#N/A</v>
      </c>
      <c r="CZ1134" s="137" t="e">
        <v>#N/A</v>
      </c>
      <c r="DA1134">
        <v>0.11332468572476186</v>
      </c>
      <c r="DB1134" t="str">
        <v/>
      </c>
    </row>
    <row r="1135" spans="83:106" x14ac:dyDescent="0.2">
      <c r="CE1135"/>
      <c r="CF1135"/>
      <c r="CG1135"/>
      <c r="CH1135"/>
      <c r="CI1135"/>
      <c r="CU1135" s="42">
        <v>1130</v>
      </c>
      <c r="CV1135" s="115">
        <v>4</v>
      </c>
      <c r="CW1135" s="115">
        <v>0.11332468572476186</v>
      </c>
      <c r="CX1135" s="115" t="e">
        <v>#N/A</v>
      </c>
      <c r="CY1135" s="115" t="e">
        <v>#N/A</v>
      </c>
      <c r="CZ1135" s="137" t="e">
        <v>#N/A</v>
      </c>
      <c r="DA1135">
        <v>0.11332468572476186</v>
      </c>
      <c r="DB1135" t="str">
        <v/>
      </c>
    </row>
    <row r="1136" spans="83:106" x14ac:dyDescent="0.2">
      <c r="CE1136"/>
      <c r="CF1136"/>
      <c r="CG1136"/>
      <c r="CH1136"/>
      <c r="CI1136"/>
      <c r="CU1136" s="42">
        <v>1131</v>
      </c>
      <c r="CV1136" s="115">
        <v>4</v>
      </c>
      <c r="CW1136" s="115">
        <v>0.11332468572476186</v>
      </c>
      <c r="CX1136" s="115" t="e">
        <v>#N/A</v>
      </c>
      <c r="CY1136" s="115" t="e">
        <v>#N/A</v>
      </c>
      <c r="CZ1136" s="137" t="e">
        <v>#N/A</v>
      </c>
      <c r="DA1136">
        <v>0.11332468572476186</v>
      </c>
      <c r="DB1136" t="str">
        <v/>
      </c>
    </row>
    <row r="1137" spans="83:106" x14ac:dyDescent="0.2">
      <c r="CE1137"/>
      <c r="CF1137"/>
      <c r="CG1137"/>
      <c r="CH1137"/>
      <c r="CI1137"/>
      <c r="CU1137" s="42">
        <v>1132</v>
      </c>
      <c r="CV1137" s="115">
        <v>4</v>
      </c>
      <c r="CW1137" s="115">
        <v>0.11332468572476186</v>
      </c>
      <c r="CX1137" s="115" t="e">
        <v>#N/A</v>
      </c>
      <c r="CY1137" s="115" t="e">
        <v>#N/A</v>
      </c>
      <c r="CZ1137" s="137" t="e">
        <v>#N/A</v>
      </c>
      <c r="DA1137">
        <v>0.11332468572476186</v>
      </c>
      <c r="DB1137" t="str">
        <v/>
      </c>
    </row>
    <row r="1138" spans="83:106" x14ac:dyDescent="0.2">
      <c r="CE1138"/>
      <c r="CF1138"/>
      <c r="CG1138"/>
      <c r="CH1138"/>
      <c r="CI1138"/>
      <c r="CU1138" s="42">
        <v>1133</v>
      </c>
      <c r="CV1138" s="115">
        <v>4</v>
      </c>
      <c r="CW1138" s="115">
        <v>0.11332468572476186</v>
      </c>
      <c r="CX1138" s="115" t="e">
        <v>#N/A</v>
      </c>
      <c r="CY1138" s="115" t="e">
        <v>#N/A</v>
      </c>
      <c r="CZ1138" s="137" t="e">
        <v>#N/A</v>
      </c>
      <c r="DA1138">
        <v>0.11332468572476186</v>
      </c>
      <c r="DB1138" t="str">
        <v/>
      </c>
    </row>
    <row r="1139" spans="83:106" x14ac:dyDescent="0.2">
      <c r="CE1139"/>
      <c r="CF1139"/>
      <c r="CG1139"/>
      <c r="CH1139"/>
      <c r="CI1139"/>
      <c r="CU1139" s="42">
        <v>1134</v>
      </c>
      <c r="CV1139" s="115">
        <v>4</v>
      </c>
      <c r="CW1139" s="115">
        <v>0.11332468572476186</v>
      </c>
      <c r="CX1139" s="115" t="e">
        <v>#N/A</v>
      </c>
      <c r="CY1139" s="115" t="e">
        <v>#N/A</v>
      </c>
      <c r="CZ1139" s="137" t="e">
        <v>#N/A</v>
      </c>
      <c r="DA1139">
        <v>0.11332468572476186</v>
      </c>
      <c r="DB1139" t="str">
        <v/>
      </c>
    </row>
    <row r="1140" spans="83:106" x14ac:dyDescent="0.2">
      <c r="CE1140"/>
      <c r="CF1140"/>
      <c r="CG1140"/>
      <c r="CH1140"/>
      <c r="CI1140"/>
      <c r="CU1140" s="42">
        <v>1135</v>
      </c>
      <c r="CV1140" s="115">
        <v>4</v>
      </c>
      <c r="CW1140" s="115">
        <v>0.11332468572476186</v>
      </c>
      <c r="CX1140" s="115" t="e">
        <v>#N/A</v>
      </c>
      <c r="CY1140" s="115" t="e">
        <v>#N/A</v>
      </c>
      <c r="CZ1140" s="137" t="e">
        <v>#N/A</v>
      </c>
      <c r="DA1140">
        <v>0.11332468572476186</v>
      </c>
      <c r="DB1140" t="str">
        <v/>
      </c>
    </row>
    <row r="1141" spans="83:106" x14ac:dyDescent="0.2">
      <c r="CE1141"/>
      <c r="CF1141"/>
      <c r="CG1141"/>
      <c r="CH1141"/>
      <c r="CI1141"/>
      <c r="CU1141" s="42">
        <v>1136</v>
      </c>
      <c r="CV1141" s="115">
        <v>4</v>
      </c>
      <c r="CW1141" s="115">
        <v>0.11332468572476186</v>
      </c>
      <c r="CX1141" s="115" t="e">
        <v>#N/A</v>
      </c>
      <c r="CY1141" s="115" t="e">
        <v>#N/A</v>
      </c>
      <c r="CZ1141" s="137" t="e">
        <v>#N/A</v>
      </c>
      <c r="DA1141">
        <v>0.11332468572476186</v>
      </c>
      <c r="DB1141" t="str">
        <v/>
      </c>
    </row>
    <row r="1142" spans="83:106" x14ac:dyDescent="0.2">
      <c r="CE1142"/>
      <c r="CF1142"/>
      <c r="CG1142"/>
      <c r="CH1142"/>
      <c r="CI1142"/>
      <c r="CU1142" s="42">
        <v>1137</v>
      </c>
      <c r="CV1142" s="115">
        <v>4</v>
      </c>
      <c r="CW1142" s="115">
        <v>0.11332468572476186</v>
      </c>
      <c r="CX1142" s="115" t="e">
        <v>#N/A</v>
      </c>
      <c r="CY1142" s="115" t="e">
        <v>#N/A</v>
      </c>
      <c r="CZ1142" s="137" t="e">
        <v>#N/A</v>
      </c>
      <c r="DA1142">
        <v>0.11332468572476186</v>
      </c>
      <c r="DB1142" t="str">
        <v/>
      </c>
    </row>
    <row r="1143" spans="83:106" x14ac:dyDescent="0.2">
      <c r="CE1143"/>
      <c r="CF1143"/>
      <c r="CG1143"/>
      <c r="CH1143"/>
      <c r="CI1143"/>
      <c r="CU1143" s="42">
        <v>1138</v>
      </c>
      <c r="CV1143" s="115">
        <v>4</v>
      </c>
      <c r="CW1143" s="115">
        <v>0.11332468572476186</v>
      </c>
      <c r="CX1143" s="115" t="e">
        <v>#N/A</v>
      </c>
      <c r="CY1143" s="115" t="e">
        <v>#N/A</v>
      </c>
      <c r="CZ1143" s="137" t="e">
        <v>#N/A</v>
      </c>
      <c r="DA1143">
        <v>0.11332468572476186</v>
      </c>
      <c r="DB1143" t="str">
        <v/>
      </c>
    </row>
    <row r="1144" spans="83:106" x14ac:dyDescent="0.2">
      <c r="CE1144"/>
      <c r="CF1144"/>
      <c r="CG1144"/>
      <c r="CH1144"/>
      <c r="CI1144"/>
      <c r="CU1144" s="42">
        <v>1139</v>
      </c>
      <c r="CV1144" s="115">
        <v>4</v>
      </c>
      <c r="CW1144" s="115">
        <v>0.11332468572476186</v>
      </c>
      <c r="CX1144" s="115" t="e">
        <v>#N/A</v>
      </c>
      <c r="CY1144" s="115" t="e">
        <v>#N/A</v>
      </c>
      <c r="CZ1144" s="137" t="e">
        <v>#N/A</v>
      </c>
      <c r="DA1144">
        <v>0.11332468572476186</v>
      </c>
      <c r="DB1144" t="str">
        <v/>
      </c>
    </row>
    <row r="1145" spans="83:106" x14ac:dyDescent="0.2">
      <c r="CE1145"/>
      <c r="CF1145"/>
      <c r="CG1145"/>
      <c r="CH1145"/>
      <c r="CI1145"/>
      <c r="CU1145" s="42">
        <v>1140</v>
      </c>
      <c r="CV1145" s="115">
        <v>4</v>
      </c>
      <c r="CW1145" s="115">
        <v>0.11332468572476186</v>
      </c>
      <c r="CX1145" s="115" t="e">
        <v>#N/A</v>
      </c>
      <c r="CY1145" s="115" t="e">
        <v>#N/A</v>
      </c>
      <c r="CZ1145" s="137" t="e">
        <v>#N/A</v>
      </c>
      <c r="DA1145">
        <v>0.11332468572476186</v>
      </c>
      <c r="DB1145" t="str">
        <v/>
      </c>
    </row>
    <row r="1146" spans="83:106" x14ac:dyDescent="0.2">
      <c r="CE1146"/>
      <c r="CF1146"/>
      <c r="CG1146"/>
      <c r="CH1146"/>
      <c r="CI1146"/>
      <c r="CU1146" s="42">
        <v>1141</v>
      </c>
      <c r="CV1146" s="115">
        <v>4</v>
      </c>
      <c r="CW1146" s="115">
        <v>0.11332468572476186</v>
      </c>
      <c r="CX1146" s="115" t="e">
        <v>#N/A</v>
      </c>
      <c r="CY1146" s="115" t="e">
        <v>#N/A</v>
      </c>
      <c r="CZ1146" s="137" t="e">
        <v>#N/A</v>
      </c>
      <c r="DA1146">
        <v>0.11332468572476186</v>
      </c>
      <c r="DB1146" t="str">
        <v/>
      </c>
    </row>
    <row r="1147" spans="83:106" x14ac:dyDescent="0.2">
      <c r="CE1147"/>
      <c r="CF1147"/>
      <c r="CG1147"/>
      <c r="CH1147"/>
      <c r="CI1147"/>
      <c r="CU1147" s="42">
        <v>1142</v>
      </c>
      <c r="CV1147" s="115">
        <v>4</v>
      </c>
      <c r="CW1147" s="115">
        <v>0.11332468572476186</v>
      </c>
      <c r="CX1147" s="115" t="e">
        <v>#N/A</v>
      </c>
      <c r="CY1147" s="115" t="e">
        <v>#N/A</v>
      </c>
      <c r="CZ1147" s="137" t="e">
        <v>#N/A</v>
      </c>
      <c r="DA1147">
        <v>0.11332468572476186</v>
      </c>
      <c r="DB1147" t="str">
        <v/>
      </c>
    </row>
    <row r="1148" spans="83:106" x14ac:dyDescent="0.2">
      <c r="CE1148"/>
      <c r="CF1148"/>
      <c r="CG1148"/>
      <c r="CH1148"/>
      <c r="CI1148"/>
      <c r="CU1148" s="42">
        <v>1143</v>
      </c>
      <c r="CV1148" s="115">
        <v>4</v>
      </c>
      <c r="CW1148" s="115">
        <v>0.11332468572476186</v>
      </c>
      <c r="CX1148" s="115" t="e">
        <v>#N/A</v>
      </c>
      <c r="CY1148" s="115" t="e">
        <v>#N/A</v>
      </c>
      <c r="CZ1148" s="137" t="e">
        <v>#N/A</v>
      </c>
      <c r="DA1148">
        <v>0.11332468572476186</v>
      </c>
      <c r="DB1148" t="str">
        <v/>
      </c>
    </row>
    <row r="1149" spans="83:106" x14ac:dyDescent="0.2">
      <c r="CE1149"/>
      <c r="CF1149"/>
      <c r="CG1149"/>
      <c r="CH1149"/>
      <c r="CI1149"/>
      <c r="CU1149" s="42">
        <v>1144</v>
      </c>
      <c r="CV1149" s="115">
        <v>4</v>
      </c>
      <c r="CW1149" s="115">
        <v>0.11332468572476186</v>
      </c>
      <c r="CX1149" s="115" t="e">
        <v>#N/A</v>
      </c>
      <c r="CY1149" s="115" t="e">
        <v>#N/A</v>
      </c>
      <c r="CZ1149" s="137" t="e">
        <v>#N/A</v>
      </c>
      <c r="DA1149">
        <v>0.11332468572476186</v>
      </c>
      <c r="DB1149" t="str">
        <v/>
      </c>
    </row>
    <row r="1150" spans="83:106" x14ac:dyDescent="0.2">
      <c r="CE1150"/>
      <c r="CF1150"/>
      <c r="CG1150"/>
      <c r="CH1150"/>
      <c r="CI1150"/>
      <c r="CU1150" s="42">
        <v>1145</v>
      </c>
      <c r="CV1150" s="115">
        <v>4</v>
      </c>
      <c r="CW1150" s="115">
        <v>0.11332468572476186</v>
      </c>
      <c r="CX1150" s="115" t="e">
        <v>#N/A</v>
      </c>
      <c r="CY1150" s="115" t="e">
        <v>#N/A</v>
      </c>
      <c r="CZ1150" s="137" t="e">
        <v>#N/A</v>
      </c>
      <c r="DA1150">
        <v>0.11332468572476186</v>
      </c>
      <c r="DB1150" t="str">
        <v/>
      </c>
    </row>
    <row r="1151" spans="83:106" x14ac:dyDescent="0.2">
      <c r="CE1151"/>
      <c r="CF1151"/>
      <c r="CG1151"/>
      <c r="CH1151"/>
      <c r="CI1151"/>
      <c r="CU1151" s="42">
        <v>1146</v>
      </c>
      <c r="CV1151" s="115">
        <v>4</v>
      </c>
      <c r="CW1151" s="115">
        <v>0.11332468572476186</v>
      </c>
      <c r="CX1151" s="115" t="e">
        <v>#N/A</v>
      </c>
      <c r="CY1151" s="115" t="e">
        <v>#N/A</v>
      </c>
      <c r="CZ1151" s="137" t="e">
        <v>#N/A</v>
      </c>
      <c r="DA1151">
        <v>0.11332468572476186</v>
      </c>
      <c r="DB1151" t="str">
        <v/>
      </c>
    </row>
    <row r="1152" spans="83:106" x14ac:dyDescent="0.2">
      <c r="CE1152"/>
      <c r="CF1152"/>
      <c r="CG1152"/>
      <c r="CH1152"/>
      <c r="CI1152"/>
      <c r="CU1152" s="42">
        <v>1147</v>
      </c>
      <c r="CV1152" s="115">
        <v>4</v>
      </c>
      <c r="CW1152" s="115">
        <v>0.11332468572476186</v>
      </c>
      <c r="CX1152" s="115" t="e">
        <v>#N/A</v>
      </c>
      <c r="CY1152" s="115" t="e">
        <v>#N/A</v>
      </c>
      <c r="CZ1152" s="137" t="e">
        <v>#N/A</v>
      </c>
      <c r="DA1152">
        <v>0.11332468572476186</v>
      </c>
      <c r="DB1152" t="str">
        <v/>
      </c>
    </row>
    <row r="1153" spans="83:106" x14ac:dyDescent="0.2">
      <c r="CE1153"/>
      <c r="CF1153"/>
      <c r="CG1153"/>
      <c r="CH1153"/>
      <c r="CI1153"/>
      <c r="CU1153" s="42">
        <v>1148</v>
      </c>
      <c r="CV1153" s="115">
        <v>4</v>
      </c>
      <c r="CW1153" s="115">
        <v>0.11332468572476186</v>
      </c>
      <c r="CX1153" s="115" t="e">
        <v>#N/A</v>
      </c>
      <c r="CY1153" s="115" t="e">
        <v>#N/A</v>
      </c>
      <c r="CZ1153" s="137" t="e">
        <v>#N/A</v>
      </c>
      <c r="DA1153">
        <v>0.11332468572476186</v>
      </c>
      <c r="DB1153" t="str">
        <v/>
      </c>
    </row>
    <row r="1154" spans="83:106" x14ac:dyDescent="0.2">
      <c r="CE1154"/>
      <c r="CF1154"/>
      <c r="CG1154"/>
      <c r="CH1154"/>
      <c r="CI1154"/>
      <c r="CU1154" s="42">
        <v>1149</v>
      </c>
      <c r="CV1154" s="115">
        <v>4</v>
      </c>
      <c r="CW1154" s="115">
        <v>0.11332468572476186</v>
      </c>
      <c r="CX1154" s="115" t="e">
        <v>#N/A</v>
      </c>
      <c r="CY1154" s="115" t="e">
        <v>#N/A</v>
      </c>
      <c r="CZ1154" s="137" t="e">
        <v>#N/A</v>
      </c>
      <c r="DA1154">
        <v>0.11332468572476186</v>
      </c>
      <c r="DB1154" t="str">
        <v/>
      </c>
    </row>
    <row r="1155" spans="83:106" x14ac:dyDescent="0.2">
      <c r="CE1155"/>
      <c r="CF1155"/>
      <c r="CG1155"/>
      <c r="CH1155"/>
      <c r="CI1155"/>
      <c r="CU1155" s="42">
        <v>1150</v>
      </c>
      <c r="CV1155" s="115">
        <v>4</v>
      </c>
      <c r="CW1155" s="115">
        <v>0.11332468572476186</v>
      </c>
      <c r="CX1155" s="115" t="e">
        <v>#N/A</v>
      </c>
      <c r="CY1155" s="115" t="e">
        <v>#N/A</v>
      </c>
      <c r="CZ1155" s="137" t="e">
        <v>#N/A</v>
      </c>
      <c r="DA1155">
        <v>0.11332468572476186</v>
      </c>
      <c r="DB1155" t="str">
        <v/>
      </c>
    </row>
    <row r="1156" spans="83:106" x14ac:dyDescent="0.2">
      <c r="CE1156"/>
      <c r="CF1156"/>
      <c r="CG1156"/>
      <c r="CH1156"/>
      <c r="CI1156"/>
      <c r="CU1156" s="42">
        <v>1151</v>
      </c>
      <c r="CV1156" s="115">
        <v>4</v>
      </c>
      <c r="CW1156" s="115">
        <v>0.11332468572476186</v>
      </c>
      <c r="CX1156" s="115" t="e">
        <v>#N/A</v>
      </c>
      <c r="CY1156" s="115" t="e">
        <v>#N/A</v>
      </c>
      <c r="CZ1156" s="137" t="e">
        <v>#N/A</v>
      </c>
      <c r="DA1156">
        <v>0.11332468572476186</v>
      </c>
      <c r="DB1156" t="str">
        <v/>
      </c>
    </row>
    <row r="1157" spans="83:106" x14ac:dyDescent="0.2">
      <c r="CE1157"/>
      <c r="CF1157"/>
      <c r="CG1157"/>
      <c r="CH1157"/>
      <c r="CI1157"/>
      <c r="CU1157" s="42">
        <v>1152</v>
      </c>
      <c r="CV1157" s="115">
        <v>4</v>
      </c>
      <c r="CW1157" s="115">
        <v>0.11332468572476186</v>
      </c>
      <c r="CX1157" s="115" t="e">
        <v>#N/A</v>
      </c>
      <c r="CY1157" s="115" t="e">
        <v>#N/A</v>
      </c>
      <c r="CZ1157" s="137" t="e">
        <v>#N/A</v>
      </c>
      <c r="DA1157">
        <v>0.11332468572476186</v>
      </c>
      <c r="DB1157" t="str">
        <v/>
      </c>
    </row>
    <row r="1158" spans="83:106" x14ac:dyDescent="0.2">
      <c r="CE1158"/>
      <c r="CF1158"/>
      <c r="CG1158"/>
      <c r="CH1158"/>
      <c r="CI1158"/>
      <c r="CU1158" s="42">
        <v>1153</v>
      </c>
      <c r="CV1158" s="115">
        <v>4</v>
      </c>
      <c r="CW1158" s="115">
        <v>0.11332468572476186</v>
      </c>
      <c r="CX1158" s="115" t="e">
        <v>#N/A</v>
      </c>
      <c r="CY1158" s="115" t="e">
        <v>#N/A</v>
      </c>
      <c r="CZ1158" s="137" t="e">
        <v>#N/A</v>
      </c>
      <c r="DA1158">
        <v>0.11332468572476186</v>
      </c>
      <c r="DB1158" t="str">
        <v/>
      </c>
    </row>
    <row r="1159" spans="83:106" x14ac:dyDescent="0.2">
      <c r="CE1159"/>
      <c r="CF1159"/>
      <c r="CG1159"/>
      <c r="CH1159"/>
      <c r="CI1159"/>
      <c r="CU1159" s="42">
        <v>1154</v>
      </c>
      <c r="CV1159" s="115">
        <v>4</v>
      </c>
      <c r="CW1159" s="115">
        <v>0.11332468572476186</v>
      </c>
      <c r="CX1159" s="115" t="e">
        <v>#N/A</v>
      </c>
      <c r="CY1159" s="115" t="e">
        <v>#N/A</v>
      </c>
      <c r="CZ1159" s="137" t="e">
        <v>#N/A</v>
      </c>
      <c r="DA1159">
        <v>0.11332468572476186</v>
      </c>
      <c r="DB1159" t="str">
        <v/>
      </c>
    </row>
    <row r="1160" spans="83:106" x14ac:dyDescent="0.2">
      <c r="CE1160"/>
      <c r="CF1160"/>
      <c r="CG1160"/>
      <c r="CH1160"/>
      <c r="CI1160"/>
      <c r="CU1160" s="42">
        <v>1155</v>
      </c>
      <c r="CV1160" s="115">
        <v>4</v>
      </c>
      <c r="CW1160" s="115">
        <v>0.11332468572476186</v>
      </c>
      <c r="CX1160" s="115" t="e">
        <v>#N/A</v>
      </c>
      <c r="CY1160" s="115" t="e">
        <v>#N/A</v>
      </c>
      <c r="CZ1160" s="137" t="e">
        <v>#N/A</v>
      </c>
      <c r="DA1160">
        <v>0.11332468572476186</v>
      </c>
      <c r="DB1160" t="str">
        <v/>
      </c>
    </row>
    <row r="1161" spans="83:106" x14ac:dyDescent="0.2">
      <c r="CE1161"/>
      <c r="CF1161"/>
      <c r="CG1161"/>
      <c r="CH1161"/>
      <c r="CI1161"/>
      <c r="CU1161" s="42">
        <v>1156</v>
      </c>
      <c r="CV1161" s="115">
        <v>4</v>
      </c>
      <c r="CW1161" s="115">
        <v>0.11332468572476186</v>
      </c>
      <c r="CX1161" s="115" t="e">
        <v>#N/A</v>
      </c>
      <c r="CY1161" s="115" t="e">
        <v>#N/A</v>
      </c>
      <c r="CZ1161" s="137" t="e">
        <v>#N/A</v>
      </c>
      <c r="DA1161">
        <v>0.11332468572476186</v>
      </c>
      <c r="DB1161" t="str">
        <v/>
      </c>
    </row>
    <row r="1162" spans="83:106" x14ac:dyDescent="0.2">
      <c r="CE1162"/>
      <c r="CF1162"/>
      <c r="CG1162"/>
      <c r="CH1162"/>
      <c r="CI1162"/>
      <c r="CU1162" s="42">
        <v>1157</v>
      </c>
      <c r="CV1162" s="115">
        <v>4</v>
      </c>
      <c r="CW1162" s="115">
        <v>0.11332468572476186</v>
      </c>
      <c r="CX1162" s="115" t="e">
        <v>#N/A</v>
      </c>
      <c r="CY1162" s="115" t="e">
        <v>#N/A</v>
      </c>
      <c r="CZ1162" s="137" t="e">
        <v>#N/A</v>
      </c>
      <c r="DA1162">
        <v>0.11332468572476186</v>
      </c>
      <c r="DB1162" t="str">
        <v/>
      </c>
    </row>
    <row r="1163" spans="83:106" x14ac:dyDescent="0.2">
      <c r="CE1163"/>
      <c r="CF1163"/>
      <c r="CG1163"/>
      <c r="CH1163"/>
      <c r="CI1163"/>
      <c r="CU1163" s="42">
        <v>1158</v>
      </c>
      <c r="CV1163" s="115">
        <v>4</v>
      </c>
      <c r="CW1163" s="115">
        <v>0.11332468572476186</v>
      </c>
      <c r="CX1163" s="115" t="e">
        <v>#N/A</v>
      </c>
      <c r="CY1163" s="115" t="e">
        <v>#N/A</v>
      </c>
      <c r="CZ1163" s="137" t="e">
        <v>#N/A</v>
      </c>
      <c r="DA1163">
        <v>0.11332468572476186</v>
      </c>
      <c r="DB1163" t="str">
        <v/>
      </c>
    </row>
    <row r="1164" spans="83:106" x14ac:dyDescent="0.2">
      <c r="CE1164"/>
      <c r="CF1164"/>
      <c r="CG1164"/>
      <c r="CH1164"/>
      <c r="CI1164"/>
      <c r="CU1164" s="42">
        <v>1159</v>
      </c>
      <c r="CV1164" s="115">
        <v>4</v>
      </c>
      <c r="CW1164" s="115">
        <v>0.11332468572476186</v>
      </c>
      <c r="CX1164" s="115" t="e">
        <v>#N/A</v>
      </c>
      <c r="CY1164" s="115" t="e">
        <v>#N/A</v>
      </c>
      <c r="CZ1164" s="137" t="e">
        <v>#N/A</v>
      </c>
      <c r="DA1164">
        <v>0.11332468572476186</v>
      </c>
      <c r="DB1164" t="str">
        <v/>
      </c>
    </row>
    <row r="1165" spans="83:106" x14ac:dyDescent="0.2">
      <c r="CE1165"/>
      <c r="CF1165"/>
      <c r="CG1165"/>
      <c r="CH1165"/>
      <c r="CI1165"/>
      <c r="CU1165" s="42">
        <v>1160</v>
      </c>
      <c r="CV1165" s="115">
        <v>4</v>
      </c>
      <c r="CW1165" s="115">
        <v>0.11332468572476186</v>
      </c>
      <c r="CX1165" s="115" t="e">
        <v>#N/A</v>
      </c>
      <c r="CY1165" s="115" t="e">
        <v>#N/A</v>
      </c>
      <c r="CZ1165" s="137" t="e">
        <v>#N/A</v>
      </c>
      <c r="DA1165">
        <v>0.11332468572476186</v>
      </c>
      <c r="DB1165" t="str">
        <v/>
      </c>
    </row>
    <row r="1166" spans="83:106" x14ac:dyDescent="0.2">
      <c r="CE1166"/>
      <c r="CF1166"/>
      <c r="CG1166"/>
      <c r="CH1166"/>
      <c r="CI1166"/>
      <c r="CU1166" s="42">
        <v>1161</v>
      </c>
      <c r="CV1166" s="115">
        <v>4</v>
      </c>
      <c r="CW1166" s="115">
        <v>0.11332468572476186</v>
      </c>
      <c r="CX1166" s="115" t="e">
        <v>#N/A</v>
      </c>
      <c r="CY1166" s="115" t="e">
        <v>#N/A</v>
      </c>
      <c r="CZ1166" s="137" t="e">
        <v>#N/A</v>
      </c>
      <c r="DA1166">
        <v>0.11332468572476186</v>
      </c>
      <c r="DB1166" t="str">
        <v/>
      </c>
    </row>
    <row r="1167" spans="83:106" x14ac:dyDescent="0.2">
      <c r="CE1167"/>
      <c r="CF1167"/>
      <c r="CG1167"/>
      <c r="CH1167"/>
      <c r="CI1167"/>
      <c r="CU1167" s="42">
        <v>1162</v>
      </c>
      <c r="CV1167" s="115">
        <v>4</v>
      </c>
      <c r="CW1167" s="115">
        <v>0.11332468572476186</v>
      </c>
      <c r="CX1167" s="115" t="e">
        <v>#N/A</v>
      </c>
      <c r="CY1167" s="115" t="e">
        <v>#N/A</v>
      </c>
      <c r="CZ1167" s="137" t="e">
        <v>#N/A</v>
      </c>
      <c r="DA1167">
        <v>0.11332468572476186</v>
      </c>
      <c r="DB1167" t="str">
        <v/>
      </c>
    </row>
    <row r="1168" spans="83:106" x14ac:dyDescent="0.2">
      <c r="CE1168"/>
      <c r="CF1168"/>
      <c r="CG1168"/>
      <c r="CH1168"/>
      <c r="CI1168"/>
      <c r="CU1168" s="42">
        <v>1163</v>
      </c>
      <c r="CV1168" s="115">
        <v>4</v>
      </c>
      <c r="CW1168" s="115">
        <v>0.11332468572476186</v>
      </c>
      <c r="CX1168" s="115" t="e">
        <v>#N/A</v>
      </c>
      <c r="CY1168" s="115" t="e">
        <v>#N/A</v>
      </c>
      <c r="CZ1168" s="137" t="e">
        <v>#N/A</v>
      </c>
      <c r="DA1168">
        <v>0.11332468572476186</v>
      </c>
      <c r="DB1168" t="str">
        <v/>
      </c>
    </row>
    <row r="1169" spans="83:106" x14ac:dyDescent="0.2">
      <c r="CE1169"/>
      <c r="CF1169"/>
      <c r="CG1169"/>
      <c r="CH1169"/>
      <c r="CI1169"/>
      <c r="CU1169" s="42">
        <v>1164</v>
      </c>
      <c r="CV1169" s="115">
        <v>4</v>
      </c>
      <c r="CW1169" s="115">
        <v>0.11332468572476186</v>
      </c>
      <c r="CX1169" s="115" t="e">
        <v>#N/A</v>
      </c>
      <c r="CY1169" s="115" t="e">
        <v>#N/A</v>
      </c>
      <c r="CZ1169" s="137" t="e">
        <v>#N/A</v>
      </c>
      <c r="DA1169">
        <v>0.11332468572476186</v>
      </c>
      <c r="DB1169" t="str">
        <v/>
      </c>
    </row>
    <row r="1170" spans="83:106" x14ac:dyDescent="0.2">
      <c r="CE1170"/>
      <c r="CF1170"/>
      <c r="CG1170"/>
      <c r="CH1170"/>
      <c r="CI1170"/>
      <c r="CU1170" s="42">
        <v>1165</v>
      </c>
      <c r="CV1170" s="115">
        <v>4</v>
      </c>
      <c r="CW1170" s="115">
        <v>0.11332468572476186</v>
      </c>
      <c r="CX1170" s="115" t="e">
        <v>#N/A</v>
      </c>
      <c r="CY1170" s="115" t="e">
        <v>#N/A</v>
      </c>
      <c r="CZ1170" s="137" t="e">
        <v>#N/A</v>
      </c>
      <c r="DA1170">
        <v>0.11332468572476186</v>
      </c>
      <c r="DB1170" t="str">
        <v/>
      </c>
    </row>
    <row r="1171" spans="83:106" x14ac:dyDescent="0.2">
      <c r="CE1171"/>
      <c r="CF1171"/>
      <c r="CG1171"/>
      <c r="CH1171"/>
      <c r="CI1171"/>
      <c r="CU1171" s="42">
        <v>1166</v>
      </c>
      <c r="CV1171" s="115">
        <v>4</v>
      </c>
      <c r="CW1171" s="115">
        <v>0.11332468572476186</v>
      </c>
      <c r="CX1171" s="115" t="e">
        <v>#N/A</v>
      </c>
      <c r="CY1171" s="115" t="e">
        <v>#N/A</v>
      </c>
      <c r="CZ1171" s="137" t="e">
        <v>#N/A</v>
      </c>
      <c r="DA1171">
        <v>0.11332468572476186</v>
      </c>
      <c r="DB1171" t="str">
        <v/>
      </c>
    </row>
    <row r="1172" spans="83:106" x14ac:dyDescent="0.2">
      <c r="CE1172"/>
      <c r="CF1172"/>
      <c r="CG1172"/>
      <c r="CH1172"/>
      <c r="CI1172"/>
      <c r="CU1172" s="42">
        <v>1167</v>
      </c>
      <c r="CV1172" s="115">
        <v>4</v>
      </c>
      <c r="CW1172" s="115">
        <v>0.11332468572476186</v>
      </c>
      <c r="CX1172" s="115" t="e">
        <v>#N/A</v>
      </c>
      <c r="CY1172" s="115" t="e">
        <v>#N/A</v>
      </c>
      <c r="CZ1172" s="137" t="e">
        <v>#N/A</v>
      </c>
      <c r="DA1172">
        <v>0.11332468572476186</v>
      </c>
      <c r="DB1172" t="str">
        <v/>
      </c>
    </row>
    <row r="1173" spans="83:106" x14ac:dyDescent="0.2">
      <c r="CE1173"/>
      <c r="CF1173"/>
      <c r="CG1173"/>
      <c r="CH1173"/>
      <c r="CI1173"/>
      <c r="CU1173" s="42">
        <v>1168</v>
      </c>
      <c r="CV1173" s="115">
        <v>4</v>
      </c>
      <c r="CW1173" s="115">
        <v>0.11332468572476186</v>
      </c>
      <c r="CX1173" s="115" t="e">
        <v>#N/A</v>
      </c>
      <c r="CY1173" s="115" t="e">
        <v>#N/A</v>
      </c>
      <c r="CZ1173" s="137" t="e">
        <v>#N/A</v>
      </c>
      <c r="DA1173">
        <v>0.11332468572476186</v>
      </c>
      <c r="DB1173" t="str">
        <v/>
      </c>
    </row>
    <row r="1174" spans="83:106" x14ac:dyDescent="0.2">
      <c r="CE1174"/>
      <c r="CF1174"/>
      <c r="CG1174"/>
      <c r="CH1174"/>
      <c r="CI1174"/>
      <c r="CU1174" s="42">
        <v>1169</v>
      </c>
      <c r="CV1174" s="115">
        <v>4</v>
      </c>
      <c r="CW1174" s="115">
        <v>0.11332468572476186</v>
      </c>
      <c r="CX1174" s="115" t="e">
        <v>#N/A</v>
      </c>
      <c r="CY1174" s="115" t="e">
        <v>#N/A</v>
      </c>
      <c r="CZ1174" s="137" t="e">
        <v>#N/A</v>
      </c>
      <c r="DA1174">
        <v>0.11332468572476186</v>
      </c>
      <c r="DB1174" t="str">
        <v/>
      </c>
    </row>
    <row r="1175" spans="83:106" x14ac:dyDescent="0.2">
      <c r="CE1175"/>
      <c r="CF1175"/>
      <c r="CG1175"/>
      <c r="CH1175"/>
      <c r="CI1175"/>
      <c r="CU1175" s="42">
        <v>1170</v>
      </c>
      <c r="CV1175" s="115">
        <v>4</v>
      </c>
      <c r="CW1175" s="115">
        <v>0.11332468572476186</v>
      </c>
      <c r="CX1175" s="115" t="e">
        <v>#N/A</v>
      </c>
      <c r="CY1175" s="115" t="e">
        <v>#N/A</v>
      </c>
      <c r="CZ1175" s="137" t="e">
        <v>#N/A</v>
      </c>
      <c r="DA1175">
        <v>0.11332468572476186</v>
      </c>
      <c r="DB1175" t="str">
        <v/>
      </c>
    </row>
    <row r="1176" spans="83:106" x14ac:dyDescent="0.2">
      <c r="CE1176"/>
      <c r="CF1176"/>
      <c r="CG1176"/>
      <c r="CH1176"/>
      <c r="CI1176"/>
      <c r="CU1176" s="42">
        <v>1171</v>
      </c>
      <c r="CV1176" s="115">
        <v>4</v>
      </c>
      <c r="CW1176" s="115">
        <v>0.11332468572476186</v>
      </c>
      <c r="CX1176" s="115" t="e">
        <v>#N/A</v>
      </c>
      <c r="CY1176" s="115" t="e">
        <v>#N/A</v>
      </c>
      <c r="CZ1176" s="137" t="e">
        <v>#N/A</v>
      </c>
      <c r="DA1176">
        <v>0.11332468572476186</v>
      </c>
      <c r="DB1176" t="str">
        <v/>
      </c>
    </row>
    <row r="1177" spans="83:106" x14ac:dyDescent="0.2">
      <c r="CE1177"/>
      <c r="CF1177"/>
      <c r="CG1177"/>
      <c r="CH1177"/>
      <c r="CI1177"/>
      <c r="CU1177" s="42">
        <v>1172</v>
      </c>
      <c r="CV1177" s="115">
        <v>4</v>
      </c>
      <c r="CW1177" s="115">
        <v>0.11332468572476186</v>
      </c>
      <c r="CX1177" s="115" t="e">
        <v>#N/A</v>
      </c>
      <c r="CY1177" s="115" t="e">
        <v>#N/A</v>
      </c>
      <c r="CZ1177" s="137" t="e">
        <v>#N/A</v>
      </c>
      <c r="DA1177">
        <v>0.11332468572476186</v>
      </c>
      <c r="DB1177" t="str">
        <v/>
      </c>
    </row>
    <row r="1178" spans="83:106" x14ac:dyDescent="0.2">
      <c r="CE1178"/>
      <c r="CF1178"/>
      <c r="CG1178"/>
      <c r="CH1178"/>
      <c r="CI1178"/>
      <c r="CU1178" s="42">
        <v>1173</v>
      </c>
      <c r="CV1178" s="115">
        <v>4</v>
      </c>
      <c r="CW1178" s="115">
        <v>0.11332468572476186</v>
      </c>
      <c r="CX1178" s="115" t="e">
        <v>#N/A</v>
      </c>
      <c r="CY1178" s="115" t="e">
        <v>#N/A</v>
      </c>
      <c r="CZ1178" s="137" t="e">
        <v>#N/A</v>
      </c>
      <c r="DA1178">
        <v>0.11332468572476186</v>
      </c>
      <c r="DB1178" t="str">
        <v/>
      </c>
    </row>
    <row r="1179" spans="83:106" x14ac:dyDescent="0.2">
      <c r="CE1179"/>
      <c r="CF1179"/>
      <c r="CG1179"/>
      <c r="CH1179"/>
      <c r="CI1179"/>
      <c r="CU1179" s="42">
        <v>1174</v>
      </c>
      <c r="CV1179" s="115">
        <v>4</v>
      </c>
      <c r="CW1179" s="115">
        <v>0.11332468572476186</v>
      </c>
      <c r="CX1179" s="115" t="e">
        <v>#N/A</v>
      </c>
      <c r="CY1179" s="115" t="e">
        <v>#N/A</v>
      </c>
      <c r="CZ1179" s="137" t="e">
        <v>#N/A</v>
      </c>
      <c r="DA1179">
        <v>0.11332468572476186</v>
      </c>
      <c r="DB1179" t="str">
        <v/>
      </c>
    </row>
    <row r="1180" spans="83:106" x14ac:dyDescent="0.2">
      <c r="CE1180"/>
      <c r="CF1180"/>
      <c r="CG1180"/>
      <c r="CH1180"/>
      <c r="CI1180"/>
      <c r="CU1180" s="42">
        <v>1175</v>
      </c>
      <c r="CV1180" s="115">
        <v>4</v>
      </c>
      <c r="CW1180" s="115">
        <v>0.11332468572476186</v>
      </c>
      <c r="CX1180" s="115" t="e">
        <v>#N/A</v>
      </c>
      <c r="CY1180" s="115" t="e">
        <v>#N/A</v>
      </c>
      <c r="CZ1180" s="137" t="e">
        <v>#N/A</v>
      </c>
      <c r="DA1180">
        <v>0.11332468572476186</v>
      </c>
      <c r="DB1180" t="str">
        <v/>
      </c>
    </row>
    <row r="1181" spans="83:106" x14ac:dyDescent="0.2">
      <c r="CE1181"/>
      <c r="CF1181"/>
      <c r="CG1181"/>
      <c r="CH1181"/>
      <c r="CI1181"/>
      <c r="CU1181" s="42">
        <v>1176</v>
      </c>
      <c r="CV1181" s="115">
        <v>4</v>
      </c>
      <c r="CW1181" s="115">
        <v>0.11332468572476186</v>
      </c>
      <c r="CX1181" s="115" t="e">
        <v>#N/A</v>
      </c>
      <c r="CY1181" s="115" t="e">
        <v>#N/A</v>
      </c>
      <c r="CZ1181" s="137" t="e">
        <v>#N/A</v>
      </c>
      <c r="DA1181">
        <v>0.11332468572476186</v>
      </c>
      <c r="DB1181" t="str">
        <v/>
      </c>
    </row>
    <row r="1182" spans="83:106" x14ac:dyDescent="0.2">
      <c r="CE1182"/>
      <c r="CF1182"/>
      <c r="CG1182"/>
      <c r="CH1182"/>
      <c r="CI1182"/>
      <c r="CU1182" s="42">
        <v>1177</v>
      </c>
      <c r="CV1182" s="115">
        <v>4</v>
      </c>
      <c r="CW1182" s="115">
        <v>0.11332468572476186</v>
      </c>
      <c r="CX1182" s="115" t="e">
        <v>#N/A</v>
      </c>
      <c r="CY1182" s="115" t="e">
        <v>#N/A</v>
      </c>
      <c r="CZ1182" s="137" t="e">
        <v>#N/A</v>
      </c>
      <c r="DA1182">
        <v>0.11332468572476186</v>
      </c>
      <c r="DB1182" t="str">
        <v/>
      </c>
    </row>
    <row r="1183" spans="83:106" x14ac:dyDescent="0.2">
      <c r="CE1183"/>
      <c r="CF1183"/>
      <c r="CG1183"/>
      <c r="CH1183"/>
      <c r="CI1183"/>
      <c r="CU1183" s="42">
        <v>1178</v>
      </c>
      <c r="CV1183" s="115">
        <v>4</v>
      </c>
      <c r="CW1183" s="115">
        <v>0.11332468572476186</v>
      </c>
      <c r="CX1183" s="115" t="e">
        <v>#N/A</v>
      </c>
      <c r="CY1183" s="115" t="e">
        <v>#N/A</v>
      </c>
      <c r="CZ1183" s="137" t="e">
        <v>#N/A</v>
      </c>
      <c r="DA1183">
        <v>0.11332468572476186</v>
      </c>
      <c r="DB1183" t="str">
        <v/>
      </c>
    </row>
    <row r="1184" spans="83:106" x14ac:dyDescent="0.2">
      <c r="CE1184"/>
      <c r="CF1184"/>
      <c r="CG1184"/>
      <c r="CH1184"/>
      <c r="CI1184"/>
      <c r="CU1184" s="42">
        <v>1179</v>
      </c>
      <c r="CV1184" s="115">
        <v>4</v>
      </c>
      <c r="CW1184" s="115">
        <v>0.11332468572476186</v>
      </c>
      <c r="CX1184" s="115" t="e">
        <v>#N/A</v>
      </c>
      <c r="CY1184" s="115" t="e">
        <v>#N/A</v>
      </c>
      <c r="CZ1184" s="137" t="e">
        <v>#N/A</v>
      </c>
      <c r="DA1184">
        <v>0.11332468572476186</v>
      </c>
      <c r="DB1184" t="str">
        <v/>
      </c>
    </row>
    <row r="1185" spans="83:106" x14ac:dyDescent="0.2">
      <c r="CE1185"/>
      <c r="CF1185"/>
      <c r="CG1185"/>
      <c r="CH1185"/>
      <c r="CI1185"/>
      <c r="CU1185" s="42">
        <v>1180</v>
      </c>
      <c r="CV1185" s="115">
        <v>4</v>
      </c>
      <c r="CW1185" s="115">
        <v>0.11332468572476186</v>
      </c>
      <c r="CX1185" s="115" t="e">
        <v>#N/A</v>
      </c>
      <c r="CY1185" s="115" t="e">
        <v>#N/A</v>
      </c>
      <c r="CZ1185" s="137" t="e">
        <v>#N/A</v>
      </c>
      <c r="DA1185">
        <v>0.11332468572476186</v>
      </c>
      <c r="DB1185" t="str">
        <v/>
      </c>
    </row>
    <row r="1186" spans="83:106" x14ac:dyDescent="0.2">
      <c r="CE1186"/>
      <c r="CF1186"/>
      <c r="CG1186"/>
      <c r="CH1186"/>
      <c r="CI1186"/>
      <c r="CU1186" s="42">
        <v>1181</v>
      </c>
      <c r="CV1186" s="115">
        <v>4</v>
      </c>
      <c r="CW1186" s="115">
        <v>0.11332468572476186</v>
      </c>
      <c r="CX1186" s="115" t="e">
        <v>#N/A</v>
      </c>
      <c r="CY1186" s="115" t="e">
        <v>#N/A</v>
      </c>
      <c r="CZ1186" s="137" t="e">
        <v>#N/A</v>
      </c>
      <c r="DA1186">
        <v>0.11332468572476186</v>
      </c>
      <c r="DB1186" t="str">
        <v/>
      </c>
    </row>
    <row r="1187" spans="83:106" x14ac:dyDescent="0.2">
      <c r="CE1187"/>
      <c r="CF1187"/>
      <c r="CG1187"/>
      <c r="CH1187"/>
      <c r="CI1187"/>
      <c r="CU1187" s="42">
        <v>1182</v>
      </c>
      <c r="CV1187" s="115">
        <v>4</v>
      </c>
      <c r="CW1187" s="115">
        <v>0.11332468572476186</v>
      </c>
      <c r="CX1187" s="115" t="e">
        <v>#N/A</v>
      </c>
      <c r="CY1187" s="115" t="e">
        <v>#N/A</v>
      </c>
      <c r="CZ1187" s="137" t="e">
        <v>#N/A</v>
      </c>
      <c r="DA1187">
        <v>0.11332468572476186</v>
      </c>
      <c r="DB1187" t="str">
        <v/>
      </c>
    </row>
    <row r="1188" spans="83:106" x14ac:dyDescent="0.2">
      <c r="CE1188"/>
      <c r="CF1188"/>
      <c r="CG1188"/>
      <c r="CH1188"/>
      <c r="CI1188"/>
      <c r="CU1188" s="42">
        <v>1183</v>
      </c>
      <c r="CV1188" s="115">
        <v>4</v>
      </c>
      <c r="CW1188" s="115">
        <v>0.11332468572476186</v>
      </c>
      <c r="CX1188" s="115" t="e">
        <v>#N/A</v>
      </c>
      <c r="CY1188" s="115" t="e">
        <v>#N/A</v>
      </c>
      <c r="CZ1188" s="137" t="e">
        <v>#N/A</v>
      </c>
      <c r="DA1188">
        <v>0.11332468572476186</v>
      </c>
      <c r="DB1188" t="str">
        <v/>
      </c>
    </row>
    <row r="1189" spans="83:106" x14ac:dyDescent="0.2">
      <c r="CE1189"/>
      <c r="CF1189"/>
      <c r="CG1189"/>
      <c r="CH1189"/>
      <c r="CI1189"/>
      <c r="CU1189" s="42">
        <v>1184</v>
      </c>
      <c r="CV1189" s="115">
        <v>4</v>
      </c>
      <c r="CW1189" s="115">
        <v>0.11332468572476186</v>
      </c>
      <c r="CX1189" s="115" t="e">
        <v>#N/A</v>
      </c>
      <c r="CY1189" s="115" t="e">
        <v>#N/A</v>
      </c>
      <c r="CZ1189" s="137" t="e">
        <v>#N/A</v>
      </c>
      <c r="DA1189">
        <v>0.11332468572476186</v>
      </c>
      <c r="DB1189" t="str">
        <v/>
      </c>
    </row>
    <row r="1190" spans="83:106" x14ac:dyDescent="0.2">
      <c r="CE1190"/>
      <c r="CF1190"/>
      <c r="CG1190"/>
      <c r="CH1190"/>
      <c r="CI1190"/>
      <c r="CU1190" s="42">
        <v>1185</v>
      </c>
      <c r="CV1190" s="115">
        <v>4</v>
      </c>
      <c r="CW1190" s="115">
        <v>0.11332468572476186</v>
      </c>
      <c r="CX1190" s="115" t="e">
        <v>#N/A</v>
      </c>
      <c r="CY1190" s="115" t="e">
        <v>#N/A</v>
      </c>
      <c r="CZ1190" s="137" t="e">
        <v>#N/A</v>
      </c>
      <c r="DA1190">
        <v>0.11332468572476186</v>
      </c>
      <c r="DB1190" t="str">
        <v/>
      </c>
    </row>
    <row r="1191" spans="83:106" x14ac:dyDescent="0.2">
      <c r="CE1191"/>
      <c r="CF1191"/>
      <c r="CG1191"/>
      <c r="CH1191"/>
      <c r="CI1191"/>
      <c r="CU1191" s="42">
        <v>1186</v>
      </c>
      <c r="CV1191" s="115">
        <v>4</v>
      </c>
      <c r="CW1191" s="115">
        <v>0.11332468572476186</v>
      </c>
      <c r="CX1191" s="115" t="e">
        <v>#N/A</v>
      </c>
      <c r="CY1191" s="115" t="e">
        <v>#N/A</v>
      </c>
      <c r="CZ1191" s="137" t="e">
        <v>#N/A</v>
      </c>
      <c r="DA1191">
        <v>0.11332468572476186</v>
      </c>
      <c r="DB1191" t="str">
        <v/>
      </c>
    </row>
    <row r="1192" spans="83:106" x14ac:dyDescent="0.2">
      <c r="CE1192"/>
      <c r="CF1192"/>
      <c r="CG1192"/>
      <c r="CH1192"/>
      <c r="CI1192"/>
      <c r="CU1192" s="42">
        <v>1187</v>
      </c>
      <c r="CV1192" s="115">
        <v>4</v>
      </c>
      <c r="CW1192" s="115">
        <v>0.11332468572476186</v>
      </c>
      <c r="CX1192" s="115" t="e">
        <v>#N/A</v>
      </c>
      <c r="CY1192" s="115" t="e">
        <v>#N/A</v>
      </c>
      <c r="CZ1192" s="137" t="e">
        <v>#N/A</v>
      </c>
      <c r="DA1192">
        <v>0.11332468572476186</v>
      </c>
      <c r="DB1192" t="str">
        <v/>
      </c>
    </row>
    <row r="1193" spans="83:106" x14ac:dyDescent="0.2">
      <c r="CE1193"/>
      <c r="CF1193"/>
      <c r="CG1193"/>
      <c r="CH1193"/>
      <c r="CI1193"/>
      <c r="CU1193" s="42">
        <v>1188</v>
      </c>
      <c r="CV1193" s="115">
        <v>4</v>
      </c>
      <c r="CW1193" s="115">
        <v>0.11332468572476186</v>
      </c>
      <c r="CX1193" s="115" t="e">
        <v>#N/A</v>
      </c>
      <c r="CY1193" s="115" t="e">
        <v>#N/A</v>
      </c>
      <c r="CZ1193" s="137" t="e">
        <v>#N/A</v>
      </c>
      <c r="DA1193">
        <v>0.11332468572476186</v>
      </c>
      <c r="DB1193" t="str">
        <v/>
      </c>
    </row>
    <row r="1194" spans="83:106" x14ac:dyDescent="0.2">
      <c r="CE1194"/>
      <c r="CF1194"/>
      <c r="CG1194"/>
      <c r="CH1194"/>
      <c r="CI1194"/>
      <c r="CU1194" s="42">
        <v>1189</v>
      </c>
      <c r="CV1194" s="115">
        <v>4</v>
      </c>
      <c r="CW1194" s="115">
        <v>0.11332468572476186</v>
      </c>
      <c r="CX1194" s="115" t="e">
        <v>#N/A</v>
      </c>
      <c r="CY1194" s="115" t="e">
        <v>#N/A</v>
      </c>
      <c r="CZ1194" s="137" t="e">
        <v>#N/A</v>
      </c>
      <c r="DA1194">
        <v>0.11332468572476186</v>
      </c>
      <c r="DB1194" t="str">
        <v/>
      </c>
    </row>
    <row r="1195" spans="83:106" x14ac:dyDescent="0.2">
      <c r="CE1195"/>
      <c r="CF1195"/>
      <c r="CG1195"/>
      <c r="CH1195"/>
      <c r="CI1195"/>
      <c r="CU1195" s="42">
        <v>1190</v>
      </c>
      <c r="CV1195" s="115">
        <v>4</v>
      </c>
      <c r="CW1195" s="115">
        <v>0.11332468572476186</v>
      </c>
      <c r="CX1195" s="115" t="e">
        <v>#N/A</v>
      </c>
      <c r="CY1195" s="115" t="e">
        <v>#N/A</v>
      </c>
      <c r="CZ1195" s="137" t="e">
        <v>#N/A</v>
      </c>
      <c r="DA1195">
        <v>0.11332468572476186</v>
      </c>
      <c r="DB1195" t="str">
        <v/>
      </c>
    </row>
    <row r="1196" spans="83:106" x14ac:dyDescent="0.2">
      <c r="CE1196"/>
      <c r="CF1196"/>
      <c r="CG1196"/>
      <c r="CH1196"/>
      <c r="CI1196"/>
      <c r="CU1196" s="42">
        <v>1191</v>
      </c>
      <c r="CV1196" s="115">
        <v>4</v>
      </c>
      <c r="CW1196" s="115">
        <v>0.11332468572476186</v>
      </c>
      <c r="CX1196" s="115" t="e">
        <v>#N/A</v>
      </c>
      <c r="CY1196" s="115" t="e">
        <v>#N/A</v>
      </c>
      <c r="CZ1196" s="137" t="e">
        <v>#N/A</v>
      </c>
      <c r="DA1196">
        <v>0.11332468572476186</v>
      </c>
      <c r="DB1196" t="str">
        <v/>
      </c>
    </row>
    <row r="1197" spans="83:106" x14ac:dyDescent="0.2">
      <c r="CE1197"/>
      <c r="CF1197"/>
      <c r="CG1197"/>
      <c r="CH1197"/>
      <c r="CI1197"/>
      <c r="CU1197" s="42">
        <v>1192</v>
      </c>
      <c r="CV1197" s="115">
        <v>4</v>
      </c>
      <c r="CW1197" s="115">
        <v>0.11332468572476186</v>
      </c>
      <c r="CX1197" s="115" t="e">
        <v>#N/A</v>
      </c>
      <c r="CY1197" s="115" t="e">
        <v>#N/A</v>
      </c>
      <c r="CZ1197" s="137" t="e">
        <v>#N/A</v>
      </c>
      <c r="DA1197">
        <v>0.11332468572476186</v>
      </c>
      <c r="DB1197" t="str">
        <v/>
      </c>
    </row>
    <row r="1198" spans="83:106" x14ac:dyDescent="0.2">
      <c r="CE1198"/>
      <c r="CF1198"/>
      <c r="CG1198"/>
      <c r="CH1198"/>
      <c r="CI1198"/>
      <c r="CU1198" s="42">
        <v>1193</v>
      </c>
      <c r="CV1198" s="115">
        <v>4</v>
      </c>
      <c r="CW1198" s="115">
        <v>0.11332468572476186</v>
      </c>
      <c r="CX1198" s="115" t="e">
        <v>#N/A</v>
      </c>
      <c r="CY1198" s="115" t="e">
        <v>#N/A</v>
      </c>
      <c r="CZ1198" s="137" t="e">
        <v>#N/A</v>
      </c>
      <c r="DA1198">
        <v>0.11332468572476186</v>
      </c>
      <c r="DB1198" t="str">
        <v/>
      </c>
    </row>
    <row r="1199" spans="83:106" x14ac:dyDescent="0.2">
      <c r="CE1199"/>
      <c r="CF1199"/>
      <c r="CG1199"/>
      <c r="CH1199"/>
      <c r="CI1199"/>
      <c r="CU1199" s="42">
        <v>1194</v>
      </c>
      <c r="CV1199" s="115">
        <v>4</v>
      </c>
      <c r="CW1199" s="115">
        <v>0.11332468572476186</v>
      </c>
      <c r="CX1199" s="115" t="e">
        <v>#N/A</v>
      </c>
      <c r="CY1199" s="115" t="e">
        <v>#N/A</v>
      </c>
      <c r="CZ1199" s="137" t="e">
        <v>#N/A</v>
      </c>
      <c r="DA1199">
        <v>0.11332468572476186</v>
      </c>
      <c r="DB1199" t="str">
        <v/>
      </c>
    </row>
    <row r="1200" spans="83:106" x14ac:dyDescent="0.2">
      <c r="CE1200"/>
      <c r="CF1200"/>
      <c r="CG1200"/>
      <c r="CH1200"/>
      <c r="CI1200"/>
      <c r="CU1200" s="42">
        <v>1195</v>
      </c>
      <c r="CV1200" s="115">
        <v>4</v>
      </c>
      <c r="CW1200" s="115">
        <v>0.11332468572476186</v>
      </c>
      <c r="CX1200" s="115" t="e">
        <v>#N/A</v>
      </c>
      <c r="CY1200" s="115" t="e">
        <v>#N/A</v>
      </c>
      <c r="CZ1200" s="137" t="e">
        <v>#N/A</v>
      </c>
      <c r="DA1200">
        <v>0.11332468572476186</v>
      </c>
      <c r="DB1200" t="str">
        <v/>
      </c>
    </row>
    <row r="1201" spans="83:106" x14ac:dyDescent="0.2">
      <c r="CE1201"/>
      <c r="CF1201"/>
      <c r="CG1201"/>
      <c r="CH1201"/>
      <c r="CI1201"/>
      <c r="CU1201" s="42">
        <v>1196</v>
      </c>
      <c r="CV1201" s="115">
        <v>4</v>
      </c>
      <c r="CW1201" s="115">
        <v>0.11332468572476186</v>
      </c>
      <c r="CX1201" s="115" t="e">
        <v>#N/A</v>
      </c>
      <c r="CY1201" s="115" t="e">
        <v>#N/A</v>
      </c>
      <c r="CZ1201" s="137" t="e">
        <v>#N/A</v>
      </c>
      <c r="DA1201">
        <v>0.11332468572476186</v>
      </c>
      <c r="DB1201" t="str">
        <v/>
      </c>
    </row>
    <row r="1202" spans="83:106" x14ac:dyDescent="0.2">
      <c r="CE1202"/>
      <c r="CF1202"/>
      <c r="CG1202"/>
      <c r="CH1202"/>
      <c r="CI1202"/>
      <c r="CU1202" s="42">
        <v>1197</v>
      </c>
      <c r="CV1202" s="115">
        <v>4</v>
      </c>
      <c r="CW1202" s="115">
        <v>0.11332468572476186</v>
      </c>
      <c r="CX1202" s="115" t="e">
        <v>#N/A</v>
      </c>
      <c r="CY1202" s="115" t="e">
        <v>#N/A</v>
      </c>
      <c r="CZ1202" s="137" t="e">
        <v>#N/A</v>
      </c>
      <c r="DA1202">
        <v>0.11332468572476186</v>
      </c>
      <c r="DB1202" t="str">
        <v/>
      </c>
    </row>
    <row r="1203" spans="83:106" x14ac:dyDescent="0.2">
      <c r="CE1203"/>
      <c r="CF1203"/>
      <c r="CG1203"/>
      <c r="CH1203"/>
      <c r="CI1203"/>
      <c r="CU1203" s="42">
        <v>1198</v>
      </c>
      <c r="CV1203" s="115">
        <v>4</v>
      </c>
      <c r="CW1203" s="115">
        <v>0.11332468572476186</v>
      </c>
      <c r="CX1203" s="115" t="e">
        <v>#N/A</v>
      </c>
      <c r="CY1203" s="115" t="e">
        <v>#N/A</v>
      </c>
      <c r="CZ1203" s="137" t="e">
        <v>#N/A</v>
      </c>
      <c r="DA1203">
        <v>0.11332468572476186</v>
      </c>
      <c r="DB1203" t="str">
        <v/>
      </c>
    </row>
    <row r="1204" spans="83:106" x14ac:dyDescent="0.2">
      <c r="CE1204"/>
      <c r="CF1204"/>
      <c r="CG1204"/>
      <c r="CH1204"/>
      <c r="CI1204"/>
      <c r="CU1204" s="42">
        <v>1199</v>
      </c>
      <c r="CV1204" s="115">
        <v>4</v>
      </c>
      <c r="CW1204" s="115">
        <v>0.11332468572476186</v>
      </c>
      <c r="CX1204" s="115" t="e">
        <v>#N/A</v>
      </c>
      <c r="CY1204" s="115" t="e">
        <v>#N/A</v>
      </c>
      <c r="CZ1204" s="137" t="e">
        <v>#N/A</v>
      </c>
      <c r="DA1204">
        <v>0.11332468572476186</v>
      </c>
      <c r="DB1204" t="str">
        <v/>
      </c>
    </row>
    <row r="1205" spans="83:106" x14ac:dyDescent="0.2">
      <c r="CE1205"/>
      <c r="CF1205"/>
      <c r="CG1205"/>
      <c r="CH1205"/>
      <c r="CI1205"/>
      <c r="CU1205" s="42">
        <v>1200</v>
      </c>
      <c r="CV1205" s="115">
        <v>4</v>
      </c>
      <c r="CW1205" s="115">
        <v>0.11332468572476186</v>
      </c>
      <c r="CX1205" s="115" t="e">
        <v>#N/A</v>
      </c>
      <c r="CY1205" s="115" t="e">
        <v>#N/A</v>
      </c>
      <c r="CZ1205" s="137" t="e">
        <v>#N/A</v>
      </c>
      <c r="DA1205">
        <v>0.11332468572476186</v>
      </c>
      <c r="DB1205" t="str">
        <v/>
      </c>
    </row>
    <row r="1206" spans="83:106" x14ac:dyDescent="0.2">
      <c r="CE1206"/>
      <c r="CF1206"/>
      <c r="CG1206"/>
      <c r="CH1206"/>
      <c r="CI1206"/>
      <c r="CU1206" s="42">
        <v>1201</v>
      </c>
      <c r="CV1206" s="115">
        <v>4</v>
      </c>
      <c r="CW1206" s="115">
        <v>0.11332468572476186</v>
      </c>
      <c r="CX1206" s="115" t="e">
        <v>#N/A</v>
      </c>
      <c r="CY1206" s="115" t="e">
        <v>#N/A</v>
      </c>
      <c r="CZ1206" s="137" t="e">
        <v>#N/A</v>
      </c>
      <c r="DA1206">
        <v>0.11332468572476186</v>
      </c>
      <c r="DB1206" t="str">
        <v/>
      </c>
    </row>
    <row r="1207" spans="83:106" x14ac:dyDescent="0.2">
      <c r="CE1207"/>
      <c r="CF1207"/>
      <c r="CG1207"/>
      <c r="CH1207"/>
      <c r="CI1207"/>
      <c r="CU1207" s="42">
        <v>1202</v>
      </c>
      <c r="CV1207" s="115">
        <v>4</v>
      </c>
      <c r="CW1207" s="115">
        <v>0.11332468572476186</v>
      </c>
      <c r="CX1207" s="115" t="e">
        <v>#N/A</v>
      </c>
      <c r="CY1207" s="115" t="e">
        <v>#N/A</v>
      </c>
      <c r="CZ1207" s="137" t="e">
        <v>#N/A</v>
      </c>
      <c r="DA1207">
        <v>0.11332468572476186</v>
      </c>
      <c r="DB1207" t="str">
        <v/>
      </c>
    </row>
    <row r="1208" spans="83:106" x14ac:dyDescent="0.2">
      <c r="CE1208"/>
      <c r="CF1208"/>
      <c r="CG1208"/>
      <c r="CH1208"/>
      <c r="CI1208"/>
      <c r="CU1208" s="42">
        <v>1203</v>
      </c>
      <c r="CV1208" s="115">
        <v>4</v>
      </c>
      <c r="CW1208" s="115">
        <v>0.11332468572476186</v>
      </c>
      <c r="CX1208" s="115" t="e">
        <v>#N/A</v>
      </c>
      <c r="CY1208" s="115" t="e">
        <v>#N/A</v>
      </c>
      <c r="CZ1208" s="137" t="e">
        <v>#N/A</v>
      </c>
      <c r="DA1208">
        <v>0.11332468572476186</v>
      </c>
      <c r="DB1208" t="str">
        <v/>
      </c>
    </row>
    <row r="1209" spans="83:106" x14ac:dyDescent="0.2">
      <c r="CE1209"/>
      <c r="CF1209"/>
      <c r="CG1209"/>
      <c r="CH1209"/>
      <c r="CI1209"/>
      <c r="CU1209" s="42">
        <v>1204</v>
      </c>
      <c r="CV1209" s="115">
        <v>4</v>
      </c>
      <c r="CW1209" s="115">
        <v>0.11332468572476186</v>
      </c>
      <c r="CX1209" s="115" t="e">
        <v>#N/A</v>
      </c>
      <c r="CY1209" s="115" t="e">
        <v>#N/A</v>
      </c>
      <c r="CZ1209" s="137" t="e">
        <v>#N/A</v>
      </c>
      <c r="DA1209">
        <v>0.11332468572476186</v>
      </c>
      <c r="DB1209" t="str">
        <v/>
      </c>
    </row>
    <row r="1210" spans="83:106" x14ac:dyDescent="0.2">
      <c r="CE1210"/>
      <c r="CF1210"/>
      <c r="CG1210"/>
      <c r="CH1210"/>
      <c r="CI1210"/>
      <c r="CU1210" s="42">
        <v>1205</v>
      </c>
      <c r="CV1210" s="115">
        <v>4</v>
      </c>
      <c r="CW1210" s="115">
        <v>0.11332468572476186</v>
      </c>
      <c r="CX1210" s="115" t="e">
        <v>#N/A</v>
      </c>
      <c r="CY1210" s="115" t="e">
        <v>#N/A</v>
      </c>
      <c r="CZ1210" s="137" t="e">
        <v>#N/A</v>
      </c>
      <c r="DA1210">
        <v>0.11332468572476186</v>
      </c>
      <c r="DB1210" t="str">
        <v/>
      </c>
    </row>
    <row r="1211" spans="83:106" x14ac:dyDescent="0.2">
      <c r="CE1211"/>
      <c r="CF1211"/>
      <c r="CG1211"/>
      <c r="CH1211"/>
      <c r="CI1211"/>
      <c r="CU1211" s="42">
        <v>1206</v>
      </c>
      <c r="CV1211" s="115">
        <v>4</v>
      </c>
      <c r="CW1211" s="115">
        <v>0.11332468572476186</v>
      </c>
      <c r="CX1211" s="115" t="e">
        <v>#N/A</v>
      </c>
      <c r="CY1211" s="115" t="e">
        <v>#N/A</v>
      </c>
      <c r="CZ1211" s="137" t="e">
        <v>#N/A</v>
      </c>
      <c r="DA1211">
        <v>0.11332468572476186</v>
      </c>
      <c r="DB1211" t="str">
        <v/>
      </c>
    </row>
    <row r="1212" spans="83:106" x14ac:dyDescent="0.2">
      <c r="CE1212"/>
      <c r="CF1212"/>
      <c r="CG1212"/>
      <c r="CH1212"/>
      <c r="CI1212"/>
      <c r="CU1212" s="42">
        <v>1207</v>
      </c>
      <c r="CV1212" s="115">
        <v>4</v>
      </c>
      <c r="CW1212" s="115">
        <v>0.11332468572476186</v>
      </c>
      <c r="CX1212" s="115" t="e">
        <v>#N/A</v>
      </c>
      <c r="CY1212" s="115" t="e">
        <v>#N/A</v>
      </c>
      <c r="CZ1212" s="137" t="e">
        <v>#N/A</v>
      </c>
      <c r="DA1212">
        <v>0.11332468572476186</v>
      </c>
      <c r="DB1212" t="str">
        <v/>
      </c>
    </row>
    <row r="1213" spans="83:106" x14ac:dyDescent="0.2">
      <c r="CE1213"/>
      <c r="CF1213"/>
      <c r="CG1213"/>
      <c r="CH1213"/>
      <c r="CI1213"/>
      <c r="CU1213" s="42">
        <v>1208</v>
      </c>
      <c r="CV1213" s="115">
        <v>4</v>
      </c>
      <c r="CW1213" s="115">
        <v>0.11332468572476186</v>
      </c>
      <c r="CX1213" s="115" t="e">
        <v>#N/A</v>
      </c>
      <c r="CY1213" s="115" t="e">
        <v>#N/A</v>
      </c>
      <c r="CZ1213" s="137" t="e">
        <v>#N/A</v>
      </c>
      <c r="DA1213">
        <v>0.11332468572476186</v>
      </c>
      <c r="DB1213" t="str">
        <v/>
      </c>
    </row>
    <row r="1214" spans="83:106" x14ac:dyDescent="0.2">
      <c r="CE1214"/>
      <c r="CF1214"/>
      <c r="CG1214"/>
      <c r="CH1214"/>
      <c r="CI1214"/>
      <c r="CU1214" s="42">
        <v>1209</v>
      </c>
      <c r="CV1214" s="115">
        <v>4</v>
      </c>
      <c r="CW1214" s="115">
        <v>0.11332468572476186</v>
      </c>
      <c r="CX1214" s="115" t="e">
        <v>#N/A</v>
      </c>
      <c r="CY1214" s="115" t="e">
        <v>#N/A</v>
      </c>
      <c r="CZ1214" s="137" t="e">
        <v>#N/A</v>
      </c>
      <c r="DA1214">
        <v>0.11332468572476186</v>
      </c>
      <c r="DB1214" t="str">
        <v/>
      </c>
    </row>
    <row r="1215" spans="83:106" x14ac:dyDescent="0.2">
      <c r="CE1215"/>
      <c r="CF1215"/>
      <c r="CG1215"/>
      <c r="CH1215"/>
      <c r="CI1215"/>
      <c r="CU1215" s="42">
        <v>1210</v>
      </c>
      <c r="CV1215" s="115">
        <v>4</v>
      </c>
      <c r="CW1215" s="115">
        <v>0.11332468572476186</v>
      </c>
      <c r="CX1215" s="115" t="e">
        <v>#N/A</v>
      </c>
      <c r="CY1215" s="115" t="e">
        <v>#N/A</v>
      </c>
      <c r="CZ1215" s="137" t="e">
        <v>#N/A</v>
      </c>
      <c r="DA1215">
        <v>0.11332468572476186</v>
      </c>
      <c r="DB1215" t="str">
        <v/>
      </c>
    </row>
    <row r="1216" spans="83:106" x14ac:dyDescent="0.2">
      <c r="CE1216"/>
      <c r="CF1216"/>
      <c r="CG1216"/>
      <c r="CH1216"/>
      <c r="CI1216"/>
      <c r="CU1216" s="42">
        <v>1211</v>
      </c>
      <c r="CV1216" s="115">
        <v>4</v>
      </c>
      <c r="CW1216" s="115">
        <v>0.11332468572476186</v>
      </c>
      <c r="CX1216" s="115" t="e">
        <v>#N/A</v>
      </c>
      <c r="CY1216" s="115" t="e">
        <v>#N/A</v>
      </c>
      <c r="CZ1216" s="137" t="e">
        <v>#N/A</v>
      </c>
      <c r="DA1216">
        <v>0.11332468572476186</v>
      </c>
      <c r="DB1216" t="str">
        <v/>
      </c>
    </row>
    <row r="1217" spans="83:106" x14ac:dyDescent="0.2">
      <c r="CE1217"/>
      <c r="CF1217"/>
      <c r="CG1217"/>
      <c r="CH1217"/>
      <c r="CI1217"/>
      <c r="CU1217" s="42">
        <v>1212</v>
      </c>
      <c r="CV1217" s="115">
        <v>4</v>
      </c>
      <c r="CW1217" s="115">
        <v>0.11332468572476186</v>
      </c>
      <c r="CX1217" s="115" t="e">
        <v>#N/A</v>
      </c>
      <c r="CY1217" s="115" t="e">
        <v>#N/A</v>
      </c>
      <c r="CZ1217" s="137" t="e">
        <v>#N/A</v>
      </c>
      <c r="DA1217">
        <v>0.11332468572476186</v>
      </c>
      <c r="DB1217" t="str">
        <v/>
      </c>
    </row>
    <row r="1218" spans="83:106" x14ac:dyDescent="0.2">
      <c r="CE1218"/>
      <c r="CF1218"/>
      <c r="CG1218"/>
      <c r="CH1218"/>
      <c r="CI1218"/>
      <c r="CU1218" s="42">
        <v>1213</v>
      </c>
      <c r="CV1218" s="115">
        <v>4</v>
      </c>
      <c r="CW1218" s="115">
        <v>0.11332468572476186</v>
      </c>
      <c r="CX1218" s="115" t="e">
        <v>#N/A</v>
      </c>
      <c r="CY1218" s="115" t="e">
        <v>#N/A</v>
      </c>
      <c r="CZ1218" s="137" t="e">
        <v>#N/A</v>
      </c>
      <c r="DA1218">
        <v>0.11332468572476186</v>
      </c>
      <c r="DB1218" t="str">
        <v/>
      </c>
    </row>
    <row r="1219" spans="83:106" x14ac:dyDescent="0.2">
      <c r="CE1219"/>
      <c r="CF1219"/>
      <c r="CG1219"/>
      <c r="CH1219"/>
      <c r="CI1219"/>
      <c r="CU1219" s="42">
        <v>1214</v>
      </c>
      <c r="CV1219" s="115">
        <v>4</v>
      </c>
      <c r="CW1219" s="115">
        <v>0.11332468572476186</v>
      </c>
      <c r="CX1219" s="115" t="e">
        <v>#N/A</v>
      </c>
      <c r="CY1219" s="115" t="e">
        <v>#N/A</v>
      </c>
      <c r="CZ1219" s="137" t="e">
        <v>#N/A</v>
      </c>
      <c r="DA1219">
        <v>0.11332468572476186</v>
      </c>
      <c r="DB1219" t="str">
        <v/>
      </c>
    </row>
    <row r="1220" spans="83:106" x14ac:dyDescent="0.2">
      <c r="CE1220"/>
      <c r="CF1220"/>
      <c r="CG1220"/>
      <c r="CH1220"/>
      <c r="CI1220"/>
      <c r="CU1220" s="42">
        <v>1215</v>
      </c>
      <c r="CV1220" s="115">
        <v>4</v>
      </c>
      <c r="CW1220" s="115">
        <v>0.11332468572476186</v>
      </c>
      <c r="CX1220" s="115" t="e">
        <v>#N/A</v>
      </c>
      <c r="CY1220" s="115" t="e">
        <v>#N/A</v>
      </c>
      <c r="CZ1220" s="137" t="e">
        <v>#N/A</v>
      </c>
      <c r="DA1220">
        <v>0.11332468572476186</v>
      </c>
      <c r="DB1220" t="str">
        <v/>
      </c>
    </row>
    <row r="1221" spans="83:106" x14ac:dyDescent="0.2">
      <c r="CE1221"/>
      <c r="CF1221"/>
      <c r="CG1221"/>
      <c r="CH1221"/>
      <c r="CI1221"/>
      <c r="CU1221" s="42">
        <v>1216</v>
      </c>
      <c r="CV1221" s="115">
        <v>4</v>
      </c>
      <c r="CW1221" s="115">
        <v>0.11332468572476186</v>
      </c>
      <c r="CX1221" s="115" t="e">
        <v>#N/A</v>
      </c>
      <c r="CY1221" s="115" t="e">
        <v>#N/A</v>
      </c>
      <c r="CZ1221" s="137" t="e">
        <v>#N/A</v>
      </c>
      <c r="DA1221">
        <v>0.11332468572476186</v>
      </c>
      <c r="DB1221" t="str">
        <v/>
      </c>
    </row>
    <row r="1222" spans="83:106" x14ac:dyDescent="0.2">
      <c r="CE1222"/>
      <c r="CF1222"/>
      <c r="CG1222"/>
      <c r="CH1222"/>
      <c r="CI1222"/>
      <c r="CU1222" s="42">
        <v>1217</v>
      </c>
      <c r="CV1222" s="115">
        <v>4</v>
      </c>
      <c r="CW1222" s="115">
        <v>0.11332468572476186</v>
      </c>
      <c r="CX1222" s="115" t="e">
        <v>#N/A</v>
      </c>
      <c r="CY1222" s="115" t="e">
        <v>#N/A</v>
      </c>
      <c r="CZ1222" s="137" t="e">
        <v>#N/A</v>
      </c>
      <c r="DA1222">
        <v>0.11332468572476186</v>
      </c>
      <c r="DB1222" t="str">
        <v/>
      </c>
    </row>
    <row r="1223" spans="83:106" x14ac:dyDescent="0.2">
      <c r="CE1223"/>
      <c r="CF1223"/>
      <c r="CG1223"/>
      <c r="CH1223"/>
      <c r="CI1223"/>
      <c r="CU1223" s="42">
        <v>1218</v>
      </c>
      <c r="CV1223" s="115">
        <v>4</v>
      </c>
      <c r="CW1223" s="115">
        <v>0.11332468572476186</v>
      </c>
      <c r="CX1223" s="115" t="e">
        <v>#N/A</v>
      </c>
      <c r="CY1223" s="115" t="e">
        <v>#N/A</v>
      </c>
      <c r="CZ1223" s="137" t="e">
        <v>#N/A</v>
      </c>
      <c r="DA1223">
        <v>0.11332468572476186</v>
      </c>
      <c r="DB1223" t="str">
        <v/>
      </c>
    </row>
    <row r="1224" spans="83:106" x14ac:dyDescent="0.2">
      <c r="CE1224"/>
      <c r="CF1224"/>
      <c r="CG1224"/>
      <c r="CH1224"/>
      <c r="CI1224"/>
      <c r="CU1224" s="42">
        <v>1219</v>
      </c>
      <c r="CV1224" s="115">
        <v>4</v>
      </c>
      <c r="CW1224" s="115">
        <v>0.11332468572476186</v>
      </c>
      <c r="CX1224" s="115" t="e">
        <v>#N/A</v>
      </c>
      <c r="CY1224" s="115" t="e">
        <v>#N/A</v>
      </c>
      <c r="CZ1224" s="137" t="e">
        <v>#N/A</v>
      </c>
      <c r="DA1224">
        <v>0.11332468572476186</v>
      </c>
      <c r="DB1224" t="str">
        <v/>
      </c>
    </row>
    <row r="1225" spans="83:106" x14ac:dyDescent="0.2">
      <c r="CE1225"/>
      <c r="CF1225"/>
      <c r="CG1225"/>
      <c r="CH1225"/>
      <c r="CI1225"/>
      <c r="CU1225" s="42">
        <v>1220</v>
      </c>
      <c r="CV1225" s="115">
        <v>4</v>
      </c>
      <c r="CW1225" s="115">
        <v>0.11332468572476186</v>
      </c>
      <c r="CX1225" s="115" t="e">
        <v>#N/A</v>
      </c>
      <c r="CY1225" s="115" t="e">
        <v>#N/A</v>
      </c>
      <c r="CZ1225" s="137" t="e">
        <v>#N/A</v>
      </c>
      <c r="DA1225">
        <v>0.11332468572476186</v>
      </c>
      <c r="DB1225" t="str">
        <v/>
      </c>
    </row>
    <row r="1226" spans="83:106" x14ac:dyDescent="0.2">
      <c r="CE1226"/>
      <c r="CF1226"/>
      <c r="CG1226"/>
      <c r="CH1226"/>
      <c r="CI1226"/>
      <c r="CU1226" s="42">
        <v>1221</v>
      </c>
      <c r="CV1226" s="115">
        <v>4</v>
      </c>
      <c r="CW1226" s="115">
        <v>0.11332468572476186</v>
      </c>
      <c r="CX1226" s="115" t="e">
        <v>#N/A</v>
      </c>
      <c r="CY1226" s="115" t="e">
        <v>#N/A</v>
      </c>
      <c r="CZ1226" s="137" t="e">
        <v>#N/A</v>
      </c>
      <c r="DA1226">
        <v>0.11332468572476186</v>
      </c>
      <c r="DB1226" t="str">
        <v/>
      </c>
    </row>
    <row r="1227" spans="83:106" x14ac:dyDescent="0.2">
      <c r="CE1227"/>
      <c r="CF1227"/>
      <c r="CG1227"/>
      <c r="CH1227"/>
      <c r="CI1227"/>
      <c r="CU1227" s="42">
        <v>1222</v>
      </c>
      <c r="CV1227" s="115">
        <v>4</v>
      </c>
      <c r="CW1227" s="115">
        <v>0.11332468572476186</v>
      </c>
      <c r="CX1227" s="115" t="e">
        <v>#N/A</v>
      </c>
      <c r="CY1227" s="115" t="e">
        <v>#N/A</v>
      </c>
      <c r="CZ1227" s="137" t="e">
        <v>#N/A</v>
      </c>
      <c r="DA1227">
        <v>0.11332468572476186</v>
      </c>
      <c r="DB1227" t="str">
        <v/>
      </c>
    </row>
    <row r="1228" spans="83:106" x14ac:dyDescent="0.2">
      <c r="CE1228"/>
      <c r="CF1228"/>
      <c r="CG1228"/>
      <c r="CH1228"/>
      <c r="CI1228"/>
      <c r="CU1228" s="42">
        <v>1223</v>
      </c>
      <c r="CV1228" s="115">
        <v>4</v>
      </c>
      <c r="CW1228" s="115">
        <v>0.11332468572476186</v>
      </c>
      <c r="CX1228" s="115" t="e">
        <v>#N/A</v>
      </c>
      <c r="CY1228" s="115" t="e">
        <v>#N/A</v>
      </c>
      <c r="CZ1228" s="137" t="e">
        <v>#N/A</v>
      </c>
      <c r="DA1228">
        <v>0.11332468572476186</v>
      </c>
      <c r="DB1228" t="str">
        <v/>
      </c>
    </row>
    <row r="1229" spans="83:106" x14ac:dyDescent="0.2">
      <c r="CE1229"/>
      <c r="CF1229"/>
      <c r="CG1229"/>
      <c r="CH1229"/>
      <c r="CI1229"/>
      <c r="CU1229" s="42">
        <v>1224</v>
      </c>
      <c r="CV1229" s="115">
        <v>4</v>
      </c>
      <c r="CW1229" s="115">
        <v>0.11332468572476186</v>
      </c>
      <c r="CX1229" s="115" t="e">
        <v>#N/A</v>
      </c>
      <c r="CY1229" s="115" t="e">
        <v>#N/A</v>
      </c>
      <c r="CZ1229" s="137" t="e">
        <v>#N/A</v>
      </c>
      <c r="DA1229">
        <v>0.11332468572476186</v>
      </c>
      <c r="DB1229" t="str">
        <v/>
      </c>
    </row>
    <row r="1230" spans="83:106" x14ac:dyDescent="0.2">
      <c r="CE1230"/>
      <c r="CF1230"/>
      <c r="CG1230"/>
      <c r="CH1230"/>
      <c r="CI1230"/>
      <c r="CU1230" s="42">
        <v>1225</v>
      </c>
      <c r="CV1230" s="115">
        <v>4</v>
      </c>
      <c r="CW1230" s="115">
        <v>0.11332468572476186</v>
      </c>
      <c r="CX1230" s="115" t="e">
        <v>#N/A</v>
      </c>
      <c r="CY1230" s="115" t="e">
        <v>#N/A</v>
      </c>
      <c r="CZ1230" s="137" t="e">
        <v>#N/A</v>
      </c>
      <c r="DA1230">
        <v>0.11332468572476186</v>
      </c>
      <c r="DB1230" t="str">
        <v/>
      </c>
    </row>
    <row r="1231" spans="83:106" x14ac:dyDescent="0.2">
      <c r="CE1231"/>
      <c r="CF1231"/>
      <c r="CG1231"/>
      <c r="CH1231"/>
      <c r="CI1231"/>
      <c r="CU1231" s="42">
        <v>1226</v>
      </c>
      <c r="CV1231" s="115">
        <v>4</v>
      </c>
      <c r="CW1231" s="115">
        <v>0.11332468572476186</v>
      </c>
      <c r="CX1231" s="115" t="e">
        <v>#N/A</v>
      </c>
      <c r="CY1231" s="115" t="e">
        <v>#N/A</v>
      </c>
      <c r="CZ1231" s="137" t="e">
        <v>#N/A</v>
      </c>
      <c r="DA1231">
        <v>0.11332468572476186</v>
      </c>
      <c r="DB1231" t="str">
        <v/>
      </c>
    </row>
    <row r="1232" spans="83:106" x14ac:dyDescent="0.2">
      <c r="CE1232"/>
      <c r="CF1232"/>
      <c r="CG1232"/>
      <c r="CH1232"/>
      <c r="CI1232"/>
      <c r="CU1232" s="42">
        <v>1227</v>
      </c>
      <c r="CV1232" s="115">
        <v>4</v>
      </c>
      <c r="CW1232" s="115">
        <v>0.11332468572476186</v>
      </c>
      <c r="CX1232" s="115" t="e">
        <v>#N/A</v>
      </c>
      <c r="CY1232" s="115" t="e">
        <v>#N/A</v>
      </c>
      <c r="CZ1232" s="137" t="e">
        <v>#N/A</v>
      </c>
      <c r="DA1232">
        <v>0.11332468572476186</v>
      </c>
      <c r="DB1232" t="str">
        <v/>
      </c>
    </row>
    <row r="1233" spans="83:106" x14ac:dyDescent="0.2">
      <c r="CE1233"/>
      <c r="CF1233"/>
      <c r="CG1233"/>
      <c r="CH1233"/>
      <c r="CI1233"/>
      <c r="CU1233" s="42">
        <v>1228</v>
      </c>
      <c r="CV1233" s="115">
        <v>4</v>
      </c>
      <c r="CW1233" s="115">
        <v>0.11332468572476186</v>
      </c>
      <c r="CX1233" s="115" t="e">
        <v>#N/A</v>
      </c>
      <c r="CY1233" s="115" t="e">
        <v>#N/A</v>
      </c>
      <c r="CZ1233" s="137" t="e">
        <v>#N/A</v>
      </c>
      <c r="DA1233">
        <v>0.11332468572476186</v>
      </c>
      <c r="DB1233" t="str">
        <v/>
      </c>
    </row>
    <row r="1234" spans="83:106" x14ac:dyDescent="0.2">
      <c r="CE1234"/>
      <c r="CF1234"/>
      <c r="CG1234"/>
      <c r="CH1234"/>
      <c r="CI1234"/>
      <c r="CU1234" s="42">
        <v>1229</v>
      </c>
      <c r="CV1234" s="115">
        <v>4</v>
      </c>
      <c r="CW1234" s="115">
        <v>0.11332468572476186</v>
      </c>
      <c r="CX1234" s="115" t="e">
        <v>#N/A</v>
      </c>
      <c r="CY1234" s="115" t="e">
        <v>#N/A</v>
      </c>
      <c r="CZ1234" s="137" t="e">
        <v>#N/A</v>
      </c>
      <c r="DA1234">
        <v>0.11332468572476186</v>
      </c>
      <c r="DB1234" t="str">
        <v/>
      </c>
    </row>
    <row r="1235" spans="83:106" x14ac:dyDescent="0.2">
      <c r="CE1235"/>
      <c r="CF1235"/>
      <c r="CG1235"/>
      <c r="CH1235"/>
      <c r="CI1235"/>
      <c r="CU1235" s="42">
        <v>1230</v>
      </c>
      <c r="CV1235" s="115">
        <v>4</v>
      </c>
      <c r="CW1235" s="115">
        <v>0.11332468572476186</v>
      </c>
      <c r="CX1235" s="115" t="e">
        <v>#N/A</v>
      </c>
      <c r="CY1235" s="115" t="e">
        <v>#N/A</v>
      </c>
      <c r="CZ1235" s="137" t="e">
        <v>#N/A</v>
      </c>
      <c r="DA1235">
        <v>0.11332468572476186</v>
      </c>
      <c r="DB1235" t="str">
        <v/>
      </c>
    </row>
    <row r="1236" spans="83:106" x14ac:dyDescent="0.2">
      <c r="CE1236"/>
      <c r="CF1236"/>
      <c r="CG1236"/>
      <c r="CH1236"/>
      <c r="CI1236"/>
      <c r="CU1236" s="42">
        <v>1231</v>
      </c>
      <c r="CV1236" s="115">
        <v>4</v>
      </c>
      <c r="CW1236" s="115">
        <v>0.11332468572476186</v>
      </c>
      <c r="CX1236" s="115" t="e">
        <v>#N/A</v>
      </c>
      <c r="CY1236" s="115" t="e">
        <v>#N/A</v>
      </c>
      <c r="CZ1236" s="137" t="e">
        <v>#N/A</v>
      </c>
      <c r="DA1236">
        <v>0.11332468572476186</v>
      </c>
      <c r="DB1236" t="str">
        <v/>
      </c>
    </row>
    <row r="1237" spans="83:106" x14ac:dyDescent="0.2">
      <c r="CE1237"/>
      <c r="CF1237"/>
      <c r="CG1237"/>
      <c r="CH1237"/>
      <c r="CI1237"/>
      <c r="CU1237" s="42">
        <v>1232</v>
      </c>
      <c r="CV1237" s="115">
        <v>4</v>
      </c>
      <c r="CW1237" s="115">
        <v>0.11332468572476186</v>
      </c>
      <c r="CX1237" s="115" t="e">
        <v>#N/A</v>
      </c>
      <c r="CY1237" s="115" t="e">
        <v>#N/A</v>
      </c>
      <c r="CZ1237" s="137" t="e">
        <v>#N/A</v>
      </c>
      <c r="DA1237">
        <v>0.11332468572476186</v>
      </c>
      <c r="DB1237" t="str">
        <v/>
      </c>
    </row>
    <row r="1238" spans="83:106" x14ac:dyDescent="0.2">
      <c r="CE1238"/>
      <c r="CF1238"/>
      <c r="CG1238"/>
      <c r="CH1238"/>
      <c r="CI1238"/>
      <c r="CU1238" s="42">
        <v>1233</v>
      </c>
      <c r="CV1238" s="115">
        <v>4</v>
      </c>
      <c r="CW1238" s="115">
        <v>0.11332468572476186</v>
      </c>
      <c r="CX1238" s="115" t="e">
        <v>#N/A</v>
      </c>
      <c r="CY1238" s="115" t="e">
        <v>#N/A</v>
      </c>
      <c r="CZ1238" s="137" t="e">
        <v>#N/A</v>
      </c>
      <c r="DA1238">
        <v>0.11332468572476186</v>
      </c>
      <c r="DB1238" t="str">
        <v/>
      </c>
    </row>
    <row r="1239" spans="83:106" x14ac:dyDescent="0.2">
      <c r="CE1239"/>
      <c r="CF1239"/>
      <c r="CG1239"/>
      <c r="CH1239"/>
      <c r="CI1239"/>
      <c r="CU1239" s="42">
        <v>1234</v>
      </c>
      <c r="CV1239" s="115">
        <v>4</v>
      </c>
      <c r="CW1239" s="115">
        <v>0.11332468572476186</v>
      </c>
      <c r="CX1239" s="115" t="e">
        <v>#N/A</v>
      </c>
      <c r="CY1239" s="115" t="e">
        <v>#N/A</v>
      </c>
      <c r="CZ1239" s="137" t="e">
        <v>#N/A</v>
      </c>
      <c r="DA1239">
        <v>0.11332468572476186</v>
      </c>
      <c r="DB1239" t="str">
        <v/>
      </c>
    </row>
    <row r="1240" spans="83:106" x14ac:dyDescent="0.2">
      <c r="CE1240"/>
      <c r="CF1240"/>
      <c r="CG1240"/>
      <c r="CH1240"/>
      <c r="CI1240"/>
      <c r="CU1240" s="42">
        <v>1235</v>
      </c>
      <c r="CV1240" s="115">
        <v>4</v>
      </c>
      <c r="CW1240" s="115">
        <v>0.11332468572476186</v>
      </c>
      <c r="CX1240" s="115" t="e">
        <v>#N/A</v>
      </c>
      <c r="CY1240" s="115" t="e">
        <v>#N/A</v>
      </c>
      <c r="CZ1240" s="137" t="e">
        <v>#N/A</v>
      </c>
      <c r="DA1240">
        <v>0.11332468572476186</v>
      </c>
      <c r="DB1240" t="str">
        <v/>
      </c>
    </row>
    <row r="1241" spans="83:106" x14ac:dyDescent="0.2">
      <c r="CE1241"/>
      <c r="CF1241"/>
      <c r="CG1241"/>
      <c r="CH1241"/>
      <c r="CI1241"/>
      <c r="CU1241" s="42">
        <v>1236</v>
      </c>
      <c r="CV1241" s="115">
        <v>4</v>
      </c>
      <c r="CW1241" s="115">
        <v>0.11332468572476186</v>
      </c>
      <c r="CX1241" s="115" t="e">
        <v>#N/A</v>
      </c>
      <c r="CY1241" s="115" t="e">
        <v>#N/A</v>
      </c>
      <c r="CZ1241" s="137" t="e">
        <v>#N/A</v>
      </c>
      <c r="DA1241">
        <v>0.11332468572476186</v>
      </c>
      <c r="DB1241" t="str">
        <v/>
      </c>
    </row>
    <row r="1242" spans="83:106" x14ac:dyDescent="0.2">
      <c r="CE1242"/>
      <c r="CF1242"/>
      <c r="CG1242"/>
      <c r="CH1242"/>
      <c r="CI1242"/>
      <c r="CU1242" s="42">
        <v>1237</v>
      </c>
      <c r="CV1242" s="115">
        <v>4</v>
      </c>
      <c r="CW1242" s="115">
        <v>0.11332468572476186</v>
      </c>
      <c r="CX1242" s="115" t="e">
        <v>#N/A</v>
      </c>
      <c r="CY1242" s="115" t="e">
        <v>#N/A</v>
      </c>
      <c r="CZ1242" s="137" t="e">
        <v>#N/A</v>
      </c>
      <c r="DA1242">
        <v>0.11332468572476186</v>
      </c>
      <c r="DB1242" t="str">
        <v/>
      </c>
    </row>
    <row r="1243" spans="83:106" x14ac:dyDescent="0.2">
      <c r="CE1243"/>
      <c r="CF1243"/>
      <c r="CG1243"/>
      <c r="CH1243"/>
      <c r="CI1243"/>
      <c r="CU1243" s="42">
        <v>1238</v>
      </c>
      <c r="CV1243" s="115">
        <v>4</v>
      </c>
      <c r="CW1243" s="115">
        <v>0.11332468572476186</v>
      </c>
      <c r="CX1243" s="115" t="e">
        <v>#N/A</v>
      </c>
      <c r="CY1243" s="115" t="e">
        <v>#N/A</v>
      </c>
      <c r="CZ1243" s="137" t="e">
        <v>#N/A</v>
      </c>
      <c r="DA1243">
        <v>0.11332468572476186</v>
      </c>
      <c r="DB1243" t="str">
        <v/>
      </c>
    </row>
    <row r="1244" spans="83:106" x14ac:dyDescent="0.2">
      <c r="CE1244"/>
      <c r="CF1244"/>
      <c r="CG1244"/>
      <c r="CH1244"/>
      <c r="CI1244"/>
      <c r="CU1244" s="42">
        <v>1239</v>
      </c>
      <c r="CV1244" s="115">
        <v>4</v>
      </c>
      <c r="CW1244" s="115">
        <v>0.11332468572476186</v>
      </c>
      <c r="CX1244" s="115" t="e">
        <v>#N/A</v>
      </c>
      <c r="CY1244" s="115" t="e">
        <v>#N/A</v>
      </c>
      <c r="CZ1244" s="137" t="e">
        <v>#N/A</v>
      </c>
      <c r="DA1244">
        <v>0.11332468572476186</v>
      </c>
      <c r="DB1244" t="str">
        <v/>
      </c>
    </row>
    <row r="1245" spans="83:106" x14ac:dyDescent="0.2">
      <c r="CE1245"/>
      <c r="CF1245"/>
      <c r="CG1245"/>
      <c r="CH1245"/>
      <c r="CI1245"/>
      <c r="CU1245" s="42">
        <v>1240</v>
      </c>
      <c r="CV1245" s="115">
        <v>4</v>
      </c>
      <c r="CW1245" s="115">
        <v>0.11332468572476186</v>
      </c>
      <c r="CX1245" s="115" t="e">
        <v>#N/A</v>
      </c>
      <c r="CY1245" s="115" t="e">
        <v>#N/A</v>
      </c>
      <c r="CZ1245" s="137" t="e">
        <v>#N/A</v>
      </c>
      <c r="DA1245">
        <v>0.11332468572476186</v>
      </c>
      <c r="DB1245" t="str">
        <v/>
      </c>
    </row>
    <row r="1246" spans="83:106" x14ac:dyDescent="0.2">
      <c r="CE1246"/>
      <c r="CF1246"/>
      <c r="CG1246"/>
      <c r="CH1246"/>
      <c r="CI1246"/>
      <c r="CU1246" s="42">
        <v>1241</v>
      </c>
      <c r="CV1246" s="115">
        <v>4</v>
      </c>
      <c r="CW1246" s="115">
        <v>0.11332468572476186</v>
      </c>
      <c r="CX1246" s="115" t="e">
        <v>#N/A</v>
      </c>
      <c r="CY1246" s="115" t="e">
        <v>#N/A</v>
      </c>
      <c r="CZ1246" s="137" t="e">
        <v>#N/A</v>
      </c>
      <c r="DA1246">
        <v>0.11332468572476186</v>
      </c>
      <c r="DB1246" t="str">
        <v/>
      </c>
    </row>
    <row r="1247" spans="83:106" x14ac:dyDescent="0.2">
      <c r="CE1247"/>
      <c r="CF1247"/>
      <c r="CG1247"/>
      <c r="CH1247"/>
      <c r="CI1247"/>
      <c r="CU1247" s="42">
        <v>1242</v>
      </c>
      <c r="CV1247" s="115">
        <v>4</v>
      </c>
      <c r="CW1247" s="115">
        <v>0.11332468572476186</v>
      </c>
      <c r="CX1247" s="115" t="e">
        <v>#N/A</v>
      </c>
      <c r="CY1247" s="115" t="e">
        <v>#N/A</v>
      </c>
      <c r="CZ1247" s="137" t="e">
        <v>#N/A</v>
      </c>
      <c r="DA1247">
        <v>0.11332468572476186</v>
      </c>
      <c r="DB1247" t="str">
        <v/>
      </c>
    </row>
    <row r="1248" spans="83:106" x14ac:dyDescent="0.2">
      <c r="CE1248"/>
      <c r="CF1248"/>
      <c r="CG1248"/>
      <c r="CH1248"/>
      <c r="CI1248"/>
      <c r="CU1248" s="42">
        <v>1243</v>
      </c>
      <c r="CV1248" s="115">
        <v>4</v>
      </c>
      <c r="CW1248" s="115">
        <v>0.11332468572476186</v>
      </c>
      <c r="CX1248" s="115" t="e">
        <v>#N/A</v>
      </c>
      <c r="CY1248" s="115" t="e">
        <v>#N/A</v>
      </c>
      <c r="CZ1248" s="137" t="e">
        <v>#N/A</v>
      </c>
      <c r="DA1248">
        <v>0.11332468572476186</v>
      </c>
      <c r="DB1248" t="str">
        <v/>
      </c>
    </row>
    <row r="1249" spans="83:106" x14ac:dyDescent="0.2">
      <c r="CE1249"/>
      <c r="CF1249"/>
      <c r="CG1249"/>
      <c r="CH1249"/>
      <c r="CI1249"/>
      <c r="CU1249" s="42">
        <v>1244</v>
      </c>
      <c r="CV1249" s="115">
        <v>4</v>
      </c>
      <c r="CW1249" s="115">
        <v>0.11332468572476186</v>
      </c>
      <c r="CX1249" s="115" t="e">
        <v>#N/A</v>
      </c>
      <c r="CY1249" s="115" t="e">
        <v>#N/A</v>
      </c>
      <c r="CZ1249" s="137" t="e">
        <v>#N/A</v>
      </c>
      <c r="DA1249">
        <v>0.11332468572476186</v>
      </c>
      <c r="DB1249" t="str">
        <v/>
      </c>
    </row>
    <row r="1250" spans="83:106" x14ac:dyDescent="0.2">
      <c r="CE1250"/>
      <c r="CF1250"/>
      <c r="CG1250"/>
      <c r="CH1250"/>
      <c r="CI1250"/>
      <c r="CU1250" s="42">
        <v>1245</v>
      </c>
      <c r="CV1250" s="115">
        <v>4</v>
      </c>
      <c r="CW1250" s="115">
        <v>0.11332468572476186</v>
      </c>
      <c r="CX1250" s="115" t="e">
        <v>#N/A</v>
      </c>
      <c r="CY1250" s="115" t="e">
        <v>#N/A</v>
      </c>
      <c r="CZ1250" s="137" t="e">
        <v>#N/A</v>
      </c>
      <c r="DA1250">
        <v>0.11332468572476186</v>
      </c>
      <c r="DB1250" t="str">
        <v/>
      </c>
    </row>
    <row r="1251" spans="83:106" x14ac:dyDescent="0.2">
      <c r="CE1251"/>
      <c r="CF1251"/>
      <c r="CG1251"/>
      <c r="CH1251"/>
      <c r="CI1251"/>
      <c r="CU1251" s="42">
        <v>1246</v>
      </c>
      <c r="CV1251" s="115">
        <v>4</v>
      </c>
      <c r="CW1251" s="115">
        <v>0.11332468572476186</v>
      </c>
      <c r="CX1251" s="115" t="e">
        <v>#N/A</v>
      </c>
      <c r="CY1251" s="115" t="e">
        <v>#N/A</v>
      </c>
      <c r="CZ1251" s="137" t="e">
        <v>#N/A</v>
      </c>
      <c r="DA1251">
        <v>0.11332468572476186</v>
      </c>
      <c r="DB1251" t="str">
        <v/>
      </c>
    </row>
    <row r="1252" spans="83:106" x14ac:dyDescent="0.2">
      <c r="CE1252"/>
      <c r="CF1252"/>
      <c r="CG1252"/>
      <c r="CH1252"/>
      <c r="CI1252"/>
      <c r="CU1252" s="42">
        <v>1247</v>
      </c>
      <c r="CV1252" s="115">
        <v>4</v>
      </c>
      <c r="CW1252" s="115">
        <v>0.11332468572476186</v>
      </c>
      <c r="CX1252" s="115" t="e">
        <v>#N/A</v>
      </c>
      <c r="CY1252" s="115" t="e">
        <v>#N/A</v>
      </c>
      <c r="CZ1252" s="137" t="e">
        <v>#N/A</v>
      </c>
      <c r="DA1252">
        <v>0.11332468572476186</v>
      </c>
      <c r="DB1252" t="str">
        <v/>
      </c>
    </row>
    <row r="1253" spans="83:106" x14ac:dyDescent="0.2">
      <c r="CE1253"/>
      <c r="CF1253"/>
      <c r="CG1253"/>
      <c r="CH1253"/>
      <c r="CI1253"/>
      <c r="CU1253" s="42">
        <v>1248</v>
      </c>
      <c r="CV1253" s="115">
        <v>4</v>
      </c>
      <c r="CW1253" s="115">
        <v>0.11332468572476186</v>
      </c>
      <c r="CX1253" s="115" t="e">
        <v>#N/A</v>
      </c>
      <c r="CY1253" s="115" t="e">
        <v>#N/A</v>
      </c>
      <c r="CZ1253" s="137" t="e">
        <v>#N/A</v>
      </c>
      <c r="DA1253">
        <v>0.11332468572476186</v>
      </c>
      <c r="DB1253" t="str">
        <v/>
      </c>
    </row>
    <row r="1254" spans="83:106" x14ac:dyDescent="0.2">
      <c r="CE1254"/>
      <c r="CF1254"/>
      <c r="CG1254"/>
      <c r="CH1254"/>
      <c r="CI1254"/>
      <c r="CU1254" s="42">
        <v>1249</v>
      </c>
      <c r="CV1254" s="115">
        <v>4</v>
      </c>
      <c r="CW1254" s="115">
        <v>0.11332468572476186</v>
      </c>
      <c r="CX1254" s="115" t="e">
        <v>#N/A</v>
      </c>
      <c r="CY1254" s="115" t="e">
        <v>#N/A</v>
      </c>
      <c r="CZ1254" s="137" t="e">
        <v>#N/A</v>
      </c>
      <c r="DA1254">
        <v>0.11332468572476186</v>
      </c>
      <c r="DB1254" t="str">
        <v/>
      </c>
    </row>
    <row r="1255" spans="83:106" x14ac:dyDescent="0.2">
      <c r="CE1255"/>
      <c r="CF1255"/>
      <c r="CG1255"/>
      <c r="CH1255"/>
      <c r="CI1255"/>
      <c r="CU1255" s="42">
        <v>1250</v>
      </c>
      <c r="CV1255" s="115">
        <v>4</v>
      </c>
      <c r="CW1255" s="115">
        <v>0.11332468572476186</v>
      </c>
      <c r="CX1255" s="115" t="e">
        <v>#N/A</v>
      </c>
      <c r="CY1255" s="115" t="e">
        <v>#N/A</v>
      </c>
      <c r="CZ1255" s="137" t="e">
        <v>#N/A</v>
      </c>
      <c r="DA1255">
        <v>0.11332468572476186</v>
      </c>
      <c r="DB1255" t="str">
        <v/>
      </c>
    </row>
    <row r="1256" spans="83:106" x14ac:dyDescent="0.2">
      <c r="CE1256"/>
      <c r="CF1256"/>
      <c r="CG1256"/>
      <c r="CH1256"/>
      <c r="CI1256"/>
      <c r="CU1256" s="42">
        <v>1251</v>
      </c>
      <c r="CV1256" s="115">
        <v>4</v>
      </c>
      <c r="CW1256" s="115">
        <v>0.11332468572476186</v>
      </c>
      <c r="CX1256" s="115" t="e">
        <v>#N/A</v>
      </c>
      <c r="CY1256" s="115" t="e">
        <v>#N/A</v>
      </c>
      <c r="CZ1256" s="137" t="e">
        <v>#N/A</v>
      </c>
      <c r="DA1256">
        <v>0.11332468572476186</v>
      </c>
      <c r="DB1256" t="str">
        <v/>
      </c>
    </row>
    <row r="1257" spans="83:106" x14ac:dyDescent="0.2">
      <c r="CE1257"/>
      <c r="CF1257"/>
      <c r="CG1257"/>
      <c r="CH1257"/>
      <c r="CI1257"/>
      <c r="CU1257" s="42">
        <v>1252</v>
      </c>
      <c r="CV1257" s="115">
        <v>4</v>
      </c>
      <c r="CW1257" s="115">
        <v>0.11332468572476186</v>
      </c>
      <c r="CX1257" s="115" t="e">
        <v>#N/A</v>
      </c>
      <c r="CY1257" s="115" t="e">
        <v>#N/A</v>
      </c>
      <c r="CZ1257" s="137" t="e">
        <v>#N/A</v>
      </c>
      <c r="DA1257">
        <v>0.11332468572476186</v>
      </c>
      <c r="DB1257" t="str">
        <v/>
      </c>
    </row>
    <row r="1258" spans="83:106" x14ac:dyDescent="0.2">
      <c r="CE1258"/>
      <c r="CF1258"/>
      <c r="CG1258"/>
      <c r="CH1258"/>
      <c r="CI1258"/>
      <c r="CU1258" s="42">
        <v>1253</v>
      </c>
      <c r="CV1258" s="115">
        <v>4</v>
      </c>
      <c r="CW1258" s="115">
        <v>0.11332468572476186</v>
      </c>
      <c r="CX1258" s="115" t="e">
        <v>#N/A</v>
      </c>
      <c r="CY1258" s="115" t="e">
        <v>#N/A</v>
      </c>
      <c r="CZ1258" s="137" t="e">
        <v>#N/A</v>
      </c>
      <c r="DA1258">
        <v>0.11332468572476186</v>
      </c>
      <c r="DB1258" t="str">
        <v/>
      </c>
    </row>
    <row r="1259" spans="83:106" x14ac:dyDescent="0.2">
      <c r="CE1259"/>
      <c r="CF1259"/>
      <c r="CG1259"/>
      <c r="CH1259"/>
      <c r="CI1259"/>
      <c r="CU1259" s="42">
        <v>1254</v>
      </c>
      <c r="CV1259" s="115">
        <v>4</v>
      </c>
      <c r="CW1259" s="115">
        <v>0.11332468572476186</v>
      </c>
      <c r="CX1259" s="115" t="e">
        <v>#N/A</v>
      </c>
      <c r="CY1259" s="115" t="e">
        <v>#N/A</v>
      </c>
      <c r="CZ1259" s="137" t="e">
        <v>#N/A</v>
      </c>
      <c r="DA1259">
        <v>0.11332468572476186</v>
      </c>
      <c r="DB1259" t="str">
        <v/>
      </c>
    </row>
    <row r="1260" spans="83:106" x14ac:dyDescent="0.2">
      <c r="CE1260"/>
      <c r="CF1260"/>
      <c r="CG1260"/>
      <c r="CH1260"/>
      <c r="CI1260"/>
      <c r="CU1260" s="42">
        <v>1255</v>
      </c>
      <c r="CV1260" s="115">
        <v>4</v>
      </c>
      <c r="CW1260" s="115">
        <v>0.11332468572476186</v>
      </c>
      <c r="CX1260" s="115" t="e">
        <v>#N/A</v>
      </c>
      <c r="CY1260" s="115" t="e">
        <v>#N/A</v>
      </c>
      <c r="CZ1260" s="137" t="e">
        <v>#N/A</v>
      </c>
      <c r="DA1260">
        <v>0.11332468572476186</v>
      </c>
      <c r="DB1260" t="str">
        <v/>
      </c>
    </row>
    <row r="1261" spans="83:106" x14ac:dyDescent="0.2">
      <c r="CE1261"/>
      <c r="CF1261"/>
      <c r="CG1261"/>
      <c r="CH1261"/>
      <c r="CI1261"/>
      <c r="CU1261" s="42">
        <v>1256</v>
      </c>
      <c r="CV1261" s="115">
        <v>4</v>
      </c>
      <c r="CW1261" s="115">
        <v>0.11332468572476186</v>
      </c>
      <c r="CX1261" s="115" t="e">
        <v>#N/A</v>
      </c>
      <c r="CY1261" s="115" t="e">
        <v>#N/A</v>
      </c>
      <c r="CZ1261" s="137" t="e">
        <v>#N/A</v>
      </c>
      <c r="DA1261">
        <v>0.11332468572476186</v>
      </c>
      <c r="DB1261" t="str">
        <v/>
      </c>
    </row>
    <row r="1262" spans="83:106" x14ac:dyDescent="0.2">
      <c r="CE1262"/>
      <c r="CF1262"/>
      <c r="CG1262"/>
      <c r="CH1262"/>
      <c r="CI1262"/>
      <c r="CU1262" s="42">
        <v>1257</v>
      </c>
      <c r="CV1262" s="115">
        <v>4</v>
      </c>
      <c r="CW1262" s="115">
        <v>0.11332468572476186</v>
      </c>
      <c r="CX1262" s="115" t="e">
        <v>#N/A</v>
      </c>
      <c r="CY1262" s="115" t="e">
        <v>#N/A</v>
      </c>
      <c r="CZ1262" s="137" t="e">
        <v>#N/A</v>
      </c>
      <c r="DA1262">
        <v>0.11332468572476186</v>
      </c>
      <c r="DB1262" t="str">
        <v/>
      </c>
    </row>
    <row r="1263" spans="83:106" x14ac:dyDescent="0.2">
      <c r="CE1263"/>
      <c r="CF1263"/>
      <c r="CG1263"/>
      <c r="CH1263"/>
      <c r="CI1263"/>
      <c r="CU1263" s="42">
        <v>1258</v>
      </c>
      <c r="CV1263" s="115">
        <v>4</v>
      </c>
      <c r="CW1263" s="115">
        <v>0.11332468572476186</v>
      </c>
      <c r="CX1263" s="115" t="e">
        <v>#N/A</v>
      </c>
      <c r="CY1263" s="115" t="e">
        <v>#N/A</v>
      </c>
      <c r="CZ1263" s="137" t="e">
        <v>#N/A</v>
      </c>
      <c r="DA1263">
        <v>0.11332468572476186</v>
      </c>
      <c r="DB1263" t="str">
        <v/>
      </c>
    </row>
    <row r="1264" spans="83:106" x14ac:dyDescent="0.2">
      <c r="CE1264"/>
      <c r="CF1264"/>
      <c r="CG1264"/>
      <c r="CH1264"/>
      <c r="CI1264"/>
      <c r="CU1264" s="42">
        <v>1259</v>
      </c>
      <c r="CV1264" s="115">
        <v>4</v>
      </c>
      <c r="CW1264" s="115">
        <v>0.11332468572476186</v>
      </c>
      <c r="CX1264" s="115" t="e">
        <v>#N/A</v>
      </c>
      <c r="CY1264" s="115" t="e">
        <v>#N/A</v>
      </c>
      <c r="CZ1264" s="137" t="e">
        <v>#N/A</v>
      </c>
      <c r="DA1264">
        <v>0.11332468572476186</v>
      </c>
      <c r="DB1264" t="str">
        <v/>
      </c>
    </row>
    <row r="1265" spans="83:106" x14ac:dyDescent="0.2">
      <c r="CE1265"/>
      <c r="CF1265"/>
      <c r="CG1265"/>
      <c r="CH1265"/>
      <c r="CI1265"/>
      <c r="CU1265" s="42">
        <v>1260</v>
      </c>
      <c r="CV1265" s="115">
        <v>4</v>
      </c>
      <c r="CW1265" s="115">
        <v>0.11332468572476186</v>
      </c>
      <c r="CX1265" s="115" t="e">
        <v>#N/A</v>
      </c>
      <c r="CY1265" s="115" t="e">
        <v>#N/A</v>
      </c>
      <c r="CZ1265" s="137" t="e">
        <v>#N/A</v>
      </c>
      <c r="DA1265">
        <v>0.11332468572476186</v>
      </c>
      <c r="DB1265" t="str">
        <v/>
      </c>
    </row>
    <row r="1266" spans="83:106" x14ac:dyDescent="0.2">
      <c r="CE1266"/>
      <c r="CF1266"/>
      <c r="CG1266"/>
      <c r="CH1266"/>
      <c r="CI1266"/>
      <c r="CU1266" s="42">
        <v>1261</v>
      </c>
      <c r="CV1266" s="115">
        <v>4</v>
      </c>
      <c r="CW1266" s="115">
        <v>0.11332468572476186</v>
      </c>
      <c r="CX1266" s="115" t="e">
        <v>#N/A</v>
      </c>
      <c r="CY1266" s="115" t="e">
        <v>#N/A</v>
      </c>
      <c r="CZ1266" s="137" t="e">
        <v>#N/A</v>
      </c>
      <c r="DA1266">
        <v>0.11332468572476186</v>
      </c>
      <c r="DB1266" t="str">
        <v/>
      </c>
    </row>
    <row r="1267" spans="83:106" x14ac:dyDescent="0.2">
      <c r="CE1267"/>
      <c r="CF1267"/>
      <c r="CG1267"/>
      <c r="CH1267"/>
      <c r="CI1267"/>
      <c r="CU1267" s="42">
        <v>1262</v>
      </c>
      <c r="CV1267" s="115">
        <v>4</v>
      </c>
      <c r="CW1267" s="115">
        <v>0.11332468572476186</v>
      </c>
      <c r="CX1267" s="115" t="e">
        <v>#N/A</v>
      </c>
      <c r="CY1267" s="115" t="e">
        <v>#N/A</v>
      </c>
      <c r="CZ1267" s="137" t="e">
        <v>#N/A</v>
      </c>
      <c r="DA1267">
        <v>0.11332468572476186</v>
      </c>
      <c r="DB1267" t="str">
        <v/>
      </c>
    </row>
    <row r="1268" spans="83:106" x14ac:dyDescent="0.2">
      <c r="CE1268"/>
      <c r="CF1268"/>
      <c r="CG1268"/>
      <c r="CH1268"/>
      <c r="CI1268"/>
      <c r="CU1268" s="42">
        <v>1263</v>
      </c>
      <c r="CV1268" s="115">
        <v>4</v>
      </c>
      <c r="CW1268" s="115">
        <v>0.11332468572476186</v>
      </c>
      <c r="CX1268" s="115" t="e">
        <v>#N/A</v>
      </c>
      <c r="CY1268" s="115" t="e">
        <v>#N/A</v>
      </c>
      <c r="CZ1268" s="137" t="e">
        <v>#N/A</v>
      </c>
      <c r="DA1268">
        <v>0.11332468572476186</v>
      </c>
      <c r="DB1268" t="str">
        <v/>
      </c>
    </row>
    <row r="1269" spans="83:106" x14ac:dyDescent="0.2">
      <c r="CE1269"/>
      <c r="CF1269"/>
      <c r="CG1269"/>
      <c r="CH1269"/>
      <c r="CI1269"/>
      <c r="CU1269" s="42">
        <v>1264</v>
      </c>
      <c r="CV1269" s="115">
        <v>4</v>
      </c>
      <c r="CW1269" s="115">
        <v>0.11332468572476186</v>
      </c>
      <c r="CX1269" s="115" t="e">
        <v>#N/A</v>
      </c>
      <c r="CY1269" s="115" t="e">
        <v>#N/A</v>
      </c>
      <c r="CZ1269" s="137" t="e">
        <v>#N/A</v>
      </c>
      <c r="DA1269">
        <v>0.11332468572476186</v>
      </c>
      <c r="DB1269" t="str">
        <v/>
      </c>
    </row>
    <row r="1270" spans="83:106" x14ac:dyDescent="0.2">
      <c r="CE1270"/>
      <c r="CF1270"/>
      <c r="CG1270"/>
      <c r="CH1270"/>
      <c r="CI1270"/>
      <c r="CU1270" s="42">
        <v>1265</v>
      </c>
      <c r="CV1270" s="115">
        <v>4</v>
      </c>
      <c r="CW1270" s="115">
        <v>0.11332468572476186</v>
      </c>
      <c r="CX1270" s="115" t="e">
        <v>#N/A</v>
      </c>
      <c r="CY1270" s="115" t="e">
        <v>#N/A</v>
      </c>
      <c r="CZ1270" s="137" t="e">
        <v>#N/A</v>
      </c>
      <c r="DA1270">
        <v>0.11332468572476186</v>
      </c>
      <c r="DB1270" t="str">
        <v/>
      </c>
    </row>
    <row r="1271" spans="83:106" x14ac:dyDescent="0.2">
      <c r="CE1271"/>
      <c r="CF1271"/>
      <c r="CG1271"/>
      <c r="CH1271"/>
      <c r="CI1271"/>
      <c r="CU1271" s="42">
        <v>1266</v>
      </c>
      <c r="CV1271" s="115">
        <v>4</v>
      </c>
      <c r="CW1271" s="115">
        <v>0.11332468572476186</v>
      </c>
      <c r="CX1271" s="115" t="e">
        <v>#N/A</v>
      </c>
      <c r="CY1271" s="115" t="e">
        <v>#N/A</v>
      </c>
      <c r="CZ1271" s="137" t="e">
        <v>#N/A</v>
      </c>
      <c r="DA1271">
        <v>0.11332468572476186</v>
      </c>
      <c r="DB1271" t="str">
        <v/>
      </c>
    </row>
    <row r="1272" spans="83:106" x14ac:dyDescent="0.2">
      <c r="CE1272"/>
      <c r="CF1272"/>
      <c r="CG1272"/>
      <c r="CH1272"/>
      <c r="CI1272"/>
      <c r="CU1272" s="42">
        <v>1267</v>
      </c>
      <c r="CV1272" s="115">
        <v>4</v>
      </c>
      <c r="CW1272" s="115">
        <v>0.11332468572476186</v>
      </c>
      <c r="CX1272" s="115" t="e">
        <v>#N/A</v>
      </c>
      <c r="CY1272" s="115" t="e">
        <v>#N/A</v>
      </c>
      <c r="CZ1272" s="137" t="e">
        <v>#N/A</v>
      </c>
      <c r="DA1272">
        <v>0.11332468572476186</v>
      </c>
      <c r="DB1272" t="str">
        <v/>
      </c>
    </row>
    <row r="1273" spans="83:106" x14ac:dyDescent="0.2">
      <c r="CE1273"/>
      <c r="CF1273"/>
      <c r="CG1273"/>
      <c r="CH1273"/>
      <c r="CI1273"/>
      <c r="CU1273" s="42">
        <v>1268</v>
      </c>
      <c r="CV1273" s="115">
        <v>4</v>
      </c>
      <c r="CW1273" s="115">
        <v>0.11332468572476186</v>
      </c>
      <c r="CX1273" s="115" t="e">
        <v>#N/A</v>
      </c>
      <c r="CY1273" s="115" t="e">
        <v>#N/A</v>
      </c>
      <c r="CZ1273" s="137" t="e">
        <v>#N/A</v>
      </c>
      <c r="DA1273">
        <v>0.11332468572476186</v>
      </c>
      <c r="DB1273" t="str">
        <v/>
      </c>
    </row>
    <row r="1274" spans="83:106" x14ac:dyDescent="0.2">
      <c r="CE1274"/>
      <c r="CF1274"/>
      <c r="CG1274"/>
      <c r="CH1274"/>
      <c r="CI1274"/>
      <c r="CU1274" s="42">
        <v>1269</v>
      </c>
      <c r="CV1274" s="115">
        <v>4</v>
      </c>
      <c r="CW1274" s="115">
        <v>0.11332468572476186</v>
      </c>
      <c r="CX1274" s="115" t="e">
        <v>#N/A</v>
      </c>
      <c r="CY1274" s="115" t="e">
        <v>#N/A</v>
      </c>
      <c r="CZ1274" s="137" t="e">
        <v>#N/A</v>
      </c>
      <c r="DA1274">
        <v>0.11332468572476186</v>
      </c>
      <c r="DB1274" t="str">
        <v/>
      </c>
    </row>
    <row r="1275" spans="83:106" x14ac:dyDescent="0.2">
      <c r="CE1275"/>
      <c r="CF1275"/>
      <c r="CG1275"/>
      <c r="CH1275"/>
      <c r="CI1275"/>
      <c r="CU1275" s="42">
        <v>1270</v>
      </c>
      <c r="CV1275" s="115">
        <v>4</v>
      </c>
      <c r="CW1275" s="115">
        <v>0.11332468572476186</v>
      </c>
      <c r="CX1275" s="115" t="e">
        <v>#N/A</v>
      </c>
      <c r="CY1275" s="115" t="e">
        <v>#N/A</v>
      </c>
      <c r="CZ1275" s="137" t="e">
        <v>#N/A</v>
      </c>
      <c r="DA1275">
        <v>0.11332468572476186</v>
      </c>
      <c r="DB1275" t="str">
        <v/>
      </c>
    </row>
    <row r="1276" spans="83:106" x14ac:dyDescent="0.2">
      <c r="CE1276"/>
      <c r="CF1276"/>
      <c r="CG1276"/>
      <c r="CH1276"/>
      <c r="CI1276"/>
      <c r="CU1276" s="42">
        <v>1271</v>
      </c>
      <c r="CV1276" s="115">
        <v>4</v>
      </c>
      <c r="CW1276" s="115">
        <v>0.11332468572476186</v>
      </c>
      <c r="CX1276" s="115" t="e">
        <v>#N/A</v>
      </c>
      <c r="CY1276" s="115" t="e">
        <v>#N/A</v>
      </c>
      <c r="CZ1276" s="137" t="e">
        <v>#N/A</v>
      </c>
      <c r="DA1276">
        <v>0.11332468572476186</v>
      </c>
      <c r="DB1276" t="str">
        <v/>
      </c>
    </row>
    <row r="1277" spans="83:106" x14ac:dyDescent="0.2">
      <c r="CE1277"/>
      <c r="CF1277"/>
      <c r="CG1277"/>
      <c r="CH1277"/>
      <c r="CI1277"/>
      <c r="CU1277" s="42">
        <v>1272</v>
      </c>
      <c r="CV1277" s="115">
        <v>4</v>
      </c>
      <c r="CW1277" s="115">
        <v>0.11332468572476186</v>
      </c>
      <c r="CX1277" s="115" t="e">
        <v>#N/A</v>
      </c>
      <c r="CY1277" s="115" t="e">
        <v>#N/A</v>
      </c>
      <c r="CZ1277" s="137" t="e">
        <v>#N/A</v>
      </c>
      <c r="DA1277">
        <v>0.11332468572476186</v>
      </c>
      <c r="DB1277" t="str">
        <v/>
      </c>
    </row>
    <row r="1278" spans="83:106" x14ac:dyDescent="0.2">
      <c r="CE1278"/>
      <c r="CF1278"/>
      <c r="CG1278"/>
      <c r="CH1278"/>
      <c r="CI1278"/>
      <c r="CU1278" s="42">
        <v>1273</v>
      </c>
      <c r="CV1278" s="115">
        <v>4</v>
      </c>
      <c r="CW1278" s="115">
        <v>0.11332468572476186</v>
      </c>
      <c r="CX1278" s="115" t="e">
        <v>#N/A</v>
      </c>
      <c r="CY1278" s="115" t="e">
        <v>#N/A</v>
      </c>
      <c r="CZ1278" s="137" t="e">
        <v>#N/A</v>
      </c>
      <c r="DA1278">
        <v>0.11332468572476186</v>
      </c>
      <c r="DB1278" t="str">
        <v/>
      </c>
    </row>
    <row r="1279" spans="83:106" x14ac:dyDescent="0.2">
      <c r="CE1279"/>
      <c r="CF1279"/>
      <c r="CG1279"/>
      <c r="CH1279"/>
      <c r="CI1279"/>
      <c r="CU1279" s="42">
        <v>1274</v>
      </c>
      <c r="CV1279" s="115">
        <v>4</v>
      </c>
      <c r="CW1279" s="115">
        <v>0.11332468572476186</v>
      </c>
      <c r="CX1279" s="115" t="e">
        <v>#N/A</v>
      </c>
      <c r="CY1279" s="115" t="e">
        <v>#N/A</v>
      </c>
      <c r="CZ1279" s="137" t="e">
        <v>#N/A</v>
      </c>
      <c r="DA1279">
        <v>0.11332468572476186</v>
      </c>
      <c r="DB1279" t="str">
        <v/>
      </c>
    </row>
    <row r="1280" spans="83:106" x14ac:dyDescent="0.2">
      <c r="CE1280"/>
      <c r="CF1280"/>
      <c r="CG1280"/>
      <c r="CH1280"/>
      <c r="CI1280"/>
      <c r="CU1280" s="42">
        <v>1275</v>
      </c>
      <c r="CV1280" s="115">
        <v>4</v>
      </c>
      <c r="CW1280" s="115">
        <v>0.11332468572476186</v>
      </c>
      <c r="CX1280" s="115" t="e">
        <v>#N/A</v>
      </c>
      <c r="CY1280" s="115" t="e">
        <v>#N/A</v>
      </c>
      <c r="CZ1280" s="137" t="e">
        <v>#N/A</v>
      </c>
      <c r="DA1280">
        <v>0.11332468572476186</v>
      </c>
      <c r="DB1280" t="str">
        <v/>
      </c>
    </row>
    <row r="1281" spans="83:106" x14ac:dyDescent="0.2">
      <c r="CE1281"/>
      <c r="CF1281"/>
      <c r="CG1281"/>
      <c r="CH1281"/>
      <c r="CI1281"/>
      <c r="CU1281" s="42">
        <v>1276</v>
      </c>
      <c r="CV1281" s="115">
        <v>4</v>
      </c>
      <c r="CW1281" s="115">
        <v>0.11332468572476186</v>
      </c>
      <c r="CX1281" s="115" t="e">
        <v>#N/A</v>
      </c>
      <c r="CY1281" s="115" t="e">
        <v>#N/A</v>
      </c>
      <c r="CZ1281" s="137" t="e">
        <v>#N/A</v>
      </c>
      <c r="DA1281">
        <v>0.11332468572476186</v>
      </c>
      <c r="DB1281" t="str">
        <v/>
      </c>
    </row>
    <row r="1282" spans="83:106" x14ac:dyDescent="0.2">
      <c r="CE1282"/>
      <c r="CF1282"/>
      <c r="CG1282"/>
      <c r="CH1282"/>
      <c r="CI1282"/>
      <c r="CU1282" s="42">
        <v>1277</v>
      </c>
      <c r="CV1282" s="115">
        <v>4</v>
      </c>
      <c r="CW1282" s="115">
        <v>0.11332468572476186</v>
      </c>
      <c r="CX1282" s="115" t="e">
        <v>#N/A</v>
      </c>
      <c r="CY1282" s="115" t="e">
        <v>#N/A</v>
      </c>
      <c r="CZ1282" s="137" t="e">
        <v>#N/A</v>
      </c>
      <c r="DA1282">
        <v>0.11332468572476186</v>
      </c>
      <c r="DB1282" t="str">
        <v/>
      </c>
    </row>
    <row r="1283" spans="83:106" x14ac:dyDescent="0.2">
      <c r="CE1283"/>
      <c r="CF1283"/>
      <c r="CG1283"/>
      <c r="CH1283"/>
      <c r="CI1283"/>
      <c r="CU1283" s="42">
        <v>1278</v>
      </c>
      <c r="CV1283" s="115">
        <v>4</v>
      </c>
      <c r="CW1283" s="115">
        <v>0.11332468572476186</v>
      </c>
      <c r="CX1283" s="115" t="e">
        <v>#N/A</v>
      </c>
      <c r="CY1283" s="115" t="e">
        <v>#N/A</v>
      </c>
      <c r="CZ1283" s="137" t="e">
        <v>#N/A</v>
      </c>
      <c r="DA1283">
        <v>0.11332468572476186</v>
      </c>
      <c r="DB1283" t="str">
        <v/>
      </c>
    </row>
    <row r="1284" spans="83:106" x14ac:dyDescent="0.2">
      <c r="CE1284"/>
      <c r="CF1284"/>
      <c r="CG1284"/>
      <c r="CH1284"/>
      <c r="CI1284"/>
      <c r="CU1284" s="42">
        <v>1279</v>
      </c>
      <c r="CV1284" s="115">
        <v>4</v>
      </c>
      <c r="CW1284" s="115">
        <v>0.11332468572476186</v>
      </c>
      <c r="CX1284" s="115" t="e">
        <v>#N/A</v>
      </c>
      <c r="CY1284" s="115" t="e">
        <v>#N/A</v>
      </c>
      <c r="CZ1284" s="137" t="e">
        <v>#N/A</v>
      </c>
      <c r="DA1284">
        <v>0.11332468572476186</v>
      </c>
      <c r="DB1284" t="str">
        <v/>
      </c>
    </row>
    <row r="1285" spans="83:106" x14ac:dyDescent="0.2">
      <c r="CE1285"/>
      <c r="CF1285"/>
      <c r="CG1285"/>
      <c r="CH1285"/>
      <c r="CI1285"/>
      <c r="CU1285" s="42">
        <v>1280</v>
      </c>
      <c r="CV1285" s="115">
        <v>4</v>
      </c>
      <c r="CW1285" s="115">
        <v>0.11332468572476186</v>
      </c>
      <c r="CX1285" s="115" t="e">
        <v>#N/A</v>
      </c>
      <c r="CY1285" s="115" t="e">
        <v>#N/A</v>
      </c>
      <c r="CZ1285" s="137" t="e">
        <v>#N/A</v>
      </c>
      <c r="DA1285">
        <v>0.11332468572476186</v>
      </c>
      <c r="DB1285" t="str">
        <v/>
      </c>
    </row>
    <row r="1286" spans="83:106" x14ac:dyDescent="0.2">
      <c r="CE1286"/>
      <c r="CF1286"/>
      <c r="CG1286"/>
      <c r="CH1286"/>
      <c r="CI1286"/>
      <c r="CU1286" s="42">
        <v>1281</v>
      </c>
      <c r="CV1286" s="115">
        <v>4</v>
      </c>
      <c r="CW1286" s="115">
        <v>0.11332468572476186</v>
      </c>
      <c r="CX1286" s="115" t="e">
        <v>#N/A</v>
      </c>
      <c r="CY1286" s="115" t="e">
        <v>#N/A</v>
      </c>
      <c r="CZ1286" s="137" t="e">
        <v>#N/A</v>
      </c>
      <c r="DA1286">
        <v>0.11332468572476186</v>
      </c>
      <c r="DB1286" t="str">
        <v/>
      </c>
    </row>
    <row r="1287" spans="83:106" x14ac:dyDescent="0.2">
      <c r="CE1287"/>
      <c r="CF1287"/>
      <c r="CG1287"/>
      <c r="CH1287"/>
      <c r="CI1287"/>
      <c r="CU1287" s="42">
        <v>1282</v>
      </c>
      <c r="CV1287" s="115">
        <v>4</v>
      </c>
      <c r="CW1287" s="115">
        <v>0.11332468572476186</v>
      </c>
      <c r="CX1287" s="115" t="e">
        <v>#N/A</v>
      </c>
      <c r="CY1287" s="115" t="e">
        <v>#N/A</v>
      </c>
      <c r="CZ1287" s="137" t="e">
        <v>#N/A</v>
      </c>
      <c r="DA1287">
        <v>0.11332468572476186</v>
      </c>
      <c r="DB1287" t="str">
        <v/>
      </c>
    </row>
    <row r="1288" spans="83:106" x14ac:dyDescent="0.2">
      <c r="CE1288"/>
      <c r="CF1288"/>
      <c r="CG1288"/>
      <c r="CH1288"/>
      <c r="CI1288"/>
      <c r="CU1288" s="42">
        <v>1283</v>
      </c>
      <c r="CV1288" s="115">
        <v>4</v>
      </c>
      <c r="CW1288" s="115">
        <v>0.11332468572476186</v>
      </c>
      <c r="CX1288" s="115" t="e">
        <v>#N/A</v>
      </c>
      <c r="CY1288" s="115" t="e">
        <v>#N/A</v>
      </c>
      <c r="CZ1288" s="137" t="e">
        <v>#N/A</v>
      </c>
      <c r="DA1288">
        <v>0.11332468572476186</v>
      </c>
      <c r="DB1288" t="str">
        <v/>
      </c>
    </row>
    <row r="1289" spans="83:106" x14ac:dyDescent="0.2">
      <c r="CE1289"/>
      <c r="CF1289"/>
      <c r="CG1289"/>
      <c r="CH1289"/>
      <c r="CI1289"/>
      <c r="CU1289" s="42">
        <v>1284</v>
      </c>
      <c r="CV1289" s="115">
        <v>4</v>
      </c>
      <c r="CW1289" s="115">
        <v>0.11332468572476186</v>
      </c>
      <c r="CX1289" s="115" t="e">
        <v>#N/A</v>
      </c>
      <c r="CY1289" s="115" t="e">
        <v>#N/A</v>
      </c>
      <c r="CZ1289" s="137" t="e">
        <v>#N/A</v>
      </c>
      <c r="DA1289">
        <v>0.11332468572476186</v>
      </c>
      <c r="DB1289" t="str">
        <v/>
      </c>
    </row>
    <row r="1290" spans="83:106" x14ac:dyDescent="0.2">
      <c r="CE1290"/>
      <c r="CF1290"/>
      <c r="CG1290"/>
      <c r="CH1290"/>
      <c r="CI1290"/>
      <c r="CU1290" s="42">
        <v>1285</v>
      </c>
      <c r="CV1290" s="115">
        <v>4</v>
      </c>
      <c r="CW1290" s="115">
        <v>0.11332468572476186</v>
      </c>
      <c r="CX1290" s="115" t="e">
        <v>#N/A</v>
      </c>
      <c r="CY1290" s="115" t="e">
        <v>#N/A</v>
      </c>
      <c r="CZ1290" s="137" t="e">
        <v>#N/A</v>
      </c>
      <c r="DA1290">
        <v>0.11332468572476186</v>
      </c>
      <c r="DB1290" t="str">
        <v/>
      </c>
    </row>
    <row r="1291" spans="83:106" x14ac:dyDescent="0.2">
      <c r="CE1291"/>
      <c r="CF1291"/>
      <c r="CG1291"/>
      <c r="CH1291"/>
      <c r="CI1291"/>
      <c r="CU1291" s="42">
        <v>1286</v>
      </c>
      <c r="CV1291" s="115">
        <v>4</v>
      </c>
      <c r="CW1291" s="115">
        <v>0.11332468572476186</v>
      </c>
      <c r="CX1291" s="115" t="e">
        <v>#N/A</v>
      </c>
      <c r="CY1291" s="115" t="e">
        <v>#N/A</v>
      </c>
      <c r="CZ1291" s="137" t="e">
        <v>#N/A</v>
      </c>
      <c r="DA1291">
        <v>0.11332468572476186</v>
      </c>
      <c r="DB1291" t="str">
        <v/>
      </c>
    </row>
    <row r="1292" spans="83:106" x14ac:dyDescent="0.2">
      <c r="CE1292"/>
      <c r="CF1292"/>
      <c r="CG1292"/>
      <c r="CH1292"/>
      <c r="CI1292"/>
      <c r="CU1292" s="42">
        <v>1287</v>
      </c>
      <c r="CV1292" s="115">
        <v>4</v>
      </c>
      <c r="CW1292" s="115">
        <v>0.11332468572476186</v>
      </c>
      <c r="CX1292" s="115" t="e">
        <v>#N/A</v>
      </c>
      <c r="CY1292" s="115" t="e">
        <v>#N/A</v>
      </c>
      <c r="CZ1292" s="137" t="e">
        <v>#N/A</v>
      </c>
      <c r="DA1292">
        <v>0.11332468572476186</v>
      </c>
      <c r="DB1292" t="str">
        <v/>
      </c>
    </row>
    <row r="1293" spans="83:106" x14ac:dyDescent="0.2">
      <c r="CE1293"/>
      <c r="CF1293"/>
      <c r="CG1293"/>
      <c r="CH1293"/>
      <c r="CI1293"/>
      <c r="CU1293" s="42">
        <v>1288</v>
      </c>
      <c r="CV1293" s="115">
        <v>4</v>
      </c>
      <c r="CW1293" s="115">
        <v>0.11332468572476186</v>
      </c>
      <c r="CX1293" s="115" t="e">
        <v>#N/A</v>
      </c>
      <c r="CY1293" s="115" t="e">
        <v>#N/A</v>
      </c>
      <c r="CZ1293" s="137" t="e">
        <v>#N/A</v>
      </c>
      <c r="DA1293">
        <v>0.11332468572476186</v>
      </c>
      <c r="DB1293" t="str">
        <v/>
      </c>
    </row>
    <row r="1294" spans="83:106" x14ac:dyDescent="0.2">
      <c r="CE1294"/>
      <c r="CF1294"/>
      <c r="CG1294"/>
      <c r="CH1294"/>
      <c r="CI1294"/>
      <c r="CU1294" s="42">
        <v>1289</v>
      </c>
      <c r="CV1294" s="115">
        <v>4</v>
      </c>
      <c r="CW1294" s="115">
        <v>0.11332468572476186</v>
      </c>
      <c r="CX1294" s="115" t="e">
        <v>#N/A</v>
      </c>
      <c r="CY1294" s="115" t="e">
        <v>#N/A</v>
      </c>
      <c r="CZ1294" s="137" t="e">
        <v>#N/A</v>
      </c>
      <c r="DA1294">
        <v>0.11332468572476186</v>
      </c>
      <c r="DB1294" t="str">
        <v/>
      </c>
    </row>
    <row r="1295" spans="83:106" x14ac:dyDescent="0.2">
      <c r="CE1295"/>
      <c r="CF1295"/>
      <c r="CG1295"/>
      <c r="CH1295"/>
      <c r="CI1295"/>
      <c r="CU1295" s="42">
        <v>1290</v>
      </c>
      <c r="CV1295" s="115">
        <v>4</v>
      </c>
      <c r="CW1295" s="115">
        <v>0.11332468572476186</v>
      </c>
      <c r="CX1295" s="115" t="e">
        <v>#N/A</v>
      </c>
      <c r="CY1295" s="115" t="e">
        <v>#N/A</v>
      </c>
      <c r="CZ1295" s="137" t="e">
        <v>#N/A</v>
      </c>
      <c r="DA1295">
        <v>0.11332468572476186</v>
      </c>
      <c r="DB1295" t="str">
        <v/>
      </c>
    </row>
    <row r="1296" spans="83:106" x14ac:dyDescent="0.2">
      <c r="CE1296"/>
      <c r="CF1296"/>
      <c r="CG1296"/>
      <c r="CH1296"/>
      <c r="CI1296"/>
      <c r="CU1296" s="42">
        <v>1291</v>
      </c>
      <c r="CV1296" s="115">
        <v>4</v>
      </c>
      <c r="CW1296" s="115">
        <v>0.11332468572476186</v>
      </c>
      <c r="CX1296" s="115" t="e">
        <v>#N/A</v>
      </c>
      <c r="CY1296" s="115" t="e">
        <v>#N/A</v>
      </c>
      <c r="CZ1296" s="137" t="e">
        <v>#N/A</v>
      </c>
      <c r="DA1296">
        <v>0.11332468572476186</v>
      </c>
      <c r="DB1296" t="str">
        <v/>
      </c>
    </row>
    <row r="1297" spans="83:106" x14ac:dyDescent="0.2">
      <c r="CE1297"/>
      <c r="CF1297"/>
      <c r="CG1297"/>
      <c r="CH1297"/>
      <c r="CI1297"/>
      <c r="CU1297" s="42">
        <v>1292</v>
      </c>
      <c r="CV1297" s="115">
        <v>4</v>
      </c>
      <c r="CW1297" s="115">
        <v>0.11332468572476186</v>
      </c>
      <c r="CX1297" s="115" t="e">
        <v>#N/A</v>
      </c>
      <c r="CY1297" s="115" t="e">
        <v>#N/A</v>
      </c>
      <c r="CZ1297" s="137" t="e">
        <v>#N/A</v>
      </c>
      <c r="DA1297">
        <v>0.11332468572476186</v>
      </c>
      <c r="DB1297" t="str">
        <v/>
      </c>
    </row>
    <row r="1298" spans="83:106" x14ac:dyDescent="0.2">
      <c r="CE1298"/>
      <c r="CF1298"/>
      <c r="CG1298"/>
      <c r="CH1298"/>
      <c r="CI1298"/>
      <c r="CU1298" s="42">
        <v>1293</v>
      </c>
      <c r="CV1298" s="115">
        <v>4</v>
      </c>
      <c r="CW1298" s="115">
        <v>0.11332468572476186</v>
      </c>
      <c r="CX1298" s="115" t="e">
        <v>#N/A</v>
      </c>
      <c r="CY1298" s="115" t="e">
        <v>#N/A</v>
      </c>
      <c r="CZ1298" s="137" t="e">
        <v>#N/A</v>
      </c>
      <c r="DA1298">
        <v>0.11332468572476186</v>
      </c>
      <c r="DB1298" t="str">
        <v/>
      </c>
    </row>
    <row r="1299" spans="83:106" x14ac:dyDescent="0.2">
      <c r="CE1299"/>
      <c r="CF1299"/>
      <c r="CG1299"/>
      <c r="CH1299"/>
      <c r="CI1299"/>
      <c r="CU1299" s="42">
        <v>1294</v>
      </c>
      <c r="CV1299" s="115">
        <v>4</v>
      </c>
      <c r="CW1299" s="115">
        <v>0.11332468572476186</v>
      </c>
      <c r="CX1299" s="115" t="e">
        <v>#N/A</v>
      </c>
      <c r="CY1299" s="115" t="e">
        <v>#N/A</v>
      </c>
      <c r="CZ1299" s="137" t="e">
        <v>#N/A</v>
      </c>
      <c r="DA1299">
        <v>0.11332468572476186</v>
      </c>
      <c r="DB1299" t="str">
        <v/>
      </c>
    </row>
    <row r="1300" spans="83:106" x14ac:dyDescent="0.2">
      <c r="CE1300"/>
      <c r="CF1300"/>
      <c r="CG1300"/>
      <c r="CH1300"/>
      <c r="CI1300"/>
      <c r="CU1300" s="42">
        <v>1295</v>
      </c>
      <c r="CV1300" s="115">
        <v>4</v>
      </c>
      <c r="CW1300" s="115">
        <v>0.11332468572476186</v>
      </c>
      <c r="CX1300" s="115" t="e">
        <v>#N/A</v>
      </c>
      <c r="CY1300" s="115" t="e">
        <v>#N/A</v>
      </c>
      <c r="CZ1300" s="137" t="e">
        <v>#N/A</v>
      </c>
      <c r="DA1300">
        <v>0.11332468572476186</v>
      </c>
      <c r="DB1300" t="str">
        <v/>
      </c>
    </row>
    <row r="1301" spans="83:106" x14ac:dyDescent="0.2">
      <c r="CE1301"/>
      <c r="CF1301"/>
      <c r="CG1301"/>
      <c r="CH1301"/>
      <c r="CI1301"/>
      <c r="CU1301" s="42">
        <v>1296</v>
      </c>
      <c r="CV1301" s="115">
        <v>4</v>
      </c>
      <c r="CW1301" s="115">
        <v>0.11332468572476186</v>
      </c>
      <c r="CX1301" s="115" t="e">
        <v>#N/A</v>
      </c>
      <c r="CY1301" s="115" t="e">
        <v>#N/A</v>
      </c>
      <c r="CZ1301" s="137" t="e">
        <v>#N/A</v>
      </c>
      <c r="DA1301">
        <v>0.11332468572476186</v>
      </c>
      <c r="DB1301" t="str">
        <v/>
      </c>
    </row>
    <row r="1302" spans="83:106" x14ac:dyDescent="0.2">
      <c r="CE1302"/>
      <c r="CF1302"/>
      <c r="CG1302"/>
      <c r="CH1302"/>
      <c r="CI1302"/>
      <c r="CU1302" s="42">
        <v>1297</v>
      </c>
      <c r="CV1302" s="115">
        <v>4</v>
      </c>
      <c r="CW1302" s="115">
        <v>0.11332468572476186</v>
      </c>
      <c r="CX1302" s="115" t="e">
        <v>#N/A</v>
      </c>
      <c r="CY1302" s="115" t="e">
        <v>#N/A</v>
      </c>
      <c r="CZ1302" s="137" t="e">
        <v>#N/A</v>
      </c>
      <c r="DA1302">
        <v>0.11332468572476186</v>
      </c>
      <c r="DB1302" t="str">
        <v/>
      </c>
    </row>
    <row r="1303" spans="83:106" x14ac:dyDescent="0.2">
      <c r="CE1303"/>
      <c r="CF1303"/>
      <c r="CG1303"/>
      <c r="CH1303"/>
      <c r="CI1303"/>
      <c r="CU1303" s="42">
        <v>1298</v>
      </c>
      <c r="CV1303" s="115">
        <v>4</v>
      </c>
      <c r="CW1303" s="115">
        <v>0.11332468572476186</v>
      </c>
      <c r="CX1303" s="115" t="e">
        <v>#N/A</v>
      </c>
      <c r="CY1303" s="115" t="e">
        <v>#N/A</v>
      </c>
      <c r="CZ1303" s="137" t="e">
        <v>#N/A</v>
      </c>
      <c r="DA1303">
        <v>0.11332468572476186</v>
      </c>
      <c r="DB1303" t="str">
        <v/>
      </c>
    </row>
    <row r="1304" spans="83:106" x14ac:dyDescent="0.2">
      <c r="CE1304"/>
      <c r="CF1304"/>
      <c r="CG1304"/>
      <c r="CH1304"/>
      <c r="CI1304"/>
      <c r="CU1304" s="42">
        <v>1299</v>
      </c>
      <c r="CV1304" s="115">
        <v>4</v>
      </c>
      <c r="CW1304" s="115">
        <v>0.11332468572476186</v>
      </c>
      <c r="CX1304" s="115" t="e">
        <v>#N/A</v>
      </c>
      <c r="CY1304" s="115" t="e">
        <v>#N/A</v>
      </c>
      <c r="CZ1304" s="137" t="e">
        <v>#N/A</v>
      </c>
      <c r="DA1304">
        <v>0.11332468572476186</v>
      </c>
      <c r="DB1304" t="str">
        <v/>
      </c>
    </row>
    <row r="1305" spans="83:106" x14ac:dyDescent="0.2">
      <c r="CE1305"/>
      <c r="CF1305"/>
      <c r="CG1305"/>
      <c r="CH1305"/>
      <c r="CI1305"/>
      <c r="CU1305" s="42">
        <v>1300</v>
      </c>
      <c r="CV1305" s="115">
        <v>4</v>
      </c>
      <c r="CW1305" s="115">
        <v>0.11332468572476186</v>
      </c>
      <c r="CX1305" s="115" t="e">
        <v>#N/A</v>
      </c>
      <c r="CY1305" s="115" t="e">
        <v>#N/A</v>
      </c>
      <c r="CZ1305" s="137" t="e">
        <v>#N/A</v>
      </c>
      <c r="DA1305">
        <v>0.11332468572476186</v>
      </c>
      <c r="DB1305" t="str">
        <v/>
      </c>
    </row>
    <row r="1306" spans="83:106" x14ac:dyDescent="0.2">
      <c r="CE1306"/>
      <c r="CF1306"/>
      <c r="CG1306"/>
      <c r="CH1306"/>
      <c r="CI1306"/>
      <c r="CU1306" s="42">
        <v>1301</v>
      </c>
      <c r="CV1306" s="115">
        <v>4</v>
      </c>
      <c r="CW1306" s="115">
        <v>0.11332468572476186</v>
      </c>
      <c r="CX1306" s="115" t="e">
        <v>#N/A</v>
      </c>
      <c r="CY1306" s="115" t="e">
        <v>#N/A</v>
      </c>
      <c r="CZ1306" s="137" t="e">
        <v>#N/A</v>
      </c>
      <c r="DA1306">
        <v>0.11332468572476186</v>
      </c>
      <c r="DB1306" t="str">
        <v/>
      </c>
    </row>
    <row r="1307" spans="83:106" x14ac:dyDescent="0.2">
      <c r="CE1307"/>
      <c r="CF1307"/>
      <c r="CG1307"/>
      <c r="CH1307"/>
      <c r="CI1307"/>
      <c r="CU1307" s="42">
        <v>1302</v>
      </c>
      <c r="CV1307" s="115">
        <v>4</v>
      </c>
      <c r="CW1307" s="115">
        <v>0.11332468572476186</v>
      </c>
      <c r="CX1307" s="115" t="e">
        <v>#N/A</v>
      </c>
      <c r="CY1307" s="115" t="e">
        <v>#N/A</v>
      </c>
      <c r="CZ1307" s="137" t="e">
        <v>#N/A</v>
      </c>
      <c r="DA1307">
        <v>0.11332468572476186</v>
      </c>
      <c r="DB1307" t="str">
        <v/>
      </c>
    </row>
    <row r="1308" spans="83:106" x14ac:dyDescent="0.2">
      <c r="CE1308"/>
      <c r="CF1308"/>
      <c r="CG1308"/>
      <c r="CH1308"/>
      <c r="CI1308"/>
      <c r="CU1308" s="42">
        <v>1303</v>
      </c>
      <c r="CV1308" s="115">
        <v>4</v>
      </c>
      <c r="CW1308" s="115">
        <v>0.11332468572476186</v>
      </c>
      <c r="CX1308" s="115" t="e">
        <v>#N/A</v>
      </c>
      <c r="CY1308" s="115" t="e">
        <v>#N/A</v>
      </c>
      <c r="CZ1308" s="137" t="e">
        <v>#N/A</v>
      </c>
      <c r="DA1308">
        <v>0.11332468572476186</v>
      </c>
      <c r="DB1308" t="str">
        <v/>
      </c>
    </row>
    <row r="1309" spans="83:106" x14ac:dyDescent="0.2">
      <c r="CE1309"/>
      <c r="CF1309"/>
      <c r="CG1309"/>
      <c r="CH1309"/>
      <c r="CI1309"/>
      <c r="CU1309" s="42">
        <v>1304</v>
      </c>
      <c r="CV1309" s="115">
        <v>4</v>
      </c>
      <c r="CW1309" s="115">
        <v>0.11332468572476186</v>
      </c>
      <c r="CX1309" s="115" t="e">
        <v>#N/A</v>
      </c>
      <c r="CY1309" s="115" t="e">
        <v>#N/A</v>
      </c>
      <c r="CZ1309" s="137" t="e">
        <v>#N/A</v>
      </c>
      <c r="DA1309">
        <v>0.11332468572476186</v>
      </c>
      <c r="DB1309" t="str">
        <v/>
      </c>
    </row>
    <row r="1310" spans="83:106" x14ac:dyDescent="0.2">
      <c r="CE1310"/>
      <c r="CF1310"/>
      <c r="CG1310"/>
      <c r="CH1310"/>
      <c r="CI1310"/>
      <c r="CU1310" s="42">
        <v>1305</v>
      </c>
      <c r="CV1310" s="115">
        <v>4</v>
      </c>
      <c r="CW1310" s="115">
        <v>0.11332468572476186</v>
      </c>
      <c r="CX1310" s="115" t="e">
        <v>#N/A</v>
      </c>
      <c r="CY1310" s="115" t="e">
        <v>#N/A</v>
      </c>
      <c r="CZ1310" s="137" t="e">
        <v>#N/A</v>
      </c>
      <c r="DA1310">
        <v>0.11332468572476186</v>
      </c>
      <c r="DB1310" t="str">
        <v/>
      </c>
    </row>
    <row r="1311" spans="83:106" x14ac:dyDescent="0.2">
      <c r="CE1311"/>
      <c r="CF1311"/>
      <c r="CG1311"/>
      <c r="CH1311"/>
      <c r="CI1311"/>
      <c r="CU1311" s="42">
        <v>1306</v>
      </c>
      <c r="CV1311" s="115">
        <v>4</v>
      </c>
      <c r="CW1311" s="115">
        <v>0.11332468572476186</v>
      </c>
      <c r="CX1311" s="115" t="e">
        <v>#N/A</v>
      </c>
      <c r="CY1311" s="115" t="e">
        <v>#N/A</v>
      </c>
      <c r="CZ1311" s="137" t="e">
        <v>#N/A</v>
      </c>
      <c r="DA1311">
        <v>0.11332468572476186</v>
      </c>
      <c r="DB1311" t="str">
        <v/>
      </c>
    </row>
    <row r="1312" spans="83:106" x14ac:dyDescent="0.2">
      <c r="CE1312"/>
      <c r="CF1312"/>
      <c r="CG1312"/>
      <c r="CH1312"/>
      <c r="CI1312"/>
      <c r="CU1312" s="42">
        <v>1307</v>
      </c>
      <c r="CV1312" s="115">
        <v>4</v>
      </c>
      <c r="CW1312" s="115">
        <v>0.11332468572476186</v>
      </c>
      <c r="CX1312" s="115" t="e">
        <v>#N/A</v>
      </c>
      <c r="CY1312" s="115" t="e">
        <v>#N/A</v>
      </c>
      <c r="CZ1312" s="137" t="e">
        <v>#N/A</v>
      </c>
      <c r="DA1312">
        <v>0.11332468572476186</v>
      </c>
      <c r="DB1312" t="str">
        <v/>
      </c>
    </row>
    <row r="1313" spans="83:106" x14ac:dyDescent="0.2">
      <c r="CE1313"/>
      <c r="CF1313"/>
      <c r="CG1313"/>
      <c r="CH1313"/>
      <c r="CI1313"/>
      <c r="CU1313" s="42">
        <v>1308</v>
      </c>
      <c r="CV1313" s="115">
        <v>4</v>
      </c>
      <c r="CW1313" s="115">
        <v>0.11332468572476186</v>
      </c>
      <c r="CX1313" s="115" t="e">
        <v>#N/A</v>
      </c>
      <c r="CY1313" s="115" t="e">
        <v>#N/A</v>
      </c>
      <c r="CZ1313" s="137" t="e">
        <v>#N/A</v>
      </c>
      <c r="DA1313">
        <v>0.11332468572476186</v>
      </c>
      <c r="DB1313" t="str">
        <v/>
      </c>
    </row>
    <row r="1314" spans="83:106" x14ac:dyDescent="0.2">
      <c r="CE1314"/>
      <c r="CF1314"/>
      <c r="CG1314"/>
      <c r="CH1314"/>
      <c r="CI1314"/>
      <c r="CU1314" s="42">
        <v>1309</v>
      </c>
      <c r="CV1314" s="115">
        <v>4</v>
      </c>
      <c r="CW1314" s="115">
        <v>0.11332468572476186</v>
      </c>
      <c r="CX1314" s="115" t="e">
        <v>#N/A</v>
      </c>
      <c r="CY1314" s="115" t="e">
        <v>#N/A</v>
      </c>
      <c r="CZ1314" s="137" t="e">
        <v>#N/A</v>
      </c>
      <c r="DA1314">
        <v>0.11332468572476186</v>
      </c>
      <c r="DB1314" t="str">
        <v/>
      </c>
    </row>
    <row r="1315" spans="83:106" x14ac:dyDescent="0.2">
      <c r="CE1315"/>
      <c r="CF1315"/>
      <c r="CG1315"/>
      <c r="CH1315"/>
      <c r="CI1315"/>
      <c r="CU1315" s="42">
        <v>1310</v>
      </c>
      <c r="CV1315" s="115">
        <v>4</v>
      </c>
      <c r="CW1315" s="115">
        <v>0.11332468572476186</v>
      </c>
      <c r="CX1315" s="115" t="e">
        <v>#N/A</v>
      </c>
      <c r="CY1315" s="115" t="e">
        <v>#N/A</v>
      </c>
      <c r="CZ1315" s="137" t="e">
        <v>#N/A</v>
      </c>
      <c r="DA1315">
        <v>0.11332468572476186</v>
      </c>
      <c r="DB1315" t="str">
        <v/>
      </c>
    </row>
    <row r="1316" spans="83:106" x14ac:dyDescent="0.2">
      <c r="CE1316"/>
      <c r="CF1316"/>
      <c r="CG1316"/>
      <c r="CH1316"/>
      <c r="CI1316"/>
      <c r="CU1316" s="42">
        <v>1311</v>
      </c>
      <c r="CV1316" s="115">
        <v>4</v>
      </c>
      <c r="CW1316" s="115">
        <v>0.11332468572476186</v>
      </c>
      <c r="CX1316" s="115" t="e">
        <v>#N/A</v>
      </c>
      <c r="CY1316" s="115" t="e">
        <v>#N/A</v>
      </c>
      <c r="CZ1316" s="137" t="e">
        <v>#N/A</v>
      </c>
      <c r="DA1316">
        <v>0.11332468572476186</v>
      </c>
      <c r="DB1316" t="str">
        <v/>
      </c>
    </row>
    <row r="1317" spans="83:106" x14ac:dyDescent="0.2">
      <c r="CE1317"/>
      <c r="CF1317"/>
      <c r="CG1317"/>
      <c r="CH1317"/>
      <c r="CI1317"/>
      <c r="CU1317" s="42">
        <v>1312</v>
      </c>
      <c r="CV1317" s="115">
        <v>4</v>
      </c>
      <c r="CW1317" s="115">
        <v>0.11332468572476186</v>
      </c>
      <c r="CX1317" s="115" t="e">
        <v>#N/A</v>
      </c>
      <c r="CY1317" s="115" t="e">
        <v>#N/A</v>
      </c>
      <c r="CZ1317" s="137" t="e">
        <v>#N/A</v>
      </c>
      <c r="DA1317">
        <v>0.11332468572476186</v>
      </c>
      <c r="DB1317" t="str">
        <v/>
      </c>
    </row>
    <row r="1318" spans="83:106" x14ac:dyDescent="0.2">
      <c r="CE1318"/>
      <c r="CF1318"/>
      <c r="CG1318"/>
      <c r="CH1318"/>
      <c r="CI1318"/>
      <c r="CU1318" s="42">
        <v>1313</v>
      </c>
      <c r="CV1318" s="115">
        <v>4</v>
      </c>
      <c r="CW1318" s="115">
        <v>0.11332468572476186</v>
      </c>
      <c r="CX1318" s="115" t="e">
        <v>#N/A</v>
      </c>
      <c r="CY1318" s="115" t="e">
        <v>#N/A</v>
      </c>
      <c r="CZ1318" s="137" t="e">
        <v>#N/A</v>
      </c>
      <c r="DA1318">
        <v>0.11332468572476186</v>
      </c>
      <c r="DB1318" t="str">
        <v/>
      </c>
    </row>
    <row r="1319" spans="83:106" x14ac:dyDescent="0.2">
      <c r="CE1319"/>
      <c r="CF1319"/>
      <c r="CG1319"/>
      <c r="CH1319"/>
      <c r="CI1319"/>
      <c r="CU1319" s="42">
        <v>1314</v>
      </c>
      <c r="CV1319" s="115">
        <v>4</v>
      </c>
      <c r="CW1319" s="115">
        <v>0.11332468572476186</v>
      </c>
      <c r="CX1319" s="115" t="e">
        <v>#N/A</v>
      </c>
      <c r="CY1319" s="115" t="e">
        <v>#N/A</v>
      </c>
      <c r="CZ1319" s="137" t="e">
        <v>#N/A</v>
      </c>
      <c r="DA1319">
        <v>0.11332468572476186</v>
      </c>
      <c r="DB1319" t="str">
        <v/>
      </c>
    </row>
    <row r="1320" spans="83:106" x14ac:dyDescent="0.2">
      <c r="CE1320"/>
      <c r="CF1320"/>
      <c r="CG1320"/>
      <c r="CH1320"/>
      <c r="CI1320"/>
      <c r="CU1320" s="42">
        <v>1315</v>
      </c>
      <c r="CV1320" s="115">
        <v>4</v>
      </c>
      <c r="CW1320" s="115">
        <v>0.11332468572476186</v>
      </c>
      <c r="CX1320" s="115" t="e">
        <v>#N/A</v>
      </c>
      <c r="CY1320" s="115" t="e">
        <v>#N/A</v>
      </c>
      <c r="CZ1320" s="137" t="e">
        <v>#N/A</v>
      </c>
      <c r="DA1320">
        <v>0.11332468572476186</v>
      </c>
      <c r="DB1320" t="str">
        <v/>
      </c>
    </row>
    <row r="1321" spans="83:106" x14ac:dyDescent="0.2">
      <c r="CE1321"/>
      <c r="CF1321"/>
      <c r="CG1321"/>
      <c r="CH1321"/>
      <c r="CI1321"/>
      <c r="CU1321" s="42">
        <v>1316</v>
      </c>
      <c r="CV1321" s="115">
        <v>4</v>
      </c>
      <c r="CW1321" s="115">
        <v>0.11332468572476186</v>
      </c>
      <c r="CX1321" s="115" t="e">
        <v>#N/A</v>
      </c>
      <c r="CY1321" s="115" t="e">
        <v>#N/A</v>
      </c>
      <c r="CZ1321" s="137" t="e">
        <v>#N/A</v>
      </c>
      <c r="DA1321">
        <v>0.11332468572476186</v>
      </c>
      <c r="DB1321" t="str">
        <v/>
      </c>
    </row>
    <row r="1322" spans="83:106" x14ac:dyDescent="0.2">
      <c r="CE1322"/>
      <c r="CF1322"/>
      <c r="CG1322"/>
      <c r="CH1322"/>
      <c r="CI1322"/>
      <c r="CU1322" s="42">
        <v>1317</v>
      </c>
      <c r="CV1322" s="115">
        <v>4</v>
      </c>
      <c r="CW1322" s="115">
        <v>0.11332468572476186</v>
      </c>
      <c r="CX1322" s="115" t="e">
        <v>#N/A</v>
      </c>
      <c r="CY1322" s="115" t="e">
        <v>#N/A</v>
      </c>
      <c r="CZ1322" s="137" t="e">
        <v>#N/A</v>
      </c>
      <c r="DA1322">
        <v>0.11332468572476186</v>
      </c>
      <c r="DB1322" t="str">
        <v/>
      </c>
    </row>
    <row r="1323" spans="83:106" x14ac:dyDescent="0.2">
      <c r="CE1323"/>
      <c r="CF1323"/>
      <c r="CG1323"/>
      <c r="CH1323"/>
      <c r="CI1323"/>
      <c r="CU1323" s="42">
        <v>1318</v>
      </c>
      <c r="CV1323" s="115">
        <v>4</v>
      </c>
      <c r="CW1323" s="115">
        <v>0.11332468572476186</v>
      </c>
      <c r="CX1323" s="115" t="e">
        <v>#N/A</v>
      </c>
      <c r="CY1323" s="115" t="e">
        <v>#N/A</v>
      </c>
      <c r="CZ1323" s="137" t="e">
        <v>#N/A</v>
      </c>
      <c r="DA1323">
        <v>0.11332468572476186</v>
      </c>
      <c r="DB1323" t="str">
        <v/>
      </c>
    </row>
    <row r="1324" spans="83:106" x14ac:dyDescent="0.2">
      <c r="CE1324"/>
      <c r="CF1324"/>
      <c r="CG1324"/>
      <c r="CH1324"/>
      <c r="CI1324"/>
      <c r="CU1324" s="42">
        <v>1319</v>
      </c>
      <c r="CV1324" s="115">
        <v>4</v>
      </c>
      <c r="CW1324" s="115">
        <v>0.11332468572476186</v>
      </c>
      <c r="CX1324" s="115" t="e">
        <v>#N/A</v>
      </c>
      <c r="CY1324" s="115" t="e">
        <v>#N/A</v>
      </c>
      <c r="CZ1324" s="137" t="e">
        <v>#N/A</v>
      </c>
      <c r="DA1324">
        <v>0.11332468572476186</v>
      </c>
      <c r="DB1324" t="str">
        <v/>
      </c>
    </row>
    <row r="1325" spans="83:106" x14ac:dyDescent="0.2">
      <c r="CE1325"/>
      <c r="CF1325"/>
      <c r="CG1325"/>
      <c r="CH1325"/>
      <c r="CI1325"/>
      <c r="CU1325" s="42">
        <v>1320</v>
      </c>
      <c r="CV1325" s="115">
        <v>4</v>
      </c>
      <c r="CW1325" s="115">
        <v>0.11332468572476186</v>
      </c>
      <c r="CX1325" s="115" t="e">
        <v>#N/A</v>
      </c>
      <c r="CY1325" s="115" t="e">
        <v>#N/A</v>
      </c>
      <c r="CZ1325" s="137" t="e">
        <v>#N/A</v>
      </c>
      <c r="DA1325">
        <v>0.11332468572476186</v>
      </c>
      <c r="DB1325" t="str">
        <v/>
      </c>
    </row>
    <row r="1326" spans="83:106" x14ac:dyDescent="0.2">
      <c r="CE1326"/>
      <c r="CF1326"/>
      <c r="CG1326"/>
      <c r="CH1326"/>
      <c r="CI1326"/>
      <c r="CU1326" s="42">
        <v>1321</v>
      </c>
      <c r="CV1326" s="115">
        <v>4</v>
      </c>
      <c r="CW1326" s="115">
        <v>0.11332468572476186</v>
      </c>
      <c r="CX1326" s="115" t="e">
        <v>#N/A</v>
      </c>
      <c r="CY1326" s="115" t="e">
        <v>#N/A</v>
      </c>
      <c r="CZ1326" s="137" t="e">
        <v>#N/A</v>
      </c>
      <c r="DA1326">
        <v>0.11332468572476186</v>
      </c>
      <c r="DB1326" t="str">
        <v/>
      </c>
    </row>
    <row r="1327" spans="83:106" x14ac:dyDescent="0.2">
      <c r="CE1327"/>
      <c r="CF1327"/>
      <c r="CG1327"/>
      <c r="CH1327"/>
      <c r="CI1327"/>
      <c r="CU1327" s="42">
        <v>1322</v>
      </c>
      <c r="CV1327" s="115">
        <v>4</v>
      </c>
      <c r="CW1327" s="115">
        <v>0.11332468572476186</v>
      </c>
      <c r="CX1327" s="115" t="e">
        <v>#N/A</v>
      </c>
      <c r="CY1327" s="115" t="e">
        <v>#N/A</v>
      </c>
      <c r="CZ1327" s="137" t="e">
        <v>#N/A</v>
      </c>
      <c r="DA1327">
        <v>0.11332468572476186</v>
      </c>
      <c r="DB1327" t="str">
        <v/>
      </c>
    </row>
    <row r="1328" spans="83:106" x14ac:dyDescent="0.2">
      <c r="CE1328"/>
      <c r="CF1328"/>
      <c r="CG1328"/>
      <c r="CH1328"/>
      <c r="CI1328"/>
      <c r="CU1328" s="42">
        <v>1323</v>
      </c>
      <c r="CV1328" s="115">
        <v>4</v>
      </c>
      <c r="CW1328" s="115">
        <v>0.11332468572476186</v>
      </c>
      <c r="CX1328" s="115" t="e">
        <v>#N/A</v>
      </c>
      <c r="CY1328" s="115" t="e">
        <v>#N/A</v>
      </c>
      <c r="CZ1328" s="137" t="e">
        <v>#N/A</v>
      </c>
      <c r="DA1328">
        <v>0.11332468572476186</v>
      </c>
      <c r="DB1328" t="str">
        <v/>
      </c>
    </row>
    <row r="1329" spans="83:106" x14ac:dyDescent="0.2">
      <c r="CE1329"/>
      <c r="CF1329"/>
      <c r="CG1329"/>
      <c r="CH1329"/>
      <c r="CI1329"/>
      <c r="CU1329" s="42">
        <v>1324</v>
      </c>
      <c r="CV1329" s="115">
        <v>4</v>
      </c>
      <c r="CW1329" s="115">
        <v>0.11332468572476186</v>
      </c>
      <c r="CX1329" s="115" t="e">
        <v>#N/A</v>
      </c>
      <c r="CY1329" s="115" t="e">
        <v>#N/A</v>
      </c>
      <c r="CZ1329" s="137" t="e">
        <v>#N/A</v>
      </c>
      <c r="DA1329">
        <v>0.11332468572476186</v>
      </c>
      <c r="DB1329" t="str">
        <v/>
      </c>
    </row>
    <row r="1330" spans="83:106" x14ac:dyDescent="0.2">
      <c r="CE1330"/>
      <c r="CF1330"/>
      <c r="CG1330"/>
      <c r="CH1330"/>
      <c r="CI1330"/>
      <c r="CU1330" s="42">
        <v>1325</v>
      </c>
      <c r="CV1330" s="115">
        <v>4</v>
      </c>
      <c r="CW1330" s="115">
        <v>0.11332468572476186</v>
      </c>
      <c r="CX1330" s="115" t="e">
        <v>#N/A</v>
      </c>
      <c r="CY1330" s="115" t="e">
        <v>#N/A</v>
      </c>
      <c r="CZ1330" s="137" t="e">
        <v>#N/A</v>
      </c>
      <c r="DA1330">
        <v>0.11332468572476186</v>
      </c>
      <c r="DB1330" t="str">
        <v/>
      </c>
    </row>
    <row r="1331" spans="83:106" x14ac:dyDescent="0.2">
      <c r="CE1331"/>
      <c r="CF1331"/>
      <c r="CG1331"/>
      <c r="CH1331"/>
      <c r="CI1331"/>
      <c r="CU1331" s="42">
        <v>1326</v>
      </c>
      <c r="CV1331" s="115">
        <v>4</v>
      </c>
      <c r="CW1331" s="115">
        <v>0.11332468572476186</v>
      </c>
      <c r="CX1331" s="115" t="e">
        <v>#N/A</v>
      </c>
      <c r="CY1331" s="115" t="e">
        <v>#N/A</v>
      </c>
      <c r="CZ1331" s="137" t="e">
        <v>#N/A</v>
      </c>
      <c r="DA1331">
        <v>0.11332468572476186</v>
      </c>
      <c r="DB1331" t="str">
        <v/>
      </c>
    </row>
    <row r="1332" spans="83:106" x14ac:dyDescent="0.2">
      <c r="CE1332"/>
      <c r="CF1332"/>
      <c r="CG1332"/>
      <c r="CH1332"/>
      <c r="CI1332"/>
      <c r="CU1332" s="42">
        <v>1327</v>
      </c>
      <c r="CV1332" s="115">
        <v>4</v>
      </c>
      <c r="CW1332" s="115">
        <v>0.11332468572476186</v>
      </c>
      <c r="CX1332" s="115" t="e">
        <v>#N/A</v>
      </c>
      <c r="CY1332" s="115" t="e">
        <v>#N/A</v>
      </c>
      <c r="CZ1332" s="137" t="e">
        <v>#N/A</v>
      </c>
      <c r="DA1332">
        <v>0.11332468572476186</v>
      </c>
      <c r="DB1332" t="str">
        <v/>
      </c>
    </row>
    <row r="1333" spans="83:106" x14ac:dyDescent="0.2">
      <c r="CE1333"/>
      <c r="CF1333"/>
      <c r="CG1333"/>
      <c r="CH1333"/>
      <c r="CI1333"/>
      <c r="CU1333" s="42">
        <v>1328</v>
      </c>
      <c r="CV1333" s="115">
        <v>4</v>
      </c>
      <c r="CW1333" s="115">
        <v>0.11332468572476186</v>
      </c>
      <c r="CX1333" s="115" t="e">
        <v>#N/A</v>
      </c>
      <c r="CY1333" s="115" t="e">
        <v>#N/A</v>
      </c>
      <c r="CZ1333" s="137" t="e">
        <v>#N/A</v>
      </c>
      <c r="DA1333">
        <v>0.11332468572476186</v>
      </c>
      <c r="DB1333" t="str">
        <v/>
      </c>
    </row>
    <row r="1334" spans="83:106" x14ac:dyDescent="0.2">
      <c r="CE1334"/>
      <c r="CF1334"/>
      <c r="CG1334"/>
      <c r="CH1334"/>
      <c r="CI1334"/>
      <c r="CU1334" s="42">
        <v>1329</v>
      </c>
      <c r="CV1334" s="115">
        <v>4</v>
      </c>
      <c r="CW1334" s="115">
        <v>0.11332468572476186</v>
      </c>
      <c r="CX1334" s="115" t="e">
        <v>#N/A</v>
      </c>
      <c r="CY1334" s="115" t="e">
        <v>#N/A</v>
      </c>
      <c r="CZ1334" s="137" t="e">
        <v>#N/A</v>
      </c>
      <c r="DA1334">
        <v>0.11332468572476186</v>
      </c>
      <c r="DB1334" t="str">
        <v/>
      </c>
    </row>
    <row r="1335" spans="83:106" x14ac:dyDescent="0.2">
      <c r="CE1335"/>
      <c r="CF1335"/>
      <c r="CG1335"/>
      <c r="CH1335"/>
      <c r="CI1335"/>
      <c r="CU1335" s="42">
        <v>1330</v>
      </c>
      <c r="CV1335" s="115">
        <v>4</v>
      </c>
      <c r="CW1335" s="115">
        <v>0.11332468572476186</v>
      </c>
      <c r="CX1335" s="115" t="e">
        <v>#N/A</v>
      </c>
      <c r="CY1335" s="115" t="e">
        <v>#N/A</v>
      </c>
      <c r="CZ1335" s="137" t="e">
        <v>#N/A</v>
      </c>
      <c r="DA1335">
        <v>0.11332468572476186</v>
      </c>
      <c r="DB1335" t="str">
        <v/>
      </c>
    </row>
    <row r="1336" spans="83:106" x14ac:dyDescent="0.2">
      <c r="CE1336"/>
      <c r="CF1336"/>
      <c r="CG1336"/>
      <c r="CH1336"/>
      <c r="CI1336"/>
      <c r="CU1336" s="42">
        <v>1331</v>
      </c>
      <c r="CV1336" s="115">
        <v>4</v>
      </c>
      <c r="CW1336" s="115">
        <v>0.11332468572476186</v>
      </c>
      <c r="CX1336" s="115" t="e">
        <v>#N/A</v>
      </c>
      <c r="CY1336" s="115" t="e">
        <v>#N/A</v>
      </c>
      <c r="CZ1336" s="137" t="e">
        <v>#N/A</v>
      </c>
      <c r="DA1336">
        <v>0.11332468572476186</v>
      </c>
      <c r="DB1336" t="str">
        <v/>
      </c>
    </row>
    <row r="1337" spans="83:106" x14ac:dyDescent="0.2">
      <c r="CE1337"/>
      <c r="CF1337"/>
      <c r="CG1337"/>
      <c r="CH1337"/>
      <c r="CI1337"/>
      <c r="CU1337" s="42">
        <v>1332</v>
      </c>
      <c r="CV1337" s="115">
        <v>4</v>
      </c>
      <c r="CW1337" s="115">
        <v>0.11332468572476186</v>
      </c>
      <c r="CX1337" s="115" t="e">
        <v>#N/A</v>
      </c>
      <c r="CY1337" s="115" t="e">
        <v>#N/A</v>
      </c>
      <c r="CZ1337" s="137" t="e">
        <v>#N/A</v>
      </c>
      <c r="DA1337">
        <v>0.11332468572476186</v>
      </c>
      <c r="DB1337" t="str">
        <v/>
      </c>
    </row>
    <row r="1338" spans="83:106" x14ac:dyDescent="0.2">
      <c r="CE1338"/>
      <c r="CF1338"/>
      <c r="CG1338"/>
      <c r="CH1338"/>
      <c r="CI1338"/>
      <c r="CU1338" s="42">
        <v>1333</v>
      </c>
      <c r="CV1338" s="115">
        <v>4</v>
      </c>
      <c r="CW1338" s="115">
        <v>0.11332468572476186</v>
      </c>
      <c r="CX1338" s="115" t="e">
        <v>#N/A</v>
      </c>
      <c r="CY1338" s="115" t="e">
        <v>#N/A</v>
      </c>
      <c r="CZ1338" s="137" t="e">
        <v>#N/A</v>
      </c>
      <c r="DA1338">
        <v>0.11332468572476186</v>
      </c>
      <c r="DB1338" t="str">
        <v/>
      </c>
    </row>
    <row r="1339" spans="83:106" x14ac:dyDescent="0.2">
      <c r="CE1339"/>
      <c r="CF1339"/>
      <c r="CG1339"/>
      <c r="CH1339"/>
      <c r="CI1339"/>
      <c r="CU1339" s="42">
        <v>1334</v>
      </c>
      <c r="CV1339" s="115">
        <v>4</v>
      </c>
      <c r="CW1339" s="115">
        <v>0.11332468572476186</v>
      </c>
      <c r="CX1339" s="115" t="e">
        <v>#N/A</v>
      </c>
      <c r="CY1339" s="115" t="e">
        <v>#N/A</v>
      </c>
      <c r="CZ1339" s="137" t="e">
        <v>#N/A</v>
      </c>
      <c r="DA1339">
        <v>0.11332468572476186</v>
      </c>
      <c r="DB1339" t="str">
        <v/>
      </c>
    </row>
    <row r="1340" spans="83:106" x14ac:dyDescent="0.2">
      <c r="CE1340"/>
      <c r="CF1340"/>
      <c r="CG1340"/>
      <c r="CH1340"/>
      <c r="CI1340"/>
      <c r="CU1340" s="42">
        <v>1335</v>
      </c>
      <c r="CV1340" s="115">
        <v>4</v>
      </c>
      <c r="CW1340" s="115">
        <v>0.11332468572476186</v>
      </c>
      <c r="CX1340" s="115" t="e">
        <v>#N/A</v>
      </c>
      <c r="CY1340" s="115" t="e">
        <v>#N/A</v>
      </c>
      <c r="CZ1340" s="137" t="e">
        <v>#N/A</v>
      </c>
      <c r="DA1340">
        <v>0.11332468572476186</v>
      </c>
      <c r="DB1340" t="str">
        <v/>
      </c>
    </row>
    <row r="1341" spans="83:106" x14ac:dyDescent="0.2">
      <c r="CE1341"/>
      <c r="CF1341"/>
      <c r="CG1341"/>
      <c r="CH1341"/>
      <c r="CI1341"/>
      <c r="CU1341" s="42">
        <v>1336</v>
      </c>
      <c r="CV1341" s="115">
        <v>4</v>
      </c>
      <c r="CW1341" s="115">
        <v>0.11332468572476186</v>
      </c>
      <c r="CX1341" s="115" t="e">
        <v>#N/A</v>
      </c>
      <c r="CY1341" s="115" t="e">
        <v>#N/A</v>
      </c>
      <c r="CZ1341" s="137" t="e">
        <v>#N/A</v>
      </c>
      <c r="DA1341">
        <v>0.11332468572476186</v>
      </c>
      <c r="DB1341" t="str">
        <v/>
      </c>
    </row>
    <row r="1342" spans="83:106" x14ac:dyDescent="0.2">
      <c r="CE1342"/>
      <c r="CF1342"/>
      <c r="CG1342"/>
      <c r="CH1342"/>
      <c r="CI1342"/>
      <c r="CU1342" s="42">
        <v>1337</v>
      </c>
      <c r="CV1342" s="115">
        <v>4</v>
      </c>
      <c r="CW1342" s="115">
        <v>0.11332468572476186</v>
      </c>
      <c r="CX1342" s="115" t="e">
        <v>#N/A</v>
      </c>
      <c r="CY1342" s="115" t="e">
        <v>#N/A</v>
      </c>
      <c r="CZ1342" s="137" t="e">
        <v>#N/A</v>
      </c>
      <c r="DA1342">
        <v>0.11332468572476186</v>
      </c>
      <c r="DB1342" t="str">
        <v/>
      </c>
    </row>
    <row r="1343" spans="83:106" x14ac:dyDescent="0.2">
      <c r="CE1343"/>
      <c r="CF1343"/>
      <c r="CG1343"/>
      <c r="CH1343"/>
      <c r="CI1343"/>
      <c r="CU1343" s="42">
        <v>1338</v>
      </c>
      <c r="CV1343" s="115">
        <v>4</v>
      </c>
      <c r="CW1343" s="115">
        <v>0.11332468572476186</v>
      </c>
      <c r="CX1343" s="115" t="e">
        <v>#N/A</v>
      </c>
      <c r="CY1343" s="115" t="e">
        <v>#N/A</v>
      </c>
      <c r="CZ1343" s="137" t="e">
        <v>#N/A</v>
      </c>
      <c r="DA1343">
        <v>0.11332468572476186</v>
      </c>
      <c r="DB1343" t="str">
        <v/>
      </c>
    </row>
    <row r="1344" spans="83:106" x14ac:dyDescent="0.2">
      <c r="CE1344"/>
      <c r="CF1344"/>
      <c r="CG1344"/>
      <c r="CH1344"/>
      <c r="CI1344"/>
      <c r="CU1344" s="42">
        <v>1339</v>
      </c>
      <c r="CV1344" s="115">
        <v>4</v>
      </c>
      <c r="CW1344" s="115">
        <v>0.11332468572476186</v>
      </c>
      <c r="CX1344" s="115" t="e">
        <v>#N/A</v>
      </c>
      <c r="CY1344" s="115" t="e">
        <v>#N/A</v>
      </c>
      <c r="CZ1344" s="137" t="e">
        <v>#N/A</v>
      </c>
      <c r="DA1344">
        <v>0.11332468572476186</v>
      </c>
      <c r="DB1344" t="str">
        <v/>
      </c>
    </row>
    <row r="1345" spans="83:106" x14ac:dyDescent="0.2">
      <c r="CE1345"/>
      <c r="CF1345"/>
      <c r="CG1345"/>
      <c r="CH1345"/>
      <c r="CI1345"/>
      <c r="CU1345" s="42">
        <v>1340</v>
      </c>
      <c r="CV1345" s="115">
        <v>4</v>
      </c>
      <c r="CW1345" s="115">
        <v>0.11332468572476186</v>
      </c>
      <c r="CX1345" s="115" t="e">
        <v>#N/A</v>
      </c>
      <c r="CY1345" s="115" t="e">
        <v>#N/A</v>
      </c>
      <c r="CZ1345" s="137" t="e">
        <v>#N/A</v>
      </c>
      <c r="DA1345">
        <v>0.11332468572476186</v>
      </c>
      <c r="DB1345" t="str">
        <v/>
      </c>
    </row>
    <row r="1346" spans="83:106" x14ac:dyDescent="0.2">
      <c r="CE1346"/>
      <c r="CF1346"/>
      <c r="CG1346"/>
      <c r="CH1346"/>
      <c r="CI1346"/>
      <c r="CU1346" s="42">
        <v>1341</v>
      </c>
      <c r="CV1346" s="115">
        <v>4</v>
      </c>
      <c r="CW1346" s="115">
        <v>0.11332468572476186</v>
      </c>
      <c r="CX1346" s="115" t="e">
        <v>#N/A</v>
      </c>
      <c r="CY1346" s="115" t="e">
        <v>#N/A</v>
      </c>
      <c r="CZ1346" s="137" t="e">
        <v>#N/A</v>
      </c>
      <c r="DA1346">
        <v>0.11332468572476186</v>
      </c>
      <c r="DB1346" t="str">
        <v/>
      </c>
    </row>
    <row r="1347" spans="83:106" x14ac:dyDescent="0.2">
      <c r="CE1347"/>
      <c r="CF1347"/>
      <c r="CG1347"/>
      <c r="CH1347"/>
      <c r="CI1347"/>
      <c r="CU1347" s="42">
        <v>1342</v>
      </c>
      <c r="CV1347" s="115">
        <v>4</v>
      </c>
      <c r="CW1347" s="115">
        <v>0.11332468572476186</v>
      </c>
      <c r="CX1347" s="115" t="e">
        <v>#N/A</v>
      </c>
      <c r="CY1347" s="115" t="e">
        <v>#N/A</v>
      </c>
      <c r="CZ1347" s="137" t="e">
        <v>#N/A</v>
      </c>
      <c r="DA1347">
        <v>0.11332468572476186</v>
      </c>
      <c r="DB1347" t="str">
        <v/>
      </c>
    </row>
    <row r="1348" spans="83:106" x14ac:dyDescent="0.2">
      <c r="CE1348"/>
      <c r="CF1348"/>
      <c r="CG1348"/>
      <c r="CH1348"/>
      <c r="CI1348"/>
      <c r="CU1348" s="42">
        <v>1343</v>
      </c>
      <c r="CV1348" s="115">
        <v>4</v>
      </c>
      <c r="CW1348" s="115">
        <v>0.11332468572476186</v>
      </c>
      <c r="CX1348" s="115" t="e">
        <v>#N/A</v>
      </c>
      <c r="CY1348" s="115" t="e">
        <v>#N/A</v>
      </c>
      <c r="CZ1348" s="137" t="e">
        <v>#N/A</v>
      </c>
      <c r="DA1348">
        <v>0.11332468572476186</v>
      </c>
      <c r="DB1348" t="str">
        <v/>
      </c>
    </row>
    <row r="1349" spans="83:106" x14ac:dyDescent="0.2">
      <c r="CE1349"/>
      <c r="CF1349"/>
      <c r="CG1349"/>
      <c r="CH1349"/>
      <c r="CI1349"/>
      <c r="CU1349" s="42">
        <v>1344</v>
      </c>
      <c r="CV1349" s="115">
        <v>4</v>
      </c>
      <c r="CW1349" s="115">
        <v>0.11332468572476186</v>
      </c>
      <c r="CX1349" s="115" t="e">
        <v>#N/A</v>
      </c>
      <c r="CY1349" s="115" t="e">
        <v>#N/A</v>
      </c>
      <c r="CZ1349" s="137" t="e">
        <v>#N/A</v>
      </c>
      <c r="DA1349">
        <v>0.11332468572476186</v>
      </c>
      <c r="DB1349" t="str">
        <v/>
      </c>
    </row>
    <row r="1350" spans="83:106" x14ac:dyDescent="0.2">
      <c r="CE1350"/>
      <c r="CF1350"/>
      <c r="CG1350"/>
      <c r="CH1350"/>
      <c r="CI1350"/>
      <c r="CU1350" s="42">
        <v>1345</v>
      </c>
      <c r="CV1350" s="115">
        <v>4</v>
      </c>
      <c r="CW1350" s="115">
        <v>0.11332468572476186</v>
      </c>
      <c r="CX1350" s="115" t="e">
        <v>#N/A</v>
      </c>
      <c r="CY1350" s="115" t="e">
        <v>#N/A</v>
      </c>
      <c r="CZ1350" s="137" t="e">
        <v>#N/A</v>
      </c>
      <c r="DA1350">
        <v>0.11332468572476186</v>
      </c>
      <c r="DB1350" t="str">
        <v/>
      </c>
    </row>
    <row r="1351" spans="83:106" x14ac:dyDescent="0.2">
      <c r="CE1351"/>
      <c r="CF1351"/>
      <c r="CG1351"/>
      <c r="CH1351"/>
      <c r="CI1351"/>
      <c r="CU1351" s="42">
        <v>1346</v>
      </c>
      <c r="CV1351" s="115">
        <v>4</v>
      </c>
      <c r="CW1351" s="115">
        <v>0.11332468572476186</v>
      </c>
      <c r="CX1351" s="115" t="e">
        <v>#N/A</v>
      </c>
      <c r="CY1351" s="115" t="e">
        <v>#N/A</v>
      </c>
      <c r="CZ1351" s="137" t="e">
        <v>#N/A</v>
      </c>
      <c r="DA1351">
        <v>0.11332468572476186</v>
      </c>
      <c r="DB1351" t="str">
        <v/>
      </c>
    </row>
    <row r="1352" spans="83:106" x14ac:dyDescent="0.2">
      <c r="CE1352"/>
      <c r="CF1352"/>
      <c r="CG1352"/>
      <c r="CH1352"/>
      <c r="CI1352"/>
      <c r="CU1352" s="42">
        <v>1347</v>
      </c>
      <c r="CV1352" s="115">
        <v>4</v>
      </c>
      <c r="CW1352" s="115">
        <v>0.11332468572476186</v>
      </c>
      <c r="CX1352" s="115" t="e">
        <v>#N/A</v>
      </c>
      <c r="CY1352" s="115" t="e">
        <v>#N/A</v>
      </c>
      <c r="CZ1352" s="137" t="e">
        <v>#N/A</v>
      </c>
      <c r="DA1352">
        <v>0.11332468572476186</v>
      </c>
      <c r="DB1352" t="str">
        <v/>
      </c>
    </row>
    <row r="1353" spans="83:106" x14ac:dyDescent="0.2">
      <c r="CE1353"/>
      <c r="CF1353"/>
      <c r="CG1353"/>
      <c r="CH1353"/>
      <c r="CI1353"/>
      <c r="CU1353" s="42">
        <v>1348</v>
      </c>
      <c r="CV1353" s="115">
        <v>4</v>
      </c>
      <c r="CW1353" s="115">
        <v>0.11332468572476186</v>
      </c>
      <c r="CX1353" s="115" t="e">
        <v>#N/A</v>
      </c>
      <c r="CY1353" s="115" t="e">
        <v>#N/A</v>
      </c>
      <c r="CZ1353" s="137" t="e">
        <v>#N/A</v>
      </c>
      <c r="DA1353">
        <v>0.11332468572476186</v>
      </c>
      <c r="DB1353" t="str">
        <v/>
      </c>
    </row>
    <row r="1354" spans="83:106" x14ac:dyDescent="0.2">
      <c r="CE1354"/>
      <c r="CF1354"/>
      <c r="CG1354"/>
      <c r="CH1354"/>
      <c r="CI1354"/>
      <c r="CU1354" s="42">
        <v>1349</v>
      </c>
      <c r="CV1354" s="115">
        <v>4</v>
      </c>
      <c r="CW1354" s="115">
        <v>0.11332468572476186</v>
      </c>
      <c r="CX1354" s="115" t="e">
        <v>#N/A</v>
      </c>
      <c r="CY1354" s="115" t="e">
        <v>#N/A</v>
      </c>
      <c r="CZ1354" s="137" t="e">
        <v>#N/A</v>
      </c>
      <c r="DA1354">
        <v>0.11332468572476186</v>
      </c>
      <c r="DB1354" t="str">
        <v/>
      </c>
    </row>
    <row r="1355" spans="83:106" x14ac:dyDescent="0.2">
      <c r="CE1355"/>
      <c r="CF1355"/>
      <c r="CG1355"/>
      <c r="CH1355"/>
      <c r="CI1355"/>
      <c r="CU1355" s="42">
        <v>1350</v>
      </c>
      <c r="CV1355" s="115">
        <v>4</v>
      </c>
      <c r="CW1355" s="115">
        <v>0.11332468572476186</v>
      </c>
      <c r="CX1355" s="115" t="e">
        <v>#N/A</v>
      </c>
      <c r="CY1355" s="115" t="e">
        <v>#N/A</v>
      </c>
      <c r="CZ1355" s="137" t="e">
        <v>#N/A</v>
      </c>
      <c r="DA1355">
        <v>0.11332468572476186</v>
      </c>
      <c r="DB1355" t="str">
        <v/>
      </c>
    </row>
    <row r="1356" spans="83:106" x14ac:dyDescent="0.2">
      <c r="CE1356"/>
      <c r="CF1356"/>
      <c r="CG1356"/>
      <c r="CH1356"/>
      <c r="CI1356"/>
      <c r="CU1356" s="42">
        <v>1351</v>
      </c>
      <c r="CV1356" s="115">
        <v>4</v>
      </c>
      <c r="CW1356" s="115">
        <v>0.11332468572476186</v>
      </c>
      <c r="CX1356" s="115" t="e">
        <v>#N/A</v>
      </c>
      <c r="CY1356" s="115" t="e">
        <v>#N/A</v>
      </c>
      <c r="CZ1356" s="137" t="e">
        <v>#N/A</v>
      </c>
      <c r="DA1356">
        <v>0.11332468572476186</v>
      </c>
      <c r="DB1356" t="str">
        <v/>
      </c>
    </row>
    <row r="1357" spans="83:106" x14ac:dyDescent="0.2">
      <c r="CE1357"/>
      <c r="CF1357"/>
      <c r="CG1357"/>
      <c r="CH1357"/>
      <c r="CI1357"/>
      <c r="CU1357" s="42">
        <v>1352</v>
      </c>
      <c r="CV1357" s="115">
        <v>4</v>
      </c>
      <c r="CW1357" s="115">
        <v>0.11332468572476186</v>
      </c>
      <c r="CX1357" s="115" t="e">
        <v>#N/A</v>
      </c>
      <c r="CY1357" s="115" t="e">
        <v>#N/A</v>
      </c>
      <c r="CZ1357" s="137" t="e">
        <v>#N/A</v>
      </c>
      <c r="DA1357">
        <v>0.11332468572476186</v>
      </c>
      <c r="DB1357" t="str">
        <v/>
      </c>
    </row>
    <row r="1358" spans="83:106" x14ac:dyDescent="0.2">
      <c r="CE1358"/>
      <c r="CF1358"/>
      <c r="CG1358"/>
      <c r="CH1358"/>
      <c r="CI1358"/>
      <c r="CU1358" s="42">
        <v>1353</v>
      </c>
      <c r="CV1358" s="115">
        <v>4</v>
      </c>
      <c r="CW1358" s="115">
        <v>0.11332468572476186</v>
      </c>
      <c r="CX1358" s="115" t="e">
        <v>#N/A</v>
      </c>
      <c r="CY1358" s="115" t="e">
        <v>#N/A</v>
      </c>
      <c r="CZ1358" s="137" t="e">
        <v>#N/A</v>
      </c>
      <c r="DA1358">
        <v>0.11332468572476186</v>
      </c>
      <c r="DB1358" t="str">
        <v/>
      </c>
    </row>
    <row r="1359" spans="83:106" x14ac:dyDescent="0.2">
      <c r="CE1359"/>
      <c r="CF1359"/>
      <c r="CG1359"/>
      <c r="CH1359"/>
      <c r="CI1359"/>
      <c r="CU1359" s="42">
        <v>1354</v>
      </c>
      <c r="CV1359" s="115">
        <v>4</v>
      </c>
      <c r="CW1359" s="115">
        <v>0.11332468572476186</v>
      </c>
      <c r="CX1359" s="115" t="e">
        <v>#N/A</v>
      </c>
      <c r="CY1359" s="115" t="e">
        <v>#N/A</v>
      </c>
      <c r="CZ1359" s="137" t="e">
        <v>#N/A</v>
      </c>
      <c r="DA1359">
        <v>0.11332468572476186</v>
      </c>
      <c r="DB1359" t="str">
        <v/>
      </c>
    </row>
    <row r="1360" spans="83:106" x14ac:dyDescent="0.2">
      <c r="CE1360"/>
      <c r="CF1360"/>
      <c r="CG1360"/>
      <c r="CH1360"/>
      <c r="CI1360"/>
      <c r="CU1360" s="42">
        <v>1355</v>
      </c>
      <c r="CV1360" s="115">
        <v>4</v>
      </c>
      <c r="CW1360" s="115">
        <v>0.11332468572476186</v>
      </c>
      <c r="CX1360" s="115" t="e">
        <v>#N/A</v>
      </c>
      <c r="CY1360" s="115" t="e">
        <v>#N/A</v>
      </c>
      <c r="CZ1360" s="137" t="e">
        <v>#N/A</v>
      </c>
      <c r="DA1360">
        <v>0.11332468572476186</v>
      </c>
      <c r="DB1360" t="str">
        <v/>
      </c>
    </row>
    <row r="1361" spans="83:106" x14ac:dyDescent="0.2">
      <c r="CE1361"/>
      <c r="CF1361"/>
      <c r="CG1361"/>
      <c r="CH1361"/>
      <c r="CI1361"/>
      <c r="CU1361" s="42">
        <v>1356</v>
      </c>
      <c r="CV1361" s="115">
        <v>4</v>
      </c>
      <c r="CW1361" s="115">
        <v>0.11332468572476186</v>
      </c>
      <c r="CX1361" s="115" t="e">
        <v>#N/A</v>
      </c>
      <c r="CY1361" s="115" t="e">
        <v>#N/A</v>
      </c>
      <c r="CZ1361" s="137" t="e">
        <v>#N/A</v>
      </c>
      <c r="DA1361">
        <v>0.11332468572476186</v>
      </c>
      <c r="DB1361" t="str">
        <v/>
      </c>
    </row>
    <row r="1362" spans="83:106" x14ac:dyDescent="0.2">
      <c r="CE1362"/>
      <c r="CF1362"/>
      <c r="CG1362"/>
      <c r="CH1362"/>
      <c r="CI1362"/>
      <c r="CU1362" s="42">
        <v>1357</v>
      </c>
      <c r="CV1362" s="115">
        <v>4</v>
      </c>
      <c r="CW1362" s="115">
        <v>0.11332468572476186</v>
      </c>
      <c r="CX1362" s="115" t="e">
        <v>#N/A</v>
      </c>
      <c r="CY1362" s="115" t="e">
        <v>#N/A</v>
      </c>
      <c r="CZ1362" s="137" t="e">
        <v>#N/A</v>
      </c>
      <c r="DA1362">
        <v>0.11332468572476186</v>
      </c>
      <c r="DB1362" t="str">
        <v/>
      </c>
    </row>
    <row r="1363" spans="83:106" x14ac:dyDescent="0.2">
      <c r="CE1363"/>
      <c r="CF1363"/>
      <c r="CG1363"/>
      <c r="CH1363"/>
      <c r="CI1363"/>
      <c r="CU1363" s="42">
        <v>1358</v>
      </c>
      <c r="CV1363" s="115">
        <v>4</v>
      </c>
      <c r="CW1363" s="115">
        <v>0.11332468572476186</v>
      </c>
      <c r="CX1363" s="115" t="e">
        <v>#N/A</v>
      </c>
      <c r="CY1363" s="115" t="e">
        <v>#N/A</v>
      </c>
      <c r="CZ1363" s="137" t="e">
        <v>#N/A</v>
      </c>
      <c r="DA1363">
        <v>0.11332468572476186</v>
      </c>
      <c r="DB1363" t="str">
        <v/>
      </c>
    </row>
    <row r="1364" spans="83:106" x14ac:dyDescent="0.2">
      <c r="CE1364"/>
      <c r="CF1364"/>
      <c r="CG1364"/>
      <c r="CH1364"/>
      <c r="CI1364"/>
      <c r="CU1364" s="42">
        <v>1359</v>
      </c>
      <c r="CV1364" s="115">
        <v>4</v>
      </c>
      <c r="CW1364" s="115">
        <v>0.11332468572476186</v>
      </c>
      <c r="CX1364" s="115" t="e">
        <v>#N/A</v>
      </c>
      <c r="CY1364" s="115" t="e">
        <v>#N/A</v>
      </c>
      <c r="CZ1364" s="137" t="e">
        <v>#N/A</v>
      </c>
      <c r="DA1364">
        <v>0.11332468572476186</v>
      </c>
      <c r="DB1364" t="str">
        <v/>
      </c>
    </row>
    <row r="1365" spans="83:106" x14ac:dyDescent="0.2">
      <c r="CE1365"/>
      <c r="CF1365"/>
      <c r="CG1365"/>
      <c r="CH1365"/>
      <c r="CI1365"/>
      <c r="CU1365" s="42">
        <v>1360</v>
      </c>
      <c r="CV1365" s="115">
        <v>4</v>
      </c>
      <c r="CW1365" s="115">
        <v>0.11332468572476186</v>
      </c>
      <c r="CX1365" s="115" t="e">
        <v>#N/A</v>
      </c>
      <c r="CY1365" s="115" t="e">
        <v>#N/A</v>
      </c>
      <c r="CZ1365" s="137" t="e">
        <v>#N/A</v>
      </c>
      <c r="DA1365">
        <v>0.11332468572476186</v>
      </c>
      <c r="DB1365" t="str">
        <v/>
      </c>
    </row>
    <row r="1366" spans="83:106" x14ac:dyDescent="0.2">
      <c r="CE1366"/>
      <c r="CF1366"/>
      <c r="CG1366"/>
      <c r="CH1366"/>
      <c r="CI1366"/>
      <c r="CU1366" s="42">
        <v>1361</v>
      </c>
      <c r="CV1366" s="115">
        <v>4</v>
      </c>
      <c r="CW1366" s="115">
        <v>0.11332468572476186</v>
      </c>
      <c r="CX1366" s="115" t="e">
        <v>#N/A</v>
      </c>
      <c r="CY1366" s="115" t="e">
        <v>#N/A</v>
      </c>
      <c r="CZ1366" s="137" t="e">
        <v>#N/A</v>
      </c>
      <c r="DA1366">
        <v>0.11332468572476186</v>
      </c>
      <c r="DB1366" t="str">
        <v/>
      </c>
    </row>
    <row r="1367" spans="83:106" x14ac:dyDescent="0.2">
      <c r="CE1367"/>
      <c r="CF1367"/>
      <c r="CG1367"/>
      <c r="CH1367"/>
      <c r="CI1367"/>
      <c r="CU1367" s="42">
        <v>1362</v>
      </c>
      <c r="CV1367" s="115">
        <v>4</v>
      </c>
      <c r="CW1367" s="115">
        <v>0.11332468572476186</v>
      </c>
      <c r="CX1367" s="115" t="e">
        <v>#N/A</v>
      </c>
      <c r="CY1367" s="115" t="e">
        <v>#N/A</v>
      </c>
      <c r="CZ1367" s="137" t="e">
        <v>#N/A</v>
      </c>
      <c r="DA1367">
        <v>0.11332468572476186</v>
      </c>
      <c r="DB1367" t="str">
        <v/>
      </c>
    </row>
    <row r="1368" spans="83:106" x14ac:dyDescent="0.2">
      <c r="CE1368"/>
      <c r="CF1368"/>
      <c r="CG1368"/>
      <c r="CH1368"/>
      <c r="CI1368"/>
      <c r="CU1368" s="42">
        <v>1363</v>
      </c>
      <c r="CV1368" s="115">
        <v>4</v>
      </c>
      <c r="CW1368" s="115">
        <v>0.11332468572476186</v>
      </c>
      <c r="CX1368" s="115" t="e">
        <v>#N/A</v>
      </c>
      <c r="CY1368" s="115" t="e">
        <v>#N/A</v>
      </c>
      <c r="CZ1368" s="137" t="e">
        <v>#N/A</v>
      </c>
      <c r="DA1368">
        <v>0.11332468572476186</v>
      </c>
      <c r="DB1368" t="str">
        <v/>
      </c>
    </row>
    <row r="1369" spans="83:106" x14ac:dyDescent="0.2">
      <c r="CE1369"/>
      <c r="CF1369"/>
      <c r="CG1369"/>
      <c r="CH1369"/>
      <c r="CI1369"/>
      <c r="CU1369" s="42">
        <v>1364</v>
      </c>
      <c r="CV1369" s="115">
        <v>4</v>
      </c>
      <c r="CW1369" s="115">
        <v>0.11332468572476186</v>
      </c>
      <c r="CX1369" s="115" t="e">
        <v>#N/A</v>
      </c>
      <c r="CY1369" s="115" t="e">
        <v>#N/A</v>
      </c>
      <c r="CZ1369" s="137" t="e">
        <v>#N/A</v>
      </c>
      <c r="DA1369">
        <v>0.11332468572476186</v>
      </c>
      <c r="DB1369" t="str">
        <v/>
      </c>
    </row>
    <row r="1370" spans="83:106" x14ac:dyDescent="0.2">
      <c r="CE1370"/>
      <c r="CF1370"/>
      <c r="CG1370"/>
      <c r="CH1370"/>
      <c r="CI1370"/>
      <c r="CU1370" s="42">
        <v>1365</v>
      </c>
      <c r="CV1370" s="115">
        <v>4</v>
      </c>
      <c r="CW1370" s="115">
        <v>0.11332468572476186</v>
      </c>
      <c r="CX1370" s="115" t="e">
        <v>#N/A</v>
      </c>
      <c r="CY1370" s="115" t="e">
        <v>#N/A</v>
      </c>
      <c r="CZ1370" s="137" t="e">
        <v>#N/A</v>
      </c>
      <c r="DA1370">
        <v>0.11332468572476186</v>
      </c>
      <c r="DB1370" t="str">
        <v/>
      </c>
    </row>
    <row r="1371" spans="83:106" x14ac:dyDescent="0.2">
      <c r="CE1371"/>
      <c r="CF1371"/>
      <c r="CG1371"/>
      <c r="CH1371"/>
      <c r="CI1371"/>
      <c r="CU1371" s="42">
        <v>1366</v>
      </c>
      <c r="CV1371" s="115">
        <v>4</v>
      </c>
      <c r="CW1371" s="115">
        <v>0.11332468572476186</v>
      </c>
      <c r="CX1371" s="115" t="e">
        <v>#N/A</v>
      </c>
      <c r="CY1371" s="115" t="e">
        <v>#N/A</v>
      </c>
      <c r="CZ1371" s="137" t="e">
        <v>#N/A</v>
      </c>
      <c r="DA1371">
        <v>0.11332468572476186</v>
      </c>
      <c r="DB1371" t="str">
        <v/>
      </c>
    </row>
    <row r="1372" spans="83:106" x14ac:dyDescent="0.2">
      <c r="CE1372"/>
      <c r="CF1372"/>
      <c r="CG1372"/>
      <c r="CH1372"/>
      <c r="CI1372"/>
      <c r="CU1372" s="42">
        <v>1367</v>
      </c>
      <c r="CV1372" s="115">
        <v>4</v>
      </c>
      <c r="CW1372" s="115">
        <v>0.11332468572476186</v>
      </c>
      <c r="CX1372" s="115" t="e">
        <v>#N/A</v>
      </c>
      <c r="CY1372" s="115" t="e">
        <v>#N/A</v>
      </c>
      <c r="CZ1372" s="137" t="e">
        <v>#N/A</v>
      </c>
      <c r="DA1372">
        <v>0.11332468572476186</v>
      </c>
      <c r="DB1372" t="str">
        <v/>
      </c>
    </row>
    <row r="1373" spans="83:106" x14ac:dyDescent="0.2">
      <c r="CE1373"/>
      <c r="CF1373"/>
      <c r="CG1373"/>
      <c r="CH1373"/>
      <c r="CI1373"/>
      <c r="CU1373" s="42">
        <v>1368</v>
      </c>
      <c r="CV1373" s="115">
        <v>4</v>
      </c>
      <c r="CW1373" s="115">
        <v>0.11332468572476186</v>
      </c>
      <c r="CX1373" s="115" t="e">
        <v>#N/A</v>
      </c>
      <c r="CY1373" s="115" t="e">
        <v>#N/A</v>
      </c>
      <c r="CZ1373" s="137" t="e">
        <v>#N/A</v>
      </c>
      <c r="DA1373">
        <v>0.11332468572476186</v>
      </c>
      <c r="DB1373" t="str">
        <v/>
      </c>
    </row>
    <row r="1374" spans="83:106" x14ac:dyDescent="0.2">
      <c r="CE1374"/>
      <c r="CF1374"/>
      <c r="CG1374"/>
      <c r="CH1374"/>
      <c r="CI1374"/>
      <c r="CU1374" s="42">
        <v>1369</v>
      </c>
      <c r="CV1374" s="115">
        <v>4</v>
      </c>
      <c r="CW1374" s="115">
        <v>0.11332468572476186</v>
      </c>
      <c r="CX1374" s="115" t="e">
        <v>#N/A</v>
      </c>
      <c r="CY1374" s="115" t="e">
        <v>#N/A</v>
      </c>
      <c r="CZ1374" s="137" t="e">
        <v>#N/A</v>
      </c>
      <c r="DA1374">
        <v>0.11332468572476186</v>
      </c>
      <c r="DB1374" t="str">
        <v/>
      </c>
    </row>
    <row r="1375" spans="83:106" x14ac:dyDescent="0.2">
      <c r="CE1375"/>
      <c r="CF1375"/>
      <c r="CG1375"/>
      <c r="CH1375"/>
      <c r="CI1375"/>
      <c r="CU1375" s="42">
        <v>1370</v>
      </c>
      <c r="CV1375" s="115">
        <v>4</v>
      </c>
      <c r="CW1375" s="115">
        <v>0.11332468572476186</v>
      </c>
      <c r="CX1375" s="115" t="e">
        <v>#N/A</v>
      </c>
      <c r="CY1375" s="115" t="e">
        <v>#N/A</v>
      </c>
      <c r="CZ1375" s="137" t="e">
        <v>#N/A</v>
      </c>
      <c r="DA1375">
        <v>0.11332468572476186</v>
      </c>
      <c r="DB1375" t="str">
        <v/>
      </c>
    </row>
    <row r="1376" spans="83:106" x14ac:dyDescent="0.2">
      <c r="CE1376"/>
      <c r="CF1376"/>
      <c r="CG1376"/>
      <c r="CH1376"/>
      <c r="CI1376"/>
      <c r="CU1376" s="42">
        <v>1371</v>
      </c>
      <c r="CV1376" s="115">
        <v>4</v>
      </c>
      <c r="CW1376" s="115">
        <v>0.11332468572476186</v>
      </c>
      <c r="CX1376" s="115" t="e">
        <v>#N/A</v>
      </c>
      <c r="CY1376" s="115" t="e">
        <v>#N/A</v>
      </c>
      <c r="CZ1376" s="137" t="e">
        <v>#N/A</v>
      </c>
      <c r="DA1376">
        <v>0.11332468572476186</v>
      </c>
      <c r="DB1376" t="str">
        <v/>
      </c>
    </row>
    <row r="1377" spans="83:106" x14ac:dyDescent="0.2">
      <c r="CE1377"/>
      <c r="CF1377"/>
      <c r="CG1377"/>
      <c r="CH1377"/>
      <c r="CI1377"/>
      <c r="CU1377" s="42">
        <v>1372</v>
      </c>
      <c r="CV1377" s="115">
        <v>4</v>
      </c>
      <c r="CW1377" s="115">
        <v>0.11332468572476186</v>
      </c>
      <c r="CX1377" s="115" t="e">
        <v>#N/A</v>
      </c>
      <c r="CY1377" s="115" t="e">
        <v>#N/A</v>
      </c>
      <c r="CZ1377" s="137" t="e">
        <v>#N/A</v>
      </c>
      <c r="DA1377">
        <v>0.11332468572476186</v>
      </c>
      <c r="DB1377" t="str">
        <v/>
      </c>
    </row>
    <row r="1378" spans="83:106" x14ac:dyDescent="0.2">
      <c r="CE1378"/>
      <c r="CF1378"/>
      <c r="CG1378"/>
      <c r="CH1378"/>
      <c r="CI1378"/>
      <c r="CU1378" s="42">
        <v>1373</v>
      </c>
      <c r="CV1378" s="115">
        <v>4</v>
      </c>
      <c r="CW1378" s="115">
        <v>0.11332468572476186</v>
      </c>
      <c r="CX1378" s="115" t="e">
        <v>#N/A</v>
      </c>
      <c r="CY1378" s="115" t="e">
        <v>#N/A</v>
      </c>
      <c r="CZ1378" s="137" t="e">
        <v>#N/A</v>
      </c>
      <c r="DA1378">
        <v>0.11332468572476186</v>
      </c>
      <c r="DB1378" t="str">
        <v/>
      </c>
    </row>
    <row r="1379" spans="83:106" x14ac:dyDescent="0.2">
      <c r="CE1379"/>
      <c r="CF1379"/>
      <c r="CG1379"/>
      <c r="CH1379"/>
      <c r="CI1379"/>
      <c r="CU1379" s="42">
        <v>1374</v>
      </c>
      <c r="CV1379" s="115">
        <v>4</v>
      </c>
      <c r="CW1379" s="115">
        <v>0.11332468572476186</v>
      </c>
      <c r="CX1379" s="115" t="e">
        <v>#N/A</v>
      </c>
      <c r="CY1379" s="115" t="e">
        <v>#N/A</v>
      </c>
      <c r="CZ1379" s="137" t="e">
        <v>#N/A</v>
      </c>
      <c r="DA1379">
        <v>0.11332468572476186</v>
      </c>
      <c r="DB1379" t="str">
        <v/>
      </c>
    </row>
    <row r="1380" spans="83:106" x14ac:dyDescent="0.2">
      <c r="CE1380"/>
      <c r="CF1380"/>
      <c r="CG1380"/>
      <c r="CH1380"/>
      <c r="CI1380"/>
      <c r="CU1380" s="42">
        <v>1375</v>
      </c>
      <c r="CV1380" s="115">
        <v>4</v>
      </c>
      <c r="CW1380" s="115">
        <v>0.11332468572476186</v>
      </c>
      <c r="CX1380" s="115" t="e">
        <v>#N/A</v>
      </c>
      <c r="CY1380" s="115" t="e">
        <v>#N/A</v>
      </c>
      <c r="CZ1380" s="137" t="e">
        <v>#N/A</v>
      </c>
      <c r="DA1380">
        <v>0.11332468572476186</v>
      </c>
      <c r="DB1380" t="str">
        <v/>
      </c>
    </row>
    <row r="1381" spans="83:106" x14ac:dyDescent="0.2">
      <c r="CE1381"/>
      <c r="CF1381"/>
      <c r="CG1381"/>
      <c r="CH1381"/>
      <c r="CI1381"/>
      <c r="CU1381" s="42">
        <v>1376</v>
      </c>
      <c r="CV1381" s="115">
        <v>4</v>
      </c>
      <c r="CW1381" s="115">
        <v>0.11332468572476186</v>
      </c>
      <c r="CX1381" s="115" t="e">
        <v>#N/A</v>
      </c>
      <c r="CY1381" s="115" t="e">
        <v>#N/A</v>
      </c>
      <c r="CZ1381" s="137" t="e">
        <v>#N/A</v>
      </c>
      <c r="DA1381">
        <v>0.11332468572476186</v>
      </c>
      <c r="DB1381" t="str">
        <v/>
      </c>
    </row>
    <row r="1382" spans="83:106" x14ac:dyDescent="0.2">
      <c r="CE1382"/>
      <c r="CF1382"/>
      <c r="CG1382"/>
      <c r="CH1382"/>
      <c r="CI1382"/>
      <c r="CU1382" s="42">
        <v>1377</v>
      </c>
      <c r="CV1382" s="115">
        <v>4</v>
      </c>
      <c r="CW1382" s="115">
        <v>0.11332468572476186</v>
      </c>
      <c r="CX1382" s="115" t="e">
        <v>#N/A</v>
      </c>
      <c r="CY1382" s="115" t="e">
        <v>#N/A</v>
      </c>
      <c r="CZ1382" s="137" t="e">
        <v>#N/A</v>
      </c>
      <c r="DA1382">
        <v>0.11332468572476186</v>
      </c>
      <c r="DB1382" t="str">
        <v/>
      </c>
    </row>
    <row r="1383" spans="83:106" x14ac:dyDescent="0.2">
      <c r="CE1383"/>
      <c r="CF1383"/>
      <c r="CG1383"/>
      <c r="CH1383"/>
      <c r="CI1383"/>
      <c r="CU1383" s="42">
        <v>1378</v>
      </c>
      <c r="CV1383" s="115">
        <v>4</v>
      </c>
      <c r="CW1383" s="115">
        <v>0.11332468572476186</v>
      </c>
      <c r="CX1383" s="115" t="e">
        <v>#N/A</v>
      </c>
      <c r="CY1383" s="115" t="e">
        <v>#N/A</v>
      </c>
      <c r="CZ1383" s="137" t="e">
        <v>#N/A</v>
      </c>
      <c r="DA1383">
        <v>0.11332468572476186</v>
      </c>
      <c r="DB1383" t="str">
        <v/>
      </c>
    </row>
    <row r="1384" spans="83:106" x14ac:dyDescent="0.2">
      <c r="CE1384"/>
      <c r="CF1384"/>
      <c r="CG1384"/>
      <c r="CH1384"/>
      <c r="CI1384"/>
      <c r="CU1384" s="42">
        <v>1379</v>
      </c>
      <c r="CV1384" s="115">
        <v>4</v>
      </c>
      <c r="CW1384" s="115">
        <v>0.11332468572476186</v>
      </c>
      <c r="CX1384" s="115" t="e">
        <v>#N/A</v>
      </c>
      <c r="CY1384" s="115" t="e">
        <v>#N/A</v>
      </c>
      <c r="CZ1384" s="137" t="e">
        <v>#N/A</v>
      </c>
      <c r="DA1384">
        <v>0.11332468572476186</v>
      </c>
      <c r="DB1384" t="str">
        <v/>
      </c>
    </row>
    <row r="1385" spans="83:106" x14ac:dyDescent="0.2">
      <c r="CE1385"/>
      <c r="CF1385"/>
      <c r="CG1385"/>
      <c r="CH1385"/>
      <c r="CI1385"/>
      <c r="CU1385" s="42">
        <v>1380</v>
      </c>
      <c r="CV1385" s="115">
        <v>4</v>
      </c>
      <c r="CW1385" s="115">
        <v>0.11332468572476186</v>
      </c>
      <c r="CX1385" s="115" t="e">
        <v>#N/A</v>
      </c>
      <c r="CY1385" s="115" t="e">
        <v>#N/A</v>
      </c>
      <c r="CZ1385" s="137" t="e">
        <v>#N/A</v>
      </c>
      <c r="DA1385">
        <v>0.11332468572476186</v>
      </c>
      <c r="DB1385" t="str">
        <v/>
      </c>
    </row>
    <row r="1386" spans="83:106" x14ac:dyDescent="0.2">
      <c r="CE1386"/>
      <c r="CF1386"/>
      <c r="CG1386"/>
      <c r="CH1386"/>
      <c r="CI1386"/>
      <c r="CU1386" s="42">
        <v>1381</v>
      </c>
      <c r="CV1386" s="115">
        <v>4</v>
      </c>
      <c r="CW1386" s="115">
        <v>0.11332468572476186</v>
      </c>
      <c r="CX1386" s="115" t="e">
        <v>#N/A</v>
      </c>
      <c r="CY1386" s="115" t="e">
        <v>#N/A</v>
      </c>
      <c r="CZ1386" s="137" t="e">
        <v>#N/A</v>
      </c>
      <c r="DA1386">
        <v>0.11332468572476186</v>
      </c>
      <c r="DB1386" t="str">
        <v/>
      </c>
    </row>
    <row r="1387" spans="83:106" x14ac:dyDescent="0.2">
      <c r="CE1387"/>
      <c r="CF1387"/>
      <c r="CG1387"/>
      <c r="CH1387"/>
      <c r="CI1387"/>
      <c r="CU1387" s="42">
        <v>1382</v>
      </c>
      <c r="CV1387" s="115">
        <v>4</v>
      </c>
      <c r="CW1387" s="115">
        <v>0.11332468572476186</v>
      </c>
      <c r="CX1387" s="115" t="e">
        <v>#N/A</v>
      </c>
      <c r="CY1387" s="115" t="e">
        <v>#N/A</v>
      </c>
      <c r="CZ1387" s="137" t="e">
        <v>#N/A</v>
      </c>
      <c r="DA1387">
        <v>0.11332468572476186</v>
      </c>
      <c r="DB1387" t="str">
        <v/>
      </c>
    </row>
    <row r="1388" spans="83:106" x14ac:dyDescent="0.2">
      <c r="CE1388"/>
      <c r="CF1388"/>
      <c r="CG1388"/>
      <c r="CH1388"/>
      <c r="CI1388"/>
      <c r="CU1388" s="42">
        <v>1383</v>
      </c>
      <c r="CV1388" s="115">
        <v>4</v>
      </c>
      <c r="CW1388" s="115">
        <v>0.11332468572476186</v>
      </c>
      <c r="CX1388" s="115" t="e">
        <v>#N/A</v>
      </c>
      <c r="CY1388" s="115" t="e">
        <v>#N/A</v>
      </c>
      <c r="CZ1388" s="137" t="e">
        <v>#N/A</v>
      </c>
      <c r="DA1388">
        <v>0.11332468572476186</v>
      </c>
      <c r="DB1388" t="str">
        <v/>
      </c>
    </row>
    <row r="1389" spans="83:106" x14ac:dyDescent="0.2">
      <c r="CE1389"/>
      <c r="CF1389"/>
      <c r="CG1389"/>
      <c r="CH1389"/>
      <c r="CI1389"/>
      <c r="CU1389" s="42">
        <v>1384</v>
      </c>
      <c r="CV1389" s="115">
        <v>4</v>
      </c>
      <c r="CW1389" s="115">
        <v>0.11332468572476186</v>
      </c>
      <c r="CX1389" s="115" t="e">
        <v>#N/A</v>
      </c>
      <c r="CY1389" s="115" t="e">
        <v>#N/A</v>
      </c>
      <c r="CZ1389" s="137" t="e">
        <v>#N/A</v>
      </c>
      <c r="DA1389">
        <v>0.11332468572476186</v>
      </c>
      <c r="DB1389" t="str">
        <v/>
      </c>
    </row>
    <row r="1390" spans="83:106" x14ac:dyDescent="0.2">
      <c r="CE1390"/>
      <c r="CF1390"/>
      <c r="CG1390"/>
      <c r="CH1390"/>
      <c r="CI1390"/>
      <c r="CU1390" s="42">
        <v>1385</v>
      </c>
      <c r="CV1390" s="115">
        <v>4</v>
      </c>
      <c r="CW1390" s="115">
        <v>0.11332468572476186</v>
      </c>
      <c r="CX1390" s="115" t="e">
        <v>#N/A</v>
      </c>
      <c r="CY1390" s="115" t="e">
        <v>#N/A</v>
      </c>
      <c r="CZ1390" s="137" t="e">
        <v>#N/A</v>
      </c>
      <c r="DA1390">
        <v>0.11332468572476186</v>
      </c>
      <c r="DB1390" t="str">
        <v/>
      </c>
    </row>
    <row r="1391" spans="83:106" x14ac:dyDescent="0.2">
      <c r="CE1391"/>
      <c r="CF1391"/>
      <c r="CG1391"/>
      <c r="CH1391"/>
      <c r="CI1391"/>
      <c r="CU1391" s="42">
        <v>1386</v>
      </c>
      <c r="CV1391" s="115">
        <v>4</v>
      </c>
      <c r="CW1391" s="115">
        <v>0.11332468572476186</v>
      </c>
      <c r="CX1391" s="115" t="e">
        <v>#N/A</v>
      </c>
      <c r="CY1391" s="115" t="e">
        <v>#N/A</v>
      </c>
      <c r="CZ1391" s="137" t="e">
        <v>#N/A</v>
      </c>
      <c r="DA1391">
        <v>0.11332468572476186</v>
      </c>
      <c r="DB1391" t="str">
        <v/>
      </c>
    </row>
    <row r="1392" spans="83:106" x14ac:dyDescent="0.2">
      <c r="CE1392"/>
      <c r="CF1392"/>
      <c r="CG1392"/>
      <c r="CH1392"/>
      <c r="CI1392"/>
      <c r="CU1392" s="42">
        <v>1387</v>
      </c>
      <c r="CV1392" s="115">
        <v>4</v>
      </c>
      <c r="CW1392" s="115">
        <v>0.11332468572476186</v>
      </c>
      <c r="CX1392" s="115" t="e">
        <v>#N/A</v>
      </c>
      <c r="CY1392" s="115" t="e">
        <v>#N/A</v>
      </c>
      <c r="CZ1392" s="137" t="e">
        <v>#N/A</v>
      </c>
      <c r="DA1392">
        <v>0.11332468572476186</v>
      </c>
      <c r="DB1392" t="str">
        <v/>
      </c>
    </row>
    <row r="1393" spans="83:106" x14ac:dyDescent="0.2">
      <c r="CE1393"/>
      <c r="CF1393"/>
      <c r="CG1393"/>
      <c r="CH1393"/>
      <c r="CI1393"/>
      <c r="CU1393" s="42">
        <v>1388</v>
      </c>
      <c r="CV1393" s="115">
        <v>4</v>
      </c>
      <c r="CW1393" s="115">
        <v>0.11332468572476186</v>
      </c>
      <c r="CX1393" s="115" t="e">
        <v>#N/A</v>
      </c>
      <c r="CY1393" s="115" t="e">
        <v>#N/A</v>
      </c>
      <c r="CZ1393" s="137" t="e">
        <v>#N/A</v>
      </c>
      <c r="DA1393">
        <v>0.11332468572476186</v>
      </c>
      <c r="DB1393" t="str">
        <v/>
      </c>
    </row>
    <row r="1394" spans="83:106" x14ac:dyDescent="0.2">
      <c r="CE1394"/>
      <c r="CF1394"/>
      <c r="CG1394"/>
      <c r="CH1394"/>
      <c r="CI1394"/>
      <c r="CU1394" s="42">
        <v>1389</v>
      </c>
      <c r="CV1394" s="115">
        <v>4</v>
      </c>
      <c r="CW1394" s="115">
        <v>0.11332468572476186</v>
      </c>
      <c r="CX1394" s="115" t="e">
        <v>#N/A</v>
      </c>
      <c r="CY1394" s="115" t="e">
        <v>#N/A</v>
      </c>
      <c r="CZ1394" s="137" t="e">
        <v>#N/A</v>
      </c>
      <c r="DA1394">
        <v>0.11332468572476186</v>
      </c>
      <c r="DB1394" t="str">
        <v/>
      </c>
    </row>
    <row r="1395" spans="83:106" x14ac:dyDescent="0.2">
      <c r="CE1395"/>
      <c r="CF1395"/>
      <c r="CG1395"/>
      <c r="CH1395"/>
      <c r="CI1395"/>
      <c r="CU1395" s="42">
        <v>1390</v>
      </c>
      <c r="CV1395" s="115">
        <v>4</v>
      </c>
      <c r="CW1395" s="115">
        <v>0.11332468572476186</v>
      </c>
      <c r="CX1395" s="115" t="e">
        <v>#N/A</v>
      </c>
      <c r="CY1395" s="115" t="e">
        <v>#N/A</v>
      </c>
      <c r="CZ1395" s="137" t="e">
        <v>#N/A</v>
      </c>
      <c r="DA1395">
        <v>0.11332468572476186</v>
      </c>
      <c r="DB1395" t="str">
        <v/>
      </c>
    </row>
    <row r="1396" spans="83:106" x14ac:dyDescent="0.2">
      <c r="CE1396"/>
      <c r="CF1396"/>
      <c r="CG1396"/>
      <c r="CH1396"/>
      <c r="CI1396"/>
      <c r="CU1396" s="42">
        <v>1391</v>
      </c>
      <c r="CV1396" s="115">
        <v>4</v>
      </c>
      <c r="CW1396" s="115">
        <v>0.11332468572476186</v>
      </c>
      <c r="CX1396" s="115" t="e">
        <v>#N/A</v>
      </c>
      <c r="CY1396" s="115" t="e">
        <v>#N/A</v>
      </c>
      <c r="CZ1396" s="137" t="e">
        <v>#N/A</v>
      </c>
      <c r="DA1396">
        <v>0.11332468572476186</v>
      </c>
      <c r="DB1396" t="str">
        <v/>
      </c>
    </row>
    <row r="1397" spans="83:106" x14ac:dyDescent="0.2">
      <c r="CE1397"/>
      <c r="CF1397"/>
      <c r="CG1397"/>
      <c r="CH1397"/>
      <c r="CI1397"/>
      <c r="CU1397" s="42">
        <v>1392</v>
      </c>
      <c r="CV1397" s="115">
        <v>4</v>
      </c>
      <c r="CW1397" s="115">
        <v>0.11332468572476186</v>
      </c>
      <c r="CX1397" s="115" t="e">
        <v>#N/A</v>
      </c>
      <c r="CY1397" s="115" t="e">
        <v>#N/A</v>
      </c>
      <c r="CZ1397" s="137" t="e">
        <v>#N/A</v>
      </c>
      <c r="DA1397">
        <v>0.11332468572476186</v>
      </c>
      <c r="DB1397" t="str">
        <v/>
      </c>
    </row>
    <row r="1398" spans="83:106" x14ac:dyDescent="0.2">
      <c r="CE1398"/>
      <c r="CF1398"/>
      <c r="CG1398"/>
      <c r="CH1398"/>
      <c r="CI1398"/>
      <c r="CU1398" s="42">
        <v>1393</v>
      </c>
      <c r="CV1398" s="115">
        <v>4</v>
      </c>
      <c r="CW1398" s="115">
        <v>0.11332468572476186</v>
      </c>
      <c r="CX1398" s="115" t="e">
        <v>#N/A</v>
      </c>
      <c r="CY1398" s="115" t="e">
        <v>#N/A</v>
      </c>
      <c r="CZ1398" s="137" t="e">
        <v>#N/A</v>
      </c>
      <c r="DA1398">
        <v>0.11332468572476186</v>
      </c>
      <c r="DB1398" t="str">
        <v/>
      </c>
    </row>
    <row r="1399" spans="83:106" x14ac:dyDescent="0.2">
      <c r="CE1399"/>
      <c r="CF1399"/>
      <c r="CG1399"/>
      <c r="CH1399"/>
      <c r="CI1399"/>
      <c r="CU1399" s="42">
        <v>1394</v>
      </c>
      <c r="CV1399" s="115">
        <v>4</v>
      </c>
      <c r="CW1399" s="115">
        <v>0.11332468572476186</v>
      </c>
      <c r="CX1399" s="115" t="e">
        <v>#N/A</v>
      </c>
      <c r="CY1399" s="115" t="e">
        <v>#N/A</v>
      </c>
      <c r="CZ1399" s="137" t="e">
        <v>#N/A</v>
      </c>
      <c r="DA1399">
        <v>0.11332468572476186</v>
      </c>
      <c r="DB1399" t="str">
        <v/>
      </c>
    </row>
    <row r="1400" spans="83:106" x14ac:dyDescent="0.2">
      <c r="CE1400"/>
      <c r="CF1400"/>
      <c r="CG1400"/>
      <c r="CH1400"/>
      <c r="CI1400"/>
      <c r="CU1400" s="42">
        <v>1395</v>
      </c>
      <c r="CV1400" s="115">
        <v>4</v>
      </c>
      <c r="CW1400" s="115">
        <v>0.11332468572476186</v>
      </c>
      <c r="CX1400" s="115" t="e">
        <v>#N/A</v>
      </c>
      <c r="CY1400" s="115" t="e">
        <v>#N/A</v>
      </c>
      <c r="CZ1400" s="137" t="e">
        <v>#N/A</v>
      </c>
      <c r="DA1400">
        <v>0.11332468572476186</v>
      </c>
      <c r="DB1400" t="str">
        <v/>
      </c>
    </row>
    <row r="1401" spans="83:106" x14ac:dyDescent="0.2">
      <c r="CE1401"/>
      <c r="CF1401"/>
      <c r="CG1401"/>
      <c r="CH1401"/>
      <c r="CI1401"/>
      <c r="CU1401" s="42">
        <v>1396</v>
      </c>
      <c r="CV1401" s="115">
        <v>4</v>
      </c>
      <c r="CW1401" s="115">
        <v>0.11332468572476186</v>
      </c>
      <c r="CX1401" s="115" t="e">
        <v>#N/A</v>
      </c>
      <c r="CY1401" s="115" t="e">
        <v>#N/A</v>
      </c>
      <c r="CZ1401" s="137" t="e">
        <v>#N/A</v>
      </c>
      <c r="DA1401">
        <v>0.11332468572476186</v>
      </c>
      <c r="DB1401" t="str">
        <v/>
      </c>
    </row>
    <row r="1402" spans="83:106" x14ac:dyDescent="0.2">
      <c r="CE1402"/>
      <c r="CF1402"/>
      <c r="CG1402"/>
      <c r="CH1402"/>
      <c r="CI1402"/>
      <c r="CU1402" s="42">
        <v>1397</v>
      </c>
      <c r="CV1402" s="115">
        <v>4</v>
      </c>
      <c r="CW1402" s="115">
        <v>0.11332468572476186</v>
      </c>
      <c r="CX1402" s="115" t="e">
        <v>#N/A</v>
      </c>
      <c r="CY1402" s="115" t="e">
        <v>#N/A</v>
      </c>
      <c r="CZ1402" s="137" t="e">
        <v>#N/A</v>
      </c>
      <c r="DA1402">
        <v>0.11332468572476186</v>
      </c>
      <c r="DB1402" t="str">
        <v/>
      </c>
    </row>
    <row r="1403" spans="83:106" x14ac:dyDescent="0.2">
      <c r="CE1403"/>
      <c r="CF1403"/>
      <c r="CG1403"/>
      <c r="CH1403"/>
      <c r="CI1403"/>
      <c r="CU1403" s="42">
        <v>1398</v>
      </c>
      <c r="CV1403" s="115">
        <v>4</v>
      </c>
      <c r="CW1403" s="115">
        <v>0.11332468572476186</v>
      </c>
      <c r="CX1403" s="115" t="e">
        <v>#N/A</v>
      </c>
      <c r="CY1403" s="115" t="e">
        <v>#N/A</v>
      </c>
      <c r="CZ1403" s="137" t="e">
        <v>#N/A</v>
      </c>
      <c r="DA1403">
        <v>0.11332468572476186</v>
      </c>
      <c r="DB1403" t="str">
        <v/>
      </c>
    </row>
    <row r="1404" spans="83:106" x14ac:dyDescent="0.2">
      <c r="CE1404"/>
      <c r="CF1404"/>
      <c r="CG1404"/>
      <c r="CH1404"/>
      <c r="CI1404"/>
      <c r="CU1404" s="42">
        <v>1399</v>
      </c>
      <c r="CV1404" s="115">
        <v>4</v>
      </c>
      <c r="CW1404" s="115">
        <v>0.11332468572476186</v>
      </c>
      <c r="CX1404" s="115" t="e">
        <v>#N/A</v>
      </c>
      <c r="CY1404" s="115" t="e">
        <v>#N/A</v>
      </c>
      <c r="CZ1404" s="137" t="e">
        <v>#N/A</v>
      </c>
      <c r="DA1404">
        <v>0.11332468572476186</v>
      </c>
      <c r="DB1404" t="str">
        <v/>
      </c>
    </row>
    <row r="1405" spans="83:106" x14ac:dyDescent="0.2">
      <c r="CE1405"/>
      <c r="CF1405"/>
      <c r="CG1405"/>
      <c r="CH1405"/>
      <c r="CI1405"/>
      <c r="CU1405" s="42">
        <v>1400</v>
      </c>
      <c r="CV1405" s="115">
        <v>4</v>
      </c>
      <c r="CW1405" s="115">
        <v>0.11332468572476186</v>
      </c>
      <c r="CX1405" s="115" t="e">
        <v>#N/A</v>
      </c>
      <c r="CY1405" s="115" t="e">
        <v>#N/A</v>
      </c>
      <c r="CZ1405" s="137" t="e">
        <v>#N/A</v>
      </c>
      <c r="DA1405">
        <v>0.11332468572476186</v>
      </c>
      <c r="DB1405" t="str">
        <v/>
      </c>
    </row>
    <row r="1406" spans="83:106" x14ac:dyDescent="0.2">
      <c r="CE1406"/>
      <c r="CF1406"/>
      <c r="CG1406"/>
      <c r="CH1406"/>
      <c r="CI1406"/>
      <c r="CU1406" s="42">
        <v>1401</v>
      </c>
      <c r="CV1406" s="115">
        <v>4</v>
      </c>
      <c r="CW1406" s="115">
        <v>0.11332468572476186</v>
      </c>
      <c r="CX1406" s="115" t="e">
        <v>#N/A</v>
      </c>
      <c r="CY1406" s="115" t="e">
        <v>#N/A</v>
      </c>
      <c r="CZ1406" s="137" t="e">
        <v>#N/A</v>
      </c>
      <c r="DA1406">
        <v>0.11332468572476186</v>
      </c>
      <c r="DB1406" t="str">
        <v/>
      </c>
    </row>
    <row r="1407" spans="83:106" x14ac:dyDescent="0.2">
      <c r="CE1407"/>
      <c r="CF1407"/>
      <c r="CG1407"/>
      <c r="CH1407"/>
      <c r="CI1407"/>
      <c r="CU1407" s="42">
        <v>1402</v>
      </c>
      <c r="CV1407" s="115">
        <v>4</v>
      </c>
      <c r="CW1407" s="115">
        <v>0.11332468572476186</v>
      </c>
      <c r="CX1407" s="115" t="e">
        <v>#N/A</v>
      </c>
      <c r="CY1407" s="115" t="e">
        <v>#N/A</v>
      </c>
      <c r="CZ1407" s="137" t="e">
        <v>#N/A</v>
      </c>
      <c r="DA1407">
        <v>0.11332468572476186</v>
      </c>
      <c r="DB1407" t="str">
        <v/>
      </c>
    </row>
    <row r="1408" spans="83:106" x14ac:dyDescent="0.2">
      <c r="CE1408"/>
      <c r="CF1408"/>
      <c r="CG1408"/>
      <c r="CH1408"/>
      <c r="CI1408"/>
      <c r="CU1408" s="42">
        <v>1403</v>
      </c>
      <c r="CV1408" s="115">
        <v>4</v>
      </c>
      <c r="CW1408" s="115">
        <v>0.11332468572476186</v>
      </c>
      <c r="CX1408" s="115" t="e">
        <v>#N/A</v>
      </c>
      <c r="CY1408" s="115" t="e">
        <v>#N/A</v>
      </c>
      <c r="CZ1408" s="137" t="e">
        <v>#N/A</v>
      </c>
      <c r="DA1408">
        <v>0.11332468572476186</v>
      </c>
      <c r="DB1408" t="str">
        <v/>
      </c>
    </row>
    <row r="1409" spans="83:106" x14ac:dyDescent="0.2">
      <c r="CE1409"/>
      <c r="CF1409"/>
      <c r="CG1409"/>
      <c r="CH1409"/>
      <c r="CI1409"/>
      <c r="CU1409" s="42">
        <v>1404</v>
      </c>
      <c r="CV1409" s="115">
        <v>4</v>
      </c>
      <c r="CW1409" s="115">
        <v>0.11332468572476186</v>
      </c>
      <c r="CX1409" s="115" t="e">
        <v>#N/A</v>
      </c>
      <c r="CY1409" s="115" t="e">
        <v>#N/A</v>
      </c>
      <c r="CZ1409" s="137" t="e">
        <v>#N/A</v>
      </c>
      <c r="DA1409">
        <v>0.11332468572476186</v>
      </c>
      <c r="DB1409" t="str">
        <v/>
      </c>
    </row>
    <row r="1410" spans="83:106" x14ac:dyDescent="0.2">
      <c r="CE1410"/>
      <c r="CF1410"/>
      <c r="CG1410"/>
      <c r="CH1410"/>
      <c r="CI1410"/>
      <c r="CU1410" s="42">
        <v>1405</v>
      </c>
      <c r="CV1410" s="115">
        <v>4</v>
      </c>
      <c r="CW1410" s="115">
        <v>0.11332468572476186</v>
      </c>
      <c r="CX1410" s="115" t="e">
        <v>#N/A</v>
      </c>
      <c r="CY1410" s="115" t="e">
        <v>#N/A</v>
      </c>
      <c r="CZ1410" s="137" t="e">
        <v>#N/A</v>
      </c>
      <c r="DA1410">
        <v>0.11332468572476186</v>
      </c>
      <c r="DB1410" t="str">
        <v/>
      </c>
    </row>
    <row r="1411" spans="83:106" x14ac:dyDescent="0.2">
      <c r="CE1411"/>
      <c r="CF1411"/>
      <c r="CG1411"/>
      <c r="CH1411"/>
      <c r="CI1411"/>
      <c r="CU1411" s="42">
        <v>1406</v>
      </c>
      <c r="CV1411" s="115">
        <v>4</v>
      </c>
      <c r="CW1411" s="115">
        <v>0.11332468572476186</v>
      </c>
      <c r="CX1411" s="115" t="e">
        <v>#N/A</v>
      </c>
      <c r="CY1411" s="115" t="e">
        <v>#N/A</v>
      </c>
      <c r="CZ1411" s="137" t="e">
        <v>#N/A</v>
      </c>
      <c r="DA1411">
        <v>0.11332468572476186</v>
      </c>
      <c r="DB1411" t="str">
        <v/>
      </c>
    </row>
    <row r="1412" spans="83:106" x14ac:dyDescent="0.2">
      <c r="CE1412"/>
      <c r="CF1412"/>
      <c r="CG1412"/>
      <c r="CH1412"/>
      <c r="CI1412"/>
      <c r="CU1412" s="42">
        <v>1407</v>
      </c>
      <c r="CV1412" s="115">
        <v>4</v>
      </c>
      <c r="CW1412" s="115">
        <v>0.11332468572476186</v>
      </c>
      <c r="CX1412" s="115" t="e">
        <v>#N/A</v>
      </c>
      <c r="CY1412" s="115" t="e">
        <v>#N/A</v>
      </c>
      <c r="CZ1412" s="137" t="e">
        <v>#N/A</v>
      </c>
      <c r="DA1412">
        <v>0.11332468572476186</v>
      </c>
      <c r="DB1412" t="str">
        <v/>
      </c>
    </row>
    <row r="1413" spans="83:106" x14ac:dyDescent="0.2">
      <c r="CE1413"/>
      <c r="CF1413"/>
      <c r="CG1413"/>
      <c r="CH1413"/>
      <c r="CI1413"/>
      <c r="CU1413" s="42">
        <v>1408</v>
      </c>
      <c r="CV1413" s="115">
        <v>4</v>
      </c>
      <c r="CW1413" s="115">
        <v>0.11332468572476186</v>
      </c>
      <c r="CX1413" s="115" t="e">
        <v>#N/A</v>
      </c>
      <c r="CY1413" s="115" t="e">
        <v>#N/A</v>
      </c>
      <c r="CZ1413" s="137" t="e">
        <v>#N/A</v>
      </c>
      <c r="DA1413">
        <v>0.11332468572476186</v>
      </c>
      <c r="DB1413" t="str">
        <v/>
      </c>
    </row>
    <row r="1414" spans="83:106" x14ac:dyDescent="0.2">
      <c r="CE1414"/>
      <c r="CF1414"/>
      <c r="CG1414"/>
      <c r="CH1414"/>
      <c r="CI1414"/>
      <c r="CU1414" s="42">
        <v>1409</v>
      </c>
      <c r="CV1414" s="115">
        <v>4</v>
      </c>
      <c r="CW1414" s="115">
        <v>0.11332468572476186</v>
      </c>
      <c r="CX1414" s="115" t="e">
        <v>#N/A</v>
      </c>
      <c r="CY1414" s="115" t="e">
        <v>#N/A</v>
      </c>
      <c r="CZ1414" s="137" t="e">
        <v>#N/A</v>
      </c>
      <c r="DA1414">
        <v>0.11332468572476186</v>
      </c>
      <c r="DB1414" t="str">
        <v/>
      </c>
    </row>
    <row r="1415" spans="83:106" x14ac:dyDescent="0.2">
      <c r="CE1415"/>
      <c r="CF1415"/>
      <c r="CG1415"/>
      <c r="CH1415"/>
      <c r="CI1415"/>
      <c r="CU1415" s="42">
        <v>1410</v>
      </c>
      <c r="CV1415" s="115">
        <v>4</v>
      </c>
      <c r="CW1415" s="115">
        <v>0.11332468572476186</v>
      </c>
      <c r="CX1415" s="115" t="e">
        <v>#N/A</v>
      </c>
      <c r="CY1415" s="115" t="e">
        <v>#N/A</v>
      </c>
      <c r="CZ1415" s="137" t="e">
        <v>#N/A</v>
      </c>
      <c r="DA1415">
        <v>0.11332468572476186</v>
      </c>
      <c r="DB1415" t="str">
        <v/>
      </c>
    </row>
    <row r="1416" spans="83:106" x14ac:dyDescent="0.2">
      <c r="CE1416"/>
      <c r="CF1416"/>
      <c r="CG1416"/>
      <c r="CH1416"/>
      <c r="CI1416"/>
      <c r="CU1416" s="42">
        <v>1411</v>
      </c>
      <c r="CV1416" s="115">
        <v>4</v>
      </c>
      <c r="CW1416" s="115">
        <v>0.11332468572476186</v>
      </c>
      <c r="CX1416" s="115" t="e">
        <v>#N/A</v>
      </c>
      <c r="CY1416" s="115" t="e">
        <v>#N/A</v>
      </c>
      <c r="CZ1416" s="137" t="e">
        <v>#N/A</v>
      </c>
      <c r="DA1416">
        <v>0.11332468572476186</v>
      </c>
      <c r="DB1416" t="str">
        <v/>
      </c>
    </row>
    <row r="1417" spans="83:106" x14ac:dyDescent="0.2">
      <c r="CE1417"/>
      <c r="CF1417"/>
      <c r="CG1417"/>
      <c r="CH1417"/>
      <c r="CI1417"/>
      <c r="CU1417" s="42">
        <v>1412</v>
      </c>
      <c r="CV1417" s="115">
        <v>4</v>
      </c>
      <c r="CW1417" s="115">
        <v>0.11332468572476186</v>
      </c>
      <c r="CX1417" s="115" t="e">
        <v>#N/A</v>
      </c>
      <c r="CY1417" s="115" t="e">
        <v>#N/A</v>
      </c>
      <c r="CZ1417" s="137" t="e">
        <v>#N/A</v>
      </c>
      <c r="DA1417">
        <v>0.11332468572476186</v>
      </c>
      <c r="DB1417" t="str">
        <v/>
      </c>
    </row>
    <row r="1418" spans="83:106" x14ac:dyDescent="0.2">
      <c r="CE1418"/>
      <c r="CF1418"/>
      <c r="CG1418"/>
      <c r="CH1418"/>
      <c r="CI1418"/>
      <c r="CU1418" s="42">
        <v>1413</v>
      </c>
      <c r="CV1418" s="115">
        <v>4</v>
      </c>
      <c r="CW1418" s="115">
        <v>0.11332468572476186</v>
      </c>
      <c r="CX1418" s="115" t="e">
        <v>#N/A</v>
      </c>
      <c r="CY1418" s="115" t="e">
        <v>#N/A</v>
      </c>
      <c r="CZ1418" s="137" t="e">
        <v>#N/A</v>
      </c>
      <c r="DA1418">
        <v>0.11332468572476186</v>
      </c>
      <c r="DB1418" t="str">
        <v/>
      </c>
    </row>
    <row r="1419" spans="83:106" x14ac:dyDescent="0.2">
      <c r="CE1419"/>
      <c r="CF1419"/>
      <c r="CG1419"/>
      <c r="CH1419"/>
      <c r="CI1419"/>
      <c r="CU1419" s="42">
        <v>1414</v>
      </c>
      <c r="CV1419" s="115">
        <v>4</v>
      </c>
      <c r="CW1419" s="115">
        <v>0.11332468572476186</v>
      </c>
      <c r="CX1419" s="115" t="e">
        <v>#N/A</v>
      </c>
      <c r="CY1419" s="115" t="e">
        <v>#N/A</v>
      </c>
      <c r="CZ1419" s="137" t="e">
        <v>#N/A</v>
      </c>
      <c r="DA1419">
        <v>0.11332468572476186</v>
      </c>
      <c r="DB1419" t="str">
        <v/>
      </c>
    </row>
    <row r="1420" spans="83:106" x14ac:dyDescent="0.2">
      <c r="CE1420"/>
      <c r="CF1420"/>
      <c r="CG1420"/>
      <c r="CH1420"/>
      <c r="CI1420"/>
      <c r="CU1420" s="42">
        <v>1415</v>
      </c>
      <c r="CV1420" s="115">
        <v>4</v>
      </c>
      <c r="CW1420" s="115">
        <v>0.11332468572476186</v>
      </c>
      <c r="CX1420" s="115" t="e">
        <v>#N/A</v>
      </c>
      <c r="CY1420" s="115" t="e">
        <v>#N/A</v>
      </c>
      <c r="CZ1420" s="137" t="e">
        <v>#N/A</v>
      </c>
      <c r="DA1420">
        <v>0.11332468572476186</v>
      </c>
      <c r="DB1420" t="str">
        <v/>
      </c>
    </row>
    <row r="1421" spans="83:106" x14ac:dyDescent="0.2">
      <c r="CE1421"/>
      <c r="CF1421"/>
      <c r="CG1421"/>
      <c r="CH1421"/>
      <c r="CI1421"/>
      <c r="CU1421" s="42">
        <v>1416</v>
      </c>
      <c r="CV1421" s="115">
        <v>4</v>
      </c>
      <c r="CW1421" s="115">
        <v>0.11332468572476186</v>
      </c>
      <c r="CX1421" s="115" t="e">
        <v>#N/A</v>
      </c>
      <c r="CY1421" s="115" t="e">
        <v>#N/A</v>
      </c>
      <c r="CZ1421" s="137" t="e">
        <v>#N/A</v>
      </c>
      <c r="DA1421">
        <v>0.11332468572476186</v>
      </c>
      <c r="DB1421" t="str">
        <v/>
      </c>
    </row>
    <row r="1422" spans="83:106" x14ac:dyDescent="0.2">
      <c r="CE1422"/>
      <c r="CF1422"/>
      <c r="CG1422"/>
      <c r="CH1422"/>
      <c r="CI1422"/>
      <c r="CU1422" s="42">
        <v>1417</v>
      </c>
      <c r="CV1422" s="115">
        <v>4</v>
      </c>
      <c r="CW1422" s="115">
        <v>0.11332468572476186</v>
      </c>
      <c r="CX1422" s="115" t="e">
        <v>#N/A</v>
      </c>
      <c r="CY1422" s="115" t="e">
        <v>#N/A</v>
      </c>
      <c r="CZ1422" s="137" t="e">
        <v>#N/A</v>
      </c>
      <c r="DA1422">
        <v>0.11332468572476186</v>
      </c>
      <c r="DB1422" t="str">
        <v/>
      </c>
    </row>
    <row r="1423" spans="83:106" x14ac:dyDescent="0.2">
      <c r="CE1423"/>
      <c r="CF1423"/>
      <c r="CG1423"/>
      <c r="CH1423"/>
      <c r="CI1423"/>
      <c r="CU1423" s="42">
        <v>1418</v>
      </c>
      <c r="CV1423" s="115">
        <v>4</v>
      </c>
      <c r="CW1423" s="115">
        <v>0.11332468572476186</v>
      </c>
      <c r="CX1423" s="115" t="e">
        <v>#N/A</v>
      </c>
      <c r="CY1423" s="115" t="e">
        <v>#N/A</v>
      </c>
      <c r="CZ1423" s="137" t="e">
        <v>#N/A</v>
      </c>
      <c r="DA1423">
        <v>0.11332468572476186</v>
      </c>
      <c r="DB1423" t="str">
        <v/>
      </c>
    </row>
    <row r="1424" spans="83:106" x14ac:dyDescent="0.2">
      <c r="CE1424"/>
      <c r="CF1424"/>
      <c r="CG1424"/>
      <c r="CH1424"/>
      <c r="CI1424"/>
      <c r="CU1424" s="42">
        <v>1419</v>
      </c>
      <c r="CV1424" s="115">
        <v>4</v>
      </c>
      <c r="CW1424" s="115">
        <v>0.11332468572476186</v>
      </c>
      <c r="CX1424" s="115" t="e">
        <v>#N/A</v>
      </c>
      <c r="CY1424" s="115" t="e">
        <v>#N/A</v>
      </c>
      <c r="CZ1424" s="137" t="e">
        <v>#N/A</v>
      </c>
      <c r="DA1424">
        <v>0.11332468572476186</v>
      </c>
      <c r="DB1424" t="str">
        <v/>
      </c>
    </row>
    <row r="1425" spans="83:106" x14ac:dyDescent="0.2">
      <c r="CE1425"/>
      <c r="CF1425"/>
      <c r="CG1425"/>
      <c r="CH1425"/>
      <c r="CI1425"/>
      <c r="CU1425" s="42">
        <v>1420</v>
      </c>
      <c r="CV1425" s="115">
        <v>4</v>
      </c>
      <c r="CW1425" s="115">
        <v>0.11332468572476186</v>
      </c>
      <c r="CX1425" s="115" t="e">
        <v>#N/A</v>
      </c>
      <c r="CY1425" s="115" t="e">
        <v>#N/A</v>
      </c>
      <c r="CZ1425" s="137" t="e">
        <v>#N/A</v>
      </c>
      <c r="DA1425">
        <v>0.11332468572476186</v>
      </c>
      <c r="DB1425" t="str">
        <v/>
      </c>
    </row>
    <row r="1426" spans="83:106" x14ac:dyDescent="0.2">
      <c r="CE1426"/>
      <c r="CF1426"/>
      <c r="CG1426"/>
      <c r="CH1426"/>
      <c r="CI1426"/>
      <c r="CU1426" s="42">
        <v>1421</v>
      </c>
      <c r="CV1426" s="115">
        <v>4</v>
      </c>
      <c r="CW1426" s="115">
        <v>0.11332468572476186</v>
      </c>
      <c r="CX1426" s="115" t="e">
        <v>#N/A</v>
      </c>
      <c r="CY1426" s="115" t="e">
        <v>#N/A</v>
      </c>
      <c r="CZ1426" s="137" t="e">
        <v>#N/A</v>
      </c>
      <c r="DA1426">
        <v>0.11332468572476186</v>
      </c>
      <c r="DB1426" t="str">
        <v/>
      </c>
    </row>
    <row r="1427" spans="83:106" x14ac:dyDescent="0.2">
      <c r="CE1427"/>
      <c r="CF1427"/>
      <c r="CG1427"/>
      <c r="CH1427"/>
      <c r="CI1427"/>
      <c r="CU1427" s="42">
        <v>1422</v>
      </c>
      <c r="CV1427" s="115">
        <v>4</v>
      </c>
      <c r="CW1427" s="115">
        <v>0.11332468572476186</v>
      </c>
      <c r="CX1427" s="115" t="e">
        <v>#N/A</v>
      </c>
      <c r="CY1427" s="115" t="e">
        <v>#N/A</v>
      </c>
      <c r="CZ1427" s="137" t="e">
        <v>#N/A</v>
      </c>
      <c r="DA1427">
        <v>0.11332468572476186</v>
      </c>
      <c r="DB1427" t="str">
        <v/>
      </c>
    </row>
    <row r="1428" spans="83:106" x14ac:dyDescent="0.2">
      <c r="CE1428"/>
      <c r="CF1428"/>
      <c r="CG1428"/>
      <c r="CH1428"/>
      <c r="CI1428"/>
      <c r="CU1428" s="42">
        <v>1423</v>
      </c>
      <c r="CV1428" s="115">
        <v>4</v>
      </c>
      <c r="CW1428" s="115">
        <v>0.11332468572476186</v>
      </c>
      <c r="CX1428" s="115" t="e">
        <v>#N/A</v>
      </c>
      <c r="CY1428" s="115" t="e">
        <v>#N/A</v>
      </c>
      <c r="CZ1428" s="137" t="e">
        <v>#N/A</v>
      </c>
      <c r="DA1428">
        <v>0.11332468572476186</v>
      </c>
      <c r="DB1428" t="str">
        <v/>
      </c>
    </row>
    <row r="1429" spans="83:106" x14ac:dyDescent="0.2">
      <c r="CE1429"/>
      <c r="CF1429"/>
      <c r="CG1429"/>
      <c r="CH1429"/>
      <c r="CI1429"/>
      <c r="CU1429" s="42">
        <v>1424</v>
      </c>
      <c r="CV1429" s="115">
        <v>4</v>
      </c>
      <c r="CW1429" s="115">
        <v>0.11332468572476186</v>
      </c>
      <c r="CX1429" s="115" t="e">
        <v>#N/A</v>
      </c>
      <c r="CY1429" s="115" t="e">
        <v>#N/A</v>
      </c>
      <c r="CZ1429" s="137" t="e">
        <v>#N/A</v>
      </c>
      <c r="DA1429">
        <v>0.11332468572476186</v>
      </c>
      <c r="DB1429" t="str">
        <v/>
      </c>
    </row>
    <row r="1430" spans="83:106" x14ac:dyDescent="0.2">
      <c r="CE1430"/>
      <c r="CF1430"/>
      <c r="CG1430"/>
      <c r="CH1430"/>
      <c r="CI1430"/>
      <c r="CU1430" s="42">
        <v>1425</v>
      </c>
      <c r="CV1430" s="115">
        <v>4</v>
      </c>
      <c r="CW1430" s="115">
        <v>0.11332468572476186</v>
      </c>
      <c r="CX1430" s="115" t="e">
        <v>#N/A</v>
      </c>
      <c r="CY1430" s="115" t="e">
        <v>#N/A</v>
      </c>
      <c r="CZ1430" s="137" t="e">
        <v>#N/A</v>
      </c>
      <c r="DA1430">
        <v>0.11332468572476186</v>
      </c>
      <c r="DB1430" t="str">
        <v/>
      </c>
    </row>
    <row r="1431" spans="83:106" x14ac:dyDescent="0.2">
      <c r="CE1431"/>
      <c r="CF1431"/>
      <c r="CG1431"/>
      <c r="CH1431"/>
      <c r="CI1431"/>
      <c r="CU1431" s="42">
        <v>1426</v>
      </c>
      <c r="CV1431" s="115">
        <v>4</v>
      </c>
      <c r="CW1431" s="115">
        <v>0.11332468572476186</v>
      </c>
      <c r="CX1431" s="115" t="e">
        <v>#N/A</v>
      </c>
      <c r="CY1431" s="115" t="e">
        <v>#N/A</v>
      </c>
      <c r="CZ1431" s="137" t="e">
        <v>#N/A</v>
      </c>
      <c r="DA1431">
        <v>0.11332468572476186</v>
      </c>
      <c r="DB1431" t="str">
        <v/>
      </c>
    </row>
    <row r="1432" spans="83:106" x14ac:dyDescent="0.2">
      <c r="CE1432"/>
      <c r="CF1432"/>
      <c r="CG1432"/>
      <c r="CH1432"/>
      <c r="CI1432"/>
      <c r="CU1432" s="42">
        <v>1427</v>
      </c>
      <c r="CV1432" s="115">
        <v>4</v>
      </c>
      <c r="CW1432" s="115">
        <v>0.11332468572476186</v>
      </c>
      <c r="CX1432" s="115" t="e">
        <v>#N/A</v>
      </c>
      <c r="CY1432" s="115" t="e">
        <v>#N/A</v>
      </c>
      <c r="CZ1432" s="137" t="e">
        <v>#N/A</v>
      </c>
      <c r="DA1432">
        <v>0.11332468572476186</v>
      </c>
      <c r="DB1432" t="str">
        <v/>
      </c>
    </row>
    <row r="1433" spans="83:106" x14ac:dyDescent="0.2">
      <c r="CE1433"/>
      <c r="CF1433"/>
      <c r="CG1433"/>
      <c r="CH1433"/>
      <c r="CI1433"/>
      <c r="CU1433" s="42">
        <v>1428</v>
      </c>
      <c r="CV1433" s="115">
        <v>4</v>
      </c>
      <c r="CW1433" s="115">
        <v>0.11332468572476186</v>
      </c>
      <c r="CX1433" s="115" t="e">
        <v>#N/A</v>
      </c>
      <c r="CY1433" s="115" t="e">
        <v>#N/A</v>
      </c>
      <c r="CZ1433" s="137" t="e">
        <v>#N/A</v>
      </c>
      <c r="DA1433">
        <v>0.11332468572476186</v>
      </c>
      <c r="DB1433" t="str">
        <v/>
      </c>
    </row>
    <row r="1434" spans="83:106" x14ac:dyDescent="0.2">
      <c r="CE1434"/>
      <c r="CF1434"/>
      <c r="CG1434"/>
      <c r="CH1434"/>
      <c r="CI1434"/>
      <c r="CU1434" s="42">
        <v>1429</v>
      </c>
      <c r="CV1434" s="115">
        <v>4</v>
      </c>
      <c r="CW1434" s="115">
        <v>0.11332468572476186</v>
      </c>
      <c r="CX1434" s="115" t="e">
        <v>#N/A</v>
      </c>
      <c r="CY1434" s="115" t="e">
        <v>#N/A</v>
      </c>
      <c r="CZ1434" s="137" t="e">
        <v>#N/A</v>
      </c>
      <c r="DA1434">
        <v>0.11332468572476186</v>
      </c>
      <c r="DB1434" t="str">
        <v/>
      </c>
    </row>
    <row r="1435" spans="83:106" x14ac:dyDescent="0.2">
      <c r="CE1435"/>
      <c r="CF1435"/>
      <c r="CG1435"/>
      <c r="CH1435"/>
      <c r="CI1435"/>
      <c r="CU1435" s="42">
        <v>1430</v>
      </c>
      <c r="CV1435" s="115">
        <v>4</v>
      </c>
      <c r="CW1435" s="115">
        <v>0.11332468572476186</v>
      </c>
      <c r="CX1435" s="115" t="e">
        <v>#N/A</v>
      </c>
      <c r="CY1435" s="115" t="e">
        <v>#N/A</v>
      </c>
      <c r="CZ1435" s="137" t="e">
        <v>#N/A</v>
      </c>
      <c r="DA1435">
        <v>0.11332468572476186</v>
      </c>
      <c r="DB1435" t="str">
        <v/>
      </c>
    </row>
    <row r="1436" spans="83:106" x14ac:dyDescent="0.2">
      <c r="CE1436"/>
      <c r="CF1436"/>
      <c r="CG1436"/>
      <c r="CH1436"/>
      <c r="CI1436"/>
      <c r="CU1436" s="42">
        <v>1431</v>
      </c>
      <c r="CV1436" s="115">
        <v>4</v>
      </c>
      <c r="CW1436" s="115">
        <v>0.11332468572476186</v>
      </c>
      <c r="CX1436" s="115" t="e">
        <v>#N/A</v>
      </c>
      <c r="CY1436" s="115" t="e">
        <v>#N/A</v>
      </c>
      <c r="CZ1436" s="137" t="e">
        <v>#N/A</v>
      </c>
      <c r="DA1436">
        <v>0.11332468572476186</v>
      </c>
      <c r="DB1436" t="str">
        <v/>
      </c>
    </row>
    <row r="1437" spans="83:106" x14ac:dyDescent="0.2">
      <c r="CE1437"/>
      <c r="CF1437"/>
      <c r="CG1437"/>
      <c r="CH1437"/>
      <c r="CI1437"/>
      <c r="CU1437" s="42">
        <v>1432</v>
      </c>
      <c r="CV1437" s="115">
        <v>4</v>
      </c>
      <c r="CW1437" s="115">
        <v>0.11332468572476186</v>
      </c>
      <c r="CX1437" s="115" t="e">
        <v>#N/A</v>
      </c>
      <c r="CY1437" s="115" t="e">
        <v>#N/A</v>
      </c>
      <c r="CZ1437" s="137" t="e">
        <v>#N/A</v>
      </c>
      <c r="DA1437">
        <v>0.11332468572476186</v>
      </c>
      <c r="DB1437" t="str">
        <v/>
      </c>
    </row>
    <row r="1438" spans="83:106" x14ac:dyDescent="0.2">
      <c r="CE1438"/>
      <c r="CF1438"/>
      <c r="CG1438"/>
      <c r="CH1438"/>
      <c r="CI1438"/>
      <c r="CU1438" s="42">
        <v>1433</v>
      </c>
      <c r="CV1438" s="115">
        <v>4</v>
      </c>
      <c r="CW1438" s="115">
        <v>0.11332468572476186</v>
      </c>
      <c r="CX1438" s="115" t="e">
        <v>#N/A</v>
      </c>
      <c r="CY1438" s="115" t="e">
        <v>#N/A</v>
      </c>
      <c r="CZ1438" s="137" t="e">
        <v>#N/A</v>
      </c>
      <c r="DA1438">
        <v>0.11332468572476186</v>
      </c>
      <c r="DB1438" t="str">
        <v/>
      </c>
    </row>
    <row r="1439" spans="83:106" x14ac:dyDescent="0.2">
      <c r="CE1439"/>
      <c r="CF1439"/>
      <c r="CG1439"/>
      <c r="CH1439"/>
      <c r="CI1439"/>
      <c r="CU1439" s="42">
        <v>1434</v>
      </c>
      <c r="CV1439" s="115">
        <v>4</v>
      </c>
      <c r="CW1439" s="115">
        <v>0.11332468572476186</v>
      </c>
      <c r="CX1439" s="115" t="e">
        <v>#N/A</v>
      </c>
      <c r="CY1439" s="115" t="e">
        <v>#N/A</v>
      </c>
      <c r="CZ1439" s="137" t="e">
        <v>#N/A</v>
      </c>
      <c r="DA1439">
        <v>0.11332468572476186</v>
      </c>
      <c r="DB1439" t="str">
        <v/>
      </c>
    </row>
    <row r="1440" spans="83:106" x14ac:dyDescent="0.2">
      <c r="CE1440"/>
      <c r="CF1440"/>
      <c r="CG1440"/>
      <c r="CH1440"/>
      <c r="CI1440"/>
      <c r="CU1440" s="42">
        <v>1435</v>
      </c>
      <c r="CV1440" s="115">
        <v>4</v>
      </c>
      <c r="CW1440" s="115">
        <v>0.11332468572476186</v>
      </c>
      <c r="CX1440" s="115" t="e">
        <v>#N/A</v>
      </c>
      <c r="CY1440" s="115" t="e">
        <v>#N/A</v>
      </c>
      <c r="CZ1440" s="137" t="e">
        <v>#N/A</v>
      </c>
      <c r="DA1440">
        <v>0.11332468572476186</v>
      </c>
      <c r="DB1440" t="str">
        <v/>
      </c>
    </row>
    <row r="1441" spans="83:106" x14ac:dyDescent="0.2">
      <c r="CE1441"/>
      <c r="CF1441"/>
      <c r="CG1441"/>
      <c r="CH1441"/>
      <c r="CI1441"/>
      <c r="CU1441" s="42">
        <v>1436</v>
      </c>
      <c r="CV1441" s="115">
        <v>4</v>
      </c>
      <c r="CW1441" s="115">
        <v>0.11332468572476186</v>
      </c>
      <c r="CX1441" s="115" t="e">
        <v>#N/A</v>
      </c>
      <c r="CY1441" s="115" t="e">
        <v>#N/A</v>
      </c>
      <c r="CZ1441" s="137" t="e">
        <v>#N/A</v>
      </c>
      <c r="DA1441">
        <v>0.11332468572476186</v>
      </c>
      <c r="DB1441" t="str">
        <v/>
      </c>
    </row>
    <row r="1442" spans="83:106" x14ac:dyDescent="0.2">
      <c r="CE1442"/>
      <c r="CF1442"/>
      <c r="CG1442"/>
      <c r="CH1442"/>
      <c r="CI1442"/>
      <c r="CU1442" s="42">
        <v>1437</v>
      </c>
      <c r="CV1442" s="115">
        <v>4</v>
      </c>
      <c r="CW1442" s="115">
        <v>0.11332468572476186</v>
      </c>
      <c r="CX1442" s="115" t="e">
        <v>#N/A</v>
      </c>
      <c r="CY1442" s="115" t="e">
        <v>#N/A</v>
      </c>
      <c r="CZ1442" s="137" t="e">
        <v>#N/A</v>
      </c>
      <c r="DA1442">
        <v>0.11332468572476186</v>
      </c>
      <c r="DB1442" t="str">
        <v/>
      </c>
    </row>
    <row r="1443" spans="83:106" x14ac:dyDescent="0.2">
      <c r="CE1443"/>
      <c r="CF1443"/>
      <c r="CG1443"/>
      <c r="CH1443"/>
      <c r="CI1443"/>
      <c r="CU1443" s="42">
        <v>1438</v>
      </c>
      <c r="CV1443" s="115">
        <v>4</v>
      </c>
      <c r="CW1443" s="115">
        <v>0.11332468572476186</v>
      </c>
      <c r="CX1443" s="115" t="e">
        <v>#N/A</v>
      </c>
      <c r="CY1443" s="115" t="e">
        <v>#N/A</v>
      </c>
      <c r="CZ1443" s="137" t="e">
        <v>#N/A</v>
      </c>
      <c r="DA1443">
        <v>0.11332468572476186</v>
      </c>
      <c r="DB1443" t="str">
        <v/>
      </c>
    </row>
    <row r="1444" spans="83:106" x14ac:dyDescent="0.2">
      <c r="CE1444"/>
      <c r="CF1444"/>
      <c r="CG1444"/>
      <c r="CH1444"/>
      <c r="CI1444"/>
      <c r="CU1444" s="42">
        <v>1439</v>
      </c>
      <c r="CV1444" s="115">
        <v>4</v>
      </c>
      <c r="CW1444" s="115">
        <v>0.11332468572476186</v>
      </c>
      <c r="CX1444" s="115" t="e">
        <v>#N/A</v>
      </c>
      <c r="CY1444" s="115" t="e">
        <v>#N/A</v>
      </c>
      <c r="CZ1444" s="137" t="e">
        <v>#N/A</v>
      </c>
      <c r="DA1444">
        <v>0.11332468572476186</v>
      </c>
      <c r="DB1444" t="str">
        <v/>
      </c>
    </row>
    <row r="1445" spans="83:106" x14ac:dyDescent="0.2">
      <c r="CE1445"/>
      <c r="CF1445"/>
      <c r="CG1445"/>
      <c r="CH1445"/>
      <c r="CI1445"/>
      <c r="CU1445" s="42">
        <v>1440</v>
      </c>
      <c r="CV1445" s="115">
        <v>4</v>
      </c>
      <c r="CW1445" s="115">
        <v>0.11332468572476186</v>
      </c>
      <c r="CX1445" s="115" t="e">
        <v>#N/A</v>
      </c>
      <c r="CY1445" s="115" t="e">
        <v>#N/A</v>
      </c>
      <c r="CZ1445" s="137" t="e">
        <v>#N/A</v>
      </c>
      <c r="DA1445">
        <v>0.11332468572476186</v>
      </c>
      <c r="DB1445" t="str">
        <v/>
      </c>
    </row>
    <row r="1446" spans="83:106" x14ac:dyDescent="0.2">
      <c r="CE1446"/>
      <c r="CF1446"/>
      <c r="CG1446"/>
      <c r="CH1446"/>
      <c r="CI1446"/>
      <c r="CU1446" s="42">
        <v>1441</v>
      </c>
      <c r="CV1446" s="115">
        <v>4</v>
      </c>
      <c r="CW1446" s="115">
        <v>0.11332468572476186</v>
      </c>
      <c r="CX1446" s="115" t="e">
        <v>#N/A</v>
      </c>
      <c r="CY1446" s="115" t="e">
        <v>#N/A</v>
      </c>
      <c r="CZ1446" s="137" t="e">
        <v>#N/A</v>
      </c>
      <c r="DA1446">
        <v>0.11332468572476186</v>
      </c>
      <c r="DB1446" t="str">
        <v/>
      </c>
    </row>
    <row r="1447" spans="83:106" x14ac:dyDescent="0.2">
      <c r="CE1447"/>
      <c r="CF1447"/>
      <c r="CG1447"/>
      <c r="CH1447"/>
      <c r="CI1447"/>
      <c r="CU1447" s="42">
        <v>1442</v>
      </c>
      <c r="CV1447" s="115">
        <v>4</v>
      </c>
      <c r="CW1447" s="115">
        <v>0.11332468572476186</v>
      </c>
      <c r="CX1447" s="115" t="e">
        <v>#N/A</v>
      </c>
      <c r="CY1447" s="115" t="e">
        <v>#N/A</v>
      </c>
      <c r="CZ1447" s="137" t="e">
        <v>#N/A</v>
      </c>
      <c r="DA1447">
        <v>0.11332468572476186</v>
      </c>
      <c r="DB1447" t="str">
        <v/>
      </c>
    </row>
    <row r="1448" spans="83:106" x14ac:dyDescent="0.2">
      <c r="CE1448"/>
      <c r="CF1448"/>
      <c r="CG1448"/>
      <c r="CH1448"/>
      <c r="CI1448"/>
      <c r="CU1448" s="42">
        <v>1443</v>
      </c>
      <c r="CV1448" s="115">
        <v>4</v>
      </c>
      <c r="CW1448" s="115">
        <v>0.11332468572476186</v>
      </c>
      <c r="CX1448" s="115" t="e">
        <v>#N/A</v>
      </c>
      <c r="CY1448" s="115" t="e">
        <v>#N/A</v>
      </c>
      <c r="CZ1448" s="137" t="e">
        <v>#N/A</v>
      </c>
      <c r="DA1448">
        <v>0.11332468572476186</v>
      </c>
      <c r="DB1448" t="str">
        <v/>
      </c>
    </row>
    <row r="1449" spans="83:106" x14ac:dyDescent="0.2">
      <c r="CE1449"/>
      <c r="CF1449"/>
      <c r="CG1449"/>
      <c r="CH1449"/>
      <c r="CI1449"/>
      <c r="CU1449" s="42">
        <v>1444</v>
      </c>
      <c r="CV1449" s="115">
        <v>4</v>
      </c>
      <c r="CW1449" s="115">
        <v>0.11332468572476186</v>
      </c>
      <c r="CX1449" s="115" t="e">
        <v>#N/A</v>
      </c>
      <c r="CY1449" s="115" t="e">
        <v>#N/A</v>
      </c>
      <c r="CZ1449" s="137" t="e">
        <v>#N/A</v>
      </c>
      <c r="DA1449">
        <v>0.11332468572476186</v>
      </c>
      <c r="DB1449" t="str">
        <v/>
      </c>
    </row>
    <row r="1450" spans="83:106" x14ac:dyDescent="0.2">
      <c r="CE1450"/>
      <c r="CF1450"/>
      <c r="CG1450"/>
      <c r="CH1450"/>
      <c r="CI1450"/>
      <c r="CU1450" s="42">
        <v>1445</v>
      </c>
      <c r="CV1450" s="115">
        <v>4</v>
      </c>
      <c r="CW1450" s="115">
        <v>0.11332468572476186</v>
      </c>
      <c r="CX1450" s="115" t="e">
        <v>#N/A</v>
      </c>
      <c r="CY1450" s="115" t="e">
        <v>#N/A</v>
      </c>
      <c r="CZ1450" s="137" t="e">
        <v>#N/A</v>
      </c>
      <c r="DA1450">
        <v>0.11332468572476186</v>
      </c>
      <c r="DB1450" t="str">
        <v/>
      </c>
    </row>
    <row r="1451" spans="83:106" x14ac:dyDescent="0.2">
      <c r="CE1451"/>
      <c r="CF1451"/>
      <c r="CG1451"/>
      <c r="CH1451"/>
      <c r="CI1451"/>
      <c r="CU1451" s="42">
        <v>1446</v>
      </c>
      <c r="CV1451" s="115">
        <v>4</v>
      </c>
      <c r="CW1451" s="115">
        <v>0.11332468572476186</v>
      </c>
      <c r="CX1451" s="115" t="e">
        <v>#N/A</v>
      </c>
      <c r="CY1451" s="115" t="e">
        <v>#N/A</v>
      </c>
      <c r="CZ1451" s="137" t="e">
        <v>#N/A</v>
      </c>
      <c r="DA1451">
        <v>0.11332468572476186</v>
      </c>
      <c r="DB1451" t="str">
        <v/>
      </c>
    </row>
    <row r="1452" spans="83:106" x14ac:dyDescent="0.2">
      <c r="CE1452"/>
      <c r="CF1452"/>
      <c r="CG1452"/>
      <c r="CH1452"/>
      <c r="CI1452"/>
      <c r="CU1452" s="42">
        <v>1447</v>
      </c>
      <c r="CV1452" s="115">
        <v>4</v>
      </c>
      <c r="CW1452" s="115">
        <v>0.11332468572476186</v>
      </c>
      <c r="CX1452" s="115" t="e">
        <v>#N/A</v>
      </c>
      <c r="CY1452" s="115" t="e">
        <v>#N/A</v>
      </c>
      <c r="CZ1452" s="137" t="e">
        <v>#N/A</v>
      </c>
      <c r="DA1452">
        <v>0.11332468572476186</v>
      </c>
      <c r="DB1452" t="str">
        <v/>
      </c>
    </row>
    <row r="1453" spans="83:106" x14ac:dyDescent="0.2">
      <c r="CE1453"/>
      <c r="CF1453"/>
      <c r="CG1453"/>
      <c r="CH1453"/>
      <c r="CI1453"/>
      <c r="CU1453" s="42">
        <v>1448</v>
      </c>
      <c r="CV1453" s="115">
        <v>4</v>
      </c>
      <c r="CW1453" s="115">
        <v>0.11332468572476186</v>
      </c>
      <c r="CX1453" s="115" t="e">
        <v>#N/A</v>
      </c>
      <c r="CY1453" s="115" t="e">
        <v>#N/A</v>
      </c>
      <c r="CZ1453" s="137" t="e">
        <v>#N/A</v>
      </c>
      <c r="DA1453">
        <v>0.11332468572476186</v>
      </c>
      <c r="DB1453" t="str">
        <v/>
      </c>
    </row>
    <row r="1454" spans="83:106" x14ac:dyDescent="0.2">
      <c r="CE1454"/>
      <c r="CF1454"/>
      <c r="CG1454"/>
      <c r="CH1454"/>
      <c r="CI1454"/>
      <c r="CU1454" s="42">
        <v>1449</v>
      </c>
      <c r="CV1454" s="115">
        <v>4</v>
      </c>
      <c r="CW1454" s="115">
        <v>0.11332468572476186</v>
      </c>
      <c r="CX1454" s="115" t="e">
        <v>#N/A</v>
      </c>
      <c r="CY1454" s="115" t="e">
        <v>#N/A</v>
      </c>
      <c r="CZ1454" s="137" t="e">
        <v>#N/A</v>
      </c>
      <c r="DA1454">
        <v>0.11332468572476186</v>
      </c>
      <c r="DB1454" t="str">
        <v/>
      </c>
    </row>
    <row r="1455" spans="83:106" x14ac:dyDescent="0.2">
      <c r="CE1455"/>
      <c r="CF1455"/>
      <c r="CG1455"/>
      <c r="CH1455"/>
      <c r="CI1455"/>
      <c r="CU1455" s="42">
        <v>1450</v>
      </c>
      <c r="CV1455" s="115">
        <v>4</v>
      </c>
      <c r="CW1455" s="115">
        <v>0.11332468572476186</v>
      </c>
      <c r="CX1455" s="115" t="e">
        <v>#N/A</v>
      </c>
      <c r="CY1455" s="115" t="e">
        <v>#N/A</v>
      </c>
      <c r="CZ1455" s="137" t="e">
        <v>#N/A</v>
      </c>
      <c r="DA1455">
        <v>0.11332468572476186</v>
      </c>
      <c r="DB1455" t="str">
        <v/>
      </c>
    </row>
    <row r="1456" spans="83:106" x14ac:dyDescent="0.2">
      <c r="CE1456"/>
      <c r="CF1456"/>
      <c r="CG1456"/>
      <c r="CH1456"/>
      <c r="CI1456"/>
      <c r="CU1456" s="42">
        <v>1451</v>
      </c>
      <c r="CV1456" s="115">
        <v>4</v>
      </c>
      <c r="CW1456" s="115">
        <v>0.11332468572476186</v>
      </c>
      <c r="CX1456" s="115" t="e">
        <v>#N/A</v>
      </c>
      <c r="CY1456" s="115" t="e">
        <v>#N/A</v>
      </c>
      <c r="CZ1456" s="137" t="e">
        <v>#N/A</v>
      </c>
      <c r="DA1456">
        <v>0.11332468572476186</v>
      </c>
      <c r="DB1456" t="str">
        <v/>
      </c>
    </row>
    <row r="1457" spans="83:106" x14ac:dyDescent="0.2">
      <c r="CE1457"/>
      <c r="CF1457"/>
      <c r="CG1457"/>
      <c r="CH1457"/>
      <c r="CI1457"/>
      <c r="CU1457" s="42">
        <v>1452</v>
      </c>
      <c r="CV1457" s="115">
        <v>4</v>
      </c>
      <c r="CW1457" s="115">
        <v>0.11332468572476186</v>
      </c>
      <c r="CX1457" s="115" t="e">
        <v>#N/A</v>
      </c>
      <c r="CY1457" s="115" t="e">
        <v>#N/A</v>
      </c>
      <c r="CZ1457" s="137" t="e">
        <v>#N/A</v>
      </c>
      <c r="DA1457">
        <v>0.11332468572476186</v>
      </c>
      <c r="DB1457" t="str">
        <v/>
      </c>
    </row>
    <row r="1458" spans="83:106" x14ac:dyDescent="0.2">
      <c r="CE1458"/>
      <c r="CF1458"/>
      <c r="CG1458"/>
      <c r="CH1458"/>
      <c r="CI1458"/>
      <c r="CU1458" s="42">
        <v>1453</v>
      </c>
      <c r="CV1458" s="115">
        <v>4</v>
      </c>
      <c r="CW1458" s="115">
        <v>0.11332468572476186</v>
      </c>
      <c r="CX1458" s="115" t="e">
        <v>#N/A</v>
      </c>
      <c r="CY1458" s="115" t="e">
        <v>#N/A</v>
      </c>
      <c r="CZ1458" s="137" t="e">
        <v>#N/A</v>
      </c>
      <c r="DA1458">
        <v>0.11332468572476186</v>
      </c>
      <c r="DB1458" t="str">
        <v/>
      </c>
    </row>
    <row r="1459" spans="83:106" x14ac:dyDescent="0.2">
      <c r="CE1459"/>
      <c r="CF1459"/>
      <c r="CG1459"/>
      <c r="CH1459"/>
      <c r="CI1459"/>
      <c r="CU1459" s="42">
        <v>1454</v>
      </c>
      <c r="CV1459" s="115">
        <v>4</v>
      </c>
      <c r="CW1459" s="115">
        <v>0.11332468572476186</v>
      </c>
      <c r="CX1459" s="115" t="e">
        <v>#N/A</v>
      </c>
      <c r="CY1459" s="115" t="e">
        <v>#N/A</v>
      </c>
      <c r="CZ1459" s="137" t="e">
        <v>#N/A</v>
      </c>
      <c r="DA1459">
        <v>0.11332468572476186</v>
      </c>
      <c r="DB1459" t="str">
        <v/>
      </c>
    </row>
    <row r="1460" spans="83:106" x14ac:dyDescent="0.2">
      <c r="CE1460"/>
      <c r="CF1460"/>
      <c r="CG1460"/>
      <c r="CH1460"/>
      <c r="CI1460"/>
      <c r="CU1460" s="42">
        <v>1455</v>
      </c>
      <c r="CV1460" s="115">
        <v>4</v>
      </c>
      <c r="CW1460" s="115">
        <v>0.11332468572476186</v>
      </c>
      <c r="CX1460" s="115" t="e">
        <v>#N/A</v>
      </c>
      <c r="CY1460" s="115" t="e">
        <v>#N/A</v>
      </c>
      <c r="CZ1460" s="137" t="e">
        <v>#N/A</v>
      </c>
      <c r="DA1460">
        <v>0.11332468572476186</v>
      </c>
      <c r="DB1460" t="str">
        <v/>
      </c>
    </row>
    <row r="1461" spans="83:106" x14ac:dyDescent="0.2">
      <c r="CE1461"/>
      <c r="CF1461"/>
      <c r="CG1461"/>
      <c r="CH1461"/>
      <c r="CI1461"/>
      <c r="CU1461" s="42">
        <v>1456</v>
      </c>
      <c r="CV1461" s="115">
        <v>4</v>
      </c>
      <c r="CW1461" s="115">
        <v>0.11332468572476186</v>
      </c>
      <c r="CX1461" s="115" t="e">
        <v>#N/A</v>
      </c>
      <c r="CY1461" s="115" t="e">
        <v>#N/A</v>
      </c>
      <c r="CZ1461" s="137" t="e">
        <v>#N/A</v>
      </c>
      <c r="DA1461">
        <v>0.11332468572476186</v>
      </c>
      <c r="DB1461" t="str">
        <v/>
      </c>
    </row>
    <row r="1462" spans="83:106" x14ac:dyDescent="0.2">
      <c r="CE1462"/>
      <c r="CF1462"/>
      <c r="CG1462"/>
      <c r="CH1462"/>
      <c r="CI1462"/>
      <c r="CU1462" s="42">
        <v>1457</v>
      </c>
      <c r="CV1462" s="115">
        <v>4</v>
      </c>
      <c r="CW1462" s="115">
        <v>0.11332468572476186</v>
      </c>
      <c r="CX1462" s="115" t="e">
        <v>#N/A</v>
      </c>
      <c r="CY1462" s="115" t="e">
        <v>#N/A</v>
      </c>
      <c r="CZ1462" s="137" t="e">
        <v>#N/A</v>
      </c>
      <c r="DA1462">
        <v>0.11332468572476186</v>
      </c>
      <c r="DB1462" t="str">
        <v/>
      </c>
    </row>
    <row r="1463" spans="83:106" x14ac:dyDescent="0.2">
      <c r="CE1463"/>
      <c r="CF1463"/>
      <c r="CG1463"/>
      <c r="CH1463"/>
      <c r="CI1463"/>
      <c r="CU1463" s="42">
        <v>1458</v>
      </c>
      <c r="CV1463" s="115">
        <v>4</v>
      </c>
      <c r="CW1463" s="115">
        <v>0.11332468572476186</v>
      </c>
      <c r="CX1463" s="115" t="e">
        <v>#N/A</v>
      </c>
      <c r="CY1463" s="115" t="e">
        <v>#N/A</v>
      </c>
      <c r="CZ1463" s="137" t="e">
        <v>#N/A</v>
      </c>
      <c r="DA1463">
        <v>0.11332468572476186</v>
      </c>
      <c r="DB1463" t="str">
        <v/>
      </c>
    </row>
    <row r="1464" spans="83:106" x14ac:dyDescent="0.2">
      <c r="CE1464"/>
      <c r="CF1464"/>
      <c r="CG1464"/>
      <c r="CH1464"/>
      <c r="CI1464"/>
      <c r="CU1464" s="42">
        <v>1459</v>
      </c>
      <c r="CV1464" s="115">
        <v>4</v>
      </c>
      <c r="CW1464" s="115">
        <v>0.11332468572476186</v>
      </c>
      <c r="CX1464" s="115" t="e">
        <v>#N/A</v>
      </c>
      <c r="CY1464" s="115" t="e">
        <v>#N/A</v>
      </c>
      <c r="CZ1464" s="137" t="e">
        <v>#N/A</v>
      </c>
      <c r="DA1464">
        <v>0.11332468572476186</v>
      </c>
      <c r="DB1464" t="str">
        <v/>
      </c>
    </row>
    <row r="1465" spans="83:106" x14ac:dyDescent="0.2">
      <c r="CE1465"/>
      <c r="CF1465"/>
      <c r="CG1465"/>
      <c r="CH1465"/>
      <c r="CI1465"/>
      <c r="CU1465" s="42">
        <v>1460</v>
      </c>
      <c r="CV1465" s="115">
        <v>4</v>
      </c>
      <c r="CW1465" s="115">
        <v>0.11332468572476186</v>
      </c>
      <c r="CX1465" s="115" t="e">
        <v>#N/A</v>
      </c>
      <c r="CY1465" s="115" t="e">
        <v>#N/A</v>
      </c>
      <c r="CZ1465" s="137" t="e">
        <v>#N/A</v>
      </c>
      <c r="DA1465">
        <v>0.11332468572476186</v>
      </c>
      <c r="DB1465" t="str">
        <v/>
      </c>
    </row>
    <row r="1466" spans="83:106" x14ac:dyDescent="0.2">
      <c r="CE1466"/>
      <c r="CF1466"/>
      <c r="CG1466"/>
      <c r="CH1466"/>
      <c r="CI1466"/>
      <c r="CU1466" s="42">
        <v>1461</v>
      </c>
      <c r="CV1466" s="115">
        <v>4</v>
      </c>
      <c r="CW1466" s="115">
        <v>0.11332468572476186</v>
      </c>
      <c r="CX1466" s="115" t="e">
        <v>#N/A</v>
      </c>
      <c r="CY1466" s="115" t="e">
        <v>#N/A</v>
      </c>
      <c r="CZ1466" s="137" t="e">
        <v>#N/A</v>
      </c>
      <c r="DA1466">
        <v>0.11332468572476186</v>
      </c>
      <c r="DB1466" t="str">
        <v/>
      </c>
    </row>
    <row r="1467" spans="83:106" x14ac:dyDescent="0.2">
      <c r="CE1467"/>
      <c r="CF1467"/>
      <c r="CG1467"/>
      <c r="CH1467"/>
      <c r="CI1467"/>
      <c r="CU1467" s="42">
        <v>1462</v>
      </c>
      <c r="CV1467" s="115">
        <v>4</v>
      </c>
      <c r="CW1467" s="115">
        <v>0.11332468572476186</v>
      </c>
      <c r="CX1467" s="115" t="e">
        <v>#N/A</v>
      </c>
      <c r="CY1467" s="115" t="e">
        <v>#N/A</v>
      </c>
      <c r="CZ1467" s="137" t="e">
        <v>#N/A</v>
      </c>
      <c r="DA1467">
        <v>0.11332468572476186</v>
      </c>
      <c r="DB1467" t="str">
        <v/>
      </c>
    </row>
    <row r="1468" spans="83:106" x14ac:dyDescent="0.2">
      <c r="CE1468"/>
      <c r="CF1468"/>
      <c r="CG1468"/>
      <c r="CH1468"/>
      <c r="CI1468"/>
      <c r="CU1468" s="42">
        <v>1463</v>
      </c>
      <c r="CV1468" s="115">
        <v>4</v>
      </c>
      <c r="CW1468" s="115">
        <v>0.11332468572476186</v>
      </c>
      <c r="CX1468" s="115" t="e">
        <v>#N/A</v>
      </c>
      <c r="CY1468" s="115" t="e">
        <v>#N/A</v>
      </c>
      <c r="CZ1468" s="137" t="e">
        <v>#N/A</v>
      </c>
      <c r="DA1468">
        <v>0.11332468572476186</v>
      </c>
      <c r="DB1468" t="str">
        <v/>
      </c>
    </row>
    <row r="1469" spans="83:106" x14ac:dyDescent="0.2">
      <c r="CE1469"/>
      <c r="CF1469"/>
      <c r="CG1469"/>
      <c r="CH1469"/>
      <c r="CI1469"/>
      <c r="CU1469" s="42">
        <v>1464</v>
      </c>
      <c r="CV1469" s="115">
        <v>4</v>
      </c>
      <c r="CW1469" s="115">
        <v>0.11332468572476186</v>
      </c>
      <c r="CX1469" s="115" t="e">
        <v>#N/A</v>
      </c>
      <c r="CY1469" s="115" t="e">
        <v>#N/A</v>
      </c>
      <c r="CZ1469" s="137" t="e">
        <v>#N/A</v>
      </c>
      <c r="DA1469">
        <v>0.11332468572476186</v>
      </c>
      <c r="DB1469" t="str">
        <v/>
      </c>
    </row>
    <row r="1470" spans="83:106" x14ac:dyDescent="0.2">
      <c r="CE1470"/>
      <c r="CF1470"/>
      <c r="CG1470"/>
      <c r="CH1470"/>
      <c r="CI1470"/>
      <c r="CU1470" s="42">
        <v>1465</v>
      </c>
      <c r="CV1470" s="115">
        <v>4</v>
      </c>
      <c r="CW1470" s="115">
        <v>0.11332468572476186</v>
      </c>
      <c r="CX1470" s="115" t="e">
        <v>#N/A</v>
      </c>
      <c r="CY1470" s="115" t="e">
        <v>#N/A</v>
      </c>
      <c r="CZ1470" s="137" t="e">
        <v>#N/A</v>
      </c>
      <c r="DA1470">
        <v>0.11332468572476186</v>
      </c>
      <c r="DB1470" t="str">
        <v/>
      </c>
    </row>
    <row r="1471" spans="83:106" x14ac:dyDescent="0.2">
      <c r="CE1471"/>
      <c r="CF1471"/>
      <c r="CG1471"/>
      <c r="CH1471"/>
      <c r="CI1471"/>
      <c r="CU1471" s="42">
        <v>1466</v>
      </c>
      <c r="CV1471" s="115">
        <v>4</v>
      </c>
      <c r="CW1471" s="115">
        <v>0.11332468572476186</v>
      </c>
      <c r="CX1471" s="115" t="e">
        <v>#N/A</v>
      </c>
      <c r="CY1471" s="115" t="e">
        <v>#N/A</v>
      </c>
      <c r="CZ1471" s="137" t="e">
        <v>#N/A</v>
      </c>
      <c r="DA1471">
        <v>0.11332468572476186</v>
      </c>
      <c r="DB1471" t="str">
        <v/>
      </c>
    </row>
    <row r="1472" spans="83:106" x14ac:dyDescent="0.2">
      <c r="CE1472"/>
      <c r="CF1472"/>
      <c r="CG1472"/>
      <c r="CH1472"/>
      <c r="CI1472"/>
      <c r="CU1472" s="42">
        <v>1467</v>
      </c>
      <c r="CV1472" s="115">
        <v>4</v>
      </c>
      <c r="CW1472" s="115">
        <v>0.11332468572476186</v>
      </c>
      <c r="CX1472" s="115" t="e">
        <v>#N/A</v>
      </c>
      <c r="CY1472" s="115" t="e">
        <v>#N/A</v>
      </c>
      <c r="CZ1472" s="137" t="e">
        <v>#N/A</v>
      </c>
      <c r="DA1472">
        <v>0.11332468572476186</v>
      </c>
      <c r="DB1472" t="str">
        <v/>
      </c>
    </row>
    <row r="1473" spans="83:106" x14ac:dyDescent="0.2">
      <c r="CE1473"/>
      <c r="CF1473"/>
      <c r="CG1473"/>
      <c r="CH1473"/>
      <c r="CI1473"/>
      <c r="CU1473" s="42">
        <v>1468</v>
      </c>
      <c r="CV1473" s="115">
        <v>4</v>
      </c>
      <c r="CW1473" s="115">
        <v>0.11332468572476186</v>
      </c>
      <c r="CX1473" s="115" t="e">
        <v>#N/A</v>
      </c>
      <c r="CY1473" s="115" t="e">
        <v>#N/A</v>
      </c>
      <c r="CZ1473" s="137" t="e">
        <v>#N/A</v>
      </c>
      <c r="DA1473">
        <v>0.11332468572476186</v>
      </c>
      <c r="DB1473" t="str">
        <v/>
      </c>
    </row>
    <row r="1474" spans="83:106" x14ac:dyDescent="0.2">
      <c r="CE1474"/>
      <c r="CF1474"/>
      <c r="CG1474"/>
      <c r="CH1474"/>
      <c r="CI1474"/>
      <c r="CU1474" s="42">
        <v>1469</v>
      </c>
      <c r="CV1474" s="115">
        <v>4</v>
      </c>
      <c r="CW1474" s="115">
        <v>0.11332468572476186</v>
      </c>
      <c r="CX1474" s="115" t="e">
        <v>#N/A</v>
      </c>
      <c r="CY1474" s="115" t="e">
        <v>#N/A</v>
      </c>
      <c r="CZ1474" s="137" t="e">
        <v>#N/A</v>
      </c>
      <c r="DA1474">
        <v>0.11332468572476186</v>
      </c>
      <c r="DB1474" t="str">
        <v/>
      </c>
    </row>
    <row r="1475" spans="83:106" x14ac:dyDescent="0.2">
      <c r="CE1475"/>
      <c r="CF1475"/>
      <c r="CG1475"/>
      <c r="CH1475"/>
      <c r="CI1475"/>
      <c r="CU1475" s="42">
        <v>1470</v>
      </c>
      <c r="CV1475" s="115">
        <v>4</v>
      </c>
      <c r="CW1475" s="115">
        <v>0.11332468572476186</v>
      </c>
      <c r="CX1475" s="115" t="e">
        <v>#N/A</v>
      </c>
      <c r="CY1475" s="115" t="e">
        <v>#N/A</v>
      </c>
      <c r="CZ1475" s="137" t="e">
        <v>#N/A</v>
      </c>
      <c r="DA1475">
        <v>0.11332468572476186</v>
      </c>
      <c r="DB1475" t="str">
        <v/>
      </c>
    </row>
    <row r="1476" spans="83:106" x14ac:dyDescent="0.2">
      <c r="CE1476"/>
      <c r="CF1476"/>
      <c r="CG1476"/>
      <c r="CH1476"/>
      <c r="CI1476"/>
      <c r="CU1476" s="42">
        <v>1471</v>
      </c>
      <c r="CV1476" s="115">
        <v>4</v>
      </c>
      <c r="CW1476" s="115">
        <v>0.11332468572476186</v>
      </c>
      <c r="CX1476" s="115" t="e">
        <v>#N/A</v>
      </c>
      <c r="CY1476" s="115" t="e">
        <v>#N/A</v>
      </c>
      <c r="CZ1476" s="137" t="e">
        <v>#N/A</v>
      </c>
      <c r="DA1476">
        <v>0.11332468572476186</v>
      </c>
      <c r="DB1476" t="str">
        <v/>
      </c>
    </row>
    <row r="1477" spans="83:106" x14ac:dyDescent="0.2">
      <c r="CE1477"/>
      <c r="CF1477"/>
      <c r="CG1477"/>
      <c r="CH1477"/>
      <c r="CI1477"/>
      <c r="CU1477" s="42">
        <v>1472</v>
      </c>
      <c r="CV1477" s="115">
        <v>4</v>
      </c>
      <c r="CW1477" s="115">
        <v>0.11332468572476186</v>
      </c>
      <c r="CX1477" s="115" t="e">
        <v>#N/A</v>
      </c>
      <c r="CY1477" s="115" t="e">
        <v>#N/A</v>
      </c>
      <c r="CZ1477" s="137" t="e">
        <v>#N/A</v>
      </c>
      <c r="DA1477">
        <v>0.11332468572476186</v>
      </c>
      <c r="DB1477" t="str">
        <v/>
      </c>
    </row>
    <row r="1478" spans="83:106" x14ac:dyDescent="0.2">
      <c r="CE1478"/>
      <c r="CF1478"/>
      <c r="CG1478"/>
      <c r="CH1478"/>
      <c r="CI1478"/>
      <c r="CU1478" s="42">
        <v>1473</v>
      </c>
      <c r="CV1478" s="115">
        <v>4</v>
      </c>
      <c r="CW1478" s="115">
        <v>0.11332468572476186</v>
      </c>
      <c r="CX1478" s="115" t="e">
        <v>#N/A</v>
      </c>
      <c r="CY1478" s="115" t="e">
        <v>#N/A</v>
      </c>
      <c r="CZ1478" s="137" t="e">
        <v>#N/A</v>
      </c>
      <c r="DA1478">
        <v>0.11332468572476186</v>
      </c>
      <c r="DB1478" t="str">
        <v/>
      </c>
    </row>
    <row r="1479" spans="83:106" x14ac:dyDescent="0.2">
      <c r="CE1479"/>
      <c r="CF1479"/>
      <c r="CG1479"/>
      <c r="CH1479"/>
      <c r="CI1479"/>
      <c r="CU1479" s="42">
        <v>1474</v>
      </c>
      <c r="CV1479" s="115">
        <v>4</v>
      </c>
      <c r="CW1479" s="115">
        <v>0.11332468572476186</v>
      </c>
      <c r="CX1479" s="115" t="e">
        <v>#N/A</v>
      </c>
      <c r="CY1479" s="115" t="e">
        <v>#N/A</v>
      </c>
      <c r="CZ1479" s="137" t="e">
        <v>#N/A</v>
      </c>
      <c r="DA1479">
        <v>0.11332468572476186</v>
      </c>
      <c r="DB1479" t="str">
        <v/>
      </c>
    </row>
    <row r="1480" spans="83:106" x14ac:dyDescent="0.2">
      <c r="CE1480"/>
      <c r="CF1480"/>
      <c r="CG1480"/>
      <c r="CH1480"/>
      <c r="CI1480"/>
      <c r="CU1480" s="42">
        <v>1475</v>
      </c>
      <c r="CV1480" s="115">
        <v>4</v>
      </c>
      <c r="CW1480" s="115">
        <v>0.11332468572476186</v>
      </c>
      <c r="CX1480" s="115" t="e">
        <v>#N/A</v>
      </c>
      <c r="CY1480" s="115" t="e">
        <v>#N/A</v>
      </c>
      <c r="CZ1480" s="137" t="e">
        <v>#N/A</v>
      </c>
      <c r="DA1480">
        <v>0.11332468572476186</v>
      </c>
      <c r="DB1480" t="str">
        <v/>
      </c>
    </row>
    <row r="1481" spans="83:106" x14ac:dyDescent="0.2">
      <c r="CE1481"/>
      <c r="CF1481"/>
      <c r="CG1481"/>
      <c r="CH1481"/>
      <c r="CI1481"/>
      <c r="CU1481" s="42">
        <v>1476</v>
      </c>
      <c r="CV1481" s="115">
        <v>4</v>
      </c>
      <c r="CW1481" s="115">
        <v>0.11332468572476186</v>
      </c>
      <c r="CX1481" s="115" t="e">
        <v>#N/A</v>
      </c>
      <c r="CY1481" s="115" t="e">
        <v>#N/A</v>
      </c>
      <c r="CZ1481" s="137" t="e">
        <v>#N/A</v>
      </c>
      <c r="DA1481">
        <v>0.11332468572476186</v>
      </c>
      <c r="DB1481" t="str">
        <v/>
      </c>
    </row>
    <row r="1482" spans="83:106" x14ac:dyDescent="0.2">
      <c r="CE1482"/>
      <c r="CF1482"/>
      <c r="CG1482"/>
      <c r="CH1482"/>
      <c r="CI1482"/>
      <c r="CU1482" s="42">
        <v>1477</v>
      </c>
      <c r="CV1482" s="115">
        <v>4</v>
      </c>
      <c r="CW1482" s="115">
        <v>0.11332468572476186</v>
      </c>
      <c r="CX1482" s="115" t="e">
        <v>#N/A</v>
      </c>
      <c r="CY1482" s="115" t="e">
        <v>#N/A</v>
      </c>
      <c r="CZ1482" s="137" t="e">
        <v>#N/A</v>
      </c>
      <c r="DA1482">
        <v>0.11332468572476186</v>
      </c>
      <c r="DB1482" t="str">
        <v/>
      </c>
    </row>
    <row r="1483" spans="83:106" x14ac:dyDescent="0.2">
      <c r="CE1483"/>
      <c r="CF1483"/>
      <c r="CG1483"/>
      <c r="CH1483"/>
      <c r="CI1483"/>
      <c r="CU1483" s="42">
        <v>1478</v>
      </c>
      <c r="CV1483" s="115">
        <v>4</v>
      </c>
      <c r="CW1483" s="115">
        <v>0.11332468572476186</v>
      </c>
      <c r="CX1483" s="115" t="e">
        <v>#N/A</v>
      </c>
      <c r="CY1483" s="115" t="e">
        <v>#N/A</v>
      </c>
      <c r="CZ1483" s="137" t="e">
        <v>#N/A</v>
      </c>
      <c r="DA1483">
        <v>0.11332468572476186</v>
      </c>
      <c r="DB1483" t="str">
        <v/>
      </c>
    </row>
    <row r="1484" spans="83:106" x14ac:dyDescent="0.2">
      <c r="CE1484"/>
      <c r="CF1484"/>
      <c r="CG1484"/>
      <c r="CH1484"/>
      <c r="CI1484"/>
      <c r="CU1484" s="42">
        <v>1479</v>
      </c>
      <c r="CV1484" s="115">
        <v>4</v>
      </c>
      <c r="CW1484" s="115">
        <v>0.11332468572476186</v>
      </c>
      <c r="CX1484" s="115" t="e">
        <v>#N/A</v>
      </c>
      <c r="CY1484" s="115" t="e">
        <v>#N/A</v>
      </c>
      <c r="CZ1484" s="137" t="e">
        <v>#N/A</v>
      </c>
      <c r="DA1484">
        <v>0.11332468572476186</v>
      </c>
      <c r="DB1484" t="str">
        <v/>
      </c>
    </row>
    <row r="1485" spans="83:106" x14ac:dyDescent="0.2">
      <c r="CE1485"/>
      <c r="CF1485"/>
      <c r="CG1485"/>
      <c r="CH1485"/>
      <c r="CI1485"/>
      <c r="CU1485" s="42">
        <v>1480</v>
      </c>
      <c r="CV1485" s="115">
        <v>4</v>
      </c>
      <c r="CW1485" s="115">
        <v>0.11332468572476186</v>
      </c>
      <c r="CX1485" s="115" t="e">
        <v>#N/A</v>
      </c>
      <c r="CY1485" s="115" t="e">
        <v>#N/A</v>
      </c>
      <c r="CZ1485" s="137" t="e">
        <v>#N/A</v>
      </c>
      <c r="DA1485">
        <v>0.11332468572476186</v>
      </c>
      <c r="DB1485" t="str">
        <v/>
      </c>
    </row>
    <row r="1486" spans="83:106" x14ac:dyDescent="0.2">
      <c r="CE1486"/>
      <c r="CF1486"/>
      <c r="CG1486"/>
      <c r="CH1486"/>
      <c r="CI1486"/>
      <c r="CU1486" s="42">
        <v>1481</v>
      </c>
      <c r="CV1486" s="115">
        <v>4</v>
      </c>
      <c r="CW1486" s="115">
        <v>0.11332468572476186</v>
      </c>
      <c r="CX1486" s="115" t="e">
        <v>#N/A</v>
      </c>
      <c r="CY1486" s="115" t="e">
        <v>#N/A</v>
      </c>
      <c r="CZ1486" s="137" t="e">
        <v>#N/A</v>
      </c>
      <c r="DA1486">
        <v>0.11332468572476186</v>
      </c>
      <c r="DB1486" t="str">
        <v/>
      </c>
    </row>
    <row r="1487" spans="83:106" x14ac:dyDescent="0.2">
      <c r="CE1487"/>
      <c r="CF1487"/>
      <c r="CG1487"/>
      <c r="CH1487"/>
      <c r="CI1487"/>
      <c r="CU1487" s="42">
        <v>1482</v>
      </c>
      <c r="CV1487" s="115">
        <v>4</v>
      </c>
      <c r="CW1487" s="115">
        <v>0.11332468572476186</v>
      </c>
      <c r="CX1487" s="115" t="e">
        <v>#N/A</v>
      </c>
      <c r="CY1487" s="115" t="e">
        <v>#N/A</v>
      </c>
      <c r="CZ1487" s="137" t="e">
        <v>#N/A</v>
      </c>
      <c r="DA1487">
        <v>0.11332468572476186</v>
      </c>
      <c r="DB1487" t="str">
        <v/>
      </c>
    </row>
    <row r="1488" spans="83:106" x14ac:dyDescent="0.2">
      <c r="CE1488"/>
      <c r="CF1488"/>
      <c r="CG1488"/>
      <c r="CH1488"/>
      <c r="CI1488"/>
      <c r="CU1488" s="42">
        <v>1483</v>
      </c>
      <c r="CV1488" s="115">
        <v>4</v>
      </c>
      <c r="CW1488" s="115">
        <v>0.11332468572476186</v>
      </c>
      <c r="CX1488" s="115" t="e">
        <v>#N/A</v>
      </c>
      <c r="CY1488" s="115" t="e">
        <v>#N/A</v>
      </c>
      <c r="CZ1488" s="137" t="e">
        <v>#N/A</v>
      </c>
      <c r="DA1488">
        <v>0.11332468572476186</v>
      </c>
      <c r="DB1488" t="str">
        <v/>
      </c>
    </row>
    <row r="1489" spans="83:106" x14ac:dyDescent="0.2">
      <c r="CE1489"/>
      <c r="CF1489"/>
      <c r="CG1489"/>
      <c r="CH1489"/>
      <c r="CI1489"/>
      <c r="CU1489" s="42">
        <v>1484</v>
      </c>
      <c r="CV1489" s="115">
        <v>4</v>
      </c>
      <c r="CW1489" s="115">
        <v>0.11332468572476186</v>
      </c>
      <c r="CX1489" s="115" t="e">
        <v>#N/A</v>
      </c>
      <c r="CY1489" s="115" t="e">
        <v>#N/A</v>
      </c>
      <c r="CZ1489" s="137" t="e">
        <v>#N/A</v>
      </c>
      <c r="DA1489">
        <v>0.11332468572476186</v>
      </c>
      <c r="DB1489" t="str">
        <v/>
      </c>
    </row>
    <row r="1490" spans="83:106" x14ac:dyDescent="0.2">
      <c r="CE1490"/>
      <c r="CF1490"/>
      <c r="CG1490"/>
      <c r="CH1490"/>
      <c r="CI1490"/>
      <c r="CU1490" s="42">
        <v>1485</v>
      </c>
      <c r="CV1490" s="115">
        <v>4</v>
      </c>
      <c r="CW1490" s="115">
        <v>0.11332468572476186</v>
      </c>
      <c r="CX1490" s="115" t="e">
        <v>#N/A</v>
      </c>
      <c r="CY1490" s="115" t="e">
        <v>#N/A</v>
      </c>
      <c r="CZ1490" s="137" t="e">
        <v>#N/A</v>
      </c>
      <c r="DA1490">
        <v>0.11332468572476186</v>
      </c>
      <c r="DB1490" t="str">
        <v/>
      </c>
    </row>
    <row r="1491" spans="83:106" x14ac:dyDescent="0.2">
      <c r="CE1491"/>
      <c r="CF1491"/>
      <c r="CG1491"/>
      <c r="CH1491"/>
      <c r="CI1491"/>
      <c r="CU1491" s="42">
        <v>1486</v>
      </c>
      <c r="CV1491" s="115">
        <v>4</v>
      </c>
      <c r="CW1491" s="115">
        <v>0.11332468572476186</v>
      </c>
      <c r="CX1491" s="115" t="e">
        <v>#N/A</v>
      </c>
      <c r="CY1491" s="115" t="e">
        <v>#N/A</v>
      </c>
      <c r="CZ1491" s="137" t="e">
        <v>#N/A</v>
      </c>
      <c r="DA1491">
        <v>0.11332468572476186</v>
      </c>
      <c r="DB1491" t="str">
        <v/>
      </c>
    </row>
    <row r="1492" spans="83:106" x14ac:dyDescent="0.2">
      <c r="CE1492"/>
      <c r="CF1492"/>
      <c r="CG1492"/>
      <c r="CH1492"/>
      <c r="CI1492"/>
      <c r="CU1492" s="42">
        <v>1487</v>
      </c>
      <c r="CV1492" s="115">
        <v>4</v>
      </c>
      <c r="CW1492" s="115">
        <v>0.11332468572476186</v>
      </c>
      <c r="CX1492" s="115" t="e">
        <v>#N/A</v>
      </c>
      <c r="CY1492" s="115" t="e">
        <v>#N/A</v>
      </c>
      <c r="CZ1492" s="137" t="e">
        <v>#N/A</v>
      </c>
      <c r="DA1492">
        <v>0.11332468572476186</v>
      </c>
      <c r="DB1492" t="str">
        <v/>
      </c>
    </row>
    <row r="1493" spans="83:106" x14ac:dyDescent="0.2">
      <c r="CE1493"/>
      <c r="CF1493"/>
      <c r="CG1493"/>
      <c r="CH1493"/>
      <c r="CI1493"/>
      <c r="CU1493" s="42">
        <v>1488</v>
      </c>
      <c r="CV1493" s="115">
        <v>4</v>
      </c>
      <c r="CW1493" s="115">
        <v>0.11332468572476186</v>
      </c>
      <c r="CX1493" s="115" t="e">
        <v>#N/A</v>
      </c>
      <c r="CY1493" s="115" t="e">
        <v>#N/A</v>
      </c>
      <c r="CZ1493" s="137" t="e">
        <v>#N/A</v>
      </c>
      <c r="DA1493">
        <v>0.11332468572476186</v>
      </c>
      <c r="DB1493" t="str">
        <v/>
      </c>
    </row>
    <row r="1494" spans="83:106" x14ac:dyDescent="0.2">
      <c r="CE1494"/>
      <c r="CF1494"/>
      <c r="CG1494"/>
      <c r="CH1494"/>
      <c r="CI1494"/>
      <c r="CU1494" s="42">
        <v>1489</v>
      </c>
      <c r="CV1494" s="115">
        <v>4</v>
      </c>
      <c r="CW1494" s="115">
        <v>0.11332468572476186</v>
      </c>
      <c r="CX1494" s="115" t="e">
        <v>#N/A</v>
      </c>
      <c r="CY1494" s="115" t="e">
        <v>#N/A</v>
      </c>
      <c r="CZ1494" s="137" t="e">
        <v>#N/A</v>
      </c>
      <c r="DA1494">
        <v>0.11332468572476186</v>
      </c>
      <c r="DB1494" t="str">
        <v/>
      </c>
    </row>
    <row r="1495" spans="83:106" x14ac:dyDescent="0.2">
      <c r="CE1495"/>
      <c r="CF1495"/>
      <c r="CG1495"/>
      <c r="CH1495"/>
      <c r="CI1495"/>
      <c r="CU1495" s="42">
        <v>1490</v>
      </c>
      <c r="CV1495" s="115">
        <v>4</v>
      </c>
      <c r="CW1495" s="115">
        <v>0.11332468572476186</v>
      </c>
      <c r="CX1495" s="115" t="e">
        <v>#N/A</v>
      </c>
      <c r="CY1495" s="115" t="e">
        <v>#N/A</v>
      </c>
      <c r="CZ1495" s="137" t="e">
        <v>#N/A</v>
      </c>
      <c r="DA1495">
        <v>0.11332468572476186</v>
      </c>
      <c r="DB1495" t="str">
        <v/>
      </c>
    </row>
    <row r="1496" spans="83:106" x14ac:dyDescent="0.2">
      <c r="CE1496"/>
      <c r="CF1496"/>
      <c r="CG1496"/>
      <c r="CH1496"/>
      <c r="CI1496"/>
      <c r="CU1496" s="42">
        <v>1491</v>
      </c>
      <c r="CV1496" s="115">
        <v>4</v>
      </c>
      <c r="CW1496" s="115">
        <v>0.11332468572476186</v>
      </c>
      <c r="CX1496" s="115" t="e">
        <v>#N/A</v>
      </c>
      <c r="CY1496" s="115" t="e">
        <v>#N/A</v>
      </c>
      <c r="CZ1496" s="137" t="e">
        <v>#N/A</v>
      </c>
      <c r="DA1496">
        <v>0.11332468572476186</v>
      </c>
      <c r="DB1496" t="str">
        <v/>
      </c>
    </row>
    <row r="1497" spans="83:106" x14ac:dyDescent="0.2">
      <c r="CE1497"/>
      <c r="CF1497"/>
      <c r="CG1497"/>
      <c r="CH1497"/>
      <c r="CI1497"/>
      <c r="CU1497" s="42">
        <v>1492</v>
      </c>
      <c r="CV1497" s="115">
        <v>4</v>
      </c>
      <c r="CW1497" s="115">
        <v>0.11332468572476186</v>
      </c>
      <c r="CX1497" s="115" t="e">
        <v>#N/A</v>
      </c>
      <c r="CY1497" s="115" t="e">
        <v>#N/A</v>
      </c>
      <c r="CZ1497" s="137" t="e">
        <v>#N/A</v>
      </c>
      <c r="DA1497">
        <v>0.11332468572476186</v>
      </c>
      <c r="DB1497" t="str">
        <v/>
      </c>
    </row>
    <row r="1498" spans="83:106" x14ac:dyDescent="0.2">
      <c r="CE1498"/>
      <c r="CF1498"/>
      <c r="CG1498"/>
      <c r="CH1498"/>
      <c r="CI1498"/>
      <c r="CU1498" s="42">
        <v>1493</v>
      </c>
      <c r="CV1498" s="115">
        <v>4</v>
      </c>
      <c r="CW1498" s="115">
        <v>0.11332468572476186</v>
      </c>
      <c r="CX1498" s="115" t="e">
        <v>#N/A</v>
      </c>
      <c r="CY1498" s="115" t="e">
        <v>#N/A</v>
      </c>
      <c r="CZ1498" s="137" t="e">
        <v>#N/A</v>
      </c>
      <c r="DA1498">
        <v>0.11332468572476186</v>
      </c>
      <c r="DB1498" t="str">
        <v/>
      </c>
    </row>
    <row r="1499" spans="83:106" x14ac:dyDescent="0.2">
      <c r="CE1499"/>
      <c r="CF1499"/>
      <c r="CG1499"/>
      <c r="CH1499"/>
      <c r="CI1499"/>
      <c r="CU1499" s="42">
        <v>1494</v>
      </c>
      <c r="CV1499" s="115">
        <v>4</v>
      </c>
      <c r="CW1499" s="115">
        <v>0.11332468572476186</v>
      </c>
      <c r="CX1499" s="115" t="e">
        <v>#N/A</v>
      </c>
      <c r="CY1499" s="115" t="e">
        <v>#N/A</v>
      </c>
      <c r="CZ1499" s="137" t="e">
        <v>#N/A</v>
      </c>
      <c r="DA1499">
        <v>0.11332468572476186</v>
      </c>
      <c r="DB1499" t="str">
        <v/>
      </c>
    </row>
    <row r="1500" spans="83:106" x14ac:dyDescent="0.2">
      <c r="CE1500"/>
      <c r="CF1500"/>
      <c r="CG1500"/>
      <c r="CH1500"/>
      <c r="CI1500"/>
      <c r="CU1500" s="42">
        <v>1495</v>
      </c>
      <c r="CV1500" s="115">
        <v>4</v>
      </c>
      <c r="CW1500" s="115">
        <v>0.11332468572476186</v>
      </c>
      <c r="CX1500" s="115" t="e">
        <v>#N/A</v>
      </c>
      <c r="CY1500" s="115" t="e">
        <v>#N/A</v>
      </c>
      <c r="CZ1500" s="137" t="e">
        <v>#N/A</v>
      </c>
      <c r="DA1500">
        <v>0.11332468572476186</v>
      </c>
      <c r="DB1500" t="str">
        <v/>
      </c>
    </row>
    <row r="1501" spans="83:106" x14ac:dyDescent="0.2">
      <c r="CE1501"/>
      <c r="CF1501"/>
      <c r="CG1501"/>
      <c r="CH1501"/>
      <c r="CI1501"/>
      <c r="CU1501" s="42">
        <v>1496</v>
      </c>
      <c r="CV1501" s="115">
        <v>4</v>
      </c>
      <c r="CW1501" s="115">
        <v>0.11332468572476186</v>
      </c>
      <c r="CX1501" s="115" t="e">
        <v>#N/A</v>
      </c>
      <c r="CY1501" s="115" t="e">
        <v>#N/A</v>
      </c>
      <c r="CZ1501" s="137" t="e">
        <v>#N/A</v>
      </c>
      <c r="DA1501">
        <v>0.11332468572476186</v>
      </c>
      <c r="DB1501" t="str">
        <v/>
      </c>
    </row>
    <row r="1502" spans="83:106" x14ac:dyDescent="0.2">
      <c r="CE1502"/>
      <c r="CF1502"/>
      <c r="CG1502"/>
      <c r="CH1502"/>
      <c r="CI1502"/>
      <c r="CU1502" s="42">
        <v>1497</v>
      </c>
      <c r="CV1502" s="115">
        <v>4</v>
      </c>
      <c r="CW1502" s="115">
        <v>0.11332468572476186</v>
      </c>
      <c r="CX1502" s="115" t="e">
        <v>#N/A</v>
      </c>
      <c r="CY1502" s="115" t="e">
        <v>#N/A</v>
      </c>
      <c r="CZ1502" s="137" t="e">
        <v>#N/A</v>
      </c>
      <c r="DA1502">
        <v>0.11332468572476186</v>
      </c>
      <c r="DB1502" t="str">
        <v/>
      </c>
    </row>
    <row r="1503" spans="83:106" x14ac:dyDescent="0.2">
      <c r="CE1503"/>
      <c r="CF1503"/>
      <c r="CG1503"/>
      <c r="CH1503"/>
      <c r="CI1503"/>
      <c r="CU1503" s="42">
        <v>1498</v>
      </c>
      <c r="CV1503" s="115">
        <v>4</v>
      </c>
      <c r="CW1503" s="115">
        <v>0.11332468572476186</v>
      </c>
      <c r="CX1503" s="115" t="e">
        <v>#N/A</v>
      </c>
      <c r="CY1503" s="115" t="e">
        <v>#N/A</v>
      </c>
      <c r="CZ1503" s="137" t="e">
        <v>#N/A</v>
      </c>
      <c r="DA1503">
        <v>0.11332468572476186</v>
      </c>
      <c r="DB1503" t="str">
        <v/>
      </c>
    </row>
    <row r="1504" spans="83:106" x14ac:dyDescent="0.2">
      <c r="CE1504"/>
      <c r="CF1504"/>
      <c r="CG1504"/>
      <c r="CH1504"/>
      <c r="CI1504"/>
      <c r="CU1504" s="42">
        <v>1499</v>
      </c>
      <c r="CV1504" s="115">
        <v>4</v>
      </c>
      <c r="CW1504" s="115">
        <v>0.11332468572476186</v>
      </c>
      <c r="CX1504" s="115" t="e">
        <v>#N/A</v>
      </c>
      <c r="CY1504" s="115" t="e">
        <v>#N/A</v>
      </c>
      <c r="CZ1504" s="137" t="e">
        <v>#N/A</v>
      </c>
      <c r="DA1504">
        <v>0.11332468572476186</v>
      </c>
      <c r="DB1504" t="str">
        <v/>
      </c>
    </row>
    <row r="1505" spans="83:106" x14ac:dyDescent="0.2">
      <c r="CE1505"/>
      <c r="CF1505"/>
      <c r="CG1505"/>
      <c r="CH1505"/>
      <c r="CI1505"/>
      <c r="CU1505" s="42">
        <v>1500</v>
      </c>
      <c r="CV1505" s="115">
        <v>4</v>
      </c>
      <c r="CW1505" s="115">
        <v>0.11332468572476186</v>
      </c>
      <c r="CX1505" s="115" t="e">
        <v>#N/A</v>
      </c>
      <c r="CY1505" s="115" t="e">
        <v>#N/A</v>
      </c>
      <c r="CZ1505" s="137" t="e">
        <v>#N/A</v>
      </c>
      <c r="DA1505">
        <v>0.11332468572476186</v>
      </c>
      <c r="DB1505" t="str">
        <v/>
      </c>
    </row>
    <row r="1506" spans="83:106" x14ac:dyDescent="0.2">
      <c r="CE1506"/>
      <c r="CF1506"/>
      <c r="CG1506"/>
      <c r="CH1506"/>
      <c r="CI1506"/>
      <c r="CU1506" s="42">
        <v>1501</v>
      </c>
      <c r="CV1506" s="115">
        <v>4</v>
      </c>
      <c r="CW1506" s="115">
        <v>0.11332468572476186</v>
      </c>
      <c r="CX1506" s="115" t="e">
        <v>#N/A</v>
      </c>
      <c r="CY1506" s="115" t="e">
        <v>#N/A</v>
      </c>
      <c r="CZ1506" s="137" t="e">
        <v>#N/A</v>
      </c>
      <c r="DA1506">
        <v>0.11332468572476186</v>
      </c>
      <c r="DB1506" t="str">
        <v/>
      </c>
    </row>
    <row r="1507" spans="83:106" x14ac:dyDescent="0.2">
      <c r="CE1507"/>
      <c r="CF1507"/>
      <c r="CG1507"/>
      <c r="CH1507"/>
      <c r="CI1507"/>
      <c r="CU1507" s="42">
        <v>1502</v>
      </c>
      <c r="CV1507" s="115">
        <v>4</v>
      </c>
      <c r="CW1507" s="115">
        <v>0.11332468572476186</v>
      </c>
      <c r="CX1507" s="115" t="e">
        <v>#N/A</v>
      </c>
      <c r="CY1507" s="115" t="e">
        <v>#N/A</v>
      </c>
      <c r="CZ1507" s="137" t="e">
        <v>#N/A</v>
      </c>
      <c r="DA1507">
        <v>0.11332468572476186</v>
      </c>
      <c r="DB1507" t="str">
        <v/>
      </c>
    </row>
    <row r="1508" spans="83:106" x14ac:dyDescent="0.2">
      <c r="CE1508"/>
      <c r="CF1508"/>
      <c r="CG1508"/>
      <c r="CH1508"/>
      <c r="CI1508"/>
      <c r="CU1508" s="42">
        <v>1503</v>
      </c>
      <c r="CV1508" s="115">
        <v>4</v>
      </c>
      <c r="CW1508" s="115">
        <v>0.11332468572476186</v>
      </c>
      <c r="CX1508" s="115" t="e">
        <v>#N/A</v>
      </c>
      <c r="CY1508" s="115" t="e">
        <v>#N/A</v>
      </c>
      <c r="CZ1508" s="137" t="e">
        <v>#N/A</v>
      </c>
      <c r="DA1508">
        <v>0.11332468572476186</v>
      </c>
      <c r="DB1508" t="str">
        <v/>
      </c>
    </row>
    <row r="1509" spans="83:106" x14ac:dyDescent="0.2">
      <c r="CE1509"/>
      <c r="CF1509"/>
      <c r="CG1509"/>
      <c r="CH1509"/>
      <c r="CI1509"/>
      <c r="CU1509" s="42">
        <v>1504</v>
      </c>
      <c r="CV1509" s="115">
        <v>4</v>
      </c>
      <c r="CW1509" s="115">
        <v>0.11332468572476186</v>
      </c>
      <c r="CX1509" s="115" t="e">
        <v>#N/A</v>
      </c>
      <c r="CY1509" s="115" t="e">
        <v>#N/A</v>
      </c>
      <c r="CZ1509" s="137" t="e">
        <v>#N/A</v>
      </c>
      <c r="DA1509">
        <v>0.11332468572476186</v>
      </c>
      <c r="DB1509" t="str">
        <v/>
      </c>
    </row>
    <row r="1510" spans="83:106" x14ac:dyDescent="0.2">
      <c r="CE1510"/>
      <c r="CF1510"/>
      <c r="CG1510"/>
      <c r="CH1510"/>
      <c r="CI1510"/>
      <c r="CU1510" s="42">
        <v>1505</v>
      </c>
      <c r="CV1510" s="115">
        <v>4</v>
      </c>
      <c r="CW1510" s="115">
        <v>0.11332468572476186</v>
      </c>
      <c r="CX1510" s="115" t="e">
        <v>#N/A</v>
      </c>
      <c r="CY1510" s="115" t="e">
        <v>#N/A</v>
      </c>
      <c r="CZ1510" s="137" t="e">
        <v>#N/A</v>
      </c>
      <c r="DA1510">
        <v>0.11332468572476186</v>
      </c>
      <c r="DB1510" t="str">
        <v/>
      </c>
    </row>
    <row r="1511" spans="83:106" x14ac:dyDescent="0.2">
      <c r="CE1511"/>
      <c r="CF1511"/>
      <c r="CG1511"/>
      <c r="CH1511"/>
      <c r="CI1511"/>
      <c r="CU1511" s="42">
        <v>1506</v>
      </c>
      <c r="CV1511" s="115">
        <v>4</v>
      </c>
      <c r="CW1511" s="115">
        <v>0.11332468572476186</v>
      </c>
      <c r="CX1511" s="115" t="e">
        <v>#N/A</v>
      </c>
      <c r="CY1511" s="115" t="e">
        <v>#N/A</v>
      </c>
      <c r="CZ1511" s="137" t="e">
        <v>#N/A</v>
      </c>
      <c r="DA1511">
        <v>0.11332468572476186</v>
      </c>
      <c r="DB1511" t="str">
        <v/>
      </c>
    </row>
    <row r="1512" spans="83:106" x14ac:dyDescent="0.2">
      <c r="CE1512"/>
      <c r="CF1512"/>
      <c r="CG1512"/>
      <c r="CH1512"/>
      <c r="CI1512"/>
      <c r="CU1512" s="42">
        <v>1507</v>
      </c>
      <c r="CV1512" s="115">
        <v>4</v>
      </c>
      <c r="CW1512" s="115">
        <v>0.11332468572476186</v>
      </c>
      <c r="CX1512" s="115" t="e">
        <v>#N/A</v>
      </c>
      <c r="CY1512" s="115" t="e">
        <v>#N/A</v>
      </c>
      <c r="CZ1512" s="137" t="e">
        <v>#N/A</v>
      </c>
      <c r="DA1512">
        <v>0.11332468572476186</v>
      </c>
      <c r="DB1512" t="str">
        <v/>
      </c>
    </row>
    <row r="1513" spans="83:106" x14ac:dyDescent="0.2">
      <c r="CE1513"/>
      <c r="CF1513"/>
      <c r="CG1513"/>
      <c r="CH1513"/>
      <c r="CI1513"/>
      <c r="CU1513" s="42">
        <v>1508</v>
      </c>
      <c r="CV1513" s="115">
        <v>4</v>
      </c>
      <c r="CW1513" s="115">
        <v>0.11332468572476186</v>
      </c>
      <c r="CX1513" s="115" t="e">
        <v>#N/A</v>
      </c>
      <c r="CY1513" s="115" t="e">
        <v>#N/A</v>
      </c>
      <c r="CZ1513" s="137" t="e">
        <v>#N/A</v>
      </c>
      <c r="DA1513">
        <v>0.11332468572476186</v>
      </c>
      <c r="DB1513" t="str">
        <v/>
      </c>
    </row>
    <row r="1514" spans="83:106" x14ac:dyDescent="0.2">
      <c r="CE1514"/>
      <c r="CF1514"/>
      <c r="CG1514"/>
      <c r="CH1514"/>
      <c r="CI1514"/>
      <c r="CU1514" s="42">
        <v>1509</v>
      </c>
      <c r="CV1514" s="115">
        <v>4</v>
      </c>
      <c r="CW1514" s="115">
        <v>0.11332468572476186</v>
      </c>
      <c r="CX1514" s="115" t="e">
        <v>#N/A</v>
      </c>
      <c r="CY1514" s="115" t="e">
        <v>#N/A</v>
      </c>
      <c r="CZ1514" s="137" t="e">
        <v>#N/A</v>
      </c>
      <c r="DA1514">
        <v>0.11332468572476186</v>
      </c>
      <c r="DB1514" t="str">
        <v/>
      </c>
    </row>
    <row r="1515" spans="83:106" x14ac:dyDescent="0.2">
      <c r="CE1515"/>
      <c r="CF1515"/>
      <c r="CG1515"/>
      <c r="CH1515"/>
      <c r="CI1515"/>
      <c r="CU1515" s="42">
        <v>1510</v>
      </c>
      <c r="CV1515" s="115">
        <v>4</v>
      </c>
      <c r="CW1515" s="115">
        <v>0.11332468572476186</v>
      </c>
      <c r="CX1515" s="115" t="e">
        <v>#N/A</v>
      </c>
      <c r="CY1515" s="115" t="e">
        <v>#N/A</v>
      </c>
      <c r="CZ1515" s="137" t="e">
        <v>#N/A</v>
      </c>
      <c r="DA1515">
        <v>0.11332468572476186</v>
      </c>
      <c r="DB1515" t="str">
        <v/>
      </c>
    </row>
    <row r="1516" spans="83:106" x14ac:dyDescent="0.2">
      <c r="CE1516"/>
      <c r="CF1516"/>
      <c r="CG1516"/>
      <c r="CH1516"/>
      <c r="CI1516"/>
      <c r="CU1516" s="42">
        <v>1511</v>
      </c>
      <c r="CV1516" s="115">
        <v>4</v>
      </c>
      <c r="CW1516" s="115">
        <v>0.11332468572476186</v>
      </c>
      <c r="CX1516" s="115" t="e">
        <v>#N/A</v>
      </c>
      <c r="CY1516" s="115" t="e">
        <v>#N/A</v>
      </c>
      <c r="CZ1516" s="137" t="e">
        <v>#N/A</v>
      </c>
      <c r="DA1516">
        <v>0.11332468572476186</v>
      </c>
      <c r="DB1516" t="str">
        <v/>
      </c>
    </row>
    <row r="1517" spans="83:106" x14ac:dyDescent="0.2">
      <c r="CE1517"/>
      <c r="CF1517"/>
      <c r="CG1517"/>
      <c r="CH1517"/>
      <c r="CI1517"/>
      <c r="CU1517" s="42">
        <v>1512</v>
      </c>
      <c r="CV1517" s="115">
        <v>4</v>
      </c>
      <c r="CW1517" s="115">
        <v>0.11332468572476186</v>
      </c>
      <c r="CX1517" s="115" t="e">
        <v>#N/A</v>
      </c>
      <c r="CY1517" s="115" t="e">
        <v>#N/A</v>
      </c>
      <c r="CZ1517" s="137" t="e">
        <v>#N/A</v>
      </c>
      <c r="DA1517">
        <v>0.11332468572476186</v>
      </c>
      <c r="DB1517" t="str">
        <v/>
      </c>
    </row>
    <row r="1518" spans="83:106" x14ac:dyDescent="0.2">
      <c r="CE1518"/>
      <c r="CF1518"/>
      <c r="CG1518"/>
      <c r="CH1518"/>
      <c r="CI1518"/>
      <c r="CU1518" s="42">
        <v>1513</v>
      </c>
      <c r="CV1518" s="115">
        <v>4</v>
      </c>
      <c r="CW1518" s="115">
        <v>0.11332468572476186</v>
      </c>
      <c r="CX1518" s="115" t="e">
        <v>#N/A</v>
      </c>
      <c r="CY1518" s="115" t="e">
        <v>#N/A</v>
      </c>
      <c r="CZ1518" s="137" t="e">
        <v>#N/A</v>
      </c>
      <c r="DA1518">
        <v>0.11332468572476186</v>
      </c>
      <c r="DB1518" t="str">
        <v/>
      </c>
    </row>
    <row r="1519" spans="83:106" x14ac:dyDescent="0.2">
      <c r="CE1519"/>
      <c r="CF1519"/>
      <c r="CG1519"/>
      <c r="CH1519"/>
      <c r="CI1519"/>
      <c r="CU1519" s="42">
        <v>1514</v>
      </c>
      <c r="CV1519" s="115">
        <v>4</v>
      </c>
      <c r="CW1519" s="115">
        <v>0.11332468572476186</v>
      </c>
      <c r="CX1519" s="115" t="e">
        <v>#N/A</v>
      </c>
      <c r="CY1519" s="115" t="e">
        <v>#N/A</v>
      </c>
      <c r="CZ1519" s="137" t="e">
        <v>#N/A</v>
      </c>
      <c r="DA1519">
        <v>0.11332468572476186</v>
      </c>
      <c r="DB1519" t="str">
        <v/>
      </c>
    </row>
    <row r="1520" spans="83:106" x14ac:dyDescent="0.2">
      <c r="CE1520"/>
      <c r="CF1520"/>
      <c r="CG1520"/>
      <c r="CH1520"/>
      <c r="CI1520"/>
      <c r="CU1520" s="42">
        <v>1515</v>
      </c>
      <c r="CV1520" s="115">
        <v>4</v>
      </c>
      <c r="CW1520" s="115">
        <v>0.11332468572476186</v>
      </c>
      <c r="CX1520" s="115" t="e">
        <v>#N/A</v>
      </c>
      <c r="CY1520" s="115" t="e">
        <v>#N/A</v>
      </c>
      <c r="CZ1520" s="137" t="e">
        <v>#N/A</v>
      </c>
      <c r="DA1520">
        <v>0.11332468572476186</v>
      </c>
      <c r="DB1520" t="str">
        <v/>
      </c>
    </row>
    <row r="1521" spans="83:106" x14ac:dyDescent="0.2">
      <c r="CE1521"/>
      <c r="CF1521"/>
      <c r="CG1521"/>
      <c r="CH1521"/>
      <c r="CI1521"/>
      <c r="CU1521" s="42">
        <v>1516</v>
      </c>
      <c r="CV1521" s="115">
        <v>4</v>
      </c>
      <c r="CW1521" s="115">
        <v>0.11332468572476186</v>
      </c>
      <c r="CX1521" s="115" t="e">
        <v>#N/A</v>
      </c>
      <c r="CY1521" s="115" t="e">
        <v>#N/A</v>
      </c>
      <c r="CZ1521" s="137" t="e">
        <v>#N/A</v>
      </c>
      <c r="DA1521">
        <v>0.11332468572476186</v>
      </c>
      <c r="DB1521" t="str">
        <v/>
      </c>
    </row>
    <row r="1522" spans="83:106" x14ac:dyDescent="0.2">
      <c r="CE1522"/>
      <c r="CF1522"/>
      <c r="CG1522"/>
      <c r="CH1522"/>
      <c r="CI1522"/>
      <c r="CU1522" s="42">
        <v>1517</v>
      </c>
      <c r="CV1522" s="115">
        <v>4</v>
      </c>
      <c r="CW1522" s="115">
        <v>0.11332468572476186</v>
      </c>
      <c r="CX1522" s="115" t="e">
        <v>#N/A</v>
      </c>
      <c r="CY1522" s="115" t="e">
        <v>#N/A</v>
      </c>
      <c r="CZ1522" s="137" t="e">
        <v>#N/A</v>
      </c>
      <c r="DA1522">
        <v>0.11332468572476186</v>
      </c>
      <c r="DB1522" t="str">
        <v/>
      </c>
    </row>
    <row r="1523" spans="83:106" x14ac:dyDescent="0.2">
      <c r="CE1523"/>
      <c r="CF1523"/>
      <c r="CG1523"/>
      <c r="CH1523"/>
      <c r="CI1523"/>
      <c r="CU1523" s="42">
        <v>1518</v>
      </c>
      <c r="CV1523" s="115">
        <v>4</v>
      </c>
      <c r="CW1523" s="115">
        <v>0.11332468572476186</v>
      </c>
      <c r="CX1523" s="115" t="e">
        <v>#N/A</v>
      </c>
      <c r="CY1523" s="115" t="e">
        <v>#N/A</v>
      </c>
      <c r="CZ1523" s="137" t="e">
        <v>#N/A</v>
      </c>
      <c r="DA1523">
        <v>0.11332468572476186</v>
      </c>
      <c r="DB1523" t="str">
        <v/>
      </c>
    </row>
    <row r="1524" spans="83:106" x14ac:dyDescent="0.2">
      <c r="CE1524"/>
      <c r="CF1524"/>
      <c r="CG1524"/>
      <c r="CH1524"/>
      <c r="CI1524"/>
      <c r="CU1524" s="42">
        <v>1519</v>
      </c>
      <c r="CV1524" s="115">
        <v>4</v>
      </c>
      <c r="CW1524" s="115">
        <v>0.11332468572476186</v>
      </c>
      <c r="CX1524" s="115" t="e">
        <v>#N/A</v>
      </c>
      <c r="CY1524" s="115" t="e">
        <v>#N/A</v>
      </c>
      <c r="CZ1524" s="137" t="e">
        <v>#N/A</v>
      </c>
      <c r="DA1524">
        <v>0.11332468572476186</v>
      </c>
      <c r="DB1524" t="str">
        <v/>
      </c>
    </row>
    <row r="1525" spans="83:106" x14ac:dyDescent="0.2">
      <c r="CE1525"/>
      <c r="CF1525"/>
      <c r="CG1525"/>
      <c r="CH1525"/>
      <c r="CI1525"/>
      <c r="CU1525" s="42">
        <v>1520</v>
      </c>
      <c r="CV1525" s="115">
        <v>4</v>
      </c>
      <c r="CW1525" s="115">
        <v>0.11332468572476186</v>
      </c>
      <c r="CX1525" s="115" t="e">
        <v>#N/A</v>
      </c>
      <c r="CY1525" s="115" t="e">
        <v>#N/A</v>
      </c>
      <c r="CZ1525" s="137" t="e">
        <v>#N/A</v>
      </c>
      <c r="DA1525">
        <v>0.11332468572476186</v>
      </c>
      <c r="DB1525" t="str">
        <v/>
      </c>
    </row>
    <row r="1526" spans="83:106" x14ac:dyDescent="0.2">
      <c r="CE1526"/>
      <c r="CF1526"/>
      <c r="CG1526"/>
      <c r="CH1526"/>
      <c r="CI1526"/>
      <c r="CU1526" s="42">
        <v>1521</v>
      </c>
      <c r="CV1526" s="115">
        <v>4</v>
      </c>
      <c r="CW1526" s="115">
        <v>0.11332468572476186</v>
      </c>
      <c r="CX1526" s="115" t="e">
        <v>#N/A</v>
      </c>
      <c r="CY1526" s="115" t="e">
        <v>#N/A</v>
      </c>
      <c r="CZ1526" s="137" t="e">
        <v>#N/A</v>
      </c>
      <c r="DA1526">
        <v>0.11332468572476186</v>
      </c>
      <c r="DB1526" t="str">
        <v/>
      </c>
    </row>
    <row r="1527" spans="83:106" x14ac:dyDescent="0.2">
      <c r="CE1527"/>
      <c r="CF1527"/>
      <c r="CG1527"/>
      <c r="CH1527"/>
      <c r="CI1527"/>
      <c r="CU1527" s="42">
        <v>1522</v>
      </c>
      <c r="CV1527" s="115">
        <v>4</v>
      </c>
      <c r="CW1527" s="115">
        <v>0.11332468572476186</v>
      </c>
      <c r="CX1527" s="115" t="e">
        <v>#N/A</v>
      </c>
      <c r="CY1527" s="115" t="e">
        <v>#N/A</v>
      </c>
      <c r="CZ1527" s="137" t="e">
        <v>#N/A</v>
      </c>
      <c r="DA1527">
        <v>0.11332468572476186</v>
      </c>
      <c r="DB1527" t="str">
        <v/>
      </c>
    </row>
    <row r="1528" spans="83:106" x14ac:dyDescent="0.2">
      <c r="CE1528"/>
      <c r="CF1528"/>
      <c r="CG1528"/>
      <c r="CH1528"/>
      <c r="CI1528"/>
      <c r="CU1528" s="42">
        <v>1523</v>
      </c>
      <c r="CV1528" s="115">
        <v>4</v>
      </c>
      <c r="CW1528" s="115">
        <v>0.11332468572476186</v>
      </c>
      <c r="CX1528" s="115" t="e">
        <v>#N/A</v>
      </c>
      <c r="CY1528" s="115" t="e">
        <v>#N/A</v>
      </c>
      <c r="CZ1528" s="137" t="e">
        <v>#N/A</v>
      </c>
      <c r="DA1528">
        <v>0.11332468572476186</v>
      </c>
      <c r="DB1528" t="str">
        <v/>
      </c>
    </row>
    <row r="1529" spans="83:106" x14ac:dyDescent="0.2">
      <c r="CE1529"/>
      <c r="CF1529"/>
      <c r="CG1529"/>
      <c r="CH1529"/>
      <c r="CI1529"/>
      <c r="CU1529" s="42">
        <v>1524</v>
      </c>
      <c r="CV1529" s="115">
        <v>4</v>
      </c>
      <c r="CW1529" s="115">
        <v>0.11332468572476186</v>
      </c>
      <c r="CX1529" s="115" t="e">
        <v>#N/A</v>
      </c>
      <c r="CY1529" s="115" t="e">
        <v>#N/A</v>
      </c>
      <c r="CZ1529" s="137" t="e">
        <v>#N/A</v>
      </c>
      <c r="DA1529">
        <v>0.11332468572476186</v>
      </c>
      <c r="DB1529" t="str">
        <v/>
      </c>
    </row>
    <row r="1530" spans="83:106" x14ac:dyDescent="0.2">
      <c r="CE1530"/>
      <c r="CF1530"/>
      <c r="CG1530"/>
      <c r="CH1530"/>
      <c r="CI1530"/>
      <c r="CU1530" s="42">
        <v>1525</v>
      </c>
      <c r="CV1530" s="115">
        <v>4</v>
      </c>
      <c r="CW1530" s="115">
        <v>0.11332468572476186</v>
      </c>
      <c r="CX1530" s="115" t="e">
        <v>#N/A</v>
      </c>
      <c r="CY1530" s="115" t="e">
        <v>#N/A</v>
      </c>
      <c r="CZ1530" s="137" t="e">
        <v>#N/A</v>
      </c>
      <c r="DA1530">
        <v>0.11332468572476186</v>
      </c>
      <c r="DB1530" t="str">
        <v/>
      </c>
    </row>
    <row r="1531" spans="83:106" x14ac:dyDescent="0.2">
      <c r="CE1531"/>
      <c r="CF1531"/>
      <c r="CG1531"/>
      <c r="CH1531"/>
      <c r="CI1531"/>
      <c r="CU1531" s="42">
        <v>1526</v>
      </c>
      <c r="CV1531" s="115">
        <v>4</v>
      </c>
      <c r="CW1531" s="115">
        <v>0.11332468572476186</v>
      </c>
      <c r="CX1531" s="115" t="e">
        <v>#N/A</v>
      </c>
      <c r="CY1531" s="115" t="e">
        <v>#N/A</v>
      </c>
      <c r="CZ1531" s="137" t="e">
        <v>#N/A</v>
      </c>
      <c r="DA1531">
        <v>0.11332468572476186</v>
      </c>
      <c r="DB1531" t="str">
        <v/>
      </c>
    </row>
    <row r="1532" spans="83:106" x14ac:dyDescent="0.2">
      <c r="CE1532"/>
      <c r="CF1532"/>
      <c r="CG1532"/>
      <c r="CH1532"/>
      <c r="CI1532"/>
      <c r="CU1532" s="42">
        <v>1527</v>
      </c>
      <c r="CV1532" s="115">
        <v>4</v>
      </c>
      <c r="CW1532" s="115">
        <v>0.11332468572476186</v>
      </c>
      <c r="CX1532" s="115" t="e">
        <v>#N/A</v>
      </c>
      <c r="CY1532" s="115" t="e">
        <v>#N/A</v>
      </c>
      <c r="CZ1532" s="137" t="e">
        <v>#N/A</v>
      </c>
      <c r="DA1532">
        <v>0.11332468572476186</v>
      </c>
      <c r="DB1532" t="str">
        <v/>
      </c>
    </row>
    <row r="1533" spans="83:106" x14ac:dyDescent="0.2">
      <c r="CE1533"/>
      <c r="CF1533"/>
      <c r="CG1533"/>
      <c r="CH1533"/>
      <c r="CI1533"/>
      <c r="CU1533" s="42">
        <v>1528</v>
      </c>
      <c r="CV1533" s="115">
        <v>4</v>
      </c>
      <c r="CW1533" s="115">
        <v>0.11332468572476186</v>
      </c>
      <c r="CX1533" s="115" t="e">
        <v>#N/A</v>
      </c>
      <c r="CY1533" s="115" t="e">
        <v>#N/A</v>
      </c>
      <c r="CZ1533" s="137" t="e">
        <v>#N/A</v>
      </c>
      <c r="DA1533">
        <v>0.11332468572476186</v>
      </c>
      <c r="DB1533" t="str">
        <v/>
      </c>
    </row>
    <row r="1534" spans="83:106" x14ac:dyDescent="0.2">
      <c r="CE1534"/>
      <c r="CF1534"/>
      <c r="CG1534"/>
      <c r="CH1534"/>
      <c r="CI1534"/>
      <c r="CU1534" s="42">
        <v>1529</v>
      </c>
      <c r="CV1534" s="115">
        <v>4</v>
      </c>
      <c r="CW1534" s="115">
        <v>0.11332468572476186</v>
      </c>
      <c r="CX1534" s="115" t="e">
        <v>#N/A</v>
      </c>
      <c r="CY1534" s="115" t="e">
        <v>#N/A</v>
      </c>
      <c r="CZ1534" s="137" t="e">
        <v>#N/A</v>
      </c>
      <c r="DA1534">
        <v>0.11332468572476186</v>
      </c>
      <c r="DB1534" t="str">
        <v/>
      </c>
    </row>
    <row r="1535" spans="83:106" x14ac:dyDescent="0.2">
      <c r="CE1535"/>
      <c r="CF1535"/>
      <c r="CG1535"/>
      <c r="CH1535"/>
      <c r="CI1535"/>
      <c r="CU1535" s="42">
        <v>1530</v>
      </c>
      <c r="CV1535" s="115">
        <v>4</v>
      </c>
      <c r="CW1535" s="115">
        <v>0.11332468572476186</v>
      </c>
      <c r="CX1535" s="115" t="e">
        <v>#N/A</v>
      </c>
      <c r="CY1535" s="115" t="e">
        <v>#N/A</v>
      </c>
      <c r="CZ1535" s="137" t="e">
        <v>#N/A</v>
      </c>
      <c r="DA1535">
        <v>0.11332468572476186</v>
      </c>
      <c r="DB1535" t="str">
        <v/>
      </c>
    </row>
    <row r="1536" spans="83:106" x14ac:dyDescent="0.2">
      <c r="CE1536"/>
      <c r="CF1536"/>
      <c r="CG1536"/>
      <c r="CH1536"/>
      <c r="CI1536"/>
      <c r="CU1536" s="42">
        <v>1531</v>
      </c>
      <c r="CV1536" s="115">
        <v>4</v>
      </c>
      <c r="CW1536" s="115">
        <v>0.11332468572476186</v>
      </c>
      <c r="CX1536" s="115" t="e">
        <v>#N/A</v>
      </c>
      <c r="CY1536" s="115" t="e">
        <v>#N/A</v>
      </c>
      <c r="CZ1536" s="137" t="e">
        <v>#N/A</v>
      </c>
      <c r="DA1536">
        <v>0.11332468572476186</v>
      </c>
      <c r="DB1536" t="str">
        <v/>
      </c>
    </row>
    <row r="1537" spans="83:106" x14ac:dyDescent="0.2">
      <c r="CE1537"/>
      <c r="CF1537"/>
      <c r="CG1537"/>
      <c r="CH1537"/>
      <c r="CI1537"/>
      <c r="CU1537" s="42">
        <v>1532</v>
      </c>
      <c r="CV1537" s="115">
        <v>4</v>
      </c>
      <c r="CW1537" s="115">
        <v>0.11332468572476186</v>
      </c>
      <c r="CX1537" s="115" t="e">
        <v>#N/A</v>
      </c>
      <c r="CY1537" s="115" t="e">
        <v>#N/A</v>
      </c>
      <c r="CZ1537" s="137" t="e">
        <v>#N/A</v>
      </c>
      <c r="DA1537">
        <v>0.11332468572476186</v>
      </c>
      <c r="DB1537" t="str">
        <v/>
      </c>
    </row>
    <row r="1538" spans="83:106" x14ac:dyDescent="0.2">
      <c r="CE1538"/>
      <c r="CF1538"/>
      <c r="CG1538"/>
      <c r="CH1538"/>
      <c r="CI1538"/>
      <c r="CU1538" s="42">
        <v>1533</v>
      </c>
      <c r="CV1538" s="115">
        <v>4</v>
      </c>
      <c r="CW1538" s="115">
        <v>0.11332468572476186</v>
      </c>
      <c r="CX1538" s="115" t="e">
        <v>#N/A</v>
      </c>
      <c r="CY1538" s="115" t="e">
        <v>#N/A</v>
      </c>
      <c r="CZ1538" s="137" t="e">
        <v>#N/A</v>
      </c>
      <c r="DA1538">
        <v>0.11332468572476186</v>
      </c>
      <c r="DB1538" t="str">
        <v/>
      </c>
    </row>
    <row r="1539" spans="83:106" x14ac:dyDescent="0.2">
      <c r="CE1539"/>
      <c r="CF1539"/>
      <c r="CG1539"/>
      <c r="CH1539"/>
      <c r="CI1539"/>
      <c r="CU1539" s="42">
        <v>1534</v>
      </c>
      <c r="CV1539" s="115">
        <v>4</v>
      </c>
      <c r="CW1539" s="115">
        <v>0.11332468572476186</v>
      </c>
      <c r="CX1539" s="115" t="e">
        <v>#N/A</v>
      </c>
      <c r="CY1539" s="115" t="e">
        <v>#N/A</v>
      </c>
      <c r="CZ1539" s="137" t="e">
        <v>#N/A</v>
      </c>
      <c r="DA1539">
        <v>0.11332468572476186</v>
      </c>
      <c r="DB1539" t="str">
        <v/>
      </c>
    </row>
    <row r="1540" spans="83:106" x14ac:dyDescent="0.2">
      <c r="CE1540"/>
      <c r="CF1540"/>
      <c r="CG1540"/>
      <c r="CH1540"/>
      <c r="CI1540"/>
      <c r="CU1540" s="42">
        <v>1535</v>
      </c>
      <c r="CV1540" s="115">
        <v>4</v>
      </c>
      <c r="CW1540" s="115">
        <v>0.11332468572476186</v>
      </c>
      <c r="CX1540" s="115" t="e">
        <v>#N/A</v>
      </c>
      <c r="CY1540" s="115" t="e">
        <v>#N/A</v>
      </c>
      <c r="CZ1540" s="137" t="e">
        <v>#N/A</v>
      </c>
      <c r="DA1540">
        <v>0.11332468572476186</v>
      </c>
      <c r="DB1540" t="str">
        <v/>
      </c>
    </row>
    <row r="1541" spans="83:106" x14ac:dyDescent="0.2">
      <c r="CE1541"/>
      <c r="CF1541"/>
      <c r="CG1541"/>
      <c r="CH1541"/>
      <c r="CI1541"/>
      <c r="CU1541" s="42">
        <v>1536</v>
      </c>
      <c r="CV1541" s="115">
        <v>4</v>
      </c>
      <c r="CW1541" s="115">
        <v>0.11332468572476186</v>
      </c>
      <c r="CX1541" s="115" t="e">
        <v>#N/A</v>
      </c>
      <c r="CY1541" s="115" t="e">
        <v>#N/A</v>
      </c>
      <c r="CZ1541" s="137" t="e">
        <v>#N/A</v>
      </c>
      <c r="DA1541">
        <v>0.11332468572476186</v>
      </c>
      <c r="DB1541" t="str">
        <v/>
      </c>
    </row>
    <row r="1542" spans="83:106" x14ac:dyDescent="0.2">
      <c r="CE1542"/>
      <c r="CF1542"/>
      <c r="CG1542"/>
      <c r="CH1542"/>
      <c r="CI1542"/>
      <c r="CU1542" s="42">
        <v>1537</v>
      </c>
      <c r="CV1542" s="115">
        <v>4</v>
      </c>
      <c r="CW1542" s="115">
        <v>0.11332468572476186</v>
      </c>
      <c r="CX1542" s="115" t="e">
        <v>#N/A</v>
      </c>
      <c r="CY1542" s="115" t="e">
        <v>#N/A</v>
      </c>
      <c r="CZ1542" s="137" t="e">
        <v>#N/A</v>
      </c>
      <c r="DA1542">
        <v>0.11332468572476186</v>
      </c>
      <c r="DB1542" t="str">
        <v/>
      </c>
    </row>
    <row r="1543" spans="83:106" x14ac:dyDescent="0.2">
      <c r="CE1543"/>
      <c r="CF1543"/>
      <c r="CG1543"/>
      <c r="CH1543"/>
      <c r="CI1543"/>
      <c r="CU1543" s="42">
        <v>1538</v>
      </c>
      <c r="CV1543" s="115">
        <v>4</v>
      </c>
      <c r="CW1543" s="115">
        <v>0.11332468572476186</v>
      </c>
      <c r="CX1543" s="115" t="e">
        <v>#N/A</v>
      </c>
      <c r="CY1543" s="115" t="e">
        <v>#N/A</v>
      </c>
      <c r="CZ1543" s="137" t="e">
        <v>#N/A</v>
      </c>
      <c r="DA1543">
        <v>0.11332468572476186</v>
      </c>
      <c r="DB1543" t="str">
        <v/>
      </c>
    </row>
    <row r="1544" spans="83:106" x14ac:dyDescent="0.2">
      <c r="CE1544"/>
      <c r="CF1544"/>
      <c r="CG1544"/>
      <c r="CH1544"/>
      <c r="CI1544"/>
      <c r="CU1544" s="42">
        <v>1539</v>
      </c>
      <c r="CV1544" s="115">
        <v>4</v>
      </c>
      <c r="CW1544" s="115">
        <v>0.11332468572476186</v>
      </c>
      <c r="CX1544" s="115" t="e">
        <v>#N/A</v>
      </c>
      <c r="CY1544" s="115" t="e">
        <v>#N/A</v>
      </c>
      <c r="CZ1544" s="137" t="e">
        <v>#N/A</v>
      </c>
      <c r="DA1544">
        <v>0.11332468572476186</v>
      </c>
      <c r="DB1544" t="str">
        <v/>
      </c>
    </row>
    <row r="1545" spans="83:106" x14ac:dyDescent="0.2">
      <c r="CE1545"/>
      <c r="CF1545"/>
      <c r="CG1545"/>
      <c r="CH1545"/>
      <c r="CI1545"/>
      <c r="CU1545" s="42">
        <v>1540</v>
      </c>
      <c r="CV1545" s="115">
        <v>4</v>
      </c>
      <c r="CW1545" s="115">
        <v>0.11332468572476186</v>
      </c>
      <c r="CX1545" s="115" t="e">
        <v>#N/A</v>
      </c>
      <c r="CY1545" s="115" t="e">
        <v>#N/A</v>
      </c>
      <c r="CZ1545" s="137" t="e">
        <v>#N/A</v>
      </c>
      <c r="DA1545">
        <v>0.11332468572476186</v>
      </c>
      <c r="DB1545" t="str">
        <v/>
      </c>
    </row>
    <row r="1546" spans="83:106" x14ac:dyDescent="0.2">
      <c r="CE1546"/>
      <c r="CF1546"/>
      <c r="CG1546"/>
      <c r="CH1546"/>
      <c r="CI1546"/>
      <c r="CU1546" s="42">
        <v>1541</v>
      </c>
      <c r="CV1546" s="115">
        <v>4</v>
      </c>
      <c r="CW1546" s="115">
        <v>0.11332468572476186</v>
      </c>
      <c r="CX1546" s="115" t="e">
        <v>#N/A</v>
      </c>
      <c r="CY1546" s="115" t="e">
        <v>#N/A</v>
      </c>
      <c r="CZ1546" s="137" t="e">
        <v>#N/A</v>
      </c>
      <c r="DA1546">
        <v>0.11332468572476186</v>
      </c>
      <c r="DB1546" t="str">
        <v/>
      </c>
    </row>
    <row r="1547" spans="83:106" x14ac:dyDescent="0.2">
      <c r="CE1547"/>
      <c r="CF1547"/>
      <c r="CG1547"/>
      <c r="CH1547"/>
      <c r="CI1547"/>
      <c r="CU1547" s="42">
        <v>1542</v>
      </c>
      <c r="CV1547" s="115">
        <v>4</v>
      </c>
      <c r="CW1547" s="115">
        <v>0.11332468572476186</v>
      </c>
      <c r="CX1547" s="115" t="e">
        <v>#N/A</v>
      </c>
      <c r="CY1547" s="115" t="e">
        <v>#N/A</v>
      </c>
      <c r="CZ1547" s="137" t="e">
        <v>#N/A</v>
      </c>
      <c r="DA1547">
        <v>0.11332468572476186</v>
      </c>
      <c r="DB1547" t="str">
        <v/>
      </c>
    </row>
    <row r="1548" spans="83:106" x14ac:dyDescent="0.2">
      <c r="CE1548"/>
      <c r="CF1548"/>
      <c r="CG1548"/>
      <c r="CH1548"/>
      <c r="CI1548"/>
      <c r="CU1548" s="42">
        <v>1543</v>
      </c>
      <c r="CV1548" s="115">
        <v>4</v>
      </c>
      <c r="CW1548" s="115">
        <v>0.11332468572476186</v>
      </c>
      <c r="CX1548" s="115" t="e">
        <v>#N/A</v>
      </c>
      <c r="CY1548" s="115" t="e">
        <v>#N/A</v>
      </c>
      <c r="CZ1548" s="137" t="e">
        <v>#N/A</v>
      </c>
      <c r="DA1548">
        <v>0.11332468572476186</v>
      </c>
      <c r="DB1548" t="str">
        <v/>
      </c>
    </row>
    <row r="1549" spans="83:106" x14ac:dyDescent="0.2">
      <c r="CE1549"/>
      <c r="CF1549"/>
      <c r="CG1549"/>
      <c r="CH1549"/>
      <c r="CI1549"/>
      <c r="CU1549" s="42">
        <v>1544</v>
      </c>
      <c r="CV1549" s="115">
        <v>4</v>
      </c>
      <c r="CW1549" s="115">
        <v>0.11332468572476186</v>
      </c>
      <c r="CX1549" s="115" t="e">
        <v>#N/A</v>
      </c>
      <c r="CY1549" s="115" t="e">
        <v>#N/A</v>
      </c>
      <c r="CZ1549" s="137" t="e">
        <v>#N/A</v>
      </c>
      <c r="DA1549">
        <v>0.11332468572476186</v>
      </c>
      <c r="DB1549" t="str">
        <v/>
      </c>
    </row>
    <row r="1550" spans="83:106" x14ac:dyDescent="0.2">
      <c r="CE1550"/>
      <c r="CF1550"/>
      <c r="CG1550"/>
      <c r="CH1550"/>
      <c r="CI1550"/>
      <c r="CU1550" s="42">
        <v>1545</v>
      </c>
      <c r="CV1550" s="115">
        <v>4</v>
      </c>
      <c r="CW1550" s="115">
        <v>0.11332468572476186</v>
      </c>
      <c r="CX1550" s="115" t="e">
        <v>#N/A</v>
      </c>
      <c r="CY1550" s="115" t="e">
        <v>#N/A</v>
      </c>
      <c r="CZ1550" s="137" t="e">
        <v>#N/A</v>
      </c>
      <c r="DA1550">
        <v>0.11332468572476186</v>
      </c>
      <c r="DB1550" t="str">
        <v/>
      </c>
    </row>
    <row r="1551" spans="83:106" x14ac:dyDescent="0.2">
      <c r="CE1551"/>
      <c r="CF1551"/>
      <c r="CG1551"/>
      <c r="CH1551"/>
      <c r="CI1551"/>
      <c r="CU1551" s="42">
        <v>1546</v>
      </c>
      <c r="CV1551" s="115">
        <v>4</v>
      </c>
      <c r="CW1551" s="115">
        <v>0.11332468572476186</v>
      </c>
      <c r="CX1551" s="115" t="e">
        <v>#N/A</v>
      </c>
      <c r="CY1551" s="115" t="e">
        <v>#N/A</v>
      </c>
      <c r="CZ1551" s="137" t="e">
        <v>#N/A</v>
      </c>
      <c r="DA1551">
        <v>0.11332468572476186</v>
      </c>
      <c r="DB1551" t="str">
        <v/>
      </c>
    </row>
    <row r="1552" spans="83:106" x14ac:dyDescent="0.2">
      <c r="CE1552"/>
      <c r="CF1552"/>
      <c r="CG1552"/>
      <c r="CH1552"/>
      <c r="CI1552"/>
      <c r="CU1552" s="42">
        <v>1547</v>
      </c>
      <c r="CV1552" s="115">
        <v>4</v>
      </c>
      <c r="CW1552" s="115">
        <v>0.11332468572476186</v>
      </c>
      <c r="CX1552" s="115" t="e">
        <v>#N/A</v>
      </c>
      <c r="CY1552" s="115" t="e">
        <v>#N/A</v>
      </c>
      <c r="CZ1552" s="137" t="e">
        <v>#N/A</v>
      </c>
      <c r="DA1552">
        <v>0.11332468572476186</v>
      </c>
      <c r="DB1552" t="str">
        <v/>
      </c>
    </row>
    <row r="1553" spans="83:106" x14ac:dyDescent="0.2">
      <c r="CE1553"/>
      <c r="CF1553"/>
      <c r="CG1553"/>
      <c r="CH1553"/>
      <c r="CI1553"/>
      <c r="CU1553" s="42">
        <v>1548</v>
      </c>
      <c r="CV1553" s="115">
        <v>4</v>
      </c>
      <c r="CW1553" s="115">
        <v>0.11332468572476186</v>
      </c>
      <c r="CX1553" s="115" t="e">
        <v>#N/A</v>
      </c>
      <c r="CY1553" s="115" t="e">
        <v>#N/A</v>
      </c>
      <c r="CZ1553" s="137" t="e">
        <v>#N/A</v>
      </c>
      <c r="DA1553">
        <v>0.11332468572476186</v>
      </c>
      <c r="DB1553" t="str">
        <v/>
      </c>
    </row>
    <row r="1554" spans="83:106" x14ac:dyDescent="0.2">
      <c r="CE1554"/>
      <c r="CF1554"/>
      <c r="CG1554"/>
      <c r="CH1554"/>
      <c r="CI1554"/>
      <c r="CU1554" s="42">
        <v>1549</v>
      </c>
      <c r="CV1554" s="115">
        <v>4</v>
      </c>
      <c r="CW1554" s="115">
        <v>0.11332468572476186</v>
      </c>
      <c r="CX1554" s="115" t="e">
        <v>#N/A</v>
      </c>
      <c r="CY1554" s="115" t="e">
        <v>#N/A</v>
      </c>
      <c r="CZ1554" s="137" t="e">
        <v>#N/A</v>
      </c>
      <c r="DA1554">
        <v>0.11332468572476186</v>
      </c>
      <c r="DB1554" t="str">
        <v/>
      </c>
    </row>
    <row r="1555" spans="83:106" x14ac:dyDescent="0.2">
      <c r="CE1555"/>
      <c r="CF1555"/>
      <c r="CG1555"/>
      <c r="CH1555"/>
      <c r="CI1555"/>
      <c r="CU1555" s="42">
        <v>1550</v>
      </c>
      <c r="CV1555" s="115">
        <v>4</v>
      </c>
      <c r="CW1555" s="115">
        <v>0.11332468572476186</v>
      </c>
      <c r="CX1555" s="115" t="e">
        <v>#N/A</v>
      </c>
      <c r="CY1555" s="115" t="e">
        <v>#N/A</v>
      </c>
      <c r="CZ1555" s="137" t="e">
        <v>#N/A</v>
      </c>
      <c r="DA1555">
        <v>0.11332468572476186</v>
      </c>
      <c r="DB1555" t="str">
        <v/>
      </c>
    </row>
    <row r="1556" spans="83:106" x14ac:dyDescent="0.2">
      <c r="CE1556"/>
      <c r="CF1556"/>
      <c r="CG1556"/>
      <c r="CH1556"/>
      <c r="CI1556"/>
      <c r="CU1556" s="42">
        <v>1551</v>
      </c>
      <c r="CV1556" s="115">
        <v>4</v>
      </c>
      <c r="CW1556" s="115">
        <v>0.11332468572476186</v>
      </c>
      <c r="CX1556" s="115" t="e">
        <v>#N/A</v>
      </c>
      <c r="CY1556" s="115" t="e">
        <v>#N/A</v>
      </c>
      <c r="CZ1556" s="137" t="e">
        <v>#N/A</v>
      </c>
      <c r="DA1556">
        <v>0.11332468572476186</v>
      </c>
      <c r="DB1556" t="str">
        <v/>
      </c>
    </row>
    <row r="1557" spans="83:106" x14ac:dyDescent="0.2">
      <c r="CE1557"/>
      <c r="CF1557"/>
      <c r="CG1557"/>
      <c r="CH1557"/>
      <c r="CI1557"/>
      <c r="CU1557" s="42">
        <v>1552</v>
      </c>
      <c r="CV1557" s="115">
        <v>4</v>
      </c>
      <c r="CW1557" s="115">
        <v>0.11332468572476186</v>
      </c>
      <c r="CX1557" s="115" t="e">
        <v>#N/A</v>
      </c>
      <c r="CY1557" s="115" t="e">
        <v>#N/A</v>
      </c>
      <c r="CZ1557" s="137" t="e">
        <v>#N/A</v>
      </c>
      <c r="DA1557">
        <v>0.11332468572476186</v>
      </c>
      <c r="DB1557" t="str">
        <v/>
      </c>
    </row>
    <row r="1558" spans="83:106" x14ac:dyDescent="0.2">
      <c r="CE1558"/>
      <c r="CF1558"/>
      <c r="CG1558"/>
      <c r="CH1558"/>
      <c r="CI1558"/>
      <c r="CU1558" s="42">
        <v>1553</v>
      </c>
      <c r="CV1558" s="115">
        <v>4</v>
      </c>
      <c r="CW1558" s="115">
        <v>0.11332468572476186</v>
      </c>
      <c r="CX1558" s="115" t="e">
        <v>#N/A</v>
      </c>
      <c r="CY1558" s="115" t="e">
        <v>#N/A</v>
      </c>
      <c r="CZ1558" s="137" t="e">
        <v>#N/A</v>
      </c>
      <c r="DA1558">
        <v>0.11332468572476186</v>
      </c>
      <c r="DB1558" t="str">
        <v/>
      </c>
    </row>
    <row r="1559" spans="83:106" x14ac:dyDescent="0.2">
      <c r="CE1559"/>
      <c r="CF1559"/>
      <c r="CG1559"/>
      <c r="CH1559"/>
      <c r="CI1559"/>
      <c r="CU1559" s="42">
        <v>1554</v>
      </c>
      <c r="CV1559" s="115">
        <v>4</v>
      </c>
      <c r="CW1559" s="115">
        <v>0.11332468572476186</v>
      </c>
      <c r="CX1559" s="115" t="e">
        <v>#N/A</v>
      </c>
      <c r="CY1559" s="115" t="e">
        <v>#N/A</v>
      </c>
      <c r="CZ1559" s="137" t="e">
        <v>#N/A</v>
      </c>
      <c r="DA1559">
        <v>0.11332468572476186</v>
      </c>
      <c r="DB1559" t="str">
        <v/>
      </c>
    </row>
    <row r="1560" spans="83:106" x14ac:dyDescent="0.2">
      <c r="CE1560"/>
      <c r="CF1560"/>
      <c r="CG1560"/>
      <c r="CH1560"/>
      <c r="CI1560"/>
      <c r="CU1560" s="42">
        <v>1555</v>
      </c>
      <c r="CV1560" s="115">
        <v>4</v>
      </c>
      <c r="CW1560" s="115">
        <v>0.11332468572476186</v>
      </c>
      <c r="CX1560" s="115" t="e">
        <v>#N/A</v>
      </c>
      <c r="CY1560" s="115" t="e">
        <v>#N/A</v>
      </c>
      <c r="CZ1560" s="137" t="e">
        <v>#N/A</v>
      </c>
      <c r="DA1560">
        <v>0.11332468572476186</v>
      </c>
      <c r="DB1560" t="str">
        <v/>
      </c>
    </row>
    <row r="1561" spans="83:106" x14ac:dyDescent="0.2">
      <c r="CE1561"/>
      <c r="CF1561"/>
      <c r="CG1561"/>
      <c r="CH1561"/>
      <c r="CI1561"/>
      <c r="CU1561" s="42">
        <v>1556</v>
      </c>
      <c r="CV1561" s="115">
        <v>4</v>
      </c>
      <c r="CW1561" s="115">
        <v>0.11332468572476186</v>
      </c>
      <c r="CX1561" s="115" t="e">
        <v>#N/A</v>
      </c>
      <c r="CY1561" s="115" t="e">
        <v>#N/A</v>
      </c>
      <c r="CZ1561" s="137" t="e">
        <v>#N/A</v>
      </c>
      <c r="DA1561">
        <v>0.11332468572476186</v>
      </c>
      <c r="DB1561" t="str">
        <v/>
      </c>
    </row>
    <row r="1562" spans="83:106" x14ac:dyDescent="0.2">
      <c r="CE1562"/>
      <c r="CF1562"/>
      <c r="CG1562"/>
      <c r="CH1562"/>
      <c r="CI1562"/>
      <c r="CU1562" s="42">
        <v>1557</v>
      </c>
      <c r="CV1562" s="115">
        <v>4</v>
      </c>
      <c r="CW1562" s="115">
        <v>0.11332468572476186</v>
      </c>
      <c r="CX1562" s="115" t="e">
        <v>#N/A</v>
      </c>
      <c r="CY1562" s="115" t="e">
        <v>#N/A</v>
      </c>
      <c r="CZ1562" s="137" t="e">
        <v>#N/A</v>
      </c>
      <c r="DA1562">
        <v>0.11332468572476186</v>
      </c>
      <c r="DB1562" t="str">
        <v/>
      </c>
    </row>
    <row r="1563" spans="83:106" x14ac:dyDescent="0.2">
      <c r="CE1563"/>
      <c r="CF1563"/>
      <c r="CG1563"/>
      <c r="CH1563"/>
      <c r="CI1563"/>
      <c r="CU1563" s="42">
        <v>1558</v>
      </c>
      <c r="CV1563" s="115">
        <v>4</v>
      </c>
      <c r="CW1563" s="115">
        <v>0.11332468572476186</v>
      </c>
      <c r="CX1563" s="115" t="e">
        <v>#N/A</v>
      </c>
      <c r="CY1563" s="115" t="e">
        <v>#N/A</v>
      </c>
      <c r="CZ1563" s="137" t="e">
        <v>#N/A</v>
      </c>
      <c r="DA1563">
        <v>0.11332468572476186</v>
      </c>
      <c r="DB1563" t="str">
        <v/>
      </c>
    </row>
    <row r="1564" spans="83:106" x14ac:dyDescent="0.2">
      <c r="CE1564"/>
      <c r="CF1564"/>
      <c r="CG1564"/>
      <c r="CH1564"/>
      <c r="CI1564"/>
      <c r="CU1564" s="42">
        <v>1559</v>
      </c>
      <c r="CV1564" s="115">
        <v>4</v>
      </c>
      <c r="CW1564" s="115">
        <v>0.11332468572476186</v>
      </c>
      <c r="CX1564" s="115" t="e">
        <v>#N/A</v>
      </c>
      <c r="CY1564" s="115" t="e">
        <v>#N/A</v>
      </c>
      <c r="CZ1564" s="137" t="e">
        <v>#N/A</v>
      </c>
      <c r="DA1564">
        <v>0.11332468572476186</v>
      </c>
      <c r="DB1564" t="str">
        <v/>
      </c>
    </row>
    <row r="1565" spans="83:106" x14ac:dyDescent="0.2">
      <c r="CE1565"/>
      <c r="CF1565"/>
      <c r="CG1565"/>
      <c r="CH1565"/>
      <c r="CI1565"/>
      <c r="CU1565" s="42">
        <v>1560</v>
      </c>
      <c r="CV1565" s="115">
        <v>4</v>
      </c>
      <c r="CW1565" s="115">
        <v>0.11332468572476186</v>
      </c>
      <c r="CX1565" s="115" t="e">
        <v>#N/A</v>
      </c>
      <c r="CY1565" s="115" t="e">
        <v>#N/A</v>
      </c>
      <c r="CZ1565" s="137" t="e">
        <v>#N/A</v>
      </c>
      <c r="DA1565">
        <v>0.11332468572476186</v>
      </c>
      <c r="DB1565" t="str">
        <v/>
      </c>
    </row>
    <row r="1566" spans="83:106" x14ac:dyDescent="0.2">
      <c r="CE1566"/>
      <c r="CF1566"/>
      <c r="CG1566"/>
      <c r="CH1566"/>
      <c r="CI1566"/>
      <c r="CU1566" s="42">
        <v>1561</v>
      </c>
      <c r="CV1566" s="115">
        <v>4</v>
      </c>
      <c r="CW1566" s="115">
        <v>0.11332468572476186</v>
      </c>
      <c r="CX1566" s="115" t="e">
        <v>#N/A</v>
      </c>
      <c r="CY1566" s="115" t="e">
        <v>#N/A</v>
      </c>
      <c r="CZ1566" s="137" t="e">
        <v>#N/A</v>
      </c>
      <c r="DA1566">
        <v>0.11332468572476186</v>
      </c>
      <c r="DB1566" t="str">
        <v/>
      </c>
    </row>
    <row r="1567" spans="83:106" x14ac:dyDescent="0.2">
      <c r="CE1567"/>
      <c r="CF1567"/>
      <c r="CG1567"/>
      <c r="CH1567"/>
      <c r="CI1567"/>
      <c r="CU1567" s="42">
        <v>1562</v>
      </c>
      <c r="CV1567" s="115">
        <v>4</v>
      </c>
      <c r="CW1567" s="115">
        <v>0.11332468572476186</v>
      </c>
      <c r="CX1567" s="115" t="e">
        <v>#N/A</v>
      </c>
      <c r="CY1567" s="115" t="e">
        <v>#N/A</v>
      </c>
      <c r="CZ1567" s="137" t="e">
        <v>#N/A</v>
      </c>
      <c r="DA1567">
        <v>0.11332468572476186</v>
      </c>
      <c r="DB1567" t="str">
        <v/>
      </c>
    </row>
    <row r="1568" spans="83:106" x14ac:dyDescent="0.2">
      <c r="CE1568"/>
      <c r="CF1568"/>
      <c r="CG1568"/>
      <c r="CH1568"/>
      <c r="CI1568"/>
      <c r="CU1568" s="42">
        <v>1563</v>
      </c>
      <c r="CV1568" s="115">
        <v>4</v>
      </c>
      <c r="CW1568" s="115">
        <v>0.11332468572476186</v>
      </c>
      <c r="CX1568" s="115" t="e">
        <v>#N/A</v>
      </c>
      <c r="CY1568" s="115" t="e">
        <v>#N/A</v>
      </c>
      <c r="CZ1568" s="137" t="e">
        <v>#N/A</v>
      </c>
      <c r="DA1568">
        <v>0.11332468572476186</v>
      </c>
      <c r="DB1568" t="str">
        <v/>
      </c>
    </row>
    <row r="1569" spans="83:106" x14ac:dyDescent="0.2">
      <c r="CE1569"/>
      <c r="CF1569"/>
      <c r="CG1569"/>
      <c r="CH1569"/>
      <c r="CI1569"/>
      <c r="CU1569" s="42">
        <v>1564</v>
      </c>
      <c r="CV1569" s="115">
        <v>4</v>
      </c>
      <c r="CW1569" s="115">
        <v>0.11332468572476186</v>
      </c>
      <c r="CX1569" s="115" t="e">
        <v>#N/A</v>
      </c>
      <c r="CY1569" s="115" t="e">
        <v>#N/A</v>
      </c>
      <c r="CZ1569" s="137" t="e">
        <v>#N/A</v>
      </c>
      <c r="DA1569">
        <v>0.11332468572476186</v>
      </c>
      <c r="DB1569" t="str">
        <v/>
      </c>
    </row>
    <row r="1570" spans="83:106" x14ac:dyDescent="0.2">
      <c r="CE1570"/>
      <c r="CF1570"/>
      <c r="CG1570"/>
      <c r="CH1570"/>
      <c r="CI1570"/>
      <c r="CU1570" s="42">
        <v>1565</v>
      </c>
      <c r="CV1570" s="115">
        <v>4</v>
      </c>
      <c r="CW1570" s="115">
        <v>0.11332468572476186</v>
      </c>
      <c r="CX1570" s="115" t="e">
        <v>#N/A</v>
      </c>
      <c r="CY1570" s="115" t="e">
        <v>#N/A</v>
      </c>
      <c r="CZ1570" s="137" t="e">
        <v>#N/A</v>
      </c>
      <c r="DA1570">
        <v>0.11332468572476186</v>
      </c>
      <c r="DB1570" t="str">
        <v/>
      </c>
    </row>
    <row r="1571" spans="83:106" x14ac:dyDescent="0.2">
      <c r="CE1571"/>
      <c r="CF1571"/>
      <c r="CG1571"/>
      <c r="CH1571"/>
      <c r="CI1571"/>
      <c r="CU1571" s="42">
        <v>1566</v>
      </c>
      <c r="CV1571" s="115">
        <v>4</v>
      </c>
      <c r="CW1571" s="115">
        <v>0.11332468572476186</v>
      </c>
      <c r="CX1571" s="115" t="e">
        <v>#N/A</v>
      </c>
      <c r="CY1571" s="115" t="e">
        <v>#N/A</v>
      </c>
      <c r="CZ1571" s="137" t="e">
        <v>#N/A</v>
      </c>
      <c r="DA1571">
        <v>0.11332468572476186</v>
      </c>
      <c r="DB1571" t="str">
        <v/>
      </c>
    </row>
    <row r="1572" spans="83:106" x14ac:dyDescent="0.2">
      <c r="CE1572"/>
      <c r="CF1572"/>
      <c r="CG1572"/>
      <c r="CH1572"/>
      <c r="CI1572"/>
      <c r="CU1572" s="42">
        <v>1567</v>
      </c>
      <c r="CV1572" s="115">
        <v>4</v>
      </c>
      <c r="CW1572" s="115">
        <v>0.11332468572476186</v>
      </c>
      <c r="CX1572" s="115" t="e">
        <v>#N/A</v>
      </c>
      <c r="CY1572" s="115" t="e">
        <v>#N/A</v>
      </c>
      <c r="CZ1572" s="137" t="e">
        <v>#N/A</v>
      </c>
      <c r="DA1572">
        <v>0.11332468572476186</v>
      </c>
      <c r="DB1572" t="str">
        <v/>
      </c>
    </row>
    <row r="1573" spans="83:106" x14ac:dyDescent="0.2">
      <c r="CE1573"/>
      <c r="CF1573"/>
      <c r="CG1573"/>
      <c r="CH1573"/>
      <c r="CI1573"/>
      <c r="CU1573" s="42">
        <v>1568</v>
      </c>
      <c r="CV1573" s="115">
        <v>4</v>
      </c>
      <c r="CW1573" s="115">
        <v>0.11332468572476186</v>
      </c>
      <c r="CX1573" s="115" t="e">
        <v>#N/A</v>
      </c>
      <c r="CY1573" s="115" t="e">
        <v>#N/A</v>
      </c>
      <c r="CZ1573" s="137" t="e">
        <v>#N/A</v>
      </c>
      <c r="DA1573">
        <v>0.11332468572476186</v>
      </c>
      <c r="DB1573" t="str">
        <v/>
      </c>
    </row>
    <row r="1574" spans="83:106" x14ac:dyDescent="0.2">
      <c r="CE1574"/>
      <c r="CF1574"/>
      <c r="CG1574"/>
      <c r="CH1574"/>
      <c r="CI1574"/>
      <c r="CU1574" s="42">
        <v>1569</v>
      </c>
      <c r="CV1574" s="115">
        <v>4</v>
      </c>
      <c r="CW1574" s="115">
        <v>0.11332468572476186</v>
      </c>
      <c r="CX1574" s="115" t="e">
        <v>#N/A</v>
      </c>
      <c r="CY1574" s="115" t="e">
        <v>#N/A</v>
      </c>
      <c r="CZ1574" s="137" t="e">
        <v>#N/A</v>
      </c>
      <c r="DA1574">
        <v>0.11332468572476186</v>
      </c>
      <c r="DB1574" t="str">
        <v/>
      </c>
    </row>
    <row r="1575" spans="83:106" x14ac:dyDescent="0.2">
      <c r="CE1575"/>
      <c r="CF1575"/>
      <c r="CG1575"/>
      <c r="CH1575"/>
      <c r="CI1575"/>
      <c r="CU1575" s="42">
        <v>1570</v>
      </c>
      <c r="CV1575" s="115">
        <v>4</v>
      </c>
      <c r="CW1575" s="115">
        <v>0.11332468572476186</v>
      </c>
      <c r="CX1575" s="115" t="e">
        <v>#N/A</v>
      </c>
      <c r="CY1575" s="115" t="e">
        <v>#N/A</v>
      </c>
      <c r="CZ1575" s="137" t="e">
        <v>#N/A</v>
      </c>
      <c r="DA1575">
        <v>0.11332468572476186</v>
      </c>
      <c r="DB1575" t="str">
        <v/>
      </c>
    </row>
    <row r="1576" spans="83:106" x14ac:dyDescent="0.2">
      <c r="CE1576"/>
      <c r="CF1576"/>
      <c r="CG1576"/>
      <c r="CH1576"/>
      <c r="CI1576"/>
      <c r="CU1576" s="42">
        <v>1571</v>
      </c>
      <c r="CV1576" s="115">
        <v>4</v>
      </c>
      <c r="CW1576" s="115">
        <v>0.11332468572476186</v>
      </c>
      <c r="CX1576" s="115" t="e">
        <v>#N/A</v>
      </c>
      <c r="CY1576" s="115" t="e">
        <v>#N/A</v>
      </c>
      <c r="CZ1576" s="137" t="e">
        <v>#N/A</v>
      </c>
      <c r="DA1576">
        <v>0.11332468572476186</v>
      </c>
      <c r="DB1576" t="str">
        <v/>
      </c>
    </row>
    <row r="1577" spans="83:106" x14ac:dyDescent="0.2">
      <c r="CE1577"/>
      <c r="CF1577"/>
      <c r="CG1577"/>
      <c r="CH1577"/>
      <c r="CI1577"/>
      <c r="CU1577" s="42">
        <v>1572</v>
      </c>
      <c r="CV1577" s="115">
        <v>4</v>
      </c>
      <c r="CW1577" s="115">
        <v>0.11332468572476186</v>
      </c>
      <c r="CX1577" s="115" t="e">
        <v>#N/A</v>
      </c>
      <c r="CY1577" s="115" t="e">
        <v>#N/A</v>
      </c>
      <c r="CZ1577" s="137" t="e">
        <v>#N/A</v>
      </c>
      <c r="DA1577">
        <v>0.11332468572476186</v>
      </c>
      <c r="DB1577" t="str">
        <v/>
      </c>
    </row>
    <row r="1578" spans="83:106" x14ac:dyDescent="0.2">
      <c r="CE1578"/>
      <c r="CF1578"/>
      <c r="CG1578"/>
      <c r="CH1578"/>
      <c r="CI1578"/>
      <c r="CU1578" s="42">
        <v>1573</v>
      </c>
      <c r="CV1578" s="115">
        <v>4</v>
      </c>
      <c r="CW1578" s="115">
        <v>0.11332468572476186</v>
      </c>
      <c r="CX1578" s="115" t="e">
        <v>#N/A</v>
      </c>
      <c r="CY1578" s="115" t="e">
        <v>#N/A</v>
      </c>
      <c r="CZ1578" s="137" t="e">
        <v>#N/A</v>
      </c>
      <c r="DA1578">
        <v>0.11332468572476186</v>
      </c>
      <c r="DB1578" t="str">
        <v/>
      </c>
    </row>
    <row r="1579" spans="83:106" x14ac:dyDescent="0.2">
      <c r="CE1579"/>
      <c r="CF1579"/>
      <c r="CG1579"/>
      <c r="CH1579"/>
      <c r="CI1579"/>
      <c r="CU1579" s="42">
        <v>1574</v>
      </c>
      <c r="CV1579" s="115">
        <v>4</v>
      </c>
      <c r="CW1579" s="115">
        <v>0.11332468572476186</v>
      </c>
      <c r="CX1579" s="115" t="e">
        <v>#N/A</v>
      </c>
      <c r="CY1579" s="115" t="e">
        <v>#N/A</v>
      </c>
      <c r="CZ1579" s="137" t="e">
        <v>#N/A</v>
      </c>
      <c r="DA1579">
        <v>0.11332468572476186</v>
      </c>
      <c r="DB1579" t="str">
        <v/>
      </c>
    </row>
    <row r="1580" spans="83:106" x14ac:dyDescent="0.2">
      <c r="CE1580"/>
      <c r="CF1580"/>
      <c r="CG1580"/>
      <c r="CH1580"/>
      <c r="CI1580"/>
      <c r="CU1580" s="42">
        <v>1575</v>
      </c>
      <c r="CV1580" s="115">
        <v>4</v>
      </c>
      <c r="CW1580" s="115">
        <v>0.11332468572476186</v>
      </c>
      <c r="CX1580" s="115" t="e">
        <v>#N/A</v>
      </c>
      <c r="CY1580" s="115" t="e">
        <v>#N/A</v>
      </c>
      <c r="CZ1580" s="137" t="e">
        <v>#N/A</v>
      </c>
      <c r="DA1580">
        <v>0.11332468572476186</v>
      </c>
      <c r="DB1580" t="str">
        <v/>
      </c>
    </row>
    <row r="1581" spans="83:106" x14ac:dyDescent="0.2">
      <c r="CE1581"/>
      <c r="CF1581"/>
      <c r="CG1581"/>
      <c r="CH1581"/>
      <c r="CI1581"/>
      <c r="CU1581" s="42">
        <v>1576</v>
      </c>
      <c r="CV1581" s="115">
        <v>4</v>
      </c>
      <c r="CW1581" s="115">
        <v>0.11332468572476186</v>
      </c>
      <c r="CX1581" s="115" t="e">
        <v>#N/A</v>
      </c>
      <c r="CY1581" s="115" t="e">
        <v>#N/A</v>
      </c>
      <c r="CZ1581" s="137" t="e">
        <v>#N/A</v>
      </c>
      <c r="DA1581">
        <v>0.11332468572476186</v>
      </c>
      <c r="DB1581" t="str">
        <v/>
      </c>
    </row>
    <row r="1582" spans="83:106" x14ac:dyDescent="0.2">
      <c r="CE1582"/>
      <c r="CF1582"/>
      <c r="CG1582"/>
      <c r="CH1582"/>
      <c r="CI1582"/>
      <c r="CU1582" s="42">
        <v>1577</v>
      </c>
      <c r="CV1582" s="115">
        <v>4</v>
      </c>
      <c r="CW1582" s="115">
        <v>0.11332468572476186</v>
      </c>
      <c r="CX1582" s="115" t="e">
        <v>#N/A</v>
      </c>
      <c r="CY1582" s="115" t="e">
        <v>#N/A</v>
      </c>
      <c r="CZ1582" s="137" t="e">
        <v>#N/A</v>
      </c>
      <c r="DA1582">
        <v>0.11332468572476186</v>
      </c>
      <c r="DB1582" t="str">
        <v/>
      </c>
    </row>
    <row r="1583" spans="83:106" x14ac:dyDescent="0.2">
      <c r="CE1583"/>
      <c r="CF1583"/>
      <c r="CG1583"/>
      <c r="CH1583"/>
      <c r="CI1583"/>
      <c r="CU1583" s="42">
        <v>1578</v>
      </c>
      <c r="CV1583" s="115">
        <v>4</v>
      </c>
      <c r="CW1583" s="115">
        <v>0.11332468572476186</v>
      </c>
      <c r="CX1583" s="115" t="e">
        <v>#N/A</v>
      </c>
      <c r="CY1583" s="115" t="e">
        <v>#N/A</v>
      </c>
      <c r="CZ1583" s="137" t="e">
        <v>#N/A</v>
      </c>
      <c r="DA1583">
        <v>0.11332468572476186</v>
      </c>
      <c r="DB1583" t="str">
        <v/>
      </c>
    </row>
    <row r="1584" spans="83:106" x14ac:dyDescent="0.2">
      <c r="CE1584"/>
      <c r="CF1584"/>
      <c r="CG1584"/>
      <c r="CH1584"/>
      <c r="CI1584"/>
      <c r="CU1584" s="42">
        <v>1579</v>
      </c>
      <c r="CV1584" s="115">
        <v>4</v>
      </c>
      <c r="CW1584" s="115">
        <v>0.11332468572476186</v>
      </c>
      <c r="CX1584" s="115" t="e">
        <v>#N/A</v>
      </c>
      <c r="CY1584" s="115" t="e">
        <v>#N/A</v>
      </c>
      <c r="CZ1584" s="137" t="e">
        <v>#N/A</v>
      </c>
      <c r="DA1584">
        <v>0.11332468572476186</v>
      </c>
      <c r="DB1584" t="str">
        <v/>
      </c>
    </row>
    <row r="1585" spans="83:106" x14ac:dyDescent="0.2">
      <c r="CE1585"/>
      <c r="CF1585"/>
      <c r="CG1585"/>
      <c r="CH1585"/>
      <c r="CI1585"/>
      <c r="CU1585" s="42">
        <v>1580</v>
      </c>
      <c r="CV1585" s="115">
        <v>4</v>
      </c>
      <c r="CW1585" s="115">
        <v>0.11332468572476186</v>
      </c>
      <c r="CX1585" s="115" t="e">
        <v>#N/A</v>
      </c>
      <c r="CY1585" s="115" t="e">
        <v>#N/A</v>
      </c>
      <c r="CZ1585" s="137" t="e">
        <v>#N/A</v>
      </c>
      <c r="DA1585">
        <v>0.11332468572476186</v>
      </c>
      <c r="DB1585" t="str">
        <v/>
      </c>
    </row>
    <row r="1586" spans="83:106" x14ac:dyDescent="0.2">
      <c r="CE1586"/>
      <c r="CF1586"/>
      <c r="CG1586"/>
      <c r="CH1586"/>
      <c r="CI1586"/>
      <c r="CU1586" s="42">
        <v>1581</v>
      </c>
      <c r="CV1586" s="115">
        <v>4</v>
      </c>
      <c r="CW1586" s="115">
        <v>0.11332468572476186</v>
      </c>
      <c r="CX1586" s="115" t="e">
        <v>#N/A</v>
      </c>
      <c r="CY1586" s="115" t="e">
        <v>#N/A</v>
      </c>
      <c r="CZ1586" s="137" t="e">
        <v>#N/A</v>
      </c>
      <c r="DA1586">
        <v>0.11332468572476186</v>
      </c>
      <c r="DB1586" t="str">
        <v/>
      </c>
    </row>
    <row r="1587" spans="83:106" x14ac:dyDescent="0.2">
      <c r="CE1587"/>
      <c r="CF1587"/>
      <c r="CG1587"/>
      <c r="CH1587"/>
      <c r="CI1587"/>
      <c r="CU1587" s="42">
        <v>1582</v>
      </c>
      <c r="CV1587" s="115">
        <v>4</v>
      </c>
      <c r="CW1587" s="115">
        <v>0.11332468572476186</v>
      </c>
      <c r="CX1587" s="115" t="e">
        <v>#N/A</v>
      </c>
      <c r="CY1587" s="115" t="e">
        <v>#N/A</v>
      </c>
      <c r="CZ1587" s="137" t="e">
        <v>#N/A</v>
      </c>
      <c r="DA1587">
        <v>0.11332468572476186</v>
      </c>
      <c r="DB1587" t="str">
        <v/>
      </c>
    </row>
    <row r="1588" spans="83:106" x14ac:dyDescent="0.2">
      <c r="CE1588"/>
      <c r="CF1588"/>
      <c r="CG1588"/>
      <c r="CH1588"/>
      <c r="CI1588"/>
      <c r="CU1588" s="42">
        <v>1583</v>
      </c>
      <c r="CV1588" s="115">
        <v>4</v>
      </c>
      <c r="CW1588" s="115">
        <v>0.11332468572476186</v>
      </c>
      <c r="CX1588" s="115" t="e">
        <v>#N/A</v>
      </c>
      <c r="CY1588" s="115" t="e">
        <v>#N/A</v>
      </c>
      <c r="CZ1588" s="137" t="e">
        <v>#N/A</v>
      </c>
      <c r="DA1588">
        <v>0.11332468572476186</v>
      </c>
      <c r="DB1588" t="str">
        <v/>
      </c>
    </row>
    <row r="1589" spans="83:106" x14ac:dyDescent="0.2">
      <c r="CE1589"/>
      <c r="CF1589"/>
      <c r="CG1589"/>
      <c r="CH1589"/>
      <c r="CI1589"/>
      <c r="CU1589" s="42">
        <v>1584</v>
      </c>
      <c r="CV1589" s="115">
        <v>4</v>
      </c>
      <c r="CW1589" s="115">
        <v>0.11332468572476186</v>
      </c>
      <c r="CX1589" s="115" t="e">
        <v>#N/A</v>
      </c>
      <c r="CY1589" s="115" t="e">
        <v>#N/A</v>
      </c>
      <c r="CZ1589" s="137" t="e">
        <v>#N/A</v>
      </c>
      <c r="DA1589">
        <v>0.11332468572476186</v>
      </c>
      <c r="DB1589" t="str">
        <v/>
      </c>
    </row>
    <row r="1590" spans="83:106" x14ac:dyDescent="0.2">
      <c r="CE1590"/>
      <c r="CF1590"/>
      <c r="CG1590"/>
      <c r="CH1590"/>
      <c r="CI1590"/>
      <c r="CU1590" s="42">
        <v>1585</v>
      </c>
      <c r="CV1590" s="115">
        <v>4</v>
      </c>
      <c r="CW1590" s="115">
        <v>0.11332468572476186</v>
      </c>
      <c r="CX1590" s="115" t="e">
        <v>#N/A</v>
      </c>
      <c r="CY1590" s="115" t="e">
        <v>#N/A</v>
      </c>
      <c r="CZ1590" s="137" t="e">
        <v>#N/A</v>
      </c>
      <c r="DA1590">
        <v>0.11332468572476186</v>
      </c>
      <c r="DB1590" t="str">
        <v/>
      </c>
    </row>
    <row r="1591" spans="83:106" x14ac:dyDescent="0.2">
      <c r="CE1591"/>
      <c r="CF1591"/>
      <c r="CG1591"/>
      <c r="CH1591"/>
      <c r="CI1591"/>
      <c r="CU1591" s="42">
        <v>1586</v>
      </c>
      <c r="CV1591" s="115">
        <v>4</v>
      </c>
      <c r="CW1591" s="115">
        <v>0.11332468572476186</v>
      </c>
      <c r="CX1591" s="115" t="e">
        <v>#N/A</v>
      </c>
      <c r="CY1591" s="115" t="e">
        <v>#N/A</v>
      </c>
      <c r="CZ1591" s="137" t="e">
        <v>#N/A</v>
      </c>
      <c r="DA1591">
        <v>0.11332468572476186</v>
      </c>
      <c r="DB1591" t="str">
        <v/>
      </c>
    </row>
    <row r="1592" spans="83:106" x14ac:dyDescent="0.2">
      <c r="CE1592"/>
      <c r="CF1592"/>
      <c r="CG1592"/>
      <c r="CH1592"/>
      <c r="CI1592"/>
      <c r="CU1592" s="42">
        <v>1587</v>
      </c>
      <c r="CV1592" s="115">
        <v>4</v>
      </c>
      <c r="CW1592" s="115">
        <v>0.11332468572476186</v>
      </c>
      <c r="CX1592" s="115" t="e">
        <v>#N/A</v>
      </c>
      <c r="CY1592" s="115" t="e">
        <v>#N/A</v>
      </c>
      <c r="CZ1592" s="137" t="e">
        <v>#N/A</v>
      </c>
      <c r="DA1592">
        <v>0.11332468572476186</v>
      </c>
      <c r="DB1592" t="str">
        <v/>
      </c>
    </row>
    <row r="1593" spans="83:106" x14ac:dyDescent="0.2">
      <c r="CE1593"/>
      <c r="CF1593"/>
      <c r="CG1593"/>
      <c r="CH1593"/>
      <c r="CI1593"/>
      <c r="CU1593" s="42">
        <v>1588</v>
      </c>
      <c r="CV1593" s="115">
        <v>4</v>
      </c>
      <c r="CW1593" s="115">
        <v>0.11332468572476186</v>
      </c>
      <c r="CX1593" s="115" t="e">
        <v>#N/A</v>
      </c>
      <c r="CY1593" s="115" t="e">
        <v>#N/A</v>
      </c>
      <c r="CZ1593" s="137" t="e">
        <v>#N/A</v>
      </c>
      <c r="DA1593">
        <v>0.11332468572476186</v>
      </c>
      <c r="DB1593" t="str">
        <v/>
      </c>
    </row>
    <row r="1594" spans="83:106" x14ac:dyDescent="0.2">
      <c r="CE1594"/>
      <c r="CF1594"/>
      <c r="CG1594"/>
      <c r="CH1594"/>
      <c r="CI1594"/>
      <c r="CU1594" s="42">
        <v>1589</v>
      </c>
      <c r="CV1594" s="115">
        <v>4</v>
      </c>
      <c r="CW1594" s="115">
        <v>0.11332468572476186</v>
      </c>
      <c r="CX1594" s="115" t="e">
        <v>#N/A</v>
      </c>
      <c r="CY1594" s="115" t="e">
        <v>#N/A</v>
      </c>
      <c r="CZ1594" s="137" t="e">
        <v>#N/A</v>
      </c>
      <c r="DA1594">
        <v>0.11332468572476186</v>
      </c>
      <c r="DB1594" t="str">
        <v/>
      </c>
    </row>
    <row r="1595" spans="83:106" x14ac:dyDescent="0.2">
      <c r="CE1595"/>
      <c r="CF1595"/>
      <c r="CG1595"/>
      <c r="CH1595"/>
      <c r="CI1595"/>
      <c r="CU1595" s="42">
        <v>1590</v>
      </c>
      <c r="CV1595" s="115">
        <v>4</v>
      </c>
      <c r="CW1595" s="115">
        <v>0.11332468572476186</v>
      </c>
      <c r="CX1595" s="115" t="e">
        <v>#N/A</v>
      </c>
      <c r="CY1595" s="115" t="e">
        <v>#N/A</v>
      </c>
      <c r="CZ1595" s="137" t="e">
        <v>#N/A</v>
      </c>
      <c r="DA1595">
        <v>0.11332468572476186</v>
      </c>
      <c r="DB1595" t="str">
        <v/>
      </c>
    </row>
    <row r="1596" spans="83:106" x14ac:dyDescent="0.2">
      <c r="CE1596"/>
      <c r="CF1596"/>
      <c r="CG1596"/>
      <c r="CH1596"/>
      <c r="CI1596"/>
      <c r="CU1596" s="42">
        <v>1591</v>
      </c>
      <c r="CV1596" s="115">
        <v>4</v>
      </c>
      <c r="CW1596" s="115">
        <v>0.11332468572476186</v>
      </c>
      <c r="CX1596" s="115" t="e">
        <v>#N/A</v>
      </c>
      <c r="CY1596" s="115" t="e">
        <v>#N/A</v>
      </c>
      <c r="CZ1596" s="137" t="e">
        <v>#N/A</v>
      </c>
      <c r="DA1596">
        <v>0.11332468572476186</v>
      </c>
      <c r="DB1596" t="str">
        <v/>
      </c>
    </row>
    <row r="1597" spans="83:106" x14ac:dyDescent="0.2">
      <c r="CE1597"/>
      <c r="CF1597"/>
      <c r="CG1597"/>
      <c r="CH1597"/>
      <c r="CI1597"/>
      <c r="CU1597" s="42">
        <v>1592</v>
      </c>
      <c r="CV1597" s="115">
        <v>4</v>
      </c>
      <c r="CW1597" s="115">
        <v>0.11332468572476186</v>
      </c>
      <c r="CX1597" s="115" t="e">
        <v>#N/A</v>
      </c>
      <c r="CY1597" s="115" t="e">
        <v>#N/A</v>
      </c>
      <c r="CZ1597" s="137" t="e">
        <v>#N/A</v>
      </c>
      <c r="DA1597">
        <v>0.11332468572476186</v>
      </c>
      <c r="DB1597" t="str">
        <v/>
      </c>
    </row>
    <row r="1598" spans="83:106" x14ac:dyDescent="0.2">
      <c r="CE1598"/>
      <c r="CF1598"/>
      <c r="CG1598"/>
      <c r="CH1598"/>
      <c r="CI1598"/>
      <c r="CU1598" s="42">
        <v>1593</v>
      </c>
      <c r="CV1598" s="115">
        <v>4</v>
      </c>
      <c r="CW1598" s="115">
        <v>0.11332468572476186</v>
      </c>
      <c r="CX1598" s="115" t="e">
        <v>#N/A</v>
      </c>
      <c r="CY1598" s="115" t="e">
        <v>#N/A</v>
      </c>
      <c r="CZ1598" s="137" t="e">
        <v>#N/A</v>
      </c>
      <c r="DA1598">
        <v>0.11332468572476186</v>
      </c>
      <c r="DB1598" t="str">
        <v/>
      </c>
    </row>
    <row r="1599" spans="83:106" x14ac:dyDescent="0.2">
      <c r="CE1599"/>
      <c r="CF1599"/>
      <c r="CG1599"/>
      <c r="CH1599"/>
      <c r="CI1599"/>
      <c r="CU1599" s="42">
        <v>1594</v>
      </c>
      <c r="CV1599" s="115">
        <v>4</v>
      </c>
      <c r="CW1599" s="115">
        <v>0.11332468572476186</v>
      </c>
      <c r="CX1599" s="115" t="e">
        <v>#N/A</v>
      </c>
      <c r="CY1599" s="115" t="e">
        <v>#N/A</v>
      </c>
      <c r="CZ1599" s="137" t="e">
        <v>#N/A</v>
      </c>
      <c r="DA1599">
        <v>0.11332468572476186</v>
      </c>
      <c r="DB1599" t="str">
        <v/>
      </c>
    </row>
    <row r="1600" spans="83:106" x14ac:dyDescent="0.2">
      <c r="CE1600"/>
      <c r="CF1600"/>
      <c r="CG1600"/>
      <c r="CH1600"/>
      <c r="CI1600"/>
      <c r="CU1600" s="42">
        <v>1595</v>
      </c>
      <c r="CV1600" s="115">
        <v>4</v>
      </c>
      <c r="CW1600" s="115">
        <v>0.11332468572476186</v>
      </c>
      <c r="CX1600" s="115" t="e">
        <v>#N/A</v>
      </c>
      <c r="CY1600" s="115" t="e">
        <v>#N/A</v>
      </c>
      <c r="CZ1600" s="137" t="e">
        <v>#N/A</v>
      </c>
      <c r="DA1600">
        <v>0.11332468572476186</v>
      </c>
      <c r="DB1600" t="str">
        <v/>
      </c>
    </row>
    <row r="1601" spans="83:106" x14ac:dyDescent="0.2">
      <c r="CE1601"/>
      <c r="CF1601"/>
      <c r="CG1601"/>
      <c r="CH1601"/>
      <c r="CI1601"/>
      <c r="CU1601" s="42">
        <v>1596</v>
      </c>
      <c r="CV1601" s="115">
        <v>4</v>
      </c>
      <c r="CW1601" s="115">
        <v>0.11332468572476186</v>
      </c>
      <c r="CX1601" s="115" t="e">
        <v>#N/A</v>
      </c>
      <c r="CY1601" s="115" t="e">
        <v>#N/A</v>
      </c>
      <c r="CZ1601" s="137" t="e">
        <v>#N/A</v>
      </c>
      <c r="DA1601">
        <v>0.11332468572476186</v>
      </c>
      <c r="DB1601" t="str">
        <v/>
      </c>
    </row>
    <row r="1602" spans="83:106" x14ac:dyDescent="0.2">
      <c r="CE1602"/>
      <c r="CF1602"/>
      <c r="CG1602"/>
      <c r="CH1602"/>
      <c r="CI1602"/>
      <c r="CU1602" s="42">
        <v>1597</v>
      </c>
      <c r="CV1602" s="115">
        <v>4</v>
      </c>
      <c r="CW1602" s="115">
        <v>0.11332468572476186</v>
      </c>
      <c r="CX1602" s="115" t="e">
        <v>#N/A</v>
      </c>
      <c r="CY1602" s="115" t="e">
        <v>#N/A</v>
      </c>
      <c r="CZ1602" s="137" t="e">
        <v>#N/A</v>
      </c>
      <c r="DA1602">
        <v>0.11332468572476186</v>
      </c>
      <c r="DB1602" t="str">
        <v/>
      </c>
    </row>
    <row r="1603" spans="83:106" x14ac:dyDescent="0.2">
      <c r="CE1603"/>
      <c r="CF1603"/>
      <c r="CG1603"/>
      <c r="CH1603"/>
      <c r="CI1603"/>
      <c r="CU1603" s="42">
        <v>1598</v>
      </c>
      <c r="CV1603" s="115">
        <v>4</v>
      </c>
      <c r="CW1603" s="115">
        <v>0.11332468572476186</v>
      </c>
      <c r="CX1603" s="115" t="e">
        <v>#N/A</v>
      </c>
      <c r="CY1603" s="115" t="e">
        <v>#N/A</v>
      </c>
      <c r="CZ1603" s="137" t="e">
        <v>#N/A</v>
      </c>
      <c r="DA1603">
        <v>0.11332468572476186</v>
      </c>
      <c r="DB1603" t="str">
        <v/>
      </c>
    </row>
    <row r="1604" spans="83:106" x14ac:dyDescent="0.2">
      <c r="CE1604"/>
      <c r="CF1604"/>
      <c r="CG1604"/>
      <c r="CH1604"/>
      <c r="CI1604"/>
      <c r="CU1604" s="42">
        <v>1599</v>
      </c>
      <c r="CV1604" s="115">
        <v>4</v>
      </c>
      <c r="CW1604" s="115">
        <v>0.11332468572476186</v>
      </c>
      <c r="CX1604" s="115" t="e">
        <v>#N/A</v>
      </c>
      <c r="CY1604" s="115" t="e">
        <v>#N/A</v>
      </c>
      <c r="CZ1604" s="137" t="e">
        <v>#N/A</v>
      </c>
      <c r="DA1604">
        <v>0.11332468572476186</v>
      </c>
      <c r="DB1604" t="str">
        <v/>
      </c>
    </row>
    <row r="1605" spans="83:106" x14ac:dyDescent="0.2">
      <c r="CE1605"/>
      <c r="CF1605"/>
      <c r="CG1605"/>
      <c r="CH1605"/>
      <c r="CI1605"/>
      <c r="CU1605" s="42">
        <v>1600</v>
      </c>
      <c r="CV1605" s="115">
        <v>4</v>
      </c>
      <c r="CW1605" s="115">
        <v>0.11332468572476186</v>
      </c>
      <c r="CX1605" s="115" t="e">
        <v>#N/A</v>
      </c>
      <c r="CY1605" s="115" t="e">
        <v>#N/A</v>
      </c>
      <c r="CZ1605" s="137" t="e">
        <v>#N/A</v>
      </c>
      <c r="DA1605">
        <v>0.11332468572476186</v>
      </c>
      <c r="DB1605" t="str">
        <v/>
      </c>
    </row>
    <row r="1606" spans="83:106" x14ac:dyDescent="0.2">
      <c r="CE1606"/>
      <c r="CF1606"/>
      <c r="CG1606"/>
      <c r="CH1606"/>
      <c r="CI1606"/>
      <c r="CU1606" s="42">
        <v>1601</v>
      </c>
      <c r="CV1606" s="115">
        <v>4</v>
      </c>
      <c r="CW1606" s="115">
        <v>0.11332468572476186</v>
      </c>
      <c r="CX1606" s="115" t="e">
        <v>#N/A</v>
      </c>
      <c r="CY1606" s="115" t="e">
        <v>#N/A</v>
      </c>
      <c r="CZ1606" s="137" t="e">
        <v>#N/A</v>
      </c>
      <c r="DA1606">
        <v>0.11332468572476186</v>
      </c>
      <c r="DB1606" t="str">
        <v/>
      </c>
    </row>
    <row r="1607" spans="83:106" x14ac:dyDescent="0.2">
      <c r="CE1607"/>
      <c r="CF1607"/>
      <c r="CG1607"/>
      <c r="CH1607"/>
      <c r="CI1607"/>
      <c r="CU1607" s="42">
        <v>1602</v>
      </c>
      <c r="CV1607" s="115">
        <v>4</v>
      </c>
      <c r="CW1607" s="115">
        <v>0.11332468572476186</v>
      </c>
      <c r="CX1607" s="115" t="e">
        <v>#N/A</v>
      </c>
      <c r="CY1607" s="115" t="e">
        <v>#N/A</v>
      </c>
      <c r="CZ1607" s="137" t="e">
        <v>#N/A</v>
      </c>
      <c r="DA1607">
        <v>0.11332468572476186</v>
      </c>
      <c r="DB1607" t="str">
        <v/>
      </c>
    </row>
    <row r="1608" spans="83:106" x14ac:dyDescent="0.2">
      <c r="CE1608"/>
      <c r="CF1608"/>
      <c r="CG1608"/>
      <c r="CH1608"/>
      <c r="CI1608"/>
      <c r="CU1608" s="42">
        <v>1603</v>
      </c>
      <c r="CV1608" s="115">
        <v>4</v>
      </c>
      <c r="CW1608" s="115">
        <v>0.11332468572476186</v>
      </c>
      <c r="CX1608" s="115" t="e">
        <v>#N/A</v>
      </c>
      <c r="CY1608" s="115" t="e">
        <v>#N/A</v>
      </c>
      <c r="CZ1608" s="137" t="e">
        <v>#N/A</v>
      </c>
      <c r="DA1608">
        <v>0.11332468572476186</v>
      </c>
      <c r="DB1608" t="str">
        <v/>
      </c>
    </row>
    <row r="1609" spans="83:106" x14ac:dyDescent="0.2">
      <c r="CE1609"/>
      <c r="CF1609"/>
      <c r="CG1609"/>
      <c r="CH1609"/>
      <c r="CI1609"/>
      <c r="CU1609" s="42">
        <v>1604</v>
      </c>
      <c r="CV1609" s="115">
        <v>4</v>
      </c>
      <c r="CW1609" s="115">
        <v>0.11332468572476186</v>
      </c>
      <c r="CX1609" s="115" t="e">
        <v>#N/A</v>
      </c>
      <c r="CY1609" s="115" t="e">
        <v>#N/A</v>
      </c>
      <c r="CZ1609" s="137" t="e">
        <v>#N/A</v>
      </c>
      <c r="DA1609">
        <v>0.11332468572476186</v>
      </c>
      <c r="DB1609" t="str">
        <v/>
      </c>
    </row>
    <row r="1610" spans="83:106" x14ac:dyDescent="0.2">
      <c r="CE1610"/>
      <c r="CF1610"/>
      <c r="CG1610"/>
      <c r="CH1610"/>
      <c r="CI1610"/>
      <c r="CU1610" s="42">
        <v>1605</v>
      </c>
      <c r="CV1610" s="115">
        <v>4</v>
      </c>
      <c r="CW1610" s="115">
        <v>0.11332468572476186</v>
      </c>
      <c r="CX1610" s="115" t="e">
        <v>#N/A</v>
      </c>
      <c r="CY1610" s="115" t="e">
        <v>#N/A</v>
      </c>
      <c r="CZ1610" s="137" t="e">
        <v>#N/A</v>
      </c>
      <c r="DA1610">
        <v>0.11332468572476186</v>
      </c>
      <c r="DB1610" t="str">
        <v/>
      </c>
    </row>
    <row r="1611" spans="83:106" x14ac:dyDescent="0.2">
      <c r="CE1611"/>
      <c r="CF1611"/>
      <c r="CG1611"/>
      <c r="CH1611"/>
      <c r="CI1611"/>
      <c r="CU1611" s="42">
        <v>1606</v>
      </c>
      <c r="CV1611" s="115">
        <v>4</v>
      </c>
      <c r="CW1611" s="115">
        <v>0.11332468572476186</v>
      </c>
      <c r="CX1611" s="115" t="e">
        <v>#N/A</v>
      </c>
      <c r="CY1611" s="115" t="e">
        <v>#N/A</v>
      </c>
      <c r="CZ1611" s="137" t="e">
        <v>#N/A</v>
      </c>
      <c r="DA1611">
        <v>0.11332468572476186</v>
      </c>
      <c r="DB1611" t="str">
        <v/>
      </c>
    </row>
    <row r="1612" spans="83:106" x14ac:dyDescent="0.2">
      <c r="CE1612"/>
      <c r="CF1612"/>
      <c r="CG1612"/>
      <c r="CH1612"/>
      <c r="CI1612"/>
      <c r="CU1612" s="42">
        <v>1607</v>
      </c>
      <c r="CV1612" s="115">
        <v>4</v>
      </c>
      <c r="CW1612" s="115">
        <v>0.11332468572476186</v>
      </c>
      <c r="CX1612" s="115" t="e">
        <v>#N/A</v>
      </c>
      <c r="CY1612" s="115" t="e">
        <v>#N/A</v>
      </c>
      <c r="CZ1612" s="137" t="e">
        <v>#N/A</v>
      </c>
      <c r="DA1612">
        <v>0.11332468572476186</v>
      </c>
      <c r="DB1612" t="str">
        <v/>
      </c>
    </row>
    <row r="1613" spans="83:106" x14ac:dyDescent="0.2">
      <c r="CE1613"/>
      <c r="CF1613"/>
      <c r="CG1613"/>
      <c r="CH1613"/>
      <c r="CI1613"/>
      <c r="CU1613" s="42">
        <v>1608</v>
      </c>
      <c r="CV1613" s="115">
        <v>4</v>
      </c>
      <c r="CW1613" s="115">
        <v>0.11332468572476186</v>
      </c>
      <c r="CX1613" s="115" t="e">
        <v>#N/A</v>
      </c>
      <c r="CY1613" s="115" t="e">
        <v>#N/A</v>
      </c>
      <c r="CZ1613" s="137" t="e">
        <v>#N/A</v>
      </c>
      <c r="DA1613">
        <v>0.11332468572476186</v>
      </c>
      <c r="DB1613" t="str">
        <v/>
      </c>
    </row>
    <row r="1614" spans="83:106" x14ac:dyDescent="0.2">
      <c r="CE1614"/>
      <c r="CF1614"/>
      <c r="CG1614"/>
      <c r="CH1614"/>
      <c r="CI1614"/>
      <c r="CU1614" s="42">
        <v>1609</v>
      </c>
      <c r="CV1614" s="115">
        <v>4</v>
      </c>
      <c r="CW1614" s="115">
        <v>0.11332468572476186</v>
      </c>
      <c r="CX1614" s="115" t="e">
        <v>#N/A</v>
      </c>
      <c r="CY1614" s="115" t="e">
        <v>#N/A</v>
      </c>
      <c r="CZ1614" s="137" t="e">
        <v>#N/A</v>
      </c>
      <c r="DA1614">
        <v>0.11332468572476186</v>
      </c>
      <c r="DB1614" t="str">
        <v/>
      </c>
    </row>
    <row r="1615" spans="83:106" x14ac:dyDescent="0.2">
      <c r="CE1615"/>
      <c r="CF1615"/>
      <c r="CG1615"/>
      <c r="CH1615"/>
      <c r="CI1615"/>
      <c r="CU1615" s="42">
        <v>1610</v>
      </c>
      <c r="CV1615" s="115">
        <v>4</v>
      </c>
      <c r="CW1615" s="115">
        <v>0.11332468572476186</v>
      </c>
      <c r="CX1615" s="115" t="e">
        <v>#N/A</v>
      </c>
      <c r="CY1615" s="115" t="e">
        <v>#N/A</v>
      </c>
      <c r="CZ1615" s="137" t="e">
        <v>#N/A</v>
      </c>
      <c r="DA1615">
        <v>0.11332468572476186</v>
      </c>
      <c r="DB1615" t="str">
        <v/>
      </c>
    </row>
    <row r="1616" spans="83:106" x14ac:dyDescent="0.2">
      <c r="CE1616"/>
      <c r="CF1616"/>
      <c r="CG1616"/>
      <c r="CH1616"/>
      <c r="CI1616"/>
      <c r="CU1616" s="42">
        <v>1611</v>
      </c>
      <c r="CV1616" s="115">
        <v>4</v>
      </c>
      <c r="CW1616" s="115">
        <v>0.11332468572476186</v>
      </c>
      <c r="CX1616" s="115" t="e">
        <v>#N/A</v>
      </c>
      <c r="CY1616" s="115" t="e">
        <v>#N/A</v>
      </c>
      <c r="CZ1616" s="137" t="e">
        <v>#N/A</v>
      </c>
      <c r="DA1616">
        <v>0.11332468572476186</v>
      </c>
      <c r="DB1616" t="str">
        <v/>
      </c>
    </row>
    <row r="1617" spans="83:106" x14ac:dyDescent="0.2">
      <c r="CE1617"/>
      <c r="CF1617"/>
      <c r="CG1617"/>
      <c r="CH1617"/>
      <c r="CI1617"/>
      <c r="CU1617" s="42">
        <v>1612</v>
      </c>
      <c r="CV1617" s="115">
        <v>4</v>
      </c>
      <c r="CW1617" s="115">
        <v>0.11332468572476186</v>
      </c>
      <c r="CX1617" s="115" t="e">
        <v>#N/A</v>
      </c>
      <c r="CY1617" s="115" t="e">
        <v>#N/A</v>
      </c>
      <c r="CZ1617" s="137" t="e">
        <v>#N/A</v>
      </c>
      <c r="DA1617">
        <v>0.11332468572476186</v>
      </c>
      <c r="DB1617" t="str">
        <v/>
      </c>
    </row>
    <row r="1618" spans="83:106" x14ac:dyDescent="0.2">
      <c r="CE1618"/>
      <c r="CF1618"/>
      <c r="CG1618"/>
      <c r="CH1618"/>
      <c r="CI1618"/>
      <c r="CU1618" s="42">
        <v>1613</v>
      </c>
      <c r="CV1618" s="115">
        <v>4</v>
      </c>
      <c r="CW1618" s="115">
        <v>0.11332468572476186</v>
      </c>
      <c r="CX1618" s="115" t="e">
        <v>#N/A</v>
      </c>
      <c r="CY1618" s="115" t="e">
        <v>#N/A</v>
      </c>
      <c r="CZ1618" s="137" t="e">
        <v>#N/A</v>
      </c>
      <c r="DA1618">
        <v>0.11332468572476186</v>
      </c>
      <c r="DB1618" t="str">
        <v/>
      </c>
    </row>
    <row r="1619" spans="83:106" x14ac:dyDescent="0.2">
      <c r="CE1619"/>
      <c r="CF1619"/>
      <c r="CG1619"/>
      <c r="CH1619"/>
      <c r="CI1619"/>
      <c r="CU1619" s="42">
        <v>1614</v>
      </c>
      <c r="CV1619" s="115">
        <v>4</v>
      </c>
      <c r="CW1619" s="115">
        <v>0.11332468572476186</v>
      </c>
      <c r="CX1619" s="115" t="e">
        <v>#N/A</v>
      </c>
      <c r="CY1619" s="115" t="e">
        <v>#N/A</v>
      </c>
      <c r="CZ1619" s="137" t="e">
        <v>#N/A</v>
      </c>
      <c r="DA1619">
        <v>0.11332468572476186</v>
      </c>
      <c r="DB1619" t="str">
        <v/>
      </c>
    </row>
    <row r="1620" spans="83:106" x14ac:dyDescent="0.2">
      <c r="CE1620"/>
      <c r="CF1620"/>
      <c r="CG1620"/>
      <c r="CH1620"/>
      <c r="CI1620"/>
      <c r="CU1620" s="42">
        <v>1615</v>
      </c>
      <c r="CV1620" s="115">
        <v>4</v>
      </c>
      <c r="CW1620" s="115">
        <v>0.11332468572476186</v>
      </c>
      <c r="CX1620" s="115" t="e">
        <v>#N/A</v>
      </c>
      <c r="CY1620" s="115" t="e">
        <v>#N/A</v>
      </c>
      <c r="CZ1620" s="137" t="e">
        <v>#N/A</v>
      </c>
      <c r="DA1620">
        <v>0.11332468572476186</v>
      </c>
      <c r="DB1620" t="str">
        <v/>
      </c>
    </row>
    <row r="1621" spans="83:106" x14ac:dyDescent="0.2">
      <c r="CE1621"/>
      <c r="CF1621"/>
      <c r="CG1621"/>
      <c r="CH1621"/>
      <c r="CI1621"/>
      <c r="CU1621" s="42">
        <v>1616</v>
      </c>
      <c r="CV1621" s="115">
        <v>4</v>
      </c>
      <c r="CW1621" s="115">
        <v>0.11332468572476186</v>
      </c>
      <c r="CX1621" s="115" t="e">
        <v>#N/A</v>
      </c>
      <c r="CY1621" s="115" t="e">
        <v>#N/A</v>
      </c>
      <c r="CZ1621" s="137" t="e">
        <v>#N/A</v>
      </c>
      <c r="DA1621">
        <v>0.11332468572476186</v>
      </c>
      <c r="DB1621" t="str">
        <v/>
      </c>
    </row>
    <row r="1622" spans="83:106" x14ac:dyDescent="0.2">
      <c r="CE1622"/>
      <c r="CF1622"/>
      <c r="CG1622"/>
      <c r="CH1622"/>
      <c r="CI1622"/>
      <c r="CU1622" s="42">
        <v>1617</v>
      </c>
      <c r="CV1622" s="115">
        <v>4</v>
      </c>
      <c r="CW1622" s="115">
        <v>0.11332468572476186</v>
      </c>
      <c r="CX1622" s="115" t="e">
        <v>#N/A</v>
      </c>
      <c r="CY1622" s="115" t="e">
        <v>#N/A</v>
      </c>
      <c r="CZ1622" s="137" t="e">
        <v>#N/A</v>
      </c>
      <c r="DA1622">
        <v>0.11332468572476186</v>
      </c>
      <c r="DB1622" t="str">
        <v/>
      </c>
    </row>
    <row r="1623" spans="83:106" x14ac:dyDescent="0.2">
      <c r="CE1623"/>
      <c r="CF1623"/>
      <c r="CG1623"/>
      <c r="CH1623"/>
      <c r="CI1623"/>
      <c r="CU1623" s="42">
        <v>1618</v>
      </c>
      <c r="CV1623" s="115">
        <v>4</v>
      </c>
      <c r="CW1623" s="115">
        <v>0.11332468572476186</v>
      </c>
      <c r="CX1623" s="115" t="e">
        <v>#N/A</v>
      </c>
      <c r="CY1623" s="115" t="e">
        <v>#N/A</v>
      </c>
      <c r="CZ1623" s="137" t="e">
        <v>#N/A</v>
      </c>
      <c r="DA1623">
        <v>0.11332468572476186</v>
      </c>
      <c r="DB1623" t="str">
        <v/>
      </c>
    </row>
    <row r="1624" spans="83:106" x14ac:dyDescent="0.2">
      <c r="CE1624"/>
      <c r="CF1624"/>
      <c r="CG1624"/>
      <c r="CH1624"/>
      <c r="CI1624"/>
      <c r="CU1624" s="42">
        <v>1619</v>
      </c>
      <c r="CV1624" s="115">
        <v>4</v>
      </c>
      <c r="CW1624" s="115">
        <v>0.11332468572476186</v>
      </c>
      <c r="CX1624" s="115" t="e">
        <v>#N/A</v>
      </c>
      <c r="CY1624" s="115" t="e">
        <v>#N/A</v>
      </c>
      <c r="CZ1624" s="137" t="e">
        <v>#N/A</v>
      </c>
      <c r="DA1624">
        <v>0.11332468572476186</v>
      </c>
      <c r="DB1624" t="str">
        <v/>
      </c>
    </row>
    <row r="1625" spans="83:106" x14ac:dyDescent="0.2">
      <c r="CE1625"/>
      <c r="CF1625"/>
      <c r="CG1625"/>
      <c r="CH1625"/>
      <c r="CI1625"/>
      <c r="CU1625" s="42">
        <v>1620</v>
      </c>
      <c r="CV1625" s="115">
        <v>4</v>
      </c>
      <c r="CW1625" s="115">
        <v>0.11332468572476186</v>
      </c>
      <c r="CX1625" s="115" t="e">
        <v>#N/A</v>
      </c>
      <c r="CY1625" s="115" t="e">
        <v>#N/A</v>
      </c>
      <c r="CZ1625" s="137" t="e">
        <v>#N/A</v>
      </c>
      <c r="DA1625">
        <v>0.11332468572476186</v>
      </c>
      <c r="DB1625" t="str">
        <v/>
      </c>
    </row>
    <row r="1626" spans="83:106" x14ac:dyDescent="0.2">
      <c r="CE1626"/>
      <c r="CF1626"/>
      <c r="CG1626"/>
      <c r="CH1626"/>
      <c r="CI1626"/>
      <c r="CU1626" s="42">
        <v>1621</v>
      </c>
      <c r="CV1626" s="115">
        <v>4</v>
      </c>
      <c r="CW1626" s="115">
        <v>0.11332468572476186</v>
      </c>
      <c r="CX1626" s="115" t="e">
        <v>#N/A</v>
      </c>
      <c r="CY1626" s="115" t="e">
        <v>#N/A</v>
      </c>
      <c r="CZ1626" s="137" t="e">
        <v>#N/A</v>
      </c>
      <c r="DA1626">
        <v>0.11332468572476186</v>
      </c>
      <c r="DB1626" t="str">
        <v/>
      </c>
    </row>
    <row r="1627" spans="83:106" x14ac:dyDescent="0.2">
      <c r="CE1627"/>
      <c r="CF1627"/>
      <c r="CG1627"/>
      <c r="CH1627"/>
      <c r="CI1627"/>
      <c r="CU1627" s="42">
        <v>1622</v>
      </c>
      <c r="CV1627" s="115">
        <v>4</v>
      </c>
      <c r="CW1627" s="115">
        <v>0.11332468572476186</v>
      </c>
      <c r="CX1627" s="115" t="e">
        <v>#N/A</v>
      </c>
      <c r="CY1627" s="115" t="e">
        <v>#N/A</v>
      </c>
      <c r="CZ1627" s="137" t="e">
        <v>#N/A</v>
      </c>
      <c r="DA1627">
        <v>0.11332468572476186</v>
      </c>
      <c r="DB1627" t="str">
        <v/>
      </c>
    </row>
    <row r="1628" spans="83:106" x14ac:dyDescent="0.2">
      <c r="CE1628"/>
      <c r="CF1628"/>
      <c r="CG1628"/>
      <c r="CH1628"/>
      <c r="CI1628"/>
      <c r="CU1628" s="42">
        <v>1623</v>
      </c>
      <c r="CV1628" s="115">
        <v>4</v>
      </c>
      <c r="CW1628" s="115">
        <v>0.11332468572476186</v>
      </c>
      <c r="CX1628" s="115" t="e">
        <v>#N/A</v>
      </c>
      <c r="CY1628" s="115" t="e">
        <v>#N/A</v>
      </c>
      <c r="CZ1628" s="137" t="e">
        <v>#N/A</v>
      </c>
      <c r="DA1628">
        <v>0.11332468572476186</v>
      </c>
      <c r="DB1628" t="str">
        <v/>
      </c>
    </row>
    <row r="1629" spans="83:106" x14ac:dyDescent="0.2">
      <c r="CE1629"/>
      <c r="CF1629"/>
      <c r="CG1629"/>
      <c r="CH1629"/>
      <c r="CI1629"/>
      <c r="CU1629" s="42">
        <v>1624</v>
      </c>
      <c r="CV1629" s="115">
        <v>4</v>
      </c>
      <c r="CW1629" s="115">
        <v>0.11332468572476186</v>
      </c>
      <c r="CX1629" s="115" t="e">
        <v>#N/A</v>
      </c>
      <c r="CY1629" s="115" t="e">
        <v>#N/A</v>
      </c>
      <c r="CZ1629" s="137" t="e">
        <v>#N/A</v>
      </c>
      <c r="DA1629">
        <v>0.11332468572476186</v>
      </c>
      <c r="DB1629" t="str">
        <v/>
      </c>
    </row>
    <row r="1630" spans="83:106" x14ac:dyDescent="0.2">
      <c r="CE1630"/>
      <c r="CF1630"/>
      <c r="CG1630"/>
      <c r="CH1630"/>
      <c r="CI1630"/>
      <c r="CU1630" s="42">
        <v>1625</v>
      </c>
      <c r="CV1630" s="115">
        <v>4</v>
      </c>
      <c r="CW1630" s="115">
        <v>0.11332468572476186</v>
      </c>
      <c r="CX1630" s="115" t="e">
        <v>#N/A</v>
      </c>
      <c r="CY1630" s="115" t="e">
        <v>#N/A</v>
      </c>
      <c r="CZ1630" s="137" t="e">
        <v>#N/A</v>
      </c>
      <c r="DA1630">
        <v>0.11332468572476186</v>
      </c>
      <c r="DB1630" t="str">
        <v/>
      </c>
    </row>
    <row r="1631" spans="83:106" x14ac:dyDescent="0.2">
      <c r="CE1631"/>
      <c r="CF1631"/>
      <c r="CG1631"/>
      <c r="CH1631"/>
      <c r="CI1631"/>
      <c r="CU1631" s="42">
        <v>1626</v>
      </c>
      <c r="CV1631" s="115">
        <v>4</v>
      </c>
      <c r="CW1631" s="115">
        <v>0.11332468572476186</v>
      </c>
      <c r="CX1631" s="115" t="e">
        <v>#N/A</v>
      </c>
      <c r="CY1631" s="115" t="e">
        <v>#N/A</v>
      </c>
      <c r="CZ1631" s="137" t="e">
        <v>#N/A</v>
      </c>
      <c r="DA1631">
        <v>0.11332468572476186</v>
      </c>
      <c r="DB1631" t="str">
        <v/>
      </c>
    </row>
    <row r="1632" spans="83:106" x14ac:dyDescent="0.2">
      <c r="CE1632"/>
      <c r="CF1632"/>
      <c r="CG1632"/>
      <c r="CH1632"/>
      <c r="CI1632"/>
      <c r="CU1632" s="42">
        <v>1627</v>
      </c>
      <c r="CV1632" s="115">
        <v>4</v>
      </c>
      <c r="CW1632" s="115">
        <v>0.11332468572476186</v>
      </c>
      <c r="CX1632" s="115" t="e">
        <v>#N/A</v>
      </c>
      <c r="CY1632" s="115" t="e">
        <v>#N/A</v>
      </c>
      <c r="CZ1632" s="137" t="e">
        <v>#N/A</v>
      </c>
      <c r="DA1632">
        <v>0.11332468572476186</v>
      </c>
      <c r="DB1632" t="str">
        <v/>
      </c>
    </row>
    <row r="1633" spans="83:106" x14ac:dyDescent="0.2">
      <c r="CE1633"/>
      <c r="CF1633"/>
      <c r="CG1633"/>
      <c r="CH1633"/>
      <c r="CI1633"/>
      <c r="CU1633" s="42">
        <v>1628</v>
      </c>
      <c r="CV1633" s="115">
        <v>4</v>
      </c>
      <c r="CW1633" s="115">
        <v>0.11332468572476186</v>
      </c>
      <c r="CX1633" s="115" t="e">
        <v>#N/A</v>
      </c>
      <c r="CY1633" s="115" t="e">
        <v>#N/A</v>
      </c>
      <c r="CZ1633" s="137" t="e">
        <v>#N/A</v>
      </c>
      <c r="DA1633">
        <v>0.11332468572476186</v>
      </c>
      <c r="DB1633" t="str">
        <v/>
      </c>
    </row>
    <row r="1634" spans="83:106" x14ac:dyDescent="0.2">
      <c r="CE1634"/>
      <c r="CF1634"/>
      <c r="CG1634"/>
      <c r="CH1634"/>
      <c r="CI1634"/>
      <c r="CU1634" s="42">
        <v>1629</v>
      </c>
      <c r="CV1634" s="115">
        <v>4</v>
      </c>
      <c r="CW1634" s="115">
        <v>0.11332468572476186</v>
      </c>
      <c r="CX1634" s="115" t="e">
        <v>#N/A</v>
      </c>
      <c r="CY1634" s="115" t="e">
        <v>#N/A</v>
      </c>
      <c r="CZ1634" s="137" t="e">
        <v>#N/A</v>
      </c>
      <c r="DA1634">
        <v>0.11332468572476186</v>
      </c>
      <c r="DB1634" t="str">
        <v/>
      </c>
    </row>
    <row r="1635" spans="83:106" x14ac:dyDescent="0.2">
      <c r="CE1635"/>
      <c r="CF1635"/>
      <c r="CG1635"/>
      <c r="CH1635"/>
      <c r="CI1635"/>
      <c r="CU1635" s="42">
        <v>1630</v>
      </c>
      <c r="CV1635" s="115">
        <v>4</v>
      </c>
      <c r="CW1635" s="115">
        <v>0.11332468572476186</v>
      </c>
      <c r="CX1635" s="115" t="e">
        <v>#N/A</v>
      </c>
      <c r="CY1635" s="115" t="e">
        <v>#N/A</v>
      </c>
      <c r="CZ1635" s="137" t="e">
        <v>#N/A</v>
      </c>
      <c r="DA1635">
        <v>0.11332468572476186</v>
      </c>
      <c r="DB1635" t="str">
        <v/>
      </c>
    </row>
    <row r="1636" spans="83:106" x14ac:dyDescent="0.2">
      <c r="CE1636"/>
      <c r="CF1636"/>
      <c r="CG1636"/>
      <c r="CH1636"/>
      <c r="CI1636"/>
      <c r="CU1636" s="42">
        <v>1631</v>
      </c>
      <c r="CV1636" s="115">
        <v>4</v>
      </c>
      <c r="CW1636" s="115">
        <v>0.11332468572476186</v>
      </c>
      <c r="CX1636" s="115" t="e">
        <v>#N/A</v>
      </c>
      <c r="CY1636" s="115" t="e">
        <v>#N/A</v>
      </c>
      <c r="CZ1636" s="137" t="e">
        <v>#N/A</v>
      </c>
      <c r="DA1636">
        <v>0.11332468572476186</v>
      </c>
      <c r="DB1636" t="str">
        <v/>
      </c>
    </row>
    <row r="1637" spans="83:106" x14ac:dyDescent="0.2">
      <c r="CE1637"/>
      <c r="CF1637"/>
      <c r="CG1637"/>
      <c r="CH1637"/>
      <c r="CI1637"/>
      <c r="CU1637" s="42">
        <v>1632</v>
      </c>
      <c r="CV1637" s="115">
        <v>4</v>
      </c>
      <c r="CW1637" s="115">
        <v>0.11332468572476186</v>
      </c>
      <c r="CX1637" s="115" t="e">
        <v>#N/A</v>
      </c>
      <c r="CY1637" s="115" t="e">
        <v>#N/A</v>
      </c>
      <c r="CZ1637" s="137" t="e">
        <v>#N/A</v>
      </c>
      <c r="DA1637">
        <v>0.11332468572476186</v>
      </c>
      <c r="DB1637" t="str">
        <v/>
      </c>
    </row>
    <row r="1638" spans="83:106" x14ac:dyDescent="0.2">
      <c r="CE1638"/>
      <c r="CF1638"/>
      <c r="CG1638"/>
      <c r="CH1638"/>
      <c r="CI1638"/>
      <c r="CU1638" s="42">
        <v>1633</v>
      </c>
      <c r="CV1638" s="115">
        <v>4</v>
      </c>
      <c r="CW1638" s="115">
        <v>0.11332468572476186</v>
      </c>
      <c r="CX1638" s="115" t="e">
        <v>#N/A</v>
      </c>
      <c r="CY1638" s="115" t="e">
        <v>#N/A</v>
      </c>
      <c r="CZ1638" s="137" t="e">
        <v>#N/A</v>
      </c>
      <c r="DA1638">
        <v>0.11332468572476186</v>
      </c>
      <c r="DB1638" t="str">
        <v/>
      </c>
    </row>
    <row r="1639" spans="83:106" x14ac:dyDescent="0.2">
      <c r="CE1639"/>
      <c r="CF1639"/>
      <c r="CG1639"/>
      <c r="CH1639"/>
      <c r="CI1639"/>
      <c r="CU1639" s="42">
        <v>1634</v>
      </c>
      <c r="CV1639" s="115">
        <v>4</v>
      </c>
      <c r="CW1639" s="115">
        <v>0.11332468572476186</v>
      </c>
      <c r="CX1639" s="115" t="e">
        <v>#N/A</v>
      </c>
      <c r="CY1639" s="115" t="e">
        <v>#N/A</v>
      </c>
      <c r="CZ1639" s="137" t="e">
        <v>#N/A</v>
      </c>
      <c r="DA1639">
        <v>0.11332468572476186</v>
      </c>
      <c r="DB1639" t="str">
        <v/>
      </c>
    </row>
    <row r="1640" spans="83:106" x14ac:dyDescent="0.2">
      <c r="CE1640"/>
      <c r="CF1640"/>
      <c r="CG1640"/>
      <c r="CH1640"/>
      <c r="CI1640"/>
      <c r="CU1640" s="42">
        <v>1635</v>
      </c>
      <c r="CV1640" s="115">
        <v>4</v>
      </c>
      <c r="CW1640" s="115">
        <v>0.11332468572476186</v>
      </c>
      <c r="CX1640" s="115" t="e">
        <v>#N/A</v>
      </c>
      <c r="CY1640" s="115" t="e">
        <v>#N/A</v>
      </c>
      <c r="CZ1640" s="137" t="e">
        <v>#N/A</v>
      </c>
      <c r="DA1640">
        <v>0.11332468572476186</v>
      </c>
      <c r="DB1640" t="str">
        <v/>
      </c>
    </row>
    <row r="1641" spans="83:106" x14ac:dyDescent="0.2">
      <c r="CE1641"/>
      <c r="CF1641"/>
      <c r="CG1641"/>
      <c r="CH1641"/>
      <c r="CI1641"/>
      <c r="CU1641" s="42">
        <v>1636</v>
      </c>
      <c r="CV1641" s="115">
        <v>4</v>
      </c>
      <c r="CW1641" s="115">
        <v>0.11332468572476186</v>
      </c>
      <c r="CX1641" s="115" t="e">
        <v>#N/A</v>
      </c>
      <c r="CY1641" s="115" t="e">
        <v>#N/A</v>
      </c>
      <c r="CZ1641" s="137" t="e">
        <v>#N/A</v>
      </c>
      <c r="DA1641">
        <v>0.11332468572476186</v>
      </c>
      <c r="DB1641" t="str">
        <v/>
      </c>
    </row>
    <row r="1642" spans="83:106" x14ac:dyDescent="0.2">
      <c r="CE1642"/>
      <c r="CF1642"/>
      <c r="CG1642"/>
      <c r="CH1642"/>
      <c r="CI1642"/>
      <c r="CU1642" s="42">
        <v>1637</v>
      </c>
      <c r="CV1642" s="115">
        <v>4</v>
      </c>
      <c r="CW1642" s="115">
        <v>0.11332468572476186</v>
      </c>
      <c r="CX1642" s="115" t="e">
        <v>#N/A</v>
      </c>
      <c r="CY1642" s="115" t="e">
        <v>#N/A</v>
      </c>
      <c r="CZ1642" s="137" t="e">
        <v>#N/A</v>
      </c>
      <c r="DA1642">
        <v>0.11332468572476186</v>
      </c>
      <c r="DB1642" t="str">
        <v/>
      </c>
    </row>
    <row r="1643" spans="83:106" x14ac:dyDescent="0.2">
      <c r="CE1643"/>
      <c r="CF1643"/>
      <c r="CG1643"/>
      <c r="CH1643"/>
      <c r="CI1643"/>
      <c r="CU1643" s="42">
        <v>1638</v>
      </c>
      <c r="CV1643" s="115">
        <v>4</v>
      </c>
      <c r="CW1643" s="115">
        <v>0.11332468572476186</v>
      </c>
      <c r="CX1643" s="115" t="e">
        <v>#N/A</v>
      </c>
      <c r="CY1643" s="115" t="e">
        <v>#N/A</v>
      </c>
      <c r="CZ1643" s="137" t="e">
        <v>#N/A</v>
      </c>
      <c r="DA1643">
        <v>0.11332468572476186</v>
      </c>
      <c r="DB1643" t="str">
        <v/>
      </c>
    </row>
    <row r="1644" spans="83:106" x14ac:dyDescent="0.2">
      <c r="CE1644"/>
      <c r="CF1644"/>
      <c r="CG1644"/>
      <c r="CH1644"/>
      <c r="CI1644"/>
      <c r="CU1644" s="42">
        <v>1639</v>
      </c>
      <c r="CV1644" s="115">
        <v>4</v>
      </c>
      <c r="CW1644" s="115">
        <v>0.11332468572476186</v>
      </c>
      <c r="CX1644" s="115" t="e">
        <v>#N/A</v>
      </c>
      <c r="CY1644" s="115" t="e">
        <v>#N/A</v>
      </c>
      <c r="CZ1644" s="137" t="e">
        <v>#N/A</v>
      </c>
      <c r="DA1644">
        <v>0.11332468572476186</v>
      </c>
      <c r="DB1644" t="str">
        <v/>
      </c>
    </row>
    <row r="1645" spans="83:106" x14ac:dyDescent="0.2">
      <c r="CE1645"/>
      <c r="CF1645"/>
      <c r="CG1645"/>
      <c r="CH1645"/>
      <c r="CI1645"/>
      <c r="CU1645" s="42">
        <v>1640</v>
      </c>
      <c r="CV1645" s="115">
        <v>4</v>
      </c>
      <c r="CW1645" s="115">
        <v>0.11332468572476186</v>
      </c>
      <c r="CX1645" s="115" t="e">
        <v>#N/A</v>
      </c>
      <c r="CY1645" s="115" t="e">
        <v>#N/A</v>
      </c>
      <c r="CZ1645" s="137" t="e">
        <v>#N/A</v>
      </c>
      <c r="DA1645">
        <v>0.11332468572476186</v>
      </c>
      <c r="DB1645" t="str">
        <v/>
      </c>
    </row>
    <row r="1646" spans="83:106" x14ac:dyDescent="0.2">
      <c r="CE1646"/>
      <c r="CF1646"/>
      <c r="CG1646"/>
      <c r="CH1646"/>
      <c r="CI1646"/>
      <c r="CU1646" s="42">
        <v>1641</v>
      </c>
      <c r="CV1646" s="115">
        <v>4</v>
      </c>
      <c r="CW1646" s="115">
        <v>0.11332468572476186</v>
      </c>
      <c r="CX1646" s="115" t="e">
        <v>#N/A</v>
      </c>
      <c r="CY1646" s="115" t="e">
        <v>#N/A</v>
      </c>
      <c r="CZ1646" s="137" t="e">
        <v>#N/A</v>
      </c>
      <c r="DA1646">
        <v>0.11332468572476186</v>
      </c>
      <c r="DB1646" t="str">
        <v/>
      </c>
    </row>
    <row r="1647" spans="83:106" x14ac:dyDescent="0.2">
      <c r="CE1647"/>
      <c r="CF1647"/>
      <c r="CG1647"/>
      <c r="CH1647"/>
      <c r="CI1647"/>
      <c r="CU1647" s="42">
        <v>1642</v>
      </c>
      <c r="CV1647" s="115">
        <v>4</v>
      </c>
      <c r="CW1647" s="115">
        <v>0.11332468572476186</v>
      </c>
      <c r="CX1647" s="115" t="e">
        <v>#N/A</v>
      </c>
      <c r="CY1647" s="115" t="e">
        <v>#N/A</v>
      </c>
      <c r="CZ1647" s="137" t="e">
        <v>#N/A</v>
      </c>
      <c r="DA1647">
        <v>0.11332468572476186</v>
      </c>
      <c r="DB1647" t="str">
        <v/>
      </c>
    </row>
    <row r="1648" spans="83:106" x14ac:dyDescent="0.2">
      <c r="CE1648"/>
      <c r="CF1648"/>
      <c r="CG1648"/>
      <c r="CH1648"/>
      <c r="CI1648"/>
      <c r="CU1648" s="42">
        <v>1643</v>
      </c>
      <c r="CV1648" s="115">
        <v>4</v>
      </c>
      <c r="CW1648" s="115">
        <v>0.11332468572476186</v>
      </c>
      <c r="CX1648" s="115" t="e">
        <v>#N/A</v>
      </c>
      <c r="CY1648" s="115" t="e">
        <v>#N/A</v>
      </c>
      <c r="CZ1648" s="137" t="e">
        <v>#N/A</v>
      </c>
      <c r="DA1648">
        <v>0.11332468572476186</v>
      </c>
      <c r="DB1648" t="str">
        <v/>
      </c>
    </row>
    <row r="1649" spans="83:106" x14ac:dyDescent="0.2">
      <c r="CE1649"/>
      <c r="CF1649"/>
      <c r="CG1649"/>
      <c r="CH1649"/>
      <c r="CI1649"/>
      <c r="CU1649" s="42">
        <v>1644</v>
      </c>
      <c r="CV1649" s="115">
        <v>4</v>
      </c>
      <c r="CW1649" s="115">
        <v>0.11332468572476186</v>
      </c>
      <c r="CX1649" s="115" t="e">
        <v>#N/A</v>
      </c>
      <c r="CY1649" s="115" t="e">
        <v>#N/A</v>
      </c>
      <c r="CZ1649" s="137" t="e">
        <v>#N/A</v>
      </c>
      <c r="DA1649">
        <v>0.11332468572476186</v>
      </c>
      <c r="DB1649" t="str">
        <v/>
      </c>
    </row>
    <row r="1650" spans="83:106" x14ac:dyDescent="0.2">
      <c r="CE1650"/>
      <c r="CF1650"/>
      <c r="CG1650"/>
      <c r="CH1650"/>
      <c r="CI1650"/>
      <c r="CU1650" s="42">
        <v>1645</v>
      </c>
      <c r="CV1650" s="115">
        <v>4</v>
      </c>
      <c r="CW1650" s="115">
        <v>0.11332468572476186</v>
      </c>
      <c r="CX1650" s="115" t="e">
        <v>#N/A</v>
      </c>
      <c r="CY1650" s="115" t="e">
        <v>#N/A</v>
      </c>
      <c r="CZ1650" s="137" t="e">
        <v>#N/A</v>
      </c>
      <c r="DA1650">
        <v>0.11332468572476186</v>
      </c>
      <c r="DB1650" t="str">
        <v/>
      </c>
    </row>
    <row r="1651" spans="83:106" x14ac:dyDescent="0.2">
      <c r="CE1651"/>
      <c r="CF1651"/>
      <c r="CG1651"/>
      <c r="CH1651"/>
      <c r="CI1651"/>
      <c r="CU1651" s="42">
        <v>1646</v>
      </c>
      <c r="CV1651" s="115">
        <v>4</v>
      </c>
      <c r="CW1651" s="115">
        <v>0.11332468572476186</v>
      </c>
      <c r="CX1651" s="115" t="e">
        <v>#N/A</v>
      </c>
      <c r="CY1651" s="115" t="e">
        <v>#N/A</v>
      </c>
      <c r="CZ1651" s="137" t="e">
        <v>#N/A</v>
      </c>
      <c r="DA1651">
        <v>0.11332468572476186</v>
      </c>
      <c r="DB1651" t="str">
        <v/>
      </c>
    </row>
    <row r="1652" spans="83:106" x14ac:dyDescent="0.2">
      <c r="CE1652"/>
      <c r="CF1652"/>
      <c r="CG1652"/>
      <c r="CH1652"/>
      <c r="CI1652"/>
      <c r="CU1652" s="42">
        <v>1647</v>
      </c>
      <c r="CV1652" s="115">
        <v>4</v>
      </c>
      <c r="CW1652" s="115">
        <v>0.11332468572476186</v>
      </c>
      <c r="CX1652" s="115" t="e">
        <v>#N/A</v>
      </c>
      <c r="CY1652" s="115" t="e">
        <v>#N/A</v>
      </c>
      <c r="CZ1652" s="137" t="e">
        <v>#N/A</v>
      </c>
      <c r="DA1652">
        <v>0.11332468572476186</v>
      </c>
      <c r="DB1652" t="str">
        <v/>
      </c>
    </row>
    <row r="1653" spans="83:106" x14ac:dyDescent="0.2">
      <c r="CE1653"/>
      <c r="CF1653"/>
      <c r="CG1653"/>
      <c r="CH1653"/>
      <c r="CI1653"/>
      <c r="CU1653" s="42">
        <v>1648</v>
      </c>
      <c r="CV1653" s="115">
        <v>4</v>
      </c>
      <c r="CW1653" s="115">
        <v>0.11332468572476186</v>
      </c>
      <c r="CX1653" s="115" t="e">
        <v>#N/A</v>
      </c>
      <c r="CY1653" s="115" t="e">
        <v>#N/A</v>
      </c>
      <c r="CZ1653" s="137" t="e">
        <v>#N/A</v>
      </c>
      <c r="DA1653">
        <v>0.11332468572476186</v>
      </c>
      <c r="DB1653" t="str">
        <v/>
      </c>
    </row>
    <row r="1654" spans="83:106" x14ac:dyDescent="0.2">
      <c r="CE1654"/>
      <c r="CF1654"/>
      <c r="CG1654"/>
      <c r="CH1654"/>
      <c r="CI1654"/>
      <c r="CU1654" s="42">
        <v>1649</v>
      </c>
      <c r="CV1654" s="115">
        <v>4</v>
      </c>
      <c r="CW1654" s="115">
        <v>0.11332468572476186</v>
      </c>
      <c r="CX1654" s="115" t="e">
        <v>#N/A</v>
      </c>
      <c r="CY1654" s="115" t="e">
        <v>#N/A</v>
      </c>
      <c r="CZ1654" s="137" t="e">
        <v>#N/A</v>
      </c>
      <c r="DA1654">
        <v>0.11332468572476186</v>
      </c>
      <c r="DB1654" t="str">
        <v/>
      </c>
    </row>
    <row r="1655" spans="83:106" x14ac:dyDescent="0.2">
      <c r="CE1655"/>
      <c r="CF1655"/>
      <c r="CG1655"/>
      <c r="CH1655"/>
      <c r="CI1655"/>
      <c r="CU1655" s="42">
        <v>1650</v>
      </c>
      <c r="CV1655" s="115">
        <v>4</v>
      </c>
      <c r="CW1655" s="115">
        <v>0.11332468572476186</v>
      </c>
      <c r="CX1655" s="115" t="e">
        <v>#N/A</v>
      </c>
      <c r="CY1655" s="115" t="e">
        <v>#N/A</v>
      </c>
      <c r="CZ1655" s="137" t="e">
        <v>#N/A</v>
      </c>
      <c r="DA1655">
        <v>0.11332468572476186</v>
      </c>
      <c r="DB1655" t="str">
        <v/>
      </c>
    </row>
    <row r="1656" spans="83:106" x14ac:dyDescent="0.2">
      <c r="CE1656"/>
      <c r="CF1656"/>
      <c r="CG1656"/>
      <c r="CH1656"/>
      <c r="CI1656"/>
      <c r="CU1656" s="42">
        <v>1651</v>
      </c>
      <c r="CV1656" s="115">
        <v>4</v>
      </c>
      <c r="CW1656" s="115">
        <v>0.11332468572476186</v>
      </c>
      <c r="CX1656" s="115" t="e">
        <v>#N/A</v>
      </c>
      <c r="CY1656" s="115" t="e">
        <v>#N/A</v>
      </c>
      <c r="CZ1656" s="137" t="e">
        <v>#N/A</v>
      </c>
      <c r="DA1656">
        <v>0.11332468572476186</v>
      </c>
      <c r="DB1656" t="str">
        <v/>
      </c>
    </row>
    <row r="1657" spans="83:106" x14ac:dyDescent="0.2">
      <c r="CE1657"/>
      <c r="CF1657"/>
      <c r="CG1657"/>
      <c r="CH1657"/>
      <c r="CI1657"/>
      <c r="CU1657" s="42">
        <v>1652</v>
      </c>
      <c r="CV1657" s="115">
        <v>4</v>
      </c>
      <c r="CW1657" s="115">
        <v>0.11332468572476186</v>
      </c>
      <c r="CX1657" s="115" t="e">
        <v>#N/A</v>
      </c>
      <c r="CY1657" s="115" t="e">
        <v>#N/A</v>
      </c>
      <c r="CZ1657" s="137" t="e">
        <v>#N/A</v>
      </c>
      <c r="DA1657">
        <v>0.11332468572476186</v>
      </c>
      <c r="DB1657" t="str">
        <v/>
      </c>
    </row>
    <row r="1658" spans="83:106" x14ac:dyDescent="0.2">
      <c r="CE1658"/>
      <c r="CF1658"/>
      <c r="CG1658"/>
      <c r="CH1658"/>
      <c r="CI1658"/>
      <c r="CU1658" s="42">
        <v>1653</v>
      </c>
      <c r="CV1658" s="115">
        <v>4</v>
      </c>
      <c r="CW1658" s="115">
        <v>0.11332468572476186</v>
      </c>
      <c r="CX1658" s="115" t="e">
        <v>#N/A</v>
      </c>
      <c r="CY1658" s="115" t="e">
        <v>#N/A</v>
      </c>
      <c r="CZ1658" s="137" t="e">
        <v>#N/A</v>
      </c>
      <c r="DA1658">
        <v>0.11332468572476186</v>
      </c>
      <c r="DB1658" t="str">
        <v/>
      </c>
    </row>
    <row r="1659" spans="83:106" x14ac:dyDescent="0.2">
      <c r="CE1659"/>
      <c r="CF1659"/>
      <c r="CG1659"/>
      <c r="CH1659"/>
      <c r="CI1659"/>
      <c r="CU1659" s="42">
        <v>1654</v>
      </c>
      <c r="CV1659" s="115">
        <v>4</v>
      </c>
      <c r="CW1659" s="115">
        <v>0.11332468572476186</v>
      </c>
      <c r="CX1659" s="115" t="e">
        <v>#N/A</v>
      </c>
      <c r="CY1659" s="115" t="e">
        <v>#N/A</v>
      </c>
      <c r="CZ1659" s="137" t="e">
        <v>#N/A</v>
      </c>
      <c r="DA1659">
        <v>0.11332468572476186</v>
      </c>
      <c r="DB1659" t="str">
        <v/>
      </c>
    </row>
    <row r="1660" spans="83:106" x14ac:dyDescent="0.2">
      <c r="CE1660"/>
      <c r="CF1660"/>
      <c r="CG1660"/>
      <c r="CH1660"/>
      <c r="CI1660"/>
      <c r="CU1660" s="42">
        <v>1655</v>
      </c>
      <c r="CV1660" s="115">
        <v>4</v>
      </c>
      <c r="CW1660" s="115">
        <v>0.11332468572476186</v>
      </c>
      <c r="CX1660" s="115" t="e">
        <v>#N/A</v>
      </c>
      <c r="CY1660" s="115" t="e">
        <v>#N/A</v>
      </c>
      <c r="CZ1660" s="137" t="e">
        <v>#N/A</v>
      </c>
      <c r="DA1660">
        <v>0.11332468572476186</v>
      </c>
      <c r="DB1660" t="str">
        <v/>
      </c>
    </row>
    <row r="1661" spans="83:106" x14ac:dyDescent="0.2">
      <c r="CE1661"/>
      <c r="CF1661"/>
      <c r="CG1661"/>
      <c r="CH1661"/>
      <c r="CI1661"/>
      <c r="CU1661" s="42">
        <v>1656</v>
      </c>
      <c r="CV1661" s="115">
        <v>4</v>
      </c>
      <c r="CW1661" s="115">
        <v>0.11332468572476186</v>
      </c>
      <c r="CX1661" s="115" t="e">
        <v>#N/A</v>
      </c>
      <c r="CY1661" s="115" t="e">
        <v>#N/A</v>
      </c>
      <c r="CZ1661" s="137" t="e">
        <v>#N/A</v>
      </c>
      <c r="DA1661">
        <v>0.11332468572476186</v>
      </c>
      <c r="DB1661" t="str">
        <v/>
      </c>
    </row>
    <row r="1662" spans="83:106" x14ac:dyDescent="0.2">
      <c r="CE1662"/>
      <c r="CF1662"/>
      <c r="CG1662"/>
      <c r="CH1662"/>
      <c r="CI1662"/>
      <c r="CU1662" s="42">
        <v>1657</v>
      </c>
      <c r="CV1662" s="115">
        <v>4</v>
      </c>
      <c r="CW1662" s="115">
        <v>0.11332468572476186</v>
      </c>
      <c r="CX1662" s="115" t="e">
        <v>#N/A</v>
      </c>
      <c r="CY1662" s="115" t="e">
        <v>#N/A</v>
      </c>
      <c r="CZ1662" s="137" t="e">
        <v>#N/A</v>
      </c>
      <c r="DA1662">
        <v>0.11332468572476186</v>
      </c>
      <c r="DB1662" t="str">
        <v/>
      </c>
    </row>
    <row r="1663" spans="83:106" x14ac:dyDescent="0.2">
      <c r="CE1663"/>
      <c r="CF1663"/>
      <c r="CG1663"/>
      <c r="CH1663"/>
      <c r="CI1663"/>
      <c r="CU1663" s="42">
        <v>1658</v>
      </c>
      <c r="CV1663" s="115">
        <v>4</v>
      </c>
      <c r="CW1663" s="115">
        <v>0.11332468572476186</v>
      </c>
      <c r="CX1663" s="115" t="e">
        <v>#N/A</v>
      </c>
      <c r="CY1663" s="115" t="e">
        <v>#N/A</v>
      </c>
      <c r="CZ1663" s="137" t="e">
        <v>#N/A</v>
      </c>
      <c r="DA1663">
        <v>0.11332468572476186</v>
      </c>
      <c r="DB1663" t="str">
        <v/>
      </c>
    </row>
    <row r="1664" spans="83:106" x14ac:dyDescent="0.2">
      <c r="CE1664"/>
      <c r="CF1664"/>
      <c r="CG1664"/>
      <c r="CH1664"/>
      <c r="CI1664"/>
      <c r="CU1664" s="42">
        <v>1659</v>
      </c>
      <c r="CV1664" s="115">
        <v>4</v>
      </c>
      <c r="CW1664" s="115">
        <v>0.11332468572476186</v>
      </c>
      <c r="CX1664" s="115" t="e">
        <v>#N/A</v>
      </c>
      <c r="CY1664" s="115" t="e">
        <v>#N/A</v>
      </c>
      <c r="CZ1664" s="137" t="e">
        <v>#N/A</v>
      </c>
      <c r="DA1664">
        <v>0.11332468572476186</v>
      </c>
      <c r="DB1664" t="str">
        <v/>
      </c>
    </row>
    <row r="1665" spans="83:106" x14ac:dyDescent="0.2">
      <c r="CE1665"/>
      <c r="CF1665"/>
      <c r="CG1665"/>
      <c r="CH1665"/>
      <c r="CI1665"/>
      <c r="CU1665" s="42">
        <v>1660</v>
      </c>
      <c r="CV1665" s="115">
        <v>4</v>
      </c>
      <c r="CW1665" s="115">
        <v>0.11332468572476186</v>
      </c>
      <c r="CX1665" s="115" t="e">
        <v>#N/A</v>
      </c>
      <c r="CY1665" s="115" t="e">
        <v>#N/A</v>
      </c>
      <c r="CZ1665" s="137" t="e">
        <v>#N/A</v>
      </c>
      <c r="DA1665">
        <v>0.11332468572476186</v>
      </c>
      <c r="DB1665" t="str">
        <v/>
      </c>
    </row>
    <row r="1666" spans="83:106" x14ac:dyDescent="0.2">
      <c r="CE1666"/>
      <c r="CF1666"/>
      <c r="CG1666"/>
      <c r="CH1666"/>
      <c r="CI1666"/>
      <c r="CU1666" s="42">
        <v>1661</v>
      </c>
      <c r="CV1666" s="115">
        <v>4</v>
      </c>
      <c r="CW1666" s="115">
        <v>0.11332468572476186</v>
      </c>
      <c r="CX1666" s="115" t="e">
        <v>#N/A</v>
      </c>
      <c r="CY1666" s="115" t="e">
        <v>#N/A</v>
      </c>
      <c r="CZ1666" s="137" t="e">
        <v>#N/A</v>
      </c>
      <c r="DA1666">
        <v>0.11332468572476186</v>
      </c>
      <c r="DB1666" t="str">
        <v/>
      </c>
    </row>
    <row r="1667" spans="83:106" x14ac:dyDescent="0.2">
      <c r="CE1667"/>
      <c r="CF1667"/>
      <c r="CG1667"/>
      <c r="CH1667"/>
      <c r="CI1667"/>
      <c r="CU1667" s="42">
        <v>1662</v>
      </c>
      <c r="CV1667" s="115">
        <v>4</v>
      </c>
      <c r="CW1667" s="115">
        <v>0.11332468572476186</v>
      </c>
      <c r="CX1667" s="115" t="e">
        <v>#N/A</v>
      </c>
      <c r="CY1667" s="115" t="e">
        <v>#N/A</v>
      </c>
      <c r="CZ1667" s="137" t="e">
        <v>#N/A</v>
      </c>
      <c r="DA1667">
        <v>0.11332468572476186</v>
      </c>
      <c r="DB1667" t="str">
        <v/>
      </c>
    </row>
    <row r="1668" spans="83:106" x14ac:dyDescent="0.2">
      <c r="CE1668"/>
      <c r="CF1668"/>
      <c r="CG1668"/>
      <c r="CH1668"/>
      <c r="CI1668"/>
      <c r="CU1668" s="42">
        <v>1663</v>
      </c>
      <c r="CV1668" s="115">
        <v>4</v>
      </c>
      <c r="CW1668" s="115">
        <v>0.11332468572476186</v>
      </c>
      <c r="CX1668" s="115" t="e">
        <v>#N/A</v>
      </c>
      <c r="CY1668" s="115" t="e">
        <v>#N/A</v>
      </c>
      <c r="CZ1668" s="137" t="e">
        <v>#N/A</v>
      </c>
      <c r="DA1668">
        <v>0.11332468572476186</v>
      </c>
      <c r="DB1668" t="str">
        <v/>
      </c>
    </row>
    <row r="1669" spans="83:106" x14ac:dyDescent="0.2">
      <c r="CE1669"/>
      <c r="CF1669"/>
      <c r="CG1669"/>
      <c r="CH1669"/>
      <c r="CI1669"/>
      <c r="CU1669" s="42">
        <v>1664</v>
      </c>
      <c r="CV1669" s="115">
        <v>4</v>
      </c>
      <c r="CW1669" s="115">
        <v>0.11332468572476186</v>
      </c>
      <c r="CX1669" s="115" t="e">
        <v>#N/A</v>
      </c>
      <c r="CY1669" s="115" t="e">
        <v>#N/A</v>
      </c>
      <c r="CZ1669" s="137" t="e">
        <v>#N/A</v>
      </c>
      <c r="DA1669">
        <v>0.11332468572476186</v>
      </c>
      <c r="DB1669" t="str">
        <v/>
      </c>
    </row>
    <row r="1670" spans="83:106" x14ac:dyDescent="0.2">
      <c r="CE1670"/>
      <c r="CF1670"/>
      <c r="CG1670"/>
      <c r="CH1670"/>
      <c r="CI1670"/>
      <c r="CU1670" s="42">
        <v>1665</v>
      </c>
      <c r="CV1670" s="115">
        <v>4</v>
      </c>
      <c r="CW1670" s="115">
        <v>0.11332468572476186</v>
      </c>
      <c r="CX1670" s="115" t="e">
        <v>#N/A</v>
      </c>
      <c r="CY1670" s="115" t="e">
        <v>#N/A</v>
      </c>
      <c r="CZ1670" s="137" t="e">
        <v>#N/A</v>
      </c>
      <c r="DA1670">
        <v>0.11332468572476186</v>
      </c>
      <c r="DB1670" t="str">
        <v/>
      </c>
    </row>
    <row r="1671" spans="83:106" x14ac:dyDescent="0.2">
      <c r="CE1671"/>
      <c r="CF1671"/>
      <c r="CG1671"/>
      <c r="CH1671"/>
      <c r="CI1671"/>
      <c r="CU1671" s="42">
        <v>1666</v>
      </c>
      <c r="CV1671" s="115">
        <v>4</v>
      </c>
      <c r="CW1671" s="115">
        <v>0.11332468572476186</v>
      </c>
      <c r="CX1671" s="115" t="e">
        <v>#N/A</v>
      </c>
      <c r="CY1671" s="115" t="e">
        <v>#N/A</v>
      </c>
      <c r="CZ1671" s="137" t="e">
        <v>#N/A</v>
      </c>
      <c r="DA1671">
        <v>0.11332468572476186</v>
      </c>
      <c r="DB1671" t="str">
        <v/>
      </c>
    </row>
    <row r="1672" spans="83:106" x14ac:dyDescent="0.2">
      <c r="CE1672"/>
      <c r="CF1672"/>
      <c r="CG1672"/>
      <c r="CH1672"/>
      <c r="CI1672"/>
      <c r="CU1672" s="42">
        <v>1667</v>
      </c>
      <c r="CV1672" s="115">
        <v>4</v>
      </c>
      <c r="CW1672" s="115">
        <v>0.11332468572476186</v>
      </c>
      <c r="CX1672" s="115" t="e">
        <v>#N/A</v>
      </c>
      <c r="CY1672" s="115" t="e">
        <v>#N/A</v>
      </c>
      <c r="CZ1672" s="137" t="e">
        <v>#N/A</v>
      </c>
      <c r="DA1672">
        <v>0.11332468572476186</v>
      </c>
      <c r="DB1672" t="str">
        <v/>
      </c>
    </row>
    <row r="1673" spans="83:106" x14ac:dyDescent="0.2">
      <c r="CE1673"/>
      <c r="CF1673"/>
      <c r="CG1673"/>
      <c r="CH1673"/>
      <c r="CI1673"/>
      <c r="CU1673" s="42">
        <v>1668</v>
      </c>
      <c r="CV1673" s="115">
        <v>4</v>
      </c>
      <c r="CW1673" s="115">
        <v>0.11332468572476186</v>
      </c>
      <c r="CX1673" s="115" t="e">
        <v>#N/A</v>
      </c>
      <c r="CY1673" s="115" t="e">
        <v>#N/A</v>
      </c>
      <c r="CZ1673" s="137" t="e">
        <v>#N/A</v>
      </c>
      <c r="DA1673">
        <v>0.11332468572476186</v>
      </c>
      <c r="DB1673" t="str">
        <v/>
      </c>
    </row>
    <row r="1674" spans="83:106" x14ac:dyDescent="0.2">
      <c r="CE1674"/>
      <c r="CF1674"/>
      <c r="CG1674"/>
      <c r="CH1674"/>
      <c r="CI1674"/>
      <c r="CU1674" s="42">
        <v>1669</v>
      </c>
      <c r="CV1674" s="115">
        <v>4</v>
      </c>
      <c r="CW1674" s="115">
        <v>0.11332468572476186</v>
      </c>
      <c r="CX1674" s="115" t="e">
        <v>#N/A</v>
      </c>
      <c r="CY1674" s="115" t="e">
        <v>#N/A</v>
      </c>
      <c r="CZ1674" s="137" t="e">
        <v>#N/A</v>
      </c>
      <c r="DA1674">
        <v>0.11332468572476186</v>
      </c>
      <c r="DB1674" t="str">
        <v/>
      </c>
    </row>
    <row r="1675" spans="83:106" x14ac:dyDescent="0.2">
      <c r="CE1675"/>
      <c r="CF1675"/>
      <c r="CG1675"/>
      <c r="CH1675"/>
      <c r="CI1675"/>
      <c r="CU1675" s="42">
        <v>1670</v>
      </c>
      <c r="CV1675" s="115">
        <v>4</v>
      </c>
      <c r="CW1675" s="115">
        <v>0.11332468572476186</v>
      </c>
      <c r="CX1675" s="115" t="e">
        <v>#N/A</v>
      </c>
      <c r="CY1675" s="115" t="e">
        <v>#N/A</v>
      </c>
      <c r="CZ1675" s="137" t="e">
        <v>#N/A</v>
      </c>
      <c r="DA1675">
        <v>0.11332468572476186</v>
      </c>
      <c r="DB1675" t="str">
        <v/>
      </c>
    </row>
    <row r="1676" spans="83:106" x14ac:dyDescent="0.2">
      <c r="CE1676"/>
      <c r="CF1676"/>
      <c r="CG1676"/>
      <c r="CH1676"/>
      <c r="CI1676"/>
      <c r="CU1676" s="42">
        <v>1671</v>
      </c>
      <c r="CV1676" s="115">
        <v>4</v>
      </c>
      <c r="CW1676" s="115">
        <v>0.11332468572476186</v>
      </c>
      <c r="CX1676" s="115" t="e">
        <v>#N/A</v>
      </c>
      <c r="CY1676" s="115" t="e">
        <v>#N/A</v>
      </c>
      <c r="CZ1676" s="137" t="e">
        <v>#N/A</v>
      </c>
      <c r="DA1676">
        <v>0.11332468572476186</v>
      </c>
      <c r="DB1676" t="str">
        <v/>
      </c>
    </row>
    <row r="1677" spans="83:106" x14ac:dyDescent="0.2">
      <c r="CE1677"/>
      <c r="CF1677"/>
      <c r="CG1677"/>
      <c r="CH1677"/>
      <c r="CI1677"/>
      <c r="CU1677" s="42">
        <v>1672</v>
      </c>
      <c r="CV1677" s="115">
        <v>4</v>
      </c>
      <c r="CW1677" s="115">
        <v>0.11332468572476186</v>
      </c>
      <c r="CX1677" s="115" t="e">
        <v>#N/A</v>
      </c>
      <c r="CY1677" s="115" t="e">
        <v>#N/A</v>
      </c>
      <c r="CZ1677" s="137" t="e">
        <v>#N/A</v>
      </c>
      <c r="DA1677">
        <v>0.11332468572476186</v>
      </c>
      <c r="DB1677" t="str">
        <v/>
      </c>
    </row>
    <row r="1678" spans="83:106" x14ac:dyDescent="0.2">
      <c r="CE1678"/>
      <c r="CF1678"/>
      <c r="CG1678"/>
      <c r="CH1678"/>
      <c r="CI1678"/>
      <c r="CU1678" s="42">
        <v>1673</v>
      </c>
      <c r="CV1678" s="115">
        <v>4</v>
      </c>
      <c r="CW1678" s="115">
        <v>0.11332468572476186</v>
      </c>
      <c r="CX1678" s="115" t="e">
        <v>#N/A</v>
      </c>
      <c r="CY1678" s="115" t="e">
        <v>#N/A</v>
      </c>
      <c r="CZ1678" s="137" t="e">
        <v>#N/A</v>
      </c>
      <c r="DA1678">
        <v>0.11332468572476186</v>
      </c>
      <c r="DB1678" t="str">
        <v/>
      </c>
    </row>
    <row r="1679" spans="83:106" x14ac:dyDescent="0.2">
      <c r="CE1679"/>
      <c r="CF1679"/>
      <c r="CG1679"/>
      <c r="CH1679"/>
      <c r="CI1679"/>
      <c r="CU1679" s="42">
        <v>1674</v>
      </c>
      <c r="CV1679" s="115">
        <v>4</v>
      </c>
      <c r="CW1679" s="115">
        <v>0.11332468572476186</v>
      </c>
      <c r="CX1679" s="115" t="e">
        <v>#N/A</v>
      </c>
      <c r="CY1679" s="115" t="e">
        <v>#N/A</v>
      </c>
      <c r="CZ1679" s="137" t="e">
        <v>#N/A</v>
      </c>
      <c r="DA1679">
        <v>0.11332468572476186</v>
      </c>
      <c r="DB1679" t="str">
        <v/>
      </c>
    </row>
    <row r="1680" spans="83:106" x14ac:dyDescent="0.2">
      <c r="CE1680"/>
      <c r="CF1680"/>
      <c r="CG1680"/>
      <c r="CH1680"/>
      <c r="CI1680"/>
      <c r="CU1680" s="42">
        <v>1675</v>
      </c>
      <c r="CV1680" s="115">
        <v>4</v>
      </c>
      <c r="CW1680" s="115">
        <v>0.11332468572476186</v>
      </c>
      <c r="CX1680" s="115" t="e">
        <v>#N/A</v>
      </c>
      <c r="CY1680" s="115" t="e">
        <v>#N/A</v>
      </c>
      <c r="CZ1680" s="137" t="e">
        <v>#N/A</v>
      </c>
      <c r="DA1680">
        <v>0.11332468572476186</v>
      </c>
      <c r="DB1680" t="str">
        <v/>
      </c>
    </row>
    <row r="1681" spans="83:106" x14ac:dyDescent="0.2">
      <c r="CE1681"/>
      <c r="CF1681"/>
      <c r="CG1681"/>
      <c r="CH1681"/>
      <c r="CI1681"/>
      <c r="CU1681" s="42">
        <v>1676</v>
      </c>
      <c r="CV1681" s="115">
        <v>4</v>
      </c>
      <c r="CW1681" s="115">
        <v>0.11332468572476186</v>
      </c>
      <c r="CX1681" s="115" t="e">
        <v>#N/A</v>
      </c>
      <c r="CY1681" s="115" t="e">
        <v>#N/A</v>
      </c>
      <c r="CZ1681" s="137" t="e">
        <v>#N/A</v>
      </c>
      <c r="DA1681">
        <v>0.11332468572476186</v>
      </c>
      <c r="DB1681" t="str">
        <v/>
      </c>
    </row>
    <row r="1682" spans="83:106" x14ac:dyDescent="0.2">
      <c r="CE1682"/>
      <c r="CF1682"/>
      <c r="CG1682"/>
      <c r="CH1682"/>
      <c r="CI1682"/>
      <c r="CU1682" s="42">
        <v>1677</v>
      </c>
      <c r="CV1682" s="115">
        <v>4</v>
      </c>
      <c r="CW1682" s="115">
        <v>0.11332468572476186</v>
      </c>
      <c r="CX1682" s="115" t="e">
        <v>#N/A</v>
      </c>
      <c r="CY1682" s="115" t="e">
        <v>#N/A</v>
      </c>
      <c r="CZ1682" s="137" t="e">
        <v>#N/A</v>
      </c>
      <c r="DA1682">
        <v>0.11332468572476186</v>
      </c>
      <c r="DB1682" t="str">
        <v/>
      </c>
    </row>
    <row r="1683" spans="83:106" x14ac:dyDescent="0.2">
      <c r="CE1683"/>
      <c r="CF1683"/>
      <c r="CG1683"/>
      <c r="CH1683"/>
      <c r="CI1683"/>
      <c r="CU1683" s="42">
        <v>1678</v>
      </c>
      <c r="CV1683" s="115">
        <v>4</v>
      </c>
      <c r="CW1683" s="115">
        <v>0.11332468572476186</v>
      </c>
      <c r="CX1683" s="115" t="e">
        <v>#N/A</v>
      </c>
      <c r="CY1683" s="115" t="e">
        <v>#N/A</v>
      </c>
      <c r="CZ1683" s="137" t="e">
        <v>#N/A</v>
      </c>
      <c r="DA1683">
        <v>0.11332468572476186</v>
      </c>
      <c r="DB1683" t="str">
        <v/>
      </c>
    </row>
    <row r="1684" spans="83:106" x14ac:dyDescent="0.2">
      <c r="CE1684"/>
      <c r="CF1684"/>
      <c r="CG1684"/>
      <c r="CH1684"/>
      <c r="CI1684"/>
      <c r="CU1684" s="42">
        <v>1679</v>
      </c>
      <c r="CV1684" s="115">
        <v>4</v>
      </c>
      <c r="CW1684" s="115">
        <v>0.11332468572476186</v>
      </c>
      <c r="CX1684" s="115" t="e">
        <v>#N/A</v>
      </c>
      <c r="CY1684" s="115" t="e">
        <v>#N/A</v>
      </c>
      <c r="CZ1684" s="137" t="e">
        <v>#N/A</v>
      </c>
      <c r="DA1684">
        <v>0.11332468572476186</v>
      </c>
      <c r="DB1684" t="str">
        <v/>
      </c>
    </row>
    <row r="1685" spans="83:106" x14ac:dyDescent="0.2">
      <c r="CE1685"/>
      <c r="CF1685"/>
      <c r="CG1685"/>
      <c r="CH1685"/>
      <c r="CI1685"/>
      <c r="CU1685" s="42">
        <v>1680</v>
      </c>
      <c r="CV1685" s="115">
        <v>4</v>
      </c>
      <c r="CW1685" s="115">
        <v>0.11332468572476186</v>
      </c>
      <c r="CX1685" s="115" t="e">
        <v>#N/A</v>
      </c>
      <c r="CY1685" s="115" t="e">
        <v>#N/A</v>
      </c>
      <c r="CZ1685" s="137" t="e">
        <v>#N/A</v>
      </c>
      <c r="DA1685">
        <v>0.11332468572476186</v>
      </c>
      <c r="DB1685" t="str">
        <v/>
      </c>
    </row>
    <row r="1686" spans="83:106" x14ac:dyDescent="0.2">
      <c r="CE1686"/>
      <c r="CF1686"/>
      <c r="CG1686"/>
      <c r="CH1686"/>
      <c r="CI1686"/>
      <c r="CU1686" s="42">
        <v>1681</v>
      </c>
      <c r="CV1686" s="115">
        <v>4</v>
      </c>
      <c r="CW1686" s="115">
        <v>0.11332468572476186</v>
      </c>
      <c r="CX1686" s="115" t="e">
        <v>#N/A</v>
      </c>
      <c r="CY1686" s="115" t="e">
        <v>#N/A</v>
      </c>
      <c r="CZ1686" s="137" t="e">
        <v>#N/A</v>
      </c>
      <c r="DA1686">
        <v>0.11332468572476186</v>
      </c>
      <c r="DB1686" t="str">
        <v/>
      </c>
    </row>
    <row r="1687" spans="83:106" x14ac:dyDescent="0.2">
      <c r="CE1687"/>
      <c r="CF1687"/>
      <c r="CG1687"/>
      <c r="CH1687"/>
      <c r="CI1687"/>
      <c r="CU1687" s="42">
        <v>1682</v>
      </c>
      <c r="CV1687" s="115">
        <v>4</v>
      </c>
      <c r="CW1687" s="115">
        <v>0.11332468572476186</v>
      </c>
      <c r="CX1687" s="115" t="e">
        <v>#N/A</v>
      </c>
      <c r="CY1687" s="115" t="e">
        <v>#N/A</v>
      </c>
      <c r="CZ1687" s="137" t="e">
        <v>#N/A</v>
      </c>
      <c r="DA1687">
        <v>0.11332468572476186</v>
      </c>
      <c r="DB1687" t="str">
        <v/>
      </c>
    </row>
    <row r="1688" spans="83:106" x14ac:dyDescent="0.2">
      <c r="CE1688"/>
      <c r="CF1688"/>
      <c r="CG1688"/>
      <c r="CH1688"/>
      <c r="CI1688"/>
      <c r="CU1688" s="42">
        <v>1683</v>
      </c>
      <c r="CV1688" s="115">
        <v>4</v>
      </c>
      <c r="CW1688" s="115">
        <v>0.11332468572476186</v>
      </c>
      <c r="CX1688" s="115" t="e">
        <v>#N/A</v>
      </c>
      <c r="CY1688" s="115" t="e">
        <v>#N/A</v>
      </c>
      <c r="CZ1688" s="137" t="e">
        <v>#N/A</v>
      </c>
      <c r="DA1688">
        <v>0.11332468572476186</v>
      </c>
      <c r="DB1688" t="str">
        <v/>
      </c>
    </row>
    <row r="1689" spans="83:106" x14ac:dyDescent="0.2">
      <c r="CE1689"/>
      <c r="CF1689"/>
      <c r="CG1689"/>
      <c r="CH1689"/>
      <c r="CI1689"/>
      <c r="CU1689" s="42">
        <v>1684</v>
      </c>
      <c r="CV1689" s="115">
        <v>4</v>
      </c>
      <c r="CW1689" s="115">
        <v>0.11332468572476186</v>
      </c>
      <c r="CX1689" s="115" t="e">
        <v>#N/A</v>
      </c>
      <c r="CY1689" s="115" t="e">
        <v>#N/A</v>
      </c>
      <c r="CZ1689" s="137" t="e">
        <v>#N/A</v>
      </c>
      <c r="DA1689">
        <v>0.11332468572476186</v>
      </c>
      <c r="DB1689" t="str">
        <v/>
      </c>
    </row>
    <row r="1690" spans="83:106" x14ac:dyDescent="0.2">
      <c r="CE1690"/>
      <c r="CF1690"/>
      <c r="CG1690"/>
      <c r="CH1690"/>
      <c r="CI1690"/>
      <c r="CU1690" s="42">
        <v>1685</v>
      </c>
      <c r="CV1690" s="115">
        <v>4</v>
      </c>
      <c r="CW1690" s="115">
        <v>0.11332468572476186</v>
      </c>
      <c r="CX1690" s="115" t="e">
        <v>#N/A</v>
      </c>
      <c r="CY1690" s="115" t="e">
        <v>#N/A</v>
      </c>
      <c r="CZ1690" s="137" t="e">
        <v>#N/A</v>
      </c>
      <c r="DA1690">
        <v>0.11332468572476186</v>
      </c>
      <c r="DB1690" t="str">
        <v/>
      </c>
    </row>
    <row r="1691" spans="83:106" x14ac:dyDescent="0.2">
      <c r="CE1691"/>
      <c r="CF1691"/>
      <c r="CG1691"/>
      <c r="CH1691"/>
      <c r="CI1691"/>
      <c r="CU1691" s="42">
        <v>1686</v>
      </c>
      <c r="CV1691" s="115">
        <v>4</v>
      </c>
      <c r="CW1691" s="115">
        <v>0.11332468572476186</v>
      </c>
      <c r="CX1691" s="115" t="e">
        <v>#N/A</v>
      </c>
      <c r="CY1691" s="115" t="e">
        <v>#N/A</v>
      </c>
      <c r="CZ1691" s="137" t="e">
        <v>#N/A</v>
      </c>
      <c r="DA1691">
        <v>0.11332468572476186</v>
      </c>
      <c r="DB1691" t="str">
        <v/>
      </c>
    </row>
    <row r="1692" spans="83:106" x14ac:dyDescent="0.2">
      <c r="CE1692"/>
      <c r="CF1692"/>
      <c r="CG1692"/>
      <c r="CH1692"/>
      <c r="CI1692"/>
      <c r="CU1692" s="42">
        <v>1687</v>
      </c>
      <c r="CV1692" s="115">
        <v>4</v>
      </c>
      <c r="CW1692" s="115">
        <v>0.11332468572476186</v>
      </c>
      <c r="CX1692" s="115" t="e">
        <v>#N/A</v>
      </c>
      <c r="CY1692" s="115" t="e">
        <v>#N/A</v>
      </c>
      <c r="CZ1692" s="137" t="e">
        <v>#N/A</v>
      </c>
      <c r="DA1692">
        <v>0.11332468572476186</v>
      </c>
      <c r="DB1692" t="str">
        <v/>
      </c>
    </row>
    <row r="1693" spans="83:106" x14ac:dyDescent="0.2">
      <c r="CE1693"/>
      <c r="CF1693"/>
      <c r="CG1693"/>
      <c r="CH1693"/>
      <c r="CI1693"/>
      <c r="CU1693" s="42">
        <v>1688</v>
      </c>
      <c r="CV1693" s="115">
        <v>4</v>
      </c>
      <c r="CW1693" s="115">
        <v>0.11332468572476186</v>
      </c>
      <c r="CX1693" s="115" t="e">
        <v>#N/A</v>
      </c>
      <c r="CY1693" s="115" t="e">
        <v>#N/A</v>
      </c>
      <c r="CZ1693" s="137" t="e">
        <v>#N/A</v>
      </c>
      <c r="DA1693">
        <v>0.11332468572476186</v>
      </c>
      <c r="DB1693" t="str">
        <v/>
      </c>
    </row>
    <row r="1694" spans="83:106" x14ac:dyDescent="0.2">
      <c r="CE1694"/>
      <c r="CF1694"/>
      <c r="CG1694"/>
      <c r="CH1694"/>
      <c r="CI1694"/>
      <c r="CU1694" s="42">
        <v>1689</v>
      </c>
      <c r="CV1694" s="115">
        <v>4</v>
      </c>
      <c r="CW1694" s="115">
        <v>0.11332468572476186</v>
      </c>
      <c r="CX1694" s="115" t="e">
        <v>#N/A</v>
      </c>
      <c r="CY1694" s="115" t="e">
        <v>#N/A</v>
      </c>
      <c r="CZ1694" s="137" t="e">
        <v>#N/A</v>
      </c>
      <c r="DA1694">
        <v>0.11332468572476186</v>
      </c>
      <c r="DB1694" t="str">
        <v/>
      </c>
    </row>
    <row r="1695" spans="83:106" x14ac:dyDescent="0.2">
      <c r="CE1695"/>
      <c r="CF1695"/>
      <c r="CG1695"/>
      <c r="CH1695"/>
      <c r="CI1695"/>
      <c r="CU1695" s="42">
        <v>1690</v>
      </c>
      <c r="CV1695" s="115">
        <v>4</v>
      </c>
      <c r="CW1695" s="115">
        <v>0.11332468572476186</v>
      </c>
      <c r="CX1695" s="115" t="e">
        <v>#N/A</v>
      </c>
      <c r="CY1695" s="115" t="e">
        <v>#N/A</v>
      </c>
      <c r="CZ1695" s="137" t="e">
        <v>#N/A</v>
      </c>
      <c r="DA1695">
        <v>0.11332468572476186</v>
      </c>
      <c r="DB1695" t="str">
        <v/>
      </c>
    </row>
    <row r="1696" spans="83:106" x14ac:dyDescent="0.2">
      <c r="CE1696"/>
      <c r="CF1696"/>
      <c r="CG1696"/>
      <c r="CH1696"/>
      <c r="CI1696"/>
      <c r="CU1696" s="42">
        <v>1691</v>
      </c>
      <c r="CV1696" s="115">
        <v>4</v>
      </c>
      <c r="CW1696" s="115">
        <v>0.11332468572476186</v>
      </c>
      <c r="CX1696" s="115" t="e">
        <v>#N/A</v>
      </c>
      <c r="CY1696" s="115" t="e">
        <v>#N/A</v>
      </c>
      <c r="CZ1696" s="137" t="e">
        <v>#N/A</v>
      </c>
      <c r="DA1696">
        <v>0.11332468572476186</v>
      </c>
      <c r="DB1696" t="str">
        <v/>
      </c>
    </row>
    <row r="1697" spans="83:106" x14ac:dyDescent="0.2">
      <c r="CE1697"/>
      <c r="CF1697"/>
      <c r="CG1697"/>
      <c r="CH1697"/>
      <c r="CI1697"/>
      <c r="CU1697" s="42">
        <v>1692</v>
      </c>
      <c r="CV1697" s="115">
        <v>4</v>
      </c>
      <c r="CW1697" s="115">
        <v>0.11332468572476186</v>
      </c>
      <c r="CX1697" s="115" t="e">
        <v>#N/A</v>
      </c>
      <c r="CY1697" s="115" t="e">
        <v>#N/A</v>
      </c>
      <c r="CZ1697" s="137" t="e">
        <v>#N/A</v>
      </c>
      <c r="DA1697">
        <v>0.11332468572476186</v>
      </c>
      <c r="DB1697" t="str">
        <v/>
      </c>
    </row>
    <row r="1698" spans="83:106" x14ac:dyDescent="0.2">
      <c r="CE1698"/>
      <c r="CF1698"/>
      <c r="CG1698"/>
      <c r="CH1698"/>
      <c r="CI1698"/>
      <c r="CU1698" s="42">
        <v>1693</v>
      </c>
      <c r="CV1698" s="115">
        <v>4</v>
      </c>
      <c r="CW1698" s="115">
        <v>0.11332468572476186</v>
      </c>
      <c r="CX1698" s="115" t="e">
        <v>#N/A</v>
      </c>
      <c r="CY1698" s="115" t="e">
        <v>#N/A</v>
      </c>
      <c r="CZ1698" s="137" t="e">
        <v>#N/A</v>
      </c>
      <c r="DA1698">
        <v>0.11332468572476186</v>
      </c>
      <c r="DB1698" t="str">
        <v/>
      </c>
    </row>
    <row r="1699" spans="83:106" x14ac:dyDescent="0.2">
      <c r="CE1699"/>
      <c r="CF1699"/>
      <c r="CG1699"/>
      <c r="CH1699"/>
      <c r="CI1699"/>
      <c r="CU1699" s="42">
        <v>1694</v>
      </c>
      <c r="CV1699" s="115">
        <v>4</v>
      </c>
      <c r="CW1699" s="115">
        <v>0.11332468572476186</v>
      </c>
      <c r="CX1699" s="115" t="e">
        <v>#N/A</v>
      </c>
      <c r="CY1699" s="115" t="e">
        <v>#N/A</v>
      </c>
      <c r="CZ1699" s="137" t="e">
        <v>#N/A</v>
      </c>
      <c r="DA1699">
        <v>0.11332468572476186</v>
      </c>
      <c r="DB1699" t="str">
        <v/>
      </c>
    </row>
    <row r="1700" spans="83:106" x14ac:dyDescent="0.2">
      <c r="CE1700"/>
      <c r="CF1700"/>
      <c r="CG1700"/>
      <c r="CH1700"/>
      <c r="CI1700"/>
      <c r="CU1700" s="42">
        <v>1695</v>
      </c>
      <c r="CV1700" s="115">
        <v>4</v>
      </c>
      <c r="CW1700" s="115">
        <v>0.11332468572476186</v>
      </c>
      <c r="CX1700" s="115" t="e">
        <v>#N/A</v>
      </c>
      <c r="CY1700" s="115" t="e">
        <v>#N/A</v>
      </c>
      <c r="CZ1700" s="137" t="e">
        <v>#N/A</v>
      </c>
      <c r="DA1700">
        <v>0.11332468572476186</v>
      </c>
      <c r="DB1700" t="str">
        <v/>
      </c>
    </row>
    <row r="1701" spans="83:106" x14ac:dyDescent="0.2">
      <c r="CE1701"/>
      <c r="CF1701"/>
      <c r="CG1701"/>
      <c r="CH1701"/>
      <c r="CI1701"/>
      <c r="CU1701" s="42">
        <v>1696</v>
      </c>
      <c r="CV1701" s="115">
        <v>4</v>
      </c>
      <c r="CW1701" s="115">
        <v>0.11332468572476186</v>
      </c>
      <c r="CX1701" s="115" t="e">
        <v>#N/A</v>
      </c>
      <c r="CY1701" s="115" t="e">
        <v>#N/A</v>
      </c>
      <c r="CZ1701" s="137" t="e">
        <v>#N/A</v>
      </c>
      <c r="DA1701">
        <v>0.11332468572476186</v>
      </c>
      <c r="DB1701" t="str">
        <v/>
      </c>
    </row>
    <row r="1702" spans="83:106" x14ac:dyDescent="0.2">
      <c r="CE1702"/>
      <c r="CF1702"/>
      <c r="CG1702"/>
      <c r="CH1702"/>
      <c r="CI1702"/>
      <c r="CU1702" s="42">
        <v>1697</v>
      </c>
      <c r="CV1702" s="115">
        <v>4</v>
      </c>
      <c r="CW1702" s="115">
        <v>0.11332468572476186</v>
      </c>
      <c r="CX1702" s="115" t="e">
        <v>#N/A</v>
      </c>
      <c r="CY1702" s="115" t="e">
        <v>#N/A</v>
      </c>
      <c r="CZ1702" s="137" t="e">
        <v>#N/A</v>
      </c>
      <c r="DA1702">
        <v>0.11332468572476186</v>
      </c>
      <c r="DB1702" t="str">
        <v/>
      </c>
    </row>
    <row r="1703" spans="83:106" x14ac:dyDescent="0.2">
      <c r="CE1703"/>
      <c r="CF1703"/>
      <c r="CG1703"/>
      <c r="CH1703"/>
      <c r="CI1703"/>
      <c r="CU1703" s="42">
        <v>1698</v>
      </c>
      <c r="CV1703" s="115">
        <v>4</v>
      </c>
      <c r="CW1703" s="115">
        <v>0.11332468572476186</v>
      </c>
      <c r="CX1703" s="115" t="e">
        <v>#N/A</v>
      </c>
      <c r="CY1703" s="115" t="e">
        <v>#N/A</v>
      </c>
      <c r="CZ1703" s="137" t="e">
        <v>#N/A</v>
      </c>
      <c r="DA1703">
        <v>0.11332468572476186</v>
      </c>
      <c r="DB1703" t="str">
        <v/>
      </c>
    </row>
    <row r="1704" spans="83:106" x14ac:dyDescent="0.2">
      <c r="CE1704"/>
      <c r="CF1704"/>
      <c r="CG1704"/>
      <c r="CH1704"/>
      <c r="CI1704"/>
      <c r="CU1704" s="42">
        <v>1699</v>
      </c>
      <c r="CV1704" s="115">
        <v>4</v>
      </c>
      <c r="CW1704" s="115">
        <v>0.11332468572476186</v>
      </c>
      <c r="CX1704" s="115" t="e">
        <v>#N/A</v>
      </c>
      <c r="CY1704" s="115" t="e">
        <v>#N/A</v>
      </c>
      <c r="CZ1704" s="137" t="e">
        <v>#N/A</v>
      </c>
      <c r="DA1704">
        <v>0.11332468572476186</v>
      </c>
      <c r="DB1704" t="str">
        <v/>
      </c>
    </row>
    <row r="1705" spans="83:106" x14ac:dyDescent="0.2">
      <c r="CE1705"/>
      <c r="CF1705"/>
      <c r="CG1705"/>
      <c r="CH1705"/>
      <c r="CI1705"/>
      <c r="CU1705" s="42">
        <v>1700</v>
      </c>
      <c r="CV1705" s="115">
        <v>4</v>
      </c>
      <c r="CW1705" s="115">
        <v>0.11332468572476186</v>
      </c>
      <c r="CX1705" s="115" t="e">
        <v>#N/A</v>
      </c>
      <c r="CY1705" s="115" t="e">
        <v>#N/A</v>
      </c>
      <c r="CZ1705" s="137" t="e">
        <v>#N/A</v>
      </c>
      <c r="DA1705">
        <v>0.11332468572476186</v>
      </c>
      <c r="DB1705" t="str">
        <v/>
      </c>
    </row>
    <row r="1706" spans="83:106" x14ac:dyDescent="0.2">
      <c r="CE1706"/>
      <c r="CF1706"/>
      <c r="CG1706"/>
      <c r="CH1706"/>
      <c r="CI1706"/>
      <c r="CU1706" s="42">
        <v>1701</v>
      </c>
      <c r="CV1706" s="115">
        <v>4</v>
      </c>
      <c r="CW1706" s="115">
        <v>0.11332468572476186</v>
      </c>
      <c r="CX1706" s="115" t="e">
        <v>#N/A</v>
      </c>
      <c r="CY1706" s="115" t="e">
        <v>#N/A</v>
      </c>
      <c r="CZ1706" s="137" t="e">
        <v>#N/A</v>
      </c>
      <c r="DA1706">
        <v>0.11332468572476186</v>
      </c>
      <c r="DB1706" t="str">
        <v/>
      </c>
    </row>
    <row r="1707" spans="83:106" x14ac:dyDescent="0.2">
      <c r="CE1707"/>
      <c r="CF1707"/>
      <c r="CG1707"/>
      <c r="CH1707"/>
      <c r="CI1707"/>
      <c r="CU1707" s="42">
        <v>1702</v>
      </c>
      <c r="CV1707" s="115">
        <v>4</v>
      </c>
      <c r="CW1707" s="115">
        <v>0.11332468572476186</v>
      </c>
      <c r="CX1707" s="115" t="e">
        <v>#N/A</v>
      </c>
      <c r="CY1707" s="115" t="e">
        <v>#N/A</v>
      </c>
      <c r="CZ1707" s="137" t="e">
        <v>#N/A</v>
      </c>
      <c r="DA1707">
        <v>0.11332468572476186</v>
      </c>
      <c r="DB1707" t="str">
        <v/>
      </c>
    </row>
    <row r="1708" spans="83:106" x14ac:dyDescent="0.2">
      <c r="CE1708"/>
      <c r="CF1708"/>
      <c r="CG1708"/>
      <c r="CH1708"/>
      <c r="CI1708"/>
      <c r="CU1708" s="42">
        <v>1703</v>
      </c>
      <c r="CV1708" s="115">
        <v>4</v>
      </c>
      <c r="CW1708" s="115">
        <v>0.11332468572476186</v>
      </c>
      <c r="CX1708" s="115" t="e">
        <v>#N/A</v>
      </c>
      <c r="CY1708" s="115" t="e">
        <v>#N/A</v>
      </c>
      <c r="CZ1708" s="137" t="e">
        <v>#N/A</v>
      </c>
      <c r="DA1708">
        <v>0.11332468572476186</v>
      </c>
      <c r="DB1708" t="str">
        <v/>
      </c>
    </row>
    <row r="1709" spans="83:106" x14ac:dyDescent="0.2">
      <c r="CE1709"/>
      <c r="CF1709"/>
      <c r="CG1709"/>
      <c r="CH1709"/>
      <c r="CI1709"/>
      <c r="CU1709" s="42">
        <v>1704</v>
      </c>
      <c r="CV1709" s="115">
        <v>4</v>
      </c>
      <c r="CW1709" s="115">
        <v>0.11332468572476186</v>
      </c>
      <c r="CX1709" s="115" t="e">
        <v>#N/A</v>
      </c>
      <c r="CY1709" s="115" t="e">
        <v>#N/A</v>
      </c>
      <c r="CZ1709" s="137" t="e">
        <v>#N/A</v>
      </c>
      <c r="DA1709">
        <v>0.11332468572476186</v>
      </c>
      <c r="DB1709" t="str">
        <v/>
      </c>
    </row>
    <row r="1710" spans="83:106" x14ac:dyDescent="0.2">
      <c r="CE1710"/>
      <c r="CF1710"/>
      <c r="CG1710"/>
      <c r="CH1710"/>
      <c r="CI1710"/>
      <c r="CU1710" s="42">
        <v>1705</v>
      </c>
      <c r="CV1710" s="115">
        <v>4</v>
      </c>
      <c r="CW1710" s="115">
        <v>0.11332468572476186</v>
      </c>
      <c r="CX1710" s="115" t="e">
        <v>#N/A</v>
      </c>
      <c r="CY1710" s="115" t="e">
        <v>#N/A</v>
      </c>
      <c r="CZ1710" s="137" t="e">
        <v>#N/A</v>
      </c>
      <c r="DA1710">
        <v>0.11332468572476186</v>
      </c>
      <c r="DB1710" t="str">
        <v/>
      </c>
    </row>
    <row r="1711" spans="83:106" x14ac:dyDescent="0.2">
      <c r="CE1711"/>
      <c r="CF1711"/>
      <c r="CG1711"/>
      <c r="CH1711"/>
      <c r="CI1711"/>
      <c r="CU1711" s="42">
        <v>1706</v>
      </c>
      <c r="CV1711" s="115">
        <v>4</v>
      </c>
      <c r="CW1711" s="115">
        <v>0.11332468572476186</v>
      </c>
      <c r="CX1711" s="115" t="e">
        <v>#N/A</v>
      </c>
      <c r="CY1711" s="115" t="e">
        <v>#N/A</v>
      </c>
      <c r="CZ1711" s="137" t="e">
        <v>#N/A</v>
      </c>
      <c r="DA1711">
        <v>0.11332468572476186</v>
      </c>
      <c r="DB1711" t="str">
        <v/>
      </c>
    </row>
    <row r="1712" spans="83:106" x14ac:dyDescent="0.2">
      <c r="CE1712"/>
      <c r="CF1712"/>
      <c r="CG1712"/>
      <c r="CH1712"/>
      <c r="CI1712"/>
      <c r="CU1712" s="42">
        <v>1707</v>
      </c>
      <c r="CV1712" s="115">
        <v>4</v>
      </c>
      <c r="CW1712" s="115">
        <v>0.11332468572476186</v>
      </c>
      <c r="CX1712" s="115" t="e">
        <v>#N/A</v>
      </c>
      <c r="CY1712" s="115" t="e">
        <v>#N/A</v>
      </c>
      <c r="CZ1712" s="137" t="e">
        <v>#N/A</v>
      </c>
      <c r="DA1712">
        <v>0.11332468572476186</v>
      </c>
      <c r="DB1712" t="str">
        <v/>
      </c>
    </row>
    <row r="1713" spans="83:106" x14ac:dyDescent="0.2">
      <c r="CE1713"/>
      <c r="CF1713"/>
      <c r="CG1713"/>
      <c r="CH1713"/>
      <c r="CI1713"/>
      <c r="CU1713" s="42">
        <v>1708</v>
      </c>
      <c r="CV1713" s="115">
        <v>4</v>
      </c>
      <c r="CW1713" s="115">
        <v>0.11332468572476186</v>
      </c>
      <c r="CX1713" s="115" t="e">
        <v>#N/A</v>
      </c>
      <c r="CY1713" s="115" t="e">
        <v>#N/A</v>
      </c>
      <c r="CZ1713" s="137" t="e">
        <v>#N/A</v>
      </c>
      <c r="DA1713">
        <v>0.11332468572476186</v>
      </c>
      <c r="DB1713" t="str">
        <v/>
      </c>
    </row>
    <row r="1714" spans="83:106" x14ac:dyDescent="0.2">
      <c r="CE1714"/>
      <c r="CF1714"/>
      <c r="CG1714"/>
      <c r="CH1714"/>
      <c r="CI1714"/>
      <c r="CU1714" s="42">
        <v>1709</v>
      </c>
      <c r="CV1714" s="115">
        <v>4</v>
      </c>
      <c r="CW1714" s="115">
        <v>0.11332468572476186</v>
      </c>
      <c r="CX1714" s="115" t="e">
        <v>#N/A</v>
      </c>
      <c r="CY1714" s="115" t="e">
        <v>#N/A</v>
      </c>
      <c r="CZ1714" s="137" t="e">
        <v>#N/A</v>
      </c>
      <c r="DA1714">
        <v>0.11332468572476186</v>
      </c>
      <c r="DB1714" t="str">
        <v/>
      </c>
    </row>
    <row r="1715" spans="83:106" x14ac:dyDescent="0.2">
      <c r="CE1715"/>
      <c r="CF1715"/>
      <c r="CG1715"/>
      <c r="CH1715"/>
      <c r="CI1715"/>
      <c r="CU1715" s="42">
        <v>1710</v>
      </c>
      <c r="CV1715" s="115">
        <v>4</v>
      </c>
      <c r="CW1715" s="115">
        <v>0.11332468572476186</v>
      </c>
      <c r="CX1715" s="115" t="e">
        <v>#N/A</v>
      </c>
      <c r="CY1715" s="115" t="e">
        <v>#N/A</v>
      </c>
      <c r="CZ1715" s="137" t="e">
        <v>#N/A</v>
      </c>
      <c r="DA1715">
        <v>0.11332468572476186</v>
      </c>
      <c r="DB1715" t="str">
        <v/>
      </c>
    </row>
    <row r="1716" spans="83:106" x14ac:dyDescent="0.2">
      <c r="CE1716"/>
      <c r="CF1716"/>
      <c r="CG1716"/>
      <c r="CH1716"/>
      <c r="CI1716"/>
      <c r="CU1716" s="42">
        <v>1711</v>
      </c>
      <c r="CV1716" s="115">
        <v>4</v>
      </c>
      <c r="CW1716" s="115">
        <v>0.11332468572476186</v>
      </c>
      <c r="CX1716" s="115" t="e">
        <v>#N/A</v>
      </c>
      <c r="CY1716" s="115" t="e">
        <v>#N/A</v>
      </c>
      <c r="CZ1716" s="137" t="e">
        <v>#N/A</v>
      </c>
      <c r="DA1716">
        <v>0.11332468572476186</v>
      </c>
      <c r="DB1716" t="str">
        <v/>
      </c>
    </row>
    <row r="1717" spans="83:106" x14ac:dyDescent="0.2">
      <c r="CE1717"/>
      <c r="CF1717"/>
      <c r="CG1717"/>
      <c r="CH1717"/>
      <c r="CI1717"/>
      <c r="CU1717" s="42">
        <v>1712</v>
      </c>
      <c r="CV1717" s="115">
        <v>4</v>
      </c>
      <c r="CW1717" s="115">
        <v>0.11332468572476186</v>
      </c>
      <c r="CX1717" s="115" t="e">
        <v>#N/A</v>
      </c>
      <c r="CY1717" s="115" t="e">
        <v>#N/A</v>
      </c>
      <c r="CZ1717" s="137" t="e">
        <v>#N/A</v>
      </c>
      <c r="DA1717">
        <v>0.11332468572476186</v>
      </c>
      <c r="DB1717" t="str">
        <v/>
      </c>
    </row>
    <row r="1718" spans="83:106" x14ac:dyDescent="0.2">
      <c r="CE1718"/>
      <c r="CF1718"/>
      <c r="CG1718"/>
      <c r="CH1718"/>
      <c r="CI1718"/>
      <c r="CU1718" s="42">
        <v>1713</v>
      </c>
      <c r="CV1718" s="115">
        <v>4</v>
      </c>
      <c r="CW1718" s="115">
        <v>0.11332468572476186</v>
      </c>
      <c r="CX1718" s="115" t="e">
        <v>#N/A</v>
      </c>
      <c r="CY1718" s="115" t="e">
        <v>#N/A</v>
      </c>
      <c r="CZ1718" s="137" t="e">
        <v>#N/A</v>
      </c>
      <c r="DA1718">
        <v>0.11332468572476186</v>
      </c>
      <c r="DB1718" t="str">
        <v/>
      </c>
    </row>
    <row r="1719" spans="83:106" x14ac:dyDescent="0.2">
      <c r="CE1719"/>
      <c r="CF1719"/>
      <c r="CG1719"/>
      <c r="CH1719"/>
      <c r="CI1719"/>
      <c r="CU1719" s="42">
        <v>1714</v>
      </c>
      <c r="CV1719" s="115">
        <v>4</v>
      </c>
      <c r="CW1719" s="115">
        <v>0.11332468572476186</v>
      </c>
      <c r="CX1719" s="115" t="e">
        <v>#N/A</v>
      </c>
      <c r="CY1719" s="115" t="e">
        <v>#N/A</v>
      </c>
      <c r="CZ1719" s="137" t="e">
        <v>#N/A</v>
      </c>
      <c r="DA1719">
        <v>0.11332468572476186</v>
      </c>
      <c r="DB1719" t="str">
        <v/>
      </c>
    </row>
    <row r="1720" spans="83:106" x14ac:dyDescent="0.2">
      <c r="CE1720"/>
      <c r="CF1720"/>
      <c r="CG1720"/>
      <c r="CH1720"/>
      <c r="CI1720"/>
      <c r="CU1720" s="42">
        <v>1715</v>
      </c>
      <c r="CV1720" s="115">
        <v>4</v>
      </c>
      <c r="CW1720" s="115">
        <v>0.11332468572476186</v>
      </c>
      <c r="CX1720" s="115" t="e">
        <v>#N/A</v>
      </c>
      <c r="CY1720" s="115" t="e">
        <v>#N/A</v>
      </c>
      <c r="CZ1720" s="137" t="e">
        <v>#N/A</v>
      </c>
      <c r="DA1720">
        <v>0.11332468572476186</v>
      </c>
      <c r="DB1720" t="str">
        <v/>
      </c>
    </row>
    <row r="1721" spans="83:106" x14ac:dyDescent="0.2">
      <c r="CE1721"/>
      <c r="CF1721"/>
      <c r="CG1721"/>
      <c r="CH1721"/>
      <c r="CI1721"/>
      <c r="CU1721" s="42">
        <v>1716</v>
      </c>
      <c r="CV1721" s="115">
        <v>4</v>
      </c>
      <c r="CW1721" s="115">
        <v>0.11332468572476186</v>
      </c>
      <c r="CX1721" s="115" t="e">
        <v>#N/A</v>
      </c>
      <c r="CY1721" s="115" t="e">
        <v>#N/A</v>
      </c>
      <c r="CZ1721" s="137" t="e">
        <v>#N/A</v>
      </c>
      <c r="DA1721">
        <v>0.11332468572476186</v>
      </c>
      <c r="DB1721" t="str">
        <v/>
      </c>
    </row>
    <row r="1722" spans="83:106" x14ac:dyDescent="0.2">
      <c r="CE1722"/>
      <c r="CF1722"/>
      <c r="CG1722"/>
      <c r="CH1722"/>
      <c r="CI1722"/>
      <c r="CU1722" s="42">
        <v>1717</v>
      </c>
      <c r="CV1722" s="115">
        <v>4</v>
      </c>
      <c r="CW1722" s="115">
        <v>0.11332468572476186</v>
      </c>
      <c r="CX1722" s="115" t="e">
        <v>#N/A</v>
      </c>
      <c r="CY1722" s="115" t="e">
        <v>#N/A</v>
      </c>
      <c r="CZ1722" s="137" t="e">
        <v>#N/A</v>
      </c>
      <c r="DA1722">
        <v>0.11332468572476186</v>
      </c>
      <c r="DB1722" t="str">
        <v/>
      </c>
    </row>
    <row r="1723" spans="83:106" x14ac:dyDescent="0.2">
      <c r="CE1723"/>
      <c r="CF1723"/>
      <c r="CG1723"/>
      <c r="CH1723"/>
      <c r="CI1723"/>
      <c r="CU1723" s="42">
        <v>1718</v>
      </c>
      <c r="CV1723" s="115">
        <v>4</v>
      </c>
      <c r="CW1723" s="115">
        <v>0.11332468572476186</v>
      </c>
      <c r="CX1723" s="115" t="e">
        <v>#N/A</v>
      </c>
      <c r="CY1723" s="115" t="e">
        <v>#N/A</v>
      </c>
      <c r="CZ1723" s="137" t="e">
        <v>#N/A</v>
      </c>
      <c r="DA1723">
        <v>0.11332468572476186</v>
      </c>
      <c r="DB1723" t="str">
        <v/>
      </c>
    </row>
    <row r="1724" spans="83:106" x14ac:dyDescent="0.2">
      <c r="CE1724"/>
      <c r="CF1724"/>
      <c r="CG1724"/>
      <c r="CH1724"/>
      <c r="CI1724"/>
      <c r="CU1724" s="42">
        <v>1719</v>
      </c>
      <c r="CV1724" s="115">
        <v>4</v>
      </c>
      <c r="CW1724" s="115">
        <v>0.11332468572476186</v>
      </c>
      <c r="CX1724" s="115" t="e">
        <v>#N/A</v>
      </c>
      <c r="CY1724" s="115" t="e">
        <v>#N/A</v>
      </c>
      <c r="CZ1724" s="137" t="e">
        <v>#N/A</v>
      </c>
      <c r="DA1724">
        <v>0.11332468572476186</v>
      </c>
      <c r="DB1724" t="str">
        <v/>
      </c>
    </row>
    <row r="1725" spans="83:106" x14ac:dyDescent="0.2">
      <c r="CE1725"/>
      <c r="CF1725"/>
      <c r="CG1725"/>
      <c r="CH1725"/>
      <c r="CI1725"/>
      <c r="CU1725" s="42">
        <v>1720</v>
      </c>
      <c r="CV1725" s="115">
        <v>4</v>
      </c>
      <c r="CW1725" s="115">
        <v>0.11332468572476186</v>
      </c>
      <c r="CX1725" s="115" t="e">
        <v>#N/A</v>
      </c>
      <c r="CY1725" s="115" t="e">
        <v>#N/A</v>
      </c>
      <c r="CZ1725" s="137" t="e">
        <v>#N/A</v>
      </c>
      <c r="DA1725">
        <v>0.11332468572476186</v>
      </c>
      <c r="DB1725" t="str">
        <v/>
      </c>
    </row>
    <row r="1726" spans="83:106" x14ac:dyDescent="0.2">
      <c r="CE1726"/>
      <c r="CF1726"/>
      <c r="CG1726"/>
      <c r="CH1726"/>
      <c r="CI1726"/>
      <c r="CU1726" s="42">
        <v>1721</v>
      </c>
      <c r="CV1726" s="115">
        <v>4</v>
      </c>
      <c r="CW1726" s="115">
        <v>0.11332468572476186</v>
      </c>
      <c r="CX1726" s="115" t="e">
        <v>#N/A</v>
      </c>
      <c r="CY1726" s="115" t="e">
        <v>#N/A</v>
      </c>
      <c r="CZ1726" s="137" t="e">
        <v>#N/A</v>
      </c>
      <c r="DA1726">
        <v>0.11332468572476186</v>
      </c>
      <c r="DB1726" t="str">
        <v/>
      </c>
    </row>
    <row r="1727" spans="83:106" x14ac:dyDescent="0.2">
      <c r="CE1727"/>
      <c r="CF1727"/>
      <c r="CG1727"/>
      <c r="CH1727"/>
      <c r="CI1727"/>
      <c r="CU1727" s="42">
        <v>1722</v>
      </c>
      <c r="CV1727" s="115">
        <v>4</v>
      </c>
      <c r="CW1727" s="115">
        <v>0.11332468572476186</v>
      </c>
      <c r="CX1727" s="115" t="e">
        <v>#N/A</v>
      </c>
      <c r="CY1727" s="115" t="e">
        <v>#N/A</v>
      </c>
      <c r="CZ1727" s="137" t="e">
        <v>#N/A</v>
      </c>
      <c r="DA1727">
        <v>0.11332468572476186</v>
      </c>
      <c r="DB1727" t="str">
        <v/>
      </c>
    </row>
    <row r="1728" spans="83:106" x14ac:dyDescent="0.2">
      <c r="CE1728"/>
      <c r="CF1728"/>
      <c r="CG1728"/>
      <c r="CH1728"/>
      <c r="CI1728"/>
      <c r="CU1728" s="42">
        <v>1723</v>
      </c>
      <c r="CV1728" s="115">
        <v>4</v>
      </c>
      <c r="CW1728" s="115">
        <v>0.11332468572476186</v>
      </c>
      <c r="CX1728" s="115" t="e">
        <v>#N/A</v>
      </c>
      <c r="CY1728" s="115" t="e">
        <v>#N/A</v>
      </c>
      <c r="CZ1728" s="137" t="e">
        <v>#N/A</v>
      </c>
      <c r="DA1728">
        <v>0.11332468572476186</v>
      </c>
      <c r="DB1728" t="str">
        <v/>
      </c>
    </row>
    <row r="1729" spans="83:106" x14ac:dyDescent="0.2">
      <c r="CE1729"/>
      <c r="CF1729"/>
      <c r="CG1729"/>
      <c r="CH1729"/>
      <c r="CI1729"/>
      <c r="CU1729" s="42">
        <v>1724</v>
      </c>
      <c r="CV1729" s="115">
        <v>4</v>
      </c>
      <c r="CW1729" s="115">
        <v>0.11332468572476186</v>
      </c>
      <c r="CX1729" s="115" t="e">
        <v>#N/A</v>
      </c>
      <c r="CY1729" s="115" t="e">
        <v>#N/A</v>
      </c>
      <c r="CZ1729" s="137" t="e">
        <v>#N/A</v>
      </c>
      <c r="DA1729">
        <v>0.11332468572476186</v>
      </c>
      <c r="DB1729" t="str">
        <v/>
      </c>
    </row>
    <row r="1730" spans="83:106" x14ac:dyDescent="0.2">
      <c r="CE1730"/>
      <c r="CF1730"/>
      <c r="CG1730"/>
      <c r="CH1730"/>
      <c r="CI1730"/>
      <c r="CU1730" s="42">
        <v>1725</v>
      </c>
      <c r="CV1730" s="115">
        <v>4</v>
      </c>
      <c r="CW1730" s="115">
        <v>0.11332468572476186</v>
      </c>
      <c r="CX1730" s="115" t="e">
        <v>#N/A</v>
      </c>
      <c r="CY1730" s="115" t="e">
        <v>#N/A</v>
      </c>
      <c r="CZ1730" s="137" t="e">
        <v>#N/A</v>
      </c>
      <c r="DA1730">
        <v>0.11332468572476186</v>
      </c>
      <c r="DB1730" t="str">
        <v/>
      </c>
    </row>
    <row r="1731" spans="83:106" x14ac:dyDescent="0.2">
      <c r="CE1731"/>
      <c r="CF1731"/>
      <c r="CG1731"/>
      <c r="CH1731"/>
      <c r="CI1731"/>
      <c r="CU1731" s="42">
        <v>1726</v>
      </c>
      <c r="CV1731" s="115">
        <v>4</v>
      </c>
      <c r="CW1731" s="115">
        <v>0.11332468572476186</v>
      </c>
      <c r="CX1731" s="115" t="e">
        <v>#N/A</v>
      </c>
      <c r="CY1731" s="115" t="e">
        <v>#N/A</v>
      </c>
      <c r="CZ1731" s="137" t="e">
        <v>#N/A</v>
      </c>
      <c r="DA1731">
        <v>0.11332468572476186</v>
      </c>
      <c r="DB1731" t="str">
        <v/>
      </c>
    </row>
    <row r="1732" spans="83:106" x14ac:dyDescent="0.2">
      <c r="CE1732"/>
      <c r="CF1732"/>
      <c r="CG1732"/>
      <c r="CH1732"/>
      <c r="CI1732"/>
      <c r="CU1732" s="42">
        <v>1727</v>
      </c>
      <c r="CV1732" s="115">
        <v>4</v>
      </c>
      <c r="CW1732" s="115">
        <v>0.11332468572476186</v>
      </c>
      <c r="CX1732" s="115" t="e">
        <v>#N/A</v>
      </c>
      <c r="CY1732" s="115" t="e">
        <v>#N/A</v>
      </c>
      <c r="CZ1732" s="137" t="e">
        <v>#N/A</v>
      </c>
      <c r="DA1732">
        <v>0.11332468572476186</v>
      </c>
      <c r="DB1732" t="str">
        <v/>
      </c>
    </row>
    <row r="1733" spans="83:106" x14ac:dyDescent="0.2">
      <c r="CE1733"/>
      <c r="CF1733"/>
      <c r="CG1733"/>
      <c r="CH1733"/>
      <c r="CI1733"/>
      <c r="CU1733" s="42">
        <v>1728</v>
      </c>
      <c r="CV1733" s="115">
        <v>4</v>
      </c>
      <c r="CW1733" s="115">
        <v>0.11332468572476186</v>
      </c>
      <c r="CX1733" s="115" t="e">
        <v>#N/A</v>
      </c>
      <c r="CY1733" s="115" t="e">
        <v>#N/A</v>
      </c>
      <c r="CZ1733" s="137" t="e">
        <v>#N/A</v>
      </c>
      <c r="DA1733">
        <v>0.11332468572476186</v>
      </c>
      <c r="DB1733" t="str">
        <v/>
      </c>
    </row>
    <row r="1734" spans="83:106" x14ac:dyDescent="0.2">
      <c r="CE1734"/>
      <c r="CF1734"/>
      <c r="CG1734"/>
      <c r="CH1734"/>
      <c r="CI1734"/>
      <c r="CU1734" s="42">
        <v>1729</v>
      </c>
      <c r="CV1734" s="115">
        <v>4</v>
      </c>
      <c r="CW1734" s="115">
        <v>0.11332468572476186</v>
      </c>
      <c r="CX1734" s="115" t="e">
        <v>#N/A</v>
      </c>
      <c r="CY1734" s="115" t="e">
        <v>#N/A</v>
      </c>
      <c r="CZ1734" s="137" t="e">
        <v>#N/A</v>
      </c>
      <c r="DA1734">
        <v>0.11332468572476186</v>
      </c>
      <c r="DB1734" t="str">
        <v/>
      </c>
    </row>
    <row r="1735" spans="83:106" x14ac:dyDescent="0.2">
      <c r="CE1735"/>
      <c r="CF1735"/>
      <c r="CG1735"/>
      <c r="CH1735"/>
      <c r="CI1735"/>
      <c r="CU1735" s="42">
        <v>1730</v>
      </c>
      <c r="CV1735" s="115">
        <v>4</v>
      </c>
      <c r="CW1735" s="115">
        <v>0.11332468572476186</v>
      </c>
      <c r="CX1735" s="115" t="e">
        <v>#N/A</v>
      </c>
      <c r="CY1735" s="115" t="e">
        <v>#N/A</v>
      </c>
      <c r="CZ1735" s="137" t="e">
        <v>#N/A</v>
      </c>
      <c r="DA1735">
        <v>0.11332468572476186</v>
      </c>
      <c r="DB1735" t="str">
        <v/>
      </c>
    </row>
    <row r="1736" spans="83:106" x14ac:dyDescent="0.2">
      <c r="CE1736"/>
      <c r="CF1736"/>
      <c r="CG1736"/>
      <c r="CH1736"/>
      <c r="CI1736"/>
      <c r="CU1736" s="42">
        <v>1731</v>
      </c>
      <c r="CV1736" s="115">
        <v>4</v>
      </c>
      <c r="CW1736" s="115">
        <v>0.11332468572476186</v>
      </c>
      <c r="CX1736" s="115" t="e">
        <v>#N/A</v>
      </c>
      <c r="CY1736" s="115" t="e">
        <v>#N/A</v>
      </c>
      <c r="CZ1736" s="137" t="e">
        <v>#N/A</v>
      </c>
      <c r="DA1736">
        <v>0.11332468572476186</v>
      </c>
      <c r="DB1736" t="str">
        <v/>
      </c>
    </row>
    <row r="1737" spans="83:106" x14ac:dyDescent="0.2">
      <c r="CE1737"/>
      <c r="CF1737"/>
      <c r="CG1737"/>
      <c r="CH1737"/>
      <c r="CI1737"/>
      <c r="CU1737" s="42">
        <v>1732</v>
      </c>
      <c r="CV1737" s="115">
        <v>4</v>
      </c>
      <c r="CW1737" s="115">
        <v>0.11332468572476186</v>
      </c>
      <c r="CX1737" s="115" t="e">
        <v>#N/A</v>
      </c>
      <c r="CY1737" s="115" t="e">
        <v>#N/A</v>
      </c>
      <c r="CZ1737" s="137" t="e">
        <v>#N/A</v>
      </c>
      <c r="DA1737">
        <v>0.11332468572476186</v>
      </c>
      <c r="DB1737" t="str">
        <v/>
      </c>
    </row>
    <row r="1738" spans="83:106" x14ac:dyDescent="0.2">
      <c r="CE1738"/>
      <c r="CF1738"/>
      <c r="CG1738"/>
      <c r="CH1738"/>
      <c r="CI1738"/>
      <c r="CU1738" s="42">
        <v>1733</v>
      </c>
      <c r="CV1738" s="115">
        <v>4</v>
      </c>
      <c r="CW1738" s="115">
        <v>0.11332468572476186</v>
      </c>
      <c r="CX1738" s="115" t="e">
        <v>#N/A</v>
      </c>
      <c r="CY1738" s="115" t="e">
        <v>#N/A</v>
      </c>
      <c r="CZ1738" s="137" t="e">
        <v>#N/A</v>
      </c>
      <c r="DA1738">
        <v>0.11332468572476186</v>
      </c>
      <c r="DB1738" t="str">
        <v/>
      </c>
    </row>
    <row r="1739" spans="83:106" x14ac:dyDescent="0.2">
      <c r="CE1739"/>
      <c r="CF1739"/>
      <c r="CG1739"/>
      <c r="CH1739"/>
      <c r="CI1739"/>
      <c r="CU1739" s="42">
        <v>1734</v>
      </c>
      <c r="CV1739" s="115">
        <v>4</v>
      </c>
      <c r="CW1739" s="115">
        <v>0.11332468572476186</v>
      </c>
      <c r="CX1739" s="115" t="e">
        <v>#N/A</v>
      </c>
      <c r="CY1739" s="115" t="e">
        <v>#N/A</v>
      </c>
      <c r="CZ1739" s="137" t="e">
        <v>#N/A</v>
      </c>
      <c r="DA1739">
        <v>0.11332468572476186</v>
      </c>
      <c r="DB1739" t="str">
        <v/>
      </c>
    </row>
    <row r="1740" spans="83:106" x14ac:dyDescent="0.2">
      <c r="CE1740"/>
      <c r="CF1740"/>
      <c r="CG1740"/>
      <c r="CH1740"/>
      <c r="CI1740"/>
      <c r="CU1740" s="42">
        <v>1735</v>
      </c>
      <c r="CV1740" s="115">
        <v>4</v>
      </c>
      <c r="CW1740" s="115">
        <v>0.11332468572476186</v>
      </c>
      <c r="CX1740" s="115" t="e">
        <v>#N/A</v>
      </c>
      <c r="CY1740" s="115" t="e">
        <v>#N/A</v>
      </c>
      <c r="CZ1740" s="137" t="e">
        <v>#N/A</v>
      </c>
      <c r="DA1740">
        <v>0.11332468572476186</v>
      </c>
      <c r="DB1740" t="str">
        <v/>
      </c>
    </row>
    <row r="1741" spans="83:106" x14ac:dyDescent="0.2">
      <c r="CE1741"/>
      <c r="CF1741"/>
      <c r="CG1741"/>
      <c r="CH1741"/>
      <c r="CI1741"/>
      <c r="CU1741" s="42">
        <v>1736</v>
      </c>
      <c r="CV1741" s="115">
        <v>4</v>
      </c>
      <c r="CW1741" s="115">
        <v>0.11332468572476186</v>
      </c>
      <c r="CX1741" s="115" t="e">
        <v>#N/A</v>
      </c>
      <c r="CY1741" s="115" t="e">
        <v>#N/A</v>
      </c>
      <c r="CZ1741" s="137" t="e">
        <v>#N/A</v>
      </c>
      <c r="DA1741">
        <v>0.11332468572476186</v>
      </c>
      <c r="DB1741" t="str">
        <v/>
      </c>
    </row>
    <row r="1742" spans="83:106" x14ac:dyDescent="0.2">
      <c r="CE1742"/>
      <c r="CF1742"/>
      <c r="CG1742"/>
      <c r="CH1742"/>
      <c r="CI1742"/>
      <c r="CU1742" s="42">
        <v>1737</v>
      </c>
      <c r="CV1742" s="115">
        <v>4</v>
      </c>
      <c r="CW1742" s="115">
        <v>0.11332468572476186</v>
      </c>
      <c r="CX1742" s="115" t="e">
        <v>#N/A</v>
      </c>
      <c r="CY1742" s="115" t="e">
        <v>#N/A</v>
      </c>
      <c r="CZ1742" s="137" t="e">
        <v>#N/A</v>
      </c>
      <c r="DA1742">
        <v>0.11332468572476186</v>
      </c>
      <c r="DB1742" t="str">
        <v/>
      </c>
    </row>
    <row r="1743" spans="83:106" x14ac:dyDescent="0.2">
      <c r="CE1743"/>
      <c r="CF1743"/>
      <c r="CG1743"/>
      <c r="CH1743"/>
      <c r="CI1743"/>
      <c r="CU1743" s="42">
        <v>1738</v>
      </c>
      <c r="CV1743" s="115">
        <v>4</v>
      </c>
      <c r="CW1743" s="115">
        <v>0.11332468572476186</v>
      </c>
      <c r="CX1743" s="115" t="e">
        <v>#N/A</v>
      </c>
      <c r="CY1743" s="115" t="e">
        <v>#N/A</v>
      </c>
      <c r="CZ1743" s="137" t="e">
        <v>#N/A</v>
      </c>
      <c r="DA1743">
        <v>0.11332468572476186</v>
      </c>
      <c r="DB1743" t="str">
        <v/>
      </c>
    </row>
    <row r="1744" spans="83:106" x14ac:dyDescent="0.2">
      <c r="CE1744"/>
      <c r="CF1744"/>
      <c r="CG1744"/>
      <c r="CH1744"/>
      <c r="CI1744"/>
      <c r="CU1744" s="42">
        <v>1739</v>
      </c>
      <c r="CV1744" s="115">
        <v>4</v>
      </c>
      <c r="CW1744" s="115">
        <v>0.11332468572476186</v>
      </c>
      <c r="CX1744" s="115" t="e">
        <v>#N/A</v>
      </c>
      <c r="CY1744" s="115" t="e">
        <v>#N/A</v>
      </c>
      <c r="CZ1744" s="137" t="e">
        <v>#N/A</v>
      </c>
      <c r="DA1744">
        <v>0.11332468572476186</v>
      </c>
      <c r="DB1744" t="str">
        <v/>
      </c>
    </row>
    <row r="1745" spans="83:106" x14ac:dyDescent="0.2">
      <c r="CE1745"/>
      <c r="CF1745"/>
      <c r="CG1745"/>
      <c r="CH1745"/>
      <c r="CI1745"/>
      <c r="CU1745" s="42">
        <v>1740</v>
      </c>
      <c r="CV1745" s="115">
        <v>4</v>
      </c>
      <c r="CW1745" s="115">
        <v>0.11332468572476186</v>
      </c>
      <c r="CX1745" s="115" t="e">
        <v>#N/A</v>
      </c>
      <c r="CY1745" s="115" t="e">
        <v>#N/A</v>
      </c>
      <c r="CZ1745" s="137" t="e">
        <v>#N/A</v>
      </c>
      <c r="DA1745">
        <v>0.11332468572476186</v>
      </c>
      <c r="DB1745" t="str">
        <v/>
      </c>
    </row>
    <row r="1746" spans="83:106" x14ac:dyDescent="0.2">
      <c r="CE1746"/>
      <c r="CF1746"/>
      <c r="CG1746"/>
      <c r="CH1746"/>
      <c r="CI1746"/>
      <c r="CU1746" s="42">
        <v>1741</v>
      </c>
      <c r="CV1746" s="115">
        <v>4</v>
      </c>
      <c r="CW1746" s="115">
        <v>0.11332468572476186</v>
      </c>
      <c r="CX1746" s="115" t="e">
        <v>#N/A</v>
      </c>
      <c r="CY1746" s="115" t="e">
        <v>#N/A</v>
      </c>
      <c r="CZ1746" s="137" t="e">
        <v>#N/A</v>
      </c>
      <c r="DA1746">
        <v>0.11332468572476186</v>
      </c>
      <c r="DB1746" t="str">
        <v/>
      </c>
    </row>
    <row r="1747" spans="83:106" x14ac:dyDescent="0.2">
      <c r="CE1747"/>
      <c r="CF1747"/>
      <c r="CG1747"/>
      <c r="CH1747"/>
      <c r="CI1747"/>
      <c r="CU1747" s="42">
        <v>1742</v>
      </c>
      <c r="CV1747" s="115">
        <v>4</v>
      </c>
      <c r="CW1747" s="115">
        <v>0.11332468572476186</v>
      </c>
      <c r="CX1747" s="115" t="e">
        <v>#N/A</v>
      </c>
      <c r="CY1747" s="115" t="e">
        <v>#N/A</v>
      </c>
      <c r="CZ1747" s="137" t="e">
        <v>#N/A</v>
      </c>
      <c r="DA1747">
        <v>0.11332468572476186</v>
      </c>
      <c r="DB1747" t="str">
        <v/>
      </c>
    </row>
    <row r="1748" spans="83:106" x14ac:dyDescent="0.2">
      <c r="CE1748"/>
      <c r="CF1748"/>
      <c r="CG1748"/>
      <c r="CH1748"/>
      <c r="CI1748"/>
      <c r="CU1748" s="42">
        <v>1743</v>
      </c>
      <c r="CV1748" s="115">
        <v>4</v>
      </c>
      <c r="CW1748" s="115">
        <v>0.11332468572476186</v>
      </c>
      <c r="CX1748" s="115" t="e">
        <v>#N/A</v>
      </c>
      <c r="CY1748" s="115" t="e">
        <v>#N/A</v>
      </c>
      <c r="CZ1748" s="137" t="e">
        <v>#N/A</v>
      </c>
      <c r="DA1748">
        <v>0.11332468572476186</v>
      </c>
      <c r="DB1748" t="str">
        <v/>
      </c>
    </row>
    <row r="1749" spans="83:106" x14ac:dyDescent="0.2">
      <c r="CE1749"/>
      <c r="CF1749"/>
      <c r="CG1749"/>
      <c r="CH1749"/>
      <c r="CI1749"/>
      <c r="CU1749" s="42">
        <v>1744</v>
      </c>
      <c r="CV1749" s="115">
        <v>4</v>
      </c>
      <c r="CW1749" s="115">
        <v>0.11332468572476186</v>
      </c>
      <c r="CX1749" s="115" t="e">
        <v>#N/A</v>
      </c>
      <c r="CY1749" s="115" t="e">
        <v>#N/A</v>
      </c>
      <c r="CZ1749" s="137" t="e">
        <v>#N/A</v>
      </c>
      <c r="DA1749">
        <v>0.11332468572476186</v>
      </c>
      <c r="DB1749" t="str">
        <v/>
      </c>
    </row>
    <row r="1750" spans="83:106" x14ac:dyDescent="0.2">
      <c r="CE1750"/>
      <c r="CF1750"/>
      <c r="CG1750"/>
      <c r="CH1750"/>
      <c r="CI1750"/>
      <c r="CU1750" s="42">
        <v>1745</v>
      </c>
      <c r="CV1750" s="115">
        <v>4</v>
      </c>
      <c r="CW1750" s="115">
        <v>0.11332468572476186</v>
      </c>
      <c r="CX1750" s="115" t="e">
        <v>#N/A</v>
      </c>
      <c r="CY1750" s="115" t="e">
        <v>#N/A</v>
      </c>
      <c r="CZ1750" s="137" t="e">
        <v>#N/A</v>
      </c>
      <c r="DA1750">
        <v>0.11332468572476186</v>
      </c>
      <c r="DB1750" t="str">
        <v/>
      </c>
    </row>
    <row r="1751" spans="83:106" x14ac:dyDescent="0.2">
      <c r="CE1751"/>
      <c r="CF1751"/>
      <c r="CG1751"/>
      <c r="CH1751"/>
      <c r="CI1751"/>
      <c r="CU1751" s="42">
        <v>1746</v>
      </c>
      <c r="CV1751" s="115">
        <v>4</v>
      </c>
      <c r="CW1751" s="115">
        <v>0.11332468572476186</v>
      </c>
      <c r="CX1751" s="115" t="e">
        <v>#N/A</v>
      </c>
      <c r="CY1751" s="115" t="e">
        <v>#N/A</v>
      </c>
      <c r="CZ1751" s="137" t="e">
        <v>#N/A</v>
      </c>
      <c r="DA1751">
        <v>0.11332468572476186</v>
      </c>
      <c r="DB1751" t="str">
        <v/>
      </c>
    </row>
    <row r="1752" spans="83:106" x14ac:dyDescent="0.2">
      <c r="CE1752"/>
      <c r="CF1752"/>
      <c r="CG1752"/>
      <c r="CH1752"/>
      <c r="CI1752"/>
      <c r="CU1752" s="42">
        <v>1747</v>
      </c>
      <c r="CV1752" s="115">
        <v>4</v>
      </c>
      <c r="CW1752" s="115">
        <v>0.11332468572476186</v>
      </c>
      <c r="CX1752" s="115" t="e">
        <v>#N/A</v>
      </c>
      <c r="CY1752" s="115" t="e">
        <v>#N/A</v>
      </c>
      <c r="CZ1752" s="137" t="e">
        <v>#N/A</v>
      </c>
      <c r="DA1752">
        <v>0.11332468572476186</v>
      </c>
      <c r="DB1752" t="str">
        <v/>
      </c>
    </row>
    <row r="1753" spans="83:106" x14ac:dyDescent="0.2">
      <c r="CE1753"/>
      <c r="CF1753"/>
      <c r="CG1753"/>
      <c r="CH1753"/>
      <c r="CI1753"/>
      <c r="CU1753" s="42">
        <v>1748</v>
      </c>
      <c r="CV1753" s="115">
        <v>4</v>
      </c>
      <c r="CW1753" s="115">
        <v>0.11332468572476186</v>
      </c>
      <c r="CX1753" s="115" t="e">
        <v>#N/A</v>
      </c>
      <c r="CY1753" s="115" t="e">
        <v>#N/A</v>
      </c>
      <c r="CZ1753" s="137" t="e">
        <v>#N/A</v>
      </c>
      <c r="DA1753">
        <v>0.11332468572476186</v>
      </c>
      <c r="DB1753" t="str">
        <v/>
      </c>
    </row>
    <row r="1754" spans="83:106" x14ac:dyDescent="0.2">
      <c r="CE1754"/>
      <c r="CF1754"/>
      <c r="CG1754"/>
      <c r="CH1754"/>
      <c r="CI1754"/>
      <c r="CU1754" s="42">
        <v>1749</v>
      </c>
      <c r="CV1754" s="115">
        <v>4</v>
      </c>
      <c r="CW1754" s="115">
        <v>0.11332468572476186</v>
      </c>
      <c r="CX1754" s="115" t="e">
        <v>#N/A</v>
      </c>
      <c r="CY1754" s="115" t="e">
        <v>#N/A</v>
      </c>
      <c r="CZ1754" s="137" t="e">
        <v>#N/A</v>
      </c>
      <c r="DA1754">
        <v>0.11332468572476186</v>
      </c>
      <c r="DB1754" t="str">
        <v/>
      </c>
    </row>
    <row r="1755" spans="83:106" x14ac:dyDescent="0.2">
      <c r="CE1755"/>
      <c r="CF1755"/>
      <c r="CG1755"/>
      <c r="CH1755"/>
      <c r="CI1755"/>
      <c r="CU1755" s="42">
        <v>1750</v>
      </c>
      <c r="CV1755" s="115">
        <v>4</v>
      </c>
      <c r="CW1755" s="115">
        <v>0.11332468572476186</v>
      </c>
      <c r="CX1755" s="115" t="e">
        <v>#N/A</v>
      </c>
      <c r="CY1755" s="115" t="e">
        <v>#N/A</v>
      </c>
      <c r="CZ1755" s="137" t="e">
        <v>#N/A</v>
      </c>
      <c r="DA1755">
        <v>0.11332468572476186</v>
      </c>
      <c r="DB1755" t="str">
        <v/>
      </c>
    </row>
    <row r="1756" spans="83:106" x14ac:dyDescent="0.2">
      <c r="CE1756"/>
      <c r="CF1756"/>
      <c r="CG1756"/>
      <c r="CH1756"/>
      <c r="CI1756"/>
      <c r="CU1756" s="42">
        <v>1751</v>
      </c>
      <c r="CV1756" s="115">
        <v>4</v>
      </c>
      <c r="CW1756" s="115">
        <v>0.11332468572476186</v>
      </c>
      <c r="CX1756" s="115" t="e">
        <v>#N/A</v>
      </c>
      <c r="CY1756" s="115" t="e">
        <v>#N/A</v>
      </c>
      <c r="CZ1756" s="137" t="e">
        <v>#N/A</v>
      </c>
      <c r="DA1756">
        <v>0.11332468572476186</v>
      </c>
      <c r="DB1756" t="str">
        <v/>
      </c>
    </row>
    <row r="1757" spans="83:106" x14ac:dyDescent="0.2">
      <c r="CE1757"/>
      <c r="CF1757"/>
      <c r="CG1757"/>
      <c r="CH1757"/>
      <c r="CI1757"/>
      <c r="CU1757" s="42">
        <v>1752</v>
      </c>
      <c r="CV1757" s="115">
        <v>4</v>
      </c>
      <c r="CW1757" s="115">
        <v>0.11332468572476186</v>
      </c>
      <c r="CX1757" s="115" t="e">
        <v>#N/A</v>
      </c>
      <c r="CY1757" s="115" t="e">
        <v>#N/A</v>
      </c>
      <c r="CZ1757" s="137" t="e">
        <v>#N/A</v>
      </c>
      <c r="DA1757">
        <v>0.11332468572476186</v>
      </c>
      <c r="DB1757" t="str">
        <v/>
      </c>
    </row>
    <row r="1758" spans="83:106" x14ac:dyDescent="0.2">
      <c r="CE1758"/>
      <c r="CF1758"/>
      <c r="CG1758"/>
      <c r="CH1758"/>
      <c r="CI1758"/>
      <c r="CU1758" s="42">
        <v>1753</v>
      </c>
      <c r="CV1758" s="115">
        <v>4</v>
      </c>
      <c r="CW1758" s="115">
        <v>0.11332468572476186</v>
      </c>
      <c r="CX1758" s="115" t="e">
        <v>#N/A</v>
      </c>
      <c r="CY1758" s="115" t="e">
        <v>#N/A</v>
      </c>
      <c r="CZ1758" s="137" t="e">
        <v>#N/A</v>
      </c>
      <c r="DA1758">
        <v>0.11332468572476186</v>
      </c>
      <c r="DB1758" t="str">
        <v/>
      </c>
    </row>
    <row r="1759" spans="83:106" x14ac:dyDescent="0.2">
      <c r="CE1759"/>
      <c r="CF1759"/>
      <c r="CG1759"/>
      <c r="CH1759"/>
      <c r="CI1759"/>
      <c r="CU1759" s="42">
        <v>1754</v>
      </c>
      <c r="CV1759" s="115">
        <v>4</v>
      </c>
      <c r="CW1759" s="115">
        <v>0.11332468572476186</v>
      </c>
      <c r="CX1759" s="115" t="e">
        <v>#N/A</v>
      </c>
      <c r="CY1759" s="115" t="e">
        <v>#N/A</v>
      </c>
      <c r="CZ1759" s="137" t="e">
        <v>#N/A</v>
      </c>
      <c r="DA1759">
        <v>0.11332468572476186</v>
      </c>
      <c r="DB1759" t="str">
        <v/>
      </c>
    </row>
    <row r="1760" spans="83:106" x14ac:dyDescent="0.2">
      <c r="CE1760"/>
      <c r="CF1760"/>
      <c r="CG1760"/>
      <c r="CH1760"/>
      <c r="CI1760"/>
      <c r="CU1760" s="42">
        <v>1755</v>
      </c>
      <c r="CV1760" s="115">
        <v>4</v>
      </c>
      <c r="CW1760" s="115">
        <v>0.11332468572476186</v>
      </c>
      <c r="CX1760" s="115" t="e">
        <v>#N/A</v>
      </c>
      <c r="CY1760" s="115" t="e">
        <v>#N/A</v>
      </c>
      <c r="CZ1760" s="137" t="e">
        <v>#N/A</v>
      </c>
      <c r="DA1760">
        <v>0.11332468572476186</v>
      </c>
      <c r="DB1760" t="str">
        <v/>
      </c>
    </row>
    <row r="1761" spans="83:106" x14ac:dyDescent="0.2">
      <c r="CE1761"/>
      <c r="CF1761"/>
      <c r="CG1761"/>
      <c r="CH1761"/>
      <c r="CI1761"/>
      <c r="CU1761" s="42">
        <v>1756</v>
      </c>
      <c r="CV1761" s="115">
        <v>4</v>
      </c>
      <c r="CW1761" s="115">
        <v>0.11332468572476186</v>
      </c>
      <c r="CX1761" s="115" t="e">
        <v>#N/A</v>
      </c>
      <c r="CY1761" s="115" t="e">
        <v>#N/A</v>
      </c>
      <c r="CZ1761" s="137" t="e">
        <v>#N/A</v>
      </c>
      <c r="DA1761">
        <v>0.11332468572476186</v>
      </c>
      <c r="DB1761" t="str">
        <v/>
      </c>
    </row>
    <row r="1762" spans="83:106" x14ac:dyDescent="0.2">
      <c r="CE1762"/>
      <c r="CF1762"/>
      <c r="CG1762"/>
      <c r="CH1762"/>
      <c r="CI1762"/>
      <c r="CU1762" s="42">
        <v>1757</v>
      </c>
      <c r="CV1762" s="115">
        <v>4</v>
      </c>
      <c r="CW1762" s="115">
        <v>0.11332468572476186</v>
      </c>
      <c r="CX1762" s="115" t="e">
        <v>#N/A</v>
      </c>
      <c r="CY1762" s="115" t="e">
        <v>#N/A</v>
      </c>
      <c r="CZ1762" s="137" t="e">
        <v>#N/A</v>
      </c>
      <c r="DA1762">
        <v>0.11332468572476186</v>
      </c>
      <c r="DB1762" t="str">
        <v/>
      </c>
    </row>
    <row r="1763" spans="83:106" x14ac:dyDescent="0.2">
      <c r="CE1763"/>
      <c r="CF1763"/>
      <c r="CG1763"/>
      <c r="CH1763"/>
      <c r="CI1763"/>
      <c r="CU1763" s="42">
        <v>1758</v>
      </c>
      <c r="CV1763" s="115">
        <v>4</v>
      </c>
      <c r="CW1763" s="115">
        <v>0.11332468572476186</v>
      </c>
      <c r="CX1763" s="115" t="e">
        <v>#N/A</v>
      </c>
      <c r="CY1763" s="115" t="e">
        <v>#N/A</v>
      </c>
      <c r="CZ1763" s="137" t="e">
        <v>#N/A</v>
      </c>
      <c r="DA1763">
        <v>0.11332468572476186</v>
      </c>
      <c r="DB1763" t="str">
        <v/>
      </c>
    </row>
    <row r="1764" spans="83:106" x14ac:dyDescent="0.2">
      <c r="CE1764"/>
      <c r="CF1764"/>
      <c r="CG1764"/>
      <c r="CH1764"/>
      <c r="CI1764"/>
      <c r="CU1764" s="42">
        <v>1759</v>
      </c>
      <c r="CV1764" s="115">
        <v>4</v>
      </c>
      <c r="CW1764" s="115">
        <v>0.11332468572476186</v>
      </c>
      <c r="CX1764" s="115" t="e">
        <v>#N/A</v>
      </c>
      <c r="CY1764" s="115" t="e">
        <v>#N/A</v>
      </c>
      <c r="CZ1764" s="137" t="e">
        <v>#N/A</v>
      </c>
      <c r="DA1764">
        <v>0.11332468572476186</v>
      </c>
      <c r="DB1764" t="str">
        <v/>
      </c>
    </row>
    <row r="1765" spans="83:106" x14ac:dyDescent="0.2">
      <c r="CE1765"/>
      <c r="CF1765"/>
      <c r="CG1765"/>
      <c r="CH1765"/>
      <c r="CI1765"/>
      <c r="CU1765" s="42">
        <v>1760</v>
      </c>
      <c r="CV1765" s="115">
        <v>4</v>
      </c>
      <c r="CW1765" s="115">
        <v>0.11332468572476186</v>
      </c>
      <c r="CX1765" s="115" t="e">
        <v>#N/A</v>
      </c>
      <c r="CY1765" s="115" t="e">
        <v>#N/A</v>
      </c>
      <c r="CZ1765" s="137" t="e">
        <v>#N/A</v>
      </c>
      <c r="DA1765">
        <v>0.11332468572476186</v>
      </c>
      <c r="DB1765" t="str">
        <v/>
      </c>
    </row>
    <row r="1766" spans="83:106" x14ac:dyDescent="0.2">
      <c r="CE1766"/>
      <c r="CF1766"/>
      <c r="CG1766"/>
      <c r="CH1766"/>
      <c r="CI1766"/>
      <c r="CU1766" s="42">
        <v>1761</v>
      </c>
      <c r="CV1766" s="115">
        <v>4</v>
      </c>
      <c r="CW1766" s="115">
        <v>0.11332468572476186</v>
      </c>
      <c r="CX1766" s="115" t="e">
        <v>#N/A</v>
      </c>
      <c r="CY1766" s="115" t="e">
        <v>#N/A</v>
      </c>
      <c r="CZ1766" s="137" t="e">
        <v>#N/A</v>
      </c>
      <c r="DA1766">
        <v>0.11332468572476186</v>
      </c>
      <c r="DB1766" t="str">
        <v/>
      </c>
    </row>
    <row r="1767" spans="83:106" x14ac:dyDescent="0.2">
      <c r="CE1767"/>
      <c r="CF1767"/>
      <c r="CG1767"/>
      <c r="CH1767"/>
      <c r="CI1767"/>
      <c r="CU1767" s="42">
        <v>1762</v>
      </c>
      <c r="CV1767" s="115">
        <v>4</v>
      </c>
      <c r="CW1767" s="115">
        <v>0.11332468572476186</v>
      </c>
      <c r="CX1767" s="115" t="e">
        <v>#N/A</v>
      </c>
      <c r="CY1767" s="115" t="e">
        <v>#N/A</v>
      </c>
      <c r="CZ1767" s="137" t="e">
        <v>#N/A</v>
      </c>
      <c r="DA1767">
        <v>0.11332468572476186</v>
      </c>
      <c r="DB1767" t="str">
        <v/>
      </c>
    </row>
    <row r="1768" spans="83:106" x14ac:dyDescent="0.2">
      <c r="CE1768"/>
      <c r="CF1768"/>
      <c r="CG1768"/>
      <c r="CH1768"/>
      <c r="CI1768"/>
      <c r="CU1768" s="42">
        <v>1763</v>
      </c>
      <c r="CV1768" s="115">
        <v>4</v>
      </c>
      <c r="CW1768" s="115">
        <v>0.11332468572476186</v>
      </c>
      <c r="CX1768" s="115" t="e">
        <v>#N/A</v>
      </c>
      <c r="CY1768" s="115" t="e">
        <v>#N/A</v>
      </c>
      <c r="CZ1768" s="137" t="e">
        <v>#N/A</v>
      </c>
      <c r="DA1768">
        <v>0.11332468572476186</v>
      </c>
      <c r="DB1768" t="str">
        <v/>
      </c>
    </row>
    <row r="1769" spans="83:106" x14ac:dyDescent="0.2">
      <c r="CE1769"/>
      <c r="CF1769"/>
      <c r="CG1769"/>
      <c r="CH1769"/>
      <c r="CI1769"/>
      <c r="CU1769" s="42">
        <v>1764</v>
      </c>
      <c r="CV1769" s="115">
        <v>4</v>
      </c>
      <c r="CW1769" s="115">
        <v>0.11332468572476186</v>
      </c>
      <c r="CX1769" s="115" t="e">
        <v>#N/A</v>
      </c>
      <c r="CY1769" s="115" t="e">
        <v>#N/A</v>
      </c>
      <c r="CZ1769" s="137" t="e">
        <v>#N/A</v>
      </c>
      <c r="DA1769">
        <v>0.11332468572476186</v>
      </c>
      <c r="DB1769" t="str">
        <v/>
      </c>
    </row>
    <row r="1770" spans="83:106" x14ac:dyDescent="0.2">
      <c r="CE1770"/>
      <c r="CF1770"/>
      <c r="CG1770"/>
      <c r="CH1770"/>
      <c r="CI1770"/>
      <c r="CU1770" s="42">
        <v>1765</v>
      </c>
      <c r="CV1770" s="115">
        <v>4</v>
      </c>
      <c r="CW1770" s="115">
        <v>0.11332468572476186</v>
      </c>
      <c r="CX1770" s="115" t="e">
        <v>#N/A</v>
      </c>
      <c r="CY1770" s="115" t="e">
        <v>#N/A</v>
      </c>
      <c r="CZ1770" s="137" t="e">
        <v>#N/A</v>
      </c>
      <c r="DA1770">
        <v>0.11332468572476186</v>
      </c>
      <c r="DB1770" t="str">
        <v/>
      </c>
    </row>
    <row r="1771" spans="83:106" x14ac:dyDescent="0.2">
      <c r="CE1771"/>
      <c r="CF1771"/>
      <c r="CG1771"/>
      <c r="CH1771"/>
      <c r="CI1771"/>
      <c r="CU1771" s="42">
        <v>1766</v>
      </c>
      <c r="CV1771" s="115">
        <v>4</v>
      </c>
      <c r="CW1771" s="115">
        <v>0.11332468572476186</v>
      </c>
      <c r="CX1771" s="115" t="e">
        <v>#N/A</v>
      </c>
      <c r="CY1771" s="115" t="e">
        <v>#N/A</v>
      </c>
      <c r="CZ1771" s="137" t="e">
        <v>#N/A</v>
      </c>
      <c r="DA1771">
        <v>0.11332468572476186</v>
      </c>
      <c r="DB1771" t="str">
        <v/>
      </c>
    </row>
    <row r="1772" spans="83:106" x14ac:dyDescent="0.2">
      <c r="CE1772"/>
      <c r="CF1772"/>
      <c r="CG1772"/>
      <c r="CH1772"/>
      <c r="CI1772"/>
      <c r="CU1772" s="42">
        <v>1767</v>
      </c>
      <c r="CV1772" s="115">
        <v>4</v>
      </c>
      <c r="CW1772" s="115">
        <v>0.11332468572476186</v>
      </c>
      <c r="CX1772" s="115" t="e">
        <v>#N/A</v>
      </c>
      <c r="CY1772" s="115" t="e">
        <v>#N/A</v>
      </c>
      <c r="CZ1772" s="137" t="e">
        <v>#N/A</v>
      </c>
      <c r="DA1772">
        <v>0.11332468572476186</v>
      </c>
      <c r="DB1772" t="str">
        <v/>
      </c>
    </row>
    <row r="1773" spans="83:106" x14ac:dyDescent="0.2">
      <c r="CE1773"/>
      <c r="CF1773"/>
      <c r="CG1773"/>
      <c r="CH1773"/>
      <c r="CI1773"/>
      <c r="CU1773" s="42">
        <v>1768</v>
      </c>
      <c r="CV1773" s="115">
        <v>4</v>
      </c>
      <c r="CW1773" s="115">
        <v>0.11332468572476186</v>
      </c>
      <c r="CX1773" s="115" t="e">
        <v>#N/A</v>
      </c>
      <c r="CY1773" s="115" t="e">
        <v>#N/A</v>
      </c>
      <c r="CZ1773" s="137" t="e">
        <v>#N/A</v>
      </c>
      <c r="DA1773">
        <v>0.11332468572476186</v>
      </c>
      <c r="DB1773" t="str">
        <v/>
      </c>
    </row>
    <row r="1774" spans="83:106" x14ac:dyDescent="0.2">
      <c r="CE1774"/>
      <c r="CF1774"/>
      <c r="CG1774"/>
      <c r="CH1774"/>
      <c r="CI1774"/>
      <c r="CU1774" s="42">
        <v>1769</v>
      </c>
      <c r="CV1774" s="115">
        <v>4</v>
      </c>
      <c r="CW1774" s="115">
        <v>0.11332468572476186</v>
      </c>
      <c r="CX1774" s="115" t="e">
        <v>#N/A</v>
      </c>
      <c r="CY1774" s="115" t="e">
        <v>#N/A</v>
      </c>
      <c r="CZ1774" s="137" t="e">
        <v>#N/A</v>
      </c>
      <c r="DA1774">
        <v>0.11332468572476186</v>
      </c>
      <c r="DB1774" t="str">
        <v/>
      </c>
    </row>
    <row r="1775" spans="83:106" x14ac:dyDescent="0.2">
      <c r="CE1775"/>
      <c r="CF1775"/>
      <c r="CG1775"/>
      <c r="CH1775"/>
      <c r="CI1775"/>
      <c r="CU1775" s="42">
        <v>1770</v>
      </c>
      <c r="CV1775" s="115">
        <v>4</v>
      </c>
      <c r="CW1775" s="115">
        <v>0.11332468572476186</v>
      </c>
      <c r="CX1775" s="115" t="e">
        <v>#N/A</v>
      </c>
      <c r="CY1775" s="115" t="e">
        <v>#N/A</v>
      </c>
      <c r="CZ1775" s="137" t="e">
        <v>#N/A</v>
      </c>
      <c r="DA1775">
        <v>0.11332468572476186</v>
      </c>
      <c r="DB1775" t="str">
        <v/>
      </c>
    </row>
    <row r="1776" spans="83:106" x14ac:dyDescent="0.2">
      <c r="CE1776"/>
      <c r="CF1776"/>
      <c r="CG1776"/>
      <c r="CH1776"/>
      <c r="CI1776"/>
      <c r="CU1776" s="42">
        <v>1771</v>
      </c>
      <c r="CV1776" s="115">
        <v>4</v>
      </c>
      <c r="CW1776" s="115">
        <v>0.11332468572476186</v>
      </c>
      <c r="CX1776" s="115" t="e">
        <v>#N/A</v>
      </c>
      <c r="CY1776" s="115" t="e">
        <v>#N/A</v>
      </c>
      <c r="CZ1776" s="137" t="e">
        <v>#N/A</v>
      </c>
      <c r="DA1776">
        <v>0.11332468572476186</v>
      </c>
      <c r="DB1776" t="str">
        <v/>
      </c>
    </row>
    <row r="1777" spans="83:106" x14ac:dyDescent="0.2">
      <c r="CE1777"/>
      <c r="CF1777"/>
      <c r="CG1777"/>
      <c r="CH1777"/>
      <c r="CI1777"/>
      <c r="CU1777" s="42">
        <v>1772</v>
      </c>
      <c r="CV1777" s="115">
        <v>4</v>
      </c>
      <c r="CW1777" s="115">
        <v>0.11332468572476186</v>
      </c>
      <c r="CX1777" s="115" t="e">
        <v>#N/A</v>
      </c>
      <c r="CY1777" s="115" t="e">
        <v>#N/A</v>
      </c>
      <c r="CZ1777" s="137" t="e">
        <v>#N/A</v>
      </c>
      <c r="DA1777">
        <v>0.11332468572476186</v>
      </c>
      <c r="DB1777" t="str">
        <v/>
      </c>
    </row>
    <row r="1778" spans="83:106" x14ac:dyDescent="0.2">
      <c r="CE1778"/>
      <c r="CF1778"/>
      <c r="CG1778"/>
      <c r="CH1778"/>
      <c r="CI1778"/>
      <c r="CU1778" s="42">
        <v>1773</v>
      </c>
      <c r="CV1778" s="115">
        <v>4</v>
      </c>
      <c r="CW1778" s="115">
        <v>0.11332468572476186</v>
      </c>
      <c r="CX1778" s="115" t="e">
        <v>#N/A</v>
      </c>
      <c r="CY1778" s="115" t="e">
        <v>#N/A</v>
      </c>
      <c r="CZ1778" s="137" t="e">
        <v>#N/A</v>
      </c>
      <c r="DA1778">
        <v>0.11332468572476186</v>
      </c>
      <c r="DB1778" t="str">
        <v/>
      </c>
    </row>
    <row r="1779" spans="83:106" x14ac:dyDescent="0.2">
      <c r="CE1779"/>
      <c r="CF1779"/>
      <c r="CG1779"/>
      <c r="CH1779"/>
      <c r="CI1779"/>
      <c r="CU1779" s="42">
        <v>1774</v>
      </c>
      <c r="CV1779" s="115">
        <v>4</v>
      </c>
      <c r="CW1779" s="115">
        <v>0.11332468572476186</v>
      </c>
      <c r="CX1779" s="115" t="e">
        <v>#N/A</v>
      </c>
      <c r="CY1779" s="115" t="e">
        <v>#N/A</v>
      </c>
      <c r="CZ1779" s="137" t="e">
        <v>#N/A</v>
      </c>
      <c r="DA1779">
        <v>0.11332468572476186</v>
      </c>
      <c r="DB1779" t="str">
        <v/>
      </c>
    </row>
    <row r="1780" spans="83:106" x14ac:dyDescent="0.2">
      <c r="CE1780"/>
      <c r="CF1780"/>
      <c r="CG1780"/>
      <c r="CH1780"/>
      <c r="CI1780"/>
      <c r="CU1780" s="42">
        <v>1775</v>
      </c>
      <c r="CV1780" s="115">
        <v>4</v>
      </c>
      <c r="CW1780" s="115">
        <v>0.11332468572476186</v>
      </c>
      <c r="CX1780" s="115" t="e">
        <v>#N/A</v>
      </c>
      <c r="CY1780" s="115" t="e">
        <v>#N/A</v>
      </c>
      <c r="CZ1780" s="137" t="e">
        <v>#N/A</v>
      </c>
      <c r="DA1780">
        <v>0.11332468572476186</v>
      </c>
      <c r="DB1780" t="str">
        <v/>
      </c>
    </row>
    <row r="1781" spans="83:106" x14ac:dyDescent="0.2">
      <c r="CE1781"/>
      <c r="CF1781"/>
      <c r="CG1781"/>
      <c r="CH1781"/>
      <c r="CI1781"/>
      <c r="CU1781" s="42">
        <v>1776</v>
      </c>
      <c r="CV1781" s="115">
        <v>4</v>
      </c>
      <c r="CW1781" s="115">
        <v>0.11332468572476186</v>
      </c>
      <c r="CX1781" s="115" t="e">
        <v>#N/A</v>
      </c>
      <c r="CY1781" s="115" t="e">
        <v>#N/A</v>
      </c>
      <c r="CZ1781" s="137" t="e">
        <v>#N/A</v>
      </c>
      <c r="DA1781">
        <v>0.11332468572476186</v>
      </c>
      <c r="DB1781" t="str">
        <v/>
      </c>
    </row>
    <row r="1782" spans="83:106" x14ac:dyDescent="0.2">
      <c r="CE1782"/>
      <c r="CF1782"/>
      <c r="CG1782"/>
      <c r="CH1782"/>
      <c r="CI1782"/>
      <c r="CU1782" s="42">
        <v>1777</v>
      </c>
      <c r="CV1782" s="115">
        <v>4</v>
      </c>
      <c r="CW1782" s="115">
        <v>0.11332468572476186</v>
      </c>
      <c r="CX1782" s="115" t="e">
        <v>#N/A</v>
      </c>
      <c r="CY1782" s="115" t="e">
        <v>#N/A</v>
      </c>
      <c r="CZ1782" s="137" t="e">
        <v>#N/A</v>
      </c>
      <c r="DA1782">
        <v>0.11332468572476186</v>
      </c>
      <c r="DB1782" t="str">
        <v/>
      </c>
    </row>
    <row r="1783" spans="83:106" x14ac:dyDescent="0.2">
      <c r="CE1783"/>
      <c r="CF1783"/>
      <c r="CG1783"/>
      <c r="CH1783"/>
      <c r="CI1783"/>
      <c r="CU1783" s="42">
        <v>1778</v>
      </c>
      <c r="CV1783" s="115">
        <v>4</v>
      </c>
      <c r="CW1783" s="115">
        <v>0.11332468572476186</v>
      </c>
      <c r="CX1783" s="115" t="e">
        <v>#N/A</v>
      </c>
      <c r="CY1783" s="115" t="e">
        <v>#N/A</v>
      </c>
      <c r="CZ1783" s="137" t="e">
        <v>#N/A</v>
      </c>
      <c r="DA1783">
        <v>0.11332468572476186</v>
      </c>
      <c r="DB1783" t="str">
        <v/>
      </c>
    </row>
    <row r="1784" spans="83:106" x14ac:dyDescent="0.2">
      <c r="CE1784"/>
      <c r="CF1784"/>
      <c r="CG1784"/>
      <c r="CH1784"/>
      <c r="CI1784"/>
      <c r="CU1784" s="42">
        <v>1779</v>
      </c>
      <c r="CV1784" s="115">
        <v>4</v>
      </c>
      <c r="CW1784" s="115">
        <v>0.11332468572476186</v>
      </c>
      <c r="CX1784" s="115" t="e">
        <v>#N/A</v>
      </c>
      <c r="CY1784" s="115" t="e">
        <v>#N/A</v>
      </c>
      <c r="CZ1784" s="137" t="e">
        <v>#N/A</v>
      </c>
      <c r="DA1784">
        <v>0.11332468572476186</v>
      </c>
      <c r="DB1784" t="str">
        <v/>
      </c>
    </row>
    <row r="1785" spans="83:106" x14ac:dyDescent="0.2">
      <c r="CE1785"/>
      <c r="CF1785"/>
      <c r="CG1785"/>
      <c r="CH1785"/>
      <c r="CI1785"/>
      <c r="CU1785" s="42">
        <v>1780</v>
      </c>
      <c r="CV1785" s="115">
        <v>4</v>
      </c>
      <c r="CW1785" s="115">
        <v>0.11332468572476186</v>
      </c>
      <c r="CX1785" s="115" t="e">
        <v>#N/A</v>
      </c>
      <c r="CY1785" s="115" t="e">
        <v>#N/A</v>
      </c>
      <c r="CZ1785" s="137" t="e">
        <v>#N/A</v>
      </c>
      <c r="DA1785">
        <v>0.11332468572476186</v>
      </c>
      <c r="DB1785" t="str">
        <v/>
      </c>
    </row>
    <row r="1786" spans="83:106" x14ac:dyDescent="0.2">
      <c r="CE1786"/>
      <c r="CF1786"/>
      <c r="CG1786"/>
      <c r="CH1786"/>
      <c r="CI1786"/>
      <c r="CU1786" s="42">
        <v>1781</v>
      </c>
      <c r="CV1786" s="115">
        <v>4</v>
      </c>
      <c r="CW1786" s="115">
        <v>0.11332468572476186</v>
      </c>
      <c r="CX1786" s="115" t="e">
        <v>#N/A</v>
      </c>
      <c r="CY1786" s="115" t="e">
        <v>#N/A</v>
      </c>
      <c r="CZ1786" s="137" t="e">
        <v>#N/A</v>
      </c>
      <c r="DA1786">
        <v>0.11332468572476186</v>
      </c>
      <c r="DB1786" t="str">
        <v/>
      </c>
    </row>
    <row r="1787" spans="83:106" x14ac:dyDescent="0.2">
      <c r="CE1787"/>
      <c r="CF1787"/>
      <c r="CG1787"/>
      <c r="CH1787"/>
      <c r="CI1787"/>
      <c r="CU1787" s="42">
        <v>1782</v>
      </c>
      <c r="CV1787" s="115">
        <v>4</v>
      </c>
      <c r="CW1787" s="115">
        <v>0.11332468572476186</v>
      </c>
      <c r="CX1787" s="115" t="e">
        <v>#N/A</v>
      </c>
      <c r="CY1787" s="115" t="e">
        <v>#N/A</v>
      </c>
      <c r="CZ1787" s="137" t="e">
        <v>#N/A</v>
      </c>
      <c r="DA1787">
        <v>0.11332468572476186</v>
      </c>
      <c r="DB1787" t="str">
        <v/>
      </c>
    </row>
    <row r="1788" spans="83:106" x14ac:dyDescent="0.2">
      <c r="CE1788"/>
      <c r="CF1788"/>
      <c r="CG1788"/>
      <c r="CH1788"/>
      <c r="CI1788"/>
      <c r="CU1788" s="42">
        <v>1783</v>
      </c>
      <c r="CV1788" s="115">
        <v>4</v>
      </c>
      <c r="CW1788" s="115">
        <v>0.11332468572476186</v>
      </c>
      <c r="CX1788" s="115" t="e">
        <v>#N/A</v>
      </c>
      <c r="CY1788" s="115" t="e">
        <v>#N/A</v>
      </c>
      <c r="CZ1788" s="137" t="e">
        <v>#N/A</v>
      </c>
      <c r="DA1788">
        <v>0.11332468572476186</v>
      </c>
      <c r="DB1788" t="str">
        <v/>
      </c>
    </row>
    <row r="1789" spans="83:106" x14ac:dyDescent="0.2">
      <c r="CE1789"/>
      <c r="CF1789"/>
      <c r="CG1789"/>
      <c r="CH1789"/>
      <c r="CI1789"/>
      <c r="CU1789" s="42">
        <v>1784</v>
      </c>
      <c r="CV1789" s="115">
        <v>4</v>
      </c>
      <c r="CW1789" s="115">
        <v>0.11332468572476186</v>
      </c>
      <c r="CX1789" s="115" t="e">
        <v>#N/A</v>
      </c>
      <c r="CY1789" s="115" t="e">
        <v>#N/A</v>
      </c>
      <c r="CZ1789" s="137" t="e">
        <v>#N/A</v>
      </c>
      <c r="DA1789">
        <v>0.11332468572476186</v>
      </c>
      <c r="DB1789" t="str">
        <v/>
      </c>
    </row>
    <row r="1790" spans="83:106" x14ac:dyDescent="0.2">
      <c r="CE1790"/>
      <c r="CF1790"/>
      <c r="CG1790"/>
      <c r="CH1790"/>
      <c r="CI1790"/>
      <c r="CU1790" s="42">
        <v>1785</v>
      </c>
      <c r="CV1790" s="115">
        <v>4</v>
      </c>
      <c r="CW1790" s="115">
        <v>0.11332468572476186</v>
      </c>
      <c r="CX1790" s="115" t="e">
        <v>#N/A</v>
      </c>
      <c r="CY1790" s="115" t="e">
        <v>#N/A</v>
      </c>
      <c r="CZ1790" s="137" t="e">
        <v>#N/A</v>
      </c>
      <c r="DA1790">
        <v>0.11332468572476186</v>
      </c>
      <c r="DB1790" t="str">
        <v/>
      </c>
    </row>
    <row r="1791" spans="83:106" x14ac:dyDescent="0.2">
      <c r="CE1791"/>
      <c r="CF1791"/>
      <c r="CG1791"/>
      <c r="CH1791"/>
      <c r="CI1791"/>
      <c r="CU1791" s="42">
        <v>1786</v>
      </c>
      <c r="CV1791" s="115">
        <v>4</v>
      </c>
      <c r="CW1791" s="115">
        <v>0.11332468572476186</v>
      </c>
      <c r="CX1791" s="115" t="e">
        <v>#N/A</v>
      </c>
      <c r="CY1791" s="115" t="e">
        <v>#N/A</v>
      </c>
      <c r="CZ1791" s="137" t="e">
        <v>#N/A</v>
      </c>
      <c r="DA1791">
        <v>0.11332468572476186</v>
      </c>
      <c r="DB1791" t="str">
        <v/>
      </c>
    </row>
    <row r="1792" spans="83:106" x14ac:dyDescent="0.2">
      <c r="CE1792"/>
      <c r="CF1792"/>
      <c r="CG1792"/>
      <c r="CH1792"/>
      <c r="CI1792"/>
      <c r="CU1792" s="42">
        <v>1787</v>
      </c>
      <c r="CV1792" s="115">
        <v>4</v>
      </c>
      <c r="CW1792" s="115">
        <v>0.11332468572476186</v>
      </c>
      <c r="CX1792" s="115" t="e">
        <v>#N/A</v>
      </c>
      <c r="CY1792" s="115" t="e">
        <v>#N/A</v>
      </c>
      <c r="CZ1792" s="137" t="e">
        <v>#N/A</v>
      </c>
      <c r="DA1792">
        <v>0.11332468572476186</v>
      </c>
      <c r="DB1792" t="str">
        <v/>
      </c>
    </row>
    <row r="1793" spans="83:106" x14ac:dyDescent="0.2">
      <c r="CE1793"/>
      <c r="CF1793"/>
      <c r="CG1793"/>
      <c r="CH1793"/>
      <c r="CI1793"/>
      <c r="CU1793" s="42">
        <v>1788</v>
      </c>
      <c r="CV1793" s="115">
        <v>4</v>
      </c>
      <c r="CW1793" s="115">
        <v>0.11332468572476186</v>
      </c>
      <c r="CX1793" s="115" t="e">
        <v>#N/A</v>
      </c>
      <c r="CY1793" s="115" t="e">
        <v>#N/A</v>
      </c>
      <c r="CZ1793" s="137" t="e">
        <v>#N/A</v>
      </c>
      <c r="DA1793">
        <v>0.11332468572476186</v>
      </c>
      <c r="DB1793" t="str">
        <v/>
      </c>
    </row>
    <row r="1794" spans="83:106" x14ac:dyDescent="0.2">
      <c r="CE1794"/>
      <c r="CF1794"/>
      <c r="CG1794"/>
      <c r="CH1794"/>
      <c r="CI1794"/>
      <c r="CU1794" s="42">
        <v>1789</v>
      </c>
      <c r="CV1794" s="115">
        <v>4</v>
      </c>
      <c r="CW1794" s="115">
        <v>0.11332468572476186</v>
      </c>
      <c r="CX1794" s="115" t="e">
        <v>#N/A</v>
      </c>
      <c r="CY1794" s="115" t="e">
        <v>#N/A</v>
      </c>
      <c r="CZ1794" s="137" t="e">
        <v>#N/A</v>
      </c>
      <c r="DA1794">
        <v>0.11332468572476186</v>
      </c>
      <c r="DB1794" t="str">
        <v/>
      </c>
    </row>
    <row r="1795" spans="83:106" x14ac:dyDescent="0.2">
      <c r="CE1795"/>
      <c r="CF1795"/>
      <c r="CG1795"/>
      <c r="CH1795"/>
      <c r="CI1795"/>
      <c r="CU1795" s="42">
        <v>1790</v>
      </c>
      <c r="CV1795" s="115">
        <v>4</v>
      </c>
      <c r="CW1795" s="115">
        <v>0.11332468572476186</v>
      </c>
      <c r="CX1795" s="115" t="e">
        <v>#N/A</v>
      </c>
      <c r="CY1795" s="115" t="e">
        <v>#N/A</v>
      </c>
      <c r="CZ1795" s="137" t="e">
        <v>#N/A</v>
      </c>
      <c r="DA1795">
        <v>0.11332468572476186</v>
      </c>
      <c r="DB1795" t="str">
        <v/>
      </c>
    </row>
    <row r="1796" spans="83:106" x14ac:dyDescent="0.2">
      <c r="CE1796"/>
      <c r="CF1796"/>
      <c r="CG1796"/>
      <c r="CH1796"/>
      <c r="CI1796"/>
      <c r="CU1796" s="42">
        <v>1791</v>
      </c>
      <c r="CV1796" s="115">
        <v>4</v>
      </c>
      <c r="CW1796" s="115">
        <v>0.11332468572476186</v>
      </c>
      <c r="CX1796" s="115" t="e">
        <v>#N/A</v>
      </c>
      <c r="CY1796" s="115" t="e">
        <v>#N/A</v>
      </c>
      <c r="CZ1796" s="137" t="e">
        <v>#N/A</v>
      </c>
      <c r="DA1796">
        <v>0.11332468572476186</v>
      </c>
      <c r="DB1796" t="str">
        <v/>
      </c>
    </row>
    <row r="1797" spans="83:106" x14ac:dyDescent="0.2">
      <c r="CE1797"/>
      <c r="CF1797"/>
      <c r="CG1797"/>
      <c r="CH1797"/>
      <c r="CI1797"/>
      <c r="CU1797" s="42">
        <v>1792</v>
      </c>
      <c r="CV1797" s="115">
        <v>4</v>
      </c>
      <c r="CW1797" s="115">
        <v>0.11332468572476186</v>
      </c>
      <c r="CX1797" s="115" t="e">
        <v>#N/A</v>
      </c>
      <c r="CY1797" s="115" t="e">
        <v>#N/A</v>
      </c>
      <c r="CZ1797" s="137" t="e">
        <v>#N/A</v>
      </c>
      <c r="DA1797">
        <v>0.11332468572476186</v>
      </c>
      <c r="DB1797" t="str">
        <v/>
      </c>
    </row>
    <row r="1798" spans="83:106" x14ac:dyDescent="0.2">
      <c r="CE1798"/>
      <c r="CF1798"/>
      <c r="CG1798"/>
      <c r="CH1798"/>
      <c r="CI1798"/>
      <c r="CU1798" s="42">
        <v>1793</v>
      </c>
      <c r="CV1798" s="115">
        <v>4</v>
      </c>
      <c r="CW1798" s="115">
        <v>0.11332468572476186</v>
      </c>
      <c r="CX1798" s="115" t="e">
        <v>#N/A</v>
      </c>
      <c r="CY1798" s="115" t="e">
        <v>#N/A</v>
      </c>
      <c r="CZ1798" s="137" t="e">
        <v>#N/A</v>
      </c>
      <c r="DA1798">
        <v>0.11332468572476186</v>
      </c>
      <c r="DB1798" t="str">
        <v/>
      </c>
    </row>
    <row r="1799" spans="83:106" x14ac:dyDescent="0.2">
      <c r="CE1799"/>
      <c r="CF1799"/>
      <c r="CG1799"/>
      <c r="CH1799"/>
      <c r="CI1799"/>
      <c r="CU1799" s="42">
        <v>1794</v>
      </c>
      <c r="CV1799" s="115">
        <v>4</v>
      </c>
      <c r="CW1799" s="115">
        <v>0.11332468572476186</v>
      </c>
      <c r="CX1799" s="115" t="e">
        <v>#N/A</v>
      </c>
      <c r="CY1799" s="115" t="e">
        <v>#N/A</v>
      </c>
      <c r="CZ1799" s="137" t="e">
        <v>#N/A</v>
      </c>
      <c r="DA1799">
        <v>0.11332468572476186</v>
      </c>
      <c r="DB1799" t="str">
        <v/>
      </c>
    </row>
    <row r="1800" spans="83:106" x14ac:dyDescent="0.2">
      <c r="CE1800"/>
      <c r="CF1800"/>
      <c r="CG1800"/>
      <c r="CH1800"/>
      <c r="CI1800"/>
      <c r="CU1800" s="42">
        <v>1795</v>
      </c>
      <c r="CV1800" s="115">
        <v>4</v>
      </c>
      <c r="CW1800" s="115">
        <v>0.11332468572476186</v>
      </c>
      <c r="CX1800" s="115" t="e">
        <v>#N/A</v>
      </c>
      <c r="CY1800" s="115" t="e">
        <v>#N/A</v>
      </c>
      <c r="CZ1800" s="137" t="e">
        <v>#N/A</v>
      </c>
      <c r="DA1800">
        <v>0.11332468572476186</v>
      </c>
      <c r="DB1800" t="str">
        <v/>
      </c>
    </row>
    <row r="1801" spans="83:106" x14ac:dyDescent="0.2">
      <c r="CE1801"/>
      <c r="CF1801"/>
      <c r="CG1801"/>
      <c r="CH1801"/>
      <c r="CI1801"/>
      <c r="CU1801" s="42">
        <v>1796</v>
      </c>
      <c r="CV1801" s="115">
        <v>4</v>
      </c>
      <c r="CW1801" s="115">
        <v>0.11332468572476186</v>
      </c>
      <c r="CX1801" s="115" t="e">
        <v>#N/A</v>
      </c>
      <c r="CY1801" s="115" t="e">
        <v>#N/A</v>
      </c>
      <c r="CZ1801" s="137" t="e">
        <v>#N/A</v>
      </c>
      <c r="DA1801">
        <v>0.11332468572476186</v>
      </c>
      <c r="DB1801" t="str">
        <v/>
      </c>
    </row>
    <row r="1802" spans="83:106" x14ac:dyDescent="0.2">
      <c r="CE1802"/>
      <c r="CF1802"/>
      <c r="CG1802"/>
      <c r="CH1802"/>
      <c r="CI1802"/>
      <c r="CU1802" s="42">
        <v>1797</v>
      </c>
      <c r="CV1802" s="115">
        <v>4</v>
      </c>
      <c r="CW1802" s="115">
        <v>0.11332468572476186</v>
      </c>
      <c r="CX1802" s="115" t="e">
        <v>#N/A</v>
      </c>
      <c r="CY1802" s="115" t="e">
        <v>#N/A</v>
      </c>
      <c r="CZ1802" s="137" t="e">
        <v>#N/A</v>
      </c>
      <c r="DA1802">
        <v>0.11332468572476186</v>
      </c>
      <c r="DB1802" t="str">
        <v/>
      </c>
    </row>
    <row r="1803" spans="83:106" x14ac:dyDescent="0.2">
      <c r="CE1803"/>
      <c r="CF1803"/>
      <c r="CG1803"/>
      <c r="CH1803"/>
      <c r="CI1803"/>
      <c r="CU1803" s="42">
        <v>1798</v>
      </c>
      <c r="CV1803" s="115">
        <v>4</v>
      </c>
      <c r="CW1803" s="115">
        <v>0.11332468572476186</v>
      </c>
      <c r="CX1803" s="115" t="e">
        <v>#N/A</v>
      </c>
      <c r="CY1803" s="115" t="e">
        <v>#N/A</v>
      </c>
      <c r="CZ1803" s="137" t="e">
        <v>#N/A</v>
      </c>
      <c r="DA1803">
        <v>0.11332468572476186</v>
      </c>
      <c r="DB1803" t="str">
        <v/>
      </c>
    </row>
    <row r="1804" spans="83:106" x14ac:dyDescent="0.2">
      <c r="CE1804"/>
      <c r="CF1804"/>
      <c r="CG1804"/>
      <c r="CH1804"/>
      <c r="CI1804"/>
      <c r="CU1804" s="42">
        <v>1799</v>
      </c>
      <c r="CV1804" s="115">
        <v>4</v>
      </c>
      <c r="CW1804" s="115">
        <v>0.11332468572476186</v>
      </c>
      <c r="CX1804" s="115" t="e">
        <v>#N/A</v>
      </c>
      <c r="CY1804" s="115" t="e">
        <v>#N/A</v>
      </c>
      <c r="CZ1804" s="137" t="e">
        <v>#N/A</v>
      </c>
      <c r="DA1804">
        <v>0.11332468572476186</v>
      </c>
      <c r="DB1804" t="str">
        <v/>
      </c>
    </row>
    <row r="1805" spans="83:106" x14ac:dyDescent="0.2">
      <c r="CE1805"/>
      <c r="CF1805"/>
      <c r="CG1805"/>
      <c r="CH1805"/>
      <c r="CI1805"/>
      <c r="CU1805" s="42">
        <v>1800</v>
      </c>
      <c r="CV1805" s="115">
        <v>4</v>
      </c>
      <c r="CW1805" s="115">
        <v>0.11332468572476186</v>
      </c>
      <c r="CX1805" s="115" t="e">
        <v>#N/A</v>
      </c>
      <c r="CY1805" s="115" t="e">
        <v>#N/A</v>
      </c>
      <c r="CZ1805" s="137" t="e">
        <v>#N/A</v>
      </c>
      <c r="DA1805">
        <v>0.11332468572476186</v>
      </c>
      <c r="DB1805" t="str">
        <v/>
      </c>
    </row>
    <row r="1806" spans="83:106" x14ac:dyDescent="0.2">
      <c r="CE1806"/>
      <c r="CF1806"/>
      <c r="CG1806"/>
      <c r="CH1806"/>
      <c r="CI1806"/>
      <c r="CU1806" s="42">
        <v>1801</v>
      </c>
      <c r="CV1806" s="115">
        <v>4</v>
      </c>
      <c r="CW1806" s="115">
        <v>0.11332468572476186</v>
      </c>
      <c r="CX1806" s="115" t="e">
        <v>#N/A</v>
      </c>
      <c r="CY1806" s="115" t="e">
        <v>#N/A</v>
      </c>
      <c r="CZ1806" s="137" t="e">
        <v>#N/A</v>
      </c>
      <c r="DA1806">
        <v>0.11332468572476186</v>
      </c>
      <c r="DB1806" t="str">
        <v/>
      </c>
    </row>
    <row r="1807" spans="83:106" x14ac:dyDescent="0.2">
      <c r="CE1807"/>
      <c r="CF1807"/>
      <c r="CG1807"/>
      <c r="CH1807"/>
      <c r="CI1807"/>
      <c r="CU1807" s="42">
        <v>1802</v>
      </c>
      <c r="CV1807" s="115">
        <v>4</v>
      </c>
      <c r="CW1807" s="115">
        <v>0.11332468572476186</v>
      </c>
      <c r="CX1807" s="115" t="e">
        <v>#N/A</v>
      </c>
      <c r="CY1807" s="115" t="e">
        <v>#N/A</v>
      </c>
      <c r="CZ1807" s="137" t="e">
        <v>#N/A</v>
      </c>
      <c r="DA1807">
        <v>0.11332468572476186</v>
      </c>
      <c r="DB1807" t="str">
        <v/>
      </c>
    </row>
    <row r="1808" spans="83:106" x14ac:dyDescent="0.2">
      <c r="CE1808"/>
      <c r="CF1808"/>
      <c r="CG1808"/>
      <c r="CH1808"/>
      <c r="CI1808"/>
      <c r="CU1808" s="42">
        <v>1803</v>
      </c>
      <c r="CV1808" s="115">
        <v>4</v>
      </c>
      <c r="CW1808" s="115">
        <v>0.11332468572476186</v>
      </c>
      <c r="CX1808" s="115" t="e">
        <v>#N/A</v>
      </c>
      <c r="CY1808" s="115" t="e">
        <v>#N/A</v>
      </c>
      <c r="CZ1808" s="137" t="e">
        <v>#N/A</v>
      </c>
      <c r="DA1808">
        <v>0.11332468572476186</v>
      </c>
      <c r="DB1808" t="str">
        <v/>
      </c>
    </row>
    <row r="1809" spans="83:106" x14ac:dyDescent="0.2">
      <c r="CE1809"/>
      <c r="CF1809"/>
      <c r="CG1809"/>
      <c r="CH1809"/>
      <c r="CI1809"/>
      <c r="CU1809" s="42">
        <v>1804</v>
      </c>
      <c r="CV1809" s="115">
        <v>4</v>
      </c>
      <c r="CW1809" s="115">
        <v>0.11332468572476186</v>
      </c>
      <c r="CX1809" s="115" t="e">
        <v>#N/A</v>
      </c>
      <c r="CY1809" s="115" t="e">
        <v>#N/A</v>
      </c>
      <c r="CZ1809" s="137" t="e">
        <v>#N/A</v>
      </c>
      <c r="DA1809">
        <v>0.11332468572476186</v>
      </c>
      <c r="DB1809" t="str">
        <v/>
      </c>
    </row>
    <row r="1810" spans="83:106" x14ac:dyDescent="0.2">
      <c r="CE1810"/>
      <c r="CF1810"/>
      <c r="CG1810"/>
      <c r="CH1810"/>
      <c r="CI1810"/>
      <c r="CU1810" s="42">
        <v>1805</v>
      </c>
      <c r="CV1810" s="115">
        <v>4</v>
      </c>
      <c r="CW1810" s="115">
        <v>0.11332468572476186</v>
      </c>
      <c r="CX1810" s="115" t="e">
        <v>#N/A</v>
      </c>
      <c r="CY1810" s="115" t="e">
        <v>#N/A</v>
      </c>
      <c r="CZ1810" s="137" t="e">
        <v>#N/A</v>
      </c>
      <c r="DA1810">
        <v>0.11332468572476186</v>
      </c>
      <c r="DB1810" t="str">
        <v/>
      </c>
    </row>
    <row r="1811" spans="83:106" x14ac:dyDescent="0.2">
      <c r="CE1811"/>
      <c r="CF1811"/>
      <c r="CG1811"/>
      <c r="CH1811"/>
      <c r="CI1811"/>
      <c r="CU1811" s="42">
        <v>1806</v>
      </c>
      <c r="CV1811" s="115">
        <v>4</v>
      </c>
      <c r="CW1811" s="115">
        <v>0.11332468572476186</v>
      </c>
      <c r="CX1811" s="115" t="e">
        <v>#N/A</v>
      </c>
      <c r="CY1811" s="115" t="e">
        <v>#N/A</v>
      </c>
      <c r="CZ1811" s="137" t="e">
        <v>#N/A</v>
      </c>
      <c r="DA1811">
        <v>0.11332468572476186</v>
      </c>
      <c r="DB1811" t="str">
        <v/>
      </c>
    </row>
    <row r="1812" spans="83:106" x14ac:dyDescent="0.2">
      <c r="CE1812"/>
      <c r="CF1812"/>
      <c r="CG1812"/>
      <c r="CH1812"/>
      <c r="CI1812"/>
      <c r="CU1812" s="42">
        <v>1807</v>
      </c>
      <c r="CV1812" s="115">
        <v>4</v>
      </c>
      <c r="CW1812" s="115">
        <v>0.11332468572476186</v>
      </c>
      <c r="CX1812" s="115" t="e">
        <v>#N/A</v>
      </c>
      <c r="CY1812" s="115" t="e">
        <v>#N/A</v>
      </c>
      <c r="CZ1812" s="137" t="e">
        <v>#N/A</v>
      </c>
      <c r="DA1812">
        <v>0.11332468572476186</v>
      </c>
      <c r="DB1812" t="str">
        <v/>
      </c>
    </row>
    <row r="1813" spans="83:106" x14ac:dyDescent="0.2">
      <c r="CE1813"/>
      <c r="CF1813"/>
      <c r="CG1813"/>
      <c r="CH1813"/>
      <c r="CI1813"/>
      <c r="CU1813" s="42">
        <v>1808</v>
      </c>
      <c r="CV1813" s="115">
        <v>4</v>
      </c>
      <c r="CW1813" s="115">
        <v>0.11332468572476186</v>
      </c>
      <c r="CX1813" s="115" t="e">
        <v>#N/A</v>
      </c>
      <c r="CY1813" s="115" t="e">
        <v>#N/A</v>
      </c>
      <c r="CZ1813" s="137" t="e">
        <v>#N/A</v>
      </c>
      <c r="DA1813">
        <v>0.11332468572476186</v>
      </c>
      <c r="DB1813" t="str">
        <v/>
      </c>
    </row>
    <row r="1814" spans="83:106" x14ac:dyDescent="0.2">
      <c r="CE1814"/>
      <c r="CF1814"/>
      <c r="CG1814"/>
      <c r="CH1814"/>
      <c r="CI1814"/>
      <c r="CU1814" s="42">
        <v>1809</v>
      </c>
      <c r="CV1814" s="115">
        <v>4</v>
      </c>
      <c r="CW1814" s="115">
        <v>0.11332468572476186</v>
      </c>
      <c r="CX1814" s="115" t="e">
        <v>#N/A</v>
      </c>
      <c r="CY1814" s="115" t="e">
        <v>#N/A</v>
      </c>
      <c r="CZ1814" s="137" t="e">
        <v>#N/A</v>
      </c>
      <c r="DA1814">
        <v>0.11332468572476186</v>
      </c>
      <c r="DB1814" t="str">
        <v/>
      </c>
    </row>
    <row r="1815" spans="83:106" x14ac:dyDescent="0.2">
      <c r="CE1815"/>
      <c r="CF1815"/>
      <c r="CG1815"/>
      <c r="CH1815"/>
      <c r="CI1815"/>
      <c r="CU1815" s="42">
        <v>1810</v>
      </c>
      <c r="CV1815" s="115">
        <v>4</v>
      </c>
      <c r="CW1815" s="115">
        <v>0.11332468572476186</v>
      </c>
      <c r="CX1815" s="115" t="e">
        <v>#N/A</v>
      </c>
      <c r="CY1815" s="115" t="e">
        <v>#N/A</v>
      </c>
      <c r="CZ1815" s="137" t="e">
        <v>#N/A</v>
      </c>
      <c r="DA1815">
        <v>0.11332468572476186</v>
      </c>
      <c r="DB1815" t="str">
        <v/>
      </c>
    </row>
    <row r="1816" spans="83:106" x14ac:dyDescent="0.2">
      <c r="CE1816"/>
      <c r="CF1816"/>
      <c r="CG1816"/>
      <c r="CH1816"/>
      <c r="CI1816"/>
      <c r="CU1816" s="42">
        <v>1811</v>
      </c>
      <c r="CV1816" s="115">
        <v>4</v>
      </c>
      <c r="CW1816" s="115">
        <v>0.11332468572476186</v>
      </c>
      <c r="CX1816" s="115" t="e">
        <v>#N/A</v>
      </c>
      <c r="CY1816" s="115" t="e">
        <v>#N/A</v>
      </c>
      <c r="CZ1816" s="137" t="e">
        <v>#N/A</v>
      </c>
      <c r="DA1816">
        <v>0.11332468572476186</v>
      </c>
      <c r="DB1816" t="str">
        <v/>
      </c>
    </row>
    <row r="1817" spans="83:106" x14ac:dyDescent="0.2">
      <c r="CE1817"/>
      <c r="CF1817"/>
      <c r="CG1817"/>
      <c r="CH1817"/>
      <c r="CI1817"/>
      <c r="CU1817" s="42">
        <v>1812</v>
      </c>
      <c r="CV1817" s="115">
        <v>4</v>
      </c>
      <c r="CW1817" s="115">
        <v>0.11332468572476186</v>
      </c>
      <c r="CX1817" s="115" t="e">
        <v>#N/A</v>
      </c>
      <c r="CY1817" s="115" t="e">
        <v>#N/A</v>
      </c>
      <c r="CZ1817" s="137" t="e">
        <v>#N/A</v>
      </c>
      <c r="DA1817">
        <v>0.11332468572476186</v>
      </c>
      <c r="DB1817" t="str">
        <v/>
      </c>
    </row>
    <row r="1818" spans="83:106" x14ac:dyDescent="0.2">
      <c r="CE1818"/>
      <c r="CF1818"/>
      <c r="CG1818"/>
      <c r="CH1818"/>
      <c r="CI1818"/>
      <c r="CU1818" s="42">
        <v>1813</v>
      </c>
      <c r="CV1818" s="115">
        <v>4</v>
      </c>
      <c r="CW1818" s="115">
        <v>0.11332468572476186</v>
      </c>
      <c r="CX1818" s="115" t="e">
        <v>#N/A</v>
      </c>
      <c r="CY1818" s="115" t="e">
        <v>#N/A</v>
      </c>
      <c r="CZ1818" s="137" t="e">
        <v>#N/A</v>
      </c>
      <c r="DA1818">
        <v>0.11332468572476186</v>
      </c>
      <c r="DB1818" t="str">
        <v/>
      </c>
    </row>
    <row r="1819" spans="83:106" x14ac:dyDescent="0.2">
      <c r="CE1819"/>
      <c r="CF1819"/>
      <c r="CG1819"/>
      <c r="CH1819"/>
      <c r="CI1819"/>
      <c r="CU1819" s="42">
        <v>1814</v>
      </c>
      <c r="CV1819" s="115">
        <v>4</v>
      </c>
      <c r="CW1819" s="115">
        <v>0.11332468572476186</v>
      </c>
      <c r="CX1819" s="115" t="e">
        <v>#N/A</v>
      </c>
      <c r="CY1819" s="115" t="e">
        <v>#N/A</v>
      </c>
      <c r="CZ1819" s="137" t="e">
        <v>#N/A</v>
      </c>
      <c r="DA1819">
        <v>0.11332468572476186</v>
      </c>
      <c r="DB1819" t="str">
        <v/>
      </c>
    </row>
    <row r="1820" spans="83:106" x14ac:dyDescent="0.2">
      <c r="CE1820"/>
      <c r="CF1820"/>
      <c r="CG1820"/>
      <c r="CH1820"/>
      <c r="CI1820"/>
      <c r="CU1820" s="42">
        <v>1815</v>
      </c>
      <c r="CV1820" s="115">
        <v>4</v>
      </c>
      <c r="CW1820" s="115">
        <v>0.11332468572476186</v>
      </c>
      <c r="CX1820" s="115" t="e">
        <v>#N/A</v>
      </c>
      <c r="CY1820" s="115" t="e">
        <v>#N/A</v>
      </c>
      <c r="CZ1820" s="137" t="e">
        <v>#N/A</v>
      </c>
      <c r="DA1820">
        <v>0.11332468572476186</v>
      </c>
      <c r="DB1820" t="str">
        <v/>
      </c>
    </row>
    <row r="1821" spans="83:106" x14ac:dyDescent="0.2">
      <c r="CE1821"/>
      <c r="CF1821"/>
      <c r="CG1821"/>
      <c r="CH1821"/>
      <c r="CI1821"/>
      <c r="CU1821" s="42">
        <v>1816</v>
      </c>
      <c r="CV1821" s="115">
        <v>4</v>
      </c>
      <c r="CW1821" s="115">
        <v>0.11332468572476186</v>
      </c>
      <c r="CX1821" s="115" t="e">
        <v>#N/A</v>
      </c>
      <c r="CY1821" s="115" t="e">
        <v>#N/A</v>
      </c>
      <c r="CZ1821" s="137" t="e">
        <v>#N/A</v>
      </c>
      <c r="DA1821">
        <v>0.11332468572476186</v>
      </c>
      <c r="DB1821" t="str">
        <v/>
      </c>
    </row>
    <row r="1822" spans="83:106" x14ac:dyDescent="0.2">
      <c r="CE1822"/>
      <c r="CF1822"/>
      <c r="CG1822"/>
      <c r="CH1822"/>
      <c r="CI1822"/>
      <c r="CU1822" s="42">
        <v>1817</v>
      </c>
      <c r="CV1822" s="115">
        <v>4</v>
      </c>
      <c r="CW1822" s="115">
        <v>0.11332468572476186</v>
      </c>
      <c r="CX1822" s="115" t="e">
        <v>#N/A</v>
      </c>
      <c r="CY1822" s="115" t="e">
        <v>#N/A</v>
      </c>
      <c r="CZ1822" s="137" t="e">
        <v>#N/A</v>
      </c>
      <c r="DA1822">
        <v>0.11332468572476186</v>
      </c>
      <c r="DB1822" t="str">
        <v/>
      </c>
    </row>
    <row r="1823" spans="83:106" x14ac:dyDescent="0.2">
      <c r="CE1823"/>
      <c r="CF1823"/>
      <c r="CG1823"/>
      <c r="CH1823"/>
      <c r="CI1823"/>
      <c r="CU1823" s="42">
        <v>1818</v>
      </c>
      <c r="CV1823" s="115">
        <v>4</v>
      </c>
      <c r="CW1823" s="115">
        <v>0.11332468572476186</v>
      </c>
      <c r="CX1823" s="115" t="e">
        <v>#N/A</v>
      </c>
      <c r="CY1823" s="115" t="e">
        <v>#N/A</v>
      </c>
      <c r="CZ1823" s="137" t="e">
        <v>#N/A</v>
      </c>
      <c r="DA1823">
        <v>0.11332468572476186</v>
      </c>
      <c r="DB1823" t="str">
        <v/>
      </c>
    </row>
    <row r="1824" spans="83:106" x14ac:dyDescent="0.2">
      <c r="CE1824"/>
      <c r="CF1824"/>
      <c r="CG1824"/>
      <c r="CH1824"/>
      <c r="CI1824"/>
      <c r="CU1824" s="42">
        <v>1819</v>
      </c>
      <c r="CV1824" s="115">
        <v>4</v>
      </c>
      <c r="CW1824" s="115">
        <v>0.11332468572476186</v>
      </c>
      <c r="CX1824" s="115" t="e">
        <v>#N/A</v>
      </c>
      <c r="CY1824" s="115" t="e">
        <v>#N/A</v>
      </c>
      <c r="CZ1824" s="137" t="e">
        <v>#N/A</v>
      </c>
      <c r="DA1824">
        <v>0.11332468572476186</v>
      </c>
      <c r="DB1824" t="str">
        <v/>
      </c>
    </row>
    <row r="1825" spans="83:106" x14ac:dyDescent="0.2">
      <c r="CE1825"/>
      <c r="CF1825"/>
      <c r="CG1825"/>
      <c r="CH1825"/>
      <c r="CI1825"/>
      <c r="CU1825" s="42">
        <v>1820</v>
      </c>
      <c r="CV1825" s="115">
        <v>4</v>
      </c>
      <c r="CW1825" s="115">
        <v>0.11332468572476186</v>
      </c>
      <c r="CX1825" s="115" t="e">
        <v>#N/A</v>
      </c>
      <c r="CY1825" s="115" t="e">
        <v>#N/A</v>
      </c>
      <c r="CZ1825" s="137" t="e">
        <v>#N/A</v>
      </c>
      <c r="DA1825">
        <v>0.11332468572476186</v>
      </c>
      <c r="DB1825" t="str">
        <v/>
      </c>
    </row>
    <row r="1826" spans="83:106" x14ac:dyDescent="0.2">
      <c r="CE1826"/>
      <c r="CF1826"/>
      <c r="CG1826"/>
      <c r="CH1826"/>
      <c r="CI1826"/>
      <c r="CU1826" s="42">
        <v>1821</v>
      </c>
      <c r="CV1826" s="115">
        <v>4</v>
      </c>
      <c r="CW1826" s="115">
        <v>0.11332468572476186</v>
      </c>
      <c r="CX1826" s="115" t="e">
        <v>#N/A</v>
      </c>
      <c r="CY1826" s="115" t="e">
        <v>#N/A</v>
      </c>
      <c r="CZ1826" s="137" t="e">
        <v>#N/A</v>
      </c>
      <c r="DA1826">
        <v>0.11332468572476186</v>
      </c>
      <c r="DB1826" t="str">
        <v/>
      </c>
    </row>
    <row r="1827" spans="83:106" x14ac:dyDescent="0.2">
      <c r="CE1827"/>
      <c r="CF1827"/>
      <c r="CG1827"/>
      <c r="CH1827"/>
      <c r="CI1827"/>
      <c r="CU1827" s="42">
        <v>1822</v>
      </c>
      <c r="CV1827" s="115">
        <v>4</v>
      </c>
      <c r="CW1827" s="115">
        <v>0.11332468572476186</v>
      </c>
      <c r="CX1827" s="115" t="e">
        <v>#N/A</v>
      </c>
      <c r="CY1827" s="115" t="e">
        <v>#N/A</v>
      </c>
      <c r="CZ1827" s="137" t="e">
        <v>#N/A</v>
      </c>
      <c r="DA1827">
        <v>0.11332468572476186</v>
      </c>
      <c r="DB1827" t="str">
        <v/>
      </c>
    </row>
    <row r="1828" spans="83:106" x14ac:dyDescent="0.2">
      <c r="CE1828"/>
      <c r="CF1828"/>
      <c r="CG1828"/>
      <c r="CH1828"/>
      <c r="CI1828"/>
      <c r="CU1828" s="42">
        <v>1823</v>
      </c>
      <c r="CV1828" s="115">
        <v>4</v>
      </c>
      <c r="CW1828" s="115">
        <v>0.11332468572476186</v>
      </c>
      <c r="CX1828" s="115" t="e">
        <v>#N/A</v>
      </c>
      <c r="CY1828" s="115" t="e">
        <v>#N/A</v>
      </c>
      <c r="CZ1828" s="137" t="e">
        <v>#N/A</v>
      </c>
      <c r="DA1828">
        <v>0.11332468572476186</v>
      </c>
      <c r="DB1828" t="str">
        <v/>
      </c>
    </row>
    <row r="1829" spans="83:106" x14ac:dyDescent="0.2">
      <c r="CE1829"/>
      <c r="CF1829"/>
      <c r="CG1829"/>
      <c r="CH1829"/>
      <c r="CI1829"/>
      <c r="CU1829" s="42">
        <v>1824</v>
      </c>
      <c r="CV1829" s="115">
        <v>4</v>
      </c>
      <c r="CW1829" s="115">
        <v>0.11332468572476186</v>
      </c>
      <c r="CX1829" s="115" t="e">
        <v>#N/A</v>
      </c>
      <c r="CY1829" s="115" t="e">
        <v>#N/A</v>
      </c>
      <c r="CZ1829" s="137" t="e">
        <v>#N/A</v>
      </c>
      <c r="DA1829">
        <v>0.11332468572476186</v>
      </c>
      <c r="DB1829" t="str">
        <v/>
      </c>
    </row>
    <row r="1830" spans="83:106" x14ac:dyDescent="0.2">
      <c r="CE1830"/>
      <c r="CF1830"/>
      <c r="CG1830"/>
      <c r="CH1830"/>
      <c r="CI1830"/>
      <c r="CU1830" s="42">
        <v>1825</v>
      </c>
      <c r="CV1830" s="115">
        <v>4</v>
      </c>
      <c r="CW1830" s="115">
        <v>0.11332468572476186</v>
      </c>
      <c r="CX1830" s="115" t="e">
        <v>#N/A</v>
      </c>
      <c r="CY1830" s="115" t="e">
        <v>#N/A</v>
      </c>
      <c r="CZ1830" s="137" t="e">
        <v>#N/A</v>
      </c>
      <c r="DA1830">
        <v>0.11332468572476186</v>
      </c>
      <c r="DB1830" t="str">
        <v/>
      </c>
    </row>
    <row r="1831" spans="83:106" x14ac:dyDescent="0.2">
      <c r="CE1831"/>
      <c r="CF1831"/>
      <c r="CG1831"/>
      <c r="CH1831"/>
      <c r="CI1831"/>
      <c r="CU1831" s="42">
        <v>1826</v>
      </c>
      <c r="CV1831" s="115">
        <v>4</v>
      </c>
      <c r="CW1831" s="115">
        <v>0.11332468572476186</v>
      </c>
      <c r="CX1831" s="115" t="e">
        <v>#N/A</v>
      </c>
      <c r="CY1831" s="115" t="e">
        <v>#N/A</v>
      </c>
      <c r="CZ1831" s="137" t="e">
        <v>#N/A</v>
      </c>
      <c r="DA1831">
        <v>0.11332468572476186</v>
      </c>
      <c r="DB1831" t="str">
        <v/>
      </c>
    </row>
    <row r="1832" spans="83:106" x14ac:dyDescent="0.2">
      <c r="CE1832"/>
      <c r="CF1832"/>
      <c r="CG1832"/>
      <c r="CH1832"/>
      <c r="CI1832"/>
      <c r="CU1832" s="42">
        <v>1827</v>
      </c>
      <c r="CV1832" s="115">
        <v>4</v>
      </c>
      <c r="CW1832" s="115">
        <v>0.11332468572476186</v>
      </c>
      <c r="CX1832" s="115" t="e">
        <v>#N/A</v>
      </c>
      <c r="CY1832" s="115" t="e">
        <v>#N/A</v>
      </c>
      <c r="CZ1832" s="137" t="e">
        <v>#N/A</v>
      </c>
      <c r="DA1832">
        <v>0.11332468572476186</v>
      </c>
      <c r="DB1832" t="str">
        <v/>
      </c>
    </row>
    <row r="1833" spans="83:106" x14ac:dyDescent="0.2">
      <c r="CE1833"/>
      <c r="CF1833"/>
      <c r="CG1833"/>
      <c r="CH1833"/>
      <c r="CI1833"/>
      <c r="CU1833" s="42">
        <v>1828</v>
      </c>
      <c r="CV1833" s="115">
        <v>4</v>
      </c>
      <c r="CW1833" s="115">
        <v>0.11332468572476186</v>
      </c>
      <c r="CX1833" s="115" t="e">
        <v>#N/A</v>
      </c>
      <c r="CY1833" s="115" t="e">
        <v>#N/A</v>
      </c>
      <c r="CZ1833" s="137" t="e">
        <v>#N/A</v>
      </c>
      <c r="DA1833">
        <v>0.11332468572476186</v>
      </c>
      <c r="DB1833" t="str">
        <v/>
      </c>
    </row>
    <row r="1834" spans="83:106" x14ac:dyDescent="0.2">
      <c r="CE1834"/>
      <c r="CF1834"/>
      <c r="CG1834"/>
      <c r="CH1834"/>
      <c r="CI1834"/>
      <c r="CU1834" s="42">
        <v>1829</v>
      </c>
      <c r="CV1834" s="115">
        <v>4</v>
      </c>
      <c r="CW1834" s="115">
        <v>0.11332468572476186</v>
      </c>
      <c r="CX1834" s="115" t="e">
        <v>#N/A</v>
      </c>
      <c r="CY1834" s="115" t="e">
        <v>#N/A</v>
      </c>
      <c r="CZ1834" s="137" t="e">
        <v>#N/A</v>
      </c>
      <c r="DA1834">
        <v>0.11332468572476186</v>
      </c>
      <c r="DB1834" t="str">
        <v/>
      </c>
    </row>
    <row r="1835" spans="83:106" x14ac:dyDescent="0.2">
      <c r="CE1835"/>
      <c r="CF1835"/>
      <c r="CG1835"/>
      <c r="CH1835"/>
      <c r="CI1835"/>
      <c r="CU1835" s="42">
        <v>1830</v>
      </c>
      <c r="CV1835" s="115">
        <v>4</v>
      </c>
      <c r="CW1835" s="115">
        <v>0.11332468572476186</v>
      </c>
      <c r="CX1835" s="115" t="e">
        <v>#N/A</v>
      </c>
      <c r="CY1835" s="115" t="e">
        <v>#N/A</v>
      </c>
      <c r="CZ1835" s="137" t="e">
        <v>#N/A</v>
      </c>
      <c r="DA1835">
        <v>0.11332468572476186</v>
      </c>
      <c r="DB1835" t="str">
        <v/>
      </c>
    </row>
    <row r="1836" spans="83:106" x14ac:dyDescent="0.2">
      <c r="CE1836"/>
      <c r="CF1836"/>
      <c r="CG1836"/>
      <c r="CH1836"/>
      <c r="CI1836"/>
      <c r="CU1836" s="42">
        <v>1831</v>
      </c>
      <c r="CV1836" s="115">
        <v>4</v>
      </c>
      <c r="CW1836" s="115">
        <v>0.11332468572476186</v>
      </c>
      <c r="CX1836" s="115" t="e">
        <v>#N/A</v>
      </c>
      <c r="CY1836" s="115" t="e">
        <v>#N/A</v>
      </c>
      <c r="CZ1836" s="137" t="e">
        <v>#N/A</v>
      </c>
      <c r="DA1836">
        <v>0.11332468572476186</v>
      </c>
      <c r="DB1836" t="str">
        <v/>
      </c>
    </row>
    <row r="1837" spans="83:106" x14ac:dyDescent="0.2">
      <c r="CE1837"/>
      <c r="CF1837"/>
      <c r="CG1837"/>
      <c r="CH1837"/>
      <c r="CI1837"/>
      <c r="CU1837" s="42">
        <v>1832</v>
      </c>
      <c r="CV1837" s="115">
        <v>4</v>
      </c>
      <c r="CW1837" s="115">
        <v>0.11332468572476186</v>
      </c>
      <c r="CX1837" s="115" t="e">
        <v>#N/A</v>
      </c>
      <c r="CY1837" s="115" t="e">
        <v>#N/A</v>
      </c>
      <c r="CZ1837" s="137" t="e">
        <v>#N/A</v>
      </c>
      <c r="DA1837">
        <v>0.11332468572476186</v>
      </c>
      <c r="DB1837" t="str">
        <v/>
      </c>
    </row>
    <row r="1838" spans="83:106" x14ac:dyDescent="0.2">
      <c r="CE1838"/>
      <c r="CF1838"/>
      <c r="CG1838"/>
      <c r="CH1838"/>
      <c r="CI1838"/>
      <c r="CU1838" s="42">
        <v>1833</v>
      </c>
      <c r="CV1838" s="115">
        <v>4</v>
      </c>
      <c r="CW1838" s="115">
        <v>0.11332468572476186</v>
      </c>
      <c r="CX1838" s="115" t="e">
        <v>#N/A</v>
      </c>
      <c r="CY1838" s="115" t="e">
        <v>#N/A</v>
      </c>
      <c r="CZ1838" s="137" t="e">
        <v>#N/A</v>
      </c>
      <c r="DA1838">
        <v>0.11332468572476186</v>
      </c>
      <c r="DB1838" t="str">
        <v/>
      </c>
    </row>
    <row r="1839" spans="83:106" x14ac:dyDescent="0.2">
      <c r="CE1839"/>
      <c r="CF1839"/>
      <c r="CG1839"/>
      <c r="CH1839"/>
      <c r="CI1839"/>
      <c r="CU1839" s="42">
        <v>1834</v>
      </c>
      <c r="CV1839" s="115">
        <v>4</v>
      </c>
      <c r="CW1839" s="115">
        <v>0.11332468572476186</v>
      </c>
      <c r="CX1839" s="115" t="e">
        <v>#N/A</v>
      </c>
      <c r="CY1839" s="115" t="e">
        <v>#N/A</v>
      </c>
      <c r="CZ1839" s="137" t="e">
        <v>#N/A</v>
      </c>
      <c r="DA1839">
        <v>0.11332468572476186</v>
      </c>
      <c r="DB1839" t="str">
        <v/>
      </c>
    </row>
    <row r="1840" spans="83:106" x14ac:dyDescent="0.2">
      <c r="CE1840"/>
      <c r="CF1840"/>
      <c r="CG1840"/>
      <c r="CH1840"/>
      <c r="CI1840"/>
      <c r="CU1840" s="42">
        <v>1835</v>
      </c>
      <c r="CV1840" s="115">
        <v>4</v>
      </c>
      <c r="CW1840" s="115">
        <v>0.11332468572476186</v>
      </c>
      <c r="CX1840" s="115" t="e">
        <v>#N/A</v>
      </c>
      <c r="CY1840" s="115" t="e">
        <v>#N/A</v>
      </c>
      <c r="CZ1840" s="137" t="e">
        <v>#N/A</v>
      </c>
      <c r="DA1840">
        <v>0.11332468572476186</v>
      </c>
      <c r="DB1840" t="str">
        <v/>
      </c>
    </row>
    <row r="1841" spans="83:106" x14ac:dyDescent="0.2">
      <c r="CE1841"/>
      <c r="CF1841"/>
      <c r="CG1841"/>
      <c r="CH1841"/>
      <c r="CI1841"/>
      <c r="CU1841" s="42">
        <v>1836</v>
      </c>
      <c r="CV1841" s="115">
        <v>4</v>
      </c>
      <c r="CW1841" s="115">
        <v>0.11332468572476186</v>
      </c>
      <c r="CX1841" s="115" t="e">
        <v>#N/A</v>
      </c>
      <c r="CY1841" s="115" t="e">
        <v>#N/A</v>
      </c>
      <c r="CZ1841" s="137" t="e">
        <v>#N/A</v>
      </c>
      <c r="DA1841">
        <v>0.11332468572476186</v>
      </c>
      <c r="DB1841" t="str">
        <v/>
      </c>
    </row>
    <row r="1842" spans="83:106" x14ac:dyDescent="0.2">
      <c r="CE1842"/>
      <c r="CF1842"/>
      <c r="CG1842"/>
      <c r="CH1842"/>
      <c r="CI1842"/>
      <c r="CU1842" s="42">
        <v>1837</v>
      </c>
      <c r="CV1842" s="115">
        <v>4</v>
      </c>
      <c r="CW1842" s="115">
        <v>0.11332468572476186</v>
      </c>
      <c r="CX1842" s="115" t="e">
        <v>#N/A</v>
      </c>
      <c r="CY1842" s="115" t="e">
        <v>#N/A</v>
      </c>
      <c r="CZ1842" s="137" t="e">
        <v>#N/A</v>
      </c>
      <c r="DA1842">
        <v>0.11332468572476186</v>
      </c>
      <c r="DB1842" t="str">
        <v/>
      </c>
    </row>
    <row r="1843" spans="83:106" x14ac:dyDescent="0.2">
      <c r="CE1843"/>
      <c r="CF1843"/>
      <c r="CG1843"/>
      <c r="CH1843"/>
      <c r="CI1843"/>
      <c r="CU1843" s="42">
        <v>1838</v>
      </c>
      <c r="CV1843" s="115">
        <v>4</v>
      </c>
      <c r="CW1843" s="115">
        <v>0.11332468572476186</v>
      </c>
      <c r="CX1843" s="115" t="e">
        <v>#N/A</v>
      </c>
      <c r="CY1843" s="115" t="e">
        <v>#N/A</v>
      </c>
      <c r="CZ1843" s="137" t="e">
        <v>#N/A</v>
      </c>
      <c r="DA1843">
        <v>0.11332468572476186</v>
      </c>
      <c r="DB1843" t="str">
        <v/>
      </c>
    </row>
    <row r="1844" spans="83:106" x14ac:dyDescent="0.2">
      <c r="CE1844"/>
      <c r="CF1844"/>
      <c r="CG1844"/>
      <c r="CH1844"/>
      <c r="CI1844"/>
      <c r="CU1844" s="42">
        <v>1839</v>
      </c>
      <c r="CV1844" s="115">
        <v>4</v>
      </c>
      <c r="CW1844" s="115">
        <v>0.11332468572476186</v>
      </c>
      <c r="CX1844" s="115" t="e">
        <v>#N/A</v>
      </c>
      <c r="CY1844" s="115" t="e">
        <v>#N/A</v>
      </c>
      <c r="CZ1844" s="137" t="e">
        <v>#N/A</v>
      </c>
      <c r="DA1844">
        <v>0.11332468572476186</v>
      </c>
      <c r="DB1844" t="str">
        <v/>
      </c>
    </row>
    <row r="1845" spans="83:106" x14ac:dyDescent="0.2">
      <c r="CE1845"/>
      <c r="CF1845"/>
      <c r="CG1845"/>
      <c r="CH1845"/>
      <c r="CI1845"/>
      <c r="CU1845" s="42">
        <v>1840</v>
      </c>
      <c r="CV1845" s="115">
        <v>4</v>
      </c>
      <c r="CW1845" s="115">
        <v>0.11332468572476186</v>
      </c>
      <c r="CX1845" s="115" t="e">
        <v>#N/A</v>
      </c>
      <c r="CY1845" s="115" t="e">
        <v>#N/A</v>
      </c>
      <c r="CZ1845" s="137" t="e">
        <v>#N/A</v>
      </c>
      <c r="DA1845">
        <v>0.11332468572476186</v>
      </c>
      <c r="DB1845" t="str">
        <v/>
      </c>
    </row>
    <row r="1846" spans="83:106" x14ac:dyDescent="0.2">
      <c r="CE1846"/>
      <c r="CF1846"/>
      <c r="CG1846"/>
      <c r="CH1846"/>
      <c r="CI1846"/>
      <c r="CU1846" s="42">
        <v>1841</v>
      </c>
      <c r="CV1846" s="115">
        <v>4</v>
      </c>
      <c r="CW1846" s="115">
        <v>0.11332468572476186</v>
      </c>
      <c r="CX1846" s="115" t="e">
        <v>#N/A</v>
      </c>
      <c r="CY1846" s="115" t="e">
        <v>#N/A</v>
      </c>
      <c r="CZ1846" s="137" t="e">
        <v>#N/A</v>
      </c>
      <c r="DA1846">
        <v>0.11332468572476186</v>
      </c>
      <c r="DB1846" t="str">
        <v/>
      </c>
    </row>
    <row r="1847" spans="83:106" x14ac:dyDescent="0.2">
      <c r="CE1847"/>
      <c r="CF1847"/>
      <c r="CG1847"/>
      <c r="CH1847"/>
      <c r="CI1847"/>
      <c r="CU1847" s="42">
        <v>1842</v>
      </c>
      <c r="CV1847" s="115">
        <v>4</v>
      </c>
      <c r="CW1847" s="115">
        <v>0.11332468572476186</v>
      </c>
      <c r="CX1847" s="115" t="e">
        <v>#N/A</v>
      </c>
      <c r="CY1847" s="115" t="e">
        <v>#N/A</v>
      </c>
      <c r="CZ1847" s="137" t="e">
        <v>#N/A</v>
      </c>
      <c r="DA1847">
        <v>0.11332468572476186</v>
      </c>
      <c r="DB1847" t="str">
        <v/>
      </c>
    </row>
    <row r="1848" spans="83:106" x14ac:dyDescent="0.2">
      <c r="CE1848"/>
      <c r="CF1848"/>
      <c r="CG1848"/>
      <c r="CH1848"/>
      <c r="CI1848"/>
      <c r="CU1848" s="42">
        <v>1843</v>
      </c>
      <c r="CV1848" s="115">
        <v>4</v>
      </c>
      <c r="CW1848" s="115">
        <v>0.11332468572476186</v>
      </c>
      <c r="CX1848" s="115" t="e">
        <v>#N/A</v>
      </c>
      <c r="CY1848" s="115" t="e">
        <v>#N/A</v>
      </c>
      <c r="CZ1848" s="137" t="e">
        <v>#N/A</v>
      </c>
      <c r="DA1848">
        <v>0.11332468572476186</v>
      </c>
      <c r="DB1848" t="str">
        <v/>
      </c>
    </row>
    <row r="1849" spans="83:106" x14ac:dyDescent="0.2">
      <c r="CE1849"/>
      <c r="CF1849"/>
      <c r="CG1849"/>
      <c r="CH1849"/>
      <c r="CI1849"/>
      <c r="CU1849" s="42">
        <v>1844</v>
      </c>
      <c r="CV1849" s="115">
        <v>4</v>
      </c>
      <c r="CW1849" s="115">
        <v>0.11332468572476186</v>
      </c>
      <c r="CX1849" s="115" t="e">
        <v>#N/A</v>
      </c>
      <c r="CY1849" s="115" t="e">
        <v>#N/A</v>
      </c>
      <c r="CZ1849" s="137" t="e">
        <v>#N/A</v>
      </c>
      <c r="DA1849">
        <v>0.11332468572476186</v>
      </c>
      <c r="DB1849" t="str">
        <v/>
      </c>
    </row>
    <row r="1850" spans="83:106" x14ac:dyDescent="0.2">
      <c r="CE1850"/>
      <c r="CF1850"/>
      <c r="CG1850"/>
      <c r="CH1850"/>
      <c r="CI1850"/>
      <c r="CU1850" s="42">
        <v>1845</v>
      </c>
      <c r="CV1850" s="115">
        <v>4</v>
      </c>
      <c r="CW1850" s="115">
        <v>0.11332468572476186</v>
      </c>
      <c r="CX1850" s="115" t="e">
        <v>#N/A</v>
      </c>
      <c r="CY1850" s="115" t="e">
        <v>#N/A</v>
      </c>
      <c r="CZ1850" s="137" t="e">
        <v>#N/A</v>
      </c>
      <c r="DA1850">
        <v>0.11332468572476186</v>
      </c>
      <c r="DB1850" t="str">
        <v/>
      </c>
    </row>
    <row r="1851" spans="83:106" x14ac:dyDescent="0.2">
      <c r="CE1851"/>
      <c r="CF1851"/>
      <c r="CG1851"/>
      <c r="CH1851"/>
      <c r="CI1851"/>
      <c r="CU1851" s="42">
        <v>1846</v>
      </c>
      <c r="CV1851" s="115">
        <v>4</v>
      </c>
      <c r="CW1851" s="115">
        <v>0.11332468572476186</v>
      </c>
      <c r="CX1851" s="115" t="e">
        <v>#N/A</v>
      </c>
      <c r="CY1851" s="115" t="e">
        <v>#N/A</v>
      </c>
      <c r="CZ1851" s="137" t="e">
        <v>#N/A</v>
      </c>
      <c r="DA1851">
        <v>0.11332468572476186</v>
      </c>
      <c r="DB1851" t="str">
        <v/>
      </c>
    </row>
    <row r="1852" spans="83:106" x14ac:dyDescent="0.2">
      <c r="CE1852"/>
      <c r="CF1852"/>
      <c r="CG1852"/>
      <c r="CH1852"/>
      <c r="CI1852"/>
      <c r="CU1852" s="42">
        <v>1847</v>
      </c>
      <c r="CV1852" s="115">
        <v>4</v>
      </c>
      <c r="CW1852" s="115">
        <v>0.11332468572476186</v>
      </c>
      <c r="CX1852" s="115" t="e">
        <v>#N/A</v>
      </c>
      <c r="CY1852" s="115" t="e">
        <v>#N/A</v>
      </c>
      <c r="CZ1852" s="137" t="e">
        <v>#N/A</v>
      </c>
      <c r="DA1852">
        <v>0.11332468572476186</v>
      </c>
      <c r="DB1852" t="str">
        <v/>
      </c>
    </row>
    <row r="1853" spans="83:106" x14ac:dyDescent="0.2">
      <c r="CE1853"/>
      <c r="CF1853"/>
      <c r="CG1853"/>
      <c r="CH1853"/>
      <c r="CI1853"/>
      <c r="CU1853" s="42">
        <v>1848</v>
      </c>
      <c r="CV1853" s="115">
        <v>4</v>
      </c>
      <c r="CW1853" s="115">
        <v>0.11332468572476186</v>
      </c>
      <c r="CX1853" s="115" t="e">
        <v>#N/A</v>
      </c>
      <c r="CY1853" s="115" t="e">
        <v>#N/A</v>
      </c>
      <c r="CZ1853" s="137" t="e">
        <v>#N/A</v>
      </c>
      <c r="DA1853">
        <v>0.11332468572476186</v>
      </c>
      <c r="DB1853" t="str">
        <v/>
      </c>
    </row>
    <row r="1854" spans="83:106" x14ac:dyDescent="0.2">
      <c r="CE1854"/>
      <c r="CF1854"/>
      <c r="CG1854"/>
      <c r="CH1854"/>
      <c r="CI1854"/>
      <c r="CU1854" s="42">
        <v>1849</v>
      </c>
      <c r="CV1854" s="115">
        <v>4</v>
      </c>
      <c r="CW1854" s="115">
        <v>0.11332468572476186</v>
      </c>
      <c r="CX1854" s="115" t="e">
        <v>#N/A</v>
      </c>
      <c r="CY1854" s="115" t="e">
        <v>#N/A</v>
      </c>
      <c r="CZ1854" s="137" t="e">
        <v>#N/A</v>
      </c>
      <c r="DA1854">
        <v>0.11332468572476186</v>
      </c>
      <c r="DB1854" t="str">
        <v/>
      </c>
    </row>
    <row r="1855" spans="83:106" x14ac:dyDescent="0.2">
      <c r="CE1855"/>
      <c r="CF1855"/>
      <c r="CG1855"/>
      <c r="CH1855"/>
      <c r="CI1855"/>
      <c r="CU1855" s="42">
        <v>1850</v>
      </c>
      <c r="CV1855" s="115">
        <v>4</v>
      </c>
      <c r="CW1855" s="115">
        <v>0.11332468572476186</v>
      </c>
      <c r="CX1855" s="115" t="e">
        <v>#N/A</v>
      </c>
      <c r="CY1855" s="115" t="e">
        <v>#N/A</v>
      </c>
      <c r="CZ1855" s="137" t="e">
        <v>#N/A</v>
      </c>
      <c r="DA1855">
        <v>0.11332468572476186</v>
      </c>
      <c r="DB1855" t="str">
        <v/>
      </c>
    </row>
    <row r="1856" spans="83:106" x14ac:dyDescent="0.2">
      <c r="CE1856"/>
      <c r="CF1856"/>
      <c r="CG1856"/>
      <c r="CH1856"/>
      <c r="CI1856"/>
      <c r="CU1856" s="42">
        <v>1851</v>
      </c>
      <c r="CV1856" s="115">
        <v>4</v>
      </c>
      <c r="CW1856" s="115">
        <v>0.11332468572476186</v>
      </c>
      <c r="CX1856" s="115" t="e">
        <v>#N/A</v>
      </c>
      <c r="CY1856" s="115" t="e">
        <v>#N/A</v>
      </c>
      <c r="CZ1856" s="137" t="e">
        <v>#N/A</v>
      </c>
      <c r="DA1856">
        <v>0.11332468572476186</v>
      </c>
      <c r="DB1856" t="str">
        <v/>
      </c>
    </row>
    <row r="1857" spans="83:106" x14ac:dyDescent="0.2">
      <c r="CE1857"/>
      <c r="CF1857"/>
      <c r="CG1857"/>
      <c r="CH1857"/>
      <c r="CI1857"/>
      <c r="CU1857" s="42">
        <v>1852</v>
      </c>
      <c r="CV1857" s="115">
        <v>4</v>
      </c>
      <c r="CW1857" s="115">
        <v>0.11332468572476186</v>
      </c>
      <c r="CX1857" s="115" t="e">
        <v>#N/A</v>
      </c>
      <c r="CY1857" s="115" t="e">
        <v>#N/A</v>
      </c>
      <c r="CZ1857" s="137" t="e">
        <v>#N/A</v>
      </c>
      <c r="DA1857">
        <v>0.11332468572476186</v>
      </c>
      <c r="DB1857" t="str">
        <v/>
      </c>
    </row>
    <row r="1858" spans="83:106" x14ac:dyDescent="0.2">
      <c r="CE1858"/>
      <c r="CF1858"/>
      <c r="CG1858"/>
      <c r="CH1858"/>
      <c r="CI1858"/>
      <c r="CU1858" s="42">
        <v>1853</v>
      </c>
      <c r="CV1858" s="115">
        <v>4</v>
      </c>
      <c r="CW1858" s="115">
        <v>0.11332468572476186</v>
      </c>
      <c r="CX1858" s="115" t="e">
        <v>#N/A</v>
      </c>
      <c r="CY1858" s="115" t="e">
        <v>#N/A</v>
      </c>
      <c r="CZ1858" s="137" t="e">
        <v>#N/A</v>
      </c>
      <c r="DA1858">
        <v>0.11332468572476186</v>
      </c>
      <c r="DB1858" t="str">
        <v/>
      </c>
    </row>
    <row r="1859" spans="83:106" x14ac:dyDescent="0.2">
      <c r="CE1859"/>
      <c r="CF1859"/>
      <c r="CG1859"/>
      <c r="CH1859"/>
      <c r="CI1859"/>
      <c r="CU1859" s="42">
        <v>1854</v>
      </c>
      <c r="CV1859" s="115">
        <v>4</v>
      </c>
      <c r="CW1859" s="115">
        <v>0.11332468572476186</v>
      </c>
      <c r="CX1859" s="115" t="e">
        <v>#N/A</v>
      </c>
      <c r="CY1859" s="115" t="e">
        <v>#N/A</v>
      </c>
      <c r="CZ1859" s="137" t="e">
        <v>#N/A</v>
      </c>
      <c r="DA1859">
        <v>0.11332468572476186</v>
      </c>
      <c r="DB1859" t="str">
        <v/>
      </c>
    </row>
    <row r="1860" spans="83:106" x14ac:dyDescent="0.2">
      <c r="CE1860"/>
      <c r="CF1860"/>
      <c r="CG1860"/>
      <c r="CH1860"/>
      <c r="CI1860"/>
      <c r="CU1860" s="42">
        <v>1855</v>
      </c>
      <c r="CV1860" s="115">
        <v>4</v>
      </c>
      <c r="CW1860" s="115">
        <v>0.11332468572476186</v>
      </c>
      <c r="CX1860" s="115" t="e">
        <v>#N/A</v>
      </c>
      <c r="CY1860" s="115" t="e">
        <v>#N/A</v>
      </c>
      <c r="CZ1860" s="137" t="e">
        <v>#N/A</v>
      </c>
      <c r="DA1860">
        <v>0.11332468572476186</v>
      </c>
      <c r="DB1860" t="str">
        <v/>
      </c>
    </row>
    <row r="1861" spans="83:106" x14ac:dyDescent="0.2">
      <c r="CE1861"/>
      <c r="CF1861"/>
      <c r="CG1861"/>
      <c r="CH1861"/>
      <c r="CI1861"/>
      <c r="CU1861" s="42">
        <v>1856</v>
      </c>
      <c r="CV1861" s="115">
        <v>4</v>
      </c>
      <c r="CW1861" s="115">
        <v>0.11332468572476186</v>
      </c>
      <c r="CX1861" s="115" t="e">
        <v>#N/A</v>
      </c>
      <c r="CY1861" s="115" t="e">
        <v>#N/A</v>
      </c>
      <c r="CZ1861" s="137" t="e">
        <v>#N/A</v>
      </c>
      <c r="DA1861">
        <v>0.11332468572476186</v>
      </c>
      <c r="DB1861" t="str">
        <v/>
      </c>
    </row>
    <row r="1862" spans="83:106" x14ac:dyDescent="0.2">
      <c r="CE1862"/>
      <c r="CF1862"/>
      <c r="CG1862"/>
      <c r="CH1862"/>
      <c r="CI1862"/>
      <c r="CU1862" s="42">
        <v>1857</v>
      </c>
      <c r="CV1862" s="115">
        <v>4</v>
      </c>
      <c r="CW1862" s="115">
        <v>0.11332468572476186</v>
      </c>
      <c r="CX1862" s="115" t="e">
        <v>#N/A</v>
      </c>
      <c r="CY1862" s="115" t="e">
        <v>#N/A</v>
      </c>
      <c r="CZ1862" s="137" t="e">
        <v>#N/A</v>
      </c>
      <c r="DA1862">
        <v>0.11332468572476186</v>
      </c>
      <c r="DB1862" t="str">
        <v/>
      </c>
    </row>
    <row r="1863" spans="83:106" x14ac:dyDescent="0.2">
      <c r="CE1863"/>
      <c r="CF1863"/>
      <c r="CG1863"/>
      <c r="CH1863"/>
      <c r="CI1863"/>
      <c r="CU1863" s="42">
        <v>1858</v>
      </c>
      <c r="CV1863" s="115">
        <v>4</v>
      </c>
      <c r="CW1863" s="115">
        <v>0.11332468572476186</v>
      </c>
      <c r="CX1863" s="115" t="e">
        <v>#N/A</v>
      </c>
      <c r="CY1863" s="115" t="e">
        <v>#N/A</v>
      </c>
      <c r="CZ1863" s="137" t="e">
        <v>#N/A</v>
      </c>
      <c r="DA1863">
        <v>0.11332468572476186</v>
      </c>
      <c r="DB1863" t="str">
        <v/>
      </c>
    </row>
    <row r="1864" spans="83:106" x14ac:dyDescent="0.2">
      <c r="CE1864"/>
      <c r="CF1864"/>
      <c r="CG1864"/>
      <c r="CH1864"/>
      <c r="CI1864"/>
      <c r="CU1864" s="42">
        <v>1859</v>
      </c>
      <c r="CV1864" s="115">
        <v>4</v>
      </c>
      <c r="CW1864" s="115">
        <v>0.11332468572476186</v>
      </c>
      <c r="CX1864" s="115" t="e">
        <v>#N/A</v>
      </c>
      <c r="CY1864" s="115" t="e">
        <v>#N/A</v>
      </c>
      <c r="CZ1864" s="137" t="e">
        <v>#N/A</v>
      </c>
      <c r="DA1864">
        <v>0.11332468572476186</v>
      </c>
      <c r="DB1864" t="str">
        <v/>
      </c>
    </row>
    <row r="1865" spans="83:106" x14ac:dyDescent="0.2">
      <c r="CE1865"/>
      <c r="CF1865"/>
      <c r="CG1865"/>
      <c r="CH1865"/>
      <c r="CI1865"/>
      <c r="CU1865" s="42">
        <v>1860</v>
      </c>
      <c r="CV1865" s="115">
        <v>4</v>
      </c>
      <c r="CW1865" s="115">
        <v>0.11332468572476186</v>
      </c>
      <c r="CX1865" s="115" t="e">
        <v>#N/A</v>
      </c>
      <c r="CY1865" s="115" t="e">
        <v>#N/A</v>
      </c>
      <c r="CZ1865" s="137" t="e">
        <v>#N/A</v>
      </c>
      <c r="DA1865">
        <v>0.11332468572476186</v>
      </c>
      <c r="DB1865" t="str">
        <v/>
      </c>
    </row>
    <row r="1866" spans="83:106" x14ac:dyDescent="0.2">
      <c r="CE1866"/>
      <c r="CF1866"/>
      <c r="CG1866"/>
      <c r="CH1866"/>
      <c r="CI1866"/>
      <c r="CU1866" s="42">
        <v>1861</v>
      </c>
      <c r="CV1866" s="115">
        <v>4</v>
      </c>
      <c r="CW1866" s="115">
        <v>0.11332468572476186</v>
      </c>
      <c r="CX1866" s="115" t="e">
        <v>#N/A</v>
      </c>
      <c r="CY1866" s="115" t="e">
        <v>#N/A</v>
      </c>
      <c r="CZ1866" s="137" t="e">
        <v>#N/A</v>
      </c>
      <c r="DA1866">
        <v>0.11332468572476186</v>
      </c>
      <c r="DB1866" t="str">
        <v/>
      </c>
    </row>
    <row r="1867" spans="83:106" x14ac:dyDescent="0.2">
      <c r="CE1867"/>
      <c r="CF1867"/>
      <c r="CG1867"/>
      <c r="CH1867"/>
      <c r="CI1867"/>
      <c r="CU1867" s="42">
        <v>1862</v>
      </c>
      <c r="CV1867" s="115">
        <v>4</v>
      </c>
      <c r="CW1867" s="115">
        <v>0.11332468572476186</v>
      </c>
      <c r="CX1867" s="115" t="e">
        <v>#N/A</v>
      </c>
      <c r="CY1867" s="115" t="e">
        <v>#N/A</v>
      </c>
      <c r="CZ1867" s="137" t="e">
        <v>#N/A</v>
      </c>
      <c r="DA1867">
        <v>0.11332468572476186</v>
      </c>
      <c r="DB1867" t="str">
        <v/>
      </c>
    </row>
    <row r="1868" spans="83:106" x14ac:dyDescent="0.2">
      <c r="CE1868"/>
      <c r="CF1868"/>
      <c r="CG1868"/>
      <c r="CH1868"/>
      <c r="CI1868"/>
      <c r="CU1868" s="42">
        <v>1863</v>
      </c>
      <c r="CV1868" s="115">
        <v>4</v>
      </c>
      <c r="CW1868" s="115">
        <v>0.11332468572476186</v>
      </c>
      <c r="CX1868" s="115" t="e">
        <v>#N/A</v>
      </c>
      <c r="CY1868" s="115" t="e">
        <v>#N/A</v>
      </c>
      <c r="CZ1868" s="137" t="e">
        <v>#N/A</v>
      </c>
      <c r="DA1868">
        <v>0.11332468572476186</v>
      </c>
      <c r="DB1868" t="str">
        <v/>
      </c>
    </row>
    <row r="1869" spans="83:106" x14ac:dyDescent="0.2">
      <c r="CE1869"/>
      <c r="CF1869"/>
      <c r="CG1869"/>
      <c r="CH1869"/>
      <c r="CI1869"/>
      <c r="CU1869" s="42">
        <v>1864</v>
      </c>
      <c r="CV1869" s="115">
        <v>4</v>
      </c>
      <c r="CW1869" s="115">
        <v>0.11332468572476186</v>
      </c>
      <c r="CX1869" s="115" t="e">
        <v>#N/A</v>
      </c>
      <c r="CY1869" s="115" t="e">
        <v>#N/A</v>
      </c>
      <c r="CZ1869" s="137" t="e">
        <v>#N/A</v>
      </c>
      <c r="DA1869">
        <v>0.11332468572476186</v>
      </c>
      <c r="DB1869" t="str">
        <v/>
      </c>
    </row>
    <row r="1870" spans="83:106" x14ac:dyDescent="0.2">
      <c r="CE1870"/>
      <c r="CF1870"/>
      <c r="CG1870"/>
      <c r="CH1870"/>
      <c r="CI1870"/>
      <c r="CU1870" s="42">
        <v>1865</v>
      </c>
      <c r="CV1870" s="115">
        <v>4</v>
      </c>
      <c r="CW1870" s="115">
        <v>0.11332468572476186</v>
      </c>
      <c r="CX1870" s="115" t="e">
        <v>#N/A</v>
      </c>
      <c r="CY1870" s="115" t="e">
        <v>#N/A</v>
      </c>
      <c r="CZ1870" s="137" t="e">
        <v>#N/A</v>
      </c>
      <c r="DA1870">
        <v>0.11332468572476186</v>
      </c>
      <c r="DB1870" t="str">
        <v/>
      </c>
    </row>
    <row r="1871" spans="83:106" x14ac:dyDescent="0.2">
      <c r="CE1871"/>
      <c r="CF1871"/>
      <c r="CG1871"/>
      <c r="CH1871"/>
      <c r="CI1871"/>
      <c r="CU1871" s="42">
        <v>1866</v>
      </c>
      <c r="CV1871" s="115">
        <v>4</v>
      </c>
      <c r="CW1871" s="115">
        <v>0.11332468572476186</v>
      </c>
      <c r="CX1871" s="115" t="e">
        <v>#N/A</v>
      </c>
      <c r="CY1871" s="115" t="e">
        <v>#N/A</v>
      </c>
      <c r="CZ1871" s="137" t="e">
        <v>#N/A</v>
      </c>
      <c r="DA1871">
        <v>0.11332468572476186</v>
      </c>
      <c r="DB1871" t="str">
        <v/>
      </c>
    </row>
    <row r="1872" spans="83:106" x14ac:dyDescent="0.2">
      <c r="CE1872"/>
      <c r="CF1872"/>
      <c r="CG1872"/>
      <c r="CH1872"/>
      <c r="CI1872"/>
      <c r="CU1872" s="42">
        <v>1867</v>
      </c>
      <c r="CV1872" s="115">
        <v>4</v>
      </c>
      <c r="CW1872" s="115">
        <v>0.11332468572476186</v>
      </c>
      <c r="CX1872" s="115" t="e">
        <v>#N/A</v>
      </c>
      <c r="CY1872" s="115" t="e">
        <v>#N/A</v>
      </c>
      <c r="CZ1872" s="137" t="e">
        <v>#N/A</v>
      </c>
      <c r="DA1872">
        <v>0.11332468572476186</v>
      </c>
      <c r="DB1872" t="str">
        <v/>
      </c>
    </row>
    <row r="1873" spans="83:106" x14ac:dyDescent="0.2">
      <c r="CE1873"/>
      <c r="CF1873"/>
      <c r="CG1873"/>
      <c r="CH1873"/>
      <c r="CI1873"/>
      <c r="CU1873" s="42">
        <v>1868</v>
      </c>
      <c r="CV1873" s="115">
        <v>4</v>
      </c>
      <c r="CW1873" s="115">
        <v>0.11332468572476186</v>
      </c>
      <c r="CX1873" s="115" t="e">
        <v>#N/A</v>
      </c>
      <c r="CY1873" s="115" t="e">
        <v>#N/A</v>
      </c>
      <c r="CZ1873" s="137" t="e">
        <v>#N/A</v>
      </c>
      <c r="DA1873">
        <v>0.11332468572476186</v>
      </c>
      <c r="DB1873" t="str">
        <v/>
      </c>
    </row>
    <row r="1874" spans="83:106" x14ac:dyDescent="0.2">
      <c r="CE1874"/>
      <c r="CF1874"/>
      <c r="CG1874"/>
      <c r="CH1874"/>
      <c r="CI1874"/>
      <c r="CU1874" s="42">
        <v>1869</v>
      </c>
      <c r="CV1874" s="115">
        <v>4</v>
      </c>
      <c r="CW1874" s="115">
        <v>0.11332468572476186</v>
      </c>
      <c r="CX1874" s="115" t="e">
        <v>#N/A</v>
      </c>
      <c r="CY1874" s="115" t="e">
        <v>#N/A</v>
      </c>
      <c r="CZ1874" s="137" t="e">
        <v>#N/A</v>
      </c>
      <c r="DA1874">
        <v>0.11332468572476186</v>
      </c>
      <c r="DB1874" t="str">
        <v/>
      </c>
    </row>
    <row r="1875" spans="83:106" x14ac:dyDescent="0.2">
      <c r="CE1875"/>
      <c r="CF1875"/>
      <c r="CG1875"/>
      <c r="CH1875"/>
      <c r="CI1875"/>
      <c r="CU1875" s="42">
        <v>1870</v>
      </c>
      <c r="CV1875" s="115">
        <v>4</v>
      </c>
      <c r="CW1875" s="115">
        <v>0.11332468572476186</v>
      </c>
      <c r="CX1875" s="115" t="e">
        <v>#N/A</v>
      </c>
      <c r="CY1875" s="115" t="e">
        <v>#N/A</v>
      </c>
      <c r="CZ1875" s="137" t="e">
        <v>#N/A</v>
      </c>
      <c r="DA1875">
        <v>0.11332468572476186</v>
      </c>
      <c r="DB1875" t="str">
        <v/>
      </c>
    </row>
    <row r="1876" spans="83:106" x14ac:dyDescent="0.2">
      <c r="CE1876"/>
      <c r="CF1876"/>
      <c r="CG1876"/>
      <c r="CH1876"/>
      <c r="CI1876"/>
      <c r="CU1876" s="42">
        <v>1871</v>
      </c>
      <c r="CV1876" s="115">
        <v>4</v>
      </c>
      <c r="CW1876" s="115">
        <v>0.11332468572476186</v>
      </c>
      <c r="CX1876" s="115" t="e">
        <v>#N/A</v>
      </c>
      <c r="CY1876" s="115" t="e">
        <v>#N/A</v>
      </c>
      <c r="CZ1876" s="137" t="e">
        <v>#N/A</v>
      </c>
      <c r="DA1876">
        <v>0.11332468572476186</v>
      </c>
      <c r="DB1876" t="str">
        <v/>
      </c>
    </row>
    <row r="1877" spans="83:106" x14ac:dyDescent="0.2">
      <c r="CE1877"/>
      <c r="CF1877"/>
      <c r="CG1877"/>
      <c r="CH1877"/>
      <c r="CI1877"/>
      <c r="CU1877" s="42">
        <v>1872</v>
      </c>
      <c r="CV1877" s="115">
        <v>4</v>
      </c>
      <c r="CW1877" s="115">
        <v>0.11332468572476186</v>
      </c>
      <c r="CX1877" s="115" t="e">
        <v>#N/A</v>
      </c>
      <c r="CY1877" s="115" t="e">
        <v>#N/A</v>
      </c>
      <c r="CZ1877" s="137" t="e">
        <v>#N/A</v>
      </c>
      <c r="DA1877">
        <v>0.11332468572476186</v>
      </c>
      <c r="DB1877" t="str">
        <v/>
      </c>
    </row>
    <row r="1878" spans="83:106" x14ac:dyDescent="0.2">
      <c r="CE1878"/>
      <c r="CF1878"/>
      <c r="CG1878"/>
      <c r="CH1878"/>
      <c r="CI1878"/>
      <c r="CU1878" s="42">
        <v>1873</v>
      </c>
      <c r="CV1878" s="115">
        <v>4</v>
      </c>
      <c r="CW1878" s="115">
        <v>0.11332468572476186</v>
      </c>
      <c r="CX1878" s="115" t="e">
        <v>#N/A</v>
      </c>
      <c r="CY1878" s="115" t="e">
        <v>#N/A</v>
      </c>
      <c r="CZ1878" s="137" t="e">
        <v>#N/A</v>
      </c>
      <c r="DA1878">
        <v>0.11332468572476186</v>
      </c>
      <c r="DB1878" t="str">
        <v/>
      </c>
    </row>
    <row r="1879" spans="83:106" x14ac:dyDescent="0.2">
      <c r="CE1879"/>
      <c r="CF1879"/>
      <c r="CG1879"/>
      <c r="CH1879"/>
      <c r="CI1879"/>
      <c r="CU1879" s="42">
        <v>1874</v>
      </c>
      <c r="CV1879" s="115">
        <v>4</v>
      </c>
      <c r="CW1879" s="115">
        <v>0.11332468572476186</v>
      </c>
      <c r="CX1879" s="115" t="e">
        <v>#N/A</v>
      </c>
      <c r="CY1879" s="115" t="e">
        <v>#N/A</v>
      </c>
      <c r="CZ1879" s="137" t="e">
        <v>#N/A</v>
      </c>
      <c r="DA1879">
        <v>0.11332468572476186</v>
      </c>
      <c r="DB1879" t="str">
        <v/>
      </c>
    </row>
    <row r="1880" spans="83:106" x14ac:dyDescent="0.2">
      <c r="CE1880"/>
      <c r="CF1880"/>
      <c r="CG1880"/>
      <c r="CH1880"/>
      <c r="CI1880"/>
      <c r="CU1880" s="42">
        <v>1875</v>
      </c>
      <c r="CV1880" s="115">
        <v>4</v>
      </c>
      <c r="CW1880" s="115">
        <v>0.11332468572476186</v>
      </c>
      <c r="CX1880" s="115" t="e">
        <v>#N/A</v>
      </c>
      <c r="CY1880" s="115" t="e">
        <v>#N/A</v>
      </c>
      <c r="CZ1880" s="137" t="e">
        <v>#N/A</v>
      </c>
      <c r="DA1880">
        <v>0.11332468572476186</v>
      </c>
      <c r="DB1880" t="str">
        <v/>
      </c>
    </row>
    <row r="1881" spans="83:106" x14ac:dyDescent="0.2">
      <c r="CE1881"/>
      <c r="CF1881"/>
      <c r="CG1881"/>
      <c r="CH1881"/>
      <c r="CI1881"/>
      <c r="CU1881" s="42">
        <v>1876</v>
      </c>
      <c r="CV1881" s="115">
        <v>4</v>
      </c>
      <c r="CW1881" s="115">
        <v>0.11332468572476186</v>
      </c>
      <c r="CX1881" s="115" t="e">
        <v>#N/A</v>
      </c>
      <c r="CY1881" s="115" t="e">
        <v>#N/A</v>
      </c>
      <c r="CZ1881" s="137" t="e">
        <v>#N/A</v>
      </c>
      <c r="DA1881">
        <v>0.11332468572476186</v>
      </c>
      <c r="DB1881" t="str">
        <v/>
      </c>
    </row>
    <row r="1882" spans="83:106" x14ac:dyDescent="0.2">
      <c r="CE1882"/>
      <c r="CF1882"/>
      <c r="CG1882"/>
      <c r="CH1882"/>
      <c r="CI1882"/>
      <c r="CU1882" s="42">
        <v>1877</v>
      </c>
      <c r="CV1882" s="115">
        <v>4</v>
      </c>
      <c r="CW1882" s="115">
        <v>0.11332468572476186</v>
      </c>
      <c r="CX1882" s="115" t="e">
        <v>#N/A</v>
      </c>
      <c r="CY1882" s="115" t="e">
        <v>#N/A</v>
      </c>
      <c r="CZ1882" s="137" t="e">
        <v>#N/A</v>
      </c>
      <c r="DA1882">
        <v>0.11332468572476186</v>
      </c>
      <c r="DB1882" t="str">
        <v/>
      </c>
    </row>
    <row r="1883" spans="83:106" x14ac:dyDescent="0.2">
      <c r="CE1883"/>
      <c r="CF1883"/>
      <c r="CG1883"/>
      <c r="CH1883"/>
      <c r="CI1883"/>
      <c r="CU1883" s="42">
        <v>1878</v>
      </c>
      <c r="CV1883" s="115">
        <v>4</v>
      </c>
      <c r="CW1883" s="115">
        <v>0.11332468572476186</v>
      </c>
      <c r="CX1883" s="115" t="e">
        <v>#N/A</v>
      </c>
      <c r="CY1883" s="115" t="e">
        <v>#N/A</v>
      </c>
      <c r="CZ1883" s="137" t="e">
        <v>#N/A</v>
      </c>
      <c r="DA1883">
        <v>0.11332468572476186</v>
      </c>
      <c r="DB1883" t="str">
        <v/>
      </c>
    </row>
    <row r="1884" spans="83:106" x14ac:dyDescent="0.2">
      <c r="CE1884"/>
      <c r="CF1884"/>
      <c r="CG1884"/>
      <c r="CH1884"/>
      <c r="CI1884"/>
      <c r="CU1884" s="42">
        <v>1879</v>
      </c>
      <c r="CV1884" s="115">
        <v>4</v>
      </c>
      <c r="CW1884" s="115">
        <v>0.11332468572476186</v>
      </c>
      <c r="CX1884" s="115" t="e">
        <v>#N/A</v>
      </c>
      <c r="CY1884" s="115" t="e">
        <v>#N/A</v>
      </c>
      <c r="CZ1884" s="137" t="e">
        <v>#N/A</v>
      </c>
      <c r="DA1884">
        <v>0.11332468572476186</v>
      </c>
      <c r="DB1884" t="str">
        <v/>
      </c>
    </row>
    <row r="1885" spans="83:106" x14ac:dyDescent="0.2">
      <c r="CE1885"/>
      <c r="CF1885"/>
      <c r="CG1885"/>
      <c r="CH1885"/>
      <c r="CI1885"/>
      <c r="CU1885" s="42">
        <v>1880</v>
      </c>
      <c r="CV1885" s="115">
        <v>4</v>
      </c>
      <c r="CW1885" s="115">
        <v>0.11332468572476186</v>
      </c>
      <c r="CX1885" s="115" t="e">
        <v>#N/A</v>
      </c>
      <c r="CY1885" s="115" t="e">
        <v>#N/A</v>
      </c>
      <c r="CZ1885" s="137" t="e">
        <v>#N/A</v>
      </c>
      <c r="DA1885">
        <v>0.11332468572476186</v>
      </c>
      <c r="DB1885" t="str">
        <v/>
      </c>
    </row>
    <row r="1886" spans="83:106" x14ac:dyDescent="0.2">
      <c r="CE1886"/>
      <c r="CF1886"/>
      <c r="CG1886"/>
      <c r="CH1886"/>
      <c r="CI1886"/>
      <c r="CU1886" s="42">
        <v>1881</v>
      </c>
      <c r="CV1886" s="115">
        <v>4</v>
      </c>
      <c r="CW1886" s="115">
        <v>0.11332468572476186</v>
      </c>
      <c r="CX1886" s="115" t="e">
        <v>#N/A</v>
      </c>
      <c r="CY1886" s="115" t="e">
        <v>#N/A</v>
      </c>
      <c r="CZ1886" s="137" t="e">
        <v>#N/A</v>
      </c>
      <c r="DA1886">
        <v>0.11332468572476186</v>
      </c>
      <c r="DB1886" t="str">
        <v/>
      </c>
    </row>
    <row r="1887" spans="83:106" x14ac:dyDescent="0.2">
      <c r="CE1887"/>
      <c r="CF1887"/>
      <c r="CG1887"/>
      <c r="CH1887"/>
      <c r="CI1887"/>
      <c r="CU1887" s="42">
        <v>1882</v>
      </c>
      <c r="CV1887" s="115">
        <v>4</v>
      </c>
      <c r="CW1887" s="115">
        <v>0.11332468572476186</v>
      </c>
      <c r="CX1887" s="115" t="e">
        <v>#N/A</v>
      </c>
      <c r="CY1887" s="115" t="e">
        <v>#N/A</v>
      </c>
      <c r="CZ1887" s="137" t="e">
        <v>#N/A</v>
      </c>
      <c r="DA1887">
        <v>0.11332468572476186</v>
      </c>
      <c r="DB1887" t="str">
        <v/>
      </c>
    </row>
    <row r="1888" spans="83:106" x14ac:dyDescent="0.2">
      <c r="CE1888"/>
      <c r="CF1888"/>
      <c r="CG1888"/>
      <c r="CH1888"/>
      <c r="CI1888"/>
      <c r="CU1888" s="42">
        <v>1883</v>
      </c>
      <c r="CV1888" s="115">
        <v>4</v>
      </c>
      <c r="CW1888" s="115">
        <v>0.11332468572476186</v>
      </c>
      <c r="CX1888" s="115" t="e">
        <v>#N/A</v>
      </c>
      <c r="CY1888" s="115" t="e">
        <v>#N/A</v>
      </c>
      <c r="CZ1888" s="137" t="e">
        <v>#N/A</v>
      </c>
      <c r="DA1888">
        <v>0.11332468572476186</v>
      </c>
      <c r="DB1888" t="str">
        <v/>
      </c>
    </row>
    <row r="1889" spans="83:106" x14ac:dyDescent="0.2">
      <c r="CE1889"/>
      <c r="CF1889"/>
      <c r="CG1889"/>
      <c r="CH1889"/>
      <c r="CI1889"/>
      <c r="CU1889" s="42">
        <v>1884</v>
      </c>
      <c r="CV1889" s="115">
        <v>4</v>
      </c>
      <c r="CW1889" s="115">
        <v>0.11332468572476186</v>
      </c>
      <c r="CX1889" s="115" t="e">
        <v>#N/A</v>
      </c>
      <c r="CY1889" s="115" t="e">
        <v>#N/A</v>
      </c>
      <c r="CZ1889" s="137" t="e">
        <v>#N/A</v>
      </c>
      <c r="DA1889">
        <v>0.11332468572476186</v>
      </c>
      <c r="DB1889" t="str">
        <v/>
      </c>
    </row>
    <row r="1890" spans="83:106" x14ac:dyDescent="0.2">
      <c r="CE1890"/>
      <c r="CF1890"/>
      <c r="CG1890"/>
      <c r="CH1890"/>
      <c r="CI1890"/>
      <c r="CU1890" s="42">
        <v>1885</v>
      </c>
      <c r="CV1890" s="115">
        <v>4</v>
      </c>
      <c r="CW1890" s="115">
        <v>0.11332468572476186</v>
      </c>
      <c r="CX1890" s="115" t="e">
        <v>#N/A</v>
      </c>
      <c r="CY1890" s="115" t="e">
        <v>#N/A</v>
      </c>
      <c r="CZ1890" s="137" t="e">
        <v>#N/A</v>
      </c>
      <c r="DA1890">
        <v>0.11332468572476186</v>
      </c>
      <c r="DB1890" t="str">
        <v/>
      </c>
    </row>
    <row r="1891" spans="83:106" x14ac:dyDescent="0.2">
      <c r="CE1891"/>
      <c r="CF1891"/>
      <c r="CG1891"/>
      <c r="CH1891"/>
      <c r="CI1891"/>
      <c r="CU1891" s="42">
        <v>1886</v>
      </c>
      <c r="CV1891" s="115">
        <v>4</v>
      </c>
      <c r="CW1891" s="115">
        <v>0.11332468572476186</v>
      </c>
      <c r="CX1891" s="115" t="e">
        <v>#N/A</v>
      </c>
      <c r="CY1891" s="115" t="e">
        <v>#N/A</v>
      </c>
      <c r="CZ1891" s="137" t="e">
        <v>#N/A</v>
      </c>
      <c r="DA1891">
        <v>0.11332468572476186</v>
      </c>
      <c r="DB1891" t="str">
        <v/>
      </c>
    </row>
    <row r="1892" spans="83:106" x14ac:dyDescent="0.2">
      <c r="CE1892"/>
      <c r="CF1892"/>
      <c r="CG1892"/>
      <c r="CH1892"/>
      <c r="CI1892"/>
      <c r="CU1892" s="42">
        <v>1887</v>
      </c>
      <c r="CV1892" s="115">
        <v>4</v>
      </c>
      <c r="CW1892" s="115">
        <v>0.11332468572476186</v>
      </c>
      <c r="CX1892" s="115" t="e">
        <v>#N/A</v>
      </c>
      <c r="CY1892" s="115" t="e">
        <v>#N/A</v>
      </c>
      <c r="CZ1892" s="137" t="e">
        <v>#N/A</v>
      </c>
      <c r="DA1892">
        <v>0.11332468572476186</v>
      </c>
      <c r="DB1892" t="str">
        <v/>
      </c>
    </row>
    <row r="1893" spans="83:106" x14ac:dyDescent="0.2">
      <c r="CE1893"/>
      <c r="CF1893"/>
      <c r="CG1893"/>
      <c r="CH1893"/>
      <c r="CI1893"/>
      <c r="CU1893" s="42">
        <v>1888</v>
      </c>
      <c r="CV1893" s="115">
        <v>4</v>
      </c>
      <c r="CW1893" s="115">
        <v>0.11332468572476186</v>
      </c>
      <c r="CX1893" s="115" t="e">
        <v>#N/A</v>
      </c>
      <c r="CY1893" s="115" t="e">
        <v>#N/A</v>
      </c>
      <c r="CZ1893" s="137" t="e">
        <v>#N/A</v>
      </c>
      <c r="DA1893">
        <v>0.11332468572476186</v>
      </c>
      <c r="DB1893" t="str">
        <v/>
      </c>
    </row>
    <row r="1894" spans="83:106" x14ac:dyDescent="0.2">
      <c r="CE1894"/>
      <c r="CF1894"/>
      <c r="CG1894"/>
      <c r="CH1894"/>
      <c r="CI1894"/>
      <c r="CU1894" s="42">
        <v>1889</v>
      </c>
      <c r="CV1894" s="115">
        <v>4</v>
      </c>
      <c r="CW1894" s="115">
        <v>0.11332468572476186</v>
      </c>
      <c r="CX1894" s="115" t="e">
        <v>#N/A</v>
      </c>
      <c r="CY1894" s="115" t="e">
        <v>#N/A</v>
      </c>
      <c r="CZ1894" s="137" t="e">
        <v>#N/A</v>
      </c>
      <c r="DA1894">
        <v>0.11332468572476186</v>
      </c>
      <c r="DB1894" t="str">
        <v/>
      </c>
    </row>
    <row r="1895" spans="83:106" x14ac:dyDescent="0.2">
      <c r="CE1895"/>
      <c r="CF1895"/>
      <c r="CG1895"/>
      <c r="CH1895"/>
      <c r="CI1895"/>
      <c r="CU1895" s="42">
        <v>1890</v>
      </c>
      <c r="CV1895" s="115">
        <v>4</v>
      </c>
      <c r="CW1895" s="115">
        <v>0.11332468572476186</v>
      </c>
      <c r="CX1895" s="115" t="e">
        <v>#N/A</v>
      </c>
      <c r="CY1895" s="115" t="e">
        <v>#N/A</v>
      </c>
      <c r="CZ1895" s="137" t="e">
        <v>#N/A</v>
      </c>
      <c r="DA1895">
        <v>0.11332468572476186</v>
      </c>
      <c r="DB1895" t="str">
        <v/>
      </c>
    </row>
    <row r="1896" spans="83:106" x14ac:dyDescent="0.2">
      <c r="CE1896"/>
      <c r="CF1896"/>
      <c r="CG1896"/>
      <c r="CH1896"/>
      <c r="CI1896"/>
      <c r="CU1896" s="42">
        <v>1891</v>
      </c>
      <c r="CV1896" s="115">
        <v>4</v>
      </c>
      <c r="CW1896" s="115">
        <v>0.11332468572476186</v>
      </c>
      <c r="CX1896" s="115" t="e">
        <v>#N/A</v>
      </c>
      <c r="CY1896" s="115" t="e">
        <v>#N/A</v>
      </c>
      <c r="CZ1896" s="137" t="e">
        <v>#N/A</v>
      </c>
      <c r="DA1896">
        <v>0.11332468572476186</v>
      </c>
      <c r="DB1896" t="str">
        <v/>
      </c>
    </row>
    <row r="1897" spans="83:106" x14ac:dyDescent="0.2">
      <c r="CE1897"/>
      <c r="CF1897"/>
      <c r="CG1897"/>
      <c r="CH1897"/>
      <c r="CI1897"/>
      <c r="CU1897" s="42">
        <v>1892</v>
      </c>
      <c r="CV1897" s="115">
        <v>4</v>
      </c>
      <c r="CW1897" s="115">
        <v>0.11332468572476186</v>
      </c>
      <c r="CX1897" s="115" t="e">
        <v>#N/A</v>
      </c>
      <c r="CY1897" s="115" t="e">
        <v>#N/A</v>
      </c>
      <c r="CZ1897" s="137" t="e">
        <v>#N/A</v>
      </c>
      <c r="DA1897">
        <v>0.11332468572476186</v>
      </c>
      <c r="DB1897" t="str">
        <v/>
      </c>
    </row>
    <row r="1898" spans="83:106" x14ac:dyDescent="0.2">
      <c r="CE1898"/>
      <c r="CF1898"/>
      <c r="CG1898"/>
      <c r="CH1898"/>
      <c r="CI1898"/>
      <c r="CU1898" s="42">
        <v>1893</v>
      </c>
      <c r="CV1898" s="115">
        <v>4</v>
      </c>
      <c r="CW1898" s="115">
        <v>0.11332468572476186</v>
      </c>
      <c r="CX1898" s="115" t="e">
        <v>#N/A</v>
      </c>
      <c r="CY1898" s="115" t="e">
        <v>#N/A</v>
      </c>
      <c r="CZ1898" s="137" t="e">
        <v>#N/A</v>
      </c>
      <c r="DA1898">
        <v>0.11332468572476186</v>
      </c>
      <c r="DB1898" t="str">
        <v/>
      </c>
    </row>
    <row r="1899" spans="83:106" x14ac:dyDescent="0.2">
      <c r="CE1899"/>
      <c r="CF1899"/>
      <c r="CG1899"/>
      <c r="CH1899"/>
      <c r="CI1899"/>
      <c r="CU1899" s="42">
        <v>1894</v>
      </c>
      <c r="CV1899" s="115">
        <v>4</v>
      </c>
      <c r="CW1899" s="115">
        <v>0.11332468572476186</v>
      </c>
      <c r="CX1899" s="115" t="e">
        <v>#N/A</v>
      </c>
      <c r="CY1899" s="115" t="e">
        <v>#N/A</v>
      </c>
      <c r="CZ1899" s="137" t="e">
        <v>#N/A</v>
      </c>
      <c r="DA1899">
        <v>0.11332468572476186</v>
      </c>
      <c r="DB1899" t="str">
        <v/>
      </c>
    </row>
    <row r="1900" spans="83:106" x14ac:dyDescent="0.2">
      <c r="CE1900"/>
      <c r="CF1900"/>
      <c r="CG1900"/>
      <c r="CH1900"/>
      <c r="CI1900"/>
      <c r="CU1900" s="42">
        <v>1895</v>
      </c>
      <c r="CV1900" s="115">
        <v>4</v>
      </c>
      <c r="CW1900" s="115">
        <v>0.11332468572476186</v>
      </c>
      <c r="CX1900" s="115" t="e">
        <v>#N/A</v>
      </c>
      <c r="CY1900" s="115" t="e">
        <v>#N/A</v>
      </c>
      <c r="CZ1900" s="137" t="e">
        <v>#N/A</v>
      </c>
      <c r="DA1900">
        <v>0.11332468572476186</v>
      </c>
      <c r="DB1900" t="str">
        <v/>
      </c>
    </row>
    <row r="1901" spans="83:106" x14ac:dyDescent="0.2">
      <c r="CE1901"/>
      <c r="CF1901"/>
      <c r="CG1901"/>
      <c r="CH1901"/>
      <c r="CI1901"/>
      <c r="CU1901" s="42">
        <v>1896</v>
      </c>
      <c r="CV1901" s="115">
        <v>4</v>
      </c>
      <c r="CW1901" s="115">
        <v>0.11332468572476186</v>
      </c>
      <c r="CX1901" s="115" t="e">
        <v>#N/A</v>
      </c>
      <c r="CY1901" s="115" t="e">
        <v>#N/A</v>
      </c>
      <c r="CZ1901" s="137" t="e">
        <v>#N/A</v>
      </c>
      <c r="DA1901">
        <v>0.11332468572476186</v>
      </c>
      <c r="DB1901" t="str">
        <v/>
      </c>
    </row>
    <row r="1902" spans="83:106" x14ac:dyDescent="0.2">
      <c r="CE1902"/>
      <c r="CF1902"/>
      <c r="CG1902"/>
      <c r="CH1902"/>
      <c r="CI1902"/>
      <c r="CU1902" s="42">
        <v>1897</v>
      </c>
      <c r="CV1902" s="115">
        <v>4</v>
      </c>
      <c r="CW1902" s="115">
        <v>0.11332468572476186</v>
      </c>
      <c r="CX1902" s="115" t="e">
        <v>#N/A</v>
      </c>
      <c r="CY1902" s="115" t="e">
        <v>#N/A</v>
      </c>
      <c r="CZ1902" s="137" t="e">
        <v>#N/A</v>
      </c>
      <c r="DA1902">
        <v>0.11332468572476186</v>
      </c>
      <c r="DB1902" t="str">
        <v/>
      </c>
    </row>
    <row r="1903" spans="83:106" x14ac:dyDescent="0.2">
      <c r="CE1903"/>
      <c r="CF1903"/>
      <c r="CG1903"/>
      <c r="CH1903"/>
      <c r="CI1903"/>
      <c r="CU1903" s="42">
        <v>1898</v>
      </c>
      <c r="CV1903" s="115">
        <v>4</v>
      </c>
      <c r="CW1903" s="115">
        <v>0.11332468572476186</v>
      </c>
      <c r="CX1903" s="115" t="e">
        <v>#N/A</v>
      </c>
      <c r="CY1903" s="115" t="e">
        <v>#N/A</v>
      </c>
      <c r="CZ1903" s="137" t="e">
        <v>#N/A</v>
      </c>
      <c r="DA1903">
        <v>0.11332468572476186</v>
      </c>
      <c r="DB1903" t="str">
        <v/>
      </c>
    </row>
    <row r="1904" spans="83:106" x14ac:dyDescent="0.2">
      <c r="CE1904"/>
      <c r="CF1904"/>
      <c r="CG1904"/>
      <c r="CH1904"/>
      <c r="CI1904"/>
      <c r="CU1904" s="42">
        <v>1899</v>
      </c>
      <c r="CV1904" s="115">
        <v>4</v>
      </c>
      <c r="CW1904" s="115">
        <v>0.11332468572476186</v>
      </c>
      <c r="CX1904" s="115" t="e">
        <v>#N/A</v>
      </c>
      <c r="CY1904" s="115" t="e">
        <v>#N/A</v>
      </c>
      <c r="CZ1904" s="137" t="e">
        <v>#N/A</v>
      </c>
      <c r="DA1904">
        <v>0.11332468572476186</v>
      </c>
      <c r="DB1904" t="str">
        <v/>
      </c>
    </row>
    <row r="1905" spans="83:106" x14ac:dyDescent="0.2">
      <c r="CE1905"/>
      <c r="CF1905"/>
      <c r="CG1905"/>
      <c r="CH1905"/>
      <c r="CI1905"/>
      <c r="CU1905" s="42">
        <v>1900</v>
      </c>
      <c r="CV1905" s="115">
        <v>4</v>
      </c>
      <c r="CW1905" s="115">
        <v>0.11332468572476186</v>
      </c>
      <c r="CX1905" s="115" t="e">
        <v>#N/A</v>
      </c>
      <c r="CY1905" s="115" t="e">
        <v>#N/A</v>
      </c>
      <c r="CZ1905" s="137" t="e">
        <v>#N/A</v>
      </c>
      <c r="DA1905">
        <v>0.11332468572476186</v>
      </c>
      <c r="DB1905" t="str">
        <v/>
      </c>
    </row>
    <row r="1906" spans="83:106" x14ac:dyDescent="0.2">
      <c r="CE1906"/>
      <c r="CF1906"/>
      <c r="CG1906"/>
      <c r="CH1906"/>
      <c r="CI1906"/>
      <c r="CU1906" s="42">
        <v>1901</v>
      </c>
      <c r="CV1906" s="115">
        <v>4</v>
      </c>
      <c r="CW1906" s="115">
        <v>0.11332468572476186</v>
      </c>
      <c r="CX1906" s="115" t="e">
        <v>#N/A</v>
      </c>
      <c r="CY1906" s="115" t="e">
        <v>#N/A</v>
      </c>
      <c r="CZ1906" s="137" t="e">
        <v>#N/A</v>
      </c>
      <c r="DA1906">
        <v>0.11332468572476186</v>
      </c>
      <c r="DB1906" t="str">
        <v/>
      </c>
    </row>
    <row r="1907" spans="83:106" x14ac:dyDescent="0.2">
      <c r="CE1907"/>
      <c r="CF1907"/>
      <c r="CG1907"/>
      <c r="CH1907"/>
      <c r="CI1907"/>
      <c r="CU1907" s="42">
        <v>1902</v>
      </c>
      <c r="CV1907" s="115">
        <v>4</v>
      </c>
      <c r="CW1907" s="115">
        <v>0.11332468572476186</v>
      </c>
      <c r="CX1907" s="115" t="e">
        <v>#N/A</v>
      </c>
      <c r="CY1907" s="115" t="e">
        <v>#N/A</v>
      </c>
      <c r="CZ1907" s="137" t="e">
        <v>#N/A</v>
      </c>
      <c r="DA1907">
        <v>0.11332468572476186</v>
      </c>
      <c r="DB1907" t="str">
        <v/>
      </c>
    </row>
    <row r="1908" spans="83:106" x14ac:dyDescent="0.2">
      <c r="CE1908"/>
      <c r="CF1908"/>
      <c r="CG1908"/>
      <c r="CH1908"/>
      <c r="CI1908"/>
      <c r="CU1908" s="42">
        <v>1903</v>
      </c>
      <c r="CV1908" s="115">
        <v>4</v>
      </c>
      <c r="CW1908" s="115">
        <v>0.11332468572476186</v>
      </c>
      <c r="CX1908" s="115" t="e">
        <v>#N/A</v>
      </c>
      <c r="CY1908" s="115" t="e">
        <v>#N/A</v>
      </c>
      <c r="CZ1908" s="137" t="e">
        <v>#N/A</v>
      </c>
      <c r="DA1908">
        <v>0.11332468572476186</v>
      </c>
      <c r="DB1908" t="str">
        <v/>
      </c>
    </row>
    <row r="1909" spans="83:106" x14ac:dyDescent="0.2">
      <c r="CE1909"/>
      <c r="CF1909"/>
      <c r="CG1909"/>
      <c r="CH1909"/>
      <c r="CI1909"/>
      <c r="CU1909" s="42">
        <v>1904</v>
      </c>
      <c r="CV1909" s="115">
        <v>4</v>
      </c>
      <c r="CW1909" s="115">
        <v>0.11332468572476186</v>
      </c>
      <c r="CX1909" s="115" t="e">
        <v>#N/A</v>
      </c>
      <c r="CY1909" s="115" t="e">
        <v>#N/A</v>
      </c>
      <c r="CZ1909" s="137" t="e">
        <v>#N/A</v>
      </c>
      <c r="DA1909">
        <v>0.11332468572476186</v>
      </c>
      <c r="DB1909" t="str">
        <v/>
      </c>
    </row>
    <row r="1910" spans="83:106" x14ac:dyDescent="0.2">
      <c r="CE1910"/>
      <c r="CF1910"/>
      <c r="CG1910"/>
      <c r="CH1910"/>
      <c r="CI1910"/>
      <c r="CU1910" s="42">
        <v>1905</v>
      </c>
      <c r="CV1910" s="115">
        <v>4</v>
      </c>
      <c r="CW1910" s="115">
        <v>0.11332468572476186</v>
      </c>
      <c r="CX1910" s="115" t="e">
        <v>#N/A</v>
      </c>
      <c r="CY1910" s="115" t="e">
        <v>#N/A</v>
      </c>
      <c r="CZ1910" s="137" t="e">
        <v>#N/A</v>
      </c>
      <c r="DA1910">
        <v>0.11332468572476186</v>
      </c>
      <c r="DB1910" t="str">
        <v/>
      </c>
    </row>
    <row r="1911" spans="83:106" x14ac:dyDescent="0.2">
      <c r="CE1911"/>
      <c r="CF1911"/>
      <c r="CG1911"/>
      <c r="CH1911"/>
      <c r="CI1911"/>
      <c r="CU1911" s="42">
        <v>1906</v>
      </c>
      <c r="CV1911" s="115">
        <v>4</v>
      </c>
      <c r="CW1911" s="115">
        <v>0.11332468572476186</v>
      </c>
      <c r="CX1911" s="115" t="e">
        <v>#N/A</v>
      </c>
      <c r="CY1911" s="115" t="e">
        <v>#N/A</v>
      </c>
      <c r="CZ1911" s="137" t="e">
        <v>#N/A</v>
      </c>
      <c r="DA1911">
        <v>0.11332468572476186</v>
      </c>
      <c r="DB1911" t="str">
        <v/>
      </c>
    </row>
    <row r="1912" spans="83:106" x14ac:dyDescent="0.2">
      <c r="CE1912"/>
      <c r="CF1912"/>
      <c r="CG1912"/>
      <c r="CH1912"/>
      <c r="CI1912"/>
      <c r="CU1912" s="42">
        <v>1907</v>
      </c>
      <c r="CV1912" s="115">
        <v>4</v>
      </c>
      <c r="CW1912" s="115">
        <v>0.11332468572476186</v>
      </c>
      <c r="CX1912" s="115" t="e">
        <v>#N/A</v>
      </c>
      <c r="CY1912" s="115" t="e">
        <v>#N/A</v>
      </c>
      <c r="CZ1912" s="137" t="e">
        <v>#N/A</v>
      </c>
      <c r="DA1912">
        <v>0.11332468572476186</v>
      </c>
      <c r="DB1912" t="str">
        <v/>
      </c>
    </row>
    <row r="1913" spans="83:106" x14ac:dyDescent="0.2">
      <c r="CE1913"/>
      <c r="CF1913"/>
      <c r="CG1913"/>
      <c r="CH1913"/>
      <c r="CI1913"/>
      <c r="CU1913" s="42">
        <v>1908</v>
      </c>
      <c r="CV1913" s="115">
        <v>4</v>
      </c>
      <c r="CW1913" s="115">
        <v>0.11332468572476186</v>
      </c>
      <c r="CX1913" s="115" t="e">
        <v>#N/A</v>
      </c>
      <c r="CY1913" s="115" t="e">
        <v>#N/A</v>
      </c>
      <c r="CZ1913" s="137" t="e">
        <v>#N/A</v>
      </c>
      <c r="DA1913">
        <v>0.11332468572476186</v>
      </c>
      <c r="DB1913" t="str">
        <v/>
      </c>
    </row>
    <row r="1914" spans="83:106" x14ac:dyDescent="0.2">
      <c r="CE1914"/>
      <c r="CF1914"/>
      <c r="CG1914"/>
      <c r="CH1914"/>
      <c r="CI1914"/>
      <c r="CU1914" s="42">
        <v>1909</v>
      </c>
      <c r="CV1914" s="115">
        <v>4</v>
      </c>
      <c r="CW1914" s="115">
        <v>0.11332468572476186</v>
      </c>
      <c r="CX1914" s="115" t="e">
        <v>#N/A</v>
      </c>
      <c r="CY1914" s="115" t="e">
        <v>#N/A</v>
      </c>
      <c r="CZ1914" s="137" t="e">
        <v>#N/A</v>
      </c>
      <c r="DA1914">
        <v>0.11332468572476186</v>
      </c>
      <c r="DB1914" t="str">
        <v/>
      </c>
    </row>
    <row r="1915" spans="83:106" x14ac:dyDescent="0.2">
      <c r="CE1915"/>
      <c r="CF1915"/>
      <c r="CG1915"/>
      <c r="CH1915"/>
      <c r="CI1915"/>
      <c r="CU1915" s="42">
        <v>1910</v>
      </c>
      <c r="CV1915" s="115">
        <v>4</v>
      </c>
      <c r="CW1915" s="115">
        <v>0.11332468572476186</v>
      </c>
      <c r="CX1915" s="115" t="e">
        <v>#N/A</v>
      </c>
      <c r="CY1915" s="115" t="e">
        <v>#N/A</v>
      </c>
      <c r="CZ1915" s="137" t="e">
        <v>#N/A</v>
      </c>
      <c r="DA1915">
        <v>0.11332468572476186</v>
      </c>
      <c r="DB1915" t="str">
        <v/>
      </c>
    </row>
    <row r="1916" spans="83:106" x14ac:dyDescent="0.2">
      <c r="CE1916"/>
      <c r="CF1916"/>
      <c r="CG1916"/>
      <c r="CH1916"/>
      <c r="CI1916"/>
      <c r="CU1916" s="42">
        <v>1911</v>
      </c>
      <c r="CV1916" s="115">
        <v>4</v>
      </c>
      <c r="CW1916" s="115">
        <v>0.11332468572476186</v>
      </c>
      <c r="CX1916" s="115" t="e">
        <v>#N/A</v>
      </c>
      <c r="CY1916" s="115" t="e">
        <v>#N/A</v>
      </c>
      <c r="CZ1916" s="137" t="e">
        <v>#N/A</v>
      </c>
      <c r="DA1916">
        <v>0.11332468572476186</v>
      </c>
      <c r="DB1916" t="str">
        <v/>
      </c>
    </row>
    <row r="1917" spans="83:106" x14ac:dyDescent="0.2">
      <c r="CE1917"/>
      <c r="CF1917"/>
      <c r="CG1917"/>
      <c r="CH1917"/>
      <c r="CI1917"/>
      <c r="CU1917" s="42">
        <v>1912</v>
      </c>
      <c r="CV1917" s="115">
        <v>4</v>
      </c>
      <c r="CW1917" s="115">
        <v>0.11332468572476186</v>
      </c>
      <c r="CX1917" s="115" t="e">
        <v>#N/A</v>
      </c>
      <c r="CY1917" s="115" t="e">
        <v>#N/A</v>
      </c>
      <c r="CZ1917" s="137" t="e">
        <v>#N/A</v>
      </c>
      <c r="DA1917">
        <v>0.11332468572476186</v>
      </c>
      <c r="DB1917" t="str">
        <v/>
      </c>
    </row>
    <row r="1918" spans="83:106" x14ac:dyDescent="0.2">
      <c r="CE1918"/>
      <c r="CF1918"/>
      <c r="CG1918"/>
      <c r="CH1918"/>
      <c r="CI1918"/>
      <c r="CU1918" s="42">
        <v>1913</v>
      </c>
      <c r="CV1918" s="115">
        <v>4</v>
      </c>
      <c r="CW1918" s="115">
        <v>0.11332468572476186</v>
      </c>
      <c r="CX1918" s="115" t="e">
        <v>#N/A</v>
      </c>
      <c r="CY1918" s="115" t="e">
        <v>#N/A</v>
      </c>
      <c r="CZ1918" s="137" t="e">
        <v>#N/A</v>
      </c>
      <c r="DA1918">
        <v>0.11332468572476186</v>
      </c>
      <c r="DB1918" t="str">
        <v/>
      </c>
    </row>
    <row r="1919" spans="83:106" x14ac:dyDescent="0.2">
      <c r="CE1919"/>
      <c r="CF1919"/>
      <c r="CG1919"/>
      <c r="CH1919"/>
      <c r="CI1919"/>
      <c r="CU1919" s="42">
        <v>1914</v>
      </c>
      <c r="CV1919" s="115">
        <v>4</v>
      </c>
      <c r="CW1919" s="115">
        <v>0.11332468572476186</v>
      </c>
      <c r="CX1919" s="115" t="e">
        <v>#N/A</v>
      </c>
      <c r="CY1919" s="115" t="e">
        <v>#N/A</v>
      </c>
      <c r="CZ1919" s="137" t="e">
        <v>#N/A</v>
      </c>
      <c r="DA1919">
        <v>0.11332468572476186</v>
      </c>
      <c r="DB1919" t="str">
        <v/>
      </c>
    </row>
    <row r="1920" spans="83:106" x14ac:dyDescent="0.2">
      <c r="CE1920"/>
      <c r="CF1920"/>
      <c r="CG1920"/>
      <c r="CH1920"/>
      <c r="CI1920"/>
      <c r="CU1920" s="42">
        <v>1915</v>
      </c>
      <c r="CV1920" s="115">
        <v>4</v>
      </c>
      <c r="CW1920" s="115">
        <v>0.11332468572476186</v>
      </c>
      <c r="CX1920" s="115" t="e">
        <v>#N/A</v>
      </c>
      <c r="CY1920" s="115" t="e">
        <v>#N/A</v>
      </c>
      <c r="CZ1920" s="137" t="e">
        <v>#N/A</v>
      </c>
      <c r="DA1920">
        <v>0.11332468572476186</v>
      </c>
      <c r="DB1920" t="str">
        <v/>
      </c>
    </row>
    <row r="1921" spans="83:106" x14ac:dyDescent="0.2">
      <c r="CE1921"/>
      <c r="CF1921"/>
      <c r="CG1921"/>
      <c r="CH1921"/>
      <c r="CI1921"/>
      <c r="CU1921" s="42">
        <v>1916</v>
      </c>
      <c r="CV1921" s="115">
        <v>4</v>
      </c>
      <c r="CW1921" s="115">
        <v>0.11332468572476186</v>
      </c>
      <c r="CX1921" s="115" t="e">
        <v>#N/A</v>
      </c>
      <c r="CY1921" s="115" t="e">
        <v>#N/A</v>
      </c>
      <c r="CZ1921" s="137" t="e">
        <v>#N/A</v>
      </c>
      <c r="DA1921">
        <v>0.11332468572476186</v>
      </c>
      <c r="DB1921" t="str">
        <v/>
      </c>
    </row>
    <row r="1922" spans="83:106" x14ac:dyDescent="0.2">
      <c r="CE1922"/>
      <c r="CF1922"/>
      <c r="CG1922"/>
      <c r="CH1922"/>
      <c r="CI1922"/>
      <c r="CU1922" s="42">
        <v>1917</v>
      </c>
      <c r="CV1922" s="115">
        <v>4</v>
      </c>
      <c r="CW1922" s="115">
        <v>0.11332468572476186</v>
      </c>
      <c r="CX1922" s="115" t="e">
        <v>#N/A</v>
      </c>
      <c r="CY1922" s="115" t="e">
        <v>#N/A</v>
      </c>
      <c r="CZ1922" s="137" t="e">
        <v>#N/A</v>
      </c>
      <c r="DA1922">
        <v>0.11332468572476186</v>
      </c>
      <c r="DB1922" t="str">
        <v/>
      </c>
    </row>
    <row r="1923" spans="83:106" x14ac:dyDescent="0.2">
      <c r="CE1923"/>
      <c r="CF1923"/>
      <c r="CG1923"/>
      <c r="CH1923"/>
      <c r="CI1923"/>
      <c r="CU1923" s="42">
        <v>1918</v>
      </c>
      <c r="CV1923" s="115">
        <v>4</v>
      </c>
      <c r="CW1923" s="115">
        <v>0.11332468572476186</v>
      </c>
      <c r="CX1923" s="115" t="e">
        <v>#N/A</v>
      </c>
      <c r="CY1923" s="115" t="e">
        <v>#N/A</v>
      </c>
      <c r="CZ1923" s="137" t="e">
        <v>#N/A</v>
      </c>
      <c r="DA1923">
        <v>0.11332468572476186</v>
      </c>
      <c r="DB1923" t="str">
        <v/>
      </c>
    </row>
    <row r="1924" spans="83:106" x14ac:dyDescent="0.2">
      <c r="CE1924"/>
      <c r="CF1924"/>
      <c r="CG1924"/>
      <c r="CH1924"/>
      <c r="CI1924"/>
      <c r="CU1924" s="42">
        <v>1919</v>
      </c>
      <c r="CV1924" s="115">
        <v>4</v>
      </c>
      <c r="CW1924" s="115">
        <v>0.11332468572476186</v>
      </c>
      <c r="CX1924" s="115" t="e">
        <v>#N/A</v>
      </c>
      <c r="CY1924" s="115" t="e">
        <v>#N/A</v>
      </c>
      <c r="CZ1924" s="137" t="e">
        <v>#N/A</v>
      </c>
      <c r="DA1924">
        <v>0.11332468572476186</v>
      </c>
      <c r="DB1924" t="str">
        <v/>
      </c>
    </row>
    <row r="1925" spans="83:106" x14ac:dyDescent="0.2">
      <c r="CE1925"/>
      <c r="CF1925"/>
      <c r="CG1925"/>
      <c r="CH1925"/>
      <c r="CI1925"/>
      <c r="CU1925" s="42">
        <v>1920</v>
      </c>
      <c r="CV1925" s="115">
        <v>4</v>
      </c>
      <c r="CW1925" s="115">
        <v>0.11332468572476186</v>
      </c>
      <c r="CX1925" s="115" t="e">
        <v>#N/A</v>
      </c>
      <c r="CY1925" s="115" t="e">
        <v>#N/A</v>
      </c>
      <c r="CZ1925" s="137" t="e">
        <v>#N/A</v>
      </c>
      <c r="DA1925">
        <v>0.11332468572476186</v>
      </c>
      <c r="DB1925" t="str">
        <v/>
      </c>
    </row>
    <row r="1926" spans="83:106" x14ac:dyDescent="0.2">
      <c r="CE1926"/>
      <c r="CF1926"/>
      <c r="CG1926"/>
      <c r="CH1926"/>
      <c r="CI1926"/>
      <c r="CU1926" s="42">
        <v>1921</v>
      </c>
      <c r="CV1926" s="115">
        <v>4</v>
      </c>
      <c r="CW1926" s="115">
        <v>0.11332468572476186</v>
      </c>
      <c r="CX1926" s="115" t="e">
        <v>#N/A</v>
      </c>
      <c r="CY1926" s="115" t="e">
        <v>#N/A</v>
      </c>
      <c r="CZ1926" s="137" t="e">
        <v>#N/A</v>
      </c>
      <c r="DA1926">
        <v>0.11332468572476186</v>
      </c>
      <c r="DB1926" t="str">
        <v/>
      </c>
    </row>
    <row r="1927" spans="83:106" x14ac:dyDescent="0.2">
      <c r="CE1927"/>
      <c r="CF1927"/>
      <c r="CG1927"/>
      <c r="CH1927"/>
      <c r="CI1927"/>
      <c r="CU1927" s="42">
        <v>1922</v>
      </c>
      <c r="CV1927" s="115">
        <v>4</v>
      </c>
      <c r="CW1927" s="115">
        <v>0.11332468572476186</v>
      </c>
      <c r="CX1927" s="115" t="e">
        <v>#N/A</v>
      </c>
      <c r="CY1927" s="115" t="e">
        <v>#N/A</v>
      </c>
      <c r="CZ1927" s="137" t="e">
        <v>#N/A</v>
      </c>
      <c r="DA1927">
        <v>0.11332468572476186</v>
      </c>
      <c r="DB1927" t="str">
        <v/>
      </c>
    </row>
    <row r="1928" spans="83:106" x14ac:dyDescent="0.2">
      <c r="CE1928"/>
      <c r="CF1928"/>
      <c r="CG1928"/>
      <c r="CH1928"/>
      <c r="CI1928"/>
      <c r="CU1928" s="42">
        <v>1923</v>
      </c>
      <c r="CV1928" s="115">
        <v>4</v>
      </c>
      <c r="CW1928" s="115">
        <v>0.11332468572476186</v>
      </c>
      <c r="CX1928" s="115" t="e">
        <v>#N/A</v>
      </c>
      <c r="CY1928" s="115" t="e">
        <v>#N/A</v>
      </c>
      <c r="CZ1928" s="137" t="e">
        <v>#N/A</v>
      </c>
      <c r="DA1928">
        <v>0.11332468572476186</v>
      </c>
      <c r="DB1928" t="str">
        <v/>
      </c>
    </row>
    <row r="1929" spans="83:106" x14ac:dyDescent="0.2">
      <c r="CE1929"/>
      <c r="CF1929"/>
      <c r="CG1929"/>
      <c r="CH1929"/>
      <c r="CI1929"/>
      <c r="CU1929" s="42">
        <v>1924</v>
      </c>
      <c r="CV1929" s="115">
        <v>4</v>
      </c>
      <c r="CW1929" s="115">
        <v>0.11332468572476186</v>
      </c>
      <c r="CX1929" s="115" t="e">
        <v>#N/A</v>
      </c>
      <c r="CY1929" s="115" t="e">
        <v>#N/A</v>
      </c>
      <c r="CZ1929" s="137" t="e">
        <v>#N/A</v>
      </c>
      <c r="DA1929">
        <v>0.11332468572476186</v>
      </c>
      <c r="DB1929" t="str">
        <v/>
      </c>
    </row>
    <row r="1930" spans="83:106" x14ac:dyDescent="0.2">
      <c r="CE1930"/>
      <c r="CF1930"/>
      <c r="CG1930"/>
      <c r="CH1930"/>
      <c r="CI1930"/>
      <c r="CU1930" s="42">
        <v>1925</v>
      </c>
      <c r="CV1930" s="115">
        <v>4</v>
      </c>
      <c r="CW1930" s="115">
        <v>0.11332468572476186</v>
      </c>
      <c r="CX1930" s="115" t="e">
        <v>#N/A</v>
      </c>
      <c r="CY1930" s="115" t="e">
        <v>#N/A</v>
      </c>
      <c r="CZ1930" s="137" t="e">
        <v>#N/A</v>
      </c>
      <c r="DA1930">
        <v>0.11332468572476186</v>
      </c>
      <c r="DB1930" t="str">
        <v/>
      </c>
    </row>
    <row r="1931" spans="83:106" x14ac:dyDescent="0.2">
      <c r="CE1931"/>
      <c r="CF1931"/>
      <c r="CG1931"/>
      <c r="CH1931"/>
      <c r="CI1931"/>
      <c r="CU1931" s="42">
        <v>1926</v>
      </c>
      <c r="CV1931" s="115">
        <v>4</v>
      </c>
      <c r="CW1931" s="115">
        <v>0.11332468572476186</v>
      </c>
      <c r="CX1931" s="115" t="e">
        <v>#N/A</v>
      </c>
      <c r="CY1931" s="115" t="e">
        <v>#N/A</v>
      </c>
      <c r="CZ1931" s="137" t="e">
        <v>#N/A</v>
      </c>
      <c r="DA1931">
        <v>0.11332468572476186</v>
      </c>
      <c r="DB1931" t="str">
        <v/>
      </c>
    </row>
    <row r="1932" spans="83:106" x14ac:dyDescent="0.2">
      <c r="CE1932"/>
      <c r="CF1932"/>
      <c r="CG1932"/>
      <c r="CH1932"/>
      <c r="CI1932"/>
      <c r="CU1932" s="42">
        <v>1927</v>
      </c>
      <c r="CV1932" s="115">
        <v>4</v>
      </c>
      <c r="CW1932" s="115">
        <v>0.11332468572476186</v>
      </c>
      <c r="CX1932" s="115" t="e">
        <v>#N/A</v>
      </c>
      <c r="CY1932" s="115" t="e">
        <v>#N/A</v>
      </c>
      <c r="CZ1932" s="137" t="e">
        <v>#N/A</v>
      </c>
      <c r="DA1932">
        <v>0.11332468572476186</v>
      </c>
      <c r="DB1932" t="str">
        <v/>
      </c>
    </row>
    <row r="1933" spans="83:106" x14ac:dyDescent="0.2">
      <c r="CE1933"/>
      <c r="CF1933"/>
      <c r="CG1933"/>
      <c r="CH1933"/>
      <c r="CI1933"/>
      <c r="CU1933" s="42">
        <v>1928</v>
      </c>
      <c r="CV1933" s="115">
        <v>4</v>
      </c>
      <c r="CW1933" s="115">
        <v>0.11332468572476186</v>
      </c>
      <c r="CX1933" s="115" t="e">
        <v>#N/A</v>
      </c>
      <c r="CY1933" s="115" t="e">
        <v>#N/A</v>
      </c>
      <c r="CZ1933" s="137" t="e">
        <v>#N/A</v>
      </c>
      <c r="DA1933">
        <v>0.11332468572476186</v>
      </c>
      <c r="DB1933" t="str">
        <v/>
      </c>
    </row>
    <row r="1934" spans="83:106" x14ac:dyDescent="0.2">
      <c r="CE1934"/>
      <c r="CF1934"/>
      <c r="CG1934"/>
      <c r="CH1934"/>
      <c r="CI1934"/>
      <c r="CU1934" s="42">
        <v>1929</v>
      </c>
      <c r="CV1934" s="115">
        <v>4</v>
      </c>
      <c r="CW1934" s="115">
        <v>0.11332468572476186</v>
      </c>
      <c r="CX1934" s="115" t="e">
        <v>#N/A</v>
      </c>
      <c r="CY1934" s="115" t="e">
        <v>#N/A</v>
      </c>
      <c r="CZ1934" s="137" t="e">
        <v>#N/A</v>
      </c>
      <c r="DA1934">
        <v>0.11332468572476186</v>
      </c>
      <c r="DB1934" t="str">
        <v/>
      </c>
    </row>
    <row r="1935" spans="83:106" x14ac:dyDescent="0.2">
      <c r="CE1935"/>
      <c r="CF1935"/>
      <c r="CG1935"/>
      <c r="CH1935"/>
      <c r="CI1935"/>
      <c r="CU1935" s="42">
        <v>1930</v>
      </c>
      <c r="CV1935" s="115">
        <v>4</v>
      </c>
      <c r="CW1935" s="115">
        <v>0.11332468572476186</v>
      </c>
      <c r="CX1935" s="115" t="e">
        <v>#N/A</v>
      </c>
      <c r="CY1935" s="115" t="e">
        <v>#N/A</v>
      </c>
      <c r="CZ1935" s="137" t="e">
        <v>#N/A</v>
      </c>
      <c r="DA1935">
        <v>0.11332468572476186</v>
      </c>
      <c r="DB1935" t="str">
        <v/>
      </c>
    </row>
    <row r="1936" spans="83:106" x14ac:dyDescent="0.2">
      <c r="CE1936"/>
      <c r="CF1936"/>
      <c r="CG1936"/>
      <c r="CH1936"/>
      <c r="CI1936"/>
      <c r="CU1936" s="42">
        <v>1931</v>
      </c>
      <c r="CV1936" s="115">
        <v>4</v>
      </c>
      <c r="CW1936" s="115">
        <v>0.11332468572476186</v>
      </c>
      <c r="CX1936" s="115" t="e">
        <v>#N/A</v>
      </c>
      <c r="CY1936" s="115" t="e">
        <v>#N/A</v>
      </c>
      <c r="CZ1936" s="137" t="e">
        <v>#N/A</v>
      </c>
      <c r="DA1936">
        <v>0.11332468572476186</v>
      </c>
      <c r="DB1936" t="str">
        <v/>
      </c>
    </row>
    <row r="1937" spans="83:106" x14ac:dyDescent="0.2">
      <c r="CE1937"/>
      <c r="CF1937"/>
      <c r="CG1937"/>
      <c r="CH1937"/>
      <c r="CI1937"/>
      <c r="CU1937" s="42">
        <v>1932</v>
      </c>
      <c r="CV1937" s="115">
        <v>4</v>
      </c>
      <c r="CW1937" s="115">
        <v>0.11332468572476186</v>
      </c>
      <c r="CX1937" s="115" t="e">
        <v>#N/A</v>
      </c>
      <c r="CY1937" s="115" t="e">
        <v>#N/A</v>
      </c>
      <c r="CZ1937" s="137" t="e">
        <v>#N/A</v>
      </c>
      <c r="DA1937">
        <v>0.11332468572476186</v>
      </c>
      <c r="DB1937" t="str">
        <v/>
      </c>
    </row>
    <row r="1938" spans="83:106" x14ac:dyDescent="0.2">
      <c r="CE1938"/>
      <c r="CF1938"/>
      <c r="CG1938"/>
      <c r="CH1938"/>
      <c r="CI1938"/>
      <c r="CU1938" s="42">
        <v>1933</v>
      </c>
      <c r="CV1938" s="115">
        <v>4</v>
      </c>
      <c r="CW1938" s="115">
        <v>0.11332468572476186</v>
      </c>
      <c r="CX1938" s="115" t="e">
        <v>#N/A</v>
      </c>
      <c r="CY1938" s="115" t="e">
        <v>#N/A</v>
      </c>
      <c r="CZ1938" s="137" t="e">
        <v>#N/A</v>
      </c>
      <c r="DA1938">
        <v>0.11332468572476186</v>
      </c>
      <c r="DB1938" t="str">
        <v/>
      </c>
    </row>
    <row r="1939" spans="83:106" x14ac:dyDescent="0.2">
      <c r="CE1939"/>
      <c r="CF1939"/>
      <c r="CG1939"/>
      <c r="CH1939"/>
      <c r="CI1939"/>
      <c r="CU1939" s="42">
        <v>1934</v>
      </c>
      <c r="CV1939" s="115">
        <v>4</v>
      </c>
      <c r="CW1939" s="115">
        <v>0.11332468572476186</v>
      </c>
      <c r="CX1939" s="115" t="e">
        <v>#N/A</v>
      </c>
      <c r="CY1939" s="115" t="e">
        <v>#N/A</v>
      </c>
      <c r="CZ1939" s="137" t="e">
        <v>#N/A</v>
      </c>
      <c r="DA1939">
        <v>0.11332468572476186</v>
      </c>
      <c r="DB1939" t="str">
        <v/>
      </c>
    </row>
    <row r="1940" spans="83:106" x14ac:dyDescent="0.2">
      <c r="CE1940"/>
      <c r="CF1940"/>
      <c r="CG1940"/>
      <c r="CH1940"/>
      <c r="CI1940"/>
      <c r="CU1940" s="42">
        <v>1935</v>
      </c>
      <c r="CV1940" s="115">
        <v>4</v>
      </c>
      <c r="CW1940" s="115">
        <v>0.11332468572476186</v>
      </c>
      <c r="CX1940" s="115" t="e">
        <v>#N/A</v>
      </c>
      <c r="CY1940" s="115" t="e">
        <v>#N/A</v>
      </c>
      <c r="CZ1940" s="137" t="e">
        <v>#N/A</v>
      </c>
      <c r="DA1940">
        <v>0.11332468572476186</v>
      </c>
      <c r="DB1940" t="str">
        <v/>
      </c>
    </row>
    <row r="1941" spans="83:106" x14ac:dyDescent="0.2">
      <c r="CE1941"/>
      <c r="CF1941"/>
      <c r="CG1941"/>
      <c r="CH1941"/>
      <c r="CI1941"/>
      <c r="CU1941" s="42">
        <v>1936</v>
      </c>
      <c r="CV1941" s="115">
        <v>4</v>
      </c>
      <c r="CW1941" s="115">
        <v>0.11332468572476186</v>
      </c>
      <c r="CX1941" s="115" t="e">
        <v>#N/A</v>
      </c>
      <c r="CY1941" s="115" t="e">
        <v>#N/A</v>
      </c>
      <c r="CZ1941" s="137" t="e">
        <v>#N/A</v>
      </c>
      <c r="DA1941">
        <v>0.11332468572476186</v>
      </c>
      <c r="DB1941" t="str">
        <v/>
      </c>
    </row>
    <row r="1942" spans="83:106" x14ac:dyDescent="0.2">
      <c r="CE1942"/>
      <c r="CF1942"/>
      <c r="CG1942"/>
      <c r="CH1942"/>
      <c r="CI1942"/>
      <c r="CU1942" s="42">
        <v>1937</v>
      </c>
      <c r="CV1942" s="115">
        <v>4</v>
      </c>
      <c r="CW1942" s="115">
        <v>0.11332468572476186</v>
      </c>
      <c r="CX1942" s="115" t="e">
        <v>#N/A</v>
      </c>
      <c r="CY1942" s="115" t="e">
        <v>#N/A</v>
      </c>
      <c r="CZ1942" s="137" t="e">
        <v>#N/A</v>
      </c>
      <c r="DA1942">
        <v>0.11332468572476186</v>
      </c>
      <c r="DB1942" t="str">
        <v/>
      </c>
    </row>
    <row r="1943" spans="83:106" x14ac:dyDescent="0.2">
      <c r="CE1943"/>
      <c r="CF1943"/>
      <c r="CG1943"/>
      <c r="CH1943"/>
      <c r="CI1943"/>
      <c r="CU1943" s="42">
        <v>1938</v>
      </c>
      <c r="CV1943" s="115">
        <v>4</v>
      </c>
      <c r="CW1943" s="115">
        <v>0.11332468572476186</v>
      </c>
      <c r="CX1943" s="115" t="e">
        <v>#N/A</v>
      </c>
      <c r="CY1943" s="115" t="e">
        <v>#N/A</v>
      </c>
      <c r="CZ1943" s="137" t="e">
        <v>#N/A</v>
      </c>
      <c r="DA1943">
        <v>0.11332468572476186</v>
      </c>
      <c r="DB1943" t="str">
        <v/>
      </c>
    </row>
    <row r="1944" spans="83:106" x14ac:dyDescent="0.2">
      <c r="CE1944"/>
      <c r="CF1944"/>
      <c r="CG1944"/>
      <c r="CH1944"/>
      <c r="CI1944"/>
      <c r="CU1944" s="42">
        <v>1939</v>
      </c>
      <c r="CV1944" s="115">
        <v>4</v>
      </c>
      <c r="CW1944" s="115">
        <v>0.11332468572476186</v>
      </c>
      <c r="CX1944" s="115" t="e">
        <v>#N/A</v>
      </c>
      <c r="CY1944" s="115" t="e">
        <v>#N/A</v>
      </c>
      <c r="CZ1944" s="137" t="e">
        <v>#N/A</v>
      </c>
      <c r="DA1944">
        <v>0.11332468572476186</v>
      </c>
      <c r="DB1944" t="str">
        <v/>
      </c>
    </row>
    <row r="1945" spans="83:106" x14ac:dyDescent="0.2">
      <c r="CE1945"/>
      <c r="CF1945"/>
      <c r="CG1945"/>
      <c r="CH1945"/>
      <c r="CI1945"/>
      <c r="CU1945" s="42">
        <v>1940</v>
      </c>
      <c r="CV1945" s="115">
        <v>4</v>
      </c>
      <c r="CW1945" s="115">
        <v>0.11332468572476186</v>
      </c>
      <c r="CX1945" s="115" t="e">
        <v>#N/A</v>
      </c>
      <c r="CY1945" s="115" t="e">
        <v>#N/A</v>
      </c>
      <c r="CZ1945" s="137" t="e">
        <v>#N/A</v>
      </c>
      <c r="DA1945">
        <v>0.11332468572476186</v>
      </c>
      <c r="DB1945" t="str">
        <v/>
      </c>
    </row>
    <row r="1946" spans="83:106" x14ac:dyDescent="0.2">
      <c r="CE1946"/>
      <c r="CF1946"/>
      <c r="CG1946"/>
      <c r="CH1946"/>
      <c r="CI1946"/>
      <c r="CU1946" s="42">
        <v>1941</v>
      </c>
      <c r="CV1946" s="115">
        <v>4</v>
      </c>
      <c r="CW1946" s="115">
        <v>0.11332468572476186</v>
      </c>
      <c r="CX1946" s="115" t="e">
        <v>#N/A</v>
      </c>
      <c r="CY1946" s="115" t="e">
        <v>#N/A</v>
      </c>
      <c r="CZ1946" s="137" t="e">
        <v>#N/A</v>
      </c>
      <c r="DA1946">
        <v>0.11332468572476186</v>
      </c>
      <c r="DB1946" t="str">
        <v/>
      </c>
    </row>
    <row r="1947" spans="83:106" x14ac:dyDescent="0.2">
      <c r="CE1947"/>
      <c r="CF1947"/>
      <c r="CG1947"/>
      <c r="CH1947"/>
      <c r="CI1947"/>
      <c r="CU1947" s="42">
        <v>1942</v>
      </c>
      <c r="CV1947" s="115">
        <v>4</v>
      </c>
      <c r="CW1947" s="115">
        <v>0.11332468572476186</v>
      </c>
      <c r="CX1947" s="115" t="e">
        <v>#N/A</v>
      </c>
      <c r="CY1947" s="115" t="e">
        <v>#N/A</v>
      </c>
      <c r="CZ1947" s="137" t="e">
        <v>#N/A</v>
      </c>
      <c r="DA1947">
        <v>0.11332468572476186</v>
      </c>
      <c r="DB1947" t="str">
        <v/>
      </c>
    </row>
    <row r="1948" spans="83:106" x14ac:dyDescent="0.2">
      <c r="CE1948"/>
      <c r="CF1948"/>
      <c r="CG1948"/>
      <c r="CH1948"/>
      <c r="CI1948"/>
      <c r="CU1948" s="42">
        <v>1943</v>
      </c>
      <c r="CV1948" s="115">
        <v>4</v>
      </c>
      <c r="CW1948" s="115">
        <v>0.11332468572476186</v>
      </c>
      <c r="CX1948" s="115" t="e">
        <v>#N/A</v>
      </c>
      <c r="CY1948" s="115" t="e">
        <v>#N/A</v>
      </c>
      <c r="CZ1948" s="137" t="e">
        <v>#N/A</v>
      </c>
      <c r="DA1948">
        <v>0.11332468572476186</v>
      </c>
      <c r="DB1948" t="str">
        <v/>
      </c>
    </row>
    <row r="1949" spans="83:106" x14ac:dyDescent="0.2">
      <c r="CE1949"/>
      <c r="CF1949"/>
      <c r="CG1949"/>
      <c r="CH1949"/>
      <c r="CI1949"/>
      <c r="CU1949" s="42">
        <v>1944</v>
      </c>
      <c r="CV1949" s="115">
        <v>4</v>
      </c>
      <c r="CW1949" s="115">
        <v>0.11332468572476186</v>
      </c>
      <c r="CX1949" s="115" t="e">
        <v>#N/A</v>
      </c>
      <c r="CY1949" s="115" t="e">
        <v>#N/A</v>
      </c>
      <c r="CZ1949" s="137" t="e">
        <v>#N/A</v>
      </c>
      <c r="DA1949">
        <v>0.11332468572476186</v>
      </c>
      <c r="DB1949" t="str">
        <v/>
      </c>
    </row>
    <row r="1950" spans="83:106" x14ac:dyDescent="0.2">
      <c r="CE1950"/>
      <c r="CF1950"/>
      <c r="CG1950"/>
      <c r="CH1950"/>
      <c r="CI1950"/>
      <c r="CU1950" s="42">
        <v>1945</v>
      </c>
      <c r="CV1950" s="115">
        <v>4</v>
      </c>
      <c r="CW1950" s="115">
        <v>0.11332468572476186</v>
      </c>
      <c r="CX1950" s="115" t="e">
        <v>#N/A</v>
      </c>
      <c r="CY1950" s="115" t="e">
        <v>#N/A</v>
      </c>
      <c r="CZ1950" s="137" t="e">
        <v>#N/A</v>
      </c>
      <c r="DA1950">
        <v>0.11332468572476186</v>
      </c>
      <c r="DB1950" t="str">
        <v/>
      </c>
    </row>
    <row r="1951" spans="83:106" x14ac:dyDescent="0.2">
      <c r="CE1951"/>
      <c r="CF1951"/>
      <c r="CG1951"/>
      <c r="CH1951"/>
      <c r="CI1951"/>
      <c r="CU1951" s="42">
        <v>1946</v>
      </c>
      <c r="CV1951" s="115">
        <v>4</v>
      </c>
      <c r="CW1951" s="115">
        <v>0.11332468572476186</v>
      </c>
      <c r="CX1951" s="115" t="e">
        <v>#N/A</v>
      </c>
      <c r="CY1951" s="115" t="e">
        <v>#N/A</v>
      </c>
      <c r="CZ1951" s="137" t="e">
        <v>#N/A</v>
      </c>
      <c r="DA1951">
        <v>0.11332468572476186</v>
      </c>
      <c r="DB1951" t="str">
        <v/>
      </c>
    </row>
    <row r="1952" spans="83:106" x14ac:dyDescent="0.2">
      <c r="CE1952"/>
      <c r="CF1952"/>
      <c r="CG1952"/>
      <c r="CH1952"/>
      <c r="CI1952"/>
      <c r="CU1952" s="42">
        <v>1947</v>
      </c>
      <c r="CV1952" s="115">
        <v>4</v>
      </c>
      <c r="CW1952" s="115">
        <v>0.11332468572476186</v>
      </c>
      <c r="CX1952" s="115" t="e">
        <v>#N/A</v>
      </c>
      <c r="CY1952" s="115" t="e">
        <v>#N/A</v>
      </c>
      <c r="CZ1952" s="137" t="e">
        <v>#N/A</v>
      </c>
      <c r="DA1952">
        <v>0.11332468572476186</v>
      </c>
      <c r="DB1952" t="str">
        <v/>
      </c>
    </row>
    <row r="1953" spans="83:106" x14ac:dyDescent="0.2">
      <c r="CE1953"/>
      <c r="CF1953"/>
      <c r="CG1953"/>
      <c r="CH1953"/>
      <c r="CI1953"/>
      <c r="CU1953" s="42">
        <v>1948</v>
      </c>
      <c r="CV1953" s="115">
        <v>4</v>
      </c>
      <c r="CW1953" s="115">
        <v>0.11332468572476186</v>
      </c>
      <c r="CX1953" s="115" t="e">
        <v>#N/A</v>
      </c>
      <c r="CY1953" s="115" t="e">
        <v>#N/A</v>
      </c>
      <c r="CZ1953" s="137" t="e">
        <v>#N/A</v>
      </c>
      <c r="DA1953">
        <v>0.11332468572476186</v>
      </c>
      <c r="DB1953" t="str">
        <v/>
      </c>
    </row>
    <row r="1954" spans="83:106" x14ac:dyDescent="0.2">
      <c r="CE1954"/>
      <c r="CF1954"/>
      <c r="CG1954"/>
      <c r="CH1954"/>
      <c r="CI1954"/>
      <c r="CU1954" s="42">
        <v>1949</v>
      </c>
      <c r="CV1954" s="115">
        <v>4</v>
      </c>
      <c r="CW1954" s="115">
        <v>0.11332468572476186</v>
      </c>
      <c r="CX1954" s="115" t="e">
        <v>#N/A</v>
      </c>
      <c r="CY1954" s="115" t="e">
        <v>#N/A</v>
      </c>
      <c r="CZ1954" s="137" t="e">
        <v>#N/A</v>
      </c>
      <c r="DA1954">
        <v>0.11332468572476186</v>
      </c>
      <c r="DB1954" t="str">
        <v/>
      </c>
    </row>
    <row r="1955" spans="83:106" x14ac:dyDescent="0.2">
      <c r="CE1955"/>
      <c r="CF1955"/>
      <c r="CG1955"/>
      <c r="CH1955"/>
      <c r="CI1955"/>
      <c r="CU1955" s="42">
        <v>1950</v>
      </c>
      <c r="CV1955" s="115">
        <v>4</v>
      </c>
      <c r="CW1955" s="115">
        <v>0.11332468572476186</v>
      </c>
      <c r="CX1955" s="115" t="e">
        <v>#N/A</v>
      </c>
      <c r="CY1955" s="115" t="e">
        <v>#N/A</v>
      </c>
      <c r="CZ1955" s="137" t="e">
        <v>#N/A</v>
      </c>
      <c r="DA1955">
        <v>0.11332468572476186</v>
      </c>
      <c r="DB1955" t="str">
        <v/>
      </c>
    </row>
    <row r="1956" spans="83:106" x14ac:dyDescent="0.2">
      <c r="CE1956"/>
      <c r="CF1956"/>
      <c r="CG1956"/>
      <c r="CH1956"/>
      <c r="CI1956"/>
      <c r="CU1956" s="42">
        <v>1951</v>
      </c>
      <c r="CV1956" s="115">
        <v>4</v>
      </c>
      <c r="CW1956" s="115">
        <v>0.11332468572476186</v>
      </c>
      <c r="CX1956" s="115" t="e">
        <v>#N/A</v>
      </c>
      <c r="CY1956" s="115" t="e">
        <v>#N/A</v>
      </c>
      <c r="CZ1956" s="137" t="e">
        <v>#N/A</v>
      </c>
      <c r="DA1956">
        <v>0.11332468572476186</v>
      </c>
      <c r="DB1956" t="str">
        <v/>
      </c>
    </row>
    <row r="1957" spans="83:106" x14ac:dyDescent="0.2">
      <c r="CE1957"/>
      <c r="CF1957"/>
      <c r="CG1957"/>
      <c r="CH1957"/>
      <c r="CI1957"/>
      <c r="CU1957" s="42">
        <v>1952</v>
      </c>
      <c r="CV1957" s="115">
        <v>4</v>
      </c>
      <c r="CW1957" s="115">
        <v>0.11332468572476186</v>
      </c>
      <c r="CX1957" s="115" t="e">
        <v>#N/A</v>
      </c>
      <c r="CY1957" s="115" t="e">
        <v>#N/A</v>
      </c>
      <c r="CZ1957" s="137" t="e">
        <v>#N/A</v>
      </c>
      <c r="DA1957">
        <v>0.11332468572476186</v>
      </c>
      <c r="DB1957" t="str">
        <v/>
      </c>
    </row>
    <row r="1958" spans="83:106" x14ac:dyDescent="0.2">
      <c r="CE1958"/>
      <c r="CF1958"/>
      <c r="CG1958"/>
      <c r="CH1958"/>
      <c r="CI1958"/>
      <c r="CU1958" s="42">
        <v>1953</v>
      </c>
      <c r="CV1958" s="115">
        <v>4</v>
      </c>
      <c r="CW1958" s="115">
        <v>0.11332468572476186</v>
      </c>
      <c r="CX1958" s="115" t="e">
        <v>#N/A</v>
      </c>
      <c r="CY1958" s="115" t="e">
        <v>#N/A</v>
      </c>
      <c r="CZ1958" s="137" t="e">
        <v>#N/A</v>
      </c>
      <c r="DA1958">
        <v>0.11332468572476186</v>
      </c>
      <c r="DB1958" t="str">
        <v/>
      </c>
    </row>
    <row r="1959" spans="83:106" x14ac:dyDescent="0.2">
      <c r="CE1959"/>
      <c r="CF1959"/>
      <c r="CG1959"/>
      <c r="CH1959"/>
      <c r="CI1959"/>
      <c r="CU1959" s="42">
        <v>1954</v>
      </c>
      <c r="CV1959" s="115">
        <v>4</v>
      </c>
      <c r="CW1959" s="115">
        <v>0.11332468572476186</v>
      </c>
      <c r="CX1959" s="115" t="e">
        <v>#N/A</v>
      </c>
      <c r="CY1959" s="115" t="e">
        <v>#N/A</v>
      </c>
      <c r="CZ1959" s="137" t="e">
        <v>#N/A</v>
      </c>
      <c r="DA1959">
        <v>0.11332468572476186</v>
      </c>
      <c r="DB1959" t="str">
        <v/>
      </c>
    </row>
    <row r="1960" spans="83:106" x14ac:dyDescent="0.2">
      <c r="CE1960"/>
      <c r="CF1960"/>
      <c r="CG1960"/>
      <c r="CH1960"/>
      <c r="CI1960"/>
      <c r="CU1960" s="42">
        <v>1955</v>
      </c>
      <c r="CV1960" s="115">
        <v>4</v>
      </c>
      <c r="CW1960" s="115">
        <v>0.11332468572476186</v>
      </c>
      <c r="CX1960" s="115" t="e">
        <v>#N/A</v>
      </c>
      <c r="CY1960" s="115" t="e">
        <v>#N/A</v>
      </c>
      <c r="CZ1960" s="137" t="e">
        <v>#N/A</v>
      </c>
      <c r="DA1960">
        <v>0.11332468572476186</v>
      </c>
      <c r="DB1960" t="str">
        <v/>
      </c>
    </row>
    <row r="1961" spans="83:106" x14ac:dyDescent="0.2">
      <c r="CE1961"/>
      <c r="CF1961"/>
      <c r="CG1961"/>
      <c r="CH1961"/>
      <c r="CI1961"/>
      <c r="CU1961" s="42">
        <v>1956</v>
      </c>
      <c r="CV1961" s="115">
        <v>4</v>
      </c>
      <c r="CW1961" s="115">
        <v>0.11332468572476186</v>
      </c>
      <c r="CX1961" s="115" t="e">
        <v>#N/A</v>
      </c>
      <c r="CY1961" s="115" t="e">
        <v>#N/A</v>
      </c>
      <c r="CZ1961" s="137" t="e">
        <v>#N/A</v>
      </c>
      <c r="DA1961">
        <v>0.11332468572476186</v>
      </c>
      <c r="DB1961" t="str">
        <v/>
      </c>
    </row>
    <row r="1962" spans="83:106" x14ac:dyDescent="0.2">
      <c r="CE1962"/>
      <c r="CF1962"/>
      <c r="CG1962"/>
      <c r="CH1962"/>
      <c r="CI1962"/>
      <c r="CU1962" s="42">
        <v>1957</v>
      </c>
      <c r="CV1962" s="115">
        <v>4</v>
      </c>
      <c r="CW1962" s="115">
        <v>0.11332468572476186</v>
      </c>
      <c r="CX1962" s="115" t="e">
        <v>#N/A</v>
      </c>
      <c r="CY1962" s="115" t="e">
        <v>#N/A</v>
      </c>
      <c r="CZ1962" s="137" t="e">
        <v>#N/A</v>
      </c>
      <c r="DA1962">
        <v>0.11332468572476186</v>
      </c>
      <c r="DB1962" t="str">
        <v/>
      </c>
    </row>
    <row r="1963" spans="83:106" x14ac:dyDescent="0.2">
      <c r="CE1963"/>
      <c r="CF1963"/>
      <c r="CG1963"/>
      <c r="CH1963"/>
      <c r="CI1963"/>
      <c r="CU1963" s="42">
        <v>1958</v>
      </c>
      <c r="CV1963" s="115">
        <v>4</v>
      </c>
      <c r="CW1963" s="115">
        <v>0.11332468572476186</v>
      </c>
      <c r="CX1963" s="115" t="e">
        <v>#N/A</v>
      </c>
      <c r="CY1963" s="115" t="e">
        <v>#N/A</v>
      </c>
      <c r="CZ1963" s="137" t="e">
        <v>#N/A</v>
      </c>
      <c r="DA1963">
        <v>0.11332468572476186</v>
      </c>
      <c r="DB1963" t="str">
        <v/>
      </c>
    </row>
    <row r="1964" spans="83:106" x14ac:dyDescent="0.2">
      <c r="CE1964"/>
      <c r="CF1964"/>
      <c r="CG1964"/>
      <c r="CH1964"/>
      <c r="CI1964"/>
      <c r="CU1964" s="42">
        <v>1959</v>
      </c>
      <c r="CV1964" s="115">
        <v>4</v>
      </c>
      <c r="CW1964" s="115">
        <v>0.11332468572476186</v>
      </c>
      <c r="CX1964" s="115" t="e">
        <v>#N/A</v>
      </c>
      <c r="CY1964" s="115" t="e">
        <v>#N/A</v>
      </c>
      <c r="CZ1964" s="137" t="e">
        <v>#N/A</v>
      </c>
      <c r="DA1964">
        <v>0.11332468572476186</v>
      </c>
      <c r="DB1964" t="str">
        <v/>
      </c>
    </row>
    <row r="1965" spans="83:106" x14ac:dyDescent="0.2">
      <c r="CE1965"/>
      <c r="CF1965"/>
      <c r="CG1965"/>
      <c r="CH1965"/>
      <c r="CI1965"/>
      <c r="CU1965" s="42">
        <v>1960</v>
      </c>
      <c r="CV1965" s="115">
        <v>4</v>
      </c>
      <c r="CW1965" s="115">
        <v>0.11332468572476186</v>
      </c>
      <c r="CX1965" s="115" t="e">
        <v>#N/A</v>
      </c>
      <c r="CY1965" s="115" t="e">
        <v>#N/A</v>
      </c>
      <c r="CZ1965" s="137" t="e">
        <v>#N/A</v>
      </c>
      <c r="DA1965">
        <v>0.11332468572476186</v>
      </c>
      <c r="DB1965" t="str">
        <v/>
      </c>
    </row>
    <row r="1966" spans="83:106" x14ac:dyDescent="0.2">
      <c r="CE1966"/>
      <c r="CF1966"/>
      <c r="CG1966"/>
      <c r="CH1966"/>
      <c r="CI1966"/>
      <c r="CU1966" s="42">
        <v>1961</v>
      </c>
      <c r="CV1966" s="115">
        <v>4</v>
      </c>
      <c r="CW1966" s="115">
        <v>0.11332468572476186</v>
      </c>
      <c r="CX1966" s="115" t="e">
        <v>#N/A</v>
      </c>
      <c r="CY1966" s="115" t="e">
        <v>#N/A</v>
      </c>
      <c r="CZ1966" s="137" t="e">
        <v>#N/A</v>
      </c>
      <c r="DA1966">
        <v>0.11332468572476186</v>
      </c>
      <c r="DB1966" t="str">
        <v/>
      </c>
    </row>
    <row r="1967" spans="83:106" x14ac:dyDescent="0.2">
      <c r="CE1967"/>
      <c r="CF1967"/>
      <c r="CG1967"/>
      <c r="CH1967"/>
      <c r="CI1967"/>
      <c r="CU1967" s="42">
        <v>1962</v>
      </c>
      <c r="CV1967" s="115">
        <v>4</v>
      </c>
      <c r="CW1967" s="115">
        <v>0.11332468572476186</v>
      </c>
      <c r="CX1967" s="115" t="e">
        <v>#N/A</v>
      </c>
      <c r="CY1967" s="115" t="e">
        <v>#N/A</v>
      </c>
      <c r="CZ1967" s="137" t="e">
        <v>#N/A</v>
      </c>
      <c r="DA1967">
        <v>0.11332468572476186</v>
      </c>
      <c r="DB1967" t="str">
        <v/>
      </c>
    </row>
    <row r="1968" spans="83:106" x14ac:dyDescent="0.2">
      <c r="CE1968"/>
      <c r="CF1968"/>
      <c r="CG1968"/>
      <c r="CH1968"/>
      <c r="CI1968"/>
      <c r="CU1968" s="42">
        <v>1963</v>
      </c>
      <c r="CV1968" s="115">
        <v>4</v>
      </c>
      <c r="CW1968" s="115">
        <v>0.11332468572476186</v>
      </c>
      <c r="CX1968" s="115" t="e">
        <v>#N/A</v>
      </c>
      <c r="CY1968" s="115" t="e">
        <v>#N/A</v>
      </c>
      <c r="CZ1968" s="137" t="e">
        <v>#N/A</v>
      </c>
      <c r="DA1968">
        <v>0.11332468572476186</v>
      </c>
      <c r="DB1968" t="str">
        <v/>
      </c>
    </row>
    <row r="1969" spans="83:106" x14ac:dyDescent="0.2">
      <c r="CE1969"/>
      <c r="CF1969"/>
      <c r="CG1969"/>
      <c r="CH1969"/>
      <c r="CI1969"/>
      <c r="CU1969" s="42">
        <v>1964</v>
      </c>
      <c r="CV1969" s="115">
        <v>4</v>
      </c>
      <c r="CW1969" s="115">
        <v>0.11332468572476186</v>
      </c>
      <c r="CX1969" s="115" t="e">
        <v>#N/A</v>
      </c>
      <c r="CY1969" s="115" t="e">
        <v>#N/A</v>
      </c>
      <c r="CZ1969" s="137" t="e">
        <v>#N/A</v>
      </c>
      <c r="DA1969">
        <v>0.11332468572476186</v>
      </c>
      <c r="DB1969" t="str">
        <v/>
      </c>
    </row>
    <row r="1970" spans="83:106" x14ac:dyDescent="0.2">
      <c r="CE1970"/>
      <c r="CF1970"/>
      <c r="CG1970"/>
      <c r="CH1970"/>
      <c r="CI1970"/>
      <c r="CU1970" s="42">
        <v>1965</v>
      </c>
      <c r="CV1970" s="115">
        <v>4</v>
      </c>
      <c r="CW1970" s="115">
        <v>0.11332468572476186</v>
      </c>
      <c r="CX1970" s="115" t="e">
        <v>#N/A</v>
      </c>
      <c r="CY1970" s="115" t="e">
        <v>#N/A</v>
      </c>
      <c r="CZ1970" s="137" t="e">
        <v>#N/A</v>
      </c>
      <c r="DA1970">
        <v>0.11332468572476186</v>
      </c>
      <c r="DB1970" t="str">
        <v/>
      </c>
    </row>
    <row r="1971" spans="83:106" x14ac:dyDescent="0.2">
      <c r="CE1971"/>
      <c r="CF1971"/>
      <c r="CG1971"/>
      <c r="CH1971"/>
      <c r="CI1971"/>
      <c r="CU1971" s="42">
        <v>1966</v>
      </c>
      <c r="CV1971" s="115">
        <v>4</v>
      </c>
      <c r="CW1971" s="115">
        <v>0.11332468572476186</v>
      </c>
      <c r="CX1971" s="115" t="e">
        <v>#N/A</v>
      </c>
      <c r="CY1971" s="115" t="e">
        <v>#N/A</v>
      </c>
      <c r="CZ1971" s="137" t="e">
        <v>#N/A</v>
      </c>
      <c r="DA1971">
        <v>0.11332468572476186</v>
      </c>
      <c r="DB1971" t="str">
        <v/>
      </c>
    </row>
    <row r="1972" spans="83:106" x14ac:dyDescent="0.2">
      <c r="CE1972"/>
      <c r="CF1972"/>
      <c r="CG1972"/>
      <c r="CH1972"/>
      <c r="CI1972"/>
      <c r="CU1972" s="42">
        <v>1967</v>
      </c>
      <c r="CV1972" s="115">
        <v>4</v>
      </c>
      <c r="CW1972" s="115">
        <v>0.11332468572476186</v>
      </c>
      <c r="CX1972" s="115" t="e">
        <v>#N/A</v>
      </c>
      <c r="CY1972" s="115" t="e">
        <v>#N/A</v>
      </c>
      <c r="CZ1972" s="137" t="e">
        <v>#N/A</v>
      </c>
      <c r="DA1972">
        <v>0.11332468572476186</v>
      </c>
      <c r="DB1972" t="str">
        <v/>
      </c>
    </row>
    <row r="1973" spans="83:106" x14ac:dyDescent="0.2">
      <c r="CE1973"/>
      <c r="CF1973"/>
      <c r="CG1973"/>
      <c r="CH1973"/>
      <c r="CI1973"/>
      <c r="CU1973" s="42">
        <v>1968</v>
      </c>
      <c r="CV1973" s="115">
        <v>4</v>
      </c>
      <c r="CW1973" s="115">
        <v>0.11332468572476186</v>
      </c>
      <c r="CX1973" s="115" t="e">
        <v>#N/A</v>
      </c>
      <c r="CY1973" s="115" t="e">
        <v>#N/A</v>
      </c>
      <c r="CZ1973" s="137" t="e">
        <v>#N/A</v>
      </c>
      <c r="DA1973">
        <v>0.11332468572476186</v>
      </c>
      <c r="DB1973" t="str">
        <v/>
      </c>
    </row>
    <row r="1974" spans="83:106" x14ac:dyDescent="0.2">
      <c r="CE1974"/>
      <c r="CF1974"/>
      <c r="CG1974"/>
      <c r="CH1974"/>
      <c r="CI1974"/>
      <c r="CU1974" s="42">
        <v>1969</v>
      </c>
      <c r="CV1974" s="115">
        <v>4</v>
      </c>
      <c r="CW1974" s="115">
        <v>0.11332468572476186</v>
      </c>
      <c r="CX1974" s="115" t="e">
        <v>#N/A</v>
      </c>
      <c r="CY1974" s="115" t="e">
        <v>#N/A</v>
      </c>
      <c r="CZ1974" s="137" t="e">
        <v>#N/A</v>
      </c>
      <c r="DA1974">
        <v>0.11332468572476186</v>
      </c>
      <c r="DB1974" t="str">
        <v/>
      </c>
    </row>
    <row r="1975" spans="83:106" x14ac:dyDescent="0.2">
      <c r="CE1975"/>
      <c r="CF1975"/>
      <c r="CG1975"/>
      <c r="CH1975"/>
      <c r="CI1975"/>
      <c r="CU1975" s="42">
        <v>1970</v>
      </c>
      <c r="CV1975" s="115">
        <v>4</v>
      </c>
      <c r="CW1975" s="115">
        <v>0.11332468572476186</v>
      </c>
      <c r="CX1975" s="115" t="e">
        <v>#N/A</v>
      </c>
      <c r="CY1975" s="115" t="e">
        <v>#N/A</v>
      </c>
      <c r="CZ1975" s="137" t="e">
        <v>#N/A</v>
      </c>
      <c r="DA1975">
        <v>0.11332468572476186</v>
      </c>
      <c r="DB1975" t="str">
        <v/>
      </c>
    </row>
    <row r="1976" spans="83:106" x14ac:dyDescent="0.2">
      <c r="CE1976"/>
      <c r="CF1976"/>
      <c r="CG1976"/>
      <c r="CH1976"/>
      <c r="CI1976"/>
      <c r="CU1976" s="42">
        <v>1971</v>
      </c>
      <c r="CV1976" s="115">
        <v>4</v>
      </c>
      <c r="CW1976" s="115">
        <v>0.11332468572476186</v>
      </c>
      <c r="CX1976" s="115" t="e">
        <v>#N/A</v>
      </c>
      <c r="CY1976" s="115" t="e">
        <v>#N/A</v>
      </c>
      <c r="CZ1976" s="137" t="e">
        <v>#N/A</v>
      </c>
      <c r="DA1976">
        <v>0.11332468572476186</v>
      </c>
      <c r="DB1976" t="str">
        <v/>
      </c>
    </row>
    <row r="1977" spans="83:106" x14ac:dyDescent="0.2">
      <c r="CE1977"/>
      <c r="CF1977"/>
      <c r="CG1977"/>
      <c r="CH1977"/>
      <c r="CI1977"/>
      <c r="CU1977" s="42">
        <v>1972</v>
      </c>
      <c r="CV1977" s="115">
        <v>4</v>
      </c>
      <c r="CW1977" s="115">
        <v>0.11332468572476186</v>
      </c>
      <c r="CX1977" s="115" t="e">
        <v>#N/A</v>
      </c>
      <c r="CY1977" s="115" t="e">
        <v>#N/A</v>
      </c>
      <c r="CZ1977" s="137" t="e">
        <v>#N/A</v>
      </c>
      <c r="DA1977">
        <v>0.11332468572476186</v>
      </c>
      <c r="DB1977" t="str">
        <v/>
      </c>
    </row>
    <row r="1978" spans="83:106" x14ac:dyDescent="0.2">
      <c r="CE1978"/>
      <c r="CF1978"/>
      <c r="CG1978"/>
      <c r="CH1978"/>
      <c r="CI1978"/>
      <c r="CU1978" s="42">
        <v>1973</v>
      </c>
      <c r="CV1978" s="115">
        <v>4</v>
      </c>
      <c r="CW1978" s="115">
        <v>0.11332468572476186</v>
      </c>
      <c r="CX1978" s="115" t="e">
        <v>#N/A</v>
      </c>
      <c r="CY1978" s="115" t="e">
        <v>#N/A</v>
      </c>
      <c r="CZ1978" s="137" t="e">
        <v>#N/A</v>
      </c>
      <c r="DA1978">
        <v>0.11332468572476186</v>
      </c>
      <c r="DB1978" t="str">
        <v/>
      </c>
    </row>
    <row r="1979" spans="83:106" x14ac:dyDescent="0.2">
      <c r="CE1979"/>
      <c r="CF1979"/>
      <c r="CG1979"/>
      <c r="CH1979"/>
      <c r="CI1979"/>
      <c r="CU1979" s="42">
        <v>1974</v>
      </c>
      <c r="CV1979" s="115">
        <v>4</v>
      </c>
      <c r="CW1979" s="115">
        <v>0.11332468572476186</v>
      </c>
      <c r="CX1979" s="115" t="e">
        <v>#N/A</v>
      </c>
      <c r="CY1979" s="115" t="e">
        <v>#N/A</v>
      </c>
      <c r="CZ1979" s="137" t="e">
        <v>#N/A</v>
      </c>
      <c r="DA1979">
        <v>0.11332468572476186</v>
      </c>
      <c r="DB1979" t="str">
        <v/>
      </c>
    </row>
    <row r="1980" spans="83:106" x14ac:dyDescent="0.2">
      <c r="CE1980"/>
      <c r="CF1980"/>
      <c r="CG1980"/>
      <c r="CH1980"/>
      <c r="CI1980"/>
      <c r="CU1980" s="42">
        <v>1975</v>
      </c>
      <c r="CV1980" s="115">
        <v>4</v>
      </c>
      <c r="CW1980" s="115">
        <v>0.11332468572476186</v>
      </c>
      <c r="CX1980" s="115" t="e">
        <v>#N/A</v>
      </c>
      <c r="CY1980" s="115" t="e">
        <v>#N/A</v>
      </c>
      <c r="CZ1980" s="137" t="e">
        <v>#N/A</v>
      </c>
      <c r="DA1980">
        <v>0.11332468572476186</v>
      </c>
      <c r="DB1980" t="str">
        <v/>
      </c>
    </row>
    <row r="1981" spans="83:106" x14ac:dyDescent="0.2">
      <c r="CE1981"/>
      <c r="CF1981"/>
      <c r="CG1981"/>
      <c r="CH1981"/>
      <c r="CI1981"/>
      <c r="CU1981" s="42">
        <v>1976</v>
      </c>
      <c r="CV1981" s="115">
        <v>4</v>
      </c>
      <c r="CW1981" s="115">
        <v>0.11332468572476186</v>
      </c>
      <c r="CX1981" s="115" t="e">
        <v>#N/A</v>
      </c>
      <c r="CY1981" s="115" t="e">
        <v>#N/A</v>
      </c>
      <c r="CZ1981" s="137" t="e">
        <v>#N/A</v>
      </c>
      <c r="DA1981">
        <v>0.11332468572476186</v>
      </c>
      <c r="DB1981" t="str">
        <v/>
      </c>
    </row>
    <row r="1982" spans="83:106" x14ac:dyDescent="0.2">
      <c r="CE1982"/>
      <c r="CF1982"/>
      <c r="CG1982"/>
      <c r="CH1982"/>
      <c r="CI1982"/>
      <c r="CU1982" s="42">
        <v>1977</v>
      </c>
      <c r="CV1982" s="115">
        <v>4</v>
      </c>
      <c r="CW1982" s="115">
        <v>0.11332468572476186</v>
      </c>
      <c r="CX1982" s="115" t="e">
        <v>#N/A</v>
      </c>
      <c r="CY1982" s="115" t="e">
        <v>#N/A</v>
      </c>
      <c r="CZ1982" s="137" t="e">
        <v>#N/A</v>
      </c>
      <c r="DA1982">
        <v>0.11332468572476186</v>
      </c>
      <c r="DB1982" t="str">
        <v/>
      </c>
    </row>
    <row r="1983" spans="83:106" x14ac:dyDescent="0.2">
      <c r="CE1983"/>
      <c r="CF1983"/>
      <c r="CG1983"/>
      <c r="CH1983"/>
      <c r="CI1983"/>
      <c r="CU1983" s="42">
        <v>1978</v>
      </c>
      <c r="CV1983" s="115">
        <v>4</v>
      </c>
      <c r="CW1983" s="115">
        <v>0.11332468572476186</v>
      </c>
      <c r="CX1983" s="115" t="e">
        <v>#N/A</v>
      </c>
      <c r="CY1983" s="115" t="e">
        <v>#N/A</v>
      </c>
      <c r="CZ1983" s="137" t="e">
        <v>#N/A</v>
      </c>
      <c r="DA1983">
        <v>0.11332468572476186</v>
      </c>
      <c r="DB1983" t="str">
        <v/>
      </c>
    </row>
    <row r="1984" spans="83:106" x14ac:dyDescent="0.2">
      <c r="CE1984"/>
      <c r="CF1984"/>
      <c r="CG1984"/>
      <c r="CH1984"/>
      <c r="CI1984"/>
      <c r="CU1984" s="42">
        <v>1979</v>
      </c>
      <c r="CV1984" s="115">
        <v>4</v>
      </c>
      <c r="CW1984" s="115">
        <v>0.11332468572476186</v>
      </c>
      <c r="CX1984" s="115" t="e">
        <v>#N/A</v>
      </c>
      <c r="CY1984" s="115" t="e">
        <v>#N/A</v>
      </c>
      <c r="CZ1984" s="137" t="e">
        <v>#N/A</v>
      </c>
      <c r="DA1984">
        <v>0.11332468572476186</v>
      </c>
      <c r="DB1984" t="str">
        <v/>
      </c>
    </row>
    <row r="1985" spans="83:106" x14ac:dyDescent="0.2">
      <c r="CE1985"/>
      <c r="CF1985"/>
      <c r="CG1985"/>
      <c r="CH1985"/>
      <c r="CI1985"/>
      <c r="CU1985" s="42">
        <v>1980</v>
      </c>
      <c r="CV1985" s="115">
        <v>4</v>
      </c>
      <c r="CW1985" s="115">
        <v>0.11332468572476186</v>
      </c>
      <c r="CX1985" s="115" t="e">
        <v>#N/A</v>
      </c>
      <c r="CY1985" s="115" t="e">
        <v>#N/A</v>
      </c>
      <c r="CZ1985" s="137" t="e">
        <v>#N/A</v>
      </c>
      <c r="DA1985">
        <v>0.11332468572476186</v>
      </c>
      <c r="DB1985" t="str">
        <v/>
      </c>
    </row>
    <row r="1986" spans="83:106" x14ac:dyDescent="0.2">
      <c r="CE1986"/>
      <c r="CF1986"/>
      <c r="CG1986"/>
      <c r="CH1986"/>
      <c r="CI1986"/>
      <c r="CU1986" s="42">
        <v>1981</v>
      </c>
      <c r="CV1986" s="115">
        <v>4</v>
      </c>
      <c r="CW1986" s="115">
        <v>0.11332468572476186</v>
      </c>
      <c r="CX1986" s="115" t="e">
        <v>#N/A</v>
      </c>
      <c r="CY1986" s="115" t="e">
        <v>#N/A</v>
      </c>
      <c r="CZ1986" s="137" t="e">
        <v>#N/A</v>
      </c>
      <c r="DA1986">
        <v>0.11332468572476186</v>
      </c>
      <c r="DB1986" t="str">
        <v/>
      </c>
    </row>
    <row r="1987" spans="83:106" x14ac:dyDescent="0.2">
      <c r="CE1987"/>
      <c r="CF1987"/>
      <c r="CG1987"/>
      <c r="CH1987"/>
      <c r="CI1987"/>
      <c r="CU1987" s="42">
        <v>1982</v>
      </c>
      <c r="CV1987" s="115">
        <v>4</v>
      </c>
      <c r="CW1987" s="115">
        <v>0.11332468572476186</v>
      </c>
      <c r="CX1987" s="115" t="e">
        <v>#N/A</v>
      </c>
      <c r="CY1987" s="115" t="e">
        <v>#N/A</v>
      </c>
      <c r="CZ1987" s="137" t="e">
        <v>#N/A</v>
      </c>
      <c r="DA1987">
        <v>0.11332468572476186</v>
      </c>
      <c r="DB1987" t="str">
        <v/>
      </c>
    </row>
    <row r="1988" spans="83:106" x14ac:dyDescent="0.2">
      <c r="CE1988"/>
      <c r="CF1988"/>
      <c r="CG1988"/>
      <c r="CH1988"/>
      <c r="CI1988"/>
      <c r="CU1988" s="42">
        <v>1983</v>
      </c>
      <c r="CV1988" s="115">
        <v>4</v>
      </c>
      <c r="CW1988" s="115">
        <v>0.11332468572476186</v>
      </c>
      <c r="CX1988" s="115" t="e">
        <v>#N/A</v>
      </c>
      <c r="CY1988" s="115" t="e">
        <v>#N/A</v>
      </c>
      <c r="CZ1988" s="137" t="e">
        <v>#N/A</v>
      </c>
      <c r="DA1988">
        <v>0.11332468572476186</v>
      </c>
      <c r="DB1988" t="str">
        <v/>
      </c>
    </row>
    <row r="1989" spans="83:106" x14ac:dyDescent="0.2">
      <c r="CE1989"/>
      <c r="CF1989"/>
      <c r="CG1989"/>
      <c r="CH1989"/>
      <c r="CI1989"/>
      <c r="CU1989" s="42">
        <v>1984</v>
      </c>
      <c r="CV1989" s="115">
        <v>4</v>
      </c>
      <c r="CW1989" s="115">
        <v>0.11332468572476186</v>
      </c>
      <c r="CX1989" s="115" t="e">
        <v>#N/A</v>
      </c>
      <c r="CY1989" s="115" t="e">
        <v>#N/A</v>
      </c>
      <c r="CZ1989" s="137" t="e">
        <v>#N/A</v>
      </c>
      <c r="DA1989">
        <v>0.11332468572476186</v>
      </c>
      <c r="DB1989" t="str">
        <v/>
      </c>
    </row>
    <row r="1990" spans="83:106" x14ac:dyDescent="0.2">
      <c r="CE1990"/>
      <c r="CF1990"/>
      <c r="CG1990"/>
      <c r="CH1990"/>
      <c r="CI1990"/>
      <c r="CU1990" s="42">
        <v>1985</v>
      </c>
      <c r="CV1990" s="115">
        <v>4</v>
      </c>
      <c r="CW1990" s="115">
        <v>0.11332468572476186</v>
      </c>
      <c r="CX1990" s="115" t="e">
        <v>#N/A</v>
      </c>
      <c r="CY1990" s="115" t="e">
        <v>#N/A</v>
      </c>
      <c r="CZ1990" s="137" t="e">
        <v>#N/A</v>
      </c>
      <c r="DA1990">
        <v>0.11332468572476186</v>
      </c>
      <c r="DB1990" t="str">
        <v/>
      </c>
    </row>
    <row r="1991" spans="83:106" x14ac:dyDescent="0.2">
      <c r="CE1991"/>
      <c r="CF1991"/>
      <c r="CG1991"/>
      <c r="CH1991"/>
      <c r="CI1991"/>
      <c r="CU1991" s="42">
        <v>1986</v>
      </c>
      <c r="CV1991" s="115">
        <v>4</v>
      </c>
      <c r="CW1991" s="115">
        <v>0.11332468572476186</v>
      </c>
      <c r="CX1991" s="115" t="e">
        <v>#N/A</v>
      </c>
      <c r="CY1991" s="115" t="e">
        <v>#N/A</v>
      </c>
      <c r="CZ1991" s="137" t="e">
        <v>#N/A</v>
      </c>
      <c r="DA1991">
        <v>0.11332468572476186</v>
      </c>
      <c r="DB1991" t="str">
        <v/>
      </c>
    </row>
    <row r="1992" spans="83:106" x14ac:dyDescent="0.2">
      <c r="CE1992"/>
      <c r="CF1992"/>
      <c r="CG1992"/>
      <c r="CH1992"/>
      <c r="CI1992"/>
      <c r="CU1992" s="42">
        <v>1987</v>
      </c>
      <c r="CV1992" s="115">
        <v>4</v>
      </c>
      <c r="CW1992" s="115">
        <v>0.11332468572476186</v>
      </c>
      <c r="CX1992" s="115" t="e">
        <v>#N/A</v>
      </c>
      <c r="CY1992" s="115" t="e">
        <v>#N/A</v>
      </c>
      <c r="CZ1992" s="137" t="e">
        <v>#N/A</v>
      </c>
      <c r="DA1992">
        <v>0.11332468572476186</v>
      </c>
      <c r="DB1992" t="str">
        <v/>
      </c>
    </row>
    <row r="1993" spans="83:106" x14ac:dyDescent="0.2">
      <c r="CE1993"/>
      <c r="CF1993"/>
      <c r="CG1993"/>
      <c r="CH1993"/>
      <c r="CI1993"/>
      <c r="CU1993" s="42">
        <v>1988</v>
      </c>
      <c r="CV1993" s="115">
        <v>4</v>
      </c>
      <c r="CW1993" s="115">
        <v>0.11332468572476186</v>
      </c>
      <c r="CX1993" s="115" t="e">
        <v>#N/A</v>
      </c>
      <c r="CY1993" s="115" t="e">
        <v>#N/A</v>
      </c>
      <c r="CZ1993" s="137" t="e">
        <v>#N/A</v>
      </c>
      <c r="DA1993">
        <v>0.11332468572476186</v>
      </c>
      <c r="DB1993" t="str">
        <v/>
      </c>
    </row>
    <row r="1994" spans="83:106" x14ac:dyDescent="0.2">
      <c r="CE1994"/>
      <c r="CF1994"/>
      <c r="CG1994"/>
      <c r="CH1994"/>
      <c r="CI1994"/>
      <c r="CU1994" s="42">
        <v>1989</v>
      </c>
      <c r="CV1994" s="115">
        <v>4</v>
      </c>
      <c r="CW1994" s="115">
        <v>0.11332468572476186</v>
      </c>
      <c r="CX1994" s="115" t="e">
        <v>#N/A</v>
      </c>
      <c r="CY1994" s="115" t="e">
        <v>#N/A</v>
      </c>
      <c r="CZ1994" s="137" t="e">
        <v>#N/A</v>
      </c>
      <c r="DA1994">
        <v>0.11332468572476186</v>
      </c>
      <c r="DB1994" t="str">
        <v/>
      </c>
    </row>
    <row r="1995" spans="83:106" x14ac:dyDescent="0.2">
      <c r="CE1995"/>
      <c r="CF1995"/>
      <c r="CG1995"/>
      <c r="CH1995"/>
      <c r="CI1995"/>
      <c r="CU1995" s="42">
        <v>1990</v>
      </c>
      <c r="CV1995" s="115">
        <v>4</v>
      </c>
      <c r="CW1995" s="115">
        <v>0.11332468572476186</v>
      </c>
      <c r="CX1995" s="115" t="e">
        <v>#N/A</v>
      </c>
      <c r="CY1995" s="115" t="e">
        <v>#N/A</v>
      </c>
      <c r="CZ1995" s="137" t="e">
        <v>#N/A</v>
      </c>
      <c r="DA1995">
        <v>0.11332468572476186</v>
      </c>
      <c r="DB1995" t="str">
        <v/>
      </c>
    </row>
    <row r="1996" spans="83:106" x14ac:dyDescent="0.2">
      <c r="CE1996"/>
      <c r="CF1996"/>
      <c r="CG1996"/>
      <c r="CH1996"/>
      <c r="CI1996"/>
      <c r="CU1996" s="42">
        <v>1991</v>
      </c>
      <c r="CV1996" s="115">
        <v>4</v>
      </c>
      <c r="CW1996" s="115">
        <v>0.11332468572476186</v>
      </c>
      <c r="CX1996" s="115" t="e">
        <v>#N/A</v>
      </c>
      <c r="CY1996" s="115" t="e">
        <v>#N/A</v>
      </c>
      <c r="CZ1996" s="137" t="e">
        <v>#N/A</v>
      </c>
      <c r="DA1996">
        <v>0.11332468572476186</v>
      </c>
      <c r="DB1996" t="str">
        <v/>
      </c>
    </row>
    <row r="1997" spans="83:106" x14ac:dyDescent="0.2">
      <c r="CE1997"/>
      <c r="CF1997"/>
      <c r="CG1997"/>
      <c r="CH1997"/>
      <c r="CI1997"/>
      <c r="CU1997" s="42">
        <v>1992</v>
      </c>
      <c r="CV1997" s="115">
        <v>4</v>
      </c>
      <c r="CW1997" s="115">
        <v>0.11332468572476186</v>
      </c>
      <c r="CX1997" s="115" t="e">
        <v>#N/A</v>
      </c>
      <c r="CY1997" s="115" t="e">
        <v>#N/A</v>
      </c>
      <c r="CZ1997" s="137" t="e">
        <v>#N/A</v>
      </c>
      <c r="DA1997">
        <v>0.11332468572476186</v>
      </c>
      <c r="DB1997" t="str">
        <v/>
      </c>
    </row>
    <row r="1998" spans="83:106" x14ac:dyDescent="0.2">
      <c r="CE1998"/>
      <c r="CF1998"/>
      <c r="CG1998"/>
      <c r="CH1998"/>
      <c r="CI1998"/>
      <c r="CU1998" s="42">
        <v>1993</v>
      </c>
      <c r="CV1998" s="115">
        <v>4</v>
      </c>
      <c r="CW1998" s="115">
        <v>0.11332468572476186</v>
      </c>
      <c r="CX1998" s="115" t="e">
        <v>#N/A</v>
      </c>
      <c r="CY1998" s="115" t="e">
        <v>#N/A</v>
      </c>
      <c r="CZ1998" s="137" t="e">
        <v>#N/A</v>
      </c>
      <c r="DA1998">
        <v>0.11332468572476186</v>
      </c>
      <c r="DB1998" t="str">
        <v/>
      </c>
    </row>
    <row r="1999" spans="83:106" x14ac:dyDescent="0.2">
      <c r="CE1999"/>
      <c r="CF1999"/>
      <c r="CG1999"/>
      <c r="CH1999"/>
      <c r="CI1999"/>
      <c r="CU1999" s="42">
        <v>1994</v>
      </c>
      <c r="CV1999" s="115">
        <v>4</v>
      </c>
      <c r="CW1999" s="115">
        <v>0.11332468572476186</v>
      </c>
      <c r="CX1999" s="115" t="e">
        <v>#N/A</v>
      </c>
      <c r="CY1999" s="115" t="e">
        <v>#N/A</v>
      </c>
      <c r="CZ1999" s="137" t="e">
        <v>#N/A</v>
      </c>
      <c r="DA1999">
        <v>0.11332468572476186</v>
      </c>
      <c r="DB1999" t="str">
        <v/>
      </c>
    </row>
    <row r="2000" spans="83:106" x14ac:dyDescent="0.2">
      <c r="CE2000"/>
      <c r="CF2000"/>
      <c r="CG2000"/>
      <c r="CH2000"/>
      <c r="CI2000"/>
      <c r="CU2000" s="42">
        <v>1995</v>
      </c>
      <c r="CV2000" s="115">
        <v>4</v>
      </c>
      <c r="CW2000" s="115">
        <v>0.11332468572476186</v>
      </c>
      <c r="CX2000" s="115" t="e">
        <v>#N/A</v>
      </c>
      <c r="CY2000" s="115" t="e">
        <v>#N/A</v>
      </c>
      <c r="CZ2000" s="137" t="e">
        <v>#N/A</v>
      </c>
      <c r="DA2000">
        <v>0.11332468572476186</v>
      </c>
      <c r="DB2000" t="str">
        <v/>
      </c>
    </row>
    <row r="2001" spans="83:106" x14ac:dyDescent="0.2">
      <c r="CE2001"/>
      <c r="CF2001"/>
      <c r="CG2001"/>
      <c r="CH2001"/>
      <c r="CI2001"/>
      <c r="CU2001" s="42">
        <v>1996</v>
      </c>
      <c r="CV2001" s="115">
        <v>4</v>
      </c>
      <c r="CW2001" s="115">
        <v>0.11332468572476186</v>
      </c>
      <c r="CX2001" s="115" t="e">
        <v>#N/A</v>
      </c>
      <c r="CY2001" s="115" t="e">
        <v>#N/A</v>
      </c>
      <c r="CZ2001" s="137" t="e">
        <v>#N/A</v>
      </c>
      <c r="DA2001">
        <v>0.11332468572476186</v>
      </c>
      <c r="DB2001" t="str">
        <v/>
      </c>
    </row>
    <row r="2002" spans="83:106" x14ac:dyDescent="0.2">
      <c r="CE2002"/>
      <c r="CF2002"/>
      <c r="CG2002"/>
      <c r="CH2002"/>
      <c r="CI2002"/>
      <c r="CU2002" s="42">
        <v>1997</v>
      </c>
      <c r="CV2002" s="115">
        <v>4</v>
      </c>
      <c r="CW2002" s="115">
        <v>0.11332468572476186</v>
      </c>
      <c r="CX2002" s="115" t="e">
        <v>#N/A</v>
      </c>
      <c r="CY2002" s="115" t="e">
        <v>#N/A</v>
      </c>
      <c r="CZ2002" s="137" t="e">
        <v>#N/A</v>
      </c>
      <c r="DA2002">
        <v>0.11332468572476186</v>
      </c>
      <c r="DB2002" t="str">
        <v/>
      </c>
    </row>
    <row r="2003" spans="83:106" x14ac:dyDescent="0.2">
      <c r="CE2003"/>
      <c r="CF2003"/>
      <c r="CG2003"/>
      <c r="CH2003"/>
      <c r="CI2003"/>
      <c r="CU2003" s="42">
        <v>1998</v>
      </c>
      <c r="CV2003" s="115">
        <v>4</v>
      </c>
      <c r="CW2003" s="115">
        <v>0.11332468572476186</v>
      </c>
      <c r="CX2003" s="115" t="e">
        <v>#N/A</v>
      </c>
      <c r="CY2003" s="115" t="e">
        <v>#N/A</v>
      </c>
      <c r="CZ2003" s="137" t="e">
        <v>#N/A</v>
      </c>
      <c r="DA2003">
        <v>0.11332468572476186</v>
      </c>
      <c r="DB2003" t="str">
        <v/>
      </c>
    </row>
    <row r="2004" spans="83:106" x14ac:dyDescent="0.2">
      <c r="CE2004"/>
      <c r="CF2004"/>
      <c r="CG2004"/>
      <c r="CH2004"/>
      <c r="CI2004"/>
      <c r="CU2004" s="42">
        <v>1999</v>
      </c>
      <c r="CV2004" s="115">
        <v>4</v>
      </c>
      <c r="CW2004" s="115">
        <v>0.11332468572476186</v>
      </c>
      <c r="CX2004" s="115" t="e">
        <v>#N/A</v>
      </c>
      <c r="CY2004" s="115" t="e">
        <v>#N/A</v>
      </c>
      <c r="CZ2004" s="137" t="e">
        <v>#N/A</v>
      </c>
      <c r="DA2004">
        <v>0.11332468572476186</v>
      </c>
      <c r="DB2004" t="str">
        <v/>
      </c>
    </row>
    <row r="2005" spans="83:106" x14ac:dyDescent="0.2">
      <c r="CE2005"/>
      <c r="CF2005"/>
      <c r="CG2005"/>
      <c r="CH2005"/>
      <c r="CI2005"/>
      <c r="CU2005" s="42">
        <v>2000</v>
      </c>
      <c r="CV2005" s="115">
        <v>4</v>
      </c>
      <c r="CW2005" s="115">
        <v>0.11332468572476186</v>
      </c>
      <c r="CX2005" s="115" t="e">
        <v>#N/A</v>
      </c>
      <c r="CY2005" s="115" t="e">
        <v>#N/A</v>
      </c>
      <c r="CZ2005" s="137" t="e">
        <v>#N/A</v>
      </c>
      <c r="DA2005">
        <v>0.11332468572476186</v>
      </c>
      <c r="DB2005" t="str">
        <v/>
      </c>
    </row>
    <row r="2006" spans="83:106" x14ac:dyDescent="0.2">
      <c r="CE2006"/>
      <c r="CF2006"/>
      <c r="CG2006"/>
      <c r="CH2006"/>
      <c r="CI2006"/>
      <c r="CU2006" s="42">
        <v>2001</v>
      </c>
      <c r="CV2006" s="115">
        <v>4</v>
      </c>
      <c r="CW2006" s="115">
        <v>0.11332468572476186</v>
      </c>
      <c r="CX2006" s="115" t="e">
        <v>#N/A</v>
      </c>
      <c r="CY2006" s="115" t="e">
        <v>#N/A</v>
      </c>
      <c r="CZ2006" s="137" t="e">
        <v>#N/A</v>
      </c>
      <c r="DA2006">
        <v>0.11332468572476186</v>
      </c>
      <c r="DB2006" t="str">
        <v/>
      </c>
    </row>
    <row r="2007" spans="83:106" x14ac:dyDescent="0.2">
      <c r="CE2007"/>
      <c r="CF2007"/>
      <c r="CG2007"/>
      <c r="CH2007"/>
      <c r="CI2007"/>
      <c r="CU2007" s="42">
        <v>2002</v>
      </c>
      <c r="CV2007" s="115">
        <v>4</v>
      </c>
      <c r="CW2007" s="115">
        <v>0.11332468572476186</v>
      </c>
      <c r="CX2007" s="115" t="e">
        <v>#N/A</v>
      </c>
      <c r="CY2007" s="115" t="e">
        <v>#N/A</v>
      </c>
      <c r="CZ2007" s="137" t="e">
        <v>#N/A</v>
      </c>
      <c r="DA2007">
        <v>0.11332468572476186</v>
      </c>
      <c r="DB2007" t="str">
        <v/>
      </c>
    </row>
    <row r="2008" spans="83:106" x14ac:dyDescent="0.2">
      <c r="CE2008"/>
      <c r="CF2008"/>
      <c r="CG2008"/>
      <c r="CH2008"/>
      <c r="CI2008"/>
      <c r="CU2008" s="42">
        <v>2003</v>
      </c>
      <c r="CV2008" s="115">
        <v>4</v>
      </c>
      <c r="CW2008" s="115">
        <v>0.11332468572476186</v>
      </c>
      <c r="CX2008" s="115" t="e">
        <v>#N/A</v>
      </c>
      <c r="CY2008" s="115" t="e">
        <v>#N/A</v>
      </c>
      <c r="CZ2008" s="137" t="e">
        <v>#N/A</v>
      </c>
      <c r="DA2008">
        <v>0.11332468572476186</v>
      </c>
      <c r="DB2008" t="str">
        <v/>
      </c>
    </row>
    <row r="2009" spans="83:106" x14ac:dyDescent="0.2">
      <c r="CE2009"/>
      <c r="CF2009"/>
      <c r="CG2009"/>
      <c r="CH2009"/>
      <c r="CI2009"/>
      <c r="CU2009" s="42">
        <v>2004</v>
      </c>
      <c r="CV2009" s="115">
        <v>4</v>
      </c>
      <c r="CW2009" s="115">
        <v>0.11332468572476186</v>
      </c>
      <c r="CX2009" s="115" t="e">
        <v>#N/A</v>
      </c>
      <c r="CY2009" s="115" t="e">
        <v>#N/A</v>
      </c>
      <c r="CZ2009" s="137" t="e">
        <v>#N/A</v>
      </c>
      <c r="DA2009">
        <v>0.11332468572476186</v>
      </c>
      <c r="DB2009" t="str">
        <v/>
      </c>
    </row>
    <row r="2010" spans="83:106" x14ac:dyDescent="0.2">
      <c r="CE2010"/>
      <c r="CF2010"/>
      <c r="CG2010"/>
      <c r="CH2010"/>
      <c r="CI2010"/>
      <c r="CU2010" s="42">
        <v>2005</v>
      </c>
      <c r="CV2010" s="115">
        <v>4</v>
      </c>
      <c r="CW2010" s="115">
        <v>0.11332468572476186</v>
      </c>
      <c r="CX2010" s="115" t="e">
        <v>#N/A</v>
      </c>
      <c r="CY2010" s="115" t="e">
        <v>#N/A</v>
      </c>
      <c r="CZ2010" s="137" t="e">
        <v>#N/A</v>
      </c>
      <c r="DA2010">
        <v>0.11332468572476186</v>
      </c>
      <c r="DB2010" t="str">
        <v/>
      </c>
    </row>
    <row r="2011" spans="83:106" x14ac:dyDescent="0.2">
      <c r="CE2011"/>
      <c r="CF2011"/>
      <c r="CG2011"/>
      <c r="CH2011"/>
      <c r="CI2011"/>
      <c r="CU2011" s="42">
        <v>2006</v>
      </c>
      <c r="CV2011" s="115">
        <v>4</v>
      </c>
      <c r="CW2011" s="115">
        <v>0.11332468572476186</v>
      </c>
      <c r="CX2011" s="115" t="e">
        <v>#N/A</v>
      </c>
      <c r="CY2011" s="115" t="e">
        <v>#N/A</v>
      </c>
      <c r="CZ2011" s="137" t="e">
        <v>#N/A</v>
      </c>
      <c r="DA2011">
        <v>0.11332468572476186</v>
      </c>
      <c r="DB2011" t="str">
        <v/>
      </c>
    </row>
    <row r="2012" spans="83:106" x14ac:dyDescent="0.2">
      <c r="CE2012"/>
      <c r="CF2012"/>
      <c r="CG2012"/>
      <c r="CH2012"/>
      <c r="CI2012"/>
      <c r="CU2012" s="42">
        <v>2007</v>
      </c>
      <c r="CV2012" s="115">
        <v>4</v>
      </c>
      <c r="CW2012" s="115">
        <v>0.11332468572476186</v>
      </c>
      <c r="CX2012" s="115" t="e">
        <v>#N/A</v>
      </c>
      <c r="CY2012" s="115" t="e">
        <v>#N/A</v>
      </c>
      <c r="CZ2012" s="137" t="e">
        <v>#N/A</v>
      </c>
      <c r="DA2012">
        <v>0.11332468572476186</v>
      </c>
      <c r="DB2012" t="str">
        <v/>
      </c>
    </row>
    <row r="2013" spans="83:106" x14ac:dyDescent="0.2">
      <c r="CE2013"/>
      <c r="CF2013"/>
      <c r="CG2013"/>
      <c r="CH2013"/>
      <c r="CI2013"/>
      <c r="CU2013" s="42">
        <v>2008</v>
      </c>
      <c r="CV2013" s="115">
        <v>4</v>
      </c>
      <c r="CW2013" s="115">
        <v>0.11332468572476186</v>
      </c>
      <c r="CX2013" s="115" t="e">
        <v>#N/A</v>
      </c>
      <c r="CY2013" s="115" t="e">
        <v>#N/A</v>
      </c>
      <c r="CZ2013" s="137" t="e">
        <v>#N/A</v>
      </c>
      <c r="DA2013">
        <v>0.11332468572476186</v>
      </c>
      <c r="DB2013" t="str">
        <v/>
      </c>
    </row>
    <row r="2014" spans="83:106" x14ac:dyDescent="0.2">
      <c r="CE2014"/>
      <c r="CF2014"/>
      <c r="CG2014"/>
      <c r="CH2014"/>
      <c r="CI2014"/>
      <c r="CU2014" s="42">
        <v>2009</v>
      </c>
      <c r="CV2014" s="115">
        <v>4</v>
      </c>
      <c r="CW2014" s="115">
        <v>0.11332468572476186</v>
      </c>
      <c r="CX2014" s="115" t="e">
        <v>#N/A</v>
      </c>
      <c r="CY2014" s="115" t="e">
        <v>#N/A</v>
      </c>
      <c r="CZ2014" s="137" t="e">
        <v>#N/A</v>
      </c>
      <c r="DA2014">
        <v>0.11332468572476186</v>
      </c>
      <c r="DB2014" t="str">
        <v/>
      </c>
    </row>
    <row r="2015" spans="83:106" x14ac:dyDescent="0.2">
      <c r="CE2015"/>
      <c r="CF2015"/>
      <c r="CG2015"/>
      <c r="CH2015"/>
      <c r="CI2015"/>
      <c r="CU2015" s="42">
        <v>2010</v>
      </c>
      <c r="CV2015" s="115">
        <v>4</v>
      </c>
      <c r="CW2015" s="115">
        <v>0.11332468572476186</v>
      </c>
      <c r="CX2015" s="115" t="e">
        <v>#N/A</v>
      </c>
      <c r="CY2015" s="115" t="e">
        <v>#N/A</v>
      </c>
      <c r="CZ2015" s="137" t="e">
        <v>#N/A</v>
      </c>
      <c r="DA2015">
        <v>0.11332468572476186</v>
      </c>
      <c r="DB2015" t="str">
        <v/>
      </c>
    </row>
    <row r="2016" spans="83:106" x14ac:dyDescent="0.2">
      <c r="CE2016"/>
      <c r="CF2016"/>
      <c r="CG2016"/>
      <c r="CH2016"/>
      <c r="CI2016"/>
      <c r="CU2016" s="42">
        <v>2011</v>
      </c>
      <c r="CV2016" s="115">
        <v>4</v>
      </c>
      <c r="CW2016" s="115">
        <v>0.11332468572476186</v>
      </c>
      <c r="CX2016" s="115" t="e">
        <v>#N/A</v>
      </c>
      <c r="CY2016" s="115" t="e">
        <v>#N/A</v>
      </c>
      <c r="CZ2016" s="137" t="e">
        <v>#N/A</v>
      </c>
      <c r="DA2016">
        <v>0.11332468572476186</v>
      </c>
      <c r="DB2016" t="str">
        <v/>
      </c>
    </row>
    <row r="2017" spans="83:106" x14ac:dyDescent="0.2">
      <c r="CE2017"/>
      <c r="CF2017"/>
      <c r="CG2017"/>
      <c r="CH2017"/>
      <c r="CI2017"/>
      <c r="CU2017" s="42">
        <v>2012</v>
      </c>
      <c r="CV2017" s="115">
        <v>4</v>
      </c>
      <c r="CW2017" s="115">
        <v>0.11332468572476186</v>
      </c>
      <c r="CX2017" s="115" t="e">
        <v>#N/A</v>
      </c>
      <c r="CY2017" s="115" t="e">
        <v>#N/A</v>
      </c>
      <c r="CZ2017" s="137" t="e">
        <v>#N/A</v>
      </c>
      <c r="DA2017">
        <v>0.11332468572476186</v>
      </c>
      <c r="DB2017" t="str">
        <v/>
      </c>
    </row>
    <row r="2018" spans="83:106" x14ac:dyDescent="0.2">
      <c r="CE2018"/>
      <c r="CF2018"/>
      <c r="CG2018"/>
      <c r="CH2018"/>
      <c r="CI2018"/>
      <c r="CU2018" s="42">
        <v>2013</v>
      </c>
      <c r="CV2018" s="115">
        <v>4</v>
      </c>
      <c r="CW2018" s="115">
        <v>0.11332468572476186</v>
      </c>
      <c r="CX2018" s="115" t="e">
        <v>#N/A</v>
      </c>
      <c r="CY2018" s="115" t="e">
        <v>#N/A</v>
      </c>
      <c r="CZ2018" s="137" t="e">
        <v>#N/A</v>
      </c>
      <c r="DA2018">
        <v>0.11332468572476186</v>
      </c>
      <c r="DB2018" t="str">
        <v/>
      </c>
    </row>
    <row r="2019" spans="83:106" x14ac:dyDescent="0.2">
      <c r="CE2019"/>
      <c r="CF2019"/>
      <c r="CG2019"/>
      <c r="CH2019"/>
      <c r="CI2019"/>
      <c r="CU2019" s="42">
        <v>2014</v>
      </c>
      <c r="CV2019" s="115">
        <v>4</v>
      </c>
      <c r="CW2019" s="115">
        <v>0.11332468572476186</v>
      </c>
      <c r="CX2019" s="115" t="e">
        <v>#N/A</v>
      </c>
      <c r="CY2019" s="115" t="e">
        <v>#N/A</v>
      </c>
      <c r="CZ2019" s="137" t="e">
        <v>#N/A</v>
      </c>
      <c r="DA2019">
        <v>0.11332468572476186</v>
      </c>
      <c r="DB2019" t="str">
        <v/>
      </c>
    </row>
    <row r="2020" spans="83:106" x14ac:dyDescent="0.2">
      <c r="CE2020"/>
      <c r="CF2020"/>
      <c r="CG2020"/>
      <c r="CH2020"/>
      <c r="CI2020"/>
      <c r="CU2020" s="42">
        <v>2015</v>
      </c>
      <c r="CV2020" s="115">
        <v>4</v>
      </c>
      <c r="CW2020" s="115">
        <v>0.11332468572476186</v>
      </c>
      <c r="CX2020" s="115" t="e">
        <v>#N/A</v>
      </c>
      <c r="CY2020" s="115" t="e">
        <v>#N/A</v>
      </c>
      <c r="CZ2020" s="137" t="e">
        <v>#N/A</v>
      </c>
      <c r="DA2020">
        <v>0.11332468572476186</v>
      </c>
      <c r="DB2020" t="str">
        <v/>
      </c>
    </row>
    <row r="2021" spans="83:106" x14ac:dyDescent="0.2">
      <c r="CE2021"/>
      <c r="CF2021"/>
      <c r="CG2021"/>
      <c r="CH2021"/>
      <c r="CI2021"/>
      <c r="CU2021" s="42">
        <v>2016</v>
      </c>
      <c r="CV2021" s="115">
        <v>4</v>
      </c>
      <c r="CW2021" s="115">
        <v>0.11332468572476186</v>
      </c>
      <c r="CX2021" s="115" t="e">
        <v>#N/A</v>
      </c>
      <c r="CY2021" s="115" t="e">
        <v>#N/A</v>
      </c>
      <c r="CZ2021" s="137" t="e">
        <v>#N/A</v>
      </c>
      <c r="DA2021">
        <v>0.11332468572476186</v>
      </c>
      <c r="DB2021" t="str">
        <v/>
      </c>
    </row>
    <row r="2022" spans="83:106" x14ac:dyDescent="0.2">
      <c r="CE2022"/>
      <c r="CF2022"/>
      <c r="CG2022"/>
      <c r="CH2022"/>
      <c r="CI2022"/>
      <c r="CU2022" s="42">
        <v>2017</v>
      </c>
      <c r="CV2022" s="115">
        <v>4</v>
      </c>
      <c r="CW2022" s="115">
        <v>0.11332468572476186</v>
      </c>
      <c r="CX2022" s="115" t="e">
        <v>#N/A</v>
      </c>
      <c r="CY2022" s="115" t="e">
        <v>#N/A</v>
      </c>
      <c r="CZ2022" s="137" t="e">
        <v>#N/A</v>
      </c>
      <c r="DA2022">
        <v>0.11332468572476186</v>
      </c>
      <c r="DB2022" t="str">
        <v/>
      </c>
    </row>
    <row r="2023" spans="83:106" x14ac:dyDescent="0.2">
      <c r="CE2023"/>
      <c r="CF2023"/>
      <c r="CG2023"/>
      <c r="CH2023"/>
      <c r="CI2023"/>
      <c r="CU2023" s="42">
        <v>2018</v>
      </c>
      <c r="CV2023" s="115">
        <v>4</v>
      </c>
      <c r="CW2023" s="115">
        <v>0.11332468572476186</v>
      </c>
      <c r="CX2023" s="115" t="e">
        <v>#N/A</v>
      </c>
      <c r="CY2023" s="115" t="e">
        <v>#N/A</v>
      </c>
      <c r="CZ2023" s="137" t="e">
        <v>#N/A</v>
      </c>
      <c r="DA2023">
        <v>0.11332468572476186</v>
      </c>
      <c r="DB2023" t="str">
        <v/>
      </c>
    </row>
    <row r="2024" spans="83:106" x14ac:dyDescent="0.2">
      <c r="CE2024"/>
      <c r="CF2024"/>
      <c r="CG2024"/>
      <c r="CH2024"/>
      <c r="CI2024"/>
      <c r="CU2024" s="42">
        <v>2019</v>
      </c>
      <c r="CV2024" s="115">
        <v>4</v>
      </c>
      <c r="CW2024" s="115">
        <v>0.11332468572476186</v>
      </c>
      <c r="CX2024" s="115" t="e">
        <v>#N/A</v>
      </c>
      <c r="CY2024" s="115" t="e">
        <v>#N/A</v>
      </c>
      <c r="CZ2024" s="137" t="e">
        <v>#N/A</v>
      </c>
      <c r="DA2024">
        <v>0.11332468572476186</v>
      </c>
      <c r="DB2024" t="str">
        <v/>
      </c>
    </row>
    <row r="2025" spans="83:106" x14ac:dyDescent="0.2">
      <c r="CE2025"/>
      <c r="CF2025"/>
      <c r="CG2025"/>
      <c r="CH2025"/>
      <c r="CI2025"/>
      <c r="CU2025" s="42">
        <v>2020</v>
      </c>
      <c r="CV2025" s="115">
        <v>4</v>
      </c>
      <c r="CW2025" s="115">
        <v>0.11332468572476186</v>
      </c>
      <c r="CX2025" s="115" t="e">
        <v>#N/A</v>
      </c>
      <c r="CY2025" s="115" t="e">
        <v>#N/A</v>
      </c>
      <c r="CZ2025" s="137" t="e">
        <v>#N/A</v>
      </c>
      <c r="DA2025">
        <v>0.11332468572476186</v>
      </c>
      <c r="DB2025" t="str">
        <v/>
      </c>
    </row>
    <row r="2026" spans="83:106" x14ac:dyDescent="0.2">
      <c r="CE2026"/>
      <c r="CF2026"/>
      <c r="CG2026"/>
      <c r="CH2026"/>
      <c r="CI2026"/>
      <c r="CU2026" s="42">
        <v>2021</v>
      </c>
      <c r="CV2026" s="115">
        <v>4</v>
      </c>
      <c r="CW2026" s="115">
        <v>0.11332468572476186</v>
      </c>
      <c r="CX2026" s="115" t="e">
        <v>#N/A</v>
      </c>
      <c r="CY2026" s="115" t="e">
        <v>#N/A</v>
      </c>
      <c r="CZ2026" s="137" t="e">
        <v>#N/A</v>
      </c>
      <c r="DA2026">
        <v>0.11332468572476186</v>
      </c>
      <c r="DB2026" t="str">
        <v/>
      </c>
    </row>
    <row r="2027" spans="83:106" x14ac:dyDescent="0.2">
      <c r="CE2027"/>
      <c r="CF2027"/>
      <c r="CG2027"/>
      <c r="CH2027"/>
      <c r="CI2027"/>
      <c r="CU2027" s="42">
        <v>2022</v>
      </c>
      <c r="CV2027" s="115">
        <v>4</v>
      </c>
      <c r="CW2027" s="115">
        <v>0.11332468572476186</v>
      </c>
      <c r="CX2027" s="115" t="e">
        <v>#N/A</v>
      </c>
      <c r="CY2027" s="115" t="e">
        <v>#N/A</v>
      </c>
      <c r="CZ2027" s="137" t="e">
        <v>#N/A</v>
      </c>
      <c r="DA2027">
        <v>0.11332468572476186</v>
      </c>
      <c r="DB2027" t="str">
        <v/>
      </c>
    </row>
    <row r="2028" spans="83:106" x14ac:dyDescent="0.2">
      <c r="CE2028"/>
      <c r="CF2028"/>
      <c r="CG2028"/>
      <c r="CH2028"/>
      <c r="CI2028"/>
      <c r="CU2028" s="42">
        <v>2023</v>
      </c>
      <c r="CV2028" s="115">
        <v>4</v>
      </c>
      <c r="CW2028" s="115">
        <v>0.11332468572476186</v>
      </c>
      <c r="CX2028" s="115" t="e">
        <v>#N/A</v>
      </c>
      <c r="CY2028" s="115" t="e">
        <v>#N/A</v>
      </c>
      <c r="CZ2028" s="137" t="e">
        <v>#N/A</v>
      </c>
      <c r="DA2028">
        <v>0.11332468572476186</v>
      </c>
      <c r="DB2028" t="str">
        <v/>
      </c>
    </row>
    <row r="2029" spans="83:106" x14ac:dyDescent="0.2">
      <c r="CE2029"/>
      <c r="CF2029"/>
      <c r="CG2029"/>
      <c r="CH2029"/>
      <c r="CI2029"/>
      <c r="CU2029" s="42">
        <v>2024</v>
      </c>
      <c r="CV2029" s="115">
        <v>4</v>
      </c>
      <c r="CW2029" s="115">
        <v>0.11332468572476186</v>
      </c>
      <c r="CX2029" s="115" t="e">
        <v>#N/A</v>
      </c>
      <c r="CY2029" s="115" t="e">
        <v>#N/A</v>
      </c>
      <c r="CZ2029" s="137" t="e">
        <v>#N/A</v>
      </c>
      <c r="DA2029">
        <v>0.11332468572476186</v>
      </c>
      <c r="DB2029" t="str">
        <v/>
      </c>
    </row>
    <row r="2030" spans="83:106" x14ac:dyDescent="0.2">
      <c r="CE2030"/>
      <c r="CF2030"/>
      <c r="CG2030"/>
      <c r="CH2030"/>
      <c r="CI2030"/>
      <c r="CU2030" s="42">
        <v>2025</v>
      </c>
      <c r="CV2030" s="115">
        <v>4</v>
      </c>
      <c r="CW2030" s="115">
        <v>0.11332468572476186</v>
      </c>
      <c r="CX2030" s="115" t="e">
        <v>#N/A</v>
      </c>
      <c r="CY2030" s="115" t="e">
        <v>#N/A</v>
      </c>
      <c r="CZ2030" s="137" t="e">
        <v>#N/A</v>
      </c>
      <c r="DA2030">
        <v>0.11332468572476186</v>
      </c>
      <c r="DB2030" t="str">
        <v/>
      </c>
    </row>
    <row r="2031" spans="83:106" x14ac:dyDescent="0.2">
      <c r="CE2031"/>
      <c r="CF2031"/>
      <c r="CG2031"/>
      <c r="CH2031"/>
      <c r="CI2031"/>
      <c r="CU2031" s="42">
        <v>2026</v>
      </c>
      <c r="CV2031" s="115">
        <v>4</v>
      </c>
      <c r="CW2031" s="115">
        <v>0.11332468572476186</v>
      </c>
      <c r="CX2031" s="115" t="e">
        <v>#N/A</v>
      </c>
      <c r="CY2031" s="115" t="e">
        <v>#N/A</v>
      </c>
      <c r="CZ2031" s="137" t="e">
        <v>#N/A</v>
      </c>
      <c r="DA2031">
        <v>0.11332468572476186</v>
      </c>
      <c r="DB2031" t="str">
        <v/>
      </c>
    </row>
    <row r="2032" spans="83:106" x14ac:dyDescent="0.2">
      <c r="CE2032"/>
      <c r="CF2032"/>
      <c r="CG2032"/>
      <c r="CH2032"/>
      <c r="CI2032"/>
      <c r="CU2032" s="42">
        <v>2027</v>
      </c>
      <c r="CV2032" s="115">
        <v>4</v>
      </c>
      <c r="CW2032" s="115">
        <v>0.11332468572476186</v>
      </c>
      <c r="CX2032" s="115" t="e">
        <v>#N/A</v>
      </c>
      <c r="CY2032" s="115" t="e">
        <v>#N/A</v>
      </c>
      <c r="CZ2032" s="137" t="e">
        <v>#N/A</v>
      </c>
      <c r="DA2032">
        <v>0.11332468572476186</v>
      </c>
      <c r="DB2032" t="str">
        <v/>
      </c>
    </row>
    <row r="2033" spans="83:106" x14ac:dyDescent="0.2">
      <c r="CE2033"/>
      <c r="CF2033"/>
      <c r="CG2033"/>
      <c r="CH2033"/>
      <c r="CI2033"/>
      <c r="CU2033" s="42">
        <v>2028</v>
      </c>
      <c r="CV2033" s="115">
        <v>4</v>
      </c>
      <c r="CW2033" s="115">
        <v>0.11332468572476186</v>
      </c>
      <c r="CX2033" s="115" t="e">
        <v>#N/A</v>
      </c>
      <c r="CY2033" s="115" t="e">
        <v>#N/A</v>
      </c>
      <c r="CZ2033" s="137" t="e">
        <v>#N/A</v>
      </c>
      <c r="DA2033">
        <v>0.11332468572476186</v>
      </c>
      <c r="DB2033" t="str">
        <v/>
      </c>
    </row>
    <row r="2034" spans="83:106" x14ac:dyDescent="0.2">
      <c r="CE2034"/>
      <c r="CF2034"/>
      <c r="CG2034"/>
      <c r="CH2034"/>
      <c r="CI2034"/>
      <c r="CU2034" s="42">
        <v>2029</v>
      </c>
      <c r="CV2034" s="115">
        <v>4</v>
      </c>
      <c r="CW2034" s="115">
        <v>0.11332468572476186</v>
      </c>
      <c r="CX2034" s="115" t="e">
        <v>#N/A</v>
      </c>
      <c r="CY2034" s="115" t="e">
        <v>#N/A</v>
      </c>
      <c r="CZ2034" s="137" t="e">
        <v>#N/A</v>
      </c>
      <c r="DA2034">
        <v>0.11332468572476186</v>
      </c>
      <c r="DB2034" t="str">
        <v/>
      </c>
    </row>
    <row r="2035" spans="83:106" x14ac:dyDescent="0.2">
      <c r="CE2035"/>
      <c r="CF2035"/>
      <c r="CG2035"/>
      <c r="CH2035"/>
      <c r="CI2035"/>
      <c r="CU2035" s="42">
        <v>2030</v>
      </c>
      <c r="CV2035" s="115">
        <v>4</v>
      </c>
      <c r="CW2035" s="115">
        <v>0.11332468572476186</v>
      </c>
      <c r="CX2035" s="115" t="e">
        <v>#N/A</v>
      </c>
      <c r="CY2035" s="115" t="e">
        <v>#N/A</v>
      </c>
      <c r="CZ2035" s="137" t="e">
        <v>#N/A</v>
      </c>
      <c r="DA2035">
        <v>0.11332468572476186</v>
      </c>
      <c r="DB2035" t="str">
        <v/>
      </c>
    </row>
    <row r="2036" spans="83:106" x14ac:dyDescent="0.2">
      <c r="CE2036"/>
      <c r="CF2036"/>
      <c r="CG2036"/>
      <c r="CH2036"/>
      <c r="CI2036"/>
      <c r="CU2036" s="42">
        <v>2031</v>
      </c>
      <c r="CV2036" s="115">
        <v>4</v>
      </c>
      <c r="CW2036" s="115">
        <v>0.11332468572476186</v>
      </c>
      <c r="CX2036" s="115" t="e">
        <v>#N/A</v>
      </c>
      <c r="CY2036" s="115" t="e">
        <v>#N/A</v>
      </c>
      <c r="CZ2036" s="137" t="e">
        <v>#N/A</v>
      </c>
      <c r="DA2036">
        <v>0.11332468572476186</v>
      </c>
      <c r="DB2036" t="str">
        <v/>
      </c>
    </row>
    <row r="2037" spans="83:106" x14ac:dyDescent="0.2">
      <c r="CE2037"/>
      <c r="CF2037"/>
      <c r="CG2037"/>
      <c r="CH2037"/>
      <c r="CI2037"/>
      <c r="CU2037" s="42">
        <v>2032</v>
      </c>
      <c r="CV2037" s="115">
        <v>4</v>
      </c>
      <c r="CW2037" s="115">
        <v>0.11332468572476186</v>
      </c>
      <c r="CX2037" s="115" t="e">
        <v>#N/A</v>
      </c>
      <c r="CY2037" s="115" t="e">
        <v>#N/A</v>
      </c>
      <c r="CZ2037" s="137" t="e">
        <v>#N/A</v>
      </c>
      <c r="DA2037">
        <v>0.11332468572476186</v>
      </c>
      <c r="DB2037" t="str">
        <v/>
      </c>
    </row>
    <row r="2038" spans="83:106" x14ac:dyDescent="0.2">
      <c r="CE2038"/>
      <c r="CF2038"/>
      <c r="CG2038"/>
      <c r="CH2038"/>
      <c r="CI2038"/>
      <c r="CU2038" s="42">
        <v>2033</v>
      </c>
      <c r="CV2038" s="115">
        <v>4</v>
      </c>
      <c r="CW2038" s="115">
        <v>0.11332468572476186</v>
      </c>
      <c r="CX2038" s="115" t="e">
        <v>#N/A</v>
      </c>
      <c r="CY2038" s="115" t="e">
        <v>#N/A</v>
      </c>
      <c r="CZ2038" s="137" t="e">
        <v>#N/A</v>
      </c>
      <c r="DA2038">
        <v>0.11332468572476186</v>
      </c>
      <c r="DB2038" t="str">
        <v/>
      </c>
    </row>
    <row r="2039" spans="83:106" x14ac:dyDescent="0.2">
      <c r="CE2039"/>
      <c r="CF2039"/>
      <c r="CG2039"/>
      <c r="CH2039"/>
      <c r="CI2039"/>
      <c r="CU2039" s="42">
        <v>2034</v>
      </c>
      <c r="CV2039" s="115">
        <v>4</v>
      </c>
      <c r="CW2039" s="115">
        <v>0.11332468572476186</v>
      </c>
      <c r="CX2039" s="115" t="e">
        <v>#N/A</v>
      </c>
      <c r="CY2039" s="115" t="e">
        <v>#N/A</v>
      </c>
      <c r="CZ2039" s="137" t="e">
        <v>#N/A</v>
      </c>
      <c r="DA2039">
        <v>0.11332468572476186</v>
      </c>
      <c r="DB2039" t="str">
        <v/>
      </c>
    </row>
    <row r="2040" spans="83:106" x14ac:dyDescent="0.2">
      <c r="CE2040"/>
      <c r="CF2040"/>
      <c r="CG2040"/>
      <c r="CH2040"/>
      <c r="CI2040"/>
      <c r="CU2040" s="42">
        <v>2035</v>
      </c>
      <c r="CV2040" s="115">
        <v>4</v>
      </c>
      <c r="CW2040" s="115">
        <v>0.11332468572476186</v>
      </c>
      <c r="CX2040" s="115" t="e">
        <v>#N/A</v>
      </c>
      <c r="CY2040" s="115" t="e">
        <v>#N/A</v>
      </c>
      <c r="CZ2040" s="137" t="e">
        <v>#N/A</v>
      </c>
      <c r="DA2040">
        <v>0.11332468572476186</v>
      </c>
      <c r="DB2040" t="str">
        <v/>
      </c>
    </row>
    <row r="2041" spans="83:106" x14ac:dyDescent="0.2">
      <c r="CE2041"/>
      <c r="CF2041"/>
      <c r="CG2041"/>
      <c r="CH2041"/>
      <c r="CI2041"/>
      <c r="CU2041" s="42">
        <v>2036</v>
      </c>
      <c r="CV2041" s="115">
        <v>4</v>
      </c>
      <c r="CW2041" s="115">
        <v>0.11332468572476186</v>
      </c>
      <c r="CX2041" s="115" t="e">
        <v>#N/A</v>
      </c>
      <c r="CY2041" s="115" t="e">
        <v>#N/A</v>
      </c>
      <c r="CZ2041" s="137" t="e">
        <v>#N/A</v>
      </c>
      <c r="DA2041">
        <v>0.11332468572476186</v>
      </c>
      <c r="DB2041" t="str">
        <v/>
      </c>
    </row>
    <row r="2042" spans="83:106" x14ac:dyDescent="0.2">
      <c r="CE2042"/>
      <c r="CF2042"/>
      <c r="CG2042"/>
      <c r="CH2042"/>
      <c r="CI2042"/>
      <c r="CU2042" s="42">
        <v>2037</v>
      </c>
      <c r="CV2042" s="115">
        <v>4</v>
      </c>
      <c r="CW2042" s="115">
        <v>0.11332468572476186</v>
      </c>
      <c r="CX2042" s="115" t="e">
        <v>#N/A</v>
      </c>
      <c r="CY2042" s="115" t="e">
        <v>#N/A</v>
      </c>
      <c r="CZ2042" s="137" t="e">
        <v>#N/A</v>
      </c>
      <c r="DA2042">
        <v>0.11332468572476186</v>
      </c>
      <c r="DB2042" t="str">
        <v/>
      </c>
    </row>
    <row r="2043" spans="83:106" x14ac:dyDescent="0.2">
      <c r="CE2043"/>
      <c r="CF2043"/>
      <c r="CG2043"/>
      <c r="CH2043"/>
      <c r="CI2043"/>
      <c r="CU2043" s="42">
        <v>2038</v>
      </c>
      <c r="CV2043" s="115">
        <v>4</v>
      </c>
      <c r="CW2043" s="115">
        <v>0.11332468572476186</v>
      </c>
      <c r="CX2043" s="115" t="e">
        <v>#N/A</v>
      </c>
      <c r="CY2043" s="115" t="e">
        <v>#N/A</v>
      </c>
      <c r="CZ2043" s="137" t="e">
        <v>#N/A</v>
      </c>
      <c r="DA2043">
        <v>0.11332468572476186</v>
      </c>
      <c r="DB2043" t="str">
        <v/>
      </c>
    </row>
    <row r="2044" spans="83:106" x14ac:dyDescent="0.2">
      <c r="CE2044"/>
      <c r="CF2044"/>
      <c r="CG2044"/>
      <c r="CH2044"/>
      <c r="CI2044"/>
      <c r="CU2044" s="42">
        <v>2039</v>
      </c>
      <c r="CV2044" s="115">
        <v>4</v>
      </c>
      <c r="CW2044" s="115">
        <v>0.11332468572476186</v>
      </c>
      <c r="CX2044" s="115" t="e">
        <v>#N/A</v>
      </c>
      <c r="CY2044" s="115" t="e">
        <v>#N/A</v>
      </c>
      <c r="CZ2044" s="137" t="e">
        <v>#N/A</v>
      </c>
      <c r="DA2044">
        <v>0.11332468572476186</v>
      </c>
      <c r="DB2044" t="str">
        <v/>
      </c>
    </row>
    <row r="2045" spans="83:106" x14ac:dyDescent="0.2">
      <c r="CE2045"/>
      <c r="CF2045"/>
      <c r="CG2045"/>
      <c r="CH2045"/>
      <c r="CI2045"/>
      <c r="CU2045" s="42">
        <v>2040</v>
      </c>
      <c r="CV2045" s="115">
        <v>4</v>
      </c>
      <c r="CW2045" s="115">
        <v>0.11332468572476186</v>
      </c>
      <c r="CX2045" s="115" t="e">
        <v>#N/A</v>
      </c>
      <c r="CY2045" s="115" t="e">
        <v>#N/A</v>
      </c>
      <c r="CZ2045" s="137" t="e">
        <v>#N/A</v>
      </c>
      <c r="DA2045">
        <v>0.11332468572476186</v>
      </c>
      <c r="DB2045" t="str">
        <v/>
      </c>
    </row>
    <row r="2046" spans="83:106" x14ac:dyDescent="0.2">
      <c r="CE2046"/>
      <c r="CF2046"/>
      <c r="CG2046"/>
      <c r="CH2046"/>
      <c r="CI2046"/>
      <c r="CU2046" s="42">
        <v>2041</v>
      </c>
      <c r="CV2046" s="115">
        <v>4</v>
      </c>
      <c r="CW2046" s="115">
        <v>0.11332468572476186</v>
      </c>
      <c r="CX2046" s="115" t="e">
        <v>#N/A</v>
      </c>
      <c r="CY2046" s="115" t="e">
        <v>#N/A</v>
      </c>
      <c r="CZ2046" s="137" t="e">
        <v>#N/A</v>
      </c>
      <c r="DA2046">
        <v>0.11332468572476186</v>
      </c>
      <c r="DB2046" t="str">
        <v/>
      </c>
    </row>
    <row r="2047" spans="83:106" x14ac:dyDescent="0.2">
      <c r="CE2047"/>
      <c r="CF2047"/>
      <c r="CG2047"/>
      <c r="CH2047"/>
      <c r="CI2047"/>
      <c r="CU2047" s="42">
        <v>2042</v>
      </c>
      <c r="CV2047" s="115">
        <v>4</v>
      </c>
      <c r="CW2047" s="115">
        <v>0.11332468572476186</v>
      </c>
      <c r="CX2047" s="115" t="e">
        <v>#N/A</v>
      </c>
      <c r="CY2047" s="115" t="e">
        <v>#N/A</v>
      </c>
      <c r="CZ2047" s="137" t="e">
        <v>#N/A</v>
      </c>
      <c r="DA2047">
        <v>0.11332468572476186</v>
      </c>
      <c r="DB2047" t="str">
        <v/>
      </c>
    </row>
    <row r="2048" spans="83:106" x14ac:dyDescent="0.2">
      <c r="CE2048"/>
      <c r="CF2048"/>
      <c r="CG2048"/>
      <c r="CH2048"/>
      <c r="CI2048"/>
      <c r="CU2048" s="42">
        <v>2043</v>
      </c>
      <c r="CV2048" s="115">
        <v>4</v>
      </c>
      <c r="CW2048" s="115">
        <v>0.11332468572476186</v>
      </c>
      <c r="CX2048" s="115" t="e">
        <v>#N/A</v>
      </c>
      <c r="CY2048" s="115" t="e">
        <v>#N/A</v>
      </c>
      <c r="CZ2048" s="137" t="e">
        <v>#N/A</v>
      </c>
      <c r="DA2048">
        <v>0.11332468572476186</v>
      </c>
      <c r="DB2048" t="str">
        <v/>
      </c>
    </row>
    <row r="2049" spans="83:106" x14ac:dyDescent="0.2">
      <c r="CE2049"/>
      <c r="CF2049"/>
      <c r="CG2049"/>
      <c r="CH2049"/>
      <c r="CI2049"/>
      <c r="CU2049" s="42">
        <v>2044</v>
      </c>
      <c r="CV2049" s="115">
        <v>4</v>
      </c>
      <c r="CW2049" s="115">
        <v>0.11332468572476186</v>
      </c>
      <c r="CX2049" s="115" t="e">
        <v>#N/A</v>
      </c>
      <c r="CY2049" s="115" t="e">
        <v>#N/A</v>
      </c>
      <c r="CZ2049" s="137" t="e">
        <v>#N/A</v>
      </c>
      <c r="DA2049">
        <v>0.11332468572476186</v>
      </c>
      <c r="DB2049" t="str">
        <v/>
      </c>
    </row>
    <row r="2050" spans="83:106" x14ac:dyDescent="0.2">
      <c r="CE2050"/>
      <c r="CF2050"/>
      <c r="CG2050"/>
      <c r="CH2050"/>
      <c r="CI2050"/>
      <c r="CU2050" s="42">
        <v>2045</v>
      </c>
      <c r="CV2050" s="115">
        <v>4</v>
      </c>
      <c r="CW2050" s="115">
        <v>0.11332468572476186</v>
      </c>
      <c r="CX2050" s="115" t="e">
        <v>#N/A</v>
      </c>
      <c r="CY2050" s="115" t="e">
        <v>#N/A</v>
      </c>
      <c r="CZ2050" s="137" t="e">
        <v>#N/A</v>
      </c>
      <c r="DA2050">
        <v>0.11332468572476186</v>
      </c>
      <c r="DB2050" t="str">
        <v/>
      </c>
    </row>
    <row r="2051" spans="83:106" x14ac:dyDescent="0.2">
      <c r="CE2051"/>
      <c r="CF2051"/>
      <c r="CG2051"/>
      <c r="CH2051"/>
      <c r="CI2051"/>
      <c r="CU2051" s="42">
        <v>2046</v>
      </c>
      <c r="CV2051" s="115">
        <v>4</v>
      </c>
      <c r="CW2051" s="115">
        <v>0.11332468572476186</v>
      </c>
      <c r="CX2051" s="115" t="e">
        <v>#N/A</v>
      </c>
      <c r="CY2051" s="115" t="e">
        <v>#N/A</v>
      </c>
      <c r="CZ2051" s="137" t="e">
        <v>#N/A</v>
      </c>
      <c r="DA2051">
        <v>0.11332468572476186</v>
      </c>
      <c r="DB2051" t="str">
        <v/>
      </c>
    </row>
    <row r="2052" spans="83:106" x14ac:dyDescent="0.2">
      <c r="CE2052"/>
      <c r="CF2052"/>
      <c r="CG2052"/>
      <c r="CH2052"/>
      <c r="CI2052"/>
      <c r="CU2052" s="42">
        <v>2047</v>
      </c>
      <c r="CV2052" s="115">
        <v>4</v>
      </c>
      <c r="CW2052" s="115">
        <v>0.11332468572476186</v>
      </c>
      <c r="CX2052" s="115" t="e">
        <v>#N/A</v>
      </c>
      <c r="CY2052" s="115" t="e">
        <v>#N/A</v>
      </c>
      <c r="CZ2052" s="137" t="e">
        <v>#N/A</v>
      </c>
      <c r="DA2052">
        <v>0.11332468572476186</v>
      </c>
      <c r="DB2052" t="str">
        <v/>
      </c>
    </row>
    <row r="2053" spans="83:106" x14ac:dyDescent="0.2">
      <c r="CE2053"/>
      <c r="CF2053"/>
      <c r="CG2053"/>
      <c r="CH2053"/>
      <c r="CI2053"/>
      <c r="CU2053" s="42">
        <v>2048</v>
      </c>
      <c r="CV2053" s="115">
        <v>4</v>
      </c>
      <c r="CW2053" s="115">
        <v>0.11332468572476186</v>
      </c>
      <c r="CX2053" s="115" t="e">
        <v>#N/A</v>
      </c>
      <c r="CY2053" s="115" t="e">
        <v>#N/A</v>
      </c>
      <c r="CZ2053" s="137" t="e">
        <v>#N/A</v>
      </c>
      <c r="DA2053">
        <v>0.11332468572476186</v>
      </c>
      <c r="DB2053" t="str">
        <v/>
      </c>
    </row>
    <row r="2054" spans="83:106" x14ac:dyDescent="0.2">
      <c r="CE2054"/>
      <c r="CF2054"/>
      <c r="CG2054"/>
      <c r="CH2054"/>
      <c r="CI2054"/>
      <c r="CU2054" s="42">
        <v>2049</v>
      </c>
      <c r="CV2054" s="115">
        <v>4</v>
      </c>
      <c r="CW2054" s="115">
        <v>0.11332468572476186</v>
      </c>
      <c r="CX2054" s="115" t="e">
        <v>#N/A</v>
      </c>
      <c r="CY2054" s="115" t="e">
        <v>#N/A</v>
      </c>
      <c r="CZ2054" s="137" t="e">
        <v>#N/A</v>
      </c>
      <c r="DA2054">
        <v>0.11332468572476186</v>
      </c>
      <c r="DB2054" t="str">
        <v/>
      </c>
    </row>
    <row r="2055" spans="83:106" x14ac:dyDescent="0.2">
      <c r="CE2055"/>
      <c r="CF2055"/>
      <c r="CG2055"/>
      <c r="CH2055"/>
      <c r="CI2055"/>
      <c r="CU2055" s="42">
        <v>2050</v>
      </c>
      <c r="CV2055" s="115">
        <v>4</v>
      </c>
      <c r="CW2055" s="115">
        <v>0.11332468572476186</v>
      </c>
      <c r="CX2055" s="115" t="e">
        <v>#N/A</v>
      </c>
      <c r="CY2055" s="115" t="e">
        <v>#N/A</v>
      </c>
      <c r="CZ2055" s="137" t="e">
        <v>#N/A</v>
      </c>
      <c r="DA2055">
        <v>0.11332468572476186</v>
      </c>
      <c r="DB2055" t="str">
        <v/>
      </c>
    </row>
    <row r="2056" spans="83:106" x14ac:dyDescent="0.2">
      <c r="CE2056"/>
      <c r="CF2056"/>
      <c r="CG2056"/>
      <c r="CH2056"/>
      <c r="CI2056"/>
      <c r="CU2056" s="42">
        <v>2051</v>
      </c>
      <c r="CV2056" s="115">
        <v>4</v>
      </c>
      <c r="CW2056" s="115">
        <v>0.11332468572476186</v>
      </c>
      <c r="CX2056" s="115" t="e">
        <v>#N/A</v>
      </c>
      <c r="CY2056" s="115" t="e">
        <v>#N/A</v>
      </c>
      <c r="CZ2056" s="137" t="e">
        <v>#N/A</v>
      </c>
      <c r="DA2056">
        <v>0.11332468572476186</v>
      </c>
      <c r="DB2056" t="str">
        <v/>
      </c>
    </row>
    <row r="2057" spans="83:106" x14ac:dyDescent="0.2">
      <c r="CE2057"/>
      <c r="CF2057"/>
      <c r="CG2057"/>
      <c r="CH2057"/>
      <c r="CI2057"/>
      <c r="CU2057" s="42">
        <v>2052</v>
      </c>
      <c r="CV2057" s="115">
        <v>4</v>
      </c>
      <c r="CW2057" s="115">
        <v>0.11332468572476186</v>
      </c>
      <c r="CX2057" s="115" t="e">
        <v>#N/A</v>
      </c>
      <c r="CY2057" s="115" t="e">
        <v>#N/A</v>
      </c>
      <c r="CZ2057" s="137" t="e">
        <v>#N/A</v>
      </c>
      <c r="DA2057">
        <v>0.11332468572476186</v>
      </c>
      <c r="DB2057" t="str">
        <v/>
      </c>
    </row>
    <row r="2058" spans="83:106" x14ac:dyDescent="0.2">
      <c r="CE2058"/>
      <c r="CF2058"/>
      <c r="CG2058"/>
      <c r="CH2058"/>
      <c r="CI2058"/>
      <c r="CU2058" s="42">
        <v>2053</v>
      </c>
      <c r="CV2058" s="115">
        <v>4</v>
      </c>
      <c r="CW2058" s="115">
        <v>0.11332468572476186</v>
      </c>
      <c r="CX2058" s="115" t="e">
        <v>#N/A</v>
      </c>
      <c r="CY2058" s="115" t="e">
        <v>#N/A</v>
      </c>
      <c r="CZ2058" s="137" t="e">
        <v>#N/A</v>
      </c>
      <c r="DA2058">
        <v>0.11332468572476186</v>
      </c>
      <c r="DB2058" t="str">
        <v/>
      </c>
    </row>
    <row r="2059" spans="83:106" x14ac:dyDescent="0.2">
      <c r="CE2059"/>
      <c r="CF2059"/>
      <c r="CG2059"/>
      <c r="CH2059"/>
      <c r="CI2059"/>
      <c r="CU2059" s="42">
        <v>2054</v>
      </c>
      <c r="CV2059" s="115">
        <v>4</v>
      </c>
      <c r="CW2059" s="115">
        <v>0.11332468572476186</v>
      </c>
      <c r="CX2059" s="115" t="e">
        <v>#N/A</v>
      </c>
      <c r="CY2059" s="115" t="e">
        <v>#N/A</v>
      </c>
      <c r="CZ2059" s="137" t="e">
        <v>#N/A</v>
      </c>
      <c r="DA2059">
        <v>0.11332468572476186</v>
      </c>
      <c r="DB2059" t="str">
        <v/>
      </c>
    </row>
    <row r="2060" spans="83:106" x14ac:dyDescent="0.2">
      <c r="CE2060"/>
      <c r="CF2060"/>
      <c r="CG2060"/>
      <c r="CH2060"/>
      <c r="CI2060"/>
      <c r="CU2060" s="42">
        <v>2055</v>
      </c>
      <c r="CV2060" s="115">
        <v>4</v>
      </c>
      <c r="CW2060" s="115">
        <v>0.11332468572476186</v>
      </c>
      <c r="CX2060" s="115" t="e">
        <v>#N/A</v>
      </c>
      <c r="CY2060" s="115" t="e">
        <v>#N/A</v>
      </c>
      <c r="CZ2060" s="137" t="e">
        <v>#N/A</v>
      </c>
      <c r="DA2060">
        <v>0.11332468572476186</v>
      </c>
      <c r="DB2060" t="str">
        <v/>
      </c>
    </row>
    <row r="2061" spans="83:106" x14ac:dyDescent="0.2">
      <c r="CE2061"/>
      <c r="CF2061"/>
      <c r="CG2061"/>
      <c r="CH2061"/>
      <c r="CI2061"/>
      <c r="CU2061" s="42">
        <v>2056</v>
      </c>
      <c r="CV2061" s="115">
        <v>4</v>
      </c>
      <c r="CW2061" s="115">
        <v>0.11332468572476186</v>
      </c>
      <c r="CX2061" s="115" t="e">
        <v>#N/A</v>
      </c>
      <c r="CY2061" s="115" t="e">
        <v>#N/A</v>
      </c>
      <c r="CZ2061" s="137" t="e">
        <v>#N/A</v>
      </c>
      <c r="DA2061">
        <v>0.11332468572476186</v>
      </c>
      <c r="DB2061" t="str">
        <v/>
      </c>
    </row>
    <row r="2062" spans="83:106" x14ac:dyDescent="0.2">
      <c r="CE2062"/>
      <c r="CF2062"/>
      <c r="CG2062"/>
      <c r="CH2062"/>
      <c r="CI2062"/>
      <c r="CU2062" s="42">
        <v>2057</v>
      </c>
      <c r="CV2062" s="115">
        <v>4</v>
      </c>
      <c r="CW2062" s="115">
        <v>0.11332468572476186</v>
      </c>
      <c r="CX2062" s="115" t="e">
        <v>#N/A</v>
      </c>
      <c r="CY2062" s="115" t="e">
        <v>#N/A</v>
      </c>
      <c r="CZ2062" s="137" t="e">
        <v>#N/A</v>
      </c>
      <c r="DA2062">
        <v>0.11332468572476186</v>
      </c>
      <c r="DB2062" t="str">
        <v/>
      </c>
    </row>
    <row r="2063" spans="83:106" x14ac:dyDescent="0.2">
      <c r="CE2063"/>
      <c r="CF2063"/>
      <c r="CG2063"/>
      <c r="CH2063"/>
      <c r="CI2063"/>
      <c r="CU2063" s="42">
        <v>2058</v>
      </c>
      <c r="CV2063" s="115">
        <v>4</v>
      </c>
      <c r="CW2063" s="115">
        <v>0.11332468572476186</v>
      </c>
      <c r="CX2063" s="115" t="e">
        <v>#N/A</v>
      </c>
      <c r="CY2063" s="115" t="e">
        <v>#N/A</v>
      </c>
      <c r="CZ2063" s="137" t="e">
        <v>#N/A</v>
      </c>
      <c r="DA2063">
        <v>0.11332468572476186</v>
      </c>
      <c r="DB2063" t="str">
        <v/>
      </c>
    </row>
    <row r="2064" spans="83:106" x14ac:dyDescent="0.2">
      <c r="CE2064"/>
      <c r="CF2064"/>
      <c r="CG2064"/>
      <c r="CH2064"/>
      <c r="CI2064"/>
      <c r="CU2064" s="42">
        <v>2059</v>
      </c>
      <c r="CV2064" s="115">
        <v>4</v>
      </c>
      <c r="CW2064" s="115">
        <v>0.11332468572476186</v>
      </c>
      <c r="CX2064" s="115" t="e">
        <v>#N/A</v>
      </c>
      <c r="CY2064" s="115" t="e">
        <v>#N/A</v>
      </c>
      <c r="CZ2064" s="137" t="e">
        <v>#N/A</v>
      </c>
      <c r="DA2064">
        <v>0.11332468572476186</v>
      </c>
      <c r="DB2064" t="str">
        <v/>
      </c>
    </row>
    <row r="2065" spans="83:106" x14ac:dyDescent="0.2">
      <c r="CE2065"/>
      <c r="CF2065"/>
      <c r="CG2065"/>
      <c r="CH2065"/>
      <c r="CI2065"/>
      <c r="CU2065" s="42">
        <v>2060</v>
      </c>
      <c r="CV2065" s="115">
        <v>4</v>
      </c>
      <c r="CW2065" s="115">
        <v>0.11332468572476186</v>
      </c>
      <c r="CX2065" s="115" t="e">
        <v>#N/A</v>
      </c>
      <c r="CY2065" s="115" t="e">
        <v>#N/A</v>
      </c>
      <c r="CZ2065" s="137" t="e">
        <v>#N/A</v>
      </c>
      <c r="DA2065">
        <v>0.11332468572476186</v>
      </c>
      <c r="DB2065" t="str">
        <v/>
      </c>
    </row>
    <row r="2066" spans="83:106" x14ac:dyDescent="0.2">
      <c r="CE2066"/>
      <c r="CF2066"/>
      <c r="CG2066"/>
      <c r="CH2066"/>
      <c r="CI2066"/>
      <c r="CU2066" s="42">
        <v>2061</v>
      </c>
      <c r="CV2066" s="115">
        <v>4</v>
      </c>
      <c r="CW2066" s="115">
        <v>0.11332468572476186</v>
      </c>
      <c r="CX2066" s="115" t="e">
        <v>#N/A</v>
      </c>
      <c r="CY2066" s="115" t="e">
        <v>#N/A</v>
      </c>
      <c r="CZ2066" s="137" t="e">
        <v>#N/A</v>
      </c>
      <c r="DA2066">
        <v>0.11332468572476186</v>
      </c>
      <c r="DB2066" t="str">
        <v/>
      </c>
    </row>
    <row r="2067" spans="83:106" x14ac:dyDescent="0.2">
      <c r="CE2067"/>
      <c r="CF2067"/>
      <c r="CG2067"/>
      <c r="CH2067"/>
      <c r="CI2067"/>
      <c r="CU2067" s="42">
        <v>2062</v>
      </c>
      <c r="CV2067" s="115">
        <v>4</v>
      </c>
      <c r="CW2067" s="115">
        <v>0.11332468572476186</v>
      </c>
      <c r="CX2067" s="115" t="e">
        <v>#N/A</v>
      </c>
      <c r="CY2067" s="115" t="e">
        <v>#N/A</v>
      </c>
      <c r="CZ2067" s="137" t="e">
        <v>#N/A</v>
      </c>
      <c r="DA2067">
        <v>0.11332468572476186</v>
      </c>
      <c r="DB2067" t="str">
        <v/>
      </c>
    </row>
    <row r="2068" spans="83:106" x14ac:dyDescent="0.2">
      <c r="CE2068"/>
      <c r="CF2068"/>
      <c r="CG2068"/>
      <c r="CH2068"/>
      <c r="CI2068"/>
      <c r="CU2068" s="42">
        <v>2063</v>
      </c>
      <c r="CV2068" s="115">
        <v>4</v>
      </c>
      <c r="CW2068" s="115">
        <v>0.11332468572476186</v>
      </c>
      <c r="CX2068" s="115" t="e">
        <v>#N/A</v>
      </c>
      <c r="CY2068" s="115" t="e">
        <v>#N/A</v>
      </c>
      <c r="CZ2068" s="137" t="e">
        <v>#N/A</v>
      </c>
      <c r="DA2068">
        <v>0.11332468572476186</v>
      </c>
      <c r="DB2068" t="str">
        <v/>
      </c>
    </row>
    <row r="2069" spans="83:106" x14ac:dyDescent="0.2">
      <c r="CE2069"/>
      <c r="CF2069"/>
      <c r="CG2069"/>
      <c r="CH2069"/>
      <c r="CI2069"/>
      <c r="CU2069" s="42">
        <v>2064</v>
      </c>
      <c r="CV2069" s="115">
        <v>4</v>
      </c>
      <c r="CW2069" s="115">
        <v>0.11332468572476186</v>
      </c>
      <c r="CX2069" s="115" t="e">
        <v>#N/A</v>
      </c>
      <c r="CY2069" s="115" t="e">
        <v>#N/A</v>
      </c>
      <c r="CZ2069" s="137" t="e">
        <v>#N/A</v>
      </c>
      <c r="DA2069">
        <v>0.11332468572476186</v>
      </c>
      <c r="DB2069" t="str">
        <v/>
      </c>
    </row>
    <row r="2070" spans="83:106" x14ac:dyDescent="0.2">
      <c r="CE2070"/>
      <c r="CF2070"/>
      <c r="CG2070"/>
      <c r="CH2070"/>
      <c r="CI2070"/>
      <c r="CU2070" s="42">
        <v>2065</v>
      </c>
      <c r="CV2070" s="115">
        <v>4</v>
      </c>
      <c r="CW2070" s="115">
        <v>0.11332468572476186</v>
      </c>
      <c r="CX2070" s="115" t="e">
        <v>#N/A</v>
      </c>
      <c r="CY2070" s="115" t="e">
        <v>#N/A</v>
      </c>
      <c r="CZ2070" s="137" t="e">
        <v>#N/A</v>
      </c>
      <c r="DA2070">
        <v>0.11332468572476186</v>
      </c>
      <c r="DB2070" t="str">
        <v/>
      </c>
    </row>
    <row r="2071" spans="83:106" x14ac:dyDescent="0.2">
      <c r="CE2071"/>
      <c r="CF2071"/>
      <c r="CG2071"/>
      <c r="CH2071"/>
      <c r="CI2071"/>
      <c r="CU2071" s="42">
        <v>2066</v>
      </c>
      <c r="CV2071" s="115">
        <v>4</v>
      </c>
      <c r="CW2071" s="115">
        <v>0.11332468572476186</v>
      </c>
      <c r="CX2071" s="115" t="e">
        <v>#N/A</v>
      </c>
      <c r="CY2071" s="115" t="e">
        <v>#N/A</v>
      </c>
      <c r="CZ2071" s="137" t="e">
        <v>#N/A</v>
      </c>
      <c r="DA2071">
        <v>0.11332468572476186</v>
      </c>
      <c r="DB2071" t="str">
        <v/>
      </c>
    </row>
    <row r="2072" spans="83:106" x14ac:dyDescent="0.2">
      <c r="CE2072"/>
      <c r="CF2072"/>
      <c r="CG2072"/>
      <c r="CH2072"/>
      <c r="CI2072"/>
      <c r="CU2072" s="42">
        <v>2067</v>
      </c>
      <c r="CV2072" s="115">
        <v>4</v>
      </c>
      <c r="CW2072" s="115">
        <v>0.11332468572476186</v>
      </c>
      <c r="CX2072" s="115" t="e">
        <v>#N/A</v>
      </c>
      <c r="CY2072" s="115" t="e">
        <v>#N/A</v>
      </c>
      <c r="CZ2072" s="137" t="e">
        <v>#N/A</v>
      </c>
      <c r="DA2072">
        <v>0.11332468572476186</v>
      </c>
      <c r="DB2072" t="str">
        <v/>
      </c>
    </row>
    <row r="2073" spans="83:106" x14ac:dyDescent="0.2">
      <c r="CE2073"/>
      <c r="CF2073"/>
      <c r="CG2073"/>
      <c r="CH2073"/>
      <c r="CI2073"/>
      <c r="CU2073" s="42">
        <v>2068</v>
      </c>
      <c r="CV2073" s="115">
        <v>4</v>
      </c>
      <c r="CW2073" s="115">
        <v>0.11332468572476186</v>
      </c>
      <c r="CX2073" s="115" t="e">
        <v>#N/A</v>
      </c>
      <c r="CY2073" s="115" t="e">
        <v>#N/A</v>
      </c>
      <c r="CZ2073" s="137" t="e">
        <v>#N/A</v>
      </c>
      <c r="DA2073">
        <v>0.11332468572476186</v>
      </c>
      <c r="DB2073" t="str">
        <v/>
      </c>
    </row>
    <row r="2074" spans="83:106" x14ac:dyDescent="0.2">
      <c r="CE2074"/>
      <c r="CF2074"/>
      <c r="CG2074"/>
      <c r="CH2074"/>
      <c r="CI2074"/>
      <c r="CU2074" s="42">
        <v>2069</v>
      </c>
      <c r="CV2074" s="115">
        <v>4</v>
      </c>
      <c r="CW2074" s="115">
        <v>0.11332468572476186</v>
      </c>
      <c r="CX2074" s="115" t="e">
        <v>#N/A</v>
      </c>
      <c r="CY2074" s="115" t="e">
        <v>#N/A</v>
      </c>
      <c r="CZ2074" s="137" t="e">
        <v>#N/A</v>
      </c>
      <c r="DA2074">
        <v>0.11332468572476186</v>
      </c>
      <c r="DB2074" t="str">
        <v/>
      </c>
    </row>
    <row r="2075" spans="83:106" x14ac:dyDescent="0.2">
      <c r="CE2075"/>
      <c r="CF2075"/>
      <c r="CG2075"/>
      <c r="CH2075"/>
      <c r="CI2075"/>
      <c r="CU2075" s="42">
        <v>2070</v>
      </c>
      <c r="CV2075" s="115">
        <v>4</v>
      </c>
      <c r="CW2075" s="115">
        <v>0.11332468572476186</v>
      </c>
      <c r="CX2075" s="115" t="e">
        <v>#N/A</v>
      </c>
      <c r="CY2075" s="115" t="e">
        <v>#N/A</v>
      </c>
      <c r="CZ2075" s="137" t="e">
        <v>#N/A</v>
      </c>
      <c r="DA2075">
        <v>0.11332468572476186</v>
      </c>
      <c r="DB2075" t="str">
        <v/>
      </c>
    </row>
    <row r="2076" spans="83:106" x14ac:dyDescent="0.2">
      <c r="CE2076"/>
      <c r="CF2076"/>
      <c r="CG2076"/>
      <c r="CH2076"/>
      <c r="CI2076"/>
      <c r="CU2076" s="42">
        <v>2071</v>
      </c>
      <c r="CV2076" s="115">
        <v>4</v>
      </c>
      <c r="CW2076" s="115">
        <v>0.11332468572476186</v>
      </c>
      <c r="CX2076" s="115" t="e">
        <v>#N/A</v>
      </c>
      <c r="CY2076" s="115" t="e">
        <v>#N/A</v>
      </c>
      <c r="CZ2076" s="137" t="e">
        <v>#N/A</v>
      </c>
      <c r="DA2076">
        <v>0.11332468572476186</v>
      </c>
      <c r="DB2076" t="str">
        <v/>
      </c>
    </row>
    <row r="2077" spans="83:106" x14ac:dyDescent="0.2">
      <c r="CE2077"/>
      <c r="CF2077"/>
      <c r="CG2077"/>
      <c r="CH2077"/>
      <c r="CI2077"/>
      <c r="CU2077" s="42">
        <v>2072</v>
      </c>
      <c r="CV2077" s="115">
        <v>4</v>
      </c>
      <c r="CW2077" s="115">
        <v>0.11332468572476186</v>
      </c>
      <c r="CX2077" s="115" t="e">
        <v>#N/A</v>
      </c>
      <c r="CY2077" s="115" t="e">
        <v>#N/A</v>
      </c>
      <c r="CZ2077" s="137" t="e">
        <v>#N/A</v>
      </c>
      <c r="DA2077">
        <v>0.11332468572476186</v>
      </c>
      <c r="DB2077" t="str">
        <v/>
      </c>
    </row>
    <row r="2078" spans="83:106" x14ac:dyDescent="0.2">
      <c r="CE2078"/>
      <c r="CF2078"/>
      <c r="CG2078"/>
      <c r="CH2078"/>
      <c r="CI2078"/>
      <c r="CU2078" s="42">
        <v>2073</v>
      </c>
      <c r="CV2078" s="115">
        <v>4</v>
      </c>
      <c r="CW2078" s="115">
        <v>0.11332468572476186</v>
      </c>
      <c r="CX2078" s="115" t="e">
        <v>#N/A</v>
      </c>
      <c r="CY2078" s="115" t="e">
        <v>#N/A</v>
      </c>
      <c r="CZ2078" s="137" t="e">
        <v>#N/A</v>
      </c>
      <c r="DA2078">
        <v>0.11332468572476186</v>
      </c>
      <c r="DB2078" t="str">
        <v/>
      </c>
    </row>
    <row r="2079" spans="83:106" x14ac:dyDescent="0.2">
      <c r="CE2079"/>
      <c r="CF2079"/>
      <c r="CG2079"/>
      <c r="CH2079"/>
      <c r="CI2079"/>
      <c r="CU2079" s="42">
        <v>2074</v>
      </c>
      <c r="CV2079" s="115">
        <v>4</v>
      </c>
      <c r="CW2079" s="115">
        <v>0.11332468572476186</v>
      </c>
      <c r="CX2079" s="115" t="e">
        <v>#N/A</v>
      </c>
      <c r="CY2079" s="115" t="e">
        <v>#N/A</v>
      </c>
      <c r="CZ2079" s="137" t="e">
        <v>#N/A</v>
      </c>
      <c r="DA2079">
        <v>0.11332468572476186</v>
      </c>
      <c r="DB2079" t="str">
        <v/>
      </c>
    </row>
    <row r="2080" spans="83:106" x14ac:dyDescent="0.2">
      <c r="CE2080"/>
      <c r="CF2080"/>
      <c r="CG2080"/>
      <c r="CH2080"/>
      <c r="CI2080"/>
      <c r="CU2080" s="42">
        <v>2075</v>
      </c>
      <c r="CV2080" s="115">
        <v>4</v>
      </c>
      <c r="CW2080" s="115">
        <v>0.11332468572476186</v>
      </c>
      <c r="CX2080" s="115" t="e">
        <v>#N/A</v>
      </c>
      <c r="CY2080" s="115" t="e">
        <v>#N/A</v>
      </c>
      <c r="CZ2080" s="137" t="e">
        <v>#N/A</v>
      </c>
      <c r="DA2080">
        <v>0.11332468572476186</v>
      </c>
      <c r="DB2080" t="str">
        <v/>
      </c>
    </row>
    <row r="2081" spans="83:106" x14ac:dyDescent="0.2">
      <c r="CE2081"/>
      <c r="CF2081"/>
      <c r="CG2081"/>
      <c r="CH2081"/>
      <c r="CI2081"/>
      <c r="CU2081" s="42">
        <v>2076</v>
      </c>
      <c r="CV2081" s="115">
        <v>4</v>
      </c>
      <c r="CW2081" s="115">
        <v>0.11332468572476186</v>
      </c>
      <c r="CX2081" s="115" t="e">
        <v>#N/A</v>
      </c>
      <c r="CY2081" s="115" t="e">
        <v>#N/A</v>
      </c>
      <c r="CZ2081" s="137" t="e">
        <v>#N/A</v>
      </c>
      <c r="DA2081">
        <v>0.11332468572476186</v>
      </c>
      <c r="DB2081" t="str">
        <v/>
      </c>
    </row>
    <row r="2082" spans="83:106" x14ac:dyDescent="0.2">
      <c r="CE2082"/>
      <c r="CF2082"/>
      <c r="CG2082"/>
      <c r="CH2082"/>
      <c r="CI2082"/>
      <c r="CU2082" s="42">
        <v>2077</v>
      </c>
      <c r="CV2082" s="115">
        <v>4</v>
      </c>
      <c r="CW2082" s="115">
        <v>0.11332468572476186</v>
      </c>
      <c r="CX2082" s="115" t="e">
        <v>#N/A</v>
      </c>
      <c r="CY2082" s="115" t="e">
        <v>#N/A</v>
      </c>
      <c r="CZ2082" s="137" t="e">
        <v>#N/A</v>
      </c>
      <c r="DA2082">
        <v>0.11332468572476186</v>
      </c>
      <c r="DB2082" t="str">
        <v/>
      </c>
    </row>
    <row r="2083" spans="83:106" x14ac:dyDescent="0.2">
      <c r="CE2083"/>
      <c r="CF2083"/>
      <c r="CG2083"/>
      <c r="CH2083"/>
      <c r="CI2083"/>
      <c r="CU2083" s="42">
        <v>2078</v>
      </c>
      <c r="CV2083" s="115">
        <v>4</v>
      </c>
      <c r="CW2083" s="115">
        <v>0.11332468572476186</v>
      </c>
      <c r="CX2083" s="115" t="e">
        <v>#N/A</v>
      </c>
      <c r="CY2083" s="115" t="e">
        <v>#N/A</v>
      </c>
      <c r="CZ2083" s="137" t="e">
        <v>#N/A</v>
      </c>
      <c r="DA2083">
        <v>0.11332468572476186</v>
      </c>
      <c r="DB2083" t="str">
        <v/>
      </c>
    </row>
    <row r="2084" spans="83:106" x14ac:dyDescent="0.2">
      <c r="CE2084"/>
      <c r="CF2084"/>
      <c r="CG2084"/>
      <c r="CH2084"/>
      <c r="CI2084"/>
      <c r="CU2084" s="42">
        <v>2079</v>
      </c>
      <c r="CV2084" s="115">
        <v>4</v>
      </c>
      <c r="CW2084" s="115">
        <v>0.11332468572476186</v>
      </c>
      <c r="CX2084" s="115" t="e">
        <v>#N/A</v>
      </c>
      <c r="CY2084" s="115" t="e">
        <v>#N/A</v>
      </c>
      <c r="CZ2084" s="137" t="e">
        <v>#N/A</v>
      </c>
      <c r="DA2084">
        <v>0.11332468572476186</v>
      </c>
      <c r="DB2084" t="str">
        <v/>
      </c>
    </row>
    <row r="2085" spans="83:106" x14ac:dyDescent="0.2">
      <c r="CE2085"/>
      <c r="CF2085"/>
      <c r="CG2085"/>
      <c r="CH2085"/>
      <c r="CI2085"/>
      <c r="CU2085" s="42">
        <v>2080</v>
      </c>
      <c r="CV2085" s="115">
        <v>4</v>
      </c>
      <c r="CW2085" s="115">
        <v>0.11332468572476186</v>
      </c>
      <c r="CX2085" s="115" t="e">
        <v>#N/A</v>
      </c>
      <c r="CY2085" s="115" t="e">
        <v>#N/A</v>
      </c>
      <c r="CZ2085" s="137" t="e">
        <v>#N/A</v>
      </c>
      <c r="DA2085">
        <v>0.11332468572476186</v>
      </c>
      <c r="DB2085" t="str">
        <v/>
      </c>
    </row>
    <row r="2086" spans="83:106" x14ac:dyDescent="0.2">
      <c r="CE2086"/>
      <c r="CF2086"/>
      <c r="CG2086"/>
      <c r="CH2086"/>
      <c r="CI2086"/>
      <c r="CU2086" s="42">
        <v>2081</v>
      </c>
      <c r="CV2086" s="115">
        <v>4</v>
      </c>
      <c r="CW2086" s="115">
        <v>0.11332468572476186</v>
      </c>
      <c r="CX2086" s="115" t="e">
        <v>#N/A</v>
      </c>
      <c r="CY2086" s="115" t="e">
        <v>#N/A</v>
      </c>
      <c r="CZ2086" s="137" t="e">
        <v>#N/A</v>
      </c>
      <c r="DA2086">
        <v>0.11332468572476186</v>
      </c>
      <c r="DB2086" t="str">
        <v/>
      </c>
    </row>
    <row r="2087" spans="83:106" x14ac:dyDescent="0.2">
      <c r="CE2087"/>
      <c r="CF2087"/>
      <c r="CG2087"/>
      <c r="CH2087"/>
      <c r="CI2087"/>
      <c r="CU2087" s="42">
        <v>2082</v>
      </c>
      <c r="CV2087" s="115">
        <v>4</v>
      </c>
      <c r="CW2087" s="115">
        <v>0.11332468572476186</v>
      </c>
      <c r="CX2087" s="115" t="e">
        <v>#N/A</v>
      </c>
      <c r="CY2087" s="115" t="e">
        <v>#N/A</v>
      </c>
      <c r="CZ2087" s="137" t="e">
        <v>#N/A</v>
      </c>
      <c r="DA2087">
        <v>0.11332468572476186</v>
      </c>
      <c r="DB2087" t="str">
        <v/>
      </c>
    </row>
    <row r="2088" spans="83:106" x14ac:dyDescent="0.2">
      <c r="CE2088"/>
      <c r="CF2088"/>
      <c r="CG2088"/>
      <c r="CH2088"/>
      <c r="CI2088"/>
      <c r="CU2088" s="42">
        <v>2083</v>
      </c>
      <c r="CV2088" s="115">
        <v>4</v>
      </c>
      <c r="CW2088" s="115">
        <v>0.11332468572476186</v>
      </c>
      <c r="CX2088" s="115" t="e">
        <v>#N/A</v>
      </c>
      <c r="CY2088" s="115" t="e">
        <v>#N/A</v>
      </c>
      <c r="CZ2088" s="137" t="e">
        <v>#N/A</v>
      </c>
      <c r="DA2088">
        <v>0.11332468572476186</v>
      </c>
      <c r="DB2088" t="str">
        <v/>
      </c>
    </row>
    <row r="2089" spans="83:106" x14ac:dyDescent="0.2">
      <c r="CE2089"/>
      <c r="CF2089"/>
      <c r="CG2089"/>
      <c r="CH2089"/>
      <c r="CI2089"/>
      <c r="CU2089" s="42">
        <v>2084</v>
      </c>
      <c r="CV2089" s="115">
        <v>4</v>
      </c>
      <c r="CW2089" s="115">
        <v>0.11332468572476186</v>
      </c>
      <c r="CX2089" s="115" t="e">
        <v>#N/A</v>
      </c>
      <c r="CY2089" s="115" t="e">
        <v>#N/A</v>
      </c>
      <c r="CZ2089" s="137" t="e">
        <v>#N/A</v>
      </c>
      <c r="DA2089">
        <v>0.11332468572476186</v>
      </c>
      <c r="DB2089" t="str">
        <v/>
      </c>
    </row>
    <row r="2090" spans="83:106" x14ac:dyDescent="0.2">
      <c r="CE2090"/>
      <c r="CF2090"/>
      <c r="CG2090"/>
      <c r="CH2090"/>
      <c r="CI2090"/>
      <c r="CU2090" s="42">
        <v>2085</v>
      </c>
      <c r="CV2090" s="115">
        <v>4</v>
      </c>
      <c r="CW2090" s="115">
        <v>0.11332468572476186</v>
      </c>
      <c r="CX2090" s="115" t="e">
        <v>#N/A</v>
      </c>
      <c r="CY2090" s="115" t="e">
        <v>#N/A</v>
      </c>
      <c r="CZ2090" s="137" t="e">
        <v>#N/A</v>
      </c>
      <c r="DA2090">
        <v>0.11332468572476186</v>
      </c>
      <c r="DB2090" t="str">
        <v/>
      </c>
    </row>
    <row r="2091" spans="83:106" x14ac:dyDescent="0.2">
      <c r="CE2091"/>
      <c r="CF2091"/>
      <c r="CG2091"/>
      <c r="CH2091"/>
      <c r="CI2091"/>
      <c r="CU2091" s="42">
        <v>2086</v>
      </c>
      <c r="CV2091" s="115">
        <v>4</v>
      </c>
      <c r="CW2091" s="115">
        <v>0.11332468572476186</v>
      </c>
      <c r="CX2091" s="115" t="e">
        <v>#N/A</v>
      </c>
      <c r="CY2091" s="115" t="e">
        <v>#N/A</v>
      </c>
      <c r="CZ2091" s="137" t="e">
        <v>#N/A</v>
      </c>
      <c r="DA2091">
        <v>0.11332468572476186</v>
      </c>
      <c r="DB2091" t="str">
        <v/>
      </c>
    </row>
    <row r="2092" spans="83:106" x14ac:dyDescent="0.2">
      <c r="CE2092"/>
      <c r="CF2092"/>
      <c r="CG2092"/>
      <c r="CH2092"/>
      <c r="CI2092"/>
      <c r="CU2092" s="42">
        <v>2087</v>
      </c>
      <c r="CV2092" s="115">
        <v>4</v>
      </c>
      <c r="CW2092" s="115">
        <v>0.11332468572476186</v>
      </c>
      <c r="CX2092" s="115" t="e">
        <v>#N/A</v>
      </c>
      <c r="CY2092" s="115" t="e">
        <v>#N/A</v>
      </c>
      <c r="CZ2092" s="137" t="e">
        <v>#N/A</v>
      </c>
      <c r="DA2092">
        <v>0.11332468572476186</v>
      </c>
      <c r="DB2092" t="str">
        <v/>
      </c>
    </row>
    <row r="2093" spans="83:106" x14ac:dyDescent="0.2">
      <c r="CE2093"/>
      <c r="CF2093"/>
      <c r="CG2093"/>
      <c r="CH2093"/>
      <c r="CI2093"/>
      <c r="CU2093" s="42">
        <v>2088</v>
      </c>
      <c r="CV2093" s="115">
        <v>4</v>
      </c>
      <c r="CW2093" s="115">
        <v>0.11332468572476186</v>
      </c>
      <c r="CX2093" s="115" t="e">
        <v>#N/A</v>
      </c>
      <c r="CY2093" s="115" t="e">
        <v>#N/A</v>
      </c>
      <c r="CZ2093" s="137" t="e">
        <v>#N/A</v>
      </c>
      <c r="DA2093">
        <v>0.11332468572476186</v>
      </c>
      <c r="DB2093" t="str">
        <v/>
      </c>
    </row>
    <row r="2094" spans="83:106" x14ac:dyDescent="0.2">
      <c r="CE2094"/>
      <c r="CF2094"/>
      <c r="CG2094"/>
      <c r="CH2094"/>
      <c r="CI2094"/>
      <c r="CU2094" s="42">
        <v>2089</v>
      </c>
      <c r="CV2094" s="115">
        <v>4</v>
      </c>
      <c r="CW2094" s="115">
        <v>0.11332468572476186</v>
      </c>
      <c r="CX2094" s="115" t="e">
        <v>#N/A</v>
      </c>
      <c r="CY2094" s="115" t="e">
        <v>#N/A</v>
      </c>
      <c r="CZ2094" s="137" t="e">
        <v>#N/A</v>
      </c>
      <c r="DA2094">
        <v>0.11332468572476186</v>
      </c>
      <c r="DB2094" t="str">
        <v/>
      </c>
    </row>
    <row r="2095" spans="83:106" x14ac:dyDescent="0.2">
      <c r="CE2095"/>
      <c r="CF2095"/>
      <c r="CG2095"/>
      <c r="CH2095"/>
      <c r="CI2095"/>
      <c r="CU2095" s="42">
        <v>2090</v>
      </c>
      <c r="CV2095" s="115">
        <v>4</v>
      </c>
      <c r="CW2095" s="115">
        <v>0.11332468572476186</v>
      </c>
      <c r="CX2095" s="115" t="e">
        <v>#N/A</v>
      </c>
      <c r="CY2095" s="115" t="e">
        <v>#N/A</v>
      </c>
      <c r="CZ2095" s="137" t="e">
        <v>#N/A</v>
      </c>
      <c r="DA2095">
        <v>0.11332468572476186</v>
      </c>
      <c r="DB2095" t="str">
        <v/>
      </c>
    </row>
    <row r="2096" spans="83:106" x14ac:dyDescent="0.2">
      <c r="CE2096"/>
      <c r="CF2096"/>
      <c r="CG2096"/>
      <c r="CH2096"/>
      <c r="CI2096"/>
      <c r="CU2096" s="42">
        <v>2091</v>
      </c>
      <c r="CV2096" s="115">
        <v>4</v>
      </c>
      <c r="CW2096" s="115">
        <v>0.11332468572476186</v>
      </c>
      <c r="CX2096" s="115" t="e">
        <v>#N/A</v>
      </c>
      <c r="CY2096" s="115" t="e">
        <v>#N/A</v>
      </c>
      <c r="CZ2096" s="137" t="e">
        <v>#N/A</v>
      </c>
      <c r="DA2096">
        <v>0.11332468572476186</v>
      </c>
      <c r="DB2096" t="str">
        <v/>
      </c>
    </row>
    <row r="2097" spans="83:106" x14ac:dyDescent="0.2">
      <c r="CE2097"/>
      <c r="CF2097"/>
      <c r="CG2097"/>
      <c r="CH2097"/>
      <c r="CI2097"/>
      <c r="CU2097" s="42">
        <v>2092</v>
      </c>
      <c r="CV2097" s="115">
        <v>4</v>
      </c>
      <c r="CW2097" s="115">
        <v>0.11332468572476186</v>
      </c>
      <c r="CX2097" s="115" t="e">
        <v>#N/A</v>
      </c>
      <c r="CY2097" s="115" t="e">
        <v>#N/A</v>
      </c>
      <c r="CZ2097" s="137" t="e">
        <v>#N/A</v>
      </c>
      <c r="DA2097">
        <v>0.11332468572476186</v>
      </c>
      <c r="DB2097" t="str">
        <v/>
      </c>
    </row>
    <row r="2098" spans="83:106" x14ac:dyDescent="0.2">
      <c r="CE2098"/>
      <c r="CF2098"/>
      <c r="CG2098"/>
      <c r="CH2098"/>
      <c r="CI2098"/>
      <c r="CU2098" s="42">
        <v>2093</v>
      </c>
      <c r="CV2098" s="115">
        <v>4</v>
      </c>
      <c r="CW2098" s="115">
        <v>0.11332468572476186</v>
      </c>
      <c r="CX2098" s="115" t="e">
        <v>#N/A</v>
      </c>
      <c r="CY2098" s="115" t="e">
        <v>#N/A</v>
      </c>
      <c r="CZ2098" s="137" t="e">
        <v>#N/A</v>
      </c>
      <c r="DA2098">
        <v>0.11332468572476186</v>
      </c>
      <c r="DB2098" t="str">
        <v/>
      </c>
    </row>
    <row r="2099" spans="83:106" x14ac:dyDescent="0.2">
      <c r="CE2099"/>
      <c r="CF2099"/>
      <c r="CG2099"/>
      <c r="CH2099"/>
      <c r="CI2099"/>
      <c r="CU2099" s="42">
        <v>2094</v>
      </c>
      <c r="CV2099" s="115">
        <v>4</v>
      </c>
      <c r="CW2099" s="115">
        <v>0.11332468572476186</v>
      </c>
      <c r="CX2099" s="115" t="e">
        <v>#N/A</v>
      </c>
      <c r="CY2099" s="115" t="e">
        <v>#N/A</v>
      </c>
      <c r="CZ2099" s="137" t="e">
        <v>#N/A</v>
      </c>
      <c r="DA2099">
        <v>0.11332468572476186</v>
      </c>
      <c r="DB2099" t="str">
        <v/>
      </c>
    </row>
    <row r="2100" spans="83:106" x14ac:dyDescent="0.2">
      <c r="CE2100"/>
      <c r="CF2100"/>
      <c r="CG2100"/>
      <c r="CH2100"/>
      <c r="CI2100"/>
      <c r="CU2100" s="42">
        <v>2095</v>
      </c>
      <c r="CV2100" s="115">
        <v>4</v>
      </c>
      <c r="CW2100" s="115">
        <v>0.11332468572476186</v>
      </c>
      <c r="CX2100" s="115" t="e">
        <v>#N/A</v>
      </c>
      <c r="CY2100" s="115" t="e">
        <v>#N/A</v>
      </c>
      <c r="CZ2100" s="137" t="e">
        <v>#N/A</v>
      </c>
      <c r="DA2100">
        <v>0.11332468572476186</v>
      </c>
      <c r="DB2100" t="str">
        <v/>
      </c>
    </row>
    <row r="2101" spans="83:106" x14ac:dyDescent="0.2">
      <c r="CE2101"/>
      <c r="CF2101"/>
      <c r="CG2101"/>
      <c r="CH2101"/>
      <c r="CI2101"/>
      <c r="CU2101" s="42">
        <v>2096</v>
      </c>
      <c r="CV2101" s="115">
        <v>4</v>
      </c>
      <c r="CW2101" s="115">
        <v>0.11332468572476186</v>
      </c>
      <c r="CX2101" s="115" t="e">
        <v>#N/A</v>
      </c>
      <c r="CY2101" s="115" t="e">
        <v>#N/A</v>
      </c>
      <c r="CZ2101" s="137" t="e">
        <v>#N/A</v>
      </c>
      <c r="DA2101">
        <v>0.11332468572476186</v>
      </c>
      <c r="DB2101" t="str">
        <v/>
      </c>
    </row>
    <row r="2102" spans="83:106" x14ac:dyDescent="0.2">
      <c r="CE2102"/>
      <c r="CF2102"/>
      <c r="CG2102"/>
      <c r="CH2102"/>
      <c r="CI2102"/>
      <c r="CU2102" s="42">
        <v>2097</v>
      </c>
      <c r="CV2102" s="115">
        <v>4</v>
      </c>
      <c r="CW2102" s="115">
        <v>0.11332468572476186</v>
      </c>
      <c r="CX2102" s="115" t="e">
        <v>#N/A</v>
      </c>
      <c r="CY2102" s="115" t="e">
        <v>#N/A</v>
      </c>
      <c r="CZ2102" s="137" t="e">
        <v>#N/A</v>
      </c>
      <c r="DA2102">
        <v>0.11332468572476186</v>
      </c>
      <c r="DB2102" t="str">
        <v/>
      </c>
    </row>
    <row r="2103" spans="83:106" x14ac:dyDescent="0.2">
      <c r="CE2103"/>
      <c r="CF2103"/>
      <c r="CG2103"/>
      <c r="CH2103"/>
      <c r="CI2103"/>
      <c r="CU2103" s="42">
        <v>2098</v>
      </c>
      <c r="CV2103" s="115">
        <v>4</v>
      </c>
      <c r="CW2103" s="115">
        <v>0.11332468572476186</v>
      </c>
      <c r="CX2103" s="115" t="e">
        <v>#N/A</v>
      </c>
      <c r="CY2103" s="115" t="e">
        <v>#N/A</v>
      </c>
      <c r="CZ2103" s="137" t="e">
        <v>#N/A</v>
      </c>
      <c r="DA2103">
        <v>0.11332468572476186</v>
      </c>
      <c r="DB2103" t="str">
        <v/>
      </c>
    </row>
    <row r="2104" spans="83:106" x14ac:dyDescent="0.2">
      <c r="CE2104"/>
      <c r="CF2104"/>
      <c r="CG2104"/>
      <c r="CH2104"/>
      <c r="CI2104"/>
      <c r="CU2104" s="42">
        <v>2099</v>
      </c>
      <c r="CV2104" s="115">
        <v>4</v>
      </c>
      <c r="CW2104" s="115">
        <v>0.11332468572476186</v>
      </c>
      <c r="CX2104" s="115" t="e">
        <v>#N/A</v>
      </c>
      <c r="CY2104" s="115" t="e">
        <v>#N/A</v>
      </c>
      <c r="CZ2104" s="137" t="e">
        <v>#N/A</v>
      </c>
      <c r="DA2104">
        <v>0.11332468572476186</v>
      </c>
      <c r="DB2104" t="str">
        <v/>
      </c>
    </row>
    <row r="2105" spans="83:106" x14ac:dyDescent="0.2">
      <c r="CE2105"/>
      <c r="CF2105"/>
      <c r="CG2105"/>
      <c r="CH2105"/>
      <c r="CI2105"/>
      <c r="CU2105" s="42">
        <v>2100</v>
      </c>
      <c r="CV2105" s="115">
        <v>4</v>
      </c>
      <c r="CW2105" s="115">
        <v>0.11332468572476186</v>
      </c>
      <c r="CX2105" s="115" t="e">
        <v>#N/A</v>
      </c>
      <c r="CY2105" s="115" t="e">
        <v>#N/A</v>
      </c>
      <c r="CZ2105" s="137" t="e">
        <v>#N/A</v>
      </c>
      <c r="DA2105">
        <v>0.11332468572476186</v>
      </c>
      <c r="DB2105" t="str">
        <v/>
      </c>
    </row>
    <row r="2106" spans="83:106" x14ac:dyDescent="0.2">
      <c r="CE2106"/>
      <c r="CF2106"/>
      <c r="CG2106"/>
      <c r="CH2106"/>
      <c r="CI2106"/>
      <c r="CU2106" s="42">
        <v>2101</v>
      </c>
      <c r="CV2106" s="115">
        <v>4</v>
      </c>
      <c r="CW2106" s="115">
        <v>0.11332468572476186</v>
      </c>
      <c r="CX2106" s="115" t="e">
        <v>#N/A</v>
      </c>
      <c r="CY2106" s="115" t="e">
        <v>#N/A</v>
      </c>
      <c r="CZ2106" s="137" t="e">
        <v>#N/A</v>
      </c>
      <c r="DA2106">
        <v>0.11332468572476186</v>
      </c>
      <c r="DB2106" t="str">
        <v/>
      </c>
    </row>
    <row r="2107" spans="83:106" x14ac:dyDescent="0.2">
      <c r="CE2107"/>
      <c r="CF2107"/>
      <c r="CG2107"/>
      <c r="CH2107"/>
      <c r="CI2107"/>
      <c r="CU2107" s="42">
        <v>2102</v>
      </c>
      <c r="CV2107" s="115">
        <v>4</v>
      </c>
      <c r="CW2107" s="115">
        <v>0.11332468572476186</v>
      </c>
      <c r="CX2107" s="115" t="e">
        <v>#N/A</v>
      </c>
      <c r="CY2107" s="115" t="e">
        <v>#N/A</v>
      </c>
      <c r="CZ2107" s="137" t="e">
        <v>#N/A</v>
      </c>
      <c r="DA2107">
        <v>0.11332468572476186</v>
      </c>
      <c r="DB2107" t="str">
        <v/>
      </c>
    </row>
    <row r="2108" spans="83:106" x14ac:dyDescent="0.2">
      <c r="CE2108"/>
      <c r="CF2108"/>
      <c r="CG2108"/>
      <c r="CH2108"/>
      <c r="CI2108"/>
      <c r="CU2108" s="42">
        <v>2103</v>
      </c>
      <c r="CV2108" s="115">
        <v>4</v>
      </c>
      <c r="CW2108" s="115">
        <v>0.11332468572476186</v>
      </c>
      <c r="CX2108" s="115" t="e">
        <v>#N/A</v>
      </c>
      <c r="CY2108" s="115" t="e">
        <v>#N/A</v>
      </c>
      <c r="CZ2108" s="137" t="e">
        <v>#N/A</v>
      </c>
      <c r="DA2108">
        <v>0.11332468572476186</v>
      </c>
      <c r="DB2108" t="str">
        <v/>
      </c>
    </row>
    <row r="2109" spans="83:106" x14ac:dyDescent="0.2">
      <c r="CE2109"/>
      <c r="CF2109"/>
      <c r="CG2109"/>
      <c r="CH2109"/>
      <c r="CI2109"/>
      <c r="CU2109" s="42">
        <v>2104</v>
      </c>
      <c r="CV2109" s="115">
        <v>4</v>
      </c>
      <c r="CW2109" s="115">
        <v>0.11332468572476186</v>
      </c>
      <c r="CX2109" s="115" t="e">
        <v>#N/A</v>
      </c>
      <c r="CY2109" s="115" t="e">
        <v>#N/A</v>
      </c>
      <c r="CZ2109" s="137" t="e">
        <v>#N/A</v>
      </c>
      <c r="DA2109">
        <v>0.11332468572476186</v>
      </c>
      <c r="DB2109" t="str">
        <v/>
      </c>
    </row>
    <row r="2110" spans="83:106" x14ac:dyDescent="0.2">
      <c r="CE2110"/>
      <c r="CF2110"/>
      <c r="CG2110"/>
      <c r="CH2110"/>
      <c r="CI2110"/>
      <c r="CU2110" s="42">
        <v>2105</v>
      </c>
      <c r="CV2110" s="115">
        <v>4</v>
      </c>
      <c r="CW2110" s="115">
        <v>0.11332468572476186</v>
      </c>
      <c r="CX2110" s="115" t="e">
        <v>#N/A</v>
      </c>
      <c r="CY2110" s="115" t="e">
        <v>#N/A</v>
      </c>
      <c r="CZ2110" s="137" t="e">
        <v>#N/A</v>
      </c>
      <c r="DA2110">
        <v>0.11332468572476186</v>
      </c>
      <c r="DB2110" t="str">
        <v/>
      </c>
    </row>
    <row r="2111" spans="83:106" x14ac:dyDescent="0.2">
      <c r="CE2111"/>
      <c r="CF2111"/>
      <c r="CG2111"/>
      <c r="CH2111"/>
      <c r="CI2111"/>
      <c r="CU2111" s="42">
        <v>2106</v>
      </c>
      <c r="CV2111" s="115">
        <v>4</v>
      </c>
      <c r="CW2111" s="115">
        <v>0.11332468572476186</v>
      </c>
      <c r="CX2111" s="115" t="e">
        <v>#N/A</v>
      </c>
      <c r="CY2111" s="115" t="e">
        <v>#N/A</v>
      </c>
      <c r="CZ2111" s="137" t="e">
        <v>#N/A</v>
      </c>
      <c r="DA2111">
        <v>0.11332468572476186</v>
      </c>
      <c r="DB2111" t="str">
        <v/>
      </c>
    </row>
    <row r="2112" spans="83:106" x14ac:dyDescent="0.2">
      <c r="CE2112"/>
      <c r="CF2112"/>
      <c r="CG2112"/>
      <c r="CH2112"/>
      <c r="CI2112"/>
      <c r="CU2112" s="42">
        <v>2107</v>
      </c>
      <c r="CV2112" s="115">
        <v>4</v>
      </c>
      <c r="CW2112" s="115">
        <v>0.11332468572476186</v>
      </c>
      <c r="CX2112" s="115" t="e">
        <v>#N/A</v>
      </c>
      <c r="CY2112" s="115" t="e">
        <v>#N/A</v>
      </c>
      <c r="CZ2112" s="137" t="e">
        <v>#N/A</v>
      </c>
      <c r="DA2112">
        <v>0.11332468572476186</v>
      </c>
      <c r="DB2112" t="str">
        <v/>
      </c>
    </row>
    <row r="2113" spans="83:106" x14ac:dyDescent="0.2">
      <c r="CE2113"/>
      <c r="CF2113"/>
      <c r="CG2113"/>
      <c r="CH2113"/>
      <c r="CI2113"/>
      <c r="CU2113" s="42">
        <v>2108</v>
      </c>
      <c r="CV2113" s="115">
        <v>4</v>
      </c>
      <c r="CW2113" s="115">
        <v>0.11332468572476186</v>
      </c>
      <c r="CX2113" s="115" t="e">
        <v>#N/A</v>
      </c>
      <c r="CY2113" s="115" t="e">
        <v>#N/A</v>
      </c>
      <c r="CZ2113" s="137" t="e">
        <v>#N/A</v>
      </c>
      <c r="DA2113">
        <v>0.11332468572476186</v>
      </c>
      <c r="DB2113" t="str">
        <v/>
      </c>
    </row>
    <row r="2114" spans="83:106" x14ac:dyDescent="0.2">
      <c r="CE2114"/>
      <c r="CF2114"/>
      <c r="CG2114"/>
      <c r="CH2114"/>
      <c r="CI2114"/>
      <c r="CU2114" s="42">
        <v>2109</v>
      </c>
      <c r="CV2114" s="115">
        <v>4</v>
      </c>
      <c r="CW2114" s="115">
        <v>0.11332468572476186</v>
      </c>
      <c r="CX2114" s="115" t="e">
        <v>#N/A</v>
      </c>
      <c r="CY2114" s="115" t="e">
        <v>#N/A</v>
      </c>
      <c r="CZ2114" s="137" t="e">
        <v>#N/A</v>
      </c>
      <c r="DA2114">
        <v>0.11332468572476186</v>
      </c>
      <c r="DB2114" t="str">
        <v/>
      </c>
    </row>
    <row r="2115" spans="83:106" x14ac:dyDescent="0.2">
      <c r="CE2115"/>
      <c r="CF2115"/>
      <c r="CG2115"/>
      <c r="CH2115"/>
      <c r="CI2115"/>
      <c r="CU2115" s="42">
        <v>2110</v>
      </c>
      <c r="CV2115" s="115">
        <v>4</v>
      </c>
      <c r="CW2115" s="115">
        <v>0.11332468572476186</v>
      </c>
      <c r="CX2115" s="115" t="e">
        <v>#N/A</v>
      </c>
      <c r="CY2115" s="115" t="e">
        <v>#N/A</v>
      </c>
      <c r="CZ2115" s="137" t="e">
        <v>#N/A</v>
      </c>
      <c r="DA2115">
        <v>0.11332468572476186</v>
      </c>
      <c r="DB2115" t="str">
        <v/>
      </c>
    </row>
    <row r="2116" spans="83:106" x14ac:dyDescent="0.2">
      <c r="CE2116"/>
      <c r="CF2116"/>
      <c r="CG2116"/>
      <c r="CH2116"/>
      <c r="CI2116"/>
      <c r="CU2116" s="42">
        <v>2111</v>
      </c>
      <c r="CV2116" s="115">
        <v>4</v>
      </c>
      <c r="CW2116" s="115">
        <v>0.11332468572476186</v>
      </c>
      <c r="CX2116" s="115" t="e">
        <v>#N/A</v>
      </c>
      <c r="CY2116" s="115" t="e">
        <v>#N/A</v>
      </c>
      <c r="CZ2116" s="137" t="e">
        <v>#N/A</v>
      </c>
      <c r="DA2116">
        <v>0.11332468572476186</v>
      </c>
      <c r="DB2116" t="str">
        <v/>
      </c>
    </row>
    <row r="2117" spans="83:106" x14ac:dyDescent="0.2">
      <c r="CE2117"/>
      <c r="CF2117"/>
      <c r="CG2117"/>
      <c r="CH2117"/>
      <c r="CI2117"/>
      <c r="CU2117" s="42">
        <v>2112</v>
      </c>
      <c r="CV2117" s="115">
        <v>4</v>
      </c>
      <c r="CW2117" s="115">
        <v>0.11332468572476186</v>
      </c>
      <c r="CX2117" s="115" t="e">
        <v>#N/A</v>
      </c>
      <c r="CY2117" s="115" t="e">
        <v>#N/A</v>
      </c>
      <c r="CZ2117" s="137" t="e">
        <v>#N/A</v>
      </c>
      <c r="DA2117">
        <v>0.11332468572476186</v>
      </c>
      <c r="DB2117" t="str">
        <v/>
      </c>
    </row>
    <row r="2118" spans="83:106" x14ac:dyDescent="0.2">
      <c r="CE2118"/>
      <c r="CF2118"/>
      <c r="CG2118"/>
      <c r="CH2118"/>
      <c r="CI2118"/>
      <c r="CU2118" s="42">
        <v>2113</v>
      </c>
      <c r="CV2118" s="115">
        <v>4</v>
      </c>
      <c r="CW2118" s="115">
        <v>0.11332468572476186</v>
      </c>
      <c r="CX2118" s="115" t="e">
        <v>#N/A</v>
      </c>
      <c r="CY2118" s="115" t="e">
        <v>#N/A</v>
      </c>
      <c r="CZ2118" s="137" t="e">
        <v>#N/A</v>
      </c>
      <c r="DA2118">
        <v>0.11332468572476186</v>
      </c>
      <c r="DB2118" t="str">
        <v/>
      </c>
    </row>
    <row r="2119" spans="83:106" x14ac:dyDescent="0.2">
      <c r="CE2119"/>
      <c r="CF2119"/>
      <c r="CG2119"/>
      <c r="CH2119"/>
      <c r="CI2119"/>
      <c r="CU2119" s="42">
        <v>2114</v>
      </c>
      <c r="CV2119" s="115">
        <v>4</v>
      </c>
      <c r="CW2119" s="115">
        <v>0.11332468572476186</v>
      </c>
      <c r="CX2119" s="115" t="e">
        <v>#N/A</v>
      </c>
      <c r="CY2119" s="115" t="e">
        <v>#N/A</v>
      </c>
      <c r="CZ2119" s="137" t="e">
        <v>#N/A</v>
      </c>
      <c r="DA2119">
        <v>0.11332468572476186</v>
      </c>
      <c r="DB2119" t="str">
        <v/>
      </c>
    </row>
    <row r="2120" spans="83:106" x14ac:dyDescent="0.2">
      <c r="CE2120"/>
      <c r="CF2120"/>
      <c r="CG2120"/>
      <c r="CH2120"/>
      <c r="CI2120"/>
      <c r="CU2120" s="42">
        <v>2115</v>
      </c>
      <c r="CV2120" s="115">
        <v>4</v>
      </c>
      <c r="CW2120" s="115">
        <v>0.11332468572476186</v>
      </c>
      <c r="CX2120" s="115" t="e">
        <v>#N/A</v>
      </c>
      <c r="CY2120" s="115" t="e">
        <v>#N/A</v>
      </c>
      <c r="CZ2120" s="137" t="e">
        <v>#N/A</v>
      </c>
      <c r="DA2120">
        <v>0.11332468572476186</v>
      </c>
      <c r="DB2120" t="str">
        <v/>
      </c>
    </row>
    <row r="2121" spans="83:106" x14ac:dyDescent="0.2">
      <c r="CE2121"/>
      <c r="CF2121"/>
      <c r="CG2121"/>
      <c r="CH2121"/>
      <c r="CI2121"/>
      <c r="CU2121" s="42">
        <v>2116</v>
      </c>
      <c r="CV2121" s="115">
        <v>4</v>
      </c>
      <c r="CW2121" s="115">
        <v>0.11332468572476186</v>
      </c>
      <c r="CX2121" s="115" t="e">
        <v>#N/A</v>
      </c>
      <c r="CY2121" s="115" t="e">
        <v>#N/A</v>
      </c>
      <c r="CZ2121" s="137" t="e">
        <v>#N/A</v>
      </c>
      <c r="DA2121">
        <v>0.11332468572476186</v>
      </c>
      <c r="DB2121" t="str">
        <v/>
      </c>
    </row>
    <row r="2122" spans="83:106" x14ac:dyDescent="0.2">
      <c r="CE2122"/>
      <c r="CF2122"/>
      <c r="CG2122"/>
      <c r="CH2122"/>
      <c r="CI2122"/>
      <c r="CU2122" s="42">
        <v>2117</v>
      </c>
      <c r="CV2122" s="115">
        <v>4</v>
      </c>
      <c r="CW2122" s="115">
        <v>0.11332468572476186</v>
      </c>
      <c r="CX2122" s="115" t="e">
        <v>#N/A</v>
      </c>
      <c r="CY2122" s="115" t="e">
        <v>#N/A</v>
      </c>
      <c r="CZ2122" s="137" t="e">
        <v>#N/A</v>
      </c>
      <c r="DA2122">
        <v>0.11332468572476186</v>
      </c>
      <c r="DB2122" t="str">
        <v/>
      </c>
    </row>
    <row r="2123" spans="83:106" x14ac:dyDescent="0.2">
      <c r="CE2123"/>
      <c r="CF2123"/>
      <c r="CG2123"/>
      <c r="CH2123"/>
      <c r="CI2123"/>
      <c r="CU2123" s="42">
        <v>2118</v>
      </c>
      <c r="CV2123" s="115">
        <v>4</v>
      </c>
      <c r="CW2123" s="115">
        <v>0.11332468572476186</v>
      </c>
      <c r="CX2123" s="115" t="e">
        <v>#N/A</v>
      </c>
      <c r="CY2123" s="115" t="e">
        <v>#N/A</v>
      </c>
      <c r="CZ2123" s="137" t="e">
        <v>#N/A</v>
      </c>
      <c r="DA2123">
        <v>0.11332468572476186</v>
      </c>
      <c r="DB2123" t="str">
        <v/>
      </c>
    </row>
    <row r="2124" spans="83:106" x14ac:dyDescent="0.2">
      <c r="CE2124"/>
      <c r="CF2124"/>
      <c r="CG2124"/>
      <c r="CH2124"/>
      <c r="CI2124"/>
      <c r="CU2124" s="42">
        <v>2119</v>
      </c>
      <c r="CV2124" s="115">
        <v>4</v>
      </c>
      <c r="CW2124" s="115">
        <v>0.11332468572476186</v>
      </c>
      <c r="CX2124" s="115" t="e">
        <v>#N/A</v>
      </c>
      <c r="CY2124" s="115" t="e">
        <v>#N/A</v>
      </c>
      <c r="CZ2124" s="137" t="e">
        <v>#N/A</v>
      </c>
      <c r="DA2124">
        <v>0.11332468572476186</v>
      </c>
      <c r="DB2124" t="str">
        <v/>
      </c>
    </row>
    <row r="2125" spans="83:106" x14ac:dyDescent="0.2">
      <c r="CE2125"/>
      <c r="CF2125"/>
      <c r="CG2125"/>
      <c r="CH2125"/>
      <c r="CI2125"/>
      <c r="CU2125" s="42">
        <v>2120</v>
      </c>
      <c r="CV2125" s="115">
        <v>4</v>
      </c>
      <c r="CW2125" s="115">
        <v>0.11332468572476186</v>
      </c>
      <c r="CX2125" s="115" t="e">
        <v>#N/A</v>
      </c>
      <c r="CY2125" s="115" t="e">
        <v>#N/A</v>
      </c>
      <c r="CZ2125" s="137" t="e">
        <v>#N/A</v>
      </c>
      <c r="DA2125">
        <v>0.11332468572476186</v>
      </c>
      <c r="DB2125" t="str">
        <v/>
      </c>
    </row>
    <row r="2126" spans="83:106" x14ac:dyDescent="0.2">
      <c r="CE2126"/>
      <c r="CF2126"/>
      <c r="CG2126"/>
      <c r="CH2126"/>
      <c r="CI2126"/>
      <c r="CU2126" s="42">
        <v>2121</v>
      </c>
      <c r="CV2126" s="115">
        <v>4</v>
      </c>
      <c r="CW2126" s="115">
        <v>0.11332468572476186</v>
      </c>
      <c r="CX2126" s="115" t="e">
        <v>#N/A</v>
      </c>
      <c r="CY2126" s="115" t="e">
        <v>#N/A</v>
      </c>
      <c r="CZ2126" s="137" t="e">
        <v>#N/A</v>
      </c>
      <c r="DA2126">
        <v>0.11332468572476186</v>
      </c>
      <c r="DB2126" t="str">
        <v/>
      </c>
    </row>
    <row r="2127" spans="83:106" x14ac:dyDescent="0.2">
      <c r="CE2127"/>
      <c r="CF2127"/>
      <c r="CG2127"/>
      <c r="CH2127"/>
      <c r="CI2127"/>
      <c r="CU2127" s="42">
        <v>2122</v>
      </c>
      <c r="CV2127" s="115">
        <v>4</v>
      </c>
      <c r="CW2127" s="115">
        <v>0.11332468572476186</v>
      </c>
      <c r="CX2127" s="115" t="e">
        <v>#N/A</v>
      </c>
      <c r="CY2127" s="115" t="e">
        <v>#N/A</v>
      </c>
      <c r="CZ2127" s="137" t="e">
        <v>#N/A</v>
      </c>
      <c r="DA2127">
        <v>0.11332468572476186</v>
      </c>
      <c r="DB2127" t="str">
        <v/>
      </c>
    </row>
    <row r="2128" spans="83:106" x14ac:dyDescent="0.2">
      <c r="CE2128"/>
      <c r="CF2128"/>
      <c r="CG2128"/>
      <c r="CH2128"/>
      <c r="CI2128"/>
      <c r="CU2128" s="42">
        <v>2123</v>
      </c>
      <c r="CV2128" s="115">
        <v>4</v>
      </c>
      <c r="CW2128" s="115">
        <v>0.11332468572476186</v>
      </c>
      <c r="CX2128" s="115" t="e">
        <v>#N/A</v>
      </c>
      <c r="CY2128" s="115" t="e">
        <v>#N/A</v>
      </c>
      <c r="CZ2128" s="137" t="e">
        <v>#N/A</v>
      </c>
      <c r="DA2128">
        <v>0.11332468572476186</v>
      </c>
      <c r="DB2128" t="str">
        <v/>
      </c>
    </row>
    <row r="2129" spans="83:106" x14ac:dyDescent="0.2">
      <c r="CE2129"/>
      <c r="CF2129"/>
      <c r="CG2129"/>
      <c r="CH2129"/>
      <c r="CI2129"/>
      <c r="CU2129" s="42">
        <v>2124</v>
      </c>
      <c r="CV2129" s="115">
        <v>4</v>
      </c>
      <c r="CW2129" s="115">
        <v>0.11332468572476186</v>
      </c>
      <c r="CX2129" s="115" t="e">
        <v>#N/A</v>
      </c>
      <c r="CY2129" s="115" t="e">
        <v>#N/A</v>
      </c>
      <c r="CZ2129" s="137" t="e">
        <v>#N/A</v>
      </c>
      <c r="DA2129">
        <v>0.11332468572476186</v>
      </c>
      <c r="DB2129" t="str">
        <v/>
      </c>
    </row>
    <row r="2130" spans="83:106" x14ac:dyDescent="0.2">
      <c r="CE2130"/>
      <c r="CF2130"/>
      <c r="CG2130"/>
      <c r="CH2130"/>
      <c r="CI2130"/>
      <c r="CU2130" s="42">
        <v>2125</v>
      </c>
      <c r="CV2130" s="115">
        <v>4</v>
      </c>
      <c r="CW2130" s="115">
        <v>0.11332468572476186</v>
      </c>
      <c r="CX2130" s="115" t="e">
        <v>#N/A</v>
      </c>
      <c r="CY2130" s="115" t="e">
        <v>#N/A</v>
      </c>
      <c r="CZ2130" s="137" t="e">
        <v>#N/A</v>
      </c>
      <c r="DA2130">
        <v>0.11332468572476186</v>
      </c>
      <c r="DB2130" t="str">
        <v/>
      </c>
    </row>
    <row r="2131" spans="83:106" x14ac:dyDescent="0.2">
      <c r="CE2131"/>
      <c r="CF2131"/>
      <c r="CG2131"/>
      <c r="CH2131"/>
      <c r="CI2131"/>
      <c r="CU2131" s="42">
        <v>2126</v>
      </c>
      <c r="CV2131" s="115">
        <v>4</v>
      </c>
      <c r="CW2131" s="115">
        <v>0.11332468572476186</v>
      </c>
      <c r="CX2131" s="115" t="e">
        <v>#N/A</v>
      </c>
      <c r="CY2131" s="115" t="e">
        <v>#N/A</v>
      </c>
      <c r="CZ2131" s="137" t="e">
        <v>#N/A</v>
      </c>
      <c r="DA2131">
        <v>0.11332468572476186</v>
      </c>
      <c r="DB2131" t="str">
        <v/>
      </c>
    </row>
    <row r="2132" spans="83:106" x14ac:dyDescent="0.2">
      <c r="CE2132"/>
      <c r="CF2132"/>
      <c r="CG2132"/>
      <c r="CH2132"/>
      <c r="CI2132"/>
      <c r="CU2132" s="42">
        <v>2127</v>
      </c>
      <c r="CV2132" s="115">
        <v>4</v>
      </c>
      <c r="CW2132" s="115">
        <v>0.11332468572476186</v>
      </c>
      <c r="CX2132" s="115" t="e">
        <v>#N/A</v>
      </c>
      <c r="CY2132" s="115" t="e">
        <v>#N/A</v>
      </c>
      <c r="CZ2132" s="137" t="e">
        <v>#N/A</v>
      </c>
      <c r="DA2132">
        <v>0.11332468572476186</v>
      </c>
      <c r="DB2132" t="str">
        <v/>
      </c>
    </row>
    <row r="2133" spans="83:106" x14ac:dyDescent="0.2">
      <c r="CE2133"/>
      <c r="CF2133"/>
      <c r="CG2133"/>
      <c r="CH2133"/>
      <c r="CI2133"/>
      <c r="CU2133" s="42">
        <v>2128</v>
      </c>
      <c r="CV2133" s="115">
        <v>4</v>
      </c>
      <c r="CW2133" s="115">
        <v>0.11332468572476186</v>
      </c>
      <c r="CX2133" s="115" t="e">
        <v>#N/A</v>
      </c>
      <c r="CY2133" s="115" t="e">
        <v>#N/A</v>
      </c>
      <c r="CZ2133" s="137" t="e">
        <v>#N/A</v>
      </c>
      <c r="DA2133">
        <v>0.11332468572476186</v>
      </c>
      <c r="DB2133" t="str">
        <v/>
      </c>
    </row>
    <row r="2134" spans="83:106" x14ac:dyDescent="0.2">
      <c r="CE2134"/>
      <c r="CF2134"/>
      <c r="CG2134"/>
      <c r="CH2134"/>
      <c r="CI2134"/>
      <c r="CU2134" s="42">
        <v>2129</v>
      </c>
      <c r="CV2134" s="115">
        <v>4</v>
      </c>
      <c r="CW2134" s="115">
        <v>0.11332468572476186</v>
      </c>
      <c r="CX2134" s="115" t="e">
        <v>#N/A</v>
      </c>
      <c r="CY2134" s="115" t="e">
        <v>#N/A</v>
      </c>
      <c r="CZ2134" s="137" t="e">
        <v>#N/A</v>
      </c>
      <c r="DA2134">
        <v>0.11332468572476186</v>
      </c>
      <c r="DB2134" t="str">
        <v/>
      </c>
    </row>
    <row r="2135" spans="83:106" x14ac:dyDescent="0.2">
      <c r="CE2135"/>
      <c r="CF2135"/>
      <c r="CG2135"/>
      <c r="CH2135"/>
      <c r="CI2135"/>
      <c r="CU2135" s="42">
        <v>2130</v>
      </c>
      <c r="CV2135" s="115">
        <v>4</v>
      </c>
      <c r="CW2135" s="115">
        <v>0.11332468572476186</v>
      </c>
      <c r="CX2135" s="115" t="e">
        <v>#N/A</v>
      </c>
      <c r="CY2135" s="115" t="e">
        <v>#N/A</v>
      </c>
      <c r="CZ2135" s="137" t="e">
        <v>#N/A</v>
      </c>
      <c r="DA2135">
        <v>0.11332468572476186</v>
      </c>
      <c r="DB2135" t="str">
        <v/>
      </c>
    </row>
    <row r="2136" spans="83:106" x14ac:dyDescent="0.2">
      <c r="CE2136"/>
      <c r="CF2136"/>
      <c r="CG2136"/>
      <c r="CH2136"/>
      <c r="CI2136"/>
      <c r="CU2136" s="42">
        <v>2131</v>
      </c>
      <c r="CV2136" s="115">
        <v>4</v>
      </c>
      <c r="CW2136" s="115">
        <v>0.11332468572476186</v>
      </c>
      <c r="CX2136" s="115" t="e">
        <v>#N/A</v>
      </c>
      <c r="CY2136" s="115" t="e">
        <v>#N/A</v>
      </c>
      <c r="CZ2136" s="137" t="e">
        <v>#N/A</v>
      </c>
      <c r="DA2136">
        <v>0.11332468572476186</v>
      </c>
      <c r="DB2136" t="str">
        <v/>
      </c>
    </row>
    <row r="2137" spans="83:106" x14ac:dyDescent="0.2">
      <c r="CE2137"/>
      <c r="CF2137"/>
      <c r="CG2137"/>
      <c r="CH2137"/>
      <c r="CI2137"/>
      <c r="CU2137" s="42">
        <v>2132</v>
      </c>
      <c r="CV2137" s="115">
        <v>4</v>
      </c>
      <c r="CW2137" s="115">
        <v>0.11332468572476186</v>
      </c>
      <c r="CX2137" s="115" t="e">
        <v>#N/A</v>
      </c>
      <c r="CY2137" s="115" t="e">
        <v>#N/A</v>
      </c>
      <c r="CZ2137" s="137" t="e">
        <v>#N/A</v>
      </c>
      <c r="DA2137">
        <v>0.11332468572476186</v>
      </c>
      <c r="DB2137" t="str">
        <v/>
      </c>
    </row>
    <row r="2138" spans="83:106" x14ac:dyDescent="0.2">
      <c r="CE2138"/>
      <c r="CF2138"/>
      <c r="CG2138"/>
      <c r="CH2138"/>
      <c r="CI2138"/>
      <c r="CU2138" s="42">
        <v>2133</v>
      </c>
      <c r="CV2138" s="115">
        <v>4</v>
      </c>
      <c r="CW2138" s="115">
        <v>0.11332468572476186</v>
      </c>
      <c r="CX2138" s="115" t="e">
        <v>#N/A</v>
      </c>
      <c r="CY2138" s="115" t="e">
        <v>#N/A</v>
      </c>
      <c r="CZ2138" s="137" t="e">
        <v>#N/A</v>
      </c>
      <c r="DA2138">
        <v>0.11332468572476186</v>
      </c>
      <c r="DB2138" t="str">
        <v/>
      </c>
    </row>
    <row r="2139" spans="83:106" x14ac:dyDescent="0.2">
      <c r="CE2139"/>
      <c r="CF2139"/>
      <c r="CG2139"/>
      <c r="CH2139"/>
      <c r="CI2139"/>
      <c r="CU2139" s="42">
        <v>2134</v>
      </c>
      <c r="CV2139" s="115">
        <v>4</v>
      </c>
      <c r="CW2139" s="115">
        <v>0.11332468572476186</v>
      </c>
      <c r="CX2139" s="115" t="e">
        <v>#N/A</v>
      </c>
      <c r="CY2139" s="115" t="e">
        <v>#N/A</v>
      </c>
      <c r="CZ2139" s="137" t="e">
        <v>#N/A</v>
      </c>
      <c r="DA2139">
        <v>0.11332468572476186</v>
      </c>
      <c r="DB2139" t="str">
        <v/>
      </c>
    </row>
    <row r="2140" spans="83:106" x14ac:dyDescent="0.2">
      <c r="CE2140"/>
      <c r="CF2140"/>
      <c r="CG2140"/>
      <c r="CH2140"/>
      <c r="CI2140"/>
      <c r="CU2140" s="42">
        <v>2135</v>
      </c>
      <c r="CV2140" s="115">
        <v>4</v>
      </c>
      <c r="CW2140" s="115">
        <v>0.11332468572476186</v>
      </c>
      <c r="CX2140" s="115" t="e">
        <v>#N/A</v>
      </c>
      <c r="CY2140" s="115" t="e">
        <v>#N/A</v>
      </c>
      <c r="CZ2140" s="137" t="e">
        <v>#N/A</v>
      </c>
      <c r="DA2140">
        <v>0.11332468572476186</v>
      </c>
      <c r="DB2140" t="str">
        <v/>
      </c>
    </row>
    <row r="2141" spans="83:106" x14ac:dyDescent="0.2">
      <c r="CE2141"/>
      <c r="CF2141"/>
      <c r="CG2141"/>
      <c r="CH2141"/>
      <c r="CI2141"/>
      <c r="CU2141" s="42">
        <v>2136</v>
      </c>
      <c r="CV2141" s="115">
        <v>4</v>
      </c>
      <c r="CW2141" s="115">
        <v>0.11332468572476186</v>
      </c>
      <c r="CX2141" s="115" t="e">
        <v>#N/A</v>
      </c>
      <c r="CY2141" s="115" t="e">
        <v>#N/A</v>
      </c>
      <c r="CZ2141" s="137" t="e">
        <v>#N/A</v>
      </c>
      <c r="DA2141">
        <v>0.11332468572476186</v>
      </c>
      <c r="DB2141" t="str">
        <v/>
      </c>
    </row>
    <row r="2142" spans="83:106" x14ac:dyDescent="0.2">
      <c r="CE2142"/>
      <c r="CF2142"/>
      <c r="CG2142"/>
      <c r="CH2142"/>
      <c r="CI2142"/>
      <c r="CU2142" s="42">
        <v>2137</v>
      </c>
      <c r="CV2142" s="115">
        <v>4</v>
      </c>
      <c r="CW2142" s="115">
        <v>0.11332468572476186</v>
      </c>
      <c r="CX2142" s="115" t="e">
        <v>#N/A</v>
      </c>
      <c r="CY2142" s="115" t="e">
        <v>#N/A</v>
      </c>
      <c r="CZ2142" s="137" t="e">
        <v>#N/A</v>
      </c>
      <c r="DA2142">
        <v>0.11332468572476186</v>
      </c>
      <c r="DB2142" t="str">
        <v/>
      </c>
    </row>
    <row r="2143" spans="83:106" x14ac:dyDescent="0.2">
      <c r="CE2143"/>
      <c r="CF2143"/>
      <c r="CG2143"/>
      <c r="CH2143"/>
      <c r="CI2143"/>
      <c r="CU2143" s="42">
        <v>2138</v>
      </c>
      <c r="CV2143" s="115">
        <v>4</v>
      </c>
      <c r="CW2143" s="115">
        <v>0.11332468572476186</v>
      </c>
      <c r="CX2143" s="115" t="e">
        <v>#N/A</v>
      </c>
      <c r="CY2143" s="115" t="e">
        <v>#N/A</v>
      </c>
      <c r="CZ2143" s="137" t="e">
        <v>#N/A</v>
      </c>
      <c r="DA2143">
        <v>0.11332468572476186</v>
      </c>
      <c r="DB2143" t="str">
        <v/>
      </c>
    </row>
    <row r="2144" spans="83:106" x14ac:dyDescent="0.2">
      <c r="CE2144"/>
      <c r="CF2144"/>
      <c r="CG2144"/>
      <c r="CH2144"/>
      <c r="CI2144"/>
      <c r="CU2144" s="42">
        <v>2139</v>
      </c>
      <c r="CV2144" s="115">
        <v>4</v>
      </c>
      <c r="CW2144" s="115">
        <v>0.11332468572476186</v>
      </c>
      <c r="CX2144" s="115" t="e">
        <v>#N/A</v>
      </c>
      <c r="CY2144" s="115" t="e">
        <v>#N/A</v>
      </c>
      <c r="CZ2144" s="137" t="e">
        <v>#N/A</v>
      </c>
      <c r="DA2144">
        <v>0.11332468572476186</v>
      </c>
      <c r="DB2144" t="str">
        <v/>
      </c>
    </row>
    <row r="2145" spans="83:106" x14ac:dyDescent="0.2">
      <c r="CE2145"/>
      <c r="CF2145"/>
      <c r="CG2145"/>
      <c r="CH2145"/>
      <c r="CI2145"/>
      <c r="CU2145" s="42">
        <v>2140</v>
      </c>
      <c r="CV2145" s="115">
        <v>4</v>
      </c>
      <c r="CW2145" s="115">
        <v>0.11332468572476186</v>
      </c>
      <c r="CX2145" s="115" t="e">
        <v>#N/A</v>
      </c>
      <c r="CY2145" s="115" t="e">
        <v>#N/A</v>
      </c>
      <c r="CZ2145" s="137" t="e">
        <v>#N/A</v>
      </c>
      <c r="DA2145">
        <v>0.11332468572476186</v>
      </c>
      <c r="DB2145" t="str">
        <v/>
      </c>
    </row>
    <row r="2146" spans="83:106" x14ac:dyDescent="0.2">
      <c r="CE2146"/>
      <c r="CF2146"/>
      <c r="CG2146"/>
      <c r="CH2146"/>
      <c r="CI2146"/>
      <c r="CU2146" s="42">
        <v>2141</v>
      </c>
      <c r="CV2146" s="115">
        <v>4</v>
      </c>
      <c r="CW2146" s="115">
        <v>0.11332468572476186</v>
      </c>
      <c r="CX2146" s="115" t="e">
        <v>#N/A</v>
      </c>
      <c r="CY2146" s="115" t="e">
        <v>#N/A</v>
      </c>
      <c r="CZ2146" s="137" t="e">
        <v>#N/A</v>
      </c>
      <c r="DA2146">
        <v>0.11332468572476186</v>
      </c>
      <c r="DB2146" t="str">
        <v/>
      </c>
    </row>
    <row r="2147" spans="83:106" x14ac:dyDescent="0.2">
      <c r="CE2147"/>
      <c r="CF2147"/>
      <c r="CG2147"/>
      <c r="CH2147"/>
      <c r="CI2147"/>
      <c r="CU2147" s="42">
        <v>2142</v>
      </c>
      <c r="CV2147" s="115">
        <v>4</v>
      </c>
      <c r="CW2147" s="115">
        <v>0.11332468572476186</v>
      </c>
      <c r="CX2147" s="115" t="e">
        <v>#N/A</v>
      </c>
      <c r="CY2147" s="115" t="e">
        <v>#N/A</v>
      </c>
      <c r="CZ2147" s="137" t="e">
        <v>#N/A</v>
      </c>
      <c r="DA2147">
        <v>0.11332468572476186</v>
      </c>
      <c r="DB2147" t="str">
        <v/>
      </c>
    </row>
    <row r="2148" spans="83:106" x14ac:dyDescent="0.2">
      <c r="CE2148"/>
      <c r="CF2148"/>
      <c r="CG2148"/>
      <c r="CH2148"/>
      <c r="CI2148"/>
      <c r="CU2148" s="42">
        <v>2143</v>
      </c>
      <c r="CV2148" s="115">
        <v>4</v>
      </c>
      <c r="CW2148" s="115">
        <v>0.11332468572476186</v>
      </c>
      <c r="CX2148" s="115" t="e">
        <v>#N/A</v>
      </c>
      <c r="CY2148" s="115" t="e">
        <v>#N/A</v>
      </c>
      <c r="CZ2148" s="137" t="e">
        <v>#N/A</v>
      </c>
      <c r="DA2148">
        <v>0.11332468572476186</v>
      </c>
      <c r="DB2148" t="str">
        <v/>
      </c>
    </row>
    <row r="2149" spans="83:106" x14ac:dyDescent="0.2">
      <c r="CE2149"/>
      <c r="CF2149"/>
      <c r="CG2149"/>
      <c r="CH2149"/>
      <c r="CI2149"/>
      <c r="CU2149" s="42">
        <v>2144</v>
      </c>
      <c r="CV2149" s="115">
        <v>4</v>
      </c>
      <c r="CW2149" s="115">
        <v>0.11332468572476186</v>
      </c>
      <c r="CX2149" s="115" t="e">
        <v>#N/A</v>
      </c>
      <c r="CY2149" s="115" t="e">
        <v>#N/A</v>
      </c>
      <c r="CZ2149" s="137" t="e">
        <v>#N/A</v>
      </c>
      <c r="DA2149">
        <v>0.11332468572476186</v>
      </c>
      <c r="DB2149" t="str">
        <v/>
      </c>
    </row>
    <row r="2150" spans="83:106" x14ac:dyDescent="0.2">
      <c r="CE2150"/>
      <c r="CF2150"/>
      <c r="CG2150"/>
      <c r="CH2150"/>
      <c r="CI2150"/>
      <c r="CU2150" s="42">
        <v>2145</v>
      </c>
      <c r="CV2150" s="115">
        <v>4</v>
      </c>
      <c r="CW2150" s="115">
        <v>0.11332468572476186</v>
      </c>
      <c r="CX2150" s="115" t="e">
        <v>#N/A</v>
      </c>
      <c r="CY2150" s="115" t="e">
        <v>#N/A</v>
      </c>
      <c r="CZ2150" s="137" t="e">
        <v>#N/A</v>
      </c>
      <c r="DA2150">
        <v>0.11332468572476186</v>
      </c>
      <c r="DB2150" t="str">
        <v/>
      </c>
    </row>
    <row r="2151" spans="83:106" x14ac:dyDescent="0.2">
      <c r="CE2151"/>
      <c r="CF2151"/>
      <c r="CG2151"/>
      <c r="CH2151"/>
      <c r="CI2151"/>
      <c r="CU2151" s="42">
        <v>2146</v>
      </c>
      <c r="CV2151" s="115">
        <v>4</v>
      </c>
      <c r="CW2151" s="115">
        <v>0.11332468572476186</v>
      </c>
      <c r="CX2151" s="115" t="e">
        <v>#N/A</v>
      </c>
      <c r="CY2151" s="115" t="e">
        <v>#N/A</v>
      </c>
      <c r="CZ2151" s="137" t="e">
        <v>#N/A</v>
      </c>
      <c r="DA2151">
        <v>0.11332468572476186</v>
      </c>
      <c r="DB2151" t="str">
        <v/>
      </c>
    </row>
    <row r="2152" spans="83:106" x14ac:dyDescent="0.2">
      <c r="CE2152"/>
      <c r="CF2152"/>
      <c r="CG2152"/>
      <c r="CH2152"/>
      <c r="CI2152"/>
      <c r="CU2152" s="42">
        <v>2147</v>
      </c>
      <c r="CV2152" s="115">
        <v>4</v>
      </c>
      <c r="CW2152" s="115">
        <v>0.11332468572476186</v>
      </c>
      <c r="CX2152" s="115" t="e">
        <v>#N/A</v>
      </c>
      <c r="CY2152" s="115" t="e">
        <v>#N/A</v>
      </c>
      <c r="CZ2152" s="137" t="e">
        <v>#N/A</v>
      </c>
      <c r="DA2152">
        <v>0.11332468572476186</v>
      </c>
      <c r="DB2152" t="str">
        <v/>
      </c>
    </row>
    <row r="2153" spans="83:106" x14ac:dyDescent="0.2">
      <c r="CE2153"/>
      <c r="CF2153"/>
      <c r="CG2153"/>
      <c r="CH2153"/>
      <c r="CI2153"/>
      <c r="CU2153" s="42">
        <v>2148</v>
      </c>
      <c r="CV2153" s="115">
        <v>4</v>
      </c>
      <c r="CW2153" s="115">
        <v>0.11332468572476186</v>
      </c>
      <c r="CX2153" s="115" t="e">
        <v>#N/A</v>
      </c>
      <c r="CY2153" s="115" t="e">
        <v>#N/A</v>
      </c>
      <c r="CZ2153" s="137" t="e">
        <v>#N/A</v>
      </c>
      <c r="DA2153">
        <v>0.11332468572476186</v>
      </c>
      <c r="DB2153" t="str">
        <v/>
      </c>
    </row>
    <row r="2154" spans="83:106" x14ac:dyDescent="0.2">
      <c r="CE2154"/>
      <c r="CF2154"/>
      <c r="CG2154"/>
      <c r="CH2154"/>
      <c r="CI2154"/>
      <c r="CU2154" s="42">
        <v>2149</v>
      </c>
      <c r="CV2154" s="115">
        <v>4</v>
      </c>
      <c r="CW2154" s="115">
        <v>0.11332468572476186</v>
      </c>
      <c r="CX2154" s="115" t="e">
        <v>#N/A</v>
      </c>
      <c r="CY2154" s="115" t="e">
        <v>#N/A</v>
      </c>
      <c r="CZ2154" s="137" t="e">
        <v>#N/A</v>
      </c>
      <c r="DA2154">
        <v>0.11332468572476186</v>
      </c>
      <c r="DB2154" t="str">
        <v/>
      </c>
    </row>
    <row r="2155" spans="83:106" x14ac:dyDescent="0.2">
      <c r="CE2155"/>
      <c r="CF2155"/>
      <c r="CG2155"/>
      <c r="CH2155"/>
      <c r="CI2155"/>
      <c r="CU2155" s="42">
        <v>2150</v>
      </c>
      <c r="CV2155" s="115">
        <v>4</v>
      </c>
      <c r="CW2155" s="115">
        <v>0.11332468572476186</v>
      </c>
      <c r="CX2155" s="115" t="e">
        <v>#N/A</v>
      </c>
      <c r="CY2155" s="115" t="e">
        <v>#N/A</v>
      </c>
      <c r="CZ2155" s="137" t="e">
        <v>#N/A</v>
      </c>
      <c r="DA2155">
        <v>0.11332468572476186</v>
      </c>
      <c r="DB2155" t="str">
        <v/>
      </c>
    </row>
    <row r="2156" spans="83:106" x14ac:dyDescent="0.2">
      <c r="CE2156"/>
      <c r="CF2156"/>
      <c r="CG2156"/>
      <c r="CH2156"/>
      <c r="CI2156"/>
      <c r="CU2156" s="42">
        <v>2151</v>
      </c>
      <c r="CV2156" s="115">
        <v>4</v>
      </c>
      <c r="CW2156" s="115">
        <v>0.11332468572476186</v>
      </c>
      <c r="CX2156" s="115" t="e">
        <v>#N/A</v>
      </c>
      <c r="CY2156" s="115" t="e">
        <v>#N/A</v>
      </c>
      <c r="CZ2156" s="137" t="e">
        <v>#N/A</v>
      </c>
      <c r="DA2156">
        <v>0.11332468572476186</v>
      </c>
      <c r="DB2156" t="str">
        <v/>
      </c>
    </row>
    <row r="2157" spans="83:106" x14ac:dyDescent="0.2">
      <c r="CE2157"/>
      <c r="CF2157"/>
      <c r="CG2157"/>
      <c r="CH2157"/>
      <c r="CI2157"/>
      <c r="CU2157" s="42">
        <v>2152</v>
      </c>
      <c r="CV2157" s="115">
        <v>4</v>
      </c>
      <c r="CW2157" s="115">
        <v>0.11332468572476186</v>
      </c>
      <c r="CX2157" s="115" t="e">
        <v>#N/A</v>
      </c>
      <c r="CY2157" s="115" t="e">
        <v>#N/A</v>
      </c>
      <c r="CZ2157" s="137" t="e">
        <v>#N/A</v>
      </c>
      <c r="DA2157">
        <v>0.11332468572476186</v>
      </c>
      <c r="DB2157" t="str">
        <v/>
      </c>
    </row>
    <row r="2158" spans="83:106" x14ac:dyDescent="0.2">
      <c r="CE2158"/>
      <c r="CF2158"/>
      <c r="CG2158"/>
      <c r="CH2158"/>
      <c r="CI2158"/>
      <c r="CU2158" s="42">
        <v>2153</v>
      </c>
      <c r="CV2158" s="115">
        <v>4</v>
      </c>
      <c r="CW2158" s="115">
        <v>0.11332468572476186</v>
      </c>
      <c r="CX2158" s="115" t="e">
        <v>#N/A</v>
      </c>
      <c r="CY2158" s="115" t="e">
        <v>#N/A</v>
      </c>
      <c r="CZ2158" s="137" t="e">
        <v>#N/A</v>
      </c>
      <c r="DA2158">
        <v>0.11332468572476186</v>
      </c>
      <c r="DB2158" t="str">
        <v/>
      </c>
    </row>
    <row r="2159" spans="83:106" x14ac:dyDescent="0.2">
      <c r="CE2159"/>
      <c r="CF2159"/>
      <c r="CG2159"/>
      <c r="CH2159"/>
      <c r="CI2159"/>
      <c r="CU2159" s="42">
        <v>2154</v>
      </c>
      <c r="CV2159" s="115">
        <v>4</v>
      </c>
      <c r="CW2159" s="115">
        <v>0.11332468572476186</v>
      </c>
      <c r="CX2159" s="115" t="e">
        <v>#N/A</v>
      </c>
      <c r="CY2159" s="115" t="e">
        <v>#N/A</v>
      </c>
      <c r="CZ2159" s="137" t="e">
        <v>#N/A</v>
      </c>
      <c r="DA2159">
        <v>0.11332468572476186</v>
      </c>
      <c r="DB2159" t="str">
        <v/>
      </c>
    </row>
    <row r="2160" spans="83:106" x14ac:dyDescent="0.2">
      <c r="CE2160"/>
      <c r="CF2160"/>
      <c r="CG2160"/>
      <c r="CH2160"/>
      <c r="CI2160"/>
      <c r="CU2160" s="42">
        <v>2155</v>
      </c>
      <c r="CV2160" s="115">
        <v>4</v>
      </c>
      <c r="CW2160" s="115">
        <v>0.11332468572476186</v>
      </c>
      <c r="CX2160" s="115" t="e">
        <v>#N/A</v>
      </c>
      <c r="CY2160" s="115" t="e">
        <v>#N/A</v>
      </c>
      <c r="CZ2160" s="137" t="e">
        <v>#N/A</v>
      </c>
      <c r="DA2160">
        <v>0.11332468572476186</v>
      </c>
      <c r="DB2160" t="str">
        <v/>
      </c>
    </row>
    <row r="2161" spans="83:106" x14ac:dyDescent="0.2">
      <c r="CE2161"/>
      <c r="CF2161"/>
      <c r="CG2161"/>
      <c r="CH2161"/>
      <c r="CI2161"/>
      <c r="CU2161" s="42">
        <v>2156</v>
      </c>
      <c r="CV2161" s="115">
        <v>4</v>
      </c>
      <c r="CW2161" s="115">
        <v>0.11332468572476186</v>
      </c>
      <c r="CX2161" s="115" t="e">
        <v>#N/A</v>
      </c>
      <c r="CY2161" s="115" t="e">
        <v>#N/A</v>
      </c>
      <c r="CZ2161" s="137" t="e">
        <v>#N/A</v>
      </c>
      <c r="DA2161">
        <v>0.11332468572476186</v>
      </c>
      <c r="DB2161" t="str">
        <v/>
      </c>
    </row>
    <row r="2162" spans="83:106" x14ac:dyDescent="0.2">
      <c r="CE2162"/>
      <c r="CF2162"/>
      <c r="CG2162"/>
      <c r="CH2162"/>
      <c r="CI2162"/>
      <c r="CU2162" s="42">
        <v>2157</v>
      </c>
      <c r="CV2162" s="115">
        <v>4</v>
      </c>
      <c r="CW2162" s="115">
        <v>0.11332468572476186</v>
      </c>
      <c r="CX2162" s="115" t="e">
        <v>#N/A</v>
      </c>
      <c r="CY2162" s="115" t="e">
        <v>#N/A</v>
      </c>
      <c r="CZ2162" s="137" t="e">
        <v>#N/A</v>
      </c>
      <c r="DA2162">
        <v>0.11332468572476186</v>
      </c>
      <c r="DB2162" t="str">
        <v/>
      </c>
    </row>
    <row r="2163" spans="83:106" x14ac:dyDescent="0.2">
      <c r="CE2163"/>
      <c r="CF2163"/>
      <c r="CG2163"/>
      <c r="CH2163"/>
      <c r="CI2163"/>
      <c r="CU2163" s="42">
        <v>2158</v>
      </c>
      <c r="CV2163" s="115">
        <v>4</v>
      </c>
      <c r="CW2163" s="115">
        <v>0.11332468572476186</v>
      </c>
      <c r="CX2163" s="115" t="e">
        <v>#N/A</v>
      </c>
      <c r="CY2163" s="115" t="e">
        <v>#N/A</v>
      </c>
      <c r="CZ2163" s="137" t="e">
        <v>#N/A</v>
      </c>
      <c r="DA2163">
        <v>0.11332468572476186</v>
      </c>
      <c r="DB2163" t="str">
        <v/>
      </c>
    </row>
    <row r="2164" spans="83:106" x14ac:dyDescent="0.2">
      <c r="CE2164"/>
      <c r="CF2164"/>
      <c r="CG2164"/>
      <c r="CH2164"/>
      <c r="CI2164"/>
      <c r="CU2164" s="42">
        <v>2159</v>
      </c>
      <c r="CV2164" s="115">
        <v>4</v>
      </c>
      <c r="CW2164" s="115">
        <v>0.11332468572476186</v>
      </c>
      <c r="CX2164" s="115" t="e">
        <v>#N/A</v>
      </c>
      <c r="CY2164" s="115" t="e">
        <v>#N/A</v>
      </c>
      <c r="CZ2164" s="137" t="e">
        <v>#N/A</v>
      </c>
      <c r="DA2164">
        <v>0.11332468572476186</v>
      </c>
      <c r="DB2164" t="str">
        <v/>
      </c>
    </row>
    <row r="2165" spans="83:106" x14ac:dyDescent="0.2">
      <c r="CE2165"/>
      <c r="CF2165"/>
      <c r="CG2165"/>
      <c r="CH2165"/>
      <c r="CI2165"/>
      <c r="CU2165" s="42">
        <v>2160</v>
      </c>
      <c r="CV2165" s="115">
        <v>4</v>
      </c>
      <c r="CW2165" s="115">
        <v>0.11332468572476186</v>
      </c>
      <c r="CX2165" s="115" t="e">
        <v>#N/A</v>
      </c>
      <c r="CY2165" s="115" t="e">
        <v>#N/A</v>
      </c>
      <c r="CZ2165" s="137" t="e">
        <v>#N/A</v>
      </c>
      <c r="DA2165">
        <v>0.11332468572476186</v>
      </c>
      <c r="DB2165" t="str">
        <v/>
      </c>
    </row>
    <row r="2166" spans="83:106" x14ac:dyDescent="0.2">
      <c r="CE2166"/>
      <c r="CF2166"/>
      <c r="CG2166"/>
      <c r="CH2166"/>
      <c r="CI2166"/>
      <c r="CU2166" s="42">
        <v>2161</v>
      </c>
      <c r="CV2166" s="115">
        <v>4</v>
      </c>
      <c r="CW2166" s="115">
        <v>0.11332468572476186</v>
      </c>
      <c r="CX2166" s="115" t="e">
        <v>#N/A</v>
      </c>
      <c r="CY2166" s="115" t="e">
        <v>#N/A</v>
      </c>
      <c r="CZ2166" s="137" t="e">
        <v>#N/A</v>
      </c>
      <c r="DA2166">
        <v>0.11332468572476186</v>
      </c>
      <c r="DB2166" t="str">
        <v/>
      </c>
    </row>
    <row r="2167" spans="83:106" x14ac:dyDescent="0.2">
      <c r="CE2167"/>
      <c r="CF2167"/>
      <c r="CG2167"/>
      <c r="CH2167"/>
      <c r="CI2167"/>
      <c r="CU2167" s="42">
        <v>2162</v>
      </c>
      <c r="CV2167" s="115">
        <v>4</v>
      </c>
      <c r="CW2167" s="115">
        <v>0.11332468572476186</v>
      </c>
      <c r="CX2167" s="115" t="e">
        <v>#N/A</v>
      </c>
      <c r="CY2167" s="115" t="e">
        <v>#N/A</v>
      </c>
      <c r="CZ2167" s="137" t="e">
        <v>#N/A</v>
      </c>
      <c r="DA2167">
        <v>0.11332468572476186</v>
      </c>
      <c r="DB2167" t="str">
        <v/>
      </c>
    </row>
    <row r="2168" spans="83:106" x14ac:dyDescent="0.2">
      <c r="CE2168"/>
      <c r="CF2168"/>
      <c r="CG2168"/>
      <c r="CH2168"/>
      <c r="CI2168"/>
      <c r="CU2168" s="42">
        <v>2163</v>
      </c>
      <c r="CV2168" s="115">
        <v>4</v>
      </c>
      <c r="CW2168" s="115">
        <v>0.11332468572476186</v>
      </c>
      <c r="CX2168" s="115" t="e">
        <v>#N/A</v>
      </c>
      <c r="CY2168" s="115" t="e">
        <v>#N/A</v>
      </c>
      <c r="CZ2168" s="137" t="e">
        <v>#N/A</v>
      </c>
      <c r="DA2168">
        <v>0.11332468572476186</v>
      </c>
      <c r="DB2168" t="str">
        <v/>
      </c>
    </row>
    <row r="2169" spans="83:106" x14ac:dyDescent="0.2">
      <c r="CE2169"/>
      <c r="CF2169"/>
      <c r="CG2169"/>
      <c r="CH2169"/>
      <c r="CI2169"/>
      <c r="CU2169" s="42">
        <v>2164</v>
      </c>
      <c r="CV2169" s="115">
        <v>4</v>
      </c>
      <c r="CW2169" s="115">
        <v>0.11332468572476186</v>
      </c>
      <c r="CX2169" s="115" t="e">
        <v>#N/A</v>
      </c>
      <c r="CY2169" s="115" t="e">
        <v>#N/A</v>
      </c>
      <c r="CZ2169" s="137" t="e">
        <v>#N/A</v>
      </c>
      <c r="DA2169">
        <v>0.11332468572476186</v>
      </c>
      <c r="DB2169" t="str">
        <v/>
      </c>
    </row>
    <row r="2170" spans="83:106" x14ac:dyDescent="0.2">
      <c r="CE2170"/>
      <c r="CF2170"/>
      <c r="CG2170"/>
      <c r="CH2170"/>
      <c r="CI2170"/>
      <c r="CU2170" s="42">
        <v>2165</v>
      </c>
      <c r="CV2170" s="115">
        <v>4</v>
      </c>
      <c r="CW2170" s="115">
        <v>0.11332468572476186</v>
      </c>
      <c r="CX2170" s="115" t="e">
        <v>#N/A</v>
      </c>
      <c r="CY2170" s="115" t="e">
        <v>#N/A</v>
      </c>
      <c r="CZ2170" s="137" t="e">
        <v>#N/A</v>
      </c>
      <c r="DA2170">
        <v>0.11332468572476186</v>
      </c>
      <c r="DB2170" t="str">
        <v/>
      </c>
    </row>
    <row r="2171" spans="83:106" x14ac:dyDescent="0.2">
      <c r="CE2171"/>
      <c r="CF2171"/>
      <c r="CG2171"/>
      <c r="CH2171"/>
      <c r="CI2171"/>
      <c r="CU2171" s="42">
        <v>2166</v>
      </c>
      <c r="CV2171" s="115">
        <v>4</v>
      </c>
      <c r="CW2171" s="115">
        <v>0.11332468572476186</v>
      </c>
      <c r="CX2171" s="115" t="e">
        <v>#N/A</v>
      </c>
      <c r="CY2171" s="115" t="e">
        <v>#N/A</v>
      </c>
      <c r="CZ2171" s="137" t="e">
        <v>#N/A</v>
      </c>
      <c r="DA2171">
        <v>0.11332468572476186</v>
      </c>
      <c r="DB2171" t="str">
        <v/>
      </c>
    </row>
    <row r="2172" spans="83:106" x14ac:dyDescent="0.2">
      <c r="CE2172"/>
      <c r="CF2172"/>
      <c r="CG2172"/>
      <c r="CH2172"/>
      <c r="CI2172"/>
      <c r="CU2172" s="42">
        <v>2167</v>
      </c>
      <c r="CV2172" s="115">
        <v>4</v>
      </c>
      <c r="CW2172" s="115">
        <v>0.11332468572476186</v>
      </c>
      <c r="CX2172" s="115" t="e">
        <v>#N/A</v>
      </c>
      <c r="CY2172" s="115" t="e">
        <v>#N/A</v>
      </c>
      <c r="CZ2172" s="137" t="e">
        <v>#N/A</v>
      </c>
      <c r="DA2172">
        <v>0.11332468572476186</v>
      </c>
      <c r="DB2172" t="str">
        <v/>
      </c>
    </row>
    <row r="2173" spans="83:106" x14ac:dyDescent="0.2">
      <c r="CE2173"/>
      <c r="CF2173"/>
      <c r="CG2173"/>
      <c r="CH2173"/>
      <c r="CI2173"/>
      <c r="CU2173" s="42">
        <v>2168</v>
      </c>
      <c r="CV2173" s="115">
        <v>4</v>
      </c>
      <c r="CW2173" s="115">
        <v>0.11332468572476186</v>
      </c>
      <c r="CX2173" s="115" t="e">
        <v>#N/A</v>
      </c>
      <c r="CY2173" s="115" t="e">
        <v>#N/A</v>
      </c>
      <c r="CZ2173" s="137" t="e">
        <v>#N/A</v>
      </c>
      <c r="DA2173">
        <v>0.11332468572476186</v>
      </c>
      <c r="DB2173" t="str">
        <v/>
      </c>
    </row>
    <row r="2174" spans="83:106" x14ac:dyDescent="0.2">
      <c r="CE2174"/>
      <c r="CF2174"/>
      <c r="CG2174"/>
      <c r="CH2174"/>
      <c r="CI2174"/>
      <c r="CU2174" s="42">
        <v>2169</v>
      </c>
      <c r="CV2174" s="115">
        <v>4</v>
      </c>
      <c r="CW2174" s="115">
        <v>0.11332468572476186</v>
      </c>
      <c r="CX2174" s="115" t="e">
        <v>#N/A</v>
      </c>
      <c r="CY2174" s="115" t="e">
        <v>#N/A</v>
      </c>
      <c r="CZ2174" s="137" t="e">
        <v>#N/A</v>
      </c>
      <c r="DA2174">
        <v>0.11332468572476186</v>
      </c>
      <c r="DB2174" t="str">
        <v/>
      </c>
    </row>
    <row r="2175" spans="83:106" x14ac:dyDescent="0.2">
      <c r="CE2175"/>
      <c r="CF2175"/>
      <c r="CG2175"/>
      <c r="CH2175"/>
      <c r="CI2175"/>
      <c r="CU2175" s="42">
        <v>2170</v>
      </c>
      <c r="CV2175" s="115">
        <v>4</v>
      </c>
      <c r="CW2175" s="115">
        <v>0.11332468572476186</v>
      </c>
      <c r="CX2175" s="115" t="e">
        <v>#N/A</v>
      </c>
      <c r="CY2175" s="115" t="e">
        <v>#N/A</v>
      </c>
      <c r="CZ2175" s="137" t="e">
        <v>#N/A</v>
      </c>
      <c r="DA2175">
        <v>0.11332468572476186</v>
      </c>
      <c r="DB2175" t="str">
        <v/>
      </c>
    </row>
    <row r="2176" spans="83:106" x14ac:dyDescent="0.2">
      <c r="CE2176"/>
      <c r="CF2176"/>
      <c r="CG2176"/>
      <c r="CH2176"/>
      <c r="CI2176"/>
      <c r="CU2176" s="42">
        <v>2171</v>
      </c>
      <c r="CV2176" s="115">
        <v>4</v>
      </c>
      <c r="CW2176" s="115">
        <v>0.11332468572476186</v>
      </c>
      <c r="CX2176" s="115" t="e">
        <v>#N/A</v>
      </c>
      <c r="CY2176" s="115" t="e">
        <v>#N/A</v>
      </c>
      <c r="CZ2176" s="137" t="e">
        <v>#N/A</v>
      </c>
      <c r="DA2176">
        <v>0.11332468572476186</v>
      </c>
      <c r="DB2176" t="str">
        <v/>
      </c>
    </row>
    <row r="2177" spans="83:106" x14ac:dyDescent="0.2">
      <c r="CE2177"/>
      <c r="CF2177"/>
      <c r="CG2177"/>
      <c r="CH2177"/>
      <c r="CI2177"/>
      <c r="CU2177" s="42">
        <v>2172</v>
      </c>
      <c r="CV2177" s="115">
        <v>4</v>
      </c>
      <c r="CW2177" s="115">
        <v>0.11332468572476186</v>
      </c>
      <c r="CX2177" s="115" t="e">
        <v>#N/A</v>
      </c>
      <c r="CY2177" s="115" t="e">
        <v>#N/A</v>
      </c>
      <c r="CZ2177" s="137" t="e">
        <v>#N/A</v>
      </c>
      <c r="DA2177">
        <v>0.11332468572476186</v>
      </c>
      <c r="DB2177" t="str">
        <v/>
      </c>
    </row>
    <row r="2178" spans="83:106" x14ac:dyDescent="0.2">
      <c r="CE2178"/>
      <c r="CF2178"/>
      <c r="CG2178"/>
      <c r="CH2178"/>
      <c r="CI2178"/>
      <c r="CU2178" s="42">
        <v>2173</v>
      </c>
      <c r="CV2178" s="115">
        <v>4</v>
      </c>
      <c r="CW2178" s="115">
        <v>0.11332468572476186</v>
      </c>
      <c r="CX2178" s="115" t="e">
        <v>#N/A</v>
      </c>
      <c r="CY2178" s="115" t="e">
        <v>#N/A</v>
      </c>
      <c r="CZ2178" s="137" t="e">
        <v>#N/A</v>
      </c>
      <c r="DA2178">
        <v>0.11332468572476186</v>
      </c>
      <c r="DB2178" t="str">
        <v/>
      </c>
    </row>
    <row r="2179" spans="83:106" x14ac:dyDescent="0.2">
      <c r="CE2179"/>
      <c r="CF2179"/>
      <c r="CG2179"/>
      <c r="CH2179"/>
      <c r="CI2179"/>
      <c r="CU2179" s="42">
        <v>2174</v>
      </c>
      <c r="CV2179" s="115">
        <v>4</v>
      </c>
      <c r="CW2179" s="115">
        <v>0.11332468572476186</v>
      </c>
      <c r="CX2179" s="115" t="e">
        <v>#N/A</v>
      </c>
      <c r="CY2179" s="115" t="e">
        <v>#N/A</v>
      </c>
      <c r="CZ2179" s="137" t="e">
        <v>#N/A</v>
      </c>
      <c r="DA2179">
        <v>0.11332468572476186</v>
      </c>
      <c r="DB2179" t="str">
        <v/>
      </c>
    </row>
    <row r="2180" spans="83:106" x14ac:dyDescent="0.2">
      <c r="CE2180"/>
      <c r="CF2180"/>
      <c r="CG2180"/>
      <c r="CH2180"/>
      <c r="CI2180"/>
      <c r="CU2180" s="42">
        <v>2175</v>
      </c>
      <c r="CV2180" s="115">
        <v>4</v>
      </c>
      <c r="CW2180" s="115">
        <v>0.11332468572476186</v>
      </c>
      <c r="CX2180" s="115" t="e">
        <v>#N/A</v>
      </c>
      <c r="CY2180" s="115" t="e">
        <v>#N/A</v>
      </c>
      <c r="CZ2180" s="137" t="e">
        <v>#N/A</v>
      </c>
      <c r="DA2180">
        <v>0.11332468572476186</v>
      </c>
      <c r="DB2180" t="str">
        <v/>
      </c>
    </row>
    <row r="2181" spans="83:106" x14ac:dyDescent="0.2">
      <c r="CE2181"/>
      <c r="CF2181"/>
      <c r="CG2181"/>
      <c r="CH2181"/>
      <c r="CI2181"/>
      <c r="CU2181" s="42">
        <v>2176</v>
      </c>
      <c r="CV2181" s="115">
        <v>4</v>
      </c>
      <c r="CW2181" s="115">
        <v>0.11332468572476186</v>
      </c>
      <c r="CX2181" s="115" t="e">
        <v>#N/A</v>
      </c>
      <c r="CY2181" s="115" t="e">
        <v>#N/A</v>
      </c>
      <c r="CZ2181" s="137" t="e">
        <v>#N/A</v>
      </c>
      <c r="DA2181">
        <v>0.11332468572476186</v>
      </c>
      <c r="DB2181" t="str">
        <v/>
      </c>
    </row>
    <row r="2182" spans="83:106" x14ac:dyDescent="0.2">
      <c r="CE2182"/>
      <c r="CF2182"/>
      <c r="CG2182"/>
      <c r="CH2182"/>
      <c r="CI2182"/>
      <c r="CU2182" s="42">
        <v>2177</v>
      </c>
      <c r="CV2182" s="115">
        <v>4</v>
      </c>
      <c r="CW2182" s="115">
        <v>0.11332468572476186</v>
      </c>
      <c r="CX2182" s="115" t="e">
        <v>#N/A</v>
      </c>
      <c r="CY2182" s="115" t="e">
        <v>#N/A</v>
      </c>
      <c r="CZ2182" s="137" t="e">
        <v>#N/A</v>
      </c>
      <c r="DA2182">
        <v>0.11332468572476186</v>
      </c>
      <c r="DB2182" t="str">
        <v/>
      </c>
    </row>
    <row r="2183" spans="83:106" x14ac:dyDescent="0.2">
      <c r="CE2183"/>
      <c r="CF2183"/>
      <c r="CG2183"/>
      <c r="CH2183"/>
      <c r="CI2183"/>
      <c r="CU2183" s="42">
        <v>2178</v>
      </c>
      <c r="CV2183" s="115">
        <v>4</v>
      </c>
      <c r="CW2183" s="115">
        <v>0.11332468572476186</v>
      </c>
      <c r="CX2183" s="115" t="e">
        <v>#N/A</v>
      </c>
      <c r="CY2183" s="115" t="e">
        <v>#N/A</v>
      </c>
      <c r="CZ2183" s="137" t="e">
        <v>#N/A</v>
      </c>
      <c r="DA2183">
        <v>0.11332468572476186</v>
      </c>
      <c r="DB2183" t="str">
        <v/>
      </c>
    </row>
    <row r="2184" spans="83:106" x14ac:dyDescent="0.2">
      <c r="CE2184"/>
      <c r="CF2184"/>
      <c r="CG2184"/>
      <c r="CH2184"/>
      <c r="CI2184"/>
      <c r="CU2184" s="42">
        <v>2179</v>
      </c>
      <c r="CV2184" s="115">
        <v>4</v>
      </c>
      <c r="CW2184" s="115">
        <v>0.11332468572476186</v>
      </c>
      <c r="CX2184" s="115" t="e">
        <v>#N/A</v>
      </c>
      <c r="CY2184" s="115" t="e">
        <v>#N/A</v>
      </c>
      <c r="CZ2184" s="137" t="e">
        <v>#N/A</v>
      </c>
      <c r="DA2184">
        <v>0.11332468572476186</v>
      </c>
      <c r="DB2184" t="str">
        <v/>
      </c>
    </row>
    <row r="2185" spans="83:106" x14ac:dyDescent="0.2">
      <c r="CE2185"/>
      <c r="CF2185"/>
      <c r="CG2185"/>
      <c r="CH2185"/>
      <c r="CI2185"/>
      <c r="CU2185" s="42">
        <v>2180</v>
      </c>
      <c r="CV2185" s="115">
        <v>4</v>
      </c>
      <c r="CW2185" s="115">
        <v>0.11332468572476186</v>
      </c>
      <c r="CX2185" s="115" t="e">
        <v>#N/A</v>
      </c>
      <c r="CY2185" s="115" t="e">
        <v>#N/A</v>
      </c>
      <c r="CZ2185" s="137" t="e">
        <v>#N/A</v>
      </c>
      <c r="DA2185">
        <v>0.11332468572476186</v>
      </c>
      <c r="DB2185" t="str">
        <v/>
      </c>
    </row>
    <row r="2186" spans="83:106" x14ac:dyDescent="0.2">
      <c r="CE2186"/>
      <c r="CF2186"/>
      <c r="CG2186"/>
      <c r="CH2186"/>
      <c r="CI2186"/>
      <c r="CU2186" s="42">
        <v>2181</v>
      </c>
      <c r="CV2186" s="115">
        <v>4</v>
      </c>
      <c r="CW2186" s="115">
        <v>0.11332468572476186</v>
      </c>
      <c r="CX2186" s="115" t="e">
        <v>#N/A</v>
      </c>
      <c r="CY2186" s="115" t="e">
        <v>#N/A</v>
      </c>
      <c r="CZ2186" s="137" t="e">
        <v>#N/A</v>
      </c>
      <c r="DA2186">
        <v>0.11332468572476186</v>
      </c>
      <c r="DB2186" t="str">
        <v/>
      </c>
    </row>
    <row r="2187" spans="83:106" x14ac:dyDescent="0.2">
      <c r="CE2187"/>
      <c r="CF2187"/>
      <c r="CG2187"/>
      <c r="CH2187"/>
      <c r="CI2187"/>
      <c r="CU2187" s="42">
        <v>2182</v>
      </c>
      <c r="CV2187" s="115">
        <v>4</v>
      </c>
      <c r="CW2187" s="115">
        <v>0.11332468572476186</v>
      </c>
      <c r="CX2187" s="115" t="e">
        <v>#N/A</v>
      </c>
      <c r="CY2187" s="115" t="e">
        <v>#N/A</v>
      </c>
      <c r="CZ2187" s="137" t="e">
        <v>#N/A</v>
      </c>
      <c r="DA2187">
        <v>0.11332468572476186</v>
      </c>
      <c r="DB2187" t="str">
        <v/>
      </c>
    </row>
    <row r="2188" spans="83:106" x14ac:dyDescent="0.2">
      <c r="CE2188"/>
      <c r="CF2188"/>
      <c r="CG2188"/>
      <c r="CH2188"/>
      <c r="CI2188"/>
      <c r="CU2188" s="42">
        <v>2183</v>
      </c>
      <c r="CV2188" s="115">
        <v>4</v>
      </c>
      <c r="CW2188" s="115">
        <v>0.11332468572476186</v>
      </c>
      <c r="CX2188" s="115" t="e">
        <v>#N/A</v>
      </c>
      <c r="CY2188" s="115" t="e">
        <v>#N/A</v>
      </c>
      <c r="CZ2188" s="137" t="e">
        <v>#N/A</v>
      </c>
      <c r="DA2188">
        <v>0.11332468572476186</v>
      </c>
      <c r="DB2188" t="str">
        <v/>
      </c>
    </row>
    <row r="2189" spans="83:106" x14ac:dyDescent="0.2">
      <c r="CE2189"/>
      <c r="CF2189"/>
      <c r="CG2189"/>
      <c r="CH2189"/>
      <c r="CI2189"/>
      <c r="CU2189" s="42">
        <v>2184</v>
      </c>
      <c r="CV2189" s="115">
        <v>4</v>
      </c>
      <c r="CW2189" s="115">
        <v>0.11332468572476186</v>
      </c>
      <c r="CX2189" s="115" t="e">
        <v>#N/A</v>
      </c>
      <c r="CY2189" s="115" t="e">
        <v>#N/A</v>
      </c>
      <c r="CZ2189" s="137" t="e">
        <v>#N/A</v>
      </c>
      <c r="DA2189">
        <v>0.11332468572476186</v>
      </c>
      <c r="DB2189" t="str">
        <v/>
      </c>
    </row>
    <row r="2190" spans="83:106" x14ac:dyDescent="0.2">
      <c r="CE2190"/>
      <c r="CF2190"/>
      <c r="CG2190"/>
      <c r="CH2190"/>
      <c r="CI2190"/>
      <c r="CU2190" s="42">
        <v>2185</v>
      </c>
      <c r="CV2190" s="115">
        <v>4</v>
      </c>
      <c r="CW2190" s="115">
        <v>0.11332468572476186</v>
      </c>
      <c r="CX2190" s="115" t="e">
        <v>#N/A</v>
      </c>
      <c r="CY2190" s="115" t="e">
        <v>#N/A</v>
      </c>
      <c r="CZ2190" s="137" t="e">
        <v>#N/A</v>
      </c>
      <c r="DA2190">
        <v>0.11332468572476186</v>
      </c>
      <c r="DB2190" t="str">
        <v/>
      </c>
    </row>
    <row r="2191" spans="83:106" x14ac:dyDescent="0.2">
      <c r="CE2191"/>
      <c r="CF2191"/>
      <c r="CG2191"/>
      <c r="CH2191"/>
      <c r="CI2191"/>
      <c r="CU2191" s="42">
        <v>2186</v>
      </c>
      <c r="CV2191" s="115">
        <v>4</v>
      </c>
      <c r="CW2191" s="115">
        <v>0.11332468572476186</v>
      </c>
      <c r="CX2191" s="115" t="e">
        <v>#N/A</v>
      </c>
      <c r="CY2191" s="115" t="e">
        <v>#N/A</v>
      </c>
      <c r="CZ2191" s="137" t="e">
        <v>#N/A</v>
      </c>
      <c r="DA2191">
        <v>0.11332468572476186</v>
      </c>
      <c r="DB2191" t="str">
        <v/>
      </c>
    </row>
    <row r="2192" spans="83:106" x14ac:dyDescent="0.2">
      <c r="CE2192"/>
      <c r="CF2192"/>
      <c r="CG2192"/>
      <c r="CH2192"/>
      <c r="CI2192"/>
      <c r="CU2192" s="42">
        <v>2187</v>
      </c>
      <c r="CV2192" s="115">
        <v>4</v>
      </c>
      <c r="CW2192" s="115">
        <v>0.11332468572476186</v>
      </c>
      <c r="CX2192" s="115" t="e">
        <v>#N/A</v>
      </c>
      <c r="CY2192" s="115" t="e">
        <v>#N/A</v>
      </c>
      <c r="CZ2192" s="137" t="e">
        <v>#N/A</v>
      </c>
      <c r="DA2192">
        <v>0.11332468572476186</v>
      </c>
      <c r="DB2192" t="str">
        <v/>
      </c>
    </row>
    <row r="2193" spans="83:106" x14ac:dyDescent="0.2">
      <c r="CE2193"/>
      <c r="CF2193"/>
      <c r="CG2193"/>
      <c r="CH2193"/>
      <c r="CI2193"/>
      <c r="CU2193" s="42">
        <v>2188</v>
      </c>
      <c r="CV2193" s="115">
        <v>4</v>
      </c>
      <c r="CW2193" s="115">
        <v>0.11332468572476186</v>
      </c>
      <c r="CX2193" s="115" t="e">
        <v>#N/A</v>
      </c>
      <c r="CY2193" s="115" t="e">
        <v>#N/A</v>
      </c>
      <c r="CZ2193" s="137" t="e">
        <v>#N/A</v>
      </c>
      <c r="DA2193">
        <v>0.11332468572476186</v>
      </c>
      <c r="DB2193" t="str">
        <v/>
      </c>
    </row>
    <row r="2194" spans="83:106" x14ac:dyDescent="0.2">
      <c r="CE2194"/>
      <c r="CF2194"/>
      <c r="CG2194"/>
      <c r="CH2194"/>
      <c r="CI2194"/>
      <c r="CU2194" s="42">
        <v>2189</v>
      </c>
      <c r="CV2194" s="115">
        <v>4</v>
      </c>
      <c r="CW2194" s="115">
        <v>0.11332468572476186</v>
      </c>
      <c r="CX2194" s="115" t="e">
        <v>#N/A</v>
      </c>
      <c r="CY2194" s="115" t="e">
        <v>#N/A</v>
      </c>
      <c r="CZ2194" s="137" t="e">
        <v>#N/A</v>
      </c>
      <c r="DA2194">
        <v>0.11332468572476186</v>
      </c>
      <c r="DB2194" t="str">
        <v/>
      </c>
    </row>
    <row r="2195" spans="83:106" x14ac:dyDescent="0.2">
      <c r="CE2195"/>
      <c r="CF2195"/>
      <c r="CG2195"/>
      <c r="CH2195"/>
      <c r="CI2195"/>
      <c r="CU2195" s="42">
        <v>2190</v>
      </c>
      <c r="CV2195" s="115">
        <v>4</v>
      </c>
      <c r="CW2195" s="115">
        <v>0.11332468572476186</v>
      </c>
      <c r="CX2195" s="115" t="e">
        <v>#N/A</v>
      </c>
      <c r="CY2195" s="115" t="e">
        <v>#N/A</v>
      </c>
      <c r="CZ2195" s="137" t="e">
        <v>#N/A</v>
      </c>
      <c r="DA2195">
        <v>0.11332468572476186</v>
      </c>
      <c r="DB2195" t="str">
        <v/>
      </c>
    </row>
    <row r="2196" spans="83:106" x14ac:dyDescent="0.2">
      <c r="CE2196"/>
      <c r="CF2196"/>
      <c r="CG2196"/>
      <c r="CH2196"/>
      <c r="CI2196"/>
      <c r="CU2196" s="42">
        <v>2191</v>
      </c>
      <c r="CV2196" s="115">
        <v>4</v>
      </c>
      <c r="CW2196" s="115">
        <v>0.11332468572476186</v>
      </c>
      <c r="CX2196" s="115" t="e">
        <v>#N/A</v>
      </c>
      <c r="CY2196" s="115" t="e">
        <v>#N/A</v>
      </c>
      <c r="CZ2196" s="137" t="e">
        <v>#N/A</v>
      </c>
      <c r="DA2196">
        <v>0.11332468572476186</v>
      </c>
      <c r="DB2196" t="str">
        <v/>
      </c>
    </row>
    <row r="2197" spans="83:106" x14ac:dyDescent="0.2">
      <c r="CE2197"/>
      <c r="CF2197"/>
      <c r="CG2197"/>
      <c r="CH2197"/>
      <c r="CI2197"/>
      <c r="CU2197" s="42">
        <v>2192</v>
      </c>
      <c r="CV2197" s="115">
        <v>4</v>
      </c>
      <c r="CW2197" s="115">
        <v>0.11332468572476186</v>
      </c>
      <c r="CX2197" s="115" t="e">
        <v>#N/A</v>
      </c>
      <c r="CY2197" s="115" t="e">
        <v>#N/A</v>
      </c>
      <c r="CZ2197" s="137" t="e">
        <v>#N/A</v>
      </c>
      <c r="DA2197">
        <v>0.11332468572476186</v>
      </c>
      <c r="DB2197" t="str">
        <v/>
      </c>
    </row>
    <row r="2198" spans="83:106" x14ac:dyDescent="0.2">
      <c r="CE2198"/>
      <c r="CF2198"/>
      <c r="CG2198"/>
      <c r="CH2198"/>
      <c r="CI2198"/>
      <c r="CU2198" s="42">
        <v>2193</v>
      </c>
      <c r="CV2198" s="115">
        <v>4</v>
      </c>
      <c r="CW2198" s="115">
        <v>0.11332468572476186</v>
      </c>
      <c r="CX2198" s="115" t="e">
        <v>#N/A</v>
      </c>
      <c r="CY2198" s="115" t="e">
        <v>#N/A</v>
      </c>
      <c r="CZ2198" s="137" t="e">
        <v>#N/A</v>
      </c>
      <c r="DA2198">
        <v>0.11332468572476186</v>
      </c>
      <c r="DB2198" t="str">
        <v/>
      </c>
    </row>
    <row r="2199" spans="83:106" x14ac:dyDescent="0.2">
      <c r="CE2199"/>
      <c r="CF2199"/>
      <c r="CG2199"/>
      <c r="CH2199"/>
      <c r="CI2199"/>
      <c r="CU2199" s="42">
        <v>2194</v>
      </c>
      <c r="CV2199" s="115">
        <v>4</v>
      </c>
      <c r="CW2199" s="115">
        <v>0.11332468572476186</v>
      </c>
      <c r="CX2199" s="115" t="e">
        <v>#N/A</v>
      </c>
      <c r="CY2199" s="115" t="e">
        <v>#N/A</v>
      </c>
      <c r="CZ2199" s="137" t="e">
        <v>#N/A</v>
      </c>
      <c r="DA2199">
        <v>0.11332468572476186</v>
      </c>
      <c r="DB2199" t="str">
        <v/>
      </c>
    </row>
    <row r="2200" spans="83:106" x14ac:dyDescent="0.2">
      <c r="CE2200"/>
      <c r="CF2200"/>
      <c r="CG2200"/>
      <c r="CH2200"/>
      <c r="CI2200"/>
      <c r="CU2200" s="42">
        <v>2195</v>
      </c>
      <c r="CV2200" s="115">
        <v>4</v>
      </c>
      <c r="CW2200" s="115">
        <v>0.11332468572476186</v>
      </c>
      <c r="CX2200" s="115" t="e">
        <v>#N/A</v>
      </c>
      <c r="CY2200" s="115" t="e">
        <v>#N/A</v>
      </c>
      <c r="CZ2200" s="137" t="e">
        <v>#N/A</v>
      </c>
      <c r="DA2200">
        <v>0.11332468572476186</v>
      </c>
      <c r="DB2200" t="str">
        <v/>
      </c>
    </row>
    <row r="2201" spans="83:106" x14ac:dyDescent="0.2">
      <c r="CE2201"/>
      <c r="CF2201"/>
      <c r="CG2201"/>
      <c r="CH2201"/>
      <c r="CI2201"/>
      <c r="CU2201" s="42">
        <v>2196</v>
      </c>
      <c r="CV2201" s="115">
        <v>4</v>
      </c>
      <c r="CW2201" s="115">
        <v>0.11332468572476186</v>
      </c>
      <c r="CX2201" s="115" t="e">
        <v>#N/A</v>
      </c>
      <c r="CY2201" s="115" t="e">
        <v>#N/A</v>
      </c>
      <c r="CZ2201" s="137" t="e">
        <v>#N/A</v>
      </c>
      <c r="DA2201">
        <v>0.11332468572476186</v>
      </c>
      <c r="DB2201" t="str">
        <v/>
      </c>
    </row>
    <row r="2202" spans="83:106" x14ac:dyDescent="0.2">
      <c r="CE2202"/>
      <c r="CF2202"/>
      <c r="CG2202"/>
      <c r="CH2202"/>
      <c r="CI2202"/>
      <c r="CU2202" s="42">
        <v>2197</v>
      </c>
      <c r="CV2202" s="115">
        <v>4</v>
      </c>
      <c r="CW2202" s="115">
        <v>0.11332468572476186</v>
      </c>
      <c r="CX2202" s="115" t="e">
        <v>#N/A</v>
      </c>
      <c r="CY2202" s="115" t="e">
        <v>#N/A</v>
      </c>
      <c r="CZ2202" s="137" t="e">
        <v>#N/A</v>
      </c>
      <c r="DA2202">
        <v>0.11332468572476186</v>
      </c>
      <c r="DB2202" t="str">
        <v/>
      </c>
    </row>
    <row r="2203" spans="83:106" x14ac:dyDescent="0.2">
      <c r="CE2203"/>
      <c r="CF2203"/>
      <c r="CG2203"/>
      <c r="CH2203"/>
      <c r="CI2203"/>
      <c r="CU2203" s="42">
        <v>2198</v>
      </c>
      <c r="CV2203" s="115">
        <v>4</v>
      </c>
      <c r="CW2203" s="115">
        <v>0.11332468572476186</v>
      </c>
      <c r="CX2203" s="115" t="e">
        <v>#N/A</v>
      </c>
      <c r="CY2203" s="115" t="e">
        <v>#N/A</v>
      </c>
      <c r="CZ2203" s="137" t="e">
        <v>#N/A</v>
      </c>
      <c r="DA2203">
        <v>0.11332468572476186</v>
      </c>
      <c r="DB2203" t="str">
        <v/>
      </c>
    </row>
    <row r="2204" spans="83:106" x14ac:dyDescent="0.2">
      <c r="CE2204"/>
      <c r="CF2204"/>
      <c r="CG2204"/>
      <c r="CH2204"/>
      <c r="CI2204"/>
      <c r="CU2204" s="42">
        <v>2199</v>
      </c>
      <c r="CV2204" s="115">
        <v>4</v>
      </c>
      <c r="CW2204" s="115">
        <v>0.11332468572476186</v>
      </c>
      <c r="CX2204" s="115" t="e">
        <v>#N/A</v>
      </c>
      <c r="CY2204" s="115" t="e">
        <v>#N/A</v>
      </c>
      <c r="CZ2204" s="137" t="e">
        <v>#N/A</v>
      </c>
      <c r="DA2204">
        <v>0.11332468572476186</v>
      </c>
      <c r="DB2204" t="str">
        <v/>
      </c>
    </row>
    <row r="2205" spans="83:106" x14ac:dyDescent="0.2">
      <c r="CE2205"/>
      <c r="CF2205"/>
      <c r="CG2205"/>
      <c r="CH2205"/>
      <c r="CI2205"/>
      <c r="CU2205" s="42">
        <v>2200</v>
      </c>
      <c r="CV2205" s="115">
        <v>4</v>
      </c>
      <c r="CW2205" s="115">
        <v>0.11332468572476186</v>
      </c>
      <c r="CX2205" s="115" t="e">
        <v>#N/A</v>
      </c>
      <c r="CY2205" s="115" t="e">
        <v>#N/A</v>
      </c>
      <c r="CZ2205" s="137" t="e">
        <v>#N/A</v>
      </c>
      <c r="DA2205">
        <v>0.11332468572476186</v>
      </c>
      <c r="DB2205" t="str">
        <v/>
      </c>
    </row>
    <row r="2206" spans="83:106" x14ac:dyDescent="0.2">
      <c r="CE2206"/>
      <c r="CF2206"/>
      <c r="CG2206"/>
      <c r="CH2206"/>
      <c r="CI2206"/>
      <c r="CU2206" s="42">
        <v>2201</v>
      </c>
      <c r="CV2206" s="115">
        <v>4</v>
      </c>
      <c r="CW2206" s="115">
        <v>0.11332468572476186</v>
      </c>
      <c r="CX2206" s="115" t="e">
        <v>#N/A</v>
      </c>
      <c r="CY2206" s="115" t="e">
        <v>#N/A</v>
      </c>
      <c r="CZ2206" s="137" t="e">
        <v>#N/A</v>
      </c>
      <c r="DA2206">
        <v>0.11332468572476186</v>
      </c>
      <c r="DB2206" t="str">
        <v/>
      </c>
    </row>
    <row r="2207" spans="83:106" x14ac:dyDescent="0.2">
      <c r="CE2207"/>
      <c r="CF2207"/>
      <c r="CG2207"/>
      <c r="CH2207"/>
      <c r="CI2207"/>
      <c r="CU2207" s="42">
        <v>2202</v>
      </c>
      <c r="CV2207" s="115">
        <v>4</v>
      </c>
      <c r="CW2207" s="115">
        <v>0.11332468572476186</v>
      </c>
      <c r="CX2207" s="115" t="e">
        <v>#N/A</v>
      </c>
      <c r="CY2207" s="115" t="e">
        <v>#N/A</v>
      </c>
      <c r="CZ2207" s="137" t="e">
        <v>#N/A</v>
      </c>
      <c r="DA2207">
        <v>0.11332468572476186</v>
      </c>
      <c r="DB2207" t="str">
        <v/>
      </c>
    </row>
    <row r="2208" spans="83:106" x14ac:dyDescent="0.2">
      <c r="CE2208"/>
      <c r="CF2208"/>
      <c r="CG2208"/>
      <c r="CH2208"/>
      <c r="CI2208"/>
      <c r="CU2208" s="42">
        <v>2203</v>
      </c>
      <c r="CV2208" s="115">
        <v>4</v>
      </c>
      <c r="CW2208" s="115">
        <v>0.11332468572476186</v>
      </c>
      <c r="CX2208" s="115" t="e">
        <v>#N/A</v>
      </c>
      <c r="CY2208" s="115" t="e">
        <v>#N/A</v>
      </c>
      <c r="CZ2208" s="137" t="e">
        <v>#N/A</v>
      </c>
      <c r="DA2208">
        <v>0.11332468572476186</v>
      </c>
      <c r="DB2208" t="str">
        <v/>
      </c>
    </row>
    <row r="2209" spans="83:106" x14ac:dyDescent="0.2">
      <c r="CE2209"/>
      <c r="CF2209"/>
      <c r="CG2209"/>
      <c r="CH2209"/>
      <c r="CI2209"/>
      <c r="CU2209" s="42">
        <v>2204</v>
      </c>
      <c r="CV2209" s="115">
        <v>4</v>
      </c>
      <c r="CW2209" s="115">
        <v>0.11332468572476186</v>
      </c>
      <c r="CX2209" s="115" t="e">
        <v>#N/A</v>
      </c>
      <c r="CY2209" s="115" t="e">
        <v>#N/A</v>
      </c>
      <c r="CZ2209" s="137" t="e">
        <v>#N/A</v>
      </c>
      <c r="DA2209">
        <v>0.11332468572476186</v>
      </c>
      <c r="DB2209" t="str">
        <v/>
      </c>
    </row>
    <row r="2210" spans="83:106" x14ac:dyDescent="0.2">
      <c r="CE2210"/>
      <c r="CF2210"/>
      <c r="CG2210"/>
      <c r="CH2210"/>
      <c r="CI2210"/>
      <c r="CU2210" s="42">
        <v>2205</v>
      </c>
      <c r="CV2210" s="115">
        <v>4</v>
      </c>
      <c r="CW2210" s="115">
        <v>0.11332468572476186</v>
      </c>
      <c r="CX2210" s="115" t="e">
        <v>#N/A</v>
      </c>
      <c r="CY2210" s="115" t="e">
        <v>#N/A</v>
      </c>
      <c r="CZ2210" s="137" t="e">
        <v>#N/A</v>
      </c>
      <c r="DA2210">
        <v>0.11332468572476186</v>
      </c>
      <c r="DB2210" t="str">
        <v/>
      </c>
    </row>
    <row r="2211" spans="83:106" x14ac:dyDescent="0.2">
      <c r="CE2211"/>
      <c r="CF2211"/>
      <c r="CG2211"/>
      <c r="CH2211"/>
      <c r="CI2211"/>
      <c r="CU2211" s="42">
        <v>2206</v>
      </c>
      <c r="CV2211" s="115">
        <v>4</v>
      </c>
      <c r="CW2211" s="115">
        <v>0.11332468572476186</v>
      </c>
      <c r="CX2211" s="115" t="e">
        <v>#N/A</v>
      </c>
      <c r="CY2211" s="115" t="e">
        <v>#N/A</v>
      </c>
      <c r="CZ2211" s="137" t="e">
        <v>#N/A</v>
      </c>
      <c r="DA2211">
        <v>0.11332468572476186</v>
      </c>
      <c r="DB2211" t="str">
        <v/>
      </c>
    </row>
    <row r="2212" spans="83:106" x14ac:dyDescent="0.2">
      <c r="CE2212"/>
      <c r="CF2212"/>
      <c r="CG2212"/>
      <c r="CH2212"/>
      <c r="CI2212"/>
      <c r="CU2212" s="42">
        <v>2207</v>
      </c>
      <c r="CV2212" s="115">
        <v>4</v>
      </c>
      <c r="CW2212" s="115">
        <v>0.11332468572476186</v>
      </c>
      <c r="CX2212" s="115" t="e">
        <v>#N/A</v>
      </c>
      <c r="CY2212" s="115" t="e">
        <v>#N/A</v>
      </c>
      <c r="CZ2212" s="137" t="e">
        <v>#N/A</v>
      </c>
      <c r="DA2212">
        <v>0.11332468572476186</v>
      </c>
      <c r="DB2212" t="str">
        <v/>
      </c>
    </row>
    <row r="2213" spans="83:106" x14ac:dyDescent="0.2">
      <c r="CE2213"/>
      <c r="CF2213"/>
      <c r="CG2213"/>
      <c r="CH2213"/>
      <c r="CI2213"/>
      <c r="CU2213" s="42">
        <v>2208</v>
      </c>
      <c r="CV2213" s="115">
        <v>4</v>
      </c>
      <c r="CW2213" s="115">
        <v>0.11332468572476186</v>
      </c>
      <c r="CX2213" s="115" t="e">
        <v>#N/A</v>
      </c>
      <c r="CY2213" s="115" t="e">
        <v>#N/A</v>
      </c>
      <c r="CZ2213" s="137" t="e">
        <v>#N/A</v>
      </c>
      <c r="DA2213">
        <v>0.11332468572476186</v>
      </c>
      <c r="DB2213" t="str">
        <v/>
      </c>
    </row>
    <row r="2214" spans="83:106" x14ac:dyDescent="0.2">
      <c r="CE2214"/>
      <c r="CF2214"/>
      <c r="CG2214"/>
      <c r="CH2214"/>
      <c r="CI2214"/>
      <c r="CU2214" s="42">
        <v>2209</v>
      </c>
      <c r="CV2214" s="115">
        <v>4</v>
      </c>
      <c r="CW2214" s="115">
        <v>0.11332468572476186</v>
      </c>
      <c r="CX2214" s="115" t="e">
        <v>#N/A</v>
      </c>
      <c r="CY2214" s="115" t="e">
        <v>#N/A</v>
      </c>
      <c r="CZ2214" s="137" t="e">
        <v>#N/A</v>
      </c>
      <c r="DA2214">
        <v>0.11332468572476186</v>
      </c>
      <c r="DB2214" t="str">
        <v/>
      </c>
    </row>
    <row r="2215" spans="83:106" x14ac:dyDescent="0.2">
      <c r="CE2215"/>
      <c r="CF2215"/>
      <c r="CG2215"/>
      <c r="CH2215"/>
      <c r="CI2215"/>
      <c r="CU2215" s="42">
        <v>2210</v>
      </c>
      <c r="CV2215" s="115">
        <v>4</v>
      </c>
      <c r="CW2215" s="115">
        <v>0.11332468572476186</v>
      </c>
      <c r="CX2215" s="115" t="e">
        <v>#N/A</v>
      </c>
      <c r="CY2215" s="115" t="e">
        <v>#N/A</v>
      </c>
      <c r="CZ2215" s="137" t="e">
        <v>#N/A</v>
      </c>
      <c r="DA2215">
        <v>0.11332468572476186</v>
      </c>
      <c r="DB2215" t="str">
        <v/>
      </c>
    </row>
    <row r="2216" spans="83:106" x14ac:dyDescent="0.2">
      <c r="CE2216"/>
      <c r="CF2216"/>
      <c r="CG2216"/>
      <c r="CH2216"/>
      <c r="CI2216"/>
      <c r="CU2216" s="42">
        <v>2211</v>
      </c>
      <c r="CV2216" s="115">
        <v>4</v>
      </c>
      <c r="CW2216" s="115">
        <v>0.11332468572476186</v>
      </c>
      <c r="CX2216" s="115" t="e">
        <v>#N/A</v>
      </c>
      <c r="CY2216" s="115" t="e">
        <v>#N/A</v>
      </c>
      <c r="CZ2216" s="137" t="e">
        <v>#N/A</v>
      </c>
      <c r="DA2216">
        <v>0.11332468572476186</v>
      </c>
      <c r="DB2216" t="str">
        <v/>
      </c>
    </row>
    <row r="2217" spans="83:106" x14ac:dyDescent="0.2">
      <c r="CE2217"/>
      <c r="CF2217"/>
      <c r="CG2217"/>
      <c r="CH2217"/>
      <c r="CI2217"/>
      <c r="CU2217" s="42">
        <v>2212</v>
      </c>
      <c r="CV2217" s="115">
        <v>4</v>
      </c>
      <c r="CW2217" s="115">
        <v>0.11332468572476186</v>
      </c>
      <c r="CX2217" s="115" t="e">
        <v>#N/A</v>
      </c>
      <c r="CY2217" s="115" t="e">
        <v>#N/A</v>
      </c>
      <c r="CZ2217" s="137" t="e">
        <v>#N/A</v>
      </c>
      <c r="DA2217">
        <v>0.11332468572476186</v>
      </c>
      <c r="DB2217" t="str">
        <v/>
      </c>
    </row>
    <row r="2218" spans="83:106" x14ac:dyDescent="0.2">
      <c r="CE2218"/>
      <c r="CF2218"/>
      <c r="CG2218"/>
      <c r="CH2218"/>
      <c r="CI2218"/>
      <c r="CU2218" s="42">
        <v>2213</v>
      </c>
      <c r="CV2218" s="115">
        <v>4</v>
      </c>
      <c r="CW2218" s="115">
        <v>0.11332468572476186</v>
      </c>
      <c r="CX2218" s="115" t="e">
        <v>#N/A</v>
      </c>
      <c r="CY2218" s="115" t="e">
        <v>#N/A</v>
      </c>
      <c r="CZ2218" s="137" t="e">
        <v>#N/A</v>
      </c>
      <c r="DA2218">
        <v>0.11332468572476186</v>
      </c>
      <c r="DB2218" t="str">
        <v/>
      </c>
    </row>
    <row r="2219" spans="83:106" x14ac:dyDescent="0.2">
      <c r="CE2219"/>
      <c r="CF2219"/>
      <c r="CG2219"/>
      <c r="CH2219"/>
      <c r="CI2219"/>
      <c r="CU2219" s="42">
        <v>2214</v>
      </c>
      <c r="CV2219" s="115">
        <v>4</v>
      </c>
      <c r="CW2219" s="115">
        <v>0.11332468572476186</v>
      </c>
      <c r="CX2219" s="115" t="e">
        <v>#N/A</v>
      </c>
      <c r="CY2219" s="115" t="e">
        <v>#N/A</v>
      </c>
      <c r="CZ2219" s="137" t="e">
        <v>#N/A</v>
      </c>
      <c r="DA2219">
        <v>0.11332468572476186</v>
      </c>
      <c r="DB2219" t="str">
        <v/>
      </c>
    </row>
    <row r="2220" spans="83:106" x14ac:dyDescent="0.2">
      <c r="CE2220"/>
      <c r="CF2220"/>
      <c r="CG2220"/>
      <c r="CH2220"/>
      <c r="CI2220"/>
      <c r="CU2220" s="42">
        <v>2215</v>
      </c>
      <c r="CV2220" s="115">
        <v>4</v>
      </c>
      <c r="CW2220" s="115">
        <v>0.11332468572476186</v>
      </c>
      <c r="CX2220" s="115" t="e">
        <v>#N/A</v>
      </c>
      <c r="CY2220" s="115" t="e">
        <v>#N/A</v>
      </c>
      <c r="CZ2220" s="137" t="e">
        <v>#N/A</v>
      </c>
      <c r="DA2220">
        <v>0.11332468572476186</v>
      </c>
      <c r="DB2220" t="str">
        <v/>
      </c>
    </row>
    <row r="2221" spans="83:106" x14ac:dyDescent="0.2">
      <c r="CE2221"/>
      <c r="CF2221"/>
      <c r="CG2221"/>
      <c r="CH2221"/>
      <c r="CI2221"/>
      <c r="CU2221" s="42">
        <v>2216</v>
      </c>
      <c r="CV2221" s="115">
        <v>4</v>
      </c>
      <c r="CW2221" s="115">
        <v>0.11332468572476186</v>
      </c>
      <c r="CX2221" s="115" t="e">
        <v>#N/A</v>
      </c>
      <c r="CY2221" s="115" t="e">
        <v>#N/A</v>
      </c>
      <c r="CZ2221" s="137" t="e">
        <v>#N/A</v>
      </c>
      <c r="DA2221">
        <v>0.11332468572476186</v>
      </c>
      <c r="DB2221" t="str">
        <v/>
      </c>
    </row>
    <row r="2222" spans="83:106" x14ac:dyDescent="0.2">
      <c r="CE2222"/>
      <c r="CF2222"/>
      <c r="CG2222"/>
      <c r="CH2222"/>
      <c r="CI2222"/>
      <c r="CU2222" s="42">
        <v>2217</v>
      </c>
      <c r="CV2222" s="115">
        <v>4</v>
      </c>
      <c r="CW2222" s="115">
        <v>0.11332468572476186</v>
      </c>
      <c r="CX2222" s="115" t="e">
        <v>#N/A</v>
      </c>
      <c r="CY2222" s="115" t="e">
        <v>#N/A</v>
      </c>
      <c r="CZ2222" s="137" t="e">
        <v>#N/A</v>
      </c>
      <c r="DA2222">
        <v>0.11332468572476186</v>
      </c>
      <c r="DB2222" t="str">
        <v/>
      </c>
    </row>
    <row r="2223" spans="83:106" x14ac:dyDescent="0.2">
      <c r="CE2223"/>
      <c r="CF2223"/>
      <c r="CG2223"/>
      <c r="CH2223"/>
      <c r="CI2223"/>
      <c r="CU2223" s="42">
        <v>2218</v>
      </c>
      <c r="CV2223" s="115">
        <v>4</v>
      </c>
      <c r="CW2223" s="115">
        <v>0.11332468572476186</v>
      </c>
      <c r="CX2223" s="115" t="e">
        <v>#N/A</v>
      </c>
      <c r="CY2223" s="115" t="e">
        <v>#N/A</v>
      </c>
      <c r="CZ2223" s="137" t="e">
        <v>#N/A</v>
      </c>
      <c r="DA2223">
        <v>0.11332468572476186</v>
      </c>
      <c r="DB2223" t="str">
        <v/>
      </c>
    </row>
    <row r="2224" spans="83:106" x14ac:dyDescent="0.2">
      <c r="CE2224"/>
      <c r="CF2224"/>
      <c r="CG2224"/>
      <c r="CH2224"/>
      <c r="CI2224"/>
      <c r="CU2224" s="42">
        <v>2219</v>
      </c>
      <c r="CV2224" s="115">
        <v>4</v>
      </c>
      <c r="CW2224" s="115">
        <v>0.11332468572476186</v>
      </c>
      <c r="CX2224" s="115" t="e">
        <v>#N/A</v>
      </c>
      <c r="CY2224" s="115" t="e">
        <v>#N/A</v>
      </c>
      <c r="CZ2224" s="137" t="e">
        <v>#N/A</v>
      </c>
      <c r="DA2224">
        <v>0.11332468572476186</v>
      </c>
      <c r="DB2224" t="str">
        <v/>
      </c>
    </row>
    <row r="2225" spans="83:106" x14ac:dyDescent="0.2">
      <c r="CE2225"/>
      <c r="CF2225"/>
      <c r="CG2225"/>
      <c r="CH2225"/>
      <c r="CI2225"/>
      <c r="CU2225" s="42">
        <v>2220</v>
      </c>
      <c r="CV2225" s="115">
        <v>4</v>
      </c>
      <c r="CW2225" s="115">
        <v>0.11332468572476186</v>
      </c>
      <c r="CX2225" s="115" t="e">
        <v>#N/A</v>
      </c>
      <c r="CY2225" s="115" t="e">
        <v>#N/A</v>
      </c>
      <c r="CZ2225" s="137" t="e">
        <v>#N/A</v>
      </c>
      <c r="DA2225">
        <v>0.11332468572476186</v>
      </c>
      <c r="DB2225" t="str">
        <v/>
      </c>
    </row>
    <row r="2226" spans="83:106" x14ac:dyDescent="0.2">
      <c r="CE2226"/>
      <c r="CF2226"/>
      <c r="CG2226"/>
      <c r="CH2226"/>
      <c r="CI2226"/>
      <c r="CU2226" s="42">
        <v>2221</v>
      </c>
      <c r="CV2226" s="115">
        <v>4</v>
      </c>
      <c r="CW2226" s="115">
        <v>0.11332468572476186</v>
      </c>
      <c r="CX2226" s="115" t="e">
        <v>#N/A</v>
      </c>
      <c r="CY2226" s="115" t="e">
        <v>#N/A</v>
      </c>
      <c r="CZ2226" s="137" t="e">
        <v>#N/A</v>
      </c>
      <c r="DA2226">
        <v>0.11332468572476186</v>
      </c>
      <c r="DB2226" t="str">
        <v/>
      </c>
    </row>
    <row r="2227" spans="83:106" x14ac:dyDescent="0.2">
      <c r="CE2227"/>
      <c r="CF2227"/>
      <c r="CG2227"/>
      <c r="CH2227"/>
      <c r="CI2227"/>
      <c r="CU2227" s="42">
        <v>2222</v>
      </c>
      <c r="CV2227" s="115">
        <v>4</v>
      </c>
      <c r="CW2227" s="115">
        <v>0.11332468572476186</v>
      </c>
      <c r="CX2227" s="115" t="e">
        <v>#N/A</v>
      </c>
      <c r="CY2227" s="115" t="e">
        <v>#N/A</v>
      </c>
      <c r="CZ2227" s="137" t="e">
        <v>#N/A</v>
      </c>
      <c r="DA2227">
        <v>0.11332468572476186</v>
      </c>
      <c r="DB2227" t="str">
        <v/>
      </c>
    </row>
    <row r="2228" spans="83:106" x14ac:dyDescent="0.2">
      <c r="CE2228"/>
      <c r="CF2228"/>
      <c r="CG2228"/>
      <c r="CH2228"/>
      <c r="CI2228"/>
      <c r="CU2228" s="42">
        <v>2223</v>
      </c>
      <c r="CV2228" s="115">
        <v>4</v>
      </c>
      <c r="CW2228" s="115">
        <v>0.11332468572476186</v>
      </c>
      <c r="CX2228" s="115" t="e">
        <v>#N/A</v>
      </c>
      <c r="CY2228" s="115" t="e">
        <v>#N/A</v>
      </c>
      <c r="CZ2228" s="137" t="e">
        <v>#N/A</v>
      </c>
      <c r="DA2228">
        <v>0.11332468572476186</v>
      </c>
      <c r="DB2228" t="str">
        <v/>
      </c>
    </row>
    <row r="2229" spans="83:106" x14ac:dyDescent="0.2">
      <c r="CE2229"/>
      <c r="CF2229"/>
      <c r="CG2229"/>
      <c r="CH2229"/>
      <c r="CI2229"/>
      <c r="CU2229" s="42">
        <v>2224</v>
      </c>
      <c r="CV2229" s="115">
        <v>4</v>
      </c>
      <c r="CW2229" s="115">
        <v>0.11332468572476186</v>
      </c>
      <c r="CX2229" s="115" t="e">
        <v>#N/A</v>
      </c>
      <c r="CY2229" s="115" t="e">
        <v>#N/A</v>
      </c>
      <c r="CZ2229" s="137" t="e">
        <v>#N/A</v>
      </c>
      <c r="DA2229">
        <v>0.11332468572476186</v>
      </c>
      <c r="DB2229" t="str">
        <v/>
      </c>
    </row>
    <row r="2230" spans="83:106" x14ac:dyDescent="0.2">
      <c r="CE2230"/>
      <c r="CF2230"/>
      <c r="CG2230"/>
      <c r="CH2230"/>
      <c r="CI2230"/>
      <c r="CU2230" s="42">
        <v>2225</v>
      </c>
      <c r="CV2230" s="115">
        <v>4</v>
      </c>
      <c r="CW2230" s="115">
        <v>0.11332468572476186</v>
      </c>
      <c r="CX2230" s="115" t="e">
        <v>#N/A</v>
      </c>
      <c r="CY2230" s="115" t="e">
        <v>#N/A</v>
      </c>
      <c r="CZ2230" s="137" t="e">
        <v>#N/A</v>
      </c>
      <c r="DA2230">
        <v>0.11332468572476186</v>
      </c>
      <c r="DB2230" t="str">
        <v/>
      </c>
    </row>
    <row r="2231" spans="83:106" x14ac:dyDescent="0.2">
      <c r="CE2231"/>
      <c r="CF2231"/>
      <c r="CG2231"/>
      <c r="CH2231"/>
      <c r="CI2231"/>
      <c r="CU2231" s="42">
        <v>2226</v>
      </c>
      <c r="CV2231" s="115">
        <v>4</v>
      </c>
      <c r="CW2231" s="115">
        <v>0.11332468572476186</v>
      </c>
      <c r="CX2231" s="115" t="e">
        <v>#N/A</v>
      </c>
      <c r="CY2231" s="115" t="e">
        <v>#N/A</v>
      </c>
      <c r="CZ2231" s="137" t="e">
        <v>#N/A</v>
      </c>
      <c r="DA2231">
        <v>0.11332468572476186</v>
      </c>
      <c r="DB2231" t="str">
        <v/>
      </c>
    </row>
    <row r="2232" spans="83:106" x14ac:dyDescent="0.2">
      <c r="CE2232"/>
      <c r="CF2232"/>
      <c r="CG2232"/>
      <c r="CH2232"/>
      <c r="CI2232"/>
      <c r="CU2232" s="42">
        <v>2227</v>
      </c>
      <c r="CV2232" s="115">
        <v>4</v>
      </c>
      <c r="CW2232" s="115">
        <v>0.11332468572476186</v>
      </c>
      <c r="CX2232" s="115" t="e">
        <v>#N/A</v>
      </c>
      <c r="CY2232" s="115" t="e">
        <v>#N/A</v>
      </c>
      <c r="CZ2232" s="137" t="e">
        <v>#N/A</v>
      </c>
      <c r="DA2232">
        <v>0.11332468572476186</v>
      </c>
      <c r="DB2232" t="str">
        <v/>
      </c>
    </row>
    <row r="2233" spans="83:106" x14ac:dyDescent="0.2">
      <c r="CE2233"/>
      <c r="CF2233"/>
      <c r="CG2233"/>
      <c r="CH2233"/>
      <c r="CI2233"/>
      <c r="CU2233" s="42">
        <v>2228</v>
      </c>
      <c r="CV2233" s="115">
        <v>4</v>
      </c>
      <c r="CW2233" s="115">
        <v>0.11332468572476186</v>
      </c>
      <c r="CX2233" s="115" t="e">
        <v>#N/A</v>
      </c>
      <c r="CY2233" s="115" t="e">
        <v>#N/A</v>
      </c>
      <c r="CZ2233" s="137" t="e">
        <v>#N/A</v>
      </c>
      <c r="DA2233">
        <v>0.11332468572476186</v>
      </c>
      <c r="DB2233" t="str">
        <v/>
      </c>
    </row>
    <row r="2234" spans="83:106" x14ac:dyDescent="0.2">
      <c r="CE2234"/>
      <c r="CF2234"/>
      <c r="CG2234"/>
      <c r="CH2234"/>
      <c r="CI2234"/>
      <c r="CU2234" s="42">
        <v>2229</v>
      </c>
      <c r="CV2234" s="115">
        <v>4</v>
      </c>
      <c r="CW2234" s="115">
        <v>0.11332468572476186</v>
      </c>
      <c r="CX2234" s="115" t="e">
        <v>#N/A</v>
      </c>
      <c r="CY2234" s="115" t="e">
        <v>#N/A</v>
      </c>
      <c r="CZ2234" s="137" t="e">
        <v>#N/A</v>
      </c>
      <c r="DA2234">
        <v>0.11332468572476186</v>
      </c>
      <c r="DB2234" t="str">
        <v/>
      </c>
    </row>
    <row r="2235" spans="83:106" x14ac:dyDescent="0.2">
      <c r="CE2235"/>
      <c r="CF2235"/>
      <c r="CG2235"/>
      <c r="CH2235"/>
      <c r="CI2235"/>
      <c r="CU2235" s="42">
        <v>2230</v>
      </c>
      <c r="CV2235" s="115">
        <v>4</v>
      </c>
      <c r="CW2235" s="115">
        <v>0.11332468572476186</v>
      </c>
      <c r="CX2235" s="115" t="e">
        <v>#N/A</v>
      </c>
      <c r="CY2235" s="115" t="e">
        <v>#N/A</v>
      </c>
      <c r="CZ2235" s="137" t="e">
        <v>#N/A</v>
      </c>
      <c r="DA2235">
        <v>0.11332468572476186</v>
      </c>
      <c r="DB2235" t="str">
        <v/>
      </c>
    </row>
    <row r="2236" spans="83:106" x14ac:dyDescent="0.2">
      <c r="CE2236"/>
      <c r="CF2236"/>
      <c r="CG2236"/>
      <c r="CH2236"/>
      <c r="CI2236"/>
      <c r="CU2236" s="42">
        <v>2231</v>
      </c>
      <c r="CV2236" s="115">
        <v>4</v>
      </c>
      <c r="CW2236" s="115">
        <v>0.11332468572476186</v>
      </c>
      <c r="CX2236" s="115" t="e">
        <v>#N/A</v>
      </c>
      <c r="CY2236" s="115" t="e">
        <v>#N/A</v>
      </c>
      <c r="CZ2236" s="137" t="e">
        <v>#N/A</v>
      </c>
      <c r="DA2236">
        <v>0.11332468572476186</v>
      </c>
      <c r="DB2236" t="str">
        <v/>
      </c>
    </row>
    <row r="2237" spans="83:106" x14ac:dyDescent="0.2">
      <c r="CE2237"/>
      <c r="CF2237"/>
      <c r="CG2237"/>
      <c r="CH2237"/>
      <c r="CI2237"/>
      <c r="CU2237" s="42">
        <v>2232</v>
      </c>
      <c r="CV2237" s="115">
        <v>4</v>
      </c>
      <c r="CW2237" s="115">
        <v>0.11332468572476186</v>
      </c>
      <c r="CX2237" s="115" t="e">
        <v>#N/A</v>
      </c>
      <c r="CY2237" s="115" t="e">
        <v>#N/A</v>
      </c>
      <c r="CZ2237" s="137" t="e">
        <v>#N/A</v>
      </c>
      <c r="DA2237">
        <v>0.11332468572476186</v>
      </c>
      <c r="DB2237" t="str">
        <v/>
      </c>
    </row>
    <row r="2238" spans="83:106" x14ac:dyDescent="0.2">
      <c r="CE2238"/>
      <c r="CF2238"/>
      <c r="CG2238"/>
      <c r="CH2238"/>
      <c r="CI2238"/>
      <c r="CU2238" s="42">
        <v>2233</v>
      </c>
      <c r="CV2238" s="115">
        <v>4</v>
      </c>
      <c r="CW2238" s="115">
        <v>0.11332468572476186</v>
      </c>
      <c r="CX2238" s="115" t="e">
        <v>#N/A</v>
      </c>
      <c r="CY2238" s="115" t="e">
        <v>#N/A</v>
      </c>
      <c r="CZ2238" s="137" t="e">
        <v>#N/A</v>
      </c>
      <c r="DA2238">
        <v>0.11332468572476186</v>
      </c>
      <c r="DB2238" t="str">
        <v/>
      </c>
    </row>
    <row r="2239" spans="83:106" x14ac:dyDescent="0.2">
      <c r="CE2239"/>
      <c r="CF2239"/>
      <c r="CG2239"/>
      <c r="CH2239"/>
      <c r="CI2239"/>
      <c r="CU2239" s="42">
        <v>2234</v>
      </c>
      <c r="CV2239" s="115">
        <v>4</v>
      </c>
      <c r="CW2239" s="115">
        <v>0.11332468572476186</v>
      </c>
      <c r="CX2239" s="115" t="e">
        <v>#N/A</v>
      </c>
      <c r="CY2239" s="115" t="e">
        <v>#N/A</v>
      </c>
      <c r="CZ2239" s="137" t="e">
        <v>#N/A</v>
      </c>
      <c r="DA2239">
        <v>0.11332468572476186</v>
      </c>
      <c r="DB2239" t="str">
        <v/>
      </c>
    </row>
    <row r="2240" spans="83:106" x14ac:dyDescent="0.2">
      <c r="CE2240"/>
      <c r="CF2240"/>
      <c r="CG2240"/>
      <c r="CH2240"/>
      <c r="CI2240"/>
      <c r="CU2240" s="42">
        <v>2235</v>
      </c>
      <c r="CV2240" s="115">
        <v>4</v>
      </c>
      <c r="CW2240" s="115">
        <v>0.11332468572476186</v>
      </c>
      <c r="CX2240" s="115" t="e">
        <v>#N/A</v>
      </c>
      <c r="CY2240" s="115" t="e">
        <v>#N/A</v>
      </c>
      <c r="CZ2240" s="137" t="e">
        <v>#N/A</v>
      </c>
      <c r="DA2240">
        <v>0.11332468572476186</v>
      </c>
      <c r="DB2240" t="str">
        <v/>
      </c>
    </row>
    <row r="2241" spans="83:106" x14ac:dyDescent="0.2">
      <c r="CE2241"/>
      <c r="CF2241"/>
      <c r="CG2241"/>
      <c r="CH2241"/>
      <c r="CI2241"/>
      <c r="CU2241" s="42">
        <v>2236</v>
      </c>
      <c r="CV2241" s="115">
        <v>4</v>
      </c>
      <c r="CW2241" s="115">
        <v>0.11332468572476186</v>
      </c>
      <c r="CX2241" s="115" t="e">
        <v>#N/A</v>
      </c>
      <c r="CY2241" s="115" t="e">
        <v>#N/A</v>
      </c>
      <c r="CZ2241" s="137" t="e">
        <v>#N/A</v>
      </c>
      <c r="DA2241">
        <v>0.11332468572476186</v>
      </c>
      <c r="DB2241" t="str">
        <v/>
      </c>
    </row>
    <row r="2242" spans="83:106" x14ac:dyDescent="0.2">
      <c r="CE2242"/>
      <c r="CF2242"/>
      <c r="CG2242"/>
      <c r="CH2242"/>
      <c r="CI2242"/>
      <c r="CU2242" s="42">
        <v>2237</v>
      </c>
      <c r="CV2242" s="115">
        <v>4</v>
      </c>
      <c r="CW2242" s="115">
        <v>0.11332468572476186</v>
      </c>
      <c r="CX2242" s="115" t="e">
        <v>#N/A</v>
      </c>
      <c r="CY2242" s="115" t="e">
        <v>#N/A</v>
      </c>
      <c r="CZ2242" s="137" t="e">
        <v>#N/A</v>
      </c>
      <c r="DA2242">
        <v>0.11332468572476186</v>
      </c>
      <c r="DB2242" t="str">
        <v/>
      </c>
    </row>
    <row r="2243" spans="83:106" x14ac:dyDescent="0.2">
      <c r="CE2243"/>
      <c r="CF2243"/>
      <c r="CG2243"/>
      <c r="CH2243"/>
      <c r="CI2243"/>
      <c r="CU2243" s="42">
        <v>2238</v>
      </c>
      <c r="CV2243" s="115">
        <v>4</v>
      </c>
      <c r="CW2243" s="115">
        <v>0.11332468572476186</v>
      </c>
      <c r="CX2243" s="115" t="e">
        <v>#N/A</v>
      </c>
      <c r="CY2243" s="115" t="e">
        <v>#N/A</v>
      </c>
      <c r="CZ2243" s="137" t="e">
        <v>#N/A</v>
      </c>
      <c r="DA2243">
        <v>0.11332468572476186</v>
      </c>
      <c r="DB2243" t="str">
        <v/>
      </c>
    </row>
    <row r="2244" spans="83:106" x14ac:dyDescent="0.2">
      <c r="CE2244"/>
      <c r="CF2244"/>
      <c r="CG2244"/>
      <c r="CH2244"/>
      <c r="CI2244"/>
      <c r="CU2244" s="42">
        <v>2239</v>
      </c>
      <c r="CV2244" s="115">
        <v>4</v>
      </c>
      <c r="CW2244" s="115">
        <v>0.11332468572476186</v>
      </c>
      <c r="CX2244" s="115" t="e">
        <v>#N/A</v>
      </c>
      <c r="CY2244" s="115" t="e">
        <v>#N/A</v>
      </c>
      <c r="CZ2244" s="137" t="e">
        <v>#N/A</v>
      </c>
      <c r="DA2244">
        <v>0.11332468572476186</v>
      </c>
      <c r="DB2244" t="str">
        <v/>
      </c>
    </row>
    <row r="2245" spans="83:106" x14ac:dyDescent="0.2">
      <c r="CE2245"/>
      <c r="CF2245"/>
      <c r="CG2245"/>
      <c r="CH2245"/>
      <c r="CI2245"/>
      <c r="CU2245" s="42">
        <v>2240</v>
      </c>
      <c r="CV2245" s="115">
        <v>4</v>
      </c>
      <c r="CW2245" s="115">
        <v>0.11332468572476186</v>
      </c>
      <c r="CX2245" s="115" t="e">
        <v>#N/A</v>
      </c>
      <c r="CY2245" s="115" t="e">
        <v>#N/A</v>
      </c>
      <c r="CZ2245" s="137" t="e">
        <v>#N/A</v>
      </c>
      <c r="DA2245">
        <v>0.11332468572476186</v>
      </c>
      <c r="DB2245" t="str">
        <v/>
      </c>
    </row>
    <row r="2246" spans="83:106" x14ac:dyDescent="0.2">
      <c r="CE2246"/>
      <c r="CF2246"/>
      <c r="CG2246"/>
      <c r="CH2246"/>
      <c r="CI2246"/>
      <c r="CU2246" s="42">
        <v>2241</v>
      </c>
      <c r="CV2246" s="115">
        <v>4</v>
      </c>
      <c r="CW2246" s="115">
        <v>0.11332468572476186</v>
      </c>
      <c r="CX2246" s="115" t="e">
        <v>#N/A</v>
      </c>
      <c r="CY2246" s="115" t="e">
        <v>#N/A</v>
      </c>
      <c r="CZ2246" s="137" t="e">
        <v>#N/A</v>
      </c>
      <c r="DA2246">
        <v>0.11332468572476186</v>
      </c>
      <c r="DB2246" t="str">
        <v/>
      </c>
    </row>
    <row r="2247" spans="83:106" x14ac:dyDescent="0.2">
      <c r="CE2247"/>
      <c r="CF2247"/>
      <c r="CG2247"/>
      <c r="CH2247"/>
      <c r="CI2247"/>
      <c r="CU2247" s="42">
        <v>2242</v>
      </c>
      <c r="CV2247" s="115">
        <v>4</v>
      </c>
      <c r="CW2247" s="115">
        <v>0.11332468572476186</v>
      </c>
      <c r="CX2247" s="115" t="e">
        <v>#N/A</v>
      </c>
      <c r="CY2247" s="115" t="e">
        <v>#N/A</v>
      </c>
      <c r="CZ2247" s="137" t="e">
        <v>#N/A</v>
      </c>
      <c r="DA2247">
        <v>0.11332468572476186</v>
      </c>
      <c r="DB2247" t="str">
        <v/>
      </c>
    </row>
    <row r="2248" spans="83:106" x14ac:dyDescent="0.2">
      <c r="CE2248"/>
      <c r="CF2248"/>
      <c r="CG2248"/>
      <c r="CH2248"/>
      <c r="CI2248"/>
      <c r="CU2248" s="42">
        <v>2243</v>
      </c>
      <c r="CV2248" s="115">
        <v>4</v>
      </c>
      <c r="CW2248" s="115">
        <v>0.11332468572476186</v>
      </c>
      <c r="CX2248" s="115" t="e">
        <v>#N/A</v>
      </c>
      <c r="CY2248" s="115" t="e">
        <v>#N/A</v>
      </c>
      <c r="CZ2248" s="137" t="e">
        <v>#N/A</v>
      </c>
      <c r="DA2248">
        <v>0.11332468572476186</v>
      </c>
      <c r="DB2248" t="str">
        <v/>
      </c>
    </row>
    <row r="2249" spans="83:106" x14ac:dyDescent="0.2">
      <c r="CE2249"/>
      <c r="CF2249"/>
      <c r="CG2249"/>
      <c r="CH2249"/>
      <c r="CI2249"/>
      <c r="CU2249" s="42">
        <v>2244</v>
      </c>
      <c r="CV2249" s="115">
        <v>4</v>
      </c>
      <c r="CW2249" s="115">
        <v>0.11332468572476186</v>
      </c>
      <c r="CX2249" s="115" t="e">
        <v>#N/A</v>
      </c>
      <c r="CY2249" s="115" t="e">
        <v>#N/A</v>
      </c>
      <c r="CZ2249" s="137" t="e">
        <v>#N/A</v>
      </c>
      <c r="DA2249">
        <v>0.11332468572476186</v>
      </c>
      <c r="DB2249" t="str">
        <v/>
      </c>
    </row>
    <row r="2250" spans="83:106" x14ac:dyDescent="0.2">
      <c r="CE2250"/>
      <c r="CF2250"/>
      <c r="CG2250"/>
      <c r="CH2250"/>
      <c r="CI2250"/>
      <c r="CU2250" s="42">
        <v>2245</v>
      </c>
      <c r="CV2250" s="115">
        <v>4</v>
      </c>
      <c r="CW2250" s="115">
        <v>0.11332468572476186</v>
      </c>
      <c r="CX2250" s="115" t="e">
        <v>#N/A</v>
      </c>
      <c r="CY2250" s="115" t="e">
        <v>#N/A</v>
      </c>
      <c r="CZ2250" s="137" t="e">
        <v>#N/A</v>
      </c>
      <c r="DA2250">
        <v>0.11332468572476186</v>
      </c>
      <c r="DB2250" t="str">
        <v/>
      </c>
    </row>
    <row r="2251" spans="83:106" x14ac:dyDescent="0.2">
      <c r="CE2251"/>
      <c r="CF2251"/>
      <c r="CG2251"/>
      <c r="CH2251"/>
      <c r="CI2251"/>
      <c r="CU2251" s="42">
        <v>2246</v>
      </c>
      <c r="CV2251" s="115">
        <v>4</v>
      </c>
      <c r="CW2251" s="115">
        <v>0.11332468572476186</v>
      </c>
      <c r="CX2251" s="115" t="e">
        <v>#N/A</v>
      </c>
      <c r="CY2251" s="115" t="e">
        <v>#N/A</v>
      </c>
      <c r="CZ2251" s="137" t="e">
        <v>#N/A</v>
      </c>
      <c r="DA2251">
        <v>0.11332468572476186</v>
      </c>
      <c r="DB2251" t="str">
        <v/>
      </c>
    </row>
    <row r="2252" spans="83:106" x14ac:dyDescent="0.2">
      <c r="CE2252"/>
      <c r="CF2252"/>
      <c r="CG2252"/>
      <c r="CH2252"/>
      <c r="CI2252"/>
      <c r="CU2252" s="42">
        <v>2247</v>
      </c>
      <c r="CV2252" s="115">
        <v>4</v>
      </c>
      <c r="CW2252" s="115">
        <v>0.11332468572476186</v>
      </c>
      <c r="CX2252" s="115" t="e">
        <v>#N/A</v>
      </c>
      <c r="CY2252" s="115" t="e">
        <v>#N/A</v>
      </c>
      <c r="CZ2252" s="137" t="e">
        <v>#N/A</v>
      </c>
      <c r="DA2252">
        <v>0.11332468572476186</v>
      </c>
      <c r="DB2252" t="str">
        <v/>
      </c>
    </row>
    <row r="2253" spans="83:106" x14ac:dyDescent="0.2">
      <c r="CE2253"/>
      <c r="CF2253"/>
      <c r="CG2253"/>
      <c r="CH2253"/>
      <c r="CI2253"/>
      <c r="CU2253" s="42">
        <v>2248</v>
      </c>
      <c r="CV2253" s="115">
        <v>4</v>
      </c>
      <c r="CW2253" s="115">
        <v>0.11332468572476186</v>
      </c>
      <c r="CX2253" s="115" t="e">
        <v>#N/A</v>
      </c>
      <c r="CY2253" s="115" t="e">
        <v>#N/A</v>
      </c>
      <c r="CZ2253" s="137" t="e">
        <v>#N/A</v>
      </c>
      <c r="DA2253">
        <v>0.11332468572476186</v>
      </c>
      <c r="DB2253" t="str">
        <v/>
      </c>
    </row>
    <row r="2254" spans="83:106" x14ac:dyDescent="0.2">
      <c r="CE2254"/>
      <c r="CF2254"/>
      <c r="CG2254"/>
      <c r="CH2254"/>
      <c r="CI2254"/>
      <c r="CU2254" s="42">
        <v>2249</v>
      </c>
      <c r="CV2254" s="115">
        <v>4</v>
      </c>
      <c r="CW2254" s="115">
        <v>0.11332468572476186</v>
      </c>
      <c r="CX2254" s="115" t="e">
        <v>#N/A</v>
      </c>
      <c r="CY2254" s="115" t="e">
        <v>#N/A</v>
      </c>
      <c r="CZ2254" s="137" t="e">
        <v>#N/A</v>
      </c>
      <c r="DA2254">
        <v>0.11332468572476186</v>
      </c>
      <c r="DB2254" t="str">
        <v/>
      </c>
    </row>
    <row r="2255" spans="83:106" x14ac:dyDescent="0.2">
      <c r="CE2255"/>
      <c r="CF2255"/>
      <c r="CG2255"/>
      <c r="CH2255"/>
      <c r="CI2255"/>
      <c r="CU2255" s="42">
        <v>2250</v>
      </c>
      <c r="CV2255" s="115">
        <v>4</v>
      </c>
      <c r="CW2255" s="115">
        <v>0.11332468572476186</v>
      </c>
      <c r="CX2255" s="115" t="e">
        <v>#N/A</v>
      </c>
      <c r="CY2255" s="115" t="e">
        <v>#N/A</v>
      </c>
      <c r="CZ2255" s="137" t="e">
        <v>#N/A</v>
      </c>
      <c r="DA2255">
        <v>0.11332468572476186</v>
      </c>
      <c r="DB2255" t="str">
        <v/>
      </c>
    </row>
    <row r="2256" spans="83:106" x14ac:dyDescent="0.2">
      <c r="CE2256"/>
      <c r="CF2256"/>
      <c r="CG2256"/>
      <c r="CH2256"/>
      <c r="CI2256"/>
      <c r="CU2256" s="42">
        <v>2251</v>
      </c>
      <c r="CV2256" s="115">
        <v>4</v>
      </c>
      <c r="CW2256" s="115">
        <v>0.11332468572476186</v>
      </c>
      <c r="CX2256" s="115" t="e">
        <v>#N/A</v>
      </c>
      <c r="CY2256" s="115" t="e">
        <v>#N/A</v>
      </c>
      <c r="CZ2256" s="137" t="e">
        <v>#N/A</v>
      </c>
      <c r="DA2256">
        <v>0.11332468572476186</v>
      </c>
      <c r="DB2256" t="str">
        <v/>
      </c>
    </row>
    <row r="2257" spans="83:106" x14ac:dyDescent="0.2">
      <c r="CE2257"/>
      <c r="CF2257"/>
      <c r="CG2257"/>
      <c r="CH2257"/>
      <c r="CI2257"/>
      <c r="CU2257" s="42">
        <v>2252</v>
      </c>
      <c r="CV2257" s="115">
        <v>4</v>
      </c>
      <c r="CW2257" s="115">
        <v>0.11332468572476186</v>
      </c>
      <c r="CX2257" s="115" t="e">
        <v>#N/A</v>
      </c>
      <c r="CY2257" s="115" t="e">
        <v>#N/A</v>
      </c>
      <c r="CZ2257" s="137" t="e">
        <v>#N/A</v>
      </c>
      <c r="DA2257">
        <v>0.11332468572476186</v>
      </c>
      <c r="DB2257" t="str">
        <v/>
      </c>
    </row>
    <row r="2258" spans="83:106" x14ac:dyDescent="0.2">
      <c r="CE2258"/>
      <c r="CF2258"/>
      <c r="CG2258"/>
      <c r="CH2258"/>
      <c r="CI2258"/>
      <c r="CU2258" s="42">
        <v>2253</v>
      </c>
      <c r="CV2258" s="115">
        <v>4</v>
      </c>
      <c r="CW2258" s="115">
        <v>0.11332468572476186</v>
      </c>
      <c r="CX2258" s="115" t="e">
        <v>#N/A</v>
      </c>
      <c r="CY2258" s="115" t="e">
        <v>#N/A</v>
      </c>
      <c r="CZ2258" s="137" t="e">
        <v>#N/A</v>
      </c>
      <c r="DA2258">
        <v>0.11332468572476186</v>
      </c>
      <c r="DB2258" t="str">
        <v/>
      </c>
    </row>
    <row r="2259" spans="83:106" x14ac:dyDescent="0.2">
      <c r="CE2259"/>
      <c r="CF2259"/>
      <c r="CG2259"/>
      <c r="CH2259"/>
      <c r="CI2259"/>
      <c r="CU2259" s="42">
        <v>2254</v>
      </c>
      <c r="CV2259" s="115">
        <v>4</v>
      </c>
      <c r="CW2259" s="115">
        <v>0.11332468572476186</v>
      </c>
      <c r="CX2259" s="115" t="e">
        <v>#N/A</v>
      </c>
      <c r="CY2259" s="115" t="e">
        <v>#N/A</v>
      </c>
      <c r="CZ2259" s="137" t="e">
        <v>#N/A</v>
      </c>
      <c r="DA2259">
        <v>0.11332468572476186</v>
      </c>
      <c r="DB2259" t="str">
        <v/>
      </c>
    </row>
    <row r="2260" spans="83:106" x14ac:dyDescent="0.2">
      <c r="CE2260"/>
      <c r="CF2260"/>
      <c r="CG2260"/>
      <c r="CH2260"/>
      <c r="CI2260"/>
      <c r="CU2260" s="42">
        <v>2255</v>
      </c>
      <c r="CV2260" s="115">
        <v>4</v>
      </c>
      <c r="CW2260" s="115">
        <v>0.11332468572476186</v>
      </c>
      <c r="CX2260" s="115" t="e">
        <v>#N/A</v>
      </c>
      <c r="CY2260" s="115" t="e">
        <v>#N/A</v>
      </c>
      <c r="CZ2260" s="137" t="e">
        <v>#N/A</v>
      </c>
      <c r="DA2260">
        <v>0.11332468572476186</v>
      </c>
      <c r="DB2260" t="str">
        <v/>
      </c>
    </row>
    <row r="2261" spans="83:106" x14ac:dyDescent="0.2">
      <c r="CE2261"/>
      <c r="CF2261"/>
      <c r="CG2261"/>
      <c r="CH2261"/>
      <c r="CI2261"/>
      <c r="CU2261" s="42">
        <v>2256</v>
      </c>
      <c r="CV2261" s="115">
        <v>4</v>
      </c>
      <c r="CW2261" s="115">
        <v>0.11332468572476186</v>
      </c>
      <c r="CX2261" s="115" t="e">
        <v>#N/A</v>
      </c>
      <c r="CY2261" s="115" t="e">
        <v>#N/A</v>
      </c>
      <c r="CZ2261" s="137" t="e">
        <v>#N/A</v>
      </c>
      <c r="DA2261">
        <v>0.11332468572476186</v>
      </c>
      <c r="DB2261" t="str">
        <v/>
      </c>
    </row>
    <row r="2262" spans="83:106" x14ac:dyDescent="0.2">
      <c r="CE2262"/>
      <c r="CF2262"/>
      <c r="CG2262"/>
      <c r="CH2262"/>
      <c r="CI2262"/>
      <c r="CU2262" s="42">
        <v>2257</v>
      </c>
      <c r="CV2262" s="115">
        <v>4</v>
      </c>
      <c r="CW2262" s="115">
        <v>0.11332468572476186</v>
      </c>
      <c r="CX2262" s="115" t="e">
        <v>#N/A</v>
      </c>
      <c r="CY2262" s="115" t="e">
        <v>#N/A</v>
      </c>
      <c r="CZ2262" s="137" t="e">
        <v>#N/A</v>
      </c>
      <c r="DA2262">
        <v>0.11332468572476186</v>
      </c>
      <c r="DB2262" t="str">
        <v/>
      </c>
    </row>
    <row r="2263" spans="83:106" x14ac:dyDescent="0.2">
      <c r="CE2263"/>
      <c r="CF2263"/>
      <c r="CG2263"/>
      <c r="CH2263"/>
      <c r="CI2263"/>
      <c r="CU2263" s="42">
        <v>2258</v>
      </c>
      <c r="CV2263" s="115">
        <v>4</v>
      </c>
      <c r="CW2263" s="115">
        <v>0.11332468572476186</v>
      </c>
      <c r="CX2263" s="115" t="e">
        <v>#N/A</v>
      </c>
      <c r="CY2263" s="115" t="e">
        <v>#N/A</v>
      </c>
      <c r="CZ2263" s="137" t="e">
        <v>#N/A</v>
      </c>
      <c r="DA2263">
        <v>0.11332468572476186</v>
      </c>
      <c r="DB2263" t="str">
        <v/>
      </c>
    </row>
    <row r="2264" spans="83:106" x14ac:dyDescent="0.2">
      <c r="CE2264"/>
      <c r="CF2264"/>
      <c r="CG2264"/>
      <c r="CH2264"/>
      <c r="CI2264"/>
      <c r="CU2264" s="42">
        <v>2259</v>
      </c>
      <c r="CV2264" s="115">
        <v>4</v>
      </c>
      <c r="CW2264" s="115">
        <v>0.11332468572476186</v>
      </c>
      <c r="CX2264" s="115" t="e">
        <v>#N/A</v>
      </c>
      <c r="CY2264" s="115" t="e">
        <v>#N/A</v>
      </c>
      <c r="CZ2264" s="137" t="e">
        <v>#N/A</v>
      </c>
      <c r="DA2264">
        <v>0.11332468572476186</v>
      </c>
      <c r="DB2264" t="str">
        <v/>
      </c>
    </row>
    <row r="2265" spans="83:106" x14ac:dyDescent="0.2">
      <c r="CE2265"/>
      <c r="CF2265"/>
      <c r="CG2265"/>
      <c r="CH2265"/>
      <c r="CI2265"/>
      <c r="CU2265" s="42">
        <v>2260</v>
      </c>
      <c r="CV2265" s="115">
        <v>4</v>
      </c>
      <c r="CW2265" s="115">
        <v>0.11332468572476186</v>
      </c>
      <c r="CX2265" s="115" t="e">
        <v>#N/A</v>
      </c>
      <c r="CY2265" s="115" t="e">
        <v>#N/A</v>
      </c>
      <c r="CZ2265" s="137" t="e">
        <v>#N/A</v>
      </c>
      <c r="DA2265">
        <v>0.11332468572476186</v>
      </c>
      <c r="DB2265" t="str">
        <v/>
      </c>
    </row>
    <row r="2266" spans="83:106" x14ac:dyDescent="0.2">
      <c r="CE2266"/>
      <c r="CF2266"/>
      <c r="CG2266"/>
      <c r="CH2266"/>
      <c r="CI2266"/>
      <c r="CU2266" s="42">
        <v>2261</v>
      </c>
      <c r="CV2266" s="115">
        <v>4</v>
      </c>
      <c r="CW2266" s="115">
        <v>0.11332468572476186</v>
      </c>
      <c r="CX2266" s="115" t="e">
        <v>#N/A</v>
      </c>
      <c r="CY2266" s="115" t="e">
        <v>#N/A</v>
      </c>
      <c r="CZ2266" s="137" t="e">
        <v>#N/A</v>
      </c>
      <c r="DA2266">
        <v>0.11332468572476186</v>
      </c>
      <c r="DB2266" t="str">
        <v/>
      </c>
    </row>
    <row r="2267" spans="83:106" x14ac:dyDescent="0.2">
      <c r="CE2267"/>
      <c r="CF2267"/>
      <c r="CG2267"/>
      <c r="CH2267"/>
      <c r="CI2267"/>
      <c r="CU2267" s="42">
        <v>2262</v>
      </c>
      <c r="CV2267" s="115">
        <v>4</v>
      </c>
      <c r="CW2267" s="115">
        <v>0.11332468572476186</v>
      </c>
      <c r="CX2267" s="115" t="e">
        <v>#N/A</v>
      </c>
      <c r="CY2267" s="115" t="e">
        <v>#N/A</v>
      </c>
      <c r="CZ2267" s="137" t="e">
        <v>#N/A</v>
      </c>
      <c r="DA2267">
        <v>0.11332468572476186</v>
      </c>
      <c r="DB2267" t="str">
        <v/>
      </c>
    </row>
    <row r="2268" spans="83:106" x14ac:dyDescent="0.2">
      <c r="CE2268"/>
      <c r="CF2268"/>
      <c r="CG2268"/>
      <c r="CH2268"/>
      <c r="CI2268"/>
      <c r="CU2268" s="42">
        <v>2263</v>
      </c>
      <c r="CV2268" s="115">
        <v>4</v>
      </c>
      <c r="CW2268" s="115">
        <v>0.11332468572476186</v>
      </c>
      <c r="CX2268" s="115" t="e">
        <v>#N/A</v>
      </c>
      <c r="CY2268" s="115" t="e">
        <v>#N/A</v>
      </c>
      <c r="CZ2268" s="137" t="e">
        <v>#N/A</v>
      </c>
      <c r="DA2268">
        <v>0.11332468572476186</v>
      </c>
      <c r="DB2268" t="str">
        <v/>
      </c>
    </row>
    <row r="2269" spans="83:106" x14ac:dyDescent="0.2">
      <c r="CE2269"/>
      <c r="CF2269"/>
      <c r="CG2269"/>
      <c r="CH2269"/>
      <c r="CI2269"/>
      <c r="CU2269" s="42">
        <v>2264</v>
      </c>
      <c r="CV2269" s="115">
        <v>4</v>
      </c>
      <c r="CW2269" s="115">
        <v>0.11332468572476186</v>
      </c>
      <c r="CX2269" s="115" t="e">
        <v>#N/A</v>
      </c>
      <c r="CY2269" s="115" t="e">
        <v>#N/A</v>
      </c>
      <c r="CZ2269" s="137" t="e">
        <v>#N/A</v>
      </c>
      <c r="DA2269">
        <v>0.11332468572476186</v>
      </c>
      <c r="DB2269" t="str">
        <v/>
      </c>
    </row>
    <row r="2270" spans="83:106" x14ac:dyDescent="0.2">
      <c r="CE2270"/>
      <c r="CF2270"/>
      <c r="CG2270"/>
      <c r="CH2270"/>
      <c r="CI2270"/>
      <c r="CU2270" s="42">
        <v>2265</v>
      </c>
      <c r="CV2270" s="115">
        <v>4</v>
      </c>
      <c r="CW2270" s="115">
        <v>0.11332468572476186</v>
      </c>
      <c r="CX2270" s="115" t="e">
        <v>#N/A</v>
      </c>
      <c r="CY2270" s="115" t="e">
        <v>#N/A</v>
      </c>
      <c r="CZ2270" s="137" t="e">
        <v>#N/A</v>
      </c>
      <c r="DA2270">
        <v>0.11332468572476186</v>
      </c>
      <c r="DB2270" t="str">
        <v/>
      </c>
    </row>
    <row r="2271" spans="83:106" x14ac:dyDescent="0.2">
      <c r="CE2271"/>
      <c r="CF2271"/>
      <c r="CG2271"/>
      <c r="CH2271"/>
      <c r="CI2271"/>
      <c r="CU2271" s="42">
        <v>2266</v>
      </c>
      <c r="CV2271" s="115">
        <v>4</v>
      </c>
      <c r="CW2271" s="115">
        <v>0.11332468572476186</v>
      </c>
      <c r="CX2271" s="115" t="e">
        <v>#N/A</v>
      </c>
      <c r="CY2271" s="115" t="e">
        <v>#N/A</v>
      </c>
      <c r="CZ2271" s="137" t="e">
        <v>#N/A</v>
      </c>
      <c r="DA2271">
        <v>0.11332468572476186</v>
      </c>
      <c r="DB2271" t="str">
        <v/>
      </c>
    </row>
    <row r="2272" spans="83:106" x14ac:dyDescent="0.2">
      <c r="CE2272"/>
      <c r="CF2272"/>
      <c r="CG2272"/>
      <c r="CH2272"/>
      <c r="CI2272"/>
      <c r="CU2272" s="42">
        <v>2267</v>
      </c>
      <c r="CV2272" s="115">
        <v>4</v>
      </c>
      <c r="CW2272" s="115">
        <v>0.11332468572476186</v>
      </c>
      <c r="CX2272" s="115" t="e">
        <v>#N/A</v>
      </c>
      <c r="CY2272" s="115" t="e">
        <v>#N/A</v>
      </c>
      <c r="CZ2272" s="137" t="e">
        <v>#N/A</v>
      </c>
      <c r="DA2272">
        <v>0.11332468572476186</v>
      </c>
      <c r="DB2272" t="str">
        <v/>
      </c>
    </row>
    <row r="2273" spans="83:106" x14ac:dyDescent="0.2">
      <c r="CE2273"/>
      <c r="CF2273"/>
      <c r="CG2273"/>
      <c r="CH2273"/>
      <c r="CI2273"/>
      <c r="CU2273" s="42">
        <v>2268</v>
      </c>
      <c r="CV2273" s="115">
        <v>4</v>
      </c>
      <c r="CW2273" s="115">
        <v>0.11332468572476186</v>
      </c>
      <c r="CX2273" s="115" t="e">
        <v>#N/A</v>
      </c>
      <c r="CY2273" s="115" t="e">
        <v>#N/A</v>
      </c>
      <c r="CZ2273" s="137" t="e">
        <v>#N/A</v>
      </c>
      <c r="DA2273">
        <v>0.11332468572476186</v>
      </c>
      <c r="DB2273" t="str">
        <v/>
      </c>
    </row>
    <row r="2274" spans="83:106" x14ac:dyDescent="0.2">
      <c r="CE2274"/>
      <c r="CF2274"/>
      <c r="CG2274"/>
      <c r="CH2274"/>
      <c r="CI2274"/>
      <c r="CU2274" s="42">
        <v>2269</v>
      </c>
      <c r="CV2274" s="115">
        <v>4</v>
      </c>
      <c r="CW2274" s="115">
        <v>0.11332468572476186</v>
      </c>
      <c r="CX2274" s="115" t="e">
        <v>#N/A</v>
      </c>
      <c r="CY2274" s="115" t="e">
        <v>#N/A</v>
      </c>
      <c r="CZ2274" s="137" t="e">
        <v>#N/A</v>
      </c>
      <c r="DA2274">
        <v>0.11332468572476186</v>
      </c>
      <c r="DB2274" t="str">
        <v/>
      </c>
    </row>
    <row r="2275" spans="83:106" x14ac:dyDescent="0.2">
      <c r="CE2275"/>
      <c r="CF2275"/>
      <c r="CG2275"/>
      <c r="CH2275"/>
      <c r="CI2275"/>
      <c r="CU2275" s="42">
        <v>2270</v>
      </c>
      <c r="CV2275" s="115">
        <v>4</v>
      </c>
      <c r="CW2275" s="115">
        <v>0.11332468572476186</v>
      </c>
      <c r="CX2275" s="115" t="e">
        <v>#N/A</v>
      </c>
      <c r="CY2275" s="115" t="e">
        <v>#N/A</v>
      </c>
      <c r="CZ2275" s="137" t="e">
        <v>#N/A</v>
      </c>
      <c r="DA2275">
        <v>0.11332468572476186</v>
      </c>
      <c r="DB2275" t="str">
        <v/>
      </c>
    </row>
    <row r="2276" spans="83:106" x14ac:dyDescent="0.2">
      <c r="CE2276"/>
      <c r="CF2276"/>
      <c r="CG2276"/>
      <c r="CH2276"/>
      <c r="CI2276"/>
      <c r="CU2276" s="42">
        <v>2271</v>
      </c>
      <c r="CV2276" s="115">
        <v>4</v>
      </c>
      <c r="CW2276" s="115">
        <v>0.11332468572476186</v>
      </c>
      <c r="CX2276" s="115" t="e">
        <v>#N/A</v>
      </c>
      <c r="CY2276" s="115" t="e">
        <v>#N/A</v>
      </c>
      <c r="CZ2276" s="137" t="e">
        <v>#N/A</v>
      </c>
      <c r="DA2276">
        <v>0.11332468572476186</v>
      </c>
      <c r="DB2276" t="str">
        <v/>
      </c>
    </row>
    <row r="2277" spans="83:106" x14ac:dyDescent="0.2">
      <c r="CE2277"/>
      <c r="CF2277"/>
      <c r="CG2277"/>
      <c r="CH2277"/>
      <c r="CI2277"/>
      <c r="CU2277" s="42">
        <v>2272</v>
      </c>
      <c r="CV2277" s="115">
        <v>4</v>
      </c>
      <c r="CW2277" s="115">
        <v>0.11332468572476186</v>
      </c>
      <c r="CX2277" s="115" t="e">
        <v>#N/A</v>
      </c>
      <c r="CY2277" s="115" t="e">
        <v>#N/A</v>
      </c>
      <c r="CZ2277" s="137" t="e">
        <v>#N/A</v>
      </c>
      <c r="DA2277">
        <v>0.11332468572476186</v>
      </c>
      <c r="DB2277" t="str">
        <v/>
      </c>
    </row>
    <row r="2278" spans="83:106" x14ac:dyDescent="0.2">
      <c r="CE2278"/>
      <c r="CF2278"/>
      <c r="CG2278"/>
      <c r="CH2278"/>
      <c r="CI2278"/>
      <c r="CU2278" s="42">
        <v>2273</v>
      </c>
      <c r="CV2278" s="115">
        <v>4</v>
      </c>
      <c r="CW2278" s="115">
        <v>0.11332468572476186</v>
      </c>
      <c r="CX2278" s="115" t="e">
        <v>#N/A</v>
      </c>
      <c r="CY2278" s="115" t="e">
        <v>#N/A</v>
      </c>
      <c r="CZ2278" s="137" t="e">
        <v>#N/A</v>
      </c>
      <c r="DA2278">
        <v>0.11332468572476186</v>
      </c>
      <c r="DB2278" t="str">
        <v/>
      </c>
    </row>
    <row r="2279" spans="83:106" x14ac:dyDescent="0.2">
      <c r="CE2279"/>
      <c r="CF2279"/>
      <c r="CG2279"/>
      <c r="CH2279"/>
      <c r="CI2279"/>
      <c r="CU2279" s="42">
        <v>2274</v>
      </c>
      <c r="CV2279" s="115">
        <v>4</v>
      </c>
      <c r="CW2279" s="115">
        <v>0.11332468572476186</v>
      </c>
      <c r="CX2279" s="115" t="e">
        <v>#N/A</v>
      </c>
      <c r="CY2279" s="115" t="e">
        <v>#N/A</v>
      </c>
      <c r="CZ2279" s="137" t="e">
        <v>#N/A</v>
      </c>
      <c r="DA2279">
        <v>0.11332468572476186</v>
      </c>
      <c r="DB2279" t="str">
        <v/>
      </c>
    </row>
    <row r="2280" spans="83:106" x14ac:dyDescent="0.2">
      <c r="CE2280"/>
      <c r="CF2280"/>
      <c r="CG2280"/>
      <c r="CH2280"/>
      <c r="CI2280"/>
      <c r="CU2280" s="42">
        <v>2275</v>
      </c>
      <c r="CV2280" s="115">
        <v>4</v>
      </c>
      <c r="CW2280" s="115">
        <v>0.11332468572476186</v>
      </c>
      <c r="CX2280" s="115" t="e">
        <v>#N/A</v>
      </c>
      <c r="CY2280" s="115" t="e">
        <v>#N/A</v>
      </c>
      <c r="CZ2280" s="137" t="e">
        <v>#N/A</v>
      </c>
      <c r="DA2280">
        <v>0.11332468572476186</v>
      </c>
      <c r="DB2280" t="str">
        <v/>
      </c>
    </row>
    <row r="2281" spans="83:106" x14ac:dyDescent="0.2">
      <c r="CE2281"/>
      <c r="CF2281"/>
      <c r="CG2281"/>
      <c r="CH2281"/>
      <c r="CI2281"/>
      <c r="CU2281" s="42">
        <v>2276</v>
      </c>
      <c r="CV2281" s="115">
        <v>4</v>
      </c>
      <c r="CW2281" s="115">
        <v>0.11332468572476186</v>
      </c>
      <c r="CX2281" s="115" t="e">
        <v>#N/A</v>
      </c>
      <c r="CY2281" s="115" t="e">
        <v>#N/A</v>
      </c>
      <c r="CZ2281" s="137" t="e">
        <v>#N/A</v>
      </c>
      <c r="DA2281">
        <v>0.11332468572476186</v>
      </c>
      <c r="DB2281" t="str">
        <v/>
      </c>
    </row>
    <row r="2282" spans="83:106" x14ac:dyDescent="0.2">
      <c r="CE2282"/>
      <c r="CF2282"/>
      <c r="CG2282"/>
      <c r="CH2282"/>
      <c r="CI2282"/>
      <c r="CU2282" s="42">
        <v>2277</v>
      </c>
      <c r="CV2282" s="115">
        <v>4</v>
      </c>
      <c r="CW2282" s="115">
        <v>0.11332468572476186</v>
      </c>
      <c r="CX2282" s="115" t="e">
        <v>#N/A</v>
      </c>
      <c r="CY2282" s="115" t="e">
        <v>#N/A</v>
      </c>
      <c r="CZ2282" s="137" t="e">
        <v>#N/A</v>
      </c>
      <c r="DA2282">
        <v>0.11332468572476186</v>
      </c>
      <c r="DB2282" t="str">
        <v/>
      </c>
    </row>
    <row r="2283" spans="83:106" x14ac:dyDescent="0.2">
      <c r="CE2283"/>
      <c r="CF2283"/>
      <c r="CG2283"/>
      <c r="CH2283"/>
      <c r="CI2283"/>
      <c r="CU2283" s="42">
        <v>2278</v>
      </c>
      <c r="CV2283" s="115">
        <v>4</v>
      </c>
      <c r="CW2283" s="115">
        <v>0.11332468572476186</v>
      </c>
      <c r="CX2283" s="115" t="e">
        <v>#N/A</v>
      </c>
      <c r="CY2283" s="115" t="e">
        <v>#N/A</v>
      </c>
      <c r="CZ2283" s="137" t="e">
        <v>#N/A</v>
      </c>
      <c r="DA2283">
        <v>0.11332468572476186</v>
      </c>
      <c r="DB2283" t="str">
        <v/>
      </c>
    </row>
    <row r="2284" spans="83:106" x14ac:dyDescent="0.2">
      <c r="CE2284"/>
      <c r="CF2284"/>
      <c r="CG2284"/>
      <c r="CH2284"/>
      <c r="CI2284"/>
      <c r="CU2284" s="42">
        <v>2279</v>
      </c>
      <c r="CV2284" s="115">
        <v>4</v>
      </c>
      <c r="CW2284" s="115">
        <v>0.11332468572476186</v>
      </c>
      <c r="CX2284" s="115" t="e">
        <v>#N/A</v>
      </c>
      <c r="CY2284" s="115" t="e">
        <v>#N/A</v>
      </c>
      <c r="CZ2284" s="137" t="e">
        <v>#N/A</v>
      </c>
      <c r="DA2284">
        <v>0.11332468572476186</v>
      </c>
      <c r="DB2284" t="str">
        <v/>
      </c>
    </row>
    <row r="2285" spans="83:106" x14ac:dyDescent="0.2">
      <c r="CE2285"/>
      <c r="CF2285"/>
      <c r="CG2285"/>
      <c r="CH2285"/>
      <c r="CI2285"/>
      <c r="CU2285" s="42">
        <v>2280</v>
      </c>
      <c r="CV2285" s="115">
        <v>4</v>
      </c>
      <c r="CW2285" s="115">
        <v>0.11332468572476186</v>
      </c>
      <c r="CX2285" s="115" t="e">
        <v>#N/A</v>
      </c>
      <c r="CY2285" s="115" t="e">
        <v>#N/A</v>
      </c>
      <c r="CZ2285" s="137" t="e">
        <v>#N/A</v>
      </c>
      <c r="DA2285">
        <v>0.11332468572476186</v>
      </c>
      <c r="DB2285" t="str">
        <v/>
      </c>
    </row>
    <row r="2286" spans="83:106" x14ac:dyDescent="0.2">
      <c r="CE2286"/>
      <c r="CF2286"/>
      <c r="CG2286"/>
      <c r="CH2286"/>
      <c r="CI2286"/>
      <c r="CU2286" s="42">
        <v>2281</v>
      </c>
      <c r="CV2286" s="115">
        <v>4</v>
      </c>
      <c r="CW2286" s="115">
        <v>0.11332468572476186</v>
      </c>
      <c r="CX2286" s="115" t="e">
        <v>#N/A</v>
      </c>
      <c r="CY2286" s="115" t="e">
        <v>#N/A</v>
      </c>
      <c r="CZ2286" s="137" t="e">
        <v>#N/A</v>
      </c>
      <c r="DA2286">
        <v>0.11332468572476186</v>
      </c>
      <c r="DB2286" t="str">
        <v/>
      </c>
    </row>
    <row r="2287" spans="83:106" x14ac:dyDescent="0.2">
      <c r="CE2287"/>
      <c r="CF2287"/>
      <c r="CG2287"/>
      <c r="CH2287"/>
      <c r="CI2287"/>
      <c r="CU2287" s="42">
        <v>2282</v>
      </c>
      <c r="CV2287" s="115">
        <v>4</v>
      </c>
      <c r="CW2287" s="115">
        <v>0.11332468572476186</v>
      </c>
      <c r="CX2287" s="115" t="e">
        <v>#N/A</v>
      </c>
      <c r="CY2287" s="115" t="e">
        <v>#N/A</v>
      </c>
      <c r="CZ2287" s="137" t="e">
        <v>#N/A</v>
      </c>
      <c r="DA2287">
        <v>0.11332468572476186</v>
      </c>
      <c r="DB2287" t="str">
        <v/>
      </c>
    </row>
    <row r="2288" spans="83:106" x14ac:dyDescent="0.2">
      <c r="CE2288"/>
      <c r="CF2288"/>
      <c r="CG2288"/>
      <c r="CH2288"/>
      <c r="CI2288"/>
      <c r="CU2288" s="42">
        <v>2283</v>
      </c>
      <c r="CV2288" s="115">
        <v>4</v>
      </c>
      <c r="CW2288" s="115">
        <v>0.11332468572476186</v>
      </c>
      <c r="CX2288" s="115" t="e">
        <v>#N/A</v>
      </c>
      <c r="CY2288" s="115" t="e">
        <v>#N/A</v>
      </c>
      <c r="CZ2288" s="137" t="e">
        <v>#N/A</v>
      </c>
      <c r="DA2288">
        <v>0.11332468572476186</v>
      </c>
      <c r="DB2288" t="str">
        <v/>
      </c>
    </row>
    <row r="2289" spans="83:106" x14ac:dyDescent="0.2">
      <c r="CE2289"/>
      <c r="CF2289"/>
      <c r="CG2289"/>
      <c r="CH2289"/>
      <c r="CI2289"/>
      <c r="CU2289" s="42">
        <v>2284</v>
      </c>
      <c r="CV2289" s="115">
        <v>4</v>
      </c>
      <c r="CW2289" s="115">
        <v>0.11332468572476186</v>
      </c>
      <c r="CX2289" s="115" t="e">
        <v>#N/A</v>
      </c>
      <c r="CY2289" s="115" t="e">
        <v>#N/A</v>
      </c>
      <c r="CZ2289" s="137" t="e">
        <v>#N/A</v>
      </c>
      <c r="DA2289">
        <v>0.11332468572476186</v>
      </c>
      <c r="DB2289" t="str">
        <v/>
      </c>
    </row>
    <row r="2290" spans="83:106" x14ac:dyDescent="0.2">
      <c r="CE2290"/>
      <c r="CF2290"/>
      <c r="CG2290"/>
      <c r="CH2290"/>
      <c r="CI2290"/>
      <c r="CU2290" s="42">
        <v>2285</v>
      </c>
      <c r="CV2290" s="115">
        <v>4</v>
      </c>
      <c r="CW2290" s="115">
        <v>0.11332468572476186</v>
      </c>
      <c r="CX2290" s="115" t="e">
        <v>#N/A</v>
      </c>
      <c r="CY2290" s="115" t="e">
        <v>#N/A</v>
      </c>
      <c r="CZ2290" s="137" t="e">
        <v>#N/A</v>
      </c>
      <c r="DA2290">
        <v>0.11332468572476186</v>
      </c>
      <c r="DB2290" t="str">
        <v/>
      </c>
    </row>
    <row r="2291" spans="83:106" x14ac:dyDescent="0.2">
      <c r="CE2291"/>
      <c r="CF2291"/>
      <c r="CG2291"/>
      <c r="CH2291"/>
      <c r="CI2291"/>
      <c r="CU2291" s="42">
        <v>2286</v>
      </c>
      <c r="CV2291" s="115">
        <v>4</v>
      </c>
      <c r="CW2291" s="115">
        <v>0.11332468572476186</v>
      </c>
      <c r="CX2291" s="115" t="e">
        <v>#N/A</v>
      </c>
      <c r="CY2291" s="115" t="e">
        <v>#N/A</v>
      </c>
      <c r="CZ2291" s="137" t="e">
        <v>#N/A</v>
      </c>
      <c r="DA2291">
        <v>0.11332468572476186</v>
      </c>
      <c r="DB2291" t="str">
        <v/>
      </c>
    </row>
    <row r="2292" spans="83:106" x14ac:dyDescent="0.2">
      <c r="CE2292"/>
      <c r="CF2292"/>
      <c r="CG2292"/>
      <c r="CH2292"/>
      <c r="CI2292"/>
      <c r="CU2292" s="42">
        <v>2287</v>
      </c>
      <c r="CV2292" s="115">
        <v>4</v>
      </c>
      <c r="CW2292" s="115">
        <v>0.11332468572476186</v>
      </c>
      <c r="CX2292" s="115" t="e">
        <v>#N/A</v>
      </c>
      <c r="CY2292" s="115" t="e">
        <v>#N/A</v>
      </c>
      <c r="CZ2292" s="137" t="e">
        <v>#N/A</v>
      </c>
      <c r="DA2292">
        <v>0.11332468572476186</v>
      </c>
      <c r="DB2292" t="str">
        <v/>
      </c>
    </row>
    <row r="2293" spans="83:106" x14ac:dyDescent="0.2">
      <c r="CE2293"/>
      <c r="CF2293"/>
      <c r="CG2293"/>
      <c r="CH2293"/>
      <c r="CI2293"/>
      <c r="CU2293" s="42">
        <v>2288</v>
      </c>
      <c r="CV2293" s="115">
        <v>4</v>
      </c>
      <c r="CW2293" s="115">
        <v>0.11332468572476186</v>
      </c>
      <c r="CX2293" s="115" t="e">
        <v>#N/A</v>
      </c>
      <c r="CY2293" s="115" t="e">
        <v>#N/A</v>
      </c>
      <c r="CZ2293" s="137" t="e">
        <v>#N/A</v>
      </c>
      <c r="DA2293">
        <v>0.11332468572476186</v>
      </c>
      <c r="DB2293" t="str">
        <v/>
      </c>
    </row>
    <row r="2294" spans="83:106" x14ac:dyDescent="0.2">
      <c r="CE2294"/>
      <c r="CF2294"/>
      <c r="CG2294"/>
      <c r="CH2294"/>
      <c r="CI2294"/>
      <c r="CU2294" s="42">
        <v>2289</v>
      </c>
      <c r="CV2294" s="115">
        <v>4</v>
      </c>
      <c r="CW2294" s="115">
        <v>0.11332468572476186</v>
      </c>
      <c r="CX2294" s="115" t="e">
        <v>#N/A</v>
      </c>
      <c r="CY2294" s="115" t="e">
        <v>#N/A</v>
      </c>
      <c r="CZ2294" s="137" t="e">
        <v>#N/A</v>
      </c>
      <c r="DA2294">
        <v>0.11332468572476186</v>
      </c>
      <c r="DB2294" t="str">
        <v/>
      </c>
    </row>
    <row r="2295" spans="83:106" x14ac:dyDescent="0.2">
      <c r="CE2295"/>
      <c r="CF2295"/>
      <c r="CG2295"/>
      <c r="CH2295"/>
      <c r="CI2295"/>
      <c r="CU2295" s="42">
        <v>2290</v>
      </c>
      <c r="CV2295" s="115">
        <v>4</v>
      </c>
      <c r="CW2295" s="115">
        <v>0.11332468572476186</v>
      </c>
      <c r="CX2295" s="115" t="e">
        <v>#N/A</v>
      </c>
      <c r="CY2295" s="115" t="e">
        <v>#N/A</v>
      </c>
      <c r="CZ2295" s="137" t="e">
        <v>#N/A</v>
      </c>
      <c r="DA2295">
        <v>0.11332468572476186</v>
      </c>
      <c r="DB2295" t="str">
        <v/>
      </c>
    </row>
    <row r="2296" spans="83:106" x14ac:dyDescent="0.2">
      <c r="CE2296"/>
      <c r="CF2296"/>
      <c r="CG2296"/>
      <c r="CH2296"/>
      <c r="CI2296"/>
      <c r="CU2296" s="42">
        <v>2291</v>
      </c>
      <c r="CV2296" s="115">
        <v>4</v>
      </c>
      <c r="CW2296" s="115">
        <v>0.11332468572476186</v>
      </c>
      <c r="CX2296" s="115" t="e">
        <v>#N/A</v>
      </c>
      <c r="CY2296" s="115" t="e">
        <v>#N/A</v>
      </c>
      <c r="CZ2296" s="137" t="e">
        <v>#N/A</v>
      </c>
      <c r="DA2296">
        <v>0.11332468572476186</v>
      </c>
      <c r="DB2296" t="str">
        <v/>
      </c>
    </row>
    <row r="2297" spans="83:106" x14ac:dyDescent="0.2">
      <c r="CE2297"/>
      <c r="CF2297"/>
      <c r="CG2297"/>
      <c r="CH2297"/>
      <c r="CI2297"/>
      <c r="CU2297" s="42">
        <v>2292</v>
      </c>
      <c r="CV2297" s="115">
        <v>4</v>
      </c>
      <c r="CW2297" s="115">
        <v>0.11332468572476186</v>
      </c>
      <c r="CX2297" s="115" t="e">
        <v>#N/A</v>
      </c>
      <c r="CY2297" s="115" t="e">
        <v>#N/A</v>
      </c>
      <c r="CZ2297" s="137" t="e">
        <v>#N/A</v>
      </c>
      <c r="DA2297">
        <v>0.11332468572476186</v>
      </c>
      <c r="DB2297" t="str">
        <v/>
      </c>
    </row>
    <row r="2298" spans="83:106" x14ac:dyDescent="0.2">
      <c r="CE2298"/>
      <c r="CF2298"/>
      <c r="CG2298"/>
      <c r="CH2298"/>
      <c r="CI2298"/>
      <c r="CU2298" s="42">
        <v>2293</v>
      </c>
      <c r="CV2298" s="115">
        <v>4</v>
      </c>
      <c r="CW2298" s="115">
        <v>0.11332468572476186</v>
      </c>
      <c r="CX2298" s="115" t="e">
        <v>#N/A</v>
      </c>
      <c r="CY2298" s="115" t="e">
        <v>#N/A</v>
      </c>
      <c r="CZ2298" s="137" t="e">
        <v>#N/A</v>
      </c>
      <c r="DA2298">
        <v>0.11332468572476186</v>
      </c>
      <c r="DB2298" t="str">
        <v/>
      </c>
    </row>
    <row r="2299" spans="83:106" x14ac:dyDescent="0.2">
      <c r="CE2299"/>
      <c r="CF2299"/>
      <c r="CG2299"/>
      <c r="CH2299"/>
      <c r="CI2299"/>
      <c r="CU2299" s="42">
        <v>2294</v>
      </c>
      <c r="CV2299" s="115">
        <v>4</v>
      </c>
      <c r="CW2299" s="115">
        <v>0.11332468572476186</v>
      </c>
      <c r="CX2299" s="115" t="e">
        <v>#N/A</v>
      </c>
      <c r="CY2299" s="115" t="e">
        <v>#N/A</v>
      </c>
      <c r="CZ2299" s="137" t="e">
        <v>#N/A</v>
      </c>
      <c r="DA2299">
        <v>0.11332468572476186</v>
      </c>
      <c r="DB2299" t="str">
        <v/>
      </c>
    </row>
    <row r="2300" spans="83:106" x14ac:dyDescent="0.2">
      <c r="CE2300"/>
      <c r="CF2300"/>
      <c r="CG2300"/>
      <c r="CH2300"/>
      <c r="CI2300"/>
      <c r="CU2300" s="42">
        <v>2295</v>
      </c>
      <c r="CV2300" s="115">
        <v>4</v>
      </c>
      <c r="CW2300" s="115">
        <v>0.11332468572476186</v>
      </c>
      <c r="CX2300" s="115" t="e">
        <v>#N/A</v>
      </c>
      <c r="CY2300" s="115" t="e">
        <v>#N/A</v>
      </c>
      <c r="CZ2300" s="137" t="e">
        <v>#N/A</v>
      </c>
      <c r="DA2300">
        <v>0.11332468572476186</v>
      </c>
      <c r="DB2300" t="str">
        <v/>
      </c>
    </row>
    <row r="2301" spans="83:106" x14ac:dyDescent="0.2">
      <c r="CE2301"/>
      <c r="CF2301"/>
      <c r="CG2301"/>
      <c r="CH2301"/>
      <c r="CI2301"/>
      <c r="CU2301" s="42">
        <v>2296</v>
      </c>
      <c r="CV2301" s="115">
        <v>4</v>
      </c>
      <c r="CW2301" s="115">
        <v>0.11332468572476186</v>
      </c>
      <c r="CX2301" s="115" t="e">
        <v>#N/A</v>
      </c>
      <c r="CY2301" s="115" t="e">
        <v>#N/A</v>
      </c>
      <c r="CZ2301" s="137" t="e">
        <v>#N/A</v>
      </c>
      <c r="DA2301">
        <v>0.11332468572476186</v>
      </c>
      <c r="DB2301" t="str">
        <v/>
      </c>
    </row>
    <row r="2302" spans="83:106" x14ac:dyDescent="0.2">
      <c r="CE2302"/>
      <c r="CF2302"/>
      <c r="CG2302"/>
      <c r="CH2302"/>
      <c r="CI2302"/>
      <c r="CU2302" s="42">
        <v>2297</v>
      </c>
      <c r="CV2302" s="115">
        <v>4</v>
      </c>
      <c r="CW2302" s="115">
        <v>0.11332468572476186</v>
      </c>
      <c r="CX2302" s="115" t="e">
        <v>#N/A</v>
      </c>
      <c r="CY2302" s="115" t="e">
        <v>#N/A</v>
      </c>
      <c r="CZ2302" s="137" t="e">
        <v>#N/A</v>
      </c>
      <c r="DA2302">
        <v>0.11332468572476186</v>
      </c>
      <c r="DB2302" t="str">
        <v/>
      </c>
    </row>
    <row r="2303" spans="83:106" x14ac:dyDescent="0.2">
      <c r="CE2303"/>
      <c r="CF2303"/>
      <c r="CG2303"/>
      <c r="CH2303"/>
      <c r="CI2303"/>
      <c r="CU2303" s="42">
        <v>2298</v>
      </c>
      <c r="CV2303" s="115">
        <v>4</v>
      </c>
      <c r="CW2303" s="115">
        <v>0.11332468572476186</v>
      </c>
      <c r="CX2303" s="115" t="e">
        <v>#N/A</v>
      </c>
      <c r="CY2303" s="115" t="e">
        <v>#N/A</v>
      </c>
      <c r="CZ2303" s="137" t="e">
        <v>#N/A</v>
      </c>
      <c r="DA2303">
        <v>0.11332468572476186</v>
      </c>
      <c r="DB2303" t="str">
        <v/>
      </c>
    </row>
    <row r="2304" spans="83:106" x14ac:dyDescent="0.2">
      <c r="CE2304"/>
      <c r="CF2304"/>
      <c r="CG2304"/>
      <c r="CH2304"/>
      <c r="CI2304"/>
      <c r="CU2304" s="42">
        <v>2299</v>
      </c>
      <c r="CV2304" s="115">
        <v>4</v>
      </c>
      <c r="CW2304" s="115">
        <v>0.11332468572476186</v>
      </c>
      <c r="CX2304" s="115" t="e">
        <v>#N/A</v>
      </c>
      <c r="CY2304" s="115" t="e">
        <v>#N/A</v>
      </c>
      <c r="CZ2304" s="137" t="e">
        <v>#N/A</v>
      </c>
      <c r="DA2304">
        <v>0.11332468572476186</v>
      </c>
      <c r="DB2304" t="str">
        <v/>
      </c>
    </row>
    <row r="2305" spans="83:106" x14ac:dyDescent="0.2">
      <c r="CE2305"/>
      <c r="CF2305"/>
      <c r="CG2305"/>
      <c r="CH2305"/>
      <c r="CI2305"/>
      <c r="CU2305" s="42">
        <v>2300</v>
      </c>
      <c r="CV2305" s="115">
        <v>4</v>
      </c>
      <c r="CW2305" s="115">
        <v>0.11332468572476186</v>
      </c>
      <c r="CX2305" s="115" t="e">
        <v>#N/A</v>
      </c>
      <c r="CY2305" s="115" t="e">
        <v>#N/A</v>
      </c>
      <c r="CZ2305" s="137" t="e">
        <v>#N/A</v>
      </c>
      <c r="DA2305">
        <v>0.11332468572476186</v>
      </c>
      <c r="DB2305" t="str">
        <v/>
      </c>
    </row>
    <row r="2306" spans="83:106" x14ac:dyDescent="0.2">
      <c r="CE2306"/>
      <c r="CF2306"/>
      <c r="CG2306"/>
      <c r="CH2306"/>
      <c r="CI2306"/>
      <c r="CU2306" s="42">
        <v>2301</v>
      </c>
      <c r="CV2306" s="115">
        <v>4</v>
      </c>
      <c r="CW2306" s="115">
        <v>0.11332468572476186</v>
      </c>
      <c r="CX2306" s="115" t="e">
        <v>#N/A</v>
      </c>
      <c r="CY2306" s="115" t="e">
        <v>#N/A</v>
      </c>
      <c r="CZ2306" s="137" t="e">
        <v>#N/A</v>
      </c>
      <c r="DA2306">
        <v>0.11332468572476186</v>
      </c>
      <c r="DB2306" t="str">
        <v/>
      </c>
    </row>
    <row r="2307" spans="83:106" x14ac:dyDescent="0.2">
      <c r="CE2307"/>
      <c r="CF2307"/>
      <c r="CG2307"/>
      <c r="CH2307"/>
      <c r="CI2307"/>
      <c r="CU2307" s="42">
        <v>2302</v>
      </c>
      <c r="CV2307" s="115">
        <v>4</v>
      </c>
      <c r="CW2307" s="115">
        <v>0.11332468572476186</v>
      </c>
      <c r="CX2307" s="115" t="e">
        <v>#N/A</v>
      </c>
      <c r="CY2307" s="115" t="e">
        <v>#N/A</v>
      </c>
      <c r="CZ2307" s="137" t="e">
        <v>#N/A</v>
      </c>
      <c r="DA2307">
        <v>0.11332468572476186</v>
      </c>
      <c r="DB2307" t="str">
        <v/>
      </c>
    </row>
    <row r="2308" spans="83:106" x14ac:dyDescent="0.2">
      <c r="CE2308"/>
      <c r="CF2308"/>
      <c r="CG2308"/>
      <c r="CH2308"/>
      <c r="CI2308"/>
      <c r="CU2308" s="42">
        <v>2303</v>
      </c>
      <c r="CV2308" s="115">
        <v>4</v>
      </c>
      <c r="CW2308" s="115">
        <v>0.11332468572476186</v>
      </c>
      <c r="CX2308" s="115" t="e">
        <v>#N/A</v>
      </c>
      <c r="CY2308" s="115" t="e">
        <v>#N/A</v>
      </c>
      <c r="CZ2308" s="137" t="e">
        <v>#N/A</v>
      </c>
      <c r="DA2308">
        <v>0.11332468572476186</v>
      </c>
      <c r="DB2308" t="str">
        <v/>
      </c>
    </row>
    <row r="2309" spans="83:106" x14ac:dyDescent="0.2">
      <c r="CE2309"/>
      <c r="CF2309"/>
      <c r="CG2309"/>
      <c r="CH2309"/>
      <c r="CI2309"/>
      <c r="CU2309" s="42">
        <v>2304</v>
      </c>
      <c r="CV2309" s="115">
        <v>4</v>
      </c>
      <c r="CW2309" s="115">
        <v>0.11332468572476186</v>
      </c>
      <c r="CX2309" s="115" t="e">
        <v>#N/A</v>
      </c>
      <c r="CY2309" s="115" t="e">
        <v>#N/A</v>
      </c>
      <c r="CZ2309" s="137" t="e">
        <v>#N/A</v>
      </c>
      <c r="DA2309">
        <v>0.11332468572476186</v>
      </c>
      <c r="DB2309" t="str">
        <v/>
      </c>
    </row>
    <row r="2310" spans="83:106" x14ac:dyDescent="0.2">
      <c r="CE2310"/>
      <c r="CF2310"/>
      <c r="CG2310"/>
      <c r="CH2310"/>
      <c r="CI2310"/>
      <c r="CU2310" s="42">
        <v>2305</v>
      </c>
      <c r="CV2310" s="115">
        <v>4</v>
      </c>
      <c r="CW2310" s="115">
        <v>0.11332468572476186</v>
      </c>
      <c r="CX2310" s="115" t="e">
        <v>#N/A</v>
      </c>
      <c r="CY2310" s="115" t="e">
        <v>#N/A</v>
      </c>
      <c r="CZ2310" s="137" t="e">
        <v>#N/A</v>
      </c>
      <c r="DA2310">
        <v>0.11332468572476186</v>
      </c>
      <c r="DB2310" t="str">
        <v/>
      </c>
    </row>
    <row r="2311" spans="83:106" x14ac:dyDescent="0.2">
      <c r="CE2311"/>
      <c r="CF2311"/>
      <c r="CG2311"/>
      <c r="CH2311"/>
      <c r="CI2311"/>
      <c r="CU2311" s="42">
        <v>2306</v>
      </c>
      <c r="CV2311" s="115">
        <v>4</v>
      </c>
      <c r="CW2311" s="115">
        <v>0.11332468572476186</v>
      </c>
      <c r="CX2311" s="115" t="e">
        <v>#N/A</v>
      </c>
      <c r="CY2311" s="115" t="e">
        <v>#N/A</v>
      </c>
      <c r="CZ2311" s="137" t="e">
        <v>#N/A</v>
      </c>
      <c r="DA2311">
        <v>0.11332468572476186</v>
      </c>
      <c r="DB2311" t="str">
        <v/>
      </c>
    </row>
    <row r="2312" spans="83:106" x14ac:dyDescent="0.2">
      <c r="CE2312"/>
      <c r="CF2312"/>
      <c r="CG2312"/>
      <c r="CH2312"/>
      <c r="CI2312"/>
      <c r="CU2312" s="42">
        <v>2307</v>
      </c>
      <c r="CV2312" s="115">
        <v>4</v>
      </c>
      <c r="CW2312" s="115">
        <v>0.11332468572476186</v>
      </c>
      <c r="CX2312" s="115" t="e">
        <v>#N/A</v>
      </c>
      <c r="CY2312" s="115" t="e">
        <v>#N/A</v>
      </c>
      <c r="CZ2312" s="137" t="e">
        <v>#N/A</v>
      </c>
      <c r="DA2312">
        <v>0.11332468572476186</v>
      </c>
      <c r="DB2312" t="str">
        <v/>
      </c>
    </row>
    <row r="2313" spans="83:106" x14ac:dyDescent="0.2">
      <c r="CE2313"/>
      <c r="CF2313"/>
      <c r="CG2313"/>
      <c r="CH2313"/>
      <c r="CI2313"/>
      <c r="CU2313" s="42">
        <v>2308</v>
      </c>
      <c r="CV2313" s="115">
        <v>4</v>
      </c>
      <c r="CW2313" s="115">
        <v>0.11332468572476186</v>
      </c>
      <c r="CX2313" s="115" t="e">
        <v>#N/A</v>
      </c>
      <c r="CY2313" s="115" t="e">
        <v>#N/A</v>
      </c>
      <c r="CZ2313" s="137" t="e">
        <v>#N/A</v>
      </c>
      <c r="DA2313">
        <v>0.11332468572476186</v>
      </c>
      <c r="DB2313" t="str">
        <v/>
      </c>
    </row>
    <row r="2314" spans="83:106" x14ac:dyDescent="0.2">
      <c r="CE2314"/>
      <c r="CF2314"/>
      <c r="CG2314"/>
      <c r="CH2314"/>
      <c r="CI2314"/>
      <c r="CU2314" s="42">
        <v>2309</v>
      </c>
      <c r="CV2314" s="115">
        <v>4</v>
      </c>
      <c r="CW2314" s="115">
        <v>0.11332468572476186</v>
      </c>
      <c r="CX2314" s="115" t="e">
        <v>#N/A</v>
      </c>
      <c r="CY2314" s="115" t="e">
        <v>#N/A</v>
      </c>
      <c r="CZ2314" s="137" t="e">
        <v>#N/A</v>
      </c>
      <c r="DA2314">
        <v>0.11332468572476186</v>
      </c>
      <c r="DB2314" t="str">
        <v/>
      </c>
    </row>
    <row r="2315" spans="83:106" x14ac:dyDescent="0.2">
      <c r="CE2315"/>
      <c r="CF2315"/>
      <c r="CG2315"/>
      <c r="CH2315"/>
      <c r="CI2315"/>
      <c r="CU2315" s="42">
        <v>2310</v>
      </c>
      <c r="CV2315" s="115">
        <v>4</v>
      </c>
      <c r="CW2315" s="115">
        <v>0.11332468572476186</v>
      </c>
      <c r="CX2315" s="115" t="e">
        <v>#N/A</v>
      </c>
      <c r="CY2315" s="115" t="e">
        <v>#N/A</v>
      </c>
      <c r="CZ2315" s="137" t="e">
        <v>#N/A</v>
      </c>
      <c r="DA2315">
        <v>0.11332468572476186</v>
      </c>
      <c r="DB2315" t="str">
        <v/>
      </c>
    </row>
    <row r="2316" spans="83:106" x14ac:dyDescent="0.2">
      <c r="CE2316"/>
      <c r="CF2316"/>
      <c r="CG2316"/>
      <c r="CH2316"/>
      <c r="CI2316"/>
      <c r="CU2316" s="42">
        <v>2311</v>
      </c>
      <c r="CV2316" s="115">
        <v>4</v>
      </c>
      <c r="CW2316" s="115">
        <v>0.11332468572476186</v>
      </c>
      <c r="CX2316" s="115" t="e">
        <v>#N/A</v>
      </c>
      <c r="CY2316" s="115" t="e">
        <v>#N/A</v>
      </c>
      <c r="CZ2316" s="137" t="e">
        <v>#N/A</v>
      </c>
      <c r="DA2316">
        <v>0.11332468572476186</v>
      </c>
      <c r="DB2316" t="str">
        <v/>
      </c>
    </row>
    <row r="2317" spans="83:106" x14ac:dyDescent="0.2">
      <c r="CE2317"/>
      <c r="CF2317"/>
      <c r="CG2317"/>
      <c r="CH2317"/>
      <c r="CI2317"/>
      <c r="CU2317" s="42">
        <v>2312</v>
      </c>
      <c r="CV2317" s="115">
        <v>4</v>
      </c>
      <c r="CW2317" s="115">
        <v>0.11332468572476186</v>
      </c>
      <c r="CX2317" s="115" t="e">
        <v>#N/A</v>
      </c>
      <c r="CY2317" s="115" t="e">
        <v>#N/A</v>
      </c>
      <c r="CZ2317" s="137" t="e">
        <v>#N/A</v>
      </c>
      <c r="DA2317">
        <v>0.11332468572476186</v>
      </c>
      <c r="DB2317" t="str">
        <v/>
      </c>
    </row>
    <row r="2318" spans="83:106" x14ac:dyDescent="0.2">
      <c r="CE2318"/>
      <c r="CF2318"/>
      <c r="CG2318"/>
      <c r="CH2318"/>
      <c r="CI2318"/>
      <c r="CU2318" s="42">
        <v>2313</v>
      </c>
      <c r="CV2318" s="115">
        <v>4</v>
      </c>
      <c r="CW2318" s="115">
        <v>0.11332468572476186</v>
      </c>
      <c r="CX2318" s="115" t="e">
        <v>#N/A</v>
      </c>
      <c r="CY2318" s="115" t="e">
        <v>#N/A</v>
      </c>
      <c r="CZ2318" s="137" t="e">
        <v>#N/A</v>
      </c>
      <c r="DA2318">
        <v>0.11332468572476186</v>
      </c>
      <c r="DB2318" t="str">
        <v/>
      </c>
    </row>
    <row r="2319" spans="83:106" x14ac:dyDescent="0.2">
      <c r="CE2319"/>
      <c r="CF2319"/>
      <c r="CG2319"/>
      <c r="CH2319"/>
      <c r="CI2319"/>
      <c r="CU2319" s="42">
        <v>2314</v>
      </c>
      <c r="CV2319" s="115">
        <v>4</v>
      </c>
      <c r="CW2319" s="115">
        <v>0.11332468572476186</v>
      </c>
      <c r="CX2319" s="115" t="e">
        <v>#N/A</v>
      </c>
      <c r="CY2319" s="115" t="e">
        <v>#N/A</v>
      </c>
      <c r="CZ2319" s="137" t="e">
        <v>#N/A</v>
      </c>
      <c r="DA2319">
        <v>0.11332468572476186</v>
      </c>
      <c r="DB2319" t="str">
        <v/>
      </c>
    </row>
    <row r="2320" spans="83:106" x14ac:dyDescent="0.2">
      <c r="CE2320"/>
      <c r="CF2320"/>
      <c r="CG2320"/>
      <c r="CH2320"/>
      <c r="CI2320"/>
      <c r="CU2320" s="42">
        <v>2315</v>
      </c>
      <c r="CV2320" s="115">
        <v>4</v>
      </c>
      <c r="CW2320" s="115">
        <v>0.11332468572476186</v>
      </c>
      <c r="CX2320" s="115" t="e">
        <v>#N/A</v>
      </c>
      <c r="CY2320" s="115" t="e">
        <v>#N/A</v>
      </c>
      <c r="CZ2320" s="137" t="e">
        <v>#N/A</v>
      </c>
      <c r="DA2320">
        <v>0.11332468572476186</v>
      </c>
      <c r="DB2320" t="str">
        <v/>
      </c>
    </row>
    <row r="2321" spans="83:106" x14ac:dyDescent="0.2">
      <c r="CE2321"/>
      <c r="CF2321"/>
      <c r="CG2321"/>
      <c r="CH2321"/>
      <c r="CI2321"/>
      <c r="CU2321" s="42">
        <v>2316</v>
      </c>
      <c r="CV2321" s="115">
        <v>4</v>
      </c>
      <c r="CW2321" s="115">
        <v>0.11332468572476186</v>
      </c>
      <c r="CX2321" s="115" t="e">
        <v>#N/A</v>
      </c>
      <c r="CY2321" s="115" t="e">
        <v>#N/A</v>
      </c>
      <c r="CZ2321" s="137" t="e">
        <v>#N/A</v>
      </c>
      <c r="DA2321">
        <v>0.11332468572476186</v>
      </c>
      <c r="DB2321" t="str">
        <v/>
      </c>
    </row>
    <row r="2322" spans="83:106" x14ac:dyDescent="0.2">
      <c r="CE2322"/>
      <c r="CF2322"/>
      <c r="CG2322"/>
      <c r="CH2322"/>
      <c r="CI2322"/>
      <c r="CU2322" s="42">
        <v>2317</v>
      </c>
      <c r="CV2322" s="115">
        <v>4</v>
      </c>
      <c r="CW2322" s="115">
        <v>0.11332468572476186</v>
      </c>
      <c r="CX2322" s="115" t="e">
        <v>#N/A</v>
      </c>
      <c r="CY2322" s="115" t="e">
        <v>#N/A</v>
      </c>
      <c r="CZ2322" s="137" t="e">
        <v>#N/A</v>
      </c>
      <c r="DA2322">
        <v>0.11332468572476186</v>
      </c>
      <c r="DB2322" t="str">
        <v/>
      </c>
    </row>
    <row r="2323" spans="83:106" x14ac:dyDescent="0.2">
      <c r="CE2323"/>
      <c r="CF2323"/>
      <c r="CG2323"/>
      <c r="CH2323"/>
      <c r="CI2323"/>
      <c r="CU2323" s="42">
        <v>2318</v>
      </c>
      <c r="CV2323" s="115">
        <v>4</v>
      </c>
      <c r="CW2323" s="115">
        <v>0.11332468572476186</v>
      </c>
      <c r="CX2323" s="115" t="e">
        <v>#N/A</v>
      </c>
      <c r="CY2323" s="115" t="e">
        <v>#N/A</v>
      </c>
      <c r="CZ2323" s="137" t="e">
        <v>#N/A</v>
      </c>
      <c r="DA2323">
        <v>0.11332468572476186</v>
      </c>
      <c r="DB2323" t="str">
        <v/>
      </c>
    </row>
    <row r="2324" spans="83:106" x14ac:dyDescent="0.2">
      <c r="CE2324"/>
      <c r="CF2324"/>
      <c r="CG2324"/>
      <c r="CH2324"/>
      <c r="CI2324"/>
      <c r="CU2324" s="42">
        <v>2319</v>
      </c>
      <c r="CV2324" s="115">
        <v>4</v>
      </c>
      <c r="CW2324" s="115">
        <v>0.11332468572476186</v>
      </c>
      <c r="CX2324" s="115" t="e">
        <v>#N/A</v>
      </c>
      <c r="CY2324" s="115" t="e">
        <v>#N/A</v>
      </c>
      <c r="CZ2324" s="137" t="e">
        <v>#N/A</v>
      </c>
      <c r="DA2324">
        <v>0.11332468572476186</v>
      </c>
      <c r="DB2324" t="str">
        <v/>
      </c>
    </row>
    <row r="2325" spans="83:106" x14ac:dyDescent="0.2">
      <c r="CE2325"/>
      <c r="CF2325"/>
      <c r="CG2325"/>
      <c r="CH2325"/>
      <c r="CI2325"/>
      <c r="CU2325" s="42">
        <v>2320</v>
      </c>
      <c r="CV2325" s="115">
        <v>4</v>
      </c>
      <c r="CW2325" s="115">
        <v>0.11332468572476186</v>
      </c>
      <c r="CX2325" s="115" t="e">
        <v>#N/A</v>
      </c>
      <c r="CY2325" s="115" t="e">
        <v>#N/A</v>
      </c>
      <c r="CZ2325" s="137" t="e">
        <v>#N/A</v>
      </c>
      <c r="DA2325">
        <v>0.11332468572476186</v>
      </c>
      <c r="DB2325" t="str">
        <v/>
      </c>
    </row>
    <row r="2326" spans="83:106" x14ac:dyDescent="0.2">
      <c r="CE2326"/>
      <c r="CF2326"/>
      <c r="CG2326"/>
      <c r="CH2326"/>
      <c r="CI2326"/>
      <c r="CU2326" s="42">
        <v>2321</v>
      </c>
      <c r="CV2326" s="115">
        <v>4</v>
      </c>
      <c r="CW2326" s="115">
        <v>0.11332468572476186</v>
      </c>
      <c r="CX2326" s="115" t="e">
        <v>#N/A</v>
      </c>
      <c r="CY2326" s="115" t="e">
        <v>#N/A</v>
      </c>
      <c r="CZ2326" s="137" t="e">
        <v>#N/A</v>
      </c>
      <c r="DA2326">
        <v>0.11332468572476186</v>
      </c>
      <c r="DB2326" t="str">
        <v/>
      </c>
    </row>
    <row r="2327" spans="83:106" x14ac:dyDescent="0.2">
      <c r="CE2327"/>
      <c r="CF2327"/>
      <c r="CG2327"/>
      <c r="CH2327"/>
      <c r="CI2327"/>
      <c r="CU2327" s="42">
        <v>2322</v>
      </c>
      <c r="CV2327" s="115">
        <v>4</v>
      </c>
      <c r="CW2327" s="115">
        <v>0.11332468572476186</v>
      </c>
      <c r="CX2327" s="115" t="e">
        <v>#N/A</v>
      </c>
      <c r="CY2327" s="115" t="e">
        <v>#N/A</v>
      </c>
      <c r="CZ2327" s="137" t="e">
        <v>#N/A</v>
      </c>
      <c r="DA2327">
        <v>0.11332468572476186</v>
      </c>
      <c r="DB2327" t="str">
        <v/>
      </c>
    </row>
    <row r="2328" spans="83:106" x14ac:dyDescent="0.2">
      <c r="CE2328"/>
      <c r="CF2328"/>
      <c r="CG2328"/>
      <c r="CH2328"/>
      <c r="CI2328"/>
      <c r="CU2328" s="42">
        <v>2323</v>
      </c>
      <c r="CV2328" s="115">
        <v>4</v>
      </c>
      <c r="CW2328" s="115">
        <v>0.11332468572476186</v>
      </c>
      <c r="CX2328" s="115" t="e">
        <v>#N/A</v>
      </c>
      <c r="CY2328" s="115" t="e">
        <v>#N/A</v>
      </c>
      <c r="CZ2328" s="137" t="e">
        <v>#N/A</v>
      </c>
      <c r="DA2328">
        <v>0.11332468572476186</v>
      </c>
      <c r="DB2328" t="str">
        <v/>
      </c>
    </row>
    <row r="2329" spans="83:106" x14ac:dyDescent="0.2">
      <c r="CE2329"/>
      <c r="CF2329"/>
      <c r="CG2329"/>
      <c r="CH2329"/>
      <c r="CI2329"/>
      <c r="CU2329" s="42">
        <v>2324</v>
      </c>
      <c r="CV2329" s="115">
        <v>4</v>
      </c>
      <c r="CW2329" s="115">
        <v>0.11332468572476186</v>
      </c>
      <c r="CX2329" s="115" t="e">
        <v>#N/A</v>
      </c>
      <c r="CY2329" s="115" t="e">
        <v>#N/A</v>
      </c>
      <c r="CZ2329" s="137" t="e">
        <v>#N/A</v>
      </c>
      <c r="DA2329">
        <v>0.11332468572476186</v>
      </c>
      <c r="DB2329" t="str">
        <v/>
      </c>
    </row>
    <row r="2330" spans="83:106" x14ac:dyDescent="0.2">
      <c r="CE2330"/>
      <c r="CF2330"/>
      <c r="CG2330"/>
      <c r="CH2330"/>
      <c r="CI2330"/>
      <c r="CU2330" s="42">
        <v>2325</v>
      </c>
      <c r="CV2330" s="115">
        <v>4</v>
      </c>
      <c r="CW2330" s="115">
        <v>0.11332468572476186</v>
      </c>
      <c r="CX2330" s="115" t="e">
        <v>#N/A</v>
      </c>
      <c r="CY2330" s="115" t="e">
        <v>#N/A</v>
      </c>
      <c r="CZ2330" s="137" t="e">
        <v>#N/A</v>
      </c>
      <c r="DA2330">
        <v>0.11332468572476186</v>
      </c>
      <c r="DB2330" t="str">
        <v/>
      </c>
    </row>
    <row r="2331" spans="83:106" x14ac:dyDescent="0.2">
      <c r="CE2331"/>
      <c r="CF2331"/>
      <c r="CG2331"/>
      <c r="CH2331"/>
      <c r="CI2331"/>
      <c r="CU2331" s="42">
        <v>2326</v>
      </c>
      <c r="CV2331" s="115">
        <v>4</v>
      </c>
      <c r="CW2331" s="115">
        <v>0.11332468572476186</v>
      </c>
      <c r="CX2331" s="115" t="e">
        <v>#N/A</v>
      </c>
      <c r="CY2331" s="115" t="e">
        <v>#N/A</v>
      </c>
      <c r="CZ2331" s="137" t="e">
        <v>#N/A</v>
      </c>
      <c r="DA2331">
        <v>0.11332468572476186</v>
      </c>
      <c r="DB2331" t="str">
        <v/>
      </c>
    </row>
    <row r="2332" spans="83:106" x14ac:dyDescent="0.2">
      <c r="CE2332"/>
      <c r="CF2332"/>
      <c r="CG2332"/>
      <c r="CH2332"/>
      <c r="CI2332"/>
      <c r="CU2332" s="42">
        <v>2327</v>
      </c>
      <c r="CV2332" s="115">
        <v>4</v>
      </c>
      <c r="CW2332" s="115">
        <v>0.11332468572476186</v>
      </c>
      <c r="CX2332" s="115" t="e">
        <v>#N/A</v>
      </c>
      <c r="CY2332" s="115" t="e">
        <v>#N/A</v>
      </c>
      <c r="CZ2332" s="137" t="e">
        <v>#N/A</v>
      </c>
      <c r="DA2332">
        <v>0.11332468572476186</v>
      </c>
      <c r="DB2332" t="str">
        <v/>
      </c>
    </row>
    <row r="2333" spans="83:106" x14ac:dyDescent="0.2">
      <c r="CE2333"/>
      <c r="CF2333"/>
      <c r="CG2333"/>
      <c r="CH2333"/>
      <c r="CI2333"/>
      <c r="CU2333" s="42">
        <v>2328</v>
      </c>
      <c r="CV2333" s="115">
        <v>4</v>
      </c>
      <c r="CW2333" s="115">
        <v>0.11332468572476186</v>
      </c>
      <c r="CX2333" s="115" t="e">
        <v>#N/A</v>
      </c>
      <c r="CY2333" s="115" t="e">
        <v>#N/A</v>
      </c>
      <c r="CZ2333" s="137" t="e">
        <v>#N/A</v>
      </c>
      <c r="DA2333">
        <v>0.11332468572476186</v>
      </c>
      <c r="DB2333" t="str">
        <v/>
      </c>
    </row>
    <row r="2334" spans="83:106" x14ac:dyDescent="0.2">
      <c r="CE2334"/>
      <c r="CF2334"/>
      <c r="CG2334"/>
      <c r="CH2334"/>
      <c r="CI2334"/>
      <c r="CU2334" s="42">
        <v>2329</v>
      </c>
      <c r="CV2334" s="115">
        <v>4</v>
      </c>
      <c r="CW2334" s="115">
        <v>0.11332468572476186</v>
      </c>
      <c r="CX2334" s="115" t="e">
        <v>#N/A</v>
      </c>
      <c r="CY2334" s="115" t="e">
        <v>#N/A</v>
      </c>
      <c r="CZ2334" s="137" t="e">
        <v>#N/A</v>
      </c>
      <c r="DA2334">
        <v>0.11332468572476186</v>
      </c>
      <c r="DB2334" t="str">
        <v/>
      </c>
    </row>
    <row r="2335" spans="83:106" x14ac:dyDescent="0.2">
      <c r="CE2335"/>
      <c r="CF2335"/>
      <c r="CG2335"/>
      <c r="CH2335"/>
      <c r="CI2335"/>
      <c r="CU2335" s="42">
        <v>2330</v>
      </c>
      <c r="CV2335" s="115">
        <v>4</v>
      </c>
      <c r="CW2335" s="115">
        <v>0.11332468572476186</v>
      </c>
      <c r="CX2335" s="115" t="e">
        <v>#N/A</v>
      </c>
      <c r="CY2335" s="115" t="e">
        <v>#N/A</v>
      </c>
      <c r="CZ2335" s="137" t="e">
        <v>#N/A</v>
      </c>
      <c r="DA2335">
        <v>0.11332468572476186</v>
      </c>
      <c r="DB2335" t="str">
        <v/>
      </c>
    </row>
    <row r="2336" spans="83:106" x14ac:dyDescent="0.2">
      <c r="CE2336"/>
      <c r="CF2336"/>
      <c r="CG2336"/>
      <c r="CH2336"/>
      <c r="CI2336"/>
      <c r="CU2336" s="42">
        <v>2331</v>
      </c>
      <c r="CV2336" s="115">
        <v>4</v>
      </c>
      <c r="CW2336" s="115">
        <v>0.11332468572476186</v>
      </c>
      <c r="CX2336" s="115" t="e">
        <v>#N/A</v>
      </c>
      <c r="CY2336" s="115" t="e">
        <v>#N/A</v>
      </c>
      <c r="CZ2336" s="137" t="e">
        <v>#N/A</v>
      </c>
      <c r="DA2336">
        <v>0.11332468572476186</v>
      </c>
      <c r="DB2336" t="str">
        <v/>
      </c>
    </row>
    <row r="2337" spans="83:106" x14ac:dyDescent="0.2">
      <c r="CE2337"/>
      <c r="CF2337"/>
      <c r="CG2337"/>
      <c r="CH2337"/>
      <c r="CI2337"/>
      <c r="CU2337" s="42">
        <v>2332</v>
      </c>
      <c r="CV2337" s="115">
        <v>4</v>
      </c>
      <c r="CW2337" s="115">
        <v>0.11332468572476186</v>
      </c>
      <c r="CX2337" s="115" t="e">
        <v>#N/A</v>
      </c>
      <c r="CY2337" s="115" t="e">
        <v>#N/A</v>
      </c>
      <c r="CZ2337" s="137" t="e">
        <v>#N/A</v>
      </c>
      <c r="DA2337">
        <v>0.11332468572476186</v>
      </c>
      <c r="DB2337" t="str">
        <v/>
      </c>
    </row>
    <row r="2338" spans="83:106" x14ac:dyDescent="0.2">
      <c r="CE2338"/>
      <c r="CF2338"/>
      <c r="CG2338"/>
      <c r="CH2338"/>
      <c r="CI2338"/>
      <c r="CU2338" s="42">
        <v>2333</v>
      </c>
      <c r="CV2338" s="115">
        <v>4</v>
      </c>
      <c r="CW2338" s="115">
        <v>0.11332468572476186</v>
      </c>
      <c r="CX2338" s="115" t="e">
        <v>#N/A</v>
      </c>
      <c r="CY2338" s="115" t="e">
        <v>#N/A</v>
      </c>
      <c r="CZ2338" s="137" t="e">
        <v>#N/A</v>
      </c>
      <c r="DA2338">
        <v>0.11332468572476186</v>
      </c>
      <c r="DB2338" t="str">
        <v/>
      </c>
    </row>
    <row r="2339" spans="83:106" x14ac:dyDescent="0.2">
      <c r="CE2339"/>
      <c r="CF2339"/>
      <c r="CG2339"/>
      <c r="CH2339"/>
      <c r="CI2339"/>
      <c r="CU2339" s="42">
        <v>2334</v>
      </c>
      <c r="CV2339" s="115">
        <v>4</v>
      </c>
      <c r="CW2339" s="115">
        <v>0.11332468572476186</v>
      </c>
      <c r="CX2339" s="115" t="e">
        <v>#N/A</v>
      </c>
      <c r="CY2339" s="115" t="e">
        <v>#N/A</v>
      </c>
      <c r="CZ2339" s="137" t="e">
        <v>#N/A</v>
      </c>
      <c r="DA2339">
        <v>0.11332468572476186</v>
      </c>
      <c r="DB2339" t="str">
        <v/>
      </c>
    </row>
    <row r="2340" spans="83:106" x14ac:dyDescent="0.2">
      <c r="CE2340"/>
      <c r="CF2340"/>
      <c r="CG2340"/>
      <c r="CH2340"/>
      <c r="CI2340"/>
      <c r="CU2340" s="42">
        <v>2335</v>
      </c>
      <c r="CV2340" s="115">
        <v>4</v>
      </c>
      <c r="CW2340" s="115">
        <v>0.11332468572476186</v>
      </c>
      <c r="CX2340" s="115" t="e">
        <v>#N/A</v>
      </c>
      <c r="CY2340" s="115" t="e">
        <v>#N/A</v>
      </c>
      <c r="CZ2340" s="137" t="e">
        <v>#N/A</v>
      </c>
      <c r="DA2340">
        <v>0.11332468572476186</v>
      </c>
      <c r="DB2340" t="str">
        <v/>
      </c>
    </row>
    <row r="2341" spans="83:106" x14ac:dyDescent="0.2">
      <c r="CE2341"/>
      <c r="CF2341"/>
      <c r="CG2341"/>
      <c r="CH2341"/>
      <c r="CI2341"/>
      <c r="CU2341" s="42">
        <v>2336</v>
      </c>
      <c r="CV2341" s="115">
        <v>4</v>
      </c>
      <c r="CW2341" s="115">
        <v>0.11332468572476186</v>
      </c>
      <c r="CX2341" s="115" t="e">
        <v>#N/A</v>
      </c>
      <c r="CY2341" s="115" t="e">
        <v>#N/A</v>
      </c>
      <c r="CZ2341" s="137" t="e">
        <v>#N/A</v>
      </c>
      <c r="DA2341">
        <v>0.11332468572476186</v>
      </c>
      <c r="DB2341" t="str">
        <v/>
      </c>
    </row>
    <row r="2342" spans="83:106" x14ac:dyDescent="0.2">
      <c r="CE2342"/>
      <c r="CF2342"/>
      <c r="CG2342"/>
      <c r="CH2342"/>
      <c r="CI2342"/>
      <c r="CU2342" s="42">
        <v>2337</v>
      </c>
      <c r="CV2342" s="115">
        <v>4</v>
      </c>
      <c r="CW2342" s="115">
        <v>0.11332468572476186</v>
      </c>
      <c r="CX2342" s="115" t="e">
        <v>#N/A</v>
      </c>
      <c r="CY2342" s="115" t="e">
        <v>#N/A</v>
      </c>
      <c r="CZ2342" s="137" t="e">
        <v>#N/A</v>
      </c>
      <c r="DA2342">
        <v>0.11332468572476186</v>
      </c>
      <c r="DB2342" t="str">
        <v/>
      </c>
    </row>
    <row r="2343" spans="83:106" x14ac:dyDescent="0.2">
      <c r="CE2343"/>
      <c r="CF2343"/>
      <c r="CG2343"/>
      <c r="CH2343"/>
      <c r="CI2343"/>
      <c r="CU2343" s="42">
        <v>2338</v>
      </c>
      <c r="CV2343" s="115">
        <v>4</v>
      </c>
      <c r="CW2343" s="115">
        <v>0.11332468572476186</v>
      </c>
      <c r="CX2343" s="115" t="e">
        <v>#N/A</v>
      </c>
      <c r="CY2343" s="115" t="e">
        <v>#N/A</v>
      </c>
      <c r="CZ2343" s="137" t="e">
        <v>#N/A</v>
      </c>
      <c r="DA2343">
        <v>0.11332468572476186</v>
      </c>
      <c r="DB2343" t="str">
        <v/>
      </c>
    </row>
    <row r="2344" spans="83:106" x14ac:dyDescent="0.2">
      <c r="CE2344"/>
      <c r="CF2344"/>
      <c r="CG2344"/>
      <c r="CH2344"/>
      <c r="CI2344"/>
      <c r="CU2344" s="42">
        <v>2339</v>
      </c>
      <c r="CV2344" s="115">
        <v>4</v>
      </c>
      <c r="CW2344" s="115">
        <v>0.11332468572476186</v>
      </c>
      <c r="CX2344" s="115" t="e">
        <v>#N/A</v>
      </c>
      <c r="CY2344" s="115" t="e">
        <v>#N/A</v>
      </c>
      <c r="CZ2344" s="137" t="e">
        <v>#N/A</v>
      </c>
      <c r="DA2344">
        <v>0.11332468572476186</v>
      </c>
      <c r="DB2344" t="str">
        <v/>
      </c>
    </row>
    <row r="2345" spans="83:106" x14ac:dyDescent="0.2">
      <c r="CE2345"/>
      <c r="CF2345"/>
      <c r="CG2345"/>
      <c r="CH2345"/>
      <c r="CI2345"/>
      <c r="CU2345" s="42">
        <v>2340</v>
      </c>
      <c r="CV2345" s="115">
        <v>4</v>
      </c>
      <c r="CW2345" s="115">
        <v>0.11332468572476186</v>
      </c>
      <c r="CX2345" s="115" t="e">
        <v>#N/A</v>
      </c>
      <c r="CY2345" s="115" t="e">
        <v>#N/A</v>
      </c>
      <c r="CZ2345" s="137" t="e">
        <v>#N/A</v>
      </c>
      <c r="DA2345">
        <v>0.11332468572476186</v>
      </c>
      <c r="DB2345" t="str">
        <v/>
      </c>
    </row>
    <row r="2346" spans="83:106" x14ac:dyDescent="0.2">
      <c r="CE2346"/>
      <c r="CF2346"/>
      <c r="CG2346"/>
      <c r="CH2346"/>
      <c r="CI2346"/>
      <c r="CU2346" s="42">
        <v>2341</v>
      </c>
      <c r="CV2346" s="115">
        <v>4</v>
      </c>
      <c r="CW2346" s="115">
        <v>0.11332468572476186</v>
      </c>
      <c r="CX2346" s="115" t="e">
        <v>#N/A</v>
      </c>
      <c r="CY2346" s="115" t="e">
        <v>#N/A</v>
      </c>
      <c r="CZ2346" s="137" t="e">
        <v>#N/A</v>
      </c>
      <c r="DA2346">
        <v>0.11332468572476186</v>
      </c>
      <c r="DB2346" t="str">
        <v/>
      </c>
    </row>
    <row r="2347" spans="83:106" x14ac:dyDescent="0.2">
      <c r="CE2347"/>
      <c r="CF2347"/>
      <c r="CG2347"/>
      <c r="CH2347"/>
      <c r="CI2347"/>
      <c r="CU2347" s="42">
        <v>2342</v>
      </c>
      <c r="CV2347" s="115">
        <v>4</v>
      </c>
      <c r="CW2347" s="115">
        <v>0.11332468572476186</v>
      </c>
      <c r="CX2347" s="115" t="e">
        <v>#N/A</v>
      </c>
      <c r="CY2347" s="115" t="e">
        <v>#N/A</v>
      </c>
      <c r="CZ2347" s="137" t="e">
        <v>#N/A</v>
      </c>
      <c r="DA2347">
        <v>0.11332468572476186</v>
      </c>
      <c r="DB2347" t="str">
        <v/>
      </c>
    </row>
    <row r="2348" spans="83:106" x14ac:dyDescent="0.2">
      <c r="CE2348"/>
      <c r="CF2348"/>
      <c r="CG2348"/>
      <c r="CH2348"/>
      <c r="CI2348"/>
      <c r="CU2348" s="42">
        <v>2343</v>
      </c>
      <c r="CV2348" s="115">
        <v>4</v>
      </c>
      <c r="CW2348" s="115">
        <v>0.11332468572476186</v>
      </c>
      <c r="CX2348" s="115" t="e">
        <v>#N/A</v>
      </c>
      <c r="CY2348" s="115" t="e">
        <v>#N/A</v>
      </c>
      <c r="CZ2348" s="137" t="e">
        <v>#N/A</v>
      </c>
      <c r="DA2348">
        <v>0.11332468572476186</v>
      </c>
      <c r="DB2348" t="str">
        <v/>
      </c>
    </row>
    <row r="2349" spans="83:106" x14ac:dyDescent="0.2">
      <c r="CE2349"/>
      <c r="CF2349"/>
      <c r="CG2349"/>
      <c r="CH2349"/>
      <c r="CI2349"/>
      <c r="CU2349" s="42">
        <v>2344</v>
      </c>
      <c r="CV2349" s="115">
        <v>4</v>
      </c>
      <c r="CW2349" s="115">
        <v>0.11332468572476186</v>
      </c>
      <c r="CX2349" s="115" t="e">
        <v>#N/A</v>
      </c>
      <c r="CY2349" s="115" t="e">
        <v>#N/A</v>
      </c>
      <c r="CZ2349" s="137" t="e">
        <v>#N/A</v>
      </c>
      <c r="DA2349">
        <v>0.11332468572476186</v>
      </c>
      <c r="DB2349" t="str">
        <v/>
      </c>
    </row>
    <row r="2350" spans="83:106" x14ac:dyDescent="0.2">
      <c r="CE2350"/>
      <c r="CF2350"/>
      <c r="CG2350"/>
      <c r="CH2350"/>
      <c r="CI2350"/>
      <c r="CU2350" s="42">
        <v>2345</v>
      </c>
      <c r="CV2350" s="115">
        <v>4</v>
      </c>
      <c r="CW2350" s="115">
        <v>0.11332468572476186</v>
      </c>
      <c r="CX2350" s="115" t="e">
        <v>#N/A</v>
      </c>
      <c r="CY2350" s="115" t="e">
        <v>#N/A</v>
      </c>
      <c r="CZ2350" s="137" t="e">
        <v>#N/A</v>
      </c>
      <c r="DA2350">
        <v>0.11332468572476186</v>
      </c>
      <c r="DB2350" t="str">
        <v/>
      </c>
    </row>
    <row r="2351" spans="83:106" x14ac:dyDescent="0.2">
      <c r="CE2351"/>
      <c r="CF2351"/>
      <c r="CG2351"/>
      <c r="CH2351"/>
      <c r="CI2351"/>
      <c r="CU2351" s="42">
        <v>2346</v>
      </c>
      <c r="CV2351" s="115">
        <v>4</v>
      </c>
      <c r="CW2351" s="115">
        <v>0.11332468572476186</v>
      </c>
      <c r="CX2351" s="115" t="e">
        <v>#N/A</v>
      </c>
      <c r="CY2351" s="115" t="e">
        <v>#N/A</v>
      </c>
      <c r="CZ2351" s="137" t="e">
        <v>#N/A</v>
      </c>
      <c r="DA2351">
        <v>0.11332468572476186</v>
      </c>
      <c r="DB2351" t="str">
        <v/>
      </c>
    </row>
    <row r="2352" spans="83:106" x14ac:dyDescent="0.2">
      <c r="CE2352"/>
      <c r="CF2352"/>
      <c r="CG2352"/>
      <c r="CH2352"/>
      <c r="CI2352"/>
      <c r="CU2352" s="42">
        <v>2347</v>
      </c>
      <c r="CV2352" s="115">
        <v>4</v>
      </c>
      <c r="CW2352" s="115">
        <v>0.11332468572476186</v>
      </c>
      <c r="CX2352" s="115" t="e">
        <v>#N/A</v>
      </c>
      <c r="CY2352" s="115" t="e">
        <v>#N/A</v>
      </c>
      <c r="CZ2352" s="137" t="e">
        <v>#N/A</v>
      </c>
      <c r="DA2352">
        <v>0.11332468572476186</v>
      </c>
      <c r="DB2352" t="str">
        <v/>
      </c>
    </row>
    <row r="2353" spans="83:106" x14ac:dyDescent="0.2">
      <c r="CE2353"/>
      <c r="CF2353"/>
      <c r="CG2353"/>
      <c r="CH2353"/>
      <c r="CI2353"/>
      <c r="CU2353" s="42">
        <v>2348</v>
      </c>
      <c r="CV2353" s="115">
        <v>4</v>
      </c>
      <c r="CW2353" s="115">
        <v>0.11332468572476186</v>
      </c>
      <c r="CX2353" s="115" t="e">
        <v>#N/A</v>
      </c>
      <c r="CY2353" s="115" t="e">
        <v>#N/A</v>
      </c>
      <c r="CZ2353" s="137" t="e">
        <v>#N/A</v>
      </c>
      <c r="DA2353">
        <v>0.11332468572476186</v>
      </c>
      <c r="DB2353" t="str">
        <v/>
      </c>
    </row>
    <row r="2354" spans="83:106" x14ac:dyDescent="0.2">
      <c r="CE2354"/>
      <c r="CF2354"/>
      <c r="CG2354"/>
      <c r="CH2354"/>
      <c r="CI2354"/>
      <c r="CU2354" s="42">
        <v>2349</v>
      </c>
      <c r="CV2354" s="115">
        <v>4</v>
      </c>
      <c r="CW2354" s="115">
        <v>0.11332468572476186</v>
      </c>
      <c r="CX2354" s="115" t="e">
        <v>#N/A</v>
      </c>
      <c r="CY2354" s="115" t="e">
        <v>#N/A</v>
      </c>
      <c r="CZ2354" s="137" t="e">
        <v>#N/A</v>
      </c>
      <c r="DA2354">
        <v>0.11332468572476186</v>
      </c>
      <c r="DB2354" t="str">
        <v/>
      </c>
    </row>
    <row r="2355" spans="83:106" x14ac:dyDescent="0.2">
      <c r="CE2355"/>
      <c r="CF2355"/>
      <c r="CG2355"/>
      <c r="CH2355"/>
      <c r="CI2355"/>
      <c r="CU2355" s="42">
        <v>2350</v>
      </c>
      <c r="CV2355" s="115">
        <v>4</v>
      </c>
      <c r="CW2355" s="115">
        <v>0.11332468572476186</v>
      </c>
      <c r="CX2355" s="115" t="e">
        <v>#N/A</v>
      </c>
      <c r="CY2355" s="115" t="e">
        <v>#N/A</v>
      </c>
      <c r="CZ2355" s="137" t="e">
        <v>#N/A</v>
      </c>
      <c r="DA2355">
        <v>0.11332468572476186</v>
      </c>
      <c r="DB2355" t="str">
        <v/>
      </c>
    </row>
    <row r="2356" spans="83:106" x14ac:dyDescent="0.2">
      <c r="CE2356"/>
      <c r="CF2356"/>
      <c r="CG2356"/>
      <c r="CH2356"/>
      <c r="CI2356"/>
      <c r="CU2356" s="42">
        <v>2351</v>
      </c>
      <c r="CV2356" s="115">
        <v>4</v>
      </c>
      <c r="CW2356" s="115">
        <v>0.11332468572476186</v>
      </c>
      <c r="CX2356" s="115" t="e">
        <v>#N/A</v>
      </c>
      <c r="CY2356" s="115" t="e">
        <v>#N/A</v>
      </c>
      <c r="CZ2356" s="137" t="e">
        <v>#N/A</v>
      </c>
      <c r="DA2356">
        <v>0.11332468572476186</v>
      </c>
      <c r="DB2356" t="str">
        <v/>
      </c>
    </row>
    <row r="2357" spans="83:106" x14ac:dyDescent="0.2">
      <c r="CE2357"/>
      <c r="CF2357"/>
      <c r="CG2357"/>
      <c r="CH2357"/>
      <c r="CI2357"/>
      <c r="CU2357" s="42">
        <v>2352</v>
      </c>
      <c r="CV2357" s="115">
        <v>4</v>
      </c>
      <c r="CW2357" s="115">
        <v>0.11332468572476186</v>
      </c>
      <c r="CX2357" s="115" t="e">
        <v>#N/A</v>
      </c>
      <c r="CY2357" s="115" t="e">
        <v>#N/A</v>
      </c>
      <c r="CZ2357" s="137" t="e">
        <v>#N/A</v>
      </c>
      <c r="DA2357">
        <v>0.11332468572476186</v>
      </c>
      <c r="DB2357" t="str">
        <v/>
      </c>
    </row>
    <row r="2358" spans="83:106" x14ac:dyDescent="0.2">
      <c r="CE2358"/>
      <c r="CF2358"/>
      <c r="CG2358"/>
      <c r="CH2358"/>
      <c r="CI2358"/>
      <c r="CU2358" s="42">
        <v>2353</v>
      </c>
      <c r="CV2358" s="115">
        <v>4</v>
      </c>
      <c r="CW2358" s="115">
        <v>0.11332468572476186</v>
      </c>
      <c r="CX2358" s="115" t="e">
        <v>#N/A</v>
      </c>
      <c r="CY2358" s="115" t="e">
        <v>#N/A</v>
      </c>
      <c r="CZ2358" s="137" t="e">
        <v>#N/A</v>
      </c>
      <c r="DA2358">
        <v>0.11332468572476186</v>
      </c>
      <c r="DB2358" t="str">
        <v/>
      </c>
    </row>
    <row r="2359" spans="83:106" x14ac:dyDescent="0.2">
      <c r="CE2359"/>
      <c r="CF2359"/>
      <c r="CG2359"/>
      <c r="CH2359"/>
      <c r="CI2359"/>
      <c r="CU2359" s="42">
        <v>2354</v>
      </c>
      <c r="CV2359" s="115">
        <v>4</v>
      </c>
      <c r="CW2359" s="115">
        <v>0.11332468572476186</v>
      </c>
      <c r="CX2359" s="115" t="e">
        <v>#N/A</v>
      </c>
      <c r="CY2359" s="115" t="e">
        <v>#N/A</v>
      </c>
      <c r="CZ2359" s="137" t="e">
        <v>#N/A</v>
      </c>
      <c r="DA2359">
        <v>0.11332468572476186</v>
      </c>
      <c r="DB2359" t="str">
        <v/>
      </c>
    </row>
    <row r="2360" spans="83:106" x14ac:dyDescent="0.2">
      <c r="CE2360"/>
      <c r="CF2360"/>
      <c r="CG2360"/>
      <c r="CH2360"/>
      <c r="CI2360"/>
      <c r="CU2360" s="42">
        <v>2355</v>
      </c>
      <c r="CV2360" s="115">
        <v>4</v>
      </c>
      <c r="CW2360" s="115">
        <v>0.11332468572476186</v>
      </c>
      <c r="CX2360" s="115" t="e">
        <v>#N/A</v>
      </c>
      <c r="CY2360" s="115" t="e">
        <v>#N/A</v>
      </c>
      <c r="CZ2360" s="137" t="e">
        <v>#N/A</v>
      </c>
      <c r="DA2360">
        <v>0.11332468572476186</v>
      </c>
      <c r="DB2360" t="str">
        <v/>
      </c>
    </row>
    <row r="2361" spans="83:106" x14ac:dyDescent="0.2">
      <c r="CE2361"/>
      <c r="CF2361"/>
      <c r="CG2361"/>
      <c r="CH2361"/>
      <c r="CI2361"/>
      <c r="CU2361" s="42">
        <v>2356</v>
      </c>
      <c r="CV2361" s="115">
        <v>4</v>
      </c>
      <c r="CW2361" s="115">
        <v>0.11332468572476186</v>
      </c>
      <c r="CX2361" s="115" t="e">
        <v>#N/A</v>
      </c>
      <c r="CY2361" s="115" t="e">
        <v>#N/A</v>
      </c>
      <c r="CZ2361" s="137" t="e">
        <v>#N/A</v>
      </c>
      <c r="DA2361">
        <v>0.11332468572476186</v>
      </c>
      <c r="DB2361" t="str">
        <v/>
      </c>
    </row>
    <row r="2362" spans="83:106" x14ac:dyDescent="0.2">
      <c r="CE2362"/>
      <c r="CF2362"/>
      <c r="CG2362"/>
      <c r="CH2362"/>
      <c r="CI2362"/>
      <c r="CU2362" s="42">
        <v>2357</v>
      </c>
      <c r="CV2362" s="115">
        <v>4</v>
      </c>
      <c r="CW2362" s="115">
        <v>0.11332468572476186</v>
      </c>
      <c r="CX2362" s="115" t="e">
        <v>#N/A</v>
      </c>
      <c r="CY2362" s="115" t="e">
        <v>#N/A</v>
      </c>
      <c r="CZ2362" s="137" t="e">
        <v>#N/A</v>
      </c>
      <c r="DA2362">
        <v>0.11332468572476186</v>
      </c>
      <c r="DB2362" t="str">
        <v/>
      </c>
    </row>
    <row r="2363" spans="83:106" x14ac:dyDescent="0.2">
      <c r="CE2363"/>
      <c r="CF2363"/>
      <c r="CG2363"/>
      <c r="CH2363"/>
      <c r="CI2363"/>
      <c r="CU2363" s="42">
        <v>2358</v>
      </c>
      <c r="CV2363" s="115">
        <v>4</v>
      </c>
      <c r="CW2363" s="115">
        <v>0.11332468572476186</v>
      </c>
      <c r="CX2363" s="115" t="e">
        <v>#N/A</v>
      </c>
      <c r="CY2363" s="115" t="e">
        <v>#N/A</v>
      </c>
      <c r="CZ2363" s="137" t="e">
        <v>#N/A</v>
      </c>
      <c r="DA2363">
        <v>0.11332468572476186</v>
      </c>
      <c r="DB2363" t="str">
        <v/>
      </c>
    </row>
    <row r="2364" spans="83:106" x14ac:dyDescent="0.2">
      <c r="CE2364"/>
      <c r="CF2364"/>
      <c r="CG2364"/>
      <c r="CH2364"/>
      <c r="CI2364"/>
      <c r="CU2364" s="42">
        <v>2359</v>
      </c>
      <c r="CV2364" s="115">
        <v>4</v>
      </c>
      <c r="CW2364" s="115">
        <v>0.11332468572476186</v>
      </c>
      <c r="CX2364" s="115" t="e">
        <v>#N/A</v>
      </c>
      <c r="CY2364" s="115" t="e">
        <v>#N/A</v>
      </c>
      <c r="CZ2364" s="137" t="e">
        <v>#N/A</v>
      </c>
      <c r="DA2364">
        <v>0.11332468572476186</v>
      </c>
      <c r="DB2364" t="str">
        <v/>
      </c>
    </row>
    <row r="2365" spans="83:106" x14ac:dyDescent="0.2">
      <c r="CE2365"/>
      <c r="CF2365"/>
      <c r="CG2365"/>
      <c r="CH2365"/>
      <c r="CI2365"/>
      <c r="CU2365" s="42">
        <v>2360</v>
      </c>
      <c r="CV2365" s="115">
        <v>4</v>
      </c>
      <c r="CW2365" s="115">
        <v>0.11332468572476186</v>
      </c>
      <c r="CX2365" s="115" t="e">
        <v>#N/A</v>
      </c>
      <c r="CY2365" s="115" t="e">
        <v>#N/A</v>
      </c>
      <c r="CZ2365" s="137" t="e">
        <v>#N/A</v>
      </c>
      <c r="DA2365">
        <v>0.11332468572476186</v>
      </c>
      <c r="DB2365" t="str">
        <v/>
      </c>
    </row>
    <row r="2366" spans="83:106" x14ac:dyDescent="0.2">
      <c r="CE2366"/>
      <c r="CF2366"/>
      <c r="CG2366"/>
      <c r="CH2366"/>
      <c r="CI2366"/>
      <c r="CU2366" s="42">
        <v>2361</v>
      </c>
      <c r="CV2366" s="115">
        <v>4</v>
      </c>
      <c r="CW2366" s="115">
        <v>0.11332468572476186</v>
      </c>
      <c r="CX2366" s="115" t="e">
        <v>#N/A</v>
      </c>
      <c r="CY2366" s="115" t="e">
        <v>#N/A</v>
      </c>
      <c r="CZ2366" s="137" t="e">
        <v>#N/A</v>
      </c>
      <c r="DA2366">
        <v>0.11332468572476186</v>
      </c>
      <c r="DB2366" t="str">
        <v/>
      </c>
    </row>
    <row r="2367" spans="83:106" x14ac:dyDescent="0.2">
      <c r="CE2367"/>
      <c r="CF2367"/>
      <c r="CG2367"/>
      <c r="CH2367"/>
      <c r="CI2367"/>
      <c r="CU2367" s="42">
        <v>2362</v>
      </c>
      <c r="CV2367" s="115">
        <v>4</v>
      </c>
      <c r="CW2367" s="115">
        <v>0.11332468572476186</v>
      </c>
      <c r="CX2367" s="115" t="e">
        <v>#N/A</v>
      </c>
      <c r="CY2367" s="115" t="e">
        <v>#N/A</v>
      </c>
      <c r="CZ2367" s="137" t="e">
        <v>#N/A</v>
      </c>
      <c r="DA2367">
        <v>0.11332468572476186</v>
      </c>
      <c r="DB2367" t="str">
        <v/>
      </c>
    </row>
    <row r="2368" spans="83:106" x14ac:dyDescent="0.2">
      <c r="CE2368"/>
      <c r="CF2368"/>
      <c r="CG2368"/>
      <c r="CH2368"/>
      <c r="CI2368"/>
      <c r="CU2368" s="42">
        <v>2363</v>
      </c>
      <c r="CV2368" s="115">
        <v>4</v>
      </c>
      <c r="CW2368" s="115">
        <v>0.11332468572476186</v>
      </c>
      <c r="CX2368" s="115" t="e">
        <v>#N/A</v>
      </c>
      <c r="CY2368" s="115" t="e">
        <v>#N/A</v>
      </c>
      <c r="CZ2368" s="137" t="e">
        <v>#N/A</v>
      </c>
      <c r="DA2368">
        <v>0.11332468572476186</v>
      </c>
      <c r="DB2368" t="str">
        <v/>
      </c>
    </row>
    <row r="2369" spans="83:106" x14ac:dyDescent="0.2">
      <c r="CE2369"/>
      <c r="CF2369"/>
      <c r="CG2369"/>
      <c r="CH2369"/>
      <c r="CI2369"/>
      <c r="CU2369" s="42">
        <v>2364</v>
      </c>
      <c r="CV2369" s="115">
        <v>4</v>
      </c>
      <c r="CW2369" s="115">
        <v>0.11332468572476186</v>
      </c>
      <c r="CX2369" s="115" t="e">
        <v>#N/A</v>
      </c>
      <c r="CY2369" s="115" t="e">
        <v>#N/A</v>
      </c>
      <c r="CZ2369" s="137" t="e">
        <v>#N/A</v>
      </c>
      <c r="DA2369">
        <v>0.11332468572476186</v>
      </c>
      <c r="DB2369" t="str">
        <v/>
      </c>
    </row>
    <row r="2370" spans="83:106" x14ac:dyDescent="0.2">
      <c r="CE2370"/>
      <c r="CF2370"/>
      <c r="CG2370"/>
      <c r="CH2370"/>
      <c r="CI2370"/>
      <c r="CU2370" s="42">
        <v>2365</v>
      </c>
      <c r="CV2370" s="115">
        <v>4</v>
      </c>
      <c r="CW2370" s="115">
        <v>0.11332468572476186</v>
      </c>
      <c r="CX2370" s="115" t="e">
        <v>#N/A</v>
      </c>
      <c r="CY2370" s="115" t="e">
        <v>#N/A</v>
      </c>
      <c r="CZ2370" s="137" t="e">
        <v>#N/A</v>
      </c>
      <c r="DA2370">
        <v>0.11332468572476186</v>
      </c>
      <c r="DB2370" t="str">
        <v/>
      </c>
    </row>
    <row r="2371" spans="83:106" x14ac:dyDescent="0.2">
      <c r="CE2371"/>
      <c r="CF2371"/>
      <c r="CG2371"/>
      <c r="CH2371"/>
      <c r="CI2371"/>
      <c r="CU2371" s="42">
        <v>2366</v>
      </c>
      <c r="CV2371" s="115">
        <v>4</v>
      </c>
      <c r="CW2371" s="115">
        <v>0.11332468572476186</v>
      </c>
      <c r="CX2371" s="115" t="e">
        <v>#N/A</v>
      </c>
      <c r="CY2371" s="115" t="e">
        <v>#N/A</v>
      </c>
      <c r="CZ2371" s="137" t="e">
        <v>#N/A</v>
      </c>
      <c r="DA2371">
        <v>0.11332468572476186</v>
      </c>
      <c r="DB2371" t="str">
        <v/>
      </c>
    </row>
    <row r="2372" spans="83:106" x14ac:dyDescent="0.2">
      <c r="CE2372"/>
      <c r="CF2372"/>
      <c r="CG2372"/>
      <c r="CH2372"/>
      <c r="CI2372"/>
      <c r="CU2372" s="42">
        <v>2367</v>
      </c>
      <c r="CV2372" s="115">
        <v>4</v>
      </c>
      <c r="CW2372" s="115">
        <v>0.11332468572476186</v>
      </c>
      <c r="CX2372" s="115" t="e">
        <v>#N/A</v>
      </c>
      <c r="CY2372" s="115" t="e">
        <v>#N/A</v>
      </c>
      <c r="CZ2372" s="137" t="e">
        <v>#N/A</v>
      </c>
      <c r="DA2372">
        <v>0.11332468572476186</v>
      </c>
      <c r="DB2372" t="str">
        <v/>
      </c>
    </row>
    <row r="2373" spans="83:106" x14ac:dyDescent="0.2">
      <c r="CE2373"/>
      <c r="CF2373"/>
      <c r="CG2373"/>
      <c r="CH2373"/>
      <c r="CI2373"/>
      <c r="CU2373" s="42">
        <v>2368</v>
      </c>
      <c r="CV2373" s="115">
        <v>4</v>
      </c>
      <c r="CW2373" s="115">
        <v>0.11332468572476186</v>
      </c>
      <c r="CX2373" s="115" t="e">
        <v>#N/A</v>
      </c>
      <c r="CY2373" s="115" t="e">
        <v>#N/A</v>
      </c>
      <c r="CZ2373" s="137" t="e">
        <v>#N/A</v>
      </c>
      <c r="DA2373">
        <v>0.11332468572476186</v>
      </c>
      <c r="DB2373" t="str">
        <v/>
      </c>
    </row>
    <row r="2374" spans="83:106" x14ac:dyDescent="0.2">
      <c r="CE2374"/>
      <c r="CF2374"/>
      <c r="CG2374"/>
      <c r="CH2374"/>
      <c r="CI2374"/>
      <c r="CU2374" s="42">
        <v>2369</v>
      </c>
      <c r="CV2374" s="115">
        <v>4</v>
      </c>
      <c r="CW2374" s="115">
        <v>0.11332468572476186</v>
      </c>
      <c r="CX2374" s="115" t="e">
        <v>#N/A</v>
      </c>
      <c r="CY2374" s="115" t="e">
        <v>#N/A</v>
      </c>
      <c r="CZ2374" s="137" t="e">
        <v>#N/A</v>
      </c>
      <c r="DA2374">
        <v>0.11332468572476186</v>
      </c>
      <c r="DB2374" t="str">
        <v/>
      </c>
    </row>
    <row r="2375" spans="83:106" x14ac:dyDescent="0.2">
      <c r="CE2375"/>
      <c r="CF2375"/>
      <c r="CG2375"/>
      <c r="CH2375"/>
      <c r="CI2375"/>
      <c r="CU2375" s="42">
        <v>2370</v>
      </c>
      <c r="CV2375" s="115">
        <v>4</v>
      </c>
      <c r="CW2375" s="115">
        <v>0.11332468572476186</v>
      </c>
      <c r="CX2375" s="115" t="e">
        <v>#N/A</v>
      </c>
      <c r="CY2375" s="115" t="e">
        <v>#N/A</v>
      </c>
      <c r="CZ2375" s="137" t="e">
        <v>#N/A</v>
      </c>
      <c r="DA2375">
        <v>0.11332468572476186</v>
      </c>
      <c r="DB2375" t="str">
        <v/>
      </c>
    </row>
    <row r="2376" spans="83:106" x14ac:dyDescent="0.2">
      <c r="CE2376"/>
      <c r="CF2376"/>
      <c r="CG2376"/>
      <c r="CH2376"/>
      <c r="CI2376"/>
      <c r="CU2376" s="42">
        <v>2371</v>
      </c>
      <c r="CV2376" s="115">
        <v>4</v>
      </c>
      <c r="CW2376" s="115">
        <v>0.11332468572476186</v>
      </c>
      <c r="CX2376" s="115" t="e">
        <v>#N/A</v>
      </c>
      <c r="CY2376" s="115" t="e">
        <v>#N/A</v>
      </c>
      <c r="CZ2376" s="137" t="e">
        <v>#N/A</v>
      </c>
      <c r="DA2376">
        <v>0.11332468572476186</v>
      </c>
      <c r="DB2376" t="str">
        <v/>
      </c>
    </row>
    <row r="2377" spans="83:106" x14ac:dyDescent="0.2">
      <c r="CE2377"/>
      <c r="CF2377"/>
      <c r="CG2377"/>
      <c r="CH2377"/>
      <c r="CI2377"/>
      <c r="CU2377" s="42">
        <v>2372</v>
      </c>
      <c r="CV2377" s="115">
        <v>4</v>
      </c>
      <c r="CW2377" s="115">
        <v>0.11332468572476186</v>
      </c>
      <c r="CX2377" s="115" t="e">
        <v>#N/A</v>
      </c>
      <c r="CY2377" s="115" t="e">
        <v>#N/A</v>
      </c>
      <c r="CZ2377" s="137" t="e">
        <v>#N/A</v>
      </c>
      <c r="DA2377">
        <v>0.11332468572476186</v>
      </c>
      <c r="DB2377" t="str">
        <v/>
      </c>
    </row>
    <row r="2378" spans="83:106" x14ac:dyDescent="0.2">
      <c r="CE2378"/>
      <c r="CF2378"/>
      <c r="CG2378"/>
      <c r="CH2378"/>
      <c r="CI2378"/>
      <c r="CU2378" s="42">
        <v>2373</v>
      </c>
      <c r="CV2378" s="115">
        <v>4</v>
      </c>
      <c r="CW2378" s="115">
        <v>0.11332468572476186</v>
      </c>
      <c r="CX2378" s="115" t="e">
        <v>#N/A</v>
      </c>
      <c r="CY2378" s="115" t="e">
        <v>#N/A</v>
      </c>
      <c r="CZ2378" s="137" t="e">
        <v>#N/A</v>
      </c>
      <c r="DA2378">
        <v>0.11332468572476186</v>
      </c>
      <c r="DB2378" t="str">
        <v/>
      </c>
    </row>
    <row r="2379" spans="83:106" x14ac:dyDescent="0.2">
      <c r="CE2379"/>
      <c r="CF2379"/>
      <c r="CG2379"/>
      <c r="CH2379"/>
      <c r="CI2379"/>
      <c r="CU2379" s="42">
        <v>2374</v>
      </c>
      <c r="CV2379" s="115">
        <v>4</v>
      </c>
      <c r="CW2379" s="115">
        <v>0.11332468572476186</v>
      </c>
      <c r="CX2379" s="115" t="e">
        <v>#N/A</v>
      </c>
      <c r="CY2379" s="115" t="e">
        <v>#N/A</v>
      </c>
      <c r="CZ2379" s="137" t="e">
        <v>#N/A</v>
      </c>
      <c r="DA2379">
        <v>0.11332468572476186</v>
      </c>
      <c r="DB2379" t="str">
        <v/>
      </c>
    </row>
    <row r="2380" spans="83:106" x14ac:dyDescent="0.2">
      <c r="CE2380"/>
      <c r="CF2380"/>
      <c r="CG2380"/>
      <c r="CH2380"/>
      <c r="CI2380"/>
      <c r="CU2380" s="42">
        <v>2375</v>
      </c>
      <c r="CV2380" s="115">
        <v>4</v>
      </c>
      <c r="CW2380" s="115">
        <v>0.11332468572476186</v>
      </c>
      <c r="CX2380" s="115" t="e">
        <v>#N/A</v>
      </c>
      <c r="CY2380" s="115" t="e">
        <v>#N/A</v>
      </c>
      <c r="CZ2380" s="137" t="e">
        <v>#N/A</v>
      </c>
      <c r="DA2380">
        <v>0.11332468572476186</v>
      </c>
      <c r="DB2380" t="str">
        <v/>
      </c>
    </row>
    <row r="2381" spans="83:106" x14ac:dyDescent="0.2">
      <c r="CE2381"/>
      <c r="CF2381"/>
      <c r="CG2381"/>
      <c r="CH2381"/>
      <c r="CI2381"/>
      <c r="CU2381" s="42">
        <v>2376</v>
      </c>
      <c r="CV2381" s="115">
        <v>4</v>
      </c>
      <c r="CW2381" s="115">
        <v>0.11332468572476186</v>
      </c>
      <c r="CX2381" s="115" t="e">
        <v>#N/A</v>
      </c>
      <c r="CY2381" s="115" t="e">
        <v>#N/A</v>
      </c>
      <c r="CZ2381" s="137" t="e">
        <v>#N/A</v>
      </c>
      <c r="DA2381">
        <v>0.11332468572476186</v>
      </c>
      <c r="DB2381" t="str">
        <v/>
      </c>
    </row>
    <row r="2382" spans="83:106" x14ac:dyDescent="0.2">
      <c r="CE2382"/>
      <c r="CF2382"/>
      <c r="CG2382"/>
      <c r="CH2382"/>
      <c r="CI2382"/>
      <c r="CU2382" s="42">
        <v>2377</v>
      </c>
      <c r="CV2382" s="115">
        <v>4</v>
      </c>
      <c r="CW2382" s="115">
        <v>0.11332468572476186</v>
      </c>
      <c r="CX2382" s="115" t="e">
        <v>#N/A</v>
      </c>
      <c r="CY2382" s="115" t="e">
        <v>#N/A</v>
      </c>
      <c r="CZ2382" s="137" t="e">
        <v>#N/A</v>
      </c>
      <c r="DA2382">
        <v>0.11332468572476186</v>
      </c>
      <c r="DB2382" t="str">
        <v/>
      </c>
    </row>
    <row r="2383" spans="83:106" x14ac:dyDescent="0.2">
      <c r="CE2383"/>
      <c r="CF2383"/>
      <c r="CG2383"/>
      <c r="CH2383"/>
      <c r="CI2383"/>
      <c r="CU2383" s="42">
        <v>2378</v>
      </c>
      <c r="CV2383" s="115">
        <v>4</v>
      </c>
      <c r="CW2383" s="115">
        <v>0.11332468572476186</v>
      </c>
      <c r="CX2383" s="115" t="e">
        <v>#N/A</v>
      </c>
      <c r="CY2383" s="115" t="e">
        <v>#N/A</v>
      </c>
      <c r="CZ2383" s="137" t="e">
        <v>#N/A</v>
      </c>
      <c r="DA2383">
        <v>0.11332468572476186</v>
      </c>
      <c r="DB2383" t="str">
        <v/>
      </c>
    </row>
    <row r="2384" spans="83:106" x14ac:dyDescent="0.2">
      <c r="CE2384"/>
      <c r="CF2384"/>
      <c r="CG2384"/>
      <c r="CH2384"/>
      <c r="CI2384"/>
      <c r="CU2384" s="42">
        <v>2379</v>
      </c>
      <c r="CV2384" s="115">
        <v>4</v>
      </c>
      <c r="CW2384" s="115">
        <v>0.11332468572476186</v>
      </c>
      <c r="CX2384" s="115" t="e">
        <v>#N/A</v>
      </c>
      <c r="CY2384" s="115" t="e">
        <v>#N/A</v>
      </c>
      <c r="CZ2384" s="137" t="e">
        <v>#N/A</v>
      </c>
      <c r="DA2384">
        <v>0.11332468572476186</v>
      </c>
      <c r="DB2384" t="str">
        <v/>
      </c>
    </row>
    <row r="2385" spans="83:106" x14ac:dyDescent="0.2">
      <c r="CE2385"/>
      <c r="CF2385"/>
      <c r="CG2385"/>
      <c r="CH2385"/>
      <c r="CI2385"/>
      <c r="CU2385" s="42">
        <v>2380</v>
      </c>
      <c r="CV2385" s="115">
        <v>4</v>
      </c>
      <c r="CW2385" s="115">
        <v>0.11332468572476186</v>
      </c>
      <c r="CX2385" s="115" t="e">
        <v>#N/A</v>
      </c>
      <c r="CY2385" s="115" t="e">
        <v>#N/A</v>
      </c>
      <c r="CZ2385" s="137" t="e">
        <v>#N/A</v>
      </c>
      <c r="DA2385">
        <v>0.11332468572476186</v>
      </c>
      <c r="DB2385" t="str">
        <v/>
      </c>
    </row>
    <row r="2386" spans="83:106" x14ac:dyDescent="0.2">
      <c r="CE2386"/>
      <c r="CF2386"/>
      <c r="CG2386"/>
      <c r="CH2386"/>
      <c r="CI2386"/>
      <c r="CU2386" s="42">
        <v>2381</v>
      </c>
      <c r="CV2386" s="115">
        <v>4</v>
      </c>
      <c r="CW2386" s="115">
        <v>0.11332468572476186</v>
      </c>
      <c r="CX2386" s="115" t="e">
        <v>#N/A</v>
      </c>
      <c r="CY2386" s="115" t="e">
        <v>#N/A</v>
      </c>
      <c r="CZ2386" s="137" t="e">
        <v>#N/A</v>
      </c>
      <c r="DA2386">
        <v>0.11332468572476186</v>
      </c>
      <c r="DB2386" t="str">
        <v/>
      </c>
    </row>
    <row r="2387" spans="83:106" x14ac:dyDescent="0.2">
      <c r="CE2387"/>
      <c r="CF2387"/>
      <c r="CG2387"/>
      <c r="CH2387"/>
      <c r="CI2387"/>
      <c r="CU2387" s="42">
        <v>2382</v>
      </c>
      <c r="CV2387" s="115">
        <v>4</v>
      </c>
      <c r="CW2387" s="115">
        <v>0.11332468572476186</v>
      </c>
      <c r="CX2387" s="115" t="e">
        <v>#N/A</v>
      </c>
      <c r="CY2387" s="115" t="e">
        <v>#N/A</v>
      </c>
      <c r="CZ2387" s="137" t="e">
        <v>#N/A</v>
      </c>
      <c r="DA2387">
        <v>0.11332468572476186</v>
      </c>
      <c r="DB2387" t="str">
        <v/>
      </c>
    </row>
    <row r="2388" spans="83:106" x14ac:dyDescent="0.2">
      <c r="CE2388"/>
      <c r="CF2388"/>
      <c r="CG2388"/>
      <c r="CH2388"/>
      <c r="CI2388"/>
      <c r="CU2388" s="42">
        <v>2383</v>
      </c>
      <c r="CV2388" s="115">
        <v>4</v>
      </c>
      <c r="CW2388" s="115">
        <v>0.11332468572476186</v>
      </c>
      <c r="CX2388" s="115" t="e">
        <v>#N/A</v>
      </c>
      <c r="CY2388" s="115" t="e">
        <v>#N/A</v>
      </c>
      <c r="CZ2388" s="137" t="e">
        <v>#N/A</v>
      </c>
      <c r="DA2388">
        <v>0.11332468572476186</v>
      </c>
      <c r="DB2388" t="str">
        <v/>
      </c>
    </row>
    <row r="2389" spans="83:106" x14ac:dyDescent="0.2">
      <c r="CE2389"/>
      <c r="CF2389"/>
      <c r="CG2389"/>
      <c r="CH2389"/>
      <c r="CI2389"/>
      <c r="CU2389" s="42">
        <v>2384</v>
      </c>
      <c r="CV2389" s="115">
        <v>4</v>
      </c>
      <c r="CW2389" s="115">
        <v>0.11332468572476186</v>
      </c>
      <c r="CX2389" s="115" t="e">
        <v>#N/A</v>
      </c>
      <c r="CY2389" s="115" t="e">
        <v>#N/A</v>
      </c>
      <c r="CZ2389" s="137" t="e">
        <v>#N/A</v>
      </c>
      <c r="DA2389">
        <v>0.11332468572476186</v>
      </c>
      <c r="DB2389" t="str">
        <v/>
      </c>
    </row>
    <row r="2390" spans="83:106" x14ac:dyDescent="0.2">
      <c r="CE2390"/>
      <c r="CF2390"/>
      <c r="CG2390"/>
      <c r="CH2390"/>
      <c r="CI2390"/>
      <c r="CU2390" s="42">
        <v>2385</v>
      </c>
      <c r="CV2390" s="115">
        <v>4</v>
      </c>
      <c r="CW2390" s="115">
        <v>0.11332468572476186</v>
      </c>
      <c r="CX2390" s="115" t="e">
        <v>#N/A</v>
      </c>
      <c r="CY2390" s="115" t="e">
        <v>#N/A</v>
      </c>
      <c r="CZ2390" s="137" t="e">
        <v>#N/A</v>
      </c>
      <c r="DA2390">
        <v>0.11332468572476186</v>
      </c>
      <c r="DB2390" t="str">
        <v/>
      </c>
    </row>
    <row r="2391" spans="83:106" x14ac:dyDescent="0.2">
      <c r="CE2391"/>
      <c r="CF2391"/>
      <c r="CG2391"/>
      <c r="CH2391"/>
      <c r="CI2391"/>
      <c r="CU2391" s="42">
        <v>2386</v>
      </c>
      <c r="CV2391" s="115">
        <v>4</v>
      </c>
      <c r="CW2391" s="115">
        <v>0.11332468572476186</v>
      </c>
      <c r="CX2391" s="115" t="e">
        <v>#N/A</v>
      </c>
      <c r="CY2391" s="115" t="e">
        <v>#N/A</v>
      </c>
      <c r="CZ2391" s="137" t="e">
        <v>#N/A</v>
      </c>
      <c r="DA2391">
        <v>0.11332468572476186</v>
      </c>
      <c r="DB2391" t="str">
        <v/>
      </c>
    </row>
    <row r="2392" spans="83:106" x14ac:dyDescent="0.2">
      <c r="CE2392"/>
      <c r="CF2392"/>
      <c r="CG2392"/>
      <c r="CH2392"/>
      <c r="CI2392"/>
      <c r="CU2392" s="42">
        <v>2387</v>
      </c>
      <c r="CV2392" s="115">
        <v>4</v>
      </c>
      <c r="CW2392" s="115">
        <v>0.11332468572476186</v>
      </c>
      <c r="CX2392" s="115" t="e">
        <v>#N/A</v>
      </c>
      <c r="CY2392" s="115" t="e">
        <v>#N/A</v>
      </c>
      <c r="CZ2392" s="137" t="e">
        <v>#N/A</v>
      </c>
      <c r="DA2392">
        <v>0.11332468572476186</v>
      </c>
      <c r="DB2392" t="str">
        <v/>
      </c>
    </row>
    <row r="2393" spans="83:106" x14ac:dyDescent="0.2">
      <c r="CE2393"/>
      <c r="CF2393"/>
      <c r="CG2393"/>
      <c r="CH2393"/>
      <c r="CI2393"/>
      <c r="CU2393" s="42">
        <v>2388</v>
      </c>
      <c r="CV2393" s="115">
        <v>4</v>
      </c>
      <c r="CW2393" s="115">
        <v>0.11332468572476186</v>
      </c>
      <c r="CX2393" s="115" t="e">
        <v>#N/A</v>
      </c>
      <c r="CY2393" s="115" t="e">
        <v>#N/A</v>
      </c>
      <c r="CZ2393" s="137" t="e">
        <v>#N/A</v>
      </c>
      <c r="DA2393">
        <v>0.11332468572476186</v>
      </c>
      <c r="DB2393" t="str">
        <v/>
      </c>
    </row>
    <row r="2394" spans="83:106" x14ac:dyDescent="0.2">
      <c r="CE2394"/>
      <c r="CF2394"/>
      <c r="CG2394"/>
      <c r="CH2394"/>
      <c r="CI2394"/>
      <c r="CU2394" s="42">
        <v>2389</v>
      </c>
      <c r="CV2394" s="115">
        <v>4</v>
      </c>
      <c r="CW2394" s="115">
        <v>0.11332468572476186</v>
      </c>
      <c r="CX2394" s="115" t="e">
        <v>#N/A</v>
      </c>
      <c r="CY2394" s="115" t="e">
        <v>#N/A</v>
      </c>
      <c r="CZ2394" s="137" t="e">
        <v>#N/A</v>
      </c>
      <c r="DA2394">
        <v>0.11332468572476186</v>
      </c>
      <c r="DB2394" t="str">
        <v/>
      </c>
    </row>
    <row r="2395" spans="83:106" x14ac:dyDescent="0.2">
      <c r="CE2395"/>
      <c r="CF2395"/>
      <c r="CG2395"/>
      <c r="CH2395"/>
      <c r="CI2395"/>
      <c r="CU2395" s="42">
        <v>2390</v>
      </c>
      <c r="CV2395" s="115">
        <v>4</v>
      </c>
      <c r="CW2395" s="115">
        <v>0.11332468572476186</v>
      </c>
      <c r="CX2395" s="115" t="e">
        <v>#N/A</v>
      </c>
      <c r="CY2395" s="115" t="e">
        <v>#N/A</v>
      </c>
      <c r="CZ2395" s="137" t="e">
        <v>#N/A</v>
      </c>
      <c r="DA2395">
        <v>0.11332468572476186</v>
      </c>
      <c r="DB2395" t="str">
        <v/>
      </c>
    </row>
    <row r="2396" spans="83:106" x14ac:dyDescent="0.2">
      <c r="CE2396"/>
      <c r="CF2396"/>
      <c r="CG2396"/>
      <c r="CH2396"/>
      <c r="CI2396"/>
      <c r="CU2396" s="42">
        <v>2391</v>
      </c>
      <c r="CV2396" s="115">
        <v>4</v>
      </c>
      <c r="CW2396" s="115">
        <v>0.11332468572476186</v>
      </c>
      <c r="CX2396" s="115" t="e">
        <v>#N/A</v>
      </c>
      <c r="CY2396" s="115" t="e">
        <v>#N/A</v>
      </c>
      <c r="CZ2396" s="137" t="e">
        <v>#N/A</v>
      </c>
      <c r="DA2396">
        <v>0.11332468572476186</v>
      </c>
      <c r="DB2396" t="str">
        <v/>
      </c>
    </row>
    <row r="2397" spans="83:106" x14ac:dyDescent="0.2">
      <c r="CE2397"/>
      <c r="CF2397"/>
      <c r="CG2397"/>
      <c r="CH2397"/>
      <c r="CI2397"/>
      <c r="CU2397" s="42">
        <v>2392</v>
      </c>
      <c r="CV2397" s="115">
        <v>4</v>
      </c>
      <c r="CW2397" s="115">
        <v>0.11332468572476186</v>
      </c>
      <c r="CX2397" s="115" t="e">
        <v>#N/A</v>
      </c>
      <c r="CY2397" s="115" t="e">
        <v>#N/A</v>
      </c>
      <c r="CZ2397" s="137" t="e">
        <v>#N/A</v>
      </c>
      <c r="DA2397">
        <v>0.11332468572476186</v>
      </c>
      <c r="DB2397" t="str">
        <v/>
      </c>
    </row>
    <row r="2398" spans="83:106" x14ac:dyDescent="0.2">
      <c r="CE2398"/>
      <c r="CF2398"/>
      <c r="CG2398"/>
      <c r="CH2398"/>
      <c r="CI2398"/>
      <c r="CU2398" s="42">
        <v>2393</v>
      </c>
      <c r="CV2398" s="115">
        <v>4</v>
      </c>
      <c r="CW2398" s="115">
        <v>0.11332468572476186</v>
      </c>
      <c r="CX2398" s="115" t="e">
        <v>#N/A</v>
      </c>
      <c r="CY2398" s="115" t="e">
        <v>#N/A</v>
      </c>
      <c r="CZ2398" s="137" t="e">
        <v>#N/A</v>
      </c>
      <c r="DA2398">
        <v>0.11332468572476186</v>
      </c>
      <c r="DB2398" t="str">
        <v/>
      </c>
    </row>
    <row r="2399" spans="83:106" x14ac:dyDescent="0.2">
      <c r="CE2399"/>
      <c r="CF2399"/>
      <c r="CG2399"/>
      <c r="CH2399"/>
      <c r="CI2399"/>
      <c r="CU2399" s="42">
        <v>2394</v>
      </c>
      <c r="CV2399" s="115">
        <v>4</v>
      </c>
      <c r="CW2399" s="115">
        <v>0.11332468572476186</v>
      </c>
      <c r="CX2399" s="115" t="e">
        <v>#N/A</v>
      </c>
      <c r="CY2399" s="115" t="e">
        <v>#N/A</v>
      </c>
      <c r="CZ2399" s="137" t="e">
        <v>#N/A</v>
      </c>
      <c r="DA2399">
        <v>0.11332468572476186</v>
      </c>
      <c r="DB2399" t="str">
        <v/>
      </c>
    </row>
    <row r="2400" spans="83:106" x14ac:dyDescent="0.2">
      <c r="CE2400"/>
      <c r="CF2400"/>
      <c r="CG2400"/>
      <c r="CH2400"/>
      <c r="CI2400"/>
      <c r="CU2400" s="42">
        <v>2395</v>
      </c>
      <c r="CV2400" s="115">
        <v>4</v>
      </c>
      <c r="CW2400" s="115">
        <v>0.11332468572476186</v>
      </c>
      <c r="CX2400" s="115" t="e">
        <v>#N/A</v>
      </c>
      <c r="CY2400" s="115" t="e">
        <v>#N/A</v>
      </c>
      <c r="CZ2400" s="137" t="e">
        <v>#N/A</v>
      </c>
      <c r="DA2400">
        <v>0.11332468572476186</v>
      </c>
      <c r="DB2400" t="str">
        <v/>
      </c>
    </row>
    <row r="2401" spans="83:106" x14ac:dyDescent="0.2">
      <c r="CE2401"/>
      <c r="CF2401"/>
      <c r="CG2401"/>
      <c r="CH2401"/>
      <c r="CI2401"/>
      <c r="CU2401" s="42">
        <v>2396</v>
      </c>
      <c r="CV2401" s="115">
        <v>4</v>
      </c>
      <c r="CW2401" s="115">
        <v>0.11332468572476186</v>
      </c>
      <c r="CX2401" s="115" t="e">
        <v>#N/A</v>
      </c>
      <c r="CY2401" s="115" t="e">
        <v>#N/A</v>
      </c>
      <c r="CZ2401" s="137" t="e">
        <v>#N/A</v>
      </c>
      <c r="DA2401">
        <v>0.11332468572476186</v>
      </c>
      <c r="DB2401" t="str">
        <v/>
      </c>
    </row>
    <row r="2402" spans="83:106" x14ac:dyDescent="0.2">
      <c r="CE2402"/>
      <c r="CF2402"/>
      <c r="CG2402"/>
      <c r="CH2402"/>
      <c r="CI2402"/>
      <c r="CU2402" s="42">
        <v>2397</v>
      </c>
      <c r="CV2402" s="115">
        <v>4</v>
      </c>
      <c r="CW2402" s="115">
        <v>0.11332468572476186</v>
      </c>
      <c r="CX2402" s="115" t="e">
        <v>#N/A</v>
      </c>
      <c r="CY2402" s="115" t="e">
        <v>#N/A</v>
      </c>
      <c r="CZ2402" s="137" t="e">
        <v>#N/A</v>
      </c>
      <c r="DA2402">
        <v>0.11332468572476186</v>
      </c>
      <c r="DB2402" t="str">
        <v/>
      </c>
    </row>
    <row r="2403" spans="83:106" x14ac:dyDescent="0.2">
      <c r="CE2403"/>
      <c r="CF2403"/>
      <c r="CG2403"/>
      <c r="CH2403"/>
      <c r="CI2403"/>
      <c r="CU2403" s="42">
        <v>2398</v>
      </c>
      <c r="CV2403" s="115">
        <v>4</v>
      </c>
      <c r="CW2403" s="115">
        <v>0.11332468572476186</v>
      </c>
      <c r="CX2403" s="115" t="e">
        <v>#N/A</v>
      </c>
      <c r="CY2403" s="115" t="e">
        <v>#N/A</v>
      </c>
      <c r="CZ2403" s="137" t="e">
        <v>#N/A</v>
      </c>
      <c r="DA2403">
        <v>0.11332468572476186</v>
      </c>
      <c r="DB2403" t="str">
        <v/>
      </c>
    </row>
    <row r="2404" spans="83:106" x14ac:dyDescent="0.2">
      <c r="CE2404"/>
      <c r="CF2404"/>
      <c r="CG2404"/>
      <c r="CH2404"/>
      <c r="CI2404"/>
      <c r="CU2404" s="42">
        <v>2399</v>
      </c>
      <c r="CV2404" s="115">
        <v>4</v>
      </c>
      <c r="CW2404" s="115">
        <v>0.11332468572476186</v>
      </c>
      <c r="CX2404" s="115" t="e">
        <v>#N/A</v>
      </c>
      <c r="CY2404" s="115" t="e">
        <v>#N/A</v>
      </c>
      <c r="CZ2404" s="137" t="e">
        <v>#N/A</v>
      </c>
      <c r="DA2404">
        <v>0.11332468572476186</v>
      </c>
      <c r="DB2404" t="str">
        <v/>
      </c>
    </row>
    <row r="2405" spans="83:106" x14ac:dyDescent="0.2">
      <c r="CE2405"/>
      <c r="CF2405"/>
      <c r="CG2405"/>
      <c r="CH2405"/>
      <c r="CI2405"/>
      <c r="CU2405" s="42">
        <v>2400</v>
      </c>
      <c r="CV2405" s="115">
        <v>4</v>
      </c>
      <c r="CW2405" s="115">
        <v>0.11332468572476186</v>
      </c>
      <c r="CX2405" s="115" t="e">
        <v>#N/A</v>
      </c>
      <c r="CY2405" s="115" t="e">
        <v>#N/A</v>
      </c>
      <c r="CZ2405" s="137" t="e">
        <v>#N/A</v>
      </c>
      <c r="DA2405">
        <v>0.11332468572476186</v>
      </c>
      <c r="DB2405" t="str">
        <v/>
      </c>
    </row>
    <row r="2406" spans="83:106" x14ac:dyDescent="0.2">
      <c r="CE2406"/>
      <c r="CF2406"/>
      <c r="CG2406"/>
      <c r="CH2406"/>
      <c r="CI2406"/>
      <c r="CU2406" s="42">
        <v>2401</v>
      </c>
      <c r="CV2406" s="115">
        <v>4</v>
      </c>
      <c r="CW2406" s="115">
        <v>0.11332468572476186</v>
      </c>
      <c r="CX2406" s="115" t="e">
        <v>#N/A</v>
      </c>
      <c r="CY2406" s="115" t="e">
        <v>#N/A</v>
      </c>
      <c r="CZ2406" s="137" t="e">
        <v>#N/A</v>
      </c>
      <c r="DA2406">
        <v>0.11332468572476186</v>
      </c>
      <c r="DB2406" t="str">
        <v/>
      </c>
    </row>
    <row r="2407" spans="83:106" x14ac:dyDescent="0.2">
      <c r="CE2407"/>
      <c r="CF2407"/>
      <c r="CG2407"/>
      <c r="CH2407"/>
      <c r="CI2407"/>
      <c r="CU2407" s="42">
        <v>2402</v>
      </c>
      <c r="CV2407" s="115">
        <v>4</v>
      </c>
      <c r="CW2407" s="115">
        <v>0.11332468572476186</v>
      </c>
      <c r="CX2407" s="115" t="e">
        <v>#N/A</v>
      </c>
      <c r="CY2407" s="115" t="e">
        <v>#N/A</v>
      </c>
      <c r="CZ2407" s="137" t="e">
        <v>#N/A</v>
      </c>
      <c r="DA2407">
        <v>0.11332468572476186</v>
      </c>
      <c r="DB2407" t="str">
        <v/>
      </c>
    </row>
    <row r="2408" spans="83:106" x14ac:dyDescent="0.2">
      <c r="CE2408"/>
      <c r="CF2408"/>
      <c r="CG2408"/>
      <c r="CH2408"/>
      <c r="CI2408"/>
      <c r="CU2408" s="42">
        <v>2403</v>
      </c>
      <c r="CV2408" s="115">
        <v>4</v>
      </c>
      <c r="CW2408" s="115">
        <v>0.11332468572476186</v>
      </c>
      <c r="CX2408" s="115" t="e">
        <v>#N/A</v>
      </c>
      <c r="CY2408" s="115" t="e">
        <v>#N/A</v>
      </c>
      <c r="CZ2408" s="137" t="e">
        <v>#N/A</v>
      </c>
      <c r="DA2408">
        <v>0.11332468572476186</v>
      </c>
      <c r="DB2408" t="str">
        <v/>
      </c>
    </row>
    <row r="2409" spans="83:106" x14ac:dyDescent="0.2">
      <c r="CE2409"/>
      <c r="CF2409"/>
      <c r="CG2409"/>
      <c r="CH2409"/>
      <c r="CI2409"/>
      <c r="CU2409" s="42">
        <v>2404</v>
      </c>
      <c r="CV2409" s="115">
        <v>4</v>
      </c>
      <c r="CW2409" s="115">
        <v>0.11332468572476186</v>
      </c>
      <c r="CX2409" s="115" t="e">
        <v>#N/A</v>
      </c>
      <c r="CY2409" s="115" t="e">
        <v>#N/A</v>
      </c>
      <c r="CZ2409" s="137" t="e">
        <v>#N/A</v>
      </c>
      <c r="DA2409">
        <v>0.11332468572476186</v>
      </c>
      <c r="DB2409" t="str">
        <v/>
      </c>
    </row>
    <row r="2410" spans="83:106" x14ac:dyDescent="0.2">
      <c r="CE2410"/>
      <c r="CF2410"/>
      <c r="CG2410"/>
      <c r="CH2410"/>
      <c r="CI2410"/>
      <c r="CU2410" s="42">
        <v>2405</v>
      </c>
      <c r="CV2410" s="115">
        <v>4</v>
      </c>
      <c r="CW2410" s="115">
        <v>0.11332468572476186</v>
      </c>
      <c r="CX2410" s="115" t="e">
        <v>#N/A</v>
      </c>
      <c r="CY2410" s="115" t="e">
        <v>#N/A</v>
      </c>
      <c r="CZ2410" s="137" t="e">
        <v>#N/A</v>
      </c>
      <c r="DA2410">
        <v>0.11332468572476186</v>
      </c>
      <c r="DB2410" t="str">
        <v/>
      </c>
    </row>
    <row r="2411" spans="83:106" x14ac:dyDescent="0.2">
      <c r="CE2411"/>
      <c r="CF2411"/>
      <c r="CG2411"/>
      <c r="CH2411"/>
      <c r="CI2411"/>
      <c r="CU2411" s="42">
        <v>2406</v>
      </c>
      <c r="CV2411" s="115">
        <v>4</v>
      </c>
      <c r="CW2411" s="115">
        <v>0.11332468572476186</v>
      </c>
      <c r="CX2411" s="115" t="e">
        <v>#N/A</v>
      </c>
      <c r="CY2411" s="115" t="e">
        <v>#N/A</v>
      </c>
      <c r="CZ2411" s="137" t="e">
        <v>#N/A</v>
      </c>
      <c r="DA2411">
        <v>0.11332468572476186</v>
      </c>
      <c r="DB2411" t="str">
        <v/>
      </c>
    </row>
    <row r="2412" spans="83:106" x14ac:dyDescent="0.2">
      <c r="CE2412"/>
      <c r="CF2412"/>
      <c r="CG2412"/>
      <c r="CH2412"/>
      <c r="CI2412"/>
      <c r="CU2412" s="42">
        <v>2407</v>
      </c>
      <c r="CV2412" s="115">
        <v>4</v>
      </c>
      <c r="CW2412" s="115">
        <v>0.11332468572476186</v>
      </c>
      <c r="CX2412" s="115" t="e">
        <v>#N/A</v>
      </c>
      <c r="CY2412" s="115" t="e">
        <v>#N/A</v>
      </c>
      <c r="CZ2412" s="137" t="e">
        <v>#N/A</v>
      </c>
      <c r="DA2412">
        <v>0.11332468572476186</v>
      </c>
      <c r="DB2412" t="str">
        <v/>
      </c>
    </row>
    <row r="2413" spans="83:106" x14ac:dyDescent="0.2">
      <c r="CE2413"/>
      <c r="CF2413"/>
      <c r="CG2413"/>
      <c r="CH2413"/>
      <c r="CI2413"/>
      <c r="CU2413" s="42">
        <v>2408</v>
      </c>
      <c r="CV2413" s="115">
        <v>4</v>
      </c>
      <c r="CW2413" s="115">
        <v>0.11332468572476186</v>
      </c>
      <c r="CX2413" s="115" t="e">
        <v>#N/A</v>
      </c>
      <c r="CY2413" s="115" t="e">
        <v>#N/A</v>
      </c>
      <c r="CZ2413" s="137" t="e">
        <v>#N/A</v>
      </c>
      <c r="DA2413">
        <v>0.11332468572476186</v>
      </c>
      <c r="DB2413" t="str">
        <v/>
      </c>
    </row>
    <row r="2414" spans="83:106" x14ac:dyDescent="0.2">
      <c r="CE2414"/>
      <c r="CF2414"/>
      <c r="CG2414"/>
      <c r="CH2414"/>
      <c r="CI2414"/>
      <c r="CU2414" s="42">
        <v>2409</v>
      </c>
      <c r="CV2414" s="115">
        <v>4</v>
      </c>
      <c r="CW2414" s="115">
        <v>0.11332468572476186</v>
      </c>
      <c r="CX2414" s="115" t="e">
        <v>#N/A</v>
      </c>
      <c r="CY2414" s="115" t="e">
        <v>#N/A</v>
      </c>
      <c r="CZ2414" s="137" t="e">
        <v>#N/A</v>
      </c>
      <c r="DA2414">
        <v>0.11332468572476186</v>
      </c>
      <c r="DB2414" t="str">
        <v/>
      </c>
    </row>
    <row r="2415" spans="83:106" x14ac:dyDescent="0.2">
      <c r="CE2415"/>
      <c r="CF2415"/>
      <c r="CG2415"/>
      <c r="CH2415"/>
      <c r="CI2415"/>
      <c r="CU2415" s="42">
        <v>2410</v>
      </c>
      <c r="CV2415" s="115">
        <v>4</v>
      </c>
      <c r="CW2415" s="115">
        <v>0.11332468572476186</v>
      </c>
      <c r="CX2415" s="115" t="e">
        <v>#N/A</v>
      </c>
      <c r="CY2415" s="115" t="e">
        <v>#N/A</v>
      </c>
      <c r="CZ2415" s="137" t="e">
        <v>#N/A</v>
      </c>
      <c r="DA2415">
        <v>0.11332468572476186</v>
      </c>
      <c r="DB2415" t="str">
        <v/>
      </c>
    </row>
    <row r="2416" spans="83:106" x14ac:dyDescent="0.2">
      <c r="CE2416"/>
      <c r="CF2416"/>
      <c r="CG2416"/>
      <c r="CH2416"/>
      <c r="CI2416"/>
      <c r="CU2416" s="42">
        <v>2411</v>
      </c>
      <c r="CV2416" s="115">
        <v>4</v>
      </c>
      <c r="CW2416" s="115">
        <v>0.11332468572476186</v>
      </c>
      <c r="CX2416" s="115" t="e">
        <v>#N/A</v>
      </c>
      <c r="CY2416" s="115" t="e">
        <v>#N/A</v>
      </c>
      <c r="CZ2416" s="137" t="e">
        <v>#N/A</v>
      </c>
      <c r="DA2416">
        <v>0.11332468572476186</v>
      </c>
      <c r="DB2416" t="str">
        <v/>
      </c>
    </row>
    <row r="2417" spans="83:106" x14ac:dyDescent="0.2">
      <c r="CE2417"/>
      <c r="CF2417"/>
      <c r="CG2417"/>
      <c r="CH2417"/>
      <c r="CI2417"/>
      <c r="CU2417" s="42">
        <v>2412</v>
      </c>
      <c r="CV2417" s="115">
        <v>4</v>
      </c>
      <c r="CW2417" s="115">
        <v>0.11332468572476186</v>
      </c>
      <c r="CX2417" s="115" t="e">
        <v>#N/A</v>
      </c>
      <c r="CY2417" s="115" t="e">
        <v>#N/A</v>
      </c>
      <c r="CZ2417" s="137" t="e">
        <v>#N/A</v>
      </c>
      <c r="DA2417">
        <v>0.11332468572476186</v>
      </c>
      <c r="DB2417" t="str">
        <v/>
      </c>
    </row>
    <row r="2418" spans="83:106" x14ac:dyDescent="0.2">
      <c r="CE2418"/>
      <c r="CF2418"/>
      <c r="CG2418"/>
      <c r="CH2418"/>
      <c r="CI2418"/>
      <c r="CU2418" s="42">
        <v>2413</v>
      </c>
      <c r="CV2418" s="115">
        <v>4</v>
      </c>
      <c r="CW2418" s="115">
        <v>0.11332468572476186</v>
      </c>
      <c r="CX2418" s="115" t="e">
        <v>#N/A</v>
      </c>
      <c r="CY2418" s="115" t="e">
        <v>#N/A</v>
      </c>
      <c r="CZ2418" s="137" t="e">
        <v>#N/A</v>
      </c>
      <c r="DA2418">
        <v>0.11332468572476186</v>
      </c>
      <c r="DB2418" t="str">
        <v/>
      </c>
    </row>
    <row r="2419" spans="83:106" x14ac:dyDescent="0.2">
      <c r="CE2419"/>
      <c r="CF2419"/>
      <c r="CG2419"/>
      <c r="CH2419"/>
      <c r="CI2419"/>
      <c r="CU2419" s="42">
        <v>2414</v>
      </c>
      <c r="CV2419" s="115">
        <v>4</v>
      </c>
      <c r="CW2419" s="115">
        <v>0.11332468572476186</v>
      </c>
      <c r="CX2419" s="115" t="e">
        <v>#N/A</v>
      </c>
      <c r="CY2419" s="115" t="e">
        <v>#N/A</v>
      </c>
      <c r="CZ2419" s="137" t="e">
        <v>#N/A</v>
      </c>
      <c r="DA2419">
        <v>0.11332468572476186</v>
      </c>
      <c r="DB2419" t="str">
        <v/>
      </c>
    </row>
    <row r="2420" spans="83:106" x14ac:dyDescent="0.2">
      <c r="CE2420"/>
      <c r="CF2420"/>
      <c r="CG2420"/>
      <c r="CH2420"/>
      <c r="CI2420"/>
      <c r="CU2420" s="42">
        <v>2415</v>
      </c>
      <c r="CV2420" s="115">
        <v>4</v>
      </c>
      <c r="CW2420" s="115">
        <v>0.11332468572476186</v>
      </c>
      <c r="CX2420" s="115" t="e">
        <v>#N/A</v>
      </c>
      <c r="CY2420" s="115" t="e">
        <v>#N/A</v>
      </c>
      <c r="CZ2420" s="137" t="e">
        <v>#N/A</v>
      </c>
      <c r="DA2420">
        <v>0.11332468572476186</v>
      </c>
      <c r="DB2420" t="str">
        <v/>
      </c>
    </row>
    <row r="2421" spans="83:106" x14ac:dyDescent="0.2">
      <c r="CE2421"/>
      <c r="CF2421"/>
      <c r="CG2421"/>
      <c r="CH2421"/>
      <c r="CI2421"/>
      <c r="CU2421" s="42">
        <v>2416</v>
      </c>
      <c r="CV2421" s="115">
        <v>4</v>
      </c>
      <c r="CW2421" s="115">
        <v>0.11332468572476186</v>
      </c>
      <c r="CX2421" s="115" t="e">
        <v>#N/A</v>
      </c>
      <c r="CY2421" s="115" t="e">
        <v>#N/A</v>
      </c>
      <c r="CZ2421" s="137" t="e">
        <v>#N/A</v>
      </c>
      <c r="DA2421">
        <v>0.11332468572476186</v>
      </c>
      <c r="DB2421" t="str">
        <v/>
      </c>
    </row>
    <row r="2422" spans="83:106" x14ac:dyDescent="0.2">
      <c r="CE2422"/>
      <c r="CF2422"/>
      <c r="CG2422"/>
      <c r="CH2422"/>
      <c r="CI2422"/>
      <c r="CU2422" s="42">
        <v>2417</v>
      </c>
      <c r="CV2422" s="115">
        <v>4</v>
      </c>
      <c r="CW2422" s="115">
        <v>0.11332468572476186</v>
      </c>
      <c r="CX2422" s="115" t="e">
        <v>#N/A</v>
      </c>
      <c r="CY2422" s="115" t="e">
        <v>#N/A</v>
      </c>
      <c r="CZ2422" s="137" t="e">
        <v>#N/A</v>
      </c>
      <c r="DA2422">
        <v>0.11332468572476186</v>
      </c>
      <c r="DB2422" t="str">
        <v/>
      </c>
    </row>
    <row r="2423" spans="83:106" x14ac:dyDescent="0.2">
      <c r="CE2423"/>
      <c r="CF2423"/>
      <c r="CG2423"/>
      <c r="CH2423"/>
      <c r="CI2423"/>
      <c r="CU2423" s="42">
        <v>2418</v>
      </c>
      <c r="CV2423" s="115">
        <v>4</v>
      </c>
      <c r="CW2423" s="115">
        <v>0.11332468572476186</v>
      </c>
      <c r="CX2423" s="115" t="e">
        <v>#N/A</v>
      </c>
      <c r="CY2423" s="115" t="e">
        <v>#N/A</v>
      </c>
      <c r="CZ2423" s="137" t="e">
        <v>#N/A</v>
      </c>
      <c r="DA2423">
        <v>0.11332468572476186</v>
      </c>
      <c r="DB2423" t="str">
        <v/>
      </c>
    </row>
    <row r="2424" spans="83:106" x14ac:dyDescent="0.2">
      <c r="CE2424"/>
      <c r="CF2424"/>
      <c r="CG2424"/>
      <c r="CH2424"/>
      <c r="CI2424"/>
      <c r="CU2424" s="42">
        <v>2419</v>
      </c>
      <c r="CV2424" s="115">
        <v>4</v>
      </c>
      <c r="CW2424" s="115">
        <v>0.11332468572476186</v>
      </c>
      <c r="CX2424" s="115" t="e">
        <v>#N/A</v>
      </c>
      <c r="CY2424" s="115" t="e">
        <v>#N/A</v>
      </c>
      <c r="CZ2424" s="137" t="e">
        <v>#N/A</v>
      </c>
      <c r="DA2424">
        <v>0.11332468572476186</v>
      </c>
      <c r="DB2424" t="str">
        <v/>
      </c>
    </row>
    <row r="2425" spans="83:106" x14ac:dyDescent="0.2">
      <c r="CE2425"/>
      <c r="CF2425"/>
      <c r="CG2425"/>
      <c r="CH2425"/>
      <c r="CI2425"/>
      <c r="CU2425" s="42">
        <v>2420</v>
      </c>
      <c r="CV2425" s="115">
        <v>4</v>
      </c>
      <c r="CW2425" s="115">
        <v>0.11332468572476186</v>
      </c>
      <c r="CX2425" s="115" t="e">
        <v>#N/A</v>
      </c>
      <c r="CY2425" s="115" t="e">
        <v>#N/A</v>
      </c>
      <c r="CZ2425" s="137" t="e">
        <v>#N/A</v>
      </c>
      <c r="DA2425">
        <v>0.11332468572476186</v>
      </c>
      <c r="DB2425" t="str">
        <v/>
      </c>
    </row>
    <row r="2426" spans="83:106" x14ac:dyDescent="0.2">
      <c r="CE2426"/>
      <c r="CF2426"/>
      <c r="CG2426"/>
      <c r="CH2426"/>
      <c r="CI2426"/>
      <c r="CU2426" s="42">
        <v>2421</v>
      </c>
      <c r="CV2426" s="115">
        <v>4</v>
      </c>
      <c r="CW2426" s="115">
        <v>0.11332468572476186</v>
      </c>
      <c r="CX2426" s="115" t="e">
        <v>#N/A</v>
      </c>
      <c r="CY2426" s="115" t="e">
        <v>#N/A</v>
      </c>
      <c r="CZ2426" s="137" t="e">
        <v>#N/A</v>
      </c>
      <c r="DA2426">
        <v>0.11332468572476186</v>
      </c>
      <c r="DB2426" t="str">
        <v/>
      </c>
    </row>
    <row r="2427" spans="83:106" x14ac:dyDescent="0.2">
      <c r="CE2427"/>
      <c r="CF2427"/>
      <c r="CG2427"/>
      <c r="CH2427"/>
      <c r="CI2427"/>
      <c r="CU2427" s="42">
        <v>2422</v>
      </c>
      <c r="CV2427" s="115">
        <v>4</v>
      </c>
      <c r="CW2427" s="115">
        <v>0.11332468572476186</v>
      </c>
      <c r="CX2427" s="115" t="e">
        <v>#N/A</v>
      </c>
      <c r="CY2427" s="115" t="e">
        <v>#N/A</v>
      </c>
      <c r="CZ2427" s="137" t="e">
        <v>#N/A</v>
      </c>
      <c r="DA2427">
        <v>0.11332468572476186</v>
      </c>
      <c r="DB2427" t="str">
        <v/>
      </c>
    </row>
    <row r="2428" spans="83:106" x14ac:dyDescent="0.2">
      <c r="CE2428"/>
      <c r="CF2428"/>
      <c r="CG2428"/>
      <c r="CH2428"/>
      <c r="CI2428"/>
      <c r="CU2428" s="42">
        <v>2423</v>
      </c>
      <c r="CV2428" s="115">
        <v>4</v>
      </c>
      <c r="CW2428" s="115">
        <v>0.11332468572476186</v>
      </c>
      <c r="CX2428" s="115" t="e">
        <v>#N/A</v>
      </c>
      <c r="CY2428" s="115" t="e">
        <v>#N/A</v>
      </c>
      <c r="CZ2428" s="137" t="e">
        <v>#N/A</v>
      </c>
      <c r="DA2428">
        <v>0.11332468572476186</v>
      </c>
      <c r="DB2428" t="str">
        <v/>
      </c>
    </row>
    <row r="2429" spans="83:106" x14ac:dyDescent="0.2">
      <c r="CE2429"/>
      <c r="CF2429"/>
      <c r="CG2429"/>
      <c r="CH2429"/>
      <c r="CI2429"/>
      <c r="CU2429" s="42">
        <v>2424</v>
      </c>
      <c r="CV2429" s="115">
        <v>4</v>
      </c>
      <c r="CW2429" s="115">
        <v>0.11332468572476186</v>
      </c>
      <c r="CX2429" s="115" t="e">
        <v>#N/A</v>
      </c>
      <c r="CY2429" s="115" t="e">
        <v>#N/A</v>
      </c>
      <c r="CZ2429" s="137" t="e">
        <v>#N/A</v>
      </c>
      <c r="DA2429">
        <v>0.11332468572476186</v>
      </c>
      <c r="DB2429" t="str">
        <v/>
      </c>
    </row>
    <row r="2430" spans="83:106" x14ac:dyDescent="0.2">
      <c r="CE2430"/>
      <c r="CF2430"/>
      <c r="CG2430"/>
      <c r="CH2430"/>
      <c r="CI2430"/>
      <c r="CU2430" s="42">
        <v>2425</v>
      </c>
      <c r="CV2430" s="115">
        <v>4</v>
      </c>
      <c r="CW2430" s="115">
        <v>0.11332468572476186</v>
      </c>
      <c r="CX2430" s="115" t="e">
        <v>#N/A</v>
      </c>
      <c r="CY2430" s="115" t="e">
        <v>#N/A</v>
      </c>
      <c r="CZ2430" s="137" t="e">
        <v>#N/A</v>
      </c>
      <c r="DA2430">
        <v>0.11332468572476186</v>
      </c>
      <c r="DB2430" t="str">
        <v/>
      </c>
    </row>
    <row r="2431" spans="83:106" x14ac:dyDescent="0.2">
      <c r="CE2431"/>
      <c r="CF2431"/>
      <c r="CG2431"/>
      <c r="CH2431"/>
      <c r="CI2431"/>
      <c r="CU2431" s="42">
        <v>2426</v>
      </c>
      <c r="CV2431" s="115">
        <v>4</v>
      </c>
      <c r="CW2431" s="115">
        <v>0.11332468572476186</v>
      </c>
      <c r="CX2431" s="115" t="e">
        <v>#N/A</v>
      </c>
      <c r="CY2431" s="115" t="e">
        <v>#N/A</v>
      </c>
      <c r="CZ2431" s="137" t="e">
        <v>#N/A</v>
      </c>
      <c r="DA2431">
        <v>0.11332468572476186</v>
      </c>
      <c r="DB2431" t="str">
        <v/>
      </c>
    </row>
    <row r="2432" spans="83:106" x14ac:dyDescent="0.2">
      <c r="CE2432"/>
      <c r="CF2432"/>
      <c r="CG2432"/>
      <c r="CH2432"/>
      <c r="CI2432"/>
      <c r="CU2432" s="42">
        <v>2427</v>
      </c>
      <c r="CV2432" s="115">
        <v>4</v>
      </c>
      <c r="CW2432" s="115">
        <v>0.11332468572476186</v>
      </c>
      <c r="CX2432" s="115" t="e">
        <v>#N/A</v>
      </c>
      <c r="CY2432" s="115" t="e">
        <v>#N/A</v>
      </c>
      <c r="CZ2432" s="137" t="e">
        <v>#N/A</v>
      </c>
      <c r="DA2432">
        <v>0.11332468572476186</v>
      </c>
      <c r="DB2432" t="str">
        <v/>
      </c>
    </row>
    <row r="2433" spans="83:106" x14ac:dyDescent="0.2">
      <c r="CE2433"/>
      <c r="CF2433"/>
      <c r="CG2433"/>
      <c r="CH2433"/>
      <c r="CI2433"/>
      <c r="CU2433" s="42">
        <v>2428</v>
      </c>
      <c r="CV2433" s="115">
        <v>4</v>
      </c>
      <c r="CW2433" s="115">
        <v>0.11332468572476186</v>
      </c>
      <c r="CX2433" s="115" t="e">
        <v>#N/A</v>
      </c>
      <c r="CY2433" s="115" t="e">
        <v>#N/A</v>
      </c>
      <c r="CZ2433" s="137" t="e">
        <v>#N/A</v>
      </c>
      <c r="DA2433">
        <v>0.11332468572476186</v>
      </c>
      <c r="DB2433" t="str">
        <v/>
      </c>
    </row>
    <row r="2434" spans="83:106" x14ac:dyDescent="0.2">
      <c r="CE2434"/>
      <c r="CF2434"/>
      <c r="CG2434"/>
      <c r="CH2434"/>
      <c r="CI2434"/>
      <c r="CU2434" s="42">
        <v>2429</v>
      </c>
      <c r="CV2434" s="115">
        <v>4</v>
      </c>
      <c r="CW2434" s="115">
        <v>0.11332468572476186</v>
      </c>
      <c r="CX2434" s="115" t="e">
        <v>#N/A</v>
      </c>
      <c r="CY2434" s="115" t="e">
        <v>#N/A</v>
      </c>
      <c r="CZ2434" s="137" t="e">
        <v>#N/A</v>
      </c>
      <c r="DA2434">
        <v>0.11332468572476186</v>
      </c>
      <c r="DB2434" t="str">
        <v/>
      </c>
    </row>
    <row r="2435" spans="83:106" x14ac:dyDescent="0.2">
      <c r="CE2435"/>
      <c r="CF2435"/>
      <c r="CG2435"/>
      <c r="CH2435"/>
      <c r="CI2435"/>
      <c r="CU2435" s="42">
        <v>2430</v>
      </c>
      <c r="CV2435" s="115">
        <v>4</v>
      </c>
      <c r="CW2435" s="115">
        <v>0.11332468572476186</v>
      </c>
      <c r="CX2435" s="115" t="e">
        <v>#N/A</v>
      </c>
      <c r="CY2435" s="115" t="e">
        <v>#N/A</v>
      </c>
      <c r="CZ2435" s="137" t="e">
        <v>#N/A</v>
      </c>
      <c r="DA2435">
        <v>0.11332468572476186</v>
      </c>
      <c r="DB2435" t="str">
        <v/>
      </c>
    </row>
    <row r="2436" spans="83:106" x14ac:dyDescent="0.2">
      <c r="CE2436"/>
      <c r="CF2436"/>
      <c r="CG2436"/>
      <c r="CH2436"/>
      <c r="CI2436"/>
      <c r="CU2436" s="42">
        <v>2431</v>
      </c>
      <c r="CV2436" s="115">
        <v>4</v>
      </c>
      <c r="CW2436" s="115">
        <v>0.11332468572476186</v>
      </c>
      <c r="CX2436" s="115" t="e">
        <v>#N/A</v>
      </c>
      <c r="CY2436" s="115" t="e">
        <v>#N/A</v>
      </c>
      <c r="CZ2436" s="137" t="e">
        <v>#N/A</v>
      </c>
      <c r="DA2436">
        <v>0.11332468572476186</v>
      </c>
      <c r="DB2436" t="str">
        <v/>
      </c>
    </row>
    <row r="2437" spans="83:106" x14ac:dyDescent="0.2">
      <c r="CE2437"/>
      <c r="CF2437"/>
      <c r="CG2437"/>
      <c r="CH2437"/>
      <c r="CI2437"/>
      <c r="CU2437" s="42">
        <v>2432</v>
      </c>
      <c r="CV2437" s="115">
        <v>4</v>
      </c>
      <c r="CW2437" s="115">
        <v>0.11332468572476186</v>
      </c>
      <c r="CX2437" s="115" t="e">
        <v>#N/A</v>
      </c>
      <c r="CY2437" s="115" t="e">
        <v>#N/A</v>
      </c>
      <c r="CZ2437" s="137" t="e">
        <v>#N/A</v>
      </c>
      <c r="DA2437">
        <v>0.11332468572476186</v>
      </c>
      <c r="DB2437" t="str">
        <v/>
      </c>
    </row>
    <row r="2438" spans="83:106" x14ac:dyDescent="0.2">
      <c r="CE2438"/>
      <c r="CF2438"/>
      <c r="CG2438"/>
      <c r="CH2438"/>
      <c r="CI2438"/>
      <c r="CU2438" s="42">
        <v>2433</v>
      </c>
      <c r="CV2438" s="115">
        <v>4</v>
      </c>
      <c r="CW2438" s="115">
        <v>0.11332468572476186</v>
      </c>
      <c r="CX2438" s="115" t="e">
        <v>#N/A</v>
      </c>
      <c r="CY2438" s="115" t="e">
        <v>#N/A</v>
      </c>
      <c r="CZ2438" s="137" t="e">
        <v>#N/A</v>
      </c>
      <c r="DA2438">
        <v>0.11332468572476186</v>
      </c>
      <c r="DB2438" t="str">
        <v/>
      </c>
    </row>
    <row r="2439" spans="83:106" x14ac:dyDescent="0.2">
      <c r="CE2439"/>
      <c r="CF2439"/>
      <c r="CG2439"/>
      <c r="CH2439"/>
      <c r="CI2439"/>
      <c r="CU2439" s="42">
        <v>2434</v>
      </c>
      <c r="CV2439" s="115">
        <v>4</v>
      </c>
      <c r="CW2439" s="115">
        <v>0.11332468572476186</v>
      </c>
      <c r="CX2439" s="115" t="e">
        <v>#N/A</v>
      </c>
      <c r="CY2439" s="115" t="e">
        <v>#N/A</v>
      </c>
      <c r="CZ2439" s="137" t="e">
        <v>#N/A</v>
      </c>
      <c r="DA2439">
        <v>0.11332468572476186</v>
      </c>
      <c r="DB2439" t="str">
        <v/>
      </c>
    </row>
    <row r="2440" spans="83:106" x14ac:dyDescent="0.2">
      <c r="CE2440"/>
      <c r="CF2440"/>
      <c r="CG2440"/>
      <c r="CH2440"/>
      <c r="CI2440"/>
      <c r="CU2440" s="42">
        <v>2435</v>
      </c>
      <c r="CV2440" s="115">
        <v>4</v>
      </c>
      <c r="CW2440" s="115">
        <v>0.11332468572476186</v>
      </c>
      <c r="CX2440" s="115" t="e">
        <v>#N/A</v>
      </c>
      <c r="CY2440" s="115" t="e">
        <v>#N/A</v>
      </c>
      <c r="CZ2440" s="137" t="e">
        <v>#N/A</v>
      </c>
      <c r="DA2440">
        <v>0.11332468572476186</v>
      </c>
      <c r="DB2440" t="str">
        <v/>
      </c>
    </row>
    <row r="2441" spans="83:106" x14ac:dyDescent="0.2">
      <c r="CE2441"/>
      <c r="CF2441"/>
      <c r="CG2441"/>
      <c r="CH2441"/>
      <c r="CI2441"/>
      <c r="CU2441" s="42">
        <v>2436</v>
      </c>
      <c r="CV2441" s="115">
        <v>4</v>
      </c>
      <c r="CW2441" s="115">
        <v>0.11332468572476186</v>
      </c>
      <c r="CX2441" s="115" t="e">
        <v>#N/A</v>
      </c>
      <c r="CY2441" s="115" t="e">
        <v>#N/A</v>
      </c>
      <c r="CZ2441" s="137" t="e">
        <v>#N/A</v>
      </c>
      <c r="DA2441">
        <v>0.11332468572476186</v>
      </c>
      <c r="DB2441" t="str">
        <v/>
      </c>
    </row>
    <row r="2442" spans="83:106" x14ac:dyDescent="0.2">
      <c r="CE2442"/>
      <c r="CF2442"/>
      <c r="CG2442"/>
      <c r="CH2442"/>
      <c r="CI2442"/>
      <c r="CU2442" s="42">
        <v>2437</v>
      </c>
      <c r="CV2442" s="115">
        <v>4</v>
      </c>
      <c r="CW2442" s="115">
        <v>0.11332468572476186</v>
      </c>
      <c r="CX2442" s="115" t="e">
        <v>#N/A</v>
      </c>
      <c r="CY2442" s="115" t="e">
        <v>#N/A</v>
      </c>
      <c r="CZ2442" s="137" t="e">
        <v>#N/A</v>
      </c>
      <c r="DA2442">
        <v>0.11332468572476186</v>
      </c>
      <c r="DB2442" t="str">
        <v/>
      </c>
    </row>
    <row r="2443" spans="83:106" x14ac:dyDescent="0.2">
      <c r="CE2443"/>
      <c r="CF2443"/>
      <c r="CG2443"/>
      <c r="CH2443"/>
      <c r="CI2443"/>
      <c r="CU2443" s="42">
        <v>2438</v>
      </c>
      <c r="CV2443" s="115">
        <v>4</v>
      </c>
      <c r="CW2443" s="115">
        <v>0.11332468572476186</v>
      </c>
      <c r="CX2443" s="115" t="e">
        <v>#N/A</v>
      </c>
      <c r="CY2443" s="115" t="e">
        <v>#N/A</v>
      </c>
      <c r="CZ2443" s="137" t="e">
        <v>#N/A</v>
      </c>
      <c r="DA2443">
        <v>0.11332468572476186</v>
      </c>
      <c r="DB2443" t="str">
        <v/>
      </c>
    </row>
    <row r="2444" spans="83:106" x14ac:dyDescent="0.2">
      <c r="CE2444"/>
      <c r="CF2444"/>
      <c r="CG2444"/>
      <c r="CH2444"/>
      <c r="CI2444"/>
      <c r="CU2444" s="42">
        <v>2439</v>
      </c>
      <c r="CV2444" s="115">
        <v>4</v>
      </c>
      <c r="CW2444" s="115">
        <v>0.11332468572476186</v>
      </c>
      <c r="CX2444" s="115" t="e">
        <v>#N/A</v>
      </c>
      <c r="CY2444" s="115" t="e">
        <v>#N/A</v>
      </c>
      <c r="CZ2444" s="137" t="e">
        <v>#N/A</v>
      </c>
      <c r="DA2444">
        <v>0.11332468572476186</v>
      </c>
      <c r="DB2444" t="str">
        <v/>
      </c>
    </row>
    <row r="2445" spans="83:106" x14ac:dyDescent="0.2">
      <c r="CE2445"/>
      <c r="CF2445"/>
      <c r="CG2445"/>
      <c r="CH2445"/>
      <c r="CI2445"/>
      <c r="CU2445" s="42">
        <v>2440</v>
      </c>
      <c r="CV2445" s="115">
        <v>4</v>
      </c>
      <c r="CW2445" s="115">
        <v>0.11332468572476186</v>
      </c>
      <c r="CX2445" s="115" t="e">
        <v>#N/A</v>
      </c>
      <c r="CY2445" s="115" t="e">
        <v>#N/A</v>
      </c>
      <c r="CZ2445" s="137" t="e">
        <v>#N/A</v>
      </c>
      <c r="DA2445">
        <v>0.11332468572476186</v>
      </c>
      <c r="DB2445" t="str">
        <v/>
      </c>
    </row>
    <row r="2446" spans="83:106" x14ac:dyDescent="0.2">
      <c r="CE2446"/>
      <c r="CF2446"/>
      <c r="CG2446"/>
      <c r="CH2446"/>
      <c r="CI2446"/>
      <c r="CU2446" s="42">
        <v>2441</v>
      </c>
      <c r="CV2446" s="115">
        <v>4</v>
      </c>
      <c r="CW2446" s="115">
        <v>0.11332468572476186</v>
      </c>
      <c r="CX2446" s="115" t="e">
        <v>#N/A</v>
      </c>
      <c r="CY2446" s="115" t="e">
        <v>#N/A</v>
      </c>
      <c r="CZ2446" s="137" t="e">
        <v>#N/A</v>
      </c>
      <c r="DA2446">
        <v>0.11332468572476186</v>
      </c>
      <c r="DB2446" t="str">
        <v/>
      </c>
    </row>
    <row r="2447" spans="83:106" x14ac:dyDescent="0.2">
      <c r="CE2447"/>
      <c r="CF2447"/>
      <c r="CG2447"/>
      <c r="CH2447"/>
      <c r="CI2447"/>
      <c r="CU2447" s="42">
        <v>2442</v>
      </c>
      <c r="CV2447" s="115">
        <v>4</v>
      </c>
      <c r="CW2447" s="115">
        <v>0.11332468572476186</v>
      </c>
      <c r="CX2447" s="115" t="e">
        <v>#N/A</v>
      </c>
      <c r="CY2447" s="115" t="e">
        <v>#N/A</v>
      </c>
      <c r="CZ2447" s="137" t="e">
        <v>#N/A</v>
      </c>
      <c r="DA2447">
        <v>0.11332468572476186</v>
      </c>
      <c r="DB2447" t="str">
        <v/>
      </c>
    </row>
    <row r="2448" spans="83:106" x14ac:dyDescent="0.2">
      <c r="CE2448"/>
      <c r="CF2448"/>
      <c r="CG2448"/>
      <c r="CH2448"/>
      <c r="CI2448"/>
      <c r="CU2448" s="42">
        <v>2443</v>
      </c>
      <c r="CV2448" s="115">
        <v>4</v>
      </c>
      <c r="CW2448" s="115">
        <v>0.11332468572476186</v>
      </c>
      <c r="CX2448" s="115" t="e">
        <v>#N/A</v>
      </c>
      <c r="CY2448" s="115" t="e">
        <v>#N/A</v>
      </c>
      <c r="CZ2448" s="137" t="e">
        <v>#N/A</v>
      </c>
      <c r="DA2448">
        <v>0.11332468572476186</v>
      </c>
      <c r="DB2448" t="str">
        <v/>
      </c>
    </row>
    <row r="2449" spans="83:106" x14ac:dyDescent="0.2">
      <c r="CE2449"/>
      <c r="CF2449"/>
      <c r="CG2449"/>
      <c r="CH2449"/>
      <c r="CI2449"/>
      <c r="CU2449" s="42">
        <v>2444</v>
      </c>
      <c r="CV2449" s="115">
        <v>4</v>
      </c>
      <c r="CW2449" s="115">
        <v>0.11332468572476186</v>
      </c>
      <c r="CX2449" s="115" t="e">
        <v>#N/A</v>
      </c>
      <c r="CY2449" s="115" t="e">
        <v>#N/A</v>
      </c>
      <c r="CZ2449" s="137" t="e">
        <v>#N/A</v>
      </c>
      <c r="DA2449">
        <v>0.11332468572476186</v>
      </c>
      <c r="DB2449" t="str">
        <v/>
      </c>
    </row>
    <row r="2450" spans="83:106" x14ac:dyDescent="0.2">
      <c r="CE2450"/>
      <c r="CF2450"/>
      <c r="CG2450"/>
      <c r="CH2450"/>
      <c r="CI2450"/>
      <c r="CU2450" s="42">
        <v>2445</v>
      </c>
      <c r="CV2450" s="115">
        <v>4</v>
      </c>
      <c r="CW2450" s="115">
        <v>0.11332468572476186</v>
      </c>
      <c r="CX2450" s="115" t="e">
        <v>#N/A</v>
      </c>
      <c r="CY2450" s="115" t="e">
        <v>#N/A</v>
      </c>
      <c r="CZ2450" s="137" t="e">
        <v>#N/A</v>
      </c>
      <c r="DA2450">
        <v>0.11332468572476186</v>
      </c>
      <c r="DB2450" t="str">
        <v/>
      </c>
    </row>
    <row r="2451" spans="83:106" x14ac:dyDescent="0.2">
      <c r="CE2451"/>
      <c r="CF2451"/>
      <c r="CG2451"/>
      <c r="CH2451"/>
      <c r="CI2451"/>
      <c r="CU2451" s="42">
        <v>2446</v>
      </c>
      <c r="CV2451" s="115">
        <v>4</v>
      </c>
      <c r="CW2451" s="115">
        <v>0.11332468572476186</v>
      </c>
      <c r="CX2451" s="115" t="e">
        <v>#N/A</v>
      </c>
      <c r="CY2451" s="115" t="e">
        <v>#N/A</v>
      </c>
      <c r="CZ2451" s="137" t="e">
        <v>#N/A</v>
      </c>
      <c r="DA2451">
        <v>0.11332468572476186</v>
      </c>
      <c r="DB2451" t="str">
        <v/>
      </c>
    </row>
    <row r="2452" spans="83:106" x14ac:dyDescent="0.2">
      <c r="CE2452"/>
      <c r="CF2452"/>
      <c r="CG2452"/>
      <c r="CH2452"/>
      <c r="CI2452"/>
      <c r="CU2452" s="42">
        <v>2447</v>
      </c>
      <c r="CV2452" s="115">
        <v>4</v>
      </c>
      <c r="CW2452" s="115">
        <v>0.11332468572476186</v>
      </c>
      <c r="CX2452" s="115" t="e">
        <v>#N/A</v>
      </c>
      <c r="CY2452" s="115" t="e">
        <v>#N/A</v>
      </c>
      <c r="CZ2452" s="137" t="e">
        <v>#N/A</v>
      </c>
      <c r="DA2452">
        <v>0.11332468572476186</v>
      </c>
      <c r="DB2452" t="str">
        <v/>
      </c>
    </row>
    <row r="2453" spans="83:106" x14ac:dyDescent="0.2">
      <c r="CE2453"/>
      <c r="CF2453"/>
      <c r="CG2453"/>
      <c r="CH2453"/>
      <c r="CI2453"/>
      <c r="CU2453" s="42">
        <v>2448</v>
      </c>
      <c r="CV2453" s="115">
        <v>4</v>
      </c>
      <c r="CW2453" s="115">
        <v>0.11332468572476186</v>
      </c>
      <c r="CX2453" s="115" t="e">
        <v>#N/A</v>
      </c>
      <c r="CY2453" s="115" t="e">
        <v>#N/A</v>
      </c>
      <c r="CZ2453" s="137" t="e">
        <v>#N/A</v>
      </c>
      <c r="DA2453">
        <v>0.11332468572476186</v>
      </c>
      <c r="DB2453" t="str">
        <v/>
      </c>
    </row>
    <row r="2454" spans="83:106" x14ac:dyDescent="0.2">
      <c r="CE2454"/>
      <c r="CF2454"/>
      <c r="CG2454"/>
      <c r="CH2454"/>
      <c r="CI2454"/>
      <c r="CU2454" s="42">
        <v>2449</v>
      </c>
      <c r="CV2454" s="115">
        <v>4</v>
      </c>
      <c r="CW2454" s="115">
        <v>0.11332468572476186</v>
      </c>
      <c r="CX2454" s="115" t="e">
        <v>#N/A</v>
      </c>
      <c r="CY2454" s="115" t="e">
        <v>#N/A</v>
      </c>
      <c r="CZ2454" s="137" t="e">
        <v>#N/A</v>
      </c>
      <c r="DA2454">
        <v>0.11332468572476186</v>
      </c>
      <c r="DB2454" t="str">
        <v/>
      </c>
    </row>
    <row r="2455" spans="83:106" x14ac:dyDescent="0.2">
      <c r="CE2455"/>
      <c r="CF2455"/>
      <c r="CG2455"/>
      <c r="CH2455"/>
      <c r="CI2455"/>
      <c r="CU2455" s="42">
        <v>2450</v>
      </c>
      <c r="CV2455" s="115">
        <v>4</v>
      </c>
      <c r="CW2455" s="115">
        <v>0.11332468572476186</v>
      </c>
      <c r="CX2455" s="115" t="e">
        <v>#N/A</v>
      </c>
      <c r="CY2455" s="115" t="e">
        <v>#N/A</v>
      </c>
      <c r="CZ2455" s="137" t="e">
        <v>#N/A</v>
      </c>
      <c r="DA2455">
        <v>0.11332468572476186</v>
      </c>
      <c r="DB2455" t="str">
        <v/>
      </c>
    </row>
    <row r="2456" spans="83:106" x14ac:dyDescent="0.2">
      <c r="CE2456"/>
      <c r="CF2456"/>
      <c r="CG2456"/>
      <c r="CH2456"/>
      <c r="CI2456"/>
      <c r="CU2456" s="42">
        <v>2451</v>
      </c>
      <c r="CV2456" s="115">
        <v>4</v>
      </c>
      <c r="CW2456" s="115">
        <v>0.11332468572476186</v>
      </c>
      <c r="CX2456" s="115" t="e">
        <v>#N/A</v>
      </c>
      <c r="CY2456" s="115" t="e">
        <v>#N/A</v>
      </c>
      <c r="CZ2456" s="137" t="e">
        <v>#N/A</v>
      </c>
      <c r="DA2456">
        <v>0.11332468572476186</v>
      </c>
      <c r="DB2456" t="str">
        <v/>
      </c>
    </row>
    <row r="2457" spans="83:106" x14ac:dyDescent="0.2">
      <c r="CE2457"/>
      <c r="CF2457"/>
      <c r="CG2457"/>
      <c r="CH2457"/>
      <c r="CI2457"/>
      <c r="CU2457" s="42">
        <v>2452</v>
      </c>
      <c r="CV2457" s="115">
        <v>4</v>
      </c>
      <c r="CW2457" s="115">
        <v>0.11332468572476186</v>
      </c>
      <c r="CX2457" s="115" t="e">
        <v>#N/A</v>
      </c>
      <c r="CY2457" s="115" t="e">
        <v>#N/A</v>
      </c>
      <c r="CZ2457" s="137" t="e">
        <v>#N/A</v>
      </c>
      <c r="DA2457">
        <v>0.11332468572476186</v>
      </c>
      <c r="DB2457" t="str">
        <v/>
      </c>
    </row>
    <row r="2458" spans="83:106" x14ac:dyDescent="0.2">
      <c r="CE2458"/>
      <c r="CF2458"/>
      <c r="CG2458"/>
      <c r="CH2458"/>
      <c r="CI2458"/>
      <c r="CU2458" s="42">
        <v>2453</v>
      </c>
      <c r="CV2458" s="115">
        <v>4</v>
      </c>
      <c r="CW2458" s="115">
        <v>0.11332468572476186</v>
      </c>
      <c r="CX2458" s="115" t="e">
        <v>#N/A</v>
      </c>
      <c r="CY2458" s="115" t="e">
        <v>#N/A</v>
      </c>
      <c r="CZ2458" s="137" t="e">
        <v>#N/A</v>
      </c>
      <c r="DA2458">
        <v>0.11332468572476186</v>
      </c>
      <c r="DB2458" t="str">
        <v/>
      </c>
    </row>
    <row r="2459" spans="83:106" x14ac:dyDescent="0.2">
      <c r="CE2459"/>
      <c r="CF2459"/>
      <c r="CG2459"/>
      <c r="CH2459"/>
      <c r="CI2459"/>
      <c r="CU2459" s="42">
        <v>2454</v>
      </c>
      <c r="CV2459" s="115">
        <v>4</v>
      </c>
      <c r="CW2459" s="115">
        <v>0.11332468572476186</v>
      </c>
      <c r="CX2459" s="115" t="e">
        <v>#N/A</v>
      </c>
      <c r="CY2459" s="115" t="e">
        <v>#N/A</v>
      </c>
      <c r="CZ2459" s="137" t="e">
        <v>#N/A</v>
      </c>
      <c r="DA2459">
        <v>0.11332468572476186</v>
      </c>
      <c r="DB2459" t="str">
        <v/>
      </c>
    </row>
    <row r="2460" spans="83:106" x14ac:dyDescent="0.2">
      <c r="CE2460"/>
      <c r="CF2460"/>
      <c r="CG2460"/>
      <c r="CH2460"/>
      <c r="CI2460"/>
      <c r="CU2460" s="42">
        <v>2455</v>
      </c>
      <c r="CV2460" s="115">
        <v>4</v>
      </c>
      <c r="CW2460" s="115">
        <v>0.11332468572476186</v>
      </c>
      <c r="CX2460" s="115" t="e">
        <v>#N/A</v>
      </c>
      <c r="CY2460" s="115" t="e">
        <v>#N/A</v>
      </c>
      <c r="CZ2460" s="137" t="e">
        <v>#N/A</v>
      </c>
      <c r="DA2460">
        <v>0.11332468572476186</v>
      </c>
      <c r="DB2460" t="str">
        <v/>
      </c>
    </row>
    <row r="2461" spans="83:106" x14ac:dyDescent="0.2">
      <c r="CE2461"/>
      <c r="CF2461"/>
      <c r="CG2461"/>
      <c r="CH2461"/>
      <c r="CI2461"/>
      <c r="CU2461" s="42">
        <v>2456</v>
      </c>
      <c r="CV2461" s="115">
        <v>4</v>
      </c>
      <c r="CW2461" s="115">
        <v>0.11332468572476186</v>
      </c>
      <c r="CX2461" s="115" t="e">
        <v>#N/A</v>
      </c>
      <c r="CY2461" s="115" t="e">
        <v>#N/A</v>
      </c>
      <c r="CZ2461" s="137" t="e">
        <v>#N/A</v>
      </c>
      <c r="DA2461">
        <v>0.11332468572476186</v>
      </c>
      <c r="DB2461" t="str">
        <v/>
      </c>
    </row>
    <row r="2462" spans="83:106" x14ac:dyDescent="0.2">
      <c r="CE2462"/>
      <c r="CF2462"/>
      <c r="CG2462"/>
      <c r="CH2462"/>
      <c r="CI2462"/>
      <c r="CU2462" s="42">
        <v>2457</v>
      </c>
      <c r="CV2462" s="115">
        <v>4</v>
      </c>
      <c r="CW2462" s="115">
        <v>0.11332468572476186</v>
      </c>
      <c r="CX2462" s="115" t="e">
        <v>#N/A</v>
      </c>
      <c r="CY2462" s="115" t="e">
        <v>#N/A</v>
      </c>
      <c r="CZ2462" s="137" t="e">
        <v>#N/A</v>
      </c>
      <c r="DA2462">
        <v>0.11332468572476186</v>
      </c>
      <c r="DB2462" t="str">
        <v/>
      </c>
    </row>
    <row r="2463" spans="83:106" x14ac:dyDescent="0.2">
      <c r="CE2463"/>
      <c r="CF2463"/>
      <c r="CG2463"/>
      <c r="CH2463"/>
      <c r="CI2463"/>
      <c r="CU2463" s="42">
        <v>2458</v>
      </c>
      <c r="CV2463" s="115">
        <v>4</v>
      </c>
      <c r="CW2463" s="115">
        <v>0.11332468572476186</v>
      </c>
      <c r="CX2463" s="115" t="e">
        <v>#N/A</v>
      </c>
      <c r="CY2463" s="115" t="e">
        <v>#N/A</v>
      </c>
      <c r="CZ2463" s="137" t="e">
        <v>#N/A</v>
      </c>
      <c r="DA2463">
        <v>0.11332468572476186</v>
      </c>
      <c r="DB2463" t="str">
        <v/>
      </c>
    </row>
    <row r="2464" spans="83:106" x14ac:dyDescent="0.2">
      <c r="CE2464"/>
      <c r="CF2464"/>
      <c r="CG2464"/>
      <c r="CH2464"/>
      <c r="CI2464"/>
      <c r="CU2464" s="42">
        <v>2459</v>
      </c>
      <c r="CV2464" s="115">
        <v>4</v>
      </c>
      <c r="CW2464" s="115">
        <v>0.11332468572476186</v>
      </c>
      <c r="CX2464" s="115" t="e">
        <v>#N/A</v>
      </c>
      <c r="CY2464" s="115" t="e">
        <v>#N/A</v>
      </c>
      <c r="CZ2464" s="137" t="e">
        <v>#N/A</v>
      </c>
      <c r="DA2464">
        <v>0.11332468572476186</v>
      </c>
      <c r="DB2464" t="str">
        <v/>
      </c>
    </row>
    <row r="2465" spans="83:106" x14ac:dyDescent="0.2">
      <c r="CE2465"/>
      <c r="CF2465"/>
      <c r="CG2465"/>
      <c r="CH2465"/>
      <c r="CI2465"/>
      <c r="CU2465" s="42">
        <v>2460</v>
      </c>
      <c r="CV2465" s="115">
        <v>4</v>
      </c>
      <c r="CW2465" s="115">
        <v>0.11332468572476186</v>
      </c>
      <c r="CX2465" s="115" t="e">
        <v>#N/A</v>
      </c>
      <c r="CY2465" s="115" t="e">
        <v>#N/A</v>
      </c>
      <c r="CZ2465" s="137" t="e">
        <v>#N/A</v>
      </c>
      <c r="DA2465">
        <v>0.11332468572476186</v>
      </c>
      <c r="DB2465" t="str">
        <v/>
      </c>
    </row>
    <row r="2466" spans="83:106" x14ac:dyDescent="0.2">
      <c r="CE2466"/>
      <c r="CF2466"/>
      <c r="CG2466"/>
      <c r="CH2466"/>
      <c r="CI2466"/>
      <c r="CU2466" s="42">
        <v>2461</v>
      </c>
      <c r="CV2466" s="115">
        <v>4</v>
      </c>
      <c r="CW2466" s="115">
        <v>0.11332468572476186</v>
      </c>
      <c r="CX2466" s="115" t="e">
        <v>#N/A</v>
      </c>
      <c r="CY2466" s="115" t="e">
        <v>#N/A</v>
      </c>
      <c r="CZ2466" s="137" t="e">
        <v>#N/A</v>
      </c>
      <c r="DA2466">
        <v>0.11332468572476186</v>
      </c>
      <c r="DB2466" t="str">
        <v/>
      </c>
    </row>
    <row r="2467" spans="83:106" x14ac:dyDescent="0.2">
      <c r="CE2467"/>
      <c r="CF2467"/>
      <c r="CG2467"/>
      <c r="CH2467"/>
      <c r="CI2467"/>
      <c r="CU2467" s="42">
        <v>2462</v>
      </c>
      <c r="CV2467" s="115">
        <v>4</v>
      </c>
      <c r="CW2467" s="115">
        <v>0.11332468572476186</v>
      </c>
      <c r="CX2467" s="115" t="e">
        <v>#N/A</v>
      </c>
      <c r="CY2467" s="115" t="e">
        <v>#N/A</v>
      </c>
      <c r="CZ2467" s="137" t="e">
        <v>#N/A</v>
      </c>
      <c r="DA2467">
        <v>0.11332468572476186</v>
      </c>
      <c r="DB2467" t="str">
        <v/>
      </c>
    </row>
    <row r="2468" spans="83:106" x14ac:dyDescent="0.2">
      <c r="CE2468"/>
      <c r="CF2468"/>
      <c r="CG2468"/>
      <c r="CH2468"/>
      <c r="CI2468"/>
      <c r="CU2468" s="42">
        <v>2463</v>
      </c>
      <c r="CV2468" s="115">
        <v>4</v>
      </c>
      <c r="CW2468" s="115">
        <v>0.11332468572476186</v>
      </c>
      <c r="CX2468" s="115" t="e">
        <v>#N/A</v>
      </c>
      <c r="CY2468" s="115" t="e">
        <v>#N/A</v>
      </c>
      <c r="CZ2468" s="137" t="e">
        <v>#N/A</v>
      </c>
      <c r="DA2468">
        <v>0.11332468572476186</v>
      </c>
      <c r="DB2468" t="str">
        <v/>
      </c>
    </row>
    <row r="2469" spans="83:106" x14ac:dyDescent="0.2">
      <c r="CE2469"/>
      <c r="CF2469"/>
      <c r="CG2469"/>
      <c r="CH2469"/>
      <c r="CI2469"/>
      <c r="CU2469" s="42">
        <v>2464</v>
      </c>
      <c r="CV2469" s="115">
        <v>4</v>
      </c>
      <c r="CW2469" s="115">
        <v>0.11332468572476186</v>
      </c>
      <c r="CX2469" s="115" t="e">
        <v>#N/A</v>
      </c>
      <c r="CY2469" s="115" t="e">
        <v>#N/A</v>
      </c>
      <c r="CZ2469" s="137" t="e">
        <v>#N/A</v>
      </c>
      <c r="DA2469">
        <v>0.11332468572476186</v>
      </c>
      <c r="DB2469" t="str">
        <v/>
      </c>
    </row>
    <row r="2470" spans="83:106" x14ac:dyDescent="0.2">
      <c r="CE2470"/>
      <c r="CF2470"/>
      <c r="CG2470"/>
      <c r="CH2470"/>
      <c r="CI2470"/>
      <c r="CU2470" s="42">
        <v>2465</v>
      </c>
      <c r="CV2470" s="115">
        <v>4</v>
      </c>
      <c r="CW2470" s="115">
        <v>0.11332468572476186</v>
      </c>
      <c r="CX2470" s="115" t="e">
        <v>#N/A</v>
      </c>
      <c r="CY2470" s="115" t="e">
        <v>#N/A</v>
      </c>
      <c r="CZ2470" s="137" t="e">
        <v>#N/A</v>
      </c>
      <c r="DA2470">
        <v>0.11332468572476186</v>
      </c>
      <c r="DB2470" t="str">
        <v/>
      </c>
    </row>
    <row r="2471" spans="83:106" x14ac:dyDescent="0.2">
      <c r="CE2471"/>
      <c r="CF2471"/>
      <c r="CG2471"/>
      <c r="CH2471"/>
      <c r="CI2471"/>
      <c r="CU2471" s="42">
        <v>2466</v>
      </c>
      <c r="CV2471" s="115">
        <v>4</v>
      </c>
      <c r="CW2471" s="115">
        <v>0.11332468572476186</v>
      </c>
      <c r="CX2471" s="115" t="e">
        <v>#N/A</v>
      </c>
      <c r="CY2471" s="115" t="e">
        <v>#N/A</v>
      </c>
      <c r="CZ2471" s="137" t="e">
        <v>#N/A</v>
      </c>
      <c r="DA2471">
        <v>0.11332468572476186</v>
      </c>
      <c r="DB2471" t="str">
        <v/>
      </c>
    </row>
    <row r="2472" spans="83:106" x14ac:dyDescent="0.2">
      <c r="CE2472"/>
      <c r="CF2472"/>
      <c r="CG2472"/>
      <c r="CH2472"/>
      <c r="CI2472"/>
      <c r="CU2472" s="42">
        <v>2467</v>
      </c>
      <c r="CV2472" s="115">
        <v>4</v>
      </c>
      <c r="CW2472" s="115">
        <v>0.11332468572476186</v>
      </c>
      <c r="CX2472" s="115" t="e">
        <v>#N/A</v>
      </c>
      <c r="CY2472" s="115" t="e">
        <v>#N/A</v>
      </c>
      <c r="CZ2472" s="137" t="e">
        <v>#N/A</v>
      </c>
      <c r="DA2472">
        <v>0.11332468572476186</v>
      </c>
      <c r="DB2472" t="str">
        <v/>
      </c>
    </row>
    <row r="2473" spans="83:106" x14ac:dyDescent="0.2">
      <c r="CE2473"/>
      <c r="CF2473"/>
      <c r="CG2473"/>
      <c r="CH2473"/>
      <c r="CI2473"/>
      <c r="CU2473" s="42">
        <v>2468</v>
      </c>
      <c r="CV2473" s="115">
        <v>4</v>
      </c>
      <c r="CW2473" s="115">
        <v>0.11332468572476186</v>
      </c>
      <c r="CX2473" s="115" t="e">
        <v>#N/A</v>
      </c>
      <c r="CY2473" s="115" t="e">
        <v>#N/A</v>
      </c>
      <c r="CZ2473" s="137" t="e">
        <v>#N/A</v>
      </c>
      <c r="DA2473">
        <v>0.11332468572476186</v>
      </c>
      <c r="DB2473" t="str">
        <v/>
      </c>
    </row>
    <row r="2474" spans="83:106" x14ac:dyDescent="0.2">
      <c r="CE2474"/>
      <c r="CF2474"/>
      <c r="CG2474"/>
      <c r="CH2474"/>
      <c r="CI2474"/>
      <c r="CU2474" s="42">
        <v>2469</v>
      </c>
      <c r="CV2474" s="115">
        <v>4</v>
      </c>
      <c r="CW2474" s="115">
        <v>0.11332468572476186</v>
      </c>
      <c r="CX2474" s="115" t="e">
        <v>#N/A</v>
      </c>
      <c r="CY2474" s="115" t="e">
        <v>#N/A</v>
      </c>
      <c r="CZ2474" s="137" t="e">
        <v>#N/A</v>
      </c>
      <c r="DA2474">
        <v>0.11332468572476186</v>
      </c>
      <c r="DB2474" t="str">
        <v/>
      </c>
    </row>
    <row r="2475" spans="83:106" x14ac:dyDescent="0.2">
      <c r="CE2475"/>
      <c r="CF2475"/>
      <c r="CG2475"/>
      <c r="CH2475"/>
      <c r="CI2475"/>
      <c r="CU2475" s="42">
        <v>2470</v>
      </c>
      <c r="CV2475" s="115">
        <v>4</v>
      </c>
      <c r="CW2475" s="115">
        <v>0.11332468572476186</v>
      </c>
      <c r="CX2475" s="115" t="e">
        <v>#N/A</v>
      </c>
      <c r="CY2475" s="115" t="e">
        <v>#N/A</v>
      </c>
      <c r="CZ2475" s="137" t="e">
        <v>#N/A</v>
      </c>
      <c r="DA2475">
        <v>0.11332468572476186</v>
      </c>
      <c r="DB2475" t="str">
        <v/>
      </c>
    </row>
    <row r="2476" spans="83:106" x14ac:dyDescent="0.2">
      <c r="CE2476"/>
      <c r="CF2476"/>
      <c r="CG2476"/>
      <c r="CH2476"/>
      <c r="CI2476"/>
      <c r="CU2476" s="42">
        <v>2471</v>
      </c>
      <c r="CV2476" s="115">
        <v>4</v>
      </c>
      <c r="CW2476" s="115">
        <v>0.11332468572476186</v>
      </c>
      <c r="CX2476" s="115" t="e">
        <v>#N/A</v>
      </c>
      <c r="CY2476" s="115" t="e">
        <v>#N/A</v>
      </c>
      <c r="CZ2476" s="137" t="e">
        <v>#N/A</v>
      </c>
      <c r="DA2476">
        <v>0.11332468572476186</v>
      </c>
      <c r="DB2476" t="str">
        <v/>
      </c>
    </row>
    <row r="2477" spans="83:106" x14ac:dyDescent="0.2">
      <c r="CE2477"/>
      <c r="CF2477"/>
      <c r="CG2477"/>
      <c r="CH2477"/>
      <c r="CI2477"/>
      <c r="CU2477" s="42">
        <v>2472</v>
      </c>
      <c r="CV2477" s="115">
        <v>4</v>
      </c>
      <c r="CW2477" s="115">
        <v>0.11332468572476186</v>
      </c>
      <c r="CX2477" s="115" t="e">
        <v>#N/A</v>
      </c>
      <c r="CY2477" s="115" t="e">
        <v>#N/A</v>
      </c>
      <c r="CZ2477" s="137" t="e">
        <v>#N/A</v>
      </c>
      <c r="DA2477">
        <v>0.11332468572476186</v>
      </c>
      <c r="DB2477" t="str">
        <v/>
      </c>
    </row>
    <row r="2478" spans="83:106" x14ac:dyDescent="0.2">
      <c r="CE2478"/>
      <c r="CF2478"/>
      <c r="CG2478"/>
      <c r="CH2478"/>
      <c r="CI2478"/>
      <c r="CU2478" s="42">
        <v>2473</v>
      </c>
      <c r="CV2478" s="115">
        <v>4</v>
      </c>
      <c r="CW2478" s="115">
        <v>0.11332468572476186</v>
      </c>
      <c r="CX2478" s="115" t="e">
        <v>#N/A</v>
      </c>
      <c r="CY2478" s="115" t="e">
        <v>#N/A</v>
      </c>
      <c r="CZ2478" s="137" t="e">
        <v>#N/A</v>
      </c>
      <c r="DA2478">
        <v>0.11332468572476186</v>
      </c>
      <c r="DB2478" t="str">
        <v/>
      </c>
    </row>
    <row r="2479" spans="83:106" x14ac:dyDescent="0.2">
      <c r="CE2479"/>
      <c r="CF2479"/>
      <c r="CG2479"/>
      <c r="CH2479"/>
      <c r="CI2479"/>
      <c r="CU2479" s="42">
        <v>2474</v>
      </c>
      <c r="CV2479" s="115">
        <v>4</v>
      </c>
      <c r="CW2479" s="115">
        <v>0.11332468572476186</v>
      </c>
      <c r="CX2479" s="115" t="e">
        <v>#N/A</v>
      </c>
      <c r="CY2479" s="115" t="e">
        <v>#N/A</v>
      </c>
      <c r="CZ2479" s="137" t="e">
        <v>#N/A</v>
      </c>
      <c r="DA2479">
        <v>0.11332468572476186</v>
      </c>
      <c r="DB2479" t="str">
        <v/>
      </c>
    </row>
    <row r="2480" spans="83:106" x14ac:dyDescent="0.2">
      <c r="CE2480"/>
      <c r="CF2480"/>
      <c r="CG2480"/>
      <c r="CH2480"/>
      <c r="CI2480"/>
      <c r="CU2480" s="42">
        <v>2475</v>
      </c>
      <c r="CV2480" s="115">
        <v>4</v>
      </c>
      <c r="CW2480" s="115">
        <v>0.11332468572476186</v>
      </c>
      <c r="CX2480" s="115" t="e">
        <v>#N/A</v>
      </c>
      <c r="CY2480" s="115" t="e">
        <v>#N/A</v>
      </c>
      <c r="CZ2480" s="137" t="e">
        <v>#N/A</v>
      </c>
      <c r="DA2480">
        <v>0.11332468572476186</v>
      </c>
      <c r="DB2480" t="str">
        <v/>
      </c>
    </row>
    <row r="2481" spans="83:106" x14ac:dyDescent="0.2">
      <c r="CE2481"/>
      <c r="CF2481"/>
      <c r="CG2481"/>
      <c r="CH2481"/>
      <c r="CI2481"/>
      <c r="CU2481" s="42">
        <v>2476</v>
      </c>
      <c r="CV2481" s="115">
        <v>4</v>
      </c>
      <c r="CW2481" s="115">
        <v>0.11332468572476186</v>
      </c>
      <c r="CX2481" s="115" t="e">
        <v>#N/A</v>
      </c>
      <c r="CY2481" s="115" t="e">
        <v>#N/A</v>
      </c>
      <c r="CZ2481" s="137" t="e">
        <v>#N/A</v>
      </c>
      <c r="DA2481">
        <v>0.11332468572476186</v>
      </c>
      <c r="DB2481" t="str">
        <v/>
      </c>
    </row>
    <row r="2482" spans="83:106" x14ac:dyDescent="0.2">
      <c r="CE2482"/>
      <c r="CF2482"/>
      <c r="CG2482"/>
      <c r="CH2482"/>
      <c r="CI2482"/>
      <c r="CU2482" s="42">
        <v>2477</v>
      </c>
      <c r="CV2482" s="115">
        <v>4</v>
      </c>
      <c r="CW2482" s="115">
        <v>0.11332468572476186</v>
      </c>
      <c r="CX2482" s="115" t="e">
        <v>#N/A</v>
      </c>
      <c r="CY2482" s="115" t="e">
        <v>#N/A</v>
      </c>
      <c r="CZ2482" s="137" t="e">
        <v>#N/A</v>
      </c>
      <c r="DA2482">
        <v>0.11332468572476186</v>
      </c>
      <c r="DB2482" t="str">
        <v/>
      </c>
    </row>
    <row r="2483" spans="83:106" x14ac:dyDescent="0.2">
      <c r="CE2483"/>
      <c r="CF2483"/>
      <c r="CG2483"/>
      <c r="CH2483"/>
      <c r="CI2483"/>
      <c r="CU2483" s="42">
        <v>2478</v>
      </c>
      <c r="CV2483" s="115">
        <v>4</v>
      </c>
      <c r="CW2483" s="115">
        <v>0.11332468572476186</v>
      </c>
      <c r="CX2483" s="115" t="e">
        <v>#N/A</v>
      </c>
      <c r="CY2483" s="115" t="e">
        <v>#N/A</v>
      </c>
      <c r="CZ2483" s="137" t="e">
        <v>#N/A</v>
      </c>
      <c r="DA2483">
        <v>0.11332468572476186</v>
      </c>
      <c r="DB2483" t="str">
        <v/>
      </c>
    </row>
    <row r="2484" spans="83:106" x14ac:dyDescent="0.2">
      <c r="CE2484"/>
      <c r="CF2484"/>
      <c r="CG2484"/>
      <c r="CH2484"/>
      <c r="CI2484"/>
      <c r="CU2484" s="42">
        <v>2479</v>
      </c>
      <c r="CV2484" s="115">
        <v>4</v>
      </c>
      <c r="CW2484" s="115">
        <v>0.11332468572476186</v>
      </c>
      <c r="CX2484" s="115" t="e">
        <v>#N/A</v>
      </c>
      <c r="CY2484" s="115" t="e">
        <v>#N/A</v>
      </c>
      <c r="CZ2484" s="137" t="e">
        <v>#N/A</v>
      </c>
      <c r="DA2484">
        <v>0.11332468572476186</v>
      </c>
      <c r="DB2484" t="str">
        <v/>
      </c>
    </row>
    <row r="2485" spans="83:106" x14ac:dyDescent="0.2">
      <c r="CE2485"/>
      <c r="CF2485"/>
      <c r="CG2485"/>
      <c r="CH2485"/>
      <c r="CI2485"/>
      <c r="CU2485" s="42">
        <v>2480</v>
      </c>
      <c r="CV2485" s="115">
        <v>4</v>
      </c>
      <c r="CW2485" s="115">
        <v>0.11332468572476186</v>
      </c>
      <c r="CX2485" s="115" t="e">
        <v>#N/A</v>
      </c>
      <c r="CY2485" s="115" t="e">
        <v>#N/A</v>
      </c>
      <c r="CZ2485" s="137" t="e">
        <v>#N/A</v>
      </c>
      <c r="DA2485">
        <v>0.11332468572476186</v>
      </c>
      <c r="DB2485" t="str">
        <v/>
      </c>
    </row>
    <row r="2486" spans="83:106" x14ac:dyDescent="0.2">
      <c r="CE2486"/>
      <c r="CF2486"/>
      <c r="CG2486"/>
      <c r="CH2486"/>
      <c r="CI2486"/>
      <c r="CU2486" s="42">
        <v>2481</v>
      </c>
      <c r="CV2486" s="115">
        <v>4</v>
      </c>
      <c r="CW2486" s="115">
        <v>0.11332468572476186</v>
      </c>
      <c r="CX2486" s="115" t="e">
        <v>#N/A</v>
      </c>
      <c r="CY2486" s="115" t="e">
        <v>#N/A</v>
      </c>
      <c r="CZ2486" s="137" t="e">
        <v>#N/A</v>
      </c>
      <c r="DA2486">
        <v>0.11332468572476186</v>
      </c>
      <c r="DB2486" t="str">
        <v/>
      </c>
    </row>
    <row r="2487" spans="83:106" x14ac:dyDescent="0.2">
      <c r="CE2487"/>
      <c r="CF2487"/>
      <c r="CG2487"/>
      <c r="CH2487"/>
      <c r="CI2487"/>
      <c r="CU2487" s="42">
        <v>2482</v>
      </c>
      <c r="CV2487" s="115">
        <v>4</v>
      </c>
      <c r="CW2487" s="115">
        <v>0.11332468572476186</v>
      </c>
      <c r="CX2487" s="115" t="e">
        <v>#N/A</v>
      </c>
      <c r="CY2487" s="115" t="e">
        <v>#N/A</v>
      </c>
      <c r="CZ2487" s="137" t="e">
        <v>#N/A</v>
      </c>
      <c r="DA2487">
        <v>0.11332468572476186</v>
      </c>
      <c r="DB2487" t="str">
        <v/>
      </c>
    </row>
    <row r="2488" spans="83:106" x14ac:dyDescent="0.2">
      <c r="CE2488"/>
      <c r="CF2488"/>
      <c r="CG2488"/>
      <c r="CH2488"/>
      <c r="CI2488"/>
      <c r="CU2488" s="42">
        <v>2483</v>
      </c>
      <c r="CV2488" s="115">
        <v>4</v>
      </c>
      <c r="CW2488" s="115">
        <v>0.11332468572476186</v>
      </c>
      <c r="CX2488" s="115" t="e">
        <v>#N/A</v>
      </c>
      <c r="CY2488" s="115" t="e">
        <v>#N/A</v>
      </c>
      <c r="CZ2488" s="137" t="e">
        <v>#N/A</v>
      </c>
      <c r="DA2488">
        <v>0.11332468572476186</v>
      </c>
      <c r="DB2488" t="str">
        <v/>
      </c>
    </row>
    <row r="2489" spans="83:106" x14ac:dyDescent="0.2">
      <c r="CE2489"/>
      <c r="CF2489"/>
      <c r="CG2489"/>
      <c r="CH2489"/>
      <c r="CI2489"/>
      <c r="CU2489" s="42">
        <v>2484</v>
      </c>
      <c r="CV2489" s="115">
        <v>4</v>
      </c>
      <c r="CW2489" s="115">
        <v>0.11332468572476186</v>
      </c>
      <c r="CX2489" s="115" t="e">
        <v>#N/A</v>
      </c>
      <c r="CY2489" s="115" t="e">
        <v>#N/A</v>
      </c>
      <c r="CZ2489" s="137" t="e">
        <v>#N/A</v>
      </c>
      <c r="DA2489">
        <v>0.11332468572476186</v>
      </c>
      <c r="DB2489" t="str">
        <v/>
      </c>
    </row>
    <row r="2490" spans="83:106" x14ac:dyDescent="0.2">
      <c r="CE2490"/>
      <c r="CF2490"/>
      <c r="CG2490"/>
      <c r="CH2490"/>
      <c r="CI2490"/>
      <c r="CU2490" s="42">
        <v>2485</v>
      </c>
      <c r="CV2490" s="115">
        <v>4</v>
      </c>
      <c r="CW2490" s="115">
        <v>0.11332468572476186</v>
      </c>
      <c r="CX2490" s="115" t="e">
        <v>#N/A</v>
      </c>
      <c r="CY2490" s="115" t="e">
        <v>#N/A</v>
      </c>
      <c r="CZ2490" s="137" t="e">
        <v>#N/A</v>
      </c>
      <c r="DA2490">
        <v>0.11332468572476186</v>
      </c>
      <c r="DB2490" t="str">
        <v/>
      </c>
    </row>
    <row r="2491" spans="83:106" x14ac:dyDescent="0.2">
      <c r="CE2491"/>
      <c r="CF2491"/>
      <c r="CG2491"/>
      <c r="CH2491"/>
      <c r="CI2491"/>
      <c r="CU2491" s="42">
        <v>2486</v>
      </c>
      <c r="CV2491" s="115">
        <v>4</v>
      </c>
      <c r="CW2491" s="115">
        <v>0.11332468572476186</v>
      </c>
      <c r="CX2491" s="115" t="e">
        <v>#N/A</v>
      </c>
      <c r="CY2491" s="115" t="e">
        <v>#N/A</v>
      </c>
      <c r="CZ2491" s="137" t="e">
        <v>#N/A</v>
      </c>
      <c r="DA2491">
        <v>0.11332468572476186</v>
      </c>
      <c r="DB2491" t="str">
        <v/>
      </c>
    </row>
    <row r="2492" spans="83:106" x14ac:dyDescent="0.2">
      <c r="CE2492"/>
      <c r="CF2492"/>
      <c r="CG2492"/>
      <c r="CH2492"/>
      <c r="CI2492"/>
      <c r="CU2492" s="42">
        <v>2487</v>
      </c>
      <c r="CV2492" s="115">
        <v>4</v>
      </c>
      <c r="CW2492" s="115">
        <v>0.11332468572476186</v>
      </c>
      <c r="CX2492" s="115" t="e">
        <v>#N/A</v>
      </c>
      <c r="CY2492" s="115" t="e">
        <v>#N/A</v>
      </c>
      <c r="CZ2492" s="137" t="e">
        <v>#N/A</v>
      </c>
      <c r="DA2492">
        <v>0.11332468572476186</v>
      </c>
      <c r="DB2492" t="str">
        <v/>
      </c>
    </row>
    <row r="2493" spans="83:106" x14ac:dyDescent="0.2">
      <c r="CE2493"/>
      <c r="CF2493"/>
      <c r="CG2493"/>
      <c r="CH2493"/>
      <c r="CI2493"/>
      <c r="CU2493" s="42">
        <v>2488</v>
      </c>
      <c r="CV2493" s="115">
        <v>4</v>
      </c>
      <c r="CW2493" s="115">
        <v>0.11332468572476186</v>
      </c>
      <c r="CX2493" s="115" t="e">
        <v>#N/A</v>
      </c>
      <c r="CY2493" s="115" t="e">
        <v>#N/A</v>
      </c>
      <c r="CZ2493" s="137" t="e">
        <v>#N/A</v>
      </c>
      <c r="DA2493">
        <v>0.11332468572476186</v>
      </c>
      <c r="DB2493" t="str">
        <v/>
      </c>
    </row>
    <row r="2494" spans="83:106" x14ac:dyDescent="0.2">
      <c r="CE2494"/>
      <c r="CF2494"/>
      <c r="CG2494"/>
      <c r="CH2494"/>
      <c r="CI2494"/>
      <c r="CU2494" s="42">
        <v>2489</v>
      </c>
      <c r="CV2494" s="115">
        <v>4</v>
      </c>
      <c r="CW2494" s="115">
        <v>0.11332468572476186</v>
      </c>
      <c r="CX2494" s="115" t="e">
        <v>#N/A</v>
      </c>
      <c r="CY2494" s="115" t="e">
        <v>#N/A</v>
      </c>
      <c r="CZ2494" s="137" t="e">
        <v>#N/A</v>
      </c>
      <c r="DA2494">
        <v>0.11332468572476186</v>
      </c>
      <c r="DB2494" t="str">
        <v/>
      </c>
    </row>
    <row r="2495" spans="83:106" x14ac:dyDescent="0.2">
      <c r="CE2495"/>
      <c r="CF2495"/>
      <c r="CG2495"/>
      <c r="CH2495"/>
      <c r="CI2495"/>
      <c r="CU2495" s="42">
        <v>2490</v>
      </c>
      <c r="CV2495" s="115">
        <v>4</v>
      </c>
      <c r="CW2495" s="115">
        <v>0.11332468572476186</v>
      </c>
      <c r="CX2495" s="115" t="e">
        <v>#N/A</v>
      </c>
      <c r="CY2495" s="115" t="e">
        <v>#N/A</v>
      </c>
      <c r="CZ2495" s="137" t="e">
        <v>#N/A</v>
      </c>
      <c r="DA2495">
        <v>0.11332468572476186</v>
      </c>
      <c r="DB2495" t="str">
        <v/>
      </c>
    </row>
    <row r="2496" spans="83:106" x14ac:dyDescent="0.2">
      <c r="CE2496"/>
      <c r="CF2496"/>
      <c r="CG2496"/>
      <c r="CH2496"/>
      <c r="CI2496"/>
      <c r="CU2496" s="42">
        <v>2491</v>
      </c>
      <c r="CV2496" s="115">
        <v>4</v>
      </c>
      <c r="CW2496" s="115">
        <v>0.11332468572476186</v>
      </c>
      <c r="CX2496" s="115" t="e">
        <v>#N/A</v>
      </c>
      <c r="CY2496" s="115" t="e">
        <v>#N/A</v>
      </c>
      <c r="CZ2496" s="137" t="e">
        <v>#N/A</v>
      </c>
      <c r="DA2496">
        <v>0.11332468572476186</v>
      </c>
      <c r="DB2496" t="str">
        <v/>
      </c>
    </row>
    <row r="2497" spans="83:106" x14ac:dyDescent="0.2">
      <c r="CE2497"/>
      <c r="CF2497"/>
      <c r="CG2497"/>
      <c r="CH2497"/>
      <c r="CI2497"/>
      <c r="CU2497" s="42">
        <v>2492</v>
      </c>
      <c r="CV2497" s="115">
        <v>4</v>
      </c>
      <c r="CW2497" s="115">
        <v>0.11332468572476186</v>
      </c>
      <c r="CX2497" s="115" t="e">
        <v>#N/A</v>
      </c>
      <c r="CY2497" s="115" t="e">
        <v>#N/A</v>
      </c>
      <c r="CZ2497" s="137" t="e">
        <v>#N/A</v>
      </c>
      <c r="DA2497">
        <v>0.11332468572476186</v>
      </c>
      <c r="DB2497" t="str">
        <v/>
      </c>
    </row>
    <row r="2498" spans="83:106" x14ac:dyDescent="0.2">
      <c r="CE2498"/>
      <c r="CF2498"/>
      <c r="CG2498"/>
      <c r="CH2498"/>
      <c r="CI2498"/>
      <c r="CU2498" s="42">
        <v>2493</v>
      </c>
      <c r="CV2498" s="115">
        <v>4</v>
      </c>
      <c r="CW2498" s="115">
        <v>0.11332468572476186</v>
      </c>
      <c r="CX2498" s="115" t="e">
        <v>#N/A</v>
      </c>
      <c r="CY2498" s="115" t="e">
        <v>#N/A</v>
      </c>
      <c r="CZ2498" s="137" t="e">
        <v>#N/A</v>
      </c>
      <c r="DA2498">
        <v>0.11332468572476186</v>
      </c>
      <c r="DB2498" t="str">
        <v/>
      </c>
    </row>
    <row r="2499" spans="83:106" x14ac:dyDescent="0.2">
      <c r="CE2499"/>
      <c r="CF2499"/>
      <c r="CG2499"/>
      <c r="CH2499"/>
      <c r="CI2499"/>
      <c r="CU2499" s="42">
        <v>2494</v>
      </c>
      <c r="CV2499" s="115">
        <v>4</v>
      </c>
      <c r="CW2499" s="115">
        <v>0.11332468572476186</v>
      </c>
      <c r="CX2499" s="115" t="e">
        <v>#N/A</v>
      </c>
      <c r="CY2499" s="115" t="e">
        <v>#N/A</v>
      </c>
      <c r="CZ2499" s="137" t="e">
        <v>#N/A</v>
      </c>
      <c r="DA2499">
        <v>0.11332468572476186</v>
      </c>
      <c r="DB2499" t="str">
        <v/>
      </c>
    </row>
    <row r="2500" spans="83:106" x14ac:dyDescent="0.2">
      <c r="CE2500"/>
      <c r="CF2500"/>
      <c r="CG2500"/>
      <c r="CH2500"/>
      <c r="CI2500"/>
      <c r="CU2500" s="42">
        <v>2495</v>
      </c>
      <c r="CV2500" s="115">
        <v>4</v>
      </c>
      <c r="CW2500" s="115">
        <v>0.11332468572476186</v>
      </c>
      <c r="CX2500" s="115" t="e">
        <v>#N/A</v>
      </c>
      <c r="CY2500" s="115" t="e">
        <v>#N/A</v>
      </c>
      <c r="CZ2500" s="137" t="e">
        <v>#N/A</v>
      </c>
      <c r="DA2500">
        <v>0.11332468572476186</v>
      </c>
      <c r="DB2500" t="str">
        <v/>
      </c>
    </row>
    <row r="2501" spans="83:106" x14ac:dyDescent="0.2">
      <c r="CE2501"/>
      <c r="CF2501"/>
      <c r="CG2501"/>
      <c r="CH2501"/>
      <c r="CI2501"/>
      <c r="CU2501" s="42">
        <v>2496</v>
      </c>
      <c r="CV2501" s="115">
        <v>4</v>
      </c>
      <c r="CW2501" s="115">
        <v>0.11332468572476186</v>
      </c>
      <c r="CX2501" s="115" t="e">
        <v>#N/A</v>
      </c>
      <c r="CY2501" s="115" t="e">
        <v>#N/A</v>
      </c>
      <c r="CZ2501" s="137" t="e">
        <v>#N/A</v>
      </c>
      <c r="DA2501">
        <v>0.11332468572476186</v>
      </c>
      <c r="DB2501" t="str">
        <v/>
      </c>
    </row>
    <row r="2502" spans="83:106" x14ac:dyDescent="0.2">
      <c r="CE2502"/>
      <c r="CF2502"/>
      <c r="CG2502"/>
      <c r="CH2502"/>
      <c r="CI2502"/>
      <c r="CU2502" s="42">
        <v>2497</v>
      </c>
      <c r="CV2502" s="115">
        <v>4</v>
      </c>
      <c r="CW2502" s="115">
        <v>0.11332468572476186</v>
      </c>
      <c r="CX2502" s="115" t="e">
        <v>#N/A</v>
      </c>
      <c r="CY2502" s="115" t="e">
        <v>#N/A</v>
      </c>
      <c r="CZ2502" s="137" t="e">
        <v>#N/A</v>
      </c>
      <c r="DA2502">
        <v>0.11332468572476186</v>
      </c>
      <c r="DB2502" t="str">
        <v/>
      </c>
    </row>
    <row r="2503" spans="83:106" x14ac:dyDescent="0.2">
      <c r="CE2503"/>
      <c r="CF2503"/>
      <c r="CG2503"/>
      <c r="CH2503"/>
      <c r="CI2503"/>
      <c r="CU2503" s="42">
        <v>2498</v>
      </c>
      <c r="CV2503" s="115">
        <v>4</v>
      </c>
      <c r="CW2503" s="115">
        <v>0.11332468572476186</v>
      </c>
      <c r="CX2503" s="115" t="e">
        <v>#N/A</v>
      </c>
      <c r="CY2503" s="115" t="e">
        <v>#N/A</v>
      </c>
      <c r="CZ2503" s="137" t="e">
        <v>#N/A</v>
      </c>
      <c r="DA2503">
        <v>0.11332468572476186</v>
      </c>
      <c r="DB2503" t="str">
        <v/>
      </c>
    </row>
    <row r="2504" spans="83:106" x14ac:dyDescent="0.2">
      <c r="CE2504"/>
      <c r="CF2504"/>
      <c r="CG2504"/>
      <c r="CH2504"/>
      <c r="CI2504"/>
      <c r="CU2504" s="42">
        <v>2499</v>
      </c>
      <c r="CV2504" s="115">
        <v>4</v>
      </c>
      <c r="CW2504" s="115">
        <v>0.11332468572476186</v>
      </c>
      <c r="CX2504" s="115" t="e">
        <v>#N/A</v>
      </c>
      <c r="CY2504" s="115" t="e">
        <v>#N/A</v>
      </c>
      <c r="CZ2504" s="137" t="e">
        <v>#N/A</v>
      </c>
      <c r="DA2504">
        <v>0.11332468572476186</v>
      </c>
      <c r="DB2504" t="str">
        <v/>
      </c>
    </row>
    <row r="2505" spans="83:106" x14ac:dyDescent="0.2">
      <c r="CE2505"/>
      <c r="CF2505"/>
      <c r="CG2505"/>
      <c r="CH2505"/>
      <c r="CI2505"/>
      <c r="CU2505" s="42">
        <v>2500</v>
      </c>
      <c r="CV2505" s="115">
        <v>4</v>
      </c>
      <c r="CW2505" s="115">
        <v>0.11332468572476186</v>
      </c>
      <c r="CX2505" s="115" t="e">
        <v>#N/A</v>
      </c>
      <c r="CY2505" s="115" t="e">
        <v>#N/A</v>
      </c>
      <c r="CZ2505" s="137" t="e">
        <v>#N/A</v>
      </c>
      <c r="DA2505">
        <v>0.11332468572476186</v>
      </c>
      <c r="DB2505" t="str">
        <v/>
      </c>
    </row>
    <row r="2506" spans="83:106" x14ac:dyDescent="0.2">
      <c r="CE2506"/>
      <c r="CF2506"/>
      <c r="CG2506"/>
      <c r="CH2506"/>
      <c r="CI2506"/>
      <c r="CU2506" s="42">
        <v>2501</v>
      </c>
      <c r="CV2506" s="115">
        <v>4</v>
      </c>
      <c r="CW2506" s="115">
        <v>0.11332468572476186</v>
      </c>
      <c r="CX2506" s="115" t="e">
        <v>#N/A</v>
      </c>
      <c r="CY2506" s="115" t="e">
        <v>#N/A</v>
      </c>
      <c r="CZ2506" s="137" t="e">
        <v>#N/A</v>
      </c>
      <c r="DA2506">
        <v>0.11332468572476186</v>
      </c>
      <c r="DB2506" t="str">
        <v/>
      </c>
    </row>
    <row r="2507" spans="83:106" x14ac:dyDescent="0.2">
      <c r="CE2507"/>
      <c r="CF2507"/>
      <c r="CG2507"/>
      <c r="CH2507"/>
      <c r="CI2507"/>
      <c r="CU2507" s="42">
        <v>2502</v>
      </c>
      <c r="CV2507" s="115">
        <v>4</v>
      </c>
      <c r="CW2507" s="115">
        <v>0.11332468572476186</v>
      </c>
      <c r="CX2507" s="115" t="e">
        <v>#N/A</v>
      </c>
      <c r="CY2507" s="115" t="e">
        <v>#N/A</v>
      </c>
      <c r="CZ2507" s="137" t="e">
        <v>#N/A</v>
      </c>
      <c r="DA2507">
        <v>0.11332468572476186</v>
      </c>
      <c r="DB2507" t="str">
        <v/>
      </c>
    </row>
    <row r="2508" spans="83:106" x14ac:dyDescent="0.2">
      <c r="CE2508"/>
      <c r="CF2508"/>
      <c r="CG2508"/>
      <c r="CH2508"/>
      <c r="CI2508"/>
      <c r="CU2508" s="42">
        <v>2503</v>
      </c>
      <c r="CV2508" s="115">
        <v>4</v>
      </c>
      <c r="CW2508" s="115">
        <v>0.11332468572476186</v>
      </c>
      <c r="CX2508" s="115" t="e">
        <v>#N/A</v>
      </c>
      <c r="CY2508" s="115" t="e">
        <v>#N/A</v>
      </c>
      <c r="CZ2508" s="137" t="e">
        <v>#N/A</v>
      </c>
      <c r="DA2508">
        <v>0.11332468572476186</v>
      </c>
      <c r="DB2508" t="str">
        <v/>
      </c>
    </row>
    <row r="2509" spans="83:106" x14ac:dyDescent="0.2">
      <c r="CE2509"/>
      <c r="CF2509"/>
      <c r="CG2509"/>
      <c r="CH2509"/>
      <c r="CI2509"/>
      <c r="CU2509" s="42">
        <v>2504</v>
      </c>
      <c r="CV2509" s="115">
        <v>4</v>
      </c>
      <c r="CW2509" s="115">
        <v>0.11332468572476186</v>
      </c>
      <c r="CX2509" s="115" t="e">
        <v>#N/A</v>
      </c>
      <c r="CY2509" s="115" t="e">
        <v>#N/A</v>
      </c>
      <c r="CZ2509" s="137" t="e">
        <v>#N/A</v>
      </c>
      <c r="DA2509">
        <v>0.11332468572476186</v>
      </c>
      <c r="DB2509" t="str">
        <v/>
      </c>
    </row>
    <row r="2510" spans="83:106" x14ac:dyDescent="0.2">
      <c r="CE2510"/>
      <c r="CF2510"/>
      <c r="CG2510"/>
      <c r="CH2510"/>
      <c r="CI2510"/>
      <c r="CU2510" s="42">
        <v>2505</v>
      </c>
      <c r="CV2510" s="115">
        <v>4</v>
      </c>
      <c r="CW2510" s="115">
        <v>0.11332468572476186</v>
      </c>
      <c r="CX2510" s="115" t="e">
        <v>#N/A</v>
      </c>
      <c r="CY2510" s="115" t="e">
        <v>#N/A</v>
      </c>
      <c r="CZ2510" s="137" t="e">
        <v>#N/A</v>
      </c>
      <c r="DA2510">
        <v>0.11332468572476186</v>
      </c>
      <c r="DB2510" t="str">
        <v/>
      </c>
    </row>
    <row r="2511" spans="83:106" x14ac:dyDescent="0.2">
      <c r="CE2511"/>
      <c r="CF2511"/>
      <c r="CG2511"/>
      <c r="CH2511"/>
      <c r="CI2511"/>
      <c r="CU2511" s="42">
        <v>2506</v>
      </c>
      <c r="CV2511" s="115">
        <v>4</v>
      </c>
      <c r="CW2511" s="115">
        <v>0.11332468572476186</v>
      </c>
      <c r="CX2511" s="115" t="e">
        <v>#N/A</v>
      </c>
      <c r="CY2511" s="115" t="e">
        <v>#N/A</v>
      </c>
      <c r="CZ2511" s="137" t="e">
        <v>#N/A</v>
      </c>
      <c r="DA2511">
        <v>0.11332468572476186</v>
      </c>
      <c r="DB2511" t="str">
        <v/>
      </c>
    </row>
    <row r="2512" spans="83:106" x14ac:dyDescent="0.2">
      <c r="CE2512"/>
      <c r="CF2512"/>
      <c r="CG2512"/>
      <c r="CH2512"/>
      <c r="CI2512"/>
      <c r="CU2512" s="42">
        <v>2507</v>
      </c>
      <c r="CV2512" s="115">
        <v>4</v>
      </c>
      <c r="CW2512" s="115">
        <v>0.11332468572476186</v>
      </c>
      <c r="CX2512" s="115" t="e">
        <v>#N/A</v>
      </c>
      <c r="CY2512" s="115" t="e">
        <v>#N/A</v>
      </c>
      <c r="CZ2512" s="137" t="e">
        <v>#N/A</v>
      </c>
      <c r="DA2512">
        <v>0.11332468572476186</v>
      </c>
      <c r="DB2512" t="str">
        <v/>
      </c>
    </row>
    <row r="2513" spans="83:106" x14ac:dyDescent="0.2">
      <c r="CE2513"/>
      <c r="CF2513"/>
      <c r="CG2513"/>
      <c r="CH2513"/>
      <c r="CI2513"/>
      <c r="CU2513" s="42">
        <v>2508</v>
      </c>
      <c r="CV2513" s="115">
        <v>4</v>
      </c>
      <c r="CW2513" s="115">
        <v>0.11332468572476186</v>
      </c>
      <c r="CX2513" s="115" t="e">
        <v>#N/A</v>
      </c>
      <c r="CY2513" s="115" t="e">
        <v>#N/A</v>
      </c>
      <c r="CZ2513" s="137" t="e">
        <v>#N/A</v>
      </c>
      <c r="DA2513">
        <v>0.11332468572476186</v>
      </c>
      <c r="DB2513" t="str">
        <v/>
      </c>
    </row>
    <row r="2514" spans="83:106" x14ac:dyDescent="0.2">
      <c r="CE2514"/>
      <c r="CF2514"/>
      <c r="CG2514"/>
      <c r="CH2514"/>
      <c r="CI2514"/>
      <c r="CU2514" s="42">
        <v>2509</v>
      </c>
      <c r="CV2514" s="115">
        <v>4</v>
      </c>
      <c r="CW2514" s="115">
        <v>0.11332468572476186</v>
      </c>
      <c r="CX2514" s="115" t="e">
        <v>#N/A</v>
      </c>
      <c r="CY2514" s="115" t="e">
        <v>#N/A</v>
      </c>
      <c r="CZ2514" s="137" t="e">
        <v>#N/A</v>
      </c>
      <c r="DA2514">
        <v>0.11332468572476186</v>
      </c>
      <c r="DB2514" t="str">
        <v/>
      </c>
    </row>
    <row r="2515" spans="83:106" x14ac:dyDescent="0.2">
      <c r="CE2515"/>
      <c r="CF2515"/>
      <c r="CG2515"/>
      <c r="CH2515"/>
      <c r="CI2515"/>
      <c r="CU2515" s="42">
        <v>2510</v>
      </c>
      <c r="CV2515" s="115">
        <v>4</v>
      </c>
      <c r="CW2515" s="115">
        <v>0.11332468572476186</v>
      </c>
      <c r="CX2515" s="115" t="e">
        <v>#N/A</v>
      </c>
      <c r="CY2515" s="115" t="e">
        <v>#N/A</v>
      </c>
      <c r="CZ2515" s="137" t="e">
        <v>#N/A</v>
      </c>
      <c r="DA2515">
        <v>0.11332468572476186</v>
      </c>
      <c r="DB2515" t="str">
        <v/>
      </c>
    </row>
    <row r="2516" spans="83:106" x14ac:dyDescent="0.2">
      <c r="CE2516"/>
      <c r="CF2516"/>
      <c r="CG2516"/>
      <c r="CH2516"/>
      <c r="CI2516"/>
      <c r="CU2516" s="42">
        <v>2511</v>
      </c>
      <c r="CV2516" s="115">
        <v>4</v>
      </c>
      <c r="CW2516" s="115">
        <v>0.11332468572476186</v>
      </c>
      <c r="CX2516" s="115" t="e">
        <v>#N/A</v>
      </c>
      <c r="CY2516" s="115" t="e">
        <v>#N/A</v>
      </c>
      <c r="CZ2516" s="137" t="e">
        <v>#N/A</v>
      </c>
      <c r="DA2516">
        <v>0.11332468572476186</v>
      </c>
      <c r="DB2516" t="str">
        <v/>
      </c>
    </row>
    <row r="2517" spans="83:106" x14ac:dyDescent="0.2">
      <c r="CE2517"/>
      <c r="CF2517"/>
      <c r="CG2517"/>
      <c r="CH2517"/>
      <c r="CI2517"/>
      <c r="CU2517" s="42">
        <v>2512</v>
      </c>
      <c r="CV2517" s="115">
        <v>4</v>
      </c>
      <c r="CW2517" s="115">
        <v>0.11332468572476186</v>
      </c>
      <c r="CX2517" s="115" t="e">
        <v>#N/A</v>
      </c>
      <c r="CY2517" s="115" t="e">
        <v>#N/A</v>
      </c>
      <c r="CZ2517" s="137" t="e">
        <v>#N/A</v>
      </c>
      <c r="DA2517">
        <v>0.11332468572476186</v>
      </c>
      <c r="DB2517" t="str">
        <v/>
      </c>
    </row>
    <row r="2518" spans="83:106" x14ac:dyDescent="0.2">
      <c r="CE2518"/>
      <c r="CF2518"/>
      <c r="CG2518"/>
      <c r="CH2518"/>
      <c r="CI2518"/>
      <c r="CU2518" s="42">
        <v>2513</v>
      </c>
      <c r="CV2518" s="115">
        <v>4</v>
      </c>
      <c r="CW2518" s="115">
        <v>0.11332468572476186</v>
      </c>
      <c r="CX2518" s="115" t="e">
        <v>#N/A</v>
      </c>
      <c r="CY2518" s="115" t="e">
        <v>#N/A</v>
      </c>
      <c r="CZ2518" s="137" t="e">
        <v>#N/A</v>
      </c>
      <c r="DA2518">
        <v>0.11332468572476186</v>
      </c>
      <c r="DB2518" t="str">
        <v/>
      </c>
    </row>
    <row r="2519" spans="83:106" x14ac:dyDescent="0.2">
      <c r="CE2519"/>
      <c r="CF2519"/>
      <c r="CG2519"/>
      <c r="CH2519"/>
      <c r="CI2519"/>
      <c r="CU2519" s="42">
        <v>2514</v>
      </c>
      <c r="CV2519" s="115">
        <v>4</v>
      </c>
      <c r="CW2519" s="115">
        <v>0.11332468572476186</v>
      </c>
      <c r="CX2519" s="115" t="e">
        <v>#N/A</v>
      </c>
      <c r="CY2519" s="115" t="e">
        <v>#N/A</v>
      </c>
      <c r="CZ2519" s="137" t="e">
        <v>#N/A</v>
      </c>
      <c r="DA2519">
        <v>0.11332468572476186</v>
      </c>
      <c r="DB2519" t="str">
        <v/>
      </c>
    </row>
    <row r="2520" spans="83:106" x14ac:dyDescent="0.2">
      <c r="CE2520"/>
      <c r="CF2520"/>
      <c r="CG2520"/>
      <c r="CH2520"/>
      <c r="CI2520"/>
      <c r="CU2520" s="42">
        <v>2515</v>
      </c>
      <c r="CV2520" s="115">
        <v>4</v>
      </c>
      <c r="CW2520" s="115">
        <v>0.11332468572476186</v>
      </c>
      <c r="CX2520" s="115" t="e">
        <v>#N/A</v>
      </c>
      <c r="CY2520" s="115" t="e">
        <v>#N/A</v>
      </c>
      <c r="CZ2520" s="137" t="e">
        <v>#N/A</v>
      </c>
      <c r="DA2520">
        <v>0.11332468572476186</v>
      </c>
      <c r="DB2520" t="str">
        <v/>
      </c>
    </row>
    <row r="2521" spans="83:106" x14ac:dyDescent="0.2">
      <c r="CE2521"/>
      <c r="CF2521"/>
      <c r="CG2521"/>
      <c r="CH2521"/>
      <c r="CI2521"/>
      <c r="CU2521" s="42">
        <v>2516</v>
      </c>
      <c r="CV2521" s="115">
        <v>4</v>
      </c>
      <c r="CW2521" s="115">
        <v>0.11332468572476186</v>
      </c>
      <c r="CX2521" s="115" t="e">
        <v>#N/A</v>
      </c>
      <c r="CY2521" s="115" t="e">
        <v>#N/A</v>
      </c>
      <c r="CZ2521" s="137" t="e">
        <v>#N/A</v>
      </c>
      <c r="DA2521">
        <v>0.11332468572476186</v>
      </c>
      <c r="DB2521" t="str">
        <v/>
      </c>
    </row>
    <row r="2522" spans="83:106" x14ac:dyDescent="0.2">
      <c r="CE2522"/>
      <c r="CF2522"/>
      <c r="CG2522"/>
      <c r="CH2522"/>
      <c r="CI2522"/>
      <c r="CU2522" s="42">
        <v>2517</v>
      </c>
      <c r="CV2522" s="115">
        <v>4</v>
      </c>
      <c r="CW2522" s="115">
        <v>0.11332468572476186</v>
      </c>
      <c r="CX2522" s="115" t="e">
        <v>#N/A</v>
      </c>
      <c r="CY2522" s="115" t="e">
        <v>#N/A</v>
      </c>
      <c r="CZ2522" s="137" t="e">
        <v>#N/A</v>
      </c>
      <c r="DA2522">
        <v>0.11332468572476186</v>
      </c>
      <c r="DB2522" t="str">
        <v/>
      </c>
    </row>
    <row r="2523" spans="83:106" x14ac:dyDescent="0.2">
      <c r="CE2523"/>
      <c r="CF2523"/>
      <c r="CG2523"/>
      <c r="CH2523"/>
      <c r="CI2523"/>
      <c r="CU2523" s="42">
        <v>2518</v>
      </c>
      <c r="CV2523" s="115">
        <v>4</v>
      </c>
      <c r="CW2523" s="115">
        <v>0.11332468572476186</v>
      </c>
      <c r="CX2523" s="115" t="e">
        <v>#N/A</v>
      </c>
      <c r="CY2523" s="115" t="e">
        <v>#N/A</v>
      </c>
      <c r="CZ2523" s="137" t="e">
        <v>#N/A</v>
      </c>
      <c r="DA2523">
        <v>0.11332468572476186</v>
      </c>
      <c r="DB2523" t="str">
        <v/>
      </c>
    </row>
    <row r="2524" spans="83:106" x14ac:dyDescent="0.2">
      <c r="CE2524"/>
      <c r="CF2524"/>
      <c r="CG2524"/>
      <c r="CH2524"/>
      <c r="CI2524"/>
      <c r="CU2524" s="42">
        <v>2519</v>
      </c>
      <c r="CV2524" s="115">
        <v>4</v>
      </c>
      <c r="CW2524" s="115">
        <v>0.11332468572476186</v>
      </c>
      <c r="CX2524" s="115" t="e">
        <v>#N/A</v>
      </c>
      <c r="CY2524" s="115" t="e">
        <v>#N/A</v>
      </c>
      <c r="CZ2524" s="137" t="e">
        <v>#N/A</v>
      </c>
      <c r="DA2524">
        <v>0.11332468572476186</v>
      </c>
      <c r="DB2524" t="str">
        <v/>
      </c>
    </row>
    <row r="2525" spans="83:106" x14ac:dyDescent="0.2">
      <c r="CE2525"/>
      <c r="CF2525"/>
      <c r="CG2525"/>
      <c r="CH2525"/>
      <c r="CI2525"/>
      <c r="CU2525" s="42">
        <v>2520</v>
      </c>
      <c r="CV2525" s="115">
        <v>4</v>
      </c>
      <c r="CW2525" s="115">
        <v>0.11332468572476186</v>
      </c>
      <c r="CX2525" s="115" t="e">
        <v>#N/A</v>
      </c>
      <c r="CY2525" s="115" t="e">
        <v>#N/A</v>
      </c>
      <c r="CZ2525" s="137" t="e">
        <v>#N/A</v>
      </c>
      <c r="DA2525">
        <v>0.11332468572476186</v>
      </c>
      <c r="DB2525" t="str">
        <v/>
      </c>
    </row>
    <row r="2526" spans="83:106" x14ac:dyDescent="0.2">
      <c r="CE2526"/>
      <c r="CF2526"/>
      <c r="CG2526"/>
      <c r="CH2526"/>
      <c r="CI2526"/>
      <c r="CU2526" s="42">
        <v>2521</v>
      </c>
      <c r="CV2526" s="115">
        <v>4</v>
      </c>
      <c r="CW2526" s="115">
        <v>0.11332468572476186</v>
      </c>
      <c r="CX2526" s="115" t="e">
        <v>#N/A</v>
      </c>
      <c r="CY2526" s="115" t="e">
        <v>#N/A</v>
      </c>
      <c r="CZ2526" s="137" t="e">
        <v>#N/A</v>
      </c>
      <c r="DA2526">
        <v>0.11332468572476186</v>
      </c>
      <c r="DB2526" t="str">
        <v/>
      </c>
    </row>
    <row r="2527" spans="83:106" x14ac:dyDescent="0.2">
      <c r="CE2527"/>
      <c r="CF2527"/>
      <c r="CG2527"/>
      <c r="CH2527"/>
      <c r="CI2527"/>
      <c r="CU2527" s="42">
        <v>2522</v>
      </c>
      <c r="CV2527" s="115">
        <v>4</v>
      </c>
      <c r="CW2527" s="115">
        <v>0.11332468572476186</v>
      </c>
      <c r="CX2527" s="115" t="e">
        <v>#N/A</v>
      </c>
      <c r="CY2527" s="115" t="e">
        <v>#N/A</v>
      </c>
      <c r="CZ2527" s="137" t="e">
        <v>#N/A</v>
      </c>
      <c r="DA2527">
        <v>0.11332468572476186</v>
      </c>
      <c r="DB2527" t="str">
        <v/>
      </c>
    </row>
    <row r="2528" spans="83:106" x14ac:dyDescent="0.2">
      <c r="CE2528"/>
      <c r="CF2528"/>
      <c r="CG2528"/>
      <c r="CH2528"/>
      <c r="CI2528"/>
      <c r="CU2528" s="42">
        <v>2523</v>
      </c>
      <c r="CV2528" s="115">
        <v>4</v>
      </c>
      <c r="CW2528" s="115">
        <v>0.11332468572476186</v>
      </c>
      <c r="CX2528" s="115" t="e">
        <v>#N/A</v>
      </c>
      <c r="CY2528" s="115" t="e">
        <v>#N/A</v>
      </c>
      <c r="CZ2528" s="137" t="e">
        <v>#N/A</v>
      </c>
      <c r="DA2528">
        <v>0.11332468572476186</v>
      </c>
      <c r="DB2528" t="str">
        <v/>
      </c>
    </row>
    <row r="2529" spans="83:106" x14ac:dyDescent="0.2">
      <c r="CE2529"/>
      <c r="CF2529"/>
      <c r="CG2529"/>
      <c r="CH2529"/>
      <c r="CI2529"/>
      <c r="CU2529" s="42">
        <v>2524</v>
      </c>
      <c r="CV2529" s="115">
        <v>4</v>
      </c>
      <c r="CW2529" s="115">
        <v>0.11332468572476186</v>
      </c>
      <c r="CX2529" s="115" t="e">
        <v>#N/A</v>
      </c>
      <c r="CY2529" s="115" t="e">
        <v>#N/A</v>
      </c>
      <c r="CZ2529" s="137" t="e">
        <v>#N/A</v>
      </c>
      <c r="DA2529">
        <v>0.11332468572476186</v>
      </c>
      <c r="DB2529" t="str">
        <v/>
      </c>
    </row>
    <row r="2530" spans="83:106" x14ac:dyDescent="0.2">
      <c r="CE2530"/>
      <c r="CF2530"/>
      <c r="CG2530"/>
      <c r="CH2530"/>
      <c r="CI2530"/>
      <c r="CU2530" s="42">
        <v>2525</v>
      </c>
      <c r="CV2530" s="115">
        <v>4</v>
      </c>
      <c r="CW2530" s="115">
        <v>0.11332468572476186</v>
      </c>
      <c r="CX2530" s="115" t="e">
        <v>#N/A</v>
      </c>
      <c r="CY2530" s="115" t="e">
        <v>#N/A</v>
      </c>
      <c r="CZ2530" s="137" t="e">
        <v>#N/A</v>
      </c>
      <c r="DA2530">
        <v>0.11332468572476186</v>
      </c>
      <c r="DB2530" t="str">
        <v/>
      </c>
    </row>
    <row r="2531" spans="83:106" x14ac:dyDescent="0.2">
      <c r="CE2531"/>
      <c r="CF2531"/>
      <c r="CG2531"/>
      <c r="CH2531"/>
      <c r="CI2531"/>
      <c r="CU2531" s="42">
        <v>2526</v>
      </c>
      <c r="CV2531" s="115">
        <v>4</v>
      </c>
      <c r="CW2531" s="115">
        <v>0.11332468572476186</v>
      </c>
      <c r="CX2531" s="115" t="e">
        <v>#N/A</v>
      </c>
      <c r="CY2531" s="115" t="e">
        <v>#N/A</v>
      </c>
      <c r="CZ2531" s="137" t="e">
        <v>#N/A</v>
      </c>
      <c r="DA2531">
        <v>0.11332468572476186</v>
      </c>
      <c r="DB2531" t="str">
        <v/>
      </c>
    </row>
    <row r="2532" spans="83:106" x14ac:dyDescent="0.2">
      <c r="CE2532"/>
      <c r="CF2532"/>
      <c r="CG2532"/>
      <c r="CH2532"/>
      <c r="CI2532"/>
      <c r="CU2532" s="42">
        <v>2527</v>
      </c>
      <c r="CV2532" s="115">
        <v>4</v>
      </c>
      <c r="CW2532" s="115">
        <v>0.11332468572476186</v>
      </c>
      <c r="CX2532" s="115" t="e">
        <v>#N/A</v>
      </c>
      <c r="CY2532" s="115" t="e">
        <v>#N/A</v>
      </c>
      <c r="CZ2532" s="137" t="e">
        <v>#N/A</v>
      </c>
      <c r="DA2532">
        <v>0.11332468572476186</v>
      </c>
      <c r="DB2532" t="str">
        <v/>
      </c>
    </row>
    <row r="2533" spans="83:106" x14ac:dyDescent="0.2">
      <c r="CE2533"/>
      <c r="CF2533"/>
      <c r="CG2533"/>
      <c r="CH2533"/>
      <c r="CI2533"/>
      <c r="CU2533" s="42">
        <v>2528</v>
      </c>
      <c r="CV2533" s="115">
        <v>4</v>
      </c>
      <c r="CW2533" s="115">
        <v>0.11332468572476186</v>
      </c>
      <c r="CX2533" s="115" t="e">
        <v>#N/A</v>
      </c>
      <c r="CY2533" s="115" t="e">
        <v>#N/A</v>
      </c>
      <c r="CZ2533" s="137" t="e">
        <v>#N/A</v>
      </c>
      <c r="DA2533">
        <v>0.11332468572476186</v>
      </c>
      <c r="DB2533" t="str">
        <v/>
      </c>
    </row>
    <row r="2534" spans="83:106" x14ac:dyDescent="0.2">
      <c r="CE2534"/>
      <c r="CF2534"/>
      <c r="CG2534"/>
      <c r="CH2534"/>
      <c r="CI2534"/>
      <c r="CU2534" s="42">
        <v>2529</v>
      </c>
      <c r="CV2534" s="115">
        <v>4</v>
      </c>
      <c r="CW2534" s="115">
        <v>0.11332468572476186</v>
      </c>
      <c r="CX2534" s="115" t="e">
        <v>#N/A</v>
      </c>
      <c r="CY2534" s="115" t="e">
        <v>#N/A</v>
      </c>
      <c r="CZ2534" s="137" t="e">
        <v>#N/A</v>
      </c>
      <c r="DA2534">
        <v>0.11332468572476186</v>
      </c>
      <c r="DB2534" t="str">
        <v/>
      </c>
    </row>
    <row r="2535" spans="83:106" x14ac:dyDescent="0.2">
      <c r="CE2535"/>
      <c r="CF2535"/>
      <c r="CG2535"/>
      <c r="CH2535"/>
      <c r="CI2535"/>
      <c r="CU2535" s="42">
        <v>2530</v>
      </c>
      <c r="CV2535" s="115">
        <v>4</v>
      </c>
      <c r="CW2535" s="115">
        <v>0.11332468572476186</v>
      </c>
      <c r="CX2535" s="115" t="e">
        <v>#N/A</v>
      </c>
      <c r="CY2535" s="115" t="e">
        <v>#N/A</v>
      </c>
      <c r="CZ2535" s="137" t="e">
        <v>#N/A</v>
      </c>
      <c r="DA2535">
        <v>0.11332468572476186</v>
      </c>
      <c r="DB2535" t="str">
        <v/>
      </c>
    </row>
    <row r="2536" spans="83:106" x14ac:dyDescent="0.2">
      <c r="CE2536"/>
      <c r="CF2536"/>
      <c r="CG2536"/>
      <c r="CH2536"/>
      <c r="CI2536"/>
      <c r="CU2536" s="42">
        <v>2531</v>
      </c>
      <c r="CV2536" s="115">
        <v>4</v>
      </c>
      <c r="CW2536" s="115">
        <v>0.11332468572476186</v>
      </c>
      <c r="CX2536" s="115" t="e">
        <v>#N/A</v>
      </c>
      <c r="CY2536" s="115" t="e">
        <v>#N/A</v>
      </c>
      <c r="CZ2536" s="137" t="e">
        <v>#N/A</v>
      </c>
      <c r="DA2536">
        <v>0.11332468572476186</v>
      </c>
      <c r="DB2536" t="str">
        <v/>
      </c>
    </row>
    <row r="2537" spans="83:106" x14ac:dyDescent="0.2">
      <c r="CE2537"/>
      <c r="CF2537"/>
      <c r="CG2537"/>
      <c r="CH2537"/>
      <c r="CI2537"/>
      <c r="CU2537" s="42">
        <v>2532</v>
      </c>
      <c r="CV2537" s="115">
        <v>4</v>
      </c>
      <c r="CW2537" s="115">
        <v>0.11332468572476186</v>
      </c>
      <c r="CX2537" s="115" t="e">
        <v>#N/A</v>
      </c>
      <c r="CY2537" s="115" t="e">
        <v>#N/A</v>
      </c>
      <c r="CZ2537" s="137" t="e">
        <v>#N/A</v>
      </c>
      <c r="DA2537">
        <v>0.11332468572476186</v>
      </c>
      <c r="DB2537" t="str">
        <v/>
      </c>
    </row>
    <row r="2538" spans="83:106" x14ac:dyDescent="0.2">
      <c r="CE2538"/>
      <c r="CF2538"/>
      <c r="CG2538"/>
      <c r="CH2538"/>
      <c r="CI2538"/>
      <c r="CU2538" s="42">
        <v>2533</v>
      </c>
      <c r="CV2538" s="115">
        <v>4</v>
      </c>
      <c r="CW2538" s="115">
        <v>0.11332468572476186</v>
      </c>
      <c r="CX2538" s="115" t="e">
        <v>#N/A</v>
      </c>
      <c r="CY2538" s="115" t="e">
        <v>#N/A</v>
      </c>
      <c r="CZ2538" s="137" t="e">
        <v>#N/A</v>
      </c>
      <c r="DA2538">
        <v>0.11332468572476186</v>
      </c>
      <c r="DB2538" t="str">
        <v/>
      </c>
    </row>
    <row r="2539" spans="83:106" x14ac:dyDescent="0.2">
      <c r="CE2539"/>
      <c r="CF2539"/>
      <c r="CG2539"/>
      <c r="CH2539"/>
      <c r="CI2539"/>
      <c r="CU2539" s="42">
        <v>2534</v>
      </c>
      <c r="CV2539" s="115">
        <v>4</v>
      </c>
      <c r="CW2539" s="115">
        <v>0.11332468572476186</v>
      </c>
      <c r="CX2539" s="115" t="e">
        <v>#N/A</v>
      </c>
      <c r="CY2539" s="115" t="e">
        <v>#N/A</v>
      </c>
      <c r="CZ2539" s="137" t="e">
        <v>#N/A</v>
      </c>
      <c r="DA2539">
        <v>0.11332468572476186</v>
      </c>
      <c r="DB2539" t="str">
        <v/>
      </c>
    </row>
    <row r="2540" spans="83:106" x14ac:dyDescent="0.2">
      <c r="CE2540"/>
      <c r="CF2540"/>
      <c r="CG2540"/>
      <c r="CH2540"/>
      <c r="CI2540"/>
      <c r="CU2540" s="42">
        <v>2535</v>
      </c>
      <c r="CV2540" s="115">
        <v>4</v>
      </c>
      <c r="CW2540" s="115">
        <v>0.11332468572476186</v>
      </c>
      <c r="CX2540" s="115" t="e">
        <v>#N/A</v>
      </c>
      <c r="CY2540" s="115" t="e">
        <v>#N/A</v>
      </c>
      <c r="CZ2540" s="137" t="e">
        <v>#N/A</v>
      </c>
      <c r="DA2540">
        <v>0.11332468572476186</v>
      </c>
      <c r="DB2540" t="str">
        <v/>
      </c>
    </row>
    <row r="2541" spans="83:106" x14ac:dyDescent="0.2">
      <c r="CE2541"/>
      <c r="CF2541"/>
      <c r="CG2541"/>
      <c r="CH2541"/>
      <c r="CI2541"/>
      <c r="CU2541" s="42">
        <v>2536</v>
      </c>
      <c r="CV2541" s="115">
        <v>4</v>
      </c>
      <c r="CW2541" s="115">
        <v>0.11332468572476186</v>
      </c>
      <c r="CX2541" s="115" t="e">
        <v>#N/A</v>
      </c>
      <c r="CY2541" s="115" t="e">
        <v>#N/A</v>
      </c>
      <c r="CZ2541" s="137" t="e">
        <v>#N/A</v>
      </c>
      <c r="DA2541">
        <v>0.11332468572476186</v>
      </c>
      <c r="DB2541" t="str">
        <v/>
      </c>
    </row>
    <row r="2542" spans="83:106" x14ac:dyDescent="0.2">
      <c r="CE2542"/>
      <c r="CF2542"/>
      <c r="CG2542"/>
      <c r="CH2542"/>
      <c r="CI2542"/>
      <c r="CU2542" s="42">
        <v>2537</v>
      </c>
      <c r="CV2542" s="115">
        <v>4</v>
      </c>
      <c r="CW2542" s="115">
        <v>0.11332468572476186</v>
      </c>
      <c r="CX2542" s="115" t="e">
        <v>#N/A</v>
      </c>
      <c r="CY2542" s="115" t="e">
        <v>#N/A</v>
      </c>
      <c r="CZ2542" s="137" t="e">
        <v>#N/A</v>
      </c>
      <c r="DA2542">
        <v>0.11332468572476186</v>
      </c>
      <c r="DB2542" t="str">
        <v/>
      </c>
    </row>
    <row r="2543" spans="83:106" x14ac:dyDescent="0.2">
      <c r="CE2543"/>
      <c r="CF2543"/>
      <c r="CG2543"/>
      <c r="CH2543"/>
      <c r="CI2543"/>
      <c r="CU2543" s="42">
        <v>2538</v>
      </c>
      <c r="CV2543" s="115">
        <v>4</v>
      </c>
      <c r="CW2543" s="115">
        <v>0.11332468572476186</v>
      </c>
      <c r="CX2543" s="115" t="e">
        <v>#N/A</v>
      </c>
      <c r="CY2543" s="115" t="e">
        <v>#N/A</v>
      </c>
      <c r="CZ2543" s="137" t="e">
        <v>#N/A</v>
      </c>
      <c r="DA2543">
        <v>0.11332468572476186</v>
      </c>
      <c r="DB2543" t="str">
        <v/>
      </c>
    </row>
    <row r="2544" spans="83:106" x14ac:dyDescent="0.2">
      <c r="CE2544"/>
      <c r="CF2544"/>
      <c r="CG2544"/>
      <c r="CH2544"/>
      <c r="CI2544"/>
      <c r="CU2544" s="42">
        <v>2539</v>
      </c>
      <c r="CV2544" s="115">
        <v>4</v>
      </c>
      <c r="CW2544" s="115">
        <v>0.11332468572476186</v>
      </c>
      <c r="CX2544" s="115" t="e">
        <v>#N/A</v>
      </c>
      <c r="CY2544" s="115" t="e">
        <v>#N/A</v>
      </c>
      <c r="CZ2544" s="137" t="e">
        <v>#N/A</v>
      </c>
      <c r="DA2544">
        <v>0.11332468572476186</v>
      </c>
      <c r="DB2544" t="str">
        <v/>
      </c>
    </row>
    <row r="2545" spans="83:106" x14ac:dyDescent="0.2">
      <c r="CE2545"/>
      <c r="CF2545"/>
      <c r="CG2545"/>
      <c r="CH2545"/>
      <c r="CI2545"/>
      <c r="CU2545" s="42">
        <v>2540</v>
      </c>
      <c r="CV2545" s="115">
        <v>4</v>
      </c>
      <c r="CW2545" s="115">
        <v>0.11332468572476186</v>
      </c>
      <c r="CX2545" s="115" t="e">
        <v>#N/A</v>
      </c>
      <c r="CY2545" s="115" t="e">
        <v>#N/A</v>
      </c>
      <c r="CZ2545" s="137" t="e">
        <v>#N/A</v>
      </c>
      <c r="DA2545">
        <v>0.11332468572476186</v>
      </c>
      <c r="DB2545" t="str">
        <v/>
      </c>
    </row>
    <row r="2546" spans="83:106" x14ac:dyDescent="0.2">
      <c r="CE2546"/>
      <c r="CF2546"/>
      <c r="CG2546"/>
      <c r="CH2546"/>
      <c r="CI2546"/>
      <c r="CU2546" s="42">
        <v>2541</v>
      </c>
      <c r="CV2546" s="115">
        <v>4</v>
      </c>
      <c r="CW2546" s="115">
        <v>0.11332468572476186</v>
      </c>
      <c r="CX2546" s="115" t="e">
        <v>#N/A</v>
      </c>
      <c r="CY2546" s="115" t="e">
        <v>#N/A</v>
      </c>
      <c r="CZ2546" s="137" t="e">
        <v>#N/A</v>
      </c>
      <c r="DA2546">
        <v>0.11332468572476186</v>
      </c>
      <c r="DB2546" t="str">
        <v/>
      </c>
    </row>
    <row r="2547" spans="83:106" x14ac:dyDescent="0.2">
      <c r="CE2547"/>
      <c r="CF2547"/>
      <c r="CG2547"/>
      <c r="CH2547"/>
      <c r="CI2547"/>
      <c r="CU2547" s="42">
        <v>2542</v>
      </c>
      <c r="CV2547" s="115">
        <v>4</v>
      </c>
      <c r="CW2547" s="115">
        <v>0.11332468572476186</v>
      </c>
      <c r="CX2547" s="115" t="e">
        <v>#N/A</v>
      </c>
      <c r="CY2547" s="115" t="e">
        <v>#N/A</v>
      </c>
      <c r="CZ2547" s="137" t="e">
        <v>#N/A</v>
      </c>
      <c r="DA2547">
        <v>0.11332468572476186</v>
      </c>
      <c r="DB2547" t="str">
        <v/>
      </c>
    </row>
    <row r="2548" spans="83:106" x14ac:dyDescent="0.2">
      <c r="CE2548"/>
      <c r="CF2548"/>
      <c r="CG2548"/>
      <c r="CH2548"/>
      <c r="CI2548"/>
      <c r="CU2548" s="42">
        <v>2543</v>
      </c>
      <c r="CV2548" s="115">
        <v>4</v>
      </c>
      <c r="CW2548" s="115">
        <v>0.11332468572476186</v>
      </c>
      <c r="CX2548" s="115" t="e">
        <v>#N/A</v>
      </c>
      <c r="CY2548" s="115" t="e">
        <v>#N/A</v>
      </c>
      <c r="CZ2548" s="137" t="e">
        <v>#N/A</v>
      </c>
      <c r="DA2548">
        <v>0.11332468572476186</v>
      </c>
      <c r="DB2548" t="str">
        <v/>
      </c>
    </row>
    <row r="2549" spans="83:106" x14ac:dyDescent="0.2">
      <c r="CE2549"/>
      <c r="CF2549"/>
      <c r="CG2549"/>
      <c r="CH2549"/>
      <c r="CI2549"/>
      <c r="CU2549" s="42">
        <v>2544</v>
      </c>
      <c r="CV2549" s="115">
        <v>4</v>
      </c>
      <c r="CW2549" s="115">
        <v>0.11332468572476186</v>
      </c>
      <c r="CX2549" s="115" t="e">
        <v>#N/A</v>
      </c>
      <c r="CY2549" s="115" t="e">
        <v>#N/A</v>
      </c>
      <c r="CZ2549" s="137" t="e">
        <v>#N/A</v>
      </c>
      <c r="DA2549">
        <v>0.11332468572476186</v>
      </c>
      <c r="DB2549" t="str">
        <v/>
      </c>
    </row>
    <row r="2550" spans="83:106" x14ac:dyDescent="0.2">
      <c r="CE2550"/>
      <c r="CF2550"/>
      <c r="CG2550"/>
      <c r="CH2550"/>
      <c r="CI2550"/>
      <c r="CU2550" s="42">
        <v>2545</v>
      </c>
      <c r="CV2550" s="115">
        <v>4</v>
      </c>
      <c r="CW2550" s="115">
        <v>0.11332468572476186</v>
      </c>
      <c r="CX2550" s="115" t="e">
        <v>#N/A</v>
      </c>
      <c r="CY2550" s="115" t="e">
        <v>#N/A</v>
      </c>
      <c r="CZ2550" s="137" t="e">
        <v>#N/A</v>
      </c>
      <c r="DA2550">
        <v>0.11332468572476186</v>
      </c>
      <c r="DB2550" t="str">
        <v/>
      </c>
    </row>
    <row r="2551" spans="83:106" x14ac:dyDescent="0.2">
      <c r="CE2551"/>
      <c r="CF2551"/>
      <c r="CG2551"/>
      <c r="CH2551"/>
      <c r="CI2551"/>
      <c r="CU2551" s="42">
        <v>2546</v>
      </c>
      <c r="CV2551" s="115">
        <v>4</v>
      </c>
      <c r="CW2551" s="115">
        <v>0.11332468572476186</v>
      </c>
      <c r="CX2551" s="115" t="e">
        <v>#N/A</v>
      </c>
      <c r="CY2551" s="115" t="e">
        <v>#N/A</v>
      </c>
      <c r="CZ2551" s="137" t="e">
        <v>#N/A</v>
      </c>
      <c r="DA2551">
        <v>0.11332468572476186</v>
      </c>
      <c r="DB2551" t="str">
        <v/>
      </c>
    </row>
    <row r="2552" spans="83:106" x14ac:dyDescent="0.2">
      <c r="CE2552"/>
      <c r="CF2552"/>
      <c r="CG2552"/>
      <c r="CH2552"/>
      <c r="CI2552"/>
      <c r="CU2552" s="42">
        <v>2547</v>
      </c>
      <c r="CV2552" s="115">
        <v>4</v>
      </c>
      <c r="CW2552" s="115">
        <v>0.11332468572476186</v>
      </c>
      <c r="CX2552" s="115" t="e">
        <v>#N/A</v>
      </c>
      <c r="CY2552" s="115" t="e">
        <v>#N/A</v>
      </c>
      <c r="CZ2552" s="137" t="e">
        <v>#N/A</v>
      </c>
      <c r="DA2552">
        <v>0.11332468572476186</v>
      </c>
      <c r="DB2552" t="str">
        <v/>
      </c>
    </row>
    <row r="2553" spans="83:106" x14ac:dyDescent="0.2">
      <c r="CE2553"/>
      <c r="CF2553"/>
      <c r="CG2553"/>
      <c r="CH2553"/>
      <c r="CI2553"/>
      <c r="CU2553" s="42">
        <v>2548</v>
      </c>
      <c r="CV2553" s="115">
        <v>4</v>
      </c>
      <c r="CW2553" s="115">
        <v>0.11332468572476186</v>
      </c>
      <c r="CX2553" s="115" t="e">
        <v>#N/A</v>
      </c>
      <c r="CY2553" s="115" t="e">
        <v>#N/A</v>
      </c>
      <c r="CZ2553" s="137" t="e">
        <v>#N/A</v>
      </c>
      <c r="DA2553">
        <v>0.11332468572476186</v>
      </c>
      <c r="DB2553" t="str">
        <v/>
      </c>
    </row>
    <row r="2554" spans="83:106" x14ac:dyDescent="0.2">
      <c r="CE2554"/>
      <c r="CF2554"/>
      <c r="CG2554"/>
      <c r="CH2554"/>
      <c r="CI2554"/>
      <c r="CU2554" s="42">
        <v>2549</v>
      </c>
      <c r="CV2554" s="115">
        <v>4</v>
      </c>
      <c r="CW2554" s="115">
        <v>0.11332468572476186</v>
      </c>
      <c r="CX2554" s="115" t="e">
        <v>#N/A</v>
      </c>
      <c r="CY2554" s="115" t="e">
        <v>#N/A</v>
      </c>
      <c r="CZ2554" s="137" t="e">
        <v>#N/A</v>
      </c>
      <c r="DA2554">
        <v>0.11332468572476186</v>
      </c>
      <c r="DB2554" t="str">
        <v/>
      </c>
    </row>
    <row r="2555" spans="83:106" x14ac:dyDescent="0.2">
      <c r="CE2555"/>
      <c r="CF2555"/>
      <c r="CG2555"/>
      <c r="CH2555"/>
      <c r="CI2555"/>
      <c r="CU2555" s="42">
        <v>2550</v>
      </c>
      <c r="CV2555" s="115">
        <v>4</v>
      </c>
      <c r="CW2555" s="115">
        <v>0.11332468572476186</v>
      </c>
      <c r="CX2555" s="115" t="e">
        <v>#N/A</v>
      </c>
      <c r="CY2555" s="115" t="e">
        <v>#N/A</v>
      </c>
      <c r="CZ2555" s="137" t="e">
        <v>#N/A</v>
      </c>
      <c r="DA2555">
        <v>0.11332468572476186</v>
      </c>
      <c r="DB2555" t="str">
        <v/>
      </c>
    </row>
    <row r="2556" spans="83:106" x14ac:dyDescent="0.2">
      <c r="CE2556"/>
      <c r="CF2556"/>
      <c r="CG2556"/>
      <c r="CH2556"/>
      <c r="CI2556"/>
      <c r="CU2556" s="42">
        <v>2551</v>
      </c>
      <c r="CV2556" s="115">
        <v>4</v>
      </c>
      <c r="CW2556" s="115">
        <v>0.11332468572476186</v>
      </c>
      <c r="CX2556" s="115" t="e">
        <v>#N/A</v>
      </c>
      <c r="CY2556" s="115" t="e">
        <v>#N/A</v>
      </c>
      <c r="CZ2556" s="137" t="e">
        <v>#N/A</v>
      </c>
      <c r="DA2556">
        <v>0.11332468572476186</v>
      </c>
      <c r="DB2556" t="str">
        <v/>
      </c>
    </row>
    <row r="2557" spans="83:106" x14ac:dyDescent="0.2">
      <c r="CE2557"/>
      <c r="CF2557"/>
      <c r="CG2557"/>
      <c r="CH2557"/>
      <c r="CI2557"/>
      <c r="CU2557" s="42">
        <v>2552</v>
      </c>
      <c r="CV2557" s="115">
        <v>4</v>
      </c>
      <c r="CW2557" s="115">
        <v>0.11332468572476186</v>
      </c>
      <c r="CX2557" s="115" t="e">
        <v>#N/A</v>
      </c>
      <c r="CY2557" s="115" t="e">
        <v>#N/A</v>
      </c>
      <c r="CZ2557" s="137" t="e">
        <v>#N/A</v>
      </c>
      <c r="DA2557">
        <v>0.11332468572476186</v>
      </c>
      <c r="DB2557" t="str">
        <v/>
      </c>
    </row>
    <row r="2558" spans="83:106" x14ac:dyDescent="0.2">
      <c r="CE2558"/>
      <c r="CF2558"/>
      <c r="CG2558"/>
      <c r="CH2558"/>
      <c r="CI2558"/>
      <c r="CU2558" s="42">
        <v>2553</v>
      </c>
      <c r="CV2558" s="115">
        <v>4</v>
      </c>
      <c r="CW2558" s="115">
        <v>0.11332468572476186</v>
      </c>
      <c r="CX2558" s="115" t="e">
        <v>#N/A</v>
      </c>
      <c r="CY2558" s="115" t="e">
        <v>#N/A</v>
      </c>
      <c r="CZ2558" s="137" t="e">
        <v>#N/A</v>
      </c>
      <c r="DA2558">
        <v>0.11332468572476186</v>
      </c>
      <c r="DB2558" t="str">
        <v/>
      </c>
    </row>
    <row r="2559" spans="83:106" x14ac:dyDescent="0.2">
      <c r="CE2559"/>
      <c r="CF2559"/>
      <c r="CG2559"/>
      <c r="CH2559"/>
      <c r="CI2559"/>
      <c r="CU2559" s="42">
        <v>2554</v>
      </c>
      <c r="CV2559" s="115">
        <v>4</v>
      </c>
      <c r="CW2559" s="115">
        <v>0.11332468572476186</v>
      </c>
      <c r="CX2559" s="115" t="e">
        <v>#N/A</v>
      </c>
      <c r="CY2559" s="115" t="e">
        <v>#N/A</v>
      </c>
      <c r="CZ2559" s="137" t="e">
        <v>#N/A</v>
      </c>
      <c r="DA2559">
        <v>0.11332468572476186</v>
      </c>
      <c r="DB2559" t="str">
        <v/>
      </c>
    </row>
    <row r="2560" spans="83:106" x14ac:dyDescent="0.2">
      <c r="CE2560"/>
      <c r="CF2560"/>
      <c r="CG2560"/>
      <c r="CH2560"/>
      <c r="CI2560"/>
      <c r="CU2560" s="42">
        <v>2555</v>
      </c>
      <c r="CV2560" s="115">
        <v>4</v>
      </c>
      <c r="CW2560" s="115">
        <v>0.11332468572476186</v>
      </c>
      <c r="CX2560" s="115" t="e">
        <v>#N/A</v>
      </c>
      <c r="CY2560" s="115" t="e">
        <v>#N/A</v>
      </c>
      <c r="CZ2560" s="137" t="e">
        <v>#N/A</v>
      </c>
      <c r="DA2560">
        <v>0.11332468572476186</v>
      </c>
      <c r="DB2560" t="str">
        <v/>
      </c>
    </row>
    <row r="2561" spans="83:106" x14ac:dyDescent="0.2">
      <c r="CE2561"/>
      <c r="CF2561"/>
      <c r="CG2561"/>
      <c r="CH2561"/>
      <c r="CI2561"/>
      <c r="CU2561" s="42">
        <v>2556</v>
      </c>
      <c r="CV2561" s="115">
        <v>4</v>
      </c>
      <c r="CW2561" s="115">
        <v>0.11332468572476186</v>
      </c>
      <c r="CX2561" s="115" t="e">
        <v>#N/A</v>
      </c>
      <c r="CY2561" s="115" t="e">
        <v>#N/A</v>
      </c>
      <c r="CZ2561" s="137" t="e">
        <v>#N/A</v>
      </c>
      <c r="DA2561">
        <v>0.11332468572476186</v>
      </c>
      <c r="DB2561" t="str">
        <v/>
      </c>
    </row>
    <row r="2562" spans="83:106" x14ac:dyDescent="0.2">
      <c r="CE2562"/>
      <c r="CF2562"/>
      <c r="CG2562"/>
      <c r="CH2562"/>
      <c r="CI2562"/>
      <c r="CU2562" s="42">
        <v>2557</v>
      </c>
      <c r="CV2562" s="115">
        <v>4</v>
      </c>
      <c r="CW2562" s="115">
        <v>0.11332468572476186</v>
      </c>
      <c r="CX2562" s="115" t="e">
        <v>#N/A</v>
      </c>
      <c r="CY2562" s="115" t="e">
        <v>#N/A</v>
      </c>
      <c r="CZ2562" s="137" t="e">
        <v>#N/A</v>
      </c>
      <c r="DA2562">
        <v>0.11332468572476186</v>
      </c>
      <c r="DB2562" t="str">
        <v/>
      </c>
    </row>
    <row r="2563" spans="83:106" x14ac:dyDescent="0.2">
      <c r="CE2563"/>
      <c r="CF2563"/>
      <c r="CG2563"/>
      <c r="CH2563"/>
      <c r="CI2563"/>
      <c r="CU2563" s="42">
        <v>2558</v>
      </c>
      <c r="CV2563" s="115">
        <v>4</v>
      </c>
      <c r="CW2563" s="115">
        <v>0.11332468572476186</v>
      </c>
      <c r="CX2563" s="115" t="e">
        <v>#N/A</v>
      </c>
      <c r="CY2563" s="115" t="e">
        <v>#N/A</v>
      </c>
      <c r="CZ2563" s="137" t="e">
        <v>#N/A</v>
      </c>
      <c r="DA2563">
        <v>0.11332468572476186</v>
      </c>
      <c r="DB2563" t="str">
        <v/>
      </c>
    </row>
    <row r="2564" spans="83:106" x14ac:dyDescent="0.2">
      <c r="CE2564"/>
      <c r="CF2564"/>
      <c r="CG2564"/>
      <c r="CH2564"/>
      <c r="CI2564"/>
      <c r="CU2564" s="42">
        <v>2559</v>
      </c>
      <c r="CV2564" s="115">
        <v>4</v>
      </c>
      <c r="CW2564" s="115">
        <v>0.11332468572476186</v>
      </c>
      <c r="CX2564" s="115" t="e">
        <v>#N/A</v>
      </c>
      <c r="CY2564" s="115" t="e">
        <v>#N/A</v>
      </c>
      <c r="CZ2564" s="137" t="e">
        <v>#N/A</v>
      </c>
      <c r="DA2564">
        <v>0.11332468572476186</v>
      </c>
      <c r="DB2564" t="str">
        <v/>
      </c>
    </row>
    <row r="2565" spans="83:106" x14ac:dyDescent="0.2">
      <c r="CE2565"/>
      <c r="CF2565"/>
      <c r="CG2565"/>
      <c r="CH2565"/>
      <c r="CI2565"/>
      <c r="CU2565" s="42">
        <v>2560</v>
      </c>
      <c r="CV2565" s="115">
        <v>4</v>
      </c>
      <c r="CW2565" s="115">
        <v>0.11332468572476186</v>
      </c>
      <c r="CX2565" s="115" t="e">
        <v>#N/A</v>
      </c>
      <c r="CY2565" s="115" t="e">
        <v>#N/A</v>
      </c>
      <c r="CZ2565" s="137" t="e">
        <v>#N/A</v>
      </c>
      <c r="DA2565">
        <v>0.11332468572476186</v>
      </c>
      <c r="DB2565" t="str">
        <v/>
      </c>
    </row>
    <row r="2566" spans="83:106" x14ac:dyDescent="0.2">
      <c r="CE2566"/>
      <c r="CF2566"/>
      <c r="CG2566"/>
      <c r="CH2566"/>
      <c r="CI2566"/>
      <c r="CU2566" s="42">
        <v>2561</v>
      </c>
      <c r="CV2566" s="115">
        <v>4</v>
      </c>
      <c r="CW2566" s="115">
        <v>0.11332468572476186</v>
      </c>
      <c r="CX2566" s="115" t="e">
        <v>#N/A</v>
      </c>
      <c r="CY2566" s="115" t="e">
        <v>#N/A</v>
      </c>
      <c r="CZ2566" s="137" t="e">
        <v>#N/A</v>
      </c>
      <c r="DA2566">
        <v>0.11332468572476186</v>
      </c>
      <c r="DB2566" t="str">
        <v/>
      </c>
    </row>
    <row r="2567" spans="83:106" x14ac:dyDescent="0.2">
      <c r="CE2567"/>
      <c r="CF2567"/>
      <c r="CG2567"/>
      <c r="CH2567"/>
      <c r="CI2567"/>
      <c r="CU2567" s="42">
        <v>2562</v>
      </c>
      <c r="CV2567" s="115">
        <v>4</v>
      </c>
      <c r="CW2567" s="115">
        <v>0.11332468572476186</v>
      </c>
      <c r="CX2567" s="115" t="e">
        <v>#N/A</v>
      </c>
      <c r="CY2567" s="115" t="e">
        <v>#N/A</v>
      </c>
      <c r="CZ2567" s="137" t="e">
        <v>#N/A</v>
      </c>
      <c r="DA2567">
        <v>0.11332468572476186</v>
      </c>
      <c r="DB2567" t="str">
        <v/>
      </c>
    </row>
    <row r="2568" spans="83:106" x14ac:dyDescent="0.2">
      <c r="CE2568"/>
      <c r="CF2568"/>
      <c r="CG2568"/>
      <c r="CH2568"/>
      <c r="CI2568"/>
      <c r="CU2568" s="42">
        <v>2563</v>
      </c>
      <c r="CV2568" s="115">
        <v>4</v>
      </c>
      <c r="CW2568" s="115">
        <v>0.11332468572476186</v>
      </c>
      <c r="CX2568" s="115" t="e">
        <v>#N/A</v>
      </c>
      <c r="CY2568" s="115" t="e">
        <v>#N/A</v>
      </c>
      <c r="CZ2568" s="137" t="e">
        <v>#N/A</v>
      </c>
      <c r="DA2568">
        <v>0.11332468572476186</v>
      </c>
      <c r="DB2568" t="str">
        <v/>
      </c>
    </row>
    <row r="2569" spans="83:106" x14ac:dyDescent="0.2">
      <c r="CE2569"/>
      <c r="CF2569"/>
      <c r="CG2569"/>
      <c r="CH2569"/>
      <c r="CI2569"/>
      <c r="CU2569" s="42">
        <v>2564</v>
      </c>
      <c r="CV2569" s="115">
        <v>4</v>
      </c>
      <c r="CW2569" s="115">
        <v>0.11332468572476186</v>
      </c>
      <c r="CX2569" s="115" t="e">
        <v>#N/A</v>
      </c>
      <c r="CY2569" s="115" t="e">
        <v>#N/A</v>
      </c>
      <c r="CZ2569" s="137" t="e">
        <v>#N/A</v>
      </c>
      <c r="DA2569">
        <v>0.11332468572476186</v>
      </c>
      <c r="DB2569" t="str">
        <v/>
      </c>
    </row>
    <row r="2570" spans="83:106" x14ac:dyDescent="0.2">
      <c r="CE2570"/>
      <c r="CF2570"/>
      <c r="CG2570"/>
      <c r="CH2570"/>
      <c r="CI2570"/>
      <c r="CU2570" s="42">
        <v>2565</v>
      </c>
      <c r="CV2570" s="115">
        <v>4</v>
      </c>
      <c r="CW2570" s="115">
        <v>0.11332468572476186</v>
      </c>
      <c r="CX2570" s="115" t="e">
        <v>#N/A</v>
      </c>
      <c r="CY2570" s="115" t="e">
        <v>#N/A</v>
      </c>
      <c r="CZ2570" s="137" t="e">
        <v>#N/A</v>
      </c>
      <c r="DA2570">
        <v>0.11332468572476186</v>
      </c>
      <c r="DB2570" t="str">
        <v/>
      </c>
    </row>
    <row r="2571" spans="83:106" x14ac:dyDescent="0.2">
      <c r="CE2571"/>
      <c r="CF2571"/>
      <c r="CG2571"/>
      <c r="CH2571"/>
      <c r="CI2571"/>
      <c r="CU2571" s="42">
        <v>2566</v>
      </c>
      <c r="CV2571" s="115">
        <v>4</v>
      </c>
      <c r="CW2571" s="115">
        <v>0.11332468572476186</v>
      </c>
      <c r="CX2571" s="115" t="e">
        <v>#N/A</v>
      </c>
      <c r="CY2571" s="115" t="e">
        <v>#N/A</v>
      </c>
      <c r="CZ2571" s="137" t="e">
        <v>#N/A</v>
      </c>
      <c r="DA2571">
        <v>0.11332468572476186</v>
      </c>
      <c r="DB2571" t="str">
        <v/>
      </c>
    </row>
    <row r="2572" spans="83:106" x14ac:dyDescent="0.2">
      <c r="CE2572"/>
      <c r="CF2572"/>
      <c r="CG2572"/>
      <c r="CH2572"/>
      <c r="CI2572"/>
      <c r="CU2572" s="42">
        <v>2567</v>
      </c>
      <c r="CV2572" s="115">
        <v>4</v>
      </c>
      <c r="CW2572" s="115">
        <v>0.11332468572476186</v>
      </c>
      <c r="CX2572" s="115" t="e">
        <v>#N/A</v>
      </c>
      <c r="CY2572" s="115" t="e">
        <v>#N/A</v>
      </c>
      <c r="CZ2572" s="137" t="e">
        <v>#N/A</v>
      </c>
      <c r="DA2572">
        <v>0.11332468572476186</v>
      </c>
      <c r="DB2572" t="str">
        <v/>
      </c>
    </row>
    <row r="2573" spans="83:106" x14ac:dyDescent="0.2">
      <c r="CE2573"/>
      <c r="CF2573"/>
      <c r="CG2573"/>
      <c r="CH2573"/>
      <c r="CI2573"/>
      <c r="CU2573" s="42">
        <v>2568</v>
      </c>
      <c r="CV2573" s="115">
        <v>4</v>
      </c>
      <c r="CW2573" s="115">
        <v>0.11332468572476186</v>
      </c>
      <c r="CX2573" s="115" t="e">
        <v>#N/A</v>
      </c>
      <c r="CY2573" s="115" t="e">
        <v>#N/A</v>
      </c>
      <c r="CZ2573" s="137" t="e">
        <v>#N/A</v>
      </c>
      <c r="DA2573">
        <v>0.11332468572476186</v>
      </c>
      <c r="DB2573" t="str">
        <v/>
      </c>
    </row>
    <row r="2574" spans="83:106" x14ac:dyDescent="0.2">
      <c r="CE2574"/>
      <c r="CF2574"/>
      <c r="CG2574"/>
      <c r="CH2574"/>
      <c r="CI2574"/>
      <c r="CU2574" s="42">
        <v>2569</v>
      </c>
      <c r="CV2574" s="115">
        <v>4</v>
      </c>
      <c r="CW2574" s="115">
        <v>0.11332468572476186</v>
      </c>
      <c r="CX2574" s="115" t="e">
        <v>#N/A</v>
      </c>
      <c r="CY2574" s="115" t="e">
        <v>#N/A</v>
      </c>
      <c r="CZ2574" s="137" t="e">
        <v>#N/A</v>
      </c>
      <c r="DA2574">
        <v>0.11332468572476186</v>
      </c>
      <c r="DB2574" t="str">
        <v/>
      </c>
    </row>
    <row r="2575" spans="83:106" x14ac:dyDescent="0.2">
      <c r="CE2575"/>
      <c r="CF2575"/>
      <c r="CG2575"/>
      <c r="CH2575"/>
      <c r="CI2575"/>
      <c r="CU2575" s="42">
        <v>2570</v>
      </c>
      <c r="CV2575" s="115">
        <v>4</v>
      </c>
      <c r="CW2575" s="115">
        <v>0.11332468572476186</v>
      </c>
      <c r="CX2575" s="115" t="e">
        <v>#N/A</v>
      </c>
      <c r="CY2575" s="115" t="e">
        <v>#N/A</v>
      </c>
      <c r="CZ2575" s="137" t="e">
        <v>#N/A</v>
      </c>
      <c r="DA2575">
        <v>0.11332468572476186</v>
      </c>
      <c r="DB2575" t="str">
        <v/>
      </c>
    </row>
    <row r="2576" spans="83:106" x14ac:dyDescent="0.2">
      <c r="CE2576"/>
      <c r="CF2576"/>
      <c r="CG2576"/>
      <c r="CH2576"/>
      <c r="CI2576"/>
      <c r="CU2576" s="42">
        <v>2571</v>
      </c>
      <c r="CV2576" s="115">
        <v>4</v>
      </c>
      <c r="CW2576" s="115">
        <v>0.11332468572476186</v>
      </c>
      <c r="CX2576" s="115" t="e">
        <v>#N/A</v>
      </c>
      <c r="CY2576" s="115" t="e">
        <v>#N/A</v>
      </c>
      <c r="CZ2576" s="137" t="e">
        <v>#N/A</v>
      </c>
      <c r="DA2576">
        <v>0.11332468572476186</v>
      </c>
      <c r="DB2576" t="str">
        <v/>
      </c>
    </row>
    <row r="2577" spans="83:106" x14ac:dyDescent="0.2">
      <c r="CE2577"/>
      <c r="CF2577"/>
      <c r="CG2577"/>
      <c r="CH2577"/>
      <c r="CI2577"/>
      <c r="CU2577" s="42">
        <v>2572</v>
      </c>
      <c r="CV2577" s="115">
        <v>4</v>
      </c>
      <c r="CW2577" s="115">
        <v>0.11332468572476186</v>
      </c>
      <c r="CX2577" s="115" t="e">
        <v>#N/A</v>
      </c>
      <c r="CY2577" s="115" t="e">
        <v>#N/A</v>
      </c>
      <c r="CZ2577" s="137" t="e">
        <v>#N/A</v>
      </c>
      <c r="DA2577">
        <v>0.11332468572476186</v>
      </c>
      <c r="DB2577" t="str">
        <v/>
      </c>
    </row>
    <row r="2578" spans="83:106" x14ac:dyDescent="0.2">
      <c r="CE2578"/>
      <c r="CF2578"/>
      <c r="CG2578"/>
      <c r="CH2578"/>
      <c r="CI2578"/>
      <c r="CU2578" s="42">
        <v>2573</v>
      </c>
      <c r="CV2578" s="115">
        <v>4</v>
      </c>
      <c r="CW2578" s="115">
        <v>0.11332468572476186</v>
      </c>
      <c r="CX2578" s="115" t="e">
        <v>#N/A</v>
      </c>
      <c r="CY2578" s="115" t="e">
        <v>#N/A</v>
      </c>
      <c r="CZ2578" s="137" t="e">
        <v>#N/A</v>
      </c>
      <c r="DA2578">
        <v>0.11332468572476186</v>
      </c>
      <c r="DB2578" t="str">
        <v/>
      </c>
    </row>
    <row r="2579" spans="83:106" x14ac:dyDescent="0.2">
      <c r="CE2579"/>
      <c r="CF2579"/>
      <c r="CG2579"/>
      <c r="CH2579"/>
      <c r="CI2579"/>
      <c r="CU2579" s="42">
        <v>2574</v>
      </c>
      <c r="CV2579" s="115">
        <v>4</v>
      </c>
      <c r="CW2579" s="115">
        <v>0.11332468572476186</v>
      </c>
      <c r="CX2579" s="115" t="e">
        <v>#N/A</v>
      </c>
      <c r="CY2579" s="115" t="e">
        <v>#N/A</v>
      </c>
      <c r="CZ2579" s="137" t="e">
        <v>#N/A</v>
      </c>
      <c r="DA2579">
        <v>0.11332468572476186</v>
      </c>
      <c r="DB2579" t="str">
        <v/>
      </c>
    </row>
    <row r="2580" spans="83:106" x14ac:dyDescent="0.2">
      <c r="CE2580"/>
      <c r="CF2580"/>
      <c r="CG2580"/>
      <c r="CH2580"/>
      <c r="CI2580"/>
      <c r="CU2580" s="42">
        <v>2575</v>
      </c>
      <c r="CV2580" s="115">
        <v>4</v>
      </c>
      <c r="CW2580" s="115">
        <v>0.11332468572476186</v>
      </c>
      <c r="CX2580" s="115" t="e">
        <v>#N/A</v>
      </c>
      <c r="CY2580" s="115" t="e">
        <v>#N/A</v>
      </c>
      <c r="CZ2580" s="137" t="e">
        <v>#N/A</v>
      </c>
      <c r="DA2580">
        <v>0.11332468572476186</v>
      </c>
      <c r="DB2580" t="str">
        <v/>
      </c>
    </row>
    <row r="2581" spans="83:106" x14ac:dyDescent="0.2">
      <c r="CE2581"/>
      <c r="CF2581"/>
      <c r="CG2581"/>
      <c r="CH2581"/>
      <c r="CI2581"/>
      <c r="CU2581" s="42">
        <v>2576</v>
      </c>
      <c r="CV2581" s="115">
        <v>4</v>
      </c>
      <c r="CW2581" s="115">
        <v>0.11332468572476186</v>
      </c>
      <c r="CX2581" s="115" t="e">
        <v>#N/A</v>
      </c>
      <c r="CY2581" s="115" t="e">
        <v>#N/A</v>
      </c>
      <c r="CZ2581" s="137" t="e">
        <v>#N/A</v>
      </c>
      <c r="DA2581">
        <v>0.11332468572476186</v>
      </c>
      <c r="DB2581" t="str">
        <v/>
      </c>
    </row>
    <row r="2582" spans="83:106" x14ac:dyDescent="0.2">
      <c r="CE2582"/>
      <c r="CF2582"/>
      <c r="CG2582"/>
      <c r="CH2582"/>
      <c r="CI2582"/>
      <c r="CU2582" s="42">
        <v>2577</v>
      </c>
      <c r="CV2582" s="115">
        <v>4</v>
      </c>
      <c r="CW2582" s="115">
        <v>0.11332468572476186</v>
      </c>
      <c r="CX2582" s="115" t="e">
        <v>#N/A</v>
      </c>
      <c r="CY2582" s="115" t="e">
        <v>#N/A</v>
      </c>
      <c r="CZ2582" s="137" t="e">
        <v>#N/A</v>
      </c>
      <c r="DA2582">
        <v>0.11332468572476186</v>
      </c>
      <c r="DB2582" t="str">
        <v/>
      </c>
    </row>
    <row r="2583" spans="83:106" x14ac:dyDescent="0.2">
      <c r="CE2583"/>
      <c r="CF2583"/>
      <c r="CG2583"/>
      <c r="CH2583"/>
      <c r="CI2583"/>
      <c r="CU2583" s="42">
        <v>2578</v>
      </c>
      <c r="CV2583" s="115">
        <v>4</v>
      </c>
      <c r="CW2583" s="115">
        <v>0.11332468572476186</v>
      </c>
      <c r="CX2583" s="115" t="e">
        <v>#N/A</v>
      </c>
      <c r="CY2583" s="115" t="e">
        <v>#N/A</v>
      </c>
      <c r="CZ2583" s="137" t="e">
        <v>#N/A</v>
      </c>
      <c r="DA2583">
        <v>0.11332468572476186</v>
      </c>
      <c r="DB2583" t="str">
        <v/>
      </c>
    </row>
    <row r="2584" spans="83:106" x14ac:dyDescent="0.2">
      <c r="CE2584"/>
      <c r="CF2584"/>
      <c r="CG2584"/>
      <c r="CH2584"/>
      <c r="CI2584"/>
      <c r="CU2584" s="42">
        <v>2579</v>
      </c>
      <c r="CV2584" s="115">
        <v>4</v>
      </c>
      <c r="CW2584" s="115">
        <v>0.11332468572476186</v>
      </c>
      <c r="CX2584" s="115" t="e">
        <v>#N/A</v>
      </c>
      <c r="CY2584" s="115" t="e">
        <v>#N/A</v>
      </c>
      <c r="CZ2584" s="137" t="e">
        <v>#N/A</v>
      </c>
      <c r="DA2584">
        <v>0.11332468572476186</v>
      </c>
      <c r="DB2584" t="str">
        <v/>
      </c>
    </row>
    <row r="2585" spans="83:106" x14ac:dyDescent="0.2">
      <c r="CE2585"/>
      <c r="CF2585"/>
      <c r="CG2585"/>
      <c r="CH2585"/>
      <c r="CI2585"/>
      <c r="CU2585" s="42">
        <v>2580</v>
      </c>
      <c r="CV2585" s="115">
        <v>4</v>
      </c>
      <c r="CW2585" s="115">
        <v>0.11332468572476186</v>
      </c>
      <c r="CX2585" s="115" t="e">
        <v>#N/A</v>
      </c>
      <c r="CY2585" s="115" t="e">
        <v>#N/A</v>
      </c>
      <c r="CZ2585" s="137" t="e">
        <v>#N/A</v>
      </c>
      <c r="DA2585">
        <v>0.11332468572476186</v>
      </c>
      <c r="DB2585" t="str">
        <v/>
      </c>
    </row>
    <row r="2586" spans="83:106" x14ac:dyDescent="0.2">
      <c r="CE2586"/>
      <c r="CF2586"/>
      <c r="CG2586"/>
      <c r="CH2586"/>
      <c r="CI2586"/>
      <c r="CU2586" s="42">
        <v>2581</v>
      </c>
      <c r="CV2586" s="115">
        <v>4</v>
      </c>
      <c r="CW2586" s="115">
        <v>0.11332468572476186</v>
      </c>
      <c r="CX2586" s="115" t="e">
        <v>#N/A</v>
      </c>
      <c r="CY2586" s="115" t="e">
        <v>#N/A</v>
      </c>
      <c r="CZ2586" s="137" t="e">
        <v>#N/A</v>
      </c>
      <c r="DA2586">
        <v>0.11332468572476186</v>
      </c>
      <c r="DB2586" t="str">
        <v/>
      </c>
    </row>
    <row r="2587" spans="83:106" x14ac:dyDescent="0.2">
      <c r="CE2587"/>
      <c r="CF2587"/>
      <c r="CG2587"/>
      <c r="CH2587"/>
      <c r="CI2587"/>
      <c r="CU2587" s="42">
        <v>2582</v>
      </c>
      <c r="CV2587" s="115">
        <v>4</v>
      </c>
      <c r="CW2587" s="115">
        <v>0.11332468572476186</v>
      </c>
      <c r="CX2587" s="115" t="e">
        <v>#N/A</v>
      </c>
      <c r="CY2587" s="115" t="e">
        <v>#N/A</v>
      </c>
      <c r="CZ2587" s="137" t="e">
        <v>#N/A</v>
      </c>
      <c r="DA2587">
        <v>0.11332468572476186</v>
      </c>
      <c r="DB2587" t="str">
        <v/>
      </c>
    </row>
    <row r="2588" spans="83:106" x14ac:dyDescent="0.2">
      <c r="CE2588"/>
      <c r="CF2588"/>
      <c r="CG2588"/>
      <c r="CH2588"/>
      <c r="CI2588"/>
      <c r="CU2588" s="42">
        <v>2583</v>
      </c>
      <c r="CV2588" s="115">
        <v>4</v>
      </c>
      <c r="CW2588" s="115">
        <v>0.11332468572476186</v>
      </c>
      <c r="CX2588" s="115" t="e">
        <v>#N/A</v>
      </c>
      <c r="CY2588" s="115" t="e">
        <v>#N/A</v>
      </c>
      <c r="CZ2588" s="137" t="e">
        <v>#N/A</v>
      </c>
      <c r="DA2588">
        <v>0.11332468572476186</v>
      </c>
      <c r="DB2588" t="str">
        <v/>
      </c>
    </row>
    <row r="2589" spans="83:106" x14ac:dyDescent="0.2">
      <c r="CE2589"/>
      <c r="CF2589"/>
      <c r="CG2589"/>
      <c r="CH2589"/>
      <c r="CI2589"/>
      <c r="CU2589" s="42">
        <v>2584</v>
      </c>
      <c r="CV2589" s="115">
        <v>4</v>
      </c>
      <c r="CW2589" s="115">
        <v>0.11332468572476186</v>
      </c>
      <c r="CX2589" s="115" t="e">
        <v>#N/A</v>
      </c>
      <c r="CY2589" s="115" t="e">
        <v>#N/A</v>
      </c>
      <c r="CZ2589" s="137" t="e">
        <v>#N/A</v>
      </c>
      <c r="DA2589">
        <v>0.11332468572476186</v>
      </c>
      <c r="DB2589" t="str">
        <v/>
      </c>
    </row>
    <row r="2590" spans="83:106" x14ac:dyDescent="0.2">
      <c r="CE2590"/>
      <c r="CF2590"/>
      <c r="CG2590"/>
      <c r="CH2590"/>
      <c r="CI2590"/>
      <c r="CU2590" s="42">
        <v>2585</v>
      </c>
      <c r="CV2590" s="115">
        <v>4</v>
      </c>
      <c r="CW2590" s="115">
        <v>0.11332468572476186</v>
      </c>
      <c r="CX2590" s="115" t="e">
        <v>#N/A</v>
      </c>
      <c r="CY2590" s="115" t="e">
        <v>#N/A</v>
      </c>
      <c r="CZ2590" s="137" t="e">
        <v>#N/A</v>
      </c>
      <c r="DA2590">
        <v>0.11332468572476186</v>
      </c>
      <c r="DB2590" t="str">
        <v/>
      </c>
    </row>
    <row r="2591" spans="83:106" x14ac:dyDescent="0.2">
      <c r="CE2591"/>
      <c r="CF2591"/>
      <c r="CG2591"/>
      <c r="CH2591"/>
      <c r="CI2591"/>
      <c r="CU2591" s="42">
        <v>2586</v>
      </c>
      <c r="CV2591" s="115">
        <v>4</v>
      </c>
      <c r="CW2591" s="115">
        <v>0.11332468572476186</v>
      </c>
      <c r="CX2591" s="115" t="e">
        <v>#N/A</v>
      </c>
      <c r="CY2591" s="115" t="e">
        <v>#N/A</v>
      </c>
      <c r="CZ2591" s="137" t="e">
        <v>#N/A</v>
      </c>
      <c r="DA2591">
        <v>0.11332468572476186</v>
      </c>
      <c r="DB2591" t="str">
        <v/>
      </c>
    </row>
    <row r="2592" spans="83:106" x14ac:dyDescent="0.2">
      <c r="CE2592"/>
      <c r="CF2592"/>
      <c r="CG2592"/>
      <c r="CH2592"/>
      <c r="CI2592"/>
      <c r="CU2592" s="42">
        <v>2587</v>
      </c>
      <c r="CV2592" s="115">
        <v>4</v>
      </c>
      <c r="CW2592" s="115">
        <v>0.11332468572476186</v>
      </c>
      <c r="CX2592" s="115" t="e">
        <v>#N/A</v>
      </c>
      <c r="CY2592" s="115" t="e">
        <v>#N/A</v>
      </c>
      <c r="CZ2592" s="137" t="e">
        <v>#N/A</v>
      </c>
      <c r="DA2592">
        <v>0.11332468572476186</v>
      </c>
      <c r="DB2592" t="str">
        <v/>
      </c>
    </row>
    <row r="2593" spans="83:106" x14ac:dyDescent="0.2">
      <c r="CE2593"/>
      <c r="CF2593"/>
      <c r="CG2593"/>
      <c r="CH2593"/>
      <c r="CI2593"/>
      <c r="CU2593" s="42">
        <v>2588</v>
      </c>
      <c r="CV2593" s="115">
        <v>4</v>
      </c>
      <c r="CW2593" s="115">
        <v>0.11332468572476186</v>
      </c>
      <c r="CX2593" s="115" t="e">
        <v>#N/A</v>
      </c>
      <c r="CY2593" s="115" t="e">
        <v>#N/A</v>
      </c>
      <c r="CZ2593" s="137" t="e">
        <v>#N/A</v>
      </c>
      <c r="DA2593">
        <v>0.11332468572476186</v>
      </c>
      <c r="DB2593" t="str">
        <v/>
      </c>
    </row>
    <row r="2594" spans="83:106" x14ac:dyDescent="0.2">
      <c r="CE2594"/>
      <c r="CF2594"/>
      <c r="CG2594"/>
      <c r="CH2594"/>
      <c r="CI2594"/>
      <c r="CU2594" s="42">
        <v>2589</v>
      </c>
      <c r="CV2594" s="115">
        <v>4</v>
      </c>
      <c r="CW2594" s="115">
        <v>0.11332468572476186</v>
      </c>
      <c r="CX2594" s="115" t="e">
        <v>#N/A</v>
      </c>
      <c r="CY2594" s="115" t="e">
        <v>#N/A</v>
      </c>
      <c r="CZ2594" s="137" t="e">
        <v>#N/A</v>
      </c>
      <c r="DA2594">
        <v>0.11332468572476186</v>
      </c>
      <c r="DB2594" t="str">
        <v/>
      </c>
    </row>
    <row r="2595" spans="83:106" x14ac:dyDescent="0.2">
      <c r="CE2595"/>
      <c r="CF2595"/>
      <c r="CG2595"/>
      <c r="CH2595"/>
      <c r="CI2595"/>
      <c r="CU2595" s="42">
        <v>2590</v>
      </c>
      <c r="CV2595" s="115">
        <v>4</v>
      </c>
      <c r="CW2595" s="115">
        <v>0.11332468572476186</v>
      </c>
      <c r="CX2595" s="115" t="e">
        <v>#N/A</v>
      </c>
      <c r="CY2595" s="115" t="e">
        <v>#N/A</v>
      </c>
      <c r="CZ2595" s="137" t="e">
        <v>#N/A</v>
      </c>
      <c r="DA2595">
        <v>0.11332468572476186</v>
      </c>
      <c r="DB2595" t="str">
        <v/>
      </c>
    </row>
    <row r="2596" spans="83:106" x14ac:dyDescent="0.2">
      <c r="CE2596"/>
      <c r="CF2596"/>
      <c r="CG2596"/>
      <c r="CH2596"/>
      <c r="CI2596"/>
      <c r="CU2596" s="42">
        <v>2591</v>
      </c>
      <c r="CV2596" s="115">
        <v>4</v>
      </c>
      <c r="CW2596" s="115">
        <v>0.11332468572476186</v>
      </c>
      <c r="CX2596" s="115" t="e">
        <v>#N/A</v>
      </c>
      <c r="CY2596" s="115" t="e">
        <v>#N/A</v>
      </c>
      <c r="CZ2596" s="137" t="e">
        <v>#N/A</v>
      </c>
      <c r="DA2596">
        <v>0.11332468572476186</v>
      </c>
      <c r="DB2596" t="str">
        <v/>
      </c>
    </row>
    <row r="2597" spans="83:106" x14ac:dyDescent="0.2">
      <c r="CE2597"/>
      <c r="CF2597"/>
      <c r="CG2597"/>
      <c r="CH2597"/>
      <c r="CI2597"/>
      <c r="CU2597" s="42">
        <v>2592</v>
      </c>
      <c r="CV2597" s="115">
        <v>4</v>
      </c>
      <c r="CW2597" s="115">
        <v>0.11332468572476186</v>
      </c>
      <c r="CX2597" s="115" t="e">
        <v>#N/A</v>
      </c>
      <c r="CY2597" s="115" t="e">
        <v>#N/A</v>
      </c>
      <c r="CZ2597" s="137" t="e">
        <v>#N/A</v>
      </c>
      <c r="DA2597">
        <v>0.11332468572476186</v>
      </c>
      <c r="DB2597" t="str">
        <v/>
      </c>
    </row>
    <row r="2598" spans="83:106" x14ac:dyDescent="0.2">
      <c r="CE2598"/>
      <c r="CF2598"/>
      <c r="CG2598"/>
      <c r="CH2598"/>
      <c r="CI2598"/>
      <c r="CU2598" s="42">
        <v>2593</v>
      </c>
      <c r="CV2598" s="115">
        <v>4</v>
      </c>
      <c r="CW2598" s="115">
        <v>0.11332468572476186</v>
      </c>
      <c r="CX2598" s="115" t="e">
        <v>#N/A</v>
      </c>
      <c r="CY2598" s="115" t="e">
        <v>#N/A</v>
      </c>
      <c r="CZ2598" s="137" t="e">
        <v>#N/A</v>
      </c>
      <c r="DA2598">
        <v>0.11332468572476186</v>
      </c>
      <c r="DB2598" t="str">
        <v/>
      </c>
    </row>
    <row r="2599" spans="83:106" x14ac:dyDescent="0.2">
      <c r="CE2599"/>
      <c r="CF2599"/>
      <c r="CG2599"/>
      <c r="CH2599"/>
      <c r="CI2599"/>
      <c r="CU2599" s="42">
        <v>2594</v>
      </c>
      <c r="CV2599" s="115">
        <v>4</v>
      </c>
      <c r="CW2599" s="115">
        <v>0.11332468572476186</v>
      </c>
      <c r="CX2599" s="115" t="e">
        <v>#N/A</v>
      </c>
      <c r="CY2599" s="115" t="e">
        <v>#N/A</v>
      </c>
      <c r="CZ2599" s="137" t="e">
        <v>#N/A</v>
      </c>
      <c r="DA2599">
        <v>0.11332468572476186</v>
      </c>
      <c r="DB2599" t="str">
        <v/>
      </c>
    </row>
    <row r="2600" spans="83:106" x14ac:dyDescent="0.2">
      <c r="CE2600"/>
      <c r="CF2600"/>
      <c r="CG2600"/>
      <c r="CH2600"/>
      <c r="CI2600"/>
      <c r="CU2600" s="42">
        <v>2595</v>
      </c>
      <c r="CV2600" s="115">
        <v>4</v>
      </c>
      <c r="CW2600" s="115">
        <v>0.11332468572476186</v>
      </c>
      <c r="CX2600" s="115" t="e">
        <v>#N/A</v>
      </c>
      <c r="CY2600" s="115" t="e">
        <v>#N/A</v>
      </c>
      <c r="CZ2600" s="137" t="e">
        <v>#N/A</v>
      </c>
      <c r="DA2600">
        <v>0.11332468572476186</v>
      </c>
      <c r="DB2600" t="str">
        <v/>
      </c>
    </row>
    <row r="2601" spans="83:106" x14ac:dyDescent="0.2">
      <c r="CE2601"/>
      <c r="CF2601"/>
      <c r="CG2601"/>
      <c r="CH2601"/>
      <c r="CI2601"/>
      <c r="CU2601" s="42">
        <v>2596</v>
      </c>
      <c r="CV2601" s="115">
        <v>4</v>
      </c>
      <c r="CW2601" s="115">
        <v>0.11332468572476186</v>
      </c>
      <c r="CX2601" s="115" t="e">
        <v>#N/A</v>
      </c>
      <c r="CY2601" s="115" t="e">
        <v>#N/A</v>
      </c>
      <c r="CZ2601" s="137" t="e">
        <v>#N/A</v>
      </c>
      <c r="DA2601">
        <v>0.11332468572476186</v>
      </c>
      <c r="DB2601" t="str">
        <v/>
      </c>
    </row>
    <row r="2602" spans="83:106" x14ac:dyDescent="0.2">
      <c r="CE2602"/>
      <c r="CF2602"/>
      <c r="CG2602"/>
      <c r="CH2602"/>
      <c r="CI2602"/>
      <c r="CU2602" s="42">
        <v>2597</v>
      </c>
      <c r="CV2602" s="115">
        <v>4</v>
      </c>
      <c r="CW2602" s="115">
        <v>0.11332468572476186</v>
      </c>
      <c r="CX2602" s="115" t="e">
        <v>#N/A</v>
      </c>
      <c r="CY2602" s="115" t="e">
        <v>#N/A</v>
      </c>
      <c r="CZ2602" s="137" t="e">
        <v>#N/A</v>
      </c>
      <c r="DA2602">
        <v>0.11332468572476186</v>
      </c>
      <c r="DB2602" t="str">
        <v/>
      </c>
    </row>
    <row r="2603" spans="83:106" x14ac:dyDescent="0.2">
      <c r="CE2603"/>
      <c r="CF2603"/>
      <c r="CG2603"/>
      <c r="CH2603"/>
      <c r="CI2603"/>
      <c r="CU2603" s="42">
        <v>2598</v>
      </c>
      <c r="CV2603" s="115">
        <v>4</v>
      </c>
      <c r="CW2603" s="115">
        <v>0.11332468572476186</v>
      </c>
      <c r="CX2603" s="115" t="e">
        <v>#N/A</v>
      </c>
      <c r="CY2603" s="115" t="e">
        <v>#N/A</v>
      </c>
      <c r="CZ2603" s="137" t="e">
        <v>#N/A</v>
      </c>
      <c r="DA2603">
        <v>0.11332468572476186</v>
      </c>
      <c r="DB2603" t="str">
        <v/>
      </c>
    </row>
    <row r="2604" spans="83:106" x14ac:dyDescent="0.2">
      <c r="CE2604"/>
      <c r="CF2604"/>
      <c r="CG2604"/>
      <c r="CH2604"/>
      <c r="CI2604"/>
      <c r="CU2604" s="42">
        <v>2599</v>
      </c>
      <c r="CV2604" s="115">
        <v>4</v>
      </c>
      <c r="CW2604" s="115">
        <v>0.11332468572476186</v>
      </c>
      <c r="CX2604" s="115" t="e">
        <v>#N/A</v>
      </c>
      <c r="CY2604" s="115" t="e">
        <v>#N/A</v>
      </c>
      <c r="CZ2604" s="137" t="e">
        <v>#N/A</v>
      </c>
      <c r="DA2604">
        <v>0.11332468572476186</v>
      </c>
      <c r="DB2604" t="str">
        <v/>
      </c>
    </row>
    <row r="2605" spans="83:106" x14ac:dyDescent="0.2">
      <c r="CE2605"/>
      <c r="CF2605"/>
      <c r="CG2605"/>
      <c r="CH2605"/>
      <c r="CI2605"/>
      <c r="CU2605" s="42">
        <v>2600</v>
      </c>
      <c r="CV2605" s="115">
        <v>4</v>
      </c>
      <c r="CW2605" s="115">
        <v>0.11332468572476186</v>
      </c>
      <c r="CX2605" s="115" t="e">
        <v>#N/A</v>
      </c>
      <c r="CY2605" s="115" t="e">
        <v>#N/A</v>
      </c>
      <c r="CZ2605" s="137" t="e">
        <v>#N/A</v>
      </c>
      <c r="DA2605">
        <v>0.11332468572476186</v>
      </c>
      <c r="DB2605" t="str">
        <v/>
      </c>
    </row>
    <row r="2606" spans="83:106" x14ac:dyDescent="0.2">
      <c r="CE2606"/>
      <c r="CF2606"/>
      <c r="CG2606"/>
      <c r="CH2606"/>
      <c r="CI2606"/>
      <c r="CU2606" s="42">
        <v>2601</v>
      </c>
      <c r="CV2606" s="115">
        <v>4</v>
      </c>
      <c r="CW2606" s="115">
        <v>0.11332468572476186</v>
      </c>
      <c r="CX2606" s="115" t="e">
        <v>#N/A</v>
      </c>
      <c r="CY2606" s="115" t="e">
        <v>#N/A</v>
      </c>
      <c r="CZ2606" s="137" t="e">
        <v>#N/A</v>
      </c>
      <c r="DA2606">
        <v>0.11332468572476186</v>
      </c>
      <c r="DB2606" t="str">
        <v/>
      </c>
    </row>
    <row r="2607" spans="83:106" x14ac:dyDescent="0.2">
      <c r="CE2607"/>
      <c r="CF2607"/>
      <c r="CG2607"/>
      <c r="CH2607"/>
      <c r="CI2607"/>
      <c r="CU2607" s="42">
        <v>2602</v>
      </c>
      <c r="CV2607" s="115">
        <v>4</v>
      </c>
      <c r="CW2607" s="115">
        <v>0.11332468572476186</v>
      </c>
      <c r="CX2607" s="115" t="e">
        <v>#N/A</v>
      </c>
      <c r="CY2607" s="115" t="e">
        <v>#N/A</v>
      </c>
      <c r="CZ2607" s="137" t="e">
        <v>#N/A</v>
      </c>
      <c r="DA2607">
        <v>0.11332468572476186</v>
      </c>
      <c r="DB2607" t="str">
        <v/>
      </c>
    </row>
    <row r="2608" spans="83:106" x14ac:dyDescent="0.2">
      <c r="CE2608"/>
      <c r="CF2608"/>
      <c r="CG2608"/>
      <c r="CH2608"/>
      <c r="CI2608"/>
      <c r="CU2608" s="42">
        <v>2603</v>
      </c>
      <c r="CV2608" s="115">
        <v>4</v>
      </c>
      <c r="CW2608" s="115">
        <v>0.11332468572476186</v>
      </c>
      <c r="CX2608" s="115" t="e">
        <v>#N/A</v>
      </c>
      <c r="CY2608" s="115" t="e">
        <v>#N/A</v>
      </c>
      <c r="CZ2608" s="137" t="e">
        <v>#N/A</v>
      </c>
      <c r="DA2608">
        <v>0.11332468572476186</v>
      </c>
      <c r="DB2608" t="str">
        <v/>
      </c>
    </row>
    <row r="2609" spans="83:106" x14ac:dyDescent="0.2">
      <c r="CE2609"/>
      <c r="CF2609"/>
      <c r="CG2609"/>
      <c r="CH2609"/>
      <c r="CI2609"/>
      <c r="CU2609" s="42">
        <v>2604</v>
      </c>
      <c r="CV2609" s="115">
        <v>4</v>
      </c>
      <c r="CW2609" s="115">
        <v>0.11332468572476186</v>
      </c>
      <c r="CX2609" s="115" t="e">
        <v>#N/A</v>
      </c>
      <c r="CY2609" s="115" t="e">
        <v>#N/A</v>
      </c>
      <c r="CZ2609" s="137" t="e">
        <v>#N/A</v>
      </c>
      <c r="DA2609">
        <v>0.11332468572476186</v>
      </c>
      <c r="DB2609" t="str">
        <v/>
      </c>
    </row>
    <row r="2610" spans="83:106" x14ac:dyDescent="0.2">
      <c r="CE2610"/>
      <c r="CF2610"/>
      <c r="CG2610"/>
      <c r="CH2610"/>
      <c r="CI2610"/>
      <c r="CU2610" s="42">
        <v>2605</v>
      </c>
      <c r="CV2610" s="115">
        <v>4</v>
      </c>
      <c r="CW2610" s="115">
        <v>0.11332468572476186</v>
      </c>
      <c r="CX2610" s="115" t="e">
        <v>#N/A</v>
      </c>
      <c r="CY2610" s="115" t="e">
        <v>#N/A</v>
      </c>
      <c r="CZ2610" s="137" t="e">
        <v>#N/A</v>
      </c>
      <c r="DA2610">
        <v>0.11332468572476186</v>
      </c>
      <c r="DB2610" t="str">
        <v/>
      </c>
    </row>
    <row r="2611" spans="83:106" x14ac:dyDescent="0.2">
      <c r="CE2611"/>
      <c r="CF2611"/>
      <c r="CG2611"/>
      <c r="CH2611"/>
      <c r="CI2611"/>
      <c r="CU2611" s="42">
        <v>2606</v>
      </c>
      <c r="CV2611" s="115">
        <v>4</v>
      </c>
      <c r="CW2611" s="115">
        <v>0.11332468572476186</v>
      </c>
      <c r="CX2611" s="115" t="e">
        <v>#N/A</v>
      </c>
      <c r="CY2611" s="115" t="e">
        <v>#N/A</v>
      </c>
      <c r="CZ2611" s="137" t="e">
        <v>#N/A</v>
      </c>
      <c r="DA2611">
        <v>0.11332468572476186</v>
      </c>
      <c r="DB2611" t="str">
        <v/>
      </c>
    </row>
    <row r="2612" spans="83:106" x14ac:dyDescent="0.2">
      <c r="CE2612"/>
      <c r="CF2612"/>
      <c r="CG2612"/>
      <c r="CH2612"/>
      <c r="CI2612"/>
      <c r="CU2612" s="42">
        <v>2607</v>
      </c>
      <c r="CV2612" s="115">
        <v>4</v>
      </c>
      <c r="CW2612" s="115">
        <v>0.11332468572476186</v>
      </c>
      <c r="CX2612" s="115" t="e">
        <v>#N/A</v>
      </c>
      <c r="CY2612" s="115" t="e">
        <v>#N/A</v>
      </c>
      <c r="CZ2612" s="137" t="e">
        <v>#N/A</v>
      </c>
      <c r="DA2612">
        <v>0.11332468572476186</v>
      </c>
      <c r="DB2612" t="str">
        <v/>
      </c>
    </row>
    <row r="2613" spans="83:106" x14ac:dyDescent="0.2">
      <c r="CE2613"/>
      <c r="CF2613"/>
      <c r="CG2613"/>
      <c r="CH2613"/>
      <c r="CI2613"/>
      <c r="CU2613" s="42">
        <v>2608</v>
      </c>
      <c r="CV2613" s="115">
        <v>4</v>
      </c>
      <c r="CW2613" s="115">
        <v>0.11332468572476186</v>
      </c>
      <c r="CX2613" s="115" t="e">
        <v>#N/A</v>
      </c>
      <c r="CY2613" s="115" t="e">
        <v>#N/A</v>
      </c>
      <c r="CZ2613" s="137" t="e">
        <v>#N/A</v>
      </c>
      <c r="DA2613">
        <v>0.11332468572476186</v>
      </c>
      <c r="DB2613" t="str">
        <v/>
      </c>
    </row>
    <row r="2614" spans="83:106" x14ac:dyDescent="0.2">
      <c r="CE2614"/>
      <c r="CF2614"/>
      <c r="CG2614"/>
      <c r="CH2614"/>
      <c r="CI2614"/>
      <c r="CU2614" s="42">
        <v>2609</v>
      </c>
      <c r="CV2614" s="115">
        <v>4</v>
      </c>
      <c r="CW2614" s="115">
        <v>0.11332468572476186</v>
      </c>
      <c r="CX2614" s="115" t="e">
        <v>#N/A</v>
      </c>
      <c r="CY2614" s="115" t="e">
        <v>#N/A</v>
      </c>
      <c r="CZ2614" s="137" t="e">
        <v>#N/A</v>
      </c>
      <c r="DA2614">
        <v>0.11332468572476186</v>
      </c>
      <c r="DB2614" t="str">
        <v/>
      </c>
    </row>
    <row r="2615" spans="83:106" x14ac:dyDescent="0.2">
      <c r="CE2615"/>
      <c r="CF2615"/>
      <c r="CG2615"/>
      <c r="CH2615"/>
      <c r="CI2615"/>
      <c r="CU2615" s="42">
        <v>2610</v>
      </c>
      <c r="CV2615" s="115">
        <v>4</v>
      </c>
      <c r="CW2615" s="115">
        <v>0.11332468572476186</v>
      </c>
      <c r="CX2615" s="115" t="e">
        <v>#N/A</v>
      </c>
      <c r="CY2615" s="115" t="e">
        <v>#N/A</v>
      </c>
      <c r="CZ2615" s="137" t="e">
        <v>#N/A</v>
      </c>
      <c r="DA2615">
        <v>0.11332468572476186</v>
      </c>
      <c r="DB2615" t="str">
        <v/>
      </c>
    </row>
    <row r="2616" spans="83:106" x14ac:dyDescent="0.2">
      <c r="CE2616"/>
      <c r="CF2616"/>
      <c r="CG2616"/>
      <c r="CH2616"/>
      <c r="CI2616"/>
      <c r="CU2616" s="42">
        <v>2611</v>
      </c>
      <c r="CV2616" s="115">
        <v>4</v>
      </c>
      <c r="CW2616" s="115">
        <v>0.11332468572476186</v>
      </c>
      <c r="CX2616" s="115" t="e">
        <v>#N/A</v>
      </c>
      <c r="CY2616" s="115" t="e">
        <v>#N/A</v>
      </c>
      <c r="CZ2616" s="137" t="e">
        <v>#N/A</v>
      </c>
      <c r="DA2616">
        <v>0.11332468572476186</v>
      </c>
      <c r="DB2616" t="str">
        <v/>
      </c>
    </row>
    <row r="2617" spans="83:106" x14ac:dyDescent="0.2">
      <c r="CE2617"/>
      <c r="CF2617"/>
      <c r="CG2617"/>
      <c r="CH2617"/>
      <c r="CI2617"/>
      <c r="CU2617" s="42">
        <v>2612</v>
      </c>
      <c r="CV2617" s="115">
        <v>4</v>
      </c>
      <c r="CW2617" s="115">
        <v>0.11332468572476186</v>
      </c>
      <c r="CX2617" s="115" t="e">
        <v>#N/A</v>
      </c>
      <c r="CY2617" s="115" t="e">
        <v>#N/A</v>
      </c>
      <c r="CZ2617" s="137" t="e">
        <v>#N/A</v>
      </c>
      <c r="DA2617">
        <v>0.11332468572476186</v>
      </c>
      <c r="DB2617" t="str">
        <v/>
      </c>
    </row>
    <row r="2618" spans="83:106" x14ac:dyDescent="0.2">
      <c r="CE2618"/>
      <c r="CF2618"/>
      <c r="CG2618"/>
      <c r="CH2618"/>
      <c r="CI2618"/>
      <c r="CU2618" s="42">
        <v>2613</v>
      </c>
      <c r="CV2618" s="115">
        <v>4</v>
      </c>
      <c r="CW2618" s="115">
        <v>0.11332468572476186</v>
      </c>
      <c r="CX2618" s="115" t="e">
        <v>#N/A</v>
      </c>
      <c r="CY2618" s="115" t="e">
        <v>#N/A</v>
      </c>
      <c r="CZ2618" s="137" t="e">
        <v>#N/A</v>
      </c>
      <c r="DA2618">
        <v>0.11332468572476186</v>
      </c>
      <c r="DB2618" t="str">
        <v/>
      </c>
    </row>
    <row r="2619" spans="83:106" x14ac:dyDescent="0.2">
      <c r="CE2619"/>
      <c r="CF2619"/>
      <c r="CG2619"/>
      <c r="CH2619"/>
      <c r="CI2619"/>
      <c r="CU2619" s="42">
        <v>2614</v>
      </c>
      <c r="CV2619" s="115">
        <v>4</v>
      </c>
      <c r="CW2619" s="115">
        <v>0.11332468572476186</v>
      </c>
      <c r="CX2619" s="115" t="e">
        <v>#N/A</v>
      </c>
      <c r="CY2619" s="115" t="e">
        <v>#N/A</v>
      </c>
      <c r="CZ2619" s="137" t="e">
        <v>#N/A</v>
      </c>
      <c r="DA2619">
        <v>0.11332468572476186</v>
      </c>
      <c r="DB2619" t="str">
        <v/>
      </c>
    </row>
    <row r="2620" spans="83:106" x14ac:dyDescent="0.2">
      <c r="CE2620"/>
      <c r="CF2620"/>
      <c r="CG2620"/>
      <c r="CH2620"/>
      <c r="CI2620"/>
      <c r="CU2620" s="42">
        <v>2615</v>
      </c>
      <c r="CV2620" s="115">
        <v>4</v>
      </c>
      <c r="CW2620" s="115">
        <v>0.11332468572476186</v>
      </c>
      <c r="CX2620" s="115" t="e">
        <v>#N/A</v>
      </c>
      <c r="CY2620" s="115" t="e">
        <v>#N/A</v>
      </c>
      <c r="CZ2620" s="137" t="e">
        <v>#N/A</v>
      </c>
      <c r="DA2620">
        <v>0.11332468572476186</v>
      </c>
      <c r="DB2620" t="str">
        <v/>
      </c>
    </row>
    <row r="2621" spans="83:106" x14ac:dyDescent="0.2">
      <c r="CE2621"/>
      <c r="CF2621"/>
      <c r="CG2621"/>
      <c r="CH2621"/>
      <c r="CI2621"/>
      <c r="CU2621" s="42">
        <v>2616</v>
      </c>
      <c r="CV2621" s="115">
        <v>4</v>
      </c>
      <c r="CW2621" s="115">
        <v>0.11332468572476186</v>
      </c>
      <c r="CX2621" s="115" t="e">
        <v>#N/A</v>
      </c>
      <c r="CY2621" s="115" t="e">
        <v>#N/A</v>
      </c>
      <c r="CZ2621" s="137" t="e">
        <v>#N/A</v>
      </c>
      <c r="DA2621">
        <v>0.11332468572476186</v>
      </c>
      <c r="DB2621" t="str">
        <v/>
      </c>
    </row>
    <row r="2622" spans="83:106" x14ac:dyDescent="0.2">
      <c r="CE2622"/>
      <c r="CF2622"/>
      <c r="CG2622"/>
      <c r="CH2622"/>
      <c r="CI2622"/>
      <c r="CU2622" s="42">
        <v>2617</v>
      </c>
      <c r="CV2622" s="115">
        <v>4</v>
      </c>
      <c r="CW2622" s="115">
        <v>0.11332468572476186</v>
      </c>
      <c r="CX2622" s="115" t="e">
        <v>#N/A</v>
      </c>
      <c r="CY2622" s="115" t="e">
        <v>#N/A</v>
      </c>
      <c r="CZ2622" s="137" t="e">
        <v>#N/A</v>
      </c>
      <c r="DA2622">
        <v>0.11332468572476186</v>
      </c>
      <c r="DB2622" t="str">
        <v/>
      </c>
    </row>
    <row r="2623" spans="83:106" x14ac:dyDescent="0.2">
      <c r="CE2623"/>
      <c r="CF2623"/>
      <c r="CG2623"/>
      <c r="CH2623"/>
      <c r="CI2623"/>
      <c r="CU2623" s="42">
        <v>2618</v>
      </c>
      <c r="CV2623" s="115">
        <v>4</v>
      </c>
      <c r="CW2623" s="115">
        <v>0.11332468572476186</v>
      </c>
      <c r="CX2623" s="115" t="e">
        <v>#N/A</v>
      </c>
      <c r="CY2623" s="115" t="e">
        <v>#N/A</v>
      </c>
      <c r="CZ2623" s="137" t="e">
        <v>#N/A</v>
      </c>
      <c r="DA2623">
        <v>0.11332468572476186</v>
      </c>
      <c r="DB2623" t="str">
        <v/>
      </c>
    </row>
    <row r="2624" spans="83:106" x14ac:dyDescent="0.2">
      <c r="CE2624"/>
      <c r="CF2624"/>
      <c r="CG2624"/>
      <c r="CH2624"/>
      <c r="CI2624"/>
      <c r="CU2624" s="42">
        <v>2619</v>
      </c>
      <c r="CV2624" s="115">
        <v>4</v>
      </c>
      <c r="CW2624" s="115">
        <v>0.11332468572476186</v>
      </c>
      <c r="CX2624" s="115" t="e">
        <v>#N/A</v>
      </c>
      <c r="CY2624" s="115" t="e">
        <v>#N/A</v>
      </c>
      <c r="CZ2624" s="137" t="e">
        <v>#N/A</v>
      </c>
      <c r="DA2624">
        <v>0.11332468572476186</v>
      </c>
      <c r="DB2624" t="str">
        <v/>
      </c>
    </row>
    <row r="2625" spans="83:106" x14ac:dyDescent="0.2">
      <c r="CE2625"/>
      <c r="CF2625"/>
      <c r="CG2625"/>
      <c r="CH2625"/>
      <c r="CI2625"/>
      <c r="CU2625" s="42">
        <v>2620</v>
      </c>
      <c r="CV2625" s="115">
        <v>4</v>
      </c>
      <c r="CW2625" s="115">
        <v>0.11332468572476186</v>
      </c>
      <c r="CX2625" s="115" t="e">
        <v>#N/A</v>
      </c>
      <c r="CY2625" s="115" t="e">
        <v>#N/A</v>
      </c>
      <c r="CZ2625" s="137" t="e">
        <v>#N/A</v>
      </c>
      <c r="DA2625">
        <v>0.11332468572476186</v>
      </c>
      <c r="DB2625" t="str">
        <v/>
      </c>
    </row>
    <row r="2626" spans="83:106" x14ac:dyDescent="0.2">
      <c r="CE2626"/>
      <c r="CF2626"/>
      <c r="CG2626"/>
      <c r="CH2626"/>
      <c r="CI2626"/>
      <c r="CU2626" s="42">
        <v>2621</v>
      </c>
      <c r="CV2626" s="115">
        <v>4</v>
      </c>
      <c r="CW2626" s="115">
        <v>0.11332468572476186</v>
      </c>
      <c r="CX2626" s="115" t="e">
        <v>#N/A</v>
      </c>
      <c r="CY2626" s="115" t="e">
        <v>#N/A</v>
      </c>
      <c r="CZ2626" s="137" t="e">
        <v>#N/A</v>
      </c>
      <c r="DA2626">
        <v>0.11332468572476186</v>
      </c>
      <c r="DB2626" t="str">
        <v/>
      </c>
    </row>
    <row r="2627" spans="83:106" x14ac:dyDescent="0.2">
      <c r="CE2627"/>
      <c r="CF2627"/>
      <c r="CG2627"/>
      <c r="CH2627"/>
      <c r="CI2627"/>
      <c r="CU2627" s="42">
        <v>2622</v>
      </c>
      <c r="CV2627" s="115">
        <v>4</v>
      </c>
      <c r="CW2627" s="115">
        <v>0.11332468572476186</v>
      </c>
      <c r="CX2627" s="115" t="e">
        <v>#N/A</v>
      </c>
      <c r="CY2627" s="115" t="e">
        <v>#N/A</v>
      </c>
      <c r="CZ2627" s="137" t="e">
        <v>#N/A</v>
      </c>
      <c r="DA2627">
        <v>0.11332468572476186</v>
      </c>
      <c r="DB2627" t="str">
        <v/>
      </c>
    </row>
    <row r="2628" spans="83:106" x14ac:dyDescent="0.2">
      <c r="CE2628"/>
      <c r="CF2628"/>
      <c r="CG2628"/>
      <c r="CH2628"/>
      <c r="CI2628"/>
      <c r="CU2628" s="42">
        <v>2623</v>
      </c>
      <c r="CV2628" s="115">
        <v>4</v>
      </c>
      <c r="CW2628" s="115">
        <v>0.11332468572476186</v>
      </c>
      <c r="CX2628" s="115" t="e">
        <v>#N/A</v>
      </c>
      <c r="CY2628" s="115" t="e">
        <v>#N/A</v>
      </c>
      <c r="CZ2628" s="137" t="e">
        <v>#N/A</v>
      </c>
      <c r="DA2628">
        <v>0.11332468572476186</v>
      </c>
      <c r="DB2628" t="str">
        <v/>
      </c>
    </row>
    <row r="2629" spans="83:106" x14ac:dyDescent="0.2">
      <c r="CE2629"/>
      <c r="CF2629"/>
      <c r="CG2629"/>
      <c r="CH2629"/>
      <c r="CI2629"/>
      <c r="CU2629" s="42">
        <v>2624</v>
      </c>
      <c r="CV2629" s="115">
        <v>4</v>
      </c>
      <c r="CW2629" s="115">
        <v>0.11332468572476186</v>
      </c>
      <c r="CX2629" s="115" t="e">
        <v>#N/A</v>
      </c>
      <c r="CY2629" s="115" t="e">
        <v>#N/A</v>
      </c>
      <c r="CZ2629" s="137" t="e">
        <v>#N/A</v>
      </c>
      <c r="DA2629">
        <v>0.11332468572476186</v>
      </c>
      <c r="DB2629" t="str">
        <v/>
      </c>
    </row>
    <row r="2630" spans="83:106" x14ac:dyDescent="0.2">
      <c r="CE2630"/>
      <c r="CF2630"/>
      <c r="CG2630"/>
      <c r="CH2630"/>
      <c r="CI2630"/>
      <c r="CU2630" s="42">
        <v>2625</v>
      </c>
      <c r="CV2630" s="115">
        <v>4</v>
      </c>
      <c r="CW2630" s="115">
        <v>0.11332468572476186</v>
      </c>
      <c r="CX2630" s="115" t="e">
        <v>#N/A</v>
      </c>
      <c r="CY2630" s="115" t="e">
        <v>#N/A</v>
      </c>
      <c r="CZ2630" s="137" t="e">
        <v>#N/A</v>
      </c>
      <c r="DA2630">
        <v>0.11332468572476186</v>
      </c>
      <c r="DB2630" t="str">
        <v/>
      </c>
    </row>
    <row r="2631" spans="83:106" x14ac:dyDescent="0.2">
      <c r="CE2631"/>
      <c r="CF2631"/>
      <c r="CG2631"/>
      <c r="CH2631"/>
      <c r="CI2631"/>
      <c r="CU2631" s="42">
        <v>2626</v>
      </c>
      <c r="CV2631" s="115">
        <v>4</v>
      </c>
      <c r="CW2631" s="115">
        <v>0.11332468572476186</v>
      </c>
      <c r="CX2631" s="115" t="e">
        <v>#N/A</v>
      </c>
      <c r="CY2631" s="115" t="e">
        <v>#N/A</v>
      </c>
      <c r="CZ2631" s="137" t="e">
        <v>#N/A</v>
      </c>
      <c r="DA2631">
        <v>0.11332468572476186</v>
      </c>
      <c r="DB2631" t="str">
        <v/>
      </c>
    </row>
    <row r="2632" spans="83:106" x14ac:dyDescent="0.2">
      <c r="CE2632"/>
      <c r="CF2632"/>
      <c r="CG2632"/>
      <c r="CH2632"/>
      <c r="CI2632"/>
      <c r="CU2632" s="42">
        <v>2627</v>
      </c>
      <c r="CV2632" s="115">
        <v>4</v>
      </c>
      <c r="CW2632" s="115">
        <v>0.11332468572476186</v>
      </c>
      <c r="CX2632" s="115" t="e">
        <v>#N/A</v>
      </c>
      <c r="CY2632" s="115" t="e">
        <v>#N/A</v>
      </c>
      <c r="CZ2632" s="137" t="e">
        <v>#N/A</v>
      </c>
      <c r="DA2632">
        <v>0.11332468572476186</v>
      </c>
      <c r="DB2632" t="str">
        <v/>
      </c>
    </row>
    <row r="2633" spans="83:106" x14ac:dyDescent="0.2">
      <c r="CE2633"/>
      <c r="CF2633"/>
      <c r="CG2633"/>
      <c r="CH2633"/>
      <c r="CI2633"/>
      <c r="CU2633" s="42">
        <v>2628</v>
      </c>
      <c r="CV2633" s="115">
        <v>4</v>
      </c>
      <c r="CW2633" s="115">
        <v>0.11332468572476186</v>
      </c>
      <c r="CX2633" s="115" t="e">
        <v>#N/A</v>
      </c>
      <c r="CY2633" s="115" t="e">
        <v>#N/A</v>
      </c>
      <c r="CZ2633" s="137" t="e">
        <v>#N/A</v>
      </c>
      <c r="DA2633">
        <v>0.11332468572476186</v>
      </c>
      <c r="DB2633" t="str">
        <v/>
      </c>
    </row>
    <row r="2634" spans="83:106" x14ac:dyDescent="0.2">
      <c r="CE2634"/>
      <c r="CF2634"/>
      <c r="CG2634"/>
      <c r="CH2634"/>
      <c r="CI2634"/>
      <c r="CU2634" s="42">
        <v>2629</v>
      </c>
      <c r="CV2634" s="115">
        <v>4</v>
      </c>
      <c r="CW2634" s="115">
        <v>0.11332468572476186</v>
      </c>
      <c r="CX2634" s="115" t="e">
        <v>#N/A</v>
      </c>
      <c r="CY2634" s="115" t="e">
        <v>#N/A</v>
      </c>
      <c r="CZ2634" s="137" t="e">
        <v>#N/A</v>
      </c>
      <c r="DA2634">
        <v>0.11332468572476186</v>
      </c>
      <c r="DB2634" t="str">
        <v/>
      </c>
    </row>
    <row r="2635" spans="83:106" x14ac:dyDescent="0.2">
      <c r="CE2635"/>
      <c r="CF2635"/>
      <c r="CG2635"/>
      <c r="CH2635"/>
      <c r="CI2635"/>
      <c r="CU2635" s="42">
        <v>2630</v>
      </c>
      <c r="CV2635" s="115">
        <v>4</v>
      </c>
      <c r="CW2635" s="115">
        <v>0.11332468572476186</v>
      </c>
      <c r="CX2635" s="115" t="e">
        <v>#N/A</v>
      </c>
      <c r="CY2635" s="115" t="e">
        <v>#N/A</v>
      </c>
      <c r="CZ2635" s="137" t="e">
        <v>#N/A</v>
      </c>
      <c r="DA2635">
        <v>0.11332468572476186</v>
      </c>
      <c r="DB2635" t="str">
        <v/>
      </c>
    </row>
    <row r="2636" spans="83:106" x14ac:dyDescent="0.2">
      <c r="CE2636"/>
      <c r="CF2636"/>
      <c r="CG2636"/>
      <c r="CH2636"/>
      <c r="CI2636"/>
      <c r="CU2636" s="42">
        <v>2631</v>
      </c>
      <c r="CV2636" s="115">
        <v>4</v>
      </c>
      <c r="CW2636" s="115">
        <v>0.11332468572476186</v>
      </c>
      <c r="CX2636" s="115" t="e">
        <v>#N/A</v>
      </c>
      <c r="CY2636" s="115" t="e">
        <v>#N/A</v>
      </c>
      <c r="CZ2636" s="137" t="e">
        <v>#N/A</v>
      </c>
      <c r="DA2636">
        <v>0.11332468572476186</v>
      </c>
      <c r="DB2636" t="str">
        <v/>
      </c>
    </row>
    <row r="2637" spans="83:106" x14ac:dyDescent="0.2">
      <c r="CE2637"/>
      <c r="CF2637"/>
      <c r="CG2637"/>
      <c r="CH2637"/>
      <c r="CI2637"/>
      <c r="CU2637" s="42">
        <v>2632</v>
      </c>
      <c r="CV2637" s="115">
        <v>4</v>
      </c>
      <c r="CW2637" s="115">
        <v>0.11332468572476186</v>
      </c>
      <c r="CX2637" s="115" t="e">
        <v>#N/A</v>
      </c>
      <c r="CY2637" s="115" t="e">
        <v>#N/A</v>
      </c>
      <c r="CZ2637" s="137" t="e">
        <v>#N/A</v>
      </c>
      <c r="DA2637">
        <v>0.11332468572476186</v>
      </c>
      <c r="DB2637" t="str">
        <v/>
      </c>
    </row>
    <row r="2638" spans="83:106" x14ac:dyDescent="0.2">
      <c r="CE2638"/>
      <c r="CF2638"/>
      <c r="CG2638"/>
      <c r="CH2638"/>
      <c r="CI2638"/>
      <c r="CU2638" s="42">
        <v>2633</v>
      </c>
      <c r="CV2638" s="115">
        <v>4</v>
      </c>
      <c r="CW2638" s="115">
        <v>0.11332468572476186</v>
      </c>
      <c r="CX2638" s="115" t="e">
        <v>#N/A</v>
      </c>
      <c r="CY2638" s="115" t="e">
        <v>#N/A</v>
      </c>
      <c r="CZ2638" s="137" t="e">
        <v>#N/A</v>
      </c>
      <c r="DA2638">
        <v>0.11332468572476186</v>
      </c>
      <c r="DB2638" t="str">
        <v/>
      </c>
    </row>
    <row r="2639" spans="83:106" x14ac:dyDescent="0.2">
      <c r="CE2639"/>
      <c r="CF2639"/>
      <c r="CG2639"/>
      <c r="CH2639"/>
      <c r="CI2639"/>
      <c r="CU2639" s="42">
        <v>2634</v>
      </c>
      <c r="CV2639" s="115">
        <v>4</v>
      </c>
      <c r="CW2639" s="115">
        <v>0.11332468572476186</v>
      </c>
      <c r="CX2639" s="115" t="e">
        <v>#N/A</v>
      </c>
      <c r="CY2639" s="115" t="e">
        <v>#N/A</v>
      </c>
      <c r="CZ2639" s="137" t="e">
        <v>#N/A</v>
      </c>
      <c r="DA2639">
        <v>0.11332468572476186</v>
      </c>
      <c r="DB2639" t="str">
        <v/>
      </c>
    </row>
    <row r="2640" spans="83:106" x14ac:dyDescent="0.2">
      <c r="CE2640"/>
      <c r="CF2640"/>
      <c r="CG2640"/>
      <c r="CH2640"/>
      <c r="CI2640"/>
      <c r="CU2640" s="42">
        <v>2635</v>
      </c>
      <c r="CV2640" s="115">
        <v>4</v>
      </c>
      <c r="CW2640" s="115">
        <v>0.11332468572476186</v>
      </c>
      <c r="CX2640" s="115" t="e">
        <v>#N/A</v>
      </c>
      <c r="CY2640" s="115" t="e">
        <v>#N/A</v>
      </c>
      <c r="CZ2640" s="137" t="e">
        <v>#N/A</v>
      </c>
      <c r="DA2640">
        <v>0.11332468572476186</v>
      </c>
      <c r="DB2640" t="str">
        <v/>
      </c>
    </row>
    <row r="2641" spans="83:106" x14ac:dyDescent="0.2">
      <c r="CE2641"/>
      <c r="CF2641"/>
      <c r="CG2641"/>
      <c r="CH2641"/>
      <c r="CI2641"/>
      <c r="CU2641" s="42">
        <v>2636</v>
      </c>
      <c r="CV2641" s="115">
        <v>4</v>
      </c>
      <c r="CW2641" s="115">
        <v>0.11332468572476186</v>
      </c>
      <c r="CX2641" s="115" t="e">
        <v>#N/A</v>
      </c>
      <c r="CY2641" s="115" t="e">
        <v>#N/A</v>
      </c>
      <c r="CZ2641" s="137" t="e">
        <v>#N/A</v>
      </c>
      <c r="DA2641">
        <v>0.11332468572476186</v>
      </c>
      <c r="DB2641" t="str">
        <v/>
      </c>
    </row>
    <row r="2642" spans="83:106" x14ac:dyDescent="0.2">
      <c r="CE2642"/>
      <c r="CF2642"/>
      <c r="CG2642"/>
      <c r="CH2642"/>
      <c r="CI2642"/>
      <c r="CU2642" s="42">
        <v>2637</v>
      </c>
      <c r="CV2642" s="115">
        <v>4</v>
      </c>
      <c r="CW2642" s="115">
        <v>0.11332468572476186</v>
      </c>
      <c r="CX2642" s="115" t="e">
        <v>#N/A</v>
      </c>
      <c r="CY2642" s="115" t="e">
        <v>#N/A</v>
      </c>
      <c r="CZ2642" s="137" t="e">
        <v>#N/A</v>
      </c>
      <c r="DA2642">
        <v>0.11332468572476186</v>
      </c>
      <c r="DB2642" t="str">
        <v/>
      </c>
    </row>
    <row r="2643" spans="83:106" x14ac:dyDescent="0.2">
      <c r="CE2643"/>
      <c r="CF2643"/>
      <c r="CG2643"/>
      <c r="CH2643"/>
      <c r="CI2643"/>
      <c r="CU2643" s="42">
        <v>2638</v>
      </c>
      <c r="CV2643" s="115">
        <v>4</v>
      </c>
      <c r="CW2643" s="115">
        <v>0.11332468572476186</v>
      </c>
      <c r="CX2643" s="115" t="e">
        <v>#N/A</v>
      </c>
      <c r="CY2643" s="115" t="e">
        <v>#N/A</v>
      </c>
      <c r="CZ2643" s="137" t="e">
        <v>#N/A</v>
      </c>
      <c r="DA2643">
        <v>0.11332468572476186</v>
      </c>
      <c r="DB2643" t="str">
        <v/>
      </c>
    </row>
    <row r="2644" spans="83:106" x14ac:dyDescent="0.2">
      <c r="CE2644"/>
      <c r="CF2644"/>
      <c r="CG2644"/>
      <c r="CH2644"/>
      <c r="CI2644"/>
      <c r="CU2644" s="42">
        <v>2639</v>
      </c>
      <c r="CV2644" s="115">
        <v>4</v>
      </c>
      <c r="CW2644" s="115">
        <v>0.11332468572476186</v>
      </c>
      <c r="CX2644" s="115" t="e">
        <v>#N/A</v>
      </c>
      <c r="CY2644" s="115" t="e">
        <v>#N/A</v>
      </c>
      <c r="CZ2644" s="137" t="e">
        <v>#N/A</v>
      </c>
      <c r="DA2644">
        <v>0.11332468572476186</v>
      </c>
      <c r="DB2644" t="str">
        <v/>
      </c>
    </row>
    <row r="2645" spans="83:106" x14ac:dyDescent="0.2">
      <c r="CE2645"/>
      <c r="CF2645"/>
      <c r="CG2645"/>
      <c r="CH2645"/>
      <c r="CI2645"/>
      <c r="CU2645" s="42">
        <v>2640</v>
      </c>
      <c r="CV2645" s="115">
        <v>4</v>
      </c>
      <c r="CW2645" s="115">
        <v>0.11332468572476186</v>
      </c>
      <c r="CX2645" s="115" t="e">
        <v>#N/A</v>
      </c>
      <c r="CY2645" s="115" t="e">
        <v>#N/A</v>
      </c>
      <c r="CZ2645" s="137" t="e">
        <v>#N/A</v>
      </c>
      <c r="DA2645">
        <v>0.11332468572476186</v>
      </c>
      <c r="DB2645" t="str">
        <v/>
      </c>
    </row>
    <row r="2646" spans="83:106" x14ac:dyDescent="0.2">
      <c r="CE2646"/>
      <c r="CF2646"/>
      <c r="CG2646"/>
      <c r="CH2646"/>
      <c r="CI2646"/>
      <c r="CU2646" s="42">
        <v>2641</v>
      </c>
      <c r="CV2646" s="115">
        <v>4</v>
      </c>
      <c r="CW2646" s="115">
        <v>0.11332468572476186</v>
      </c>
      <c r="CX2646" s="115" t="e">
        <v>#N/A</v>
      </c>
      <c r="CY2646" s="115" t="e">
        <v>#N/A</v>
      </c>
      <c r="CZ2646" s="137" t="e">
        <v>#N/A</v>
      </c>
      <c r="DA2646">
        <v>0.11332468572476186</v>
      </c>
      <c r="DB2646" t="str">
        <v/>
      </c>
    </row>
    <row r="2647" spans="83:106" x14ac:dyDescent="0.2">
      <c r="CE2647"/>
      <c r="CF2647"/>
      <c r="CG2647"/>
      <c r="CH2647"/>
      <c r="CI2647"/>
      <c r="CU2647" s="42">
        <v>2642</v>
      </c>
      <c r="CV2647" s="115">
        <v>4</v>
      </c>
      <c r="CW2647" s="115">
        <v>0.11332468572476186</v>
      </c>
      <c r="CX2647" s="115" t="e">
        <v>#N/A</v>
      </c>
      <c r="CY2647" s="115" t="e">
        <v>#N/A</v>
      </c>
      <c r="CZ2647" s="137" t="e">
        <v>#N/A</v>
      </c>
      <c r="DA2647">
        <v>0.11332468572476186</v>
      </c>
      <c r="DB2647" t="str">
        <v/>
      </c>
    </row>
    <row r="2648" spans="83:106" x14ac:dyDescent="0.2">
      <c r="CE2648"/>
      <c r="CF2648"/>
      <c r="CG2648"/>
      <c r="CH2648"/>
      <c r="CI2648"/>
      <c r="CU2648" s="42">
        <v>2643</v>
      </c>
      <c r="CV2648" s="115">
        <v>4</v>
      </c>
      <c r="CW2648" s="115">
        <v>0.11332468572476186</v>
      </c>
      <c r="CX2648" s="115" t="e">
        <v>#N/A</v>
      </c>
      <c r="CY2648" s="115" t="e">
        <v>#N/A</v>
      </c>
      <c r="CZ2648" s="137" t="e">
        <v>#N/A</v>
      </c>
      <c r="DA2648">
        <v>0.11332468572476186</v>
      </c>
      <c r="DB2648" t="str">
        <v/>
      </c>
    </row>
    <row r="2649" spans="83:106" x14ac:dyDescent="0.2">
      <c r="CE2649"/>
      <c r="CF2649"/>
      <c r="CG2649"/>
      <c r="CH2649"/>
      <c r="CI2649"/>
      <c r="CU2649" s="42">
        <v>2644</v>
      </c>
      <c r="CV2649" s="115">
        <v>4</v>
      </c>
      <c r="CW2649" s="115">
        <v>0.11332468572476186</v>
      </c>
      <c r="CX2649" s="115" t="e">
        <v>#N/A</v>
      </c>
      <c r="CY2649" s="115" t="e">
        <v>#N/A</v>
      </c>
      <c r="CZ2649" s="137" t="e">
        <v>#N/A</v>
      </c>
      <c r="DA2649">
        <v>0.11332468572476186</v>
      </c>
      <c r="DB2649" t="str">
        <v/>
      </c>
    </row>
    <row r="2650" spans="83:106" x14ac:dyDescent="0.2">
      <c r="CE2650"/>
      <c r="CF2650"/>
      <c r="CG2650"/>
      <c r="CH2650"/>
      <c r="CI2650"/>
      <c r="CU2650" s="42">
        <v>2645</v>
      </c>
      <c r="CV2650" s="115">
        <v>4</v>
      </c>
      <c r="CW2650" s="115">
        <v>0.11332468572476186</v>
      </c>
      <c r="CX2650" s="115" t="e">
        <v>#N/A</v>
      </c>
      <c r="CY2650" s="115" t="e">
        <v>#N/A</v>
      </c>
      <c r="CZ2650" s="137" t="e">
        <v>#N/A</v>
      </c>
      <c r="DA2650">
        <v>0.11332468572476186</v>
      </c>
      <c r="DB2650" t="str">
        <v/>
      </c>
    </row>
    <row r="2651" spans="83:106" x14ac:dyDescent="0.2">
      <c r="CE2651"/>
      <c r="CF2651"/>
      <c r="CG2651"/>
      <c r="CH2651"/>
      <c r="CI2651"/>
      <c r="CU2651" s="42">
        <v>2646</v>
      </c>
      <c r="CV2651" s="115">
        <v>4</v>
      </c>
      <c r="CW2651" s="115">
        <v>0.11332468572476186</v>
      </c>
      <c r="CX2651" s="115" t="e">
        <v>#N/A</v>
      </c>
      <c r="CY2651" s="115" t="e">
        <v>#N/A</v>
      </c>
      <c r="CZ2651" s="137" t="e">
        <v>#N/A</v>
      </c>
      <c r="DA2651">
        <v>0.11332468572476186</v>
      </c>
      <c r="DB2651" t="str">
        <v/>
      </c>
    </row>
    <row r="2652" spans="83:106" x14ac:dyDescent="0.2">
      <c r="CE2652"/>
      <c r="CF2652"/>
      <c r="CG2652"/>
      <c r="CH2652"/>
      <c r="CI2652"/>
      <c r="CU2652" s="42">
        <v>2647</v>
      </c>
      <c r="CV2652" s="115">
        <v>4</v>
      </c>
      <c r="CW2652" s="115">
        <v>0.11332468572476186</v>
      </c>
      <c r="CX2652" s="115" t="e">
        <v>#N/A</v>
      </c>
      <c r="CY2652" s="115" t="e">
        <v>#N/A</v>
      </c>
      <c r="CZ2652" s="137" t="e">
        <v>#N/A</v>
      </c>
      <c r="DA2652">
        <v>0.11332468572476186</v>
      </c>
      <c r="DB2652" t="str">
        <v/>
      </c>
    </row>
    <row r="2653" spans="83:106" x14ac:dyDescent="0.2">
      <c r="CE2653"/>
      <c r="CF2653"/>
      <c r="CG2653"/>
      <c r="CH2653"/>
      <c r="CI2653"/>
      <c r="CU2653" s="42">
        <v>2648</v>
      </c>
      <c r="CV2653" s="115">
        <v>4</v>
      </c>
      <c r="CW2653" s="115">
        <v>0.11332468572476186</v>
      </c>
      <c r="CX2653" s="115" t="e">
        <v>#N/A</v>
      </c>
      <c r="CY2653" s="115" t="e">
        <v>#N/A</v>
      </c>
      <c r="CZ2653" s="137" t="e">
        <v>#N/A</v>
      </c>
      <c r="DA2653">
        <v>0.11332468572476186</v>
      </c>
      <c r="DB2653" t="str">
        <v/>
      </c>
    </row>
    <row r="2654" spans="83:106" x14ac:dyDescent="0.2">
      <c r="CE2654"/>
      <c r="CF2654"/>
      <c r="CG2654"/>
      <c r="CH2654"/>
      <c r="CI2654"/>
      <c r="CU2654" s="42">
        <v>2649</v>
      </c>
      <c r="CV2654" s="115">
        <v>4</v>
      </c>
      <c r="CW2654" s="115">
        <v>0.11332468572476186</v>
      </c>
      <c r="CX2654" s="115" t="e">
        <v>#N/A</v>
      </c>
      <c r="CY2654" s="115" t="e">
        <v>#N/A</v>
      </c>
      <c r="CZ2654" s="137" t="e">
        <v>#N/A</v>
      </c>
      <c r="DA2654">
        <v>0.11332468572476186</v>
      </c>
      <c r="DB2654" t="str">
        <v/>
      </c>
    </row>
    <row r="2655" spans="83:106" x14ac:dyDescent="0.2">
      <c r="CE2655"/>
      <c r="CF2655"/>
      <c r="CG2655"/>
      <c r="CH2655"/>
      <c r="CI2655"/>
      <c r="CU2655" s="42">
        <v>2650</v>
      </c>
      <c r="CV2655" s="115">
        <v>4</v>
      </c>
      <c r="CW2655" s="115">
        <v>0.11332468572476186</v>
      </c>
      <c r="CX2655" s="115" t="e">
        <v>#N/A</v>
      </c>
      <c r="CY2655" s="115" t="e">
        <v>#N/A</v>
      </c>
      <c r="CZ2655" s="137" t="e">
        <v>#N/A</v>
      </c>
      <c r="DA2655">
        <v>0.11332468572476186</v>
      </c>
      <c r="DB2655" t="str">
        <v/>
      </c>
    </row>
    <row r="2656" spans="83:106" x14ac:dyDescent="0.2">
      <c r="CE2656"/>
      <c r="CF2656"/>
      <c r="CG2656"/>
      <c r="CH2656"/>
      <c r="CI2656"/>
      <c r="CU2656" s="42">
        <v>2651</v>
      </c>
      <c r="CV2656" s="115">
        <v>4</v>
      </c>
      <c r="CW2656" s="115">
        <v>0.11332468572476186</v>
      </c>
      <c r="CX2656" s="115" t="e">
        <v>#N/A</v>
      </c>
      <c r="CY2656" s="115" t="e">
        <v>#N/A</v>
      </c>
      <c r="CZ2656" s="137" t="e">
        <v>#N/A</v>
      </c>
      <c r="DA2656">
        <v>0.11332468572476186</v>
      </c>
      <c r="DB2656" t="str">
        <v/>
      </c>
    </row>
    <row r="2657" spans="83:106" x14ac:dyDescent="0.2">
      <c r="CE2657"/>
      <c r="CF2657"/>
      <c r="CG2657"/>
      <c r="CH2657"/>
      <c r="CI2657"/>
      <c r="CU2657" s="42">
        <v>2652</v>
      </c>
      <c r="CV2657" s="115">
        <v>4</v>
      </c>
      <c r="CW2657" s="115">
        <v>0.11332468572476186</v>
      </c>
      <c r="CX2657" s="115" t="e">
        <v>#N/A</v>
      </c>
      <c r="CY2657" s="115" t="e">
        <v>#N/A</v>
      </c>
      <c r="CZ2657" s="137" t="e">
        <v>#N/A</v>
      </c>
      <c r="DA2657">
        <v>0.11332468572476186</v>
      </c>
      <c r="DB2657" t="str">
        <v/>
      </c>
    </row>
    <row r="2658" spans="83:106" x14ac:dyDescent="0.2">
      <c r="CE2658"/>
      <c r="CF2658"/>
      <c r="CG2658"/>
      <c r="CH2658"/>
      <c r="CI2658"/>
      <c r="CU2658" s="42">
        <v>2653</v>
      </c>
      <c r="CV2658" s="115">
        <v>4</v>
      </c>
      <c r="CW2658" s="115">
        <v>0.11332468572476186</v>
      </c>
      <c r="CX2658" s="115" t="e">
        <v>#N/A</v>
      </c>
      <c r="CY2658" s="115" t="e">
        <v>#N/A</v>
      </c>
      <c r="CZ2658" s="137" t="e">
        <v>#N/A</v>
      </c>
      <c r="DA2658">
        <v>0.11332468572476186</v>
      </c>
      <c r="DB2658" t="str">
        <v/>
      </c>
    </row>
    <row r="2659" spans="83:106" x14ac:dyDescent="0.2">
      <c r="CE2659"/>
      <c r="CF2659"/>
      <c r="CG2659"/>
      <c r="CH2659"/>
      <c r="CI2659"/>
      <c r="CU2659" s="42">
        <v>2654</v>
      </c>
      <c r="CV2659" s="115">
        <v>4</v>
      </c>
      <c r="CW2659" s="115">
        <v>0.11332468572476186</v>
      </c>
      <c r="CX2659" s="115" t="e">
        <v>#N/A</v>
      </c>
      <c r="CY2659" s="115" t="e">
        <v>#N/A</v>
      </c>
      <c r="CZ2659" s="137" t="e">
        <v>#N/A</v>
      </c>
      <c r="DA2659">
        <v>0.11332468572476186</v>
      </c>
      <c r="DB2659" t="str">
        <v/>
      </c>
    </row>
    <row r="2660" spans="83:106" x14ac:dyDescent="0.2">
      <c r="CE2660"/>
      <c r="CF2660"/>
      <c r="CG2660"/>
      <c r="CH2660"/>
      <c r="CI2660"/>
      <c r="CU2660" s="42">
        <v>2655</v>
      </c>
      <c r="CV2660" s="115">
        <v>4</v>
      </c>
      <c r="CW2660" s="115">
        <v>0.11332468572476186</v>
      </c>
      <c r="CX2660" s="115" t="e">
        <v>#N/A</v>
      </c>
      <c r="CY2660" s="115" t="e">
        <v>#N/A</v>
      </c>
      <c r="CZ2660" s="137" t="e">
        <v>#N/A</v>
      </c>
      <c r="DA2660">
        <v>0.11332468572476186</v>
      </c>
      <c r="DB2660" t="str">
        <v/>
      </c>
    </row>
    <row r="2661" spans="83:106" x14ac:dyDescent="0.2">
      <c r="CE2661"/>
      <c r="CF2661"/>
      <c r="CG2661"/>
      <c r="CH2661"/>
      <c r="CI2661"/>
      <c r="CU2661" s="42">
        <v>2656</v>
      </c>
      <c r="CV2661" s="115">
        <v>4</v>
      </c>
      <c r="CW2661" s="115">
        <v>0.11332468572476186</v>
      </c>
      <c r="CX2661" s="115" t="e">
        <v>#N/A</v>
      </c>
      <c r="CY2661" s="115" t="e">
        <v>#N/A</v>
      </c>
      <c r="CZ2661" s="137" t="e">
        <v>#N/A</v>
      </c>
      <c r="DA2661">
        <v>0.11332468572476186</v>
      </c>
      <c r="DB2661" t="str">
        <v/>
      </c>
    </row>
    <row r="2662" spans="83:106" x14ac:dyDescent="0.2">
      <c r="CE2662"/>
      <c r="CF2662"/>
      <c r="CG2662"/>
      <c r="CH2662"/>
      <c r="CI2662"/>
      <c r="CU2662" s="42">
        <v>2657</v>
      </c>
      <c r="CV2662" s="115">
        <v>4</v>
      </c>
      <c r="CW2662" s="115">
        <v>0.11332468572476186</v>
      </c>
      <c r="CX2662" s="115" t="e">
        <v>#N/A</v>
      </c>
      <c r="CY2662" s="115" t="e">
        <v>#N/A</v>
      </c>
      <c r="CZ2662" s="137" t="e">
        <v>#N/A</v>
      </c>
      <c r="DA2662">
        <v>0.11332468572476186</v>
      </c>
      <c r="DB2662" t="str">
        <v/>
      </c>
    </row>
    <row r="2663" spans="83:106" x14ac:dyDescent="0.2">
      <c r="CE2663"/>
      <c r="CF2663"/>
      <c r="CG2663"/>
      <c r="CH2663"/>
      <c r="CI2663"/>
      <c r="CU2663" s="42">
        <v>2658</v>
      </c>
      <c r="CV2663" s="115">
        <v>4</v>
      </c>
      <c r="CW2663" s="115">
        <v>0.11332468572476186</v>
      </c>
      <c r="CX2663" s="115" t="e">
        <v>#N/A</v>
      </c>
      <c r="CY2663" s="115" t="e">
        <v>#N/A</v>
      </c>
      <c r="CZ2663" s="137" t="e">
        <v>#N/A</v>
      </c>
      <c r="DA2663">
        <v>0.11332468572476186</v>
      </c>
      <c r="DB2663" t="str">
        <v/>
      </c>
    </row>
    <row r="2664" spans="83:106" x14ac:dyDescent="0.2">
      <c r="CE2664"/>
      <c r="CF2664"/>
      <c r="CG2664"/>
      <c r="CH2664"/>
      <c r="CI2664"/>
      <c r="CU2664" s="42">
        <v>2659</v>
      </c>
      <c r="CV2664" s="115">
        <v>4</v>
      </c>
      <c r="CW2664" s="115">
        <v>0.11332468572476186</v>
      </c>
      <c r="CX2664" s="115" t="e">
        <v>#N/A</v>
      </c>
      <c r="CY2664" s="115" t="e">
        <v>#N/A</v>
      </c>
      <c r="CZ2664" s="137" t="e">
        <v>#N/A</v>
      </c>
      <c r="DA2664">
        <v>0.11332468572476186</v>
      </c>
      <c r="DB2664" t="str">
        <v/>
      </c>
    </row>
    <row r="2665" spans="83:106" x14ac:dyDescent="0.2">
      <c r="CE2665"/>
      <c r="CF2665"/>
      <c r="CG2665"/>
      <c r="CH2665"/>
      <c r="CI2665"/>
      <c r="CU2665" s="42">
        <v>2660</v>
      </c>
      <c r="CV2665" s="115">
        <v>4</v>
      </c>
      <c r="CW2665" s="115">
        <v>0.11332468572476186</v>
      </c>
      <c r="CX2665" s="115" t="e">
        <v>#N/A</v>
      </c>
      <c r="CY2665" s="115" t="e">
        <v>#N/A</v>
      </c>
      <c r="CZ2665" s="137" t="e">
        <v>#N/A</v>
      </c>
      <c r="DA2665">
        <v>0.11332468572476186</v>
      </c>
      <c r="DB2665" t="str">
        <v/>
      </c>
    </row>
    <row r="2666" spans="83:106" x14ac:dyDescent="0.2">
      <c r="CE2666"/>
      <c r="CF2666"/>
      <c r="CG2666"/>
      <c r="CH2666"/>
      <c r="CI2666"/>
      <c r="CU2666" s="42">
        <v>2661</v>
      </c>
      <c r="CV2666" s="115">
        <v>4</v>
      </c>
      <c r="CW2666" s="115">
        <v>0.11332468572476186</v>
      </c>
      <c r="CX2666" s="115" t="e">
        <v>#N/A</v>
      </c>
      <c r="CY2666" s="115" t="e">
        <v>#N/A</v>
      </c>
      <c r="CZ2666" s="137" t="e">
        <v>#N/A</v>
      </c>
      <c r="DA2666">
        <v>0.11332468572476186</v>
      </c>
      <c r="DB2666" t="str">
        <v/>
      </c>
    </row>
    <row r="2667" spans="83:106" x14ac:dyDescent="0.2">
      <c r="CE2667"/>
      <c r="CF2667"/>
      <c r="CG2667"/>
      <c r="CH2667"/>
      <c r="CI2667"/>
      <c r="CU2667" s="42">
        <v>2662</v>
      </c>
      <c r="CV2667" s="115">
        <v>4</v>
      </c>
      <c r="CW2667" s="115">
        <v>0.11332468572476186</v>
      </c>
      <c r="CX2667" s="115" t="e">
        <v>#N/A</v>
      </c>
      <c r="CY2667" s="115" t="e">
        <v>#N/A</v>
      </c>
      <c r="CZ2667" s="137" t="e">
        <v>#N/A</v>
      </c>
      <c r="DA2667">
        <v>0.11332468572476186</v>
      </c>
      <c r="DB2667" t="str">
        <v/>
      </c>
    </row>
    <row r="2668" spans="83:106" x14ac:dyDescent="0.2">
      <c r="CE2668"/>
      <c r="CF2668"/>
      <c r="CG2668"/>
      <c r="CH2668"/>
      <c r="CI2668"/>
      <c r="CU2668" s="42">
        <v>2663</v>
      </c>
      <c r="CV2668" s="115">
        <v>4</v>
      </c>
      <c r="CW2668" s="115">
        <v>0.11332468572476186</v>
      </c>
      <c r="CX2668" s="115" t="e">
        <v>#N/A</v>
      </c>
      <c r="CY2668" s="115" t="e">
        <v>#N/A</v>
      </c>
      <c r="CZ2668" s="137" t="e">
        <v>#N/A</v>
      </c>
      <c r="DA2668">
        <v>0.11332468572476186</v>
      </c>
      <c r="DB2668" t="str">
        <v/>
      </c>
    </row>
    <row r="2669" spans="83:106" x14ac:dyDescent="0.2">
      <c r="CE2669"/>
      <c r="CF2669"/>
      <c r="CG2669"/>
      <c r="CH2669"/>
      <c r="CI2669"/>
      <c r="CU2669" s="42">
        <v>2664</v>
      </c>
      <c r="CV2669" s="115">
        <v>4</v>
      </c>
      <c r="CW2669" s="115">
        <v>0.11332468572476186</v>
      </c>
      <c r="CX2669" s="115" t="e">
        <v>#N/A</v>
      </c>
      <c r="CY2669" s="115" t="e">
        <v>#N/A</v>
      </c>
      <c r="CZ2669" s="137" t="e">
        <v>#N/A</v>
      </c>
      <c r="DA2669">
        <v>0.11332468572476186</v>
      </c>
      <c r="DB2669" t="str">
        <v/>
      </c>
    </row>
    <row r="2670" spans="83:106" x14ac:dyDescent="0.2">
      <c r="CE2670"/>
      <c r="CF2670"/>
      <c r="CG2670"/>
      <c r="CH2670"/>
      <c r="CI2670"/>
      <c r="CU2670" s="42">
        <v>2665</v>
      </c>
      <c r="CV2670" s="115">
        <v>4</v>
      </c>
      <c r="CW2670" s="115">
        <v>0.11332468572476186</v>
      </c>
      <c r="CX2670" s="115" t="e">
        <v>#N/A</v>
      </c>
      <c r="CY2670" s="115" t="e">
        <v>#N/A</v>
      </c>
      <c r="CZ2670" s="137" t="e">
        <v>#N/A</v>
      </c>
      <c r="DA2670">
        <v>0.11332468572476186</v>
      </c>
      <c r="DB2670" t="str">
        <v/>
      </c>
    </row>
    <row r="2671" spans="83:106" x14ac:dyDescent="0.2">
      <c r="CE2671"/>
      <c r="CF2671"/>
      <c r="CG2671"/>
      <c r="CH2671"/>
      <c r="CI2671"/>
      <c r="CU2671" s="42">
        <v>2666</v>
      </c>
      <c r="CV2671" s="115">
        <v>4</v>
      </c>
      <c r="CW2671" s="115">
        <v>0.11332468572476186</v>
      </c>
      <c r="CX2671" s="115" t="e">
        <v>#N/A</v>
      </c>
      <c r="CY2671" s="115" t="e">
        <v>#N/A</v>
      </c>
      <c r="CZ2671" s="137" t="e">
        <v>#N/A</v>
      </c>
      <c r="DA2671">
        <v>0.11332468572476186</v>
      </c>
      <c r="DB2671" t="str">
        <v/>
      </c>
    </row>
    <row r="2672" spans="83:106" x14ac:dyDescent="0.2">
      <c r="CE2672"/>
      <c r="CF2672"/>
      <c r="CG2672"/>
      <c r="CH2672"/>
      <c r="CI2672"/>
      <c r="CU2672" s="42">
        <v>2667</v>
      </c>
      <c r="CV2672" s="115">
        <v>4</v>
      </c>
      <c r="CW2672" s="115">
        <v>0.11332468572476186</v>
      </c>
      <c r="CX2672" s="115" t="e">
        <v>#N/A</v>
      </c>
      <c r="CY2672" s="115" t="e">
        <v>#N/A</v>
      </c>
      <c r="CZ2672" s="137" t="e">
        <v>#N/A</v>
      </c>
      <c r="DA2672">
        <v>0.11332468572476186</v>
      </c>
      <c r="DB2672" t="str">
        <v/>
      </c>
    </row>
    <row r="2673" spans="83:106" x14ac:dyDescent="0.2">
      <c r="CE2673"/>
      <c r="CF2673"/>
      <c r="CG2673"/>
      <c r="CH2673"/>
      <c r="CI2673"/>
      <c r="CU2673" s="42">
        <v>2668</v>
      </c>
      <c r="CV2673" s="115">
        <v>4</v>
      </c>
      <c r="CW2673" s="115">
        <v>0.11332468572476186</v>
      </c>
      <c r="CX2673" s="115" t="e">
        <v>#N/A</v>
      </c>
      <c r="CY2673" s="115" t="e">
        <v>#N/A</v>
      </c>
      <c r="CZ2673" s="137" t="e">
        <v>#N/A</v>
      </c>
      <c r="DA2673">
        <v>0.11332468572476186</v>
      </c>
      <c r="DB2673" t="str">
        <v/>
      </c>
    </row>
    <row r="2674" spans="83:106" x14ac:dyDescent="0.2">
      <c r="CE2674"/>
      <c r="CF2674"/>
      <c r="CG2674"/>
      <c r="CH2674"/>
      <c r="CI2674"/>
      <c r="CU2674" s="42">
        <v>2669</v>
      </c>
      <c r="CV2674" s="115">
        <v>4</v>
      </c>
      <c r="CW2674" s="115">
        <v>0.11332468572476186</v>
      </c>
      <c r="CX2674" s="115" t="e">
        <v>#N/A</v>
      </c>
      <c r="CY2674" s="115" t="e">
        <v>#N/A</v>
      </c>
      <c r="CZ2674" s="137" t="e">
        <v>#N/A</v>
      </c>
      <c r="DA2674">
        <v>0.11332468572476186</v>
      </c>
      <c r="DB2674" t="str">
        <v/>
      </c>
    </row>
    <row r="2675" spans="83:106" x14ac:dyDescent="0.2">
      <c r="CE2675"/>
      <c r="CF2675"/>
      <c r="CG2675"/>
      <c r="CH2675"/>
      <c r="CI2675"/>
      <c r="CU2675" s="42">
        <v>2670</v>
      </c>
      <c r="CV2675" s="115">
        <v>4</v>
      </c>
      <c r="CW2675" s="115">
        <v>0.11332468572476186</v>
      </c>
      <c r="CX2675" s="115" t="e">
        <v>#N/A</v>
      </c>
      <c r="CY2675" s="115" t="e">
        <v>#N/A</v>
      </c>
      <c r="CZ2675" s="137" t="e">
        <v>#N/A</v>
      </c>
      <c r="DA2675">
        <v>0.11332468572476186</v>
      </c>
      <c r="DB2675" t="str">
        <v/>
      </c>
    </row>
    <row r="2676" spans="83:106" x14ac:dyDescent="0.2">
      <c r="CE2676"/>
      <c r="CF2676"/>
      <c r="CG2676"/>
      <c r="CH2676"/>
      <c r="CI2676"/>
      <c r="CU2676" s="42">
        <v>2671</v>
      </c>
      <c r="CV2676" s="115">
        <v>4</v>
      </c>
      <c r="CW2676" s="115">
        <v>0.11332468572476186</v>
      </c>
      <c r="CX2676" s="115" t="e">
        <v>#N/A</v>
      </c>
      <c r="CY2676" s="115" t="e">
        <v>#N/A</v>
      </c>
      <c r="CZ2676" s="137" t="e">
        <v>#N/A</v>
      </c>
      <c r="DA2676">
        <v>0.11332468572476186</v>
      </c>
      <c r="DB2676" t="str">
        <v/>
      </c>
    </row>
    <row r="2677" spans="83:106" x14ac:dyDescent="0.2">
      <c r="CE2677"/>
      <c r="CF2677"/>
      <c r="CG2677"/>
      <c r="CH2677"/>
      <c r="CI2677"/>
      <c r="CU2677" s="42">
        <v>2672</v>
      </c>
      <c r="CV2677" s="115">
        <v>4</v>
      </c>
      <c r="CW2677" s="115">
        <v>0.11332468572476186</v>
      </c>
      <c r="CX2677" s="115" t="e">
        <v>#N/A</v>
      </c>
      <c r="CY2677" s="115" t="e">
        <v>#N/A</v>
      </c>
      <c r="CZ2677" s="137" t="e">
        <v>#N/A</v>
      </c>
      <c r="DA2677">
        <v>0.11332468572476186</v>
      </c>
      <c r="DB2677" t="str">
        <v/>
      </c>
    </row>
    <row r="2678" spans="83:106" x14ac:dyDescent="0.2">
      <c r="CE2678"/>
      <c r="CF2678"/>
      <c r="CG2678"/>
      <c r="CH2678"/>
      <c r="CI2678"/>
      <c r="CU2678" s="42">
        <v>2673</v>
      </c>
      <c r="CV2678" s="115">
        <v>4</v>
      </c>
      <c r="CW2678" s="115">
        <v>0.11332468572476186</v>
      </c>
      <c r="CX2678" s="115" t="e">
        <v>#N/A</v>
      </c>
      <c r="CY2678" s="115" t="e">
        <v>#N/A</v>
      </c>
      <c r="CZ2678" s="137" t="e">
        <v>#N/A</v>
      </c>
      <c r="DA2678">
        <v>0.11332468572476186</v>
      </c>
      <c r="DB2678" t="str">
        <v/>
      </c>
    </row>
    <row r="2679" spans="83:106" x14ac:dyDescent="0.2">
      <c r="CE2679"/>
      <c r="CF2679"/>
      <c r="CG2679"/>
      <c r="CH2679"/>
      <c r="CI2679"/>
      <c r="CU2679" s="42">
        <v>2674</v>
      </c>
      <c r="CV2679" s="115">
        <v>4</v>
      </c>
      <c r="CW2679" s="115">
        <v>0.11332468572476186</v>
      </c>
      <c r="CX2679" s="115" t="e">
        <v>#N/A</v>
      </c>
      <c r="CY2679" s="115" t="e">
        <v>#N/A</v>
      </c>
      <c r="CZ2679" s="137" t="e">
        <v>#N/A</v>
      </c>
      <c r="DA2679">
        <v>0.11332468572476186</v>
      </c>
      <c r="DB2679" t="str">
        <v/>
      </c>
    </row>
    <row r="2680" spans="83:106" x14ac:dyDescent="0.2">
      <c r="CE2680"/>
      <c r="CF2680"/>
      <c r="CG2680"/>
      <c r="CH2680"/>
      <c r="CI2680"/>
      <c r="CU2680" s="42">
        <v>2675</v>
      </c>
      <c r="CV2680" s="115">
        <v>4</v>
      </c>
      <c r="CW2680" s="115">
        <v>0.11332468572476186</v>
      </c>
      <c r="CX2680" s="115" t="e">
        <v>#N/A</v>
      </c>
      <c r="CY2680" s="115" t="e">
        <v>#N/A</v>
      </c>
      <c r="CZ2680" s="137" t="e">
        <v>#N/A</v>
      </c>
      <c r="DA2680">
        <v>0.11332468572476186</v>
      </c>
      <c r="DB2680" t="str">
        <v/>
      </c>
    </row>
    <row r="2681" spans="83:106" x14ac:dyDescent="0.2">
      <c r="CE2681"/>
      <c r="CF2681"/>
      <c r="CG2681"/>
      <c r="CH2681"/>
      <c r="CI2681"/>
      <c r="CU2681" s="42">
        <v>2676</v>
      </c>
      <c r="CV2681" s="115">
        <v>4</v>
      </c>
      <c r="CW2681" s="115">
        <v>0.11332468572476186</v>
      </c>
      <c r="CX2681" s="115" t="e">
        <v>#N/A</v>
      </c>
      <c r="CY2681" s="115" t="e">
        <v>#N/A</v>
      </c>
      <c r="CZ2681" s="137" t="e">
        <v>#N/A</v>
      </c>
      <c r="DA2681">
        <v>0.11332468572476186</v>
      </c>
      <c r="DB2681" t="str">
        <v/>
      </c>
    </row>
    <row r="2682" spans="83:106" x14ac:dyDescent="0.2">
      <c r="CE2682"/>
      <c r="CF2682"/>
      <c r="CG2682"/>
      <c r="CH2682"/>
      <c r="CI2682"/>
      <c r="CU2682" s="42">
        <v>2677</v>
      </c>
      <c r="CV2682" s="115">
        <v>4</v>
      </c>
      <c r="CW2682" s="115">
        <v>0.11332468572476186</v>
      </c>
      <c r="CX2682" s="115" t="e">
        <v>#N/A</v>
      </c>
      <c r="CY2682" s="115" t="e">
        <v>#N/A</v>
      </c>
      <c r="CZ2682" s="137" t="e">
        <v>#N/A</v>
      </c>
      <c r="DA2682">
        <v>0.11332468572476186</v>
      </c>
      <c r="DB2682" t="str">
        <v/>
      </c>
    </row>
    <row r="2683" spans="83:106" x14ac:dyDescent="0.2">
      <c r="CE2683"/>
      <c r="CF2683"/>
      <c r="CG2683"/>
      <c r="CH2683"/>
      <c r="CI2683"/>
      <c r="CU2683" s="42">
        <v>2678</v>
      </c>
      <c r="CV2683" s="115">
        <v>4</v>
      </c>
      <c r="CW2683" s="115">
        <v>0.11332468572476186</v>
      </c>
      <c r="CX2683" s="115" t="e">
        <v>#N/A</v>
      </c>
      <c r="CY2683" s="115" t="e">
        <v>#N/A</v>
      </c>
      <c r="CZ2683" s="137" t="e">
        <v>#N/A</v>
      </c>
      <c r="DA2683">
        <v>0.11332468572476186</v>
      </c>
      <c r="DB2683" t="str">
        <v/>
      </c>
    </row>
    <row r="2684" spans="83:106" x14ac:dyDescent="0.2">
      <c r="CE2684"/>
      <c r="CF2684"/>
      <c r="CG2684"/>
      <c r="CH2684"/>
      <c r="CI2684"/>
      <c r="CU2684" s="42">
        <v>2679</v>
      </c>
      <c r="CV2684" s="115">
        <v>4</v>
      </c>
      <c r="CW2684" s="115">
        <v>0.11332468572476186</v>
      </c>
      <c r="CX2684" s="115" t="e">
        <v>#N/A</v>
      </c>
      <c r="CY2684" s="115" t="e">
        <v>#N/A</v>
      </c>
      <c r="CZ2684" s="137" t="e">
        <v>#N/A</v>
      </c>
      <c r="DA2684">
        <v>0.11332468572476186</v>
      </c>
      <c r="DB2684" t="str">
        <v/>
      </c>
    </row>
    <row r="2685" spans="83:106" x14ac:dyDescent="0.2">
      <c r="CE2685"/>
      <c r="CF2685"/>
      <c r="CG2685"/>
      <c r="CH2685"/>
      <c r="CI2685"/>
      <c r="CU2685" s="42">
        <v>2680</v>
      </c>
      <c r="CV2685" s="115">
        <v>4</v>
      </c>
      <c r="CW2685" s="115">
        <v>0.11332468572476186</v>
      </c>
      <c r="CX2685" s="115" t="e">
        <v>#N/A</v>
      </c>
      <c r="CY2685" s="115" t="e">
        <v>#N/A</v>
      </c>
      <c r="CZ2685" s="137" t="e">
        <v>#N/A</v>
      </c>
      <c r="DA2685">
        <v>0.11332468572476186</v>
      </c>
      <c r="DB2685" t="str">
        <v/>
      </c>
    </row>
    <row r="2686" spans="83:106" x14ac:dyDescent="0.2">
      <c r="CE2686"/>
      <c r="CF2686"/>
      <c r="CG2686"/>
      <c r="CH2686"/>
      <c r="CI2686"/>
      <c r="CU2686" s="42">
        <v>2681</v>
      </c>
      <c r="CV2686" s="115">
        <v>4</v>
      </c>
      <c r="CW2686" s="115">
        <v>0.11332468572476186</v>
      </c>
      <c r="CX2686" s="115" t="e">
        <v>#N/A</v>
      </c>
      <c r="CY2686" s="115" t="e">
        <v>#N/A</v>
      </c>
      <c r="CZ2686" s="137" t="e">
        <v>#N/A</v>
      </c>
      <c r="DA2686">
        <v>0.11332468572476186</v>
      </c>
      <c r="DB2686" t="str">
        <v/>
      </c>
    </row>
    <row r="2687" spans="83:106" x14ac:dyDescent="0.2">
      <c r="CE2687"/>
      <c r="CF2687"/>
      <c r="CG2687"/>
      <c r="CH2687"/>
      <c r="CI2687"/>
      <c r="CU2687" s="42">
        <v>2682</v>
      </c>
      <c r="CV2687" s="115">
        <v>4</v>
      </c>
      <c r="CW2687" s="115">
        <v>0.11332468572476186</v>
      </c>
      <c r="CX2687" s="115" t="e">
        <v>#N/A</v>
      </c>
      <c r="CY2687" s="115" t="e">
        <v>#N/A</v>
      </c>
      <c r="CZ2687" s="137" t="e">
        <v>#N/A</v>
      </c>
      <c r="DA2687">
        <v>0.11332468572476186</v>
      </c>
      <c r="DB2687" t="str">
        <v/>
      </c>
    </row>
    <row r="2688" spans="83:106" x14ac:dyDescent="0.2">
      <c r="CE2688"/>
      <c r="CF2688"/>
      <c r="CG2688"/>
      <c r="CH2688"/>
      <c r="CI2688"/>
      <c r="CU2688" s="42">
        <v>2683</v>
      </c>
      <c r="CV2688" s="115">
        <v>4</v>
      </c>
      <c r="CW2688" s="115">
        <v>0.11332468572476186</v>
      </c>
      <c r="CX2688" s="115" t="e">
        <v>#N/A</v>
      </c>
      <c r="CY2688" s="115" t="e">
        <v>#N/A</v>
      </c>
      <c r="CZ2688" s="137" t="e">
        <v>#N/A</v>
      </c>
      <c r="DA2688">
        <v>0.11332468572476186</v>
      </c>
      <c r="DB2688" t="str">
        <v/>
      </c>
    </row>
    <row r="2689" spans="83:106" x14ac:dyDescent="0.2">
      <c r="CE2689"/>
      <c r="CF2689"/>
      <c r="CG2689"/>
      <c r="CH2689"/>
      <c r="CI2689"/>
      <c r="CU2689" s="42">
        <v>2684</v>
      </c>
      <c r="CV2689" s="115">
        <v>4</v>
      </c>
      <c r="CW2689" s="115">
        <v>0.11332468572476186</v>
      </c>
      <c r="CX2689" s="115" t="e">
        <v>#N/A</v>
      </c>
      <c r="CY2689" s="115" t="e">
        <v>#N/A</v>
      </c>
      <c r="CZ2689" s="137" t="e">
        <v>#N/A</v>
      </c>
      <c r="DA2689">
        <v>0.11332468572476186</v>
      </c>
      <c r="DB2689" t="str">
        <v/>
      </c>
    </row>
    <row r="2690" spans="83:106" x14ac:dyDescent="0.2">
      <c r="CE2690"/>
      <c r="CF2690"/>
      <c r="CG2690"/>
      <c r="CH2690"/>
      <c r="CI2690"/>
      <c r="CU2690" s="42">
        <v>2685</v>
      </c>
      <c r="CV2690" s="115">
        <v>4</v>
      </c>
      <c r="CW2690" s="115">
        <v>0.11332468572476186</v>
      </c>
      <c r="CX2690" s="115" t="e">
        <v>#N/A</v>
      </c>
      <c r="CY2690" s="115" t="e">
        <v>#N/A</v>
      </c>
      <c r="CZ2690" s="137" t="e">
        <v>#N/A</v>
      </c>
      <c r="DA2690">
        <v>0.11332468572476186</v>
      </c>
      <c r="DB2690" t="str">
        <v/>
      </c>
    </row>
    <row r="2691" spans="83:106" x14ac:dyDescent="0.2">
      <c r="CE2691"/>
      <c r="CF2691"/>
      <c r="CG2691"/>
      <c r="CH2691"/>
      <c r="CI2691"/>
      <c r="CU2691" s="42">
        <v>2686</v>
      </c>
      <c r="CV2691" s="115">
        <v>4</v>
      </c>
      <c r="CW2691" s="115">
        <v>0.11332468572476186</v>
      </c>
      <c r="CX2691" s="115" t="e">
        <v>#N/A</v>
      </c>
      <c r="CY2691" s="115" t="e">
        <v>#N/A</v>
      </c>
      <c r="CZ2691" s="137" t="e">
        <v>#N/A</v>
      </c>
      <c r="DA2691">
        <v>0.11332468572476186</v>
      </c>
      <c r="DB2691" t="str">
        <v/>
      </c>
    </row>
    <row r="2692" spans="83:106" x14ac:dyDescent="0.2">
      <c r="CE2692"/>
      <c r="CF2692"/>
      <c r="CG2692"/>
      <c r="CH2692"/>
      <c r="CI2692"/>
      <c r="CU2692" s="42">
        <v>2687</v>
      </c>
      <c r="CV2692" s="115">
        <v>4</v>
      </c>
      <c r="CW2692" s="115">
        <v>0.11332468572476186</v>
      </c>
      <c r="CX2692" s="115" t="e">
        <v>#N/A</v>
      </c>
      <c r="CY2692" s="115" t="e">
        <v>#N/A</v>
      </c>
      <c r="CZ2692" s="137" t="e">
        <v>#N/A</v>
      </c>
      <c r="DA2692">
        <v>0.11332468572476186</v>
      </c>
      <c r="DB2692" t="str">
        <v/>
      </c>
    </row>
    <row r="2693" spans="83:106" x14ac:dyDescent="0.2">
      <c r="CE2693"/>
      <c r="CF2693"/>
      <c r="CG2693"/>
      <c r="CH2693"/>
      <c r="CI2693"/>
      <c r="CU2693" s="42">
        <v>2688</v>
      </c>
      <c r="CV2693" s="115">
        <v>4</v>
      </c>
      <c r="CW2693" s="115">
        <v>0.11332468572476186</v>
      </c>
      <c r="CX2693" s="115" t="e">
        <v>#N/A</v>
      </c>
      <c r="CY2693" s="115" t="e">
        <v>#N/A</v>
      </c>
      <c r="CZ2693" s="137" t="e">
        <v>#N/A</v>
      </c>
      <c r="DA2693">
        <v>0.11332468572476186</v>
      </c>
      <c r="DB2693" t="str">
        <v/>
      </c>
    </row>
    <row r="2694" spans="83:106" x14ac:dyDescent="0.2">
      <c r="CE2694"/>
      <c r="CF2694"/>
      <c r="CG2694"/>
      <c r="CH2694"/>
      <c r="CI2694"/>
      <c r="CU2694" s="42">
        <v>2689</v>
      </c>
      <c r="CV2694" s="115">
        <v>4</v>
      </c>
      <c r="CW2694" s="115">
        <v>0.11332468572476186</v>
      </c>
      <c r="CX2694" s="115" t="e">
        <v>#N/A</v>
      </c>
      <c r="CY2694" s="115" t="e">
        <v>#N/A</v>
      </c>
      <c r="CZ2694" s="137" t="e">
        <v>#N/A</v>
      </c>
      <c r="DA2694">
        <v>0.11332468572476186</v>
      </c>
      <c r="DB2694" t="str">
        <v/>
      </c>
    </row>
    <row r="2695" spans="83:106" x14ac:dyDescent="0.2">
      <c r="CE2695"/>
      <c r="CF2695"/>
      <c r="CG2695"/>
      <c r="CH2695"/>
      <c r="CI2695"/>
      <c r="CU2695" s="42">
        <v>2690</v>
      </c>
      <c r="CV2695" s="115">
        <v>4</v>
      </c>
      <c r="CW2695" s="115">
        <v>0.11332468572476186</v>
      </c>
      <c r="CX2695" s="115" t="e">
        <v>#N/A</v>
      </c>
      <c r="CY2695" s="115" t="e">
        <v>#N/A</v>
      </c>
      <c r="CZ2695" s="137" t="e">
        <v>#N/A</v>
      </c>
      <c r="DA2695">
        <v>0.11332468572476186</v>
      </c>
      <c r="DB2695" t="str">
        <v/>
      </c>
    </row>
    <row r="2696" spans="83:106" x14ac:dyDescent="0.2">
      <c r="CE2696"/>
      <c r="CF2696"/>
      <c r="CG2696"/>
      <c r="CH2696"/>
      <c r="CI2696"/>
      <c r="CU2696" s="42">
        <v>2691</v>
      </c>
      <c r="CV2696" s="115">
        <v>4</v>
      </c>
      <c r="CW2696" s="115">
        <v>0.11332468572476186</v>
      </c>
      <c r="CX2696" s="115" t="e">
        <v>#N/A</v>
      </c>
      <c r="CY2696" s="115" t="e">
        <v>#N/A</v>
      </c>
      <c r="CZ2696" s="137" t="e">
        <v>#N/A</v>
      </c>
      <c r="DA2696">
        <v>0.11332468572476186</v>
      </c>
      <c r="DB2696" t="str">
        <v/>
      </c>
    </row>
    <row r="2697" spans="83:106" x14ac:dyDescent="0.2">
      <c r="CE2697"/>
      <c r="CF2697"/>
      <c r="CG2697"/>
      <c r="CH2697"/>
      <c r="CI2697"/>
      <c r="CU2697" s="42">
        <v>2692</v>
      </c>
      <c r="CV2697" s="115">
        <v>4</v>
      </c>
      <c r="CW2697" s="115">
        <v>0.11332468572476186</v>
      </c>
      <c r="CX2697" s="115" t="e">
        <v>#N/A</v>
      </c>
      <c r="CY2697" s="115" t="e">
        <v>#N/A</v>
      </c>
      <c r="CZ2697" s="137" t="e">
        <v>#N/A</v>
      </c>
      <c r="DA2697">
        <v>0.11332468572476186</v>
      </c>
      <c r="DB2697" t="str">
        <v/>
      </c>
    </row>
    <row r="2698" spans="83:106" x14ac:dyDescent="0.2">
      <c r="CE2698"/>
      <c r="CF2698"/>
      <c r="CG2698"/>
      <c r="CH2698"/>
      <c r="CI2698"/>
      <c r="CU2698" s="42">
        <v>2693</v>
      </c>
      <c r="CV2698" s="115">
        <v>4</v>
      </c>
      <c r="CW2698" s="115">
        <v>0.11332468572476186</v>
      </c>
      <c r="CX2698" s="115" t="e">
        <v>#N/A</v>
      </c>
      <c r="CY2698" s="115" t="e">
        <v>#N/A</v>
      </c>
      <c r="CZ2698" s="137" t="e">
        <v>#N/A</v>
      </c>
      <c r="DA2698">
        <v>0.11332468572476186</v>
      </c>
      <c r="DB2698" t="str">
        <v/>
      </c>
    </row>
    <row r="2699" spans="83:106" x14ac:dyDescent="0.2">
      <c r="CE2699"/>
      <c r="CF2699"/>
      <c r="CG2699"/>
      <c r="CH2699"/>
      <c r="CI2699"/>
      <c r="CU2699" s="42">
        <v>2694</v>
      </c>
      <c r="CV2699" s="115">
        <v>4</v>
      </c>
      <c r="CW2699" s="115">
        <v>0.11332468572476186</v>
      </c>
      <c r="CX2699" s="115" t="e">
        <v>#N/A</v>
      </c>
      <c r="CY2699" s="115" t="e">
        <v>#N/A</v>
      </c>
      <c r="CZ2699" s="137" t="e">
        <v>#N/A</v>
      </c>
      <c r="DA2699">
        <v>0.11332468572476186</v>
      </c>
      <c r="DB2699" t="str">
        <v/>
      </c>
    </row>
    <row r="2700" spans="83:106" x14ac:dyDescent="0.2">
      <c r="CE2700"/>
      <c r="CF2700"/>
      <c r="CG2700"/>
      <c r="CH2700"/>
      <c r="CI2700"/>
      <c r="CU2700" s="42">
        <v>2695</v>
      </c>
      <c r="CV2700" s="115">
        <v>4</v>
      </c>
      <c r="CW2700" s="115">
        <v>0.11332468572476186</v>
      </c>
      <c r="CX2700" s="115" t="e">
        <v>#N/A</v>
      </c>
      <c r="CY2700" s="115" t="e">
        <v>#N/A</v>
      </c>
      <c r="CZ2700" s="137" t="e">
        <v>#N/A</v>
      </c>
      <c r="DA2700">
        <v>0.11332468572476186</v>
      </c>
      <c r="DB2700" t="str">
        <v/>
      </c>
    </row>
    <row r="2701" spans="83:106" x14ac:dyDescent="0.2">
      <c r="CE2701"/>
      <c r="CF2701"/>
      <c r="CG2701"/>
      <c r="CH2701"/>
      <c r="CI2701"/>
      <c r="CU2701" s="42">
        <v>2696</v>
      </c>
      <c r="CV2701" s="115">
        <v>4</v>
      </c>
      <c r="CW2701" s="115">
        <v>0.11332468572476186</v>
      </c>
      <c r="CX2701" s="115" t="e">
        <v>#N/A</v>
      </c>
      <c r="CY2701" s="115" t="e">
        <v>#N/A</v>
      </c>
      <c r="CZ2701" s="137" t="e">
        <v>#N/A</v>
      </c>
      <c r="DA2701">
        <v>0.11332468572476186</v>
      </c>
      <c r="DB2701" t="str">
        <v/>
      </c>
    </row>
    <row r="2702" spans="83:106" x14ac:dyDescent="0.2">
      <c r="CE2702"/>
      <c r="CF2702"/>
      <c r="CG2702"/>
      <c r="CH2702"/>
      <c r="CI2702"/>
      <c r="CU2702" s="42">
        <v>2697</v>
      </c>
      <c r="CV2702" s="115">
        <v>4</v>
      </c>
      <c r="CW2702" s="115">
        <v>0.11332468572476186</v>
      </c>
      <c r="CX2702" s="115" t="e">
        <v>#N/A</v>
      </c>
      <c r="CY2702" s="115" t="e">
        <v>#N/A</v>
      </c>
      <c r="CZ2702" s="137" t="e">
        <v>#N/A</v>
      </c>
      <c r="DA2702">
        <v>0.11332468572476186</v>
      </c>
      <c r="DB2702" t="str">
        <v/>
      </c>
    </row>
    <row r="2703" spans="83:106" x14ac:dyDescent="0.2">
      <c r="CE2703"/>
      <c r="CF2703"/>
      <c r="CG2703"/>
      <c r="CH2703"/>
      <c r="CI2703"/>
      <c r="CU2703" s="42">
        <v>2698</v>
      </c>
      <c r="CV2703" s="115">
        <v>4</v>
      </c>
      <c r="CW2703" s="115">
        <v>0.11332468572476186</v>
      </c>
      <c r="CX2703" s="115" t="e">
        <v>#N/A</v>
      </c>
      <c r="CY2703" s="115" t="e">
        <v>#N/A</v>
      </c>
      <c r="CZ2703" s="137" t="e">
        <v>#N/A</v>
      </c>
      <c r="DA2703">
        <v>0.11332468572476186</v>
      </c>
      <c r="DB2703" t="str">
        <v/>
      </c>
    </row>
    <row r="2704" spans="83:106" x14ac:dyDescent="0.2">
      <c r="CE2704"/>
      <c r="CF2704"/>
      <c r="CG2704"/>
      <c r="CH2704"/>
      <c r="CI2704"/>
      <c r="CU2704" s="42">
        <v>2699</v>
      </c>
      <c r="CV2704" s="115">
        <v>4</v>
      </c>
      <c r="CW2704" s="115">
        <v>0.11332468572476186</v>
      </c>
      <c r="CX2704" s="115" t="e">
        <v>#N/A</v>
      </c>
      <c r="CY2704" s="115" t="e">
        <v>#N/A</v>
      </c>
      <c r="CZ2704" s="137" t="e">
        <v>#N/A</v>
      </c>
      <c r="DA2704">
        <v>0.11332468572476186</v>
      </c>
      <c r="DB2704" t="str">
        <v/>
      </c>
    </row>
    <row r="2705" spans="83:106" x14ac:dyDescent="0.2">
      <c r="CE2705"/>
      <c r="CF2705"/>
      <c r="CG2705"/>
      <c r="CH2705"/>
      <c r="CI2705"/>
      <c r="CU2705" s="42">
        <v>2700</v>
      </c>
      <c r="CV2705" s="115">
        <v>4</v>
      </c>
      <c r="CW2705" s="115">
        <v>0.11332468572476186</v>
      </c>
      <c r="CX2705" s="115" t="e">
        <v>#N/A</v>
      </c>
      <c r="CY2705" s="115" t="e">
        <v>#N/A</v>
      </c>
      <c r="CZ2705" s="137" t="e">
        <v>#N/A</v>
      </c>
      <c r="DA2705">
        <v>0.11332468572476186</v>
      </c>
      <c r="DB2705" t="str">
        <v/>
      </c>
    </row>
    <row r="2706" spans="83:106" x14ac:dyDescent="0.2">
      <c r="CE2706"/>
      <c r="CF2706"/>
      <c r="CG2706"/>
      <c r="CH2706"/>
      <c r="CI2706"/>
      <c r="CU2706" s="42">
        <v>2701</v>
      </c>
      <c r="CV2706" s="115">
        <v>4</v>
      </c>
      <c r="CW2706" s="115">
        <v>0.11332468572476186</v>
      </c>
      <c r="CX2706" s="115" t="e">
        <v>#N/A</v>
      </c>
      <c r="CY2706" s="115" t="e">
        <v>#N/A</v>
      </c>
      <c r="CZ2706" s="137" t="e">
        <v>#N/A</v>
      </c>
      <c r="DA2706">
        <v>0.11332468572476186</v>
      </c>
      <c r="DB2706" t="str">
        <v/>
      </c>
    </row>
    <row r="2707" spans="83:106" x14ac:dyDescent="0.2">
      <c r="CE2707"/>
      <c r="CF2707"/>
      <c r="CG2707"/>
      <c r="CH2707"/>
      <c r="CI2707"/>
      <c r="CU2707" s="42">
        <v>2702</v>
      </c>
      <c r="CV2707" s="115">
        <v>4</v>
      </c>
      <c r="CW2707" s="115">
        <v>0.11332468572476186</v>
      </c>
      <c r="CX2707" s="115" t="e">
        <v>#N/A</v>
      </c>
      <c r="CY2707" s="115" t="e">
        <v>#N/A</v>
      </c>
      <c r="CZ2707" s="137" t="e">
        <v>#N/A</v>
      </c>
      <c r="DA2707">
        <v>0.11332468572476186</v>
      </c>
      <c r="DB2707" t="str">
        <v/>
      </c>
    </row>
    <row r="2708" spans="83:106" x14ac:dyDescent="0.2">
      <c r="CE2708"/>
      <c r="CF2708"/>
      <c r="CG2708"/>
      <c r="CH2708"/>
      <c r="CI2708"/>
      <c r="CU2708" s="42">
        <v>2703</v>
      </c>
      <c r="CV2708" s="115">
        <v>4</v>
      </c>
      <c r="CW2708" s="115">
        <v>0.11332468572476186</v>
      </c>
      <c r="CX2708" s="115" t="e">
        <v>#N/A</v>
      </c>
      <c r="CY2708" s="115" t="e">
        <v>#N/A</v>
      </c>
      <c r="CZ2708" s="137" t="e">
        <v>#N/A</v>
      </c>
      <c r="DA2708">
        <v>0.11332468572476186</v>
      </c>
      <c r="DB2708" t="str">
        <v/>
      </c>
    </row>
    <row r="2709" spans="83:106" x14ac:dyDescent="0.2">
      <c r="CE2709"/>
      <c r="CF2709"/>
      <c r="CG2709"/>
      <c r="CH2709"/>
      <c r="CI2709"/>
      <c r="CU2709" s="42">
        <v>2704</v>
      </c>
      <c r="CV2709" s="115">
        <v>4</v>
      </c>
      <c r="CW2709" s="115">
        <v>0.11332468572476186</v>
      </c>
      <c r="CX2709" s="115" t="e">
        <v>#N/A</v>
      </c>
      <c r="CY2709" s="115" t="e">
        <v>#N/A</v>
      </c>
      <c r="CZ2709" s="137" t="e">
        <v>#N/A</v>
      </c>
      <c r="DA2709">
        <v>0.11332468572476186</v>
      </c>
      <c r="DB2709" t="str">
        <v/>
      </c>
    </row>
    <row r="2710" spans="83:106" x14ac:dyDescent="0.2">
      <c r="CE2710"/>
      <c r="CF2710"/>
      <c r="CG2710"/>
      <c r="CH2710"/>
      <c r="CI2710"/>
      <c r="CU2710" s="42">
        <v>2705</v>
      </c>
      <c r="CV2710" s="115">
        <v>4</v>
      </c>
      <c r="CW2710" s="115">
        <v>0.11332468572476186</v>
      </c>
      <c r="CX2710" s="115" t="e">
        <v>#N/A</v>
      </c>
      <c r="CY2710" s="115" t="e">
        <v>#N/A</v>
      </c>
      <c r="CZ2710" s="137" t="e">
        <v>#N/A</v>
      </c>
      <c r="DA2710">
        <v>0.11332468572476186</v>
      </c>
      <c r="DB2710" t="str">
        <v/>
      </c>
    </row>
    <row r="2711" spans="83:106" x14ac:dyDescent="0.2">
      <c r="CE2711"/>
      <c r="CF2711"/>
      <c r="CG2711"/>
      <c r="CH2711"/>
      <c r="CI2711"/>
      <c r="CU2711" s="42">
        <v>2706</v>
      </c>
      <c r="CV2711" s="115">
        <v>4</v>
      </c>
      <c r="CW2711" s="115">
        <v>0.11332468572476186</v>
      </c>
      <c r="CX2711" s="115" t="e">
        <v>#N/A</v>
      </c>
      <c r="CY2711" s="115" t="e">
        <v>#N/A</v>
      </c>
      <c r="CZ2711" s="137" t="e">
        <v>#N/A</v>
      </c>
      <c r="DA2711">
        <v>0.11332468572476186</v>
      </c>
      <c r="DB2711" t="str">
        <v/>
      </c>
    </row>
    <row r="2712" spans="83:106" x14ac:dyDescent="0.2">
      <c r="CE2712"/>
      <c r="CF2712"/>
      <c r="CG2712"/>
      <c r="CH2712"/>
      <c r="CI2712"/>
      <c r="CU2712" s="42">
        <v>2707</v>
      </c>
      <c r="CV2712" s="115">
        <v>4</v>
      </c>
      <c r="CW2712" s="115">
        <v>0.11332468572476186</v>
      </c>
      <c r="CX2712" s="115" t="e">
        <v>#N/A</v>
      </c>
      <c r="CY2712" s="115" t="e">
        <v>#N/A</v>
      </c>
      <c r="CZ2712" s="137" t="e">
        <v>#N/A</v>
      </c>
      <c r="DA2712">
        <v>0.11332468572476186</v>
      </c>
      <c r="DB2712" t="str">
        <v/>
      </c>
    </row>
    <row r="2713" spans="83:106" x14ac:dyDescent="0.2">
      <c r="CE2713"/>
      <c r="CF2713"/>
      <c r="CG2713"/>
      <c r="CH2713"/>
      <c r="CI2713"/>
      <c r="CU2713" s="42">
        <v>2708</v>
      </c>
      <c r="CV2713" s="115">
        <v>4</v>
      </c>
      <c r="CW2713" s="115">
        <v>0.11332468572476186</v>
      </c>
      <c r="CX2713" s="115" t="e">
        <v>#N/A</v>
      </c>
      <c r="CY2713" s="115" t="e">
        <v>#N/A</v>
      </c>
      <c r="CZ2713" s="137" t="e">
        <v>#N/A</v>
      </c>
      <c r="DA2713">
        <v>0.11332468572476186</v>
      </c>
      <c r="DB2713" t="str">
        <v/>
      </c>
    </row>
    <row r="2714" spans="83:106" x14ac:dyDescent="0.2">
      <c r="CE2714"/>
      <c r="CF2714"/>
      <c r="CG2714"/>
      <c r="CH2714"/>
      <c r="CI2714"/>
      <c r="CU2714" s="42">
        <v>2709</v>
      </c>
      <c r="CV2714" s="115">
        <v>4</v>
      </c>
      <c r="CW2714" s="115">
        <v>0.11332468572476186</v>
      </c>
      <c r="CX2714" s="115" t="e">
        <v>#N/A</v>
      </c>
      <c r="CY2714" s="115" t="e">
        <v>#N/A</v>
      </c>
      <c r="CZ2714" s="137" t="e">
        <v>#N/A</v>
      </c>
      <c r="DA2714">
        <v>0.11332468572476186</v>
      </c>
      <c r="DB2714" t="str">
        <v/>
      </c>
    </row>
    <row r="2715" spans="83:106" x14ac:dyDescent="0.2">
      <c r="CE2715"/>
      <c r="CF2715"/>
      <c r="CG2715"/>
      <c r="CH2715"/>
      <c r="CI2715"/>
      <c r="CU2715" s="42">
        <v>2710</v>
      </c>
      <c r="CV2715" s="115">
        <v>4</v>
      </c>
      <c r="CW2715" s="115">
        <v>0.11332468572476186</v>
      </c>
      <c r="CX2715" s="115" t="e">
        <v>#N/A</v>
      </c>
      <c r="CY2715" s="115" t="e">
        <v>#N/A</v>
      </c>
      <c r="CZ2715" s="137" t="e">
        <v>#N/A</v>
      </c>
      <c r="DA2715">
        <v>0.11332468572476186</v>
      </c>
      <c r="DB2715" t="str">
        <v/>
      </c>
    </row>
    <row r="2716" spans="83:106" x14ac:dyDescent="0.2">
      <c r="CE2716"/>
      <c r="CF2716"/>
      <c r="CG2716"/>
      <c r="CH2716"/>
      <c r="CI2716"/>
      <c r="CU2716" s="42">
        <v>2711</v>
      </c>
      <c r="CV2716" s="115">
        <v>4</v>
      </c>
      <c r="CW2716" s="115">
        <v>0.11332468572476186</v>
      </c>
      <c r="CX2716" s="115" t="e">
        <v>#N/A</v>
      </c>
      <c r="CY2716" s="115" t="e">
        <v>#N/A</v>
      </c>
      <c r="CZ2716" s="137" t="e">
        <v>#N/A</v>
      </c>
      <c r="DA2716">
        <v>0.11332468572476186</v>
      </c>
      <c r="DB2716" t="str">
        <v/>
      </c>
    </row>
    <row r="2717" spans="83:106" x14ac:dyDescent="0.2">
      <c r="CE2717"/>
      <c r="CF2717"/>
      <c r="CG2717"/>
      <c r="CH2717"/>
      <c r="CI2717"/>
      <c r="CU2717" s="42">
        <v>2712</v>
      </c>
      <c r="CV2717" s="115">
        <v>4</v>
      </c>
      <c r="CW2717" s="115">
        <v>0.11332468572476186</v>
      </c>
      <c r="CX2717" s="115" t="e">
        <v>#N/A</v>
      </c>
      <c r="CY2717" s="115" t="e">
        <v>#N/A</v>
      </c>
      <c r="CZ2717" s="137" t="e">
        <v>#N/A</v>
      </c>
      <c r="DA2717">
        <v>0.11332468572476186</v>
      </c>
      <c r="DB2717" t="str">
        <v/>
      </c>
    </row>
    <row r="2718" spans="83:106" x14ac:dyDescent="0.2">
      <c r="CE2718"/>
      <c r="CF2718"/>
      <c r="CG2718"/>
      <c r="CH2718"/>
      <c r="CI2718"/>
      <c r="CU2718" s="42">
        <v>2713</v>
      </c>
      <c r="CV2718" s="115">
        <v>4</v>
      </c>
      <c r="CW2718" s="115">
        <v>0.11332468572476186</v>
      </c>
      <c r="CX2718" s="115" t="e">
        <v>#N/A</v>
      </c>
      <c r="CY2718" s="115" t="e">
        <v>#N/A</v>
      </c>
      <c r="CZ2718" s="137" t="e">
        <v>#N/A</v>
      </c>
      <c r="DA2718">
        <v>0.11332468572476186</v>
      </c>
      <c r="DB2718" t="str">
        <v/>
      </c>
    </row>
    <row r="2719" spans="83:106" x14ac:dyDescent="0.2">
      <c r="CE2719"/>
      <c r="CF2719"/>
      <c r="CG2719"/>
      <c r="CH2719"/>
      <c r="CI2719"/>
      <c r="CU2719" s="42">
        <v>2714</v>
      </c>
      <c r="CV2719" s="115">
        <v>4</v>
      </c>
      <c r="CW2719" s="115">
        <v>0.11332468572476186</v>
      </c>
      <c r="CX2719" s="115" t="e">
        <v>#N/A</v>
      </c>
      <c r="CY2719" s="115" t="e">
        <v>#N/A</v>
      </c>
      <c r="CZ2719" s="137" t="e">
        <v>#N/A</v>
      </c>
      <c r="DA2719">
        <v>0.11332468572476186</v>
      </c>
      <c r="DB2719" t="str">
        <v/>
      </c>
    </row>
    <row r="2720" spans="83:106" x14ac:dyDescent="0.2">
      <c r="CE2720"/>
      <c r="CF2720"/>
      <c r="CG2720"/>
      <c r="CH2720"/>
      <c r="CI2720"/>
      <c r="CU2720" s="42">
        <v>2715</v>
      </c>
      <c r="CV2720" s="115">
        <v>4</v>
      </c>
      <c r="CW2720" s="115">
        <v>0.11332468572476186</v>
      </c>
      <c r="CX2720" s="115" t="e">
        <v>#N/A</v>
      </c>
      <c r="CY2720" s="115" t="e">
        <v>#N/A</v>
      </c>
      <c r="CZ2720" s="137" t="e">
        <v>#N/A</v>
      </c>
      <c r="DA2720">
        <v>0.11332468572476186</v>
      </c>
      <c r="DB2720" t="str">
        <v/>
      </c>
    </row>
    <row r="2721" spans="83:106" x14ac:dyDescent="0.2">
      <c r="CE2721"/>
      <c r="CF2721"/>
      <c r="CG2721"/>
      <c r="CH2721"/>
      <c r="CI2721"/>
      <c r="CU2721" s="42">
        <v>2716</v>
      </c>
      <c r="CV2721" s="115">
        <v>4</v>
      </c>
      <c r="CW2721" s="115">
        <v>0.11332468572476186</v>
      </c>
      <c r="CX2721" s="115" t="e">
        <v>#N/A</v>
      </c>
      <c r="CY2721" s="115" t="e">
        <v>#N/A</v>
      </c>
      <c r="CZ2721" s="137" t="e">
        <v>#N/A</v>
      </c>
      <c r="DA2721">
        <v>0.11332468572476186</v>
      </c>
      <c r="DB2721" t="str">
        <v/>
      </c>
    </row>
    <row r="2722" spans="83:106" x14ac:dyDescent="0.2">
      <c r="CE2722"/>
      <c r="CF2722"/>
      <c r="CG2722"/>
      <c r="CH2722"/>
      <c r="CI2722"/>
      <c r="CU2722" s="42">
        <v>2717</v>
      </c>
      <c r="CV2722" s="115">
        <v>4</v>
      </c>
      <c r="CW2722" s="115">
        <v>0.11332468572476186</v>
      </c>
      <c r="CX2722" s="115" t="e">
        <v>#N/A</v>
      </c>
      <c r="CY2722" s="115" t="e">
        <v>#N/A</v>
      </c>
      <c r="CZ2722" s="137" t="e">
        <v>#N/A</v>
      </c>
      <c r="DA2722">
        <v>0.11332468572476186</v>
      </c>
      <c r="DB2722" t="str">
        <v/>
      </c>
    </row>
    <row r="2723" spans="83:106" x14ac:dyDescent="0.2">
      <c r="CE2723"/>
      <c r="CF2723"/>
      <c r="CG2723"/>
      <c r="CH2723"/>
      <c r="CI2723"/>
      <c r="CU2723" s="42">
        <v>2718</v>
      </c>
      <c r="CV2723" s="115">
        <v>4</v>
      </c>
      <c r="CW2723" s="115">
        <v>0.11332468572476186</v>
      </c>
      <c r="CX2723" s="115" t="e">
        <v>#N/A</v>
      </c>
      <c r="CY2723" s="115" t="e">
        <v>#N/A</v>
      </c>
      <c r="CZ2723" s="137" t="e">
        <v>#N/A</v>
      </c>
      <c r="DA2723">
        <v>0.11332468572476186</v>
      </c>
      <c r="DB2723" t="str">
        <v/>
      </c>
    </row>
    <row r="2724" spans="83:106" x14ac:dyDescent="0.2">
      <c r="CE2724"/>
      <c r="CF2724"/>
      <c r="CG2724"/>
      <c r="CH2724"/>
      <c r="CI2724"/>
      <c r="CU2724" s="42">
        <v>2719</v>
      </c>
      <c r="CV2724" s="115">
        <v>4</v>
      </c>
      <c r="CW2724" s="115">
        <v>0.11332468572476186</v>
      </c>
      <c r="CX2724" s="115" t="e">
        <v>#N/A</v>
      </c>
      <c r="CY2724" s="115" t="e">
        <v>#N/A</v>
      </c>
      <c r="CZ2724" s="137" t="e">
        <v>#N/A</v>
      </c>
      <c r="DA2724">
        <v>0.11332468572476186</v>
      </c>
      <c r="DB2724" t="str">
        <v/>
      </c>
    </row>
    <row r="2725" spans="83:106" x14ac:dyDescent="0.2">
      <c r="CE2725"/>
      <c r="CF2725"/>
      <c r="CG2725"/>
      <c r="CH2725"/>
      <c r="CI2725"/>
      <c r="CU2725" s="42">
        <v>2720</v>
      </c>
      <c r="CV2725" s="115">
        <v>4</v>
      </c>
      <c r="CW2725" s="115">
        <v>0.11332468572476186</v>
      </c>
      <c r="CX2725" s="115" t="e">
        <v>#N/A</v>
      </c>
      <c r="CY2725" s="115" t="e">
        <v>#N/A</v>
      </c>
      <c r="CZ2725" s="137" t="e">
        <v>#N/A</v>
      </c>
      <c r="DA2725">
        <v>0.11332468572476186</v>
      </c>
      <c r="DB2725" t="str">
        <v/>
      </c>
    </row>
    <row r="2726" spans="83:106" x14ac:dyDescent="0.2">
      <c r="CE2726"/>
      <c r="CF2726"/>
      <c r="CG2726"/>
      <c r="CH2726"/>
      <c r="CI2726"/>
      <c r="CU2726" s="42">
        <v>2721</v>
      </c>
      <c r="CV2726" s="115">
        <v>4</v>
      </c>
      <c r="CW2726" s="115">
        <v>0.11332468572476186</v>
      </c>
      <c r="CX2726" s="115" t="e">
        <v>#N/A</v>
      </c>
      <c r="CY2726" s="115" t="e">
        <v>#N/A</v>
      </c>
      <c r="CZ2726" s="137" t="e">
        <v>#N/A</v>
      </c>
      <c r="DA2726">
        <v>0.11332468572476186</v>
      </c>
      <c r="DB2726" t="str">
        <v/>
      </c>
    </row>
    <row r="2727" spans="83:106" x14ac:dyDescent="0.2">
      <c r="CE2727"/>
      <c r="CF2727"/>
      <c r="CG2727"/>
      <c r="CH2727"/>
      <c r="CI2727"/>
      <c r="CU2727" s="42">
        <v>2722</v>
      </c>
      <c r="CV2727" s="115">
        <v>4</v>
      </c>
      <c r="CW2727" s="115">
        <v>0.11332468572476186</v>
      </c>
      <c r="CX2727" s="115" t="e">
        <v>#N/A</v>
      </c>
      <c r="CY2727" s="115" t="e">
        <v>#N/A</v>
      </c>
      <c r="CZ2727" s="137" t="e">
        <v>#N/A</v>
      </c>
      <c r="DA2727">
        <v>0.11332468572476186</v>
      </c>
      <c r="DB2727" t="str">
        <v/>
      </c>
    </row>
    <row r="2728" spans="83:106" x14ac:dyDescent="0.2">
      <c r="CE2728"/>
      <c r="CF2728"/>
      <c r="CG2728"/>
      <c r="CH2728"/>
      <c r="CI2728"/>
      <c r="CU2728" s="42">
        <v>2723</v>
      </c>
      <c r="CV2728" s="115">
        <v>4</v>
      </c>
      <c r="CW2728" s="115">
        <v>0.11332468572476186</v>
      </c>
      <c r="CX2728" s="115" t="e">
        <v>#N/A</v>
      </c>
      <c r="CY2728" s="115" t="e">
        <v>#N/A</v>
      </c>
      <c r="CZ2728" s="137" t="e">
        <v>#N/A</v>
      </c>
      <c r="DA2728">
        <v>0.11332468572476186</v>
      </c>
      <c r="DB2728" t="str">
        <v/>
      </c>
    </row>
    <row r="2729" spans="83:106" x14ac:dyDescent="0.2">
      <c r="CE2729"/>
      <c r="CF2729"/>
      <c r="CG2729"/>
      <c r="CH2729"/>
      <c r="CI2729"/>
      <c r="CU2729" s="42">
        <v>2724</v>
      </c>
      <c r="CV2729" s="115">
        <v>4</v>
      </c>
      <c r="CW2729" s="115">
        <v>0.11332468572476186</v>
      </c>
      <c r="CX2729" s="115" t="e">
        <v>#N/A</v>
      </c>
      <c r="CY2729" s="115" t="e">
        <v>#N/A</v>
      </c>
      <c r="CZ2729" s="137" t="e">
        <v>#N/A</v>
      </c>
      <c r="DA2729">
        <v>0.11332468572476186</v>
      </c>
      <c r="DB2729" t="str">
        <v/>
      </c>
    </row>
    <row r="2730" spans="83:106" x14ac:dyDescent="0.2">
      <c r="CE2730"/>
      <c r="CF2730"/>
      <c r="CG2730"/>
      <c r="CH2730"/>
      <c r="CI2730"/>
      <c r="CU2730" s="42">
        <v>2725</v>
      </c>
      <c r="CV2730" s="115">
        <v>4</v>
      </c>
      <c r="CW2730" s="115">
        <v>0.11332468572476186</v>
      </c>
      <c r="CX2730" s="115" t="e">
        <v>#N/A</v>
      </c>
      <c r="CY2730" s="115" t="e">
        <v>#N/A</v>
      </c>
      <c r="CZ2730" s="137" t="e">
        <v>#N/A</v>
      </c>
      <c r="DA2730">
        <v>0.11332468572476186</v>
      </c>
      <c r="DB2730" t="str">
        <v/>
      </c>
    </row>
    <row r="2731" spans="83:106" x14ac:dyDescent="0.2">
      <c r="CE2731"/>
      <c r="CF2731"/>
      <c r="CG2731"/>
      <c r="CH2731"/>
      <c r="CI2731"/>
      <c r="CU2731" s="42">
        <v>2726</v>
      </c>
      <c r="CV2731" s="115">
        <v>4</v>
      </c>
      <c r="CW2731" s="115">
        <v>0.11332468572476186</v>
      </c>
      <c r="CX2731" s="115" t="e">
        <v>#N/A</v>
      </c>
      <c r="CY2731" s="115" t="e">
        <v>#N/A</v>
      </c>
      <c r="CZ2731" s="137" t="e">
        <v>#N/A</v>
      </c>
      <c r="DA2731">
        <v>0.11332468572476186</v>
      </c>
      <c r="DB2731" t="str">
        <v/>
      </c>
    </row>
    <row r="2732" spans="83:106" x14ac:dyDescent="0.2">
      <c r="CE2732"/>
      <c r="CF2732"/>
      <c r="CG2732"/>
      <c r="CH2732"/>
      <c r="CI2732"/>
      <c r="CU2732" s="42">
        <v>2727</v>
      </c>
      <c r="CV2732" s="115">
        <v>4</v>
      </c>
      <c r="CW2732" s="115">
        <v>0.11332468572476186</v>
      </c>
      <c r="CX2732" s="115" t="e">
        <v>#N/A</v>
      </c>
      <c r="CY2732" s="115" t="e">
        <v>#N/A</v>
      </c>
      <c r="CZ2732" s="137" t="e">
        <v>#N/A</v>
      </c>
      <c r="DA2732">
        <v>0.11332468572476186</v>
      </c>
      <c r="DB2732" t="str">
        <v/>
      </c>
    </row>
    <row r="2733" spans="83:106" x14ac:dyDescent="0.2">
      <c r="CE2733"/>
      <c r="CF2733"/>
      <c r="CG2733"/>
      <c r="CH2733"/>
      <c r="CI2733"/>
      <c r="CU2733" s="42">
        <v>2728</v>
      </c>
      <c r="CV2733" s="115">
        <v>4</v>
      </c>
      <c r="CW2733" s="115">
        <v>0.11332468572476186</v>
      </c>
      <c r="CX2733" s="115" t="e">
        <v>#N/A</v>
      </c>
      <c r="CY2733" s="115" t="e">
        <v>#N/A</v>
      </c>
      <c r="CZ2733" s="137" t="e">
        <v>#N/A</v>
      </c>
      <c r="DA2733">
        <v>0.11332468572476186</v>
      </c>
      <c r="DB2733" t="str">
        <v/>
      </c>
    </row>
    <row r="2734" spans="83:106" x14ac:dyDescent="0.2">
      <c r="CE2734"/>
      <c r="CF2734"/>
      <c r="CG2734"/>
      <c r="CH2734"/>
      <c r="CI2734"/>
      <c r="CU2734" s="42">
        <v>2729</v>
      </c>
      <c r="CV2734" s="115">
        <v>4</v>
      </c>
      <c r="CW2734" s="115">
        <v>0.11332468572476186</v>
      </c>
      <c r="CX2734" s="115" t="e">
        <v>#N/A</v>
      </c>
      <c r="CY2734" s="115" t="e">
        <v>#N/A</v>
      </c>
      <c r="CZ2734" s="137" t="e">
        <v>#N/A</v>
      </c>
      <c r="DA2734">
        <v>0.11332468572476186</v>
      </c>
      <c r="DB2734" t="str">
        <v/>
      </c>
    </row>
    <row r="2735" spans="83:106" x14ac:dyDescent="0.2">
      <c r="CE2735"/>
      <c r="CF2735"/>
      <c r="CG2735"/>
      <c r="CH2735"/>
      <c r="CI2735"/>
      <c r="CU2735" s="42">
        <v>2730</v>
      </c>
      <c r="CV2735" s="115">
        <v>4</v>
      </c>
      <c r="CW2735" s="115">
        <v>0.11332468572476186</v>
      </c>
      <c r="CX2735" s="115" t="e">
        <v>#N/A</v>
      </c>
      <c r="CY2735" s="115" t="e">
        <v>#N/A</v>
      </c>
      <c r="CZ2735" s="137" t="e">
        <v>#N/A</v>
      </c>
      <c r="DA2735">
        <v>0.11332468572476186</v>
      </c>
      <c r="DB2735" t="str">
        <v/>
      </c>
    </row>
    <row r="2736" spans="83:106" x14ac:dyDescent="0.2">
      <c r="CE2736"/>
      <c r="CF2736"/>
      <c r="CG2736"/>
      <c r="CH2736"/>
      <c r="CI2736"/>
      <c r="CU2736" s="42">
        <v>2731</v>
      </c>
      <c r="CV2736" s="115">
        <v>4</v>
      </c>
      <c r="CW2736" s="115">
        <v>0.11332468572476186</v>
      </c>
      <c r="CX2736" s="115" t="e">
        <v>#N/A</v>
      </c>
      <c r="CY2736" s="115" t="e">
        <v>#N/A</v>
      </c>
      <c r="CZ2736" s="137" t="e">
        <v>#N/A</v>
      </c>
      <c r="DA2736">
        <v>0.11332468572476186</v>
      </c>
      <c r="DB2736" t="str">
        <v/>
      </c>
    </row>
    <row r="2737" spans="83:106" x14ac:dyDescent="0.2">
      <c r="CE2737"/>
      <c r="CF2737"/>
      <c r="CG2737"/>
      <c r="CH2737"/>
      <c r="CI2737"/>
      <c r="CU2737" s="42">
        <v>2732</v>
      </c>
      <c r="CV2737" s="115">
        <v>4</v>
      </c>
      <c r="CW2737" s="115">
        <v>0.11332468572476186</v>
      </c>
      <c r="CX2737" s="115" t="e">
        <v>#N/A</v>
      </c>
      <c r="CY2737" s="115" t="e">
        <v>#N/A</v>
      </c>
      <c r="CZ2737" s="137" t="e">
        <v>#N/A</v>
      </c>
      <c r="DA2737">
        <v>0.11332468572476186</v>
      </c>
      <c r="DB2737" t="str">
        <v/>
      </c>
    </row>
    <row r="2738" spans="83:106" x14ac:dyDescent="0.2">
      <c r="CE2738"/>
      <c r="CF2738"/>
      <c r="CG2738"/>
      <c r="CH2738"/>
      <c r="CI2738"/>
      <c r="CU2738" s="42">
        <v>2733</v>
      </c>
      <c r="CV2738" s="115">
        <v>4</v>
      </c>
      <c r="CW2738" s="115">
        <v>0.11332468572476186</v>
      </c>
      <c r="CX2738" s="115" t="e">
        <v>#N/A</v>
      </c>
      <c r="CY2738" s="115" t="e">
        <v>#N/A</v>
      </c>
      <c r="CZ2738" s="137" t="e">
        <v>#N/A</v>
      </c>
      <c r="DA2738">
        <v>0.11332468572476186</v>
      </c>
      <c r="DB2738" t="str">
        <v/>
      </c>
    </row>
    <row r="2739" spans="83:106" x14ac:dyDescent="0.2">
      <c r="CE2739"/>
      <c r="CF2739"/>
      <c r="CG2739"/>
      <c r="CH2739"/>
      <c r="CI2739"/>
      <c r="CU2739" s="42">
        <v>2734</v>
      </c>
      <c r="CV2739" s="115">
        <v>4</v>
      </c>
      <c r="CW2739" s="115">
        <v>0.11332468572476186</v>
      </c>
      <c r="CX2739" s="115" t="e">
        <v>#N/A</v>
      </c>
      <c r="CY2739" s="115" t="e">
        <v>#N/A</v>
      </c>
      <c r="CZ2739" s="137" t="e">
        <v>#N/A</v>
      </c>
      <c r="DA2739">
        <v>0.11332468572476186</v>
      </c>
      <c r="DB2739" t="str">
        <v/>
      </c>
    </row>
    <row r="2740" spans="83:106" x14ac:dyDescent="0.2">
      <c r="CE2740"/>
      <c r="CF2740"/>
      <c r="CG2740"/>
      <c r="CH2740"/>
      <c r="CI2740"/>
      <c r="CU2740" s="42">
        <v>2735</v>
      </c>
      <c r="CV2740" s="115">
        <v>4</v>
      </c>
      <c r="CW2740" s="115">
        <v>0.11332468572476186</v>
      </c>
      <c r="CX2740" s="115" t="e">
        <v>#N/A</v>
      </c>
      <c r="CY2740" s="115" t="e">
        <v>#N/A</v>
      </c>
      <c r="CZ2740" s="137" t="e">
        <v>#N/A</v>
      </c>
      <c r="DA2740">
        <v>0.11332468572476186</v>
      </c>
      <c r="DB2740" t="str">
        <v/>
      </c>
    </row>
    <row r="2741" spans="83:106" x14ac:dyDescent="0.2">
      <c r="CE2741"/>
      <c r="CF2741"/>
      <c r="CG2741"/>
      <c r="CH2741"/>
      <c r="CI2741"/>
      <c r="CU2741" s="42">
        <v>2736</v>
      </c>
      <c r="CV2741" s="115">
        <v>4</v>
      </c>
      <c r="CW2741" s="115">
        <v>0.11332468572476186</v>
      </c>
      <c r="CX2741" s="115" t="e">
        <v>#N/A</v>
      </c>
      <c r="CY2741" s="115" t="e">
        <v>#N/A</v>
      </c>
      <c r="CZ2741" s="137" t="e">
        <v>#N/A</v>
      </c>
      <c r="DA2741">
        <v>0.11332468572476186</v>
      </c>
      <c r="DB2741" t="str">
        <v/>
      </c>
    </row>
    <row r="2742" spans="83:106" x14ac:dyDescent="0.2">
      <c r="CE2742"/>
      <c r="CF2742"/>
      <c r="CG2742"/>
      <c r="CH2742"/>
      <c r="CI2742"/>
      <c r="CU2742" s="42">
        <v>2737</v>
      </c>
      <c r="CV2742" s="115">
        <v>4</v>
      </c>
      <c r="CW2742" s="115">
        <v>0.11332468572476186</v>
      </c>
      <c r="CX2742" s="115" t="e">
        <v>#N/A</v>
      </c>
      <c r="CY2742" s="115" t="e">
        <v>#N/A</v>
      </c>
      <c r="CZ2742" s="137" t="e">
        <v>#N/A</v>
      </c>
      <c r="DA2742">
        <v>0.11332468572476186</v>
      </c>
      <c r="DB2742" t="str">
        <v/>
      </c>
    </row>
    <row r="2743" spans="83:106" x14ac:dyDescent="0.2">
      <c r="CE2743"/>
      <c r="CF2743"/>
      <c r="CG2743"/>
      <c r="CH2743"/>
      <c r="CI2743"/>
      <c r="CU2743" s="42">
        <v>2738</v>
      </c>
      <c r="CV2743" s="115">
        <v>4</v>
      </c>
      <c r="CW2743" s="115">
        <v>0.11332468572476186</v>
      </c>
      <c r="CX2743" s="115" t="e">
        <v>#N/A</v>
      </c>
      <c r="CY2743" s="115" t="e">
        <v>#N/A</v>
      </c>
      <c r="CZ2743" s="137" t="e">
        <v>#N/A</v>
      </c>
      <c r="DA2743">
        <v>0.11332468572476186</v>
      </c>
      <c r="DB2743" t="str">
        <v/>
      </c>
    </row>
    <row r="2744" spans="83:106" x14ac:dyDescent="0.2">
      <c r="CE2744"/>
      <c r="CF2744"/>
      <c r="CG2744"/>
      <c r="CH2744"/>
      <c r="CI2744"/>
      <c r="CU2744" s="42">
        <v>2739</v>
      </c>
      <c r="CV2744" s="115">
        <v>4</v>
      </c>
      <c r="CW2744" s="115">
        <v>0.11332468572476186</v>
      </c>
      <c r="CX2744" s="115" t="e">
        <v>#N/A</v>
      </c>
      <c r="CY2744" s="115" t="e">
        <v>#N/A</v>
      </c>
      <c r="CZ2744" s="137" t="e">
        <v>#N/A</v>
      </c>
      <c r="DA2744">
        <v>0.11332468572476186</v>
      </c>
      <c r="DB2744" t="str">
        <v/>
      </c>
    </row>
    <row r="2745" spans="83:106" x14ac:dyDescent="0.2">
      <c r="CE2745"/>
      <c r="CF2745"/>
      <c r="CG2745"/>
      <c r="CH2745"/>
      <c r="CI2745"/>
      <c r="CU2745" s="42">
        <v>2740</v>
      </c>
      <c r="CV2745" s="115">
        <v>4</v>
      </c>
      <c r="CW2745" s="115">
        <v>0.11332468572476186</v>
      </c>
      <c r="CX2745" s="115" t="e">
        <v>#N/A</v>
      </c>
      <c r="CY2745" s="115" t="e">
        <v>#N/A</v>
      </c>
      <c r="CZ2745" s="137" t="e">
        <v>#N/A</v>
      </c>
      <c r="DA2745">
        <v>0.11332468572476186</v>
      </c>
      <c r="DB2745" t="str">
        <v/>
      </c>
    </row>
    <row r="2746" spans="83:106" x14ac:dyDescent="0.2">
      <c r="CE2746"/>
      <c r="CF2746"/>
      <c r="CG2746"/>
      <c r="CH2746"/>
      <c r="CI2746"/>
      <c r="CU2746" s="42">
        <v>2741</v>
      </c>
      <c r="CV2746" s="115">
        <v>4</v>
      </c>
      <c r="CW2746" s="115">
        <v>0.11332468572476186</v>
      </c>
      <c r="CX2746" s="115" t="e">
        <v>#N/A</v>
      </c>
      <c r="CY2746" s="115" t="e">
        <v>#N/A</v>
      </c>
      <c r="CZ2746" s="137" t="e">
        <v>#N/A</v>
      </c>
      <c r="DA2746">
        <v>0.11332468572476186</v>
      </c>
      <c r="DB2746" t="str">
        <v/>
      </c>
    </row>
    <row r="2747" spans="83:106" x14ac:dyDescent="0.2">
      <c r="CE2747"/>
      <c r="CF2747"/>
      <c r="CG2747"/>
      <c r="CH2747"/>
      <c r="CI2747"/>
      <c r="CU2747" s="42">
        <v>2742</v>
      </c>
      <c r="CV2747" s="115">
        <v>4</v>
      </c>
      <c r="CW2747" s="115">
        <v>0.11332468572476186</v>
      </c>
      <c r="CX2747" s="115" t="e">
        <v>#N/A</v>
      </c>
      <c r="CY2747" s="115" t="e">
        <v>#N/A</v>
      </c>
      <c r="CZ2747" s="137" t="e">
        <v>#N/A</v>
      </c>
      <c r="DA2747">
        <v>0.11332468572476186</v>
      </c>
      <c r="DB2747" t="str">
        <v/>
      </c>
    </row>
    <row r="2748" spans="83:106" x14ac:dyDescent="0.2">
      <c r="CE2748"/>
      <c r="CF2748"/>
      <c r="CG2748"/>
      <c r="CH2748"/>
      <c r="CI2748"/>
      <c r="CU2748" s="42">
        <v>2743</v>
      </c>
      <c r="CV2748" s="115">
        <v>4</v>
      </c>
      <c r="CW2748" s="115">
        <v>0.11332468572476186</v>
      </c>
      <c r="CX2748" s="115" t="e">
        <v>#N/A</v>
      </c>
      <c r="CY2748" s="115" t="e">
        <v>#N/A</v>
      </c>
      <c r="CZ2748" s="137" t="e">
        <v>#N/A</v>
      </c>
      <c r="DA2748">
        <v>0.11332468572476186</v>
      </c>
      <c r="DB2748" t="str">
        <v/>
      </c>
    </row>
    <row r="2749" spans="83:106" x14ac:dyDescent="0.2">
      <c r="CE2749"/>
      <c r="CF2749"/>
      <c r="CG2749"/>
      <c r="CH2749"/>
      <c r="CI2749"/>
      <c r="CU2749" s="42">
        <v>2744</v>
      </c>
      <c r="CV2749" s="115">
        <v>4</v>
      </c>
      <c r="CW2749" s="115">
        <v>0.11332468572476186</v>
      </c>
      <c r="CX2749" s="115" t="e">
        <v>#N/A</v>
      </c>
      <c r="CY2749" s="115" t="e">
        <v>#N/A</v>
      </c>
      <c r="CZ2749" s="137" t="e">
        <v>#N/A</v>
      </c>
      <c r="DA2749">
        <v>0.11332468572476186</v>
      </c>
      <c r="DB2749" t="str">
        <v/>
      </c>
    </row>
    <row r="2750" spans="83:106" x14ac:dyDescent="0.2">
      <c r="CE2750"/>
      <c r="CF2750"/>
      <c r="CG2750"/>
      <c r="CH2750"/>
      <c r="CI2750"/>
      <c r="CU2750" s="42">
        <v>2745</v>
      </c>
      <c r="CV2750" s="115">
        <v>4</v>
      </c>
      <c r="CW2750" s="115">
        <v>0.11332468572476186</v>
      </c>
      <c r="CX2750" s="115" t="e">
        <v>#N/A</v>
      </c>
      <c r="CY2750" s="115" t="e">
        <v>#N/A</v>
      </c>
      <c r="CZ2750" s="137" t="e">
        <v>#N/A</v>
      </c>
      <c r="DA2750">
        <v>0.11332468572476186</v>
      </c>
      <c r="DB2750" t="str">
        <v/>
      </c>
    </row>
    <row r="2751" spans="83:106" x14ac:dyDescent="0.2">
      <c r="CE2751"/>
      <c r="CF2751"/>
      <c r="CG2751"/>
      <c r="CH2751"/>
      <c r="CI2751"/>
      <c r="CU2751" s="42">
        <v>2746</v>
      </c>
      <c r="CV2751" s="115">
        <v>4</v>
      </c>
      <c r="CW2751" s="115">
        <v>0.11332468572476186</v>
      </c>
      <c r="CX2751" s="115" t="e">
        <v>#N/A</v>
      </c>
      <c r="CY2751" s="115" t="e">
        <v>#N/A</v>
      </c>
      <c r="CZ2751" s="137" t="e">
        <v>#N/A</v>
      </c>
      <c r="DA2751">
        <v>0.11332468572476186</v>
      </c>
      <c r="DB2751" t="str">
        <v/>
      </c>
    </row>
    <row r="2752" spans="83:106" x14ac:dyDescent="0.2">
      <c r="CE2752"/>
      <c r="CF2752"/>
      <c r="CG2752"/>
      <c r="CH2752"/>
      <c r="CI2752"/>
      <c r="CU2752" s="42">
        <v>2747</v>
      </c>
      <c r="CV2752" s="115">
        <v>4</v>
      </c>
      <c r="CW2752" s="115">
        <v>0.11332468572476186</v>
      </c>
      <c r="CX2752" s="115" t="e">
        <v>#N/A</v>
      </c>
      <c r="CY2752" s="115" t="e">
        <v>#N/A</v>
      </c>
      <c r="CZ2752" s="137" t="e">
        <v>#N/A</v>
      </c>
      <c r="DA2752">
        <v>0.11332468572476186</v>
      </c>
      <c r="DB2752" t="str">
        <v/>
      </c>
    </row>
    <row r="2753" spans="83:106" x14ac:dyDescent="0.2">
      <c r="CE2753"/>
      <c r="CF2753"/>
      <c r="CG2753"/>
      <c r="CH2753"/>
      <c r="CI2753"/>
      <c r="CU2753" s="42">
        <v>2748</v>
      </c>
      <c r="CV2753" s="115">
        <v>4</v>
      </c>
      <c r="CW2753" s="115">
        <v>0.11332468572476186</v>
      </c>
      <c r="CX2753" s="115" t="e">
        <v>#N/A</v>
      </c>
      <c r="CY2753" s="115" t="e">
        <v>#N/A</v>
      </c>
      <c r="CZ2753" s="137" t="e">
        <v>#N/A</v>
      </c>
      <c r="DA2753">
        <v>0.11332468572476186</v>
      </c>
      <c r="DB2753" t="str">
        <v/>
      </c>
    </row>
    <row r="2754" spans="83:106" x14ac:dyDescent="0.2">
      <c r="CE2754"/>
      <c r="CF2754"/>
      <c r="CG2754"/>
      <c r="CH2754"/>
      <c r="CI2754"/>
      <c r="CU2754" s="42">
        <v>2749</v>
      </c>
      <c r="CV2754" s="115">
        <v>4</v>
      </c>
      <c r="CW2754" s="115">
        <v>0.11332468572476186</v>
      </c>
      <c r="CX2754" s="115" t="e">
        <v>#N/A</v>
      </c>
      <c r="CY2754" s="115" t="e">
        <v>#N/A</v>
      </c>
      <c r="CZ2754" s="137" t="e">
        <v>#N/A</v>
      </c>
      <c r="DA2754">
        <v>0.11332468572476186</v>
      </c>
      <c r="DB2754" t="str">
        <v/>
      </c>
    </row>
    <row r="2755" spans="83:106" x14ac:dyDescent="0.2">
      <c r="CE2755"/>
      <c r="CF2755"/>
      <c r="CG2755"/>
      <c r="CH2755"/>
      <c r="CI2755"/>
      <c r="CU2755" s="42">
        <v>2750</v>
      </c>
      <c r="CV2755" s="115">
        <v>4</v>
      </c>
      <c r="CW2755" s="115">
        <v>0.11332468572476186</v>
      </c>
      <c r="CX2755" s="115" t="e">
        <v>#N/A</v>
      </c>
      <c r="CY2755" s="115" t="e">
        <v>#N/A</v>
      </c>
      <c r="CZ2755" s="137" t="e">
        <v>#N/A</v>
      </c>
      <c r="DA2755">
        <v>0.11332468572476186</v>
      </c>
      <c r="DB2755" t="str">
        <v/>
      </c>
    </row>
    <row r="2756" spans="83:106" x14ac:dyDescent="0.2">
      <c r="CE2756"/>
      <c r="CF2756"/>
      <c r="CG2756"/>
      <c r="CH2756"/>
      <c r="CI2756"/>
      <c r="CU2756" s="42">
        <v>2751</v>
      </c>
      <c r="CV2756" s="115">
        <v>4</v>
      </c>
      <c r="CW2756" s="115">
        <v>0.11332468572476186</v>
      </c>
      <c r="CX2756" s="115" t="e">
        <v>#N/A</v>
      </c>
      <c r="CY2756" s="115" t="e">
        <v>#N/A</v>
      </c>
      <c r="CZ2756" s="137" t="e">
        <v>#N/A</v>
      </c>
      <c r="DA2756">
        <v>0.11332468572476186</v>
      </c>
      <c r="DB2756" t="str">
        <v/>
      </c>
    </row>
    <row r="2757" spans="83:106" x14ac:dyDescent="0.2">
      <c r="CE2757"/>
      <c r="CF2757"/>
      <c r="CG2757"/>
      <c r="CH2757"/>
      <c r="CI2757"/>
      <c r="CU2757" s="42">
        <v>2752</v>
      </c>
      <c r="CV2757" s="115">
        <v>4</v>
      </c>
      <c r="CW2757" s="115">
        <v>0.11332468572476186</v>
      </c>
      <c r="CX2757" s="115" t="e">
        <v>#N/A</v>
      </c>
      <c r="CY2757" s="115" t="e">
        <v>#N/A</v>
      </c>
      <c r="CZ2757" s="137" t="e">
        <v>#N/A</v>
      </c>
      <c r="DA2757">
        <v>0.11332468572476186</v>
      </c>
      <c r="DB2757" t="str">
        <v/>
      </c>
    </row>
    <row r="2758" spans="83:106" x14ac:dyDescent="0.2">
      <c r="CE2758"/>
      <c r="CF2758"/>
      <c r="CG2758"/>
      <c r="CH2758"/>
      <c r="CI2758"/>
      <c r="CU2758" s="42">
        <v>2753</v>
      </c>
      <c r="CV2758" s="115">
        <v>4</v>
      </c>
      <c r="CW2758" s="115">
        <v>0.11332468572476186</v>
      </c>
      <c r="CX2758" s="115" t="e">
        <v>#N/A</v>
      </c>
      <c r="CY2758" s="115" t="e">
        <v>#N/A</v>
      </c>
      <c r="CZ2758" s="137" t="e">
        <v>#N/A</v>
      </c>
      <c r="DA2758">
        <v>0.11332468572476186</v>
      </c>
      <c r="DB2758" t="str">
        <v/>
      </c>
    </row>
    <row r="2759" spans="83:106" x14ac:dyDescent="0.2">
      <c r="CE2759"/>
      <c r="CF2759"/>
      <c r="CG2759"/>
      <c r="CH2759"/>
      <c r="CI2759"/>
      <c r="CU2759" s="42">
        <v>2754</v>
      </c>
      <c r="CV2759" s="115">
        <v>4</v>
      </c>
      <c r="CW2759" s="115">
        <v>0.11332468572476186</v>
      </c>
      <c r="CX2759" s="115" t="e">
        <v>#N/A</v>
      </c>
      <c r="CY2759" s="115" t="e">
        <v>#N/A</v>
      </c>
      <c r="CZ2759" s="137" t="e">
        <v>#N/A</v>
      </c>
      <c r="DA2759">
        <v>0.11332468572476186</v>
      </c>
      <c r="DB2759" t="str">
        <v/>
      </c>
    </row>
    <row r="2760" spans="83:106" x14ac:dyDescent="0.2">
      <c r="CE2760"/>
      <c r="CF2760"/>
      <c r="CG2760"/>
      <c r="CH2760"/>
      <c r="CI2760"/>
      <c r="CU2760" s="42">
        <v>2755</v>
      </c>
      <c r="CV2760" s="115">
        <v>4</v>
      </c>
      <c r="CW2760" s="115">
        <v>0.11332468572476186</v>
      </c>
      <c r="CX2760" s="115" t="e">
        <v>#N/A</v>
      </c>
      <c r="CY2760" s="115" t="e">
        <v>#N/A</v>
      </c>
      <c r="CZ2760" s="137" t="e">
        <v>#N/A</v>
      </c>
      <c r="DA2760">
        <v>0.11332468572476186</v>
      </c>
      <c r="DB2760" t="str">
        <v/>
      </c>
    </row>
    <row r="2761" spans="83:106" x14ac:dyDescent="0.2">
      <c r="CE2761"/>
      <c r="CF2761"/>
      <c r="CG2761"/>
      <c r="CH2761"/>
      <c r="CI2761"/>
      <c r="CU2761" s="42">
        <v>2756</v>
      </c>
      <c r="CV2761" s="115">
        <v>4</v>
      </c>
      <c r="CW2761" s="115">
        <v>0.11332468572476186</v>
      </c>
      <c r="CX2761" s="115" t="e">
        <v>#N/A</v>
      </c>
      <c r="CY2761" s="115" t="e">
        <v>#N/A</v>
      </c>
      <c r="CZ2761" s="137" t="e">
        <v>#N/A</v>
      </c>
      <c r="DA2761">
        <v>0.11332468572476186</v>
      </c>
      <c r="DB2761" t="str">
        <v/>
      </c>
    </row>
    <row r="2762" spans="83:106" x14ac:dyDescent="0.2">
      <c r="CE2762"/>
      <c r="CF2762"/>
      <c r="CG2762"/>
      <c r="CH2762"/>
      <c r="CI2762"/>
      <c r="CU2762" s="42">
        <v>2757</v>
      </c>
      <c r="CV2762" s="115">
        <v>4</v>
      </c>
      <c r="CW2762" s="115">
        <v>0.11332468572476186</v>
      </c>
      <c r="CX2762" s="115" t="e">
        <v>#N/A</v>
      </c>
      <c r="CY2762" s="115" t="e">
        <v>#N/A</v>
      </c>
      <c r="CZ2762" s="137" t="e">
        <v>#N/A</v>
      </c>
      <c r="DA2762">
        <v>0.11332468572476186</v>
      </c>
      <c r="DB2762" t="str">
        <v/>
      </c>
    </row>
    <row r="2763" spans="83:106" x14ac:dyDescent="0.2">
      <c r="CE2763"/>
      <c r="CF2763"/>
      <c r="CG2763"/>
      <c r="CH2763"/>
      <c r="CI2763"/>
      <c r="CU2763" s="42">
        <v>2758</v>
      </c>
      <c r="CV2763" s="115">
        <v>4</v>
      </c>
      <c r="CW2763" s="115">
        <v>0.11332468572476186</v>
      </c>
      <c r="CX2763" s="115" t="e">
        <v>#N/A</v>
      </c>
      <c r="CY2763" s="115" t="e">
        <v>#N/A</v>
      </c>
      <c r="CZ2763" s="137" t="e">
        <v>#N/A</v>
      </c>
      <c r="DA2763">
        <v>0.11332468572476186</v>
      </c>
      <c r="DB2763" t="str">
        <v/>
      </c>
    </row>
    <row r="2764" spans="83:106" x14ac:dyDescent="0.2">
      <c r="CE2764"/>
      <c r="CF2764"/>
      <c r="CG2764"/>
      <c r="CH2764"/>
      <c r="CI2764"/>
      <c r="CU2764" s="42">
        <v>2759</v>
      </c>
      <c r="CV2764" s="115">
        <v>4</v>
      </c>
      <c r="CW2764" s="115">
        <v>0.11332468572476186</v>
      </c>
      <c r="CX2764" s="115" t="e">
        <v>#N/A</v>
      </c>
      <c r="CY2764" s="115" t="e">
        <v>#N/A</v>
      </c>
      <c r="CZ2764" s="137" t="e">
        <v>#N/A</v>
      </c>
      <c r="DA2764">
        <v>0.11332468572476186</v>
      </c>
      <c r="DB2764" t="str">
        <v/>
      </c>
    </row>
    <row r="2765" spans="83:106" x14ac:dyDescent="0.2">
      <c r="CE2765"/>
      <c r="CF2765"/>
      <c r="CG2765"/>
      <c r="CH2765"/>
      <c r="CI2765"/>
      <c r="CU2765" s="42">
        <v>2760</v>
      </c>
      <c r="CV2765" s="115">
        <v>4</v>
      </c>
      <c r="CW2765" s="115">
        <v>0.11332468572476186</v>
      </c>
      <c r="CX2765" s="115" t="e">
        <v>#N/A</v>
      </c>
      <c r="CY2765" s="115" t="e">
        <v>#N/A</v>
      </c>
      <c r="CZ2765" s="137" t="e">
        <v>#N/A</v>
      </c>
      <c r="DA2765">
        <v>0.11332468572476186</v>
      </c>
      <c r="DB2765" t="str">
        <v/>
      </c>
    </row>
    <row r="2766" spans="83:106" x14ac:dyDescent="0.2">
      <c r="CE2766"/>
      <c r="CF2766"/>
      <c r="CG2766"/>
      <c r="CH2766"/>
      <c r="CI2766"/>
      <c r="CU2766" s="42">
        <v>2761</v>
      </c>
      <c r="CV2766" s="115">
        <v>4</v>
      </c>
      <c r="CW2766" s="115">
        <v>0.11332468572476186</v>
      </c>
      <c r="CX2766" s="115" t="e">
        <v>#N/A</v>
      </c>
      <c r="CY2766" s="115" t="e">
        <v>#N/A</v>
      </c>
      <c r="CZ2766" s="137" t="e">
        <v>#N/A</v>
      </c>
      <c r="DA2766">
        <v>0.11332468572476186</v>
      </c>
      <c r="DB2766" t="str">
        <v/>
      </c>
    </row>
    <row r="2767" spans="83:106" x14ac:dyDescent="0.2">
      <c r="CE2767"/>
      <c r="CF2767"/>
      <c r="CG2767"/>
      <c r="CH2767"/>
      <c r="CI2767"/>
      <c r="CU2767" s="42">
        <v>2762</v>
      </c>
      <c r="CV2767" s="115">
        <v>4</v>
      </c>
      <c r="CW2767" s="115">
        <v>0.11332468572476186</v>
      </c>
      <c r="CX2767" s="115" t="e">
        <v>#N/A</v>
      </c>
      <c r="CY2767" s="115" t="e">
        <v>#N/A</v>
      </c>
      <c r="CZ2767" s="137" t="e">
        <v>#N/A</v>
      </c>
      <c r="DA2767">
        <v>0.11332468572476186</v>
      </c>
      <c r="DB2767" t="str">
        <v/>
      </c>
    </row>
    <row r="2768" spans="83:106" x14ac:dyDescent="0.2">
      <c r="CE2768"/>
      <c r="CF2768"/>
      <c r="CG2768"/>
      <c r="CH2768"/>
      <c r="CI2768"/>
      <c r="CU2768" s="42">
        <v>2763</v>
      </c>
      <c r="CV2768" s="115">
        <v>4</v>
      </c>
      <c r="CW2768" s="115">
        <v>0.11332468572476186</v>
      </c>
      <c r="CX2768" s="115" t="e">
        <v>#N/A</v>
      </c>
      <c r="CY2768" s="115" t="e">
        <v>#N/A</v>
      </c>
      <c r="CZ2768" s="137" t="e">
        <v>#N/A</v>
      </c>
      <c r="DA2768">
        <v>0.11332468572476186</v>
      </c>
      <c r="DB2768" t="str">
        <v/>
      </c>
    </row>
    <row r="2769" spans="83:106" x14ac:dyDescent="0.2">
      <c r="CE2769"/>
      <c r="CF2769"/>
      <c r="CG2769"/>
      <c r="CH2769"/>
      <c r="CI2769"/>
      <c r="CU2769" s="42">
        <v>2764</v>
      </c>
      <c r="CV2769" s="115">
        <v>4</v>
      </c>
      <c r="CW2769" s="115">
        <v>0.11332468572476186</v>
      </c>
      <c r="CX2769" s="115" t="e">
        <v>#N/A</v>
      </c>
      <c r="CY2769" s="115" t="e">
        <v>#N/A</v>
      </c>
      <c r="CZ2769" s="137" t="e">
        <v>#N/A</v>
      </c>
      <c r="DA2769">
        <v>0.11332468572476186</v>
      </c>
      <c r="DB2769" t="str">
        <v/>
      </c>
    </row>
    <row r="2770" spans="83:106" x14ac:dyDescent="0.2">
      <c r="CE2770"/>
      <c r="CF2770"/>
      <c r="CG2770"/>
      <c r="CH2770"/>
      <c r="CI2770"/>
      <c r="CU2770" s="42">
        <v>2765</v>
      </c>
      <c r="CV2770" s="115">
        <v>4</v>
      </c>
      <c r="CW2770" s="115">
        <v>0.11332468572476186</v>
      </c>
      <c r="CX2770" s="115" t="e">
        <v>#N/A</v>
      </c>
      <c r="CY2770" s="115" t="e">
        <v>#N/A</v>
      </c>
      <c r="CZ2770" s="137" t="e">
        <v>#N/A</v>
      </c>
      <c r="DA2770">
        <v>0.11332468572476186</v>
      </c>
      <c r="DB2770" t="str">
        <v/>
      </c>
    </row>
    <row r="2771" spans="83:106" x14ac:dyDescent="0.2">
      <c r="CE2771"/>
      <c r="CF2771"/>
      <c r="CG2771"/>
      <c r="CH2771"/>
      <c r="CI2771"/>
      <c r="CU2771" s="42">
        <v>2766</v>
      </c>
      <c r="CV2771" s="115">
        <v>4</v>
      </c>
      <c r="CW2771" s="115">
        <v>0.11332468572476186</v>
      </c>
      <c r="CX2771" s="115" t="e">
        <v>#N/A</v>
      </c>
      <c r="CY2771" s="115" t="e">
        <v>#N/A</v>
      </c>
      <c r="CZ2771" s="137" t="e">
        <v>#N/A</v>
      </c>
      <c r="DA2771">
        <v>0.11332468572476186</v>
      </c>
      <c r="DB2771" t="str">
        <v/>
      </c>
    </row>
    <row r="2772" spans="83:106" x14ac:dyDescent="0.2">
      <c r="CE2772"/>
      <c r="CF2772"/>
      <c r="CG2772"/>
      <c r="CH2772"/>
      <c r="CI2772"/>
      <c r="CU2772" s="42">
        <v>2767</v>
      </c>
      <c r="CV2772" s="115">
        <v>4</v>
      </c>
      <c r="CW2772" s="115">
        <v>0.11332468572476186</v>
      </c>
      <c r="CX2772" s="115" t="e">
        <v>#N/A</v>
      </c>
      <c r="CY2772" s="115" t="e">
        <v>#N/A</v>
      </c>
      <c r="CZ2772" s="137" t="e">
        <v>#N/A</v>
      </c>
      <c r="DA2772">
        <v>0.11332468572476186</v>
      </c>
      <c r="DB2772" t="str">
        <v/>
      </c>
    </row>
    <row r="2773" spans="83:106" x14ac:dyDescent="0.2">
      <c r="CE2773"/>
      <c r="CF2773"/>
      <c r="CG2773"/>
      <c r="CH2773"/>
      <c r="CI2773"/>
      <c r="CU2773" s="42">
        <v>2768</v>
      </c>
      <c r="CV2773" s="115">
        <v>4</v>
      </c>
      <c r="CW2773" s="115">
        <v>0.11332468572476186</v>
      </c>
      <c r="CX2773" s="115" t="e">
        <v>#N/A</v>
      </c>
      <c r="CY2773" s="115" t="e">
        <v>#N/A</v>
      </c>
      <c r="CZ2773" s="137" t="e">
        <v>#N/A</v>
      </c>
      <c r="DA2773">
        <v>0.11332468572476186</v>
      </c>
      <c r="DB2773" t="str">
        <v/>
      </c>
    </row>
    <row r="2774" spans="83:106" x14ac:dyDescent="0.2">
      <c r="CE2774"/>
      <c r="CF2774"/>
      <c r="CG2774"/>
      <c r="CH2774"/>
      <c r="CI2774"/>
      <c r="CU2774" s="42">
        <v>2769</v>
      </c>
      <c r="CV2774" s="115">
        <v>4</v>
      </c>
      <c r="CW2774" s="115">
        <v>0.11332468572476186</v>
      </c>
      <c r="CX2774" s="115" t="e">
        <v>#N/A</v>
      </c>
      <c r="CY2774" s="115" t="e">
        <v>#N/A</v>
      </c>
      <c r="CZ2774" s="137" t="e">
        <v>#N/A</v>
      </c>
      <c r="DA2774">
        <v>0.11332468572476186</v>
      </c>
      <c r="DB2774" t="str">
        <v/>
      </c>
    </row>
    <row r="2775" spans="83:106" x14ac:dyDescent="0.2">
      <c r="CE2775"/>
      <c r="CF2775"/>
      <c r="CG2775"/>
      <c r="CH2775"/>
      <c r="CI2775"/>
      <c r="CU2775" s="42">
        <v>2770</v>
      </c>
      <c r="CV2775" s="115">
        <v>4</v>
      </c>
      <c r="CW2775" s="115">
        <v>0.11332468572476186</v>
      </c>
      <c r="CX2775" s="115" t="e">
        <v>#N/A</v>
      </c>
      <c r="CY2775" s="115" t="e">
        <v>#N/A</v>
      </c>
      <c r="CZ2775" s="137" t="e">
        <v>#N/A</v>
      </c>
      <c r="DA2775">
        <v>0.11332468572476186</v>
      </c>
      <c r="DB2775" t="str">
        <v/>
      </c>
    </row>
    <row r="2776" spans="83:106" x14ac:dyDescent="0.2">
      <c r="CE2776"/>
      <c r="CF2776"/>
      <c r="CG2776"/>
      <c r="CH2776"/>
      <c r="CI2776"/>
      <c r="CU2776" s="42">
        <v>2771</v>
      </c>
      <c r="CV2776" s="115">
        <v>4</v>
      </c>
      <c r="CW2776" s="115">
        <v>0.11332468572476186</v>
      </c>
      <c r="CX2776" s="115" t="e">
        <v>#N/A</v>
      </c>
      <c r="CY2776" s="115" t="e">
        <v>#N/A</v>
      </c>
      <c r="CZ2776" s="137" t="e">
        <v>#N/A</v>
      </c>
      <c r="DA2776">
        <v>0.11332468572476186</v>
      </c>
      <c r="DB2776" t="str">
        <v/>
      </c>
    </row>
    <row r="2777" spans="83:106" x14ac:dyDescent="0.2">
      <c r="CE2777"/>
      <c r="CF2777"/>
      <c r="CG2777"/>
      <c r="CH2777"/>
      <c r="CI2777"/>
      <c r="CU2777" s="42">
        <v>2772</v>
      </c>
      <c r="CV2777" s="115">
        <v>4</v>
      </c>
      <c r="CW2777" s="115">
        <v>0.11332468572476186</v>
      </c>
      <c r="CX2777" s="115" t="e">
        <v>#N/A</v>
      </c>
      <c r="CY2777" s="115" t="e">
        <v>#N/A</v>
      </c>
      <c r="CZ2777" s="137" t="e">
        <v>#N/A</v>
      </c>
      <c r="DA2777">
        <v>0.11332468572476186</v>
      </c>
      <c r="DB2777" t="str">
        <v/>
      </c>
    </row>
    <row r="2778" spans="83:106" x14ac:dyDescent="0.2">
      <c r="CE2778"/>
      <c r="CF2778"/>
      <c r="CG2778"/>
      <c r="CH2778"/>
      <c r="CI2778"/>
      <c r="CU2778" s="42">
        <v>2773</v>
      </c>
      <c r="CV2778" s="115">
        <v>4</v>
      </c>
      <c r="CW2778" s="115">
        <v>0.11332468572476186</v>
      </c>
      <c r="CX2778" s="115" t="e">
        <v>#N/A</v>
      </c>
      <c r="CY2778" s="115" t="e">
        <v>#N/A</v>
      </c>
      <c r="CZ2778" s="137" t="e">
        <v>#N/A</v>
      </c>
      <c r="DA2778">
        <v>0.11332468572476186</v>
      </c>
      <c r="DB2778" t="str">
        <v/>
      </c>
    </row>
    <row r="2779" spans="83:106" x14ac:dyDescent="0.2">
      <c r="CE2779"/>
      <c r="CF2779"/>
      <c r="CG2779"/>
      <c r="CH2779"/>
      <c r="CI2779"/>
      <c r="CU2779" s="42">
        <v>2774</v>
      </c>
      <c r="CV2779" s="115">
        <v>4</v>
      </c>
      <c r="CW2779" s="115">
        <v>0.11332468572476186</v>
      </c>
      <c r="CX2779" s="115" t="e">
        <v>#N/A</v>
      </c>
      <c r="CY2779" s="115" t="e">
        <v>#N/A</v>
      </c>
      <c r="CZ2779" s="137" t="e">
        <v>#N/A</v>
      </c>
      <c r="DA2779">
        <v>0.11332468572476186</v>
      </c>
      <c r="DB2779" t="str">
        <v/>
      </c>
    </row>
    <row r="2780" spans="83:106" x14ac:dyDescent="0.2">
      <c r="CE2780"/>
      <c r="CF2780"/>
      <c r="CG2780"/>
      <c r="CH2780"/>
      <c r="CI2780"/>
      <c r="CU2780" s="42">
        <v>2775</v>
      </c>
      <c r="CV2780" s="115">
        <v>4</v>
      </c>
      <c r="CW2780" s="115">
        <v>0.11332468572476186</v>
      </c>
      <c r="CX2780" s="115" t="e">
        <v>#N/A</v>
      </c>
      <c r="CY2780" s="115" t="e">
        <v>#N/A</v>
      </c>
      <c r="CZ2780" s="137" t="e">
        <v>#N/A</v>
      </c>
      <c r="DA2780">
        <v>0.11332468572476186</v>
      </c>
      <c r="DB2780" t="str">
        <v/>
      </c>
    </row>
    <row r="2781" spans="83:106" x14ac:dyDescent="0.2">
      <c r="CE2781"/>
      <c r="CF2781"/>
      <c r="CG2781"/>
      <c r="CH2781"/>
      <c r="CI2781"/>
      <c r="CU2781" s="42">
        <v>2776</v>
      </c>
      <c r="CV2781" s="115">
        <v>4</v>
      </c>
      <c r="CW2781" s="115">
        <v>0.11332468572476186</v>
      </c>
      <c r="CX2781" s="115" t="e">
        <v>#N/A</v>
      </c>
      <c r="CY2781" s="115" t="e">
        <v>#N/A</v>
      </c>
      <c r="CZ2781" s="137" t="e">
        <v>#N/A</v>
      </c>
      <c r="DA2781">
        <v>0.11332468572476186</v>
      </c>
      <c r="DB2781" t="str">
        <v/>
      </c>
    </row>
    <row r="2782" spans="83:106" x14ac:dyDescent="0.2">
      <c r="CE2782"/>
      <c r="CF2782"/>
      <c r="CG2782"/>
      <c r="CH2782"/>
      <c r="CI2782"/>
      <c r="CU2782" s="42">
        <v>2777</v>
      </c>
      <c r="CV2782" s="115">
        <v>4</v>
      </c>
      <c r="CW2782" s="115">
        <v>0.11332468572476186</v>
      </c>
      <c r="CX2782" s="115" t="e">
        <v>#N/A</v>
      </c>
      <c r="CY2782" s="115" t="e">
        <v>#N/A</v>
      </c>
      <c r="CZ2782" s="137" t="e">
        <v>#N/A</v>
      </c>
      <c r="DA2782">
        <v>0.11332468572476186</v>
      </c>
      <c r="DB2782" t="str">
        <v/>
      </c>
    </row>
    <row r="2783" spans="83:106" x14ac:dyDescent="0.2">
      <c r="CE2783"/>
      <c r="CF2783"/>
      <c r="CG2783"/>
      <c r="CH2783"/>
      <c r="CI2783"/>
      <c r="CU2783" s="42">
        <v>2778</v>
      </c>
      <c r="CV2783" s="115">
        <v>4</v>
      </c>
      <c r="CW2783" s="115">
        <v>0.11332468572476186</v>
      </c>
      <c r="CX2783" s="115" t="e">
        <v>#N/A</v>
      </c>
      <c r="CY2783" s="115" t="e">
        <v>#N/A</v>
      </c>
      <c r="CZ2783" s="137" t="e">
        <v>#N/A</v>
      </c>
      <c r="DA2783">
        <v>0.11332468572476186</v>
      </c>
      <c r="DB2783" t="str">
        <v/>
      </c>
    </row>
    <row r="2784" spans="83:106" x14ac:dyDescent="0.2">
      <c r="CE2784"/>
      <c r="CF2784"/>
      <c r="CG2784"/>
      <c r="CH2784"/>
      <c r="CI2784"/>
      <c r="CU2784" s="42">
        <v>2779</v>
      </c>
      <c r="CV2784" s="115">
        <v>4</v>
      </c>
      <c r="CW2784" s="115">
        <v>0.11332468572476186</v>
      </c>
      <c r="CX2784" s="115" t="e">
        <v>#N/A</v>
      </c>
      <c r="CY2784" s="115" t="e">
        <v>#N/A</v>
      </c>
      <c r="CZ2784" s="137" t="e">
        <v>#N/A</v>
      </c>
      <c r="DA2784">
        <v>0.11332468572476186</v>
      </c>
      <c r="DB2784" t="str">
        <v/>
      </c>
    </row>
    <row r="2785" spans="83:106" x14ac:dyDescent="0.2">
      <c r="CE2785"/>
      <c r="CF2785"/>
      <c r="CG2785"/>
      <c r="CH2785"/>
      <c r="CI2785"/>
      <c r="CU2785" s="42">
        <v>2780</v>
      </c>
      <c r="CV2785" s="115">
        <v>4</v>
      </c>
      <c r="CW2785" s="115">
        <v>0.11332468572476186</v>
      </c>
      <c r="CX2785" s="115" t="e">
        <v>#N/A</v>
      </c>
      <c r="CY2785" s="115" t="e">
        <v>#N/A</v>
      </c>
      <c r="CZ2785" s="137" t="e">
        <v>#N/A</v>
      </c>
      <c r="DA2785">
        <v>0.11332468572476186</v>
      </c>
      <c r="DB2785" t="str">
        <v/>
      </c>
    </row>
    <row r="2786" spans="83:106" x14ac:dyDescent="0.2">
      <c r="CE2786"/>
      <c r="CF2786"/>
      <c r="CG2786"/>
      <c r="CH2786"/>
      <c r="CI2786"/>
      <c r="CU2786" s="42">
        <v>2781</v>
      </c>
      <c r="CV2786" s="115">
        <v>4</v>
      </c>
      <c r="CW2786" s="115">
        <v>0.11332468572476186</v>
      </c>
      <c r="CX2786" s="115" t="e">
        <v>#N/A</v>
      </c>
      <c r="CY2786" s="115" t="e">
        <v>#N/A</v>
      </c>
      <c r="CZ2786" s="137" t="e">
        <v>#N/A</v>
      </c>
      <c r="DA2786">
        <v>0.11332468572476186</v>
      </c>
      <c r="DB2786" t="str">
        <v/>
      </c>
    </row>
    <row r="2787" spans="83:106" x14ac:dyDescent="0.2">
      <c r="CE2787"/>
      <c r="CF2787"/>
      <c r="CG2787"/>
      <c r="CH2787"/>
      <c r="CI2787"/>
      <c r="CU2787" s="42">
        <v>2782</v>
      </c>
      <c r="CV2787" s="115">
        <v>4</v>
      </c>
      <c r="CW2787" s="115">
        <v>0.11332468572476186</v>
      </c>
      <c r="CX2787" s="115" t="e">
        <v>#N/A</v>
      </c>
      <c r="CY2787" s="115" t="e">
        <v>#N/A</v>
      </c>
      <c r="CZ2787" s="137" t="e">
        <v>#N/A</v>
      </c>
      <c r="DA2787">
        <v>0.11332468572476186</v>
      </c>
      <c r="DB2787" t="str">
        <v/>
      </c>
    </row>
    <row r="2788" spans="83:106" x14ac:dyDescent="0.2">
      <c r="CE2788"/>
      <c r="CF2788"/>
      <c r="CG2788"/>
      <c r="CH2788"/>
      <c r="CI2788"/>
      <c r="CU2788" s="42">
        <v>2783</v>
      </c>
      <c r="CV2788" s="115">
        <v>4</v>
      </c>
      <c r="CW2788" s="115">
        <v>0.11332468572476186</v>
      </c>
      <c r="CX2788" s="115" t="e">
        <v>#N/A</v>
      </c>
      <c r="CY2788" s="115" t="e">
        <v>#N/A</v>
      </c>
      <c r="CZ2788" s="137" t="e">
        <v>#N/A</v>
      </c>
      <c r="DA2788">
        <v>0.11332468572476186</v>
      </c>
      <c r="DB2788" t="str">
        <v/>
      </c>
    </row>
    <row r="2789" spans="83:106" x14ac:dyDescent="0.2">
      <c r="CE2789"/>
      <c r="CF2789"/>
      <c r="CG2789"/>
      <c r="CH2789"/>
      <c r="CI2789"/>
      <c r="CU2789" s="42">
        <v>2784</v>
      </c>
      <c r="CV2789" s="115">
        <v>4</v>
      </c>
      <c r="CW2789" s="115">
        <v>0.11332468572476186</v>
      </c>
      <c r="CX2789" s="115" t="e">
        <v>#N/A</v>
      </c>
      <c r="CY2789" s="115" t="e">
        <v>#N/A</v>
      </c>
      <c r="CZ2789" s="137" t="e">
        <v>#N/A</v>
      </c>
      <c r="DA2789">
        <v>0.11332468572476186</v>
      </c>
      <c r="DB2789" t="str">
        <v/>
      </c>
    </row>
    <row r="2790" spans="83:106" x14ac:dyDescent="0.2">
      <c r="CE2790"/>
      <c r="CF2790"/>
      <c r="CG2790"/>
      <c r="CH2790"/>
      <c r="CI2790"/>
      <c r="CU2790" s="42">
        <v>2785</v>
      </c>
      <c r="CV2790" s="115">
        <v>4</v>
      </c>
      <c r="CW2790" s="115">
        <v>0.11332468572476186</v>
      </c>
      <c r="CX2790" s="115" t="e">
        <v>#N/A</v>
      </c>
      <c r="CY2790" s="115" t="e">
        <v>#N/A</v>
      </c>
      <c r="CZ2790" s="137" t="e">
        <v>#N/A</v>
      </c>
      <c r="DA2790">
        <v>0.11332468572476186</v>
      </c>
      <c r="DB2790" t="str">
        <v/>
      </c>
    </row>
    <row r="2791" spans="83:106" x14ac:dyDescent="0.2">
      <c r="CE2791"/>
      <c r="CF2791"/>
      <c r="CG2791"/>
      <c r="CH2791"/>
      <c r="CI2791"/>
      <c r="CU2791" s="42">
        <v>2786</v>
      </c>
      <c r="CV2791" s="115">
        <v>4</v>
      </c>
      <c r="CW2791" s="115">
        <v>0.11332468572476186</v>
      </c>
      <c r="CX2791" s="115" t="e">
        <v>#N/A</v>
      </c>
      <c r="CY2791" s="115" t="e">
        <v>#N/A</v>
      </c>
      <c r="CZ2791" s="137" t="e">
        <v>#N/A</v>
      </c>
      <c r="DA2791">
        <v>0.11332468572476186</v>
      </c>
      <c r="DB2791" t="str">
        <v/>
      </c>
    </row>
    <row r="2792" spans="83:106" x14ac:dyDescent="0.2">
      <c r="CE2792"/>
      <c r="CF2792"/>
      <c r="CG2792"/>
      <c r="CH2792"/>
      <c r="CI2792"/>
      <c r="CU2792" s="42">
        <v>2787</v>
      </c>
      <c r="CV2792" s="115">
        <v>4</v>
      </c>
      <c r="CW2792" s="115">
        <v>0.11332468572476186</v>
      </c>
      <c r="CX2792" s="115" t="e">
        <v>#N/A</v>
      </c>
      <c r="CY2792" s="115" t="e">
        <v>#N/A</v>
      </c>
      <c r="CZ2792" s="137" t="e">
        <v>#N/A</v>
      </c>
      <c r="DA2792">
        <v>0.11332468572476186</v>
      </c>
      <c r="DB2792" t="str">
        <v/>
      </c>
    </row>
    <row r="2793" spans="83:106" x14ac:dyDescent="0.2">
      <c r="CE2793"/>
      <c r="CF2793"/>
      <c r="CG2793"/>
      <c r="CH2793"/>
      <c r="CI2793"/>
      <c r="CU2793" s="42">
        <v>2788</v>
      </c>
      <c r="CV2793" s="115">
        <v>4</v>
      </c>
      <c r="CW2793" s="115">
        <v>0.11332468572476186</v>
      </c>
      <c r="CX2793" s="115" t="e">
        <v>#N/A</v>
      </c>
      <c r="CY2793" s="115" t="e">
        <v>#N/A</v>
      </c>
      <c r="CZ2793" s="137" t="e">
        <v>#N/A</v>
      </c>
      <c r="DA2793">
        <v>0.11332468572476186</v>
      </c>
      <c r="DB2793" t="str">
        <v/>
      </c>
    </row>
    <row r="2794" spans="83:106" x14ac:dyDescent="0.2">
      <c r="CE2794"/>
      <c r="CF2794"/>
      <c r="CG2794"/>
      <c r="CH2794"/>
      <c r="CI2794"/>
      <c r="CU2794" s="42">
        <v>2789</v>
      </c>
      <c r="CV2794" s="115">
        <v>4</v>
      </c>
      <c r="CW2794" s="115">
        <v>0.11332468572476186</v>
      </c>
      <c r="CX2794" s="115" t="e">
        <v>#N/A</v>
      </c>
      <c r="CY2794" s="115" t="e">
        <v>#N/A</v>
      </c>
      <c r="CZ2794" s="137" t="e">
        <v>#N/A</v>
      </c>
      <c r="DA2794">
        <v>0.11332468572476186</v>
      </c>
      <c r="DB2794" t="str">
        <v/>
      </c>
    </row>
    <row r="2795" spans="83:106" x14ac:dyDescent="0.2">
      <c r="CE2795"/>
      <c r="CF2795"/>
      <c r="CG2795"/>
      <c r="CH2795"/>
      <c r="CI2795"/>
      <c r="CU2795" s="42">
        <v>2790</v>
      </c>
      <c r="CV2795" s="115">
        <v>4</v>
      </c>
      <c r="CW2795" s="115">
        <v>0.11332468572476186</v>
      </c>
      <c r="CX2795" s="115" t="e">
        <v>#N/A</v>
      </c>
      <c r="CY2795" s="115" t="e">
        <v>#N/A</v>
      </c>
      <c r="CZ2795" s="137" t="e">
        <v>#N/A</v>
      </c>
      <c r="DA2795">
        <v>0.11332468572476186</v>
      </c>
      <c r="DB2795" t="str">
        <v/>
      </c>
    </row>
    <row r="2796" spans="83:106" x14ac:dyDescent="0.2">
      <c r="CE2796"/>
      <c r="CF2796"/>
      <c r="CG2796"/>
      <c r="CH2796"/>
      <c r="CI2796"/>
      <c r="CU2796" s="42">
        <v>2791</v>
      </c>
      <c r="CV2796" s="115">
        <v>4</v>
      </c>
      <c r="CW2796" s="115">
        <v>0.11332468572476186</v>
      </c>
      <c r="CX2796" s="115" t="e">
        <v>#N/A</v>
      </c>
      <c r="CY2796" s="115" t="e">
        <v>#N/A</v>
      </c>
      <c r="CZ2796" s="137" t="e">
        <v>#N/A</v>
      </c>
      <c r="DA2796">
        <v>0.11332468572476186</v>
      </c>
      <c r="DB2796" t="str">
        <v/>
      </c>
    </row>
    <row r="2797" spans="83:106" x14ac:dyDescent="0.2">
      <c r="CE2797"/>
      <c r="CF2797"/>
      <c r="CG2797"/>
      <c r="CH2797"/>
      <c r="CI2797"/>
      <c r="CU2797" s="42">
        <v>2792</v>
      </c>
      <c r="CV2797" s="115">
        <v>4</v>
      </c>
      <c r="CW2797" s="115">
        <v>0.11332468572476186</v>
      </c>
      <c r="CX2797" s="115" t="e">
        <v>#N/A</v>
      </c>
      <c r="CY2797" s="115" t="e">
        <v>#N/A</v>
      </c>
      <c r="CZ2797" s="137" t="e">
        <v>#N/A</v>
      </c>
      <c r="DA2797">
        <v>0.11332468572476186</v>
      </c>
      <c r="DB2797" t="str">
        <v/>
      </c>
    </row>
    <row r="2798" spans="83:106" x14ac:dyDescent="0.2">
      <c r="CE2798"/>
      <c r="CF2798"/>
      <c r="CG2798"/>
      <c r="CH2798"/>
      <c r="CI2798"/>
      <c r="CU2798" s="42">
        <v>2793</v>
      </c>
      <c r="CV2798" s="115">
        <v>4</v>
      </c>
      <c r="CW2798" s="115">
        <v>0.11332468572476186</v>
      </c>
      <c r="CX2798" s="115" t="e">
        <v>#N/A</v>
      </c>
      <c r="CY2798" s="115" t="e">
        <v>#N/A</v>
      </c>
      <c r="CZ2798" s="137" t="e">
        <v>#N/A</v>
      </c>
      <c r="DA2798">
        <v>0.11332468572476186</v>
      </c>
      <c r="DB2798" t="str">
        <v/>
      </c>
    </row>
    <row r="2799" spans="83:106" x14ac:dyDescent="0.2">
      <c r="CE2799"/>
      <c r="CF2799"/>
      <c r="CG2799"/>
      <c r="CH2799"/>
      <c r="CI2799"/>
      <c r="CU2799" s="42">
        <v>2794</v>
      </c>
      <c r="CV2799" s="115">
        <v>4</v>
      </c>
      <c r="CW2799" s="115">
        <v>0.11332468572476186</v>
      </c>
      <c r="CX2799" s="115" t="e">
        <v>#N/A</v>
      </c>
      <c r="CY2799" s="115" t="e">
        <v>#N/A</v>
      </c>
      <c r="CZ2799" s="137" t="e">
        <v>#N/A</v>
      </c>
      <c r="DA2799">
        <v>0.11332468572476186</v>
      </c>
      <c r="DB2799" t="str">
        <v/>
      </c>
    </row>
    <row r="2800" spans="83:106" x14ac:dyDescent="0.2">
      <c r="CE2800"/>
      <c r="CF2800"/>
      <c r="CG2800"/>
      <c r="CH2800"/>
      <c r="CI2800"/>
      <c r="CU2800" s="42">
        <v>2795</v>
      </c>
      <c r="CV2800" s="115">
        <v>4</v>
      </c>
      <c r="CW2800" s="115">
        <v>0.11332468572476186</v>
      </c>
      <c r="CX2800" s="115" t="e">
        <v>#N/A</v>
      </c>
      <c r="CY2800" s="115" t="e">
        <v>#N/A</v>
      </c>
      <c r="CZ2800" s="137" t="e">
        <v>#N/A</v>
      </c>
      <c r="DA2800">
        <v>0.11332468572476186</v>
      </c>
      <c r="DB2800" t="str">
        <v/>
      </c>
    </row>
    <row r="2801" spans="83:106" x14ac:dyDescent="0.2">
      <c r="CE2801"/>
      <c r="CF2801"/>
      <c r="CG2801"/>
      <c r="CH2801"/>
      <c r="CI2801"/>
      <c r="CU2801" s="42">
        <v>2796</v>
      </c>
      <c r="CV2801" s="115">
        <v>4</v>
      </c>
      <c r="CW2801" s="115">
        <v>0.11332468572476186</v>
      </c>
      <c r="CX2801" s="115" t="e">
        <v>#N/A</v>
      </c>
      <c r="CY2801" s="115" t="e">
        <v>#N/A</v>
      </c>
      <c r="CZ2801" s="137" t="e">
        <v>#N/A</v>
      </c>
      <c r="DA2801">
        <v>0.11332468572476186</v>
      </c>
      <c r="DB2801" t="str">
        <v/>
      </c>
    </row>
    <row r="2802" spans="83:106" x14ac:dyDescent="0.2">
      <c r="CE2802"/>
      <c r="CF2802"/>
      <c r="CG2802"/>
      <c r="CH2802"/>
      <c r="CI2802"/>
      <c r="CU2802" s="42">
        <v>2797</v>
      </c>
      <c r="CV2802" s="115">
        <v>4</v>
      </c>
      <c r="CW2802" s="115">
        <v>0.11332468572476186</v>
      </c>
      <c r="CX2802" s="115" t="e">
        <v>#N/A</v>
      </c>
      <c r="CY2802" s="115" t="e">
        <v>#N/A</v>
      </c>
      <c r="CZ2802" s="137" t="e">
        <v>#N/A</v>
      </c>
      <c r="DA2802">
        <v>0.11332468572476186</v>
      </c>
      <c r="DB2802" t="str">
        <v/>
      </c>
    </row>
    <row r="2803" spans="83:106" x14ac:dyDescent="0.2">
      <c r="CE2803"/>
      <c r="CF2803"/>
      <c r="CG2803"/>
      <c r="CH2803"/>
      <c r="CI2803"/>
      <c r="CU2803" s="42">
        <v>2798</v>
      </c>
      <c r="CV2803" s="115">
        <v>4</v>
      </c>
      <c r="CW2803" s="115">
        <v>0.11332468572476186</v>
      </c>
      <c r="CX2803" s="115" t="e">
        <v>#N/A</v>
      </c>
      <c r="CY2803" s="115" t="e">
        <v>#N/A</v>
      </c>
      <c r="CZ2803" s="137" t="e">
        <v>#N/A</v>
      </c>
      <c r="DA2803">
        <v>0.11332468572476186</v>
      </c>
      <c r="DB2803" t="str">
        <v/>
      </c>
    </row>
    <row r="2804" spans="83:106" x14ac:dyDescent="0.2">
      <c r="CE2804"/>
      <c r="CF2804"/>
      <c r="CG2804"/>
      <c r="CH2804"/>
      <c r="CI2804"/>
      <c r="CU2804" s="42">
        <v>2799</v>
      </c>
      <c r="CV2804" s="115">
        <v>4</v>
      </c>
      <c r="CW2804" s="115">
        <v>0.11332468572476186</v>
      </c>
      <c r="CX2804" s="115" t="e">
        <v>#N/A</v>
      </c>
      <c r="CY2804" s="115" t="e">
        <v>#N/A</v>
      </c>
      <c r="CZ2804" s="137" t="e">
        <v>#N/A</v>
      </c>
      <c r="DA2804">
        <v>0.11332468572476186</v>
      </c>
      <c r="DB2804" t="str">
        <v/>
      </c>
    </row>
    <row r="2805" spans="83:106" x14ac:dyDescent="0.2">
      <c r="CE2805"/>
      <c r="CF2805"/>
      <c r="CG2805"/>
      <c r="CH2805"/>
      <c r="CI2805"/>
      <c r="CU2805" s="42">
        <v>2800</v>
      </c>
      <c r="CV2805" s="115">
        <v>4</v>
      </c>
      <c r="CW2805" s="115">
        <v>0.11332468572476186</v>
      </c>
      <c r="CX2805" s="115" t="e">
        <v>#N/A</v>
      </c>
      <c r="CY2805" s="115" t="e">
        <v>#N/A</v>
      </c>
      <c r="CZ2805" s="137" t="e">
        <v>#N/A</v>
      </c>
      <c r="DA2805">
        <v>0.11332468572476186</v>
      </c>
      <c r="DB2805" t="str">
        <v/>
      </c>
    </row>
    <row r="2806" spans="83:106" x14ac:dyDescent="0.2">
      <c r="CE2806"/>
      <c r="CF2806"/>
      <c r="CG2806"/>
      <c r="CH2806"/>
      <c r="CI2806"/>
      <c r="CU2806" s="42">
        <v>2801</v>
      </c>
      <c r="CV2806" s="115">
        <v>4</v>
      </c>
      <c r="CW2806" s="115">
        <v>0.11332468572476186</v>
      </c>
      <c r="CX2806" s="115" t="e">
        <v>#N/A</v>
      </c>
      <c r="CY2806" s="115" t="e">
        <v>#N/A</v>
      </c>
      <c r="CZ2806" s="137" t="e">
        <v>#N/A</v>
      </c>
      <c r="DA2806">
        <v>0.11332468572476186</v>
      </c>
      <c r="DB2806" t="str">
        <v/>
      </c>
    </row>
    <row r="2807" spans="83:106" x14ac:dyDescent="0.2">
      <c r="CE2807"/>
      <c r="CF2807"/>
      <c r="CG2807"/>
      <c r="CH2807"/>
      <c r="CI2807"/>
      <c r="CU2807" s="42">
        <v>2802</v>
      </c>
      <c r="CV2807" s="115">
        <v>4</v>
      </c>
      <c r="CW2807" s="115">
        <v>0.11332468572476186</v>
      </c>
      <c r="CX2807" s="115" t="e">
        <v>#N/A</v>
      </c>
      <c r="CY2807" s="115" t="e">
        <v>#N/A</v>
      </c>
      <c r="CZ2807" s="137" t="e">
        <v>#N/A</v>
      </c>
      <c r="DA2807">
        <v>0.11332468572476186</v>
      </c>
      <c r="DB2807" t="str">
        <v/>
      </c>
    </row>
    <row r="2808" spans="83:106" x14ac:dyDescent="0.2">
      <c r="CE2808"/>
      <c r="CF2808"/>
      <c r="CG2808"/>
      <c r="CH2808"/>
      <c r="CI2808"/>
      <c r="CU2808" s="42">
        <v>2803</v>
      </c>
      <c r="CV2808" s="115">
        <v>4</v>
      </c>
      <c r="CW2808" s="115">
        <v>0.11332468572476186</v>
      </c>
      <c r="CX2808" s="115" t="e">
        <v>#N/A</v>
      </c>
      <c r="CY2808" s="115" t="e">
        <v>#N/A</v>
      </c>
      <c r="CZ2808" s="137" t="e">
        <v>#N/A</v>
      </c>
      <c r="DA2808">
        <v>0.11332468572476186</v>
      </c>
      <c r="DB2808" t="str">
        <v/>
      </c>
    </row>
    <row r="2809" spans="83:106" x14ac:dyDescent="0.2">
      <c r="CE2809"/>
      <c r="CF2809"/>
      <c r="CG2809"/>
      <c r="CH2809"/>
      <c r="CI2809"/>
      <c r="CU2809" s="42">
        <v>2804</v>
      </c>
      <c r="CV2809" s="115">
        <v>4</v>
      </c>
      <c r="CW2809" s="115">
        <v>0.11332468572476186</v>
      </c>
      <c r="CX2809" s="115" t="e">
        <v>#N/A</v>
      </c>
      <c r="CY2809" s="115" t="e">
        <v>#N/A</v>
      </c>
      <c r="CZ2809" s="137" t="e">
        <v>#N/A</v>
      </c>
      <c r="DA2809">
        <v>0.11332468572476186</v>
      </c>
      <c r="DB2809" t="str">
        <v/>
      </c>
    </row>
    <row r="2810" spans="83:106" x14ac:dyDescent="0.2">
      <c r="CE2810"/>
      <c r="CF2810"/>
      <c r="CG2810"/>
      <c r="CH2810"/>
      <c r="CI2810"/>
      <c r="CU2810" s="42">
        <v>2805</v>
      </c>
      <c r="CV2810" s="115">
        <v>4</v>
      </c>
      <c r="CW2810" s="115">
        <v>0.11332468572476186</v>
      </c>
      <c r="CX2810" s="115" t="e">
        <v>#N/A</v>
      </c>
      <c r="CY2810" s="115" t="e">
        <v>#N/A</v>
      </c>
      <c r="CZ2810" s="137" t="e">
        <v>#N/A</v>
      </c>
      <c r="DA2810">
        <v>0.11332468572476186</v>
      </c>
      <c r="DB2810" t="str">
        <v/>
      </c>
    </row>
    <row r="2811" spans="83:106" x14ac:dyDescent="0.2">
      <c r="CE2811"/>
      <c r="CF2811"/>
      <c r="CG2811"/>
      <c r="CH2811"/>
      <c r="CI2811"/>
      <c r="CU2811" s="42">
        <v>2806</v>
      </c>
      <c r="CV2811" s="115">
        <v>4</v>
      </c>
      <c r="CW2811" s="115">
        <v>0.11332468572476186</v>
      </c>
      <c r="CX2811" s="115" t="e">
        <v>#N/A</v>
      </c>
      <c r="CY2811" s="115" t="e">
        <v>#N/A</v>
      </c>
      <c r="CZ2811" s="137" t="e">
        <v>#N/A</v>
      </c>
      <c r="DA2811">
        <v>0.11332468572476186</v>
      </c>
      <c r="DB2811" t="str">
        <v/>
      </c>
    </row>
    <row r="2812" spans="83:106" x14ac:dyDescent="0.2">
      <c r="CE2812"/>
      <c r="CF2812"/>
      <c r="CG2812"/>
      <c r="CH2812"/>
      <c r="CI2812"/>
      <c r="CU2812" s="42">
        <v>2807</v>
      </c>
      <c r="CV2812" s="115">
        <v>4</v>
      </c>
      <c r="CW2812" s="115">
        <v>0.11332468572476186</v>
      </c>
      <c r="CX2812" s="115" t="e">
        <v>#N/A</v>
      </c>
      <c r="CY2812" s="115" t="e">
        <v>#N/A</v>
      </c>
      <c r="CZ2812" s="137" t="e">
        <v>#N/A</v>
      </c>
      <c r="DA2812">
        <v>0.11332468572476186</v>
      </c>
      <c r="DB2812" t="str">
        <v/>
      </c>
    </row>
    <row r="2813" spans="83:106" x14ac:dyDescent="0.2">
      <c r="CE2813"/>
      <c r="CF2813"/>
      <c r="CG2813"/>
      <c r="CH2813"/>
      <c r="CI2813"/>
      <c r="CU2813" s="42">
        <v>2808</v>
      </c>
      <c r="CV2813" s="115">
        <v>4</v>
      </c>
      <c r="CW2813" s="115">
        <v>0.11332468572476186</v>
      </c>
      <c r="CX2813" s="115" t="e">
        <v>#N/A</v>
      </c>
      <c r="CY2813" s="115" t="e">
        <v>#N/A</v>
      </c>
      <c r="CZ2813" s="137" t="e">
        <v>#N/A</v>
      </c>
      <c r="DA2813">
        <v>0.11332468572476186</v>
      </c>
      <c r="DB2813" t="str">
        <v/>
      </c>
    </row>
    <row r="2814" spans="83:106" x14ac:dyDescent="0.2">
      <c r="CE2814"/>
      <c r="CF2814"/>
      <c r="CG2814"/>
      <c r="CH2814"/>
      <c r="CI2814"/>
      <c r="CU2814" s="42">
        <v>2809</v>
      </c>
      <c r="CV2814" s="115">
        <v>4</v>
      </c>
      <c r="CW2814" s="115">
        <v>0.11332468572476186</v>
      </c>
      <c r="CX2814" s="115" t="e">
        <v>#N/A</v>
      </c>
      <c r="CY2814" s="115" t="e">
        <v>#N/A</v>
      </c>
      <c r="CZ2814" s="137" t="e">
        <v>#N/A</v>
      </c>
      <c r="DA2814">
        <v>0.11332468572476186</v>
      </c>
      <c r="DB2814" t="str">
        <v/>
      </c>
    </row>
    <row r="2815" spans="83:106" x14ac:dyDescent="0.2">
      <c r="CE2815"/>
      <c r="CF2815"/>
      <c r="CG2815"/>
      <c r="CH2815"/>
      <c r="CI2815"/>
      <c r="CU2815" s="42">
        <v>2810</v>
      </c>
      <c r="CV2815" s="115">
        <v>4</v>
      </c>
      <c r="CW2815" s="115">
        <v>0.11332468572476186</v>
      </c>
      <c r="CX2815" s="115" t="e">
        <v>#N/A</v>
      </c>
      <c r="CY2815" s="115" t="e">
        <v>#N/A</v>
      </c>
      <c r="CZ2815" s="137" t="e">
        <v>#N/A</v>
      </c>
      <c r="DA2815">
        <v>0.11332468572476186</v>
      </c>
      <c r="DB2815" t="str">
        <v/>
      </c>
    </row>
    <row r="2816" spans="83:106" x14ac:dyDescent="0.2">
      <c r="CE2816"/>
      <c r="CF2816"/>
      <c r="CG2816"/>
      <c r="CH2816"/>
      <c r="CI2816"/>
      <c r="CU2816" s="42">
        <v>2811</v>
      </c>
      <c r="CV2816" s="115">
        <v>4</v>
      </c>
      <c r="CW2816" s="115">
        <v>0.11332468572476186</v>
      </c>
      <c r="CX2816" s="115" t="e">
        <v>#N/A</v>
      </c>
      <c r="CY2816" s="115" t="e">
        <v>#N/A</v>
      </c>
      <c r="CZ2816" s="137" t="e">
        <v>#N/A</v>
      </c>
      <c r="DA2816">
        <v>0.11332468572476186</v>
      </c>
      <c r="DB2816" t="str">
        <v/>
      </c>
    </row>
    <row r="2817" spans="83:106" x14ac:dyDescent="0.2">
      <c r="CE2817"/>
      <c r="CF2817"/>
      <c r="CG2817"/>
      <c r="CH2817"/>
      <c r="CI2817"/>
      <c r="CU2817" s="42">
        <v>2812</v>
      </c>
      <c r="CV2817" s="115">
        <v>4</v>
      </c>
      <c r="CW2817" s="115">
        <v>0.11332468572476186</v>
      </c>
      <c r="CX2817" s="115" t="e">
        <v>#N/A</v>
      </c>
      <c r="CY2817" s="115" t="e">
        <v>#N/A</v>
      </c>
      <c r="CZ2817" s="137" t="e">
        <v>#N/A</v>
      </c>
      <c r="DA2817">
        <v>0.11332468572476186</v>
      </c>
      <c r="DB2817" t="str">
        <v/>
      </c>
    </row>
    <row r="2818" spans="83:106" x14ac:dyDescent="0.2">
      <c r="CE2818"/>
      <c r="CF2818"/>
      <c r="CG2818"/>
      <c r="CH2818"/>
      <c r="CI2818"/>
      <c r="CU2818" s="42">
        <v>2813</v>
      </c>
      <c r="CV2818" s="115">
        <v>4</v>
      </c>
      <c r="CW2818" s="115">
        <v>0.11332468572476186</v>
      </c>
      <c r="CX2818" s="115" t="e">
        <v>#N/A</v>
      </c>
      <c r="CY2818" s="115" t="e">
        <v>#N/A</v>
      </c>
      <c r="CZ2818" s="137" t="e">
        <v>#N/A</v>
      </c>
      <c r="DA2818">
        <v>0.11332468572476186</v>
      </c>
      <c r="DB2818" t="str">
        <v/>
      </c>
    </row>
    <row r="2819" spans="83:106" x14ac:dyDescent="0.2">
      <c r="CE2819"/>
      <c r="CF2819"/>
      <c r="CG2819"/>
      <c r="CH2819"/>
      <c r="CI2819"/>
      <c r="CU2819" s="42">
        <v>2814</v>
      </c>
      <c r="CV2819" s="115">
        <v>4</v>
      </c>
      <c r="CW2819" s="115">
        <v>0.11332468572476186</v>
      </c>
      <c r="CX2819" s="115" t="e">
        <v>#N/A</v>
      </c>
      <c r="CY2819" s="115" t="e">
        <v>#N/A</v>
      </c>
      <c r="CZ2819" s="137" t="e">
        <v>#N/A</v>
      </c>
      <c r="DA2819">
        <v>0.11332468572476186</v>
      </c>
      <c r="DB2819" t="str">
        <v/>
      </c>
    </row>
    <row r="2820" spans="83:106" x14ac:dyDescent="0.2">
      <c r="CE2820"/>
      <c r="CF2820"/>
      <c r="CG2820"/>
      <c r="CH2820"/>
      <c r="CI2820"/>
      <c r="CU2820" s="42">
        <v>2815</v>
      </c>
      <c r="CV2820" s="115">
        <v>4</v>
      </c>
      <c r="CW2820" s="115">
        <v>0.11332468572476186</v>
      </c>
      <c r="CX2820" s="115" t="e">
        <v>#N/A</v>
      </c>
      <c r="CY2820" s="115" t="e">
        <v>#N/A</v>
      </c>
      <c r="CZ2820" s="137" t="e">
        <v>#N/A</v>
      </c>
      <c r="DA2820">
        <v>0.11332468572476186</v>
      </c>
      <c r="DB2820" t="str">
        <v/>
      </c>
    </row>
    <row r="2821" spans="83:106" x14ac:dyDescent="0.2">
      <c r="CE2821"/>
      <c r="CF2821"/>
      <c r="CG2821"/>
      <c r="CH2821"/>
      <c r="CI2821"/>
      <c r="CU2821" s="42">
        <v>2816</v>
      </c>
      <c r="CV2821" s="115">
        <v>4</v>
      </c>
      <c r="CW2821" s="115">
        <v>0.11332468572476186</v>
      </c>
      <c r="CX2821" s="115" t="e">
        <v>#N/A</v>
      </c>
      <c r="CY2821" s="115" t="e">
        <v>#N/A</v>
      </c>
      <c r="CZ2821" s="137" t="e">
        <v>#N/A</v>
      </c>
      <c r="DA2821">
        <v>0.11332468572476186</v>
      </c>
      <c r="DB2821" t="str">
        <v/>
      </c>
    </row>
    <row r="2822" spans="83:106" x14ac:dyDescent="0.2">
      <c r="CE2822"/>
      <c r="CF2822"/>
      <c r="CG2822"/>
      <c r="CH2822"/>
      <c r="CI2822"/>
      <c r="CU2822" s="42">
        <v>2817</v>
      </c>
      <c r="CV2822" s="115">
        <v>4</v>
      </c>
      <c r="CW2822" s="115">
        <v>0.11332468572476186</v>
      </c>
      <c r="CX2822" s="115" t="e">
        <v>#N/A</v>
      </c>
      <c r="CY2822" s="115" t="e">
        <v>#N/A</v>
      </c>
      <c r="CZ2822" s="137" t="e">
        <v>#N/A</v>
      </c>
      <c r="DA2822">
        <v>0.11332468572476186</v>
      </c>
      <c r="DB2822" t="str">
        <v/>
      </c>
    </row>
    <row r="2823" spans="83:106" x14ac:dyDescent="0.2">
      <c r="CE2823"/>
      <c r="CF2823"/>
      <c r="CG2823"/>
      <c r="CH2823"/>
      <c r="CI2823"/>
      <c r="CU2823" s="42">
        <v>2818</v>
      </c>
      <c r="CV2823" s="115">
        <v>4</v>
      </c>
      <c r="CW2823" s="115">
        <v>0.11332468572476186</v>
      </c>
      <c r="CX2823" s="115" t="e">
        <v>#N/A</v>
      </c>
      <c r="CY2823" s="115" t="e">
        <v>#N/A</v>
      </c>
      <c r="CZ2823" s="137" t="e">
        <v>#N/A</v>
      </c>
      <c r="DA2823">
        <v>0.11332468572476186</v>
      </c>
      <c r="DB2823" t="str">
        <v/>
      </c>
    </row>
    <row r="2824" spans="83:106" x14ac:dyDescent="0.2">
      <c r="CE2824"/>
      <c r="CF2824"/>
      <c r="CG2824"/>
      <c r="CH2824"/>
      <c r="CI2824"/>
      <c r="CU2824" s="42">
        <v>2819</v>
      </c>
      <c r="CV2824" s="115">
        <v>4</v>
      </c>
      <c r="CW2824" s="115">
        <v>0.11332468572476186</v>
      </c>
      <c r="CX2824" s="115" t="e">
        <v>#N/A</v>
      </c>
      <c r="CY2824" s="115" t="e">
        <v>#N/A</v>
      </c>
      <c r="CZ2824" s="137" t="e">
        <v>#N/A</v>
      </c>
      <c r="DA2824">
        <v>0.11332468572476186</v>
      </c>
      <c r="DB2824" t="str">
        <v/>
      </c>
    </row>
    <row r="2825" spans="83:106" x14ac:dyDescent="0.2">
      <c r="CE2825"/>
      <c r="CF2825"/>
      <c r="CG2825"/>
      <c r="CH2825"/>
      <c r="CI2825"/>
      <c r="CU2825" s="42">
        <v>2820</v>
      </c>
      <c r="CV2825" s="115">
        <v>4</v>
      </c>
      <c r="CW2825" s="115">
        <v>0.11332468572476186</v>
      </c>
      <c r="CX2825" s="115" t="e">
        <v>#N/A</v>
      </c>
      <c r="CY2825" s="115" t="e">
        <v>#N/A</v>
      </c>
      <c r="CZ2825" s="137" t="e">
        <v>#N/A</v>
      </c>
      <c r="DA2825">
        <v>0.11332468572476186</v>
      </c>
      <c r="DB2825" t="str">
        <v/>
      </c>
    </row>
    <row r="2826" spans="83:106" x14ac:dyDescent="0.2">
      <c r="CE2826"/>
      <c r="CF2826"/>
      <c r="CG2826"/>
      <c r="CH2826"/>
      <c r="CI2826"/>
      <c r="CU2826" s="42">
        <v>2821</v>
      </c>
      <c r="CV2826" s="115">
        <v>4</v>
      </c>
      <c r="CW2826" s="115">
        <v>0.11332468572476186</v>
      </c>
      <c r="CX2826" s="115" t="e">
        <v>#N/A</v>
      </c>
      <c r="CY2826" s="115" t="e">
        <v>#N/A</v>
      </c>
      <c r="CZ2826" s="137" t="e">
        <v>#N/A</v>
      </c>
      <c r="DA2826">
        <v>0.11332468572476186</v>
      </c>
      <c r="DB2826" t="str">
        <v/>
      </c>
    </row>
    <row r="2827" spans="83:106" x14ac:dyDescent="0.2">
      <c r="CE2827"/>
      <c r="CF2827"/>
      <c r="CG2827"/>
      <c r="CH2827"/>
      <c r="CI2827"/>
      <c r="CU2827" s="42">
        <v>2822</v>
      </c>
      <c r="CV2827" s="115">
        <v>4</v>
      </c>
      <c r="CW2827" s="115">
        <v>0.11332468572476186</v>
      </c>
      <c r="CX2827" s="115" t="e">
        <v>#N/A</v>
      </c>
      <c r="CY2827" s="115" t="e">
        <v>#N/A</v>
      </c>
      <c r="CZ2827" s="137" t="e">
        <v>#N/A</v>
      </c>
      <c r="DA2827">
        <v>0.11332468572476186</v>
      </c>
      <c r="DB2827" t="str">
        <v/>
      </c>
    </row>
    <row r="2828" spans="83:106" x14ac:dyDescent="0.2">
      <c r="CE2828"/>
      <c r="CF2828"/>
      <c r="CG2828"/>
      <c r="CH2828"/>
      <c r="CI2828"/>
      <c r="CU2828" s="42">
        <v>2823</v>
      </c>
      <c r="CV2828" s="115">
        <v>4</v>
      </c>
      <c r="CW2828" s="115">
        <v>0.11332468572476186</v>
      </c>
      <c r="CX2828" s="115" t="e">
        <v>#N/A</v>
      </c>
      <c r="CY2828" s="115" t="e">
        <v>#N/A</v>
      </c>
      <c r="CZ2828" s="137" t="e">
        <v>#N/A</v>
      </c>
      <c r="DA2828">
        <v>0.11332468572476186</v>
      </c>
      <c r="DB2828" t="str">
        <v/>
      </c>
    </row>
    <row r="2829" spans="83:106" x14ac:dyDescent="0.2">
      <c r="CE2829"/>
      <c r="CF2829"/>
      <c r="CG2829"/>
      <c r="CH2829"/>
      <c r="CI2829"/>
      <c r="CU2829" s="42">
        <v>2824</v>
      </c>
      <c r="CV2829" s="115">
        <v>4</v>
      </c>
      <c r="CW2829" s="115">
        <v>0.11332468572476186</v>
      </c>
      <c r="CX2829" s="115" t="e">
        <v>#N/A</v>
      </c>
      <c r="CY2829" s="115" t="e">
        <v>#N/A</v>
      </c>
      <c r="CZ2829" s="137" t="e">
        <v>#N/A</v>
      </c>
      <c r="DA2829">
        <v>0.11332468572476186</v>
      </c>
      <c r="DB2829" t="str">
        <v/>
      </c>
    </row>
    <row r="2830" spans="83:106" x14ac:dyDescent="0.2">
      <c r="CE2830"/>
      <c r="CF2830"/>
      <c r="CG2830"/>
      <c r="CH2830"/>
      <c r="CI2830"/>
      <c r="CU2830" s="42">
        <v>2825</v>
      </c>
      <c r="CV2830" s="115">
        <v>4</v>
      </c>
      <c r="CW2830" s="115">
        <v>0.11332468572476186</v>
      </c>
      <c r="CX2830" s="115" t="e">
        <v>#N/A</v>
      </c>
      <c r="CY2830" s="115" t="e">
        <v>#N/A</v>
      </c>
      <c r="CZ2830" s="137" t="e">
        <v>#N/A</v>
      </c>
      <c r="DA2830">
        <v>0.11332468572476186</v>
      </c>
      <c r="DB2830" t="str">
        <v/>
      </c>
    </row>
    <row r="2831" spans="83:106" x14ac:dyDescent="0.2">
      <c r="CE2831"/>
      <c r="CF2831"/>
      <c r="CG2831"/>
      <c r="CH2831"/>
      <c r="CI2831"/>
      <c r="CU2831" s="42">
        <v>2826</v>
      </c>
      <c r="CV2831" s="115">
        <v>4</v>
      </c>
      <c r="CW2831" s="115">
        <v>0.11332468572476186</v>
      </c>
      <c r="CX2831" s="115" t="e">
        <v>#N/A</v>
      </c>
      <c r="CY2831" s="115" t="e">
        <v>#N/A</v>
      </c>
      <c r="CZ2831" s="137" t="e">
        <v>#N/A</v>
      </c>
      <c r="DA2831">
        <v>0.11332468572476186</v>
      </c>
      <c r="DB2831" t="str">
        <v/>
      </c>
    </row>
    <row r="2832" spans="83:106" x14ac:dyDescent="0.2">
      <c r="CE2832"/>
      <c r="CF2832"/>
      <c r="CG2832"/>
      <c r="CH2832"/>
      <c r="CI2832"/>
      <c r="CU2832" s="42">
        <v>2827</v>
      </c>
      <c r="CV2832" s="115">
        <v>4</v>
      </c>
      <c r="CW2832" s="115">
        <v>0.11332468572476186</v>
      </c>
      <c r="CX2832" s="115" t="e">
        <v>#N/A</v>
      </c>
      <c r="CY2832" s="115" t="e">
        <v>#N/A</v>
      </c>
      <c r="CZ2832" s="137" t="e">
        <v>#N/A</v>
      </c>
      <c r="DA2832">
        <v>0.11332468572476186</v>
      </c>
      <c r="DB2832" t="str">
        <v/>
      </c>
    </row>
    <row r="2833" spans="83:106" x14ac:dyDescent="0.2">
      <c r="CE2833"/>
      <c r="CF2833"/>
      <c r="CG2833"/>
      <c r="CH2833"/>
      <c r="CI2833"/>
      <c r="CU2833" s="42">
        <v>2828</v>
      </c>
      <c r="CV2833" s="115">
        <v>4</v>
      </c>
      <c r="CW2833" s="115">
        <v>0.11332468572476186</v>
      </c>
      <c r="CX2833" s="115" t="e">
        <v>#N/A</v>
      </c>
      <c r="CY2833" s="115" t="e">
        <v>#N/A</v>
      </c>
      <c r="CZ2833" s="137" t="e">
        <v>#N/A</v>
      </c>
      <c r="DA2833">
        <v>0.11332468572476186</v>
      </c>
      <c r="DB2833" t="str">
        <v/>
      </c>
    </row>
    <row r="2834" spans="83:106" x14ac:dyDescent="0.2">
      <c r="CE2834"/>
      <c r="CF2834"/>
      <c r="CG2834"/>
      <c r="CH2834"/>
      <c r="CI2834"/>
      <c r="CU2834" s="42">
        <v>2829</v>
      </c>
      <c r="CV2834" s="115">
        <v>4</v>
      </c>
      <c r="CW2834" s="115">
        <v>0.11332468572476186</v>
      </c>
      <c r="CX2834" s="115" t="e">
        <v>#N/A</v>
      </c>
      <c r="CY2834" s="115" t="e">
        <v>#N/A</v>
      </c>
      <c r="CZ2834" s="137" t="e">
        <v>#N/A</v>
      </c>
      <c r="DA2834">
        <v>0.11332468572476186</v>
      </c>
      <c r="DB2834" t="str">
        <v/>
      </c>
    </row>
    <row r="2835" spans="83:106" x14ac:dyDescent="0.2">
      <c r="CE2835"/>
      <c r="CF2835"/>
      <c r="CG2835"/>
      <c r="CH2835"/>
      <c r="CI2835"/>
      <c r="CU2835" s="42">
        <v>2830</v>
      </c>
      <c r="CV2835" s="115">
        <v>4</v>
      </c>
      <c r="CW2835" s="115">
        <v>0.11332468572476186</v>
      </c>
      <c r="CX2835" s="115" t="e">
        <v>#N/A</v>
      </c>
      <c r="CY2835" s="115" t="e">
        <v>#N/A</v>
      </c>
      <c r="CZ2835" s="137" t="e">
        <v>#N/A</v>
      </c>
      <c r="DA2835">
        <v>0.11332468572476186</v>
      </c>
      <c r="DB2835" t="str">
        <v/>
      </c>
    </row>
    <row r="2836" spans="83:106" x14ac:dyDescent="0.2">
      <c r="CE2836"/>
      <c r="CF2836"/>
      <c r="CG2836"/>
      <c r="CH2836"/>
      <c r="CI2836"/>
      <c r="CU2836" s="42">
        <v>2831</v>
      </c>
      <c r="CV2836" s="115">
        <v>4</v>
      </c>
      <c r="CW2836" s="115">
        <v>0.11332468572476186</v>
      </c>
      <c r="CX2836" s="115" t="e">
        <v>#N/A</v>
      </c>
      <c r="CY2836" s="115" t="e">
        <v>#N/A</v>
      </c>
      <c r="CZ2836" s="137" t="e">
        <v>#N/A</v>
      </c>
      <c r="DA2836">
        <v>0.11332468572476186</v>
      </c>
      <c r="DB2836" t="str">
        <v/>
      </c>
    </row>
    <row r="2837" spans="83:106" x14ac:dyDescent="0.2">
      <c r="CE2837"/>
      <c r="CF2837"/>
      <c r="CG2837"/>
      <c r="CH2837"/>
      <c r="CI2837"/>
      <c r="CU2837" s="42">
        <v>2832</v>
      </c>
      <c r="CV2837" s="115">
        <v>4</v>
      </c>
      <c r="CW2837" s="115">
        <v>0.11332468572476186</v>
      </c>
      <c r="CX2837" s="115" t="e">
        <v>#N/A</v>
      </c>
      <c r="CY2837" s="115" t="e">
        <v>#N/A</v>
      </c>
      <c r="CZ2837" s="137" t="e">
        <v>#N/A</v>
      </c>
      <c r="DA2837">
        <v>0.11332468572476186</v>
      </c>
      <c r="DB2837" t="str">
        <v/>
      </c>
    </row>
    <row r="2838" spans="83:106" x14ac:dyDescent="0.2">
      <c r="CE2838"/>
      <c r="CF2838"/>
      <c r="CG2838"/>
      <c r="CH2838"/>
      <c r="CI2838"/>
      <c r="CU2838" s="42">
        <v>2833</v>
      </c>
      <c r="CV2838" s="115">
        <v>4</v>
      </c>
      <c r="CW2838" s="115">
        <v>0.11332468572476186</v>
      </c>
      <c r="CX2838" s="115" t="e">
        <v>#N/A</v>
      </c>
      <c r="CY2838" s="115" t="e">
        <v>#N/A</v>
      </c>
      <c r="CZ2838" s="137" t="e">
        <v>#N/A</v>
      </c>
      <c r="DA2838">
        <v>0.11332468572476186</v>
      </c>
      <c r="DB2838" t="str">
        <v/>
      </c>
    </row>
    <row r="2839" spans="83:106" x14ac:dyDescent="0.2">
      <c r="CE2839"/>
      <c r="CF2839"/>
      <c r="CG2839"/>
      <c r="CH2839"/>
      <c r="CI2839"/>
      <c r="CU2839" s="42">
        <v>2834</v>
      </c>
      <c r="CV2839" s="115">
        <v>4</v>
      </c>
      <c r="CW2839" s="115">
        <v>0.11332468572476186</v>
      </c>
      <c r="CX2839" s="115" t="e">
        <v>#N/A</v>
      </c>
      <c r="CY2839" s="115" t="e">
        <v>#N/A</v>
      </c>
      <c r="CZ2839" s="137" t="e">
        <v>#N/A</v>
      </c>
      <c r="DA2839">
        <v>0.11332468572476186</v>
      </c>
      <c r="DB2839" t="str">
        <v/>
      </c>
    </row>
    <row r="2840" spans="83:106" x14ac:dyDescent="0.2">
      <c r="CE2840"/>
      <c r="CF2840"/>
      <c r="CG2840"/>
      <c r="CH2840"/>
      <c r="CI2840"/>
      <c r="CU2840" s="42">
        <v>2835</v>
      </c>
      <c r="CV2840" s="115">
        <v>4</v>
      </c>
      <c r="CW2840" s="115">
        <v>0.11332468572476186</v>
      </c>
      <c r="CX2840" s="115" t="e">
        <v>#N/A</v>
      </c>
      <c r="CY2840" s="115" t="e">
        <v>#N/A</v>
      </c>
      <c r="CZ2840" s="137" t="e">
        <v>#N/A</v>
      </c>
      <c r="DA2840">
        <v>0.11332468572476186</v>
      </c>
      <c r="DB2840" t="str">
        <v/>
      </c>
    </row>
    <row r="2841" spans="83:106" x14ac:dyDescent="0.2">
      <c r="CE2841"/>
      <c r="CF2841"/>
      <c r="CG2841"/>
      <c r="CH2841"/>
      <c r="CI2841"/>
      <c r="CU2841" s="42">
        <v>2836</v>
      </c>
      <c r="CV2841" s="115">
        <v>4</v>
      </c>
      <c r="CW2841" s="115">
        <v>0.11332468572476186</v>
      </c>
      <c r="CX2841" s="115" t="e">
        <v>#N/A</v>
      </c>
      <c r="CY2841" s="115" t="e">
        <v>#N/A</v>
      </c>
      <c r="CZ2841" s="137" t="e">
        <v>#N/A</v>
      </c>
      <c r="DA2841">
        <v>0.11332468572476186</v>
      </c>
      <c r="DB2841" t="str">
        <v/>
      </c>
    </row>
    <row r="2842" spans="83:106" x14ac:dyDescent="0.2">
      <c r="CE2842"/>
      <c r="CF2842"/>
      <c r="CG2842"/>
      <c r="CH2842"/>
      <c r="CI2842"/>
      <c r="CU2842" s="42">
        <v>2837</v>
      </c>
      <c r="CV2842" s="115">
        <v>4</v>
      </c>
      <c r="CW2842" s="115">
        <v>0.11332468572476186</v>
      </c>
      <c r="CX2842" s="115" t="e">
        <v>#N/A</v>
      </c>
      <c r="CY2842" s="115" t="e">
        <v>#N/A</v>
      </c>
      <c r="CZ2842" s="137" t="e">
        <v>#N/A</v>
      </c>
      <c r="DA2842">
        <v>0.11332468572476186</v>
      </c>
      <c r="DB2842" t="str">
        <v/>
      </c>
    </row>
    <row r="2843" spans="83:106" x14ac:dyDescent="0.2">
      <c r="CE2843"/>
      <c r="CF2843"/>
      <c r="CG2843"/>
      <c r="CH2843"/>
      <c r="CI2843"/>
      <c r="CU2843" s="42">
        <v>2838</v>
      </c>
      <c r="CV2843" s="115">
        <v>4</v>
      </c>
      <c r="CW2843" s="115">
        <v>0.11332468572476186</v>
      </c>
      <c r="CX2843" s="115" t="e">
        <v>#N/A</v>
      </c>
      <c r="CY2843" s="115" t="e">
        <v>#N/A</v>
      </c>
      <c r="CZ2843" s="137" t="e">
        <v>#N/A</v>
      </c>
      <c r="DA2843">
        <v>0.11332468572476186</v>
      </c>
      <c r="DB2843" t="str">
        <v/>
      </c>
    </row>
    <row r="2844" spans="83:106" x14ac:dyDescent="0.2">
      <c r="CE2844"/>
      <c r="CF2844"/>
      <c r="CG2844"/>
      <c r="CH2844"/>
      <c r="CI2844"/>
      <c r="CU2844" s="42">
        <v>2839</v>
      </c>
      <c r="CV2844" s="115">
        <v>4</v>
      </c>
      <c r="CW2844" s="115">
        <v>0.11332468572476186</v>
      </c>
      <c r="CX2844" s="115" t="e">
        <v>#N/A</v>
      </c>
      <c r="CY2844" s="115" t="e">
        <v>#N/A</v>
      </c>
      <c r="CZ2844" s="137" t="e">
        <v>#N/A</v>
      </c>
      <c r="DA2844">
        <v>0.11332468572476186</v>
      </c>
      <c r="DB2844" t="str">
        <v/>
      </c>
    </row>
    <row r="2845" spans="83:106" x14ac:dyDescent="0.2">
      <c r="CE2845"/>
      <c r="CF2845"/>
      <c r="CG2845"/>
      <c r="CH2845"/>
      <c r="CI2845"/>
      <c r="CU2845" s="42">
        <v>2840</v>
      </c>
      <c r="CV2845" s="115">
        <v>4</v>
      </c>
      <c r="CW2845" s="115">
        <v>0.11332468572476186</v>
      </c>
      <c r="CX2845" s="115" t="e">
        <v>#N/A</v>
      </c>
      <c r="CY2845" s="115" t="e">
        <v>#N/A</v>
      </c>
      <c r="CZ2845" s="137" t="e">
        <v>#N/A</v>
      </c>
      <c r="DA2845">
        <v>0.11332468572476186</v>
      </c>
      <c r="DB2845" t="str">
        <v/>
      </c>
    </row>
    <row r="2846" spans="83:106" x14ac:dyDescent="0.2">
      <c r="CE2846"/>
      <c r="CF2846"/>
      <c r="CG2846"/>
      <c r="CH2846"/>
      <c r="CI2846"/>
      <c r="CU2846" s="42">
        <v>2841</v>
      </c>
      <c r="CV2846" s="115">
        <v>4</v>
      </c>
      <c r="CW2846" s="115">
        <v>0.11332468572476186</v>
      </c>
      <c r="CX2846" s="115" t="e">
        <v>#N/A</v>
      </c>
      <c r="CY2846" s="115" t="e">
        <v>#N/A</v>
      </c>
      <c r="CZ2846" s="137" t="e">
        <v>#N/A</v>
      </c>
      <c r="DA2846">
        <v>0.11332468572476186</v>
      </c>
      <c r="DB2846" t="str">
        <v/>
      </c>
    </row>
    <row r="2847" spans="83:106" x14ac:dyDescent="0.2">
      <c r="CE2847"/>
      <c r="CF2847"/>
      <c r="CG2847"/>
      <c r="CH2847"/>
      <c r="CI2847"/>
      <c r="CU2847" s="42">
        <v>2842</v>
      </c>
      <c r="CV2847" s="115">
        <v>4</v>
      </c>
      <c r="CW2847" s="115">
        <v>0.11332468572476186</v>
      </c>
      <c r="CX2847" s="115" t="e">
        <v>#N/A</v>
      </c>
      <c r="CY2847" s="115" t="e">
        <v>#N/A</v>
      </c>
      <c r="CZ2847" s="137" t="e">
        <v>#N/A</v>
      </c>
      <c r="DA2847">
        <v>0.11332468572476186</v>
      </c>
      <c r="DB2847" t="str">
        <v/>
      </c>
    </row>
    <row r="2848" spans="83:106" x14ac:dyDescent="0.2">
      <c r="CE2848"/>
      <c r="CF2848"/>
      <c r="CG2848"/>
      <c r="CH2848"/>
      <c r="CI2848"/>
      <c r="CU2848" s="42">
        <v>2843</v>
      </c>
      <c r="CV2848" s="115">
        <v>4</v>
      </c>
      <c r="CW2848" s="115">
        <v>0.11332468572476186</v>
      </c>
      <c r="CX2848" s="115" t="e">
        <v>#N/A</v>
      </c>
      <c r="CY2848" s="115" t="e">
        <v>#N/A</v>
      </c>
      <c r="CZ2848" s="137" t="e">
        <v>#N/A</v>
      </c>
      <c r="DA2848">
        <v>0.11332468572476186</v>
      </c>
      <c r="DB2848" t="str">
        <v/>
      </c>
    </row>
    <row r="2849" spans="83:106" x14ac:dyDescent="0.2">
      <c r="CE2849"/>
      <c r="CF2849"/>
      <c r="CG2849"/>
      <c r="CH2849"/>
      <c r="CI2849"/>
      <c r="CU2849" s="42">
        <v>2844</v>
      </c>
      <c r="CV2849" s="115">
        <v>4</v>
      </c>
      <c r="CW2849" s="115">
        <v>0.11332468572476186</v>
      </c>
      <c r="CX2849" s="115" t="e">
        <v>#N/A</v>
      </c>
      <c r="CY2849" s="115" t="e">
        <v>#N/A</v>
      </c>
      <c r="CZ2849" s="137" t="e">
        <v>#N/A</v>
      </c>
      <c r="DA2849">
        <v>0.11332468572476186</v>
      </c>
      <c r="DB2849" t="str">
        <v/>
      </c>
    </row>
    <row r="2850" spans="83:106" x14ac:dyDescent="0.2">
      <c r="CE2850"/>
      <c r="CF2850"/>
      <c r="CG2850"/>
      <c r="CH2850"/>
      <c r="CI2850"/>
      <c r="CU2850" s="42">
        <v>2845</v>
      </c>
      <c r="CV2850" s="115">
        <v>4</v>
      </c>
      <c r="CW2850" s="115">
        <v>0.11332468572476186</v>
      </c>
      <c r="CX2850" s="115" t="e">
        <v>#N/A</v>
      </c>
      <c r="CY2850" s="115" t="e">
        <v>#N/A</v>
      </c>
      <c r="CZ2850" s="137" t="e">
        <v>#N/A</v>
      </c>
      <c r="DA2850">
        <v>0.11332468572476186</v>
      </c>
      <c r="DB2850" t="str">
        <v/>
      </c>
    </row>
    <row r="2851" spans="83:106" x14ac:dyDescent="0.2">
      <c r="CE2851"/>
      <c r="CF2851"/>
      <c r="CG2851"/>
      <c r="CH2851"/>
      <c r="CI2851"/>
      <c r="CU2851" s="42">
        <v>2846</v>
      </c>
      <c r="CV2851" s="115">
        <v>4</v>
      </c>
      <c r="CW2851" s="115">
        <v>0.11332468572476186</v>
      </c>
      <c r="CX2851" s="115" t="e">
        <v>#N/A</v>
      </c>
      <c r="CY2851" s="115" t="e">
        <v>#N/A</v>
      </c>
      <c r="CZ2851" s="137" t="e">
        <v>#N/A</v>
      </c>
      <c r="DA2851">
        <v>0.11332468572476186</v>
      </c>
      <c r="DB2851" t="str">
        <v/>
      </c>
    </row>
    <row r="2852" spans="83:106" x14ac:dyDescent="0.2">
      <c r="CE2852"/>
      <c r="CF2852"/>
      <c r="CG2852"/>
      <c r="CH2852"/>
      <c r="CI2852"/>
      <c r="CU2852" s="42">
        <v>2847</v>
      </c>
      <c r="CV2852" s="115">
        <v>4</v>
      </c>
      <c r="CW2852" s="115">
        <v>0.11332468572476186</v>
      </c>
      <c r="CX2852" s="115" t="e">
        <v>#N/A</v>
      </c>
      <c r="CY2852" s="115" t="e">
        <v>#N/A</v>
      </c>
      <c r="CZ2852" s="137" t="e">
        <v>#N/A</v>
      </c>
      <c r="DA2852">
        <v>0.11332468572476186</v>
      </c>
      <c r="DB2852" t="str">
        <v/>
      </c>
    </row>
    <row r="2853" spans="83:106" x14ac:dyDescent="0.2">
      <c r="CE2853"/>
      <c r="CF2853"/>
      <c r="CG2853"/>
      <c r="CH2853"/>
      <c r="CI2853"/>
      <c r="CU2853" s="42">
        <v>2848</v>
      </c>
      <c r="CV2853" s="115">
        <v>4</v>
      </c>
      <c r="CW2853" s="115">
        <v>0.11332468572476186</v>
      </c>
      <c r="CX2853" s="115" t="e">
        <v>#N/A</v>
      </c>
      <c r="CY2853" s="115" t="e">
        <v>#N/A</v>
      </c>
      <c r="CZ2853" s="137" t="e">
        <v>#N/A</v>
      </c>
      <c r="DA2853">
        <v>0.11332468572476186</v>
      </c>
      <c r="DB2853" t="str">
        <v/>
      </c>
    </row>
    <row r="2854" spans="83:106" x14ac:dyDescent="0.2">
      <c r="CE2854"/>
      <c r="CF2854"/>
      <c r="CG2854"/>
      <c r="CH2854"/>
      <c r="CI2854"/>
      <c r="CU2854" s="42">
        <v>2849</v>
      </c>
      <c r="CV2854" s="115">
        <v>4</v>
      </c>
      <c r="CW2854" s="115">
        <v>0.11332468572476186</v>
      </c>
      <c r="CX2854" s="115" t="e">
        <v>#N/A</v>
      </c>
      <c r="CY2854" s="115" t="e">
        <v>#N/A</v>
      </c>
      <c r="CZ2854" s="137" t="e">
        <v>#N/A</v>
      </c>
      <c r="DA2854">
        <v>0.11332468572476186</v>
      </c>
      <c r="DB2854" t="str">
        <v/>
      </c>
    </row>
    <row r="2855" spans="83:106" x14ac:dyDescent="0.2">
      <c r="CE2855"/>
      <c r="CF2855"/>
      <c r="CG2855"/>
      <c r="CH2855"/>
      <c r="CI2855"/>
      <c r="CU2855" s="42">
        <v>2850</v>
      </c>
      <c r="CV2855" s="115">
        <v>4</v>
      </c>
      <c r="CW2855" s="115">
        <v>0.11332468572476186</v>
      </c>
      <c r="CX2855" s="115" t="e">
        <v>#N/A</v>
      </c>
      <c r="CY2855" s="115" t="e">
        <v>#N/A</v>
      </c>
      <c r="CZ2855" s="137" t="e">
        <v>#N/A</v>
      </c>
      <c r="DA2855">
        <v>0.11332468572476186</v>
      </c>
      <c r="DB2855" t="str">
        <v/>
      </c>
    </row>
    <row r="2856" spans="83:106" x14ac:dyDescent="0.2">
      <c r="CE2856"/>
      <c r="CF2856"/>
      <c r="CG2856"/>
      <c r="CH2856"/>
      <c r="CI2856"/>
      <c r="CU2856" s="42">
        <v>2851</v>
      </c>
      <c r="CV2856" s="115">
        <v>4</v>
      </c>
      <c r="CW2856" s="115">
        <v>0.11332468572476186</v>
      </c>
      <c r="CX2856" s="115" t="e">
        <v>#N/A</v>
      </c>
      <c r="CY2856" s="115" t="e">
        <v>#N/A</v>
      </c>
      <c r="CZ2856" s="137" t="e">
        <v>#N/A</v>
      </c>
      <c r="DA2856">
        <v>0.11332468572476186</v>
      </c>
      <c r="DB2856" t="str">
        <v/>
      </c>
    </row>
    <row r="2857" spans="83:106" x14ac:dyDescent="0.2">
      <c r="CE2857"/>
      <c r="CF2857"/>
      <c r="CG2857"/>
      <c r="CH2857"/>
      <c r="CI2857"/>
      <c r="CU2857" s="42">
        <v>2852</v>
      </c>
      <c r="CV2857" s="115">
        <v>4</v>
      </c>
      <c r="CW2857" s="115">
        <v>0.11332468572476186</v>
      </c>
      <c r="CX2857" s="115" t="e">
        <v>#N/A</v>
      </c>
      <c r="CY2857" s="115" t="e">
        <v>#N/A</v>
      </c>
      <c r="CZ2857" s="137" t="e">
        <v>#N/A</v>
      </c>
      <c r="DA2857">
        <v>0.11332468572476186</v>
      </c>
      <c r="DB2857" t="str">
        <v/>
      </c>
    </row>
    <row r="2858" spans="83:106" x14ac:dyDescent="0.2">
      <c r="CE2858"/>
      <c r="CF2858"/>
      <c r="CG2858"/>
      <c r="CH2858"/>
      <c r="CI2858"/>
      <c r="CU2858" s="42">
        <v>2853</v>
      </c>
      <c r="CV2858" s="115">
        <v>4</v>
      </c>
      <c r="CW2858" s="115">
        <v>0.11332468572476186</v>
      </c>
      <c r="CX2858" s="115" t="e">
        <v>#N/A</v>
      </c>
      <c r="CY2858" s="115" t="e">
        <v>#N/A</v>
      </c>
      <c r="CZ2858" s="137" t="e">
        <v>#N/A</v>
      </c>
      <c r="DA2858">
        <v>0.11332468572476186</v>
      </c>
      <c r="DB2858" t="str">
        <v/>
      </c>
    </row>
    <row r="2859" spans="83:106" x14ac:dyDescent="0.2">
      <c r="CE2859"/>
      <c r="CF2859"/>
      <c r="CG2859"/>
      <c r="CH2859"/>
      <c r="CI2859"/>
      <c r="CU2859" s="42">
        <v>2854</v>
      </c>
      <c r="CV2859" s="115">
        <v>4</v>
      </c>
      <c r="CW2859" s="115">
        <v>0.11332468572476186</v>
      </c>
      <c r="CX2859" s="115" t="e">
        <v>#N/A</v>
      </c>
      <c r="CY2859" s="115" t="e">
        <v>#N/A</v>
      </c>
      <c r="CZ2859" s="137" t="e">
        <v>#N/A</v>
      </c>
      <c r="DA2859">
        <v>0.11332468572476186</v>
      </c>
      <c r="DB2859" t="str">
        <v/>
      </c>
    </row>
    <row r="2860" spans="83:106" x14ac:dyDescent="0.2">
      <c r="CE2860"/>
      <c r="CF2860"/>
      <c r="CG2860"/>
      <c r="CH2860"/>
      <c r="CI2860"/>
      <c r="CU2860" s="42">
        <v>2855</v>
      </c>
      <c r="CV2860" s="115">
        <v>4</v>
      </c>
      <c r="CW2860" s="115">
        <v>0.11332468572476186</v>
      </c>
      <c r="CX2860" s="115" t="e">
        <v>#N/A</v>
      </c>
      <c r="CY2860" s="115" t="e">
        <v>#N/A</v>
      </c>
      <c r="CZ2860" s="137" t="e">
        <v>#N/A</v>
      </c>
      <c r="DA2860">
        <v>0.11332468572476186</v>
      </c>
      <c r="DB2860" t="str">
        <v/>
      </c>
    </row>
    <row r="2861" spans="83:106" x14ac:dyDescent="0.2">
      <c r="CE2861"/>
      <c r="CF2861"/>
      <c r="CG2861"/>
      <c r="CH2861"/>
      <c r="CI2861"/>
      <c r="CU2861" s="42">
        <v>2856</v>
      </c>
      <c r="CV2861" s="115">
        <v>4</v>
      </c>
      <c r="CW2861" s="115">
        <v>0.11332468572476186</v>
      </c>
      <c r="CX2861" s="115" t="e">
        <v>#N/A</v>
      </c>
      <c r="CY2861" s="115" t="e">
        <v>#N/A</v>
      </c>
      <c r="CZ2861" s="137" t="e">
        <v>#N/A</v>
      </c>
      <c r="DA2861">
        <v>0.11332468572476186</v>
      </c>
      <c r="DB2861" t="str">
        <v/>
      </c>
    </row>
    <row r="2862" spans="83:106" x14ac:dyDescent="0.2">
      <c r="CE2862"/>
      <c r="CF2862"/>
      <c r="CG2862"/>
      <c r="CH2862"/>
      <c r="CI2862"/>
      <c r="CU2862" s="42">
        <v>2857</v>
      </c>
      <c r="CV2862" s="115">
        <v>4</v>
      </c>
      <c r="CW2862" s="115">
        <v>0.11332468572476186</v>
      </c>
      <c r="CX2862" s="115" t="e">
        <v>#N/A</v>
      </c>
      <c r="CY2862" s="115" t="e">
        <v>#N/A</v>
      </c>
      <c r="CZ2862" s="137" t="e">
        <v>#N/A</v>
      </c>
      <c r="DA2862">
        <v>0.11332468572476186</v>
      </c>
      <c r="DB2862" t="str">
        <v/>
      </c>
    </row>
    <row r="2863" spans="83:106" x14ac:dyDescent="0.2">
      <c r="CE2863"/>
      <c r="CF2863"/>
      <c r="CG2863"/>
      <c r="CH2863"/>
      <c r="CI2863"/>
      <c r="CU2863" s="42">
        <v>2858</v>
      </c>
      <c r="CV2863" s="115">
        <v>4</v>
      </c>
      <c r="CW2863" s="115">
        <v>0.11332468572476186</v>
      </c>
      <c r="CX2863" s="115" t="e">
        <v>#N/A</v>
      </c>
      <c r="CY2863" s="115" t="e">
        <v>#N/A</v>
      </c>
      <c r="CZ2863" s="137" t="e">
        <v>#N/A</v>
      </c>
      <c r="DA2863">
        <v>0.11332468572476186</v>
      </c>
      <c r="DB2863" t="str">
        <v/>
      </c>
    </row>
    <row r="2864" spans="83:106" x14ac:dyDescent="0.2">
      <c r="CE2864"/>
      <c r="CF2864"/>
      <c r="CG2864"/>
      <c r="CH2864"/>
      <c r="CI2864"/>
      <c r="CU2864" s="42">
        <v>2859</v>
      </c>
      <c r="CV2864" s="115">
        <v>4</v>
      </c>
      <c r="CW2864" s="115">
        <v>0.11332468572476186</v>
      </c>
      <c r="CX2864" s="115" t="e">
        <v>#N/A</v>
      </c>
      <c r="CY2864" s="115" t="e">
        <v>#N/A</v>
      </c>
      <c r="CZ2864" s="137" t="e">
        <v>#N/A</v>
      </c>
      <c r="DA2864">
        <v>0.11332468572476186</v>
      </c>
      <c r="DB2864" t="str">
        <v/>
      </c>
    </row>
    <row r="2865" spans="83:106" x14ac:dyDescent="0.2">
      <c r="CE2865"/>
      <c r="CF2865"/>
      <c r="CG2865"/>
      <c r="CH2865"/>
      <c r="CI2865"/>
      <c r="CU2865" s="42">
        <v>2860</v>
      </c>
      <c r="CV2865" s="115">
        <v>4</v>
      </c>
      <c r="CW2865" s="115">
        <v>0.11332468572476186</v>
      </c>
      <c r="CX2865" s="115" t="e">
        <v>#N/A</v>
      </c>
      <c r="CY2865" s="115" t="e">
        <v>#N/A</v>
      </c>
      <c r="CZ2865" s="137" t="e">
        <v>#N/A</v>
      </c>
      <c r="DA2865">
        <v>0.11332468572476186</v>
      </c>
      <c r="DB2865" t="str">
        <v/>
      </c>
    </row>
    <row r="2866" spans="83:106" x14ac:dyDescent="0.2">
      <c r="CE2866"/>
      <c r="CF2866"/>
      <c r="CG2866"/>
      <c r="CH2866"/>
      <c r="CI2866"/>
      <c r="CU2866" s="42">
        <v>2861</v>
      </c>
      <c r="CV2866" s="115">
        <v>4</v>
      </c>
      <c r="CW2866" s="115">
        <v>0.11332468572476186</v>
      </c>
      <c r="CX2866" s="115" t="e">
        <v>#N/A</v>
      </c>
      <c r="CY2866" s="115" t="e">
        <v>#N/A</v>
      </c>
      <c r="CZ2866" s="137" t="e">
        <v>#N/A</v>
      </c>
      <c r="DA2866">
        <v>0.11332468572476186</v>
      </c>
      <c r="DB2866" t="str">
        <v/>
      </c>
    </row>
    <row r="2867" spans="83:106" x14ac:dyDescent="0.2">
      <c r="CE2867"/>
      <c r="CF2867"/>
      <c r="CG2867"/>
      <c r="CH2867"/>
      <c r="CI2867"/>
      <c r="CU2867" s="42">
        <v>2862</v>
      </c>
      <c r="CV2867" s="115">
        <v>4</v>
      </c>
      <c r="CW2867" s="115">
        <v>0.11332468572476186</v>
      </c>
      <c r="CX2867" s="115" t="e">
        <v>#N/A</v>
      </c>
      <c r="CY2867" s="115" t="e">
        <v>#N/A</v>
      </c>
      <c r="CZ2867" s="137" t="e">
        <v>#N/A</v>
      </c>
      <c r="DA2867">
        <v>0.11332468572476186</v>
      </c>
      <c r="DB2867" t="str">
        <v/>
      </c>
    </row>
    <row r="2868" spans="83:106" x14ac:dyDescent="0.2">
      <c r="CE2868"/>
      <c r="CF2868"/>
      <c r="CG2868"/>
      <c r="CH2868"/>
      <c r="CI2868"/>
      <c r="CU2868" s="42">
        <v>2863</v>
      </c>
      <c r="CV2868" s="115">
        <v>4</v>
      </c>
      <c r="CW2868" s="115">
        <v>0.11332468572476186</v>
      </c>
      <c r="CX2868" s="115" t="e">
        <v>#N/A</v>
      </c>
      <c r="CY2868" s="115" t="e">
        <v>#N/A</v>
      </c>
      <c r="CZ2868" s="137" t="e">
        <v>#N/A</v>
      </c>
      <c r="DA2868">
        <v>0.11332468572476186</v>
      </c>
      <c r="DB2868" t="str">
        <v/>
      </c>
    </row>
    <row r="2869" spans="83:106" x14ac:dyDescent="0.2">
      <c r="CE2869"/>
      <c r="CF2869"/>
      <c r="CG2869"/>
      <c r="CH2869"/>
      <c r="CI2869"/>
      <c r="CU2869" s="42">
        <v>2864</v>
      </c>
      <c r="CV2869" s="115">
        <v>4</v>
      </c>
      <c r="CW2869" s="115">
        <v>0.11332468572476186</v>
      </c>
      <c r="CX2869" s="115" t="e">
        <v>#N/A</v>
      </c>
      <c r="CY2869" s="115" t="e">
        <v>#N/A</v>
      </c>
      <c r="CZ2869" s="137" t="e">
        <v>#N/A</v>
      </c>
      <c r="DA2869">
        <v>0.11332468572476186</v>
      </c>
      <c r="DB2869" t="str">
        <v/>
      </c>
    </row>
    <row r="2870" spans="83:106" x14ac:dyDescent="0.2">
      <c r="CE2870"/>
      <c r="CF2870"/>
      <c r="CG2870"/>
      <c r="CH2870"/>
      <c r="CI2870"/>
      <c r="CU2870" s="42">
        <v>2865</v>
      </c>
      <c r="CV2870" s="115">
        <v>4</v>
      </c>
      <c r="CW2870" s="115">
        <v>0.11332468572476186</v>
      </c>
      <c r="CX2870" s="115" t="e">
        <v>#N/A</v>
      </c>
      <c r="CY2870" s="115" t="e">
        <v>#N/A</v>
      </c>
      <c r="CZ2870" s="137" t="e">
        <v>#N/A</v>
      </c>
      <c r="DA2870">
        <v>0.11332468572476186</v>
      </c>
      <c r="DB2870" t="str">
        <v/>
      </c>
    </row>
    <row r="2871" spans="83:106" x14ac:dyDescent="0.2">
      <c r="CE2871"/>
      <c r="CF2871"/>
      <c r="CG2871"/>
      <c r="CH2871"/>
      <c r="CI2871"/>
      <c r="CU2871" s="42">
        <v>2866</v>
      </c>
      <c r="CV2871" s="115">
        <v>4</v>
      </c>
      <c r="CW2871" s="115">
        <v>0.11332468572476186</v>
      </c>
      <c r="CX2871" s="115" t="e">
        <v>#N/A</v>
      </c>
      <c r="CY2871" s="115" t="e">
        <v>#N/A</v>
      </c>
      <c r="CZ2871" s="137" t="e">
        <v>#N/A</v>
      </c>
      <c r="DA2871">
        <v>0.11332468572476186</v>
      </c>
      <c r="DB2871" t="str">
        <v/>
      </c>
    </row>
    <row r="2872" spans="83:106" x14ac:dyDescent="0.2">
      <c r="CE2872"/>
      <c r="CF2872"/>
      <c r="CG2872"/>
      <c r="CH2872"/>
      <c r="CI2872"/>
      <c r="CU2872" s="42">
        <v>2867</v>
      </c>
      <c r="CV2872" s="115">
        <v>4</v>
      </c>
      <c r="CW2872" s="115">
        <v>0.11332468572476186</v>
      </c>
      <c r="CX2872" s="115" t="e">
        <v>#N/A</v>
      </c>
      <c r="CY2872" s="115" t="e">
        <v>#N/A</v>
      </c>
      <c r="CZ2872" s="137" t="e">
        <v>#N/A</v>
      </c>
      <c r="DA2872">
        <v>0.11332468572476186</v>
      </c>
      <c r="DB2872" t="str">
        <v/>
      </c>
    </row>
    <row r="2873" spans="83:106" x14ac:dyDescent="0.2">
      <c r="CE2873"/>
      <c r="CF2873"/>
      <c r="CG2873"/>
      <c r="CH2873"/>
      <c r="CI2873"/>
      <c r="CU2873" s="42">
        <v>2868</v>
      </c>
      <c r="CV2873" s="115">
        <v>4</v>
      </c>
      <c r="CW2873" s="115">
        <v>0.11332468572476186</v>
      </c>
      <c r="CX2873" s="115" t="e">
        <v>#N/A</v>
      </c>
      <c r="CY2873" s="115" t="e">
        <v>#N/A</v>
      </c>
      <c r="CZ2873" s="137" t="e">
        <v>#N/A</v>
      </c>
      <c r="DA2873">
        <v>0.11332468572476186</v>
      </c>
      <c r="DB2873" t="str">
        <v/>
      </c>
    </row>
    <row r="2874" spans="83:106" x14ac:dyDescent="0.2">
      <c r="CE2874"/>
      <c r="CF2874"/>
      <c r="CG2874"/>
      <c r="CH2874"/>
      <c r="CI2874"/>
      <c r="CU2874" s="42">
        <v>2869</v>
      </c>
      <c r="CV2874" s="115">
        <v>4</v>
      </c>
      <c r="CW2874" s="115">
        <v>0.11332468572476186</v>
      </c>
      <c r="CX2874" s="115" t="e">
        <v>#N/A</v>
      </c>
      <c r="CY2874" s="115" t="e">
        <v>#N/A</v>
      </c>
      <c r="CZ2874" s="137" t="e">
        <v>#N/A</v>
      </c>
      <c r="DA2874">
        <v>0.11332468572476186</v>
      </c>
      <c r="DB2874" t="str">
        <v/>
      </c>
    </row>
    <row r="2875" spans="83:106" x14ac:dyDescent="0.2">
      <c r="CE2875"/>
      <c r="CF2875"/>
      <c r="CG2875"/>
      <c r="CH2875"/>
      <c r="CI2875"/>
      <c r="CU2875" s="42">
        <v>2870</v>
      </c>
      <c r="CV2875" s="115">
        <v>4</v>
      </c>
      <c r="CW2875" s="115">
        <v>0.11332468572476186</v>
      </c>
      <c r="CX2875" s="115" t="e">
        <v>#N/A</v>
      </c>
      <c r="CY2875" s="115" t="e">
        <v>#N/A</v>
      </c>
      <c r="CZ2875" s="137" t="e">
        <v>#N/A</v>
      </c>
      <c r="DA2875">
        <v>0.11332468572476186</v>
      </c>
      <c r="DB2875" t="str">
        <v/>
      </c>
    </row>
    <row r="2876" spans="83:106" x14ac:dyDescent="0.2">
      <c r="CE2876"/>
      <c r="CF2876"/>
      <c r="CG2876"/>
      <c r="CH2876"/>
      <c r="CI2876"/>
      <c r="CU2876" s="42">
        <v>2871</v>
      </c>
      <c r="CV2876" s="115">
        <v>4</v>
      </c>
      <c r="CW2876" s="115">
        <v>0.11332468572476186</v>
      </c>
      <c r="CX2876" s="115" t="e">
        <v>#N/A</v>
      </c>
      <c r="CY2876" s="115" t="e">
        <v>#N/A</v>
      </c>
      <c r="CZ2876" s="137" t="e">
        <v>#N/A</v>
      </c>
      <c r="DA2876">
        <v>0.11332468572476186</v>
      </c>
      <c r="DB2876" t="str">
        <v/>
      </c>
    </row>
    <row r="2877" spans="83:106" x14ac:dyDescent="0.2">
      <c r="CE2877"/>
      <c r="CF2877"/>
      <c r="CG2877"/>
      <c r="CH2877"/>
      <c r="CI2877"/>
      <c r="CU2877" s="42">
        <v>2872</v>
      </c>
      <c r="CV2877" s="115">
        <v>4</v>
      </c>
      <c r="CW2877" s="115">
        <v>0.11332468572476186</v>
      </c>
      <c r="CX2877" s="115" t="e">
        <v>#N/A</v>
      </c>
      <c r="CY2877" s="115" t="e">
        <v>#N/A</v>
      </c>
      <c r="CZ2877" s="137" t="e">
        <v>#N/A</v>
      </c>
      <c r="DA2877">
        <v>0.11332468572476186</v>
      </c>
      <c r="DB2877" t="str">
        <v/>
      </c>
    </row>
    <row r="2878" spans="83:106" x14ac:dyDescent="0.2">
      <c r="CE2878"/>
      <c r="CF2878"/>
      <c r="CG2878"/>
      <c r="CH2878"/>
      <c r="CI2878"/>
      <c r="CU2878" s="42">
        <v>2873</v>
      </c>
      <c r="CV2878" s="115">
        <v>4</v>
      </c>
      <c r="CW2878" s="115">
        <v>0.11332468572476186</v>
      </c>
      <c r="CX2878" s="115" t="e">
        <v>#N/A</v>
      </c>
      <c r="CY2878" s="115" t="e">
        <v>#N/A</v>
      </c>
      <c r="CZ2878" s="137" t="e">
        <v>#N/A</v>
      </c>
      <c r="DA2878">
        <v>0.11332468572476186</v>
      </c>
      <c r="DB2878" t="str">
        <v/>
      </c>
    </row>
    <row r="2879" spans="83:106" x14ac:dyDescent="0.2">
      <c r="CE2879"/>
      <c r="CF2879"/>
      <c r="CG2879"/>
      <c r="CH2879"/>
      <c r="CI2879"/>
      <c r="CU2879" s="42">
        <v>2874</v>
      </c>
      <c r="CV2879" s="115">
        <v>4</v>
      </c>
      <c r="CW2879" s="115">
        <v>0.11332468572476186</v>
      </c>
      <c r="CX2879" s="115" t="e">
        <v>#N/A</v>
      </c>
      <c r="CY2879" s="115" t="e">
        <v>#N/A</v>
      </c>
      <c r="CZ2879" s="137" t="e">
        <v>#N/A</v>
      </c>
      <c r="DA2879">
        <v>0.11332468572476186</v>
      </c>
      <c r="DB2879" t="str">
        <v/>
      </c>
    </row>
    <row r="2880" spans="83:106" x14ac:dyDescent="0.2">
      <c r="CE2880"/>
      <c r="CF2880"/>
      <c r="CG2880"/>
      <c r="CH2880"/>
      <c r="CI2880"/>
      <c r="CU2880" s="42">
        <v>2875</v>
      </c>
      <c r="CV2880" s="115">
        <v>4</v>
      </c>
      <c r="CW2880" s="115">
        <v>0.11332468572476186</v>
      </c>
      <c r="CX2880" s="115" t="e">
        <v>#N/A</v>
      </c>
      <c r="CY2880" s="115" t="e">
        <v>#N/A</v>
      </c>
      <c r="CZ2880" s="137" t="e">
        <v>#N/A</v>
      </c>
      <c r="DA2880">
        <v>0.11332468572476186</v>
      </c>
      <c r="DB2880" t="str">
        <v/>
      </c>
    </row>
    <row r="2881" spans="83:106" x14ac:dyDescent="0.2">
      <c r="CE2881"/>
      <c r="CF2881"/>
      <c r="CG2881"/>
      <c r="CH2881"/>
      <c r="CI2881"/>
      <c r="CU2881" s="42">
        <v>2876</v>
      </c>
      <c r="CV2881" s="115">
        <v>4</v>
      </c>
      <c r="CW2881" s="115">
        <v>0.11332468572476186</v>
      </c>
      <c r="CX2881" s="115" t="e">
        <v>#N/A</v>
      </c>
      <c r="CY2881" s="115" t="e">
        <v>#N/A</v>
      </c>
      <c r="CZ2881" s="137" t="e">
        <v>#N/A</v>
      </c>
      <c r="DA2881">
        <v>0.11332468572476186</v>
      </c>
      <c r="DB2881" t="str">
        <v/>
      </c>
    </row>
    <row r="2882" spans="83:106" x14ac:dyDescent="0.2">
      <c r="CE2882"/>
      <c r="CF2882"/>
      <c r="CG2882"/>
      <c r="CH2882"/>
      <c r="CI2882"/>
      <c r="CU2882" s="42">
        <v>2877</v>
      </c>
      <c r="CV2882" s="115">
        <v>4</v>
      </c>
      <c r="CW2882" s="115">
        <v>0.11332468572476186</v>
      </c>
      <c r="CX2882" s="115" t="e">
        <v>#N/A</v>
      </c>
      <c r="CY2882" s="115" t="e">
        <v>#N/A</v>
      </c>
      <c r="CZ2882" s="137" t="e">
        <v>#N/A</v>
      </c>
      <c r="DA2882">
        <v>0.11332468572476186</v>
      </c>
      <c r="DB2882" t="str">
        <v/>
      </c>
    </row>
    <row r="2883" spans="83:106" x14ac:dyDescent="0.2">
      <c r="CE2883"/>
      <c r="CF2883"/>
      <c r="CG2883"/>
      <c r="CH2883"/>
      <c r="CI2883"/>
      <c r="CU2883" s="42">
        <v>2878</v>
      </c>
      <c r="CV2883" s="115">
        <v>4</v>
      </c>
      <c r="CW2883" s="115">
        <v>0.11332468572476186</v>
      </c>
      <c r="CX2883" s="115" t="e">
        <v>#N/A</v>
      </c>
      <c r="CY2883" s="115" t="e">
        <v>#N/A</v>
      </c>
      <c r="CZ2883" s="137" t="e">
        <v>#N/A</v>
      </c>
      <c r="DA2883">
        <v>0.11332468572476186</v>
      </c>
      <c r="DB2883" t="str">
        <v/>
      </c>
    </row>
    <row r="2884" spans="83:106" x14ac:dyDescent="0.2">
      <c r="CE2884"/>
      <c r="CF2884"/>
      <c r="CG2884"/>
      <c r="CH2884"/>
      <c r="CI2884"/>
      <c r="CU2884" s="42">
        <v>2879</v>
      </c>
      <c r="CV2884" s="115">
        <v>4</v>
      </c>
      <c r="CW2884" s="115">
        <v>0.11332468572476186</v>
      </c>
      <c r="CX2884" s="115" t="e">
        <v>#N/A</v>
      </c>
      <c r="CY2884" s="115" t="e">
        <v>#N/A</v>
      </c>
      <c r="CZ2884" s="137" t="e">
        <v>#N/A</v>
      </c>
      <c r="DA2884">
        <v>0.11332468572476186</v>
      </c>
      <c r="DB2884" t="str">
        <v/>
      </c>
    </row>
    <row r="2885" spans="83:106" x14ac:dyDescent="0.2">
      <c r="CE2885"/>
      <c r="CF2885"/>
      <c r="CG2885"/>
      <c r="CH2885"/>
      <c r="CI2885"/>
      <c r="CU2885" s="42">
        <v>2880</v>
      </c>
      <c r="CV2885" s="115">
        <v>4</v>
      </c>
      <c r="CW2885" s="115">
        <v>0.11332468572476186</v>
      </c>
      <c r="CX2885" s="115" t="e">
        <v>#N/A</v>
      </c>
      <c r="CY2885" s="115" t="e">
        <v>#N/A</v>
      </c>
      <c r="CZ2885" s="137" t="e">
        <v>#N/A</v>
      </c>
      <c r="DA2885">
        <v>0.11332468572476186</v>
      </c>
      <c r="DB2885" t="str">
        <v/>
      </c>
    </row>
    <row r="2886" spans="83:106" x14ac:dyDescent="0.2">
      <c r="CE2886"/>
      <c r="CF2886"/>
      <c r="CG2886"/>
      <c r="CH2886"/>
      <c r="CI2886"/>
      <c r="CU2886" s="42">
        <v>2881</v>
      </c>
      <c r="CV2886" s="115">
        <v>4</v>
      </c>
      <c r="CW2886" s="115">
        <v>0.11332468572476186</v>
      </c>
      <c r="CX2886" s="115" t="e">
        <v>#N/A</v>
      </c>
      <c r="CY2886" s="115" t="e">
        <v>#N/A</v>
      </c>
      <c r="CZ2886" s="137" t="e">
        <v>#N/A</v>
      </c>
      <c r="DA2886">
        <v>0.11332468572476186</v>
      </c>
      <c r="DB2886" t="str">
        <v/>
      </c>
    </row>
    <row r="2887" spans="83:106" x14ac:dyDescent="0.2">
      <c r="CE2887"/>
      <c r="CF2887"/>
      <c r="CG2887"/>
      <c r="CH2887"/>
      <c r="CI2887"/>
      <c r="CU2887" s="42">
        <v>2882</v>
      </c>
      <c r="CV2887" s="115">
        <v>4</v>
      </c>
      <c r="CW2887" s="115">
        <v>0.11332468572476186</v>
      </c>
      <c r="CX2887" s="115" t="e">
        <v>#N/A</v>
      </c>
      <c r="CY2887" s="115" t="e">
        <v>#N/A</v>
      </c>
      <c r="CZ2887" s="137" t="e">
        <v>#N/A</v>
      </c>
      <c r="DA2887">
        <v>0.11332468572476186</v>
      </c>
      <c r="DB2887" t="str">
        <v/>
      </c>
    </row>
    <row r="2888" spans="83:106" x14ac:dyDescent="0.2">
      <c r="CE2888"/>
      <c r="CF2888"/>
      <c r="CG2888"/>
      <c r="CH2888"/>
      <c r="CI2888"/>
      <c r="CU2888" s="42">
        <v>2883</v>
      </c>
      <c r="CV2888" s="115">
        <v>4</v>
      </c>
      <c r="CW2888" s="115">
        <v>0.11332468572476186</v>
      </c>
      <c r="CX2888" s="115" t="e">
        <v>#N/A</v>
      </c>
      <c r="CY2888" s="115" t="e">
        <v>#N/A</v>
      </c>
      <c r="CZ2888" s="137" t="e">
        <v>#N/A</v>
      </c>
      <c r="DA2888">
        <v>0.11332468572476186</v>
      </c>
      <c r="DB2888" t="str">
        <v/>
      </c>
    </row>
    <row r="2889" spans="83:106" x14ac:dyDescent="0.2">
      <c r="CE2889"/>
      <c r="CF2889"/>
      <c r="CG2889"/>
      <c r="CH2889"/>
      <c r="CI2889"/>
      <c r="CU2889" s="42">
        <v>2884</v>
      </c>
      <c r="CV2889" s="115">
        <v>4</v>
      </c>
      <c r="CW2889" s="115">
        <v>0.11332468572476186</v>
      </c>
      <c r="CX2889" s="115" t="e">
        <v>#N/A</v>
      </c>
      <c r="CY2889" s="115" t="e">
        <v>#N/A</v>
      </c>
      <c r="CZ2889" s="137" t="e">
        <v>#N/A</v>
      </c>
      <c r="DA2889">
        <v>0.11332468572476186</v>
      </c>
      <c r="DB2889" t="str">
        <v/>
      </c>
    </row>
    <row r="2890" spans="83:106" x14ac:dyDescent="0.2">
      <c r="CE2890"/>
      <c r="CF2890"/>
      <c r="CG2890"/>
      <c r="CH2890"/>
      <c r="CI2890"/>
      <c r="CU2890" s="42">
        <v>2885</v>
      </c>
      <c r="CV2890" s="115">
        <v>4</v>
      </c>
      <c r="CW2890" s="115">
        <v>0.11332468572476186</v>
      </c>
      <c r="CX2890" s="115" t="e">
        <v>#N/A</v>
      </c>
      <c r="CY2890" s="115" t="e">
        <v>#N/A</v>
      </c>
      <c r="CZ2890" s="137" t="e">
        <v>#N/A</v>
      </c>
      <c r="DA2890">
        <v>0.11332468572476186</v>
      </c>
      <c r="DB2890" t="str">
        <v/>
      </c>
    </row>
    <row r="2891" spans="83:106" x14ac:dyDescent="0.2">
      <c r="CE2891"/>
      <c r="CF2891"/>
      <c r="CG2891"/>
      <c r="CH2891"/>
      <c r="CI2891"/>
      <c r="CU2891" s="42">
        <v>2886</v>
      </c>
      <c r="CV2891" s="115">
        <v>4</v>
      </c>
      <c r="CW2891" s="115">
        <v>0.11332468572476186</v>
      </c>
      <c r="CX2891" s="115" t="e">
        <v>#N/A</v>
      </c>
      <c r="CY2891" s="115" t="e">
        <v>#N/A</v>
      </c>
      <c r="CZ2891" s="137" t="e">
        <v>#N/A</v>
      </c>
      <c r="DA2891">
        <v>0.11332468572476186</v>
      </c>
      <c r="DB2891" t="str">
        <v/>
      </c>
    </row>
    <row r="2892" spans="83:106" x14ac:dyDescent="0.2">
      <c r="CE2892"/>
      <c r="CF2892"/>
      <c r="CG2892"/>
      <c r="CH2892"/>
      <c r="CI2892"/>
      <c r="CU2892" s="42">
        <v>2887</v>
      </c>
      <c r="CV2892" s="115">
        <v>4</v>
      </c>
      <c r="CW2892" s="115">
        <v>0.11332468572476186</v>
      </c>
      <c r="CX2892" s="115" t="e">
        <v>#N/A</v>
      </c>
      <c r="CY2892" s="115" t="e">
        <v>#N/A</v>
      </c>
      <c r="CZ2892" s="137" t="e">
        <v>#N/A</v>
      </c>
      <c r="DA2892">
        <v>0.11332468572476186</v>
      </c>
      <c r="DB2892" t="str">
        <v/>
      </c>
    </row>
    <row r="2893" spans="83:106" x14ac:dyDescent="0.2">
      <c r="CE2893"/>
      <c r="CF2893"/>
      <c r="CG2893"/>
      <c r="CH2893"/>
      <c r="CI2893"/>
      <c r="CU2893" s="42">
        <v>2888</v>
      </c>
      <c r="CV2893" s="115">
        <v>4</v>
      </c>
      <c r="CW2893" s="115">
        <v>0.11332468572476186</v>
      </c>
      <c r="CX2893" s="115" t="e">
        <v>#N/A</v>
      </c>
      <c r="CY2893" s="115" t="e">
        <v>#N/A</v>
      </c>
      <c r="CZ2893" s="137" t="e">
        <v>#N/A</v>
      </c>
      <c r="DA2893">
        <v>0.11332468572476186</v>
      </c>
      <c r="DB2893" t="str">
        <v/>
      </c>
    </row>
    <row r="2894" spans="83:106" x14ac:dyDescent="0.2">
      <c r="CE2894"/>
      <c r="CF2894"/>
      <c r="CG2894"/>
      <c r="CH2894"/>
      <c r="CI2894"/>
      <c r="CU2894" s="42">
        <v>2889</v>
      </c>
      <c r="CV2894" s="115">
        <v>4</v>
      </c>
      <c r="CW2894" s="115">
        <v>0.11332468572476186</v>
      </c>
      <c r="CX2894" s="115" t="e">
        <v>#N/A</v>
      </c>
      <c r="CY2894" s="115" t="e">
        <v>#N/A</v>
      </c>
      <c r="CZ2894" s="137" t="e">
        <v>#N/A</v>
      </c>
      <c r="DA2894">
        <v>0.11332468572476186</v>
      </c>
      <c r="DB2894" t="str">
        <v/>
      </c>
    </row>
    <row r="2895" spans="83:106" x14ac:dyDescent="0.2">
      <c r="CE2895"/>
      <c r="CF2895"/>
      <c r="CG2895"/>
      <c r="CH2895"/>
      <c r="CI2895"/>
      <c r="CU2895" s="42">
        <v>2890</v>
      </c>
      <c r="CV2895" s="115">
        <v>4</v>
      </c>
      <c r="CW2895" s="115">
        <v>0.11332468572476186</v>
      </c>
      <c r="CX2895" s="115" t="e">
        <v>#N/A</v>
      </c>
      <c r="CY2895" s="115" t="e">
        <v>#N/A</v>
      </c>
      <c r="CZ2895" s="137" t="e">
        <v>#N/A</v>
      </c>
      <c r="DA2895">
        <v>0.11332468572476186</v>
      </c>
      <c r="DB2895" t="str">
        <v/>
      </c>
    </row>
    <row r="2896" spans="83:106" x14ac:dyDescent="0.2">
      <c r="CE2896"/>
      <c r="CF2896"/>
      <c r="CG2896"/>
      <c r="CH2896"/>
      <c r="CI2896"/>
      <c r="CU2896" s="42">
        <v>2891</v>
      </c>
      <c r="CV2896" s="115">
        <v>4</v>
      </c>
      <c r="CW2896" s="115">
        <v>0.11332468572476186</v>
      </c>
      <c r="CX2896" s="115" t="e">
        <v>#N/A</v>
      </c>
      <c r="CY2896" s="115" t="e">
        <v>#N/A</v>
      </c>
      <c r="CZ2896" s="137" t="e">
        <v>#N/A</v>
      </c>
      <c r="DA2896">
        <v>0.11332468572476186</v>
      </c>
      <c r="DB2896" t="str">
        <v/>
      </c>
    </row>
    <row r="2897" spans="83:106" x14ac:dyDescent="0.2">
      <c r="CE2897"/>
      <c r="CF2897"/>
      <c r="CG2897"/>
      <c r="CH2897"/>
      <c r="CI2897"/>
      <c r="CU2897" s="42">
        <v>2892</v>
      </c>
      <c r="CV2897" s="115">
        <v>4</v>
      </c>
      <c r="CW2897" s="115">
        <v>0.11332468572476186</v>
      </c>
      <c r="CX2897" s="115" t="e">
        <v>#N/A</v>
      </c>
      <c r="CY2897" s="115" t="e">
        <v>#N/A</v>
      </c>
      <c r="CZ2897" s="137" t="e">
        <v>#N/A</v>
      </c>
      <c r="DA2897">
        <v>0.11332468572476186</v>
      </c>
      <c r="DB2897" t="str">
        <v/>
      </c>
    </row>
    <row r="2898" spans="83:106" x14ac:dyDescent="0.2">
      <c r="CE2898"/>
      <c r="CF2898"/>
      <c r="CG2898"/>
      <c r="CH2898"/>
      <c r="CI2898"/>
      <c r="CU2898" s="42">
        <v>2893</v>
      </c>
      <c r="CV2898" s="115">
        <v>4</v>
      </c>
      <c r="CW2898" s="115">
        <v>0.11332468572476186</v>
      </c>
      <c r="CX2898" s="115" t="e">
        <v>#N/A</v>
      </c>
      <c r="CY2898" s="115" t="e">
        <v>#N/A</v>
      </c>
      <c r="CZ2898" s="137" t="e">
        <v>#N/A</v>
      </c>
      <c r="DA2898">
        <v>0.11332468572476186</v>
      </c>
      <c r="DB2898" t="str">
        <v/>
      </c>
    </row>
    <row r="2899" spans="83:106" x14ac:dyDescent="0.2">
      <c r="CE2899"/>
      <c r="CF2899"/>
      <c r="CG2899"/>
      <c r="CH2899"/>
      <c r="CI2899"/>
      <c r="CU2899" s="42">
        <v>2894</v>
      </c>
      <c r="CV2899" s="115">
        <v>4</v>
      </c>
      <c r="CW2899" s="115">
        <v>0.11332468572476186</v>
      </c>
      <c r="CX2899" s="115" t="e">
        <v>#N/A</v>
      </c>
      <c r="CY2899" s="115" t="e">
        <v>#N/A</v>
      </c>
      <c r="CZ2899" s="137" t="e">
        <v>#N/A</v>
      </c>
      <c r="DA2899">
        <v>0.11332468572476186</v>
      </c>
      <c r="DB2899" t="str">
        <v/>
      </c>
    </row>
    <row r="2900" spans="83:106" x14ac:dyDescent="0.2">
      <c r="CE2900"/>
      <c r="CF2900"/>
      <c r="CG2900"/>
      <c r="CH2900"/>
      <c r="CI2900"/>
      <c r="CU2900" s="42">
        <v>2895</v>
      </c>
      <c r="CV2900" s="115">
        <v>4</v>
      </c>
      <c r="CW2900" s="115">
        <v>0.11332468572476186</v>
      </c>
      <c r="CX2900" s="115" t="e">
        <v>#N/A</v>
      </c>
      <c r="CY2900" s="115" t="e">
        <v>#N/A</v>
      </c>
      <c r="CZ2900" s="137" t="e">
        <v>#N/A</v>
      </c>
      <c r="DA2900">
        <v>0.11332468572476186</v>
      </c>
      <c r="DB2900" t="str">
        <v/>
      </c>
    </row>
    <row r="2901" spans="83:106" x14ac:dyDescent="0.2">
      <c r="CE2901"/>
      <c r="CF2901"/>
      <c r="CG2901"/>
      <c r="CH2901"/>
      <c r="CI2901"/>
      <c r="CU2901" s="42">
        <v>2896</v>
      </c>
      <c r="CV2901" s="115">
        <v>4</v>
      </c>
      <c r="CW2901" s="115">
        <v>0.11332468572476186</v>
      </c>
      <c r="CX2901" s="115" t="e">
        <v>#N/A</v>
      </c>
      <c r="CY2901" s="115" t="e">
        <v>#N/A</v>
      </c>
      <c r="CZ2901" s="137" t="e">
        <v>#N/A</v>
      </c>
      <c r="DA2901">
        <v>0.11332468572476186</v>
      </c>
      <c r="DB2901" t="str">
        <v/>
      </c>
    </row>
    <row r="2902" spans="83:106" x14ac:dyDescent="0.2">
      <c r="CE2902"/>
      <c r="CF2902"/>
      <c r="CG2902"/>
      <c r="CH2902"/>
      <c r="CI2902"/>
      <c r="CU2902" s="42">
        <v>2897</v>
      </c>
      <c r="CV2902" s="115">
        <v>4</v>
      </c>
      <c r="CW2902" s="115">
        <v>0.11332468572476186</v>
      </c>
      <c r="CX2902" s="115" t="e">
        <v>#N/A</v>
      </c>
      <c r="CY2902" s="115" t="e">
        <v>#N/A</v>
      </c>
      <c r="CZ2902" s="137" t="e">
        <v>#N/A</v>
      </c>
      <c r="DA2902">
        <v>0.11332468572476186</v>
      </c>
      <c r="DB2902" t="str">
        <v/>
      </c>
    </row>
    <row r="2903" spans="83:106" x14ac:dyDescent="0.2">
      <c r="CE2903"/>
      <c r="CF2903"/>
      <c r="CG2903"/>
      <c r="CH2903"/>
      <c r="CI2903"/>
      <c r="CU2903" s="42">
        <v>2898</v>
      </c>
      <c r="CV2903" s="115">
        <v>4</v>
      </c>
      <c r="CW2903" s="115">
        <v>0.11332468572476186</v>
      </c>
      <c r="CX2903" s="115" t="e">
        <v>#N/A</v>
      </c>
      <c r="CY2903" s="115" t="e">
        <v>#N/A</v>
      </c>
      <c r="CZ2903" s="137" t="e">
        <v>#N/A</v>
      </c>
      <c r="DA2903">
        <v>0.11332468572476186</v>
      </c>
      <c r="DB2903" t="str">
        <v/>
      </c>
    </row>
    <row r="2904" spans="83:106" x14ac:dyDescent="0.2">
      <c r="CE2904"/>
      <c r="CF2904"/>
      <c r="CG2904"/>
      <c r="CH2904"/>
      <c r="CI2904"/>
      <c r="CU2904" s="42">
        <v>2899</v>
      </c>
      <c r="CV2904" s="115">
        <v>4</v>
      </c>
      <c r="CW2904" s="115">
        <v>0.11332468572476186</v>
      </c>
      <c r="CX2904" s="115" t="e">
        <v>#N/A</v>
      </c>
      <c r="CY2904" s="115" t="e">
        <v>#N/A</v>
      </c>
      <c r="CZ2904" s="137" t="e">
        <v>#N/A</v>
      </c>
      <c r="DA2904">
        <v>0.11332468572476186</v>
      </c>
      <c r="DB2904" t="str">
        <v/>
      </c>
    </row>
    <row r="2905" spans="83:106" x14ac:dyDescent="0.2">
      <c r="CE2905"/>
      <c r="CF2905"/>
      <c r="CG2905"/>
      <c r="CH2905"/>
      <c r="CI2905"/>
      <c r="CU2905" s="42">
        <v>2900</v>
      </c>
      <c r="CV2905" s="115">
        <v>4</v>
      </c>
      <c r="CW2905" s="115">
        <v>0.11332468572476186</v>
      </c>
      <c r="CX2905" s="115" t="e">
        <v>#N/A</v>
      </c>
      <c r="CY2905" s="115" t="e">
        <v>#N/A</v>
      </c>
      <c r="CZ2905" s="137" t="e">
        <v>#N/A</v>
      </c>
      <c r="DA2905">
        <v>0.11332468572476186</v>
      </c>
      <c r="DB2905" t="str">
        <v/>
      </c>
    </row>
    <row r="2906" spans="83:106" x14ac:dyDescent="0.2">
      <c r="CE2906"/>
      <c r="CF2906"/>
      <c r="CG2906"/>
      <c r="CH2906"/>
      <c r="CI2906"/>
      <c r="CU2906" s="42">
        <v>2901</v>
      </c>
      <c r="CV2906" s="115">
        <v>4</v>
      </c>
      <c r="CW2906" s="115">
        <v>0.11332468572476186</v>
      </c>
      <c r="CX2906" s="115" t="e">
        <v>#N/A</v>
      </c>
      <c r="CY2906" s="115" t="e">
        <v>#N/A</v>
      </c>
      <c r="CZ2906" s="137" t="e">
        <v>#N/A</v>
      </c>
      <c r="DA2906">
        <v>0.11332468572476186</v>
      </c>
      <c r="DB2906" t="str">
        <v/>
      </c>
    </row>
    <row r="2907" spans="83:106" x14ac:dyDescent="0.2">
      <c r="CE2907"/>
      <c r="CF2907"/>
      <c r="CG2907"/>
      <c r="CH2907"/>
      <c r="CI2907"/>
      <c r="CU2907" s="42">
        <v>2902</v>
      </c>
      <c r="CV2907" s="115">
        <v>4</v>
      </c>
      <c r="CW2907" s="115">
        <v>0.11332468572476186</v>
      </c>
      <c r="CX2907" s="115" t="e">
        <v>#N/A</v>
      </c>
      <c r="CY2907" s="115" t="e">
        <v>#N/A</v>
      </c>
      <c r="CZ2907" s="137" t="e">
        <v>#N/A</v>
      </c>
      <c r="DA2907">
        <v>0.11332468572476186</v>
      </c>
      <c r="DB2907" t="str">
        <v/>
      </c>
    </row>
    <row r="2908" spans="83:106" x14ac:dyDescent="0.2">
      <c r="CE2908"/>
      <c r="CF2908"/>
      <c r="CG2908"/>
      <c r="CH2908"/>
      <c r="CI2908"/>
      <c r="CU2908" s="42">
        <v>2903</v>
      </c>
      <c r="CV2908" s="115">
        <v>4</v>
      </c>
      <c r="CW2908" s="115">
        <v>0.11332468572476186</v>
      </c>
      <c r="CX2908" s="115" t="e">
        <v>#N/A</v>
      </c>
      <c r="CY2908" s="115" t="e">
        <v>#N/A</v>
      </c>
      <c r="CZ2908" s="137" t="e">
        <v>#N/A</v>
      </c>
      <c r="DA2908">
        <v>0.11332468572476186</v>
      </c>
      <c r="DB2908" t="str">
        <v/>
      </c>
    </row>
    <row r="2909" spans="83:106" x14ac:dyDescent="0.2">
      <c r="CE2909"/>
      <c r="CF2909"/>
      <c r="CG2909"/>
      <c r="CH2909"/>
      <c r="CI2909"/>
      <c r="CU2909" s="42">
        <v>2904</v>
      </c>
      <c r="CV2909" s="115">
        <v>4</v>
      </c>
      <c r="CW2909" s="115">
        <v>0.11332468572476186</v>
      </c>
      <c r="CX2909" s="115" t="e">
        <v>#N/A</v>
      </c>
      <c r="CY2909" s="115" t="e">
        <v>#N/A</v>
      </c>
      <c r="CZ2909" s="137" t="e">
        <v>#N/A</v>
      </c>
      <c r="DA2909">
        <v>0.11332468572476186</v>
      </c>
      <c r="DB2909" t="str">
        <v/>
      </c>
    </row>
    <row r="2910" spans="83:106" x14ac:dyDescent="0.2">
      <c r="CE2910"/>
      <c r="CF2910"/>
      <c r="CG2910"/>
      <c r="CH2910"/>
      <c r="CI2910"/>
      <c r="CU2910" s="42">
        <v>2905</v>
      </c>
      <c r="CV2910" s="115">
        <v>4</v>
      </c>
      <c r="CW2910" s="115">
        <v>0.11332468572476186</v>
      </c>
      <c r="CX2910" s="115" t="e">
        <v>#N/A</v>
      </c>
      <c r="CY2910" s="115" t="e">
        <v>#N/A</v>
      </c>
      <c r="CZ2910" s="137" t="e">
        <v>#N/A</v>
      </c>
      <c r="DA2910">
        <v>0.11332468572476186</v>
      </c>
      <c r="DB2910" t="str">
        <v/>
      </c>
    </row>
    <row r="2911" spans="83:106" x14ac:dyDescent="0.2">
      <c r="CE2911"/>
      <c r="CF2911"/>
      <c r="CG2911"/>
      <c r="CH2911"/>
      <c r="CI2911"/>
      <c r="CU2911" s="42">
        <v>2906</v>
      </c>
      <c r="CV2911" s="115">
        <v>4</v>
      </c>
      <c r="CW2911" s="115">
        <v>0.11332468572476186</v>
      </c>
      <c r="CX2911" s="115" t="e">
        <v>#N/A</v>
      </c>
      <c r="CY2911" s="115" t="e">
        <v>#N/A</v>
      </c>
      <c r="CZ2911" s="137" t="e">
        <v>#N/A</v>
      </c>
      <c r="DA2911">
        <v>0.11332468572476186</v>
      </c>
      <c r="DB2911" t="str">
        <v/>
      </c>
    </row>
    <row r="2912" spans="83:106" x14ac:dyDescent="0.2">
      <c r="CE2912"/>
      <c r="CF2912"/>
      <c r="CG2912"/>
      <c r="CH2912"/>
      <c r="CI2912"/>
      <c r="CU2912" s="42">
        <v>2907</v>
      </c>
      <c r="CV2912" s="115">
        <v>4</v>
      </c>
      <c r="CW2912" s="115">
        <v>0.11332468572476186</v>
      </c>
      <c r="CX2912" s="115" t="e">
        <v>#N/A</v>
      </c>
      <c r="CY2912" s="115" t="e">
        <v>#N/A</v>
      </c>
      <c r="CZ2912" s="137" t="e">
        <v>#N/A</v>
      </c>
      <c r="DA2912">
        <v>0.11332468572476186</v>
      </c>
      <c r="DB2912" t="str">
        <v/>
      </c>
    </row>
    <row r="2913" spans="83:106" x14ac:dyDescent="0.2">
      <c r="CE2913"/>
      <c r="CF2913"/>
      <c r="CG2913"/>
      <c r="CH2913"/>
      <c r="CI2913"/>
      <c r="CU2913" s="42">
        <v>2908</v>
      </c>
      <c r="CV2913" s="115">
        <v>4</v>
      </c>
      <c r="CW2913" s="115">
        <v>0.11332468572476186</v>
      </c>
      <c r="CX2913" s="115" t="e">
        <v>#N/A</v>
      </c>
      <c r="CY2913" s="115" t="e">
        <v>#N/A</v>
      </c>
      <c r="CZ2913" s="137" t="e">
        <v>#N/A</v>
      </c>
      <c r="DA2913">
        <v>0.11332468572476186</v>
      </c>
      <c r="DB2913" t="str">
        <v/>
      </c>
    </row>
    <row r="2914" spans="83:106" x14ac:dyDescent="0.2">
      <c r="CE2914"/>
      <c r="CF2914"/>
      <c r="CG2914"/>
      <c r="CH2914"/>
      <c r="CI2914"/>
      <c r="CU2914" s="42">
        <v>2909</v>
      </c>
      <c r="CV2914" s="115">
        <v>4</v>
      </c>
      <c r="CW2914" s="115">
        <v>0.11332468572476186</v>
      </c>
      <c r="CX2914" s="115" t="e">
        <v>#N/A</v>
      </c>
      <c r="CY2914" s="115" t="e">
        <v>#N/A</v>
      </c>
      <c r="CZ2914" s="137" t="e">
        <v>#N/A</v>
      </c>
      <c r="DA2914">
        <v>0.11332468572476186</v>
      </c>
      <c r="DB2914" t="str">
        <v/>
      </c>
    </row>
    <row r="2915" spans="83:106" x14ac:dyDescent="0.2">
      <c r="CE2915"/>
      <c r="CF2915"/>
      <c r="CG2915"/>
      <c r="CH2915"/>
      <c r="CI2915"/>
      <c r="CU2915" s="42">
        <v>2910</v>
      </c>
      <c r="CV2915" s="115">
        <v>4</v>
      </c>
      <c r="CW2915" s="115">
        <v>0.11332468572476186</v>
      </c>
      <c r="CX2915" s="115" t="e">
        <v>#N/A</v>
      </c>
      <c r="CY2915" s="115" t="e">
        <v>#N/A</v>
      </c>
      <c r="CZ2915" s="137" t="e">
        <v>#N/A</v>
      </c>
      <c r="DA2915">
        <v>0.11332468572476186</v>
      </c>
      <c r="DB2915" t="str">
        <v/>
      </c>
    </row>
    <row r="2916" spans="83:106" x14ac:dyDescent="0.2">
      <c r="CE2916"/>
      <c r="CF2916"/>
      <c r="CG2916"/>
      <c r="CH2916"/>
      <c r="CI2916"/>
      <c r="CU2916" s="42">
        <v>2911</v>
      </c>
      <c r="CV2916" s="115">
        <v>4</v>
      </c>
      <c r="CW2916" s="115">
        <v>0.11332468572476186</v>
      </c>
      <c r="CX2916" s="115" t="e">
        <v>#N/A</v>
      </c>
      <c r="CY2916" s="115" t="e">
        <v>#N/A</v>
      </c>
      <c r="CZ2916" s="137" t="e">
        <v>#N/A</v>
      </c>
      <c r="DA2916">
        <v>0.11332468572476186</v>
      </c>
      <c r="DB2916" t="str">
        <v/>
      </c>
    </row>
    <row r="2917" spans="83:106" x14ac:dyDescent="0.2">
      <c r="CE2917"/>
      <c r="CF2917"/>
      <c r="CG2917"/>
      <c r="CH2917"/>
      <c r="CI2917"/>
      <c r="CU2917" s="42">
        <v>2912</v>
      </c>
      <c r="CV2917" s="115">
        <v>4</v>
      </c>
      <c r="CW2917" s="115">
        <v>0.11332468572476186</v>
      </c>
      <c r="CX2917" s="115" t="e">
        <v>#N/A</v>
      </c>
      <c r="CY2917" s="115" t="e">
        <v>#N/A</v>
      </c>
      <c r="CZ2917" s="137" t="e">
        <v>#N/A</v>
      </c>
      <c r="DA2917">
        <v>0.11332468572476186</v>
      </c>
      <c r="DB2917" t="str">
        <v/>
      </c>
    </row>
    <row r="2918" spans="83:106" x14ac:dyDescent="0.2">
      <c r="CE2918"/>
      <c r="CF2918"/>
      <c r="CG2918"/>
      <c r="CH2918"/>
      <c r="CI2918"/>
      <c r="CU2918" s="42">
        <v>2913</v>
      </c>
      <c r="CV2918" s="115">
        <v>4</v>
      </c>
      <c r="CW2918" s="115">
        <v>0.11332468572476186</v>
      </c>
      <c r="CX2918" s="115" t="e">
        <v>#N/A</v>
      </c>
      <c r="CY2918" s="115" t="e">
        <v>#N/A</v>
      </c>
      <c r="CZ2918" s="137" t="e">
        <v>#N/A</v>
      </c>
      <c r="DA2918">
        <v>0.11332468572476186</v>
      </c>
      <c r="DB2918" t="str">
        <v/>
      </c>
    </row>
    <row r="2919" spans="83:106" x14ac:dyDescent="0.2">
      <c r="CE2919"/>
      <c r="CF2919"/>
      <c r="CG2919"/>
      <c r="CH2919"/>
      <c r="CI2919"/>
      <c r="CU2919" s="42">
        <v>2914</v>
      </c>
      <c r="CV2919" s="115">
        <v>4</v>
      </c>
      <c r="CW2919" s="115">
        <v>0.11332468572476186</v>
      </c>
      <c r="CX2919" s="115" t="e">
        <v>#N/A</v>
      </c>
      <c r="CY2919" s="115" t="e">
        <v>#N/A</v>
      </c>
      <c r="CZ2919" s="137" t="e">
        <v>#N/A</v>
      </c>
      <c r="DA2919">
        <v>0.11332468572476186</v>
      </c>
      <c r="DB2919" t="str">
        <v/>
      </c>
    </row>
    <row r="2920" spans="83:106" x14ac:dyDescent="0.2">
      <c r="CE2920"/>
      <c r="CF2920"/>
      <c r="CG2920"/>
      <c r="CH2920"/>
      <c r="CI2920"/>
      <c r="CU2920" s="42">
        <v>2915</v>
      </c>
      <c r="CV2920" s="115">
        <v>4</v>
      </c>
      <c r="CW2920" s="115">
        <v>0.11332468572476186</v>
      </c>
      <c r="CX2920" s="115" t="e">
        <v>#N/A</v>
      </c>
      <c r="CY2920" s="115" t="e">
        <v>#N/A</v>
      </c>
      <c r="CZ2920" s="137" t="e">
        <v>#N/A</v>
      </c>
      <c r="DA2920">
        <v>0.11332468572476186</v>
      </c>
      <c r="DB2920" t="str">
        <v/>
      </c>
    </row>
    <row r="2921" spans="83:106" x14ac:dyDescent="0.2">
      <c r="CE2921"/>
      <c r="CF2921"/>
      <c r="CG2921"/>
      <c r="CH2921"/>
      <c r="CI2921"/>
      <c r="CU2921" s="42">
        <v>2916</v>
      </c>
      <c r="CV2921" s="115">
        <v>4</v>
      </c>
      <c r="CW2921" s="115">
        <v>0.11332468572476186</v>
      </c>
      <c r="CX2921" s="115" t="e">
        <v>#N/A</v>
      </c>
      <c r="CY2921" s="115" t="e">
        <v>#N/A</v>
      </c>
      <c r="CZ2921" s="137" t="e">
        <v>#N/A</v>
      </c>
      <c r="DA2921">
        <v>0.11332468572476186</v>
      </c>
      <c r="DB2921" t="str">
        <v/>
      </c>
    </row>
    <row r="2922" spans="83:106" x14ac:dyDescent="0.2">
      <c r="CE2922"/>
      <c r="CF2922"/>
      <c r="CG2922"/>
      <c r="CH2922"/>
      <c r="CI2922"/>
      <c r="CU2922" s="42">
        <v>2917</v>
      </c>
      <c r="CV2922" s="115">
        <v>4</v>
      </c>
      <c r="CW2922" s="115">
        <v>0.11332468572476186</v>
      </c>
      <c r="CX2922" s="115" t="e">
        <v>#N/A</v>
      </c>
      <c r="CY2922" s="115" t="e">
        <v>#N/A</v>
      </c>
      <c r="CZ2922" s="137" t="e">
        <v>#N/A</v>
      </c>
      <c r="DA2922">
        <v>0.11332468572476186</v>
      </c>
      <c r="DB2922" t="str">
        <v/>
      </c>
    </row>
    <row r="2923" spans="83:106" x14ac:dyDescent="0.2">
      <c r="CE2923"/>
      <c r="CF2923"/>
      <c r="CG2923"/>
      <c r="CH2923"/>
      <c r="CI2923"/>
      <c r="CU2923" s="42">
        <v>2918</v>
      </c>
      <c r="CV2923" s="115">
        <v>4</v>
      </c>
      <c r="CW2923" s="115">
        <v>0.11332468572476186</v>
      </c>
      <c r="CX2923" s="115" t="e">
        <v>#N/A</v>
      </c>
      <c r="CY2923" s="115" t="e">
        <v>#N/A</v>
      </c>
      <c r="CZ2923" s="137" t="e">
        <v>#N/A</v>
      </c>
      <c r="DA2923">
        <v>0.11332468572476186</v>
      </c>
      <c r="DB2923" t="str">
        <v/>
      </c>
    </row>
    <row r="2924" spans="83:106" x14ac:dyDescent="0.2">
      <c r="CE2924"/>
      <c r="CF2924"/>
      <c r="CG2924"/>
      <c r="CH2924"/>
      <c r="CI2924"/>
      <c r="CU2924" s="42">
        <v>2919</v>
      </c>
      <c r="CV2924" s="115">
        <v>4</v>
      </c>
      <c r="CW2924" s="115">
        <v>0.11332468572476186</v>
      </c>
      <c r="CX2924" s="115" t="e">
        <v>#N/A</v>
      </c>
      <c r="CY2924" s="115" t="e">
        <v>#N/A</v>
      </c>
      <c r="CZ2924" s="137" t="e">
        <v>#N/A</v>
      </c>
      <c r="DA2924">
        <v>0.11332468572476186</v>
      </c>
      <c r="DB2924" t="str">
        <v/>
      </c>
    </row>
    <row r="2925" spans="83:106" x14ac:dyDescent="0.2">
      <c r="CE2925"/>
      <c r="CF2925"/>
      <c r="CG2925"/>
      <c r="CH2925"/>
      <c r="CI2925"/>
      <c r="CU2925" s="42">
        <v>2920</v>
      </c>
      <c r="CV2925" s="115">
        <v>4</v>
      </c>
      <c r="CW2925" s="115">
        <v>0.11332468572476186</v>
      </c>
      <c r="CX2925" s="115" t="e">
        <v>#N/A</v>
      </c>
      <c r="CY2925" s="115" t="e">
        <v>#N/A</v>
      </c>
      <c r="CZ2925" s="137" t="e">
        <v>#N/A</v>
      </c>
      <c r="DA2925">
        <v>0.11332468572476186</v>
      </c>
      <c r="DB2925" t="str">
        <v/>
      </c>
    </row>
    <row r="2926" spans="83:106" x14ac:dyDescent="0.2">
      <c r="CE2926"/>
      <c r="CF2926"/>
      <c r="CG2926"/>
      <c r="CH2926"/>
      <c r="CI2926"/>
      <c r="CU2926" s="42">
        <v>2921</v>
      </c>
      <c r="CV2926" s="115">
        <v>4</v>
      </c>
      <c r="CW2926" s="115">
        <v>0.11332468572476186</v>
      </c>
      <c r="CX2926" s="115" t="e">
        <v>#N/A</v>
      </c>
      <c r="CY2926" s="115" t="e">
        <v>#N/A</v>
      </c>
      <c r="CZ2926" s="137" t="e">
        <v>#N/A</v>
      </c>
      <c r="DA2926">
        <v>0.11332468572476186</v>
      </c>
      <c r="DB2926" t="str">
        <v/>
      </c>
    </row>
    <row r="2927" spans="83:106" x14ac:dyDescent="0.2">
      <c r="CE2927"/>
      <c r="CF2927"/>
      <c r="CG2927"/>
      <c r="CH2927"/>
      <c r="CI2927"/>
      <c r="CU2927" s="42">
        <v>2922</v>
      </c>
      <c r="CV2927" s="115">
        <v>4</v>
      </c>
      <c r="CW2927" s="115">
        <v>0.11332468572476186</v>
      </c>
      <c r="CX2927" s="115" t="e">
        <v>#N/A</v>
      </c>
      <c r="CY2927" s="115" t="e">
        <v>#N/A</v>
      </c>
      <c r="CZ2927" s="137" t="e">
        <v>#N/A</v>
      </c>
      <c r="DA2927">
        <v>0.11332468572476186</v>
      </c>
      <c r="DB2927" t="str">
        <v/>
      </c>
    </row>
    <row r="2928" spans="83:106" x14ac:dyDescent="0.2">
      <c r="CE2928"/>
      <c r="CF2928"/>
      <c r="CG2928"/>
      <c r="CH2928"/>
      <c r="CI2928"/>
      <c r="CU2928" s="42">
        <v>2923</v>
      </c>
      <c r="CV2928" s="115">
        <v>4</v>
      </c>
      <c r="CW2928" s="115">
        <v>0.11332468572476186</v>
      </c>
      <c r="CX2928" s="115" t="e">
        <v>#N/A</v>
      </c>
      <c r="CY2928" s="115" t="e">
        <v>#N/A</v>
      </c>
      <c r="CZ2928" s="137" t="e">
        <v>#N/A</v>
      </c>
      <c r="DA2928">
        <v>0.11332468572476186</v>
      </c>
      <c r="DB2928" t="str">
        <v/>
      </c>
    </row>
    <row r="2929" spans="83:106" x14ac:dyDescent="0.2">
      <c r="CE2929"/>
      <c r="CF2929"/>
      <c r="CG2929"/>
      <c r="CH2929"/>
      <c r="CI2929"/>
      <c r="CU2929" s="42">
        <v>2924</v>
      </c>
      <c r="CV2929" s="115">
        <v>4</v>
      </c>
      <c r="CW2929" s="115">
        <v>0.11332468572476186</v>
      </c>
      <c r="CX2929" s="115" t="e">
        <v>#N/A</v>
      </c>
      <c r="CY2929" s="115" t="e">
        <v>#N/A</v>
      </c>
      <c r="CZ2929" s="137" t="e">
        <v>#N/A</v>
      </c>
      <c r="DA2929">
        <v>0.11332468572476186</v>
      </c>
      <c r="DB2929" t="str">
        <v/>
      </c>
    </row>
    <row r="2930" spans="83:106" x14ac:dyDescent="0.2">
      <c r="CE2930"/>
      <c r="CF2930"/>
      <c r="CG2930"/>
      <c r="CH2930"/>
      <c r="CI2930"/>
      <c r="CU2930" s="42">
        <v>2925</v>
      </c>
      <c r="CV2930" s="115">
        <v>4</v>
      </c>
      <c r="CW2930" s="115">
        <v>0.11332468572476186</v>
      </c>
      <c r="CX2930" s="115" t="e">
        <v>#N/A</v>
      </c>
      <c r="CY2930" s="115" t="e">
        <v>#N/A</v>
      </c>
      <c r="CZ2930" s="137" t="e">
        <v>#N/A</v>
      </c>
      <c r="DA2930">
        <v>0.11332468572476186</v>
      </c>
      <c r="DB2930" t="str">
        <v/>
      </c>
    </row>
    <row r="2931" spans="83:106" x14ac:dyDescent="0.2">
      <c r="CE2931"/>
      <c r="CF2931"/>
      <c r="CG2931"/>
      <c r="CH2931"/>
      <c r="CI2931"/>
      <c r="CU2931" s="42">
        <v>2926</v>
      </c>
      <c r="CV2931" s="115">
        <v>4</v>
      </c>
      <c r="CW2931" s="115">
        <v>0.11332468572476186</v>
      </c>
      <c r="CX2931" s="115" t="e">
        <v>#N/A</v>
      </c>
      <c r="CY2931" s="115" t="e">
        <v>#N/A</v>
      </c>
      <c r="CZ2931" s="137" t="e">
        <v>#N/A</v>
      </c>
      <c r="DA2931">
        <v>0.11332468572476186</v>
      </c>
      <c r="DB2931" t="str">
        <v/>
      </c>
    </row>
    <row r="2932" spans="83:106" x14ac:dyDescent="0.2">
      <c r="CE2932"/>
      <c r="CF2932"/>
      <c r="CG2932"/>
      <c r="CH2932"/>
      <c r="CI2932"/>
      <c r="CU2932" s="42">
        <v>2927</v>
      </c>
      <c r="CV2932" s="115">
        <v>4</v>
      </c>
      <c r="CW2932" s="115">
        <v>0.11332468572476186</v>
      </c>
      <c r="CX2932" s="115" t="e">
        <v>#N/A</v>
      </c>
      <c r="CY2932" s="115" t="e">
        <v>#N/A</v>
      </c>
      <c r="CZ2932" s="137" t="e">
        <v>#N/A</v>
      </c>
      <c r="DA2932">
        <v>0.11332468572476186</v>
      </c>
      <c r="DB2932" t="str">
        <v/>
      </c>
    </row>
    <row r="2933" spans="83:106" x14ac:dyDescent="0.2">
      <c r="CE2933"/>
      <c r="CF2933"/>
      <c r="CG2933"/>
      <c r="CH2933"/>
      <c r="CI2933"/>
      <c r="CU2933" s="42">
        <v>2928</v>
      </c>
      <c r="CV2933" s="115">
        <v>4</v>
      </c>
      <c r="CW2933" s="115">
        <v>0.11332468572476186</v>
      </c>
      <c r="CX2933" s="115" t="e">
        <v>#N/A</v>
      </c>
      <c r="CY2933" s="115" t="e">
        <v>#N/A</v>
      </c>
      <c r="CZ2933" s="137" t="e">
        <v>#N/A</v>
      </c>
      <c r="DA2933">
        <v>0.11332468572476186</v>
      </c>
      <c r="DB2933" t="str">
        <v/>
      </c>
    </row>
    <row r="2934" spans="83:106" x14ac:dyDescent="0.2">
      <c r="CE2934"/>
      <c r="CF2934"/>
      <c r="CG2934"/>
      <c r="CH2934"/>
      <c r="CI2934"/>
      <c r="CU2934" s="42">
        <v>2929</v>
      </c>
      <c r="CV2934" s="115">
        <v>4</v>
      </c>
      <c r="CW2934" s="115">
        <v>0.11332468572476186</v>
      </c>
      <c r="CX2934" s="115" t="e">
        <v>#N/A</v>
      </c>
      <c r="CY2934" s="115" t="e">
        <v>#N/A</v>
      </c>
      <c r="CZ2934" s="137" t="e">
        <v>#N/A</v>
      </c>
      <c r="DA2934">
        <v>0.11332468572476186</v>
      </c>
      <c r="DB2934" t="str">
        <v/>
      </c>
    </row>
    <row r="2935" spans="83:106" x14ac:dyDescent="0.2">
      <c r="CE2935"/>
      <c r="CF2935"/>
      <c r="CG2935"/>
      <c r="CH2935"/>
      <c r="CI2935"/>
      <c r="CU2935" s="42">
        <v>2930</v>
      </c>
      <c r="CV2935" s="115">
        <v>4</v>
      </c>
      <c r="CW2935" s="115">
        <v>0.11332468572476186</v>
      </c>
      <c r="CX2935" s="115" t="e">
        <v>#N/A</v>
      </c>
      <c r="CY2935" s="115" t="e">
        <v>#N/A</v>
      </c>
      <c r="CZ2935" s="137" t="e">
        <v>#N/A</v>
      </c>
      <c r="DA2935">
        <v>0.11332468572476186</v>
      </c>
      <c r="DB2935" t="str">
        <v/>
      </c>
    </row>
    <row r="2936" spans="83:106" x14ac:dyDescent="0.2">
      <c r="CE2936"/>
      <c r="CF2936"/>
      <c r="CG2936"/>
      <c r="CH2936"/>
      <c r="CI2936"/>
      <c r="CU2936" s="42">
        <v>2931</v>
      </c>
      <c r="CV2936" s="115">
        <v>4</v>
      </c>
      <c r="CW2936" s="115">
        <v>0.11332468572476186</v>
      </c>
      <c r="CX2936" s="115" t="e">
        <v>#N/A</v>
      </c>
      <c r="CY2936" s="115" t="e">
        <v>#N/A</v>
      </c>
      <c r="CZ2936" s="137" t="e">
        <v>#N/A</v>
      </c>
      <c r="DA2936">
        <v>0.11332468572476186</v>
      </c>
      <c r="DB2936" t="str">
        <v/>
      </c>
    </row>
    <row r="2937" spans="83:106" x14ac:dyDescent="0.2">
      <c r="CE2937"/>
      <c r="CF2937"/>
      <c r="CG2937"/>
      <c r="CH2937"/>
      <c r="CI2937"/>
      <c r="CU2937" s="42">
        <v>2932</v>
      </c>
      <c r="CV2937" s="115">
        <v>4</v>
      </c>
      <c r="CW2937" s="115">
        <v>0.11332468572476186</v>
      </c>
      <c r="CX2937" s="115" t="e">
        <v>#N/A</v>
      </c>
      <c r="CY2937" s="115" t="e">
        <v>#N/A</v>
      </c>
      <c r="CZ2937" s="137" t="e">
        <v>#N/A</v>
      </c>
      <c r="DA2937">
        <v>0.11332468572476186</v>
      </c>
      <c r="DB2937" t="str">
        <v/>
      </c>
    </row>
    <row r="2938" spans="83:106" x14ac:dyDescent="0.2">
      <c r="CE2938"/>
      <c r="CF2938"/>
      <c r="CG2938"/>
      <c r="CH2938"/>
      <c r="CI2938"/>
      <c r="CU2938" s="42">
        <v>2933</v>
      </c>
      <c r="CV2938" s="115">
        <v>4</v>
      </c>
      <c r="CW2938" s="115">
        <v>0.11332468572476186</v>
      </c>
      <c r="CX2938" s="115" t="e">
        <v>#N/A</v>
      </c>
      <c r="CY2938" s="115" t="e">
        <v>#N/A</v>
      </c>
      <c r="CZ2938" s="137" t="e">
        <v>#N/A</v>
      </c>
      <c r="DA2938">
        <v>0.11332468572476186</v>
      </c>
      <c r="DB2938" t="str">
        <v/>
      </c>
    </row>
    <row r="2939" spans="83:106" x14ac:dyDescent="0.2">
      <c r="CE2939"/>
      <c r="CF2939"/>
      <c r="CG2939"/>
      <c r="CH2939"/>
      <c r="CI2939"/>
      <c r="CU2939" s="42">
        <v>2934</v>
      </c>
      <c r="CV2939" s="115">
        <v>4</v>
      </c>
      <c r="CW2939" s="115">
        <v>0.11332468572476186</v>
      </c>
      <c r="CX2939" s="115" t="e">
        <v>#N/A</v>
      </c>
      <c r="CY2939" s="115" t="e">
        <v>#N/A</v>
      </c>
      <c r="CZ2939" s="137" t="e">
        <v>#N/A</v>
      </c>
      <c r="DA2939">
        <v>0.11332468572476186</v>
      </c>
      <c r="DB2939" t="str">
        <v/>
      </c>
    </row>
    <row r="2940" spans="83:106" x14ac:dyDescent="0.2">
      <c r="CE2940"/>
      <c r="CF2940"/>
      <c r="CG2940"/>
      <c r="CH2940"/>
      <c r="CI2940"/>
      <c r="CU2940" s="42">
        <v>2935</v>
      </c>
      <c r="CV2940" s="115">
        <v>4</v>
      </c>
      <c r="CW2940" s="115">
        <v>0.11332468572476186</v>
      </c>
      <c r="CX2940" s="115" t="e">
        <v>#N/A</v>
      </c>
      <c r="CY2940" s="115" t="e">
        <v>#N/A</v>
      </c>
      <c r="CZ2940" s="137" t="e">
        <v>#N/A</v>
      </c>
      <c r="DA2940">
        <v>0.11332468572476186</v>
      </c>
      <c r="DB2940" t="str">
        <v/>
      </c>
    </row>
    <row r="2941" spans="83:106" x14ac:dyDescent="0.2">
      <c r="CE2941"/>
      <c r="CF2941"/>
      <c r="CG2941"/>
      <c r="CH2941"/>
      <c r="CI2941"/>
      <c r="CU2941" s="42">
        <v>2936</v>
      </c>
      <c r="CV2941" s="115">
        <v>4</v>
      </c>
      <c r="CW2941" s="115">
        <v>0.11332468572476186</v>
      </c>
      <c r="CX2941" s="115" t="e">
        <v>#N/A</v>
      </c>
      <c r="CY2941" s="115" t="e">
        <v>#N/A</v>
      </c>
      <c r="CZ2941" s="137" t="e">
        <v>#N/A</v>
      </c>
      <c r="DA2941">
        <v>0.11332468572476186</v>
      </c>
      <c r="DB2941" t="str">
        <v/>
      </c>
    </row>
    <row r="2942" spans="83:106" x14ac:dyDescent="0.2">
      <c r="CE2942"/>
      <c r="CF2942"/>
      <c r="CG2942"/>
      <c r="CH2942"/>
      <c r="CI2942"/>
      <c r="CU2942" s="42">
        <v>2937</v>
      </c>
      <c r="CV2942" s="115">
        <v>4</v>
      </c>
      <c r="CW2942" s="115">
        <v>0.11332468572476186</v>
      </c>
      <c r="CX2942" s="115" t="e">
        <v>#N/A</v>
      </c>
      <c r="CY2942" s="115" t="e">
        <v>#N/A</v>
      </c>
      <c r="CZ2942" s="137" t="e">
        <v>#N/A</v>
      </c>
      <c r="DA2942">
        <v>0.11332468572476186</v>
      </c>
      <c r="DB2942" t="str">
        <v/>
      </c>
    </row>
    <row r="2943" spans="83:106" x14ac:dyDescent="0.2">
      <c r="CE2943"/>
      <c r="CF2943"/>
      <c r="CG2943"/>
      <c r="CH2943"/>
      <c r="CI2943"/>
      <c r="CU2943" s="42">
        <v>2938</v>
      </c>
      <c r="CV2943" s="115">
        <v>4</v>
      </c>
      <c r="CW2943" s="115">
        <v>0.11332468572476186</v>
      </c>
      <c r="CX2943" s="115" t="e">
        <v>#N/A</v>
      </c>
      <c r="CY2943" s="115" t="e">
        <v>#N/A</v>
      </c>
      <c r="CZ2943" s="137" t="e">
        <v>#N/A</v>
      </c>
      <c r="DA2943">
        <v>0.11332468572476186</v>
      </c>
      <c r="DB2943" t="str">
        <v/>
      </c>
    </row>
    <row r="2944" spans="83:106" x14ac:dyDescent="0.2">
      <c r="CE2944"/>
      <c r="CF2944"/>
      <c r="CG2944"/>
      <c r="CH2944"/>
      <c r="CI2944"/>
      <c r="CU2944" s="42">
        <v>2939</v>
      </c>
      <c r="CV2944" s="115">
        <v>4</v>
      </c>
      <c r="CW2944" s="115">
        <v>0.11332468572476186</v>
      </c>
      <c r="CX2944" s="115" t="e">
        <v>#N/A</v>
      </c>
      <c r="CY2944" s="115" t="e">
        <v>#N/A</v>
      </c>
      <c r="CZ2944" s="137" t="e">
        <v>#N/A</v>
      </c>
      <c r="DA2944">
        <v>0.11332468572476186</v>
      </c>
      <c r="DB2944" t="str">
        <v/>
      </c>
    </row>
    <row r="2945" spans="83:106" x14ac:dyDescent="0.2">
      <c r="CE2945"/>
      <c r="CF2945"/>
      <c r="CG2945"/>
      <c r="CH2945"/>
      <c r="CI2945"/>
      <c r="CU2945" s="42">
        <v>2940</v>
      </c>
      <c r="CV2945" s="115">
        <v>4</v>
      </c>
      <c r="CW2945" s="115">
        <v>0.11332468572476186</v>
      </c>
      <c r="CX2945" s="115" t="e">
        <v>#N/A</v>
      </c>
      <c r="CY2945" s="115" t="e">
        <v>#N/A</v>
      </c>
      <c r="CZ2945" s="137" t="e">
        <v>#N/A</v>
      </c>
      <c r="DA2945">
        <v>0.11332468572476186</v>
      </c>
      <c r="DB2945" t="str">
        <v/>
      </c>
    </row>
    <row r="2946" spans="83:106" x14ac:dyDescent="0.2">
      <c r="CE2946"/>
      <c r="CF2946"/>
      <c r="CG2946"/>
      <c r="CH2946"/>
      <c r="CI2946"/>
      <c r="CU2946" s="42">
        <v>2941</v>
      </c>
      <c r="CV2946" s="115">
        <v>4</v>
      </c>
      <c r="CW2946" s="115">
        <v>0.11332468572476186</v>
      </c>
      <c r="CX2946" s="115" t="e">
        <v>#N/A</v>
      </c>
      <c r="CY2946" s="115" t="e">
        <v>#N/A</v>
      </c>
      <c r="CZ2946" s="137" t="e">
        <v>#N/A</v>
      </c>
      <c r="DA2946">
        <v>0.11332468572476186</v>
      </c>
      <c r="DB2946" t="str">
        <v/>
      </c>
    </row>
    <row r="2947" spans="83:106" x14ac:dyDescent="0.2">
      <c r="CE2947"/>
      <c r="CF2947"/>
      <c r="CG2947"/>
      <c r="CH2947"/>
      <c r="CI2947"/>
      <c r="CU2947" s="42">
        <v>2942</v>
      </c>
      <c r="CV2947" s="115">
        <v>4</v>
      </c>
      <c r="CW2947" s="115">
        <v>0.11332468572476186</v>
      </c>
      <c r="CX2947" s="115" t="e">
        <v>#N/A</v>
      </c>
      <c r="CY2947" s="115" t="e">
        <v>#N/A</v>
      </c>
      <c r="CZ2947" s="137" t="e">
        <v>#N/A</v>
      </c>
      <c r="DA2947">
        <v>0.11332468572476186</v>
      </c>
      <c r="DB2947" t="str">
        <v/>
      </c>
    </row>
    <row r="2948" spans="83:106" x14ac:dyDescent="0.2">
      <c r="CE2948"/>
      <c r="CF2948"/>
      <c r="CG2948"/>
      <c r="CH2948"/>
      <c r="CI2948"/>
      <c r="CU2948" s="42">
        <v>2943</v>
      </c>
      <c r="CV2948" s="115">
        <v>4</v>
      </c>
      <c r="CW2948" s="115">
        <v>0.11332468572476186</v>
      </c>
      <c r="CX2948" s="115" t="e">
        <v>#N/A</v>
      </c>
      <c r="CY2948" s="115" t="e">
        <v>#N/A</v>
      </c>
      <c r="CZ2948" s="137" t="e">
        <v>#N/A</v>
      </c>
      <c r="DA2948">
        <v>0.11332468572476186</v>
      </c>
      <c r="DB2948" t="str">
        <v/>
      </c>
    </row>
    <row r="2949" spans="83:106" x14ac:dyDescent="0.2">
      <c r="CE2949"/>
      <c r="CF2949"/>
      <c r="CG2949"/>
      <c r="CH2949"/>
      <c r="CI2949"/>
      <c r="CU2949" s="42">
        <v>2944</v>
      </c>
      <c r="CV2949" s="115">
        <v>4</v>
      </c>
      <c r="CW2949" s="115">
        <v>0.11332468572476186</v>
      </c>
      <c r="CX2949" s="115" t="e">
        <v>#N/A</v>
      </c>
      <c r="CY2949" s="115" t="e">
        <v>#N/A</v>
      </c>
      <c r="CZ2949" s="137" t="e">
        <v>#N/A</v>
      </c>
      <c r="DA2949">
        <v>0.11332468572476186</v>
      </c>
      <c r="DB2949" t="str">
        <v/>
      </c>
    </row>
    <row r="2950" spans="83:106" x14ac:dyDescent="0.2">
      <c r="CE2950"/>
      <c r="CF2950"/>
      <c r="CG2950"/>
      <c r="CH2950"/>
      <c r="CI2950"/>
      <c r="CU2950" s="42">
        <v>2945</v>
      </c>
      <c r="CV2950" s="115">
        <v>4</v>
      </c>
      <c r="CW2950" s="115">
        <v>0.11332468572476186</v>
      </c>
      <c r="CX2950" s="115" t="e">
        <v>#N/A</v>
      </c>
      <c r="CY2950" s="115" t="e">
        <v>#N/A</v>
      </c>
      <c r="CZ2950" s="137" t="e">
        <v>#N/A</v>
      </c>
      <c r="DA2950">
        <v>0.11332468572476186</v>
      </c>
      <c r="DB2950" t="str">
        <v/>
      </c>
    </row>
    <row r="2951" spans="83:106" x14ac:dyDescent="0.2">
      <c r="CE2951"/>
      <c r="CF2951"/>
      <c r="CG2951"/>
      <c r="CH2951"/>
      <c r="CI2951"/>
      <c r="CU2951" s="42">
        <v>2946</v>
      </c>
      <c r="CV2951" s="115">
        <v>4</v>
      </c>
      <c r="CW2951" s="115">
        <v>0.11332468572476186</v>
      </c>
      <c r="CX2951" s="115" t="e">
        <v>#N/A</v>
      </c>
      <c r="CY2951" s="115" t="e">
        <v>#N/A</v>
      </c>
      <c r="CZ2951" s="137" t="e">
        <v>#N/A</v>
      </c>
      <c r="DA2951">
        <v>0.11332468572476186</v>
      </c>
      <c r="DB2951" t="str">
        <v/>
      </c>
    </row>
    <row r="2952" spans="83:106" x14ac:dyDescent="0.2">
      <c r="CE2952"/>
      <c r="CF2952"/>
      <c r="CG2952"/>
      <c r="CH2952"/>
      <c r="CI2952"/>
      <c r="CU2952" s="42">
        <v>2947</v>
      </c>
      <c r="CV2952" s="115">
        <v>4</v>
      </c>
      <c r="CW2952" s="115">
        <v>0.11332468572476186</v>
      </c>
      <c r="CX2952" s="115" t="e">
        <v>#N/A</v>
      </c>
      <c r="CY2952" s="115" t="e">
        <v>#N/A</v>
      </c>
      <c r="CZ2952" s="137" t="e">
        <v>#N/A</v>
      </c>
      <c r="DA2952">
        <v>0.11332468572476186</v>
      </c>
      <c r="DB2952" t="str">
        <v/>
      </c>
    </row>
    <row r="2953" spans="83:106" x14ac:dyDescent="0.2">
      <c r="CE2953"/>
      <c r="CF2953"/>
      <c r="CG2953"/>
      <c r="CH2953"/>
      <c r="CI2953"/>
      <c r="CU2953" s="42">
        <v>2948</v>
      </c>
      <c r="CV2953" s="115">
        <v>4</v>
      </c>
      <c r="CW2953" s="115">
        <v>0.11332468572476186</v>
      </c>
      <c r="CX2953" s="115" t="e">
        <v>#N/A</v>
      </c>
      <c r="CY2953" s="115" t="e">
        <v>#N/A</v>
      </c>
      <c r="CZ2953" s="137" t="e">
        <v>#N/A</v>
      </c>
      <c r="DA2953">
        <v>0.11332468572476186</v>
      </c>
      <c r="DB2953" t="str">
        <v/>
      </c>
    </row>
    <row r="2954" spans="83:106" x14ac:dyDescent="0.2">
      <c r="CE2954"/>
      <c r="CF2954"/>
      <c r="CG2954"/>
      <c r="CH2954"/>
      <c r="CI2954"/>
      <c r="CU2954" s="42">
        <v>2949</v>
      </c>
      <c r="CV2954" s="115">
        <v>4</v>
      </c>
      <c r="CW2954" s="115">
        <v>0.11332468572476186</v>
      </c>
      <c r="CX2954" s="115" t="e">
        <v>#N/A</v>
      </c>
      <c r="CY2954" s="115" t="e">
        <v>#N/A</v>
      </c>
      <c r="CZ2954" s="137" t="e">
        <v>#N/A</v>
      </c>
      <c r="DA2954">
        <v>0.11332468572476186</v>
      </c>
      <c r="DB2954" t="str">
        <v/>
      </c>
    </row>
    <row r="2955" spans="83:106" x14ac:dyDescent="0.2">
      <c r="CE2955"/>
      <c r="CF2955"/>
      <c r="CG2955"/>
      <c r="CH2955"/>
      <c r="CI2955"/>
      <c r="CU2955" s="42">
        <v>2950</v>
      </c>
      <c r="CV2955" s="115">
        <v>4</v>
      </c>
      <c r="CW2955" s="115">
        <v>0.11332468572476186</v>
      </c>
      <c r="CX2955" s="115" t="e">
        <v>#N/A</v>
      </c>
      <c r="CY2955" s="115" t="e">
        <v>#N/A</v>
      </c>
      <c r="CZ2955" s="137" t="e">
        <v>#N/A</v>
      </c>
      <c r="DA2955">
        <v>0.11332468572476186</v>
      </c>
      <c r="DB2955" t="str">
        <v/>
      </c>
    </row>
    <row r="2956" spans="83:106" x14ac:dyDescent="0.2">
      <c r="CE2956"/>
      <c r="CF2956"/>
      <c r="CG2956"/>
      <c r="CH2956"/>
      <c r="CI2956"/>
      <c r="CU2956" s="42">
        <v>2951</v>
      </c>
      <c r="CV2956" s="115">
        <v>4</v>
      </c>
      <c r="CW2956" s="115">
        <v>0.11332468572476186</v>
      </c>
      <c r="CX2956" s="115" t="e">
        <v>#N/A</v>
      </c>
      <c r="CY2956" s="115" t="e">
        <v>#N/A</v>
      </c>
      <c r="CZ2956" s="137" t="e">
        <v>#N/A</v>
      </c>
      <c r="DA2956">
        <v>0.11332468572476186</v>
      </c>
      <c r="DB2956" t="str">
        <v/>
      </c>
    </row>
    <row r="2957" spans="83:106" x14ac:dyDescent="0.2">
      <c r="CE2957"/>
      <c r="CF2957"/>
      <c r="CG2957"/>
      <c r="CH2957"/>
      <c r="CI2957"/>
      <c r="CU2957" s="42">
        <v>2952</v>
      </c>
      <c r="CV2957" s="115">
        <v>4</v>
      </c>
      <c r="CW2957" s="115">
        <v>0.11332468572476186</v>
      </c>
      <c r="CX2957" s="115" t="e">
        <v>#N/A</v>
      </c>
      <c r="CY2957" s="115" t="e">
        <v>#N/A</v>
      </c>
      <c r="CZ2957" s="137" t="e">
        <v>#N/A</v>
      </c>
      <c r="DA2957">
        <v>0.11332468572476186</v>
      </c>
      <c r="DB2957" t="str">
        <v/>
      </c>
    </row>
    <row r="2958" spans="83:106" x14ac:dyDescent="0.2">
      <c r="CE2958"/>
      <c r="CF2958"/>
      <c r="CG2958"/>
      <c r="CH2958"/>
      <c r="CI2958"/>
      <c r="CU2958" s="42">
        <v>2953</v>
      </c>
      <c r="CV2958" s="115">
        <v>4</v>
      </c>
      <c r="CW2958" s="115">
        <v>0.11332468572476186</v>
      </c>
      <c r="CX2958" s="115" t="e">
        <v>#N/A</v>
      </c>
      <c r="CY2958" s="115" t="e">
        <v>#N/A</v>
      </c>
      <c r="CZ2958" s="137" t="e">
        <v>#N/A</v>
      </c>
      <c r="DA2958">
        <v>0.11332468572476186</v>
      </c>
      <c r="DB2958" t="str">
        <v/>
      </c>
    </row>
    <row r="2959" spans="83:106" x14ac:dyDescent="0.2">
      <c r="CE2959"/>
      <c r="CF2959"/>
      <c r="CG2959"/>
      <c r="CH2959"/>
      <c r="CI2959"/>
      <c r="CU2959" s="42">
        <v>2954</v>
      </c>
      <c r="CV2959" s="115">
        <v>4</v>
      </c>
      <c r="CW2959" s="115">
        <v>0.11332468572476186</v>
      </c>
      <c r="CX2959" s="115" t="e">
        <v>#N/A</v>
      </c>
      <c r="CY2959" s="115" t="e">
        <v>#N/A</v>
      </c>
      <c r="CZ2959" s="137" t="e">
        <v>#N/A</v>
      </c>
      <c r="DA2959">
        <v>0.11332468572476186</v>
      </c>
      <c r="DB2959" t="str">
        <v/>
      </c>
    </row>
    <row r="2960" spans="83:106" x14ac:dyDescent="0.2">
      <c r="CE2960"/>
      <c r="CF2960"/>
      <c r="CG2960"/>
      <c r="CH2960"/>
      <c r="CI2960"/>
      <c r="CU2960" s="42">
        <v>2955</v>
      </c>
      <c r="CV2960" s="115">
        <v>4</v>
      </c>
      <c r="CW2960" s="115">
        <v>0.11332468572476186</v>
      </c>
      <c r="CX2960" s="115" t="e">
        <v>#N/A</v>
      </c>
      <c r="CY2960" s="115" t="e">
        <v>#N/A</v>
      </c>
      <c r="CZ2960" s="137" t="e">
        <v>#N/A</v>
      </c>
      <c r="DA2960">
        <v>0.11332468572476186</v>
      </c>
      <c r="DB2960" t="str">
        <v/>
      </c>
    </row>
    <row r="2961" spans="83:106" x14ac:dyDescent="0.2">
      <c r="CE2961"/>
      <c r="CF2961"/>
      <c r="CG2961"/>
      <c r="CH2961"/>
      <c r="CI2961"/>
      <c r="CU2961" s="42">
        <v>2956</v>
      </c>
      <c r="CV2961" s="115">
        <v>4</v>
      </c>
      <c r="CW2961" s="115">
        <v>0.11332468572476186</v>
      </c>
      <c r="CX2961" s="115" t="e">
        <v>#N/A</v>
      </c>
      <c r="CY2961" s="115" t="e">
        <v>#N/A</v>
      </c>
      <c r="CZ2961" s="137" t="e">
        <v>#N/A</v>
      </c>
      <c r="DA2961">
        <v>0.11332468572476186</v>
      </c>
      <c r="DB2961" t="str">
        <v/>
      </c>
    </row>
    <row r="2962" spans="83:106" x14ac:dyDescent="0.2">
      <c r="CE2962"/>
      <c r="CF2962"/>
      <c r="CG2962"/>
      <c r="CH2962"/>
      <c r="CI2962"/>
      <c r="CU2962" s="42">
        <v>2957</v>
      </c>
      <c r="CV2962" s="115">
        <v>4</v>
      </c>
      <c r="CW2962" s="115">
        <v>0.11332468572476186</v>
      </c>
      <c r="CX2962" s="115" t="e">
        <v>#N/A</v>
      </c>
      <c r="CY2962" s="115" t="e">
        <v>#N/A</v>
      </c>
      <c r="CZ2962" s="137" t="e">
        <v>#N/A</v>
      </c>
      <c r="DA2962">
        <v>0.11332468572476186</v>
      </c>
      <c r="DB2962" t="str">
        <v/>
      </c>
    </row>
    <row r="2963" spans="83:106" x14ac:dyDescent="0.2">
      <c r="CE2963"/>
      <c r="CF2963"/>
      <c r="CG2963"/>
      <c r="CH2963"/>
      <c r="CI2963"/>
      <c r="CU2963" s="42">
        <v>2958</v>
      </c>
      <c r="CV2963" s="115">
        <v>4</v>
      </c>
      <c r="CW2963" s="115">
        <v>0.11332468572476186</v>
      </c>
      <c r="CX2963" s="115" t="e">
        <v>#N/A</v>
      </c>
      <c r="CY2963" s="115" t="e">
        <v>#N/A</v>
      </c>
      <c r="CZ2963" s="137" t="e">
        <v>#N/A</v>
      </c>
      <c r="DA2963">
        <v>0.11332468572476186</v>
      </c>
      <c r="DB2963" t="str">
        <v/>
      </c>
    </row>
    <row r="2964" spans="83:106" x14ac:dyDescent="0.2">
      <c r="CE2964"/>
      <c r="CF2964"/>
      <c r="CG2964"/>
      <c r="CH2964"/>
      <c r="CI2964"/>
      <c r="CU2964" s="42">
        <v>2959</v>
      </c>
      <c r="CV2964" s="115">
        <v>4</v>
      </c>
      <c r="CW2964" s="115">
        <v>0.11332468572476186</v>
      </c>
      <c r="CX2964" s="115" t="e">
        <v>#N/A</v>
      </c>
      <c r="CY2964" s="115" t="e">
        <v>#N/A</v>
      </c>
      <c r="CZ2964" s="137" t="e">
        <v>#N/A</v>
      </c>
      <c r="DA2964">
        <v>0.11332468572476186</v>
      </c>
      <c r="DB2964" t="str">
        <v/>
      </c>
    </row>
    <row r="2965" spans="83:106" x14ac:dyDescent="0.2">
      <c r="CE2965"/>
      <c r="CF2965"/>
      <c r="CG2965"/>
      <c r="CH2965"/>
      <c r="CI2965"/>
      <c r="CU2965" s="42">
        <v>2960</v>
      </c>
      <c r="CV2965" s="115">
        <v>4</v>
      </c>
      <c r="CW2965" s="115">
        <v>0.11332468572476186</v>
      </c>
      <c r="CX2965" s="115" t="e">
        <v>#N/A</v>
      </c>
      <c r="CY2965" s="115" t="e">
        <v>#N/A</v>
      </c>
      <c r="CZ2965" s="137" t="e">
        <v>#N/A</v>
      </c>
      <c r="DA2965">
        <v>0.11332468572476186</v>
      </c>
      <c r="DB2965" t="str">
        <v/>
      </c>
    </row>
    <row r="2966" spans="83:106" x14ac:dyDescent="0.2">
      <c r="CE2966"/>
      <c r="CF2966"/>
      <c r="CG2966"/>
      <c r="CH2966"/>
      <c r="CI2966"/>
      <c r="CU2966" s="42">
        <v>2961</v>
      </c>
      <c r="CV2966" s="115">
        <v>4</v>
      </c>
      <c r="CW2966" s="115">
        <v>0.11332468572476186</v>
      </c>
      <c r="CX2966" s="115" t="e">
        <v>#N/A</v>
      </c>
      <c r="CY2966" s="115" t="e">
        <v>#N/A</v>
      </c>
      <c r="CZ2966" s="137" t="e">
        <v>#N/A</v>
      </c>
      <c r="DA2966">
        <v>0.11332468572476186</v>
      </c>
      <c r="DB2966" t="str">
        <v/>
      </c>
    </row>
    <row r="2967" spans="83:106" x14ac:dyDescent="0.2">
      <c r="CE2967"/>
      <c r="CF2967"/>
      <c r="CG2967"/>
      <c r="CH2967"/>
      <c r="CI2967"/>
      <c r="CU2967" s="42">
        <v>2962</v>
      </c>
      <c r="CV2967" s="115">
        <v>4</v>
      </c>
      <c r="CW2967" s="115">
        <v>0.11332468572476186</v>
      </c>
      <c r="CX2967" s="115" t="e">
        <v>#N/A</v>
      </c>
      <c r="CY2967" s="115" t="e">
        <v>#N/A</v>
      </c>
      <c r="CZ2967" s="137" t="e">
        <v>#N/A</v>
      </c>
      <c r="DA2967">
        <v>0.11332468572476186</v>
      </c>
      <c r="DB2967" t="str">
        <v/>
      </c>
    </row>
    <row r="2968" spans="83:106" x14ac:dyDescent="0.2">
      <c r="CE2968"/>
      <c r="CF2968"/>
      <c r="CG2968"/>
      <c r="CH2968"/>
      <c r="CI2968"/>
      <c r="CU2968" s="42">
        <v>2963</v>
      </c>
      <c r="CV2968" s="115">
        <v>4</v>
      </c>
      <c r="CW2968" s="115">
        <v>0.11332468572476186</v>
      </c>
      <c r="CX2968" s="115" t="e">
        <v>#N/A</v>
      </c>
      <c r="CY2968" s="115" t="e">
        <v>#N/A</v>
      </c>
      <c r="CZ2968" s="137" t="e">
        <v>#N/A</v>
      </c>
      <c r="DA2968">
        <v>0.11332468572476186</v>
      </c>
      <c r="DB2968" t="str">
        <v/>
      </c>
    </row>
    <row r="2969" spans="83:106" x14ac:dyDescent="0.2">
      <c r="CE2969"/>
      <c r="CF2969"/>
      <c r="CG2969"/>
      <c r="CH2969"/>
      <c r="CI2969"/>
      <c r="CU2969" s="42">
        <v>2964</v>
      </c>
      <c r="CV2969" s="115">
        <v>4</v>
      </c>
      <c r="CW2969" s="115">
        <v>0.11332468572476186</v>
      </c>
      <c r="CX2969" s="115" t="e">
        <v>#N/A</v>
      </c>
      <c r="CY2969" s="115" t="e">
        <v>#N/A</v>
      </c>
      <c r="CZ2969" s="137" t="e">
        <v>#N/A</v>
      </c>
      <c r="DA2969">
        <v>0.11332468572476186</v>
      </c>
      <c r="DB2969" t="str">
        <v/>
      </c>
    </row>
    <row r="2970" spans="83:106" x14ac:dyDescent="0.2">
      <c r="CE2970"/>
      <c r="CF2970"/>
      <c r="CG2970"/>
      <c r="CH2970"/>
      <c r="CI2970"/>
      <c r="CU2970" s="42">
        <v>2965</v>
      </c>
      <c r="CV2970" s="115">
        <v>4</v>
      </c>
      <c r="CW2970" s="115">
        <v>0.11332468572476186</v>
      </c>
      <c r="CX2970" s="115" t="e">
        <v>#N/A</v>
      </c>
      <c r="CY2970" s="115" t="e">
        <v>#N/A</v>
      </c>
      <c r="CZ2970" s="137" t="e">
        <v>#N/A</v>
      </c>
      <c r="DA2970">
        <v>0.11332468572476186</v>
      </c>
      <c r="DB2970" t="str">
        <v/>
      </c>
    </row>
    <row r="2971" spans="83:106" x14ac:dyDescent="0.2">
      <c r="CE2971"/>
      <c r="CF2971"/>
      <c r="CG2971"/>
      <c r="CH2971"/>
      <c r="CI2971"/>
      <c r="CU2971" s="42">
        <v>2966</v>
      </c>
      <c r="CV2971" s="115">
        <v>4</v>
      </c>
      <c r="CW2971" s="115">
        <v>0.11332468572476186</v>
      </c>
      <c r="CX2971" s="115" t="e">
        <v>#N/A</v>
      </c>
      <c r="CY2971" s="115" t="e">
        <v>#N/A</v>
      </c>
      <c r="CZ2971" s="137" t="e">
        <v>#N/A</v>
      </c>
      <c r="DA2971">
        <v>0.11332468572476186</v>
      </c>
      <c r="DB2971" t="str">
        <v/>
      </c>
    </row>
    <row r="2972" spans="83:106" x14ac:dyDescent="0.2">
      <c r="CE2972"/>
      <c r="CF2972"/>
      <c r="CG2972"/>
      <c r="CH2972"/>
      <c r="CI2972"/>
      <c r="CU2972" s="42">
        <v>2967</v>
      </c>
      <c r="CV2972" s="115">
        <v>4</v>
      </c>
      <c r="CW2972" s="115">
        <v>0.11332468572476186</v>
      </c>
      <c r="CX2972" s="115" t="e">
        <v>#N/A</v>
      </c>
      <c r="CY2972" s="115" t="e">
        <v>#N/A</v>
      </c>
      <c r="CZ2972" s="137" t="e">
        <v>#N/A</v>
      </c>
      <c r="DA2972">
        <v>0.11332468572476186</v>
      </c>
      <c r="DB2972" t="str">
        <v/>
      </c>
    </row>
    <row r="2973" spans="83:106" x14ac:dyDescent="0.2">
      <c r="CE2973"/>
      <c r="CF2973"/>
      <c r="CG2973"/>
      <c r="CH2973"/>
      <c r="CI2973"/>
      <c r="CU2973" s="42">
        <v>2968</v>
      </c>
      <c r="CV2973" s="115">
        <v>4</v>
      </c>
      <c r="CW2973" s="115">
        <v>0.11332468572476186</v>
      </c>
      <c r="CX2973" s="115" t="e">
        <v>#N/A</v>
      </c>
      <c r="CY2973" s="115" t="e">
        <v>#N/A</v>
      </c>
      <c r="CZ2973" s="137" t="e">
        <v>#N/A</v>
      </c>
      <c r="DA2973">
        <v>0.11332468572476186</v>
      </c>
      <c r="DB2973" t="str">
        <v/>
      </c>
    </row>
    <row r="2974" spans="83:106" x14ac:dyDescent="0.2">
      <c r="CE2974"/>
      <c r="CF2974"/>
      <c r="CG2974"/>
      <c r="CH2974"/>
      <c r="CI2974"/>
      <c r="CU2974" s="42">
        <v>2969</v>
      </c>
      <c r="CV2974" s="115">
        <v>4</v>
      </c>
      <c r="CW2974" s="115">
        <v>0.11332468572476186</v>
      </c>
      <c r="CX2974" s="115" t="e">
        <v>#N/A</v>
      </c>
      <c r="CY2974" s="115" t="e">
        <v>#N/A</v>
      </c>
      <c r="CZ2974" s="137" t="e">
        <v>#N/A</v>
      </c>
      <c r="DA2974">
        <v>0.11332468572476186</v>
      </c>
      <c r="DB2974" t="str">
        <v/>
      </c>
    </row>
    <row r="2975" spans="83:106" x14ac:dyDescent="0.2">
      <c r="CE2975"/>
      <c r="CF2975"/>
      <c r="CG2975"/>
      <c r="CH2975"/>
      <c r="CI2975"/>
      <c r="CU2975" s="42">
        <v>2970</v>
      </c>
      <c r="CV2975" s="115">
        <v>4</v>
      </c>
      <c r="CW2975" s="115">
        <v>0.11332468572476186</v>
      </c>
      <c r="CX2975" s="115" t="e">
        <v>#N/A</v>
      </c>
      <c r="CY2975" s="115" t="e">
        <v>#N/A</v>
      </c>
      <c r="CZ2975" s="137" t="e">
        <v>#N/A</v>
      </c>
      <c r="DA2975">
        <v>0.11332468572476186</v>
      </c>
      <c r="DB2975" t="str">
        <v/>
      </c>
    </row>
    <row r="2976" spans="83:106" x14ac:dyDescent="0.2">
      <c r="CE2976"/>
      <c r="CF2976"/>
      <c r="CG2976"/>
      <c r="CH2976"/>
      <c r="CI2976"/>
      <c r="CU2976" s="42">
        <v>2971</v>
      </c>
      <c r="CV2976" s="115">
        <v>4</v>
      </c>
      <c r="CW2976" s="115">
        <v>0.11332468572476186</v>
      </c>
      <c r="CX2976" s="115" t="e">
        <v>#N/A</v>
      </c>
      <c r="CY2976" s="115" t="e">
        <v>#N/A</v>
      </c>
      <c r="CZ2976" s="137" t="e">
        <v>#N/A</v>
      </c>
      <c r="DA2976">
        <v>0.11332468572476186</v>
      </c>
      <c r="DB2976" t="str">
        <v/>
      </c>
    </row>
    <row r="2977" spans="83:106" x14ac:dyDescent="0.2">
      <c r="CE2977"/>
      <c r="CF2977"/>
      <c r="CG2977"/>
      <c r="CH2977"/>
      <c r="CI2977"/>
      <c r="CU2977" s="42">
        <v>2972</v>
      </c>
      <c r="CV2977" s="115">
        <v>4</v>
      </c>
      <c r="CW2977" s="115">
        <v>0.11332468572476186</v>
      </c>
      <c r="CX2977" s="115" t="e">
        <v>#N/A</v>
      </c>
      <c r="CY2977" s="115" t="e">
        <v>#N/A</v>
      </c>
      <c r="CZ2977" s="137" t="e">
        <v>#N/A</v>
      </c>
      <c r="DA2977">
        <v>0.11332468572476186</v>
      </c>
      <c r="DB2977" t="str">
        <v/>
      </c>
    </row>
    <row r="2978" spans="83:106" x14ac:dyDescent="0.2">
      <c r="CE2978"/>
      <c r="CF2978"/>
      <c r="CG2978"/>
      <c r="CH2978"/>
      <c r="CI2978"/>
      <c r="CU2978" s="42">
        <v>2973</v>
      </c>
      <c r="CV2978" s="115">
        <v>4</v>
      </c>
      <c r="CW2978" s="115">
        <v>0.11332468572476186</v>
      </c>
      <c r="CX2978" s="115" t="e">
        <v>#N/A</v>
      </c>
      <c r="CY2978" s="115" t="e">
        <v>#N/A</v>
      </c>
      <c r="CZ2978" s="137" t="e">
        <v>#N/A</v>
      </c>
      <c r="DA2978">
        <v>0.11332468572476186</v>
      </c>
      <c r="DB2978" t="str">
        <v/>
      </c>
    </row>
    <row r="2979" spans="83:106" x14ac:dyDescent="0.2">
      <c r="CE2979"/>
      <c r="CF2979"/>
      <c r="CG2979"/>
      <c r="CH2979"/>
      <c r="CI2979"/>
      <c r="CU2979" s="42">
        <v>2974</v>
      </c>
      <c r="CV2979" s="115">
        <v>4</v>
      </c>
      <c r="CW2979" s="115">
        <v>0.11332468572476186</v>
      </c>
      <c r="CX2979" s="115" t="e">
        <v>#N/A</v>
      </c>
      <c r="CY2979" s="115" t="e">
        <v>#N/A</v>
      </c>
      <c r="CZ2979" s="137" t="e">
        <v>#N/A</v>
      </c>
      <c r="DA2979">
        <v>0.11332468572476186</v>
      </c>
      <c r="DB2979" t="str">
        <v/>
      </c>
    </row>
    <row r="2980" spans="83:106" x14ac:dyDescent="0.2">
      <c r="CE2980"/>
      <c r="CF2980"/>
      <c r="CG2980"/>
      <c r="CH2980"/>
      <c r="CI2980"/>
      <c r="CU2980" s="42">
        <v>2975</v>
      </c>
      <c r="CV2980" s="115">
        <v>4</v>
      </c>
      <c r="CW2980" s="115">
        <v>0.11332468572476186</v>
      </c>
      <c r="CX2980" s="115" t="e">
        <v>#N/A</v>
      </c>
      <c r="CY2980" s="115" t="e">
        <v>#N/A</v>
      </c>
      <c r="CZ2980" s="137" t="e">
        <v>#N/A</v>
      </c>
      <c r="DA2980">
        <v>0.11332468572476186</v>
      </c>
      <c r="DB2980" t="str">
        <v/>
      </c>
    </row>
    <row r="2981" spans="83:106" x14ac:dyDescent="0.2">
      <c r="CE2981"/>
      <c r="CF2981"/>
      <c r="CG2981"/>
      <c r="CH2981"/>
      <c r="CI2981"/>
      <c r="CU2981" s="42">
        <v>2976</v>
      </c>
      <c r="CV2981" s="115">
        <v>4</v>
      </c>
      <c r="CW2981" s="115">
        <v>0.11332468572476186</v>
      </c>
      <c r="CX2981" s="115" t="e">
        <v>#N/A</v>
      </c>
      <c r="CY2981" s="115" t="e">
        <v>#N/A</v>
      </c>
      <c r="CZ2981" s="137" t="e">
        <v>#N/A</v>
      </c>
      <c r="DA2981">
        <v>0.11332468572476186</v>
      </c>
      <c r="DB2981" t="str">
        <v/>
      </c>
    </row>
    <row r="2982" spans="83:106" x14ac:dyDescent="0.2">
      <c r="CE2982"/>
      <c r="CF2982"/>
      <c r="CG2982"/>
      <c r="CH2982"/>
      <c r="CI2982"/>
      <c r="CU2982" s="42">
        <v>2977</v>
      </c>
      <c r="CV2982" s="115">
        <v>4</v>
      </c>
      <c r="CW2982" s="115">
        <v>0.11332468572476186</v>
      </c>
      <c r="CX2982" s="115" t="e">
        <v>#N/A</v>
      </c>
      <c r="CY2982" s="115" t="e">
        <v>#N/A</v>
      </c>
      <c r="CZ2982" s="137" t="e">
        <v>#N/A</v>
      </c>
      <c r="DA2982">
        <v>0.11332468572476186</v>
      </c>
      <c r="DB2982" t="str">
        <v/>
      </c>
    </row>
    <row r="2983" spans="83:106" x14ac:dyDescent="0.2">
      <c r="CE2983"/>
      <c r="CF2983"/>
      <c r="CG2983"/>
      <c r="CH2983"/>
      <c r="CI2983"/>
      <c r="CU2983" s="42">
        <v>2978</v>
      </c>
      <c r="CV2983" s="115">
        <v>4</v>
      </c>
      <c r="CW2983" s="115">
        <v>0.11332468572476186</v>
      </c>
      <c r="CX2983" s="115" t="e">
        <v>#N/A</v>
      </c>
      <c r="CY2983" s="115" t="e">
        <v>#N/A</v>
      </c>
      <c r="CZ2983" s="137" t="e">
        <v>#N/A</v>
      </c>
      <c r="DA2983">
        <v>0.11332468572476186</v>
      </c>
      <c r="DB2983" t="str">
        <v/>
      </c>
    </row>
    <row r="2984" spans="83:106" x14ac:dyDescent="0.2">
      <c r="CE2984"/>
      <c r="CF2984"/>
      <c r="CG2984"/>
      <c r="CH2984"/>
      <c r="CI2984"/>
      <c r="CU2984" s="42">
        <v>2979</v>
      </c>
      <c r="CV2984" s="115">
        <v>4</v>
      </c>
      <c r="CW2984" s="115">
        <v>0.11332468572476186</v>
      </c>
      <c r="CX2984" s="115" t="e">
        <v>#N/A</v>
      </c>
      <c r="CY2984" s="115" t="e">
        <v>#N/A</v>
      </c>
      <c r="CZ2984" s="137" t="e">
        <v>#N/A</v>
      </c>
      <c r="DA2984">
        <v>0.11332468572476186</v>
      </c>
      <c r="DB2984" t="str">
        <v/>
      </c>
    </row>
    <row r="2985" spans="83:106" x14ac:dyDescent="0.2">
      <c r="CE2985"/>
      <c r="CF2985"/>
      <c r="CG2985"/>
      <c r="CH2985"/>
      <c r="CI2985"/>
      <c r="CU2985" s="42">
        <v>2980</v>
      </c>
      <c r="CV2985" s="115">
        <v>4</v>
      </c>
      <c r="CW2985" s="115">
        <v>0.11332468572476186</v>
      </c>
      <c r="CX2985" s="115" t="e">
        <v>#N/A</v>
      </c>
      <c r="CY2985" s="115" t="e">
        <v>#N/A</v>
      </c>
      <c r="CZ2985" s="137" t="e">
        <v>#N/A</v>
      </c>
      <c r="DA2985">
        <v>0.11332468572476186</v>
      </c>
      <c r="DB2985" t="str">
        <v/>
      </c>
    </row>
    <row r="2986" spans="83:106" x14ac:dyDescent="0.2">
      <c r="CE2986"/>
      <c r="CF2986"/>
      <c r="CG2986"/>
      <c r="CH2986"/>
      <c r="CI2986"/>
      <c r="CU2986" s="42">
        <v>2981</v>
      </c>
      <c r="CV2986" s="115">
        <v>4</v>
      </c>
      <c r="CW2986" s="115">
        <v>0.11332468572476186</v>
      </c>
      <c r="CX2986" s="115" t="e">
        <v>#N/A</v>
      </c>
      <c r="CY2986" s="115" t="e">
        <v>#N/A</v>
      </c>
      <c r="CZ2986" s="137" t="e">
        <v>#N/A</v>
      </c>
      <c r="DA2986">
        <v>0.11332468572476186</v>
      </c>
      <c r="DB2986" t="str">
        <v/>
      </c>
    </row>
    <row r="2987" spans="83:106" x14ac:dyDescent="0.2">
      <c r="CE2987"/>
      <c r="CF2987"/>
      <c r="CG2987"/>
      <c r="CH2987"/>
      <c r="CI2987"/>
      <c r="CU2987" s="42">
        <v>2982</v>
      </c>
      <c r="CV2987" s="115">
        <v>4</v>
      </c>
      <c r="CW2987" s="115">
        <v>0.11332468572476186</v>
      </c>
      <c r="CX2987" s="115" t="e">
        <v>#N/A</v>
      </c>
      <c r="CY2987" s="115" t="e">
        <v>#N/A</v>
      </c>
      <c r="CZ2987" s="137" t="e">
        <v>#N/A</v>
      </c>
      <c r="DA2987">
        <v>0.11332468572476186</v>
      </c>
      <c r="DB2987" t="str">
        <v/>
      </c>
    </row>
    <row r="2988" spans="83:106" x14ac:dyDescent="0.2">
      <c r="CE2988"/>
      <c r="CF2988"/>
      <c r="CG2988"/>
      <c r="CH2988"/>
      <c r="CI2988"/>
      <c r="CU2988" s="42">
        <v>2983</v>
      </c>
      <c r="CV2988" s="115">
        <v>4</v>
      </c>
      <c r="CW2988" s="115">
        <v>0.11332468572476186</v>
      </c>
      <c r="CX2988" s="115" t="e">
        <v>#N/A</v>
      </c>
      <c r="CY2988" s="115" t="e">
        <v>#N/A</v>
      </c>
      <c r="CZ2988" s="137" t="e">
        <v>#N/A</v>
      </c>
      <c r="DA2988">
        <v>0.11332468572476186</v>
      </c>
      <c r="DB2988" t="str">
        <v/>
      </c>
    </row>
    <row r="2989" spans="83:106" x14ac:dyDescent="0.2">
      <c r="CE2989"/>
      <c r="CF2989"/>
      <c r="CG2989"/>
      <c r="CH2989"/>
      <c r="CI2989"/>
      <c r="CU2989" s="42">
        <v>2984</v>
      </c>
      <c r="CV2989" s="115">
        <v>4</v>
      </c>
      <c r="CW2989" s="115">
        <v>0.11332468572476186</v>
      </c>
      <c r="CX2989" s="115" t="e">
        <v>#N/A</v>
      </c>
      <c r="CY2989" s="115" t="e">
        <v>#N/A</v>
      </c>
      <c r="CZ2989" s="137" t="e">
        <v>#N/A</v>
      </c>
      <c r="DA2989">
        <v>0.11332468572476186</v>
      </c>
      <c r="DB2989" t="str">
        <v/>
      </c>
    </row>
    <row r="2990" spans="83:106" x14ac:dyDescent="0.2">
      <c r="CE2990"/>
      <c r="CF2990"/>
      <c r="CG2990"/>
      <c r="CH2990"/>
      <c r="CI2990"/>
      <c r="CU2990" s="42">
        <v>2985</v>
      </c>
      <c r="CV2990" s="115">
        <v>4</v>
      </c>
      <c r="CW2990" s="115">
        <v>0.11332468572476186</v>
      </c>
      <c r="CX2990" s="115" t="e">
        <v>#N/A</v>
      </c>
      <c r="CY2990" s="115" t="e">
        <v>#N/A</v>
      </c>
      <c r="CZ2990" s="137" t="e">
        <v>#N/A</v>
      </c>
      <c r="DA2990">
        <v>0.11332468572476186</v>
      </c>
      <c r="DB2990" t="str">
        <v/>
      </c>
    </row>
    <row r="2991" spans="83:106" x14ac:dyDescent="0.2">
      <c r="CE2991"/>
      <c r="CF2991"/>
      <c r="CG2991"/>
      <c r="CH2991"/>
      <c r="CI2991"/>
      <c r="CU2991" s="42">
        <v>2986</v>
      </c>
      <c r="CV2991" s="115">
        <v>4</v>
      </c>
      <c r="CW2991" s="115">
        <v>0.11332468572476186</v>
      </c>
      <c r="CX2991" s="115" t="e">
        <v>#N/A</v>
      </c>
      <c r="CY2991" s="115" t="e">
        <v>#N/A</v>
      </c>
      <c r="CZ2991" s="137" t="e">
        <v>#N/A</v>
      </c>
      <c r="DA2991">
        <v>0.11332468572476186</v>
      </c>
      <c r="DB2991" t="str">
        <v/>
      </c>
    </row>
    <row r="2992" spans="83:106" x14ac:dyDescent="0.2">
      <c r="CE2992"/>
      <c r="CF2992"/>
      <c r="CG2992"/>
      <c r="CH2992"/>
      <c r="CI2992"/>
      <c r="CU2992" s="42">
        <v>2987</v>
      </c>
      <c r="CV2992" s="115">
        <v>4</v>
      </c>
      <c r="CW2992" s="115">
        <v>0.11332468572476186</v>
      </c>
      <c r="CX2992" s="115" t="e">
        <v>#N/A</v>
      </c>
      <c r="CY2992" s="115" t="e">
        <v>#N/A</v>
      </c>
      <c r="CZ2992" s="137" t="e">
        <v>#N/A</v>
      </c>
      <c r="DA2992">
        <v>0.11332468572476186</v>
      </c>
      <c r="DB2992" t="str">
        <v/>
      </c>
    </row>
    <row r="2993" spans="83:106" x14ac:dyDescent="0.2">
      <c r="CE2993"/>
      <c r="CF2993"/>
      <c r="CG2993"/>
      <c r="CH2993"/>
      <c r="CI2993"/>
      <c r="CU2993" s="42">
        <v>2988</v>
      </c>
      <c r="CV2993" s="115">
        <v>4</v>
      </c>
      <c r="CW2993" s="115">
        <v>0.11332468572476186</v>
      </c>
      <c r="CX2993" s="115" t="e">
        <v>#N/A</v>
      </c>
      <c r="CY2993" s="115" t="e">
        <v>#N/A</v>
      </c>
      <c r="CZ2993" s="137" t="e">
        <v>#N/A</v>
      </c>
      <c r="DA2993">
        <v>0.11332468572476186</v>
      </c>
      <c r="DB2993" t="str">
        <v/>
      </c>
    </row>
    <row r="2994" spans="83:106" x14ac:dyDescent="0.2">
      <c r="CE2994"/>
      <c r="CF2994"/>
      <c r="CG2994"/>
      <c r="CH2994"/>
      <c r="CI2994"/>
      <c r="CU2994" s="42">
        <v>2989</v>
      </c>
      <c r="CV2994" s="115">
        <v>4</v>
      </c>
      <c r="CW2994" s="115">
        <v>0.11332468572476186</v>
      </c>
      <c r="CX2994" s="115" t="e">
        <v>#N/A</v>
      </c>
      <c r="CY2994" s="115" t="e">
        <v>#N/A</v>
      </c>
      <c r="CZ2994" s="137" t="e">
        <v>#N/A</v>
      </c>
      <c r="DA2994">
        <v>0.11332468572476186</v>
      </c>
      <c r="DB2994" t="str">
        <v/>
      </c>
    </row>
    <row r="2995" spans="83:106" x14ac:dyDescent="0.2">
      <c r="CE2995"/>
      <c r="CF2995"/>
      <c r="CG2995"/>
      <c r="CH2995"/>
      <c r="CI2995"/>
      <c r="CU2995" s="42">
        <v>2990</v>
      </c>
      <c r="CV2995" s="115">
        <v>4</v>
      </c>
      <c r="CW2995" s="115">
        <v>0.11332468572476186</v>
      </c>
      <c r="CX2995" s="115" t="e">
        <v>#N/A</v>
      </c>
      <c r="CY2995" s="115" t="e">
        <v>#N/A</v>
      </c>
      <c r="CZ2995" s="137" t="e">
        <v>#N/A</v>
      </c>
      <c r="DA2995">
        <v>0.11332468572476186</v>
      </c>
      <c r="DB2995" t="str">
        <v/>
      </c>
    </row>
    <row r="2996" spans="83:106" x14ac:dyDescent="0.2">
      <c r="CE2996"/>
      <c r="CF2996"/>
      <c r="CG2996"/>
      <c r="CH2996"/>
      <c r="CI2996"/>
      <c r="CU2996" s="42">
        <v>2991</v>
      </c>
      <c r="CV2996" s="115">
        <v>4</v>
      </c>
      <c r="CW2996" s="115">
        <v>0.11332468572476186</v>
      </c>
      <c r="CX2996" s="115" t="e">
        <v>#N/A</v>
      </c>
      <c r="CY2996" s="115" t="e">
        <v>#N/A</v>
      </c>
      <c r="CZ2996" s="137" t="e">
        <v>#N/A</v>
      </c>
      <c r="DA2996">
        <v>0.11332468572476186</v>
      </c>
      <c r="DB2996" t="str">
        <v/>
      </c>
    </row>
    <row r="2997" spans="83:106" x14ac:dyDescent="0.2">
      <c r="CE2997"/>
      <c r="CF2997"/>
      <c r="CG2997"/>
      <c r="CH2997"/>
      <c r="CI2997"/>
      <c r="CU2997" s="42">
        <v>2992</v>
      </c>
      <c r="CV2997" s="115">
        <v>4</v>
      </c>
      <c r="CW2997" s="115">
        <v>0.11332468572476186</v>
      </c>
      <c r="CX2997" s="115" t="e">
        <v>#N/A</v>
      </c>
      <c r="CY2997" s="115" t="e">
        <v>#N/A</v>
      </c>
      <c r="CZ2997" s="137" t="e">
        <v>#N/A</v>
      </c>
      <c r="DA2997">
        <v>0.11332468572476186</v>
      </c>
      <c r="DB2997" t="str">
        <v/>
      </c>
    </row>
    <row r="2998" spans="83:106" x14ac:dyDescent="0.2">
      <c r="CE2998"/>
      <c r="CF2998"/>
      <c r="CG2998"/>
      <c r="CH2998"/>
      <c r="CI2998"/>
      <c r="CU2998" s="42">
        <v>2993</v>
      </c>
      <c r="CV2998" s="115">
        <v>4</v>
      </c>
      <c r="CW2998" s="115">
        <v>0.11332468572476186</v>
      </c>
      <c r="CX2998" s="115" t="e">
        <v>#N/A</v>
      </c>
      <c r="CY2998" s="115" t="e">
        <v>#N/A</v>
      </c>
      <c r="CZ2998" s="137" t="e">
        <v>#N/A</v>
      </c>
      <c r="DA2998">
        <v>0.11332468572476186</v>
      </c>
      <c r="DB2998" t="str">
        <v/>
      </c>
    </row>
    <row r="2999" spans="83:106" x14ac:dyDescent="0.2">
      <c r="CE2999"/>
      <c r="CF2999"/>
      <c r="CG2999"/>
      <c r="CH2999"/>
      <c r="CI2999"/>
      <c r="CU2999" s="42">
        <v>2994</v>
      </c>
      <c r="CV2999" s="115">
        <v>4</v>
      </c>
      <c r="CW2999" s="115">
        <v>0.11332468572476186</v>
      </c>
      <c r="CX2999" s="115" t="e">
        <v>#N/A</v>
      </c>
      <c r="CY2999" s="115" t="e">
        <v>#N/A</v>
      </c>
      <c r="CZ2999" s="137" t="e">
        <v>#N/A</v>
      </c>
      <c r="DA2999">
        <v>0.11332468572476186</v>
      </c>
      <c r="DB2999" t="str">
        <v/>
      </c>
    </row>
    <row r="3000" spans="83:106" x14ac:dyDescent="0.2">
      <c r="CE3000"/>
      <c r="CF3000"/>
      <c r="CG3000"/>
      <c r="CH3000"/>
      <c r="CI3000"/>
      <c r="CU3000" s="42">
        <v>2995</v>
      </c>
      <c r="CV3000" s="115">
        <v>4</v>
      </c>
      <c r="CW3000" s="115">
        <v>0.11332468572476186</v>
      </c>
      <c r="CX3000" s="115" t="e">
        <v>#N/A</v>
      </c>
      <c r="CY3000" s="115" t="e">
        <v>#N/A</v>
      </c>
      <c r="CZ3000" s="137" t="e">
        <v>#N/A</v>
      </c>
      <c r="DA3000">
        <v>0.11332468572476186</v>
      </c>
      <c r="DB3000" t="str">
        <v/>
      </c>
    </row>
    <row r="3001" spans="83:106" x14ac:dyDescent="0.2">
      <c r="CE3001"/>
      <c r="CF3001"/>
      <c r="CG3001"/>
      <c r="CH3001"/>
      <c r="CI3001"/>
      <c r="CU3001" s="42">
        <v>2996</v>
      </c>
      <c r="CV3001" s="115">
        <v>4</v>
      </c>
      <c r="CW3001" s="115">
        <v>0.11332468572476186</v>
      </c>
      <c r="CX3001" s="115" t="e">
        <v>#N/A</v>
      </c>
      <c r="CY3001" s="115" t="e">
        <v>#N/A</v>
      </c>
      <c r="CZ3001" s="137" t="e">
        <v>#N/A</v>
      </c>
      <c r="DA3001">
        <v>0.11332468572476186</v>
      </c>
      <c r="DB3001" t="str">
        <v/>
      </c>
    </row>
    <row r="3002" spans="83:106" x14ac:dyDescent="0.2">
      <c r="CE3002"/>
      <c r="CF3002"/>
      <c r="CG3002"/>
      <c r="CH3002"/>
      <c r="CI3002"/>
      <c r="CU3002" s="42">
        <v>2997</v>
      </c>
      <c r="CV3002" s="115">
        <v>4</v>
      </c>
      <c r="CW3002" s="115">
        <v>0.11332468572476186</v>
      </c>
      <c r="CX3002" s="115" t="e">
        <v>#N/A</v>
      </c>
      <c r="CY3002" s="115" t="e">
        <v>#N/A</v>
      </c>
      <c r="CZ3002" s="137" t="e">
        <v>#N/A</v>
      </c>
      <c r="DA3002">
        <v>0.11332468572476186</v>
      </c>
      <c r="DB3002" t="str">
        <v/>
      </c>
    </row>
    <row r="3003" spans="83:106" x14ac:dyDescent="0.2">
      <c r="CE3003"/>
      <c r="CF3003"/>
      <c r="CG3003"/>
      <c r="CH3003"/>
      <c r="CI3003"/>
      <c r="CU3003" s="42">
        <v>2998</v>
      </c>
      <c r="CV3003" s="115">
        <v>4</v>
      </c>
      <c r="CW3003" s="115">
        <v>0.11332468572476186</v>
      </c>
      <c r="CX3003" s="115" t="e">
        <v>#N/A</v>
      </c>
      <c r="CY3003" s="115" t="e">
        <v>#N/A</v>
      </c>
      <c r="CZ3003" s="137" t="e">
        <v>#N/A</v>
      </c>
      <c r="DA3003">
        <v>0.11332468572476186</v>
      </c>
      <c r="DB3003" t="str">
        <v/>
      </c>
    </row>
    <row r="3004" spans="83:106" x14ac:dyDescent="0.2">
      <c r="CE3004"/>
      <c r="CF3004"/>
      <c r="CG3004"/>
      <c r="CH3004"/>
      <c r="CI3004"/>
      <c r="CU3004" s="42">
        <v>2999</v>
      </c>
      <c r="CV3004" s="115">
        <v>4</v>
      </c>
      <c r="CW3004" s="115">
        <v>0.11332468572476186</v>
      </c>
      <c r="CX3004" s="115" t="e">
        <v>#N/A</v>
      </c>
      <c r="CY3004" s="115" t="e">
        <v>#N/A</v>
      </c>
      <c r="CZ3004" s="137" t="e">
        <v>#N/A</v>
      </c>
      <c r="DA3004">
        <v>0.11332468572476186</v>
      </c>
      <c r="DB3004" t="str">
        <v/>
      </c>
    </row>
    <row r="3005" spans="83:106" x14ac:dyDescent="0.2">
      <c r="CE3005"/>
      <c r="CF3005"/>
      <c r="CG3005"/>
      <c r="CH3005"/>
      <c r="CI3005"/>
      <c r="CU3005" s="42">
        <v>3000</v>
      </c>
      <c r="CV3005" s="115">
        <v>4</v>
      </c>
      <c r="CW3005" s="115">
        <v>0.11332468572476186</v>
      </c>
      <c r="CX3005" s="115" t="e">
        <v>#N/A</v>
      </c>
      <c r="CY3005" s="115" t="e">
        <v>#N/A</v>
      </c>
      <c r="CZ3005" s="137" t="e">
        <v>#N/A</v>
      </c>
      <c r="DA3005">
        <v>0.11332468572476186</v>
      </c>
      <c r="DB3005" t="str">
        <v/>
      </c>
    </row>
    <row r="3006" spans="83:106" x14ac:dyDescent="0.2">
      <c r="CE3006"/>
      <c r="CF3006"/>
      <c r="CG3006"/>
      <c r="CH3006"/>
      <c r="CI3006"/>
      <c r="CU3006" s="42">
        <v>3001</v>
      </c>
      <c r="CV3006" s="115">
        <v>4</v>
      </c>
      <c r="CW3006" s="115">
        <v>0.11332468572476186</v>
      </c>
      <c r="CX3006" s="115" t="e">
        <v>#N/A</v>
      </c>
      <c r="CY3006" s="115" t="e">
        <v>#N/A</v>
      </c>
      <c r="CZ3006" s="137" t="e">
        <v>#N/A</v>
      </c>
      <c r="DA3006">
        <v>0.11332468572476186</v>
      </c>
      <c r="DB3006" t="str">
        <v/>
      </c>
    </row>
    <row r="3007" spans="83:106" x14ac:dyDescent="0.2">
      <c r="CE3007"/>
      <c r="CF3007"/>
      <c r="CG3007"/>
      <c r="CH3007"/>
      <c r="CI3007"/>
      <c r="CU3007" s="42">
        <v>3002</v>
      </c>
      <c r="CV3007" s="115">
        <v>4</v>
      </c>
      <c r="CW3007" s="115">
        <v>0.11332468572476186</v>
      </c>
      <c r="CX3007" s="115" t="e">
        <v>#N/A</v>
      </c>
      <c r="CY3007" s="115" t="e">
        <v>#N/A</v>
      </c>
      <c r="CZ3007" s="137" t="e">
        <v>#N/A</v>
      </c>
      <c r="DA3007">
        <v>0.11332468572476186</v>
      </c>
      <c r="DB3007" t="str">
        <v/>
      </c>
    </row>
    <row r="3008" spans="83:106" x14ac:dyDescent="0.2">
      <c r="CE3008"/>
      <c r="CF3008"/>
      <c r="CG3008"/>
      <c r="CH3008"/>
      <c r="CI3008"/>
      <c r="CU3008" s="42">
        <v>3003</v>
      </c>
      <c r="CV3008" s="115">
        <v>4</v>
      </c>
      <c r="CW3008" s="115">
        <v>0.11332468572476186</v>
      </c>
      <c r="CX3008" s="115" t="e">
        <v>#N/A</v>
      </c>
      <c r="CY3008" s="115" t="e">
        <v>#N/A</v>
      </c>
      <c r="CZ3008" s="137" t="e">
        <v>#N/A</v>
      </c>
      <c r="DA3008">
        <v>0.11332468572476186</v>
      </c>
      <c r="DB3008" t="str">
        <v/>
      </c>
    </row>
    <row r="3009" spans="83:106" x14ac:dyDescent="0.2">
      <c r="CE3009"/>
      <c r="CF3009"/>
      <c r="CG3009"/>
      <c r="CH3009"/>
      <c r="CI3009"/>
      <c r="CU3009" s="42">
        <v>3004</v>
      </c>
      <c r="CV3009" s="115">
        <v>4</v>
      </c>
      <c r="CW3009" s="115">
        <v>0.11332468572476186</v>
      </c>
      <c r="CX3009" s="115" t="e">
        <v>#N/A</v>
      </c>
      <c r="CY3009" s="115" t="e">
        <v>#N/A</v>
      </c>
      <c r="CZ3009" s="137" t="e">
        <v>#N/A</v>
      </c>
      <c r="DA3009">
        <v>0.11332468572476186</v>
      </c>
      <c r="DB3009" t="str">
        <v/>
      </c>
    </row>
    <row r="3010" spans="83:106" x14ac:dyDescent="0.2">
      <c r="CE3010"/>
      <c r="CF3010"/>
      <c r="CG3010"/>
      <c r="CH3010"/>
      <c r="CI3010"/>
      <c r="CU3010" s="42">
        <v>3005</v>
      </c>
      <c r="CV3010" s="115">
        <v>4</v>
      </c>
      <c r="CW3010" s="115">
        <v>0.11332468572476186</v>
      </c>
      <c r="CX3010" s="115" t="e">
        <v>#N/A</v>
      </c>
      <c r="CY3010" s="115" t="e">
        <v>#N/A</v>
      </c>
      <c r="CZ3010" s="137" t="e">
        <v>#N/A</v>
      </c>
      <c r="DA3010">
        <v>0.11332468572476186</v>
      </c>
      <c r="DB3010" t="str">
        <v/>
      </c>
    </row>
    <row r="3011" spans="83:106" x14ac:dyDescent="0.2">
      <c r="CE3011"/>
      <c r="CF3011"/>
      <c r="CG3011"/>
      <c r="CH3011"/>
      <c r="CI3011"/>
      <c r="CU3011" s="42">
        <v>3006</v>
      </c>
      <c r="CV3011" s="115">
        <v>4</v>
      </c>
      <c r="CW3011" s="115">
        <v>0.11332468572476186</v>
      </c>
      <c r="CX3011" s="115" t="e">
        <v>#N/A</v>
      </c>
      <c r="CY3011" s="115" t="e">
        <v>#N/A</v>
      </c>
      <c r="CZ3011" s="137" t="e">
        <v>#N/A</v>
      </c>
      <c r="DA3011">
        <v>0.11332468572476186</v>
      </c>
      <c r="DB3011" t="str">
        <v/>
      </c>
    </row>
    <row r="3012" spans="83:106" x14ac:dyDescent="0.2">
      <c r="CE3012"/>
      <c r="CF3012"/>
      <c r="CG3012"/>
      <c r="CH3012"/>
      <c r="CI3012"/>
      <c r="CU3012" s="42">
        <v>3007</v>
      </c>
      <c r="CV3012" s="115">
        <v>4</v>
      </c>
      <c r="CW3012" s="115">
        <v>0.11332468572476186</v>
      </c>
      <c r="CX3012" s="115" t="e">
        <v>#N/A</v>
      </c>
      <c r="CY3012" s="115" t="e">
        <v>#N/A</v>
      </c>
      <c r="CZ3012" s="137" t="e">
        <v>#N/A</v>
      </c>
      <c r="DA3012">
        <v>0.11332468572476186</v>
      </c>
      <c r="DB3012" t="str">
        <v/>
      </c>
    </row>
    <row r="3013" spans="83:106" x14ac:dyDescent="0.2">
      <c r="CE3013"/>
      <c r="CF3013"/>
      <c r="CG3013"/>
      <c r="CH3013"/>
      <c r="CI3013"/>
      <c r="CU3013" s="42">
        <v>3008</v>
      </c>
      <c r="CV3013" s="115">
        <v>4</v>
      </c>
      <c r="CW3013" s="115">
        <v>0.11332468572476186</v>
      </c>
      <c r="CX3013" s="115" t="e">
        <v>#N/A</v>
      </c>
      <c r="CY3013" s="115" t="e">
        <v>#N/A</v>
      </c>
      <c r="CZ3013" s="137" t="e">
        <v>#N/A</v>
      </c>
      <c r="DA3013">
        <v>0.11332468572476186</v>
      </c>
      <c r="DB3013" t="str">
        <v/>
      </c>
    </row>
    <row r="3014" spans="83:106" x14ac:dyDescent="0.2">
      <c r="CE3014"/>
      <c r="CF3014"/>
      <c r="CG3014"/>
      <c r="CH3014"/>
      <c r="CI3014"/>
      <c r="CU3014" s="42">
        <v>3009</v>
      </c>
      <c r="CV3014" s="115">
        <v>4</v>
      </c>
      <c r="CW3014" s="115">
        <v>0.11332468572476186</v>
      </c>
      <c r="CX3014" s="115" t="e">
        <v>#N/A</v>
      </c>
      <c r="CY3014" s="115" t="e">
        <v>#N/A</v>
      </c>
      <c r="CZ3014" s="137" t="e">
        <v>#N/A</v>
      </c>
      <c r="DA3014">
        <v>0.11332468572476186</v>
      </c>
      <c r="DB3014" t="str">
        <v/>
      </c>
    </row>
    <row r="3015" spans="83:106" x14ac:dyDescent="0.2">
      <c r="CE3015"/>
      <c r="CF3015"/>
      <c r="CG3015"/>
      <c r="CH3015"/>
      <c r="CI3015"/>
      <c r="CU3015" s="42">
        <v>3010</v>
      </c>
      <c r="CV3015" s="115">
        <v>4</v>
      </c>
      <c r="CW3015" s="115">
        <v>0.11332468572476186</v>
      </c>
      <c r="CX3015" s="115" t="e">
        <v>#N/A</v>
      </c>
      <c r="CY3015" s="115" t="e">
        <v>#N/A</v>
      </c>
      <c r="CZ3015" s="137" t="e">
        <v>#N/A</v>
      </c>
      <c r="DA3015">
        <v>0.11332468572476186</v>
      </c>
      <c r="DB3015" t="str">
        <v/>
      </c>
    </row>
    <row r="3016" spans="83:106" x14ac:dyDescent="0.2">
      <c r="CE3016"/>
      <c r="CF3016"/>
      <c r="CG3016"/>
      <c r="CH3016"/>
      <c r="CI3016"/>
      <c r="CU3016" s="42">
        <v>3011</v>
      </c>
      <c r="CV3016" s="115">
        <v>4</v>
      </c>
      <c r="CW3016" s="115">
        <v>0.11332468572476186</v>
      </c>
      <c r="CX3016" s="115" t="e">
        <v>#N/A</v>
      </c>
      <c r="CY3016" s="115" t="e">
        <v>#N/A</v>
      </c>
      <c r="CZ3016" s="137" t="e">
        <v>#N/A</v>
      </c>
      <c r="DA3016">
        <v>0.11332468572476186</v>
      </c>
      <c r="DB3016" t="str">
        <v/>
      </c>
    </row>
    <row r="3017" spans="83:106" x14ac:dyDescent="0.2">
      <c r="CE3017"/>
      <c r="CF3017"/>
      <c r="CG3017"/>
      <c r="CH3017"/>
      <c r="CI3017"/>
      <c r="CU3017" s="42">
        <v>3012</v>
      </c>
      <c r="CV3017" s="115">
        <v>4</v>
      </c>
      <c r="CW3017" s="115">
        <v>0.11332468572476186</v>
      </c>
      <c r="CX3017" s="115" t="e">
        <v>#N/A</v>
      </c>
      <c r="CY3017" s="115" t="e">
        <v>#N/A</v>
      </c>
      <c r="CZ3017" s="137" t="e">
        <v>#N/A</v>
      </c>
      <c r="DA3017">
        <v>0.11332468572476186</v>
      </c>
      <c r="DB3017" t="str">
        <v/>
      </c>
    </row>
    <row r="3018" spans="83:106" x14ac:dyDescent="0.2">
      <c r="CE3018"/>
      <c r="CF3018"/>
      <c r="CG3018"/>
      <c r="CH3018"/>
      <c r="CI3018"/>
      <c r="CU3018" s="42">
        <v>3013</v>
      </c>
      <c r="CV3018" s="115">
        <v>4</v>
      </c>
      <c r="CW3018" s="115">
        <v>0.11332468572476186</v>
      </c>
      <c r="CX3018" s="115" t="e">
        <v>#N/A</v>
      </c>
      <c r="CY3018" s="115" t="e">
        <v>#N/A</v>
      </c>
      <c r="CZ3018" s="137" t="e">
        <v>#N/A</v>
      </c>
      <c r="DA3018">
        <v>0.11332468572476186</v>
      </c>
      <c r="DB3018" t="str">
        <v/>
      </c>
    </row>
    <row r="3019" spans="83:106" x14ac:dyDescent="0.2">
      <c r="CE3019"/>
      <c r="CF3019"/>
      <c r="CG3019"/>
      <c r="CH3019"/>
      <c r="CI3019"/>
      <c r="CU3019" s="42">
        <v>3014</v>
      </c>
      <c r="CV3019" s="115">
        <v>4</v>
      </c>
      <c r="CW3019" s="115">
        <v>0.11332468572476186</v>
      </c>
      <c r="CX3019" s="115" t="e">
        <v>#N/A</v>
      </c>
      <c r="CY3019" s="115" t="e">
        <v>#N/A</v>
      </c>
      <c r="CZ3019" s="137" t="e">
        <v>#N/A</v>
      </c>
      <c r="DA3019">
        <v>0.11332468572476186</v>
      </c>
      <c r="DB3019" t="str">
        <v/>
      </c>
    </row>
    <row r="3020" spans="83:106" x14ac:dyDescent="0.2">
      <c r="CE3020"/>
      <c r="CF3020"/>
      <c r="CG3020"/>
      <c r="CH3020"/>
      <c r="CI3020"/>
      <c r="CU3020" s="42">
        <v>3015</v>
      </c>
      <c r="CV3020" s="115">
        <v>4</v>
      </c>
      <c r="CW3020" s="115">
        <v>0.11332468572476186</v>
      </c>
      <c r="CX3020" s="115" t="e">
        <v>#N/A</v>
      </c>
      <c r="CY3020" s="115" t="e">
        <v>#N/A</v>
      </c>
      <c r="CZ3020" s="137" t="e">
        <v>#N/A</v>
      </c>
      <c r="DA3020">
        <v>0.11332468572476186</v>
      </c>
      <c r="DB3020" t="str">
        <v/>
      </c>
    </row>
    <row r="3021" spans="83:106" x14ac:dyDescent="0.2">
      <c r="CE3021"/>
      <c r="CF3021"/>
      <c r="CG3021"/>
      <c r="CH3021"/>
      <c r="CI3021"/>
      <c r="CU3021" s="42">
        <v>3016</v>
      </c>
      <c r="CV3021" s="115">
        <v>4</v>
      </c>
      <c r="CW3021" s="115">
        <v>0.11332468572476186</v>
      </c>
      <c r="CX3021" s="115" t="e">
        <v>#N/A</v>
      </c>
      <c r="CY3021" s="115" t="e">
        <v>#N/A</v>
      </c>
      <c r="CZ3021" s="137" t="e">
        <v>#N/A</v>
      </c>
      <c r="DA3021">
        <v>0.11332468572476186</v>
      </c>
      <c r="DB3021" t="str">
        <v/>
      </c>
    </row>
    <row r="3022" spans="83:106" x14ac:dyDescent="0.2">
      <c r="CE3022"/>
      <c r="CF3022"/>
      <c r="CG3022"/>
      <c r="CH3022"/>
      <c r="CI3022"/>
      <c r="CU3022" s="42">
        <v>3017</v>
      </c>
      <c r="CV3022" s="115">
        <v>4</v>
      </c>
      <c r="CW3022" s="115">
        <v>0.11332468572476186</v>
      </c>
      <c r="CX3022" s="115" t="e">
        <v>#N/A</v>
      </c>
      <c r="CY3022" s="115" t="e">
        <v>#N/A</v>
      </c>
      <c r="CZ3022" s="137" t="e">
        <v>#N/A</v>
      </c>
      <c r="DA3022">
        <v>0.11332468572476186</v>
      </c>
      <c r="DB3022" t="str">
        <v/>
      </c>
    </row>
    <row r="3023" spans="83:106" x14ac:dyDescent="0.2">
      <c r="CE3023"/>
      <c r="CF3023"/>
      <c r="CG3023"/>
      <c r="CH3023"/>
      <c r="CI3023"/>
      <c r="CU3023" s="42">
        <v>3018</v>
      </c>
      <c r="CV3023" s="115">
        <v>4</v>
      </c>
      <c r="CW3023" s="115">
        <v>0.11332468572476186</v>
      </c>
      <c r="CX3023" s="115" t="e">
        <v>#N/A</v>
      </c>
      <c r="CY3023" s="115" t="e">
        <v>#N/A</v>
      </c>
      <c r="CZ3023" s="137" t="e">
        <v>#N/A</v>
      </c>
      <c r="DA3023">
        <v>0.11332468572476186</v>
      </c>
      <c r="DB3023" t="str">
        <v/>
      </c>
    </row>
    <row r="3024" spans="83:106" x14ac:dyDescent="0.2">
      <c r="CE3024"/>
      <c r="CF3024"/>
      <c r="CG3024"/>
      <c r="CH3024"/>
      <c r="CI3024"/>
      <c r="CU3024" s="42">
        <v>3019</v>
      </c>
      <c r="CV3024" s="115">
        <v>4</v>
      </c>
      <c r="CW3024" s="115">
        <v>0.11332468572476186</v>
      </c>
      <c r="CX3024" s="115" t="e">
        <v>#N/A</v>
      </c>
      <c r="CY3024" s="115" t="e">
        <v>#N/A</v>
      </c>
      <c r="CZ3024" s="137" t="e">
        <v>#N/A</v>
      </c>
      <c r="DA3024">
        <v>0.11332468572476186</v>
      </c>
      <c r="DB3024" t="str">
        <v/>
      </c>
    </row>
    <row r="3025" spans="83:106" x14ac:dyDescent="0.2">
      <c r="CE3025"/>
      <c r="CF3025"/>
      <c r="CG3025"/>
      <c r="CH3025"/>
      <c r="CI3025"/>
      <c r="CU3025" s="42">
        <v>3020</v>
      </c>
      <c r="CV3025" s="115">
        <v>4</v>
      </c>
      <c r="CW3025" s="115">
        <v>0.11332468572476186</v>
      </c>
      <c r="CX3025" s="115" t="e">
        <v>#N/A</v>
      </c>
      <c r="CY3025" s="115" t="e">
        <v>#N/A</v>
      </c>
      <c r="CZ3025" s="137" t="e">
        <v>#N/A</v>
      </c>
      <c r="DA3025">
        <v>0.11332468572476186</v>
      </c>
      <c r="DB3025" t="str">
        <v/>
      </c>
    </row>
    <row r="3026" spans="83:106" x14ac:dyDescent="0.2">
      <c r="CE3026"/>
      <c r="CF3026"/>
      <c r="CG3026"/>
      <c r="CH3026"/>
      <c r="CI3026"/>
      <c r="CU3026" s="42">
        <v>3021</v>
      </c>
      <c r="CV3026" s="115">
        <v>4</v>
      </c>
      <c r="CW3026" s="115">
        <v>0.11332468572476186</v>
      </c>
      <c r="CX3026" s="115" t="e">
        <v>#N/A</v>
      </c>
      <c r="CY3026" s="115" t="e">
        <v>#N/A</v>
      </c>
      <c r="CZ3026" s="137" t="e">
        <v>#N/A</v>
      </c>
      <c r="DA3026">
        <v>0.11332468572476186</v>
      </c>
      <c r="DB3026" t="str">
        <v/>
      </c>
    </row>
    <row r="3027" spans="83:106" x14ac:dyDescent="0.2">
      <c r="CE3027"/>
      <c r="CF3027"/>
      <c r="CG3027"/>
      <c r="CH3027"/>
      <c r="CI3027"/>
      <c r="CU3027" s="42">
        <v>3022</v>
      </c>
      <c r="CV3027" s="115">
        <v>4</v>
      </c>
      <c r="CW3027" s="115">
        <v>0.11332468572476186</v>
      </c>
      <c r="CX3027" s="115" t="e">
        <v>#N/A</v>
      </c>
      <c r="CY3027" s="115" t="e">
        <v>#N/A</v>
      </c>
      <c r="CZ3027" s="137" t="e">
        <v>#N/A</v>
      </c>
      <c r="DA3027">
        <v>0.11332468572476186</v>
      </c>
      <c r="DB3027" t="str">
        <v/>
      </c>
    </row>
    <row r="3028" spans="83:106" x14ac:dyDescent="0.2">
      <c r="CE3028"/>
      <c r="CF3028"/>
      <c r="CG3028"/>
      <c r="CH3028"/>
      <c r="CI3028"/>
      <c r="CU3028" s="42">
        <v>3023</v>
      </c>
      <c r="CV3028" s="115">
        <v>4</v>
      </c>
      <c r="CW3028" s="115">
        <v>0.11332468572476186</v>
      </c>
      <c r="CX3028" s="115" t="e">
        <v>#N/A</v>
      </c>
      <c r="CY3028" s="115" t="e">
        <v>#N/A</v>
      </c>
      <c r="CZ3028" s="137" t="e">
        <v>#N/A</v>
      </c>
      <c r="DA3028">
        <v>0.11332468572476186</v>
      </c>
      <c r="DB3028" t="str">
        <v/>
      </c>
    </row>
    <row r="3029" spans="83:106" x14ac:dyDescent="0.2">
      <c r="CE3029"/>
      <c r="CF3029"/>
      <c r="CG3029"/>
      <c r="CH3029"/>
      <c r="CI3029"/>
      <c r="CU3029" s="42">
        <v>3024</v>
      </c>
      <c r="CV3029" s="115">
        <v>4</v>
      </c>
      <c r="CW3029" s="115">
        <v>0.11332468572476186</v>
      </c>
      <c r="CX3029" s="115" t="e">
        <v>#N/A</v>
      </c>
      <c r="CY3029" s="115" t="e">
        <v>#N/A</v>
      </c>
      <c r="CZ3029" s="137" t="e">
        <v>#N/A</v>
      </c>
      <c r="DA3029">
        <v>0.11332468572476186</v>
      </c>
      <c r="DB3029" t="str">
        <v/>
      </c>
    </row>
    <row r="3030" spans="83:106" x14ac:dyDescent="0.2">
      <c r="CE3030"/>
      <c r="CF3030"/>
      <c r="CG3030"/>
      <c r="CH3030"/>
      <c r="CI3030"/>
      <c r="CU3030" s="42">
        <v>3025</v>
      </c>
      <c r="CV3030" s="115">
        <v>4</v>
      </c>
      <c r="CW3030" s="115">
        <v>0.11332468572476186</v>
      </c>
      <c r="CX3030" s="115" t="e">
        <v>#N/A</v>
      </c>
      <c r="CY3030" s="115" t="e">
        <v>#N/A</v>
      </c>
      <c r="CZ3030" s="137" t="e">
        <v>#N/A</v>
      </c>
      <c r="DA3030">
        <v>0.11332468572476186</v>
      </c>
      <c r="DB3030" t="str">
        <v/>
      </c>
    </row>
    <row r="3031" spans="83:106" x14ac:dyDescent="0.2">
      <c r="CE3031"/>
      <c r="CF3031"/>
      <c r="CG3031"/>
      <c r="CH3031"/>
      <c r="CI3031"/>
      <c r="CU3031" s="42">
        <v>3026</v>
      </c>
      <c r="CV3031" s="115">
        <v>4</v>
      </c>
      <c r="CW3031" s="115">
        <v>0.11332468572476186</v>
      </c>
      <c r="CX3031" s="115" t="e">
        <v>#N/A</v>
      </c>
      <c r="CY3031" s="115" t="e">
        <v>#N/A</v>
      </c>
      <c r="CZ3031" s="137" t="e">
        <v>#N/A</v>
      </c>
      <c r="DA3031">
        <v>0.11332468572476186</v>
      </c>
      <c r="DB3031" t="str">
        <v/>
      </c>
    </row>
    <row r="3032" spans="83:106" x14ac:dyDescent="0.2">
      <c r="CE3032"/>
      <c r="CF3032"/>
      <c r="CG3032"/>
      <c r="CH3032"/>
      <c r="CI3032"/>
      <c r="CU3032" s="42">
        <v>3027</v>
      </c>
      <c r="CV3032" s="115">
        <v>4</v>
      </c>
      <c r="CW3032" s="115">
        <v>0.11332468572476186</v>
      </c>
      <c r="CX3032" s="115" t="e">
        <v>#N/A</v>
      </c>
      <c r="CY3032" s="115" t="e">
        <v>#N/A</v>
      </c>
      <c r="CZ3032" s="137" t="e">
        <v>#N/A</v>
      </c>
      <c r="DA3032">
        <v>0.11332468572476186</v>
      </c>
      <c r="DB3032" t="str">
        <v/>
      </c>
    </row>
    <row r="3033" spans="83:106" x14ac:dyDescent="0.2">
      <c r="CE3033"/>
      <c r="CF3033"/>
      <c r="CG3033"/>
      <c r="CH3033"/>
      <c r="CI3033"/>
      <c r="CU3033" s="42">
        <v>3028</v>
      </c>
      <c r="CV3033" s="115">
        <v>4</v>
      </c>
      <c r="CW3033" s="115">
        <v>0.11332468572476186</v>
      </c>
      <c r="CX3033" s="115" t="e">
        <v>#N/A</v>
      </c>
      <c r="CY3033" s="115" t="e">
        <v>#N/A</v>
      </c>
      <c r="CZ3033" s="137" t="e">
        <v>#N/A</v>
      </c>
      <c r="DA3033">
        <v>0.11332468572476186</v>
      </c>
      <c r="DB3033" t="str">
        <v/>
      </c>
    </row>
    <row r="3034" spans="83:106" x14ac:dyDescent="0.2">
      <c r="CE3034"/>
      <c r="CF3034"/>
      <c r="CG3034"/>
      <c r="CH3034"/>
      <c r="CI3034"/>
      <c r="CU3034" s="42">
        <v>3029</v>
      </c>
      <c r="CV3034" s="115">
        <v>4</v>
      </c>
      <c r="CW3034" s="115">
        <v>0.11332468572476186</v>
      </c>
      <c r="CX3034" s="115" t="e">
        <v>#N/A</v>
      </c>
      <c r="CY3034" s="115" t="e">
        <v>#N/A</v>
      </c>
      <c r="CZ3034" s="137" t="e">
        <v>#N/A</v>
      </c>
      <c r="DA3034">
        <v>0.11332468572476186</v>
      </c>
      <c r="DB3034" t="str">
        <v/>
      </c>
    </row>
    <row r="3035" spans="83:106" x14ac:dyDescent="0.2">
      <c r="CE3035"/>
      <c r="CF3035"/>
      <c r="CG3035"/>
      <c r="CH3035"/>
      <c r="CI3035"/>
      <c r="CU3035" s="42">
        <v>3030</v>
      </c>
      <c r="CV3035" s="115">
        <v>4</v>
      </c>
      <c r="CW3035" s="115">
        <v>0.11332468572476186</v>
      </c>
      <c r="CX3035" s="115" t="e">
        <v>#N/A</v>
      </c>
      <c r="CY3035" s="115" t="e">
        <v>#N/A</v>
      </c>
      <c r="CZ3035" s="137" t="e">
        <v>#N/A</v>
      </c>
      <c r="DA3035">
        <v>0.11332468572476186</v>
      </c>
      <c r="DB3035" t="str">
        <v/>
      </c>
    </row>
    <row r="3036" spans="83:106" x14ac:dyDescent="0.2">
      <c r="CE3036"/>
      <c r="CF3036"/>
      <c r="CG3036"/>
      <c r="CH3036"/>
      <c r="CI3036"/>
      <c r="CU3036" s="42">
        <v>3031</v>
      </c>
      <c r="CV3036" s="115">
        <v>4</v>
      </c>
      <c r="CW3036" s="115">
        <v>0.11332468572476186</v>
      </c>
      <c r="CX3036" s="115" t="e">
        <v>#N/A</v>
      </c>
      <c r="CY3036" s="115" t="e">
        <v>#N/A</v>
      </c>
      <c r="CZ3036" s="137" t="e">
        <v>#N/A</v>
      </c>
      <c r="DA3036">
        <v>0.11332468572476186</v>
      </c>
      <c r="DB3036" t="str">
        <v/>
      </c>
    </row>
    <row r="3037" spans="83:106" x14ac:dyDescent="0.2">
      <c r="CE3037"/>
      <c r="CF3037"/>
      <c r="CG3037"/>
      <c r="CH3037"/>
      <c r="CI3037"/>
      <c r="CU3037" s="42">
        <v>3032</v>
      </c>
      <c r="CV3037" s="115">
        <v>4</v>
      </c>
      <c r="CW3037" s="115">
        <v>0.11332468572476186</v>
      </c>
      <c r="CX3037" s="115" t="e">
        <v>#N/A</v>
      </c>
      <c r="CY3037" s="115" t="e">
        <v>#N/A</v>
      </c>
      <c r="CZ3037" s="137" t="e">
        <v>#N/A</v>
      </c>
      <c r="DA3037">
        <v>0.11332468572476186</v>
      </c>
      <c r="DB3037" t="str">
        <v/>
      </c>
    </row>
    <row r="3038" spans="83:106" x14ac:dyDescent="0.2">
      <c r="CE3038"/>
      <c r="CF3038"/>
      <c r="CG3038"/>
      <c r="CH3038"/>
      <c r="CI3038"/>
      <c r="CU3038" s="42">
        <v>3033</v>
      </c>
      <c r="CV3038" s="115">
        <v>4</v>
      </c>
      <c r="CW3038" s="115">
        <v>0.11332468572476186</v>
      </c>
      <c r="CX3038" s="115" t="e">
        <v>#N/A</v>
      </c>
      <c r="CY3038" s="115" t="e">
        <v>#N/A</v>
      </c>
      <c r="CZ3038" s="137" t="e">
        <v>#N/A</v>
      </c>
      <c r="DA3038">
        <v>0.11332468572476186</v>
      </c>
      <c r="DB3038" t="str">
        <v/>
      </c>
    </row>
    <row r="3039" spans="83:106" x14ac:dyDescent="0.2">
      <c r="CE3039"/>
      <c r="CF3039"/>
      <c r="CG3039"/>
      <c r="CH3039"/>
      <c r="CI3039"/>
      <c r="CU3039" s="42">
        <v>3034</v>
      </c>
      <c r="CV3039" s="115">
        <v>4</v>
      </c>
      <c r="CW3039" s="115">
        <v>0.11332468572476186</v>
      </c>
      <c r="CX3039" s="115" t="e">
        <v>#N/A</v>
      </c>
      <c r="CY3039" s="115" t="e">
        <v>#N/A</v>
      </c>
      <c r="CZ3039" s="137" t="e">
        <v>#N/A</v>
      </c>
      <c r="DA3039">
        <v>0.11332468572476186</v>
      </c>
      <c r="DB3039" t="str">
        <v/>
      </c>
    </row>
    <row r="3040" spans="83:106" x14ac:dyDescent="0.2">
      <c r="CE3040"/>
      <c r="CF3040"/>
      <c r="CG3040"/>
      <c r="CH3040"/>
      <c r="CI3040"/>
      <c r="CU3040" s="42">
        <v>3035</v>
      </c>
      <c r="CV3040" s="115">
        <v>4</v>
      </c>
      <c r="CW3040" s="115">
        <v>0.11332468572476186</v>
      </c>
      <c r="CX3040" s="115" t="e">
        <v>#N/A</v>
      </c>
      <c r="CY3040" s="115" t="e">
        <v>#N/A</v>
      </c>
      <c r="CZ3040" s="137" t="e">
        <v>#N/A</v>
      </c>
      <c r="DA3040">
        <v>0.11332468572476186</v>
      </c>
      <c r="DB3040" t="str">
        <v/>
      </c>
    </row>
    <row r="3041" spans="83:106" x14ac:dyDescent="0.2">
      <c r="CE3041"/>
      <c r="CF3041"/>
      <c r="CG3041"/>
      <c r="CH3041"/>
      <c r="CI3041"/>
      <c r="CU3041" s="42">
        <v>3036</v>
      </c>
      <c r="CV3041" s="115">
        <v>4</v>
      </c>
      <c r="CW3041" s="115">
        <v>0.11332468572476186</v>
      </c>
      <c r="CX3041" s="115" t="e">
        <v>#N/A</v>
      </c>
      <c r="CY3041" s="115" t="e">
        <v>#N/A</v>
      </c>
      <c r="CZ3041" s="137" t="e">
        <v>#N/A</v>
      </c>
      <c r="DA3041">
        <v>0.11332468572476186</v>
      </c>
      <c r="DB3041" t="str">
        <v/>
      </c>
    </row>
    <row r="3042" spans="83:106" x14ac:dyDescent="0.2">
      <c r="CE3042"/>
      <c r="CF3042"/>
      <c r="CG3042"/>
      <c r="CH3042"/>
      <c r="CI3042"/>
      <c r="CU3042" s="42">
        <v>3037</v>
      </c>
      <c r="CV3042" s="115">
        <v>4</v>
      </c>
      <c r="CW3042" s="115">
        <v>0.11332468572476186</v>
      </c>
      <c r="CX3042" s="115" t="e">
        <v>#N/A</v>
      </c>
      <c r="CY3042" s="115" t="e">
        <v>#N/A</v>
      </c>
      <c r="CZ3042" s="137" t="e">
        <v>#N/A</v>
      </c>
      <c r="DA3042">
        <v>0.11332468572476186</v>
      </c>
      <c r="DB3042" t="str">
        <v/>
      </c>
    </row>
    <row r="3043" spans="83:106" x14ac:dyDescent="0.2">
      <c r="CE3043"/>
      <c r="CF3043"/>
      <c r="CG3043"/>
      <c r="CH3043"/>
      <c r="CI3043"/>
      <c r="CU3043" s="42">
        <v>3038</v>
      </c>
      <c r="CV3043" s="115">
        <v>4</v>
      </c>
      <c r="CW3043" s="115">
        <v>0.11332468572476186</v>
      </c>
      <c r="CX3043" s="115" t="e">
        <v>#N/A</v>
      </c>
      <c r="CY3043" s="115" t="e">
        <v>#N/A</v>
      </c>
      <c r="CZ3043" s="137" t="e">
        <v>#N/A</v>
      </c>
      <c r="DA3043">
        <v>0.11332468572476186</v>
      </c>
      <c r="DB3043" t="str">
        <v/>
      </c>
    </row>
    <row r="3044" spans="83:106" x14ac:dyDescent="0.2">
      <c r="CE3044"/>
      <c r="CF3044"/>
      <c r="CG3044"/>
      <c r="CH3044"/>
      <c r="CI3044"/>
      <c r="CU3044" s="42">
        <v>3039</v>
      </c>
      <c r="CV3044" s="115">
        <v>4</v>
      </c>
      <c r="CW3044" s="115">
        <v>0.11332468572476186</v>
      </c>
      <c r="CX3044" s="115" t="e">
        <v>#N/A</v>
      </c>
      <c r="CY3044" s="115" t="e">
        <v>#N/A</v>
      </c>
      <c r="CZ3044" s="137" t="e">
        <v>#N/A</v>
      </c>
      <c r="DA3044">
        <v>0.11332468572476186</v>
      </c>
      <c r="DB3044" t="str">
        <v/>
      </c>
    </row>
    <row r="3045" spans="83:106" x14ac:dyDescent="0.2">
      <c r="CE3045"/>
      <c r="CF3045"/>
      <c r="CG3045"/>
      <c r="CH3045"/>
      <c r="CI3045"/>
      <c r="CU3045" s="42">
        <v>3040</v>
      </c>
      <c r="CV3045" s="115">
        <v>4</v>
      </c>
      <c r="CW3045" s="115">
        <v>0.11332468572476186</v>
      </c>
      <c r="CX3045" s="115" t="e">
        <v>#N/A</v>
      </c>
      <c r="CY3045" s="115" t="e">
        <v>#N/A</v>
      </c>
      <c r="CZ3045" s="137" t="e">
        <v>#N/A</v>
      </c>
      <c r="DA3045">
        <v>0.11332468572476186</v>
      </c>
      <c r="DB3045" t="str">
        <v/>
      </c>
    </row>
    <row r="3046" spans="83:106" x14ac:dyDescent="0.2">
      <c r="CE3046"/>
      <c r="CF3046"/>
      <c r="CG3046"/>
      <c r="CH3046"/>
      <c r="CI3046"/>
      <c r="CU3046" s="42">
        <v>3041</v>
      </c>
      <c r="CV3046" s="115">
        <v>4</v>
      </c>
      <c r="CW3046" s="115">
        <v>0.11332468572476186</v>
      </c>
      <c r="CX3046" s="115" t="e">
        <v>#N/A</v>
      </c>
      <c r="CY3046" s="115" t="e">
        <v>#N/A</v>
      </c>
      <c r="CZ3046" s="137" t="e">
        <v>#N/A</v>
      </c>
      <c r="DA3046">
        <v>0.11332468572476186</v>
      </c>
      <c r="DB3046" t="str">
        <v/>
      </c>
    </row>
    <row r="3047" spans="83:106" x14ac:dyDescent="0.2">
      <c r="CE3047"/>
      <c r="CF3047"/>
      <c r="CG3047"/>
      <c r="CH3047"/>
      <c r="CI3047"/>
      <c r="CU3047" s="42">
        <v>3042</v>
      </c>
      <c r="CV3047" s="115">
        <v>4</v>
      </c>
      <c r="CW3047" s="115">
        <v>0.11332468572476186</v>
      </c>
      <c r="CX3047" s="115" t="e">
        <v>#N/A</v>
      </c>
      <c r="CY3047" s="115" t="e">
        <v>#N/A</v>
      </c>
      <c r="CZ3047" s="137" t="e">
        <v>#N/A</v>
      </c>
      <c r="DA3047">
        <v>0.11332468572476186</v>
      </c>
      <c r="DB3047" t="str">
        <v/>
      </c>
    </row>
    <row r="3048" spans="83:106" x14ac:dyDescent="0.2">
      <c r="CE3048"/>
      <c r="CF3048"/>
      <c r="CG3048"/>
      <c r="CH3048"/>
      <c r="CI3048"/>
      <c r="CU3048" s="42">
        <v>3043</v>
      </c>
      <c r="CV3048" s="115">
        <v>4</v>
      </c>
      <c r="CW3048" s="115">
        <v>0.11332468572476186</v>
      </c>
      <c r="CX3048" s="115" t="e">
        <v>#N/A</v>
      </c>
      <c r="CY3048" s="115" t="e">
        <v>#N/A</v>
      </c>
      <c r="CZ3048" s="137" t="e">
        <v>#N/A</v>
      </c>
      <c r="DA3048">
        <v>0.11332468572476186</v>
      </c>
      <c r="DB3048" t="str">
        <v/>
      </c>
    </row>
    <row r="3049" spans="83:106" x14ac:dyDescent="0.2">
      <c r="CE3049"/>
      <c r="CF3049"/>
      <c r="CG3049"/>
      <c r="CH3049"/>
      <c r="CI3049"/>
      <c r="CU3049" s="42">
        <v>3044</v>
      </c>
      <c r="CV3049" s="115">
        <v>4</v>
      </c>
      <c r="CW3049" s="115">
        <v>0.11332468572476186</v>
      </c>
      <c r="CX3049" s="115" t="e">
        <v>#N/A</v>
      </c>
      <c r="CY3049" s="115" t="e">
        <v>#N/A</v>
      </c>
      <c r="CZ3049" s="137" t="e">
        <v>#N/A</v>
      </c>
      <c r="DA3049">
        <v>0.11332468572476186</v>
      </c>
      <c r="DB3049" t="str">
        <v/>
      </c>
    </row>
    <row r="3050" spans="83:106" x14ac:dyDescent="0.2">
      <c r="CE3050"/>
      <c r="CF3050"/>
      <c r="CG3050"/>
      <c r="CH3050"/>
      <c r="CI3050"/>
      <c r="CU3050" s="42">
        <v>3045</v>
      </c>
      <c r="CV3050" s="115">
        <v>4</v>
      </c>
      <c r="CW3050" s="115">
        <v>0.11332468572476186</v>
      </c>
      <c r="CX3050" s="115" t="e">
        <v>#N/A</v>
      </c>
      <c r="CY3050" s="115" t="e">
        <v>#N/A</v>
      </c>
      <c r="CZ3050" s="137" t="e">
        <v>#N/A</v>
      </c>
      <c r="DA3050">
        <v>0.11332468572476186</v>
      </c>
      <c r="DB3050" t="str">
        <v/>
      </c>
    </row>
    <row r="3051" spans="83:106" x14ac:dyDescent="0.2">
      <c r="CE3051"/>
      <c r="CF3051"/>
      <c r="CG3051"/>
      <c r="CH3051"/>
      <c r="CI3051"/>
      <c r="CU3051" s="42">
        <v>3046</v>
      </c>
      <c r="CV3051" s="115">
        <v>4</v>
      </c>
      <c r="CW3051" s="115">
        <v>0.11332468572476186</v>
      </c>
      <c r="CX3051" s="115" t="e">
        <v>#N/A</v>
      </c>
      <c r="CY3051" s="115" t="e">
        <v>#N/A</v>
      </c>
      <c r="CZ3051" s="137" t="e">
        <v>#N/A</v>
      </c>
      <c r="DA3051">
        <v>0.11332468572476186</v>
      </c>
      <c r="DB3051" t="str">
        <v/>
      </c>
    </row>
    <row r="3052" spans="83:106" x14ac:dyDescent="0.2">
      <c r="CE3052"/>
      <c r="CF3052"/>
      <c r="CG3052"/>
      <c r="CH3052"/>
      <c r="CI3052"/>
      <c r="CU3052" s="42">
        <v>3047</v>
      </c>
      <c r="CV3052" s="115">
        <v>4</v>
      </c>
      <c r="CW3052" s="115">
        <v>0.11332468572476186</v>
      </c>
      <c r="CX3052" s="115" t="e">
        <v>#N/A</v>
      </c>
      <c r="CY3052" s="115" t="e">
        <v>#N/A</v>
      </c>
      <c r="CZ3052" s="137" t="e">
        <v>#N/A</v>
      </c>
      <c r="DA3052">
        <v>0.11332468572476186</v>
      </c>
      <c r="DB3052" t="str">
        <v/>
      </c>
    </row>
    <row r="3053" spans="83:106" x14ac:dyDescent="0.2">
      <c r="CE3053"/>
      <c r="CF3053"/>
      <c r="CG3053"/>
      <c r="CH3053"/>
      <c r="CI3053"/>
      <c r="CU3053" s="42">
        <v>3048</v>
      </c>
      <c r="CV3053" s="115">
        <v>4</v>
      </c>
      <c r="CW3053" s="115">
        <v>0.11332468572476186</v>
      </c>
      <c r="CX3053" s="115" t="e">
        <v>#N/A</v>
      </c>
      <c r="CY3053" s="115" t="e">
        <v>#N/A</v>
      </c>
      <c r="CZ3053" s="137" t="e">
        <v>#N/A</v>
      </c>
      <c r="DA3053">
        <v>0.11332468572476186</v>
      </c>
      <c r="DB3053" t="str">
        <v/>
      </c>
    </row>
    <row r="3054" spans="83:106" x14ac:dyDescent="0.2">
      <c r="CE3054"/>
      <c r="CF3054"/>
      <c r="CG3054"/>
      <c r="CH3054"/>
      <c r="CI3054"/>
      <c r="CU3054" s="42">
        <v>3049</v>
      </c>
      <c r="CV3054" s="115">
        <v>4</v>
      </c>
      <c r="CW3054" s="115">
        <v>0.11332468572476186</v>
      </c>
      <c r="CX3054" s="115" t="e">
        <v>#N/A</v>
      </c>
      <c r="CY3054" s="115" t="e">
        <v>#N/A</v>
      </c>
      <c r="CZ3054" s="137" t="e">
        <v>#N/A</v>
      </c>
      <c r="DA3054">
        <v>0.11332468572476186</v>
      </c>
      <c r="DB3054" t="str">
        <v/>
      </c>
    </row>
    <row r="3055" spans="83:106" x14ac:dyDescent="0.2">
      <c r="CE3055"/>
      <c r="CF3055"/>
      <c r="CG3055"/>
      <c r="CH3055"/>
      <c r="CI3055"/>
      <c r="CU3055" s="42">
        <v>3050</v>
      </c>
      <c r="CV3055" s="115">
        <v>4</v>
      </c>
      <c r="CW3055" s="115">
        <v>0.11332468572476186</v>
      </c>
      <c r="CX3055" s="115" t="e">
        <v>#N/A</v>
      </c>
      <c r="CY3055" s="115" t="e">
        <v>#N/A</v>
      </c>
      <c r="CZ3055" s="137" t="e">
        <v>#N/A</v>
      </c>
      <c r="DA3055">
        <v>0.11332468572476186</v>
      </c>
      <c r="DB3055" t="str">
        <v/>
      </c>
    </row>
    <row r="3056" spans="83:106" x14ac:dyDescent="0.2">
      <c r="CE3056"/>
      <c r="CF3056"/>
      <c r="CG3056"/>
      <c r="CH3056"/>
      <c r="CI3056"/>
      <c r="CU3056" s="42">
        <v>3051</v>
      </c>
      <c r="CV3056" s="115">
        <v>4</v>
      </c>
      <c r="CW3056" s="115">
        <v>0.11332468572476186</v>
      </c>
      <c r="CX3056" s="115" t="e">
        <v>#N/A</v>
      </c>
      <c r="CY3056" s="115" t="e">
        <v>#N/A</v>
      </c>
      <c r="CZ3056" s="137" t="e">
        <v>#N/A</v>
      </c>
      <c r="DA3056">
        <v>0.11332468572476186</v>
      </c>
      <c r="DB3056" t="str">
        <v/>
      </c>
    </row>
    <row r="3057" spans="83:106" x14ac:dyDescent="0.2">
      <c r="CE3057"/>
      <c r="CF3057"/>
      <c r="CG3057"/>
      <c r="CH3057"/>
      <c r="CI3057"/>
      <c r="CU3057" s="42">
        <v>3052</v>
      </c>
      <c r="CV3057" s="115">
        <v>4</v>
      </c>
      <c r="CW3057" s="115">
        <v>0.11332468572476186</v>
      </c>
      <c r="CX3057" s="115" t="e">
        <v>#N/A</v>
      </c>
      <c r="CY3057" s="115" t="e">
        <v>#N/A</v>
      </c>
      <c r="CZ3057" s="137" t="e">
        <v>#N/A</v>
      </c>
      <c r="DA3057">
        <v>0.11332468572476186</v>
      </c>
      <c r="DB3057" t="str">
        <v/>
      </c>
    </row>
    <row r="3058" spans="83:106" x14ac:dyDescent="0.2">
      <c r="CE3058"/>
      <c r="CF3058"/>
      <c r="CG3058"/>
      <c r="CH3058"/>
      <c r="CI3058"/>
      <c r="CU3058" s="42">
        <v>3053</v>
      </c>
      <c r="CV3058" s="115">
        <v>4</v>
      </c>
      <c r="CW3058" s="115">
        <v>0.11332468572476186</v>
      </c>
      <c r="CX3058" s="115" t="e">
        <v>#N/A</v>
      </c>
      <c r="CY3058" s="115" t="e">
        <v>#N/A</v>
      </c>
      <c r="CZ3058" s="137" t="e">
        <v>#N/A</v>
      </c>
      <c r="DA3058">
        <v>0.11332468572476186</v>
      </c>
      <c r="DB3058" t="str">
        <v/>
      </c>
    </row>
    <row r="3059" spans="83:106" x14ac:dyDescent="0.2">
      <c r="CE3059"/>
      <c r="CF3059"/>
      <c r="CG3059"/>
      <c r="CH3059"/>
      <c r="CI3059"/>
      <c r="CU3059" s="42">
        <v>3054</v>
      </c>
      <c r="CV3059" s="115">
        <v>4</v>
      </c>
      <c r="CW3059" s="115">
        <v>0.11332468572476186</v>
      </c>
      <c r="CX3059" s="115" t="e">
        <v>#N/A</v>
      </c>
      <c r="CY3059" s="115" t="e">
        <v>#N/A</v>
      </c>
      <c r="CZ3059" s="137" t="e">
        <v>#N/A</v>
      </c>
      <c r="DA3059">
        <v>0.11332468572476186</v>
      </c>
      <c r="DB3059" t="str">
        <v/>
      </c>
    </row>
    <row r="3060" spans="83:106" x14ac:dyDescent="0.2">
      <c r="CE3060"/>
      <c r="CF3060"/>
      <c r="CG3060"/>
      <c r="CH3060"/>
      <c r="CI3060"/>
      <c r="CU3060" s="42">
        <v>3055</v>
      </c>
      <c r="CV3060" s="115">
        <v>4</v>
      </c>
      <c r="CW3060" s="115">
        <v>0.11332468572476186</v>
      </c>
      <c r="CX3060" s="115" t="e">
        <v>#N/A</v>
      </c>
      <c r="CY3060" s="115" t="e">
        <v>#N/A</v>
      </c>
      <c r="CZ3060" s="137" t="e">
        <v>#N/A</v>
      </c>
      <c r="DA3060">
        <v>0.11332468572476186</v>
      </c>
      <c r="DB3060" t="str">
        <v/>
      </c>
    </row>
    <row r="3061" spans="83:106" x14ac:dyDescent="0.2">
      <c r="CE3061"/>
      <c r="CF3061"/>
      <c r="CG3061"/>
      <c r="CH3061"/>
      <c r="CI3061"/>
      <c r="CU3061" s="42">
        <v>3056</v>
      </c>
      <c r="CV3061" s="115">
        <v>4</v>
      </c>
      <c r="CW3061" s="115">
        <v>0.11332468572476186</v>
      </c>
      <c r="CX3061" s="115" t="e">
        <v>#N/A</v>
      </c>
      <c r="CY3061" s="115" t="e">
        <v>#N/A</v>
      </c>
      <c r="CZ3061" s="137" t="e">
        <v>#N/A</v>
      </c>
      <c r="DA3061">
        <v>0.11332468572476186</v>
      </c>
      <c r="DB3061" t="str">
        <v/>
      </c>
    </row>
    <row r="3062" spans="83:106" x14ac:dyDescent="0.2">
      <c r="CE3062"/>
      <c r="CF3062"/>
      <c r="CG3062"/>
      <c r="CH3062"/>
      <c r="CI3062"/>
      <c r="CU3062" s="42">
        <v>3057</v>
      </c>
      <c r="CV3062" s="115">
        <v>4</v>
      </c>
      <c r="CW3062" s="115">
        <v>0.11332468572476186</v>
      </c>
      <c r="CX3062" s="115" t="e">
        <v>#N/A</v>
      </c>
      <c r="CY3062" s="115" t="e">
        <v>#N/A</v>
      </c>
      <c r="CZ3062" s="137" t="e">
        <v>#N/A</v>
      </c>
      <c r="DA3062">
        <v>0.11332468572476186</v>
      </c>
      <c r="DB3062" t="str">
        <v/>
      </c>
    </row>
    <row r="3063" spans="83:106" x14ac:dyDescent="0.2">
      <c r="CE3063"/>
      <c r="CF3063"/>
      <c r="CG3063"/>
      <c r="CH3063"/>
      <c r="CI3063"/>
      <c r="CU3063" s="42">
        <v>3058</v>
      </c>
      <c r="CV3063" s="115">
        <v>4</v>
      </c>
      <c r="CW3063" s="115">
        <v>0.11332468572476186</v>
      </c>
      <c r="CX3063" s="115" t="e">
        <v>#N/A</v>
      </c>
      <c r="CY3063" s="115" t="e">
        <v>#N/A</v>
      </c>
      <c r="CZ3063" s="137" t="e">
        <v>#N/A</v>
      </c>
      <c r="DA3063">
        <v>0.11332468572476186</v>
      </c>
      <c r="DB3063" t="str">
        <v/>
      </c>
    </row>
    <row r="3064" spans="83:106" x14ac:dyDescent="0.2">
      <c r="CE3064"/>
      <c r="CF3064"/>
      <c r="CG3064"/>
      <c r="CH3064"/>
      <c r="CI3064"/>
      <c r="CU3064" s="42">
        <v>3059</v>
      </c>
      <c r="CV3064" s="115">
        <v>4</v>
      </c>
      <c r="CW3064" s="115">
        <v>0.11332468572476186</v>
      </c>
      <c r="CX3064" s="115" t="e">
        <v>#N/A</v>
      </c>
      <c r="CY3064" s="115" t="e">
        <v>#N/A</v>
      </c>
      <c r="CZ3064" s="137" t="e">
        <v>#N/A</v>
      </c>
      <c r="DA3064">
        <v>0.11332468572476186</v>
      </c>
      <c r="DB3064" t="str">
        <v/>
      </c>
    </row>
    <row r="3065" spans="83:106" x14ac:dyDescent="0.2">
      <c r="CE3065"/>
      <c r="CF3065"/>
      <c r="CG3065"/>
      <c r="CH3065"/>
      <c r="CI3065"/>
      <c r="CU3065" s="42">
        <v>3060</v>
      </c>
      <c r="CV3065" s="115">
        <v>4</v>
      </c>
      <c r="CW3065" s="115">
        <v>0.11332468572476186</v>
      </c>
      <c r="CX3065" s="115" t="e">
        <v>#N/A</v>
      </c>
      <c r="CY3065" s="115" t="e">
        <v>#N/A</v>
      </c>
      <c r="CZ3065" s="137" t="e">
        <v>#N/A</v>
      </c>
      <c r="DA3065">
        <v>0.11332468572476186</v>
      </c>
      <c r="DB3065" t="str">
        <v/>
      </c>
    </row>
    <row r="3066" spans="83:106" x14ac:dyDescent="0.2">
      <c r="CE3066"/>
      <c r="CF3066"/>
      <c r="CG3066"/>
      <c r="CH3066"/>
      <c r="CI3066"/>
      <c r="CU3066" s="42">
        <v>3061</v>
      </c>
      <c r="CV3066" s="115">
        <v>4</v>
      </c>
      <c r="CW3066" s="115">
        <v>0.11332468572476186</v>
      </c>
      <c r="CX3066" s="115" t="e">
        <v>#N/A</v>
      </c>
      <c r="CY3066" s="115" t="e">
        <v>#N/A</v>
      </c>
      <c r="CZ3066" s="137" t="e">
        <v>#N/A</v>
      </c>
      <c r="DA3066">
        <v>0.11332468572476186</v>
      </c>
      <c r="DB3066" t="str">
        <v/>
      </c>
    </row>
    <row r="3067" spans="83:106" x14ac:dyDescent="0.2">
      <c r="CE3067"/>
      <c r="CF3067"/>
      <c r="CG3067"/>
      <c r="CH3067"/>
      <c r="CI3067"/>
      <c r="CU3067" s="42">
        <v>3062</v>
      </c>
      <c r="CV3067" s="115">
        <v>4</v>
      </c>
      <c r="CW3067" s="115">
        <v>0.11332468572476186</v>
      </c>
      <c r="CX3067" s="115" t="e">
        <v>#N/A</v>
      </c>
      <c r="CY3067" s="115" t="e">
        <v>#N/A</v>
      </c>
      <c r="CZ3067" s="137" t="e">
        <v>#N/A</v>
      </c>
      <c r="DA3067">
        <v>0.11332468572476186</v>
      </c>
      <c r="DB3067" t="str">
        <v/>
      </c>
    </row>
    <row r="3068" spans="83:106" x14ac:dyDescent="0.2">
      <c r="CE3068"/>
      <c r="CF3068"/>
      <c r="CG3068"/>
      <c r="CH3068"/>
      <c r="CI3068"/>
      <c r="CU3068" s="42">
        <v>3063</v>
      </c>
      <c r="CV3068" s="115">
        <v>4</v>
      </c>
      <c r="CW3068" s="115">
        <v>0.11332468572476186</v>
      </c>
      <c r="CX3068" s="115" t="e">
        <v>#N/A</v>
      </c>
      <c r="CY3068" s="115" t="e">
        <v>#N/A</v>
      </c>
      <c r="CZ3068" s="137" t="e">
        <v>#N/A</v>
      </c>
      <c r="DA3068">
        <v>0.11332468572476186</v>
      </c>
      <c r="DB3068" t="str">
        <v/>
      </c>
    </row>
    <row r="3069" spans="83:106" x14ac:dyDescent="0.2">
      <c r="CE3069"/>
      <c r="CF3069"/>
      <c r="CG3069"/>
      <c r="CH3069"/>
      <c r="CI3069"/>
      <c r="CU3069" s="42">
        <v>3064</v>
      </c>
      <c r="CV3069" s="115">
        <v>4</v>
      </c>
      <c r="CW3069" s="115">
        <v>0.11332468572476186</v>
      </c>
      <c r="CX3069" s="115" t="e">
        <v>#N/A</v>
      </c>
      <c r="CY3069" s="115" t="e">
        <v>#N/A</v>
      </c>
      <c r="CZ3069" s="137" t="e">
        <v>#N/A</v>
      </c>
      <c r="DA3069">
        <v>0.11332468572476186</v>
      </c>
      <c r="DB3069" t="str">
        <v/>
      </c>
    </row>
    <row r="3070" spans="83:106" x14ac:dyDescent="0.2">
      <c r="CE3070"/>
      <c r="CF3070"/>
      <c r="CG3070"/>
      <c r="CH3070"/>
      <c r="CI3070"/>
      <c r="CU3070" s="42">
        <v>3065</v>
      </c>
      <c r="CV3070" s="115">
        <v>4</v>
      </c>
      <c r="CW3070" s="115">
        <v>0.11332468572476186</v>
      </c>
      <c r="CX3070" s="115" t="e">
        <v>#N/A</v>
      </c>
      <c r="CY3070" s="115" t="e">
        <v>#N/A</v>
      </c>
      <c r="CZ3070" s="137" t="e">
        <v>#N/A</v>
      </c>
      <c r="DA3070">
        <v>0.11332468572476186</v>
      </c>
      <c r="DB3070" t="str">
        <v/>
      </c>
    </row>
    <row r="3071" spans="83:106" x14ac:dyDescent="0.2">
      <c r="CE3071"/>
      <c r="CF3071"/>
      <c r="CG3071"/>
      <c r="CH3071"/>
      <c r="CI3071"/>
      <c r="CU3071" s="42">
        <v>3066</v>
      </c>
      <c r="CV3071" s="115">
        <v>4</v>
      </c>
      <c r="CW3071" s="115">
        <v>0.11332468572476186</v>
      </c>
      <c r="CX3071" s="115" t="e">
        <v>#N/A</v>
      </c>
      <c r="CY3071" s="115" t="e">
        <v>#N/A</v>
      </c>
      <c r="CZ3071" s="137" t="e">
        <v>#N/A</v>
      </c>
      <c r="DA3071">
        <v>0.11332468572476186</v>
      </c>
      <c r="DB3071" t="str">
        <v/>
      </c>
    </row>
    <row r="3072" spans="83:106" x14ac:dyDescent="0.2">
      <c r="CE3072"/>
      <c r="CF3072"/>
      <c r="CG3072"/>
      <c r="CH3072"/>
      <c r="CI3072"/>
      <c r="CU3072" s="42">
        <v>3067</v>
      </c>
      <c r="CV3072" s="115">
        <v>4</v>
      </c>
      <c r="CW3072" s="115">
        <v>0.11332468572476186</v>
      </c>
      <c r="CX3072" s="115" t="e">
        <v>#N/A</v>
      </c>
      <c r="CY3072" s="115" t="e">
        <v>#N/A</v>
      </c>
      <c r="CZ3072" s="137" t="e">
        <v>#N/A</v>
      </c>
      <c r="DA3072">
        <v>0.11332468572476186</v>
      </c>
      <c r="DB3072" t="str">
        <v/>
      </c>
    </row>
    <row r="3073" spans="83:106" x14ac:dyDescent="0.2">
      <c r="CE3073"/>
      <c r="CF3073"/>
      <c r="CG3073"/>
      <c r="CH3073"/>
      <c r="CI3073"/>
      <c r="CU3073" s="42">
        <v>3068</v>
      </c>
      <c r="CV3073" s="115">
        <v>4</v>
      </c>
      <c r="CW3073" s="115">
        <v>0.11332468572476186</v>
      </c>
      <c r="CX3073" s="115" t="e">
        <v>#N/A</v>
      </c>
      <c r="CY3073" s="115" t="e">
        <v>#N/A</v>
      </c>
      <c r="CZ3073" s="137" t="e">
        <v>#N/A</v>
      </c>
      <c r="DA3073">
        <v>0.11332468572476186</v>
      </c>
      <c r="DB3073" t="str">
        <v/>
      </c>
    </row>
    <row r="3074" spans="83:106" x14ac:dyDescent="0.2">
      <c r="CE3074"/>
      <c r="CF3074"/>
      <c r="CG3074"/>
      <c r="CH3074"/>
      <c r="CI3074"/>
      <c r="CU3074" s="42">
        <v>3069</v>
      </c>
      <c r="CV3074" s="115">
        <v>4</v>
      </c>
      <c r="CW3074" s="115">
        <v>0.11332468572476186</v>
      </c>
      <c r="CX3074" s="115" t="e">
        <v>#N/A</v>
      </c>
      <c r="CY3074" s="115" t="e">
        <v>#N/A</v>
      </c>
      <c r="CZ3074" s="137" t="e">
        <v>#N/A</v>
      </c>
      <c r="DA3074">
        <v>0.11332468572476186</v>
      </c>
      <c r="DB3074" t="str">
        <v/>
      </c>
    </row>
    <row r="3075" spans="83:106" x14ac:dyDescent="0.2">
      <c r="CE3075"/>
      <c r="CF3075"/>
      <c r="CG3075"/>
      <c r="CH3075"/>
      <c r="CI3075"/>
      <c r="CU3075" s="42">
        <v>3070</v>
      </c>
      <c r="CV3075" s="115">
        <v>4</v>
      </c>
      <c r="CW3075" s="115">
        <v>0.11332468572476186</v>
      </c>
      <c r="CX3075" s="115" t="e">
        <v>#N/A</v>
      </c>
      <c r="CY3075" s="115" t="e">
        <v>#N/A</v>
      </c>
      <c r="CZ3075" s="137" t="e">
        <v>#N/A</v>
      </c>
      <c r="DA3075">
        <v>0.11332468572476186</v>
      </c>
      <c r="DB3075" t="str">
        <v/>
      </c>
    </row>
    <row r="3076" spans="83:106" x14ac:dyDescent="0.2">
      <c r="CE3076"/>
      <c r="CF3076"/>
      <c r="CG3076"/>
      <c r="CH3076"/>
      <c r="CI3076"/>
      <c r="CU3076" s="42">
        <v>3071</v>
      </c>
      <c r="CV3076" s="115">
        <v>4</v>
      </c>
      <c r="CW3076" s="115">
        <v>0.11332468572476186</v>
      </c>
      <c r="CX3076" s="115" t="e">
        <v>#N/A</v>
      </c>
      <c r="CY3076" s="115" t="e">
        <v>#N/A</v>
      </c>
      <c r="CZ3076" s="137" t="e">
        <v>#N/A</v>
      </c>
      <c r="DA3076">
        <v>0.11332468572476186</v>
      </c>
      <c r="DB3076" t="str">
        <v/>
      </c>
    </row>
    <row r="3077" spans="83:106" x14ac:dyDescent="0.2">
      <c r="CE3077"/>
      <c r="CF3077"/>
      <c r="CG3077"/>
      <c r="CH3077"/>
      <c r="CI3077"/>
      <c r="CU3077" s="42">
        <v>3072</v>
      </c>
      <c r="CV3077" s="115">
        <v>4</v>
      </c>
      <c r="CW3077" s="115">
        <v>0.11332468572476186</v>
      </c>
      <c r="CX3077" s="115" t="e">
        <v>#N/A</v>
      </c>
      <c r="CY3077" s="115" t="e">
        <v>#N/A</v>
      </c>
      <c r="CZ3077" s="137" t="e">
        <v>#N/A</v>
      </c>
      <c r="DA3077">
        <v>0.11332468572476186</v>
      </c>
      <c r="DB3077" t="str">
        <v/>
      </c>
    </row>
    <row r="3078" spans="83:106" x14ac:dyDescent="0.2">
      <c r="CE3078"/>
      <c r="CF3078"/>
      <c r="CG3078"/>
      <c r="CH3078"/>
      <c r="CI3078"/>
      <c r="CU3078" s="42">
        <v>3073</v>
      </c>
      <c r="CV3078" s="115">
        <v>4</v>
      </c>
      <c r="CW3078" s="115">
        <v>0.11332468572476186</v>
      </c>
      <c r="CX3078" s="115" t="e">
        <v>#N/A</v>
      </c>
      <c r="CY3078" s="115" t="e">
        <v>#N/A</v>
      </c>
      <c r="CZ3078" s="137" t="e">
        <v>#N/A</v>
      </c>
      <c r="DA3078">
        <v>0.11332468572476186</v>
      </c>
      <c r="DB3078" t="str">
        <v/>
      </c>
    </row>
    <row r="3079" spans="83:106" x14ac:dyDescent="0.2">
      <c r="CE3079"/>
      <c r="CF3079"/>
      <c r="CG3079"/>
      <c r="CH3079"/>
      <c r="CI3079"/>
      <c r="CU3079" s="42">
        <v>3074</v>
      </c>
      <c r="CV3079" s="115">
        <v>4</v>
      </c>
      <c r="CW3079" s="115">
        <v>0.11332468572476186</v>
      </c>
      <c r="CX3079" s="115" t="e">
        <v>#N/A</v>
      </c>
      <c r="CY3079" s="115" t="e">
        <v>#N/A</v>
      </c>
      <c r="CZ3079" s="137" t="e">
        <v>#N/A</v>
      </c>
      <c r="DA3079">
        <v>0.11332468572476186</v>
      </c>
      <c r="DB3079" t="str">
        <v/>
      </c>
    </row>
    <row r="3080" spans="83:106" x14ac:dyDescent="0.2">
      <c r="CE3080"/>
      <c r="CF3080"/>
      <c r="CG3080"/>
      <c r="CH3080"/>
      <c r="CI3080"/>
      <c r="CU3080" s="42">
        <v>3075</v>
      </c>
      <c r="CV3080" s="115">
        <v>4</v>
      </c>
      <c r="CW3080" s="115">
        <v>0.11332468572476186</v>
      </c>
      <c r="CX3080" s="115" t="e">
        <v>#N/A</v>
      </c>
      <c r="CY3080" s="115" t="e">
        <v>#N/A</v>
      </c>
      <c r="CZ3080" s="137" t="e">
        <v>#N/A</v>
      </c>
      <c r="DA3080">
        <v>0.11332468572476186</v>
      </c>
      <c r="DB3080" t="str">
        <v/>
      </c>
    </row>
    <row r="3081" spans="83:106" x14ac:dyDescent="0.2">
      <c r="CE3081"/>
      <c r="CF3081"/>
      <c r="CG3081"/>
      <c r="CH3081"/>
      <c r="CI3081"/>
      <c r="CU3081" s="42">
        <v>3076</v>
      </c>
      <c r="CV3081" s="115">
        <v>4</v>
      </c>
      <c r="CW3081" s="115">
        <v>0.11332468572476186</v>
      </c>
      <c r="CX3081" s="115" t="e">
        <v>#N/A</v>
      </c>
      <c r="CY3081" s="115" t="e">
        <v>#N/A</v>
      </c>
      <c r="CZ3081" s="137" t="e">
        <v>#N/A</v>
      </c>
      <c r="DA3081">
        <v>0.11332468572476186</v>
      </c>
      <c r="DB3081" t="str">
        <v/>
      </c>
    </row>
    <row r="3082" spans="83:106" x14ac:dyDescent="0.2">
      <c r="CE3082"/>
      <c r="CF3082"/>
      <c r="CG3082"/>
      <c r="CH3082"/>
      <c r="CI3082"/>
      <c r="CU3082" s="42">
        <v>3077</v>
      </c>
      <c r="CV3082" s="115">
        <v>4</v>
      </c>
      <c r="CW3082" s="115">
        <v>0.11332468572476186</v>
      </c>
      <c r="CX3082" s="115" t="e">
        <v>#N/A</v>
      </c>
      <c r="CY3082" s="115" t="e">
        <v>#N/A</v>
      </c>
      <c r="CZ3082" s="137" t="e">
        <v>#N/A</v>
      </c>
      <c r="DA3082">
        <v>0.11332468572476186</v>
      </c>
      <c r="DB3082" t="str">
        <v/>
      </c>
    </row>
    <row r="3083" spans="83:106" x14ac:dyDescent="0.2">
      <c r="CE3083"/>
      <c r="CF3083"/>
      <c r="CG3083"/>
      <c r="CH3083"/>
      <c r="CI3083"/>
      <c r="CU3083" s="42">
        <v>3078</v>
      </c>
      <c r="CV3083" s="115">
        <v>4</v>
      </c>
      <c r="CW3083" s="115">
        <v>0.11332468572476186</v>
      </c>
      <c r="CX3083" s="115" t="e">
        <v>#N/A</v>
      </c>
      <c r="CY3083" s="115" t="e">
        <v>#N/A</v>
      </c>
      <c r="CZ3083" s="137" t="e">
        <v>#N/A</v>
      </c>
      <c r="DA3083">
        <v>0.11332468572476186</v>
      </c>
      <c r="DB3083" t="str">
        <v/>
      </c>
    </row>
    <row r="3084" spans="83:106" x14ac:dyDescent="0.2">
      <c r="CE3084"/>
      <c r="CF3084"/>
      <c r="CG3084"/>
      <c r="CH3084"/>
      <c r="CI3084"/>
      <c r="CU3084" s="42">
        <v>3079</v>
      </c>
      <c r="CV3084" s="115">
        <v>4</v>
      </c>
      <c r="CW3084" s="115">
        <v>0.11332468572476186</v>
      </c>
      <c r="CX3084" s="115" t="e">
        <v>#N/A</v>
      </c>
      <c r="CY3084" s="115" t="e">
        <v>#N/A</v>
      </c>
      <c r="CZ3084" s="137" t="e">
        <v>#N/A</v>
      </c>
      <c r="DA3084">
        <v>0.11332468572476186</v>
      </c>
      <c r="DB3084" t="str">
        <v/>
      </c>
    </row>
    <row r="3085" spans="83:106" x14ac:dyDescent="0.2">
      <c r="CE3085"/>
      <c r="CF3085"/>
      <c r="CG3085"/>
      <c r="CH3085"/>
      <c r="CI3085"/>
      <c r="CU3085" s="42">
        <v>3080</v>
      </c>
      <c r="CV3085" s="115">
        <v>4</v>
      </c>
      <c r="CW3085" s="115">
        <v>0.11332468572476186</v>
      </c>
      <c r="CX3085" s="115" t="e">
        <v>#N/A</v>
      </c>
      <c r="CY3085" s="115" t="e">
        <v>#N/A</v>
      </c>
      <c r="CZ3085" s="137" t="e">
        <v>#N/A</v>
      </c>
      <c r="DA3085">
        <v>0.11332468572476186</v>
      </c>
      <c r="DB3085" t="str">
        <v/>
      </c>
    </row>
    <row r="3086" spans="83:106" x14ac:dyDescent="0.2">
      <c r="CE3086"/>
      <c r="CF3086"/>
      <c r="CG3086"/>
      <c r="CH3086"/>
      <c r="CI3086"/>
      <c r="CU3086" s="42">
        <v>3081</v>
      </c>
      <c r="CV3086" s="115">
        <v>4</v>
      </c>
      <c r="CW3086" s="115">
        <v>0.11332468572476186</v>
      </c>
      <c r="CX3086" s="115" t="e">
        <v>#N/A</v>
      </c>
      <c r="CY3086" s="115" t="e">
        <v>#N/A</v>
      </c>
      <c r="CZ3086" s="137" t="e">
        <v>#N/A</v>
      </c>
      <c r="DA3086">
        <v>0.11332468572476186</v>
      </c>
      <c r="DB3086" t="str">
        <v/>
      </c>
    </row>
    <row r="3087" spans="83:106" x14ac:dyDescent="0.2">
      <c r="CE3087"/>
      <c r="CF3087"/>
      <c r="CG3087"/>
      <c r="CH3087"/>
      <c r="CI3087"/>
      <c r="CU3087" s="42">
        <v>3082</v>
      </c>
      <c r="CV3087" s="115">
        <v>4</v>
      </c>
      <c r="CW3087" s="115">
        <v>0.11332468572476186</v>
      </c>
      <c r="CX3087" s="115" t="e">
        <v>#N/A</v>
      </c>
      <c r="CY3087" s="115" t="e">
        <v>#N/A</v>
      </c>
      <c r="CZ3087" s="137" t="e">
        <v>#N/A</v>
      </c>
      <c r="DA3087">
        <v>0.11332468572476186</v>
      </c>
      <c r="DB3087" t="str">
        <v/>
      </c>
    </row>
    <row r="3088" spans="83:106" x14ac:dyDescent="0.2">
      <c r="CE3088"/>
      <c r="CF3088"/>
      <c r="CG3088"/>
      <c r="CH3088"/>
      <c r="CI3088"/>
      <c r="CU3088" s="42">
        <v>3083</v>
      </c>
      <c r="CV3088" s="115">
        <v>4</v>
      </c>
      <c r="CW3088" s="115">
        <v>0.11332468572476186</v>
      </c>
      <c r="CX3088" s="115" t="e">
        <v>#N/A</v>
      </c>
      <c r="CY3088" s="115" t="e">
        <v>#N/A</v>
      </c>
      <c r="CZ3088" s="137" t="e">
        <v>#N/A</v>
      </c>
      <c r="DA3088">
        <v>0.11332468572476186</v>
      </c>
      <c r="DB3088" t="str">
        <v/>
      </c>
    </row>
    <row r="3089" spans="83:106" x14ac:dyDescent="0.2">
      <c r="CE3089"/>
      <c r="CF3089"/>
      <c r="CG3089"/>
      <c r="CH3089"/>
      <c r="CI3089"/>
      <c r="CU3089" s="42">
        <v>3084</v>
      </c>
      <c r="CV3089" s="115">
        <v>4</v>
      </c>
      <c r="CW3089" s="115">
        <v>0.11332468572476186</v>
      </c>
      <c r="CX3089" s="115" t="e">
        <v>#N/A</v>
      </c>
      <c r="CY3089" s="115" t="e">
        <v>#N/A</v>
      </c>
      <c r="CZ3089" s="137" t="e">
        <v>#N/A</v>
      </c>
      <c r="DA3089">
        <v>0.11332468572476186</v>
      </c>
      <c r="DB3089" t="str">
        <v/>
      </c>
    </row>
    <row r="3090" spans="83:106" x14ac:dyDescent="0.2">
      <c r="CE3090"/>
      <c r="CF3090"/>
      <c r="CG3090"/>
      <c r="CH3090"/>
      <c r="CI3090"/>
      <c r="CU3090" s="42">
        <v>3085</v>
      </c>
      <c r="CV3090" s="115">
        <v>4</v>
      </c>
      <c r="CW3090" s="115">
        <v>0.11332468572476186</v>
      </c>
      <c r="CX3090" s="115" t="e">
        <v>#N/A</v>
      </c>
      <c r="CY3090" s="115" t="e">
        <v>#N/A</v>
      </c>
      <c r="CZ3090" s="137" t="e">
        <v>#N/A</v>
      </c>
      <c r="DA3090">
        <v>0.11332468572476186</v>
      </c>
      <c r="DB3090" t="str">
        <v/>
      </c>
    </row>
    <row r="3091" spans="83:106" x14ac:dyDescent="0.2">
      <c r="CE3091"/>
      <c r="CF3091"/>
      <c r="CG3091"/>
      <c r="CH3091"/>
      <c r="CI3091"/>
      <c r="CU3091" s="42">
        <v>3086</v>
      </c>
      <c r="CV3091" s="115">
        <v>4</v>
      </c>
      <c r="CW3091" s="115">
        <v>0.11332468572476186</v>
      </c>
      <c r="CX3091" s="115" t="e">
        <v>#N/A</v>
      </c>
      <c r="CY3091" s="115" t="e">
        <v>#N/A</v>
      </c>
      <c r="CZ3091" s="137" t="e">
        <v>#N/A</v>
      </c>
      <c r="DA3091">
        <v>0.11332468572476186</v>
      </c>
      <c r="DB3091" t="str">
        <v/>
      </c>
    </row>
    <row r="3092" spans="83:106" x14ac:dyDescent="0.2">
      <c r="CE3092"/>
      <c r="CF3092"/>
      <c r="CG3092"/>
      <c r="CH3092"/>
      <c r="CI3092"/>
      <c r="CU3092" s="42">
        <v>3087</v>
      </c>
      <c r="CV3092" s="115">
        <v>4</v>
      </c>
      <c r="CW3092" s="115">
        <v>0.11332468572476186</v>
      </c>
      <c r="CX3092" s="115" t="e">
        <v>#N/A</v>
      </c>
      <c r="CY3092" s="115" t="e">
        <v>#N/A</v>
      </c>
      <c r="CZ3092" s="137" t="e">
        <v>#N/A</v>
      </c>
      <c r="DA3092">
        <v>0.11332468572476186</v>
      </c>
      <c r="DB3092" t="str">
        <v/>
      </c>
    </row>
    <row r="3093" spans="83:106" x14ac:dyDescent="0.2">
      <c r="CE3093"/>
      <c r="CF3093"/>
      <c r="CG3093"/>
      <c r="CH3093"/>
      <c r="CI3093"/>
      <c r="CU3093" s="42">
        <v>3088</v>
      </c>
      <c r="CV3093" s="115">
        <v>4</v>
      </c>
      <c r="CW3093" s="115">
        <v>0.11332468572476186</v>
      </c>
      <c r="CX3093" s="115" t="e">
        <v>#N/A</v>
      </c>
      <c r="CY3093" s="115" t="e">
        <v>#N/A</v>
      </c>
      <c r="CZ3093" s="137" t="e">
        <v>#N/A</v>
      </c>
      <c r="DA3093">
        <v>0.11332468572476186</v>
      </c>
      <c r="DB3093" t="str">
        <v/>
      </c>
    </row>
    <row r="3094" spans="83:106" x14ac:dyDescent="0.2">
      <c r="CE3094"/>
      <c r="CF3094"/>
      <c r="CG3094"/>
      <c r="CH3094"/>
      <c r="CI3094"/>
      <c r="CU3094" s="42">
        <v>3089</v>
      </c>
      <c r="CV3094" s="115">
        <v>4</v>
      </c>
      <c r="CW3094" s="115">
        <v>0.11332468572476186</v>
      </c>
      <c r="CX3094" s="115" t="e">
        <v>#N/A</v>
      </c>
      <c r="CY3094" s="115" t="e">
        <v>#N/A</v>
      </c>
      <c r="CZ3094" s="137" t="e">
        <v>#N/A</v>
      </c>
      <c r="DA3094">
        <v>0.11332468572476186</v>
      </c>
      <c r="DB3094" t="str">
        <v/>
      </c>
    </row>
    <row r="3095" spans="83:106" x14ac:dyDescent="0.2">
      <c r="CE3095"/>
      <c r="CF3095"/>
      <c r="CG3095"/>
      <c r="CH3095"/>
      <c r="CI3095"/>
      <c r="CU3095" s="42">
        <v>3090</v>
      </c>
      <c r="CV3095" s="115">
        <v>4</v>
      </c>
      <c r="CW3095" s="115">
        <v>0.11332468572476186</v>
      </c>
      <c r="CX3095" s="115" t="e">
        <v>#N/A</v>
      </c>
      <c r="CY3095" s="115" t="e">
        <v>#N/A</v>
      </c>
      <c r="CZ3095" s="137" t="e">
        <v>#N/A</v>
      </c>
      <c r="DA3095">
        <v>0.11332468572476186</v>
      </c>
      <c r="DB3095" t="str">
        <v/>
      </c>
    </row>
    <row r="3096" spans="83:106" x14ac:dyDescent="0.2">
      <c r="CE3096"/>
      <c r="CF3096"/>
      <c r="CG3096"/>
      <c r="CH3096"/>
      <c r="CI3096"/>
      <c r="CU3096" s="42">
        <v>3091</v>
      </c>
      <c r="CV3096" s="115">
        <v>4</v>
      </c>
      <c r="CW3096" s="115">
        <v>0.11332468572476186</v>
      </c>
      <c r="CX3096" s="115" t="e">
        <v>#N/A</v>
      </c>
      <c r="CY3096" s="115" t="e">
        <v>#N/A</v>
      </c>
      <c r="CZ3096" s="137" t="e">
        <v>#N/A</v>
      </c>
      <c r="DA3096">
        <v>0.11332468572476186</v>
      </c>
      <c r="DB3096" t="str">
        <v/>
      </c>
    </row>
    <row r="3097" spans="83:106" x14ac:dyDescent="0.2">
      <c r="CE3097"/>
      <c r="CF3097"/>
      <c r="CG3097"/>
      <c r="CH3097"/>
      <c r="CI3097"/>
      <c r="CU3097" s="42">
        <v>3092</v>
      </c>
      <c r="CV3097" s="115">
        <v>4</v>
      </c>
      <c r="CW3097" s="115">
        <v>0.11332468572476186</v>
      </c>
      <c r="CX3097" s="115" t="e">
        <v>#N/A</v>
      </c>
      <c r="CY3097" s="115" t="e">
        <v>#N/A</v>
      </c>
      <c r="CZ3097" s="137" t="e">
        <v>#N/A</v>
      </c>
      <c r="DA3097">
        <v>0.11332468572476186</v>
      </c>
      <c r="DB3097" t="str">
        <v/>
      </c>
    </row>
    <row r="3098" spans="83:106" x14ac:dyDescent="0.2">
      <c r="CE3098"/>
      <c r="CF3098"/>
      <c r="CG3098"/>
      <c r="CH3098"/>
      <c r="CI3098"/>
      <c r="CU3098" s="42">
        <v>3093</v>
      </c>
      <c r="CV3098" s="115">
        <v>4</v>
      </c>
      <c r="CW3098" s="115">
        <v>0.11332468572476186</v>
      </c>
      <c r="CX3098" s="115" t="e">
        <v>#N/A</v>
      </c>
      <c r="CY3098" s="115" t="e">
        <v>#N/A</v>
      </c>
      <c r="CZ3098" s="137" t="e">
        <v>#N/A</v>
      </c>
      <c r="DA3098">
        <v>0.11332468572476186</v>
      </c>
      <c r="DB3098" t="str">
        <v/>
      </c>
    </row>
    <row r="3099" spans="83:106" x14ac:dyDescent="0.2">
      <c r="CE3099"/>
      <c r="CF3099"/>
      <c r="CG3099"/>
      <c r="CH3099"/>
      <c r="CI3099"/>
      <c r="CU3099" s="42">
        <v>3094</v>
      </c>
      <c r="CV3099" s="115">
        <v>4</v>
      </c>
      <c r="CW3099" s="115">
        <v>0.11332468572476186</v>
      </c>
      <c r="CX3099" s="115" t="e">
        <v>#N/A</v>
      </c>
      <c r="CY3099" s="115" t="e">
        <v>#N/A</v>
      </c>
      <c r="CZ3099" s="137" t="e">
        <v>#N/A</v>
      </c>
      <c r="DA3099">
        <v>0.11332468572476186</v>
      </c>
      <c r="DB3099" t="str">
        <v/>
      </c>
    </row>
    <row r="3100" spans="83:106" x14ac:dyDescent="0.2">
      <c r="CE3100"/>
      <c r="CF3100"/>
      <c r="CG3100"/>
      <c r="CH3100"/>
      <c r="CI3100"/>
      <c r="CU3100" s="42">
        <v>3095</v>
      </c>
      <c r="CV3100" s="115">
        <v>4</v>
      </c>
      <c r="CW3100" s="115">
        <v>0.11332468572476186</v>
      </c>
      <c r="CX3100" s="115" t="e">
        <v>#N/A</v>
      </c>
      <c r="CY3100" s="115" t="e">
        <v>#N/A</v>
      </c>
      <c r="CZ3100" s="137" t="e">
        <v>#N/A</v>
      </c>
      <c r="DA3100">
        <v>0.11332468572476186</v>
      </c>
      <c r="DB3100" t="str">
        <v/>
      </c>
    </row>
    <row r="3101" spans="83:106" x14ac:dyDescent="0.2">
      <c r="CE3101"/>
      <c r="CF3101"/>
      <c r="CG3101"/>
      <c r="CH3101"/>
      <c r="CI3101"/>
      <c r="CU3101" s="42">
        <v>3096</v>
      </c>
      <c r="CV3101" s="115">
        <v>4</v>
      </c>
      <c r="CW3101" s="115">
        <v>0.11332468572476186</v>
      </c>
      <c r="CX3101" s="115" t="e">
        <v>#N/A</v>
      </c>
      <c r="CY3101" s="115" t="e">
        <v>#N/A</v>
      </c>
      <c r="CZ3101" s="137" t="e">
        <v>#N/A</v>
      </c>
      <c r="DA3101">
        <v>0.11332468572476186</v>
      </c>
      <c r="DB3101" t="str">
        <v/>
      </c>
    </row>
    <row r="3102" spans="83:106" x14ac:dyDescent="0.2">
      <c r="CE3102"/>
      <c r="CF3102"/>
      <c r="CG3102"/>
      <c r="CH3102"/>
      <c r="CI3102"/>
      <c r="CU3102" s="42">
        <v>3097</v>
      </c>
      <c r="CV3102" s="115">
        <v>4</v>
      </c>
      <c r="CW3102" s="115">
        <v>0.11332468572476186</v>
      </c>
      <c r="CX3102" s="115" t="e">
        <v>#N/A</v>
      </c>
      <c r="CY3102" s="115" t="e">
        <v>#N/A</v>
      </c>
      <c r="CZ3102" s="137" t="e">
        <v>#N/A</v>
      </c>
      <c r="DA3102">
        <v>0.11332468572476186</v>
      </c>
      <c r="DB3102" t="str">
        <v/>
      </c>
    </row>
    <row r="3103" spans="83:106" x14ac:dyDescent="0.2">
      <c r="CE3103"/>
      <c r="CF3103"/>
      <c r="CG3103"/>
      <c r="CH3103"/>
      <c r="CI3103"/>
      <c r="CU3103" s="42">
        <v>3098</v>
      </c>
      <c r="CV3103" s="115">
        <v>4</v>
      </c>
      <c r="CW3103" s="115">
        <v>0.11332468572476186</v>
      </c>
      <c r="CX3103" s="115" t="e">
        <v>#N/A</v>
      </c>
      <c r="CY3103" s="115" t="e">
        <v>#N/A</v>
      </c>
      <c r="CZ3103" s="137" t="e">
        <v>#N/A</v>
      </c>
      <c r="DA3103">
        <v>0.11332468572476186</v>
      </c>
      <c r="DB3103" t="str">
        <v/>
      </c>
    </row>
    <row r="3104" spans="83:106" x14ac:dyDescent="0.2">
      <c r="CE3104"/>
      <c r="CF3104"/>
      <c r="CG3104"/>
      <c r="CH3104"/>
      <c r="CI3104"/>
      <c r="CU3104" s="42">
        <v>3099</v>
      </c>
      <c r="CV3104" s="115">
        <v>4</v>
      </c>
      <c r="CW3104" s="115">
        <v>0.11332468572476186</v>
      </c>
      <c r="CX3104" s="115" t="e">
        <v>#N/A</v>
      </c>
      <c r="CY3104" s="115" t="e">
        <v>#N/A</v>
      </c>
      <c r="CZ3104" s="137" t="e">
        <v>#N/A</v>
      </c>
      <c r="DA3104">
        <v>0.11332468572476186</v>
      </c>
      <c r="DB3104" t="str">
        <v/>
      </c>
    </row>
    <row r="3105" spans="83:106" x14ac:dyDescent="0.2">
      <c r="CE3105"/>
      <c r="CF3105"/>
      <c r="CG3105"/>
      <c r="CH3105"/>
      <c r="CI3105"/>
      <c r="CU3105" s="42">
        <v>3100</v>
      </c>
      <c r="CV3105" s="115">
        <v>4</v>
      </c>
      <c r="CW3105" s="115">
        <v>0.11332468572476186</v>
      </c>
      <c r="CX3105" s="115" t="e">
        <v>#N/A</v>
      </c>
      <c r="CY3105" s="115" t="e">
        <v>#N/A</v>
      </c>
      <c r="CZ3105" s="137" t="e">
        <v>#N/A</v>
      </c>
      <c r="DA3105">
        <v>0.11332468572476186</v>
      </c>
      <c r="DB3105" t="str">
        <v/>
      </c>
    </row>
    <row r="3106" spans="83:106" x14ac:dyDescent="0.2">
      <c r="CE3106"/>
      <c r="CF3106"/>
      <c r="CG3106"/>
      <c r="CH3106"/>
      <c r="CI3106"/>
      <c r="CU3106" s="42">
        <v>3101</v>
      </c>
      <c r="CV3106" s="115">
        <v>4</v>
      </c>
      <c r="CW3106" s="115">
        <v>0.11332468572476186</v>
      </c>
      <c r="CX3106" s="115" t="e">
        <v>#N/A</v>
      </c>
      <c r="CY3106" s="115" t="e">
        <v>#N/A</v>
      </c>
      <c r="CZ3106" s="137" t="e">
        <v>#N/A</v>
      </c>
      <c r="DA3106">
        <v>0.11332468572476186</v>
      </c>
      <c r="DB3106" t="str">
        <v/>
      </c>
    </row>
    <row r="3107" spans="83:106" x14ac:dyDescent="0.2">
      <c r="CE3107"/>
      <c r="CF3107"/>
      <c r="CG3107"/>
      <c r="CH3107"/>
      <c r="CI3107"/>
      <c r="CU3107" s="42">
        <v>3102</v>
      </c>
      <c r="CV3107" s="115">
        <v>4</v>
      </c>
      <c r="CW3107" s="115">
        <v>0.11332468572476186</v>
      </c>
      <c r="CX3107" s="115" t="e">
        <v>#N/A</v>
      </c>
      <c r="CY3107" s="115" t="e">
        <v>#N/A</v>
      </c>
      <c r="CZ3107" s="137" t="e">
        <v>#N/A</v>
      </c>
      <c r="DA3107">
        <v>0.11332468572476186</v>
      </c>
      <c r="DB3107" t="str">
        <v/>
      </c>
    </row>
    <row r="3108" spans="83:106" x14ac:dyDescent="0.2">
      <c r="CE3108"/>
      <c r="CF3108"/>
      <c r="CG3108"/>
      <c r="CH3108"/>
      <c r="CI3108"/>
      <c r="CU3108" s="42">
        <v>3103</v>
      </c>
      <c r="CV3108" s="115">
        <v>4</v>
      </c>
      <c r="CW3108" s="115">
        <v>0.11332468572476186</v>
      </c>
      <c r="CX3108" s="115" t="e">
        <v>#N/A</v>
      </c>
      <c r="CY3108" s="115" t="e">
        <v>#N/A</v>
      </c>
      <c r="CZ3108" s="137" t="e">
        <v>#N/A</v>
      </c>
      <c r="DA3108">
        <v>0.11332468572476186</v>
      </c>
      <c r="DB3108" t="str">
        <v/>
      </c>
    </row>
    <row r="3109" spans="83:106" x14ac:dyDescent="0.2">
      <c r="CE3109"/>
      <c r="CF3109"/>
      <c r="CG3109"/>
      <c r="CH3109"/>
      <c r="CI3109"/>
      <c r="CU3109" s="42">
        <v>3104</v>
      </c>
      <c r="CV3109" s="115">
        <v>4</v>
      </c>
      <c r="CW3109" s="115">
        <v>0.11332468572476186</v>
      </c>
      <c r="CX3109" s="115" t="e">
        <v>#N/A</v>
      </c>
      <c r="CY3109" s="115" t="e">
        <v>#N/A</v>
      </c>
      <c r="CZ3109" s="137" t="e">
        <v>#N/A</v>
      </c>
      <c r="DA3109">
        <v>0.11332468572476186</v>
      </c>
      <c r="DB3109" t="str">
        <v/>
      </c>
    </row>
    <row r="3110" spans="83:106" x14ac:dyDescent="0.2">
      <c r="CE3110"/>
      <c r="CF3110"/>
      <c r="CG3110"/>
      <c r="CH3110"/>
      <c r="CI3110"/>
      <c r="CU3110" s="42">
        <v>3105</v>
      </c>
      <c r="CV3110" s="115">
        <v>4</v>
      </c>
      <c r="CW3110" s="115">
        <v>0.11332468572476186</v>
      </c>
      <c r="CX3110" s="115" t="e">
        <v>#N/A</v>
      </c>
      <c r="CY3110" s="115" t="e">
        <v>#N/A</v>
      </c>
      <c r="CZ3110" s="137" t="e">
        <v>#N/A</v>
      </c>
      <c r="DA3110">
        <v>0.11332468572476186</v>
      </c>
      <c r="DB3110" t="str">
        <v/>
      </c>
    </row>
    <row r="3111" spans="83:106" x14ac:dyDescent="0.2">
      <c r="CE3111"/>
      <c r="CF3111"/>
      <c r="CG3111"/>
      <c r="CH3111"/>
      <c r="CI3111"/>
      <c r="CU3111" s="42">
        <v>3106</v>
      </c>
      <c r="CV3111" s="115">
        <v>4</v>
      </c>
      <c r="CW3111" s="115">
        <v>0.11332468572476186</v>
      </c>
      <c r="CX3111" s="115" t="e">
        <v>#N/A</v>
      </c>
      <c r="CY3111" s="115" t="e">
        <v>#N/A</v>
      </c>
      <c r="CZ3111" s="137" t="e">
        <v>#N/A</v>
      </c>
      <c r="DA3111">
        <v>0.11332468572476186</v>
      </c>
      <c r="DB3111" t="str">
        <v/>
      </c>
    </row>
    <row r="3112" spans="83:106" x14ac:dyDescent="0.2">
      <c r="CE3112"/>
      <c r="CF3112"/>
      <c r="CG3112"/>
      <c r="CH3112"/>
      <c r="CI3112"/>
      <c r="CU3112" s="42">
        <v>3107</v>
      </c>
      <c r="CV3112" s="115">
        <v>4</v>
      </c>
      <c r="CW3112" s="115">
        <v>0.11332468572476186</v>
      </c>
      <c r="CX3112" s="115" t="e">
        <v>#N/A</v>
      </c>
      <c r="CY3112" s="115" t="e">
        <v>#N/A</v>
      </c>
      <c r="CZ3112" s="137" t="e">
        <v>#N/A</v>
      </c>
      <c r="DA3112">
        <v>0.11332468572476186</v>
      </c>
      <c r="DB3112" t="str">
        <v/>
      </c>
    </row>
    <row r="3113" spans="83:106" x14ac:dyDescent="0.2">
      <c r="CE3113"/>
      <c r="CF3113"/>
      <c r="CG3113"/>
      <c r="CH3113"/>
      <c r="CI3113"/>
      <c r="CU3113" s="42">
        <v>3108</v>
      </c>
      <c r="CV3113" s="115">
        <v>4</v>
      </c>
      <c r="CW3113" s="115">
        <v>0.11332468572476186</v>
      </c>
      <c r="CX3113" s="115" t="e">
        <v>#N/A</v>
      </c>
      <c r="CY3113" s="115" t="e">
        <v>#N/A</v>
      </c>
      <c r="CZ3113" s="137" t="e">
        <v>#N/A</v>
      </c>
      <c r="DA3113">
        <v>0.11332468572476186</v>
      </c>
      <c r="DB3113" t="str">
        <v/>
      </c>
    </row>
    <row r="3114" spans="83:106" x14ac:dyDescent="0.2">
      <c r="CE3114"/>
      <c r="CF3114"/>
      <c r="CG3114"/>
      <c r="CH3114"/>
      <c r="CI3114"/>
      <c r="CU3114" s="42">
        <v>3109</v>
      </c>
      <c r="CV3114" s="115">
        <v>4</v>
      </c>
      <c r="CW3114" s="115">
        <v>0.11332468572476186</v>
      </c>
      <c r="CX3114" s="115" t="e">
        <v>#N/A</v>
      </c>
      <c r="CY3114" s="115" t="e">
        <v>#N/A</v>
      </c>
      <c r="CZ3114" s="137" t="e">
        <v>#N/A</v>
      </c>
      <c r="DA3114">
        <v>0.11332468572476186</v>
      </c>
      <c r="DB3114" t="str">
        <v/>
      </c>
    </row>
    <row r="3115" spans="83:106" x14ac:dyDescent="0.2">
      <c r="CE3115"/>
      <c r="CF3115"/>
      <c r="CG3115"/>
      <c r="CH3115"/>
      <c r="CI3115"/>
      <c r="CU3115" s="42">
        <v>3110</v>
      </c>
      <c r="CV3115" s="115">
        <v>4</v>
      </c>
      <c r="CW3115" s="115">
        <v>0.11332468572476186</v>
      </c>
      <c r="CX3115" s="115" t="e">
        <v>#N/A</v>
      </c>
      <c r="CY3115" s="115" t="e">
        <v>#N/A</v>
      </c>
      <c r="CZ3115" s="137" t="e">
        <v>#N/A</v>
      </c>
      <c r="DA3115">
        <v>0.11332468572476186</v>
      </c>
      <c r="DB3115" t="str">
        <v/>
      </c>
    </row>
    <row r="3116" spans="83:106" x14ac:dyDescent="0.2">
      <c r="CE3116"/>
      <c r="CF3116"/>
      <c r="CG3116"/>
      <c r="CH3116"/>
      <c r="CI3116"/>
      <c r="CU3116" s="42">
        <v>3111</v>
      </c>
      <c r="CV3116" s="115">
        <v>4</v>
      </c>
      <c r="CW3116" s="115">
        <v>0.11332468572476186</v>
      </c>
      <c r="CX3116" s="115" t="e">
        <v>#N/A</v>
      </c>
      <c r="CY3116" s="115" t="e">
        <v>#N/A</v>
      </c>
      <c r="CZ3116" s="137" t="e">
        <v>#N/A</v>
      </c>
      <c r="DA3116">
        <v>0.11332468572476186</v>
      </c>
      <c r="DB3116" t="str">
        <v/>
      </c>
    </row>
    <row r="3117" spans="83:106" x14ac:dyDescent="0.2">
      <c r="CE3117"/>
      <c r="CF3117"/>
      <c r="CG3117"/>
      <c r="CH3117"/>
      <c r="CI3117"/>
      <c r="CU3117" s="42">
        <v>3112</v>
      </c>
      <c r="CV3117" s="115">
        <v>4</v>
      </c>
      <c r="CW3117" s="115">
        <v>0.11332468572476186</v>
      </c>
      <c r="CX3117" s="115" t="e">
        <v>#N/A</v>
      </c>
      <c r="CY3117" s="115" t="e">
        <v>#N/A</v>
      </c>
      <c r="CZ3117" s="137" t="e">
        <v>#N/A</v>
      </c>
      <c r="DA3117">
        <v>0.11332468572476186</v>
      </c>
      <c r="DB3117" t="str">
        <v/>
      </c>
    </row>
    <row r="3118" spans="83:106" x14ac:dyDescent="0.2">
      <c r="CE3118"/>
      <c r="CF3118"/>
      <c r="CG3118"/>
      <c r="CH3118"/>
      <c r="CI3118"/>
      <c r="CU3118" s="42">
        <v>3113</v>
      </c>
      <c r="CV3118" s="115">
        <v>4</v>
      </c>
      <c r="CW3118" s="115">
        <v>0.11332468572476186</v>
      </c>
      <c r="CX3118" s="115" t="e">
        <v>#N/A</v>
      </c>
      <c r="CY3118" s="115" t="e">
        <v>#N/A</v>
      </c>
      <c r="CZ3118" s="137" t="e">
        <v>#N/A</v>
      </c>
      <c r="DA3118">
        <v>0.11332468572476186</v>
      </c>
      <c r="DB3118" t="str">
        <v/>
      </c>
    </row>
    <row r="3119" spans="83:106" x14ac:dyDescent="0.2">
      <c r="CE3119"/>
      <c r="CF3119"/>
      <c r="CG3119"/>
      <c r="CH3119"/>
      <c r="CI3119"/>
      <c r="CU3119" s="42">
        <v>3114</v>
      </c>
      <c r="CV3119" s="115">
        <v>4</v>
      </c>
      <c r="CW3119" s="115">
        <v>0.11332468572476186</v>
      </c>
      <c r="CX3119" s="115" t="e">
        <v>#N/A</v>
      </c>
      <c r="CY3119" s="115" t="e">
        <v>#N/A</v>
      </c>
      <c r="CZ3119" s="137" t="e">
        <v>#N/A</v>
      </c>
      <c r="DA3119">
        <v>0.11332468572476186</v>
      </c>
      <c r="DB3119" t="str">
        <v/>
      </c>
    </row>
    <row r="3120" spans="83:106" x14ac:dyDescent="0.2">
      <c r="CE3120"/>
      <c r="CF3120"/>
      <c r="CG3120"/>
      <c r="CH3120"/>
      <c r="CI3120"/>
      <c r="CU3120" s="42">
        <v>3115</v>
      </c>
      <c r="CV3120" s="115">
        <v>4</v>
      </c>
      <c r="CW3120" s="115">
        <v>0.11332468572476186</v>
      </c>
      <c r="CX3120" s="115" t="e">
        <v>#N/A</v>
      </c>
      <c r="CY3120" s="115" t="e">
        <v>#N/A</v>
      </c>
      <c r="CZ3120" s="137" t="e">
        <v>#N/A</v>
      </c>
      <c r="DA3120">
        <v>0.11332468572476186</v>
      </c>
      <c r="DB3120" t="str">
        <v/>
      </c>
    </row>
    <row r="3121" spans="83:106" x14ac:dyDescent="0.2">
      <c r="CE3121"/>
      <c r="CF3121"/>
      <c r="CG3121"/>
      <c r="CH3121"/>
      <c r="CI3121"/>
      <c r="CU3121" s="42">
        <v>3116</v>
      </c>
      <c r="CV3121" s="115">
        <v>4</v>
      </c>
      <c r="CW3121" s="115">
        <v>0.11332468572476186</v>
      </c>
      <c r="CX3121" s="115" t="e">
        <v>#N/A</v>
      </c>
      <c r="CY3121" s="115" t="e">
        <v>#N/A</v>
      </c>
      <c r="CZ3121" s="137" t="e">
        <v>#N/A</v>
      </c>
      <c r="DA3121">
        <v>0.11332468572476186</v>
      </c>
      <c r="DB3121" t="str">
        <v/>
      </c>
    </row>
    <row r="3122" spans="83:106" x14ac:dyDescent="0.2">
      <c r="CE3122"/>
      <c r="CF3122"/>
      <c r="CG3122"/>
      <c r="CH3122"/>
      <c r="CI3122"/>
      <c r="CU3122" s="42">
        <v>3117</v>
      </c>
      <c r="CV3122" s="115">
        <v>4</v>
      </c>
      <c r="CW3122" s="115">
        <v>0.11332468572476186</v>
      </c>
      <c r="CX3122" s="115" t="e">
        <v>#N/A</v>
      </c>
      <c r="CY3122" s="115" t="e">
        <v>#N/A</v>
      </c>
      <c r="CZ3122" s="137" t="e">
        <v>#N/A</v>
      </c>
      <c r="DA3122">
        <v>0.11332468572476186</v>
      </c>
      <c r="DB3122" t="str">
        <v/>
      </c>
    </row>
    <row r="3123" spans="83:106" x14ac:dyDescent="0.2">
      <c r="CE3123"/>
      <c r="CF3123"/>
      <c r="CG3123"/>
      <c r="CH3123"/>
      <c r="CI3123"/>
      <c r="CU3123" s="42">
        <v>3118</v>
      </c>
      <c r="CV3123" s="115">
        <v>4</v>
      </c>
      <c r="CW3123" s="115">
        <v>0.11332468572476186</v>
      </c>
      <c r="CX3123" s="115" t="e">
        <v>#N/A</v>
      </c>
      <c r="CY3123" s="115" t="e">
        <v>#N/A</v>
      </c>
      <c r="CZ3123" s="137" t="e">
        <v>#N/A</v>
      </c>
      <c r="DA3123">
        <v>0.11332468572476186</v>
      </c>
      <c r="DB3123" t="str">
        <v/>
      </c>
    </row>
    <row r="3124" spans="83:106" x14ac:dyDescent="0.2">
      <c r="CE3124"/>
      <c r="CF3124"/>
      <c r="CG3124"/>
      <c r="CH3124"/>
      <c r="CI3124"/>
      <c r="CU3124" s="42">
        <v>3119</v>
      </c>
      <c r="CV3124" s="115">
        <v>4</v>
      </c>
      <c r="CW3124" s="115">
        <v>0.11332468572476186</v>
      </c>
      <c r="CX3124" s="115" t="e">
        <v>#N/A</v>
      </c>
      <c r="CY3124" s="115" t="e">
        <v>#N/A</v>
      </c>
      <c r="CZ3124" s="137" t="e">
        <v>#N/A</v>
      </c>
      <c r="DA3124">
        <v>0.11332468572476186</v>
      </c>
      <c r="DB3124" t="str">
        <v/>
      </c>
    </row>
    <row r="3125" spans="83:106" x14ac:dyDescent="0.2">
      <c r="CE3125"/>
      <c r="CF3125"/>
      <c r="CG3125"/>
      <c r="CH3125"/>
      <c r="CI3125"/>
      <c r="CU3125" s="42">
        <v>3120</v>
      </c>
      <c r="CV3125" s="115">
        <v>4</v>
      </c>
      <c r="CW3125" s="115">
        <v>0.11332468572476186</v>
      </c>
      <c r="CX3125" s="115" t="e">
        <v>#N/A</v>
      </c>
      <c r="CY3125" s="115" t="e">
        <v>#N/A</v>
      </c>
      <c r="CZ3125" s="137" t="e">
        <v>#N/A</v>
      </c>
      <c r="DA3125">
        <v>0.11332468572476186</v>
      </c>
      <c r="DB3125" t="str">
        <v/>
      </c>
    </row>
    <row r="3126" spans="83:106" x14ac:dyDescent="0.2">
      <c r="CE3126"/>
      <c r="CF3126"/>
      <c r="CG3126"/>
      <c r="CH3126"/>
      <c r="CI3126"/>
      <c r="CU3126" s="42">
        <v>3121</v>
      </c>
      <c r="CV3126" s="115">
        <v>4</v>
      </c>
      <c r="CW3126" s="115">
        <v>0.11332468572476186</v>
      </c>
      <c r="CX3126" s="115" t="e">
        <v>#N/A</v>
      </c>
      <c r="CY3126" s="115" t="e">
        <v>#N/A</v>
      </c>
      <c r="CZ3126" s="137" t="e">
        <v>#N/A</v>
      </c>
      <c r="DA3126">
        <v>0.11332468572476186</v>
      </c>
      <c r="DB3126" t="str">
        <v/>
      </c>
    </row>
    <row r="3127" spans="83:106" x14ac:dyDescent="0.2">
      <c r="CE3127"/>
      <c r="CF3127"/>
      <c r="CG3127"/>
      <c r="CH3127"/>
      <c r="CI3127"/>
      <c r="CU3127" s="42">
        <v>3122</v>
      </c>
      <c r="CV3127" s="115">
        <v>4</v>
      </c>
      <c r="CW3127" s="115">
        <v>0.11332468572476186</v>
      </c>
      <c r="CX3127" s="115" t="e">
        <v>#N/A</v>
      </c>
      <c r="CY3127" s="115" t="e">
        <v>#N/A</v>
      </c>
      <c r="CZ3127" s="137" t="e">
        <v>#N/A</v>
      </c>
      <c r="DA3127">
        <v>0.11332468572476186</v>
      </c>
      <c r="DB3127" t="str">
        <v/>
      </c>
    </row>
    <row r="3128" spans="83:106" x14ac:dyDescent="0.2">
      <c r="CE3128"/>
      <c r="CF3128"/>
      <c r="CG3128"/>
      <c r="CH3128"/>
      <c r="CI3128"/>
      <c r="CU3128" s="42">
        <v>3123</v>
      </c>
      <c r="CV3128" s="115">
        <v>4</v>
      </c>
      <c r="CW3128" s="115">
        <v>0.11332468572476186</v>
      </c>
      <c r="CX3128" s="115" t="e">
        <v>#N/A</v>
      </c>
      <c r="CY3128" s="115" t="e">
        <v>#N/A</v>
      </c>
      <c r="CZ3128" s="137" t="e">
        <v>#N/A</v>
      </c>
      <c r="DA3128">
        <v>0.11332468572476186</v>
      </c>
      <c r="DB3128" t="str">
        <v/>
      </c>
    </row>
    <row r="3129" spans="83:106" x14ac:dyDescent="0.2">
      <c r="CE3129"/>
      <c r="CF3129"/>
      <c r="CG3129"/>
      <c r="CH3129"/>
      <c r="CI3129"/>
      <c r="CU3129" s="42">
        <v>3124</v>
      </c>
      <c r="CV3129" s="115">
        <v>4</v>
      </c>
      <c r="CW3129" s="115">
        <v>0.11332468572476186</v>
      </c>
      <c r="CX3129" s="115" t="e">
        <v>#N/A</v>
      </c>
      <c r="CY3129" s="115" t="e">
        <v>#N/A</v>
      </c>
      <c r="CZ3129" s="137" t="e">
        <v>#N/A</v>
      </c>
      <c r="DA3129">
        <v>0.11332468572476186</v>
      </c>
      <c r="DB3129" t="str">
        <v/>
      </c>
    </row>
    <row r="3130" spans="83:106" x14ac:dyDescent="0.2">
      <c r="CE3130"/>
      <c r="CF3130"/>
      <c r="CG3130"/>
      <c r="CH3130"/>
      <c r="CI3130"/>
      <c r="CU3130" s="42">
        <v>3125</v>
      </c>
      <c r="CV3130" s="115">
        <v>4</v>
      </c>
      <c r="CW3130" s="115">
        <v>0.11332468572476186</v>
      </c>
      <c r="CX3130" s="115" t="e">
        <v>#N/A</v>
      </c>
      <c r="CY3130" s="115" t="e">
        <v>#N/A</v>
      </c>
      <c r="CZ3130" s="137" t="e">
        <v>#N/A</v>
      </c>
      <c r="DA3130">
        <v>0.11332468572476186</v>
      </c>
      <c r="DB3130" t="str">
        <v/>
      </c>
    </row>
    <row r="3131" spans="83:106" x14ac:dyDescent="0.2">
      <c r="CE3131"/>
      <c r="CF3131"/>
      <c r="CG3131"/>
      <c r="CH3131"/>
      <c r="CI3131"/>
      <c r="CU3131" s="42">
        <v>3126</v>
      </c>
      <c r="CV3131" s="115">
        <v>4</v>
      </c>
      <c r="CW3131" s="115">
        <v>0.11332468572476186</v>
      </c>
      <c r="CX3131" s="115" t="e">
        <v>#N/A</v>
      </c>
      <c r="CY3131" s="115" t="e">
        <v>#N/A</v>
      </c>
      <c r="CZ3131" s="137" t="e">
        <v>#N/A</v>
      </c>
      <c r="DA3131">
        <v>0.11332468572476186</v>
      </c>
      <c r="DB3131" t="str">
        <v/>
      </c>
    </row>
    <row r="3132" spans="83:106" x14ac:dyDescent="0.2">
      <c r="CE3132"/>
      <c r="CF3132"/>
      <c r="CG3132"/>
      <c r="CH3132"/>
      <c r="CI3132"/>
      <c r="CU3132" s="42">
        <v>3127</v>
      </c>
      <c r="CV3132" s="115">
        <v>4</v>
      </c>
      <c r="CW3132" s="115">
        <v>0.11332468572476186</v>
      </c>
      <c r="CX3132" s="115" t="e">
        <v>#N/A</v>
      </c>
      <c r="CY3132" s="115" t="e">
        <v>#N/A</v>
      </c>
      <c r="CZ3132" s="137" t="e">
        <v>#N/A</v>
      </c>
      <c r="DA3132">
        <v>0.11332468572476186</v>
      </c>
      <c r="DB3132" t="str">
        <v/>
      </c>
    </row>
    <row r="3133" spans="83:106" x14ac:dyDescent="0.2">
      <c r="CE3133"/>
      <c r="CF3133"/>
      <c r="CG3133"/>
      <c r="CH3133"/>
      <c r="CI3133"/>
      <c r="CU3133" s="42">
        <v>3128</v>
      </c>
      <c r="CV3133" s="115">
        <v>4</v>
      </c>
      <c r="CW3133" s="115">
        <v>0.11332468572476186</v>
      </c>
      <c r="CX3133" s="115" t="e">
        <v>#N/A</v>
      </c>
      <c r="CY3133" s="115" t="e">
        <v>#N/A</v>
      </c>
      <c r="CZ3133" s="137" t="e">
        <v>#N/A</v>
      </c>
      <c r="DA3133">
        <v>0.11332468572476186</v>
      </c>
      <c r="DB3133" t="str">
        <v/>
      </c>
    </row>
    <row r="3134" spans="83:106" x14ac:dyDescent="0.2">
      <c r="CE3134"/>
      <c r="CF3134"/>
      <c r="CG3134"/>
      <c r="CH3134"/>
      <c r="CI3134"/>
      <c r="CU3134" s="42">
        <v>3129</v>
      </c>
      <c r="CV3134" s="115">
        <v>4</v>
      </c>
      <c r="CW3134" s="115">
        <v>0.11332468572476186</v>
      </c>
      <c r="CX3134" s="115" t="e">
        <v>#N/A</v>
      </c>
      <c r="CY3134" s="115" t="e">
        <v>#N/A</v>
      </c>
      <c r="CZ3134" s="137" t="e">
        <v>#N/A</v>
      </c>
      <c r="DA3134">
        <v>0.11332468572476186</v>
      </c>
      <c r="DB3134" t="str">
        <v/>
      </c>
    </row>
    <row r="3135" spans="83:106" x14ac:dyDescent="0.2">
      <c r="CE3135"/>
      <c r="CF3135"/>
      <c r="CG3135"/>
      <c r="CH3135"/>
      <c r="CI3135"/>
      <c r="CU3135" s="42">
        <v>3130</v>
      </c>
      <c r="CV3135" s="115">
        <v>4</v>
      </c>
      <c r="CW3135" s="115">
        <v>0.11332468572476186</v>
      </c>
      <c r="CX3135" s="115" t="e">
        <v>#N/A</v>
      </c>
      <c r="CY3135" s="115" t="e">
        <v>#N/A</v>
      </c>
      <c r="CZ3135" s="137" t="e">
        <v>#N/A</v>
      </c>
      <c r="DA3135">
        <v>0.11332468572476186</v>
      </c>
      <c r="DB3135" t="str">
        <v/>
      </c>
    </row>
    <row r="3136" spans="83:106" x14ac:dyDescent="0.2">
      <c r="CE3136"/>
      <c r="CF3136"/>
      <c r="CG3136"/>
      <c r="CH3136"/>
      <c r="CI3136"/>
      <c r="CU3136" s="42">
        <v>3131</v>
      </c>
      <c r="CV3136" s="115">
        <v>4</v>
      </c>
      <c r="CW3136" s="115">
        <v>0.11332468572476186</v>
      </c>
      <c r="CX3136" s="115" t="e">
        <v>#N/A</v>
      </c>
      <c r="CY3136" s="115" t="e">
        <v>#N/A</v>
      </c>
      <c r="CZ3136" s="137" t="e">
        <v>#N/A</v>
      </c>
      <c r="DA3136">
        <v>0.11332468572476186</v>
      </c>
      <c r="DB3136" t="str">
        <v/>
      </c>
    </row>
    <row r="3137" spans="83:106" x14ac:dyDescent="0.2">
      <c r="CE3137"/>
      <c r="CF3137"/>
      <c r="CG3137"/>
      <c r="CH3137"/>
      <c r="CI3137"/>
      <c r="CU3137" s="42">
        <v>3132</v>
      </c>
      <c r="CV3137" s="115">
        <v>4</v>
      </c>
      <c r="CW3137" s="115">
        <v>0.11332468572476186</v>
      </c>
      <c r="CX3137" s="115" t="e">
        <v>#N/A</v>
      </c>
      <c r="CY3137" s="115" t="e">
        <v>#N/A</v>
      </c>
      <c r="CZ3137" s="137" t="e">
        <v>#N/A</v>
      </c>
      <c r="DA3137">
        <v>0.11332468572476186</v>
      </c>
      <c r="DB3137" t="str">
        <v/>
      </c>
    </row>
    <row r="3138" spans="83:106" x14ac:dyDescent="0.2">
      <c r="CE3138"/>
      <c r="CF3138"/>
      <c r="CG3138"/>
      <c r="CH3138"/>
      <c r="CI3138"/>
      <c r="CU3138" s="42">
        <v>3133</v>
      </c>
      <c r="CV3138" s="115">
        <v>4</v>
      </c>
      <c r="CW3138" s="115">
        <v>0.11332468572476186</v>
      </c>
      <c r="CX3138" s="115" t="e">
        <v>#N/A</v>
      </c>
      <c r="CY3138" s="115" t="e">
        <v>#N/A</v>
      </c>
      <c r="CZ3138" s="137" t="e">
        <v>#N/A</v>
      </c>
      <c r="DA3138">
        <v>0.11332468572476186</v>
      </c>
      <c r="DB3138" t="str">
        <v/>
      </c>
    </row>
    <row r="3139" spans="83:106" x14ac:dyDescent="0.2">
      <c r="CE3139"/>
      <c r="CF3139"/>
      <c r="CG3139"/>
      <c r="CH3139"/>
      <c r="CI3139"/>
      <c r="CU3139" s="42">
        <v>3134</v>
      </c>
      <c r="CV3139" s="115">
        <v>4</v>
      </c>
      <c r="CW3139" s="115">
        <v>0.11332468572476186</v>
      </c>
      <c r="CX3139" s="115" t="e">
        <v>#N/A</v>
      </c>
      <c r="CY3139" s="115" t="e">
        <v>#N/A</v>
      </c>
      <c r="CZ3139" s="137" t="e">
        <v>#N/A</v>
      </c>
      <c r="DA3139">
        <v>0.11332468572476186</v>
      </c>
      <c r="DB3139" t="str">
        <v/>
      </c>
    </row>
    <row r="3140" spans="83:106" x14ac:dyDescent="0.2">
      <c r="CE3140"/>
      <c r="CF3140"/>
      <c r="CG3140"/>
      <c r="CH3140"/>
      <c r="CI3140"/>
      <c r="CU3140" s="42">
        <v>3135</v>
      </c>
      <c r="CV3140" s="115">
        <v>4</v>
      </c>
      <c r="CW3140" s="115">
        <v>0.11332468572476186</v>
      </c>
      <c r="CX3140" s="115" t="e">
        <v>#N/A</v>
      </c>
      <c r="CY3140" s="115" t="e">
        <v>#N/A</v>
      </c>
      <c r="CZ3140" s="137" t="e">
        <v>#N/A</v>
      </c>
      <c r="DA3140">
        <v>0.11332468572476186</v>
      </c>
      <c r="DB3140" t="str">
        <v/>
      </c>
    </row>
    <row r="3141" spans="83:106" x14ac:dyDescent="0.2">
      <c r="CE3141"/>
      <c r="CF3141"/>
      <c r="CG3141"/>
      <c r="CH3141"/>
      <c r="CI3141"/>
      <c r="CU3141" s="42">
        <v>3136</v>
      </c>
      <c r="CV3141" s="115">
        <v>4</v>
      </c>
      <c r="CW3141" s="115">
        <v>0.11332468572476186</v>
      </c>
      <c r="CX3141" s="115" t="e">
        <v>#N/A</v>
      </c>
      <c r="CY3141" s="115" t="e">
        <v>#N/A</v>
      </c>
      <c r="CZ3141" s="137" t="e">
        <v>#N/A</v>
      </c>
      <c r="DA3141">
        <v>0.11332468572476186</v>
      </c>
      <c r="DB3141" t="str">
        <v/>
      </c>
    </row>
    <row r="3142" spans="83:106" x14ac:dyDescent="0.2">
      <c r="CE3142"/>
      <c r="CF3142"/>
      <c r="CG3142"/>
      <c r="CH3142"/>
      <c r="CI3142"/>
      <c r="CU3142" s="42">
        <v>3137</v>
      </c>
      <c r="CV3142" s="115">
        <v>4</v>
      </c>
      <c r="CW3142" s="115">
        <v>0.11332468572476186</v>
      </c>
      <c r="CX3142" s="115" t="e">
        <v>#N/A</v>
      </c>
      <c r="CY3142" s="115" t="e">
        <v>#N/A</v>
      </c>
      <c r="CZ3142" s="137" t="e">
        <v>#N/A</v>
      </c>
      <c r="DA3142">
        <v>0.11332468572476186</v>
      </c>
      <c r="DB3142" t="str">
        <v/>
      </c>
    </row>
    <row r="3143" spans="83:106" x14ac:dyDescent="0.2">
      <c r="CE3143"/>
      <c r="CF3143"/>
      <c r="CG3143"/>
      <c r="CH3143"/>
      <c r="CI3143"/>
      <c r="CU3143" s="42">
        <v>3138</v>
      </c>
      <c r="CV3143" s="115">
        <v>4</v>
      </c>
      <c r="CW3143" s="115">
        <v>0.11332468572476186</v>
      </c>
      <c r="CX3143" s="115" t="e">
        <v>#N/A</v>
      </c>
      <c r="CY3143" s="115" t="e">
        <v>#N/A</v>
      </c>
      <c r="CZ3143" s="137" t="e">
        <v>#N/A</v>
      </c>
      <c r="DA3143">
        <v>0.11332468572476186</v>
      </c>
      <c r="DB3143" t="str">
        <v/>
      </c>
    </row>
    <row r="3144" spans="83:106" x14ac:dyDescent="0.2">
      <c r="CE3144"/>
      <c r="CF3144"/>
      <c r="CG3144"/>
      <c r="CH3144"/>
      <c r="CI3144"/>
      <c r="CU3144" s="42">
        <v>3139</v>
      </c>
      <c r="CV3144" s="115">
        <v>4</v>
      </c>
      <c r="CW3144" s="115">
        <v>0.11332468572476186</v>
      </c>
      <c r="CX3144" s="115" t="e">
        <v>#N/A</v>
      </c>
      <c r="CY3144" s="115" t="e">
        <v>#N/A</v>
      </c>
      <c r="CZ3144" s="137" t="e">
        <v>#N/A</v>
      </c>
      <c r="DA3144">
        <v>0.11332468572476186</v>
      </c>
      <c r="DB3144" t="str">
        <v/>
      </c>
    </row>
    <row r="3145" spans="83:106" x14ac:dyDescent="0.2">
      <c r="CE3145"/>
      <c r="CF3145"/>
      <c r="CG3145"/>
      <c r="CH3145"/>
      <c r="CI3145"/>
      <c r="CU3145" s="42">
        <v>3140</v>
      </c>
      <c r="CV3145" s="115">
        <v>4</v>
      </c>
      <c r="CW3145" s="115">
        <v>0.11332468572476186</v>
      </c>
      <c r="CX3145" s="115" t="e">
        <v>#N/A</v>
      </c>
      <c r="CY3145" s="115" t="e">
        <v>#N/A</v>
      </c>
      <c r="CZ3145" s="137" t="e">
        <v>#N/A</v>
      </c>
      <c r="DA3145">
        <v>0.11332468572476186</v>
      </c>
      <c r="DB3145" t="str">
        <v/>
      </c>
    </row>
    <row r="3146" spans="83:106" x14ac:dyDescent="0.2">
      <c r="CE3146"/>
      <c r="CF3146"/>
      <c r="CG3146"/>
      <c r="CH3146"/>
      <c r="CI3146"/>
      <c r="CU3146" s="42">
        <v>3141</v>
      </c>
      <c r="CV3146" s="115">
        <v>4</v>
      </c>
      <c r="CW3146" s="115">
        <v>0.11332468572476186</v>
      </c>
      <c r="CX3146" s="115" t="e">
        <v>#N/A</v>
      </c>
      <c r="CY3146" s="115" t="e">
        <v>#N/A</v>
      </c>
      <c r="CZ3146" s="137" t="e">
        <v>#N/A</v>
      </c>
      <c r="DA3146">
        <v>0.11332468572476186</v>
      </c>
      <c r="DB3146" t="str">
        <v/>
      </c>
    </row>
    <row r="3147" spans="83:106" x14ac:dyDescent="0.2">
      <c r="CE3147"/>
      <c r="CF3147"/>
      <c r="CG3147"/>
      <c r="CH3147"/>
      <c r="CI3147"/>
      <c r="CU3147" s="42">
        <v>3142</v>
      </c>
      <c r="CV3147" s="115">
        <v>4</v>
      </c>
      <c r="CW3147" s="115">
        <v>0.11332468572476186</v>
      </c>
      <c r="CX3147" s="115" t="e">
        <v>#N/A</v>
      </c>
      <c r="CY3147" s="115" t="e">
        <v>#N/A</v>
      </c>
      <c r="CZ3147" s="137" t="e">
        <v>#N/A</v>
      </c>
      <c r="DA3147">
        <v>0.11332468572476186</v>
      </c>
      <c r="DB3147" t="str">
        <v/>
      </c>
    </row>
    <row r="3148" spans="83:106" x14ac:dyDescent="0.2">
      <c r="CE3148"/>
      <c r="CF3148"/>
      <c r="CG3148"/>
      <c r="CH3148"/>
      <c r="CI3148"/>
      <c r="CU3148" s="42">
        <v>3143</v>
      </c>
      <c r="CV3148" s="115">
        <v>4</v>
      </c>
      <c r="CW3148" s="115">
        <v>0.11332468572476186</v>
      </c>
      <c r="CX3148" s="115" t="e">
        <v>#N/A</v>
      </c>
      <c r="CY3148" s="115" t="e">
        <v>#N/A</v>
      </c>
      <c r="CZ3148" s="137" t="e">
        <v>#N/A</v>
      </c>
      <c r="DA3148">
        <v>0.11332468572476186</v>
      </c>
      <c r="DB3148" t="str">
        <v/>
      </c>
    </row>
    <row r="3149" spans="83:106" x14ac:dyDescent="0.2">
      <c r="CE3149"/>
      <c r="CF3149"/>
      <c r="CG3149"/>
      <c r="CH3149"/>
      <c r="CI3149"/>
      <c r="CU3149" s="42">
        <v>3144</v>
      </c>
      <c r="CV3149" s="115">
        <v>4</v>
      </c>
      <c r="CW3149" s="115">
        <v>0.11332468572476186</v>
      </c>
      <c r="CX3149" s="115" t="e">
        <v>#N/A</v>
      </c>
      <c r="CY3149" s="115" t="e">
        <v>#N/A</v>
      </c>
      <c r="CZ3149" s="137" t="e">
        <v>#N/A</v>
      </c>
      <c r="DA3149">
        <v>0.11332468572476186</v>
      </c>
      <c r="DB3149" t="str">
        <v/>
      </c>
    </row>
    <row r="3150" spans="83:106" x14ac:dyDescent="0.2">
      <c r="CE3150"/>
      <c r="CF3150"/>
      <c r="CG3150"/>
      <c r="CH3150"/>
      <c r="CI3150"/>
      <c r="CU3150" s="42">
        <v>3145</v>
      </c>
      <c r="CV3150" s="115">
        <v>4</v>
      </c>
      <c r="CW3150" s="115">
        <v>0.11332468572476186</v>
      </c>
      <c r="CX3150" s="115" t="e">
        <v>#N/A</v>
      </c>
      <c r="CY3150" s="115" t="e">
        <v>#N/A</v>
      </c>
      <c r="CZ3150" s="137" t="e">
        <v>#N/A</v>
      </c>
      <c r="DA3150">
        <v>0.11332468572476186</v>
      </c>
      <c r="DB3150" t="str">
        <v/>
      </c>
    </row>
    <row r="3151" spans="83:106" x14ac:dyDescent="0.2">
      <c r="CE3151"/>
      <c r="CF3151"/>
      <c r="CG3151"/>
      <c r="CH3151"/>
      <c r="CI3151"/>
      <c r="CU3151" s="42">
        <v>3146</v>
      </c>
      <c r="CV3151" s="115">
        <v>4</v>
      </c>
      <c r="CW3151" s="115">
        <v>0.11332468572476186</v>
      </c>
      <c r="CX3151" s="115" t="e">
        <v>#N/A</v>
      </c>
      <c r="CY3151" s="115" t="e">
        <v>#N/A</v>
      </c>
      <c r="CZ3151" s="137" t="e">
        <v>#N/A</v>
      </c>
      <c r="DA3151">
        <v>0.11332468572476186</v>
      </c>
      <c r="DB3151" t="str">
        <v/>
      </c>
    </row>
    <row r="3152" spans="83:106" x14ac:dyDescent="0.2">
      <c r="CE3152"/>
      <c r="CF3152"/>
      <c r="CG3152"/>
      <c r="CH3152"/>
      <c r="CI3152"/>
      <c r="CU3152" s="42">
        <v>3147</v>
      </c>
      <c r="CV3152" s="115">
        <v>4</v>
      </c>
      <c r="CW3152" s="115">
        <v>0.11332468572476186</v>
      </c>
      <c r="CX3152" s="115" t="e">
        <v>#N/A</v>
      </c>
      <c r="CY3152" s="115" t="e">
        <v>#N/A</v>
      </c>
      <c r="CZ3152" s="137" t="e">
        <v>#N/A</v>
      </c>
      <c r="DA3152">
        <v>0.11332468572476186</v>
      </c>
      <c r="DB3152" t="str">
        <v/>
      </c>
    </row>
    <row r="3153" spans="83:106" x14ac:dyDescent="0.2">
      <c r="CE3153"/>
      <c r="CF3153"/>
      <c r="CG3153"/>
      <c r="CH3153"/>
      <c r="CI3153"/>
      <c r="CU3153" s="42">
        <v>3148</v>
      </c>
      <c r="CV3153" s="115">
        <v>4</v>
      </c>
      <c r="CW3153" s="115">
        <v>0.11332468572476186</v>
      </c>
      <c r="CX3153" s="115" t="e">
        <v>#N/A</v>
      </c>
      <c r="CY3153" s="115" t="e">
        <v>#N/A</v>
      </c>
      <c r="CZ3153" s="137" t="e">
        <v>#N/A</v>
      </c>
      <c r="DA3153">
        <v>0.11332468572476186</v>
      </c>
      <c r="DB3153" t="str">
        <v/>
      </c>
    </row>
    <row r="3154" spans="83:106" x14ac:dyDescent="0.2">
      <c r="CE3154"/>
      <c r="CF3154"/>
      <c r="CG3154"/>
      <c r="CH3154"/>
      <c r="CI3154"/>
      <c r="CU3154" s="42">
        <v>3149</v>
      </c>
      <c r="CV3154" s="115">
        <v>4</v>
      </c>
      <c r="CW3154" s="115">
        <v>0.11332468572476186</v>
      </c>
      <c r="CX3154" s="115" t="e">
        <v>#N/A</v>
      </c>
      <c r="CY3154" s="115" t="e">
        <v>#N/A</v>
      </c>
      <c r="CZ3154" s="137" t="e">
        <v>#N/A</v>
      </c>
      <c r="DA3154">
        <v>0.11332468572476186</v>
      </c>
      <c r="DB3154" t="str">
        <v/>
      </c>
    </row>
    <row r="3155" spans="83:106" x14ac:dyDescent="0.2">
      <c r="CE3155"/>
      <c r="CF3155"/>
      <c r="CG3155"/>
      <c r="CH3155"/>
      <c r="CI3155"/>
      <c r="CU3155" s="42">
        <v>3150</v>
      </c>
      <c r="CV3155" s="115">
        <v>4</v>
      </c>
      <c r="CW3155" s="115">
        <v>0.11332468572476186</v>
      </c>
      <c r="CX3155" s="115" t="e">
        <v>#N/A</v>
      </c>
      <c r="CY3155" s="115" t="e">
        <v>#N/A</v>
      </c>
      <c r="CZ3155" s="137" t="e">
        <v>#N/A</v>
      </c>
      <c r="DA3155">
        <v>0.11332468572476186</v>
      </c>
      <c r="DB3155" t="str">
        <v/>
      </c>
    </row>
    <row r="3156" spans="83:106" x14ac:dyDescent="0.2">
      <c r="CE3156"/>
      <c r="CF3156"/>
      <c r="CG3156"/>
      <c r="CH3156"/>
      <c r="CI3156"/>
      <c r="CU3156" s="42">
        <v>3151</v>
      </c>
      <c r="CV3156" s="115">
        <v>4</v>
      </c>
      <c r="CW3156" s="115">
        <v>0.11332468572476186</v>
      </c>
      <c r="CX3156" s="115" t="e">
        <v>#N/A</v>
      </c>
      <c r="CY3156" s="115" t="e">
        <v>#N/A</v>
      </c>
      <c r="CZ3156" s="137" t="e">
        <v>#N/A</v>
      </c>
      <c r="DA3156">
        <v>0.11332468572476186</v>
      </c>
      <c r="DB3156" t="str">
        <v/>
      </c>
    </row>
    <row r="3157" spans="83:106" x14ac:dyDescent="0.2">
      <c r="CE3157"/>
      <c r="CF3157"/>
      <c r="CG3157"/>
      <c r="CH3157"/>
      <c r="CI3157"/>
      <c r="CU3157" s="42">
        <v>3152</v>
      </c>
      <c r="CV3157" s="115">
        <v>4</v>
      </c>
      <c r="CW3157" s="115">
        <v>0.11332468572476186</v>
      </c>
      <c r="CX3157" s="115" t="e">
        <v>#N/A</v>
      </c>
      <c r="CY3157" s="115" t="e">
        <v>#N/A</v>
      </c>
      <c r="CZ3157" s="137" t="e">
        <v>#N/A</v>
      </c>
      <c r="DA3157">
        <v>0.11332468572476186</v>
      </c>
      <c r="DB3157" t="str">
        <v/>
      </c>
    </row>
    <row r="3158" spans="83:106" x14ac:dyDescent="0.2">
      <c r="CE3158"/>
      <c r="CF3158"/>
      <c r="CG3158"/>
      <c r="CH3158"/>
      <c r="CI3158"/>
      <c r="CU3158" s="42">
        <v>3153</v>
      </c>
      <c r="CV3158" s="115">
        <v>4</v>
      </c>
      <c r="CW3158" s="115">
        <v>0.11332468572476186</v>
      </c>
      <c r="CX3158" s="115" t="e">
        <v>#N/A</v>
      </c>
      <c r="CY3158" s="115" t="e">
        <v>#N/A</v>
      </c>
      <c r="CZ3158" s="137" t="e">
        <v>#N/A</v>
      </c>
      <c r="DA3158">
        <v>0.11332468572476186</v>
      </c>
      <c r="DB3158" t="str">
        <v/>
      </c>
    </row>
    <row r="3159" spans="83:106" x14ac:dyDescent="0.2">
      <c r="CE3159"/>
      <c r="CF3159"/>
      <c r="CG3159"/>
      <c r="CH3159"/>
      <c r="CI3159"/>
      <c r="CU3159" s="42">
        <v>3154</v>
      </c>
      <c r="CV3159" s="115">
        <v>4</v>
      </c>
      <c r="CW3159" s="115">
        <v>0.11332468572476186</v>
      </c>
      <c r="CX3159" s="115" t="e">
        <v>#N/A</v>
      </c>
      <c r="CY3159" s="115" t="e">
        <v>#N/A</v>
      </c>
      <c r="CZ3159" s="137" t="e">
        <v>#N/A</v>
      </c>
      <c r="DA3159">
        <v>0.11332468572476186</v>
      </c>
      <c r="DB3159" t="str">
        <v/>
      </c>
    </row>
    <row r="3160" spans="83:106" x14ac:dyDescent="0.2">
      <c r="CE3160"/>
      <c r="CF3160"/>
      <c r="CG3160"/>
      <c r="CH3160"/>
      <c r="CI3160"/>
      <c r="CU3160" s="42">
        <v>3155</v>
      </c>
      <c r="CV3160" s="115">
        <v>4</v>
      </c>
      <c r="CW3160" s="115">
        <v>0.11332468572476186</v>
      </c>
      <c r="CX3160" s="115" t="e">
        <v>#N/A</v>
      </c>
      <c r="CY3160" s="115" t="e">
        <v>#N/A</v>
      </c>
      <c r="CZ3160" s="137" t="e">
        <v>#N/A</v>
      </c>
      <c r="DA3160">
        <v>0.11332468572476186</v>
      </c>
      <c r="DB3160" t="str">
        <v/>
      </c>
    </row>
    <row r="3161" spans="83:106" x14ac:dyDescent="0.2">
      <c r="CE3161"/>
      <c r="CF3161"/>
      <c r="CG3161"/>
      <c r="CH3161"/>
      <c r="CI3161"/>
      <c r="CU3161" s="42">
        <v>3156</v>
      </c>
      <c r="CV3161" s="115">
        <v>4</v>
      </c>
      <c r="CW3161" s="115">
        <v>0.11332468572476186</v>
      </c>
      <c r="CX3161" s="115" t="e">
        <v>#N/A</v>
      </c>
      <c r="CY3161" s="115" t="e">
        <v>#N/A</v>
      </c>
      <c r="CZ3161" s="137" t="e">
        <v>#N/A</v>
      </c>
      <c r="DA3161">
        <v>0.11332468572476186</v>
      </c>
      <c r="DB3161" t="str">
        <v/>
      </c>
    </row>
    <row r="3162" spans="83:106" x14ac:dyDescent="0.2">
      <c r="CE3162"/>
      <c r="CF3162"/>
      <c r="CG3162"/>
      <c r="CH3162"/>
      <c r="CI3162"/>
      <c r="CU3162" s="42">
        <v>3157</v>
      </c>
      <c r="CV3162" s="115">
        <v>4</v>
      </c>
      <c r="CW3162" s="115">
        <v>0.11332468572476186</v>
      </c>
      <c r="CX3162" s="115" t="e">
        <v>#N/A</v>
      </c>
      <c r="CY3162" s="115" t="e">
        <v>#N/A</v>
      </c>
      <c r="CZ3162" s="137" t="e">
        <v>#N/A</v>
      </c>
      <c r="DA3162">
        <v>0.11332468572476186</v>
      </c>
      <c r="DB3162" t="str">
        <v/>
      </c>
    </row>
    <row r="3163" spans="83:106" x14ac:dyDescent="0.2">
      <c r="CE3163"/>
      <c r="CF3163"/>
      <c r="CG3163"/>
      <c r="CH3163"/>
      <c r="CI3163"/>
      <c r="CU3163" s="42">
        <v>3158</v>
      </c>
      <c r="CV3163" s="115">
        <v>4</v>
      </c>
      <c r="CW3163" s="115">
        <v>0.11332468572476186</v>
      </c>
      <c r="CX3163" s="115" t="e">
        <v>#N/A</v>
      </c>
      <c r="CY3163" s="115" t="e">
        <v>#N/A</v>
      </c>
      <c r="CZ3163" s="137" t="e">
        <v>#N/A</v>
      </c>
      <c r="DA3163">
        <v>0.11332468572476186</v>
      </c>
      <c r="DB3163" t="str">
        <v/>
      </c>
    </row>
    <row r="3164" spans="83:106" x14ac:dyDescent="0.2">
      <c r="CE3164"/>
      <c r="CF3164"/>
      <c r="CG3164"/>
      <c r="CH3164"/>
      <c r="CI3164"/>
      <c r="CU3164" s="42">
        <v>3159</v>
      </c>
      <c r="CV3164" s="115">
        <v>4</v>
      </c>
      <c r="CW3164" s="115">
        <v>0.11332468572476186</v>
      </c>
      <c r="CX3164" s="115" t="e">
        <v>#N/A</v>
      </c>
      <c r="CY3164" s="115" t="e">
        <v>#N/A</v>
      </c>
      <c r="CZ3164" s="137" t="e">
        <v>#N/A</v>
      </c>
      <c r="DA3164">
        <v>0.11332468572476186</v>
      </c>
      <c r="DB3164" t="str">
        <v/>
      </c>
    </row>
    <row r="3165" spans="83:106" x14ac:dyDescent="0.2">
      <c r="CE3165"/>
      <c r="CF3165"/>
      <c r="CG3165"/>
      <c r="CH3165"/>
      <c r="CI3165"/>
      <c r="CU3165" s="42">
        <v>3160</v>
      </c>
      <c r="CV3165" s="115">
        <v>4</v>
      </c>
      <c r="CW3165" s="115">
        <v>0.11332468572476186</v>
      </c>
      <c r="CX3165" s="115" t="e">
        <v>#N/A</v>
      </c>
      <c r="CY3165" s="115" t="e">
        <v>#N/A</v>
      </c>
      <c r="CZ3165" s="137" t="e">
        <v>#N/A</v>
      </c>
      <c r="DA3165">
        <v>0.11332468572476186</v>
      </c>
      <c r="DB3165" t="str">
        <v/>
      </c>
    </row>
    <row r="3166" spans="83:106" x14ac:dyDescent="0.2">
      <c r="CE3166"/>
      <c r="CF3166"/>
      <c r="CG3166"/>
      <c r="CH3166"/>
      <c r="CI3166"/>
      <c r="CU3166" s="42">
        <v>3161</v>
      </c>
      <c r="CV3166" s="115">
        <v>4</v>
      </c>
      <c r="CW3166" s="115">
        <v>0.11332468572476186</v>
      </c>
      <c r="CX3166" s="115" t="e">
        <v>#N/A</v>
      </c>
      <c r="CY3166" s="115" t="e">
        <v>#N/A</v>
      </c>
      <c r="CZ3166" s="137" t="e">
        <v>#N/A</v>
      </c>
      <c r="DA3166">
        <v>0.11332468572476186</v>
      </c>
      <c r="DB3166" t="str">
        <v/>
      </c>
    </row>
    <row r="3167" spans="83:106" x14ac:dyDescent="0.2">
      <c r="CE3167"/>
      <c r="CF3167"/>
      <c r="CG3167"/>
      <c r="CH3167"/>
      <c r="CI3167"/>
      <c r="CU3167" s="42">
        <v>3162</v>
      </c>
      <c r="CV3167" s="115">
        <v>4</v>
      </c>
      <c r="CW3167" s="115">
        <v>0.11332468572476186</v>
      </c>
      <c r="CX3167" s="115" t="e">
        <v>#N/A</v>
      </c>
      <c r="CY3167" s="115" t="e">
        <v>#N/A</v>
      </c>
      <c r="CZ3167" s="137" t="e">
        <v>#N/A</v>
      </c>
      <c r="DA3167">
        <v>0.11332468572476186</v>
      </c>
      <c r="DB3167" t="str">
        <v/>
      </c>
    </row>
    <row r="3168" spans="83:106" x14ac:dyDescent="0.2">
      <c r="CE3168"/>
      <c r="CF3168"/>
      <c r="CG3168"/>
      <c r="CH3168"/>
      <c r="CI3168"/>
      <c r="CU3168" s="42">
        <v>3163</v>
      </c>
      <c r="CV3168" s="115">
        <v>4</v>
      </c>
      <c r="CW3168" s="115">
        <v>0.11332468572476186</v>
      </c>
      <c r="CX3168" s="115" t="e">
        <v>#N/A</v>
      </c>
      <c r="CY3168" s="115" t="e">
        <v>#N/A</v>
      </c>
      <c r="CZ3168" s="137" t="e">
        <v>#N/A</v>
      </c>
      <c r="DA3168">
        <v>0.11332468572476186</v>
      </c>
      <c r="DB3168" t="str">
        <v/>
      </c>
    </row>
    <row r="3169" spans="83:106" x14ac:dyDescent="0.2">
      <c r="CE3169"/>
      <c r="CF3169"/>
      <c r="CG3169"/>
      <c r="CH3169"/>
      <c r="CI3169"/>
      <c r="CU3169" s="42">
        <v>3164</v>
      </c>
      <c r="CV3169" s="115">
        <v>4</v>
      </c>
      <c r="CW3169" s="115">
        <v>0.11332468572476186</v>
      </c>
      <c r="CX3169" s="115" t="e">
        <v>#N/A</v>
      </c>
      <c r="CY3169" s="115" t="e">
        <v>#N/A</v>
      </c>
      <c r="CZ3169" s="137" t="e">
        <v>#N/A</v>
      </c>
      <c r="DA3169">
        <v>0.11332468572476186</v>
      </c>
      <c r="DB3169" t="str">
        <v/>
      </c>
    </row>
    <row r="3170" spans="83:106" x14ac:dyDescent="0.2">
      <c r="CE3170"/>
      <c r="CF3170"/>
      <c r="CG3170"/>
      <c r="CH3170"/>
      <c r="CI3170"/>
      <c r="CU3170" s="42">
        <v>3165</v>
      </c>
      <c r="CV3170" s="115">
        <v>4</v>
      </c>
      <c r="CW3170" s="115">
        <v>0.11332468572476186</v>
      </c>
      <c r="CX3170" s="115" t="e">
        <v>#N/A</v>
      </c>
      <c r="CY3170" s="115" t="e">
        <v>#N/A</v>
      </c>
      <c r="CZ3170" s="137" t="e">
        <v>#N/A</v>
      </c>
      <c r="DA3170">
        <v>0.11332468572476186</v>
      </c>
      <c r="DB3170" t="str">
        <v/>
      </c>
    </row>
    <row r="3171" spans="83:106" x14ac:dyDescent="0.2">
      <c r="CE3171"/>
      <c r="CF3171"/>
      <c r="CG3171"/>
      <c r="CH3171"/>
      <c r="CI3171"/>
      <c r="CU3171" s="42">
        <v>3166</v>
      </c>
      <c r="CV3171" s="115">
        <v>4</v>
      </c>
      <c r="CW3171" s="115">
        <v>0.11332468572476186</v>
      </c>
      <c r="CX3171" s="115" t="e">
        <v>#N/A</v>
      </c>
      <c r="CY3171" s="115" t="e">
        <v>#N/A</v>
      </c>
      <c r="CZ3171" s="137" t="e">
        <v>#N/A</v>
      </c>
      <c r="DA3171">
        <v>0.11332468572476186</v>
      </c>
      <c r="DB3171" t="str">
        <v/>
      </c>
    </row>
    <row r="3172" spans="83:106" x14ac:dyDescent="0.2">
      <c r="CE3172"/>
      <c r="CF3172"/>
      <c r="CG3172"/>
      <c r="CH3172"/>
      <c r="CI3172"/>
      <c r="CU3172" s="42">
        <v>3167</v>
      </c>
      <c r="CV3172" s="115">
        <v>4</v>
      </c>
      <c r="CW3172" s="115">
        <v>0.11332468572476186</v>
      </c>
      <c r="CX3172" s="115" t="e">
        <v>#N/A</v>
      </c>
      <c r="CY3172" s="115" t="e">
        <v>#N/A</v>
      </c>
      <c r="CZ3172" s="137" t="e">
        <v>#N/A</v>
      </c>
      <c r="DA3172">
        <v>0.11332468572476186</v>
      </c>
      <c r="DB3172" t="str">
        <v/>
      </c>
    </row>
    <row r="3173" spans="83:106" x14ac:dyDescent="0.2">
      <c r="CE3173"/>
      <c r="CF3173"/>
      <c r="CG3173"/>
      <c r="CH3173"/>
      <c r="CI3173"/>
      <c r="CU3173" s="42">
        <v>3168</v>
      </c>
      <c r="CV3173" s="115">
        <v>4</v>
      </c>
      <c r="CW3173" s="115">
        <v>0.11332468572476186</v>
      </c>
      <c r="CX3173" s="115" t="e">
        <v>#N/A</v>
      </c>
      <c r="CY3173" s="115" t="e">
        <v>#N/A</v>
      </c>
      <c r="CZ3173" s="137" t="e">
        <v>#N/A</v>
      </c>
      <c r="DA3173">
        <v>0.11332468572476186</v>
      </c>
      <c r="DB3173" t="str">
        <v/>
      </c>
    </row>
    <row r="3174" spans="83:106" x14ac:dyDescent="0.2">
      <c r="CE3174"/>
      <c r="CF3174"/>
      <c r="CG3174"/>
      <c r="CH3174"/>
      <c r="CI3174"/>
      <c r="CU3174" s="42">
        <v>3169</v>
      </c>
      <c r="CV3174" s="115">
        <v>4</v>
      </c>
      <c r="CW3174" s="115">
        <v>0.11332468572476186</v>
      </c>
      <c r="CX3174" s="115" t="e">
        <v>#N/A</v>
      </c>
      <c r="CY3174" s="115" t="e">
        <v>#N/A</v>
      </c>
      <c r="CZ3174" s="137" t="e">
        <v>#N/A</v>
      </c>
      <c r="DA3174">
        <v>0.11332468572476186</v>
      </c>
      <c r="DB3174" t="str">
        <v/>
      </c>
    </row>
    <row r="3175" spans="83:106" x14ac:dyDescent="0.2">
      <c r="CE3175"/>
      <c r="CF3175"/>
      <c r="CG3175"/>
      <c r="CH3175"/>
      <c r="CI3175"/>
      <c r="CU3175" s="42">
        <v>3170</v>
      </c>
      <c r="CV3175" s="115">
        <v>4</v>
      </c>
      <c r="CW3175" s="115">
        <v>0.11332468572476186</v>
      </c>
      <c r="CX3175" s="115" t="e">
        <v>#N/A</v>
      </c>
      <c r="CY3175" s="115" t="e">
        <v>#N/A</v>
      </c>
      <c r="CZ3175" s="137" t="e">
        <v>#N/A</v>
      </c>
      <c r="DA3175">
        <v>0.11332468572476186</v>
      </c>
      <c r="DB3175" t="str">
        <v/>
      </c>
    </row>
    <row r="3176" spans="83:106" x14ac:dyDescent="0.2">
      <c r="CE3176"/>
      <c r="CF3176"/>
      <c r="CG3176"/>
      <c r="CH3176"/>
      <c r="CI3176"/>
      <c r="CU3176" s="42">
        <v>3171</v>
      </c>
      <c r="CV3176" s="115">
        <v>4</v>
      </c>
      <c r="CW3176" s="115">
        <v>0.11332468572476186</v>
      </c>
      <c r="CX3176" s="115" t="e">
        <v>#N/A</v>
      </c>
      <c r="CY3176" s="115" t="e">
        <v>#N/A</v>
      </c>
      <c r="CZ3176" s="137" t="e">
        <v>#N/A</v>
      </c>
      <c r="DA3176">
        <v>0.11332468572476186</v>
      </c>
      <c r="DB3176" t="str">
        <v/>
      </c>
    </row>
    <row r="3177" spans="83:106" x14ac:dyDescent="0.2">
      <c r="CE3177"/>
      <c r="CF3177"/>
      <c r="CG3177"/>
      <c r="CH3177"/>
      <c r="CI3177"/>
      <c r="CU3177" s="42">
        <v>3172</v>
      </c>
      <c r="CV3177" s="115">
        <v>4</v>
      </c>
      <c r="CW3177" s="115">
        <v>0.11332468572476186</v>
      </c>
      <c r="CX3177" s="115" t="e">
        <v>#N/A</v>
      </c>
      <c r="CY3177" s="115" t="e">
        <v>#N/A</v>
      </c>
      <c r="CZ3177" s="137" t="e">
        <v>#N/A</v>
      </c>
      <c r="DA3177">
        <v>0.11332468572476186</v>
      </c>
      <c r="DB3177" t="str">
        <v/>
      </c>
    </row>
    <row r="3178" spans="83:106" x14ac:dyDescent="0.2">
      <c r="CE3178"/>
      <c r="CF3178"/>
      <c r="CG3178"/>
      <c r="CH3178"/>
      <c r="CI3178"/>
      <c r="CU3178" s="42">
        <v>3173</v>
      </c>
      <c r="CV3178" s="115">
        <v>4</v>
      </c>
      <c r="CW3178" s="115">
        <v>0.11332468572476186</v>
      </c>
      <c r="CX3178" s="115" t="e">
        <v>#N/A</v>
      </c>
      <c r="CY3178" s="115" t="e">
        <v>#N/A</v>
      </c>
      <c r="CZ3178" s="137" t="e">
        <v>#N/A</v>
      </c>
      <c r="DA3178">
        <v>0.11332468572476186</v>
      </c>
      <c r="DB3178" t="str">
        <v/>
      </c>
    </row>
    <row r="3179" spans="83:106" x14ac:dyDescent="0.2">
      <c r="CE3179"/>
      <c r="CF3179"/>
      <c r="CG3179"/>
      <c r="CH3179"/>
      <c r="CI3179"/>
      <c r="CU3179" s="42">
        <v>3174</v>
      </c>
      <c r="CV3179" s="115">
        <v>4</v>
      </c>
      <c r="CW3179" s="115">
        <v>0.11332468572476186</v>
      </c>
      <c r="CX3179" s="115" t="e">
        <v>#N/A</v>
      </c>
      <c r="CY3179" s="115" t="e">
        <v>#N/A</v>
      </c>
      <c r="CZ3179" s="137" t="e">
        <v>#N/A</v>
      </c>
      <c r="DA3179">
        <v>0.11332468572476186</v>
      </c>
      <c r="DB3179" t="str">
        <v/>
      </c>
    </row>
    <row r="3180" spans="83:106" x14ac:dyDescent="0.2">
      <c r="CE3180"/>
      <c r="CF3180"/>
      <c r="CG3180"/>
      <c r="CH3180"/>
      <c r="CI3180"/>
      <c r="CU3180" s="42">
        <v>3175</v>
      </c>
      <c r="CV3180" s="115">
        <v>4</v>
      </c>
      <c r="CW3180" s="115">
        <v>0.11332468572476186</v>
      </c>
      <c r="CX3180" s="115" t="e">
        <v>#N/A</v>
      </c>
      <c r="CY3180" s="115" t="e">
        <v>#N/A</v>
      </c>
      <c r="CZ3180" s="137" t="e">
        <v>#N/A</v>
      </c>
      <c r="DA3180">
        <v>0.11332468572476186</v>
      </c>
      <c r="DB3180" t="str">
        <v/>
      </c>
    </row>
    <row r="3181" spans="83:106" x14ac:dyDescent="0.2">
      <c r="CE3181"/>
      <c r="CF3181"/>
      <c r="CG3181"/>
      <c r="CH3181"/>
      <c r="CI3181"/>
      <c r="CU3181" s="42">
        <v>3176</v>
      </c>
      <c r="CV3181" s="115">
        <v>4</v>
      </c>
      <c r="CW3181" s="115">
        <v>0.11332468572476186</v>
      </c>
      <c r="CX3181" s="115" t="e">
        <v>#N/A</v>
      </c>
      <c r="CY3181" s="115" t="e">
        <v>#N/A</v>
      </c>
      <c r="CZ3181" s="137" t="e">
        <v>#N/A</v>
      </c>
      <c r="DA3181">
        <v>0.11332468572476186</v>
      </c>
      <c r="DB3181" t="str">
        <v/>
      </c>
    </row>
    <row r="3182" spans="83:106" x14ac:dyDescent="0.2">
      <c r="CE3182"/>
      <c r="CF3182"/>
      <c r="CG3182"/>
      <c r="CH3182"/>
      <c r="CI3182"/>
      <c r="CU3182" s="42">
        <v>3177</v>
      </c>
      <c r="CV3182" s="115">
        <v>4</v>
      </c>
      <c r="CW3182" s="115">
        <v>0.11332468572476186</v>
      </c>
      <c r="CX3182" s="115" t="e">
        <v>#N/A</v>
      </c>
      <c r="CY3182" s="115" t="e">
        <v>#N/A</v>
      </c>
      <c r="CZ3182" s="137" t="e">
        <v>#N/A</v>
      </c>
      <c r="DA3182">
        <v>0.11332468572476186</v>
      </c>
      <c r="DB3182" t="str">
        <v/>
      </c>
    </row>
    <row r="3183" spans="83:106" x14ac:dyDescent="0.2">
      <c r="CE3183"/>
      <c r="CF3183"/>
      <c r="CG3183"/>
      <c r="CH3183"/>
      <c r="CI3183"/>
      <c r="CU3183" s="42">
        <v>3178</v>
      </c>
      <c r="CV3183" s="115">
        <v>4</v>
      </c>
      <c r="CW3183" s="115">
        <v>0.11332468572476186</v>
      </c>
      <c r="CX3183" s="115" t="e">
        <v>#N/A</v>
      </c>
      <c r="CY3183" s="115" t="e">
        <v>#N/A</v>
      </c>
      <c r="CZ3183" s="137" t="e">
        <v>#N/A</v>
      </c>
      <c r="DA3183">
        <v>0.11332468572476186</v>
      </c>
      <c r="DB3183" t="str">
        <v/>
      </c>
    </row>
    <row r="3184" spans="83:106" x14ac:dyDescent="0.2">
      <c r="CE3184"/>
      <c r="CF3184"/>
      <c r="CG3184"/>
      <c r="CH3184"/>
      <c r="CI3184"/>
      <c r="CU3184" s="42">
        <v>3179</v>
      </c>
      <c r="CV3184" s="115">
        <v>4</v>
      </c>
      <c r="CW3184" s="115">
        <v>0.11332468572476186</v>
      </c>
      <c r="CX3184" s="115" t="e">
        <v>#N/A</v>
      </c>
      <c r="CY3184" s="115" t="e">
        <v>#N/A</v>
      </c>
      <c r="CZ3184" s="137" t="e">
        <v>#N/A</v>
      </c>
      <c r="DA3184">
        <v>0.11332468572476186</v>
      </c>
      <c r="DB3184" t="str">
        <v/>
      </c>
    </row>
    <row r="3185" spans="83:106" x14ac:dyDescent="0.2">
      <c r="CE3185"/>
      <c r="CF3185"/>
      <c r="CG3185"/>
      <c r="CH3185"/>
      <c r="CI3185"/>
      <c r="CU3185" s="42">
        <v>3180</v>
      </c>
      <c r="CV3185" s="115">
        <v>4</v>
      </c>
      <c r="CW3185" s="115">
        <v>0.11332468572476186</v>
      </c>
      <c r="CX3185" s="115" t="e">
        <v>#N/A</v>
      </c>
      <c r="CY3185" s="115" t="e">
        <v>#N/A</v>
      </c>
      <c r="CZ3185" s="137" t="e">
        <v>#N/A</v>
      </c>
      <c r="DA3185">
        <v>0.11332468572476186</v>
      </c>
      <c r="DB3185" t="str">
        <v/>
      </c>
    </row>
    <row r="3186" spans="83:106" x14ac:dyDescent="0.2">
      <c r="CE3186"/>
      <c r="CF3186"/>
      <c r="CG3186"/>
      <c r="CH3186"/>
      <c r="CI3186"/>
      <c r="CU3186" s="42">
        <v>3181</v>
      </c>
      <c r="CV3186" s="115">
        <v>4</v>
      </c>
      <c r="CW3186" s="115">
        <v>0.11332468572476186</v>
      </c>
      <c r="CX3186" s="115" t="e">
        <v>#N/A</v>
      </c>
      <c r="CY3186" s="115" t="e">
        <v>#N/A</v>
      </c>
      <c r="CZ3186" s="137" t="e">
        <v>#N/A</v>
      </c>
      <c r="DA3186">
        <v>0.11332468572476186</v>
      </c>
      <c r="DB3186" t="str">
        <v/>
      </c>
    </row>
    <row r="3187" spans="83:106" x14ac:dyDescent="0.2">
      <c r="CE3187"/>
      <c r="CF3187"/>
      <c r="CG3187"/>
      <c r="CH3187"/>
      <c r="CI3187"/>
      <c r="CU3187" s="42">
        <v>3182</v>
      </c>
      <c r="CV3187" s="115">
        <v>4</v>
      </c>
      <c r="CW3187" s="115">
        <v>0.11332468572476186</v>
      </c>
      <c r="CX3187" s="115" t="e">
        <v>#N/A</v>
      </c>
      <c r="CY3187" s="115" t="e">
        <v>#N/A</v>
      </c>
      <c r="CZ3187" s="137" t="e">
        <v>#N/A</v>
      </c>
      <c r="DA3187">
        <v>0.11332468572476186</v>
      </c>
      <c r="DB3187" t="str">
        <v/>
      </c>
    </row>
    <row r="3188" spans="83:106" x14ac:dyDescent="0.2">
      <c r="CE3188"/>
      <c r="CF3188"/>
      <c r="CG3188"/>
      <c r="CH3188"/>
      <c r="CI3188"/>
      <c r="CU3188" s="42">
        <v>3183</v>
      </c>
      <c r="CV3188" s="115">
        <v>4</v>
      </c>
      <c r="CW3188" s="115">
        <v>0.11332468572476186</v>
      </c>
      <c r="CX3188" s="115" t="e">
        <v>#N/A</v>
      </c>
      <c r="CY3188" s="115" t="e">
        <v>#N/A</v>
      </c>
      <c r="CZ3188" s="137" t="e">
        <v>#N/A</v>
      </c>
      <c r="DA3188">
        <v>0.11332468572476186</v>
      </c>
      <c r="DB3188" t="str">
        <v/>
      </c>
    </row>
    <row r="3189" spans="83:106" x14ac:dyDescent="0.2">
      <c r="CE3189"/>
      <c r="CF3189"/>
      <c r="CG3189"/>
      <c r="CH3189"/>
      <c r="CI3189"/>
      <c r="CU3189" s="42">
        <v>3184</v>
      </c>
      <c r="CV3189" s="115">
        <v>4</v>
      </c>
      <c r="CW3189" s="115">
        <v>0.11332468572476186</v>
      </c>
      <c r="CX3189" s="115" t="e">
        <v>#N/A</v>
      </c>
      <c r="CY3189" s="115" t="e">
        <v>#N/A</v>
      </c>
      <c r="CZ3189" s="137" t="e">
        <v>#N/A</v>
      </c>
      <c r="DA3189">
        <v>0.11332468572476186</v>
      </c>
      <c r="DB3189" t="str">
        <v/>
      </c>
    </row>
    <row r="3190" spans="83:106" x14ac:dyDescent="0.2">
      <c r="CE3190"/>
      <c r="CF3190"/>
      <c r="CG3190"/>
      <c r="CH3190"/>
      <c r="CI3190"/>
      <c r="CU3190" s="42">
        <v>3185</v>
      </c>
      <c r="CV3190" s="115">
        <v>4</v>
      </c>
      <c r="CW3190" s="115">
        <v>0.11332468572476186</v>
      </c>
      <c r="CX3190" s="115" t="e">
        <v>#N/A</v>
      </c>
      <c r="CY3190" s="115" t="e">
        <v>#N/A</v>
      </c>
      <c r="CZ3190" s="137" t="e">
        <v>#N/A</v>
      </c>
      <c r="DA3190">
        <v>0.11332468572476186</v>
      </c>
      <c r="DB3190" t="str">
        <v/>
      </c>
    </row>
    <row r="3191" spans="83:106" x14ac:dyDescent="0.2">
      <c r="CE3191"/>
      <c r="CF3191"/>
      <c r="CG3191"/>
      <c r="CH3191"/>
      <c r="CI3191"/>
      <c r="CU3191" s="42">
        <v>3186</v>
      </c>
      <c r="CV3191" s="115">
        <v>4</v>
      </c>
      <c r="CW3191" s="115">
        <v>0.11332468572476186</v>
      </c>
      <c r="CX3191" s="115" t="e">
        <v>#N/A</v>
      </c>
      <c r="CY3191" s="115" t="e">
        <v>#N/A</v>
      </c>
      <c r="CZ3191" s="137" t="e">
        <v>#N/A</v>
      </c>
      <c r="DA3191">
        <v>0.11332468572476186</v>
      </c>
      <c r="DB3191" t="str">
        <v/>
      </c>
    </row>
    <row r="3192" spans="83:106" x14ac:dyDescent="0.2">
      <c r="CE3192"/>
      <c r="CF3192"/>
      <c r="CG3192"/>
      <c r="CH3192"/>
      <c r="CI3192"/>
      <c r="CU3192" s="42">
        <v>3187</v>
      </c>
      <c r="CV3192" s="115">
        <v>4</v>
      </c>
      <c r="CW3192" s="115">
        <v>0.11332468572476186</v>
      </c>
      <c r="CX3192" s="115" t="e">
        <v>#N/A</v>
      </c>
      <c r="CY3192" s="115" t="e">
        <v>#N/A</v>
      </c>
      <c r="CZ3192" s="137" t="e">
        <v>#N/A</v>
      </c>
      <c r="DA3192">
        <v>0.11332468572476186</v>
      </c>
      <c r="DB3192" t="str">
        <v/>
      </c>
    </row>
    <row r="3193" spans="83:106" x14ac:dyDescent="0.2">
      <c r="CE3193"/>
      <c r="CF3193"/>
      <c r="CG3193"/>
      <c r="CH3193"/>
      <c r="CI3193"/>
      <c r="CU3193" s="42">
        <v>3188</v>
      </c>
      <c r="CV3193" s="115">
        <v>4</v>
      </c>
      <c r="CW3193" s="115">
        <v>0.11332468572476186</v>
      </c>
      <c r="CX3193" s="115" t="e">
        <v>#N/A</v>
      </c>
      <c r="CY3193" s="115" t="e">
        <v>#N/A</v>
      </c>
      <c r="CZ3193" s="137" t="e">
        <v>#N/A</v>
      </c>
      <c r="DA3193">
        <v>0.11332468572476186</v>
      </c>
      <c r="DB3193" t="str">
        <v/>
      </c>
    </row>
    <row r="3194" spans="83:106" x14ac:dyDescent="0.2">
      <c r="CE3194"/>
      <c r="CF3194"/>
      <c r="CG3194"/>
      <c r="CH3194"/>
      <c r="CI3194"/>
      <c r="CU3194" s="42">
        <v>3189</v>
      </c>
      <c r="CV3194" s="115">
        <v>4</v>
      </c>
      <c r="CW3194" s="115">
        <v>0.11332468572476186</v>
      </c>
      <c r="CX3194" s="115" t="e">
        <v>#N/A</v>
      </c>
      <c r="CY3194" s="115" t="e">
        <v>#N/A</v>
      </c>
      <c r="CZ3194" s="137" t="e">
        <v>#N/A</v>
      </c>
      <c r="DA3194">
        <v>0.11332468572476186</v>
      </c>
      <c r="DB3194" t="str">
        <v/>
      </c>
    </row>
    <row r="3195" spans="83:106" x14ac:dyDescent="0.2">
      <c r="CE3195"/>
      <c r="CF3195"/>
      <c r="CG3195"/>
      <c r="CH3195"/>
      <c r="CI3195"/>
      <c r="CU3195" s="42">
        <v>3190</v>
      </c>
      <c r="CV3195" s="115">
        <v>4</v>
      </c>
      <c r="CW3195" s="115">
        <v>0.11332468572476186</v>
      </c>
      <c r="CX3195" s="115" t="e">
        <v>#N/A</v>
      </c>
      <c r="CY3195" s="115" t="e">
        <v>#N/A</v>
      </c>
      <c r="CZ3195" s="137" t="e">
        <v>#N/A</v>
      </c>
      <c r="DA3195">
        <v>0.11332468572476186</v>
      </c>
      <c r="DB3195" t="str">
        <v/>
      </c>
    </row>
    <row r="3196" spans="83:106" x14ac:dyDescent="0.2">
      <c r="CE3196"/>
      <c r="CF3196"/>
      <c r="CG3196"/>
      <c r="CH3196"/>
      <c r="CI3196"/>
      <c r="CU3196" s="42">
        <v>3191</v>
      </c>
      <c r="CV3196" s="115">
        <v>4</v>
      </c>
      <c r="CW3196" s="115">
        <v>0.11332468572476186</v>
      </c>
      <c r="CX3196" s="115" t="e">
        <v>#N/A</v>
      </c>
      <c r="CY3196" s="115" t="e">
        <v>#N/A</v>
      </c>
      <c r="CZ3196" s="137" t="e">
        <v>#N/A</v>
      </c>
      <c r="DA3196">
        <v>0.11332468572476186</v>
      </c>
      <c r="DB3196" t="str">
        <v/>
      </c>
    </row>
    <row r="3197" spans="83:106" x14ac:dyDescent="0.2">
      <c r="CE3197"/>
      <c r="CF3197"/>
      <c r="CG3197"/>
      <c r="CH3197"/>
      <c r="CI3197"/>
      <c r="CU3197" s="42">
        <v>3192</v>
      </c>
      <c r="CV3197" s="115">
        <v>4</v>
      </c>
      <c r="CW3197" s="115">
        <v>0.11332468572476186</v>
      </c>
      <c r="CX3197" s="115" t="e">
        <v>#N/A</v>
      </c>
      <c r="CY3197" s="115" t="e">
        <v>#N/A</v>
      </c>
      <c r="CZ3197" s="137" t="e">
        <v>#N/A</v>
      </c>
      <c r="DA3197">
        <v>0.11332468572476186</v>
      </c>
      <c r="DB3197" t="str">
        <v/>
      </c>
    </row>
    <row r="3198" spans="83:106" x14ac:dyDescent="0.2">
      <c r="CE3198"/>
      <c r="CF3198"/>
      <c r="CG3198"/>
      <c r="CH3198"/>
      <c r="CI3198"/>
      <c r="CU3198" s="42">
        <v>3193</v>
      </c>
      <c r="CV3198" s="115">
        <v>4</v>
      </c>
      <c r="CW3198" s="115">
        <v>0.11332468572476186</v>
      </c>
      <c r="CX3198" s="115" t="e">
        <v>#N/A</v>
      </c>
      <c r="CY3198" s="115" t="e">
        <v>#N/A</v>
      </c>
      <c r="CZ3198" s="137" t="e">
        <v>#N/A</v>
      </c>
      <c r="DA3198">
        <v>0.11332468572476186</v>
      </c>
      <c r="DB3198" t="str">
        <v/>
      </c>
    </row>
    <row r="3199" spans="83:106" x14ac:dyDescent="0.2">
      <c r="CE3199"/>
      <c r="CF3199"/>
      <c r="CG3199"/>
      <c r="CH3199"/>
      <c r="CI3199"/>
      <c r="CU3199" s="42">
        <v>3194</v>
      </c>
      <c r="CV3199" s="115">
        <v>4</v>
      </c>
      <c r="CW3199" s="115">
        <v>0.11332468572476186</v>
      </c>
      <c r="CX3199" s="115" t="e">
        <v>#N/A</v>
      </c>
      <c r="CY3199" s="115" t="e">
        <v>#N/A</v>
      </c>
      <c r="CZ3199" s="137" t="e">
        <v>#N/A</v>
      </c>
      <c r="DA3199">
        <v>0.11332468572476186</v>
      </c>
      <c r="DB3199" t="str">
        <v/>
      </c>
    </row>
    <row r="3200" spans="83:106" x14ac:dyDescent="0.2">
      <c r="CE3200"/>
      <c r="CF3200"/>
      <c r="CG3200"/>
      <c r="CH3200"/>
      <c r="CI3200"/>
      <c r="CU3200" s="42">
        <v>3195</v>
      </c>
      <c r="CV3200" s="115">
        <v>4</v>
      </c>
      <c r="CW3200" s="115">
        <v>0.11332468572476186</v>
      </c>
      <c r="CX3200" s="115" t="e">
        <v>#N/A</v>
      </c>
      <c r="CY3200" s="115" t="e">
        <v>#N/A</v>
      </c>
      <c r="CZ3200" s="137" t="e">
        <v>#N/A</v>
      </c>
      <c r="DA3200">
        <v>0.11332468572476186</v>
      </c>
      <c r="DB3200" t="str">
        <v/>
      </c>
    </row>
    <row r="3201" spans="83:106" x14ac:dyDescent="0.2">
      <c r="CE3201"/>
      <c r="CF3201"/>
      <c r="CG3201"/>
      <c r="CH3201"/>
      <c r="CI3201"/>
      <c r="CU3201" s="42">
        <v>3196</v>
      </c>
      <c r="CV3201" s="115">
        <v>4</v>
      </c>
      <c r="CW3201" s="115">
        <v>0.11332468572476186</v>
      </c>
      <c r="CX3201" s="115" t="e">
        <v>#N/A</v>
      </c>
      <c r="CY3201" s="115" t="e">
        <v>#N/A</v>
      </c>
      <c r="CZ3201" s="137" t="e">
        <v>#N/A</v>
      </c>
      <c r="DA3201">
        <v>0.11332468572476186</v>
      </c>
      <c r="DB3201" t="str">
        <v/>
      </c>
    </row>
    <row r="3202" spans="83:106" x14ac:dyDescent="0.2">
      <c r="CE3202"/>
      <c r="CF3202"/>
      <c r="CG3202"/>
      <c r="CH3202"/>
      <c r="CI3202"/>
      <c r="CU3202" s="42">
        <v>3197</v>
      </c>
      <c r="CV3202" s="115">
        <v>4</v>
      </c>
      <c r="CW3202" s="115">
        <v>0.11332468572476186</v>
      </c>
      <c r="CX3202" s="115" t="e">
        <v>#N/A</v>
      </c>
      <c r="CY3202" s="115" t="e">
        <v>#N/A</v>
      </c>
      <c r="CZ3202" s="137" t="e">
        <v>#N/A</v>
      </c>
      <c r="DA3202">
        <v>0.11332468572476186</v>
      </c>
      <c r="DB3202" t="str">
        <v/>
      </c>
    </row>
    <row r="3203" spans="83:106" x14ac:dyDescent="0.2">
      <c r="CE3203"/>
      <c r="CF3203"/>
      <c r="CG3203"/>
      <c r="CH3203"/>
      <c r="CI3203"/>
      <c r="CU3203" s="42">
        <v>3198</v>
      </c>
      <c r="CV3203" s="115">
        <v>4</v>
      </c>
      <c r="CW3203" s="115">
        <v>0.11332468572476186</v>
      </c>
      <c r="CX3203" s="115" t="e">
        <v>#N/A</v>
      </c>
      <c r="CY3203" s="115" t="e">
        <v>#N/A</v>
      </c>
      <c r="CZ3203" s="137" t="e">
        <v>#N/A</v>
      </c>
      <c r="DA3203">
        <v>0.11332468572476186</v>
      </c>
      <c r="DB3203" t="str">
        <v/>
      </c>
    </row>
    <row r="3204" spans="83:106" x14ac:dyDescent="0.2">
      <c r="CE3204"/>
      <c r="CF3204"/>
      <c r="CG3204"/>
      <c r="CH3204"/>
      <c r="CI3204"/>
      <c r="CU3204" s="42">
        <v>3199</v>
      </c>
      <c r="CV3204" s="115">
        <v>4</v>
      </c>
      <c r="CW3204" s="115">
        <v>0.11332468572476186</v>
      </c>
      <c r="CX3204" s="115" t="e">
        <v>#N/A</v>
      </c>
      <c r="CY3204" s="115" t="e">
        <v>#N/A</v>
      </c>
      <c r="CZ3204" s="137" t="e">
        <v>#N/A</v>
      </c>
      <c r="DA3204">
        <v>0.11332468572476186</v>
      </c>
      <c r="DB3204" t="str">
        <v/>
      </c>
    </row>
    <row r="3205" spans="83:106" x14ac:dyDescent="0.2">
      <c r="CE3205"/>
      <c r="CF3205"/>
      <c r="CG3205"/>
      <c r="CH3205"/>
      <c r="CI3205"/>
      <c r="CU3205" s="42">
        <v>3200</v>
      </c>
      <c r="CV3205" s="115">
        <v>4</v>
      </c>
      <c r="CW3205" s="115">
        <v>0.11332468572476186</v>
      </c>
      <c r="CX3205" s="115" t="e">
        <v>#N/A</v>
      </c>
      <c r="CY3205" s="115" t="e">
        <v>#N/A</v>
      </c>
      <c r="CZ3205" s="137" t="e">
        <v>#N/A</v>
      </c>
      <c r="DA3205">
        <v>0.11332468572476186</v>
      </c>
      <c r="DB3205" t="str">
        <v/>
      </c>
    </row>
    <row r="3206" spans="83:106" x14ac:dyDescent="0.2">
      <c r="CE3206"/>
      <c r="CF3206"/>
      <c r="CG3206"/>
      <c r="CH3206"/>
      <c r="CI3206"/>
      <c r="CU3206" s="42">
        <v>3201</v>
      </c>
      <c r="CV3206" s="115">
        <v>4</v>
      </c>
      <c r="CW3206" s="115">
        <v>0.11332468572476186</v>
      </c>
      <c r="CX3206" s="115" t="e">
        <v>#N/A</v>
      </c>
      <c r="CY3206" s="115" t="e">
        <v>#N/A</v>
      </c>
      <c r="CZ3206" s="137" t="e">
        <v>#N/A</v>
      </c>
      <c r="DA3206">
        <v>0.11332468572476186</v>
      </c>
      <c r="DB3206" t="str">
        <v/>
      </c>
    </row>
    <row r="3207" spans="83:106" x14ac:dyDescent="0.2">
      <c r="CE3207"/>
      <c r="CF3207"/>
      <c r="CG3207"/>
      <c r="CH3207"/>
      <c r="CI3207"/>
      <c r="CU3207" s="42">
        <v>3202</v>
      </c>
      <c r="CV3207" s="115">
        <v>4</v>
      </c>
      <c r="CW3207" s="115">
        <v>0.11332468572476186</v>
      </c>
      <c r="CX3207" s="115" t="e">
        <v>#N/A</v>
      </c>
      <c r="CY3207" s="115" t="e">
        <v>#N/A</v>
      </c>
      <c r="CZ3207" s="137" t="e">
        <v>#N/A</v>
      </c>
      <c r="DA3207">
        <v>0.11332468572476186</v>
      </c>
      <c r="DB3207" t="str">
        <v/>
      </c>
    </row>
    <row r="3208" spans="83:106" x14ac:dyDescent="0.2">
      <c r="CE3208"/>
      <c r="CF3208"/>
      <c r="CG3208"/>
      <c r="CH3208"/>
      <c r="CI3208"/>
      <c r="CU3208" s="42">
        <v>3203</v>
      </c>
      <c r="CV3208" s="115">
        <v>4</v>
      </c>
      <c r="CW3208" s="115">
        <v>0.11332468572476186</v>
      </c>
      <c r="CX3208" s="115" t="e">
        <v>#N/A</v>
      </c>
      <c r="CY3208" s="115" t="e">
        <v>#N/A</v>
      </c>
      <c r="CZ3208" s="137" t="e">
        <v>#N/A</v>
      </c>
      <c r="DA3208">
        <v>0.11332468572476186</v>
      </c>
      <c r="DB3208" t="str">
        <v/>
      </c>
    </row>
    <row r="3209" spans="83:106" x14ac:dyDescent="0.2">
      <c r="CE3209"/>
      <c r="CF3209"/>
      <c r="CG3209"/>
      <c r="CH3209"/>
      <c r="CI3209"/>
      <c r="CU3209" s="42">
        <v>3204</v>
      </c>
      <c r="CV3209" s="115">
        <v>4</v>
      </c>
      <c r="CW3209" s="115">
        <v>0.11332468572476186</v>
      </c>
      <c r="CX3209" s="115" t="e">
        <v>#N/A</v>
      </c>
      <c r="CY3209" s="115" t="e">
        <v>#N/A</v>
      </c>
      <c r="CZ3209" s="137" t="e">
        <v>#N/A</v>
      </c>
      <c r="DA3209">
        <v>0.11332468572476186</v>
      </c>
      <c r="DB3209" t="str">
        <v/>
      </c>
    </row>
    <row r="3210" spans="83:106" x14ac:dyDescent="0.2">
      <c r="CE3210"/>
      <c r="CF3210"/>
      <c r="CG3210"/>
      <c r="CH3210"/>
      <c r="CI3210"/>
      <c r="CU3210" s="42">
        <v>3205</v>
      </c>
      <c r="CV3210" s="115">
        <v>4</v>
      </c>
      <c r="CW3210" s="115">
        <v>0.11332468572476186</v>
      </c>
      <c r="CX3210" s="115" t="e">
        <v>#N/A</v>
      </c>
      <c r="CY3210" s="115" t="e">
        <v>#N/A</v>
      </c>
      <c r="CZ3210" s="137" t="e">
        <v>#N/A</v>
      </c>
      <c r="DA3210">
        <v>0.11332468572476186</v>
      </c>
      <c r="DB3210" t="str">
        <v/>
      </c>
    </row>
    <row r="3211" spans="83:106" x14ac:dyDescent="0.2">
      <c r="CE3211"/>
      <c r="CF3211"/>
      <c r="CG3211"/>
      <c r="CH3211"/>
      <c r="CI3211"/>
      <c r="CU3211" s="42">
        <v>3206</v>
      </c>
      <c r="CV3211" s="115">
        <v>4</v>
      </c>
      <c r="CW3211" s="115">
        <v>0.11332468572476186</v>
      </c>
      <c r="CX3211" s="115" t="e">
        <v>#N/A</v>
      </c>
      <c r="CY3211" s="115" t="e">
        <v>#N/A</v>
      </c>
      <c r="CZ3211" s="137" t="e">
        <v>#N/A</v>
      </c>
      <c r="DA3211">
        <v>0.11332468572476186</v>
      </c>
      <c r="DB3211" t="str">
        <v/>
      </c>
    </row>
    <row r="3212" spans="83:106" x14ac:dyDescent="0.2">
      <c r="CE3212"/>
      <c r="CF3212"/>
      <c r="CG3212"/>
      <c r="CH3212"/>
      <c r="CI3212"/>
      <c r="CU3212" s="42">
        <v>3207</v>
      </c>
      <c r="CV3212" s="115">
        <v>4</v>
      </c>
      <c r="CW3212" s="115">
        <v>0.11332468572476186</v>
      </c>
      <c r="CX3212" s="115" t="e">
        <v>#N/A</v>
      </c>
      <c r="CY3212" s="115" t="e">
        <v>#N/A</v>
      </c>
      <c r="CZ3212" s="137" t="e">
        <v>#N/A</v>
      </c>
      <c r="DA3212">
        <v>0.11332468572476186</v>
      </c>
      <c r="DB3212" t="str">
        <v/>
      </c>
    </row>
    <row r="3213" spans="83:106" x14ac:dyDescent="0.2">
      <c r="CE3213"/>
      <c r="CF3213"/>
      <c r="CG3213"/>
      <c r="CH3213"/>
      <c r="CI3213"/>
      <c r="CU3213" s="42">
        <v>3208</v>
      </c>
      <c r="CV3213" s="115">
        <v>4</v>
      </c>
      <c r="CW3213" s="115">
        <v>0.11332468572476186</v>
      </c>
      <c r="CX3213" s="115" t="e">
        <v>#N/A</v>
      </c>
      <c r="CY3213" s="115" t="e">
        <v>#N/A</v>
      </c>
      <c r="CZ3213" s="137" t="e">
        <v>#N/A</v>
      </c>
      <c r="DA3213">
        <v>0.11332468572476186</v>
      </c>
      <c r="DB3213" t="str">
        <v/>
      </c>
    </row>
    <row r="3214" spans="83:106" x14ac:dyDescent="0.2">
      <c r="CE3214"/>
      <c r="CF3214"/>
      <c r="CG3214"/>
      <c r="CH3214"/>
      <c r="CI3214"/>
      <c r="CU3214" s="42">
        <v>3209</v>
      </c>
      <c r="CV3214" s="115">
        <v>4</v>
      </c>
      <c r="CW3214" s="115">
        <v>0.11332468572476186</v>
      </c>
      <c r="CX3214" s="115" t="e">
        <v>#N/A</v>
      </c>
      <c r="CY3214" s="115" t="e">
        <v>#N/A</v>
      </c>
      <c r="CZ3214" s="137" t="e">
        <v>#N/A</v>
      </c>
      <c r="DA3214">
        <v>0.11332468572476186</v>
      </c>
      <c r="DB3214" t="str">
        <v/>
      </c>
    </row>
    <row r="3215" spans="83:106" x14ac:dyDescent="0.2">
      <c r="CE3215"/>
      <c r="CF3215"/>
      <c r="CG3215"/>
      <c r="CH3215"/>
      <c r="CI3215"/>
      <c r="CU3215" s="42">
        <v>3210</v>
      </c>
      <c r="CV3215" s="115">
        <v>4</v>
      </c>
      <c r="CW3215" s="115">
        <v>0.11332468572476186</v>
      </c>
      <c r="CX3215" s="115" t="e">
        <v>#N/A</v>
      </c>
      <c r="CY3215" s="115" t="e">
        <v>#N/A</v>
      </c>
      <c r="CZ3215" s="137" t="e">
        <v>#N/A</v>
      </c>
      <c r="DA3215">
        <v>0.11332468572476186</v>
      </c>
      <c r="DB3215" t="str">
        <v/>
      </c>
    </row>
    <row r="3216" spans="83:106" x14ac:dyDescent="0.2">
      <c r="CE3216"/>
      <c r="CF3216"/>
      <c r="CG3216"/>
      <c r="CH3216"/>
      <c r="CI3216"/>
      <c r="CU3216" s="42">
        <v>3211</v>
      </c>
      <c r="CV3216" s="115">
        <v>4</v>
      </c>
      <c r="CW3216" s="115">
        <v>0.11332468572476186</v>
      </c>
      <c r="CX3216" s="115" t="e">
        <v>#N/A</v>
      </c>
      <c r="CY3216" s="115" t="e">
        <v>#N/A</v>
      </c>
      <c r="CZ3216" s="137" t="e">
        <v>#N/A</v>
      </c>
      <c r="DA3216">
        <v>0.11332468572476186</v>
      </c>
      <c r="DB3216" t="str">
        <v/>
      </c>
    </row>
    <row r="3217" spans="83:106" x14ac:dyDescent="0.2">
      <c r="CE3217"/>
      <c r="CF3217"/>
      <c r="CG3217"/>
      <c r="CH3217"/>
      <c r="CI3217"/>
      <c r="CU3217" s="42">
        <v>3212</v>
      </c>
      <c r="CV3217" s="115">
        <v>4</v>
      </c>
      <c r="CW3217" s="115">
        <v>0.11332468572476186</v>
      </c>
      <c r="CX3217" s="115" t="e">
        <v>#N/A</v>
      </c>
      <c r="CY3217" s="115" t="e">
        <v>#N/A</v>
      </c>
      <c r="CZ3217" s="137" t="e">
        <v>#N/A</v>
      </c>
      <c r="DA3217">
        <v>0.11332468572476186</v>
      </c>
      <c r="DB3217" t="str">
        <v/>
      </c>
    </row>
    <row r="3218" spans="83:106" x14ac:dyDescent="0.2">
      <c r="CE3218"/>
      <c r="CF3218"/>
      <c r="CG3218"/>
      <c r="CH3218"/>
      <c r="CI3218"/>
      <c r="CU3218" s="42">
        <v>3213</v>
      </c>
      <c r="CV3218" s="115">
        <v>4</v>
      </c>
      <c r="CW3218" s="115">
        <v>0.11332468572476186</v>
      </c>
      <c r="CX3218" s="115" t="e">
        <v>#N/A</v>
      </c>
      <c r="CY3218" s="115" t="e">
        <v>#N/A</v>
      </c>
      <c r="CZ3218" s="137" t="e">
        <v>#N/A</v>
      </c>
      <c r="DA3218">
        <v>0.11332468572476186</v>
      </c>
      <c r="DB3218" t="str">
        <v/>
      </c>
    </row>
    <row r="3219" spans="83:106" x14ac:dyDescent="0.2">
      <c r="CE3219"/>
      <c r="CF3219"/>
      <c r="CG3219"/>
      <c r="CH3219"/>
      <c r="CI3219"/>
      <c r="CU3219" s="42">
        <v>3214</v>
      </c>
      <c r="CV3219" s="115">
        <v>4</v>
      </c>
      <c r="CW3219" s="115">
        <v>0.11332468572476186</v>
      </c>
      <c r="CX3219" s="115" t="e">
        <v>#N/A</v>
      </c>
      <c r="CY3219" s="115" t="e">
        <v>#N/A</v>
      </c>
      <c r="CZ3219" s="137" t="e">
        <v>#N/A</v>
      </c>
      <c r="DA3219">
        <v>0.11332468572476186</v>
      </c>
      <c r="DB3219" t="str">
        <v/>
      </c>
    </row>
    <row r="3220" spans="83:106" x14ac:dyDescent="0.2">
      <c r="CE3220"/>
      <c r="CF3220"/>
      <c r="CG3220"/>
      <c r="CH3220"/>
      <c r="CI3220"/>
      <c r="CU3220" s="42">
        <v>3215</v>
      </c>
      <c r="CV3220" s="115">
        <v>4</v>
      </c>
      <c r="CW3220" s="115">
        <v>0.11332468572476186</v>
      </c>
      <c r="CX3220" s="115" t="e">
        <v>#N/A</v>
      </c>
      <c r="CY3220" s="115" t="e">
        <v>#N/A</v>
      </c>
      <c r="CZ3220" s="137" t="e">
        <v>#N/A</v>
      </c>
      <c r="DA3220">
        <v>0.11332468572476186</v>
      </c>
      <c r="DB3220" t="str">
        <v/>
      </c>
    </row>
    <row r="3221" spans="83:106" x14ac:dyDescent="0.2">
      <c r="CE3221"/>
      <c r="CF3221"/>
      <c r="CG3221"/>
      <c r="CH3221"/>
      <c r="CI3221"/>
      <c r="CU3221" s="42">
        <v>3216</v>
      </c>
      <c r="CV3221" s="115">
        <v>4</v>
      </c>
      <c r="CW3221" s="115">
        <v>0.11332468572476186</v>
      </c>
      <c r="CX3221" s="115" t="e">
        <v>#N/A</v>
      </c>
      <c r="CY3221" s="115" t="e">
        <v>#N/A</v>
      </c>
      <c r="CZ3221" s="137" t="e">
        <v>#N/A</v>
      </c>
      <c r="DA3221">
        <v>0.11332468572476186</v>
      </c>
      <c r="DB3221" t="str">
        <v/>
      </c>
    </row>
    <row r="3222" spans="83:106" x14ac:dyDescent="0.2">
      <c r="CE3222"/>
      <c r="CF3222"/>
      <c r="CG3222"/>
      <c r="CH3222"/>
      <c r="CI3222"/>
      <c r="CU3222" s="42">
        <v>3217</v>
      </c>
      <c r="CV3222" s="115">
        <v>4</v>
      </c>
      <c r="CW3222" s="115">
        <v>0.11332468572476186</v>
      </c>
      <c r="CX3222" s="115" t="e">
        <v>#N/A</v>
      </c>
      <c r="CY3222" s="115" t="e">
        <v>#N/A</v>
      </c>
      <c r="CZ3222" s="137" t="e">
        <v>#N/A</v>
      </c>
      <c r="DA3222">
        <v>0.11332468572476186</v>
      </c>
      <c r="DB3222" t="str">
        <v/>
      </c>
    </row>
    <row r="3223" spans="83:106" x14ac:dyDescent="0.2">
      <c r="CE3223"/>
      <c r="CF3223"/>
      <c r="CG3223"/>
      <c r="CH3223"/>
      <c r="CI3223"/>
      <c r="CU3223" s="42">
        <v>3218</v>
      </c>
      <c r="CV3223" s="115">
        <v>4</v>
      </c>
      <c r="CW3223" s="115">
        <v>0.11332468572476186</v>
      </c>
      <c r="CX3223" s="115" t="e">
        <v>#N/A</v>
      </c>
      <c r="CY3223" s="115" t="e">
        <v>#N/A</v>
      </c>
      <c r="CZ3223" s="137" t="e">
        <v>#N/A</v>
      </c>
      <c r="DA3223">
        <v>0.11332468572476186</v>
      </c>
      <c r="DB3223" t="str">
        <v/>
      </c>
    </row>
    <row r="3224" spans="83:106" x14ac:dyDescent="0.2">
      <c r="CE3224"/>
      <c r="CF3224"/>
      <c r="CG3224"/>
      <c r="CH3224"/>
      <c r="CI3224"/>
      <c r="CU3224" s="42">
        <v>3219</v>
      </c>
      <c r="CV3224" s="115">
        <v>4</v>
      </c>
      <c r="CW3224" s="115">
        <v>0.11332468572476186</v>
      </c>
      <c r="CX3224" s="115" t="e">
        <v>#N/A</v>
      </c>
      <c r="CY3224" s="115" t="e">
        <v>#N/A</v>
      </c>
      <c r="CZ3224" s="137" t="e">
        <v>#N/A</v>
      </c>
      <c r="DA3224">
        <v>0.11332468572476186</v>
      </c>
      <c r="DB3224" t="str">
        <v/>
      </c>
    </row>
    <row r="3225" spans="83:106" x14ac:dyDescent="0.2">
      <c r="CE3225"/>
      <c r="CF3225"/>
      <c r="CG3225"/>
      <c r="CH3225"/>
      <c r="CI3225"/>
      <c r="CU3225" s="42">
        <v>3220</v>
      </c>
      <c r="CV3225" s="115">
        <v>4</v>
      </c>
      <c r="CW3225" s="115">
        <v>0.11332468572476186</v>
      </c>
      <c r="CX3225" s="115" t="e">
        <v>#N/A</v>
      </c>
      <c r="CY3225" s="115" t="e">
        <v>#N/A</v>
      </c>
      <c r="CZ3225" s="137" t="e">
        <v>#N/A</v>
      </c>
      <c r="DA3225">
        <v>0.11332468572476186</v>
      </c>
      <c r="DB3225" t="str">
        <v/>
      </c>
    </row>
    <row r="3226" spans="83:106" x14ac:dyDescent="0.2">
      <c r="CE3226"/>
      <c r="CF3226"/>
      <c r="CG3226"/>
      <c r="CH3226"/>
      <c r="CI3226"/>
      <c r="CU3226" s="42">
        <v>3221</v>
      </c>
      <c r="CV3226" s="115">
        <v>4</v>
      </c>
      <c r="CW3226" s="115">
        <v>0.11332468572476186</v>
      </c>
      <c r="CX3226" s="115" t="e">
        <v>#N/A</v>
      </c>
      <c r="CY3226" s="115" t="e">
        <v>#N/A</v>
      </c>
      <c r="CZ3226" s="137" t="e">
        <v>#N/A</v>
      </c>
      <c r="DA3226">
        <v>0.11332468572476186</v>
      </c>
      <c r="DB3226" t="str">
        <v/>
      </c>
    </row>
    <row r="3227" spans="83:106" x14ac:dyDescent="0.2">
      <c r="CE3227"/>
      <c r="CF3227"/>
      <c r="CG3227"/>
      <c r="CH3227"/>
      <c r="CI3227"/>
      <c r="CU3227" s="42">
        <v>3222</v>
      </c>
      <c r="CV3227" s="115">
        <v>4</v>
      </c>
      <c r="CW3227" s="115">
        <v>0.11332468572476186</v>
      </c>
      <c r="CX3227" s="115" t="e">
        <v>#N/A</v>
      </c>
      <c r="CY3227" s="115" t="e">
        <v>#N/A</v>
      </c>
      <c r="CZ3227" s="137" t="e">
        <v>#N/A</v>
      </c>
      <c r="DA3227">
        <v>0.11332468572476186</v>
      </c>
      <c r="DB3227" t="str">
        <v/>
      </c>
    </row>
    <row r="3228" spans="83:106" x14ac:dyDescent="0.2">
      <c r="CE3228"/>
      <c r="CF3228"/>
      <c r="CG3228"/>
      <c r="CH3228"/>
      <c r="CI3228"/>
      <c r="CU3228" s="42">
        <v>3223</v>
      </c>
      <c r="CV3228" s="115">
        <v>4</v>
      </c>
      <c r="CW3228" s="115">
        <v>0.11332468572476186</v>
      </c>
      <c r="CX3228" s="115" t="e">
        <v>#N/A</v>
      </c>
      <c r="CY3228" s="115" t="e">
        <v>#N/A</v>
      </c>
      <c r="CZ3228" s="137" t="e">
        <v>#N/A</v>
      </c>
      <c r="DA3228">
        <v>0.11332468572476186</v>
      </c>
      <c r="DB3228" t="str">
        <v/>
      </c>
    </row>
    <row r="3229" spans="83:106" x14ac:dyDescent="0.2">
      <c r="CE3229"/>
      <c r="CF3229"/>
      <c r="CG3229"/>
      <c r="CH3229"/>
      <c r="CI3229"/>
      <c r="CU3229" s="42">
        <v>3224</v>
      </c>
      <c r="CV3229" s="115">
        <v>4</v>
      </c>
      <c r="CW3229" s="115">
        <v>0.11332468572476186</v>
      </c>
      <c r="CX3229" s="115" t="e">
        <v>#N/A</v>
      </c>
      <c r="CY3229" s="115" t="e">
        <v>#N/A</v>
      </c>
      <c r="CZ3229" s="137" t="e">
        <v>#N/A</v>
      </c>
      <c r="DA3229">
        <v>0.11332468572476186</v>
      </c>
      <c r="DB3229" t="str">
        <v/>
      </c>
    </row>
    <row r="3230" spans="83:106" x14ac:dyDescent="0.2">
      <c r="CE3230"/>
      <c r="CF3230"/>
      <c r="CG3230"/>
      <c r="CH3230"/>
      <c r="CI3230"/>
      <c r="CU3230" s="42">
        <v>3225</v>
      </c>
      <c r="CV3230" s="115">
        <v>4</v>
      </c>
      <c r="CW3230" s="115">
        <v>0.11332468572476186</v>
      </c>
      <c r="CX3230" s="115" t="e">
        <v>#N/A</v>
      </c>
      <c r="CY3230" s="115" t="e">
        <v>#N/A</v>
      </c>
      <c r="CZ3230" s="137" t="e">
        <v>#N/A</v>
      </c>
      <c r="DA3230">
        <v>0.11332468572476186</v>
      </c>
      <c r="DB3230" t="str">
        <v/>
      </c>
    </row>
    <row r="3231" spans="83:106" x14ac:dyDescent="0.2">
      <c r="CE3231"/>
      <c r="CF3231"/>
      <c r="CG3231"/>
      <c r="CH3231"/>
      <c r="CI3231"/>
      <c r="CU3231" s="42">
        <v>3226</v>
      </c>
      <c r="CV3231" s="115">
        <v>4</v>
      </c>
      <c r="CW3231" s="115">
        <v>0.11332468572476186</v>
      </c>
      <c r="CX3231" s="115" t="e">
        <v>#N/A</v>
      </c>
      <c r="CY3231" s="115" t="e">
        <v>#N/A</v>
      </c>
      <c r="CZ3231" s="137" t="e">
        <v>#N/A</v>
      </c>
      <c r="DA3231">
        <v>0.11332468572476186</v>
      </c>
      <c r="DB3231" t="str">
        <v/>
      </c>
    </row>
    <row r="3232" spans="83:106" x14ac:dyDescent="0.2">
      <c r="CE3232"/>
      <c r="CF3232"/>
      <c r="CG3232"/>
      <c r="CH3232"/>
      <c r="CI3232"/>
      <c r="CU3232" s="42">
        <v>3227</v>
      </c>
      <c r="CV3232" s="115">
        <v>4</v>
      </c>
      <c r="CW3232" s="115">
        <v>0.11332468572476186</v>
      </c>
      <c r="CX3232" s="115" t="e">
        <v>#N/A</v>
      </c>
      <c r="CY3232" s="115" t="e">
        <v>#N/A</v>
      </c>
      <c r="CZ3232" s="137" t="e">
        <v>#N/A</v>
      </c>
      <c r="DA3232">
        <v>0.11332468572476186</v>
      </c>
      <c r="DB3232" t="str">
        <v/>
      </c>
    </row>
    <row r="3233" spans="83:106" x14ac:dyDescent="0.2">
      <c r="CE3233"/>
      <c r="CF3233"/>
      <c r="CG3233"/>
      <c r="CH3233"/>
      <c r="CI3233"/>
      <c r="CU3233" s="42">
        <v>3228</v>
      </c>
      <c r="CV3233" s="115">
        <v>4</v>
      </c>
      <c r="CW3233" s="115">
        <v>0.11332468572476186</v>
      </c>
      <c r="CX3233" s="115" t="e">
        <v>#N/A</v>
      </c>
      <c r="CY3233" s="115" t="e">
        <v>#N/A</v>
      </c>
      <c r="CZ3233" s="137" t="e">
        <v>#N/A</v>
      </c>
      <c r="DA3233">
        <v>0.11332468572476186</v>
      </c>
      <c r="DB3233" t="str">
        <v/>
      </c>
    </row>
    <row r="3234" spans="83:106" x14ac:dyDescent="0.2">
      <c r="CE3234"/>
      <c r="CF3234"/>
      <c r="CG3234"/>
      <c r="CH3234"/>
      <c r="CI3234"/>
      <c r="CU3234" s="42">
        <v>3229</v>
      </c>
      <c r="CV3234" s="115">
        <v>4</v>
      </c>
      <c r="CW3234" s="115">
        <v>0.11332468572476186</v>
      </c>
      <c r="CX3234" s="115" t="e">
        <v>#N/A</v>
      </c>
      <c r="CY3234" s="115" t="e">
        <v>#N/A</v>
      </c>
      <c r="CZ3234" s="137" t="e">
        <v>#N/A</v>
      </c>
      <c r="DA3234">
        <v>0.11332468572476186</v>
      </c>
      <c r="DB3234" t="str">
        <v/>
      </c>
    </row>
    <row r="3235" spans="83:106" x14ac:dyDescent="0.2">
      <c r="CE3235"/>
      <c r="CF3235"/>
      <c r="CG3235"/>
      <c r="CH3235"/>
      <c r="CI3235"/>
      <c r="CU3235" s="42">
        <v>3230</v>
      </c>
      <c r="CV3235" s="115">
        <v>4</v>
      </c>
      <c r="CW3235" s="115">
        <v>0.11332468572476186</v>
      </c>
      <c r="CX3235" s="115" t="e">
        <v>#N/A</v>
      </c>
      <c r="CY3235" s="115" t="e">
        <v>#N/A</v>
      </c>
      <c r="CZ3235" s="137" t="e">
        <v>#N/A</v>
      </c>
      <c r="DA3235">
        <v>0.11332468572476186</v>
      </c>
      <c r="DB3235" t="str">
        <v/>
      </c>
    </row>
    <row r="3236" spans="83:106" x14ac:dyDescent="0.2">
      <c r="CE3236"/>
      <c r="CF3236"/>
      <c r="CG3236"/>
      <c r="CH3236"/>
      <c r="CI3236"/>
      <c r="CU3236" s="42">
        <v>3231</v>
      </c>
      <c r="CV3236" s="115">
        <v>4</v>
      </c>
      <c r="CW3236" s="115">
        <v>0.11332468572476186</v>
      </c>
      <c r="CX3236" s="115" t="e">
        <v>#N/A</v>
      </c>
      <c r="CY3236" s="115" t="e">
        <v>#N/A</v>
      </c>
      <c r="CZ3236" s="137" t="e">
        <v>#N/A</v>
      </c>
      <c r="DA3236">
        <v>0.11332468572476186</v>
      </c>
      <c r="DB3236" t="str">
        <v/>
      </c>
    </row>
    <row r="3237" spans="83:106" x14ac:dyDescent="0.2">
      <c r="CE3237"/>
      <c r="CF3237"/>
      <c r="CG3237"/>
      <c r="CH3237"/>
      <c r="CI3237"/>
      <c r="CU3237" s="42">
        <v>3232</v>
      </c>
      <c r="CV3237" s="115">
        <v>4</v>
      </c>
      <c r="CW3237" s="115">
        <v>0.11332468572476186</v>
      </c>
      <c r="CX3237" s="115" t="e">
        <v>#N/A</v>
      </c>
      <c r="CY3237" s="115" t="e">
        <v>#N/A</v>
      </c>
      <c r="CZ3237" s="137" t="e">
        <v>#N/A</v>
      </c>
      <c r="DA3237">
        <v>0.11332468572476186</v>
      </c>
      <c r="DB3237" t="str">
        <v/>
      </c>
    </row>
    <row r="3238" spans="83:106" x14ac:dyDescent="0.2">
      <c r="CE3238"/>
      <c r="CF3238"/>
      <c r="CG3238"/>
      <c r="CH3238"/>
      <c r="CI3238"/>
      <c r="CU3238" s="42">
        <v>3233</v>
      </c>
      <c r="CV3238" s="115">
        <v>4</v>
      </c>
      <c r="CW3238" s="115">
        <v>0.11332468572476186</v>
      </c>
      <c r="CX3238" s="115" t="e">
        <v>#N/A</v>
      </c>
      <c r="CY3238" s="115" t="e">
        <v>#N/A</v>
      </c>
      <c r="CZ3238" s="137" t="e">
        <v>#N/A</v>
      </c>
      <c r="DA3238">
        <v>0.11332468572476186</v>
      </c>
      <c r="DB3238" t="str">
        <v/>
      </c>
    </row>
    <row r="3239" spans="83:106" x14ac:dyDescent="0.2">
      <c r="CE3239"/>
      <c r="CF3239"/>
      <c r="CG3239"/>
      <c r="CH3239"/>
      <c r="CI3239"/>
      <c r="CU3239" s="42">
        <v>3234</v>
      </c>
      <c r="CV3239" s="115">
        <v>4</v>
      </c>
      <c r="CW3239" s="115">
        <v>0.11332468572476186</v>
      </c>
      <c r="CX3239" s="115" t="e">
        <v>#N/A</v>
      </c>
      <c r="CY3239" s="115" t="e">
        <v>#N/A</v>
      </c>
      <c r="CZ3239" s="137" t="e">
        <v>#N/A</v>
      </c>
      <c r="DA3239">
        <v>0.11332468572476186</v>
      </c>
      <c r="DB3239" t="str">
        <v/>
      </c>
    </row>
    <row r="3240" spans="83:106" x14ac:dyDescent="0.2">
      <c r="CE3240"/>
      <c r="CF3240"/>
      <c r="CG3240"/>
      <c r="CH3240"/>
      <c r="CI3240"/>
      <c r="CU3240" s="42">
        <v>3235</v>
      </c>
      <c r="CV3240" s="115">
        <v>4</v>
      </c>
      <c r="CW3240" s="115">
        <v>0.11332468572476186</v>
      </c>
      <c r="CX3240" s="115" t="e">
        <v>#N/A</v>
      </c>
      <c r="CY3240" s="115" t="e">
        <v>#N/A</v>
      </c>
      <c r="CZ3240" s="137" t="e">
        <v>#N/A</v>
      </c>
      <c r="DA3240">
        <v>0.11332468572476186</v>
      </c>
      <c r="DB3240" t="str">
        <v/>
      </c>
    </row>
    <row r="3241" spans="83:106" x14ac:dyDescent="0.2">
      <c r="CE3241"/>
      <c r="CF3241"/>
      <c r="CG3241"/>
      <c r="CH3241"/>
      <c r="CI3241"/>
      <c r="CU3241" s="42">
        <v>3236</v>
      </c>
      <c r="CV3241" s="115">
        <v>4</v>
      </c>
      <c r="CW3241" s="115">
        <v>0.11332468572476186</v>
      </c>
      <c r="CX3241" s="115" t="e">
        <v>#N/A</v>
      </c>
      <c r="CY3241" s="115" t="e">
        <v>#N/A</v>
      </c>
      <c r="CZ3241" s="137" t="e">
        <v>#N/A</v>
      </c>
      <c r="DA3241">
        <v>0.11332468572476186</v>
      </c>
      <c r="DB3241" t="str">
        <v/>
      </c>
    </row>
    <row r="3242" spans="83:106" x14ac:dyDescent="0.2">
      <c r="CE3242"/>
      <c r="CF3242"/>
      <c r="CG3242"/>
      <c r="CH3242"/>
      <c r="CI3242"/>
      <c r="CU3242" s="42">
        <v>3237</v>
      </c>
      <c r="CV3242" s="115">
        <v>4</v>
      </c>
      <c r="CW3242" s="115">
        <v>0.11332468572476186</v>
      </c>
      <c r="CX3242" s="115" t="e">
        <v>#N/A</v>
      </c>
      <c r="CY3242" s="115" t="e">
        <v>#N/A</v>
      </c>
      <c r="CZ3242" s="137" t="e">
        <v>#N/A</v>
      </c>
      <c r="DA3242">
        <v>0.11332468572476186</v>
      </c>
      <c r="DB3242" t="str">
        <v/>
      </c>
    </row>
    <row r="3243" spans="83:106" x14ac:dyDescent="0.2">
      <c r="CE3243"/>
      <c r="CF3243"/>
      <c r="CG3243"/>
      <c r="CH3243"/>
      <c r="CI3243"/>
      <c r="CU3243" s="42">
        <v>3238</v>
      </c>
      <c r="CV3243" s="115">
        <v>4</v>
      </c>
      <c r="CW3243" s="115">
        <v>0.11332468572476186</v>
      </c>
      <c r="CX3243" s="115" t="e">
        <v>#N/A</v>
      </c>
      <c r="CY3243" s="115" t="e">
        <v>#N/A</v>
      </c>
      <c r="CZ3243" s="137" t="e">
        <v>#N/A</v>
      </c>
      <c r="DA3243">
        <v>0.11332468572476186</v>
      </c>
      <c r="DB3243" t="str">
        <v/>
      </c>
    </row>
    <row r="3244" spans="83:106" x14ac:dyDescent="0.2">
      <c r="CE3244"/>
      <c r="CF3244"/>
      <c r="CG3244"/>
      <c r="CH3244"/>
      <c r="CI3244"/>
      <c r="CU3244" s="42">
        <v>3239</v>
      </c>
      <c r="CV3244" s="115">
        <v>4</v>
      </c>
      <c r="CW3244" s="115">
        <v>0.11332468572476186</v>
      </c>
      <c r="CX3244" s="115" t="e">
        <v>#N/A</v>
      </c>
      <c r="CY3244" s="115" t="e">
        <v>#N/A</v>
      </c>
      <c r="CZ3244" s="137" t="e">
        <v>#N/A</v>
      </c>
      <c r="DA3244">
        <v>0.11332468572476186</v>
      </c>
      <c r="DB3244" t="str">
        <v/>
      </c>
    </row>
    <row r="3245" spans="83:106" x14ac:dyDescent="0.2">
      <c r="CE3245"/>
      <c r="CF3245"/>
      <c r="CG3245"/>
      <c r="CH3245"/>
      <c r="CI3245"/>
      <c r="CU3245" s="42">
        <v>3240</v>
      </c>
      <c r="CV3245" s="115">
        <v>4</v>
      </c>
      <c r="CW3245" s="115">
        <v>0.11332468572476186</v>
      </c>
      <c r="CX3245" s="115" t="e">
        <v>#N/A</v>
      </c>
      <c r="CY3245" s="115" t="e">
        <v>#N/A</v>
      </c>
      <c r="CZ3245" s="137" t="e">
        <v>#N/A</v>
      </c>
      <c r="DA3245">
        <v>0.11332468572476186</v>
      </c>
      <c r="DB3245" t="str">
        <v/>
      </c>
    </row>
    <row r="3246" spans="83:106" x14ac:dyDescent="0.2">
      <c r="CE3246"/>
      <c r="CF3246"/>
      <c r="CG3246"/>
      <c r="CH3246"/>
      <c r="CI3246"/>
      <c r="CU3246" s="42">
        <v>3241</v>
      </c>
      <c r="CV3246" s="115">
        <v>4</v>
      </c>
      <c r="CW3246" s="115">
        <v>0.11332468572476186</v>
      </c>
      <c r="CX3246" s="115" t="e">
        <v>#N/A</v>
      </c>
      <c r="CY3246" s="115" t="e">
        <v>#N/A</v>
      </c>
      <c r="CZ3246" s="137" t="e">
        <v>#N/A</v>
      </c>
      <c r="DA3246">
        <v>0.11332468572476186</v>
      </c>
      <c r="DB3246" t="str">
        <v/>
      </c>
    </row>
    <row r="3247" spans="83:106" x14ac:dyDescent="0.2">
      <c r="CE3247"/>
      <c r="CF3247"/>
      <c r="CG3247"/>
      <c r="CH3247"/>
      <c r="CI3247"/>
      <c r="CU3247" s="42">
        <v>3242</v>
      </c>
      <c r="CV3247" s="115">
        <v>4</v>
      </c>
      <c r="CW3247" s="115">
        <v>0.11332468572476186</v>
      </c>
      <c r="CX3247" s="115" t="e">
        <v>#N/A</v>
      </c>
      <c r="CY3247" s="115" t="e">
        <v>#N/A</v>
      </c>
      <c r="CZ3247" s="137" t="e">
        <v>#N/A</v>
      </c>
      <c r="DA3247">
        <v>0.11332468572476186</v>
      </c>
      <c r="DB3247" t="str">
        <v/>
      </c>
    </row>
    <row r="3248" spans="83:106" x14ac:dyDescent="0.2">
      <c r="CE3248"/>
      <c r="CF3248"/>
      <c r="CG3248"/>
      <c r="CH3248"/>
      <c r="CI3248"/>
      <c r="CU3248" s="42">
        <v>3243</v>
      </c>
      <c r="CV3248" s="115">
        <v>4</v>
      </c>
      <c r="CW3248" s="115">
        <v>0.11332468572476186</v>
      </c>
      <c r="CX3248" s="115" t="e">
        <v>#N/A</v>
      </c>
      <c r="CY3248" s="115" t="e">
        <v>#N/A</v>
      </c>
      <c r="CZ3248" s="137" t="e">
        <v>#N/A</v>
      </c>
      <c r="DA3248">
        <v>0.11332468572476186</v>
      </c>
      <c r="DB3248" t="str">
        <v/>
      </c>
    </row>
    <row r="3249" spans="83:106" x14ac:dyDescent="0.2">
      <c r="CE3249"/>
      <c r="CF3249"/>
      <c r="CG3249"/>
      <c r="CH3249"/>
      <c r="CI3249"/>
      <c r="CU3249" s="42">
        <v>3244</v>
      </c>
      <c r="CV3249" s="115">
        <v>4</v>
      </c>
      <c r="CW3249" s="115">
        <v>0.11332468572476186</v>
      </c>
      <c r="CX3249" s="115" t="e">
        <v>#N/A</v>
      </c>
      <c r="CY3249" s="115" t="e">
        <v>#N/A</v>
      </c>
      <c r="CZ3249" s="137" t="e">
        <v>#N/A</v>
      </c>
      <c r="DA3249">
        <v>0.11332468572476186</v>
      </c>
      <c r="DB3249" t="str">
        <v/>
      </c>
    </row>
    <row r="3250" spans="83:106" x14ac:dyDescent="0.2">
      <c r="CE3250"/>
      <c r="CF3250"/>
      <c r="CG3250"/>
      <c r="CH3250"/>
      <c r="CI3250"/>
      <c r="CU3250" s="42">
        <v>3245</v>
      </c>
      <c r="CV3250" s="115">
        <v>4</v>
      </c>
      <c r="CW3250" s="115">
        <v>0.11332468572476186</v>
      </c>
      <c r="CX3250" s="115" t="e">
        <v>#N/A</v>
      </c>
      <c r="CY3250" s="115" t="e">
        <v>#N/A</v>
      </c>
      <c r="CZ3250" s="137" t="e">
        <v>#N/A</v>
      </c>
      <c r="DA3250">
        <v>0.11332468572476186</v>
      </c>
      <c r="DB3250" t="str">
        <v/>
      </c>
    </row>
    <row r="3251" spans="83:106" x14ac:dyDescent="0.2">
      <c r="CE3251"/>
      <c r="CF3251"/>
      <c r="CG3251"/>
      <c r="CH3251"/>
      <c r="CI3251"/>
      <c r="CU3251" s="42">
        <v>3246</v>
      </c>
      <c r="CV3251" s="115">
        <v>4</v>
      </c>
      <c r="CW3251" s="115">
        <v>0.11332468572476186</v>
      </c>
      <c r="CX3251" s="115" t="e">
        <v>#N/A</v>
      </c>
      <c r="CY3251" s="115" t="e">
        <v>#N/A</v>
      </c>
      <c r="CZ3251" s="137" t="e">
        <v>#N/A</v>
      </c>
      <c r="DA3251">
        <v>0.11332468572476186</v>
      </c>
      <c r="DB3251" t="str">
        <v/>
      </c>
    </row>
    <row r="3252" spans="83:106" x14ac:dyDescent="0.2">
      <c r="CE3252"/>
      <c r="CF3252"/>
      <c r="CG3252"/>
      <c r="CH3252"/>
      <c r="CI3252"/>
      <c r="CU3252" s="42">
        <v>3247</v>
      </c>
      <c r="CV3252" s="115">
        <v>4</v>
      </c>
      <c r="CW3252" s="115">
        <v>0.11332468572476186</v>
      </c>
      <c r="CX3252" s="115" t="e">
        <v>#N/A</v>
      </c>
      <c r="CY3252" s="115" t="e">
        <v>#N/A</v>
      </c>
      <c r="CZ3252" s="137" t="e">
        <v>#N/A</v>
      </c>
      <c r="DA3252">
        <v>0.11332468572476186</v>
      </c>
      <c r="DB3252" t="str">
        <v/>
      </c>
    </row>
    <row r="3253" spans="83:106" x14ac:dyDescent="0.2">
      <c r="CE3253"/>
      <c r="CF3253"/>
      <c r="CG3253"/>
      <c r="CH3253"/>
      <c r="CI3253"/>
      <c r="CU3253" s="42">
        <v>3248</v>
      </c>
      <c r="CV3253" s="115">
        <v>4</v>
      </c>
      <c r="CW3253" s="115">
        <v>0.11332468572476186</v>
      </c>
      <c r="CX3253" s="115" t="e">
        <v>#N/A</v>
      </c>
      <c r="CY3253" s="115" t="e">
        <v>#N/A</v>
      </c>
      <c r="CZ3253" s="137" t="e">
        <v>#N/A</v>
      </c>
      <c r="DA3253">
        <v>0.11332468572476186</v>
      </c>
      <c r="DB3253" t="str">
        <v/>
      </c>
    </row>
    <row r="3254" spans="83:106" x14ac:dyDescent="0.2">
      <c r="CE3254"/>
      <c r="CF3254"/>
      <c r="CG3254"/>
      <c r="CH3254"/>
      <c r="CI3254"/>
      <c r="CU3254" s="42">
        <v>3249</v>
      </c>
      <c r="CV3254" s="115">
        <v>4</v>
      </c>
      <c r="CW3254" s="115">
        <v>0.11332468572476186</v>
      </c>
      <c r="CX3254" s="115" t="e">
        <v>#N/A</v>
      </c>
      <c r="CY3254" s="115" t="e">
        <v>#N/A</v>
      </c>
      <c r="CZ3254" s="137" t="e">
        <v>#N/A</v>
      </c>
      <c r="DA3254">
        <v>0.11332468572476186</v>
      </c>
      <c r="DB3254" t="str">
        <v/>
      </c>
    </row>
    <row r="3255" spans="83:106" x14ac:dyDescent="0.2">
      <c r="CE3255"/>
      <c r="CF3255"/>
      <c r="CG3255"/>
      <c r="CH3255"/>
      <c r="CI3255"/>
      <c r="CU3255" s="42">
        <v>3250</v>
      </c>
      <c r="CV3255" s="115">
        <v>4</v>
      </c>
      <c r="CW3255" s="115">
        <v>0.11332468572476186</v>
      </c>
      <c r="CX3255" s="115" t="e">
        <v>#N/A</v>
      </c>
      <c r="CY3255" s="115" t="e">
        <v>#N/A</v>
      </c>
      <c r="CZ3255" s="137" t="e">
        <v>#N/A</v>
      </c>
      <c r="DA3255">
        <v>0.11332468572476186</v>
      </c>
      <c r="DB3255" t="str">
        <v/>
      </c>
    </row>
    <row r="3256" spans="83:106" x14ac:dyDescent="0.2">
      <c r="CE3256"/>
      <c r="CF3256"/>
      <c r="CG3256"/>
      <c r="CH3256"/>
      <c r="CI3256"/>
      <c r="CU3256" s="42">
        <v>3251</v>
      </c>
      <c r="CV3256" s="115">
        <v>4</v>
      </c>
      <c r="CW3256" s="115">
        <v>0.11332468572476186</v>
      </c>
      <c r="CX3256" s="115" t="e">
        <v>#N/A</v>
      </c>
      <c r="CY3256" s="115" t="e">
        <v>#N/A</v>
      </c>
      <c r="CZ3256" s="137" t="e">
        <v>#N/A</v>
      </c>
      <c r="DA3256">
        <v>0.11332468572476186</v>
      </c>
      <c r="DB3256" t="str">
        <v/>
      </c>
    </row>
    <row r="3257" spans="83:106" x14ac:dyDescent="0.2">
      <c r="CE3257"/>
      <c r="CF3257"/>
      <c r="CG3257"/>
      <c r="CH3257"/>
      <c r="CI3257"/>
      <c r="CU3257" s="42">
        <v>3252</v>
      </c>
      <c r="CV3257" s="115">
        <v>4</v>
      </c>
      <c r="CW3257" s="115">
        <v>0.11332468572476186</v>
      </c>
      <c r="CX3257" s="115" t="e">
        <v>#N/A</v>
      </c>
      <c r="CY3257" s="115" t="e">
        <v>#N/A</v>
      </c>
      <c r="CZ3257" s="137" t="e">
        <v>#N/A</v>
      </c>
      <c r="DA3257">
        <v>0.11332468572476186</v>
      </c>
      <c r="DB3257" t="str">
        <v/>
      </c>
    </row>
    <row r="3258" spans="83:106" x14ac:dyDescent="0.2">
      <c r="CE3258"/>
      <c r="CF3258"/>
      <c r="CG3258"/>
      <c r="CH3258"/>
      <c r="CI3258"/>
      <c r="CU3258" s="42">
        <v>3253</v>
      </c>
      <c r="CV3258" s="115">
        <v>4</v>
      </c>
      <c r="CW3258" s="115">
        <v>0.11332468572476186</v>
      </c>
      <c r="CX3258" s="115" t="e">
        <v>#N/A</v>
      </c>
      <c r="CY3258" s="115" t="e">
        <v>#N/A</v>
      </c>
      <c r="CZ3258" s="137" t="e">
        <v>#N/A</v>
      </c>
      <c r="DA3258">
        <v>0.11332468572476186</v>
      </c>
      <c r="DB3258" t="str">
        <v/>
      </c>
    </row>
    <row r="3259" spans="83:106" x14ac:dyDescent="0.2">
      <c r="CE3259"/>
      <c r="CF3259"/>
      <c r="CG3259"/>
      <c r="CH3259"/>
      <c r="CI3259"/>
      <c r="CU3259" s="42">
        <v>3254</v>
      </c>
      <c r="CV3259" s="115">
        <v>4</v>
      </c>
      <c r="CW3259" s="115">
        <v>0.11332468572476186</v>
      </c>
      <c r="CX3259" s="115" t="e">
        <v>#N/A</v>
      </c>
      <c r="CY3259" s="115" t="e">
        <v>#N/A</v>
      </c>
      <c r="CZ3259" s="137" t="e">
        <v>#N/A</v>
      </c>
      <c r="DA3259">
        <v>0.11332468572476186</v>
      </c>
      <c r="DB3259" t="str">
        <v/>
      </c>
    </row>
    <row r="3260" spans="83:106" x14ac:dyDescent="0.2">
      <c r="CE3260"/>
      <c r="CF3260"/>
      <c r="CG3260"/>
      <c r="CH3260"/>
      <c r="CI3260"/>
      <c r="CU3260" s="42">
        <v>3255</v>
      </c>
      <c r="CV3260" s="115">
        <v>4</v>
      </c>
      <c r="CW3260" s="115">
        <v>0.11332468572476186</v>
      </c>
      <c r="CX3260" s="115" t="e">
        <v>#N/A</v>
      </c>
      <c r="CY3260" s="115" t="e">
        <v>#N/A</v>
      </c>
      <c r="CZ3260" s="137" t="e">
        <v>#N/A</v>
      </c>
      <c r="DA3260">
        <v>0.11332468572476186</v>
      </c>
      <c r="DB3260" t="str">
        <v/>
      </c>
    </row>
    <row r="3261" spans="83:106" x14ac:dyDescent="0.2">
      <c r="CE3261"/>
      <c r="CF3261"/>
      <c r="CG3261"/>
      <c r="CH3261"/>
      <c r="CI3261"/>
      <c r="CU3261" s="42">
        <v>3256</v>
      </c>
      <c r="CV3261" s="115">
        <v>4</v>
      </c>
      <c r="CW3261" s="115">
        <v>0.11332468572476186</v>
      </c>
      <c r="CX3261" s="115" t="e">
        <v>#N/A</v>
      </c>
      <c r="CY3261" s="115" t="e">
        <v>#N/A</v>
      </c>
      <c r="CZ3261" s="137" t="e">
        <v>#N/A</v>
      </c>
      <c r="DA3261">
        <v>0.11332468572476186</v>
      </c>
      <c r="DB3261" t="str">
        <v/>
      </c>
    </row>
    <row r="3262" spans="83:106" x14ac:dyDescent="0.2">
      <c r="CE3262"/>
      <c r="CF3262"/>
      <c r="CG3262"/>
      <c r="CH3262"/>
      <c r="CI3262"/>
      <c r="CU3262" s="42">
        <v>3257</v>
      </c>
      <c r="CV3262" s="115">
        <v>4</v>
      </c>
      <c r="CW3262" s="115">
        <v>0.11332468572476186</v>
      </c>
      <c r="CX3262" s="115" t="e">
        <v>#N/A</v>
      </c>
      <c r="CY3262" s="115" t="e">
        <v>#N/A</v>
      </c>
      <c r="CZ3262" s="137" t="e">
        <v>#N/A</v>
      </c>
      <c r="DA3262">
        <v>0.11332468572476186</v>
      </c>
      <c r="DB3262" t="str">
        <v/>
      </c>
    </row>
    <row r="3263" spans="83:106" x14ac:dyDescent="0.2">
      <c r="CE3263"/>
      <c r="CF3263"/>
      <c r="CG3263"/>
      <c r="CH3263"/>
      <c r="CI3263"/>
      <c r="CU3263" s="42">
        <v>3258</v>
      </c>
      <c r="CV3263" s="115">
        <v>4</v>
      </c>
      <c r="CW3263" s="115">
        <v>0.11332468572476186</v>
      </c>
      <c r="CX3263" s="115" t="e">
        <v>#N/A</v>
      </c>
      <c r="CY3263" s="115" t="e">
        <v>#N/A</v>
      </c>
      <c r="CZ3263" s="137" t="e">
        <v>#N/A</v>
      </c>
      <c r="DA3263">
        <v>0.11332468572476186</v>
      </c>
      <c r="DB3263" t="str">
        <v/>
      </c>
    </row>
    <row r="3264" spans="83:106" x14ac:dyDescent="0.2">
      <c r="CE3264"/>
      <c r="CF3264"/>
      <c r="CG3264"/>
      <c r="CH3264"/>
      <c r="CI3264"/>
      <c r="CU3264" s="42">
        <v>3259</v>
      </c>
      <c r="CV3264" s="115">
        <v>4</v>
      </c>
      <c r="CW3264" s="115">
        <v>0.11332468572476186</v>
      </c>
      <c r="CX3264" s="115" t="e">
        <v>#N/A</v>
      </c>
      <c r="CY3264" s="115" t="e">
        <v>#N/A</v>
      </c>
      <c r="CZ3264" s="137" t="e">
        <v>#N/A</v>
      </c>
      <c r="DA3264">
        <v>0.11332468572476186</v>
      </c>
      <c r="DB3264" t="str">
        <v/>
      </c>
    </row>
    <row r="3265" spans="83:106" x14ac:dyDescent="0.2">
      <c r="CE3265"/>
      <c r="CF3265"/>
      <c r="CG3265"/>
      <c r="CH3265"/>
      <c r="CI3265"/>
      <c r="CU3265" s="42">
        <v>3260</v>
      </c>
      <c r="CV3265" s="115">
        <v>4</v>
      </c>
      <c r="CW3265" s="115">
        <v>0.11332468572476186</v>
      </c>
      <c r="CX3265" s="115" t="e">
        <v>#N/A</v>
      </c>
      <c r="CY3265" s="115" t="e">
        <v>#N/A</v>
      </c>
      <c r="CZ3265" s="137" t="e">
        <v>#N/A</v>
      </c>
      <c r="DA3265">
        <v>0.11332468572476186</v>
      </c>
      <c r="DB3265" t="str">
        <v/>
      </c>
    </row>
    <row r="3266" spans="83:106" x14ac:dyDescent="0.2">
      <c r="CE3266"/>
      <c r="CF3266"/>
      <c r="CG3266"/>
      <c r="CH3266"/>
      <c r="CI3266"/>
      <c r="CU3266" s="42">
        <v>3261</v>
      </c>
      <c r="CV3266" s="115">
        <v>4</v>
      </c>
      <c r="CW3266" s="115">
        <v>0.11332468572476186</v>
      </c>
      <c r="CX3266" s="115" t="e">
        <v>#N/A</v>
      </c>
      <c r="CY3266" s="115" t="e">
        <v>#N/A</v>
      </c>
      <c r="CZ3266" s="137" t="e">
        <v>#N/A</v>
      </c>
      <c r="DA3266">
        <v>0.11332468572476186</v>
      </c>
      <c r="DB3266" t="str">
        <v/>
      </c>
    </row>
    <row r="3267" spans="83:106" x14ac:dyDescent="0.2">
      <c r="CE3267"/>
      <c r="CF3267"/>
      <c r="CG3267"/>
      <c r="CH3267"/>
      <c r="CI3267"/>
      <c r="CU3267" s="42">
        <v>3262</v>
      </c>
      <c r="CV3267" s="115">
        <v>4</v>
      </c>
      <c r="CW3267" s="115">
        <v>0.11332468572476186</v>
      </c>
      <c r="CX3267" s="115" t="e">
        <v>#N/A</v>
      </c>
      <c r="CY3267" s="115" t="e">
        <v>#N/A</v>
      </c>
      <c r="CZ3267" s="137" t="e">
        <v>#N/A</v>
      </c>
      <c r="DA3267">
        <v>0.11332468572476186</v>
      </c>
      <c r="DB3267" t="str">
        <v/>
      </c>
    </row>
    <row r="3268" spans="83:106" x14ac:dyDescent="0.2">
      <c r="CE3268"/>
      <c r="CF3268"/>
      <c r="CG3268"/>
      <c r="CH3268"/>
      <c r="CI3268"/>
      <c r="CU3268" s="42">
        <v>3263</v>
      </c>
      <c r="CV3268" s="115">
        <v>4</v>
      </c>
      <c r="CW3268" s="115">
        <v>0.11332468572476186</v>
      </c>
      <c r="CX3268" s="115" t="e">
        <v>#N/A</v>
      </c>
      <c r="CY3268" s="115" t="e">
        <v>#N/A</v>
      </c>
      <c r="CZ3268" s="137" t="e">
        <v>#N/A</v>
      </c>
      <c r="DA3268">
        <v>0.11332468572476186</v>
      </c>
      <c r="DB3268" t="str">
        <v/>
      </c>
    </row>
    <row r="3269" spans="83:106" x14ac:dyDescent="0.2">
      <c r="CE3269"/>
      <c r="CF3269"/>
      <c r="CG3269"/>
      <c r="CH3269"/>
      <c r="CI3269"/>
      <c r="CU3269" s="42">
        <v>3264</v>
      </c>
      <c r="CV3269" s="115">
        <v>4</v>
      </c>
      <c r="CW3269" s="115">
        <v>0.11332468572476186</v>
      </c>
      <c r="CX3269" s="115" t="e">
        <v>#N/A</v>
      </c>
      <c r="CY3269" s="115" t="e">
        <v>#N/A</v>
      </c>
      <c r="CZ3269" s="137" t="e">
        <v>#N/A</v>
      </c>
      <c r="DA3269">
        <v>0.11332468572476186</v>
      </c>
      <c r="DB3269" t="str">
        <v/>
      </c>
    </row>
    <row r="3270" spans="83:106" x14ac:dyDescent="0.2">
      <c r="CE3270"/>
      <c r="CF3270"/>
      <c r="CG3270"/>
      <c r="CH3270"/>
      <c r="CI3270"/>
      <c r="CU3270" s="42">
        <v>3265</v>
      </c>
      <c r="CV3270" s="115">
        <v>4</v>
      </c>
      <c r="CW3270" s="115">
        <v>0.11332468572476186</v>
      </c>
      <c r="CX3270" s="115" t="e">
        <v>#N/A</v>
      </c>
      <c r="CY3270" s="115" t="e">
        <v>#N/A</v>
      </c>
      <c r="CZ3270" s="137" t="e">
        <v>#N/A</v>
      </c>
      <c r="DA3270">
        <v>0.11332468572476186</v>
      </c>
      <c r="DB3270" t="str">
        <v/>
      </c>
    </row>
    <row r="3271" spans="83:106" x14ac:dyDescent="0.2">
      <c r="CE3271"/>
      <c r="CF3271"/>
      <c r="CG3271"/>
      <c r="CH3271"/>
      <c r="CI3271"/>
      <c r="CU3271" s="42">
        <v>3266</v>
      </c>
      <c r="CV3271" s="115">
        <v>4</v>
      </c>
      <c r="CW3271" s="115">
        <v>0.11332468572476186</v>
      </c>
      <c r="CX3271" s="115" t="e">
        <v>#N/A</v>
      </c>
      <c r="CY3271" s="115" t="e">
        <v>#N/A</v>
      </c>
      <c r="CZ3271" s="137" t="e">
        <v>#N/A</v>
      </c>
      <c r="DA3271">
        <v>0.11332468572476186</v>
      </c>
      <c r="DB3271" t="str">
        <v/>
      </c>
    </row>
    <row r="3272" spans="83:106" x14ac:dyDescent="0.2">
      <c r="CE3272"/>
      <c r="CF3272"/>
      <c r="CG3272"/>
      <c r="CH3272"/>
      <c r="CI3272"/>
      <c r="CU3272" s="42">
        <v>3267</v>
      </c>
      <c r="CV3272" s="115">
        <v>4</v>
      </c>
      <c r="CW3272" s="115">
        <v>0.11332468572476186</v>
      </c>
      <c r="CX3272" s="115" t="e">
        <v>#N/A</v>
      </c>
      <c r="CY3272" s="115" t="e">
        <v>#N/A</v>
      </c>
      <c r="CZ3272" s="137" t="e">
        <v>#N/A</v>
      </c>
      <c r="DA3272">
        <v>0.11332468572476186</v>
      </c>
      <c r="DB3272" t="str">
        <v/>
      </c>
    </row>
    <row r="3273" spans="83:106" x14ac:dyDescent="0.2">
      <c r="CE3273"/>
      <c r="CF3273"/>
      <c r="CG3273"/>
      <c r="CH3273"/>
      <c r="CI3273"/>
      <c r="CU3273" s="42">
        <v>3268</v>
      </c>
      <c r="CV3273" s="115">
        <v>4</v>
      </c>
      <c r="CW3273" s="115">
        <v>0.11332468572476186</v>
      </c>
      <c r="CX3273" s="115" t="e">
        <v>#N/A</v>
      </c>
      <c r="CY3273" s="115" t="e">
        <v>#N/A</v>
      </c>
      <c r="CZ3273" s="137" t="e">
        <v>#N/A</v>
      </c>
      <c r="DA3273">
        <v>0.11332468572476186</v>
      </c>
      <c r="DB3273" t="str">
        <v/>
      </c>
    </row>
    <row r="3274" spans="83:106" x14ac:dyDescent="0.2">
      <c r="CE3274"/>
      <c r="CF3274"/>
      <c r="CG3274"/>
      <c r="CH3274"/>
      <c r="CI3274"/>
      <c r="CU3274" s="42">
        <v>3269</v>
      </c>
      <c r="CV3274" s="115">
        <v>4</v>
      </c>
      <c r="CW3274" s="115">
        <v>0.11332468572476186</v>
      </c>
      <c r="CX3274" s="115" t="e">
        <v>#N/A</v>
      </c>
      <c r="CY3274" s="115" t="e">
        <v>#N/A</v>
      </c>
      <c r="CZ3274" s="137" t="e">
        <v>#N/A</v>
      </c>
      <c r="DA3274">
        <v>0.11332468572476186</v>
      </c>
      <c r="DB3274" t="str">
        <v/>
      </c>
    </row>
    <row r="3275" spans="83:106" x14ac:dyDescent="0.2">
      <c r="CE3275"/>
      <c r="CF3275"/>
      <c r="CG3275"/>
      <c r="CH3275"/>
      <c r="CI3275"/>
      <c r="CU3275" s="42">
        <v>3270</v>
      </c>
      <c r="CV3275" s="115">
        <v>4</v>
      </c>
      <c r="CW3275" s="115">
        <v>0.11332468572476186</v>
      </c>
      <c r="CX3275" s="115" t="e">
        <v>#N/A</v>
      </c>
      <c r="CY3275" s="115" t="e">
        <v>#N/A</v>
      </c>
      <c r="CZ3275" s="137" t="e">
        <v>#N/A</v>
      </c>
      <c r="DA3275">
        <v>0.11332468572476186</v>
      </c>
      <c r="DB3275" t="str">
        <v/>
      </c>
    </row>
    <row r="3276" spans="83:106" x14ac:dyDescent="0.2">
      <c r="CE3276"/>
      <c r="CF3276"/>
      <c r="CG3276"/>
      <c r="CH3276"/>
      <c r="CI3276"/>
      <c r="CU3276" s="42">
        <v>3271</v>
      </c>
      <c r="CV3276" s="115">
        <v>4</v>
      </c>
      <c r="CW3276" s="115">
        <v>0.11332468572476186</v>
      </c>
      <c r="CX3276" s="115" t="e">
        <v>#N/A</v>
      </c>
      <c r="CY3276" s="115" t="e">
        <v>#N/A</v>
      </c>
      <c r="CZ3276" s="137" t="e">
        <v>#N/A</v>
      </c>
      <c r="DA3276">
        <v>0.11332468572476186</v>
      </c>
      <c r="DB3276" t="str">
        <v/>
      </c>
    </row>
    <row r="3277" spans="83:106" x14ac:dyDescent="0.2">
      <c r="CE3277"/>
      <c r="CF3277"/>
      <c r="CG3277"/>
      <c r="CH3277"/>
      <c r="CI3277"/>
      <c r="CU3277" s="42">
        <v>3272</v>
      </c>
      <c r="CV3277" s="115">
        <v>4</v>
      </c>
      <c r="CW3277" s="115">
        <v>0.11332468572476186</v>
      </c>
      <c r="CX3277" s="115" t="e">
        <v>#N/A</v>
      </c>
      <c r="CY3277" s="115" t="e">
        <v>#N/A</v>
      </c>
      <c r="CZ3277" s="137" t="e">
        <v>#N/A</v>
      </c>
      <c r="DA3277">
        <v>0.11332468572476186</v>
      </c>
      <c r="DB3277" t="str">
        <v/>
      </c>
    </row>
    <row r="3278" spans="83:106" x14ac:dyDescent="0.2">
      <c r="CE3278"/>
      <c r="CF3278"/>
      <c r="CG3278"/>
      <c r="CH3278"/>
      <c r="CI3278"/>
      <c r="CU3278" s="42">
        <v>3273</v>
      </c>
      <c r="CV3278" s="115">
        <v>4</v>
      </c>
      <c r="CW3278" s="115">
        <v>0.11332468572476186</v>
      </c>
      <c r="CX3278" s="115" t="e">
        <v>#N/A</v>
      </c>
      <c r="CY3278" s="115" t="e">
        <v>#N/A</v>
      </c>
      <c r="CZ3278" s="137" t="e">
        <v>#N/A</v>
      </c>
      <c r="DA3278">
        <v>0.11332468572476186</v>
      </c>
      <c r="DB3278" t="str">
        <v/>
      </c>
    </row>
    <row r="3279" spans="83:106" x14ac:dyDescent="0.2">
      <c r="CE3279"/>
      <c r="CF3279"/>
      <c r="CG3279"/>
      <c r="CH3279"/>
      <c r="CI3279"/>
      <c r="CU3279" s="42">
        <v>3274</v>
      </c>
      <c r="CV3279" s="115">
        <v>4</v>
      </c>
      <c r="CW3279" s="115">
        <v>0.11332468572476186</v>
      </c>
      <c r="CX3279" s="115" t="e">
        <v>#N/A</v>
      </c>
      <c r="CY3279" s="115" t="e">
        <v>#N/A</v>
      </c>
      <c r="CZ3279" s="137" t="e">
        <v>#N/A</v>
      </c>
      <c r="DA3279">
        <v>0.11332468572476186</v>
      </c>
      <c r="DB3279" t="str">
        <v/>
      </c>
    </row>
    <row r="3280" spans="83:106" x14ac:dyDescent="0.2">
      <c r="CE3280"/>
      <c r="CF3280"/>
      <c r="CG3280"/>
      <c r="CH3280"/>
      <c r="CI3280"/>
      <c r="CU3280" s="42">
        <v>3275</v>
      </c>
      <c r="CV3280" s="115">
        <v>4</v>
      </c>
      <c r="CW3280" s="115">
        <v>0.11332468572476186</v>
      </c>
      <c r="CX3280" s="115" t="e">
        <v>#N/A</v>
      </c>
      <c r="CY3280" s="115" t="e">
        <v>#N/A</v>
      </c>
      <c r="CZ3280" s="137" t="e">
        <v>#N/A</v>
      </c>
      <c r="DA3280">
        <v>0.11332468572476186</v>
      </c>
      <c r="DB3280" t="str">
        <v/>
      </c>
    </row>
    <row r="3281" spans="83:106" x14ac:dyDescent="0.2">
      <c r="CE3281"/>
      <c r="CF3281"/>
      <c r="CG3281"/>
      <c r="CH3281"/>
      <c r="CI3281"/>
      <c r="CU3281" s="42">
        <v>3276</v>
      </c>
      <c r="CV3281" s="115">
        <v>4</v>
      </c>
      <c r="CW3281" s="115">
        <v>0.11332468572476186</v>
      </c>
      <c r="CX3281" s="115" t="e">
        <v>#N/A</v>
      </c>
      <c r="CY3281" s="115" t="e">
        <v>#N/A</v>
      </c>
      <c r="CZ3281" s="137" t="e">
        <v>#N/A</v>
      </c>
      <c r="DA3281">
        <v>0.11332468572476186</v>
      </c>
      <c r="DB3281" t="str">
        <v/>
      </c>
    </row>
    <row r="3282" spans="83:106" x14ac:dyDescent="0.2">
      <c r="CE3282"/>
      <c r="CF3282"/>
      <c r="CG3282"/>
      <c r="CH3282"/>
      <c r="CI3282"/>
      <c r="CU3282" s="42">
        <v>3277</v>
      </c>
      <c r="CV3282" s="115">
        <v>4</v>
      </c>
      <c r="CW3282" s="115">
        <v>0.11332468572476186</v>
      </c>
      <c r="CX3282" s="115" t="e">
        <v>#N/A</v>
      </c>
      <c r="CY3282" s="115" t="e">
        <v>#N/A</v>
      </c>
      <c r="CZ3282" s="137" t="e">
        <v>#N/A</v>
      </c>
      <c r="DA3282">
        <v>0.11332468572476186</v>
      </c>
      <c r="DB3282" t="str">
        <v/>
      </c>
    </row>
    <row r="3283" spans="83:106" x14ac:dyDescent="0.2">
      <c r="CE3283"/>
      <c r="CF3283"/>
      <c r="CG3283"/>
      <c r="CH3283"/>
      <c r="CI3283"/>
      <c r="CU3283" s="42">
        <v>3278</v>
      </c>
      <c r="CV3283" s="115">
        <v>4</v>
      </c>
      <c r="CW3283" s="115">
        <v>0.11332468572476186</v>
      </c>
      <c r="CX3283" s="115" t="e">
        <v>#N/A</v>
      </c>
      <c r="CY3283" s="115" t="e">
        <v>#N/A</v>
      </c>
      <c r="CZ3283" s="137" t="e">
        <v>#N/A</v>
      </c>
      <c r="DA3283">
        <v>0.11332468572476186</v>
      </c>
      <c r="DB3283" t="str">
        <v/>
      </c>
    </row>
    <row r="3284" spans="83:106" x14ac:dyDescent="0.2">
      <c r="CE3284"/>
      <c r="CF3284"/>
      <c r="CG3284"/>
      <c r="CH3284"/>
      <c r="CI3284"/>
      <c r="CU3284" s="42">
        <v>3279</v>
      </c>
      <c r="CV3284" s="115">
        <v>4</v>
      </c>
      <c r="CW3284" s="115">
        <v>0.11332468572476186</v>
      </c>
      <c r="CX3284" s="115" t="e">
        <v>#N/A</v>
      </c>
      <c r="CY3284" s="115" t="e">
        <v>#N/A</v>
      </c>
      <c r="CZ3284" s="137" t="e">
        <v>#N/A</v>
      </c>
      <c r="DA3284">
        <v>0.11332468572476186</v>
      </c>
      <c r="DB3284" t="str">
        <v/>
      </c>
    </row>
    <row r="3285" spans="83:106" x14ac:dyDescent="0.2">
      <c r="CE3285"/>
      <c r="CF3285"/>
      <c r="CG3285"/>
      <c r="CH3285"/>
      <c r="CI3285"/>
      <c r="CU3285" s="42">
        <v>3280</v>
      </c>
      <c r="CV3285" s="115">
        <v>4</v>
      </c>
      <c r="CW3285" s="115">
        <v>0.11332468572476186</v>
      </c>
      <c r="CX3285" s="115" t="e">
        <v>#N/A</v>
      </c>
      <c r="CY3285" s="115" t="e">
        <v>#N/A</v>
      </c>
      <c r="CZ3285" s="137" t="e">
        <v>#N/A</v>
      </c>
      <c r="DA3285">
        <v>0.11332468572476186</v>
      </c>
      <c r="DB3285" t="str">
        <v/>
      </c>
    </row>
    <row r="3286" spans="83:106" x14ac:dyDescent="0.2">
      <c r="CE3286"/>
      <c r="CF3286"/>
      <c r="CG3286"/>
      <c r="CH3286"/>
      <c r="CI3286"/>
      <c r="CU3286" s="42">
        <v>3281</v>
      </c>
      <c r="CV3286" s="115">
        <v>4</v>
      </c>
      <c r="CW3286" s="115">
        <v>0.11332468572476186</v>
      </c>
      <c r="CX3286" s="115" t="e">
        <v>#N/A</v>
      </c>
      <c r="CY3286" s="115" t="e">
        <v>#N/A</v>
      </c>
      <c r="CZ3286" s="137" t="e">
        <v>#N/A</v>
      </c>
      <c r="DA3286">
        <v>0.11332468572476186</v>
      </c>
      <c r="DB3286" t="str">
        <v/>
      </c>
    </row>
    <row r="3287" spans="83:106" x14ac:dyDescent="0.2">
      <c r="CE3287"/>
      <c r="CF3287"/>
      <c r="CG3287"/>
      <c r="CH3287"/>
      <c r="CI3287"/>
      <c r="CU3287" s="42">
        <v>3282</v>
      </c>
      <c r="CV3287" s="115">
        <v>4</v>
      </c>
      <c r="CW3287" s="115">
        <v>0.11332468572476186</v>
      </c>
      <c r="CX3287" s="115" t="e">
        <v>#N/A</v>
      </c>
      <c r="CY3287" s="115" t="e">
        <v>#N/A</v>
      </c>
      <c r="CZ3287" s="137" t="e">
        <v>#N/A</v>
      </c>
      <c r="DA3287">
        <v>0.11332468572476186</v>
      </c>
      <c r="DB3287" t="str">
        <v/>
      </c>
    </row>
    <row r="3288" spans="83:106" x14ac:dyDescent="0.2">
      <c r="CE3288"/>
      <c r="CF3288"/>
      <c r="CG3288"/>
      <c r="CH3288"/>
      <c r="CI3288"/>
      <c r="CU3288" s="42">
        <v>3283</v>
      </c>
      <c r="CV3288" s="115">
        <v>4</v>
      </c>
      <c r="CW3288" s="115">
        <v>0.11332468572476186</v>
      </c>
      <c r="CX3288" s="115" t="e">
        <v>#N/A</v>
      </c>
      <c r="CY3288" s="115" t="e">
        <v>#N/A</v>
      </c>
      <c r="CZ3288" s="137" t="e">
        <v>#N/A</v>
      </c>
      <c r="DA3288">
        <v>0.11332468572476186</v>
      </c>
      <c r="DB3288" t="str">
        <v/>
      </c>
    </row>
    <row r="3289" spans="83:106" x14ac:dyDescent="0.2">
      <c r="CE3289"/>
      <c r="CF3289"/>
      <c r="CG3289"/>
      <c r="CH3289"/>
      <c r="CI3289"/>
      <c r="CU3289" s="42">
        <v>3284</v>
      </c>
      <c r="CV3289" s="115">
        <v>4</v>
      </c>
      <c r="CW3289" s="115">
        <v>0.11332468572476186</v>
      </c>
      <c r="CX3289" s="115" t="e">
        <v>#N/A</v>
      </c>
      <c r="CY3289" s="115" t="e">
        <v>#N/A</v>
      </c>
      <c r="CZ3289" s="137" t="e">
        <v>#N/A</v>
      </c>
      <c r="DA3289">
        <v>0.11332468572476186</v>
      </c>
      <c r="DB3289" t="str">
        <v/>
      </c>
    </row>
    <row r="3290" spans="83:106" x14ac:dyDescent="0.2">
      <c r="CE3290"/>
      <c r="CF3290"/>
      <c r="CG3290"/>
      <c r="CH3290"/>
      <c r="CI3290"/>
      <c r="CU3290" s="42">
        <v>3285</v>
      </c>
      <c r="CV3290" s="115">
        <v>4</v>
      </c>
      <c r="CW3290" s="115">
        <v>0.11332468572476186</v>
      </c>
      <c r="CX3290" s="115" t="e">
        <v>#N/A</v>
      </c>
      <c r="CY3290" s="115" t="e">
        <v>#N/A</v>
      </c>
      <c r="CZ3290" s="137" t="e">
        <v>#N/A</v>
      </c>
      <c r="DA3290">
        <v>0.11332468572476186</v>
      </c>
      <c r="DB3290" t="str">
        <v/>
      </c>
    </row>
    <row r="3291" spans="83:106" x14ac:dyDescent="0.2">
      <c r="CE3291"/>
      <c r="CF3291"/>
      <c r="CG3291"/>
      <c r="CH3291"/>
      <c r="CI3291"/>
      <c r="CU3291" s="42">
        <v>3286</v>
      </c>
      <c r="CV3291" s="115">
        <v>4</v>
      </c>
      <c r="CW3291" s="115">
        <v>0.11332468572476186</v>
      </c>
      <c r="CX3291" s="115" t="e">
        <v>#N/A</v>
      </c>
      <c r="CY3291" s="115" t="e">
        <v>#N/A</v>
      </c>
      <c r="CZ3291" s="137" t="e">
        <v>#N/A</v>
      </c>
      <c r="DA3291">
        <v>0.11332468572476186</v>
      </c>
      <c r="DB3291" t="str">
        <v/>
      </c>
    </row>
    <row r="3292" spans="83:106" x14ac:dyDescent="0.2">
      <c r="CE3292"/>
      <c r="CF3292"/>
      <c r="CG3292"/>
      <c r="CH3292"/>
      <c r="CI3292"/>
      <c r="CU3292" s="42">
        <v>3287</v>
      </c>
      <c r="CV3292" s="115">
        <v>4</v>
      </c>
      <c r="CW3292" s="115">
        <v>0.11332468572476186</v>
      </c>
      <c r="CX3292" s="115" t="e">
        <v>#N/A</v>
      </c>
      <c r="CY3292" s="115" t="e">
        <v>#N/A</v>
      </c>
      <c r="CZ3292" s="137" t="e">
        <v>#N/A</v>
      </c>
      <c r="DA3292">
        <v>0.11332468572476186</v>
      </c>
      <c r="DB3292" t="str">
        <v/>
      </c>
    </row>
    <row r="3293" spans="83:106" x14ac:dyDescent="0.2">
      <c r="CE3293"/>
      <c r="CF3293"/>
      <c r="CG3293"/>
      <c r="CH3293"/>
      <c r="CI3293"/>
      <c r="CU3293" s="42">
        <v>3288</v>
      </c>
      <c r="CV3293" s="115">
        <v>4</v>
      </c>
      <c r="CW3293" s="115">
        <v>0.11332468572476186</v>
      </c>
      <c r="CX3293" s="115" t="e">
        <v>#N/A</v>
      </c>
      <c r="CY3293" s="115" t="e">
        <v>#N/A</v>
      </c>
      <c r="CZ3293" s="137" t="e">
        <v>#N/A</v>
      </c>
      <c r="DA3293">
        <v>0.11332468572476186</v>
      </c>
      <c r="DB3293" t="str">
        <v/>
      </c>
    </row>
    <row r="3294" spans="83:106" x14ac:dyDescent="0.2">
      <c r="CE3294"/>
      <c r="CF3294"/>
      <c r="CG3294"/>
      <c r="CH3294"/>
      <c r="CI3294"/>
      <c r="CU3294" s="42">
        <v>3289</v>
      </c>
      <c r="CV3294" s="115">
        <v>4</v>
      </c>
      <c r="CW3294" s="115">
        <v>0.11332468572476186</v>
      </c>
      <c r="CX3294" s="115" t="e">
        <v>#N/A</v>
      </c>
      <c r="CY3294" s="115" t="e">
        <v>#N/A</v>
      </c>
      <c r="CZ3294" s="137" t="e">
        <v>#N/A</v>
      </c>
      <c r="DA3294">
        <v>0.11332468572476186</v>
      </c>
      <c r="DB3294" t="str">
        <v/>
      </c>
    </row>
    <row r="3295" spans="83:106" x14ac:dyDescent="0.2">
      <c r="CE3295"/>
      <c r="CF3295"/>
      <c r="CG3295"/>
      <c r="CH3295"/>
      <c r="CI3295"/>
      <c r="CU3295" s="42">
        <v>3290</v>
      </c>
      <c r="CV3295" s="115">
        <v>4</v>
      </c>
      <c r="CW3295" s="115">
        <v>0.11332468572476186</v>
      </c>
      <c r="CX3295" s="115" t="e">
        <v>#N/A</v>
      </c>
      <c r="CY3295" s="115" t="e">
        <v>#N/A</v>
      </c>
      <c r="CZ3295" s="137" t="e">
        <v>#N/A</v>
      </c>
      <c r="DA3295">
        <v>0.11332468572476186</v>
      </c>
      <c r="DB3295" t="str">
        <v/>
      </c>
    </row>
    <row r="3296" spans="83:106" x14ac:dyDescent="0.2">
      <c r="CE3296"/>
      <c r="CF3296"/>
      <c r="CG3296"/>
      <c r="CH3296"/>
      <c r="CI3296"/>
      <c r="CU3296" s="42">
        <v>3291</v>
      </c>
      <c r="CV3296" s="115">
        <v>4</v>
      </c>
      <c r="CW3296" s="115">
        <v>0.11332468572476186</v>
      </c>
      <c r="CX3296" s="115" t="e">
        <v>#N/A</v>
      </c>
      <c r="CY3296" s="115" t="e">
        <v>#N/A</v>
      </c>
      <c r="CZ3296" s="137" t="e">
        <v>#N/A</v>
      </c>
      <c r="DA3296">
        <v>0.11332468572476186</v>
      </c>
      <c r="DB3296" t="str">
        <v/>
      </c>
    </row>
    <row r="3297" spans="83:106" x14ac:dyDescent="0.2">
      <c r="CE3297"/>
      <c r="CF3297"/>
      <c r="CG3297"/>
      <c r="CH3297"/>
      <c r="CI3297"/>
      <c r="CU3297" s="42">
        <v>3292</v>
      </c>
      <c r="CV3297" s="115">
        <v>4</v>
      </c>
      <c r="CW3297" s="115">
        <v>0.11332468572476186</v>
      </c>
      <c r="CX3297" s="115" t="e">
        <v>#N/A</v>
      </c>
      <c r="CY3297" s="115" t="e">
        <v>#N/A</v>
      </c>
      <c r="CZ3297" s="137" t="e">
        <v>#N/A</v>
      </c>
      <c r="DA3297">
        <v>0.11332468572476186</v>
      </c>
      <c r="DB3297" t="str">
        <v/>
      </c>
    </row>
    <row r="3298" spans="83:106" x14ac:dyDescent="0.2">
      <c r="CE3298"/>
      <c r="CF3298"/>
      <c r="CG3298"/>
      <c r="CH3298"/>
      <c r="CI3298"/>
      <c r="CU3298" s="42">
        <v>3293</v>
      </c>
      <c r="CV3298" s="115">
        <v>4</v>
      </c>
      <c r="CW3298" s="115">
        <v>0.11332468572476186</v>
      </c>
      <c r="CX3298" s="115" t="e">
        <v>#N/A</v>
      </c>
      <c r="CY3298" s="115" t="e">
        <v>#N/A</v>
      </c>
      <c r="CZ3298" s="137" t="e">
        <v>#N/A</v>
      </c>
      <c r="DA3298">
        <v>0.11332468572476186</v>
      </c>
      <c r="DB3298" t="str">
        <v/>
      </c>
    </row>
    <row r="3299" spans="83:106" x14ac:dyDescent="0.2">
      <c r="CE3299"/>
      <c r="CF3299"/>
      <c r="CG3299"/>
      <c r="CH3299"/>
      <c r="CI3299"/>
      <c r="CU3299" s="42">
        <v>3294</v>
      </c>
      <c r="CV3299" s="115">
        <v>4</v>
      </c>
      <c r="CW3299" s="115">
        <v>0.11332468572476186</v>
      </c>
      <c r="CX3299" s="115" t="e">
        <v>#N/A</v>
      </c>
      <c r="CY3299" s="115" t="e">
        <v>#N/A</v>
      </c>
      <c r="CZ3299" s="137" t="e">
        <v>#N/A</v>
      </c>
      <c r="DA3299">
        <v>0.11332468572476186</v>
      </c>
      <c r="DB3299" t="str">
        <v/>
      </c>
    </row>
    <row r="3300" spans="83:106" x14ac:dyDescent="0.2">
      <c r="CE3300"/>
      <c r="CF3300"/>
      <c r="CG3300"/>
      <c r="CH3300"/>
      <c r="CI3300"/>
      <c r="CU3300" s="42">
        <v>3295</v>
      </c>
      <c r="CV3300" s="115">
        <v>4</v>
      </c>
      <c r="CW3300" s="115">
        <v>0.11332468572476186</v>
      </c>
      <c r="CX3300" s="115" t="e">
        <v>#N/A</v>
      </c>
      <c r="CY3300" s="115" t="e">
        <v>#N/A</v>
      </c>
      <c r="CZ3300" s="137" t="e">
        <v>#N/A</v>
      </c>
      <c r="DA3300">
        <v>0.11332468572476186</v>
      </c>
      <c r="DB3300" t="str">
        <v/>
      </c>
    </row>
    <row r="3301" spans="83:106" x14ac:dyDescent="0.2">
      <c r="CE3301"/>
      <c r="CF3301"/>
      <c r="CG3301"/>
      <c r="CH3301"/>
      <c r="CI3301"/>
      <c r="CU3301" s="42">
        <v>3296</v>
      </c>
      <c r="CV3301" s="115">
        <v>4</v>
      </c>
      <c r="CW3301" s="115">
        <v>0.11332468572476186</v>
      </c>
      <c r="CX3301" s="115" t="e">
        <v>#N/A</v>
      </c>
      <c r="CY3301" s="115" t="e">
        <v>#N/A</v>
      </c>
      <c r="CZ3301" s="137" t="e">
        <v>#N/A</v>
      </c>
      <c r="DA3301">
        <v>0.11332468572476186</v>
      </c>
      <c r="DB3301" t="str">
        <v/>
      </c>
    </row>
    <row r="3302" spans="83:106" x14ac:dyDescent="0.2">
      <c r="CE3302"/>
      <c r="CF3302"/>
      <c r="CG3302"/>
      <c r="CH3302"/>
      <c r="CI3302"/>
      <c r="CU3302" s="42">
        <v>3297</v>
      </c>
      <c r="CV3302" s="115">
        <v>4</v>
      </c>
      <c r="CW3302" s="115">
        <v>0.11332468572476186</v>
      </c>
      <c r="CX3302" s="115" t="e">
        <v>#N/A</v>
      </c>
      <c r="CY3302" s="115" t="e">
        <v>#N/A</v>
      </c>
      <c r="CZ3302" s="137" t="e">
        <v>#N/A</v>
      </c>
      <c r="DA3302">
        <v>0.11332468572476186</v>
      </c>
      <c r="DB3302" t="str">
        <v/>
      </c>
    </row>
    <row r="3303" spans="83:106" x14ac:dyDescent="0.2">
      <c r="CE3303"/>
      <c r="CF3303"/>
      <c r="CG3303"/>
      <c r="CH3303"/>
      <c r="CI3303"/>
      <c r="CU3303" s="42">
        <v>3298</v>
      </c>
      <c r="CV3303" s="115">
        <v>4</v>
      </c>
      <c r="CW3303" s="115">
        <v>0.11332468572476186</v>
      </c>
      <c r="CX3303" s="115" t="e">
        <v>#N/A</v>
      </c>
      <c r="CY3303" s="115" t="e">
        <v>#N/A</v>
      </c>
      <c r="CZ3303" s="137" t="e">
        <v>#N/A</v>
      </c>
      <c r="DA3303">
        <v>0.11332468572476186</v>
      </c>
      <c r="DB3303" t="str">
        <v/>
      </c>
    </row>
    <row r="3304" spans="83:106" x14ac:dyDescent="0.2">
      <c r="CE3304"/>
      <c r="CF3304"/>
      <c r="CG3304"/>
      <c r="CH3304"/>
      <c r="CI3304"/>
      <c r="CU3304" s="42">
        <v>3299</v>
      </c>
      <c r="CV3304" s="115">
        <v>4</v>
      </c>
      <c r="CW3304" s="115">
        <v>0.11332468572476186</v>
      </c>
      <c r="CX3304" s="115" t="e">
        <v>#N/A</v>
      </c>
      <c r="CY3304" s="115" t="e">
        <v>#N/A</v>
      </c>
      <c r="CZ3304" s="137" t="e">
        <v>#N/A</v>
      </c>
      <c r="DA3304">
        <v>0.11332468572476186</v>
      </c>
      <c r="DB3304" t="str">
        <v/>
      </c>
    </row>
    <row r="3305" spans="83:106" x14ac:dyDescent="0.2">
      <c r="CE3305"/>
      <c r="CF3305"/>
      <c r="CG3305"/>
      <c r="CH3305"/>
      <c r="CI3305"/>
      <c r="CU3305" s="42">
        <v>3300</v>
      </c>
      <c r="CV3305" s="115">
        <v>4</v>
      </c>
      <c r="CW3305" s="115">
        <v>0.11332468572476186</v>
      </c>
      <c r="CX3305" s="115" t="e">
        <v>#N/A</v>
      </c>
      <c r="CY3305" s="115" t="e">
        <v>#N/A</v>
      </c>
      <c r="CZ3305" s="137" t="e">
        <v>#N/A</v>
      </c>
      <c r="DA3305">
        <v>0.11332468572476186</v>
      </c>
      <c r="DB3305" t="str">
        <v/>
      </c>
    </row>
    <row r="3306" spans="83:106" x14ac:dyDescent="0.2">
      <c r="CE3306"/>
      <c r="CF3306"/>
      <c r="CG3306"/>
      <c r="CH3306"/>
      <c r="CI3306"/>
      <c r="CU3306" s="42">
        <v>3301</v>
      </c>
      <c r="CV3306" s="115">
        <v>4</v>
      </c>
      <c r="CW3306" s="115">
        <v>0.11332468572476186</v>
      </c>
      <c r="CX3306" s="115" t="e">
        <v>#N/A</v>
      </c>
      <c r="CY3306" s="115" t="e">
        <v>#N/A</v>
      </c>
      <c r="CZ3306" s="137" t="e">
        <v>#N/A</v>
      </c>
      <c r="DA3306">
        <v>0.11332468572476186</v>
      </c>
      <c r="DB3306" t="str">
        <v/>
      </c>
    </row>
    <row r="3307" spans="83:106" x14ac:dyDescent="0.2">
      <c r="CE3307"/>
      <c r="CF3307"/>
      <c r="CG3307"/>
      <c r="CH3307"/>
      <c r="CI3307"/>
      <c r="CU3307" s="42">
        <v>3302</v>
      </c>
      <c r="CV3307" s="115">
        <v>4</v>
      </c>
      <c r="CW3307" s="115">
        <v>0.11332468572476186</v>
      </c>
      <c r="CX3307" s="115" t="e">
        <v>#N/A</v>
      </c>
      <c r="CY3307" s="115" t="e">
        <v>#N/A</v>
      </c>
      <c r="CZ3307" s="137" t="e">
        <v>#N/A</v>
      </c>
      <c r="DA3307">
        <v>0.11332468572476186</v>
      </c>
      <c r="DB3307" t="str">
        <v/>
      </c>
    </row>
    <row r="3308" spans="83:106" x14ac:dyDescent="0.2">
      <c r="CE3308"/>
      <c r="CF3308"/>
      <c r="CG3308"/>
      <c r="CH3308"/>
      <c r="CI3308"/>
      <c r="CU3308" s="42">
        <v>3303</v>
      </c>
      <c r="CV3308" s="115">
        <v>4</v>
      </c>
      <c r="CW3308" s="115">
        <v>0.11332468572476186</v>
      </c>
      <c r="CX3308" s="115" t="e">
        <v>#N/A</v>
      </c>
      <c r="CY3308" s="115" t="e">
        <v>#N/A</v>
      </c>
      <c r="CZ3308" s="137" t="e">
        <v>#N/A</v>
      </c>
      <c r="DA3308">
        <v>0.11332468572476186</v>
      </c>
      <c r="DB3308" t="str">
        <v/>
      </c>
    </row>
    <row r="3309" spans="83:106" x14ac:dyDescent="0.2">
      <c r="CE3309"/>
      <c r="CF3309"/>
      <c r="CG3309"/>
      <c r="CH3309"/>
      <c r="CI3309"/>
      <c r="CU3309" s="42">
        <v>3304</v>
      </c>
      <c r="CV3309" s="115">
        <v>4</v>
      </c>
      <c r="CW3309" s="115">
        <v>0.11332468572476186</v>
      </c>
      <c r="CX3309" s="115" t="e">
        <v>#N/A</v>
      </c>
      <c r="CY3309" s="115" t="e">
        <v>#N/A</v>
      </c>
      <c r="CZ3309" s="137" t="e">
        <v>#N/A</v>
      </c>
      <c r="DA3309">
        <v>0.11332468572476186</v>
      </c>
      <c r="DB3309" t="str">
        <v/>
      </c>
    </row>
    <row r="3310" spans="83:106" x14ac:dyDescent="0.2">
      <c r="CE3310"/>
      <c r="CF3310"/>
      <c r="CG3310"/>
      <c r="CH3310"/>
      <c r="CI3310"/>
      <c r="CU3310" s="42">
        <v>3305</v>
      </c>
      <c r="CV3310" s="115">
        <v>4</v>
      </c>
      <c r="CW3310" s="115">
        <v>0.11332468572476186</v>
      </c>
      <c r="CX3310" s="115" t="e">
        <v>#N/A</v>
      </c>
      <c r="CY3310" s="115" t="e">
        <v>#N/A</v>
      </c>
      <c r="CZ3310" s="137" t="e">
        <v>#N/A</v>
      </c>
      <c r="DA3310">
        <v>0.11332468572476186</v>
      </c>
      <c r="DB3310" t="str">
        <v/>
      </c>
    </row>
    <row r="3311" spans="83:106" x14ac:dyDescent="0.2">
      <c r="CE3311"/>
      <c r="CF3311"/>
      <c r="CG3311"/>
      <c r="CH3311"/>
      <c r="CI3311"/>
      <c r="CU3311" s="42">
        <v>3306</v>
      </c>
      <c r="CV3311" s="115">
        <v>4</v>
      </c>
      <c r="CW3311" s="115">
        <v>0.11332468572476186</v>
      </c>
      <c r="CX3311" s="115" t="e">
        <v>#N/A</v>
      </c>
      <c r="CY3311" s="115" t="e">
        <v>#N/A</v>
      </c>
      <c r="CZ3311" s="137" t="e">
        <v>#N/A</v>
      </c>
      <c r="DA3311">
        <v>0.11332468572476186</v>
      </c>
      <c r="DB3311" t="str">
        <v/>
      </c>
    </row>
    <row r="3312" spans="83:106" x14ac:dyDescent="0.2">
      <c r="CE3312"/>
      <c r="CF3312"/>
      <c r="CG3312"/>
      <c r="CH3312"/>
      <c r="CI3312"/>
      <c r="CU3312" s="42">
        <v>3307</v>
      </c>
      <c r="CV3312" s="115">
        <v>4</v>
      </c>
      <c r="CW3312" s="115">
        <v>0.11332468572476186</v>
      </c>
      <c r="CX3312" s="115" t="e">
        <v>#N/A</v>
      </c>
      <c r="CY3312" s="115" t="e">
        <v>#N/A</v>
      </c>
      <c r="CZ3312" s="137" t="e">
        <v>#N/A</v>
      </c>
      <c r="DA3312">
        <v>0.11332468572476186</v>
      </c>
      <c r="DB3312" t="str">
        <v/>
      </c>
    </row>
    <row r="3313" spans="83:106" x14ac:dyDescent="0.2">
      <c r="CE3313"/>
      <c r="CF3313"/>
      <c r="CG3313"/>
      <c r="CH3313"/>
      <c r="CI3313"/>
      <c r="CU3313" s="42">
        <v>3308</v>
      </c>
      <c r="CV3313" s="115">
        <v>4</v>
      </c>
      <c r="CW3313" s="115">
        <v>0.11332468572476186</v>
      </c>
      <c r="CX3313" s="115" t="e">
        <v>#N/A</v>
      </c>
      <c r="CY3313" s="115" t="e">
        <v>#N/A</v>
      </c>
      <c r="CZ3313" s="137" t="e">
        <v>#N/A</v>
      </c>
      <c r="DA3313">
        <v>0.11332468572476186</v>
      </c>
      <c r="DB3313" t="str">
        <v/>
      </c>
    </row>
    <row r="3314" spans="83:106" x14ac:dyDescent="0.2">
      <c r="CE3314"/>
      <c r="CF3314"/>
      <c r="CG3314"/>
      <c r="CH3314"/>
      <c r="CI3314"/>
      <c r="CU3314" s="42">
        <v>3309</v>
      </c>
      <c r="CV3314" s="115">
        <v>4</v>
      </c>
      <c r="CW3314" s="115">
        <v>0.11332468572476186</v>
      </c>
      <c r="CX3314" s="115" t="e">
        <v>#N/A</v>
      </c>
      <c r="CY3314" s="115" t="e">
        <v>#N/A</v>
      </c>
      <c r="CZ3314" s="137" t="e">
        <v>#N/A</v>
      </c>
      <c r="DA3314">
        <v>0.11332468572476186</v>
      </c>
      <c r="DB3314" t="str">
        <v/>
      </c>
    </row>
    <row r="3315" spans="83:106" x14ac:dyDescent="0.2">
      <c r="CE3315"/>
      <c r="CF3315"/>
      <c r="CG3315"/>
      <c r="CH3315"/>
      <c r="CI3315"/>
      <c r="CU3315" s="42">
        <v>3310</v>
      </c>
      <c r="CV3315" s="115">
        <v>4</v>
      </c>
      <c r="CW3315" s="115">
        <v>0.11332468572476186</v>
      </c>
      <c r="CX3315" s="115" t="e">
        <v>#N/A</v>
      </c>
      <c r="CY3315" s="115" t="e">
        <v>#N/A</v>
      </c>
      <c r="CZ3315" s="137" t="e">
        <v>#N/A</v>
      </c>
      <c r="DA3315">
        <v>0.11332468572476186</v>
      </c>
      <c r="DB3315" t="str">
        <v/>
      </c>
    </row>
    <row r="3316" spans="83:106" x14ac:dyDescent="0.2">
      <c r="CE3316"/>
      <c r="CF3316"/>
      <c r="CG3316"/>
      <c r="CH3316"/>
      <c r="CI3316"/>
      <c r="CU3316" s="42">
        <v>3311</v>
      </c>
      <c r="CV3316" s="115">
        <v>4</v>
      </c>
      <c r="CW3316" s="115">
        <v>0.11332468572476186</v>
      </c>
      <c r="CX3316" s="115" t="e">
        <v>#N/A</v>
      </c>
      <c r="CY3316" s="115" t="e">
        <v>#N/A</v>
      </c>
      <c r="CZ3316" s="137" t="e">
        <v>#N/A</v>
      </c>
      <c r="DA3316">
        <v>0.11332468572476186</v>
      </c>
      <c r="DB3316" t="str">
        <v/>
      </c>
    </row>
    <row r="3317" spans="83:106" x14ac:dyDescent="0.2">
      <c r="CE3317"/>
      <c r="CF3317"/>
      <c r="CG3317"/>
      <c r="CH3317"/>
      <c r="CI3317"/>
      <c r="CU3317" s="42">
        <v>3312</v>
      </c>
      <c r="CV3317" s="115">
        <v>4</v>
      </c>
      <c r="CW3317" s="115">
        <v>0.11332468572476186</v>
      </c>
      <c r="CX3317" s="115" t="e">
        <v>#N/A</v>
      </c>
      <c r="CY3317" s="115" t="e">
        <v>#N/A</v>
      </c>
      <c r="CZ3317" s="137" t="e">
        <v>#N/A</v>
      </c>
      <c r="DA3317">
        <v>0.11332468572476186</v>
      </c>
      <c r="DB3317" t="str">
        <v/>
      </c>
    </row>
    <row r="3318" spans="83:106" x14ac:dyDescent="0.2">
      <c r="CE3318"/>
      <c r="CF3318"/>
      <c r="CG3318"/>
      <c r="CH3318"/>
      <c r="CI3318"/>
      <c r="CU3318" s="42">
        <v>3313</v>
      </c>
      <c r="CV3318" s="115">
        <v>4</v>
      </c>
      <c r="CW3318" s="115">
        <v>0.11332468572476186</v>
      </c>
      <c r="CX3318" s="115" t="e">
        <v>#N/A</v>
      </c>
      <c r="CY3318" s="115" t="e">
        <v>#N/A</v>
      </c>
      <c r="CZ3318" s="137" t="e">
        <v>#N/A</v>
      </c>
      <c r="DA3318">
        <v>0.11332468572476186</v>
      </c>
      <c r="DB3318" t="str">
        <v/>
      </c>
    </row>
    <row r="3319" spans="83:106" x14ac:dyDescent="0.2">
      <c r="CE3319"/>
      <c r="CF3319"/>
      <c r="CG3319"/>
      <c r="CH3319"/>
      <c r="CI3319"/>
      <c r="CU3319" s="42">
        <v>3314</v>
      </c>
      <c r="CV3319" s="115">
        <v>4</v>
      </c>
      <c r="CW3319" s="115">
        <v>0.11332468572476186</v>
      </c>
      <c r="CX3319" s="115" t="e">
        <v>#N/A</v>
      </c>
      <c r="CY3319" s="115" t="e">
        <v>#N/A</v>
      </c>
      <c r="CZ3319" s="137" t="e">
        <v>#N/A</v>
      </c>
      <c r="DA3319">
        <v>0.11332468572476186</v>
      </c>
      <c r="DB3319" t="str">
        <v/>
      </c>
    </row>
    <row r="3320" spans="83:106" x14ac:dyDescent="0.2">
      <c r="CE3320"/>
      <c r="CF3320"/>
      <c r="CG3320"/>
      <c r="CH3320"/>
      <c r="CI3320"/>
      <c r="CU3320" s="42">
        <v>3315</v>
      </c>
      <c r="CV3320" s="115">
        <v>4</v>
      </c>
      <c r="CW3320" s="115">
        <v>0.11332468572476186</v>
      </c>
      <c r="CX3320" s="115" t="e">
        <v>#N/A</v>
      </c>
      <c r="CY3320" s="115" t="e">
        <v>#N/A</v>
      </c>
      <c r="CZ3320" s="137" t="e">
        <v>#N/A</v>
      </c>
      <c r="DA3320">
        <v>0.11332468572476186</v>
      </c>
      <c r="DB3320" t="str">
        <v/>
      </c>
    </row>
    <row r="3321" spans="83:106" x14ac:dyDescent="0.2">
      <c r="CE3321"/>
      <c r="CF3321"/>
      <c r="CG3321"/>
      <c r="CH3321"/>
      <c r="CI3321"/>
      <c r="CU3321" s="42">
        <v>3316</v>
      </c>
      <c r="CV3321" s="115">
        <v>4</v>
      </c>
      <c r="CW3321" s="115">
        <v>0.11332468572476186</v>
      </c>
      <c r="CX3321" s="115" t="e">
        <v>#N/A</v>
      </c>
      <c r="CY3321" s="115" t="e">
        <v>#N/A</v>
      </c>
      <c r="CZ3321" s="137" t="e">
        <v>#N/A</v>
      </c>
      <c r="DA3321">
        <v>0.11332468572476186</v>
      </c>
      <c r="DB3321" t="str">
        <v/>
      </c>
    </row>
    <row r="3322" spans="83:106" x14ac:dyDescent="0.2">
      <c r="CE3322"/>
      <c r="CF3322"/>
      <c r="CG3322"/>
      <c r="CH3322"/>
      <c r="CI3322"/>
      <c r="CU3322" s="42">
        <v>3317</v>
      </c>
      <c r="CV3322" s="115">
        <v>4</v>
      </c>
      <c r="CW3322" s="115">
        <v>0.11332468572476186</v>
      </c>
      <c r="CX3322" s="115" t="e">
        <v>#N/A</v>
      </c>
      <c r="CY3322" s="115" t="e">
        <v>#N/A</v>
      </c>
      <c r="CZ3322" s="137" t="e">
        <v>#N/A</v>
      </c>
      <c r="DA3322">
        <v>0.11332468572476186</v>
      </c>
      <c r="DB3322" t="str">
        <v/>
      </c>
    </row>
    <row r="3323" spans="83:106" x14ac:dyDescent="0.2">
      <c r="CE3323"/>
      <c r="CF3323"/>
      <c r="CG3323"/>
      <c r="CH3323"/>
      <c r="CI3323"/>
      <c r="CU3323" s="42">
        <v>3318</v>
      </c>
      <c r="CV3323" s="115">
        <v>4</v>
      </c>
      <c r="CW3323" s="115">
        <v>0.11332468572476186</v>
      </c>
      <c r="CX3323" s="115" t="e">
        <v>#N/A</v>
      </c>
      <c r="CY3323" s="115" t="e">
        <v>#N/A</v>
      </c>
      <c r="CZ3323" s="137" t="e">
        <v>#N/A</v>
      </c>
      <c r="DA3323">
        <v>0.11332468572476186</v>
      </c>
      <c r="DB3323" t="str">
        <v/>
      </c>
    </row>
    <row r="3324" spans="83:106" x14ac:dyDescent="0.2">
      <c r="CE3324"/>
      <c r="CF3324"/>
      <c r="CG3324"/>
      <c r="CH3324"/>
      <c r="CI3324"/>
      <c r="CU3324" s="42">
        <v>3319</v>
      </c>
      <c r="CV3324" s="115">
        <v>4</v>
      </c>
      <c r="CW3324" s="115">
        <v>0.11332468572476186</v>
      </c>
      <c r="CX3324" s="115" t="e">
        <v>#N/A</v>
      </c>
      <c r="CY3324" s="115" t="e">
        <v>#N/A</v>
      </c>
      <c r="CZ3324" s="137" t="e">
        <v>#N/A</v>
      </c>
      <c r="DA3324">
        <v>0.11332468572476186</v>
      </c>
      <c r="DB3324" t="str">
        <v/>
      </c>
    </row>
    <row r="3325" spans="83:106" x14ac:dyDescent="0.2">
      <c r="CE3325"/>
      <c r="CF3325"/>
      <c r="CG3325"/>
      <c r="CH3325"/>
      <c r="CI3325"/>
      <c r="CU3325" s="42">
        <v>3320</v>
      </c>
      <c r="CV3325" s="115">
        <v>4</v>
      </c>
      <c r="CW3325" s="115">
        <v>0.11332468572476186</v>
      </c>
      <c r="CX3325" s="115" t="e">
        <v>#N/A</v>
      </c>
      <c r="CY3325" s="115" t="e">
        <v>#N/A</v>
      </c>
      <c r="CZ3325" s="137" t="e">
        <v>#N/A</v>
      </c>
      <c r="DA3325">
        <v>0.11332468572476186</v>
      </c>
      <c r="DB3325" t="str">
        <v/>
      </c>
    </row>
    <row r="3326" spans="83:106" x14ac:dyDescent="0.2">
      <c r="CE3326"/>
      <c r="CF3326"/>
      <c r="CG3326"/>
      <c r="CH3326"/>
      <c r="CI3326"/>
      <c r="CU3326" s="42">
        <v>3321</v>
      </c>
      <c r="CV3326" s="115">
        <v>4</v>
      </c>
      <c r="CW3326" s="115">
        <v>0.11332468572476186</v>
      </c>
      <c r="CX3326" s="115" t="e">
        <v>#N/A</v>
      </c>
      <c r="CY3326" s="115" t="e">
        <v>#N/A</v>
      </c>
      <c r="CZ3326" s="137" t="e">
        <v>#N/A</v>
      </c>
      <c r="DA3326">
        <v>0.11332468572476186</v>
      </c>
      <c r="DB3326" t="str">
        <v/>
      </c>
    </row>
    <row r="3327" spans="83:106" x14ac:dyDescent="0.2">
      <c r="CE3327"/>
      <c r="CF3327"/>
      <c r="CG3327"/>
      <c r="CH3327"/>
      <c r="CI3327"/>
      <c r="CU3327" s="42">
        <v>3322</v>
      </c>
      <c r="CV3327" s="115">
        <v>4</v>
      </c>
      <c r="CW3327" s="115">
        <v>0.11332468572476186</v>
      </c>
      <c r="CX3327" s="115" t="e">
        <v>#N/A</v>
      </c>
      <c r="CY3327" s="115" t="e">
        <v>#N/A</v>
      </c>
      <c r="CZ3327" s="137" t="e">
        <v>#N/A</v>
      </c>
      <c r="DA3327">
        <v>0.11332468572476186</v>
      </c>
      <c r="DB3327" t="str">
        <v/>
      </c>
    </row>
    <row r="3328" spans="83:106" x14ac:dyDescent="0.2">
      <c r="CE3328"/>
      <c r="CF3328"/>
      <c r="CG3328"/>
      <c r="CH3328"/>
      <c r="CI3328"/>
      <c r="CU3328" s="42">
        <v>3323</v>
      </c>
      <c r="CV3328" s="115">
        <v>4</v>
      </c>
      <c r="CW3328" s="115">
        <v>0.11332468572476186</v>
      </c>
      <c r="CX3328" s="115" t="e">
        <v>#N/A</v>
      </c>
      <c r="CY3328" s="115" t="e">
        <v>#N/A</v>
      </c>
      <c r="CZ3328" s="137" t="e">
        <v>#N/A</v>
      </c>
      <c r="DA3328">
        <v>0.11332468572476186</v>
      </c>
      <c r="DB3328" t="str">
        <v/>
      </c>
    </row>
    <row r="3329" spans="83:106" x14ac:dyDescent="0.2">
      <c r="CE3329"/>
      <c r="CF3329"/>
      <c r="CG3329"/>
      <c r="CH3329"/>
      <c r="CI3329"/>
      <c r="CU3329" s="42">
        <v>3324</v>
      </c>
      <c r="CV3329" s="115">
        <v>4</v>
      </c>
      <c r="CW3329" s="115">
        <v>0.11332468572476186</v>
      </c>
      <c r="CX3329" s="115" t="e">
        <v>#N/A</v>
      </c>
      <c r="CY3329" s="115" t="e">
        <v>#N/A</v>
      </c>
      <c r="CZ3329" s="137" t="e">
        <v>#N/A</v>
      </c>
      <c r="DA3329">
        <v>0.11332468572476186</v>
      </c>
      <c r="DB3329" t="str">
        <v/>
      </c>
    </row>
    <row r="3330" spans="83:106" x14ac:dyDescent="0.2">
      <c r="CE3330"/>
      <c r="CF3330"/>
      <c r="CG3330"/>
      <c r="CH3330"/>
      <c r="CI3330"/>
      <c r="CU3330" s="42">
        <v>3325</v>
      </c>
      <c r="CV3330" s="115">
        <v>4</v>
      </c>
      <c r="CW3330" s="115">
        <v>0.11332468572476186</v>
      </c>
      <c r="CX3330" s="115" t="e">
        <v>#N/A</v>
      </c>
      <c r="CY3330" s="115" t="e">
        <v>#N/A</v>
      </c>
      <c r="CZ3330" s="137" t="e">
        <v>#N/A</v>
      </c>
      <c r="DA3330">
        <v>0.11332468572476186</v>
      </c>
      <c r="DB3330" t="str">
        <v/>
      </c>
    </row>
    <row r="3331" spans="83:106" x14ac:dyDescent="0.2">
      <c r="CE3331"/>
      <c r="CF3331"/>
      <c r="CG3331"/>
      <c r="CH3331"/>
      <c r="CI3331"/>
      <c r="CU3331" s="42">
        <v>3326</v>
      </c>
      <c r="CV3331" s="115">
        <v>4</v>
      </c>
      <c r="CW3331" s="115">
        <v>0.11332468572476186</v>
      </c>
      <c r="CX3331" s="115" t="e">
        <v>#N/A</v>
      </c>
      <c r="CY3331" s="115" t="e">
        <v>#N/A</v>
      </c>
      <c r="CZ3331" s="137" t="e">
        <v>#N/A</v>
      </c>
      <c r="DA3331">
        <v>0.11332468572476186</v>
      </c>
      <c r="DB3331" t="str">
        <v/>
      </c>
    </row>
    <row r="3332" spans="83:106" x14ac:dyDescent="0.2">
      <c r="CE3332"/>
      <c r="CF3332"/>
      <c r="CG3332"/>
      <c r="CH3332"/>
      <c r="CI3332"/>
      <c r="CU3332" s="42">
        <v>3327</v>
      </c>
      <c r="CV3332" s="115">
        <v>4</v>
      </c>
      <c r="CW3332" s="115">
        <v>0.11332468572476186</v>
      </c>
      <c r="CX3332" s="115" t="e">
        <v>#N/A</v>
      </c>
      <c r="CY3332" s="115" t="e">
        <v>#N/A</v>
      </c>
      <c r="CZ3332" s="137" t="e">
        <v>#N/A</v>
      </c>
      <c r="DA3332">
        <v>0.11332468572476186</v>
      </c>
      <c r="DB3332" t="str">
        <v/>
      </c>
    </row>
    <row r="3333" spans="83:106" x14ac:dyDescent="0.2">
      <c r="CE3333"/>
      <c r="CF3333"/>
      <c r="CG3333"/>
      <c r="CH3333"/>
      <c r="CI3333"/>
      <c r="CU3333" s="42">
        <v>3328</v>
      </c>
      <c r="CV3333" s="115">
        <v>4</v>
      </c>
      <c r="CW3333" s="115">
        <v>0.11332468572476186</v>
      </c>
      <c r="CX3333" s="115" t="e">
        <v>#N/A</v>
      </c>
      <c r="CY3333" s="115" t="e">
        <v>#N/A</v>
      </c>
      <c r="CZ3333" s="137" t="e">
        <v>#N/A</v>
      </c>
      <c r="DA3333">
        <v>0.11332468572476186</v>
      </c>
      <c r="DB3333" t="str">
        <v/>
      </c>
    </row>
    <row r="3334" spans="83:106" x14ac:dyDescent="0.2">
      <c r="CE3334"/>
      <c r="CF3334"/>
      <c r="CG3334"/>
      <c r="CH3334"/>
      <c r="CI3334"/>
      <c r="CU3334" s="42">
        <v>3329</v>
      </c>
      <c r="CV3334" s="115">
        <v>4</v>
      </c>
      <c r="CW3334" s="115">
        <v>0.11332468572476186</v>
      </c>
      <c r="CX3334" s="115" t="e">
        <v>#N/A</v>
      </c>
      <c r="CY3334" s="115" t="e">
        <v>#N/A</v>
      </c>
      <c r="CZ3334" s="137" t="e">
        <v>#N/A</v>
      </c>
      <c r="DA3334">
        <v>0.11332468572476186</v>
      </c>
      <c r="DB3334" t="str">
        <v/>
      </c>
    </row>
    <row r="3335" spans="83:106" x14ac:dyDescent="0.2">
      <c r="CE3335"/>
      <c r="CF3335"/>
      <c r="CG3335"/>
      <c r="CH3335"/>
      <c r="CI3335"/>
      <c r="CU3335" s="42">
        <v>3330</v>
      </c>
      <c r="CV3335" s="115">
        <v>4</v>
      </c>
      <c r="CW3335" s="115">
        <v>0.11332468572476186</v>
      </c>
      <c r="CX3335" s="115" t="e">
        <v>#N/A</v>
      </c>
      <c r="CY3335" s="115" t="e">
        <v>#N/A</v>
      </c>
      <c r="CZ3335" s="137" t="e">
        <v>#N/A</v>
      </c>
      <c r="DA3335">
        <v>0.11332468572476186</v>
      </c>
      <c r="DB3335" t="str">
        <v/>
      </c>
    </row>
    <row r="3336" spans="83:106" x14ac:dyDescent="0.2">
      <c r="CE3336"/>
      <c r="CF3336"/>
      <c r="CG3336"/>
      <c r="CH3336"/>
      <c r="CI3336"/>
      <c r="CU3336" s="42">
        <v>3331</v>
      </c>
      <c r="CV3336" s="115">
        <v>4</v>
      </c>
      <c r="CW3336" s="115">
        <v>0.11332468572476186</v>
      </c>
      <c r="CX3336" s="115" t="e">
        <v>#N/A</v>
      </c>
      <c r="CY3336" s="115" t="e">
        <v>#N/A</v>
      </c>
      <c r="CZ3336" s="137" t="e">
        <v>#N/A</v>
      </c>
      <c r="DA3336">
        <v>0.11332468572476186</v>
      </c>
      <c r="DB3336" t="str">
        <v/>
      </c>
    </row>
    <row r="3337" spans="83:106" x14ac:dyDescent="0.2">
      <c r="CE3337"/>
      <c r="CF3337"/>
      <c r="CG3337"/>
      <c r="CH3337"/>
      <c r="CI3337"/>
      <c r="CU3337" s="42">
        <v>3332</v>
      </c>
      <c r="CV3337" s="115">
        <v>4</v>
      </c>
      <c r="CW3337" s="115">
        <v>0.11332468572476186</v>
      </c>
      <c r="CX3337" s="115" t="e">
        <v>#N/A</v>
      </c>
      <c r="CY3337" s="115" t="e">
        <v>#N/A</v>
      </c>
      <c r="CZ3337" s="137" t="e">
        <v>#N/A</v>
      </c>
      <c r="DA3337">
        <v>0.11332468572476186</v>
      </c>
      <c r="DB3337" t="str">
        <v/>
      </c>
    </row>
    <row r="3338" spans="83:106" x14ac:dyDescent="0.2">
      <c r="CE3338"/>
      <c r="CF3338"/>
      <c r="CG3338"/>
      <c r="CH3338"/>
      <c r="CI3338"/>
      <c r="CU3338" s="42">
        <v>3333</v>
      </c>
      <c r="CV3338" s="115">
        <v>4</v>
      </c>
      <c r="CW3338" s="115">
        <v>0.11332468572476186</v>
      </c>
      <c r="CX3338" s="115" t="e">
        <v>#N/A</v>
      </c>
      <c r="CY3338" s="115" t="e">
        <v>#N/A</v>
      </c>
      <c r="CZ3338" s="137" t="e">
        <v>#N/A</v>
      </c>
      <c r="DA3338">
        <v>0.11332468572476186</v>
      </c>
      <c r="DB3338" t="str">
        <v/>
      </c>
    </row>
    <row r="3339" spans="83:106" x14ac:dyDescent="0.2">
      <c r="CE3339"/>
      <c r="CF3339"/>
      <c r="CG3339"/>
      <c r="CH3339"/>
      <c r="CI3339"/>
      <c r="CU3339" s="42">
        <v>3334</v>
      </c>
      <c r="CV3339" s="115">
        <v>4</v>
      </c>
      <c r="CW3339" s="115">
        <v>0.11332468572476186</v>
      </c>
      <c r="CX3339" s="115" t="e">
        <v>#N/A</v>
      </c>
      <c r="CY3339" s="115" t="e">
        <v>#N/A</v>
      </c>
      <c r="CZ3339" s="137" t="e">
        <v>#N/A</v>
      </c>
      <c r="DA3339">
        <v>0.11332468572476186</v>
      </c>
      <c r="DB3339" t="str">
        <v/>
      </c>
    </row>
    <row r="3340" spans="83:106" x14ac:dyDescent="0.2">
      <c r="CE3340"/>
      <c r="CF3340"/>
      <c r="CG3340"/>
      <c r="CH3340"/>
      <c r="CI3340"/>
      <c r="CU3340" s="42">
        <v>3335</v>
      </c>
      <c r="CV3340" s="115">
        <v>4</v>
      </c>
      <c r="CW3340" s="115">
        <v>0.11332468572476186</v>
      </c>
      <c r="CX3340" s="115" t="e">
        <v>#N/A</v>
      </c>
      <c r="CY3340" s="115" t="e">
        <v>#N/A</v>
      </c>
      <c r="CZ3340" s="137" t="e">
        <v>#N/A</v>
      </c>
      <c r="DA3340">
        <v>0.11332468572476186</v>
      </c>
      <c r="DB3340" t="str">
        <v/>
      </c>
    </row>
    <row r="3341" spans="83:106" x14ac:dyDescent="0.2">
      <c r="CE3341"/>
      <c r="CF3341"/>
      <c r="CG3341"/>
      <c r="CH3341"/>
      <c r="CI3341"/>
      <c r="CU3341" s="42">
        <v>3336</v>
      </c>
      <c r="CV3341" s="115">
        <v>4</v>
      </c>
      <c r="CW3341" s="115">
        <v>0.11332468572476186</v>
      </c>
      <c r="CX3341" s="115" t="e">
        <v>#N/A</v>
      </c>
      <c r="CY3341" s="115" t="e">
        <v>#N/A</v>
      </c>
      <c r="CZ3341" s="137" t="e">
        <v>#N/A</v>
      </c>
      <c r="DA3341">
        <v>0.11332468572476186</v>
      </c>
      <c r="DB3341" t="str">
        <v/>
      </c>
    </row>
    <row r="3342" spans="83:106" x14ac:dyDescent="0.2">
      <c r="CE3342"/>
      <c r="CF3342"/>
      <c r="CG3342"/>
      <c r="CH3342"/>
      <c r="CI3342"/>
      <c r="CU3342" s="42">
        <v>3337</v>
      </c>
      <c r="CV3342" s="115">
        <v>4</v>
      </c>
      <c r="CW3342" s="115">
        <v>0.11332468572476186</v>
      </c>
      <c r="CX3342" s="115" t="e">
        <v>#N/A</v>
      </c>
      <c r="CY3342" s="115" t="e">
        <v>#N/A</v>
      </c>
      <c r="CZ3342" s="137" t="e">
        <v>#N/A</v>
      </c>
      <c r="DA3342">
        <v>0.11332468572476186</v>
      </c>
      <c r="DB3342" t="str">
        <v/>
      </c>
    </row>
    <row r="3343" spans="83:106" x14ac:dyDescent="0.2">
      <c r="CE3343"/>
      <c r="CF3343"/>
      <c r="CG3343"/>
      <c r="CH3343"/>
      <c r="CI3343"/>
      <c r="CU3343" s="42">
        <v>3338</v>
      </c>
      <c r="CV3343" s="115">
        <v>4</v>
      </c>
      <c r="CW3343" s="115">
        <v>0.11332468572476186</v>
      </c>
      <c r="CX3343" s="115" t="e">
        <v>#N/A</v>
      </c>
      <c r="CY3343" s="115" t="e">
        <v>#N/A</v>
      </c>
      <c r="CZ3343" s="137" t="e">
        <v>#N/A</v>
      </c>
      <c r="DA3343">
        <v>0.11332468572476186</v>
      </c>
      <c r="DB3343" t="str">
        <v/>
      </c>
    </row>
    <row r="3344" spans="83:106" x14ac:dyDescent="0.2">
      <c r="CE3344"/>
      <c r="CF3344"/>
      <c r="CG3344"/>
      <c r="CH3344"/>
      <c r="CI3344"/>
      <c r="CU3344" s="42">
        <v>3339</v>
      </c>
      <c r="CV3344" s="115">
        <v>4</v>
      </c>
      <c r="CW3344" s="115">
        <v>0.11332468572476186</v>
      </c>
      <c r="CX3344" s="115" t="e">
        <v>#N/A</v>
      </c>
      <c r="CY3344" s="115" t="e">
        <v>#N/A</v>
      </c>
      <c r="CZ3344" s="137" t="e">
        <v>#N/A</v>
      </c>
      <c r="DA3344">
        <v>0.11332468572476186</v>
      </c>
      <c r="DB3344" t="str">
        <v/>
      </c>
    </row>
    <row r="3345" spans="83:106" x14ac:dyDescent="0.2">
      <c r="CE3345"/>
      <c r="CF3345"/>
      <c r="CG3345"/>
      <c r="CH3345"/>
      <c r="CI3345"/>
      <c r="CU3345" s="42">
        <v>3340</v>
      </c>
      <c r="CV3345" s="115">
        <v>4</v>
      </c>
      <c r="CW3345" s="115">
        <v>0.11332468572476186</v>
      </c>
      <c r="CX3345" s="115" t="e">
        <v>#N/A</v>
      </c>
      <c r="CY3345" s="115" t="e">
        <v>#N/A</v>
      </c>
      <c r="CZ3345" s="137" t="e">
        <v>#N/A</v>
      </c>
      <c r="DA3345">
        <v>0.11332468572476186</v>
      </c>
      <c r="DB3345" t="str">
        <v/>
      </c>
    </row>
    <row r="3346" spans="83:106" x14ac:dyDescent="0.2">
      <c r="CE3346"/>
      <c r="CF3346"/>
      <c r="CG3346"/>
      <c r="CH3346"/>
      <c r="CI3346"/>
      <c r="CU3346" s="42">
        <v>3341</v>
      </c>
      <c r="CV3346" s="115">
        <v>4</v>
      </c>
      <c r="CW3346" s="115">
        <v>0.11332468572476186</v>
      </c>
      <c r="CX3346" s="115" t="e">
        <v>#N/A</v>
      </c>
      <c r="CY3346" s="115" t="e">
        <v>#N/A</v>
      </c>
      <c r="CZ3346" s="137" t="e">
        <v>#N/A</v>
      </c>
      <c r="DA3346">
        <v>0.11332468572476186</v>
      </c>
      <c r="DB3346" t="str">
        <v/>
      </c>
    </row>
    <row r="3347" spans="83:106" x14ac:dyDescent="0.2">
      <c r="CE3347"/>
      <c r="CF3347"/>
      <c r="CG3347"/>
      <c r="CH3347"/>
      <c r="CI3347"/>
      <c r="CU3347" s="42">
        <v>3342</v>
      </c>
      <c r="CV3347" s="115">
        <v>4</v>
      </c>
      <c r="CW3347" s="115">
        <v>0.11332468572476186</v>
      </c>
      <c r="CX3347" s="115" t="e">
        <v>#N/A</v>
      </c>
      <c r="CY3347" s="115" t="e">
        <v>#N/A</v>
      </c>
      <c r="CZ3347" s="137" t="e">
        <v>#N/A</v>
      </c>
      <c r="DA3347">
        <v>0.11332468572476186</v>
      </c>
      <c r="DB3347" t="str">
        <v/>
      </c>
    </row>
    <row r="3348" spans="83:106" x14ac:dyDescent="0.2">
      <c r="CE3348"/>
      <c r="CF3348"/>
      <c r="CG3348"/>
      <c r="CH3348"/>
      <c r="CI3348"/>
      <c r="CU3348" s="42">
        <v>3343</v>
      </c>
      <c r="CV3348" s="115">
        <v>4</v>
      </c>
      <c r="CW3348" s="115">
        <v>0.11332468572476186</v>
      </c>
      <c r="CX3348" s="115" t="e">
        <v>#N/A</v>
      </c>
      <c r="CY3348" s="115" t="e">
        <v>#N/A</v>
      </c>
      <c r="CZ3348" s="137" t="e">
        <v>#N/A</v>
      </c>
      <c r="DA3348">
        <v>0.11332468572476186</v>
      </c>
      <c r="DB3348" t="str">
        <v/>
      </c>
    </row>
    <row r="3349" spans="83:106" x14ac:dyDescent="0.2">
      <c r="CE3349"/>
      <c r="CF3349"/>
      <c r="CG3349"/>
      <c r="CH3349"/>
      <c r="CI3349"/>
      <c r="CU3349" s="42">
        <v>3344</v>
      </c>
      <c r="CV3349" s="115">
        <v>4</v>
      </c>
      <c r="CW3349" s="115">
        <v>0.11332468572476186</v>
      </c>
      <c r="CX3349" s="115" t="e">
        <v>#N/A</v>
      </c>
      <c r="CY3349" s="115" t="e">
        <v>#N/A</v>
      </c>
      <c r="CZ3349" s="137" t="e">
        <v>#N/A</v>
      </c>
      <c r="DA3349">
        <v>0.11332468572476186</v>
      </c>
      <c r="DB3349" t="str">
        <v/>
      </c>
    </row>
    <row r="3350" spans="83:106" x14ac:dyDescent="0.2">
      <c r="CE3350"/>
      <c r="CF3350"/>
      <c r="CG3350"/>
      <c r="CH3350"/>
      <c r="CI3350"/>
      <c r="CU3350" s="42">
        <v>3345</v>
      </c>
      <c r="CV3350" s="115">
        <v>4</v>
      </c>
      <c r="CW3350" s="115">
        <v>0.11332468572476186</v>
      </c>
      <c r="CX3350" s="115" t="e">
        <v>#N/A</v>
      </c>
      <c r="CY3350" s="115" t="e">
        <v>#N/A</v>
      </c>
      <c r="CZ3350" s="137" t="e">
        <v>#N/A</v>
      </c>
      <c r="DA3350">
        <v>0.11332468572476186</v>
      </c>
      <c r="DB3350" t="str">
        <v/>
      </c>
    </row>
    <row r="3351" spans="83:106" x14ac:dyDescent="0.2">
      <c r="CE3351"/>
      <c r="CF3351"/>
      <c r="CG3351"/>
      <c r="CH3351"/>
      <c r="CI3351"/>
      <c r="CU3351" s="42">
        <v>3346</v>
      </c>
      <c r="CV3351" s="115">
        <v>4</v>
      </c>
      <c r="CW3351" s="115">
        <v>0.11332468572476186</v>
      </c>
      <c r="CX3351" s="115" t="e">
        <v>#N/A</v>
      </c>
      <c r="CY3351" s="115" t="e">
        <v>#N/A</v>
      </c>
      <c r="CZ3351" s="137" t="e">
        <v>#N/A</v>
      </c>
      <c r="DA3351">
        <v>0.11332468572476186</v>
      </c>
      <c r="DB3351" t="str">
        <v/>
      </c>
    </row>
    <row r="3352" spans="83:106" x14ac:dyDescent="0.2">
      <c r="CE3352"/>
      <c r="CF3352"/>
      <c r="CG3352"/>
      <c r="CH3352"/>
      <c r="CI3352"/>
      <c r="CU3352" s="42">
        <v>3347</v>
      </c>
      <c r="CV3352" s="115">
        <v>4</v>
      </c>
      <c r="CW3352" s="115">
        <v>0.11332468572476186</v>
      </c>
      <c r="CX3352" s="115" t="e">
        <v>#N/A</v>
      </c>
      <c r="CY3352" s="115" t="e">
        <v>#N/A</v>
      </c>
      <c r="CZ3352" s="137" t="e">
        <v>#N/A</v>
      </c>
      <c r="DA3352">
        <v>0.11332468572476186</v>
      </c>
      <c r="DB3352" t="str">
        <v/>
      </c>
    </row>
    <row r="3353" spans="83:106" x14ac:dyDescent="0.2">
      <c r="CE3353"/>
      <c r="CF3353"/>
      <c r="CG3353"/>
      <c r="CH3353"/>
      <c r="CI3353"/>
      <c r="CU3353" s="42">
        <v>3348</v>
      </c>
      <c r="CV3353" s="115">
        <v>4</v>
      </c>
      <c r="CW3353" s="115">
        <v>0.11332468572476186</v>
      </c>
      <c r="CX3353" s="115" t="e">
        <v>#N/A</v>
      </c>
      <c r="CY3353" s="115" t="e">
        <v>#N/A</v>
      </c>
      <c r="CZ3353" s="137" t="e">
        <v>#N/A</v>
      </c>
      <c r="DA3353">
        <v>0.11332468572476186</v>
      </c>
      <c r="DB3353" t="str">
        <v/>
      </c>
    </row>
    <row r="3354" spans="83:106" x14ac:dyDescent="0.2">
      <c r="CE3354"/>
      <c r="CF3354"/>
      <c r="CG3354"/>
      <c r="CH3354"/>
      <c r="CI3354"/>
      <c r="CU3354" s="42">
        <v>3349</v>
      </c>
      <c r="CV3354" s="115">
        <v>4</v>
      </c>
      <c r="CW3354" s="115">
        <v>0.11332468572476186</v>
      </c>
      <c r="CX3354" s="115" t="e">
        <v>#N/A</v>
      </c>
      <c r="CY3354" s="115" t="e">
        <v>#N/A</v>
      </c>
      <c r="CZ3354" s="137" t="e">
        <v>#N/A</v>
      </c>
      <c r="DA3354">
        <v>0.11332468572476186</v>
      </c>
      <c r="DB3354" t="str">
        <v/>
      </c>
    </row>
    <row r="3355" spans="83:106" x14ac:dyDescent="0.2">
      <c r="CE3355"/>
      <c r="CF3355"/>
      <c r="CG3355"/>
      <c r="CH3355"/>
      <c r="CI3355"/>
      <c r="CU3355" s="42">
        <v>3350</v>
      </c>
      <c r="CV3355" s="115">
        <v>4</v>
      </c>
      <c r="CW3355" s="115">
        <v>0.11332468572476186</v>
      </c>
      <c r="CX3355" s="115" t="e">
        <v>#N/A</v>
      </c>
      <c r="CY3355" s="115" t="e">
        <v>#N/A</v>
      </c>
      <c r="CZ3355" s="137" t="e">
        <v>#N/A</v>
      </c>
      <c r="DA3355">
        <v>0.11332468572476186</v>
      </c>
      <c r="DB3355" t="str">
        <v/>
      </c>
    </row>
    <row r="3356" spans="83:106" x14ac:dyDescent="0.2">
      <c r="CE3356"/>
      <c r="CF3356"/>
      <c r="CG3356"/>
      <c r="CH3356"/>
      <c r="CI3356"/>
      <c r="CU3356" s="42">
        <v>3351</v>
      </c>
      <c r="CV3356" s="115">
        <v>4</v>
      </c>
      <c r="CW3356" s="115">
        <v>0.11332468572476186</v>
      </c>
      <c r="CX3356" s="115" t="e">
        <v>#N/A</v>
      </c>
      <c r="CY3356" s="115" t="e">
        <v>#N/A</v>
      </c>
      <c r="CZ3356" s="137" t="e">
        <v>#N/A</v>
      </c>
      <c r="DA3356">
        <v>0.11332468572476186</v>
      </c>
      <c r="DB3356" t="str">
        <v/>
      </c>
    </row>
    <row r="3357" spans="83:106" x14ac:dyDescent="0.2">
      <c r="CE3357"/>
      <c r="CF3357"/>
      <c r="CG3357"/>
      <c r="CH3357"/>
      <c r="CI3357"/>
      <c r="CU3357" s="42">
        <v>3352</v>
      </c>
      <c r="CV3357" s="115">
        <v>4</v>
      </c>
      <c r="CW3357" s="115">
        <v>0.11332468572476186</v>
      </c>
      <c r="CX3357" s="115" t="e">
        <v>#N/A</v>
      </c>
      <c r="CY3357" s="115" t="e">
        <v>#N/A</v>
      </c>
      <c r="CZ3357" s="137" t="e">
        <v>#N/A</v>
      </c>
      <c r="DA3357">
        <v>0.11332468572476186</v>
      </c>
      <c r="DB3357" t="str">
        <v/>
      </c>
    </row>
    <row r="3358" spans="83:106" x14ac:dyDescent="0.2">
      <c r="CE3358"/>
      <c r="CF3358"/>
      <c r="CG3358"/>
      <c r="CH3358"/>
      <c r="CI3358"/>
      <c r="CU3358" s="42">
        <v>3353</v>
      </c>
      <c r="CV3358" s="115">
        <v>4</v>
      </c>
      <c r="CW3358" s="115">
        <v>0.11332468572476186</v>
      </c>
      <c r="CX3358" s="115" t="e">
        <v>#N/A</v>
      </c>
      <c r="CY3358" s="115" t="e">
        <v>#N/A</v>
      </c>
      <c r="CZ3358" s="137" t="e">
        <v>#N/A</v>
      </c>
      <c r="DA3358">
        <v>0.11332468572476186</v>
      </c>
      <c r="DB3358" t="str">
        <v/>
      </c>
    </row>
    <row r="3359" spans="83:106" x14ac:dyDescent="0.2">
      <c r="CE3359"/>
      <c r="CF3359"/>
      <c r="CG3359"/>
      <c r="CH3359"/>
      <c r="CI3359"/>
      <c r="CU3359" s="42">
        <v>3354</v>
      </c>
      <c r="CV3359" s="115">
        <v>4</v>
      </c>
      <c r="CW3359" s="115">
        <v>0.11332468572476186</v>
      </c>
      <c r="CX3359" s="115" t="e">
        <v>#N/A</v>
      </c>
      <c r="CY3359" s="115" t="e">
        <v>#N/A</v>
      </c>
      <c r="CZ3359" s="137" t="e">
        <v>#N/A</v>
      </c>
      <c r="DA3359">
        <v>0.11332468572476186</v>
      </c>
      <c r="DB3359" t="str">
        <v/>
      </c>
    </row>
    <row r="3360" spans="83:106" x14ac:dyDescent="0.2">
      <c r="CE3360"/>
      <c r="CF3360"/>
      <c r="CG3360"/>
      <c r="CH3360"/>
      <c r="CI3360"/>
      <c r="CU3360" s="42">
        <v>3355</v>
      </c>
      <c r="CV3360" s="115">
        <v>4</v>
      </c>
      <c r="CW3360" s="115">
        <v>0.11332468572476186</v>
      </c>
      <c r="CX3360" s="115" t="e">
        <v>#N/A</v>
      </c>
      <c r="CY3360" s="115" t="e">
        <v>#N/A</v>
      </c>
      <c r="CZ3360" s="137" t="e">
        <v>#N/A</v>
      </c>
      <c r="DA3360">
        <v>0.11332468572476186</v>
      </c>
      <c r="DB3360" t="str">
        <v/>
      </c>
    </row>
    <row r="3361" spans="83:106" x14ac:dyDescent="0.2">
      <c r="CE3361"/>
      <c r="CF3361"/>
      <c r="CG3361"/>
      <c r="CH3361"/>
      <c r="CI3361"/>
      <c r="CU3361" s="42">
        <v>3356</v>
      </c>
      <c r="CV3361" s="115">
        <v>4</v>
      </c>
      <c r="CW3361" s="115">
        <v>0.11332468572476186</v>
      </c>
      <c r="CX3361" s="115" t="e">
        <v>#N/A</v>
      </c>
      <c r="CY3361" s="115" t="e">
        <v>#N/A</v>
      </c>
      <c r="CZ3361" s="137" t="e">
        <v>#N/A</v>
      </c>
      <c r="DA3361">
        <v>0.11332468572476186</v>
      </c>
      <c r="DB3361" t="str">
        <v/>
      </c>
    </row>
    <row r="3362" spans="83:106" x14ac:dyDescent="0.2">
      <c r="CE3362"/>
      <c r="CF3362"/>
      <c r="CG3362"/>
      <c r="CH3362"/>
      <c r="CI3362"/>
      <c r="CU3362" s="42">
        <v>3357</v>
      </c>
      <c r="CV3362" s="115">
        <v>4</v>
      </c>
      <c r="CW3362" s="115">
        <v>0.11332468572476186</v>
      </c>
      <c r="CX3362" s="115" t="e">
        <v>#N/A</v>
      </c>
      <c r="CY3362" s="115" t="e">
        <v>#N/A</v>
      </c>
      <c r="CZ3362" s="137" t="e">
        <v>#N/A</v>
      </c>
      <c r="DA3362">
        <v>0.11332468572476186</v>
      </c>
      <c r="DB3362" t="str">
        <v/>
      </c>
    </row>
    <row r="3363" spans="83:106" x14ac:dyDescent="0.2">
      <c r="CE3363"/>
      <c r="CF3363"/>
      <c r="CG3363"/>
      <c r="CH3363"/>
      <c r="CI3363"/>
      <c r="CU3363" s="42">
        <v>3358</v>
      </c>
      <c r="CV3363" s="115">
        <v>4</v>
      </c>
      <c r="CW3363" s="115">
        <v>0.11332468572476186</v>
      </c>
      <c r="CX3363" s="115" t="e">
        <v>#N/A</v>
      </c>
      <c r="CY3363" s="115" t="e">
        <v>#N/A</v>
      </c>
      <c r="CZ3363" s="137" t="e">
        <v>#N/A</v>
      </c>
      <c r="DA3363">
        <v>0.11332468572476186</v>
      </c>
      <c r="DB3363" t="str">
        <v/>
      </c>
    </row>
    <row r="3364" spans="83:106" x14ac:dyDescent="0.2">
      <c r="CE3364"/>
      <c r="CF3364"/>
      <c r="CG3364"/>
      <c r="CH3364"/>
      <c r="CI3364"/>
      <c r="CU3364" s="42">
        <v>3359</v>
      </c>
      <c r="CV3364" s="115">
        <v>4</v>
      </c>
      <c r="CW3364" s="115">
        <v>0.11332468572476186</v>
      </c>
      <c r="CX3364" s="115" t="e">
        <v>#N/A</v>
      </c>
      <c r="CY3364" s="115" t="e">
        <v>#N/A</v>
      </c>
      <c r="CZ3364" s="137" t="e">
        <v>#N/A</v>
      </c>
      <c r="DA3364">
        <v>0.11332468572476186</v>
      </c>
      <c r="DB3364" t="str">
        <v/>
      </c>
    </row>
    <row r="3365" spans="83:106" x14ac:dyDescent="0.2">
      <c r="CE3365"/>
      <c r="CF3365"/>
      <c r="CG3365"/>
      <c r="CH3365"/>
      <c r="CI3365"/>
      <c r="CU3365" s="42">
        <v>3360</v>
      </c>
      <c r="CV3365" s="115">
        <v>4</v>
      </c>
      <c r="CW3365" s="115">
        <v>0.11332468572476186</v>
      </c>
      <c r="CX3365" s="115" t="e">
        <v>#N/A</v>
      </c>
      <c r="CY3365" s="115" t="e">
        <v>#N/A</v>
      </c>
      <c r="CZ3365" s="137" t="e">
        <v>#N/A</v>
      </c>
      <c r="DA3365">
        <v>0.11332468572476186</v>
      </c>
      <c r="DB3365" t="str">
        <v/>
      </c>
    </row>
    <row r="3366" spans="83:106" x14ac:dyDescent="0.2">
      <c r="CE3366"/>
      <c r="CF3366"/>
      <c r="CG3366"/>
      <c r="CH3366"/>
      <c r="CI3366"/>
      <c r="CU3366" s="42">
        <v>3361</v>
      </c>
      <c r="CV3366" s="115">
        <v>4</v>
      </c>
      <c r="CW3366" s="115">
        <v>0.11332468572476186</v>
      </c>
      <c r="CX3366" s="115" t="e">
        <v>#N/A</v>
      </c>
      <c r="CY3366" s="115" t="e">
        <v>#N/A</v>
      </c>
      <c r="CZ3366" s="137" t="e">
        <v>#N/A</v>
      </c>
      <c r="DA3366">
        <v>0.11332468572476186</v>
      </c>
      <c r="DB3366" t="str">
        <v/>
      </c>
    </row>
    <row r="3367" spans="83:106" x14ac:dyDescent="0.2">
      <c r="CE3367"/>
      <c r="CF3367"/>
      <c r="CG3367"/>
      <c r="CH3367"/>
      <c r="CI3367"/>
      <c r="CU3367" s="42">
        <v>3362</v>
      </c>
      <c r="CV3367" s="115">
        <v>4</v>
      </c>
      <c r="CW3367" s="115">
        <v>0.11332468572476186</v>
      </c>
      <c r="CX3367" s="115" t="e">
        <v>#N/A</v>
      </c>
      <c r="CY3367" s="115" t="e">
        <v>#N/A</v>
      </c>
      <c r="CZ3367" s="137" t="e">
        <v>#N/A</v>
      </c>
      <c r="DA3367">
        <v>0.11332468572476186</v>
      </c>
      <c r="DB3367" t="str">
        <v/>
      </c>
    </row>
    <row r="3368" spans="83:106" x14ac:dyDescent="0.2">
      <c r="CE3368"/>
      <c r="CF3368"/>
      <c r="CG3368"/>
      <c r="CH3368"/>
      <c r="CI3368"/>
      <c r="CU3368" s="42">
        <v>3363</v>
      </c>
      <c r="CV3368" s="115">
        <v>4</v>
      </c>
      <c r="CW3368" s="115">
        <v>0.11332468572476186</v>
      </c>
      <c r="CX3368" s="115" t="e">
        <v>#N/A</v>
      </c>
      <c r="CY3368" s="115" t="e">
        <v>#N/A</v>
      </c>
      <c r="CZ3368" s="137" t="e">
        <v>#N/A</v>
      </c>
      <c r="DA3368">
        <v>0.11332468572476186</v>
      </c>
      <c r="DB3368" t="str">
        <v/>
      </c>
    </row>
    <row r="3369" spans="83:106" x14ac:dyDescent="0.2">
      <c r="CE3369"/>
      <c r="CF3369"/>
      <c r="CG3369"/>
      <c r="CH3369"/>
      <c r="CI3369"/>
      <c r="CU3369" s="42">
        <v>3364</v>
      </c>
      <c r="CV3369" s="115">
        <v>4</v>
      </c>
      <c r="CW3369" s="115">
        <v>0.11332468572476186</v>
      </c>
      <c r="CX3369" s="115" t="e">
        <v>#N/A</v>
      </c>
      <c r="CY3369" s="115" t="e">
        <v>#N/A</v>
      </c>
      <c r="CZ3369" s="137" t="e">
        <v>#N/A</v>
      </c>
      <c r="DA3369">
        <v>0.11332468572476186</v>
      </c>
      <c r="DB3369" t="str">
        <v/>
      </c>
    </row>
    <row r="3370" spans="83:106" x14ac:dyDescent="0.2">
      <c r="CE3370"/>
      <c r="CF3370"/>
      <c r="CG3370"/>
      <c r="CH3370"/>
      <c r="CI3370"/>
      <c r="CU3370" s="42">
        <v>3365</v>
      </c>
      <c r="CV3370" s="115">
        <v>4</v>
      </c>
      <c r="CW3370" s="115">
        <v>0.11332468572476186</v>
      </c>
      <c r="CX3370" s="115" t="e">
        <v>#N/A</v>
      </c>
      <c r="CY3370" s="115" t="e">
        <v>#N/A</v>
      </c>
      <c r="CZ3370" s="137" t="e">
        <v>#N/A</v>
      </c>
      <c r="DA3370">
        <v>0.11332468572476186</v>
      </c>
      <c r="DB3370" t="str">
        <v/>
      </c>
    </row>
    <row r="3371" spans="83:106" x14ac:dyDescent="0.2">
      <c r="CE3371"/>
      <c r="CF3371"/>
      <c r="CG3371"/>
      <c r="CH3371"/>
      <c r="CI3371"/>
      <c r="CU3371" s="42">
        <v>3366</v>
      </c>
      <c r="CV3371" s="115">
        <v>4</v>
      </c>
      <c r="CW3371" s="115">
        <v>0.11332468572476186</v>
      </c>
      <c r="CX3371" s="115" t="e">
        <v>#N/A</v>
      </c>
      <c r="CY3371" s="115" t="e">
        <v>#N/A</v>
      </c>
      <c r="CZ3371" s="137" t="e">
        <v>#N/A</v>
      </c>
      <c r="DA3371">
        <v>0.11332468572476186</v>
      </c>
      <c r="DB3371" t="str">
        <v/>
      </c>
    </row>
    <row r="3372" spans="83:106" x14ac:dyDescent="0.2">
      <c r="CE3372"/>
      <c r="CF3372"/>
      <c r="CG3372"/>
      <c r="CH3372"/>
      <c r="CI3372"/>
      <c r="CU3372" s="42">
        <v>3367</v>
      </c>
      <c r="CV3372" s="115">
        <v>4</v>
      </c>
      <c r="CW3372" s="115">
        <v>0.11332468572476186</v>
      </c>
      <c r="CX3372" s="115" t="e">
        <v>#N/A</v>
      </c>
      <c r="CY3372" s="115" t="e">
        <v>#N/A</v>
      </c>
      <c r="CZ3372" s="137" t="e">
        <v>#N/A</v>
      </c>
      <c r="DA3372">
        <v>0.11332468572476186</v>
      </c>
      <c r="DB3372" t="str">
        <v/>
      </c>
    </row>
    <row r="3373" spans="83:106" x14ac:dyDescent="0.2">
      <c r="CE3373"/>
      <c r="CF3373"/>
      <c r="CG3373"/>
      <c r="CH3373"/>
      <c r="CI3373"/>
      <c r="CU3373" s="42">
        <v>3368</v>
      </c>
      <c r="CV3373" s="115">
        <v>4</v>
      </c>
      <c r="CW3373" s="115">
        <v>0.11332468572476186</v>
      </c>
      <c r="CX3373" s="115" t="e">
        <v>#N/A</v>
      </c>
      <c r="CY3373" s="115" t="e">
        <v>#N/A</v>
      </c>
      <c r="CZ3373" s="137" t="e">
        <v>#N/A</v>
      </c>
      <c r="DA3373">
        <v>0.11332468572476186</v>
      </c>
      <c r="DB3373" t="str">
        <v/>
      </c>
    </row>
    <row r="3374" spans="83:106" x14ac:dyDescent="0.2">
      <c r="CE3374"/>
      <c r="CF3374"/>
      <c r="CG3374"/>
      <c r="CH3374"/>
      <c r="CI3374"/>
      <c r="CU3374" s="42">
        <v>3369</v>
      </c>
      <c r="CV3374" s="115">
        <v>4</v>
      </c>
      <c r="CW3374" s="115">
        <v>0.11332468572476186</v>
      </c>
      <c r="CX3374" s="115" t="e">
        <v>#N/A</v>
      </c>
      <c r="CY3374" s="115" t="e">
        <v>#N/A</v>
      </c>
      <c r="CZ3374" s="137" t="e">
        <v>#N/A</v>
      </c>
      <c r="DA3374">
        <v>0.11332468572476186</v>
      </c>
      <c r="DB3374" t="str">
        <v/>
      </c>
    </row>
    <row r="3375" spans="83:106" x14ac:dyDescent="0.2">
      <c r="CE3375"/>
      <c r="CF3375"/>
      <c r="CG3375"/>
      <c r="CH3375"/>
      <c r="CI3375"/>
      <c r="CU3375" s="42">
        <v>3370</v>
      </c>
      <c r="CV3375" s="115">
        <v>4</v>
      </c>
      <c r="CW3375" s="115">
        <v>0.11332468572476186</v>
      </c>
      <c r="CX3375" s="115" t="e">
        <v>#N/A</v>
      </c>
      <c r="CY3375" s="115" t="e">
        <v>#N/A</v>
      </c>
      <c r="CZ3375" s="137" t="e">
        <v>#N/A</v>
      </c>
      <c r="DA3375">
        <v>0.11332468572476186</v>
      </c>
      <c r="DB3375" t="str">
        <v/>
      </c>
    </row>
    <row r="3376" spans="83:106" x14ac:dyDescent="0.2">
      <c r="CE3376"/>
      <c r="CF3376"/>
      <c r="CG3376"/>
      <c r="CH3376"/>
      <c r="CI3376"/>
      <c r="CU3376" s="42">
        <v>3371</v>
      </c>
      <c r="CV3376" s="115">
        <v>4</v>
      </c>
      <c r="CW3376" s="115">
        <v>0.11332468572476186</v>
      </c>
      <c r="CX3376" s="115" t="e">
        <v>#N/A</v>
      </c>
      <c r="CY3376" s="115" t="e">
        <v>#N/A</v>
      </c>
      <c r="CZ3376" s="137" t="e">
        <v>#N/A</v>
      </c>
      <c r="DA3376">
        <v>0.11332468572476186</v>
      </c>
      <c r="DB3376" t="str">
        <v/>
      </c>
    </row>
    <row r="3377" spans="83:106" x14ac:dyDescent="0.2">
      <c r="CE3377"/>
      <c r="CF3377"/>
      <c r="CG3377"/>
      <c r="CH3377"/>
      <c r="CI3377"/>
      <c r="CU3377" s="42">
        <v>3372</v>
      </c>
      <c r="CV3377" s="115">
        <v>4</v>
      </c>
      <c r="CW3377" s="115">
        <v>0.11332468572476186</v>
      </c>
      <c r="CX3377" s="115" t="e">
        <v>#N/A</v>
      </c>
      <c r="CY3377" s="115" t="e">
        <v>#N/A</v>
      </c>
      <c r="CZ3377" s="137" t="e">
        <v>#N/A</v>
      </c>
      <c r="DA3377">
        <v>0.11332468572476186</v>
      </c>
      <c r="DB3377" t="str">
        <v/>
      </c>
    </row>
    <row r="3378" spans="83:106" x14ac:dyDescent="0.2">
      <c r="CE3378"/>
      <c r="CF3378"/>
      <c r="CG3378"/>
      <c r="CH3378"/>
      <c r="CI3378"/>
      <c r="CU3378" s="42">
        <v>3373</v>
      </c>
      <c r="CV3378" s="115">
        <v>4</v>
      </c>
      <c r="CW3378" s="115">
        <v>0.11332468572476186</v>
      </c>
      <c r="CX3378" s="115" t="e">
        <v>#N/A</v>
      </c>
      <c r="CY3378" s="115" t="e">
        <v>#N/A</v>
      </c>
      <c r="CZ3378" s="137" t="e">
        <v>#N/A</v>
      </c>
      <c r="DA3378">
        <v>0.11332468572476186</v>
      </c>
      <c r="DB3378" t="str">
        <v/>
      </c>
    </row>
    <row r="3379" spans="83:106" x14ac:dyDescent="0.2">
      <c r="CE3379"/>
      <c r="CF3379"/>
      <c r="CG3379"/>
      <c r="CH3379"/>
      <c r="CI3379"/>
      <c r="CU3379" s="42">
        <v>3374</v>
      </c>
      <c r="CV3379" s="115">
        <v>4</v>
      </c>
      <c r="CW3379" s="115">
        <v>0.11332468572476186</v>
      </c>
      <c r="CX3379" s="115" t="e">
        <v>#N/A</v>
      </c>
      <c r="CY3379" s="115" t="e">
        <v>#N/A</v>
      </c>
      <c r="CZ3379" s="137" t="e">
        <v>#N/A</v>
      </c>
      <c r="DA3379">
        <v>0.11332468572476186</v>
      </c>
      <c r="DB3379" t="str">
        <v/>
      </c>
    </row>
    <row r="3380" spans="83:106" x14ac:dyDescent="0.2">
      <c r="CE3380"/>
      <c r="CF3380"/>
      <c r="CG3380"/>
      <c r="CH3380"/>
      <c r="CI3380"/>
      <c r="CU3380" s="42">
        <v>3375</v>
      </c>
      <c r="CV3380" s="115">
        <v>4</v>
      </c>
      <c r="CW3380" s="115">
        <v>0.11332468572476186</v>
      </c>
      <c r="CX3380" s="115" t="e">
        <v>#N/A</v>
      </c>
      <c r="CY3380" s="115" t="e">
        <v>#N/A</v>
      </c>
      <c r="CZ3380" s="137" t="e">
        <v>#N/A</v>
      </c>
      <c r="DA3380">
        <v>0.11332468572476186</v>
      </c>
      <c r="DB3380" t="str">
        <v/>
      </c>
    </row>
    <row r="3381" spans="83:106" x14ac:dyDescent="0.2">
      <c r="CE3381"/>
      <c r="CF3381"/>
      <c r="CG3381"/>
      <c r="CH3381"/>
      <c r="CI3381"/>
      <c r="CU3381" s="42">
        <v>3376</v>
      </c>
      <c r="CV3381" s="115">
        <v>4</v>
      </c>
      <c r="CW3381" s="115">
        <v>0.11332468572476186</v>
      </c>
      <c r="CX3381" s="115" t="e">
        <v>#N/A</v>
      </c>
      <c r="CY3381" s="115" t="e">
        <v>#N/A</v>
      </c>
      <c r="CZ3381" s="137" t="e">
        <v>#N/A</v>
      </c>
      <c r="DA3381">
        <v>0.11332468572476186</v>
      </c>
      <c r="DB3381" t="str">
        <v/>
      </c>
    </row>
    <row r="3382" spans="83:106" x14ac:dyDescent="0.2">
      <c r="CE3382"/>
      <c r="CF3382"/>
      <c r="CG3382"/>
      <c r="CH3382"/>
      <c r="CI3382"/>
      <c r="CU3382" s="42">
        <v>3377</v>
      </c>
      <c r="CV3382" s="115">
        <v>4</v>
      </c>
      <c r="CW3382" s="115">
        <v>0.11332468572476186</v>
      </c>
      <c r="CX3382" s="115" t="e">
        <v>#N/A</v>
      </c>
      <c r="CY3382" s="115" t="e">
        <v>#N/A</v>
      </c>
      <c r="CZ3382" s="137" t="e">
        <v>#N/A</v>
      </c>
      <c r="DA3382">
        <v>0.11332468572476186</v>
      </c>
      <c r="DB3382" t="str">
        <v/>
      </c>
    </row>
    <row r="3383" spans="83:106" x14ac:dyDescent="0.2">
      <c r="CE3383"/>
      <c r="CF3383"/>
      <c r="CG3383"/>
      <c r="CH3383"/>
      <c r="CI3383"/>
      <c r="CU3383" s="42">
        <v>3378</v>
      </c>
      <c r="CV3383" s="115">
        <v>4</v>
      </c>
      <c r="CW3383" s="115">
        <v>0.11332468572476186</v>
      </c>
      <c r="CX3383" s="115" t="e">
        <v>#N/A</v>
      </c>
      <c r="CY3383" s="115" t="e">
        <v>#N/A</v>
      </c>
      <c r="CZ3383" s="137" t="e">
        <v>#N/A</v>
      </c>
      <c r="DA3383">
        <v>0.11332468572476186</v>
      </c>
      <c r="DB3383" t="str">
        <v/>
      </c>
    </row>
    <row r="3384" spans="83:106" x14ac:dyDescent="0.2">
      <c r="CE3384"/>
      <c r="CF3384"/>
      <c r="CG3384"/>
      <c r="CH3384"/>
      <c r="CI3384"/>
      <c r="CU3384" s="42">
        <v>3379</v>
      </c>
      <c r="CV3384" s="115">
        <v>4</v>
      </c>
      <c r="CW3384" s="115">
        <v>0.11332468572476186</v>
      </c>
      <c r="CX3384" s="115" t="e">
        <v>#N/A</v>
      </c>
      <c r="CY3384" s="115" t="e">
        <v>#N/A</v>
      </c>
      <c r="CZ3384" s="137" t="e">
        <v>#N/A</v>
      </c>
      <c r="DA3384">
        <v>0.11332468572476186</v>
      </c>
      <c r="DB3384" t="str">
        <v/>
      </c>
    </row>
    <row r="3385" spans="83:106" x14ac:dyDescent="0.2">
      <c r="CE3385"/>
      <c r="CF3385"/>
      <c r="CG3385"/>
      <c r="CH3385"/>
      <c r="CI3385"/>
      <c r="CU3385" s="42">
        <v>3380</v>
      </c>
      <c r="CV3385" s="115">
        <v>4</v>
      </c>
      <c r="CW3385" s="115">
        <v>0.11332468572476186</v>
      </c>
      <c r="CX3385" s="115" t="e">
        <v>#N/A</v>
      </c>
      <c r="CY3385" s="115" t="e">
        <v>#N/A</v>
      </c>
      <c r="CZ3385" s="137" t="e">
        <v>#N/A</v>
      </c>
      <c r="DA3385">
        <v>0.11332468572476186</v>
      </c>
      <c r="DB3385" t="str">
        <v/>
      </c>
    </row>
    <row r="3386" spans="83:106" x14ac:dyDescent="0.2">
      <c r="CE3386"/>
      <c r="CF3386"/>
      <c r="CG3386"/>
      <c r="CH3386"/>
      <c r="CI3386"/>
      <c r="CU3386" s="42">
        <v>3381</v>
      </c>
      <c r="CV3386" s="115">
        <v>4</v>
      </c>
      <c r="CW3386" s="115">
        <v>0.11332468572476186</v>
      </c>
      <c r="CX3386" s="115" t="e">
        <v>#N/A</v>
      </c>
      <c r="CY3386" s="115" t="e">
        <v>#N/A</v>
      </c>
      <c r="CZ3386" s="137" t="e">
        <v>#N/A</v>
      </c>
      <c r="DA3386">
        <v>0.11332468572476186</v>
      </c>
      <c r="DB3386" t="str">
        <v/>
      </c>
    </row>
    <row r="3387" spans="83:106" x14ac:dyDescent="0.2">
      <c r="CE3387"/>
      <c r="CF3387"/>
      <c r="CG3387"/>
      <c r="CH3387"/>
      <c r="CI3387"/>
      <c r="CU3387" s="42">
        <v>3382</v>
      </c>
      <c r="CV3387" s="115">
        <v>4</v>
      </c>
      <c r="CW3387" s="115">
        <v>0.11332468572476186</v>
      </c>
      <c r="CX3387" s="115" t="e">
        <v>#N/A</v>
      </c>
      <c r="CY3387" s="115" t="e">
        <v>#N/A</v>
      </c>
      <c r="CZ3387" s="137" t="e">
        <v>#N/A</v>
      </c>
      <c r="DA3387">
        <v>0.11332468572476186</v>
      </c>
      <c r="DB3387" t="str">
        <v/>
      </c>
    </row>
    <row r="3388" spans="83:106" x14ac:dyDescent="0.2">
      <c r="CE3388"/>
      <c r="CF3388"/>
      <c r="CG3388"/>
      <c r="CH3388"/>
      <c r="CI3388"/>
      <c r="CU3388" s="42">
        <v>3383</v>
      </c>
      <c r="CV3388" s="115">
        <v>4</v>
      </c>
      <c r="CW3388" s="115">
        <v>0.11332468572476186</v>
      </c>
      <c r="CX3388" s="115" t="e">
        <v>#N/A</v>
      </c>
      <c r="CY3388" s="115" t="e">
        <v>#N/A</v>
      </c>
      <c r="CZ3388" s="137" t="e">
        <v>#N/A</v>
      </c>
      <c r="DA3388">
        <v>0.11332468572476186</v>
      </c>
      <c r="DB3388" t="str">
        <v/>
      </c>
    </row>
    <row r="3389" spans="83:106" x14ac:dyDescent="0.2">
      <c r="CE3389"/>
      <c r="CF3389"/>
      <c r="CG3389"/>
      <c r="CH3389"/>
      <c r="CI3389"/>
      <c r="CU3389" s="42">
        <v>3384</v>
      </c>
      <c r="CV3389" s="115">
        <v>4</v>
      </c>
      <c r="CW3389" s="115">
        <v>0.11332468572476186</v>
      </c>
      <c r="CX3389" s="115" t="e">
        <v>#N/A</v>
      </c>
      <c r="CY3389" s="115" t="e">
        <v>#N/A</v>
      </c>
      <c r="CZ3389" s="137" t="e">
        <v>#N/A</v>
      </c>
      <c r="DA3389">
        <v>0.11332468572476186</v>
      </c>
      <c r="DB3389" t="str">
        <v/>
      </c>
    </row>
    <row r="3390" spans="83:106" x14ac:dyDescent="0.2">
      <c r="CE3390"/>
      <c r="CF3390"/>
      <c r="CG3390"/>
      <c r="CH3390"/>
      <c r="CI3390"/>
      <c r="CU3390" s="42">
        <v>3385</v>
      </c>
      <c r="CV3390" s="115">
        <v>4</v>
      </c>
      <c r="CW3390" s="115">
        <v>0.11332468572476186</v>
      </c>
      <c r="CX3390" s="115" t="e">
        <v>#N/A</v>
      </c>
      <c r="CY3390" s="115" t="e">
        <v>#N/A</v>
      </c>
      <c r="CZ3390" s="137" t="e">
        <v>#N/A</v>
      </c>
      <c r="DA3390">
        <v>0.11332468572476186</v>
      </c>
      <c r="DB3390" t="str">
        <v/>
      </c>
    </row>
    <row r="3391" spans="83:106" x14ac:dyDescent="0.2">
      <c r="CE3391"/>
      <c r="CF3391"/>
      <c r="CG3391"/>
      <c r="CH3391"/>
      <c r="CI3391"/>
      <c r="CU3391" s="42">
        <v>3386</v>
      </c>
      <c r="CV3391" s="115">
        <v>4</v>
      </c>
      <c r="CW3391" s="115">
        <v>0.11332468572476186</v>
      </c>
      <c r="CX3391" s="115" t="e">
        <v>#N/A</v>
      </c>
      <c r="CY3391" s="115" t="e">
        <v>#N/A</v>
      </c>
      <c r="CZ3391" s="137" t="e">
        <v>#N/A</v>
      </c>
      <c r="DA3391">
        <v>0.11332468572476186</v>
      </c>
      <c r="DB3391" t="str">
        <v/>
      </c>
    </row>
    <row r="3392" spans="83:106" x14ac:dyDescent="0.2">
      <c r="CE3392"/>
      <c r="CF3392"/>
      <c r="CG3392"/>
      <c r="CH3392"/>
      <c r="CI3392"/>
      <c r="CU3392" s="42">
        <v>3387</v>
      </c>
      <c r="CV3392" s="115">
        <v>4</v>
      </c>
      <c r="CW3392" s="115">
        <v>0.11332468572476186</v>
      </c>
      <c r="CX3392" s="115" t="e">
        <v>#N/A</v>
      </c>
      <c r="CY3392" s="115" t="e">
        <v>#N/A</v>
      </c>
      <c r="CZ3392" s="137" t="e">
        <v>#N/A</v>
      </c>
      <c r="DA3392">
        <v>0.11332468572476186</v>
      </c>
      <c r="DB3392" t="str">
        <v/>
      </c>
    </row>
    <row r="3393" spans="83:106" x14ac:dyDescent="0.2">
      <c r="CE3393"/>
      <c r="CF3393"/>
      <c r="CG3393"/>
      <c r="CH3393"/>
      <c r="CI3393"/>
      <c r="CU3393" s="42">
        <v>3388</v>
      </c>
      <c r="CV3393" s="115">
        <v>4</v>
      </c>
      <c r="CW3393" s="115">
        <v>0.11332468572476186</v>
      </c>
      <c r="CX3393" s="115" t="e">
        <v>#N/A</v>
      </c>
      <c r="CY3393" s="115" t="e">
        <v>#N/A</v>
      </c>
      <c r="CZ3393" s="137" t="e">
        <v>#N/A</v>
      </c>
      <c r="DA3393">
        <v>0.11332468572476186</v>
      </c>
      <c r="DB3393" t="str">
        <v/>
      </c>
    </row>
    <row r="3394" spans="83:106" x14ac:dyDescent="0.2">
      <c r="CE3394"/>
      <c r="CF3394"/>
      <c r="CG3394"/>
      <c r="CH3394"/>
      <c r="CI3394"/>
      <c r="CU3394" s="42">
        <v>3389</v>
      </c>
      <c r="CV3394" s="115">
        <v>4</v>
      </c>
      <c r="CW3394" s="115">
        <v>0.11332468572476186</v>
      </c>
      <c r="CX3394" s="115" t="e">
        <v>#N/A</v>
      </c>
      <c r="CY3394" s="115" t="e">
        <v>#N/A</v>
      </c>
      <c r="CZ3394" s="137" t="e">
        <v>#N/A</v>
      </c>
      <c r="DA3394">
        <v>0.11332468572476186</v>
      </c>
      <c r="DB3394" t="str">
        <v/>
      </c>
    </row>
    <row r="3395" spans="83:106" x14ac:dyDescent="0.2">
      <c r="CE3395"/>
      <c r="CF3395"/>
      <c r="CG3395"/>
      <c r="CH3395"/>
      <c r="CI3395"/>
      <c r="CU3395" s="42">
        <v>3390</v>
      </c>
      <c r="CV3395" s="115">
        <v>4</v>
      </c>
      <c r="CW3395" s="115">
        <v>0.11332468572476186</v>
      </c>
      <c r="CX3395" s="115" t="e">
        <v>#N/A</v>
      </c>
      <c r="CY3395" s="115" t="e">
        <v>#N/A</v>
      </c>
      <c r="CZ3395" s="137" t="e">
        <v>#N/A</v>
      </c>
      <c r="DA3395">
        <v>0.11332468572476186</v>
      </c>
      <c r="DB3395" t="str">
        <v/>
      </c>
    </row>
    <row r="3396" spans="83:106" x14ac:dyDescent="0.2">
      <c r="CE3396"/>
      <c r="CF3396"/>
      <c r="CG3396"/>
      <c r="CH3396"/>
      <c r="CI3396"/>
      <c r="CU3396" s="42">
        <v>3391</v>
      </c>
      <c r="CV3396" s="115">
        <v>4</v>
      </c>
      <c r="CW3396" s="115">
        <v>0.11332468572476186</v>
      </c>
      <c r="CX3396" s="115" t="e">
        <v>#N/A</v>
      </c>
      <c r="CY3396" s="115" t="e">
        <v>#N/A</v>
      </c>
      <c r="CZ3396" s="137" t="e">
        <v>#N/A</v>
      </c>
      <c r="DA3396">
        <v>0.11332468572476186</v>
      </c>
      <c r="DB3396" t="str">
        <v/>
      </c>
    </row>
    <row r="3397" spans="83:106" x14ac:dyDescent="0.2">
      <c r="CE3397"/>
      <c r="CF3397"/>
      <c r="CG3397"/>
      <c r="CH3397"/>
      <c r="CI3397"/>
      <c r="CU3397" s="42">
        <v>3392</v>
      </c>
      <c r="CV3397" s="115">
        <v>4</v>
      </c>
      <c r="CW3397" s="115">
        <v>0.11332468572476186</v>
      </c>
      <c r="CX3397" s="115" t="e">
        <v>#N/A</v>
      </c>
      <c r="CY3397" s="115" t="e">
        <v>#N/A</v>
      </c>
      <c r="CZ3397" s="137" t="e">
        <v>#N/A</v>
      </c>
      <c r="DA3397">
        <v>0.11332468572476186</v>
      </c>
      <c r="DB3397" t="str">
        <v/>
      </c>
    </row>
    <row r="3398" spans="83:106" x14ac:dyDescent="0.2">
      <c r="CE3398"/>
      <c r="CF3398"/>
      <c r="CG3398"/>
      <c r="CH3398"/>
      <c r="CI3398"/>
      <c r="CU3398" s="42">
        <v>3393</v>
      </c>
      <c r="CV3398" s="115">
        <v>4</v>
      </c>
      <c r="CW3398" s="115">
        <v>0.11332468572476186</v>
      </c>
      <c r="CX3398" s="115" t="e">
        <v>#N/A</v>
      </c>
      <c r="CY3398" s="115" t="e">
        <v>#N/A</v>
      </c>
      <c r="CZ3398" s="137" t="e">
        <v>#N/A</v>
      </c>
      <c r="DA3398">
        <v>0.11332468572476186</v>
      </c>
      <c r="DB3398" t="str">
        <v/>
      </c>
    </row>
    <row r="3399" spans="83:106" x14ac:dyDescent="0.2">
      <c r="CE3399"/>
      <c r="CF3399"/>
      <c r="CG3399"/>
      <c r="CH3399"/>
      <c r="CI3399"/>
      <c r="CU3399" s="42">
        <v>3394</v>
      </c>
      <c r="CV3399" s="115">
        <v>4</v>
      </c>
      <c r="CW3399" s="115">
        <v>0.11332468572476186</v>
      </c>
      <c r="CX3399" s="115" t="e">
        <v>#N/A</v>
      </c>
      <c r="CY3399" s="115" t="e">
        <v>#N/A</v>
      </c>
      <c r="CZ3399" s="137" t="e">
        <v>#N/A</v>
      </c>
      <c r="DA3399">
        <v>0.11332468572476186</v>
      </c>
      <c r="DB3399" t="str">
        <v/>
      </c>
    </row>
    <row r="3400" spans="83:106" x14ac:dyDescent="0.2">
      <c r="CE3400"/>
      <c r="CF3400"/>
      <c r="CG3400"/>
      <c r="CH3400"/>
      <c r="CI3400"/>
      <c r="CU3400" s="42">
        <v>3395</v>
      </c>
      <c r="CV3400" s="115">
        <v>4</v>
      </c>
      <c r="CW3400" s="115">
        <v>0.11332468572476186</v>
      </c>
      <c r="CX3400" s="115" t="e">
        <v>#N/A</v>
      </c>
      <c r="CY3400" s="115" t="e">
        <v>#N/A</v>
      </c>
      <c r="CZ3400" s="137" t="e">
        <v>#N/A</v>
      </c>
      <c r="DA3400">
        <v>0.11332468572476186</v>
      </c>
      <c r="DB3400" t="str">
        <v/>
      </c>
    </row>
    <row r="3401" spans="83:106" x14ac:dyDescent="0.2">
      <c r="CE3401"/>
      <c r="CF3401"/>
      <c r="CG3401"/>
      <c r="CH3401"/>
      <c r="CI3401"/>
      <c r="CU3401" s="42">
        <v>3396</v>
      </c>
      <c r="CV3401" s="115">
        <v>4</v>
      </c>
      <c r="CW3401" s="115">
        <v>0.11332468572476186</v>
      </c>
      <c r="CX3401" s="115" t="e">
        <v>#N/A</v>
      </c>
      <c r="CY3401" s="115" t="e">
        <v>#N/A</v>
      </c>
      <c r="CZ3401" s="137" t="e">
        <v>#N/A</v>
      </c>
      <c r="DA3401">
        <v>0.11332468572476186</v>
      </c>
      <c r="DB3401" t="str">
        <v/>
      </c>
    </row>
    <row r="3402" spans="83:106" x14ac:dyDescent="0.2">
      <c r="CE3402"/>
      <c r="CF3402"/>
      <c r="CG3402"/>
      <c r="CH3402"/>
      <c r="CI3402"/>
      <c r="CU3402" s="42">
        <v>3397</v>
      </c>
      <c r="CV3402" s="115">
        <v>4</v>
      </c>
      <c r="CW3402" s="115">
        <v>0.11332468572476186</v>
      </c>
      <c r="CX3402" s="115" t="e">
        <v>#N/A</v>
      </c>
      <c r="CY3402" s="115" t="e">
        <v>#N/A</v>
      </c>
      <c r="CZ3402" s="137" t="e">
        <v>#N/A</v>
      </c>
      <c r="DA3402">
        <v>0.11332468572476186</v>
      </c>
      <c r="DB3402" t="str">
        <v/>
      </c>
    </row>
    <row r="3403" spans="83:106" x14ac:dyDescent="0.2">
      <c r="CE3403"/>
      <c r="CF3403"/>
      <c r="CG3403"/>
      <c r="CH3403"/>
      <c r="CI3403"/>
      <c r="CU3403" s="42">
        <v>3398</v>
      </c>
      <c r="CV3403" s="115">
        <v>4</v>
      </c>
      <c r="CW3403" s="115">
        <v>0.11332468572476186</v>
      </c>
      <c r="CX3403" s="115" t="e">
        <v>#N/A</v>
      </c>
      <c r="CY3403" s="115" t="e">
        <v>#N/A</v>
      </c>
      <c r="CZ3403" s="137" t="e">
        <v>#N/A</v>
      </c>
      <c r="DA3403">
        <v>0.11332468572476186</v>
      </c>
      <c r="DB3403" t="str">
        <v/>
      </c>
    </row>
    <row r="3404" spans="83:106" x14ac:dyDescent="0.2">
      <c r="CE3404"/>
      <c r="CF3404"/>
      <c r="CG3404"/>
      <c r="CH3404"/>
      <c r="CI3404"/>
      <c r="CU3404" s="42">
        <v>3399</v>
      </c>
      <c r="CV3404" s="115">
        <v>4</v>
      </c>
      <c r="CW3404" s="115">
        <v>0.11332468572476186</v>
      </c>
      <c r="CX3404" s="115" t="e">
        <v>#N/A</v>
      </c>
      <c r="CY3404" s="115" t="e">
        <v>#N/A</v>
      </c>
      <c r="CZ3404" s="137" t="e">
        <v>#N/A</v>
      </c>
      <c r="DA3404">
        <v>0.11332468572476186</v>
      </c>
      <c r="DB3404" t="str">
        <v/>
      </c>
    </row>
    <row r="3405" spans="83:106" x14ac:dyDescent="0.2">
      <c r="CE3405"/>
      <c r="CF3405"/>
      <c r="CG3405"/>
      <c r="CH3405"/>
      <c r="CI3405"/>
      <c r="CU3405" s="42">
        <v>3400</v>
      </c>
      <c r="CV3405" s="115">
        <v>4</v>
      </c>
      <c r="CW3405" s="115">
        <v>0.11332468572476186</v>
      </c>
      <c r="CX3405" s="115" t="e">
        <v>#N/A</v>
      </c>
      <c r="CY3405" s="115" t="e">
        <v>#N/A</v>
      </c>
      <c r="CZ3405" s="137" t="e">
        <v>#N/A</v>
      </c>
      <c r="DA3405">
        <v>0.11332468572476186</v>
      </c>
      <c r="DB3405" t="str">
        <v/>
      </c>
    </row>
    <row r="3406" spans="83:106" x14ac:dyDescent="0.2">
      <c r="CE3406"/>
      <c r="CF3406"/>
      <c r="CG3406"/>
      <c r="CH3406"/>
      <c r="CI3406"/>
      <c r="CU3406" s="42">
        <v>3401</v>
      </c>
      <c r="CV3406" s="115">
        <v>4</v>
      </c>
      <c r="CW3406" s="115">
        <v>0.11332468572476186</v>
      </c>
      <c r="CX3406" s="115" t="e">
        <v>#N/A</v>
      </c>
      <c r="CY3406" s="115" t="e">
        <v>#N/A</v>
      </c>
      <c r="CZ3406" s="137" t="e">
        <v>#N/A</v>
      </c>
      <c r="DA3406">
        <v>0.11332468572476186</v>
      </c>
      <c r="DB3406" t="str">
        <v/>
      </c>
    </row>
    <row r="3407" spans="83:106" x14ac:dyDescent="0.2">
      <c r="CE3407"/>
      <c r="CF3407"/>
      <c r="CG3407"/>
      <c r="CH3407"/>
      <c r="CI3407"/>
      <c r="CU3407" s="42">
        <v>3402</v>
      </c>
      <c r="CV3407" s="115">
        <v>4</v>
      </c>
      <c r="CW3407" s="115">
        <v>0.11332468572476186</v>
      </c>
      <c r="CX3407" s="115" t="e">
        <v>#N/A</v>
      </c>
      <c r="CY3407" s="115" t="e">
        <v>#N/A</v>
      </c>
      <c r="CZ3407" s="137" t="e">
        <v>#N/A</v>
      </c>
      <c r="DA3407">
        <v>0.11332468572476186</v>
      </c>
      <c r="DB3407" t="str">
        <v/>
      </c>
    </row>
    <row r="3408" spans="83:106" x14ac:dyDescent="0.2">
      <c r="CE3408"/>
      <c r="CF3408"/>
      <c r="CG3408"/>
      <c r="CH3408"/>
      <c r="CI3408"/>
      <c r="CU3408" s="42">
        <v>3403</v>
      </c>
      <c r="CV3408" s="115">
        <v>4</v>
      </c>
      <c r="CW3408" s="115">
        <v>0.11332468572476186</v>
      </c>
      <c r="CX3408" s="115" t="e">
        <v>#N/A</v>
      </c>
      <c r="CY3408" s="115" t="e">
        <v>#N/A</v>
      </c>
      <c r="CZ3408" s="137" t="e">
        <v>#N/A</v>
      </c>
      <c r="DA3408">
        <v>0.11332468572476186</v>
      </c>
      <c r="DB3408" t="str">
        <v/>
      </c>
    </row>
    <row r="3409" spans="83:106" x14ac:dyDescent="0.2">
      <c r="CE3409"/>
      <c r="CF3409"/>
      <c r="CG3409"/>
      <c r="CH3409"/>
      <c r="CI3409"/>
      <c r="CU3409" s="42">
        <v>3404</v>
      </c>
      <c r="CV3409" s="115">
        <v>4</v>
      </c>
      <c r="CW3409" s="115">
        <v>0.11332468572476186</v>
      </c>
      <c r="CX3409" s="115" t="e">
        <v>#N/A</v>
      </c>
      <c r="CY3409" s="115" t="e">
        <v>#N/A</v>
      </c>
      <c r="CZ3409" s="137" t="e">
        <v>#N/A</v>
      </c>
      <c r="DA3409">
        <v>0.11332468572476186</v>
      </c>
      <c r="DB3409" t="str">
        <v/>
      </c>
    </row>
    <row r="3410" spans="83:106" x14ac:dyDescent="0.2">
      <c r="CE3410"/>
      <c r="CF3410"/>
      <c r="CG3410"/>
      <c r="CH3410"/>
      <c r="CI3410"/>
      <c r="CU3410" s="42">
        <v>3405</v>
      </c>
      <c r="CV3410" s="115">
        <v>4</v>
      </c>
      <c r="CW3410" s="115">
        <v>0.11332468572476186</v>
      </c>
      <c r="CX3410" s="115" t="e">
        <v>#N/A</v>
      </c>
      <c r="CY3410" s="115" t="e">
        <v>#N/A</v>
      </c>
      <c r="CZ3410" s="137" t="e">
        <v>#N/A</v>
      </c>
      <c r="DA3410">
        <v>0.11332468572476186</v>
      </c>
      <c r="DB3410" t="str">
        <v/>
      </c>
    </row>
    <row r="3411" spans="83:106" x14ac:dyDescent="0.2">
      <c r="CE3411"/>
      <c r="CF3411"/>
      <c r="CG3411"/>
      <c r="CH3411"/>
      <c r="CI3411"/>
      <c r="CU3411" s="42">
        <v>3406</v>
      </c>
      <c r="CV3411" s="115">
        <v>4</v>
      </c>
      <c r="CW3411" s="115">
        <v>0.11332468572476186</v>
      </c>
      <c r="CX3411" s="115" t="e">
        <v>#N/A</v>
      </c>
      <c r="CY3411" s="115" t="e">
        <v>#N/A</v>
      </c>
      <c r="CZ3411" s="137" t="e">
        <v>#N/A</v>
      </c>
      <c r="DA3411">
        <v>0.11332468572476186</v>
      </c>
      <c r="DB3411" t="str">
        <v/>
      </c>
    </row>
    <row r="3412" spans="83:106" x14ac:dyDescent="0.2">
      <c r="CE3412"/>
      <c r="CF3412"/>
      <c r="CG3412"/>
      <c r="CH3412"/>
      <c r="CI3412"/>
      <c r="CU3412" s="42">
        <v>3407</v>
      </c>
      <c r="CV3412" s="115">
        <v>4</v>
      </c>
      <c r="CW3412" s="115">
        <v>0.11332468572476186</v>
      </c>
      <c r="CX3412" s="115" t="e">
        <v>#N/A</v>
      </c>
      <c r="CY3412" s="115" t="e">
        <v>#N/A</v>
      </c>
      <c r="CZ3412" s="137" t="e">
        <v>#N/A</v>
      </c>
      <c r="DA3412">
        <v>0.11332468572476186</v>
      </c>
      <c r="DB3412" t="str">
        <v/>
      </c>
    </row>
    <row r="3413" spans="83:106" x14ac:dyDescent="0.2">
      <c r="CE3413"/>
      <c r="CF3413"/>
      <c r="CG3413"/>
      <c r="CH3413"/>
      <c r="CI3413"/>
      <c r="CU3413" s="42">
        <v>3408</v>
      </c>
      <c r="CV3413" s="115">
        <v>4</v>
      </c>
      <c r="CW3413" s="115">
        <v>0.11332468572476186</v>
      </c>
      <c r="CX3413" s="115" t="e">
        <v>#N/A</v>
      </c>
      <c r="CY3413" s="115" t="e">
        <v>#N/A</v>
      </c>
      <c r="CZ3413" s="137" t="e">
        <v>#N/A</v>
      </c>
      <c r="DA3413">
        <v>0.11332468572476186</v>
      </c>
      <c r="DB3413" t="str">
        <v/>
      </c>
    </row>
    <row r="3414" spans="83:106" x14ac:dyDescent="0.2">
      <c r="CE3414"/>
      <c r="CF3414"/>
      <c r="CG3414"/>
      <c r="CH3414"/>
      <c r="CI3414"/>
      <c r="CU3414" s="42">
        <v>3409</v>
      </c>
      <c r="CV3414" s="115">
        <v>4</v>
      </c>
      <c r="CW3414" s="115">
        <v>0.11332468572476186</v>
      </c>
      <c r="CX3414" s="115" t="e">
        <v>#N/A</v>
      </c>
      <c r="CY3414" s="115" t="e">
        <v>#N/A</v>
      </c>
      <c r="CZ3414" s="137" t="e">
        <v>#N/A</v>
      </c>
      <c r="DA3414">
        <v>0.11332468572476186</v>
      </c>
      <c r="DB3414" t="str">
        <v/>
      </c>
    </row>
    <row r="3415" spans="83:106" x14ac:dyDescent="0.2">
      <c r="CE3415"/>
      <c r="CF3415"/>
      <c r="CG3415"/>
      <c r="CH3415"/>
      <c r="CI3415"/>
      <c r="CU3415" s="42">
        <v>3410</v>
      </c>
      <c r="CV3415" s="115">
        <v>4</v>
      </c>
      <c r="CW3415" s="115">
        <v>0.11332468572476186</v>
      </c>
      <c r="CX3415" s="115" t="e">
        <v>#N/A</v>
      </c>
      <c r="CY3415" s="115" t="e">
        <v>#N/A</v>
      </c>
      <c r="CZ3415" s="137" t="e">
        <v>#N/A</v>
      </c>
      <c r="DA3415">
        <v>0.11332468572476186</v>
      </c>
      <c r="DB3415" t="str">
        <v/>
      </c>
    </row>
    <row r="3416" spans="83:106" x14ac:dyDescent="0.2">
      <c r="CE3416"/>
      <c r="CF3416"/>
      <c r="CG3416"/>
      <c r="CH3416"/>
      <c r="CI3416"/>
      <c r="CU3416" s="42">
        <v>3411</v>
      </c>
      <c r="CV3416" s="115">
        <v>4</v>
      </c>
      <c r="CW3416" s="115">
        <v>0.11332468572476186</v>
      </c>
      <c r="CX3416" s="115" t="e">
        <v>#N/A</v>
      </c>
      <c r="CY3416" s="115" t="e">
        <v>#N/A</v>
      </c>
      <c r="CZ3416" s="137" t="e">
        <v>#N/A</v>
      </c>
      <c r="DA3416">
        <v>0.11332468572476186</v>
      </c>
      <c r="DB3416" t="str">
        <v/>
      </c>
    </row>
    <row r="3417" spans="83:106" x14ac:dyDescent="0.2">
      <c r="CE3417"/>
      <c r="CF3417"/>
      <c r="CG3417"/>
      <c r="CH3417"/>
      <c r="CI3417"/>
      <c r="CU3417" s="42">
        <v>3412</v>
      </c>
      <c r="CV3417" s="115">
        <v>4</v>
      </c>
      <c r="CW3417" s="115">
        <v>0.11332468572476186</v>
      </c>
      <c r="CX3417" s="115" t="e">
        <v>#N/A</v>
      </c>
      <c r="CY3417" s="115" t="e">
        <v>#N/A</v>
      </c>
      <c r="CZ3417" s="137" t="e">
        <v>#N/A</v>
      </c>
      <c r="DA3417">
        <v>0.11332468572476186</v>
      </c>
      <c r="DB3417" t="str">
        <v/>
      </c>
    </row>
    <row r="3418" spans="83:106" x14ac:dyDescent="0.2">
      <c r="CE3418"/>
      <c r="CF3418"/>
      <c r="CG3418"/>
      <c r="CH3418"/>
      <c r="CI3418"/>
      <c r="CU3418" s="42">
        <v>3413</v>
      </c>
      <c r="CV3418" s="115">
        <v>4</v>
      </c>
      <c r="CW3418" s="115">
        <v>0.11332468572476186</v>
      </c>
      <c r="CX3418" s="115" t="e">
        <v>#N/A</v>
      </c>
      <c r="CY3418" s="115" t="e">
        <v>#N/A</v>
      </c>
      <c r="CZ3418" s="137" t="e">
        <v>#N/A</v>
      </c>
      <c r="DA3418">
        <v>0.11332468572476186</v>
      </c>
      <c r="DB3418" t="str">
        <v/>
      </c>
    </row>
    <row r="3419" spans="83:106" x14ac:dyDescent="0.2">
      <c r="CE3419"/>
      <c r="CF3419"/>
      <c r="CG3419"/>
      <c r="CH3419"/>
      <c r="CI3419"/>
      <c r="CU3419" s="42">
        <v>3414</v>
      </c>
      <c r="CV3419" s="115">
        <v>4</v>
      </c>
      <c r="CW3419" s="115">
        <v>0.11332468572476186</v>
      </c>
      <c r="CX3419" s="115" t="e">
        <v>#N/A</v>
      </c>
      <c r="CY3419" s="115" t="e">
        <v>#N/A</v>
      </c>
      <c r="CZ3419" s="137" t="e">
        <v>#N/A</v>
      </c>
      <c r="DA3419">
        <v>0.11332468572476186</v>
      </c>
      <c r="DB3419" t="str">
        <v/>
      </c>
    </row>
    <row r="3420" spans="83:106" x14ac:dyDescent="0.2">
      <c r="CE3420"/>
      <c r="CF3420"/>
      <c r="CG3420"/>
      <c r="CH3420"/>
      <c r="CI3420"/>
      <c r="CU3420" s="42">
        <v>3415</v>
      </c>
      <c r="CV3420" s="115">
        <v>4</v>
      </c>
      <c r="CW3420" s="115">
        <v>0.11332468572476186</v>
      </c>
      <c r="CX3420" s="115" t="e">
        <v>#N/A</v>
      </c>
      <c r="CY3420" s="115" t="e">
        <v>#N/A</v>
      </c>
      <c r="CZ3420" s="137" t="e">
        <v>#N/A</v>
      </c>
      <c r="DA3420">
        <v>0.11332468572476186</v>
      </c>
      <c r="DB3420" t="str">
        <v/>
      </c>
    </row>
    <row r="3421" spans="83:106" x14ac:dyDescent="0.2">
      <c r="CE3421"/>
      <c r="CF3421"/>
      <c r="CG3421"/>
      <c r="CH3421"/>
      <c r="CI3421"/>
      <c r="CU3421" s="42">
        <v>3416</v>
      </c>
      <c r="CV3421" s="115">
        <v>4</v>
      </c>
      <c r="CW3421" s="115">
        <v>0.11332468572476186</v>
      </c>
      <c r="CX3421" s="115" t="e">
        <v>#N/A</v>
      </c>
      <c r="CY3421" s="115" t="e">
        <v>#N/A</v>
      </c>
      <c r="CZ3421" s="137" t="e">
        <v>#N/A</v>
      </c>
      <c r="DA3421">
        <v>0.11332468572476186</v>
      </c>
      <c r="DB3421" t="str">
        <v/>
      </c>
    </row>
    <row r="3422" spans="83:106" x14ac:dyDescent="0.2">
      <c r="CE3422"/>
      <c r="CF3422"/>
      <c r="CG3422"/>
      <c r="CH3422"/>
      <c r="CI3422"/>
      <c r="CU3422" s="42">
        <v>3417</v>
      </c>
      <c r="CV3422" s="115">
        <v>4</v>
      </c>
      <c r="CW3422" s="115">
        <v>0.11332468572476186</v>
      </c>
      <c r="CX3422" s="115" t="e">
        <v>#N/A</v>
      </c>
      <c r="CY3422" s="115" t="e">
        <v>#N/A</v>
      </c>
      <c r="CZ3422" s="137" t="e">
        <v>#N/A</v>
      </c>
      <c r="DA3422">
        <v>0.11332468572476186</v>
      </c>
      <c r="DB3422" t="str">
        <v/>
      </c>
    </row>
    <row r="3423" spans="83:106" x14ac:dyDescent="0.2">
      <c r="CE3423"/>
      <c r="CF3423"/>
      <c r="CG3423"/>
      <c r="CH3423"/>
      <c r="CI3423"/>
      <c r="CU3423" s="42">
        <v>3418</v>
      </c>
      <c r="CV3423" s="115">
        <v>4</v>
      </c>
      <c r="CW3423" s="115">
        <v>0.11332468572476186</v>
      </c>
      <c r="CX3423" s="115" t="e">
        <v>#N/A</v>
      </c>
      <c r="CY3423" s="115" t="e">
        <v>#N/A</v>
      </c>
      <c r="CZ3423" s="137" t="e">
        <v>#N/A</v>
      </c>
      <c r="DA3423">
        <v>0.11332468572476186</v>
      </c>
      <c r="DB3423" t="str">
        <v/>
      </c>
    </row>
    <row r="3424" spans="83:106" x14ac:dyDescent="0.2">
      <c r="CE3424"/>
      <c r="CF3424"/>
      <c r="CG3424"/>
      <c r="CH3424"/>
      <c r="CI3424"/>
      <c r="CU3424" s="42">
        <v>3419</v>
      </c>
      <c r="CV3424" s="115">
        <v>4</v>
      </c>
      <c r="CW3424" s="115">
        <v>0.11332468572476186</v>
      </c>
      <c r="CX3424" s="115" t="e">
        <v>#N/A</v>
      </c>
      <c r="CY3424" s="115" t="e">
        <v>#N/A</v>
      </c>
      <c r="CZ3424" s="137" t="e">
        <v>#N/A</v>
      </c>
      <c r="DA3424">
        <v>0.11332468572476186</v>
      </c>
      <c r="DB3424" t="str">
        <v/>
      </c>
    </row>
    <row r="3425" spans="83:106" x14ac:dyDescent="0.2">
      <c r="CE3425"/>
      <c r="CF3425"/>
      <c r="CG3425"/>
      <c r="CH3425"/>
      <c r="CI3425"/>
      <c r="CU3425" s="42">
        <v>3420</v>
      </c>
      <c r="CV3425" s="115">
        <v>4</v>
      </c>
      <c r="CW3425" s="115">
        <v>0.11332468572476186</v>
      </c>
      <c r="CX3425" s="115" t="e">
        <v>#N/A</v>
      </c>
      <c r="CY3425" s="115" t="e">
        <v>#N/A</v>
      </c>
      <c r="CZ3425" s="137" t="e">
        <v>#N/A</v>
      </c>
      <c r="DA3425">
        <v>0.11332468572476186</v>
      </c>
      <c r="DB3425" t="str">
        <v/>
      </c>
    </row>
    <row r="3426" spans="83:106" x14ac:dyDescent="0.2">
      <c r="CE3426"/>
      <c r="CF3426"/>
      <c r="CG3426"/>
      <c r="CH3426"/>
      <c r="CI3426"/>
      <c r="CU3426" s="42">
        <v>3421</v>
      </c>
      <c r="CV3426" s="115">
        <v>4</v>
      </c>
      <c r="CW3426" s="115">
        <v>0.11332468572476186</v>
      </c>
      <c r="CX3426" s="115" t="e">
        <v>#N/A</v>
      </c>
      <c r="CY3426" s="115" t="e">
        <v>#N/A</v>
      </c>
      <c r="CZ3426" s="137" t="e">
        <v>#N/A</v>
      </c>
      <c r="DA3426">
        <v>0.11332468572476186</v>
      </c>
      <c r="DB3426" t="str">
        <v/>
      </c>
    </row>
    <row r="3427" spans="83:106" x14ac:dyDescent="0.2">
      <c r="CE3427"/>
      <c r="CF3427"/>
      <c r="CG3427"/>
      <c r="CH3427"/>
      <c r="CI3427"/>
      <c r="CU3427" s="42">
        <v>3422</v>
      </c>
      <c r="CV3427" s="115">
        <v>4</v>
      </c>
      <c r="CW3427" s="115">
        <v>0.11332468572476186</v>
      </c>
      <c r="CX3427" s="115" t="e">
        <v>#N/A</v>
      </c>
      <c r="CY3427" s="115" t="e">
        <v>#N/A</v>
      </c>
      <c r="CZ3427" s="137" t="e">
        <v>#N/A</v>
      </c>
      <c r="DA3427">
        <v>0.11332468572476186</v>
      </c>
      <c r="DB3427" t="str">
        <v/>
      </c>
    </row>
    <row r="3428" spans="83:106" x14ac:dyDescent="0.2">
      <c r="CE3428"/>
      <c r="CF3428"/>
      <c r="CG3428"/>
      <c r="CH3428"/>
      <c r="CI3428"/>
      <c r="CU3428" s="42">
        <v>3423</v>
      </c>
      <c r="CV3428" s="115">
        <v>4</v>
      </c>
      <c r="CW3428" s="115">
        <v>0.11332468572476186</v>
      </c>
      <c r="CX3428" s="115" t="e">
        <v>#N/A</v>
      </c>
      <c r="CY3428" s="115" t="e">
        <v>#N/A</v>
      </c>
      <c r="CZ3428" s="137" t="e">
        <v>#N/A</v>
      </c>
      <c r="DA3428">
        <v>0.11332468572476186</v>
      </c>
      <c r="DB3428" t="str">
        <v/>
      </c>
    </row>
    <row r="3429" spans="83:106" x14ac:dyDescent="0.2">
      <c r="CE3429"/>
      <c r="CF3429"/>
      <c r="CG3429"/>
      <c r="CH3429"/>
      <c r="CI3429"/>
      <c r="CU3429" s="42">
        <v>3424</v>
      </c>
      <c r="CV3429" s="115">
        <v>4</v>
      </c>
      <c r="CW3429" s="115">
        <v>0.11332468572476186</v>
      </c>
      <c r="CX3429" s="115" t="e">
        <v>#N/A</v>
      </c>
      <c r="CY3429" s="115" t="e">
        <v>#N/A</v>
      </c>
      <c r="CZ3429" s="137" t="e">
        <v>#N/A</v>
      </c>
      <c r="DA3429">
        <v>0.11332468572476186</v>
      </c>
      <c r="DB3429" t="str">
        <v/>
      </c>
    </row>
    <row r="3430" spans="83:106" x14ac:dyDescent="0.2">
      <c r="CE3430"/>
      <c r="CF3430"/>
      <c r="CG3430"/>
      <c r="CH3430"/>
      <c r="CI3430"/>
      <c r="CU3430" s="42">
        <v>3425</v>
      </c>
      <c r="CV3430" s="115">
        <v>4</v>
      </c>
      <c r="CW3430" s="115">
        <v>0.11332468572476186</v>
      </c>
      <c r="CX3430" s="115" t="e">
        <v>#N/A</v>
      </c>
      <c r="CY3430" s="115" t="e">
        <v>#N/A</v>
      </c>
      <c r="CZ3430" s="137" t="e">
        <v>#N/A</v>
      </c>
      <c r="DA3430">
        <v>0.11332468572476186</v>
      </c>
      <c r="DB3430" t="str">
        <v/>
      </c>
    </row>
    <row r="3431" spans="83:106" x14ac:dyDescent="0.2">
      <c r="CE3431"/>
      <c r="CF3431"/>
      <c r="CG3431"/>
      <c r="CH3431"/>
      <c r="CI3431"/>
      <c r="CU3431" s="42">
        <v>3426</v>
      </c>
      <c r="CV3431" s="115">
        <v>4</v>
      </c>
      <c r="CW3431" s="115">
        <v>0.11332468572476186</v>
      </c>
      <c r="CX3431" s="115" t="e">
        <v>#N/A</v>
      </c>
      <c r="CY3431" s="115" t="e">
        <v>#N/A</v>
      </c>
      <c r="CZ3431" s="137" t="e">
        <v>#N/A</v>
      </c>
      <c r="DA3431">
        <v>0.11332468572476186</v>
      </c>
      <c r="DB3431" t="str">
        <v/>
      </c>
    </row>
    <row r="3432" spans="83:106" x14ac:dyDescent="0.2">
      <c r="CE3432"/>
      <c r="CF3432"/>
      <c r="CG3432"/>
      <c r="CH3432"/>
      <c r="CI3432"/>
      <c r="CU3432" s="42">
        <v>3427</v>
      </c>
      <c r="CV3432" s="115">
        <v>4</v>
      </c>
      <c r="CW3432" s="115">
        <v>0.11332468572476186</v>
      </c>
      <c r="CX3432" s="115" t="e">
        <v>#N/A</v>
      </c>
      <c r="CY3432" s="115" t="e">
        <v>#N/A</v>
      </c>
      <c r="CZ3432" s="137" t="e">
        <v>#N/A</v>
      </c>
      <c r="DA3432">
        <v>0.11332468572476186</v>
      </c>
      <c r="DB3432" t="str">
        <v/>
      </c>
    </row>
    <row r="3433" spans="83:106" x14ac:dyDescent="0.2">
      <c r="CE3433"/>
      <c r="CF3433"/>
      <c r="CG3433"/>
      <c r="CH3433"/>
      <c r="CI3433"/>
      <c r="CU3433" s="42">
        <v>3428</v>
      </c>
      <c r="CV3433" s="115">
        <v>4</v>
      </c>
      <c r="CW3433" s="115">
        <v>0.11332468572476186</v>
      </c>
      <c r="CX3433" s="115" t="e">
        <v>#N/A</v>
      </c>
      <c r="CY3433" s="115" t="e">
        <v>#N/A</v>
      </c>
      <c r="CZ3433" s="137" t="e">
        <v>#N/A</v>
      </c>
      <c r="DA3433">
        <v>0.11332468572476186</v>
      </c>
      <c r="DB3433" t="str">
        <v/>
      </c>
    </row>
    <row r="3434" spans="83:106" x14ac:dyDescent="0.2">
      <c r="CE3434"/>
      <c r="CF3434"/>
      <c r="CG3434"/>
      <c r="CH3434"/>
      <c r="CI3434"/>
      <c r="CU3434" s="42">
        <v>3429</v>
      </c>
      <c r="CV3434" s="115">
        <v>4</v>
      </c>
      <c r="CW3434" s="115">
        <v>0.11332468572476186</v>
      </c>
      <c r="CX3434" s="115" t="e">
        <v>#N/A</v>
      </c>
      <c r="CY3434" s="115" t="e">
        <v>#N/A</v>
      </c>
      <c r="CZ3434" s="137" t="e">
        <v>#N/A</v>
      </c>
      <c r="DA3434">
        <v>0.11332468572476186</v>
      </c>
      <c r="DB3434" t="str">
        <v/>
      </c>
    </row>
    <row r="3435" spans="83:106" x14ac:dyDescent="0.2">
      <c r="CE3435"/>
      <c r="CF3435"/>
      <c r="CG3435"/>
      <c r="CH3435"/>
      <c r="CI3435"/>
      <c r="CU3435" s="42">
        <v>3430</v>
      </c>
      <c r="CV3435" s="115">
        <v>4</v>
      </c>
      <c r="CW3435" s="115">
        <v>0.11332468572476186</v>
      </c>
      <c r="CX3435" s="115" t="e">
        <v>#N/A</v>
      </c>
      <c r="CY3435" s="115" t="e">
        <v>#N/A</v>
      </c>
      <c r="CZ3435" s="137" t="e">
        <v>#N/A</v>
      </c>
      <c r="DA3435">
        <v>0.11332468572476186</v>
      </c>
      <c r="DB3435" t="str">
        <v/>
      </c>
    </row>
    <row r="3436" spans="83:106" x14ac:dyDescent="0.2">
      <c r="CE3436"/>
      <c r="CF3436"/>
      <c r="CG3436"/>
      <c r="CH3436"/>
      <c r="CI3436"/>
      <c r="CU3436" s="42">
        <v>3431</v>
      </c>
      <c r="CV3436" s="115">
        <v>4</v>
      </c>
      <c r="CW3436" s="115">
        <v>0.11332468572476186</v>
      </c>
      <c r="CX3436" s="115" t="e">
        <v>#N/A</v>
      </c>
      <c r="CY3436" s="115" t="e">
        <v>#N/A</v>
      </c>
      <c r="CZ3436" s="137" t="e">
        <v>#N/A</v>
      </c>
      <c r="DA3436">
        <v>0.11332468572476186</v>
      </c>
      <c r="DB3436" t="str">
        <v/>
      </c>
    </row>
    <row r="3437" spans="83:106" x14ac:dyDescent="0.2">
      <c r="CE3437"/>
      <c r="CF3437"/>
      <c r="CG3437"/>
      <c r="CH3437"/>
      <c r="CI3437"/>
      <c r="CU3437" s="42">
        <v>3432</v>
      </c>
      <c r="CV3437" s="115">
        <v>4</v>
      </c>
      <c r="CW3437" s="115">
        <v>0.11332468572476186</v>
      </c>
      <c r="CX3437" s="115" t="e">
        <v>#N/A</v>
      </c>
      <c r="CY3437" s="115" t="e">
        <v>#N/A</v>
      </c>
      <c r="CZ3437" s="137" t="e">
        <v>#N/A</v>
      </c>
      <c r="DA3437">
        <v>0.11332468572476186</v>
      </c>
      <c r="DB3437" t="str">
        <v/>
      </c>
    </row>
    <row r="3438" spans="83:106" x14ac:dyDescent="0.2">
      <c r="CE3438"/>
      <c r="CF3438"/>
      <c r="CG3438"/>
      <c r="CH3438"/>
      <c r="CI3438"/>
      <c r="CU3438" s="42">
        <v>3433</v>
      </c>
      <c r="CV3438" s="115">
        <v>4</v>
      </c>
      <c r="CW3438" s="115">
        <v>0.11332468572476186</v>
      </c>
      <c r="CX3438" s="115" t="e">
        <v>#N/A</v>
      </c>
      <c r="CY3438" s="115" t="e">
        <v>#N/A</v>
      </c>
      <c r="CZ3438" s="137" t="e">
        <v>#N/A</v>
      </c>
      <c r="DA3438">
        <v>0.11332468572476186</v>
      </c>
      <c r="DB3438" t="str">
        <v/>
      </c>
    </row>
    <row r="3439" spans="83:106" x14ac:dyDescent="0.2">
      <c r="CE3439"/>
      <c r="CF3439"/>
      <c r="CG3439"/>
      <c r="CH3439"/>
      <c r="CI3439"/>
      <c r="CU3439" s="42">
        <v>3434</v>
      </c>
      <c r="CV3439" s="115">
        <v>4</v>
      </c>
      <c r="CW3439" s="115">
        <v>0.11332468572476186</v>
      </c>
      <c r="CX3439" s="115" t="e">
        <v>#N/A</v>
      </c>
      <c r="CY3439" s="115" t="e">
        <v>#N/A</v>
      </c>
      <c r="CZ3439" s="137" t="e">
        <v>#N/A</v>
      </c>
      <c r="DA3439">
        <v>0.11332468572476186</v>
      </c>
      <c r="DB3439" t="str">
        <v/>
      </c>
    </row>
    <row r="3440" spans="83:106" x14ac:dyDescent="0.2">
      <c r="CE3440"/>
      <c r="CF3440"/>
      <c r="CG3440"/>
      <c r="CH3440"/>
      <c r="CI3440"/>
      <c r="CU3440" s="42">
        <v>3435</v>
      </c>
      <c r="CV3440" s="115">
        <v>4</v>
      </c>
      <c r="CW3440" s="115">
        <v>0.11332468572476186</v>
      </c>
      <c r="CX3440" s="115" t="e">
        <v>#N/A</v>
      </c>
      <c r="CY3440" s="115" t="e">
        <v>#N/A</v>
      </c>
      <c r="CZ3440" s="137" t="e">
        <v>#N/A</v>
      </c>
      <c r="DA3440">
        <v>0.11332468572476186</v>
      </c>
      <c r="DB3440" t="str">
        <v/>
      </c>
    </row>
    <row r="3441" spans="83:106" x14ac:dyDescent="0.2">
      <c r="CE3441"/>
      <c r="CF3441"/>
      <c r="CG3441"/>
      <c r="CH3441"/>
      <c r="CI3441"/>
      <c r="CU3441" s="42">
        <v>3436</v>
      </c>
      <c r="CV3441" s="115">
        <v>4</v>
      </c>
      <c r="CW3441" s="115">
        <v>0.11332468572476186</v>
      </c>
      <c r="CX3441" s="115" t="e">
        <v>#N/A</v>
      </c>
      <c r="CY3441" s="115" t="e">
        <v>#N/A</v>
      </c>
      <c r="CZ3441" s="137" t="e">
        <v>#N/A</v>
      </c>
      <c r="DA3441">
        <v>0.11332468572476186</v>
      </c>
      <c r="DB3441" t="str">
        <v/>
      </c>
    </row>
    <row r="3442" spans="83:106" x14ac:dyDescent="0.2">
      <c r="CE3442"/>
      <c r="CF3442"/>
      <c r="CG3442"/>
      <c r="CH3442"/>
      <c r="CI3442"/>
      <c r="CU3442" s="42">
        <v>3437</v>
      </c>
      <c r="CV3442" s="115">
        <v>4</v>
      </c>
      <c r="CW3442" s="115">
        <v>0.11332468572476186</v>
      </c>
      <c r="CX3442" s="115" t="e">
        <v>#N/A</v>
      </c>
      <c r="CY3442" s="115" t="e">
        <v>#N/A</v>
      </c>
      <c r="CZ3442" s="137" t="e">
        <v>#N/A</v>
      </c>
      <c r="DA3442">
        <v>0.11332468572476186</v>
      </c>
      <c r="DB3442" t="str">
        <v/>
      </c>
    </row>
    <row r="3443" spans="83:106" x14ac:dyDescent="0.2">
      <c r="CE3443"/>
      <c r="CF3443"/>
      <c r="CG3443"/>
      <c r="CH3443"/>
      <c r="CI3443"/>
      <c r="CU3443" s="42">
        <v>3438</v>
      </c>
      <c r="CV3443" s="115">
        <v>4</v>
      </c>
      <c r="CW3443" s="115">
        <v>0.11332468572476186</v>
      </c>
      <c r="CX3443" s="115" t="e">
        <v>#N/A</v>
      </c>
      <c r="CY3443" s="115" t="e">
        <v>#N/A</v>
      </c>
      <c r="CZ3443" s="137" t="e">
        <v>#N/A</v>
      </c>
      <c r="DA3443">
        <v>0.11332468572476186</v>
      </c>
      <c r="DB3443" t="str">
        <v/>
      </c>
    </row>
    <row r="3444" spans="83:106" x14ac:dyDescent="0.2">
      <c r="CE3444"/>
      <c r="CF3444"/>
      <c r="CG3444"/>
      <c r="CH3444"/>
      <c r="CI3444"/>
      <c r="CU3444" s="42">
        <v>3439</v>
      </c>
      <c r="CV3444" s="115">
        <v>4</v>
      </c>
      <c r="CW3444" s="115">
        <v>0.11332468572476186</v>
      </c>
      <c r="CX3444" s="115" t="e">
        <v>#N/A</v>
      </c>
      <c r="CY3444" s="115" t="e">
        <v>#N/A</v>
      </c>
      <c r="CZ3444" s="137" t="e">
        <v>#N/A</v>
      </c>
      <c r="DA3444">
        <v>0.11332468572476186</v>
      </c>
      <c r="DB3444" t="str">
        <v/>
      </c>
    </row>
    <row r="3445" spans="83:106" x14ac:dyDescent="0.2">
      <c r="CE3445"/>
      <c r="CF3445"/>
      <c r="CG3445"/>
      <c r="CH3445"/>
      <c r="CI3445"/>
      <c r="CU3445" s="42">
        <v>3440</v>
      </c>
      <c r="CV3445" s="115">
        <v>4</v>
      </c>
      <c r="CW3445" s="115">
        <v>0.11332468572476186</v>
      </c>
      <c r="CX3445" s="115" t="e">
        <v>#N/A</v>
      </c>
      <c r="CY3445" s="115" t="e">
        <v>#N/A</v>
      </c>
      <c r="CZ3445" s="137" t="e">
        <v>#N/A</v>
      </c>
      <c r="DA3445">
        <v>0.11332468572476186</v>
      </c>
      <c r="DB3445" t="str">
        <v/>
      </c>
    </row>
    <row r="3446" spans="83:106" x14ac:dyDescent="0.2">
      <c r="CE3446"/>
      <c r="CF3446"/>
      <c r="CG3446"/>
      <c r="CH3446"/>
      <c r="CI3446"/>
      <c r="CU3446" s="42">
        <v>3441</v>
      </c>
      <c r="CV3446" s="115">
        <v>4</v>
      </c>
      <c r="CW3446" s="115">
        <v>0.11332468572476186</v>
      </c>
      <c r="CX3446" s="115" t="e">
        <v>#N/A</v>
      </c>
      <c r="CY3446" s="115" t="e">
        <v>#N/A</v>
      </c>
      <c r="CZ3446" s="137" t="e">
        <v>#N/A</v>
      </c>
      <c r="DA3446">
        <v>0.11332468572476186</v>
      </c>
      <c r="DB3446" t="str">
        <v/>
      </c>
    </row>
    <row r="3447" spans="83:106" x14ac:dyDescent="0.2">
      <c r="CE3447"/>
      <c r="CF3447"/>
      <c r="CG3447"/>
      <c r="CH3447"/>
      <c r="CI3447"/>
      <c r="CU3447" s="42">
        <v>3442</v>
      </c>
      <c r="CV3447" s="115">
        <v>4</v>
      </c>
      <c r="CW3447" s="115">
        <v>0.11332468572476186</v>
      </c>
      <c r="CX3447" s="115" t="e">
        <v>#N/A</v>
      </c>
      <c r="CY3447" s="115" t="e">
        <v>#N/A</v>
      </c>
      <c r="CZ3447" s="137" t="e">
        <v>#N/A</v>
      </c>
      <c r="DA3447">
        <v>0.11332468572476186</v>
      </c>
      <c r="DB3447" t="str">
        <v/>
      </c>
    </row>
    <row r="3448" spans="83:106" x14ac:dyDescent="0.2">
      <c r="CE3448"/>
      <c r="CF3448"/>
      <c r="CG3448"/>
      <c r="CH3448"/>
      <c r="CI3448"/>
      <c r="CU3448" s="42">
        <v>3443</v>
      </c>
      <c r="CV3448" s="115">
        <v>4</v>
      </c>
      <c r="CW3448" s="115">
        <v>0.11332468572476186</v>
      </c>
      <c r="CX3448" s="115" t="e">
        <v>#N/A</v>
      </c>
      <c r="CY3448" s="115" t="e">
        <v>#N/A</v>
      </c>
      <c r="CZ3448" s="137" t="e">
        <v>#N/A</v>
      </c>
      <c r="DA3448">
        <v>0.11332468572476186</v>
      </c>
      <c r="DB3448" t="str">
        <v/>
      </c>
    </row>
    <row r="3449" spans="83:106" x14ac:dyDescent="0.2">
      <c r="CE3449"/>
      <c r="CF3449"/>
      <c r="CG3449"/>
      <c r="CH3449"/>
      <c r="CI3449"/>
      <c r="CU3449" s="42">
        <v>3444</v>
      </c>
      <c r="CV3449" s="115">
        <v>4</v>
      </c>
      <c r="CW3449" s="115">
        <v>0.11332468572476186</v>
      </c>
      <c r="CX3449" s="115" t="e">
        <v>#N/A</v>
      </c>
      <c r="CY3449" s="115" t="e">
        <v>#N/A</v>
      </c>
      <c r="CZ3449" s="137" t="e">
        <v>#N/A</v>
      </c>
      <c r="DA3449">
        <v>0.11332468572476186</v>
      </c>
      <c r="DB3449" t="str">
        <v/>
      </c>
    </row>
    <row r="3450" spans="83:106" x14ac:dyDescent="0.2">
      <c r="CE3450"/>
      <c r="CF3450"/>
      <c r="CG3450"/>
      <c r="CH3450"/>
      <c r="CI3450"/>
      <c r="CU3450" s="42">
        <v>3445</v>
      </c>
      <c r="CV3450" s="115">
        <v>4</v>
      </c>
      <c r="CW3450" s="115">
        <v>0.11332468572476186</v>
      </c>
      <c r="CX3450" s="115" t="e">
        <v>#N/A</v>
      </c>
      <c r="CY3450" s="115" t="e">
        <v>#N/A</v>
      </c>
      <c r="CZ3450" s="137" t="e">
        <v>#N/A</v>
      </c>
      <c r="DA3450">
        <v>0.11332468572476186</v>
      </c>
      <c r="DB3450" t="str">
        <v/>
      </c>
    </row>
    <row r="3451" spans="83:106" x14ac:dyDescent="0.2">
      <c r="CE3451"/>
      <c r="CF3451"/>
      <c r="CG3451"/>
      <c r="CH3451"/>
      <c r="CI3451"/>
      <c r="CU3451" s="42">
        <v>3446</v>
      </c>
      <c r="CV3451" s="115">
        <v>4</v>
      </c>
      <c r="CW3451" s="115">
        <v>0.11332468572476186</v>
      </c>
      <c r="CX3451" s="115" t="e">
        <v>#N/A</v>
      </c>
      <c r="CY3451" s="115" t="e">
        <v>#N/A</v>
      </c>
      <c r="CZ3451" s="137" t="e">
        <v>#N/A</v>
      </c>
      <c r="DA3451">
        <v>0.11332468572476186</v>
      </c>
      <c r="DB3451" t="str">
        <v/>
      </c>
    </row>
    <row r="3452" spans="83:106" x14ac:dyDescent="0.2">
      <c r="CE3452"/>
      <c r="CF3452"/>
      <c r="CG3452"/>
      <c r="CH3452"/>
      <c r="CI3452"/>
      <c r="CU3452" s="42">
        <v>3447</v>
      </c>
      <c r="CV3452" s="115">
        <v>4</v>
      </c>
      <c r="CW3452" s="115">
        <v>0.11332468572476186</v>
      </c>
      <c r="CX3452" s="115" t="e">
        <v>#N/A</v>
      </c>
      <c r="CY3452" s="115" t="e">
        <v>#N/A</v>
      </c>
      <c r="CZ3452" s="137" t="e">
        <v>#N/A</v>
      </c>
      <c r="DA3452">
        <v>0.11332468572476186</v>
      </c>
      <c r="DB3452" t="str">
        <v/>
      </c>
    </row>
    <row r="3453" spans="83:106" x14ac:dyDescent="0.2">
      <c r="CE3453"/>
      <c r="CF3453"/>
      <c r="CG3453"/>
      <c r="CH3453"/>
      <c r="CI3453"/>
      <c r="CU3453" s="42">
        <v>3448</v>
      </c>
      <c r="CV3453" s="115">
        <v>4</v>
      </c>
      <c r="CW3453" s="115">
        <v>0.11332468572476186</v>
      </c>
      <c r="CX3453" s="115" t="e">
        <v>#N/A</v>
      </c>
      <c r="CY3453" s="115" t="e">
        <v>#N/A</v>
      </c>
      <c r="CZ3453" s="137" t="e">
        <v>#N/A</v>
      </c>
      <c r="DA3453">
        <v>0.11332468572476186</v>
      </c>
      <c r="DB3453" t="str">
        <v/>
      </c>
    </row>
    <row r="3454" spans="83:106" x14ac:dyDescent="0.2">
      <c r="CE3454"/>
      <c r="CF3454"/>
      <c r="CG3454"/>
      <c r="CH3454"/>
      <c r="CI3454"/>
      <c r="CU3454" s="42">
        <v>3449</v>
      </c>
      <c r="CV3454" s="115">
        <v>4</v>
      </c>
      <c r="CW3454" s="115">
        <v>0.11332468572476186</v>
      </c>
      <c r="CX3454" s="115" t="e">
        <v>#N/A</v>
      </c>
      <c r="CY3454" s="115" t="e">
        <v>#N/A</v>
      </c>
      <c r="CZ3454" s="137" t="e">
        <v>#N/A</v>
      </c>
      <c r="DA3454">
        <v>0.11332468572476186</v>
      </c>
      <c r="DB3454" t="str">
        <v/>
      </c>
    </row>
    <row r="3455" spans="83:106" x14ac:dyDescent="0.2">
      <c r="CE3455"/>
      <c r="CF3455"/>
      <c r="CG3455"/>
      <c r="CH3455"/>
      <c r="CI3455"/>
      <c r="CU3455" s="42">
        <v>3450</v>
      </c>
      <c r="CV3455" s="115">
        <v>4</v>
      </c>
      <c r="CW3455" s="115">
        <v>0.11332468572476186</v>
      </c>
      <c r="CX3455" s="115" t="e">
        <v>#N/A</v>
      </c>
      <c r="CY3455" s="115" t="e">
        <v>#N/A</v>
      </c>
      <c r="CZ3455" s="137" t="e">
        <v>#N/A</v>
      </c>
      <c r="DA3455">
        <v>0.11332468572476186</v>
      </c>
      <c r="DB3455" t="str">
        <v/>
      </c>
    </row>
    <row r="3456" spans="83:106" x14ac:dyDescent="0.2">
      <c r="CE3456"/>
      <c r="CF3456"/>
      <c r="CG3456"/>
      <c r="CH3456"/>
      <c r="CI3456"/>
      <c r="CU3456" s="42">
        <v>3451</v>
      </c>
      <c r="CV3456" s="115">
        <v>4</v>
      </c>
      <c r="CW3456" s="115">
        <v>0.11332468572476186</v>
      </c>
      <c r="CX3456" s="115" t="e">
        <v>#N/A</v>
      </c>
      <c r="CY3456" s="115" t="e">
        <v>#N/A</v>
      </c>
      <c r="CZ3456" s="137" t="e">
        <v>#N/A</v>
      </c>
      <c r="DA3456">
        <v>0.11332468572476186</v>
      </c>
      <c r="DB3456" t="str">
        <v/>
      </c>
    </row>
    <row r="3457" spans="83:106" x14ac:dyDescent="0.2">
      <c r="CE3457"/>
      <c r="CF3457"/>
      <c r="CG3457"/>
      <c r="CH3457"/>
      <c r="CI3457"/>
      <c r="CU3457" s="42">
        <v>3452</v>
      </c>
      <c r="CV3457" s="115">
        <v>4</v>
      </c>
      <c r="CW3457" s="115">
        <v>0.11332468572476186</v>
      </c>
      <c r="CX3457" s="115" t="e">
        <v>#N/A</v>
      </c>
      <c r="CY3457" s="115" t="e">
        <v>#N/A</v>
      </c>
      <c r="CZ3457" s="137" t="e">
        <v>#N/A</v>
      </c>
      <c r="DA3457">
        <v>0.11332468572476186</v>
      </c>
      <c r="DB3457" t="str">
        <v/>
      </c>
    </row>
    <row r="3458" spans="83:106" x14ac:dyDescent="0.2">
      <c r="CE3458"/>
      <c r="CF3458"/>
      <c r="CG3458"/>
      <c r="CH3458"/>
      <c r="CI3458"/>
      <c r="CU3458" s="42">
        <v>3453</v>
      </c>
      <c r="CV3458" s="115">
        <v>4</v>
      </c>
      <c r="CW3458" s="115">
        <v>0.11332468572476186</v>
      </c>
      <c r="CX3458" s="115" t="e">
        <v>#N/A</v>
      </c>
      <c r="CY3458" s="115" t="e">
        <v>#N/A</v>
      </c>
      <c r="CZ3458" s="137" t="e">
        <v>#N/A</v>
      </c>
      <c r="DA3458">
        <v>0.11332468572476186</v>
      </c>
      <c r="DB3458" t="str">
        <v/>
      </c>
    </row>
    <row r="3459" spans="83:106" x14ac:dyDescent="0.2">
      <c r="CE3459"/>
      <c r="CF3459"/>
      <c r="CG3459"/>
      <c r="CH3459"/>
      <c r="CI3459"/>
      <c r="CU3459" s="42">
        <v>3454</v>
      </c>
      <c r="CV3459" s="115">
        <v>4</v>
      </c>
      <c r="CW3459" s="115">
        <v>0.11332468572476186</v>
      </c>
      <c r="CX3459" s="115" t="e">
        <v>#N/A</v>
      </c>
      <c r="CY3459" s="115" t="e">
        <v>#N/A</v>
      </c>
      <c r="CZ3459" s="137" t="e">
        <v>#N/A</v>
      </c>
      <c r="DA3459">
        <v>0.11332468572476186</v>
      </c>
      <c r="DB3459" t="str">
        <v/>
      </c>
    </row>
    <row r="3460" spans="83:106" x14ac:dyDescent="0.2">
      <c r="CE3460"/>
      <c r="CF3460"/>
      <c r="CG3460"/>
      <c r="CH3460"/>
      <c r="CI3460"/>
      <c r="CU3460" s="42">
        <v>3455</v>
      </c>
      <c r="CV3460" s="115">
        <v>4</v>
      </c>
      <c r="CW3460" s="115">
        <v>0.11332468572476186</v>
      </c>
      <c r="CX3460" s="115" t="e">
        <v>#N/A</v>
      </c>
      <c r="CY3460" s="115" t="e">
        <v>#N/A</v>
      </c>
      <c r="CZ3460" s="137" t="e">
        <v>#N/A</v>
      </c>
      <c r="DA3460">
        <v>0.11332468572476186</v>
      </c>
      <c r="DB3460" t="str">
        <v/>
      </c>
    </row>
    <row r="3461" spans="83:106" x14ac:dyDescent="0.2">
      <c r="CE3461"/>
      <c r="CF3461"/>
      <c r="CG3461"/>
      <c r="CH3461"/>
      <c r="CI3461"/>
      <c r="CU3461" s="42">
        <v>3456</v>
      </c>
      <c r="CV3461" s="115">
        <v>4</v>
      </c>
      <c r="CW3461" s="115">
        <v>0.11332468572476186</v>
      </c>
      <c r="CX3461" s="115" t="e">
        <v>#N/A</v>
      </c>
      <c r="CY3461" s="115" t="e">
        <v>#N/A</v>
      </c>
      <c r="CZ3461" s="137" t="e">
        <v>#N/A</v>
      </c>
      <c r="DA3461">
        <v>0.11332468572476186</v>
      </c>
      <c r="DB3461" t="str">
        <v/>
      </c>
    </row>
    <row r="3462" spans="83:106" x14ac:dyDescent="0.2">
      <c r="CE3462"/>
      <c r="CF3462"/>
      <c r="CG3462"/>
      <c r="CH3462"/>
      <c r="CI3462"/>
      <c r="CU3462" s="42">
        <v>3457</v>
      </c>
      <c r="CV3462" s="115">
        <v>4</v>
      </c>
      <c r="CW3462" s="115">
        <v>0.11332468572476186</v>
      </c>
      <c r="CX3462" s="115" t="e">
        <v>#N/A</v>
      </c>
      <c r="CY3462" s="115" t="e">
        <v>#N/A</v>
      </c>
      <c r="CZ3462" s="137" t="e">
        <v>#N/A</v>
      </c>
      <c r="DA3462">
        <v>0.11332468572476186</v>
      </c>
      <c r="DB3462" t="str">
        <v/>
      </c>
    </row>
    <row r="3463" spans="83:106" x14ac:dyDescent="0.2">
      <c r="CE3463"/>
      <c r="CF3463"/>
      <c r="CG3463"/>
      <c r="CH3463"/>
      <c r="CI3463"/>
      <c r="CU3463" s="42">
        <v>3458</v>
      </c>
      <c r="CV3463" s="115">
        <v>4</v>
      </c>
      <c r="CW3463" s="115">
        <v>0.11332468572476186</v>
      </c>
      <c r="CX3463" s="115" t="e">
        <v>#N/A</v>
      </c>
      <c r="CY3463" s="115" t="e">
        <v>#N/A</v>
      </c>
      <c r="CZ3463" s="137" t="e">
        <v>#N/A</v>
      </c>
      <c r="DA3463">
        <v>0.11332468572476186</v>
      </c>
      <c r="DB3463" t="str">
        <v/>
      </c>
    </row>
    <row r="3464" spans="83:106" x14ac:dyDescent="0.2">
      <c r="CE3464"/>
      <c r="CF3464"/>
      <c r="CG3464"/>
      <c r="CH3464"/>
      <c r="CI3464"/>
      <c r="CU3464" s="42">
        <v>3459</v>
      </c>
      <c r="CV3464" s="115">
        <v>4</v>
      </c>
      <c r="CW3464" s="115">
        <v>0.11332468572476186</v>
      </c>
      <c r="CX3464" s="115" t="e">
        <v>#N/A</v>
      </c>
      <c r="CY3464" s="115" t="e">
        <v>#N/A</v>
      </c>
      <c r="CZ3464" s="137" t="e">
        <v>#N/A</v>
      </c>
      <c r="DA3464">
        <v>0.11332468572476186</v>
      </c>
      <c r="DB3464" t="str">
        <v/>
      </c>
    </row>
    <row r="3465" spans="83:106" x14ac:dyDescent="0.2">
      <c r="CE3465"/>
      <c r="CF3465"/>
      <c r="CG3465"/>
      <c r="CH3465"/>
      <c r="CI3465"/>
      <c r="CU3465" s="42">
        <v>3460</v>
      </c>
      <c r="CV3465" s="115">
        <v>4</v>
      </c>
      <c r="CW3465" s="115">
        <v>0.11332468572476186</v>
      </c>
      <c r="CX3465" s="115" t="e">
        <v>#N/A</v>
      </c>
      <c r="CY3465" s="115" t="e">
        <v>#N/A</v>
      </c>
      <c r="CZ3465" s="137" t="e">
        <v>#N/A</v>
      </c>
      <c r="DA3465">
        <v>0.11332468572476186</v>
      </c>
      <c r="DB3465" t="str">
        <v/>
      </c>
    </row>
    <row r="3466" spans="83:106" x14ac:dyDescent="0.2">
      <c r="CE3466"/>
      <c r="CF3466"/>
      <c r="CG3466"/>
      <c r="CH3466"/>
      <c r="CI3466"/>
      <c r="CU3466" s="42">
        <v>3461</v>
      </c>
      <c r="CV3466" s="115">
        <v>4</v>
      </c>
      <c r="CW3466" s="115">
        <v>0.11332468572476186</v>
      </c>
      <c r="CX3466" s="115" t="e">
        <v>#N/A</v>
      </c>
      <c r="CY3466" s="115" t="e">
        <v>#N/A</v>
      </c>
      <c r="CZ3466" s="137" t="e">
        <v>#N/A</v>
      </c>
      <c r="DA3466">
        <v>0.11332468572476186</v>
      </c>
      <c r="DB3466" t="str">
        <v/>
      </c>
    </row>
    <row r="3467" spans="83:106" x14ac:dyDescent="0.2">
      <c r="CE3467"/>
      <c r="CF3467"/>
      <c r="CG3467"/>
      <c r="CH3467"/>
      <c r="CI3467"/>
      <c r="CU3467" s="42">
        <v>3462</v>
      </c>
      <c r="CV3467" s="115">
        <v>4</v>
      </c>
      <c r="CW3467" s="115">
        <v>0.11332468572476186</v>
      </c>
      <c r="CX3467" s="115" t="e">
        <v>#N/A</v>
      </c>
      <c r="CY3467" s="115" t="e">
        <v>#N/A</v>
      </c>
      <c r="CZ3467" s="137" t="e">
        <v>#N/A</v>
      </c>
      <c r="DA3467">
        <v>0.11332468572476186</v>
      </c>
      <c r="DB3467" t="str">
        <v/>
      </c>
    </row>
    <row r="3468" spans="83:106" x14ac:dyDescent="0.2">
      <c r="CE3468"/>
      <c r="CF3468"/>
      <c r="CG3468"/>
      <c r="CH3468"/>
      <c r="CI3468"/>
      <c r="CU3468" s="42">
        <v>3463</v>
      </c>
      <c r="CV3468" s="115">
        <v>4</v>
      </c>
      <c r="CW3468" s="115">
        <v>0.11332468572476186</v>
      </c>
      <c r="CX3468" s="115" t="e">
        <v>#N/A</v>
      </c>
      <c r="CY3468" s="115" t="e">
        <v>#N/A</v>
      </c>
      <c r="CZ3468" s="137" t="e">
        <v>#N/A</v>
      </c>
      <c r="DA3468">
        <v>0.11332468572476186</v>
      </c>
      <c r="DB3468" t="str">
        <v/>
      </c>
    </row>
    <row r="3469" spans="83:106" x14ac:dyDescent="0.2">
      <c r="CE3469"/>
      <c r="CF3469"/>
      <c r="CG3469"/>
      <c r="CH3469"/>
      <c r="CI3469"/>
      <c r="CU3469" s="42">
        <v>3464</v>
      </c>
      <c r="CV3469" s="115">
        <v>4</v>
      </c>
      <c r="CW3469" s="115">
        <v>0.11332468572476186</v>
      </c>
      <c r="CX3469" s="115" t="e">
        <v>#N/A</v>
      </c>
      <c r="CY3469" s="115" t="e">
        <v>#N/A</v>
      </c>
      <c r="CZ3469" s="137" t="e">
        <v>#N/A</v>
      </c>
      <c r="DA3469">
        <v>0.11332468572476186</v>
      </c>
      <c r="DB3469" t="str">
        <v/>
      </c>
    </row>
    <row r="3470" spans="83:106" x14ac:dyDescent="0.2">
      <c r="CE3470"/>
      <c r="CF3470"/>
      <c r="CG3470"/>
      <c r="CH3470"/>
      <c r="CI3470"/>
      <c r="CU3470" s="42">
        <v>3465</v>
      </c>
      <c r="CV3470" s="115">
        <v>4</v>
      </c>
      <c r="CW3470" s="115">
        <v>0.11332468572476186</v>
      </c>
      <c r="CX3470" s="115" t="e">
        <v>#N/A</v>
      </c>
      <c r="CY3470" s="115" t="e">
        <v>#N/A</v>
      </c>
      <c r="CZ3470" s="137" t="e">
        <v>#N/A</v>
      </c>
      <c r="DA3470">
        <v>0.11332468572476186</v>
      </c>
      <c r="DB3470" t="str">
        <v/>
      </c>
    </row>
    <row r="3471" spans="83:106" x14ac:dyDescent="0.2">
      <c r="CE3471"/>
      <c r="CF3471"/>
      <c r="CG3471"/>
      <c r="CH3471"/>
      <c r="CI3471"/>
      <c r="CU3471" s="42">
        <v>3466</v>
      </c>
      <c r="CV3471" s="115">
        <v>4</v>
      </c>
      <c r="CW3471" s="115">
        <v>0.11332468572476186</v>
      </c>
      <c r="CX3471" s="115" t="e">
        <v>#N/A</v>
      </c>
      <c r="CY3471" s="115" t="e">
        <v>#N/A</v>
      </c>
      <c r="CZ3471" s="137" t="e">
        <v>#N/A</v>
      </c>
      <c r="DA3471">
        <v>0.11332468572476186</v>
      </c>
      <c r="DB3471" t="str">
        <v/>
      </c>
    </row>
    <row r="3472" spans="83:106" x14ac:dyDescent="0.2">
      <c r="CE3472"/>
      <c r="CF3472"/>
      <c r="CG3472"/>
      <c r="CH3472"/>
      <c r="CI3472"/>
      <c r="CU3472" s="42">
        <v>3467</v>
      </c>
      <c r="CV3472" s="115">
        <v>4</v>
      </c>
      <c r="CW3472" s="115">
        <v>0.11332468572476186</v>
      </c>
      <c r="CX3472" s="115" t="e">
        <v>#N/A</v>
      </c>
      <c r="CY3472" s="115" t="e">
        <v>#N/A</v>
      </c>
      <c r="CZ3472" s="137" t="e">
        <v>#N/A</v>
      </c>
      <c r="DA3472">
        <v>0.11332468572476186</v>
      </c>
      <c r="DB3472" t="str">
        <v/>
      </c>
    </row>
    <row r="3473" spans="83:106" x14ac:dyDescent="0.2">
      <c r="CE3473"/>
      <c r="CF3473"/>
      <c r="CG3473"/>
      <c r="CH3473"/>
      <c r="CI3473"/>
      <c r="CU3473" s="42">
        <v>3468</v>
      </c>
      <c r="CV3473" s="115">
        <v>4</v>
      </c>
      <c r="CW3473" s="115">
        <v>0.11332468572476186</v>
      </c>
      <c r="CX3473" s="115" t="e">
        <v>#N/A</v>
      </c>
      <c r="CY3473" s="115" t="e">
        <v>#N/A</v>
      </c>
      <c r="CZ3473" s="137" t="e">
        <v>#N/A</v>
      </c>
      <c r="DA3473">
        <v>0.11332468572476186</v>
      </c>
      <c r="DB3473" t="str">
        <v/>
      </c>
    </row>
    <row r="3474" spans="83:106" x14ac:dyDescent="0.2">
      <c r="CE3474"/>
      <c r="CF3474"/>
      <c r="CG3474"/>
      <c r="CH3474"/>
      <c r="CI3474"/>
      <c r="CU3474" s="42">
        <v>3469</v>
      </c>
      <c r="CV3474" s="115">
        <v>4</v>
      </c>
      <c r="CW3474" s="115">
        <v>0.11332468572476186</v>
      </c>
      <c r="CX3474" s="115" t="e">
        <v>#N/A</v>
      </c>
      <c r="CY3474" s="115" t="e">
        <v>#N/A</v>
      </c>
      <c r="CZ3474" s="137" t="e">
        <v>#N/A</v>
      </c>
      <c r="DA3474">
        <v>0.11332468572476186</v>
      </c>
      <c r="DB3474" t="str">
        <v/>
      </c>
    </row>
    <row r="3475" spans="83:106" x14ac:dyDescent="0.2">
      <c r="CE3475"/>
      <c r="CF3475"/>
      <c r="CG3475"/>
      <c r="CH3475"/>
      <c r="CI3475"/>
      <c r="CU3475" s="42">
        <v>3470</v>
      </c>
      <c r="CV3475" s="115">
        <v>4</v>
      </c>
      <c r="CW3475" s="115">
        <v>0.11332468572476186</v>
      </c>
      <c r="CX3475" s="115" t="e">
        <v>#N/A</v>
      </c>
      <c r="CY3475" s="115" t="e">
        <v>#N/A</v>
      </c>
      <c r="CZ3475" s="137" t="e">
        <v>#N/A</v>
      </c>
      <c r="DA3475">
        <v>0.11332468572476186</v>
      </c>
      <c r="DB3475" t="str">
        <v/>
      </c>
    </row>
    <row r="3476" spans="83:106" x14ac:dyDescent="0.2">
      <c r="CE3476"/>
      <c r="CF3476"/>
      <c r="CG3476"/>
      <c r="CH3476"/>
      <c r="CI3476"/>
      <c r="CU3476" s="42">
        <v>3471</v>
      </c>
      <c r="CV3476" s="115">
        <v>4</v>
      </c>
      <c r="CW3476" s="115">
        <v>0.11332468572476186</v>
      </c>
      <c r="CX3476" s="115" t="e">
        <v>#N/A</v>
      </c>
      <c r="CY3476" s="115" t="e">
        <v>#N/A</v>
      </c>
      <c r="CZ3476" s="137" t="e">
        <v>#N/A</v>
      </c>
      <c r="DA3476">
        <v>0.11332468572476186</v>
      </c>
      <c r="DB3476" t="str">
        <v/>
      </c>
    </row>
    <row r="3477" spans="83:106" x14ac:dyDescent="0.2">
      <c r="CE3477"/>
      <c r="CF3477"/>
      <c r="CG3477"/>
      <c r="CH3477"/>
      <c r="CI3477"/>
      <c r="CU3477" s="42">
        <v>3472</v>
      </c>
      <c r="CV3477" s="115">
        <v>4</v>
      </c>
      <c r="CW3477" s="115">
        <v>0.11332468572476186</v>
      </c>
      <c r="CX3477" s="115" t="e">
        <v>#N/A</v>
      </c>
      <c r="CY3477" s="115" t="e">
        <v>#N/A</v>
      </c>
      <c r="CZ3477" s="137" t="e">
        <v>#N/A</v>
      </c>
      <c r="DA3477">
        <v>0.11332468572476186</v>
      </c>
      <c r="DB3477" t="str">
        <v/>
      </c>
    </row>
    <row r="3478" spans="83:106" x14ac:dyDescent="0.2">
      <c r="CE3478"/>
      <c r="CF3478"/>
      <c r="CG3478"/>
      <c r="CH3478"/>
      <c r="CI3478"/>
      <c r="CU3478" s="42">
        <v>3473</v>
      </c>
      <c r="CV3478" s="115">
        <v>4</v>
      </c>
      <c r="CW3478" s="115">
        <v>0.11332468572476186</v>
      </c>
      <c r="CX3478" s="115" t="e">
        <v>#N/A</v>
      </c>
      <c r="CY3478" s="115" t="e">
        <v>#N/A</v>
      </c>
      <c r="CZ3478" s="137" t="e">
        <v>#N/A</v>
      </c>
      <c r="DA3478">
        <v>0.11332468572476186</v>
      </c>
      <c r="DB3478" t="str">
        <v/>
      </c>
    </row>
    <row r="3479" spans="83:106" x14ac:dyDescent="0.2">
      <c r="CE3479"/>
      <c r="CF3479"/>
      <c r="CG3479"/>
      <c r="CH3479"/>
      <c r="CI3479"/>
      <c r="CU3479" s="42">
        <v>3474</v>
      </c>
      <c r="CV3479" s="115">
        <v>4</v>
      </c>
      <c r="CW3479" s="115">
        <v>0.11332468572476186</v>
      </c>
      <c r="CX3479" s="115" t="e">
        <v>#N/A</v>
      </c>
      <c r="CY3479" s="115" t="e">
        <v>#N/A</v>
      </c>
      <c r="CZ3479" s="137" t="e">
        <v>#N/A</v>
      </c>
      <c r="DA3479">
        <v>0.11332468572476186</v>
      </c>
      <c r="DB3479" t="str">
        <v/>
      </c>
    </row>
    <row r="3480" spans="83:106" x14ac:dyDescent="0.2">
      <c r="CE3480"/>
      <c r="CF3480"/>
      <c r="CG3480"/>
      <c r="CH3480"/>
      <c r="CI3480"/>
      <c r="CU3480" s="42">
        <v>3475</v>
      </c>
      <c r="CV3480" s="115">
        <v>4</v>
      </c>
      <c r="CW3480" s="115">
        <v>0.11332468572476186</v>
      </c>
      <c r="CX3480" s="115" t="e">
        <v>#N/A</v>
      </c>
      <c r="CY3480" s="115" t="e">
        <v>#N/A</v>
      </c>
      <c r="CZ3480" s="137" t="e">
        <v>#N/A</v>
      </c>
      <c r="DA3480">
        <v>0.11332468572476186</v>
      </c>
      <c r="DB3480" t="str">
        <v/>
      </c>
    </row>
    <row r="3481" spans="83:106" x14ac:dyDescent="0.2">
      <c r="CE3481"/>
      <c r="CF3481"/>
      <c r="CG3481"/>
      <c r="CH3481"/>
      <c r="CI3481"/>
      <c r="CU3481" s="42">
        <v>3476</v>
      </c>
      <c r="CV3481" s="115">
        <v>4</v>
      </c>
      <c r="CW3481" s="115">
        <v>0.11332468572476186</v>
      </c>
      <c r="CX3481" s="115" t="e">
        <v>#N/A</v>
      </c>
      <c r="CY3481" s="115" t="e">
        <v>#N/A</v>
      </c>
      <c r="CZ3481" s="137" t="e">
        <v>#N/A</v>
      </c>
      <c r="DA3481">
        <v>0.11332468572476186</v>
      </c>
      <c r="DB3481" t="str">
        <v/>
      </c>
    </row>
    <row r="3482" spans="83:106" x14ac:dyDescent="0.2">
      <c r="CE3482"/>
      <c r="CF3482"/>
      <c r="CG3482"/>
      <c r="CH3482"/>
      <c r="CI3482"/>
      <c r="CU3482" s="42">
        <v>3477</v>
      </c>
      <c r="CV3482" s="115">
        <v>4</v>
      </c>
      <c r="CW3482" s="115">
        <v>0.11332468572476186</v>
      </c>
      <c r="CX3482" s="115" t="e">
        <v>#N/A</v>
      </c>
      <c r="CY3482" s="115" t="e">
        <v>#N/A</v>
      </c>
      <c r="CZ3482" s="137" t="e">
        <v>#N/A</v>
      </c>
      <c r="DA3482">
        <v>0.11332468572476186</v>
      </c>
      <c r="DB3482" t="str">
        <v/>
      </c>
    </row>
    <row r="3483" spans="83:106" x14ac:dyDescent="0.2">
      <c r="CE3483"/>
      <c r="CF3483"/>
      <c r="CG3483"/>
      <c r="CH3483"/>
      <c r="CI3483"/>
      <c r="CU3483" s="42">
        <v>3478</v>
      </c>
      <c r="CV3483" s="115">
        <v>4</v>
      </c>
      <c r="CW3483" s="115">
        <v>0.11332468572476186</v>
      </c>
      <c r="CX3483" s="115" t="e">
        <v>#N/A</v>
      </c>
      <c r="CY3483" s="115" t="e">
        <v>#N/A</v>
      </c>
      <c r="CZ3483" s="137" t="e">
        <v>#N/A</v>
      </c>
      <c r="DA3483">
        <v>0.11332468572476186</v>
      </c>
      <c r="DB3483" t="str">
        <v/>
      </c>
    </row>
    <row r="3484" spans="83:106" x14ac:dyDescent="0.2">
      <c r="CE3484"/>
      <c r="CF3484"/>
      <c r="CG3484"/>
      <c r="CH3484"/>
      <c r="CI3484"/>
      <c r="CU3484" s="42">
        <v>3479</v>
      </c>
      <c r="CV3484" s="115">
        <v>4</v>
      </c>
      <c r="CW3484" s="115">
        <v>0.11332468572476186</v>
      </c>
      <c r="CX3484" s="115" t="e">
        <v>#N/A</v>
      </c>
      <c r="CY3484" s="115" t="e">
        <v>#N/A</v>
      </c>
      <c r="CZ3484" s="137" t="e">
        <v>#N/A</v>
      </c>
      <c r="DA3484">
        <v>0.11332468572476186</v>
      </c>
      <c r="DB3484" t="str">
        <v/>
      </c>
    </row>
    <row r="3485" spans="83:106" x14ac:dyDescent="0.2">
      <c r="CE3485"/>
      <c r="CF3485"/>
      <c r="CG3485"/>
      <c r="CH3485"/>
      <c r="CI3485"/>
      <c r="CU3485" s="42">
        <v>3480</v>
      </c>
      <c r="CV3485" s="115">
        <v>4</v>
      </c>
      <c r="CW3485" s="115">
        <v>0.11332468572476186</v>
      </c>
      <c r="CX3485" s="115" t="e">
        <v>#N/A</v>
      </c>
      <c r="CY3485" s="115" t="e">
        <v>#N/A</v>
      </c>
      <c r="CZ3485" s="137" t="e">
        <v>#N/A</v>
      </c>
      <c r="DA3485">
        <v>0.11332468572476186</v>
      </c>
      <c r="DB3485" t="str">
        <v/>
      </c>
    </row>
    <row r="3486" spans="83:106" x14ac:dyDescent="0.2">
      <c r="CE3486"/>
      <c r="CF3486"/>
      <c r="CG3486"/>
      <c r="CH3486"/>
      <c r="CI3486"/>
      <c r="CU3486" s="42">
        <v>3481</v>
      </c>
      <c r="CV3486" s="115">
        <v>4</v>
      </c>
      <c r="CW3486" s="115">
        <v>0.11332468572476186</v>
      </c>
      <c r="CX3486" s="115" t="e">
        <v>#N/A</v>
      </c>
      <c r="CY3486" s="115" t="e">
        <v>#N/A</v>
      </c>
      <c r="CZ3486" s="137" t="e">
        <v>#N/A</v>
      </c>
      <c r="DA3486">
        <v>0.11332468572476186</v>
      </c>
      <c r="DB3486" t="str">
        <v/>
      </c>
    </row>
    <row r="3487" spans="83:106" x14ac:dyDescent="0.2">
      <c r="CE3487"/>
      <c r="CF3487"/>
      <c r="CG3487"/>
      <c r="CH3487"/>
      <c r="CI3487"/>
      <c r="CU3487" s="42">
        <v>3482</v>
      </c>
      <c r="CV3487" s="115">
        <v>4</v>
      </c>
      <c r="CW3487" s="115">
        <v>0.11332468572476186</v>
      </c>
      <c r="CX3487" s="115" t="e">
        <v>#N/A</v>
      </c>
      <c r="CY3487" s="115" t="e">
        <v>#N/A</v>
      </c>
      <c r="CZ3487" s="137" t="e">
        <v>#N/A</v>
      </c>
      <c r="DA3487">
        <v>0.11332468572476186</v>
      </c>
      <c r="DB3487" t="str">
        <v/>
      </c>
    </row>
    <row r="3488" spans="83:106" x14ac:dyDescent="0.2">
      <c r="CE3488"/>
      <c r="CF3488"/>
      <c r="CG3488"/>
      <c r="CH3488"/>
      <c r="CI3488"/>
      <c r="CU3488" s="42">
        <v>3483</v>
      </c>
      <c r="CV3488" s="115">
        <v>4</v>
      </c>
      <c r="CW3488" s="115">
        <v>0.11332468572476186</v>
      </c>
      <c r="CX3488" s="115" t="e">
        <v>#N/A</v>
      </c>
      <c r="CY3488" s="115" t="e">
        <v>#N/A</v>
      </c>
      <c r="CZ3488" s="137" t="e">
        <v>#N/A</v>
      </c>
      <c r="DA3488">
        <v>0.11332468572476186</v>
      </c>
      <c r="DB3488" t="str">
        <v/>
      </c>
    </row>
    <row r="3489" spans="83:106" x14ac:dyDescent="0.2">
      <c r="CE3489"/>
      <c r="CF3489"/>
      <c r="CG3489"/>
      <c r="CH3489"/>
      <c r="CI3489"/>
      <c r="CU3489" s="42">
        <v>3484</v>
      </c>
      <c r="CV3489" s="115">
        <v>4</v>
      </c>
      <c r="CW3489" s="115">
        <v>0.11332468572476186</v>
      </c>
      <c r="CX3489" s="115" t="e">
        <v>#N/A</v>
      </c>
      <c r="CY3489" s="115" t="e">
        <v>#N/A</v>
      </c>
      <c r="CZ3489" s="137" t="e">
        <v>#N/A</v>
      </c>
      <c r="DA3489">
        <v>0.11332468572476186</v>
      </c>
      <c r="DB3489" t="str">
        <v/>
      </c>
    </row>
    <row r="3490" spans="83:106" x14ac:dyDescent="0.2">
      <c r="CE3490"/>
      <c r="CF3490"/>
      <c r="CG3490"/>
      <c r="CH3490"/>
      <c r="CI3490"/>
      <c r="CU3490" s="42">
        <v>3485</v>
      </c>
      <c r="CV3490" s="115">
        <v>4</v>
      </c>
      <c r="CW3490" s="115">
        <v>0.11332468572476186</v>
      </c>
      <c r="CX3490" s="115" t="e">
        <v>#N/A</v>
      </c>
      <c r="CY3490" s="115" t="e">
        <v>#N/A</v>
      </c>
      <c r="CZ3490" s="137" t="e">
        <v>#N/A</v>
      </c>
      <c r="DA3490">
        <v>0.11332468572476186</v>
      </c>
      <c r="DB3490" t="str">
        <v/>
      </c>
    </row>
    <row r="3491" spans="83:106" x14ac:dyDescent="0.2">
      <c r="CE3491"/>
      <c r="CF3491"/>
      <c r="CG3491"/>
      <c r="CH3491"/>
      <c r="CI3491"/>
      <c r="CU3491" s="42">
        <v>3486</v>
      </c>
      <c r="CV3491" s="115">
        <v>4</v>
      </c>
      <c r="CW3491" s="115">
        <v>0.11332468572476186</v>
      </c>
      <c r="CX3491" s="115" t="e">
        <v>#N/A</v>
      </c>
      <c r="CY3491" s="115" t="e">
        <v>#N/A</v>
      </c>
      <c r="CZ3491" s="137" t="e">
        <v>#N/A</v>
      </c>
      <c r="DA3491">
        <v>0.11332468572476186</v>
      </c>
      <c r="DB3491" t="str">
        <v/>
      </c>
    </row>
    <row r="3492" spans="83:106" x14ac:dyDescent="0.2">
      <c r="CE3492"/>
      <c r="CF3492"/>
      <c r="CG3492"/>
      <c r="CH3492"/>
      <c r="CI3492"/>
      <c r="CU3492" s="42">
        <v>3487</v>
      </c>
      <c r="CV3492" s="115">
        <v>4</v>
      </c>
      <c r="CW3492" s="115">
        <v>0.11332468572476186</v>
      </c>
      <c r="CX3492" s="115" t="e">
        <v>#N/A</v>
      </c>
      <c r="CY3492" s="115" t="e">
        <v>#N/A</v>
      </c>
      <c r="CZ3492" s="137" t="e">
        <v>#N/A</v>
      </c>
      <c r="DA3492">
        <v>0.11332468572476186</v>
      </c>
      <c r="DB3492" t="str">
        <v/>
      </c>
    </row>
    <row r="3493" spans="83:106" x14ac:dyDescent="0.2">
      <c r="CE3493"/>
      <c r="CF3493"/>
      <c r="CG3493"/>
      <c r="CH3493"/>
      <c r="CI3493"/>
      <c r="CU3493" s="42">
        <v>3488</v>
      </c>
      <c r="CV3493" s="115">
        <v>4</v>
      </c>
      <c r="CW3493" s="115">
        <v>0.11332468572476186</v>
      </c>
      <c r="CX3493" s="115" t="e">
        <v>#N/A</v>
      </c>
      <c r="CY3493" s="115" t="e">
        <v>#N/A</v>
      </c>
      <c r="CZ3493" s="137" t="e">
        <v>#N/A</v>
      </c>
      <c r="DA3493">
        <v>0.11332468572476186</v>
      </c>
      <c r="DB3493" t="str">
        <v/>
      </c>
    </row>
    <row r="3494" spans="83:106" x14ac:dyDescent="0.2">
      <c r="CE3494"/>
      <c r="CF3494"/>
      <c r="CG3494"/>
      <c r="CH3494"/>
      <c r="CI3494"/>
      <c r="CU3494" s="42">
        <v>3489</v>
      </c>
      <c r="CV3494" s="115">
        <v>4</v>
      </c>
      <c r="CW3494" s="115">
        <v>0.11332468572476186</v>
      </c>
      <c r="CX3494" s="115" t="e">
        <v>#N/A</v>
      </c>
      <c r="CY3494" s="115" t="e">
        <v>#N/A</v>
      </c>
      <c r="CZ3494" s="137" t="e">
        <v>#N/A</v>
      </c>
      <c r="DA3494">
        <v>0.11332468572476186</v>
      </c>
      <c r="DB3494" t="str">
        <v/>
      </c>
    </row>
    <row r="3495" spans="83:106" x14ac:dyDescent="0.2">
      <c r="CE3495"/>
      <c r="CF3495"/>
      <c r="CG3495"/>
      <c r="CH3495"/>
      <c r="CI3495"/>
      <c r="CU3495" s="42">
        <v>3490</v>
      </c>
      <c r="CV3495" s="115">
        <v>4</v>
      </c>
      <c r="CW3495" s="115">
        <v>0.11332468572476186</v>
      </c>
      <c r="CX3495" s="115" t="e">
        <v>#N/A</v>
      </c>
      <c r="CY3495" s="115" t="e">
        <v>#N/A</v>
      </c>
      <c r="CZ3495" s="137" t="e">
        <v>#N/A</v>
      </c>
      <c r="DA3495">
        <v>0.11332468572476186</v>
      </c>
      <c r="DB3495" t="str">
        <v/>
      </c>
    </row>
    <row r="3496" spans="83:106" x14ac:dyDescent="0.2">
      <c r="CE3496"/>
      <c r="CF3496"/>
      <c r="CG3496"/>
      <c r="CH3496"/>
      <c r="CI3496"/>
      <c r="CU3496" s="42">
        <v>3491</v>
      </c>
      <c r="CV3496" s="115">
        <v>4</v>
      </c>
      <c r="CW3496" s="115">
        <v>0.11332468572476186</v>
      </c>
      <c r="CX3496" s="115" t="e">
        <v>#N/A</v>
      </c>
      <c r="CY3496" s="115" t="e">
        <v>#N/A</v>
      </c>
      <c r="CZ3496" s="137" t="e">
        <v>#N/A</v>
      </c>
      <c r="DA3496">
        <v>0.11332468572476186</v>
      </c>
      <c r="DB3496" t="str">
        <v/>
      </c>
    </row>
    <row r="3497" spans="83:106" x14ac:dyDescent="0.2">
      <c r="CE3497"/>
      <c r="CF3497"/>
      <c r="CG3497"/>
      <c r="CH3497"/>
      <c r="CI3497"/>
      <c r="CU3497" s="42">
        <v>3492</v>
      </c>
      <c r="CV3497" s="115">
        <v>4</v>
      </c>
      <c r="CW3497" s="115">
        <v>0.11332468572476186</v>
      </c>
      <c r="CX3497" s="115" t="e">
        <v>#N/A</v>
      </c>
      <c r="CY3497" s="115" t="e">
        <v>#N/A</v>
      </c>
      <c r="CZ3497" s="137" t="e">
        <v>#N/A</v>
      </c>
      <c r="DA3497">
        <v>0.11332468572476186</v>
      </c>
      <c r="DB3497" t="str">
        <v/>
      </c>
    </row>
    <row r="3498" spans="83:106" x14ac:dyDescent="0.2">
      <c r="CE3498"/>
      <c r="CF3498"/>
      <c r="CG3498"/>
      <c r="CH3498"/>
      <c r="CI3498"/>
      <c r="CU3498" s="42">
        <v>3493</v>
      </c>
      <c r="CV3498" s="115">
        <v>4</v>
      </c>
      <c r="CW3498" s="115">
        <v>0.11332468572476186</v>
      </c>
      <c r="CX3498" s="115" t="e">
        <v>#N/A</v>
      </c>
      <c r="CY3498" s="115" t="e">
        <v>#N/A</v>
      </c>
      <c r="CZ3498" s="137" t="e">
        <v>#N/A</v>
      </c>
      <c r="DA3498">
        <v>0.11332468572476186</v>
      </c>
      <c r="DB3498" t="str">
        <v/>
      </c>
    </row>
    <row r="3499" spans="83:106" x14ac:dyDescent="0.2">
      <c r="CE3499"/>
      <c r="CF3499"/>
      <c r="CG3499"/>
      <c r="CH3499"/>
      <c r="CI3499"/>
      <c r="CU3499" s="42">
        <v>3494</v>
      </c>
      <c r="CV3499" s="115">
        <v>4</v>
      </c>
      <c r="CW3499" s="115">
        <v>0.11332468572476186</v>
      </c>
      <c r="CX3499" s="115" t="e">
        <v>#N/A</v>
      </c>
      <c r="CY3499" s="115" t="e">
        <v>#N/A</v>
      </c>
      <c r="CZ3499" s="137" t="e">
        <v>#N/A</v>
      </c>
      <c r="DA3499">
        <v>0.11332468572476186</v>
      </c>
      <c r="DB3499" t="str">
        <v/>
      </c>
    </row>
    <row r="3500" spans="83:106" x14ac:dyDescent="0.2">
      <c r="CE3500"/>
      <c r="CF3500"/>
      <c r="CG3500"/>
      <c r="CH3500"/>
      <c r="CI3500"/>
      <c r="CU3500" s="42">
        <v>3495</v>
      </c>
      <c r="CV3500" s="115">
        <v>4</v>
      </c>
      <c r="CW3500" s="115">
        <v>0.11332468572476186</v>
      </c>
      <c r="CX3500" s="115" t="e">
        <v>#N/A</v>
      </c>
      <c r="CY3500" s="115" t="e">
        <v>#N/A</v>
      </c>
      <c r="CZ3500" s="137" t="e">
        <v>#N/A</v>
      </c>
      <c r="DA3500">
        <v>0.11332468572476186</v>
      </c>
      <c r="DB3500" t="str">
        <v/>
      </c>
    </row>
    <row r="3501" spans="83:106" x14ac:dyDescent="0.2">
      <c r="CE3501"/>
      <c r="CF3501"/>
      <c r="CG3501"/>
      <c r="CH3501"/>
      <c r="CI3501"/>
      <c r="CU3501" s="42">
        <v>3496</v>
      </c>
      <c r="CV3501" s="115">
        <v>4</v>
      </c>
      <c r="CW3501" s="115">
        <v>0.11332468572476186</v>
      </c>
      <c r="CX3501" s="115" t="e">
        <v>#N/A</v>
      </c>
      <c r="CY3501" s="115" t="e">
        <v>#N/A</v>
      </c>
      <c r="CZ3501" s="137" t="e">
        <v>#N/A</v>
      </c>
      <c r="DA3501">
        <v>0.11332468572476186</v>
      </c>
      <c r="DB3501" t="str">
        <v/>
      </c>
    </row>
    <row r="3502" spans="83:106" x14ac:dyDescent="0.2">
      <c r="CE3502"/>
      <c r="CF3502"/>
      <c r="CG3502"/>
      <c r="CH3502"/>
      <c r="CI3502"/>
      <c r="CU3502" s="42">
        <v>3497</v>
      </c>
      <c r="CV3502" s="115">
        <v>4</v>
      </c>
      <c r="CW3502" s="115">
        <v>0.11332468572476186</v>
      </c>
      <c r="CX3502" s="115" t="e">
        <v>#N/A</v>
      </c>
      <c r="CY3502" s="115" t="e">
        <v>#N/A</v>
      </c>
      <c r="CZ3502" s="137" t="e">
        <v>#N/A</v>
      </c>
      <c r="DA3502">
        <v>0.11332468572476186</v>
      </c>
      <c r="DB3502" t="str">
        <v/>
      </c>
    </row>
    <row r="3503" spans="83:106" x14ac:dyDescent="0.2">
      <c r="CE3503"/>
      <c r="CF3503"/>
      <c r="CG3503"/>
      <c r="CH3503"/>
      <c r="CI3503"/>
      <c r="CU3503" s="42">
        <v>3498</v>
      </c>
      <c r="CV3503" s="115">
        <v>4</v>
      </c>
      <c r="CW3503" s="115">
        <v>0.11332468572476186</v>
      </c>
      <c r="CX3503" s="115" t="e">
        <v>#N/A</v>
      </c>
      <c r="CY3503" s="115" t="e">
        <v>#N/A</v>
      </c>
      <c r="CZ3503" s="137" t="e">
        <v>#N/A</v>
      </c>
      <c r="DA3503">
        <v>0.11332468572476186</v>
      </c>
      <c r="DB3503" t="str">
        <v/>
      </c>
    </row>
    <row r="3504" spans="83:106" x14ac:dyDescent="0.2">
      <c r="CE3504"/>
      <c r="CF3504"/>
      <c r="CG3504"/>
      <c r="CH3504"/>
      <c r="CI3504"/>
      <c r="CU3504" s="42">
        <v>3499</v>
      </c>
      <c r="CV3504" s="115">
        <v>4</v>
      </c>
      <c r="CW3504" s="115">
        <v>0.11332468572476186</v>
      </c>
      <c r="CX3504" s="115" t="e">
        <v>#N/A</v>
      </c>
      <c r="CY3504" s="115" t="e">
        <v>#N/A</v>
      </c>
      <c r="CZ3504" s="137" t="e">
        <v>#N/A</v>
      </c>
      <c r="DA3504">
        <v>0.11332468572476186</v>
      </c>
      <c r="DB3504" t="str">
        <v/>
      </c>
    </row>
    <row r="3505" spans="83:106" x14ac:dyDescent="0.2">
      <c r="CE3505"/>
      <c r="CF3505"/>
      <c r="CG3505"/>
      <c r="CH3505"/>
      <c r="CI3505"/>
      <c r="CU3505" s="42">
        <v>3500</v>
      </c>
      <c r="CV3505" s="115">
        <v>4</v>
      </c>
      <c r="CW3505" s="115">
        <v>0.11332468572476186</v>
      </c>
      <c r="CX3505" s="115" t="e">
        <v>#N/A</v>
      </c>
      <c r="CY3505" s="115" t="e">
        <v>#N/A</v>
      </c>
      <c r="CZ3505" s="137" t="e">
        <v>#N/A</v>
      </c>
      <c r="DA3505">
        <v>0.11332468572476186</v>
      </c>
      <c r="DB3505" t="str">
        <v/>
      </c>
    </row>
    <row r="3506" spans="83:106" x14ac:dyDescent="0.2">
      <c r="CE3506"/>
      <c r="CF3506"/>
      <c r="CG3506"/>
      <c r="CH3506"/>
      <c r="CI3506"/>
      <c r="CU3506" s="42">
        <v>3501</v>
      </c>
      <c r="CV3506" s="115">
        <v>4</v>
      </c>
      <c r="CW3506" s="115">
        <v>0.11332468572476186</v>
      </c>
      <c r="CX3506" s="115" t="e">
        <v>#N/A</v>
      </c>
      <c r="CY3506" s="115" t="e">
        <v>#N/A</v>
      </c>
      <c r="CZ3506" s="137" t="e">
        <v>#N/A</v>
      </c>
      <c r="DA3506">
        <v>0.11332468572476186</v>
      </c>
      <c r="DB3506" t="str">
        <v/>
      </c>
    </row>
    <row r="3507" spans="83:106" x14ac:dyDescent="0.2">
      <c r="CE3507"/>
      <c r="CF3507"/>
      <c r="CG3507"/>
      <c r="CH3507"/>
      <c r="CI3507"/>
      <c r="CU3507" s="42">
        <v>3502</v>
      </c>
      <c r="CV3507" s="115">
        <v>4</v>
      </c>
      <c r="CW3507" s="115">
        <v>0.11332468572476186</v>
      </c>
      <c r="CX3507" s="115" t="e">
        <v>#N/A</v>
      </c>
      <c r="CY3507" s="115" t="e">
        <v>#N/A</v>
      </c>
      <c r="CZ3507" s="137" t="e">
        <v>#N/A</v>
      </c>
      <c r="DA3507">
        <v>0.11332468572476186</v>
      </c>
      <c r="DB3507" t="str">
        <v/>
      </c>
    </row>
    <row r="3508" spans="83:106" x14ac:dyDescent="0.2">
      <c r="CE3508"/>
      <c r="CF3508"/>
      <c r="CG3508"/>
      <c r="CH3508"/>
      <c r="CI3508"/>
      <c r="CU3508" s="42">
        <v>3503</v>
      </c>
      <c r="CV3508" s="115">
        <v>4</v>
      </c>
      <c r="CW3508" s="115">
        <v>0.11332468572476186</v>
      </c>
      <c r="CX3508" s="115" t="e">
        <v>#N/A</v>
      </c>
      <c r="CY3508" s="115" t="e">
        <v>#N/A</v>
      </c>
      <c r="CZ3508" s="137" t="e">
        <v>#N/A</v>
      </c>
      <c r="DA3508">
        <v>0.11332468572476186</v>
      </c>
      <c r="DB3508" t="str">
        <v/>
      </c>
    </row>
    <row r="3509" spans="83:106" x14ac:dyDescent="0.2">
      <c r="CE3509"/>
      <c r="CF3509"/>
      <c r="CG3509"/>
      <c r="CH3509"/>
      <c r="CI3509"/>
      <c r="CU3509" s="42">
        <v>3504</v>
      </c>
      <c r="CV3509" s="115">
        <v>4</v>
      </c>
      <c r="CW3509" s="115">
        <v>0.11332468572476186</v>
      </c>
      <c r="CX3509" s="115" t="e">
        <v>#N/A</v>
      </c>
      <c r="CY3509" s="115" t="e">
        <v>#N/A</v>
      </c>
      <c r="CZ3509" s="137" t="e">
        <v>#N/A</v>
      </c>
      <c r="DA3509">
        <v>0.11332468572476186</v>
      </c>
      <c r="DB3509" t="str">
        <v/>
      </c>
    </row>
    <row r="3510" spans="83:106" x14ac:dyDescent="0.2">
      <c r="CE3510"/>
      <c r="CF3510"/>
      <c r="CG3510"/>
      <c r="CH3510"/>
      <c r="CI3510"/>
      <c r="CU3510" s="42">
        <v>3505</v>
      </c>
      <c r="CV3510" s="115">
        <v>4</v>
      </c>
      <c r="CW3510" s="115">
        <v>0.11332468572476186</v>
      </c>
      <c r="CX3510" s="115" t="e">
        <v>#N/A</v>
      </c>
      <c r="CY3510" s="115" t="e">
        <v>#N/A</v>
      </c>
      <c r="CZ3510" s="137" t="e">
        <v>#N/A</v>
      </c>
      <c r="DA3510">
        <v>0.11332468572476186</v>
      </c>
      <c r="DB3510" t="str">
        <v/>
      </c>
    </row>
    <row r="3511" spans="83:106" x14ac:dyDescent="0.2">
      <c r="CE3511"/>
      <c r="CF3511"/>
      <c r="CG3511"/>
      <c r="CH3511"/>
      <c r="CI3511"/>
      <c r="CU3511" s="42">
        <v>3506</v>
      </c>
      <c r="CV3511" s="115">
        <v>4</v>
      </c>
      <c r="CW3511" s="115">
        <v>0.11332468572476186</v>
      </c>
      <c r="CX3511" s="115" t="e">
        <v>#N/A</v>
      </c>
      <c r="CY3511" s="115" t="e">
        <v>#N/A</v>
      </c>
      <c r="CZ3511" s="137" t="e">
        <v>#N/A</v>
      </c>
      <c r="DA3511">
        <v>0.11332468572476186</v>
      </c>
      <c r="DB3511" t="str">
        <v/>
      </c>
    </row>
    <row r="3512" spans="83:106" x14ac:dyDescent="0.2">
      <c r="CE3512"/>
      <c r="CF3512"/>
      <c r="CG3512"/>
      <c r="CH3512"/>
      <c r="CI3512"/>
      <c r="CU3512" s="42">
        <v>3507</v>
      </c>
      <c r="CV3512" s="115">
        <v>4</v>
      </c>
      <c r="CW3512" s="115">
        <v>0.11332468572476186</v>
      </c>
      <c r="CX3512" s="115" t="e">
        <v>#N/A</v>
      </c>
      <c r="CY3512" s="115" t="e">
        <v>#N/A</v>
      </c>
      <c r="CZ3512" s="137" t="e">
        <v>#N/A</v>
      </c>
      <c r="DA3512">
        <v>0.11332468572476186</v>
      </c>
      <c r="DB3512" t="str">
        <v/>
      </c>
    </row>
    <row r="3513" spans="83:106" x14ac:dyDescent="0.2">
      <c r="CE3513"/>
      <c r="CF3513"/>
      <c r="CG3513"/>
      <c r="CH3513"/>
      <c r="CI3513"/>
      <c r="CU3513" s="42">
        <v>3508</v>
      </c>
      <c r="CV3513" s="115">
        <v>4</v>
      </c>
      <c r="CW3513" s="115">
        <v>0.11332468572476186</v>
      </c>
      <c r="CX3513" s="115" t="e">
        <v>#N/A</v>
      </c>
      <c r="CY3513" s="115" t="e">
        <v>#N/A</v>
      </c>
      <c r="CZ3513" s="137" t="e">
        <v>#N/A</v>
      </c>
      <c r="DA3513">
        <v>0.11332468572476186</v>
      </c>
      <c r="DB3513" t="str">
        <v/>
      </c>
    </row>
    <row r="3514" spans="83:106" x14ac:dyDescent="0.2">
      <c r="CE3514"/>
      <c r="CF3514"/>
      <c r="CG3514"/>
      <c r="CH3514"/>
      <c r="CI3514"/>
      <c r="CU3514" s="42">
        <v>3509</v>
      </c>
      <c r="CV3514" s="115">
        <v>4</v>
      </c>
      <c r="CW3514" s="115">
        <v>0.11332468572476186</v>
      </c>
      <c r="CX3514" s="115" t="e">
        <v>#N/A</v>
      </c>
      <c r="CY3514" s="115" t="e">
        <v>#N/A</v>
      </c>
      <c r="CZ3514" s="137" t="e">
        <v>#N/A</v>
      </c>
      <c r="DA3514">
        <v>0.11332468572476186</v>
      </c>
      <c r="DB3514" t="str">
        <v/>
      </c>
    </row>
    <row r="3515" spans="83:106" x14ac:dyDescent="0.2">
      <c r="CE3515"/>
      <c r="CF3515"/>
      <c r="CG3515"/>
      <c r="CH3515"/>
      <c r="CI3515"/>
      <c r="CU3515" s="42">
        <v>3510</v>
      </c>
      <c r="CV3515" s="115">
        <v>4</v>
      </c>
      <c r="CW3515" s="115">
        <v>0.11332468572476186</v>
      </c>
      <c r="CX3515" s="115" t="e">
        <v>#N/A</v>
      </c>
      <c r="CY3515" s="115" t="e">
        <v>#N/A</v>
      </c>
      <c r="CZ3515" s="137" t="e">
        <v>#N/A</v>
      </c>
      <c r="DA3515">
        <v>0.11332468572476186</v>
      </c>
      <c r="DB3515" t="str">
        <v/>
      </c>
    </row>
    <row r="3516" spans="83:106" x14ac:dyDescent="0.2">
      <c r="CE3516"/>
      <c r="CF3516"/>
      <c r="CG3516"/>
      <c r="CH3516"/>
      <c r="CI3516"/>
      <c r="CU3516" s="42">
        <v>3511</v>
      </c>
      <c r="CV3516" s="115">
        <v>4</v>
      </c>
      <c r="CW3516" s="115">
        <v>0.11332468572476186</v>
      </c>
      <c r="CX3516" s="115" t="e">
        <v>#N/A</v>
      </c>
      <c r="CY3516" s="115" t="e">
        <v>#N/A</v>
      </c>
      <c r="CZ3516" s="137" t="e">
        <v>#N/A</v>
      </c>
      <c r="DA3516">
        <v>0.11332468572476186</v>
      </c>
      <c r="DB3516" t="str">
        <v/>
      </c>
    </row>
    <row r="3517" spans="83:106" x14ac:dyDescent="0.2">
      <c r="CE3517"/>
      <c r="CF3517"/>
      <c r="CG3517"/>
      <c r="CH3517"/>
      <c r="CI3517"/>
      <c r="CU3517" s="42">
        <v>3512</v>
      </c>
      <c r="CV3517" s="115">
        <v>4</v>
      </c>
      <c r="CW3517" s="115">
        <v>0.11332468572476186</v>
      </c>
      <c r="CX3517" s="115" t="e">
        <v>#N/A</v>
      </c>
      <c r="CY3517" s="115" t="e">
        <v>#N/A</v>
      </c>
      <c r="CZ3517" s="137" t="e">
        <v>#N/A</v>
      </c>
      <c r="DA3517">
        <v>0.11332468572476186</v>
      </c>
      <c r="DB3517" t="str">
        <v/>
      </c>
    </row>
    <row r="3518" spans="83:106" x14ac:dyDescent="0.2">
      <c r="CE3518"/>
      <c r="CF3518"/>
      <c r="CG3518"/>
      <c r="CH3518"/>
      <c r="CI3518"/>
      <c r="CU3518" s="42">
        <v>3513</v>
      </c>
      <c r="CV3518" s="115">
        <v>4</v>
      </c>
      <c r="CW3518" s="115">
        <v>0.11332468572476186</v>
      </c>
      <c r="CX3518" s="115" t="e">
        <v>#N/A</v>
      </c>
      <c r="CY3518" s="115" t="e">
        <v>#N/A</v>
      </c>
      <c r="CZ3518" s="137" t="e">
        <v>#N/A</v>
      </c>
      <c r="DA3518">
        <v>0.11332468572476186</v>
      </c>
      <c r="DB3518" t="str">
        <v/>
      </c>
    </row>
    <row r="3519" spans="83:106" x14ac:dyDescent="0.2">
      <c r="CE3519"/>
      <c r="CF3519"/>
      <c r="CG3519"/>
      <c r="CH3519"/>
      <c r="CI3519"/>
      <c r="CU3519" s="42">
        <v>3514</v>
      </c>
      <c r="CV3519" s="115">
        <v>4</v>
      </c>
      <c r="CW3519" s="115">
        <v>0.11332468572476186</v>
      </c>
      <c r="CX3519" s="115" t="e">
        <v>#N/A</v>
      </c>
      <c r="CY3519" s="115" t="e">
        <v>#N/A</v>
      </c>
      <c r="CZ3519" s="137" t="e">
        <v>#N/A</v>
      </c>
      <c r="DA3519">
        <v>0.11332468572476186</v>
      </c>
      <c r="DB3519" t="str">
        <v/>
      </c>
    </row>
    <row r="3520" spans="83:106" x14ac:dyDescent="0.2">
      <c r="CE3520"/>
      <c r="CF3520"/>
      <c r="CG3520"/>
      <c r="CH3520"/>
      <c r="CI3520"/>
      <c r="CU3520" s="42">
        <v>3515</v>
      </c>
      <c r="CV3520" s="115">
        <v>4</v>
      </c>
      <c r="CW3520" s="115">
        <v>0.11332468572476186</v>
      </c>
      <c r="CX3520" s="115" t="e">
        <v>#N/A</v>
      </c>
      <c r="CY3520" s="115" t="e">
        <v>#N/A</v>
      </c>
      <c r="CZ3520" s="137" t="e">
        <v>#N/A</v>
      </c>
      <c r="DA3520">
        <v>0.11332468572476186</v>
      </c>
      <c r="DB3520" t="str">
        <v/>
      </c>
    </row>
    <row r="3521" spans="83:106" x14ac:dyDescent="0.2">
      <c r="CE3521"/>
      <c r="CF3521"/>
      <c r="CG3521"/>
      <c r="CH3521"/>
      <c r="CI3521"/>
      <c r="CU3521" s="42">
        <v>3516</v>
      </c>
      <c r="CV3521" s="115">
        <v>4</v>
      </c>
      <c r="CW3521" s="115">
        <v>0.11332468572476186</v>
      </c>
      <c r="CX3521" s="115" t="e">
        <v>#N/A</v>
      </c>
      <c r="CY3521" s="115" t="e">
        <v>#N/A</v>
      </c>
      <c r="CZ3521" s="137" t="e">
        <v>#N/A</v>
      </c>
      <c r="DA3521">
        <v>0.11332468572476186</v>
      </c>
      <c r="DB3521" t="str">
        <v/>
      </c>
    </row>
    <row r="3522" spans="83:106" x14ac:dyDescent="0.2">
      <c r="CE3522"/>
      <c r="CF3522"/>
      <c r="CG3522"/>
      <c r="CH3522"/>
      <c r="CI3522"/>
      <c r="CU3522" s="42">
        <v>3517</v>
      </c>
      <c r="CV3522" s="115">
        <v>4</v>
      </c>
      <c r="CW3522" s="115">
        <v>0.11332468572476186</v>
      </c>
      <c r="CX3522" s="115" t="e">
        <v>#N/A</v>
      </c>
      <c r="CY3522" s="115" t="e">
        <v>#N/A</v>
      </c>
      <c r="CZ3522" s="137" t="e">
        <v>#N/A</v>
      </c>
      <c r="DA3522">
        <v>0.11332468572476186</v>
      </c>
      <c r="DB3522" t="str">
        <v/>
      </c>
    </row>
    <row r="3523" spans="83:106" x14ac:dyDescent="0.2">
      <c r="CE3523"/>
      <c r="CF3523"/>
      <c r="CG3523"/>
      <c r="CH3523"/>
      <c r="CI3523"/>
      <c r="CU3523" s="42">
        <v>3518</v>
      </c>
      <c r="CV3523" s="115">
        <v>4</v>
      </c>
      <c r="CW3523" s="115">
        <v>0.11332468572476186</v>
      </c>
      <c r="CX3523" s="115" t="e">
        <v>#N/A</v>
      </c>
      <c r="CY3523" s="115" t="e">
        <v>#N/A</v>
      </c>
      <c r="CZ3523" s="137" t="e">
        <v>#N/A</v>
      </c>
      <c r="DA3523">
        <v>0.11332468572476186</v>
      </c>
      <c r="DB3523" t="str">
        <v/>
      </c>
    </row>
    <row r="3524" spans="83:106" x14ac:dyDescent="0.2">
      <c r="CE3524"/>
      <c r="CF3524"/>
      <c r="CG3524"/>
      <c r="CH3524"/>
      <c r="CI3524"/>
      <c r="CU3524" s="42">
        <v>3519</v>
      </c>
      <c r="CV3524" s="115">
        <v>4</v>
      </c>
      <c r="CW3524" s="115">
        <v>0.11332468572476186</v>
      </c>
      <c r="CX3524" s="115" t="e">
        <v>#N/A</v>
      </c>
      <c r="CY3524" s="115" t="e">
        <v>#N/A</v>
      </c>
      <c r="CZ3524" s="137" t="e">
        <v>#N/A</v>
      </c>
      <c r="DA3524">
        <v>0.11332468572476186</v>
      </c>
      <c r="DB3524" t="str">
        <v/>
      </c>
    </row>
    <row r="3525" spans="83:106" x14ac:dyDescent="0.2">
      <c r="CE3525"/>
      <c r="CF3525"/>
      <c r="CG3525"/>
      <c r="CH3525"/>
      <c r="CI3525"/>
      <c r="CU3525" s="42">
        <v>3520</v>
      </c>
      <c r="CV3525" s="115">
        <v>4</v>
      </c>
      <c r="CW3525" s="115">
        <v>0.11332468572476186</v>
      </c>
      <c r="CX3525" s="115" t="e">
        <v>#N/A</v>
      </c>
      <c r="CY3525" s="115" t="e">
        <v>#N/A</v>
      </c>
      <c r="CZ3525" s="137" t="e">
        <v>#N/A</v>
      </c>
      <c r="DA3525">
        <v>0.11332468572476186</v>
      </c>
      <c r="DB3525" t="str">
        <v/>
      </c>
    </row>
    <row r="3526" spans="83:106" x14ac:dyDescent="0.2">
      <c r="CE3526"/>
      <c r="CF3526"/>
      <c r="CG3526"/>
      <c r="CH3526"/>
      <c r="CI3526"/>
      <c r="CU3526" s="42">
        <v>3521</v>
      </c>
      <c r="CV3526" s="115">
        <v>4</v>
      </c>
      <c r="CW3526" s="115">
        <v>0.11332468572476186</v>
      </c>
      <c r="CX3526" s="115" t="e">
        <v>#N/A</v>
      </c>
      <c r="CY3526" s="115" t="e">
        <v>#N/A</v>
      </c>
      <c r="CZ3526" s="137" t="e">
        <v>#N/A</v>
      </c>
      <c r="DA3526">
        <v>0.11332468572476186</v>
      </c>
      <c r="DB3526" t="str">
        <v/>
      </c>
    </row>
    <row r="3527" spans="83:106" x14ac:dyDescent="0.2">
      <c r="CE3527"/>
      <c r="CF3527"/>
      <c r="CG3527"/>
      <c r="CH3527"/>
      <c r="CI3527"/>
      <c r="CU3527" s="42">
        <v>3522</v>
      </c>
      <c r="CV3527" s="115">
        <v>4</v>
      </c>
      <c r="CW3527" s="115">
        <v>0.11332468572476186</v>
      </c>
      <c r="CX3527" s="115" t="e">
        <v>#N/A</v>
      </c>
      <c r="CY3527" s="115" t="e">
        <v>#N/A</v>
      </c>
      <c r="CZ3527" s="137" t="e">
        <v>#N/A</v>
      </c>
      <c r="DA3527">
        <v>0.11332468572476186</v>
      </c>
      <c r="DB3527" t="str">
        <v/>
      </c>
    </row>
    <row r="3528" spans="83:106" x14ac:dyDescent="0.2">
      <c r="CE3528"/>
      <c r="CF3528"/>
      <c r="CG3528"/>
      <c r="CH3528"/>
      <c r="CI3528"/>
      <c r="CU3528" s="42">
        <v>3523</v>
      </c>
      <c r="CV3528" s="115">
        <v>4</v>
      </c>
      <c r="CW3528" s="115">
        <v>0.11332468572476186</v>
      </c>
      <c r="CX3528" s="115" t="e">
        <v>#N/A</v>
      </c>
      <c r="CY3528" s="115" t="e">
        <v>#N/A</v>
      </c>
      <c r="CZ3528" s="137" t="e">
        <v>#N/A</v>
      </c>
      <c r="DA3528">
        <v>0.11332468572476186</v>
      </c>
      <c r="DB3528" t="str">
        <v/>
      </c>
    </row>
    <row r="3529" spans="83:106" x14ac:dyDescent="0.2">
      <c r="CE3529"/>
      <c r="CF3529"/>
      <c r="CG3529"/>
      <c r="CH3529"/>
      <c r="CI3529"/>
      <c r="CU3529" s="42">
        <v>3524</v>
      </c>
      <c r="CV3529" s="115">
        <v>4</v>
      </c>
      <c r="CW3529" s="115">
        <v>0.11332468572476186</v>
      </c>
      <c r="CX3529" s="115" t="e">
        <v>#N/A</v>
      </c>
      <c r="CY3529" s="115" t="e">
        <v>#N/A</v>
      </c>
      <c r="CZ3529" s="137" t="e">
        <v>#N/A</v>
      </c>
      <c r="DA3529">
        <v>0.11332468572476186</v>
      </c>
      <c r="DB3529" t="str">
        <v/>
      </c>
    </row>
    <row r="3530" spans="83:106" x14ac:dyDescent="0.2">
      <c r="CE3530"/>
      <c r="CF3530"/>
      <c r="CG3530"/>
      <c r="CH3530"/>
      <c r="CI3530"/>
      <c r="CU3530" s="42">
        <v>3525</v>
      </c>
      <c r="CV3530" s="115">
        <v>4</v>
      </c>
      <c r="CW3530" s="115">
        <v>0.11332468572476186</v>
      </c>
      <c r="CX3530" s="115" t="e">
        <v>#N/A</v>
      </c>
      <c r="CY3530" s="115" t="e">
        <v>#N/A</v>
      </c>
      <c r="CZ3530" s="137" t="e">
        <v>#N/A</v>
      </c>
      <c r="DA3530">
        <v>0.11332468572476186</v>
      </c>
      <c r="DB3530" t="str">
        <v/>
      </c>
    </row>
    <row r="3531" spans="83:106" x14ac:dyDescent="0.2">
      <c r="CE3531"/>
      <c r="CF3531"/>
      <c r="CG3531"/>
      <c r="CH3531"/>
      <c r="CI3531"/>
      <c r="CU3531" s="42">
        <v>3526</v>
      </c>
      <c r="CV3531" s="115">
        <v>4</v>
      </c>
      <c r="CW3531" s="115">
        <v>0.11332468572476186</v>
      </c>
      <c r="CX3531" s="115" t="e">
        <v>#N/A</v>
      </c>
      <c r="CY3531" s="115" t="e">
        <v>#N/A</v>
      </c>
      <c r="CZ3531" s="137" t="e">
        <v>#N/A</v>
      </c>
      <c r="DA3531">
        <v>0.11332468572476186</v>
      </c>
      <c r="DB3531" t="str">
        <v/>
      </c>
    </row>
    <row r="3532" spans="83:106" x14ac:dyDescent="0.2">
      <c r="CE3532"/>
      <c r="CF3532"/>
      <c r="CG3532"/>
      <c r="CH3532"/>
      <c r="CI3532"/>
      <c r="CU3532" s="42">
        <v>3527</v>
      </c>
      <c r="CV3532" s="115">
        <v>4</v>
      </c>
      <c r="CW3532" s="115">
        <v>0.11332468572476186</v>
      </c>
      <c r="CX3532" s="115" t="e">
        <v>#N/A</v>
      </c>
      <c r="CY3532" s="115" t="e">
        <v>#N/A</v>
      </c>
      <c r="CZ3532" s="137" t="e">
        <v>#N/A</v>
      </c>
      <c r="DA3532">
        <v>0.11332468572476186</v>
      </c>
      <c r="DB3532" t="str">
        <v/>
      </c>
    </row>
    <row r="3533" spans="83:106" x14ac:dyDescent="0.2">
      <c r="CE3533"/>
      <c r="CF3533"/>
      <c r="CG3533"/>
      <c r="CH3533"/>
      <c r="CI3533"/>
      <c r="CU3533" s="42">
        <v>3528</v>
      </c>
      <c r="CV3533" s="115">
        <v>4</v>
      </c>
      <c r="CW3533" s="115">
        <v>0.11332468572476186</v>
      </c>
      <c r="CX3533" s="115" t="e">
        <v>#N/A</v>
      </c>
      <c r="CY3533" s="115" t="e">
        <v>#N/A</v>
      </c>
      <c r="CZ3533" s="137" t="e">
        <v>#N/A</v>
      </c>
      <c r="DA3533">
        <v>0.11332468572476186</v>
      </c>
      <c r="DB3533" t="str">
        <v/>
      </c>
    </row>
    <row r="3534" spans="83:106" x14ac:dyDescent="0.2">
      <c r="CE3534"/>
      <c r="CF3534"/>
      <c r="CG3534"/>
      <c r="CH3534"/>
      <c r="CI3534"/>
      <c r="CU3534" s="42">
        <v>3529</v>
      </c>
      <c r="CV3534" s="115">
        <v>4</v>
      </c>
      <c r="CW3534" s="115">
        <v>0.11332468572476186</v>
      </c>
      <c r="CX3534" s="115" t="e">
        <v>#N/A</v>
      </c>
      <c r="CY3534" s="115" t="e">
        <v>#N/A</v>
      </c>
      <c r="CZ3534" s="137" t="e">
        <v>#N/A</v>
      </c>
      <c r="DA3534">
        <v>0.11332468572476186</v>
      </c>
      <c r="DB3534" t="str">
        <v/>
      </c>
    </row>
    <row r="3535" spans="83:106" x14ac:dyDescent="0.2">
      <c r="CE3535"/>
      <c r="CF3535"/>
      <c r="CG3535"/>
      <c r="CH3535"/>
      <c r="CI3535"/>
      <c r="CU3535" s="42">
        <v>3530</v>
      </c>
      <c r="CV3535" s="115">
        <v>4</v>
      </c>
      <c r="CW3535" s="115">
        <v>0.11332468572476186</v>
      </c>
      <c r="CX3535" s="115" t="e">
        <v>#N/A</v>
      </c>
      <c r="CY3535" s="115" t="e">
        <v>#N/A</v>
      </c>
      <c r="CZ3535" s="137" t="e">
        <v>#N/A</v>
      </c>
      <c r="DA3535">
        <v>0.11332468572476186</v>
      </c>
      <c r="DB3535" t="str">
        <v/>
      </c>
    </row>
    <row r="3536" spans="83:106" x14ac:dyDescent="0.2">
      <c r="CE3536"/>
      <c r="CF3536"/>
      <c r="CG3536"/>
      <c r="CH3536"/>
      <c r="CI3536"/>
      <c r="CU3536" s="42">
        <v>3531</v>
      </c>
      <c r="CV3536" s="115">
        <v>4</v>
      </c>
      <c r="CW3536" s="115">
        <v>0.11332468572476186</v>
      </c>
      <c r="CX3536" s="115" t="e">
        <v>#N/A</v>
      </c>
      <c r="CY3536" s="115" t="e">
        <v>#N/A</v>
      </c>
      <c r="CZ3536" s="137" t="e">
        <v>#N/A</v>
      </c>
      <c r="DA3536">
        <v>0.11332468572476186</v>
      </c>
      <c r="DB3536" t="str">
        <v/>
      </c>
    </row>
    <row r="3537" spans="83:106" x14ac:dyDescent="0.2">
      <c r="CE3537"/>
      <c r="CF3537"/>
      <c r="CG3537"/>
      <c r="CH3537"/>
      <c r="CI3537"/>
      <c r="CU3537" s="42">
        <v>3532</v>
      </c>
      <c r="CV3537" s="115">
        <v>4</v>
      </c>
      <c r="CW3537" s="115">
        <v>0.11332468572476186</v>
      </c>
      <c r="CX3537" s="115" t="e">
        <v>#N/A</v>
      </c>
      <c r="CY3537" s="115" t="e">
        <v>#N/A</v>
      </c>
      <c r="CZ3537" s="137" t="e">
        <v>#N/A</v>
      </c>
      <c r="DA3537">
        <v>0.11332468572476186</v>
      </c>
      <c r="DB3537" t="str">
        <v/>
      </c>
    </row>
    <row r="3538" spans="83:106" x14ac:dyDescent="0.2">
      <c r="CE3538"/>
      <c r="CF3538"/>
      <c r="CG3538"/>
      <c r="CH3538"/>
      <c r="CI3538"/>
      <c r="CU3538" s="42">
        <v>3533</v>
      </c>
      <c r="CV3538" s="115">
        <v>4</v>
      </c>
      <c r="CW3538" s="115">
        <v>0.11332468572476186</v>
      </c>
      <c r="CX3538" s="115" t="e">
        <v>#N/A</v>
      </c>
      <c r="CY3538" s="115" t="e">
        <v>#N/A</v>
      </c>
      <c r="CZ3538" s="137" t="e">
        <v>#N/A</v>
      </c>
      <c r="DA3538">
        <v>0.11332468572476186</v>
      </c>
      <c r="DB3538" t="str">
        <v/>
      </c>
    </row>
    <row r="3539" spans="83:106" x14ac:dyDescent="0.2">
      <c r="CE3539"/>
      <c r="CF3539"/>
      <c r="CG3539"/>
      <c r="CH3539"/>
      <c r="CI3539"/>
      <c r="CU3539" s="42">
        <v>3534</v>
      </c>
      <c r="CV3539" s="115">
        <v>4</v>
      </c>
      <c r="CW3539" s="115">
        <v>0.11332468572476186</v>
      </c>
      <c r="CX3539" s="115" t="e">
        <v>#N/A</v>
      </c>
      <c r="CY3539" s="115" t="e">
        <v>#N/A</v>
      </c>
      <c r="CZ3539" s="137" t="e">
        <v>#N/A</v>
      </c>
      <c r="DA3539">
        <v>0.11332468572476186</v>
      </c>
      <c r="DB3539" t="str">
        <v/>
      </c>
    </row>
    <row r="3540" spans="83:106" x14ac:dyDescent="0.2">
      <c r="CE3540"/>
      <c r="CF3540"/>
      <c r="CG3540"/>
      <c r="CH3540"/>
      <c r="CI3540"/>
      <c r="CU3540" s="42">
        <v>3535</v>
      </c>
      <c r="CV3540" s="115">
        <v>4</v>
      </c>
      <c r="CW3540" s="115">
        <v>0.11332468572476186</v>
      </c>
      <c r="CX3540" s="115" t="e">
        <v>#N/A</v>
      </c>
      <c r="CY3540" s="115" t="e">
        <v>#N/A</v>
      </c>
      <c r="CZ3540" s="137" t="e">
        <v>#N/A</v>
      </c>
      <c r="DA3540">
        <v>0.11332468572476186</v>
      </c>
      <c r="DB3540" t="str">
        <v/>
      </c>
    </row>
    <row r="3541" spans="83:106" x14ac:dyDescent="0.2">
      <c r="CE3541"/>
      <c r="CF3541"/>
      <c r="CG3541"/>
      <c r="CH3541"/>
      <c r="CI3541"/>
      <c r="CU3541" s="42">
        <v>3536</v>
      </c>
      <c r="CV3541" s="115">
        <v>4</v>
      </c>
      <c r="CW3541" s="115">
        <v>0.11332468572476186</v>
      </c>
      <c r="CX3541" s="115" t="e">
        <v>#N/A</v>
      </c>
      <c r="CY3541" s="115" t="e">
        <v>#N/A</v>
      </c>
      <c r="CZ3541" s="137" t="e">
        <v>#N/A</v>
      </c>
      <c r="DA3541">
        <v>0.11332468572476186</v>
      </c>
      <c r="DB3541" t="str">
        <v/>
      </c>
    </row>
    <row r="3542" spans="83:106" x14ac:dyDescent="0.2">
      <c r="CE3542"/>
      <c r="CF3542"/>
      <c r="CG3542"/>
      <c r="CH3542"/>
      <c r="CI3542"/>
      <c r="CU3542" s="42">
        <v>3537</v>
      </c>
      <c r="CV3542" s="115">
        <v>4</v>
      </c>
      <c r="CW3542" s="115">
        <v>0.11332468572476186</v>
      </c>
      <c r="CX3542" s="115" t="e">
        <v>#N/A</v>
      </c>
      <c r="CY3542" s="115" t="e">
        <v>#N/A</v>
      </c>
      <c r="CZ3542" s="137" t="e">
        <v>#N/A</v>
      </c>
      <c r="DA3542">
        <v>0.11332468572476186</v>
      </c>
      <c r="DB3542" t="str">
        <v/>
      </c>
    </row>
    <row r="3543" spans="83:106" x14ac:dyDescent="0.2">
      <c r="CE3543"/>
      <c r="CF3543"/>
      <c r="CG3543"/>
      <c r="CH3543"/>
      <c r="CI3543"/>
      <c r="CU3543" s="42">
        <v>3538</v>
      </c>
      <c r="CV3543" s="115">
        <v>4</v>
      </c>
      <c r="CW3543" s="115">
        <v>0.11332468572476186</v>
      </c>
      <c r="CX3543" s="115" t="e">
        <v>#N/A</v>
      </c>
      <c r="CY3543" s="115" t="e">
        <v>#N/A</v>
      </c>
      <c r="CZ3543" s="137" t="e">
        <v>#N/A</v>
      </c>
      <c r="DA3543">
        <v>0.11332468572476186</v>
      </c>
      <c r="DB3543" t="str">
        <v/>
      </c>
    </row>
    <row r="3544" spans="83:106" x14ac:dyDescent="0.2">
      <c r="CE3544"/>
      <c r="CF3544"/>
      <c r="CG3544"/>
      <c r="CH3544"/>
      <c r="CI3544"/>
      <c r="CU3544" s="42">
        <v>3539</v>
      </c>
      <c r="CV3544" s="115">
        <v>4</v>
      </c>
      <c r="CW3544" s="115">
        <v>0.11332468572476186</v>
      </c>
      <c r="CX3544" s="115" t="e">
        <v>#N/A</v>
      </c>
      <c r="CY3544" s="115" t="e">
        <v>#N/A</v>
      </c>
      <c r="CZ3544" s="137" t="e">
        <v>#N/A</v>
      </c>
      <c r="DA3544">
        <v>0.11332468572476186</v>
      </c>
      <c r="DB3544" t="str">
        <v/>
      </c>
    </row>
    <row r="3545" spans="83:106" x14ac:dyDescent="0.2">
      <c r="CE3545"/>
      <c r="CF3545"/>
      <c r="CG3545"/>
      <c r="CH3545"/>
      <c r="CI3545"/>
      <c r="CU3545" s="42">
        <v>3540</v>
      </c>
      <c r="CV3545" s="115">
        <v>4</v>
      </c>
      <c r="CW3545" s="115">
        <v>0.11332468572476186</v>
      </c>
      <c r="CX3545" s="115" t="e">
        <v>#N/A</v>
      </c>
      <c r="CY3545" s="115" t="e">
        <v>#N/A</v>
      </c>
      <c r="CZ3545" s="137" t="e">
        <v>#N/A</v>
      </c>
      <c r="DA3545">
        <v>0.11332468572476186</v>
      </c>
      <c r="DB3545" t="str">
        <v/>
      </c>
    </row>
    <row r="3546" spans="83:106" x14ac:dyDescent="0.2">
      <c r="CE3546"/>
      <c r="CF3546"/>
      <c r="CG3546"/>
      <c r="CH3546"/>
      <c r="CI3546"/>
      <c r="CU3546" s="42">
        <v>3541</v>
      </c>
      <c r="CV3546" s="115">
        <v>4</v>
      </c>
      <c r="CW3546" s="115">
        <v>0.11332468572476186</v>
      </c>
      <c r="CX3546" s="115" t="e">
        <v>#N/A</v>
      </c>
      <c r="CY3546" s="115" t="e">
        <v>#N/A</v>
      </c>
      <c r="CZ3546" s="137" t="e">
        <v>#N/A</v>
      </c>
      <c r="DA3546">
        <v>0.11332468572476186</v>
      </c>
      <c r="DB3546" t="str">
        <v/>
      </c>
    </row>
    <row r="3547" spans="83:106" x14ac:dyDescent="0.2">
      <c r="CE3547"/>
      <c r="CF3547"/>
      <c r="CG3547"/>
      <c r="CH3547"/>
      <c r="CI3547"/>
      <c r="CU3547" s="42">
        <v>3542</v>
      </c>
      <c r="CV3547" s="115">
        <v>4</v>
      </c>
      <c r="CW3547" s="115">
        <v>0.11332468572476186</v>
      </c>
      <c r="CX3547" s="115" t="e">
        <v>#N/A</v>
      </c>
      <c r="CY3547" s="115" t="e">
        <v>#N/A</v>
      </c>
      <c r="CZ3547" s="137" t="e">
        <v>#N/A</v>
      </c>
      <c r="DA3547">
        <v>0.11332468572476186</v>
      </c>
      <c r="DB3547" t="str">
        <v/>
      </c>
    </row>
    <row r="3548" spans="83:106" x14ac:dyDescent="0.2">
      <c r="CE3548"/>
      <c r="CF3548"/>
      <c r="CG3548"/>
      <c r="CH3548"/>
      <c r="CI3548"/>
      <c r="CU3548" s="42">
        <v>3543</v>
      </c>
      <c r="CV3548" s="115">
        <v>4</v>
      </c>
      <c r="CW3548" s="115">
        <v>0.11332468572476186</v>
      </c>
      <c r="CX3548" s="115" t="e">
        <v>#N/A</v>
      </c>
      <c r="CY3548" s="115" t="e">
        <v>#N/A</v>
      </c>
      <c r="CZ3548" s="137" t="e">
        <v>#N/A</v>
      </c>
      <c r="DA3548">
        <v>0.11332468572476186</v>
      </c>
      <c r="DB3548" t="str">
        <v/>
      </c>
    </row>
    <row r="3549" spans="83:106" x14ac:dyDescent="0.2">
      <c r="CE3549"/>
      <c r="CF3549"/>
      <c r="CG3549"/>
      <c r="CH3549"/>
      <c r="CI3549"/>
      <c r="CU3549" s="42">
        <v>3544</v>
      </c>
      <c r="CV3549" s="115">
        <v>4</v>
      </c>
      <c r="CW3549" s="115">
        <v>0.11332468572476186</v>
      </c>
      <c r="CX3549" s="115" t="e">
        <v>#N/A</v>
      </c>
      <c r="CY3549" s="115" t="e">
        <v>#N/A</v>
      </c>
      <c r="CZ3549" s="137" t="e">
        <v>#N/A</v>
      </c>
      <c r="DA3549">
        <v>0.11332468572476186</v>
      </c>
      <c r="DB3549" t="str">
        <v/>
      </c>
    </row>
    <row r="3550" spans="83:106" x14ac:dyDescent="0.2">
      <c r="CE3550"/>
      <c r="CF3550"/>
      <c r="CG3550"/>
      <c r="CH3550"/>
      <c r="CI3550"/>
      <c r="CU3550" s="42">
        <v>3545</v>
      </c>
      <c r="CV3550" s="115">
        <v>4</v>
      </c>
      <c r="CW3550" s="115">
        <v>0.11332468572476186</v>
      </c>
      <c r="CX3550" s="115" t="e">
        <v>#N/A</v>
      </c>
      <c r="CY3550" s="115" t="e">
        <v>#N/A</v>
      </c>
      <c r="CZ3550" s="137" t="e">
        <v>#N/A</v>
      </c>
      <c r="DA3550">
        <v>0.11332468572476186</v>
      </c>
      <c r="DB3550" t="str">
        <v/>
      </c>
    </row>
    <row r="3551" spans="83:106" x14ac:dyDescent="0.2">
      <c r="CE3551"/>
      <c r="CF3551"/>
      <c r="CG3551"/>
      <c r="CH3551"/>
      <c r="CI3551"/>
      <c r="CU3551" s="42">
        <v>3546</v>
      </c>
      <c r="CV3551" s="115">
        <v>4</v>
      </c>
      <c r="CW3551" s="115">
        <v>0.11332468572476186</v>
      </c>
      <c r="CX3551" s="115" t="e">
        <v>#N/A</v>
      </c>
      <c r="CY3551" s="115" t="e">
        <v>#N/A</v>
      </c>
      <c r="CZ3551" s="137" t="e">
        <v>#N/A</v>
      </c>
      <c r="DA3551">
        <v>0.11332468572476186</v>
      </c>
      <c r="DB3551" t="str">
        <v/>
      </c>
    </row>
    <row r="3552" spans="83:106" x14ac:dyDescent="0.2">
      <c r="CE3552"/>
      <c r="CF3552"/>
      <c r="CG3552"/>
      <c r="CH3552"/>
      <c r="CI3552"/>
      <c r="CU3552" s="42">
        <v>3547</v>
      </c>
      <c r="CV3552" s="115">
        <v>4</v>
      </c>
      <c r="CW3552" s="115">
        <v>0.11332468572476186</v>
      </c>
      <c r="CX3552" s="115" t="e">
        <v>#N/A</v>
      </c>
      <c r="CY3552" s="115" t="e">
        <v>#N/A</v>
      </c>
      <c r="CZ3552" s="137" t="e">
        <v>#N/A</v>
      </c>
      <c r="DA3552">
        <v>0.11332468572476186</v>
      </c>
      <c r="DB3552" t="str">
        <v/>
      </c>
    </row>
    <row r="3553" spans="83:106" x14ac:dyDescent="0.2">
      <c r="CE3553"/>
      <c r="CF3553"/>
      <c r="CG3553"/>
      <c r="CH3553"/>
      <c r="CI3553"/>
      <c r="CU3553" s="42">
        <v>3548</v>
      </c>
      <c r="CV3553" s="115">
        <v>4</v>
      </c>
      <c r="CW3553" s="115">
        <v>0.11332468572476186</v>
      </c>
      <c r="CX3553" s="115" t="e">
        <v>#N/A</v>
      </c>
      <c r="CY3553" s="115" t="e">
        <v>#N/A</v>
      </c>
      <c r="CZ3553" s="137" t="e">
        <v>#N/A</v>
      </c>
      <c r="DA3553">
        <v>0.11332468572476186</v>
      </c>
      <c r="DB3553" t="str">
        <v/>
      </c>
    </row>
    <row r="3554" spans="83:106" x14ac:dyDescent="0.2">
      <c r="CE3554"/>
      <c r="CF3554"/>
      <c r="CG3554"/>
      <c r="CH3554"/>
      <c r="CI3554"/>
      <c r="CU3554" s="42">
        <v>3549</v>
      </c>
      <c r="CV3554" s="115">
        <v>4</v>
      </c>
      <c r="CW3554" s="115">
        <v>0.11332468572476186</v>
      </c>
      <c r="CX3554" s="115" t="e">
        <v>#N/A</v>
      </c>
      <c r="CY3554" s="115" t="e">
        <v>#N/A</v>
      </c>
      <c r="CZ3554" s="137" t="e">
        <v>#N/A</v>
      </c>
      <c r="DA3554">
        <v>0.11332468572476186</v>
      </c>
      <c r="DB3554" t="str">
        <v/>
      </c>
    </row>
    <row r="3555" spans="83:106" x14ac:dyDescent="0.2">
      <c r="CE3555"/>
      <c r="CF3555"/>
      <c r="CG3555"/>
      <c r="CH3555"/>
      <c r="CI3555"/>
      <c r="CU3555" s="42">
        <v>3550</v>
      </c>
      <c r="CV3555" s="115">
        <v>4</v>
      </c>
      <c r="CW3555" s="115">
        <v>0.11332468572476186</v>
      </c>
      <c r="CX3555" s="115" t="e">
        <v>#N/A</v>
      </c>
      <c r="CY3555" s="115" t="e">
        <v>#N/A</v>
      </c>
      <c r="CZ3555" s="137" t="e">
        <v>#N/A</v>
      </c>
      <c r="DA3555">
        <v>0.11332468572476186</v>
      </c>
      <c r="DB3555" t="str">
        <v/>
      </c>
    </row>
    <row r="3556" spans="83:106" x14ac:dyDescent="0.2">
      <c r="CE3556"/>
      <c r="CF3556"/>
      <c r="CG3556"/>
      <c r="CH3556"/>
      <c r="CI3556"/>
      <c r="CU3556" s="42">
        <v>3551</v>
      </c>
      <c r="CV3556" s="115">
        <v>4</v>
      </c>
      <c r="CW3556" s="115">
        <v>0.11332468572476186</v>
      </c>
      <c r="CX3556" s="115" t="e">
        <v>#N/A</v>
      </c>
      <c r="CY3556" s="115" t="e">
        <v>#N/A</v>
      </c>
      <c r="CZ3556" s="137" t="e">
        <v>#N/A</v>
      </c>
      <c r="DA3556">
        <v>0.11332468572476186</v>
      </c>
      <c r="DB3556" t="str">
        <v/>
      </c>
    </row>
    <row r="3557" spans="83:106" x14ac:dyDescent="0.2">
      <c r="CE3557"/>
      <c r="CF3557"/>
      <c r="CG3557"/>
      <c r="CH3557"/>
      <c r="CI3557"/>
      <c r="CU3557" s="42">
        <v>3552</v>
      </c>
      <c r="CV3557" s="115">
        <v>4</v>
      </c>
      <c r="CW3557" s="115">
        <v>0.11332468572476186</v>
      </c>
      <c r="CX3557" s="115" t="e">
        <v>#N/A</v>
      </c>
      <c r="CY3557" s="115" t="e">
        <v>#N/A</v>
      </c>
      <c r="CZ3557" s="137" t="e">
        <v>#N/A</v>
      </c>
      <c r="DA3557">
        <v>0.11332468572476186</v>
      </c>
      <c r="DB3557" t="str">
        <v/>
      </c>
    </row>
    <row r="3558" spans="83:106" x14ac:dyDescent="0.2">
      <c r="CE3558"/>
      <c r="CF3558"/>
      <c r="CG3558"/>
      <c r="CH3558"/>
      <c r="CI3558"/>
      <c r="CU3558" s="42">
        <v>3553</v>
      </c>
      <c r="CV3558" s="115">
        <v>4</v>
      </c>
      <c r="CW3558" s="115">
        <v>0.11332468572476186</v>
      </c>
      <c r="CX3558" s="115" t="e">
        <v>#N/A</v>
      </c>
      <c r="CY3558" s="115" t="e">
        <v>#N/A</v>
      </c>
      <c r="CZ3558" s="137" t="e">
        <v>#N/A</v>
      </c>
      <c r="DA3558">
        <v>0.11332468572476186</v>
      </c>
      <c r="DB3558" t="str">
        <v/>
      </c>
    </row>
    <row r="3559" spans="83:106" x14ac:dyDescent="0.2">
      <c r="CE3559"/>
      <c r="CF3559"/>
      <c r="CG3559"/>
      <c r="CH3559"/>
      <c r="CI3559"/>
      <c r="CU3559" s="42">
        <v>3554</v>
      </c>
      <c r="CV3559" s="115">
        <v>4</v>
      </c>
      <c r="CW3559" s="115">
        <v>0.11332468572476186</v>
      </c>
      <c r="CX3559" s="115" t="e">
        <v>#N/A</v>
      </c>
      <c r="CY3559" s="115" t="e">
        <v>#N/A</v>
      </c>
      <c r="CZ3559" s="137" t="e">
        <v>#N/A</v>
      </c>
      <c r="DA3559">
        <v>0.11332468572476186</v>
      </c>
      <c r="DB3559" t="str">
        <v/>
      </c>
    </row>
    <row r="3560" spans="83:106" x14ac:dyDescent="0.2">
      <c r="CE3560"/>
      <c r="CF3560"/>
      <c r="CG3560"/>
      <c r="CH3560"/>
      <c r="CI3560"/>
      <c r="CU3560" s="42">
        <v>3555</v>
      </c>
      <c r="CV3560" s="115">
        <v>4</v>
      </c>
      <c r="CW3560" s="115">
        <v>0.11332468572476186</v>
      </c>
      <c r="CX3560" s="115" t="e">
        <v>#N/A</v>
      </c>
      <c r="CY3560" s="115" t="e">
        <v>#N/A</v>
      </c>
      <c r="CZ3560" s="137" t="e">
        <v>#N/A</v>
      </c>
      <c r="DA3560">
        <v>0.11332468572476186</v>
      </c>
      <c r="DB3560" t="str">
        <v/>
      </c>
    </row>
    <row r="3561" spans="83:106" x14ac:dyDescent="0.2">
      <c r="CE3561"/>
      <c r="CF3561"/>
      <c r="CG3561"/>
      <c r="CH3561"/>
      <c r="CI3561"/>
      <c r="CU3561" s="42">
        <v>3556</v>
      </c>
      <c r="CV3561" s="115">
        <v>4</v>
      </c>
      <c r="CW3561" s="115">
        <v>0.11332468572476186</v>
      </c>
      <c r="CX3561" s="115" t="e">
        <v>#N/A</v>
      </c>
      <c r="CY3561" s="115" t="e">
        <v>#N/A</v>
      </c>
      <c r="CZ3561" s="137" t="e">
        <v>#N/A</v>
      </c>
      <c r="DA3561">
        <v>0.11332468572476186</v>
      </c>
      <c r="DB3561" t="str">
        <v/>
      </c>
    </row>
    <row r="3562" spans="83:106" x14ac:dyDescent="0.2">
      <c r="CE3562"/>
      <c r="CF3562"/>
      <c r="CG3562"/>
      <c r="CH3562"/>
      <c r="CI3562"/>
      <c r="CU3562" s="42">
        <v>3557</v>
      </c>
      <c r="CV3562" s="115">
        <v>4</v>
      </c>
      <c r="CW3562" s="115">
        <v>0.11332468572476186</v>
      </c>
      <c r="CX3562" s="115" t="e">
        <v>#N/A</v>
      </c>
      <c r="CY3562" s="115" t="e">
        <v>#N/A</v>
      </c>
      <c r="CZ3562" s="137" t="e">
        <v>#N/A</v>
      </c>
      <c r="DA3562">
        <v>0.11332468572476186</v>
      </c>
      <c r="DB3562" t="str">
        <v/>
      </c>
    </row>
    <row r="3563" spans="83:106" x14ac:dyDescent="0.2">
      <c r="CE3563"/>
      <c r="CF3563"/>
      <c r="CG3563"/>
      <c r="CH3563"/>
      <c r="CI3563"/>
      <c r="CU3563" s="42">
        <v>3558</v>
      </c>
      <c r="CV3563" s="115">
        <v>4</v>
      </c>
      <c r="CW3563" s="115">
        <v>0.11332468572476186</v>
      </c>
      <c r="CX3563" s="115" t="e">
        <v>#N/A</v>
      </c>
      <c r="CY3563" s="115" t="e">
        <v>#N/A</v>
      </c>
      <c r="CZ3563" s="137" t="e">
        <v>#N/A</v>
      </c>
      <c r="DA3563">
        <v>0.11332468572476186</v>
      </c>
      <c r="DB3563" t="str">
        <v/>
      </c>
    </row>
    <row r="3564" spans="83:106" x14ac:dyDescent="0.2">
      <c r="CE3564"/>
      <c r="CF3564"/>
      <c r="CG3564"/>
      <c r="CH3564"/>
      <c r="CI3564"/>
      <c r="CU3564" s="42">
        <v>3559</v>
      </c>
      <c r="CV3564" s="115">
        <v>4</v>
      </c>
      <c r="CW3564" s="115">
        <v>0.11332468572476186</v>
      </c>
      <c r="CX3564" s="115" t="e">
        <v>#N/A</v>
      </c>
      <c r="CY3564" s="115" t="e">
        <v>#N/A</v>
      </c>
      <c r="CZ3564" s="137" t="e">
        <v>#N/A</v>
      </c>
      <c r="DA3564">
        <v>0.11332468572476186</v>
      </c>
      <c r="DB3564" t="str">
        <v/>
      </c>
    </row>
    <row r="3565" spans="83:106" x14ac:dyDescent="0.2">
      <c r="CE3565"/>
      <c r="CF3565"/>
      <c r="CG3565"/>
      <c r="CH3565"/>
      <c r="CI3565"/>
      <c r="CU3565" s="42">
        <v>3560</v>
      </c>
      <c r="CV3565" s="115">
        <v>4</v>
      </c>
      <c r="CW3565" s="115">
        <v>0.11332468572476186</v>
      </c>
      <c r="CX3565" s="115" t="e">
        <v>#N/A</v>
      </c>
      <c r="CY3565" s="115" t="e">
        <v>#N/A</v>
      </c>
      <c r="CZ3565" s="137" t="e">
        <v>#N/A</v>
      </c>
      <c r="DA3565">
        <v>0.11332468572476186</v>
      </c>
      <c r="DB3565" t="str">
        <v/>
      </c>
    </row>
    <row r="3566" spans="83:106" x14ac:dyDescent="0.2">
      <c r="CE3566"/>
      <c r="CF3566"/>
      <c r="CG3566"/>
      <c r="CH3566"/>
      <c r="CI3566"/>
      <c r="CU3566" s="42">
        <v>3561</v>
      </c>
      <c r="CV3566" s="115">
        <v>4</v>
      </c>
      <c r="CW3566" s="115">
        <v>0.11332468572476186</v>
      </c>
      <c r="CX3566" s="115" t="e">
        <v>#N/A</v>
      </c>
      <c r="CY3566" s="115" t="e">
        <v>#N/A</v>
      </c>
      <c r="CZ3566" s="137" t="e">
        <v>#N/A</v>
      </c>
      <c r="DA3566">
        <v>0.11332468572476186</v>
      </c>
      <c r="DB3566" t="str">
        <v/>
      </c>
    </row>
    <row r="3567" spans="83:106" x14ac:dyDescent="0.2">
      <c r="CE3567"/>
      <c r="CF3567"/>
      <c r="CG3567"/>
      <c r="CH3567"/>
      <c r="CI3567"/>
      <c r="CU3567" s="42">
        <v>3562</v>
      </c>
      <c r="CV3567" s="115">
        <v>4</v>
      </c>
      <c r="CW3567" s="115">
        <v>0.11332468572476186</v>
      </c>
      <c r="CX3567" s="115" t="e">
        <v>#N/A</v>
      </c>
      <c r="CY3567" s="115" t="e">
        <v>#N/A</v>
      </c>
      <c r="CZ3567" s="137" t="e">
        <v>#N/A</v>
      </c>
      <c r="DA3567">
        <v>0.11332468572476186</v>
      </c>
      <c r="DB3567" t="str">
        <v/>
      </c>
    </row>
    <row r="3568" spans="83:106" x14ac:dyDescent="0.2">
      <c r="CE3568"/>
      <c r="CF3568"/>
      <c r="CG3568"/>
      <c r="CH3568"/>
      <c r="CI3568"/>
      <c r="CU3568" s="42">
        <v>3563</v>
      </c>
      <c r="CV3568" s="115">
        <v>4</v>
      </c>
      <c r="CW3568" s="115">
        <v>0.11332468572476186</v>
      </c>
      <c r="CX3568" s="115" t="e">
        <v>#N/A</v>
      </c>
      <c r="CY3568" s="115" t="e">
        <v>#N/A</v>
      </c>
      <c r="CZ3568" s="137" t="e">
        <v>#N/A</v>
      </c>
      <c r="DA3568">
        <v>0.11332468572476186</v>
      </c>
      <c r="DB3568" t="str">
        <v/>
      </c>
    </row>
    <row r="3569" spans="83:106" x14ac:dyDescent="0.2">
      <c r="CE3569"/>
      <c r="CF3569"/>
      <c r="CG3569"/>
      <c r="CH3569"/>
      <c r="CI3569"/>
      <c r="CU3569" s="42">
        <v>3564</v>
      </c>
      <c r="CV3569" s="115">
        <v>4</v>
      </c>
      <c r="CW3569" s="115">
        <v>0.11332468572476186</v>
      </c>
      <c r="CX3569" s="115" t="e">
        <v>#N/A</v>
      </c>
      <c r="CY3569" s="115" t="e">
        <v>#N/A</v>
      </c>
      <c r="CZ3569" s="137" t="e">
        <v>#N/A</v>
      </c>
      <c r="DA3569">
        <v>0.11332468572476186</v>
      </c>
      <c r="DB3569" t="str">
        <v/>
      </c>
    </row>
    <row r="3570" spans="83:106" x14ac:dyDescent="0.2">
      <c r="CE3570"/>
      <c r="CF3570"/>
      <c r="CG3570"/>
      <c r="CH3570"/>
      <c r="CI3570"/>
      <c r="CU3570" s="42">
        <v>3565</v>
      </c>
      <c r="CV3570" s="115">
        <v>4</v>
      </c>
      <c r="CW3570" s="115">
        <v>0.11332468572476186</v>
      </c>
      <c r="CX3570" s="115" t="e">
        <v>#N/A</v>
      </c>
      <c r="CY3570" s="115" t="e">
        <v>#N/A</v>
      </c>
      <c r="CZ3570" s="137" t="e">
        <v>#N/A</v>
      </c>
      <c r="DA3570">
        <v>0.11332468572476186</v>
      </c>
      <c r="DB3570" t="str">
        <v/>
      </c>
    </row>
    <row r="3571" spans="83:106" x14ac:dyDescent="0.2">
      <c r="CE3571"/>
      <c r="CF3571"/>
      <c r="CG3571"/>
      <c r="CH3571"/>
      <c r="CI3571"/>
      <c r="CU3571" s="42">
        <v>3566</v>
      </c>
      <c r="CV3571" s="115">
        <v>4</v>
      </c>
      <c r="CW3571" s="115">
        <v>0.11332468572476186</v>
      </c>
      <c r="CX3571" s="115" t="e">
        <v>#N/A</v>
      </c>
      <c r="CY3571" s="115" t="e">
        <v>#N/A</v>
      </c>
      <c r="CZ3571" s="137" t="e">
        <v>#N/A</v>
      </c>
      <c r="DA3571">
        <v>0.11332468572476186</v>
      </c>
      <c r="DB3571" t="str">
        <v/>
      </c>
    </row>
    <row r="3572" spans="83:106" x14ac:dyDescent="0.2">
      <c r="CE3572"/>
      <c r="CF3572"/>
      <c r="CG3572"/>
      <c r="CH3572"/>
      <c r="CI3572"/>
      <c r="CU3572" s="42">
        <v>3567</v>
      </c>
      <c r="CV3572" s="115">
        <v>4</v>
      </c>
      <c r="CW3572" s="115">
        <v>0.11332468572476186</v>
      </c>
      <c r="CX3572" s="115" t="e">
        <v>#N/A</v>
      </c>
      <c r="CY3572" s="115" t="e">
        <v>#N/A</v>
      </c>
      <c r="CZ3572" s="137" t="e">
        <v>#N/A</v>
      </c>
      <c r="DA3572">
        <v>0.11332468572476186</v>
      </c>
      <c r="DB3572" t="str">
        <v/>
      </c>
    </row>
    <row r="3573" spans="83:106" x14ac:dyDescent="0.2">
      <c r="CE3573"/>
      <c r="CF3573"/>
      <c r="CG3573"/>
      <c r="CH3573"/>
      <c r="CI3573"/>
      <c r="CU3573" s="42">
        <v>3568</v>
      </c>
      <c r="CV3573" s="115">
        <v>4</v>
      </c>
      <c r="CW3573" s="115">
        <v>0.11332468572476186</v>
      </c>
      <c r="CX3573" s="115" t="e">
        <v>#N/A</v>
      </c>
      <c r="CY3573" s="115" t="e">
        <v>#N/A</v>
      </c>
      <c r="CZ3573" s="137" t="e">
        <v>#N/A</v>
      </c>
      <c r="DA3573">
        <v>0.11332468572476186</v>
      </c>
      <c r="DB3573" t="str">
        <v/>
      </c>
    </row>
    <row r="3574" spans="83:106" x14ac:dyDescent="0.2">
      <c r="CE3574"/>
      <c r="CF3574"/>
      <c r="CG3574"/>
      <c r="CH3574"/>
      <c r="CI3574"/>
      <c r="CU3574" s="42">
        <v>3569</v>
      </c>
      <c r="CV3574" s="115">
        <v>4</v>
      </c>
      <c r="CW3574" s="115">
        <v>0.11332468572476186</v>
      </c>
      <c r="CX3574" s="115" t="e">
        <v>#N/A</v>
      </c>
      <c r="CY3574" s="115" t="e">
        <v>#N/A</v>
      </c>
      <c r="CZ3574" s="137" t="e">
        <v>#N/A</v>
      </c>
      <c r="DA3574">
        <v>0.11332468572476186</v>
      </c>
      <c r="DB3574" t="str">
        <v/>
      </c>
    </row>
    <row r="3575" spans="83:106" x14ac:dyDescent="0.2">
      <c r="CE3575"/>
      <c r="CF3575"/>
      <c r="CG3575"/>
      <c r="CH3575"/>
      <c r="CI3575"/>
      <c r="CU3575" s="42">
        <v>3570</v>
      </c>
      <c r="CV3575" s="115">
        <v>4</v>
      </c>
      <c r="CW3575" s="115">
        <v>0.11332468572476186</v>
      </c>
      <c r="CX3575" s="115" t="e">
        <v>#N/A</v>
      </c>
      <c r="CY3575" s="115" t="e">
        <v>#N/A</v>
      </c>
      <c r="CZ3575" s="137" t="e">
        <v>#N/A</v>
      </c>
      <c r="DA3575">
        <v>0.11332468572476186</v>
      </c>
      <c r="DB3575" t="str">
        <v/>
      </c>
    </row>
    <row r="3576" spans="83:106" x14ac:dyDescent="0.2">
      <c r="CE3576"/>
      <c r="CF3576"/>
      <c r="CG3576"/>
      <c r="CH3576"/>
      <c r="CI3576"/>
      <c r="CU3576" s="42">
        <v>3571</v>
      </c>
      <c r="CV3576" s="115">
        <v>4</v>
      </c>
      <c r="CW3576" s="115">
        <v>0.11332468572476186</v>
      </c>
      <c r="CX3576" s="115" t="e">
        <v>#N/A</v>
      </c>
      <c r="CY3576" s="115" t="e">
        <v>#N/A</v>
      </c>
      <c r="CZ3576" s="137" t="e">
        <v>#N/A</v>
      </c>
      <c r="DA3576">
        <v>0.11332468572476186</v>
      </c>
      <c r="DB3576" t="str">
        <v/>
      </c>
    </row>
    <row r="3577" spans="83:106" x14ac:dyDescent="0.2">
      <c r="CE3577"/>
      <c r="CF3577"/>
      <c r="CG3577"/>
      <c r="CH3577"/>
      <c r="CI3577"/>
      <c r="CU3577" s="42">
        <v>3572</v>
      </c>
      <c r="CV3577" s="115">
        <v>4</v>
      </c>
      <c r="CW3577" s="115">
        <v>0.11332468572476186</v>
      </c>
      <c r="CX3577" s="115" t="e">
        <v>#N/A</v>
      </c>
      <c r="CY3577" s="115" t="e">
        <v>#N/A</v>
      </c>
      <c r="CZ3577" s="137" t="e">
        <v>#N/A</v>
      </c>
      <c r="DA3577">
        <v>0.11332468572476186</v>
      </c>
      <c r="DB3577" t="str">
        <v/>
      </c>
    </row>
    <row r="3578" spans="83:106" x14ac:dyDescent="0.2">
      <c r="CE3578"/>
      <c r="CF3578"/>
      <c r="CG3578"/>
      <c r="CH3578"/>
      <c r="CI3578"/>
      <c r="CU3578" s="42">
        <v>3573</v>
      </c>
      <c r="CV3578" s="115">
        <v>4</v>
      </c>
      <c r="CW3578" s="115">
        <v>0.11332468572476186</v>
      </c>
      <c r="CX3578" s="115" t="e">
        <v>#N/A</v>
      </c>
      <c r="CY3578" s="115" t="e">
        <v>#N/A</v>
      </c>
      <c r="CZ3578" s="137" t="e">
        <v>#N/A</v>
      </c>
      <c r="DA3578">
        <v>0.11332468572476186</v>
      </c>
      <c r="DB3578" t="str">
        <v/>
      </c>
    </row>
    <row r="3579" spans="83:106" x14ac:dyDescent="0.2">
      <c r="CE3579"/>
      <c r="CF3579"/>
      <c r="CG3579"/>
      <c r="CH3579"/>
      <c r="CI3579"/>
      <c r="CU3579" s="42">
        <v>3574</v>
      </c>
      <c r="CV3579" s="115">
        <v>4</v>
      </c>
      <c r="CW3579" s="115">
        <v>0.11332468572476186</v>
      </c>
      <c r="CX3579" s="115" t="e">
        <v>#N/A</v>
      </c>
      <c r="CY3579" s="115" t="e">
        <v>#N/A</v>
      </c>
      <c r="CZ3579" s="137" t="e">
        <v>#N/A</v>
      </c>
      <c r="DA3579">
        <v>0.11332468572476186</v>
      </c>
      <c r="DB3579" t="str">
        <v/>
      </c>
    </row>
    <row r="3580" spans="83:106" x14ac:dyDescent="0.2">
      <c r="CE3580"/>
      <c r="CF3580"/>
      <c r="CG3580"/>
      <c r="CH3580"/>
      <c r="CI3580"/>
      <c r="CU3580" s="42">
        <v>3575</v>
      </c>
      <c r="CV3580" s="115">
        <v>4</v>
      </c>
      <c r="CW3580" s="115">
        <v>0.11332468572476186</v>
      </c>
      <c r="CX3580" s="115" t="e">
        <v>#N/A</v>
      </c>
      <c r="CY3580" s="115" t="e">
        <v>#N/A</v>
      </c>
      <c r="CZ3580" s="137" t="e">
        <v>#N/A</v>
      </c>
      <c r="DA3580">
        <v>0.11332468572476186</v>
      </c>
      <c r="DB3580" t="str">
        <v/>
      </c>
    </row>
    <row r="3581" spans="83:106" x14ac:dyDescent="0.2">
      <c r="CE3581"/>
      <c r="CF3581"/>
      <c r="CG3581"/>
      <c r="CH3581"/>
      <c r="CI3581"/>
      <c r="CU3581" s="42">
        <v>3576</v>
      </c>
      <c r="CV3581" s="115">
        <v>4</v>
      </c>
      <c r="CW3581" s="115">
        <v>0.11332468572476186</v>
      </c>
      <c r="CX3581" s="115" t="e">
        <v>#N/A</v>
      </c>
      <c r="CY3581" s="115" t="e">
        <v>#N/A</v>
      </c>
      <c r="CZ3581" s="137" t="e">
        <v>#N/A</v>
      </c>
      <c r="DA3581">
        <v>0.11332468572476186</v>
      </c>
      <c r="DB3581" t="str">
        <v/>
      </c>
    </row>
    <row r="3582" spans="83:106" x14ac:dyDescent="0.2">
      <c r="CE3582"/>
      <c r="CF3582"/>
      <c r="CG3582"/>
      <c r="CH3582"/>
      <c r="CI3582"/>
      <c r="CU3582" s="42">
        <v>3577</v>
      </c>
      <c r="CV3582" s="115">
        <v>4</v>
      </c>
      <c r="CW3582" s="115">
        <v>0.11332468572476186</v>
      </c>
      <c r="CX3582" s="115" t="e">
        <v>#N/A</v>
      </c>
      <c r="CY3582" s="115" t="e">
        <v>#N/A</v>
      </c>
      <c r="CZ3582" s="137" t="e">
        <v>#N/A</v>
      </c>
      <c r="DA3582">
        <v>0.11332468572476186</v>
      </c>
      <c r="DB3582" t="str">
        <v/>
      </c>
    </row>
    <row r="3583" spans="83:106" x14ac:dyDescent="0.2">
      <c r="CE3583"/>
      <c r="CF3583"/>
      <c r="CG3583"/>
      <c r="CH3583"/>
      <c r="CI3583"/>
      <c r="CU3583" s="42">
        <v>3578</v>
      </c>
      <c r="CV3583" s="115">
        <v>4</v>
      </c>
      <c r="CW3583" s="115">
        <v>0.11332468572476186</v>
      </c>
      <c r="CX3583" s="115" t="e">
        <v>#N/A</v>
      </c>
      <c r="CY3583" s="115" t="e">
        <v>#N/A</v>
      </c>
      <c r="CZ3583" s="137" t="e">
        <v>#N/A</v>
      </c>
      <c r="DA3583">
        <v>0.11332468572476186</v>
      </c>
      <c r="DB3583" t="str">
        <v/>
      </c>
    </row>
    <row r="3584" spans="83:106" x14ac:dyDescent="0.2">
      <c r="CE3584"/>
      <c r="CF3584"/>
      <c r="CG3584"/>
      <c r="CH3584"/>
      <c r="CI3584"/>
      <c r="CU3584" s="42">
        <v>3579</v>
      </c>
      <c r="CV3584" s="115">
        <v>4</v>
      </c>
      <c r="CW3584" s="115">
        <v>0.11332468572476186</v>
      </c>
      <c r="CX3584" s="115" t="e">
        <v>#N/A</v>
      </c>
      <c r="CY3584" s="115" t="e">
        <v>#N/A</v>
      </c>
      <c r="CZ3584" s="137" t="e">
        <v>#N/A</v>
      </c>
      <c r="DA3584">
        <v>0.11332468572476186</v>
      </c>
      <c r="DB3584" t="str">
        <v/>
      </c>
    </row>
    <row r="3585" spans="83:106" x14ac:dyDescent="0.2">
      <c r="CE3585"/>
      <c r="CF3585"/>
      <c r="CG3585"/>
      <c r="CH3585"/>
      <c r="CI3585"/>
      <c r="CU3585" s="42">
        <v>3580</v>
      </c>
      <c r="CV3585" s="115">
        <v>4</v>
      </c>
      <c r="CW3585" s="115">
        <v>0.11332468572476186</v>
      </c>
      <c r="CX3585" s="115" t="e">
        <v>#N/A</v>
      </c>
      <c r="CY3585" s="115" t="e">
        <v>#N/A</v>
      </c>
      <c r="CZ3585" s="137" t="e">
        <v>#N/A</v>
      </c>
      <c r="DA3585">
        <v>0.11332468572476186</v>
      </c>
      <c r="DB3585" t="str">
        <v/>
      </c>
    </row>
    <row r="3586" spans="83:106" x14ac:dyDescent="0.2">
      <c r="CE3586"/>
      <c r="CF3586"/>
      <c r="CG3586"/>
      <c r="CH3586"/>
      <c r="CI3586"/>
      <c r="CU3586" s="42">
        <v>3581</v>
      </c>
      <c r="CV3586" s="115">
        <v>4</v>
      </c>
      <c r="CW3586" s="115">
        <v>0.11332468572476186</v>
      </c>
      <c r="CX3586" s="115" t="e">
        <v>#N/A</v>
      </c>
      <c r="CY3586" s="115" t="e">
        <v>#N/A</v>
      </c>
      <c r="CZ3586" s="137" t="e">
        <v>#N/A</v>
      </c>
      <c r="DA3586">
        <v>0.11332468572476186</v>
      </c>
      <c r="DB3586" t="str">
        <v/>
      </c>
    </row>
    <row r="3587" spans="83:106" x14ac:dyDescent="0.2">
      <c r="CE3587"/>
      <c r="CF3587"/>
      <c r="CG3587"/>
      <c r="CH3587"/>
      <c r="CI3587"/>
      <c r="CU3587" s="42">
        <v>3582</v>
      </c>
      <c r="CV3587" s="115">
        <v>4</v>
      </c>
      <c r="CW3587" s="115">
        <v>0.11332468572476186</v>
      </c>
      <c r="CX3587" s="115" t="e">
        <v>#N/A</v>
      </c>
      <c r="CY3587" s="115" t="e">
        <v>#N/A</v>
      </c>
      <c r="CZ3587" s="137" t="e">
        <v>#N/A</v>
      </c>
      <c r="DA3587">
        <v>0.11332468572476186</v>
      </c>
      <c r="DB3587" t="str">
        <v/>
      </c>
    </row>
    <row r="3588" spans="83:106" x14ac:dyDescent="0.2">
      <c r="CE3588"/>
      <c r="CF3588"/>
      <c r="CG3588"/>
      <c r="CH3588"/>
      <c r="CI3588"/>
      <c r="CU3588" s="42">
        <v>3583</v>
      </c>
      <c r="CV3588" s="115">
        <v>4</v>
      </c>
      <c r="CW3588" s="115">
        <v>0.11332468572476186</v>
      </c>
      <c r="CX3588" s="115" t="e">
        <v>#N/A</v>
      </c>
      <c r="CY3588" s="115" t="e">
        <v>#N/A</v>
      </c>
      <c r="CZ3588" s="137" t="e">
        <v>#N/A</v>
      </c>
      <c r="DA3588">
        <v>0.11332468572476186</v>
      </c>
      <c r="DB3588" t="str">
        <v/>
      </c>
    </row>
    <row r="3589" spans="83:106" x14ac:dyDescent="0.2">
      <c r="CE3589"/>
      <c r="CF3589"/>
      <c r="CG3589"/>
      <c r="CH3589"/>
      <c r="CI3589"/>
      <c r="CU3589" s="42">
        <v>3584</v>
      </c>
      <c r="CV3589" s="115">
        <v>4</v>
      </c>
      <c r="CW3589" s="115">
        <v>0.11332468572476186</v>
      </c>
      <c r="CX3589" s="115" t="e">
        <v>#N/A</v>
      </c>
      <c r="CY3589" s="115" t="e">
        <v>#N/A</v>
      </c>
      <c r="CZ3589" s="137" t="e">
        <v>#N/A</v>
      </c>
      <c r="DA3589">
        <v>0.11332468572476186</v>
      </c>
      <c r="DB3589" t="str">
        <v/>
      </c>
    </row>
    <row r="3590" spans="83:106" x14ac:dyDescent="0.2">
      <c r="CE3590"/>
      <c r="CF3590"/>
      <c r="CG3590"/>
      <c r="CH3590"/>
      <c r="CI3590"/>
      <c r="CU3590" s="42">
        <v>3585</v>
      </c>
      <c r="CV3590" s="115">
        <v>4</v>
      </c>
      <c r="CW3590" s="115">
        <v>0.11332468572476186</v>
      </c>
      <c r="CX3590" s="115" t="e">
        <v>#N/A</v>
      </c>
      <c r="CY3590" s="115" t="e">
        <v>#N/A</v>
      </c>
      <c r="CZ3590" s="137" t="e">
        <v>#N/A</v>
      </c>
      <c r="DA3590">
        <v>0.11332468572476186</v>
      </c>
      <c r="DB3590" t="str">
        <v/>
      </c>
    </row>
    <row r="3591" spans="83:106" x14ac:dyDescent="0.2">
      <c r="CE3591"/>
      <c r="CF3591"/>
      <c r="CG3591"/>
      <c r="CH3591"/>
      <c r="CI3591"/>
      <c r="CU3591" s="42">
        <v>3586</v>
      </c>
      <c r="CV3591" s="115">
        <v>4</v>
      </c>
      <c r="CW3591" s="115">
        <v>0.11332468572476186</v>
      </c>
      <c r="CX3591" s="115" t="e">
        <v>#N/A</v>
      </c>
      <c r="CY3591" s="115" t="e">
        <v>#N/A</v>
      </c>
      <c r="CZ3591" s="137" t="e">
        <v>#N/A</v>
      </c>
      <c r="DA3591">
        <v>0.11332468572476186</v>
      </c>
      <c r="DB3591" t="str">
        <v/>
      </c>
    </row>
    <row r="3592" spans="83:106" x14ac:dyDescent="0.2">
      <c r="CE3592"/>
      <c r="CF3592"/>
      <c r="CG3592"/>
      <c r="CH3592"/>
      <c r="CI3592"/>
      <c r="CU3592" s="42">
        <v>3587</v>
      </c>
      <c r="CV3592" s="115">
        <v>4</v>
      </c>
      <c r="CW3592" s="115">
        <v>0.11332468572476186</v>
      </c>
      <c r="CX3592" s="115" t="e">
        <v>#N/A</v>
      </c>
      <c r="CY3592" s="115" t="e">
        <v>#N/A</v>
      </c>
      <c r="CZ3592" s="137" t="e">
        <v>#N/A</v>
      </c>
      <c r="DA3592">
        <v>0.11332468572476186</v>
      </c>
      <c r="DB3592" t="str">
        <v/>
      </c>
    </row>
    <row r="3593" spans="83:106" x14ac:dyDescent="0.2">
      <c r="CE3593"/>
      <c r="CF3593"/>
      <c r="CG3593"/>
      <c r="CH3593"/>
      <c r="CI3593"/>
      <c r="CU3593" s="42">
        <v>3588</v>
      </c>
      <c r="CV3593" s="115">
        <v>4</v>
      </c>
      <c r="CW3593" s="115">
        <v>0.11332468572476186</v>
      </c>
      <c r="CX3593" s="115" t="e">
        <v>#N/A</v>
      </c>
      <c r="CY3593" s="115" t="e">
        <v>#N/A</v>
      </c>
      <c r="CZ3593" s="137" t="e">
        <v>#N/A</v>
      </c>
      <c r="DA3593">
        <v>0.11332468572476186</v>
      </c>
      <c r="DB3593" t="str">
        <v/>
      </c>
    </row>
    <row r="3594" spans="83:106" x14ac:dyDescent="0.2">
      <c r="CE3594"/>
      <c r="CF3594"/>
      <c r="CG3594"/>
      <c r="CH3594"/>
      <c r="CI3594"/>
      <c r="CU3594" s="42">
        <v>3589</v>
      </c>
      <c r="CV3594" s="115">
        <v>4</v>
      </c>
      <c r="CW3594" s="115">
        <v>0.11332468572476186</v>
      </c>
      <c r="CX3594" s="115" t="e">
        <v>#N/A</v>
      </c>
      <c r="CY3594" s="115" t="e">
        <v>#N/A</v>
      </c>
      <c r="CZ3594" s="137" t="e">
        <v>#N/A</v>
      </c>
      <c r="DA3594">
        <v>0.11332468572476186</v>
      </c>
      <c r="DB3594" t="str">
        <v/>
      </c>
    </row>
    <row r="3595" spans="83:106" x14ac:dyDescent="0.2">
      <c r="CE3595"/>
      <c r="CF3595"/>
      <c r="CG3595"/>
      <c r="CH3595"/>
      <c r="CI3595"/>
      <c r="CU3595" s="42">
        <v>3590</v>
      </c>
      <c r="CV3595" s="115">
        <v>4</v>
      </c>
      <c r="CW3595" s="115">
        <v>0.11332468572476186</v>
      </c>
      <c r="CX3595" s="115" t="e">
        <v>#N/A</v>
      </c>
      <c r="CY3595" s="115" t="e">
        <v>#N/A</v>
      </c>
      <c r="CZ3595" s="137" t="e">
        <v>#N/A</v>
      </c>
      <c r="DA3595">
        <v>0.11332468572476186</v>
      </c>
      <c r="DB3595" t="str">
        <v/>
      </c>
    </row>
    <row r="3596" spans="83:106" x14ac:dyDescent="0.2">
      <c r="CE3596"/>
      <c r="CF3596"/>
      <c r="CG3596"/>
      <c r="CH3596"/>
      <c r="CI3596"/>
      <c r="CU3596" s="42">
        <v>3591</v>
      </c>
      <c r="CV3596" s="115">
        <v>4</v>
      </c>
      <c r="CW3596" s="115">
        <v>0.11332468572476186</v>
      </c>
      <c r="CX3596" s="115" t="e">
        <v>#N/A</v>
      </c>
      <c r="CY3596" s="115" t="e">
        <v>#N/A</v>
      </c>
      <c r="CZ3596" s="137" t="e">
        <v>#N/A</v>
      </c>
      <c r="DA3596">
        <v>0.11332468572476186</v>
      </c>
      <c r="DB3596" t="str">
        <v/>
      </c>
    </row>
    <row r="3597" spans="83:106" x14ac:dyDescent="0.2">
      <c r="CE3597"/>
      <c r="CF3597"/>
      <c r="CG3597"/>
      <c r="CH3597"/>
      <c r="CI3597"/>
      <c r="CU3597" s="42">
        <v>3592</v>
      </c>
      <c r="CV3597" s="115">
        <v>4</v>
      </c>
      <c r="CW3597" s="115">
        <v>0.11332468572476186</v>
      </c>
      <c r="CX3597" s="115" t="e">
        <v>#N/A</v>
      </c>
      <c r="CY3597" s="115" t="e">
        <v>#N/A</v>
      </c>
      <c r="CZ3597" s="137" t="e">
        <v>#N/A</v>
      </c>
      <c r="DA3597">
        <v>0.11332468572476186</v>
      </c>
      <c r="DB3597" t="str">
        <v/>
      </c>
    </row>
    <row r="3598" spans="83:106" x14ac:dyDescent="0.2">
      <c r="CE3598"/>
      <c r="CF3598"/>
      <c r="CG3598"/>
      <c r="CH3598"/>
      <c r="CI3598"/>
      <c r="CU3598" s="42">
        <v>3593</v>
      </c>
      <c r="CV3598" s="115">
        <v>4</v>
      </c>
      <c r="CW3598" s="115">
        <v>0.11332468572476186</v>
      </c>
      <c r="CX3598" s="115" t="e">
        <v>#N/A</v>
      </c>
      <c r="CY3598" s="115" t="e">
        <v>#N/A</v>
      </c>
      <c r="CZ3598" s="137" t="e">
        <v>#N/A</v>
      </c>
      <c r="DA3598">
        <v>0.11332468572476186</v>
      </c>
      <c r="DB3598" t="str">
        <v/>
      </c>
    </row>
    <row r="3599" spans="83:106" x14ac:dyDescent="0.2">
      <c r="CE3599"/>
      <c r="CF3599"/>
      <c r="CG3599"/>
      <c r="CH3599"/>
      <c r="CI3599"/>
      <c r="CU3599" s="42">
        <v>3594</v>
      </c>
      <c r="CV3599" s="115">
        <v>4</v>
      </c>
      <c r="CW3599" s="115">
        <v>0.11332468572476186</v>
      </c>
      <c r="CX3599" s="115" t="e">
        <v>#N/A</v>
      </c>
      <c r="CY3599" s="115" t="e">
        <v>#N/A</v>
      </c>
      <c r="CZ3599" s="137" t="e">
        <v>#N/A</v>
      </c>
      <c r="DA3599">
        <v>0.11332468572476186</v>
      </c>
      <c r="DB3599" t="str">
        <v/>
      </c>
    </row>
    <row r="3600" spans="83:106" x14ac:dyDescent="0.2">
      <c r="CE3600"/>
      <c r="CF3600"/>
      <c r="CG3600"/>
      <c r="CH3600"/>
      <c r="CI3600"/>
      <c r="CU3600" s="42">
        <v>3595</v>
      </c>
      <c r="CV3600" s="115">
        <v>4</v>
      </c>
      <c r="CW3600" s="115">
        <v>0.11332468572476186</v>
      </c>
      <c r="CX3600" s="115" t="e">
        <v>#N/A</v>
      </c>
      <c r="CY3600" s="115" t="e">
        <v>#N/A</v>
      </c>
      <c r="CZ3600" s="137" t="e">
        <v>#N/A</v>
      </c>
      <c r="DA3600">
        <v>0.11332468572476186</v>
      </c>
      <c r="DB3600" t="str">
        <v/>
      </c>
    </row>
    <row r="3601" spans="83:106" x14ac:dyDescent="0.2">
      <c r="CE3601"/>
      <c r="CF3601"/>
      <c r="CG3601"/>
      <c r="CH3601"/>
      <c r="CI3601"/>
      <c r="CU3601" s="42">
        <v>3596</v>
      </c>
      <c r="CV3601" s="115">
        <v>4</v>
      </c>
      <c r="CW3601" s="115">
        <v>0.11332468572476186</v>
      </c>
      <c r="CX3601" s="115" t="e">
        <v>#N/A</v>
      </c>
      <c r="CY3601" s="115" t="e">
        <v>#N/A</v>
      </c>
      <c r="CZ3601" s="137" t="e">
        <v>#N/A</v>
      </c>
      <c r="DA3601">
        <v>0.11332468572476186</v>
      </c>
      <c r="DB3601" t="str">
        <v/>
      </c>
    </row>
    <row r="3602" spans="83:106" x14ac:dyDescent="0.2">
      <c r="CE3602"/>
      <c r="CF3602"/>
      <c r="CG3602"/>
      <c r="CH3602"/>
      <c r="CI3602"/>
      <c r="CU3602" s="42">
        <v>3597</v>
      </c>
      <c r="CV3602" s="115">
        <v>4</v>
      </c>
      <c r="CW3602" s="115">
        <v>0.11332468572476186</v>
      </c>
      <c r="CX3602" s="115" t="e">
        <v>#N/A</v>
      </c>
      <c r="CY3602" s="115" t="e">
        <v>#N/A</v>
      </c>
      <c r="CZ3602" s="137" t="e">
        <v>#N/A</v>
      </c>
      <c r="DA3602">
        <v>0.11332468572476186</v>
      </c>
      <c r="DB3602" t="str">
        <v/>
      </c>
    </row>
    <row r="3603" spans="83:106" x14ac:dyDescent="0.2">
      <c r="CE3603"/>
      <c r="CF3603"/>
      <c r="CG3603"/>
      <c r="CH3603"/>
      <c r="CI3603"/>
      <c r="CU3603" s="42">
        <v>3598</v>
      </c>
      <c r="CV3603" s="115">
        <v>4</v>
      </c>
      <c r="CW3603" s="115">
        <v>0.11332468572476186</v>
      </c>
      <c r="CX3603" s="115" t="e">
        <v>#N/A</v>
      </c>
      <c r="CY3603" s="115" t="e">
        <v>#N/A</v>
      </c>
      <c r="CZ3603" s="137" t="e">
        <v>#N/A</v>
      </c>
      <c r="DA3603">
        <v>0.11332468572476186</v>
      </c>
      <c r="DB3603" t="str">
        <v/>
      </c>
    </row>
    <row r="3604" spans="83:106" x14ac:dyDescent="0.2">
      <c r="CE3604"/>
      <c r="CF3604"/>
      <c r="CG3604"/>
      <c r="CH3604"/>
      <c r="CI3604"/>
      <c r="CU3604" s="42">
        <v>3599</v>
      </c>
      <c r="CV3604" s="115">
        <v>4</v>
      </c>
      <c r="CW3604" s="115">
        <v>0.11332468572476186</v>
      </c>
      <c r="CX3604" s="115" t="e">
        <v>#N/A</v>
      </c>
      <c r="CY3604" s="115" t="e">
        <v>#N/A</v>
      </c>
      <c r="CZ3604" s="137" t="e">
        <v>#N/A</v>
      </c>
      <c r="DA3604">
        <v>0.11332468572476186</v>
      </c>
      <c r="DB3604" t="str">
        <v/>
      </c>
    </row>
    <row r="3605" spans="83:106" x14ac:dyDescent="0.2">
      <c r="CE3605"/>
      <c r="CF3605"/>
      <c r="CG3605"/>
      <c r="CH3605"/>
      <c r="CI3605"/>
      <c r="CU3605" s="42">
        <v>3600</v>
      </c>
      <c r="CV3605" s="115">
        <v>4</v>
      </c>
      <c r="CW3605" s="115">
        <v>0.11332468572476186</v>
      </c>
      <c r="CX3605" s="115" t="e">
        <v>#N/A</v>
      </c>
      <c r="CY3605" s="115" t="e">
        <v>#N/A</v>
      </c>
      <c r="CZ3605" s="137" t="e">
        <v>#N/A</v>
      </c>
      <c r="DA3605">
        <v>0.11332468572476186</v>
      </c>
      <c r="DB3605" t="str">
        <v/>
      </c>
    </row>
    <row r="3606" spans="83:106" x14ac:dyDescent="0.2">
      <c r="CE3606"/>
      <c r="CF3606"/>
      <c r="CG3606"/>
      <c r="CH3606"/>
      <c r="CI3606"/>
      <c r="CU3606" s="42">
        <v>3601</v>
      </c>
      <c r="CV3606" s="115">
        <v>4</v>
      </c>
      <c r="CW3606" s="115">
        <v>0.11332468572476186</v>
      </c>
      <c r="CX3606" s="115" t="e">
        <v>#N/A</v>
      </c>
      <c r="CY3606" s="115" t="e">
        <v>#N/A</v>
      </c>
      <c r="CZ3606" s="137" t="e">
        <v>#N/A</v>
      </c>
      <c r="DA3606">
        <v>0.11332468572476186</v>
      </c>
      <c r="DB3606" t="str">
        <v/>
      </c>
    </row>
    <row r="3607" spans="83:106" x14ac:dyDescent="0.2">
      <c r="CE3607"/>
      <c r="CF3607"/>
      <c r="CG3607"/>
      <c r="CH3607"/>
      <c r="CI3607"/>
      <c r="CU3607" s="42">
        <v>3602</v>
      </c>
      <c r="CV3607" s="115">
        <v>4</v>
      </c>
      <c r="CW3607" s="115">
        <v>0.11332468572476186</v>
      </c>
      <c r="CX3607" s="115" t="e">
        <v>#N/A</v>
      </c>
      <c r="CY3607" s="115" t="e">
        <v>#N/A</v>
      </c>
      <c r="CZ3607" s="137" t="e">
        <v>#N/A</v>
      </c>
      <c r="DA3607">
        <v>0.11332468572476186</v>
      </c>
      <c r="DB3607" t="str">
        <v/>
      </c>
    </row>
    <row r="3608" spans="83:106" x14ac:dyDescent="0.2">
      <c r="CE3608"/>
      <c r="CF3608"/>
      <c r="CG3608"/>
      <c r="CH3608"/>
      <c r="CI3608"/>
      <c r="CU3608" s="42">
        <v>3603</v>
      </c>
      <c r="CV3608" s="115">
        <v>4</v>
      </c>
      <c r="CW3608" s="115">
        <v>0.11332468572476186</v>
      </c>
      <c r="CX3608" s="115" t="e">
        <v>#N/A</v>
      </c>
      <c r="CY3608" s="115" t="e">
        <v>#N/A</v>
      </c>
      <c r="CZ3608" s="137" t="e">
        <v>#N/A</v>
      </c>
      <c r="DA3608">
        <v>0.11332468572476186</v>
      </c>
      <c r="DB3608" t="str">
        <v/>
      </c>
    </row>
    <row r="3609" spans="83:106" x14ac:dyDescent="0.2">
      <c r="CE3609"/>
      <c r="CF3609"/>
      <c r="CG3609"/>
      <c r="CH3609"/>
      <c r="CI3609"/>
      <c r="CU3609" s="42">
        <v>3604</v>
      </c>
      <c r="CV3609" s="115">
        <v>4</v>
      </c>
      <c r="CW3609" s="115">
        <v>0.11332468572476186</v>
      </c>
      <c r="CX3609" s="115" t="e">
        <v>#N/A</v>
      </c>
      <c r="CY3609" s="115" t="e">
        <v>#N/A</v>
      </c>
      <c r="CZ3609" s="137" t="e">
        <v>#N/A</v>
      </c>
      <c r="DA3609">
        <v>0.11332468572476186</v>
      </c>
      <c r="DB3609" t="str">
        <v/>
      </c>
    </row>
    <row r="3610" spans="83:106" x14ac:dyDescent="0.2">
      <c r="CE3610"/>
      <c r="CF3610"/>
      <c r="CG3610"/>
      <c r="CH3610"/>
      <c r="CI3610"/>
      <c r="CU3610" s="42">
        <v>3605</v>
      </c>
      <c r="CV3610" s="115">
        <v>4</v>
      </c>
      <c r="CW3610" s="115">
        <v>0.11332468572476186</v>
      </c>
      <c r="CX3610" s="115" t="e">
        <v>#N/A</v>
      </c>
      <c r="CY3610" s="115" t="e">
        <v>#N/A</v>
      </c>
      <c r="CZ3610" s="137" t="e">
        <v>#N/A</v>
      </c>
      <c r="DA3610">
        <v>0.11332468572476186</v>
      </c>
      <c r="DB3610" t="str">
        <v/>
      </c>
    </row>
    <row r="3611" spans="83:106" x14ac:dyDescent="0.2">
      <c r="CE3611"/>
      <c r="CF3611"/>
      <c r="CG3611"/>
      <c r="CH3611"/>
      <c r="CI3611"/>
      <c r="CU3611" s="42">
        <v>3606</v>
      </c>
      <c r="CV3611" s="115">
        <v>4</v>
      </c>
      <c r="CW3611" s="115">
        <v>0.11332468572476186</v>
      </c>
      <c r="CX3611" s="115" t="e">
        <v>#N/A</v>
      </c>
      <c r="CY3611" s="115" t="e">
        <v>#N/A</v>
      </c>
      <c r="CZ3611" s="137" t="e">
        <v>#N/A</v>
      </c>
      <c r="DA3611">
        <v>0.11332468572476186</v>
      </c>
      <c r="DB3611" t="str">
        <v/>
      </c>
    </row>
    <row r="3612" spans="83:106" x14ac:dyDescent="0.2">
      <c r="CE3612"/>
      <c r="CF3612"/>
      <c r="CG3612"/>
      <c r="CH3612"/>
      <c r="CI3612"/>
      <c r="CU3612" s="42">
        <v>3607</v>
      </c>
      <c r="CV3612" s="115">
        <v>4</v>
      </c>
      <c r="CW3612" s="115">
        <v>0.11332468572476186</v>
      </c>
      <c r="CX3612" s="115" t="e">
        <v>#N/A</v>
      </c>
      <c r="CY3612" s="115" t="e">
        <v>#N/A</v>
      </c>
      <c r="CZ3612" s="137" t="e">
        <v>#N/A</v>
      </c>
      <c r="DA3612">
        <v>0.11332468572476186</v>
      </c>
      <c r="DB3612" t="str">
        <v/>
      </c>
    </row>
    <row r="3613" spans="83:106" x14ac:dyDescent="0.2">
      <c r="CE3613"/>
      <c r="CF3613"/>
      <c r="CG3613"/>
      <c r="CH3613"/>
      <c r="CI3613"/>
      <c r="CU3613" s="42">
        <v>3608</v>
      </c>
      <c r="CV3613" s="115">
        <v>4</v>
      </c>
      <c r="CW3613" s="115">
        <v>0.11332468572476186</v>
      </c>
      <c r="CX3613" s="115" t="e">
        <v>#N/A</v>
      </c>
      <c r="CY3613" s="115" t="e">
        <v>#N/A</v>
      </c>
      <c r="CZ3613" s="137" t="e">
        <v>#N/A</v>
      </c>
      <c r="DA3613">
        <v>0.11332468572476186</v>
      </c>
      <c r="DB3613" t="str">
        <v/>
      </c>
    </row>
    <row r="3614" spans="83:106" x14ac:dyDescent="0.2">
      <c r="CE3614"/>
      <c r="CF3614"/>
      <c r="CG3614"/>
      <c r="CH3614"/>
      <c r="CI3614"/>
      <c r="CU3614" s="42">
        <v>3609</v>
      </c>
      <c r="CV3614" s="115">
        <v>4</v>
      </c>
      <c r="CW3614" s="115">
        <v>0.11332468572476186</v>
      </c>
      <c r="CX3614" s="115" t="e">
        <v>#N/A</v>
      </c>
      <c r="CY3614" s="115" t="e">
        <v>#N/A</v>
      </c>
      <c r="CZ3614" s="137" t="e">
        <v>#N/A</v>
      </c>
      <c r="DA3614">
        <v>0.11332468572476186</v>
      </c>
      <c r="DB3614" t="str">
        <v/>
      </c>
    </row>
    <row r="3615" spans="83:106" x14ac:dyDescent="0.2">
      <c r="CE3615"/>
      <c r="CF3615"/>
      <c r="CG3615"/>
      <c r="CH3615"/>
      <c r="CI3615"/>
      <c r="CU3615" s="42">
        <v>3610</v>
      </c>
      <c r="CV3615" s="115">
        <v>4</v>
      </c>
      <c r="CW3615" s="115">
        <v>0.11332468572476186</v>
      </c>
      <c r="CX3615" s="115" t="e">
        <v>#N/A</v>
      </c>
      <c r="CY3615" s="115" t="e">
        <v>#N/A</v>
      </c>
      <c r="CZ3615" s="137" t="e">
        <v>#N/A</v>
      </c>
      <c r="DA3615">
        <v>0.11332468572476186</v>
      </c>
      <c r="DB3615" t="str">
        <v/>
      </c>
    </row>
    <row r="3616" spans="83:106" x14ac:dyDescent="0.2">
      <c r="CE3616"/>
      <c r="CF3616"/>
      <c r="CG3616"/>
      <c r="CH3616"/>
      <c r="CI3616"/>
      <c r="CU3616" s="42">
        <v>3611</v>
      </c>
      <c r="CV3616" s="115">
        <v>4</v>
      </c>
      <c r="CW3616" s="115">
        <v>0.11332468572476186</v>
      </c>
      <c r="CX3616" s="115" t="e">
        <v>#N/A</v>
      </c>
      <c r="CY3616" s="115" t="e">
        <v>#N/A</v>
      </c>
      <c r="CZ3616" s="137" t="e">
        <v>#N/A</v>
      </c>
      <c r="DA3616">
        <v>0.11332468572476186</v>
      </c>
      <c r="DB3616" t="str">
        <v/>
      </c>
    </row>
    <row r="3617" spans="83:106" x14ac:dyDescent="0.2">
      <c r="CE3617"/>
      <c r="CF3617"/>
      <c r="CG3617"/>
      <c r="CH3617"/>
      <c r="CI3617"/>
      <c r="CU3617" s="42">
        <v>3612</v>
      </c>
      <c r="CV3617" s="115">
        <v>4</v>
      </c>
      <c r="CW3617" s="115">
        <v>0.11332468572476186</v>
      </c>
      <c r="CX3617" s="115" t="e">
        <v>#N/A</v>
      </c>
      <c r="CY3617" s="115" t="e">
        <v>#N/A</v>
      </c>
      <c r="CZ3617" s="137" t="e">
        <v>#N/A</v>
      </c>
      <c r="DA3617">
        <v>0.11332468572476186</v>
      </c>
      <c r="DB3617" t="str">
        <v/>
      </c>
    </row>
    <row r="3618" spans="83:106" x14ac:dyDescent="0.2">
      <c r="CE3618"/>
      <c r="CF3618"/>
      <c r="CG3618"/>
      <c r="CH3618"/>
      <c r="CI3618"/>
      <c r="CU3618" s="42">
        <v>3613</v>
      </c>
      <c r="CV3618" s="115">
        <v>4</v>
      </c>
      <c r="CW3618" s="115">
        <v>0.11332468572476186</v>
      </c>
      <c r="CX3618" s="115" t="e">
        <v>#N/A</v>
      </c>
      <c r="CY3618" s="115" t="e">
        <v>#N/A</v>
      </c>
      <c r="CZ3618" s="137" t="e">
        <v>#N/A</v>
      </c>
      <c r="DA3618">
        <v>0.11332468572476186</v>
      </c>
      <c r="DB3618" t="str">
        <v/>
      </c>
    </row>
    <row r="3619" spans="83:106" x14ac:dyDescent="0.2">
      <c r="CE3619"/>
      <c r="CF3619"/>
      <c r="CG3619"/>
      <c r="CH3619"/>
      <c r="CI3619"/>
      <c r="CU3619" s="42">
        <v>3614</v>
      </c>
      <c r="CV3619" s="115">
        <v>4</v>
      </c>
      <c r="CW3619" s="115">
        <v>0.11332468572476186</v>
      </c>
      <c r="CX3619" s="115" t="e">
        <v>#N/A</v>
      </c>
      <c r="CY3619" s="115" t="e">
        <v>#N/A</v>
      </c>
      <c r="CZ3619" s="137" t="e">
        <v>#N/A</v>
      </c>
      <c r="DA3619">
        <v>0.11332468572476186</v>
      </c>
      <c r="DB3619" t="str">
        <v/>
      </c>
    </row>
    <row r="3620" spans="83:106" x14ac:dyDescent="0.2">
      <c r="CE3620"/>
      <c r="CF3620"/>
      <c r="CG3620"/>
      <c r="CH3620"/>
      <c r="CI3620"/>
      <c r="CU3620" s="42">
        <v>3615</v>
      </c>
      <c r="CV3620" s="115">
        <v>4</v>
      </c>
      <c r="CW3620" s="115">
        <v>0.11332468572476186</v>
      </c>
      <c r="CX3620" s="115" t="e">
        <v>#N/A</v>
      </c>
      <c r="CY3620" s="115" t="e">
        <v>#N/A</v>
      </c>
      <c r="CZ3620" s="137" t="e">
        <v>#N/A</v>
      </c>
      <c r="DA3620">
        <v>0.11332468572476186</v>
      </c>
      <c r="DB3620" t="str">
        <v/>
      </c>
    </row>
    <row r="3621" spans="83:106" x14ac:dyDescent="0.2">
      <c r="CE3621"/>
      <c r="CF3621"/>
      <c r="CG3621"/>
      <c r="CH3621"/>
      <c r="CI3621"/>
      <c r="CU3621" s="42">
        <v>3616</v>
      </c>
      <c r="CV3621" s="115">
        <v>4</v>
      </c>
      <c r="CW3621" s="115">
        <v>0.11332468572476186</v>
      </c>
      <c r="CX3621" s="115" t="e">
        <v>#N/A</v>
      </c>
      <c r="CY3621" s="115" t="e">
        <v>#N/A</v>
      </c>
      <c r="CZ3621" s="137" t="e">
        <v>#N/A</v>
      </c>
      <c r="DA3621">
        <v>0.11332468572476186</v>
      </c>
      <c r="DB3621" t="str">
        <v/>
      </c>
    </row>
    <row r="3622" spans="83:106" x14ac:dyDescent="0.2">
      <c r="CE3622"/>
      <c r="CF3622"/>
      <c r="CG3622"/>
      <c r="CH3622"/>
      <c r="CI3622"/>
      <c r="CU3622" s="42">
        <v>3617</v>
      </c>
      <c r="CV3622" s="115">
        <v>4</v>
      </c>
      <c r="CW3622" s="115">
        <v>0.11332468572476186</v>
      </c>
      <c r="CX3622" s="115" t="e">
        <v>#N/A</v>
      </c>
      <c r="CY3622" s="115" t="e">
        <v>#N/A</v>
      </c>
      <c r="CZ3622" s="137" t="e">
        <v>#N/A</v>
      </c>
      <c r="DA3622">
        <v>0.11332468572476186</v>
      </c>
      <c r="DB3622" t="str">
        <v/>
      </c>
    </row>
    <row r="3623" spans="83:106" x14ac:dyDescent="0.2">
      <c r="CE3623"/>
      <c r="CF3623"/>
      <c r="CG3623"/>
      <c r="CH3623"/>
      <c r="CI3623"/>
      <c r="CU3623" s="42">
        <v>3618</v>
      </c>
      <c r="CV3623" s="115">
        <v>4</v>
      </c>
      <c r="CW3623" s="115">
        <v>0.11332468572476186</v>
      </c>
      <c r="CX3623" s="115" t="e">
        <v>#N/A</v>
      </c>
      <c r="CY3623" s="115" t="e">
        <v>#N/A</v>
      </c>
      <c r="CZ3623" s="137" t="e">
        <v>#N/A</v>
      </c>
      <c r="DA3623">
        <v>0.11332468572476186</v>
      </c>
      <c r="DB3623" t="str">
        <v/>
      </c>
    </row>
    <row r="3624" spans="83:106" x14ac:dyDescent="0.2">
      <c r="CE3624"/>
      <c r="CF3624"/>
      <c r="CG3624"/>
      <c r="CH3624"/>
      <c r="CI3624"/>
      <c r="CU3624" s="42">
        <v>3619</v>
      </c>
      <c r="CV3624" s="115">
        <v>4</v>
      </c>
      <c r="CW3624" s="115">
        <v>0.11332468572476186</v>
      </c>
      <c r="CX3624" s="115" t="e">
        <v>#N/A</v>
      </c>
      <c r="CY3624" s="115" t="e">
        <v>#N/A</v>
      </c>
      <c r="CZ3624" s="137" t="e">
        <v>#N/A</v>
      </c>
      <c r="DA3624">
        <v>0.11332468572476186</v>
      </c>
      <c r="DB3624" t="str">
        <v/>
      </c>
    </row>
    <row r="3625" spans="83:106" x14ac:dyDescent="0.2">
      <c r="CE3625"/>
      <c r="CF3625"/>
      <c r="CG3625"/>
      <c r="CH3625"/>
      <c r="CI3625"/>
      <c r="CU3625" s="42">
        <v>3620</v>
      </c>
      <c r="CV3625" s="115">
        <v>4</v>
      </c>
      <c r="CW3625" s="115">
        <v>0.11332468572476186</v>
      </c>
      <c r="CX3625" s="115" t="e">
        <v>#N/A</v>
      </c>
      <c r="CY3625" s="115" t="e">
        <v>#N/A</v>
      </c>
      <c r="CZ3625" s="137" t="e">
        <v>#N/A</v>
      </c>
      <c r="DA3625">
        <v>0.11332468572476186</v>
      </c>
      <c r="DB3625" t="str">
        <v/>
      </c>
    </row>
    <row r="3626" spans="83:106" x14ac:dyDescent="0.2">
      <c r="CE3626"/>
      <c r="CF3626"/>
      <c r="CG3626"/>
      <c r="CH3626"/>
      <c r="CI3626"/>
      <c r="CU3626" s="42">
        <v>3621</v>
      </c>
      <c r="CV3626" s="115">
        <v>4</v>
      </c>
      <c r="CW3626" s="115">
        <v>0.11332468572476186</v>
      </c>
      <c r="CX3626" s="115" t="e">
        <v>#N/A</v>
      </c>
      <c r="CY3626" s="115" t="e">
        <v>#N/A</v>
      </c>
      <c r="CZ3626" s="137" t="e">
        <v>#N/A</v>
      </c>
      <c r="DA3626">
        <v>0.11332468572476186</v>
      </c>
      <c r="DB3626" t="str">
        <v/>
      </c>
    </row>
    <row r="3627" spans="83:106" x14ac:dyDescent="0.2">
      <c r="CE3627"/>
      <c r="CF3627"/>
      <c r="CG3627"/>
      <c r="CH3627"/>
      <c r="CI3627"/>
      <c r="CU3627" s="42">
        <v>3622</v>
      </c>
      <c r="CV3627" s="115">
        <v>4</v>
      </c>
      <c r="CW3627" s="115">
        <v>0.11332468572476186</v>
      </c>
      <c r="CX3627" s="115" t="e">
        <v>#N/A</v>
      </c>
      <c r="CY3627" s="115" t="e">
        <v>#N/A</v>
      </c>
      <c r="CZ3627" s="137" t="e">
        <v>#N/A</v>
      </c>
      <c r="DA3627">
        <v>0.11332468572476186</v>
      </c>
      <c r="DB3627" t="str">
        <v/>
      </c>
    </row>
    <row r="3628" spans="83:106" x14ac:dyDescent="0.2">
      <c r="CE3628"/>
      <c r="CF3628"/>
      <c r="CG3628"/>
      <c r="CH3628"/>
      <c r="CI3628"/>
      <c r="CU3628" s="42">
        <v>3623</v>
      </c>
      <c r="CV3628" s="115">
        <v>4</v>
      </c>
      <c r="CW3628" s="115">
        <v>0.11332468572476186</v>
      </c>
      <c r="CX3628" s="115" t="e">
        <v>#N/A</v>
      </c>
      <c r="CY3628" s="115" t="e">
        <v>#N/A</v>
      </c>
      <c r="CZ3628" s="137" t="e">
        <v>#N/A</v>
      </c>
      <c r="DA3628">
        <v>0.11332468572476186</v>
      </c>
      <c r="DB3628" t="str">
        <v/>
      </c>
    </row>
    <row r="3629" spans="83:106" x14ac:dyDescent="0.2">
      <c r="CE3629"/>
      <c r="CF3629"/>
      <c r="CG3629"/>
      <c r="CH3629"/>
      <c r="CI3629"/>
      <c r="CU3629" s="42">
        <v>3624</v>
      </c>
      <c r="CV3629" s="115">
        <v>4</v>
      </c>
      <c r="CW3629" s="115">
        <v>0.11332468572476186</v>
      </c>
      <c r="CX3629" s="115" t="e">
        <v>#N/A</v>
      </c>
      <c r="CY3629" s="115" t="e">
        <v>#N/A</v>
      </c>
      <c r="CZ3629" s="137" t="e">
        <v>#N/A</v>
      </c>
      <c r="DA3629">
        <v>0.11332468572476186</v>
      </c>
      <c r="DB3629" t="str">
        <v/>
      </c>
    </row>
    <row r="3630" spans="83:106" x14ac:dyDescent="0.2">
      <c r="CE3630"/>
      <c r="CF3630"/>
      <c r="CG3630"/>
      <c r="CH3630"/>
      <c r="CI3630"/>
      <c r="CU3630" s="42">
        <v>3625</v>
      </c>
      <c r="CV3630" s="115">
        <v>4</v>
      </c>
      <c r="CW3630" s="115">
        <v>0.11332468572476186</v>
      </c>
      <c r="CX3630" s="115" t="e">
        <v>#N/A</v>
      </c>
      <c r="CY3630" s="115" t="e">
        <v>#N/A</v>
      </c>
      <c r="CZ3630" s="137" t="e">
        <v>#N/A</v>
      </c>
      <c r="DA3630">
        <v>0.11332468572476186</v>
      </c>
      <c r="DB3630" t="str">
        <v/>
      </c>
    </row>
    <row r="3631" spans="83:106" x14ac:dyDescent="0.2">
      <c r="CE3631"/>
      <c r="CF3631"/>
      <c r="CG3631"/>
      <c r="CH3631"/>
      <c r="CI3631"/>
      <c r="CU3631" s="42">
        <v>3626</v>
      </c>
      <c r="CV3631" s="115">
        <v>4</v>
      </c>
      <c r="CW3631" s="115">
        <v>0.11332468572476186</v>
      </c>
      <c r="CX3631" s="115" t="e">
        <v>#N/A</v>
      </c>
      <c r="CY3631" s="115" t="e">
        <v>#N/A</v>
      </c>
      <c r="CZ3631" s="137" t="e">
        <v>#N/A</v>
      </c>
      <c r="DA3631">
        <v>0.11332468572476186</v>
      </c>
      <c r="DB3631" t="str">
        <v/>
      </c>
    </row>
    <row r="3632" spans="83:106" x14ac:dyDescent="0.2">
      <c r="CE3632"/>
      <c r="CF3632"/>
      <c r="CG3632"/>
      <c r="CH3632"/>
      <c r="CI3632"/>
      <c r="CU3632" s="42">
        <v>3627</v>
      </c>
      <c r="CV3632" s="115">
        <v>4</v>
      </c>
      <c r="CW3632" s="115">
        <v>0.11332468572476186</v>
      </c>
      <c r="CX3632" s="115" t="e">
        <v>#N/A</v>
      </c>
      <c r="CY3632" s="115" t="e">
        <v>#N/A</v>
      </c>
      <c r="CZ3632" s="137" t="e">
        <v>#N/A</v>
      </c>
      <c r="DA3632">
        <v>0.11332468572476186</v>
      </c>
      <c r="DB3632" t="str">
        <v/>
      </c>
    </row>
    <row r="3633" spans="83:106" x14ac:dyDescent="0.2">
      <c r="CE3633"/>
      <c r="CF3633"/>
      <c r="CG3633"/>
      <c r="CH3633"/>
      <c r="CI3633"/>
      <c r="CU3633" s="42">
        <v>3628</v>
      </c>
      <c r="CV3633" s="115">
        <v>4</v>
      </c>
      <c r="CW3633" s="115">
        <v>0.11332468572476186</v>
      </c>
      <c r="CX3633" s="115" t="e">
        <v>#N/A</v>
      </c>
      <c r="CY3633" s="115" t="e">
        <v>#N/A</v>
      </c>
      <c r="CZ3633" s="137" t="e">
        <v>#N/A</v>
      </c>
      <c r="DA3633">
        <v>0.11332468572476186</v>
      </c>
      <c r="DB3633" t="str">
        <v/>
      </c>
    </row>
    <row r="3634" spans="83:106" x14ac:dyDescent="0.2">
      <c r="CE3634"/>
      <c r="CF3634"/>
      <c r="CG3634"/>
      <c r="CH3634"/>
      <c r="CI3634"/>
      <c r="CU3634" s="42">
        <v>3629</v>
      </c>
      <c r="CV3634" s="115">
        <v>4</v>
      </c>
      <c r="CW3634" s="115">
        <v>0.11332468572476186</v>
      </c>
      <c r="CX3634" s="115" t="e">
        <v>#N/A</v>
      </c>
      <c r="CY3634" s="115" t="e">
        <v>#N/A</v>
      </c>
      <c r="CZ3634" s="137" t="e">
        <v>#N/A</v>
      </c>
      <c r="DA3634">
        <v>0.11332468572476186</v>
      </c>
      <c r="DB3634" t="str">
        <v/>
      </c>
    </row>
    <row r="3635" spans="83:106" x14ac:dyDescent="0.2">
      <c r="CE3635"/>
      <c r="CF3635"/>
      <c r="CG3635"/>
      <c r="CH3635"/>
      <c r="CI3635"/>
      <c r="CU3635" s="42">
        <v>3630</v>
      </c>
      <c r="CV3635" s="115">
        <v>4</v>
      </c>
      <c r="CW3635" s="115">
        <v>0.11332468572476186</v>
      </c>
      <c r="CX3635" s="115" t="e">
        <v>#N/A</v>
      </c>
      <c r="CY3635" s="115" t="e">
        <v>#N/A</v>
      </c>
      <c r="CZ3635" s="137" t="e">
        <v>#N/A</v>
      </c>
      <c r="DA3635">
        <v>0.11332468572476186</v>
      </c>
      <c r="DB3635" t="str">
        <v/>
      </c>
    </row>
    <row r="3636" spans="83:106" x14ac:dyDescent="0.2">
      <c r="CE3636"/>
      <c r="CF3636"/>
      <c r="CG3636"/>
      <c r="CH3636"/>
      <c r="CI3636"/>
      <c r="CU3636" s="42">
        <v>3631</v>
      </c>
      <c r="CV3636" s="115">
        <v>4</v>
      </c>
      <c r="CW3636" s="115">
        <v>0.11332468572476186</v>
      </c>
      <c r="CX3636" s="115" t="e">
        <v>#N/A</v>
      </c>
      <c r="CY3636" s="115" t="e">
        <v>#N/A</v>
      </c>
      <c r="CZ3636" s="137" t="e">
        <v>#N/A</v>
      </c>
      <c r="DA3636">
        <v>0.11332468572476186</v>
      </c>
      <c r="DB3636" t="str">
        <v/>
      </c>
    </row>
    <row r="3637" spans="83:106" x14ac:dyDescent="0.2">
      <c r="CE3637"/>
      <c r="CF3637"/>
      <c r="CG3637"/>
      <c r="CH3637"/>
      <c r="CI3637"/>
      <c r="CU3637" s="42">
        <v>3632</v>
      </c>
      <c r="CV3637" s="115">
        <v>4</v>
      </c>
      <c r="CW3637" s="115">
        <v>0.11332468572476186</v>
      </c>
      <c r="CX3637" s="115" t="e">
        <v>#N/A</v>
      </c>
      <c r="CY3637" s="115" t="e">
        <v>#N/A</v>
      </c>
      <c r="CZ3637" s="137" t="e">
        <v>#N/A</v>
      </c>
      <c r="DA3637">
        <v>0.11332468572476186</v>
      </c>
      <c r="DB3637" t="str">
        <v/>
      </c>
    </row>
    <row r="3638" spans="83:106" x14ac:dyDescent="0.2">
      <c r="CE3638"/>
      <c r="CF3638"/>
      <c r="CG3638"/>
      <c r="CH3638"/>
      <c r="CI3638"/>
      <c r="CU3638" s="42">
        <v>3633</v>
      </c>
      <c r="CV3638" s="115">
        <v>4</v>
      </c>
      <c r="CW3638" s="115">
        <v>0.11332468572476186</v>
      </c>
      <c r="CX3638" s="115" t="e">
        <v>#N/A</v>
      </c>
      <c r="CY3638" s="115" t="e">
        <v>#N/A</v>
      </c>
      <c r="CZ3638" s="137" t="e">
        <v>#N/A</v>
      </c>
      <c r="DA3638">
        <v>0.11332468572476186</v>
      </c>
      <c r="DB3638" t="str">
        <v/>
      </c>
    </row>
    <row r="3639" spans="83:106" x14ac:dyDescent="0.2">
      <c r="CE3639"/>
      <c r="CF3639"/>
      <c r="CG3639"/>
      <c r="CH3639"/>
      <c r="CI3639"/>
      <c r="CU3639" s="42">
        <v>3634</v>
      </c>
      <c r="CV3639" s="115">
        <v>4</v>
      </c>
      <c r="CW3639" s="115">
        <v>0.11332468572476186</v>
      </c>
      <c r="CX3639" s="115" t="e">
        <v>#N/A</v>
      </c>
      <c r="CY3639" s="115" t="e">
        <v>#N/A</v>
      </c>
      <c r="CZ3639" s="137" t="e">
        <v>#N/A</v>
      </c>
      <c r="DA3639">
        <v>0.11332468572476186</v>
      </c>
      <c r="DB3639" t="str">
        <v/>
      </c>
    </row>
    <row r="3640" spans="83:106" x14ac:dyDescent="0.2">
      <c r="CE3640"/>
      <c r="CF3640"/>
      <c r="CG3640"/>
      <c r="CH3640"/>
      <c r="CI3640"/>
      <c r="CU3640" s="42">
        <v>3635</v>
      </c>
      <c r="CV3640" s="115">
        <v>4</v>
      </c>
      <c r="CW3640" s="115">
        <v>0.11332468572476186</v>
      </c>
      <c r="CX3640" s="115" t="e">
        <v>#N/A</v>
      </c>
      <c r="CY3640" s="115" t="e">
        <v>#N/A</v>
      </c>
      <c r="CZ3640" s="137" t="e">
        <v>#N/A</v>
      </c>
      <c r="DA3640">
        <v>0.11332468572476186</v>
      </c>
      <c r="DB3640" t="str">
        <v/>
      </c>
    </row>
    <row r="3641" spans="83:106" x14ac:dyDescent="0.2">
      <c r="CE3641"/>
      <c r="CF3641"/>
      <c r="CG3641"/>
      <c r="CH3641"/>
      <c r="CI3641"/>
      <c r="CU3641" s="42">
        <v>3636</v>
      </c>
      <c r="CV3641" s="115">
        <v>4</v>
      </c>
      <c r="CW3641" s="115">
        <v>0.11332468572476186</v>
      </c>
      <c r="CX3641" s="115" t="e">
        <v>#N/A</v>
      </c>
      <c r="CY3641" s="115" t="e">
        <v>#N/A</v>
      </c>
      <c r="CZ3641" s="137" t="e">
        <v>#N/A</v>
      </c>
      <c r="DA3641">
        <v>0.11332468572476186</v>
      </c>
      <c r="DB3641" t="str">
        <v/>
      </c>
    </row>
    <row r="3642" spans="83:106" x14ac:dyDescent="0.2">
      <c r="CE3642"/>
      <c r="CF3642"/>
      <c r="CG3642"/>
      <c r="CH3642"/>
      <c r="CI3642"/>
      <c r="CU3642" s="42">
        <v>3637</v>
      </c>
      <c r="CV3642" s="115">
        <v>4</v>
      </c>
      <c r="CW3642" s="115">
        <v>0.11332468572476186</v>
      </c>
      <c r="CX3642" s="115" t="e">
        <v>#N/A</v>
      </c>
      <c r="CY3642" s="115" t="e">
        <v>#N/A</v>
      </c>
      <c r="CZ3642" s="137" t="e">
        <v>#N/A</v>
      </c>
      <c r="DA3642">
        <v>0.11332468572476186</v>
      </c>
      <c r="DB3642" t="str">
        <v/>
      </c>
    </row>
    <row r="3643" spans="83:106" x14ac:dyDescent="0.2">
      <c r="CE3643"/>
      <c r="CF3643"/>
      <c r="CG3643"/>
      <c r="CH3643"/>
      <c r="CI3643"/>
      <c r="CU3643" s="42">
        <v>3638</v>
      </c>
      <c r="CV3643" s="115">
        <v>4</v>
      </c>
      <c r="CW3643" s="115">
        <v>0.11332468572476186</v>
      </c>
      <c r="CX3643" s="115" t="e">
        <v>#N/A</v>
      </c>
      <c r="CY3643" s="115" t="e">
        <v>#N/A</v>
      </c>
      <c r="CZ3643" s="137" t="e">
        <v>#N/A</v>
      </c>
      <c r="DA3643">
        <v>0.11332468572476186</v>
      </c>
      <c r="DB3643" t="str">
        <v/>
      </c>
    </row>
    <row r="3644" spans="83:106" x14ac:dyDescent="0.2">
      <c r="CE3644"/>
      <c r="CF3644"/>
      <c r="CG3644"/>
      <c r="CH3644"/>
      <c r="CI3644"/>
      <c r="CU3644" s="42">
        <v>3639</v>
      </c>
      <c r="CV3644" s="115">
        <v>4</v>
      </c>
      <c r="CW3644" s="115">
        <v>0.11332468572476186</v>
      </c>
      <c r="CX3644" s="115" t="e">
        <v>#N/A</v>
      </c>
      <c r="CY3644" s="115" t="e">
        <v>#N/A</v>
      </c>
      <c r="CZ3644" s="137" t="e">
        <v>#N/A</v>
      </c>
      <c r="DA3644">
        <v>0.11332468572476186</v>
      </c>
      <c r="DB3644" t="str">
        <v/>
      </c>
    </row>
    <row r="3645" spans="83:106" x14ac:dyDescent="0.2">
      <c r="CE3645"/>
      <c r="CF3645"/>
      <c r="CG3645"/>
      <c r="CH3645"/>
      <c r="CI3645"/>
      <c r="CU3645" s="42">
        <v>3640</v>
      </c>
      <c r="CV3645" s="115">
        <v>4</v>
      </c>
      <c r="CW3645" s="115">
        <v>0.11332468572476186</v>
      </c>
      <c r="CX3645" s="115" t="e">
        <v>#N/A</v>
      </c>
      <c r="CY3645" s="115" t="e">
        <v>#N/A</v>
      </c>
      <c r="CZ3645" s="137" t="e">
        <v>#N/A</v>
      </c>
      <c r="DA3645">
        <v>0.11332468572476186</v>
      </c>
      <c r="DB3645" t="str">
        <v/>
      </c>
    </row>
    <row r="3646" spans="83:106" x14ac:dyDescent="0.2">
      <c r="CE3646"/>
      <c r="CF3646"/>
      <c r="CG3646"/>
      <c r="CH3646"/>
      <c r="CI3646"/>
      <c r="CU3646" s="42">
        <v>3641</v>
      </c>
      <c r="CV3646" s="115">
        <v>4</v>
      </c>
      <c r="CW3646" s="115">
        <v>0.11332468572476186</v>
      </c>
      <c r="CX3646" s="115" t="e">
        <v>#N/A</v>
      </c>
      <c r="CY3646" s="115" t="e">
        <v>#N/A</v>
      </c>
      <c r="CZ3646" s="137" t="e">
        <v>#N/A</v>
      </c>
      <c r="DA3646">
        <v>0.11332468572476186</v>
      </c>
      <c r="DB3646" t="str">
        <v/>
      </c>
    </row>
    <row r="3647" spans="83:106" x14ac:dyDescent="0.2">
      <c r="CE3647"/>
      <c r="CF3647"/>
      <c r="CG3647"/>
      <c r="CH3647"/>
      <c r="CI3647"/>
      <c r="CU3647" s="42">
        <v>3642</v>
      </c>
      <c r="CV3647" s="115">
        <v>4</v>
      </c>
      <c r="CW3647" s="115">
        <v>0.11332468572476186</v>
      </c>
      <c r="CX3647" s="115" t="e">
        <v>#N/A</v>
      </c>
      <c r="CY3647" s="115" t="e">
        <v>#N/A</v>
      </c>
      <c r="CZ3647" s="137" t="e">
        <v>#N/A</v>
      </c>
      <c r="DA3647">
        <v>0.11332468572476186</v>
      </c>
      <c r="DB3647" t="str">
        <v/>
      </c>
    </row>
    <row r="3648" spans="83:106" x14ac:dyDescent="0.2">
      <c r="CE3648"/>
      <c r="CF3648"/>
      <c r="CG3648"/>
      <c r="CH3648"/>
      <c r="CI3648"/>
      <c r="CU3648" s="42">
        <v>3643</v>
      </c>
      <c r="CV3648" s="115">
        <v>4</v>
      </c>
      <c r="CW3648" s="115">
        <v>0.11332468572476186</v>
      </c>
      <c r="CX3648" s="115" t="e">
        <v>#N/A</v>
      </c>
      <c r="CY3648" s="115" t="e">
        <v>#N/A</v>
      </c>
      <c r="CZ3648" s="137" t="e">
        <v>#N/A</v>
      </c>
      <c r="DA3648">
        <v>0.11332468572476186</v>
      </c>
      <c r="DB3648" t="str">
        <v/>
      </c>
    </row>
    <row r="3649" spans="83:106" x14ac:dyDescent="0.2">
      <c r="CE3649"/>
      <c r="CF3649"/>
      <c r="CG3649"/>
      <c r="CH3649"/>
      <c r="CI3649"/>
      <c r="CU3649" s="42">
        <v>3644</v>
      </c>
      <c r="CV3649" s="115">
        <v>4</v>
      </c>
      <c r="CW3649" s="115">
        <v>0.11332468572476186</v>
      </c>
      <c r="CX3649" s="115" t="e">
        <v>#N/A</v>
      </c>
      <c r="CY3649" s="115" t="e">
        <v>#N/A</v>
      </c>
      <c r="CZ3649" s="137" t="e">
        <v>#N/A</v>
      </c>
      <c r="DA3649">
        <v>0.11332468572476186</v>
      </c>
      <c r="DB3649" t="str">
        <v/>
      </c>
    </row>
    <row r="3650" spans="83:106" x14ac:dyDescent="0.2">
      <c r="CE3650"/>
      <c r="CF3650"/>
      <c r="CG3650"/>
      <c r="CH3650"/>
      <c r="CI3650"/>
      <c r="CU3650" s="42">
        <v>3645</v>
      </c>
      <c r="CV3650" s="115">
        <v>4</v>
      </c>
      <c r="CW3650" s="115">
        <v>0.11332468572476186</v>
      </c>
      <c r="CX3650" s="115" t="e">
        <v>#N/A</v>
      </c>
      <c r="CY3650" s="115" t="e">
        <v>#N/A</v>
      </c>
      <c r="CZ3650" s="137" t="e">
        <v>#N/A</v>
      </c>
      <c r="DA3650">
        <v>0.11332468572476186</v>
      </c>
      <c r="DB3650" t="str">
        <v/>
      </c>
    </row>
    <row r="3651" spans="83:106" x14ac:dyDescent="0.2">
      <c r="CE3651"/>
      <c r="CF3651"/>
      <c r="CG3651"/>
      <c r="CH3651"/>
      <c r="CI3651"/>
      <c r="CU3651" s="42">
        <v>3646</v>
      </c>
      <c r="CV3651" s="115">
        <v>4</v>
      </c>
      <c r="CW3651" s="115">
        <v>0.11332468572476186</v>
      </c>
      <c r="CX3651" s="115" t="e">
        <v>#N/A</v>
      </c>
      <c r="CY3651" s="115" t="e">
        <v>#N/A</v>
      </c>
      <c r="CZ3651" s="137" t="e">
        <v>#N/A</v>
      </c>
      <c r="DA3651">
        <v>0.11332468572476186</v>
      </c>
      <c r="DB3651" t="str">
        <v/>
      </c>
    </row>
    <row r="3652" spans="83:106" x14ac:dyDescent="0.2">
      <c r="CE3652"/>
      <c r="CF3652"/>
      <c r="CG3652"/>
      <c r="CH3652"/>
      <c r="CI3652"/>
      <c r="CU3652" s="42">
        <v>3647</v>
      </c>
      <c r="CV3652" s="115">
        <v>4</v>
      </c>
      <c r="CW3652" s="115">
        <v>0.11332468572476186</v>
      </c>
      <c r="CX3652" s="115" t="e">
        <v>#N/A</v>
      </c>
      <c r="CY3652" s="115" t="e">
        <v>#N/A</v>
      </c>
      <c r="CZ3652" s="137" t="e">
        <v>#N/A</v>
      </c>
      <c r="DA3652">
        <v>0.11332468572476186</v>
      </c>
      <c r="DB3652" t="str">
        <v/>
      </c>
    </row>
    <row r="3653" spans="83:106" x14ac:dyDescent="0.2">
      <c r="CE3653"/>
      <c r="CF3653"/>
      <c r="CG3653"/>
      <c r="CH3653"/>
      <c r="CI3653"/>
      <c r="CU3653" s="42">
        <v>3648</v>
      </c>
      <c r="CV3653" s="115">
        <v>4</v>
      </c>
      <c r="CW3653" s="115">
        <v>0.11332468572476186</v>
      </c>
      <c r="CX3653" s="115" t="e">
        <v>#N/A</v>
      </c>
      <c r="CY3653" s="115" t="e">
        <v>#N/A</v>
      </c>
      <c r="CZ3653" s="137" t="e">
        <v>#N/A</v>
      </c>
      <c r="DA3653">
        <v>0.11332468572476186</v>
      </c>
      <c r="DB3653" t="str">
        <v/>
      </c>
    </row>
    <row r="3654" spans="83:106" x14ac:dyDescent="0.2">
      <c r="CE3654"/>
      <c r="CF3654"/>
      <c r="CG3654"/>
      <c r="CH3654"/>
      <c r="CI3654"/>
      <c r="CU3654" s="42">
        <v>3649</v>
      </c>
      <c r="CV3654" s="115">
        <v>4</v>
      </c>
      <c r="CW3654" s="115">
        <v>0.11332468572476186</v>
      </c>
      <c r="CX3654" s="115" t="e">
        <v>#N/A</v>
      </c>
      <c r="CY3654" s="115" t="e">
        <v>#N/A</v>
      </c>
      <c r="CZ3654" s="137" t="e">
        <v>#N/A</v>
      </c>
      <c r="DA3654">
        <v>0.11332468572476186</v>
      </c>
      <c r="DB3654" t="str">
        <v/>
      </c>
    </row>
    <row r="3655" spans="83:106" x14ac:dyDescent="0.2">
      <c r="CE3655"/>
      <c r="CF3655"/>
      <c r="CG3655"/>
      <c r="CH3655"/>
      <c r="CI3655"/>
      <c r="CU3655" s="42">
        <v>3650</v>
      </c>
      <c r="CV3655" s="115">
        <v>4</v>
      </c>
      <c r="CW3655" s="115">
        <v>0.11332468572476186</v>
      </c>
      <c r="CX3655" s="115" t="e">
        <v>#N/A</v>
      </c>
      <c r="CY3655" s="115" t="e">
        <v>#N/A</v>
      </c>
      <c r="CZ3655" s="137" t="e">
        <v>#N/A</v>
      </c>
      <c r="DA3655">
        <v>0.11332468572476186</v>
      </c>
      <c r="DB3655" t="str">
        <v/>
      </c>
    </row>
    <row r="3656" spans="83:106" x14ac:dyDescent="0.2">
      <c r="CE3656"/>
      <c r="CF3656"/>
      <c r="CG3656"/>
      <c r="CH3656"/>
      <c r="CI3656"/>
      <c r="CU3656" s="42">
        <v>3651</v>
      </c>
      <c r="CV3656" s="115">
        <v>4</v>
      </c>
      <c r="CW3656" s="115">
        <v>0.11332468572476186</v>
      </c>
      <c r="CX3656" s="115" t="e">
        <v>#N/A</v>
      </c>
      <c r="CY3656" s="115" t="e">
        <v>#N/A</v>
      </c>
      <c r="CZ3656" s="137" t="e">
        <v>#N/A</v>
      </c>
      <c r="DA3656">
        <v>0.11332468572476186</v>
      </c>
      <c r="DB3656" t="str">
        <v/>
      </c>
    </row>
    <row r="3657" spans="83:106" x14ac:dyDescent="0.2">
      <c r="CE3657"/>
      <c r="CF3657"/>
      <c r="CG3657"/>
      <c r="CH3657"/>
      <c r="CI3657"/>
      <c r="CU3657" s="42">
        <v>3652</v>
      </c>
      <c r="CV3657" s="115">
        <v>4</v>
      </c>
      <c r="CW3657" s="115">
        <v>0.11332468572476186</v>
      </c>
      <c r="CX3657" s="115" t="e">
        <v>#N/A</v>
      </c>
      <c r="CY3657" s="115" t="e">
        <v>#N/A</v>
      </c>
      <c r="CZ3657" s="137" t="e">
        <v>#N/A</v>
      </c>
      <c r="DA3657">
        <v>0.11332468572476186</v>
      </c>
      <c r="DB3657" t="str">
        <v/>
      </c>
    </row>
    <row r="3658" spans="83:106" x14ac:dyDescent="0.2">
      <c r="CE3658"/>
      <c r="CF3658"/>
      <c r="CG3658"/>
      <c r="CH3658"/>
      <c r="CI3658"/>
      <c r="CU3658" s="42">
        <v>3653</v>
      </c>
      <c r="CV3658" s="115">
        <v>4</v>
      </c>
      <c r="CW3658" s="115">
        <v>0.11332468572476186</v>
      </c>
      <c r="CX3658" s="115" t="e">
        <v>#N/A</v>
      </c>
      <c r="CY3658" s="115" t="e">
        <v>#N/A</v>
      </c>
      <c r="CZ3658" s="137" t="e">
        <v>#N/A</v>
      </c>
      <c r="DA3658">
        <v>0.11332468572476186</v>
      </c>
      <c r="DB3658" t="str">
        <v/>
      </c>
    </row>
    <row r="3659" spans="83:106" x14ac:dyDescent="0.2">
      <c r="CE3659"/>
      <c r="CF3659"/>
      <c r="CG3659"/>
      <c r="CH3659"/>
      <c r="CI3659"/>
      <c r="CU3659" s="42">
        <v>3654</v>
      </c>
      <c r="CV3659" s="115">
        <v>4</v>
      </c>
      <c r="CW3659" s="115">
        <v>0.11332468572476186</v>
      </c>
      <c r="CX3659" s="115" t="e">
        <v>#N/A</v>
      </c>
      <c r="CY3659" s="115" t="e">
        <v>#N/A</v>
      </c>
      <c r="CZ3659" s="137" t="e">
        <v>#N/A</v>
      </c>
      <c r="DA3659">
        <v>0.11332468572476186</v>
      </c>
      <c r="DB3659" t="str">
        <v/>
      </c>
    </row>
    <row r="3660" spans="83:106" x14ac:dyDescent="0.2">
      <c r="CE3660"/>
      <c r="CF3660"/>
      <c r="CG3660"/>
      <c r="CH3660"/>
      <c r="CI3660"/>
      <c r="CU3660" s="42">
        <v>3655</v>
      </c>
      <c r="CV3660" s="115">
        <v>4</v>
      </c>
      <c r="CW3660" s="115">
        <v>0.11332468572476186</v>
      </c>
      <c r="CX3660" s="115" t="e">
        <v>#N/A</v>
      </c>
      <c r="CY3660" s="115" t="e">
        <v>#N/A</v>
      </c>
      <c r="CZ3660" s="137" t="e">
        <v>#N/A</v>
      </c>
      <c r="DA3660">
        <v>0.11332468572476186</v>
      </c>
      <c r="DB3660" t="str">
        <v/>
      </c>
    </row>
    <row r="3661" spans="83:106" x14ac:dyDescent="0.2">
      <c r="CE3661"/>
      <c r="CF3661"/>
      <c r="CG3661"/>
      <c r="CH3661"/>
      <c r="CI3661"/>
      <c r="CU3661" s="42">
        <v>3656</v>
      </c>
      <c r="CV3661" s="115">
        <v>4</v>
      </c>
      <c r="CW3661" s="115">
        <v>0.11332468572476186</v>
      </c>
      <c r="CX3661" s="115" t="e">
        <v>#N/A</v>
      </c>
      <c r="CY3661" s="115" t="e">
        <v>#N/A</v>
      </c>
      <c r="CZ3661" s="137" t="e">
        <v>#N/A</v>
      </c>
      <c r="DA3661">
        <v>0.11332468572476186</v>
      </c>
      <c r="DB3661" t="str">
        <v/>
      </c>
    </row>
    <row r="3662" spans="83:106" x14ac:dyDescent="0.2">
      <c r="CE3662"/>
      <c r="CF3662"/>
      <c r="CG3662"/>
      <c r="CH3662"/>
      <c r="CI3662"/>
      <c r="CU3662" s="42">
        <v>3657</v>
      </c>
      <c r="CV3662" s="115">
        <v>4</v>
      </c>
      <c r="CW3662" s="115">
        <v>0.11332468572476186</v>
      </c>
      <c r="CX3662" s="115" t="e">
        <v>#N/A</v>
      </c>
      <c r="CY3662" s="115" t="e">
        <v>#N/A</v>
      </c>
      <c r="CZ3662" s="137" t="e">
        <v>#N/A</v>
      </c>
      <c r="DA3662">
        <v>0.11332468572476186</v>
      </c>
      <c r="DB3662" t="str">
        <v/>
      </c>
    </row>
    <row r="3663" spans="83:106" x14ac:dyDescent="0.2">
      <c r="CE3663"/>
      <c r="CF3663"/>
      <c r="CG3663"/>
      <c r="CH3663"/>
      <c r="CI3663"/>
      <c r="CU3663" s="42">
        <v>3658</v>
      </c>
      <c r="CV3663" s="115">
        <v>4</v>
      </c>
      <c r="CW3663" s="115">
        <v>0.11332468572476186</v>
      </c>
      <c r="CX3663" s="115" t="e">
        <v>#N/A</v>
      </c>
      <c r="CY3663" s="115" t="e">
        <v>#N/A</v>
      </c>
      <c r="CZ3663" s="137" t="e">
        <v>#N/A</v>
      </c>
      <c r="DA3663">
        <v>0.11332468572476186</v>
      </c>
      <c r="DB3663" t="str">
        <v/>
      </c>
    </row>
    <row r="3664" spans="83:106" x14ac:dyDescent="0.2">
      <c r="CE3664"/>
      <c r="CF3664"/>
      <c r="CG3664"/>
      <c r="CH3664"/>
      <c r="CI3664"/>
      <c r="CU3664" s="42">
        <v>3659</v>
      </c>
      <c r="CV3664" s="115">
        <v>4</v>
      </c>
      <c r="CW3664" s="115">
        <v>0.11332468572476186</v>
      </c>
      <c r="CX3664" s="115" t="e">
        <v>#N/A</v>
      </c>
      <c r="CY3664" s="115" t="e">
        <v>#N/A</v>
      </c>
      <c r="CZ3664" s="137" t="e">
        <v>#N/A</v>
      </c>
      <c r="DA3664">
        <v>0.11332468572476186</v>
      </c>
      <c r="DB3664" t="str">
        <v/>
      </c>
    </row>
    <row r="3665" spans="83:106" x14ac:dyDescent="0.2">
      <c r="CE3665"/>
      <c r="CF3665"/>
      <c r="CG3665"/>
      <c r="CH3665"/>
      <c r="CI3665"/>
      <c r="CU3665" s="42">
        <v>3660</v>
      </c>
      <c r="CV3665" s="115">
        <v>4</v>
      </c>
      <c r="CW3665" s="115">
        <v>0.11332468572476186</v>
      </c>
      <c r="CX3665" s="115" t="e">
        <v>#N/A</v>
      </c>
      <c r="CY3665" s="115" t="e">
        <v>#N/A</v>
      </c>
      <c r="CZ3665" s="137" t="e">
        <v>#N/A</v>
      </c>
      <c r="DA3665">
        <v>0.11332468572476186</v>
      </c>
      <c r="DB3665" t="str">
        <v/>
      </c>
    </row>
    <row r="3666" spans="83:106" x14ac:dyDescent="0.2">
      <c r="CE3666"/>
      <c r="CF3666"/>
      <c r="CG3666"/>
      <c r="CH3666"/>
      <c r="CI3666"/>
      <c r="CU3666" s="42">
        <v>3661</v>
      </c>
      <c r="CV3666" s="115">
        <v>4</v>
      </c>
      <c r="CW3666" s="115">
        <v>0.11332468572476186</v>
      </c>
      <c r="CX3666" s="115" t="e">
        <v>#N/A</v>
      </c>
      <c r="CY3666" s="115" t="e">
        <v>#N/A</v>
      </c>
      <c r="CZ3666" s="137" t="e">
        <v>#N/A</v>
      </c>
      <c r="DA3666">
        <v>0.11332468572476186</v>
      </c>
      <c r="DB3666" t="str">
        <v/>
      </c>
    </row>
    <row r="3667" spans="83:106" x14ac:dyDescent="0.2">
      <c r="CE3667"/>
      <c r="CF3667"/>
      <c r="CG3667"/>
      <c r="CH3667"/>
      <c r="CI3667"/>
      <c r="CU3667" s="42">
        <v>3662</v>
      </c>
      <c r="CV3667" s="115">
        <v>4</v>
      </c>
      <c r="CW3667" s="115">
        <v>0.11332468572476186</v>
      </c>
      <c r="CX3667" s="115" t="e">
        <v>#N/A</v>
      </c>
      <c r="CY3667" s="115" t="e">
        <v>#N/A</v>
      </c>
      <c r="CZ3667" s="137" t="e">
        <v>#N/A</v>
      </c>
      <c r="DA3667">
        <v>0.11332468572476186</v>
      </c>
      <c r="DB3667" t="str">
        <v/>
      </c>
    </row>
    <row r="3668" spans="83:106" x14ac:dyDescent="0.2">
      <c r="CE3668"/>
      <c r="CF3668"/>
      <c r="CG3668"/>
      <c r="CH3668"/>
      <c r="CI3668"/>
      <c r="CU3668" s="42">
        <v>3663</v>
      </c>
      <c r="CV3668" s="115">
        <v>4</v>
      </c>
      <c r="CW3668" s="115">
        <v>0.11332468572476186</v>
      </c>
      <c r="CX3668" s="115" t="e">
        <v>#N/A</v>
      </c>
      <c r="CY3668" s="115" t="e">
        <v>#N/A</v>
      </c>
      <c r="CZ3668" s="137" t="e">
        <v>#N/A</v>
      </c>
      <c r="DA3668">
        <v>0.11332468572476186</v>
      </c>
      <c r="DB3668" t="str">
        <v/>
      </c>
    </row>
    <row r="3669" spans="83:106" x14ac:dyDescent="0.2">
      <c r="CE3669"/>
      <c r="CF3669"/>
      <c r="CG3669"/>
      <c r="CH3669"/>
      <c r="CI3669"/>
      <c r="CU3669" s="42">
        <v>3664</v>
      </c>
      <c r="CV3669" s="115">
        <v>4</v>
      </c>
      <c r="CW3669" s="115">
        <v>0.11332468572476186</v>
      </c>
      <c r="CX3669" s="115" t="e">
        <v>#N/A</v>
      </c>
      <c r="CY3669" s="115" t="e">
        <v>#N/A</v>
      </c>
      <c r="CZ3669" s="137" t="e">
        <v>#N/A</v>
      </c>
      <c r="DA3669">
        <v>0.11332468572476186</v>
      </c>
      <c r="DB3669" t="str">
        <v/>
      </c>
    </row>
    <row r="3670" spans="83:106" x14ac:dyDescent="0.2">
      <c r="CE3670"/>
      <c r="CF3670"/>
      <c r="CG3670"/>
      <c r="CH3670"/>
      <c r="CI3670"/>
      <c r="CU3670" s="42">
        <v>3665</v>
      </c>
      <c r="CV3670" s="115">
        <v>4</v>
      </c>
      <c r="CW3670" s="115">
        <v>0.11332468572476186</v>
      </c>
      <c r="CX3670" s="115" t="e">
        <v>#N/A</v>
      </c>
      <c r="CY3670" s="115" t="e">
        <v>#N/A</v>
      </c>
      <c r="CZ3670" s="137" t="e">
        <v>#N/A</v>
      </c>
      <c r="DA3670">
        <v>0.11332468572476186</v>
      </c>
      <c r="DB3670" t="str">
        <v/>
      </c>
    </row>
    <row r="3671" spans="83:106" x14ac:dyDescent="0.2">
      <c r="CE3671"/>
      <c r="CF3671"/>
      <c r="CG3671"/>
      <c r="CH3671"/>
      <c r="CI3671"/>
      <c r="CU3671" s="42">
        <v>3666</v>
      </c>
      <c r="CV3671" s="115">
        <v>4</v>
      </c>
      <c r="CW3671" s="115">
        <v>0.11332468572476186</v>
      </c>
      <c r="CX3671" s="115" t="e">
        <v>#N/A</v>
      </c>
      <c r="CY3671" s="115" t="e">
        <v>#N/A</v>
      </c>
      <c r="CZ3671" s="137" t="e">
        <v>#N/A</v>
      </c>
      <c r="DA3671">
        <v>0.11332468572476186</v>
      </c>
      <c r="DB3671" t="str">
        <v/>
      </c>
    </row>
    <row r="3672" spans="83:106" x14ac:dyDescent="0.2">
      <c r="CE3672"/>
      <c r="CF3672"/>
      <c r="CG3672"/>
      <c r="CH3672"/>
      <c r="CI3672"/>
      <c r="CU3672" s="42">
        <v>3667</v>
      </c>
      <c r="CV3672" s="115">
        <v>4</v>
      </c>
      <c r="CW3672" s="115">
        <v>0.11332468572476186</v>
      </c>
      <c r="CX3672" s="115" t="e">
        <v>#N/A</v>
      </c>
      <c r="CY3672" s="115" t="e">
        <v>#N/A</v>
      </c>
      <c r="CZ3672" s="137" t="e">
        <v>#N/A</v>
      </c>
      <c r="DA3672">
        <v>0.11332468572476186</v>
      </c>
      <c r="DB3672" t="str">
        <v/>
      </c>
    </row>
    <row r="3673" spans="83:106" x14ac:dyDescent="0.2">
      <c r="CE3673"/>
      <c r="CF3673"/>
      <c r="CG3673"/>
      <c r="CH3673"/>
      <c r="CI3673"/>
      <c r="CU3673" s="42">
        <v>3668</v>
      </c>
      <c r="CV3673" s="115">
        <v>4</v>
      </c>
      <c r="CW3673" s="115">
        <v>0.11332468572476186</v>
      </c>
      <c r="CX3673" s="115" t="e">
        <v>#N/A</v>
      </c>
      <c r="CY3673" s="115" t="e">
        <v>#N/A</v>
      </c>
      <c r="CZ3673" s="137" t="e">
        <v>#N/A</v>
      </c>
      <c r="DA3673">
        <v>0.11332468572476186</v>
      </c>
      <c r="DB3673" t="str">
        <v/>
      </c>
    </row>
    <row r="3674" spans="83:106" x14ac:dyDescent="0.2">
      <c r="CE3674"/>
      <c r="CF3674"/>
      <c r="CG3674"/>
      <c r="CH3674"/>
      <c r="CI3674"/>
      <c r="CU3674" s="42">
        <v>3669</v>
      </c>
      <c r="CV3674" s="115">
        <v>4</v>
      </c>
      <c r="CW3674" s="115">
        <v>0.11332468572476186</v>
      </c>
      <c r="CX3674" s="115" t="e">
        <v>#N/A</v>
      </c>
      <c r="CY3674" s="115" t="e">
        <v>#N/A</v>
      </c>
      <c r="CZ3674" s="137" t="e">
        <v>#N/A</v>
      </c>
      <c r="DA3674">
        <v>0.11332468572476186</v>
      </c>
      <c r="DB3674" t="str">
        <v/>
      </c>
    </row>
    <row r="3675" spans="83:106" x14ac:dyDescent="0.2">
      <c r="CE3675"/>
      <c r="CF3675"/>
      <c r="CG3675"/>
      <c r="CH3675"/>
      <c r="CI3675"/>
      <c r="CU3675" s="42">
        <v>3670</v>
      </c>
      <c r="CV3675" s="115">
        <v>4</v>
      </c>
      <c r="CW3675" s="115">
        <v>0.11332468572476186</v>
      </c>
      <c r="CX3675" s="115" t="e">
        <v>#N/A</v>
      </c>
      <c r="CY3675" s="115" t="e">
        <v>#N/A</v>
      </c>
      <c r="CZ3675" s="137" t="e">
        <v>#N/A</v>
      </c>
      <c r="DA3675">
        <v>0.11332468572476186</v>
      </c>
      <c r="DB3675" t="str">
        <v/>
      </c>
    </row>
    <row r="3676" spans="83:106" x14ac:dyDescent="0.2">
      <c r="CE3676"/>
      <c r="CF3676"/>
      <c r="CG3676"/>
      <c r="CH3676"/>
      <c r="CI3676"/>
      <c r="CU3676" s="42">
        <v>3671</v>
      </c>
      <c r="CV3676" s="115">
        <v>4</v>
      </c>
      <c r="CW3676" s="115">
        <v>0.11332468572476186</v>
      </c>
      <c r="CX3676" s="115" t="e">
        <v>#N/A</v>
      </c>
      <c r="CY3676" s="115" t="e">
        <v>#N/A</v>
      </c>
      <c r="CZ3676" s="137" t="e">
        <v>#N/A</v>
      </c>
      <c r="DA3676">
        <v>0.11332468572476186</v>
      </c>
      <c r="DB3676" t="str">
        <v/>
      </c>
    </row>
    <row r="3677" spans="83:106" x14ac:dyDescent="0.2">
      <c r="CE3677"/>
      <c r="CF3677"/>
      <c r="CG3677"/>
      <c r="CH3677"/>
      <c r="CI3677"/>
      <c r="CU3677" s="42">
        <v>3672</v>
      </c>
      <c r="CV3677" s="115">
        <v>4</v>
      </c>
      <c r="CW3677" s="115">
        <v>0.11332468572476186</v>
      </c>
      <c r="CX3677" s="115" t="e">
        <v>#N/A</v>
      </c>
      <c r="CY3677" s="115" t="e">
        <v>#N/A</v>
      </c>
      <c r="CZ3677" s="137" t="e">
        <v>#N/A</v>
      </c>
      <c r="DA3677">
        <v>0.11332468572476186</v>
      </c>
      <c r="DB3677" t="str">
        <v/>
      </c>
    </row>
    <row r="3678" spans="83:106" x14ac:dyDescent="0.2">
      <c r="CE3678"/>
      <c r="CF3678"/>
      <c r="CG3678"/>
      <c r="CH3678"/>
      <c r="CI3678"/>
      <c r="CU3678" s="42">
        <v>3673</v>
      </c>
      <c r="CV3678" s="115">
        <v>4</v>
      </c>
      <c r="CW3678" s="115">
        <v>0.11332468572476186</v>
      </c>
      <c r="CX3678" s="115" t="e">
        <v>#N/A</v>
      </c>
      <c r="CY3678" s="115" t="e">
        <v>#N/A</v>
      </c>
      <c r="CZ3678" s="137" t="e">
        <v>#N/A</v>
      </c>
      <c r="DA3678">
        <v>0.11332468572476186</v>
      </c>
      <c r="DB3678" t="str">
        <v/>
      </c>
    </row>
    <row r="3679" spans="83:106" x14ac:dyDescent="0.2">
      <c r="CE3679"/>
      <c r="CF3679"/>
      <c r="CG3679"/>
      <c r="CH3679"/>
      <c r="CI3679"/>
      <c r="CU3679" s="42">
        <v>3674</v>
      </c>
      <c r="CV3679" s="115">
        <v>4</v>
      </c>
      <c r="CW3679" s="115">
        <v>0.11332468572476186</v>
      </c>
      <c r="CX3679" s="115" t="e">
        <v>#N/A</v>
      </c>
      <c r="CY3679" s="115" t="e">
        <v>#N/A</v>
      </c>
      <c r="CZ3679" s="137" t="e">
        <v>#N/A</v>
      </c>
      <c r="DA3679">
        <v>0.11332468572476186</v>
      </c>
      <c r="DB3679" t="str">
        <v/>
      </c>
    </row>
    <row r="3680" spans="83:106" x14ac:dyDescent="0.2">
      <c r="CE3680"/>
      <c r="CF3680"/>
      <c r="CG3680"/>
      <c r="CH3680"/>
      <c r="CI3680"/>
      <c r="CU3680" s="42">
        <v>3675</v>
      </c>
      <c r="CV3680" s="115">
        <v>4</v>
      </c>
      <c r="CW3680" s="115">
        <v>0.11332468572476186</v>
      </c>
      <c r="CX3680" s="115" t="e">
        <v>#N/A</v>
      </c>
      <c r="CY3680" s="115" t="e">
        <v>#N/A</v>
      </c>
      <c r="CZ3680" s="137" t="e">
        <v>#N/A</v>
      </c>
      <c r="DA3680">
        <v>0.11332468572476186</v>
      </c>
      <c r="DB3680" t="str">
        <v/>
      </c>
    </row>
    <row r="3681" spans="83:106" x14ac:dyDescent="0.2">
      <c r="CE3681"/>
      <c r="CF3681"/>
      <c r="CG3681"/>
      <c r="CH3681"/>
      <c r="CI3681"/>
      <c r="CU3681" s="42">
        <v>3676</v>
      </c>
      <c r="CV3681" s="115">
        <v>4</v>
      </c>
      <c r="CW3681" s="115">
        <v>0.11332468572476186</v>
      </c>
      <c r="CX3681" s="115" t="e">
        <v>#N/A</v>
      </c>
      <c r="CY3681" s="115" t="e">
        <v>#N/A</v>
      </c>
      <c r="CZ3681" s="137" t="e">
        <v>#N/A</v>
      </c>
      <c r="DA3681">
        <v>0.11332468572476186</v>
      </c>
      <c r="DB3681" t="str">
        <v/>
      </c>
    </row>
    <row r="3682" spans="83:106" x14ac:dyDescent="0.2">
      <c r="CE3682"/>
      <c r="CF3682"/>
      <c r="CG3682"/>
      <c r="CH3682"/>
      <c r="CI3682"/>
      <c r="CU3682" s="42">
        <v>3677</v>
      </c>
      <c r="CV3682" s="115">
        <v>4</v>
      </c>
      <c r="CW3682" s="115">
        <v>0.11332468572476186</v>
      </c>
      <c r="CX3682" s="115" t="e">
        <v>#N/A</v>
      </c>
      <c r="CY3682" s="115" t="e">
        <v>#N/A</v>
      </c>
      <c r="CZ3682" s="137" t="e">
        <v>#N/A</v>
      </c>
      <c r="DA3682">
        <v>0.11332468572476186</v>
      </c>
      <c r="DB3682" t="str">
        <v/>
      </c>
    </row>
    <row r="3683" spans="83:106" x14ac:dyDescent="0.2">
      <c r="CE3683"/>
      <c r="CF3683"/>
      <c r="CG3683"/>
      <c r="CH3683"/>
      <c r="CI3683"/>
      <c r="CU3683" s="42">
        <v>3678</v>
      </c>
      <c r="CV3683" s="115">
        <v>4</v>
      </c>
      <c r="CW3683" s="115">
        <v>0.11332468572476186</v>
      </c>
      <c r="CX3683" s="115" t="e">
        <v>#N/A</v>
      </c>
      <c r="CY3683" s="115" t="e">
        <v>#N/A</v>
      </c>
      <c r="CZ3683" s="137" t="e">
        <v>#N/A</v>
      </c>
      <c r="DA3683">
        <v>0.11332468572476186</v>
      </c>
      <c r="DB3683" t="str">
        <v/>
      </c>
    </row>
    <row r="3684" spans="83:106" x14ac:dyDescent="0.2">
      <c r="CE3684"/>
      <c r="CF3684"/>
      <c r="CG3684"/>
      <c r="CH3684"/>
      <c r="CI3684"/>
      <c r="CU3684" s="42">
        <v>3679</v>
      </c>
      <c r="CV3684" s="115">
        <v>4</v>
      </c>
      <c r="CW3684" s="115">
        <v>0.11332468572476186</v>
      </c>
      <c r="CX3684" s="115" t="e">
        <v>#N/A</v>
      </c>
      <c r="CY3684" s="115" t="e">
        <v>#N/A</v>
      </c>
      <c r="CZ3684" s="137" t="e">
        <v>#N/A</v>
      </c>
      <c r="DA3684">
        <v>0.11332468572476186</v>
      </c>
      <c r="DB3684" t="str">
        <v/>
      </c>
    </row>
    <row r="3685" spans="83:106" x14ac:dyDescent="0.2">
      <c r="CE3685"/>
      <c r="CF3685"/>
      <c r="CG3685"/>
      <c r="CH3685"/>
      <c r="CI3685"/>
      <c r="CU3685" s="42">
        <v>3680</v>
      </c>
      <c r="CV3685" s="115">
        <v>4</v>
      </c>
      <c r="CW3685" s="115">
        <v>0.11332468572476186</v>
      </c>
      <c r="CX3685" s="115" t="e">
        <v>#N/A</v>
      </c>
      <c r="CY3685" s="115" t="e">
        <v>#N/A</v>
      </c>
      <c r="CZ3685" s="137" t="e">
        <v>#N/A</v>
      </c>
      <c r="DA3685">
        <v>0.11332468572476186</v>
      </c>
      <c r="DB3685" t="str">
        <v/>
      </c>
    </row>
    <row r="3686" spans="83:106" x14ac:dyDescent="0.2">
      <c r="CE3686"/>
      <c r="CF3686"/>
      <c r="CG3686"/>
      <c r="CH3686"/>
      <c r="CI3686"/>
      <c r="CU3686" s="42">
        <v>3681</v>
      </c>
      <c r="CV3686" s="115">
        <v>4</v>
      </c>
      <c r="CW3686" s="115">
        <v>0.11332468572476186</v>
      </c>
      <c r="CX3686" s="115" t="e">
        <v>#N/A</v>
      </c>
      <c r="CY3686" s="115" t="e">
        <v>#N/A</v>
      </c>
      <c r="CZ3686" s="137" t="e">
        <v>#N/A</v>
      </c>
      <c r="DA3686">
        <v>0.11332468572476186</v>
      </c>
      <c r="DB3686" t="str">
        <v/>
      </c>
    </row>
    <row r="3687" spans="83:106" x14ac:dyDescent="0.2">
      <c r="CE3687"/>
      <c r="CF3687"/>
      <c r="CG3687"/>
      <c r="CH3687"/>
      <c r="CI3687"/>
      <c r="CU3687" s="42">
        <v>3682</v>
      </c>
      <c r="CV3687" s="115">
        <v>4</v>
      </c>
      <c r="CW3687" s="115">
        <v>0.11332468572476186</v>
      </c>
      <c r="CX3687" s="115" t="e">
        <v>#N/A</v>
      </c>
      <c r="CY3687" s="115" t="e">
        <v>#N/A</v>
      </c>
      <c r="CZ3687" s="137" t="e">
        <v>#N/A</v>
      </c>
      <c r="DA3687">
        <v>0.11332468572476186</v>
      </c>
      <c r="DB3687" t="str">
        <v/>
      </c>
    </row>
    <row r="3688" spans="83:106" x14ac:dyDescent="0.2">
      <c r="CE3688"/>
      <c r="CF3688"/>
      <c r="CG3688"/>
      <c r="CH3688"/>
      <c r="CI3688"/>
      <c r="CU3688" s="42">
        <v>3683</v>
      </c>
      <c r="CV3688" s="115">
        <v>4</v>
      </c>
      <c r="CW3688" s="115">
        <v>0.11332468572476186</v>
      </c>
      <c r="CX3688" s="115" t="e">
        <v>#N/A</v>
      </c>
      <c r="CY3688" s="115" t="e">
        <v>#N/A</v>
      </c>
      <c r="CZ3688" s="137" t="e">
        <v>#N/A</v>
      </c>
      <c r="DA3688">
        <v>0.11332468572476186</v>
      </c>
      <c r="DB3688" t="str">
        <v/>
      </c>
    </row>
    <row r="3689" spans="83:106" x14ac:dyDescent="0.2">
      <c r="CE3689"/>
      <c r="CF3689"/>
      <c r="CG3689"/>
      <c r="CH3689"/>
      <c r="CI3689"/>
      <c r="CU3689" s="42">
        <v>3684</v>
      </c>
      <c r="CV3689" s="115">
        <v>4</v>
      </c>
      <c r="CW3689" s="115">
        <v>0.11332468572476186</v>
      </c>
      <c r="CX3689" s="115" t="e">
        <v>#N/A</v>
      </c>
      <c r="CY3689" s="115" t="e">
        <v>#N/A</v>
      </c>
      <c r="CZ3689" s="137" t="e">
        <v>#N/A</v>
      </c>
      <c r="DA3689">
        <v>0.11332468572476186</v>
      </c>
      <c r="DB3689" t="str">
        <v/>
      </c>
    </row>
    <row r="3690" spans="83:106" x14ac:dyDescent="0.2">
      <c r="CE3690"/>
      <c r="CF3690"/>
      <c r="CG3690"/>
      <c r="CH3690"/>
      <c r="CI3690"/>
      <c r="CU3690" s="42">
        <v>3685</v>
      </c>
      <c r="CV3690" s="115">
        <v>4</v>
      </c>
      <c r="CW3690" s="115">
        <v>0.11332468572476186</v>
      </c>
      <c r="CX3690" s="115" t="e">
        <v>#N/A</v>
      </c>
      <c r="CY3690" s="115" t="e">
        <v>#N/A</v>
      </c>
      <c r="CZ3690" s="137" t="e">
        <v>#N/A</v>
      </c>
      <c r="DA3690">
        <v>0.11332468572476186</v>
      </c>
      <c r="DB3690" t="str">
        <v/>
      </c>
    </row>
    <row r="3691" spans="83:106" x14ac:dyDescent="0.2">
      <c r="CE3691"/>
      <c r="CF3691"/>
      <c r="CG3691"/>
      <c r="CH3691"/>
      <c r="CI3691"/>
      <c r="CU3691" s="42">
        <v>3686</v>
      </c>
      <c r="CV3691" s="115">
        <v>4</v>
      </c>
      <c r="CW3691" s="115">
        <v>0.11332468572476186</v>
      </c>
      <c r="CX3691" s="115" t="e">
        <v>#N/A</v>
      </c>
      <c r="CY3691" s="115" t="e">
        <v>#N/A</v>
      </c>
      <c r="CZ3691" s="137" t="e">
        <v>#N/A</v>
      </c>
      <c r="DA3691">
        <v>0.11332468572476186</v>
      </c>
      <c r="DB3691" t="str">
        <v/>
      </c>
    </row>
    <row r="3692" spans="83:106" x14ac:dyDescent="0.2">
      <c r="CE3692"/>
      <c r="CF3692"/>
      <c r="CG3692"/>
      <c r="CH3692"/>
      <c r="CI3692"/>
      <c r="CU3692" s="42">
        <v>3687</v>
      </c>
      <c r="CV3692" s="115">
        <v>4</v>
      </c>
      <c r="CW3692" s="115">
        <v>0.11332468572476186</v>
      </c>
      <c r="CX3692" s="115" t="e">
        <v>#N/A</v>
      </c>
      <c r="CY3692" s="115" t="e">
        <v>#N/A</v>
      </c>
      <c r="CZ3692" s="137" t="e">
        <v>#N/A</v>
      </c>
      <c r="DA3692">
        <v>0.11332468572476186</v>
      </c>
      <c r="DB3692" t="str">
        <v/>
      </c>
    </row>
    <row r="3693" spans="83:106" x14ac:dyDescent="0.2">
      <c r="CE3693"/>
      <c r="CF3693"/>
      <c r="CG3693"/>
      <c r="CH3693"/>
      <c r="CI3693"/>
      <c r="CU3693" s="42">
        <v>3688</v>
      </c>
      <c r="CV3693" s="115">
        <v>4</v>
      </c>
      <c r="CW3693" s="115">
        <v>0.11332468572476186</v>
      </c>
      <c r="CX3693" s="115" t="e">
        <v>#N/A</v>
      </c>
      <c r="CY3693" s="115" t="e">
        <v>#N/A</v>
      </c>
      <c r="CZ3693" s="137" t="e">
        <v>#N/A</v>
      </c>
      <c r="DA3693">
        <v>0.11332468572476186</v>
      </c>
      <c r="DB3693" t="str">
        <v/>
      </c>
    </row>
    <row r="3694" spans="83:106" x14ac:dyDescent="0.2">
      <c r="CE3694"/>
      <c r="CF3694"/>
      <c r="CG3694"/>
      <c r="CH3694"/>
      <c r="CI3694"/>
      <c r="CU3694" s="42">
        <v>3689</v>
      </c>
      <c r="CV3694" s="115">
        <v>4</v>
      </c>
      <c r="CW3694" s="115">
        <v>0.11332468572476186</v>
      </c>
      <c r="CX3694" s="115" t="e">
        <v>#N/A</v>
      </c>
      <c r="CY3694" s="115" t="e">
        <v>#N/A</v>
      </c>
      <c r="CZ3694" s="137" t="e">
        <v>#N/A</v>
      </c>
      <c r="DA3694">
        <v>0.11332468572476186</v>
      </c>
      <c r="DB3694" t="str">
        <v/>
      </c>
    </row>
    <row r="3695" spans="83:106" x14ac:dyDescent="0.2">
      <c r="CE3695"/>
      <c r="CF3695"/>
      <c r="CG3695"/>
      <c r="CH3695"/>
      <c r="CI3695"/>
      <c r="CU3695" s="42">
        <v>3690</v>
      </c>
      <c r="CV3695" s="115">
        <v>4</v>
      </c>
      <c r="CW3695" s="115">
        <v>0.11332468572476186</v>
      </c>
      <c r="CX3695" s="115" t="e">
        <v>#N/A</v>
      </c>
      <c r="CY3695" s="115" t="e">
        <v>#N/A</v>
      </c>
      <c r="CZ3695" s="137" t="e">
        <v>#N/A</v>
      </c>
      <c r="DA3695">
        <v>0.11332468572476186</v>
      </c>
      <c r="DB3695" t="str">
        <v/>
      </c>
    </row>
    <row r="3696" spans="83:106" x14ac:dyDescent="0.2">
      <c r="CE3696"/>
      <c r="CF3696"/>
      <c r="CG3696"/>
      <c r="CH3696"/>
      <c r="CI3696"/>
      <c r="CU3696" s="42">
        <v>3691</v>
      </c>
      <c r="CV3696" s="115">
        <v>4</v>
      </c>
      <c r="CW3696" s="115">
        <v>0.11332468572476186</v>
      </c>
      <c r="CX3696" s="115" t="e">
        <v>#N/A</v>
      </c>
      <c r="CY3696" s="115" t="e">
        <v>#N/A</v>
      </c>
      <c r="CZ3696" s="137" t="e">
        <v>#N/A</v>
      </c>
      <c r="DA3696">
        <v>0.11332468572476186</v>
      </c>
      <c r="DB3696" t="str">
        <v/>
      </c>
    </row>
    <row r="3697" spans="83:106" x14ac:dyDescent="0.2">
      <c r="CE3697"/>
      <c r="CF3697"/>
      <c r="CG3697"/>
      <c r="CH3697"/>
      <c r="CI3697"/>
      <c r="CU3697" s="42">
        <v>3692</v>
      </c>
      <c r="CV3697" s="115">
        <v>4</v>
      </c>
      <c r="CW3697" s="115">
        <v>0.11332468572476186</v>
      </c>
      <c r="CX3697" s="115" t="e">
        <v>#N/A</v>
      </c>
      <c r="CY3697" s="115" t="e">
        <v>#N/A</v>
      </c>
      <c r="CZ3697" s="137" t="e">
        <v>#N/A</v>
      </c>
      <c r="DA3697">
        <v>0.11332468572476186</v>
      </c>
      <c r="DB3697" t="str">
        <v/>
      </c>
    </row>
    <row r="3698" spans="83:106" x14ac:dyDescent="0.2">
      <c r="CE3698"/>
      <c r="CF3698"/>
      <c r="CG3698"/>
      <c r="CH3698"/>
      <c r="CI3698"/>
      <c r="CU3698" s="42">
        <v>3693</v>
      </c>
      <c r="CV3698" s="115">
        <v>4</v>
      </c>
      <c r="CW3698" s="115">
        <v>0.11332468572476186</v>
      </c>
      <c r="CX3698" s="115" t="e">
        <v>#N/A</v>
      </c>
      <c r="CY3698" s="115" t="e">
        <v>#N/A</v>
      </c>
      <c r="CZ3698" s="137" t="e">
        <v>#N/A</v>
      </c>
      <c r="DA3698">
        <v>0.11332468572476186</v>
      </c>
      <c r="DB3698" t="str">
        <v/>
      </c>
    </row>
    <row r="3699" spans="83:106" x14ac:dyDescent="0.2">
      <c r="CE3699"/>
      <c r="CF3699"/>
      <c r="CG3699"/>
      <c r="CH3699"/>
      <c r="CI3699"/>
      <c r="CU3699" s="42">
        <v>3694</v>
      </c>
      <c r="CV3699" s="115">
        <v>4</v>
      </c>
      <c r="CW3699" s="115">
        <v>0.11332468572476186</v>
      </c>
      <c r="CX3699" s="115" t="e">
        <v>#N/A</v>
      </c>
      <c r="CY3699" s="115" t="e">
        <v>#N/A</v>
      </c>
      <c r="CZ3699" s="137" t="e">
        <v>#N/A</v>
      </c>
      <c r="DA3699">
        <v>0.11332468572476186</v>
      </c>
      <c r="DB3699" t="str">
        <v/>
      </c>
    </row>
    <row r="3700" spans="83:106" x14ac:dyDescent="0.2">
      <c r="CE3700"/>
      <c r="CF3700"/>
      <c r="CG3700"/>
      <c r="CH3700"/>
      <c r="CI3700"/>
      <c r="CU3700" s="42">
        <v>3695</v>
      </c>
      <c r="CV3700" s="115">
        <v>4</v>
      </c>
      <c r="CW3700" s="115">
        <v>0.11332468572476186</v>
      </c>
      <c r="CX3700" s="115" t="e">
        <v>#N/A</v>
      </c>
      <c r="CY3700" s="115" t="e">
        <v>#N/A</v>
      </c>
      <c r="CZ3700" s="137" t="e">
        <v>#N/A</v>
      </c>
      <c r="DA3700">
        <v>0.11332468572476186</v>
      </c>
      <c r="DB3700" t="str">
        <v/>
      </c>
    </row>
    <row r="3701" spans="83:106" x14ac:dyDescent="0.2">
      <c r="CE3701"/>
      <c r="CF3701"/>
      <c r="CG3701"/>
      <c r="CH3701"/>
      <c r="CI3701"/>
      <c r="CU3701" s="42">
        <v>3696</v>
      </c>
      <c r="CV3701" s="115">
        <v>4</v>
      </c>
      <c r="CW3701" s="115">
        <v>0.11332468572476186</v>
      </c>
      <c r="CX3701" s="115" t="e">
        <v>#N/A</v>
      </c>
      <c r="CY3701" s="115" t="e">
        <v>#N/A</v>
      </c>
      <c r="CZ3701" s="137" t="e">
        <v>#N/A</v>
      </c>
      <c r="DA3701">
        <v>0.11332468572476186</v>
      </c>
      <c r="DB3701" t="str">
        <v/>
      </c>
    </row>
    <row r="3702" spans="83:106" x14ac:dyDescent="0.2">
      <c r="CE3702"/>
      <c r="CF3702"/>
      <c r="CG3702"/>
      <c r="CH3702"/>
      <c r="CI3702"/>
      <c r="CU3702" s="42">
        <v>3697</v>
      </c>
      <c r="CV3702" s="115">
        <v>4</v>
      </c>
      <c r="CW3702" s="115">
        <v>0.11332468572476186</v>
      </c>
      <c r="CX3702" s="115" t="e">
        <v>#N/A</v>
      </c>
      <c r="CY3702" s="115" t="e">
        <v>#N/A</v>
      </c>
      <c r="CZ3702" s="137" t="e">
        <v>#N/A</v>
      </c>
      <c r="DA3702">
        <v>0.11332468572476186</v>
      </c>
      <c r="DB3702" t="str">
        <v/>
      </c>
    </row>
    <row r="3703" spans="83:106" x14ac:dyDescent="0.2">
      <c r="CE3703"/>
      <c r="CF3703"/>
      <c r="CG3703"/>
      <c r="CH3703"/>
      <c r="CI3703"/>
      <c r="CU3703" s="42">
        <v>3698</v>
      </c>
      <c r="CV3703" s="115">
        <v>4</v>
      </c>
      <c r="CW3703" s="115">
        <v>0.11332468572476186</v>
      </c>
      <c r="CX3703" s="115" t="e">
        <v>#N/A</v>
      </c>
      <c r="CY3703" s="115" t="e">
        <v>#N/A</v>
      </c>
      <c r="CZ3703" s="137" t="e">
        <v>#N/A</v>
      </c>
      <c r="DA3703">
        <v>0.11332468572476186</v>
      </c>
      <c r="DB3703" t="str">
        <v/>
      </c>
    </row>
    <row r="3704" spans="83:106" x14ac:dyDescent="0.2">
      <c r="CE3704"/>
      <c r="CF3704"/>
      <c r="CG3704"/>
      <c r="CH3704"/>
      <c r="CI3704"/>
      <c r="CU3704" s="42">
        <v>3699</v>
      </c>
      <c r="CV3704" s="115">
        <v>4</v>
      </c>
      <c r="CW3704" s="115">
        <v>0.11332468572476186</v>
      </c>
      <c r="CX3704" s="115" t="e">
        <v>#N/A</v>
      </c>
      <c r="CY3704" s="115" t="e">
        <v>#N/A</v>
      </c>
      <c r="CZ3704" s="137" t="e">
        <v>#N/A</v>
      </c>
      <c r="DA3704">
        <v>0.11332468572476186</v>
      </c>
      <c r="DB3704" t="str">
        <v/>
      </c>
    </row>
    <row r="3705" spans="83:106" x14ac:dyDescent="0.2">
      <c r="CE3705"/>
      <c r="CF3705"/>
      <c r="CG3705"/>
      <c r="CH3705"/>
      <c r="CI3705"/>
      <c r="CU3705" s="42">
        <v>3700</v>
      </c>
      <c r="CV3705" s="115">
        <v>4</v>
      </c>
      <c r="CW3705" s="115">
        <v>0.11332468572476186</v>
      </c>
      <c r="CX3705" s="115" t="e">
        <v>#N/A</v>
      </c>
      <c r="CY3705" s="115" t="e">
        <v>#N/A</v>
      </c>
      <c r="CZ3705" s="137" t="e">
        <v>#N/A</v>
      </c>
      <c r="DA3705">
        <v>0.11332468572476186</v>
      </c>
      <c r="DB3705" t="str">
        <v/>
      </c>
    </row>
    <row r="3706" spans="83:106" x14ac:dyDescent="0.2">
      <c r="CE3706"/>
      <c r="CF3706"/>
      <c r="CG3706"/>
      <c r="CH3706"/>
      <c r="CI3706"/>
      <c r="CU3706" s="42">
        <v>3701</v>
      </c>
      <c r="CV3706" s="115">
        <v>4</v>
      </c>
      <c r="CW3706" s="115">
        <v>0.11332468572476186</v>
      </c>
      <c r="CX3706" s="115" t="e">
        <v>#N/A</v>
      </c>
      <c r="CY3706" s="115" t="e">
        <v>#N/A</v>
      </c>
      <c r="CZ3706" s="137" t="e">
        <v>#N/A</v>
      </c>
      <c r="DA3706">
        <v>0.11332468572476186</v>
      </c>
      <c r="DB3706" t="str">
        <v/>
      </c>
    </row>
    <row r="3707" spans="83:106" x14ac:dyDescent="0.2">
      <c r="CE3707"/>
      <c r="CF3707"/>
      <c r="CG3707"/>
      <c r="CH3707"/>
      <c r="CI3707"/>
      <c r="CU3707" s="42">
        <v>3702</v>
      </c>
      <c r="CV3707" s="115">
        <v>4</v>
      </c>
      <c r="CW3707" s="115">
        <v>0.11332468572476186</v>
      </c>
      <c r="CX3707" s="115" t="e">
        <v>#N/A</v>
      </c>
      <c r="CY3707" s="115" t="e">
        <v>#N/A</v>
      </c>
      <c r="CZ3707" s="137" t="e">
        <v>#N/A</v>
      </c>
      <c r="DA3707">
        <v>0.11332468572476186</v>
      </c>
      <c r="DB3707" t="str">
        <v/>
      </c>
    </row>
    <row r="3708" spans="83:106" x14ac:dyDescent="0.2">
      <c r="CE3708"/>
      <c r="CF3708"/>
      <c r="CG3708"/>
      <c r="CH3708"/>
      <c r="CI3708"/>
      <c r="CU3708" s="42">
        <v>3703</v>
      </c>
      <c r="CV3708" s="115">
        <v>4</v>
      </c>
      <c r="CW3708" s="115">
        <v>0.11332468572476186</v>
      </c>
      <c r="CX3708" s="115" t="e">
        <v>#N/A</v>
      </c>
      <c r="CY3708" s="115" t="e">
        <v>#N/A</v>
      </c>
      <c r="CZ3708" s="137" t="e">
        <v>#N/A</v>
      </c>
      <c r="DA3708">
        <v>0.11332468572476186</v>
      </c>
      <c r="DB3708" t="str">
        <v/>
      </c>
    </row>
    <row r="3709" spans="83:106" x14ac:dyDescent="0.2">
      <c r="CE3709"/>
      <c r="CF3709"/>
      <c r="CG3709"/>
      <c r="CH3709"/>
      <c r="CI3709"/>
      <c r="CU3709" s="42">
        <v>3704</v>
      </c>
      <c r="CV3709" s="115">
        <v>4</v>
      </c>
      <c r="CW3709" s="115">
        <v>0.11332468572476186</v>
      </c>
      <c r="CX3709" s="115" t="e">
        <v>#N/A</v>
      </c>
      <c r="CY3709" s="115" t="e">
        <v>#N/A</v>
      </c>
      <c r="CZ3709" s="137" t="e">
        <v>#N/A</v>
      </c>
      <c r="DA3709">
        <v>0.11332468572476186</v>
      </c>
      <c r="DB3709" t="str">
        <v/>
      </c>
    </row>
    <row r="3710" spans="83:106" x14ac:dyDescent="0.2">
      <c r="CE3710"/>
      <c r="CF3710"/>
      <c r="CG3710"/>
      <c r="CH3710"/>
      <c r="CI3710"/>
      <c r="CU3710" s="42">
        <v>3705</v>
      </c>
      <c r="CV3710" s="115">
        <v>4</v>
      </c>
      <c r="CW3710" s="115">
        <v>0.11332468572476186</v>
      </c>
      <c r="CX3710" s="115" t="e">
        <v>#N/A</v>
      </c>
      <c r="CY3710" s="115" t="e">
        <v>#N/A</v>
      </c>
      <c r="CZ3710" s="137" t="e">
        <v>#N/A</v>
      </c>
      <c r="DA3710">
        <v>0.11332468572476186</v>
      </c>
      <c r="DB3710" t="str">
        <v/>
      </c>
    </row>
    <row r="3711" spans="83:106" x14ac:dyDescent="0.2">
      <c r="CE3711"/>
      <c r="CF3711"/>
      <c r="CG3711"/>
      <c r="CH3711"/>
      <c r="CI3711"/>
      <c r="CU3711" s="42">
        <v>3706</v>
      </c>
      <c r="CV3711" s="115">
        <v>4</v>
      </c>
      <c r="CW3711" s="115">
        <v>0.11332468572476186</v>
      </c>
      <c r="CX3711" s="115" t="e">
        <v>#N/A</v>
      </c>
      <c r="CY3711" s="115" t="e">
        <v>#N/A</v>
      </c>
      <c r="CZ3711" s="137" t="e">
        <v>#N/A</v>
      </c>
      <c r="DA3711">
        <v>0.11332468572476186</v>
      </c>
      <c r="DB3711" t="str">
        <v/>
      </c>
    </row>
    <row r="3712" spans="83:106" x14ac:dyDescent="0.2">
      <c r="CE3712"/>
      <c r="CF3712"/>
      <c r="CG3712"/>
      <c r="CH3712"/>
      <c r="CI3712"/>
      <c r="CU3712" s="42">
        <v>3707</v>
      </c>
      <c r="CV3712" s="115">
        <v>4</v>
      </c>
      <c r="CW3712" s="115">
        <v>0.11332468572476186</v>
      </c>
      <c r="CX3712" s="115" t="e">
        <v>#N/A</v>
      </c>
      <c r="CY3712" s="115" t="e">
        <v>#N/A</v>
      </c>
      <c r="CZ3712" s="137" t="e">
        <v>#N/A</v>
      </c>
      <c r="DA3712">
        <v>0.11332468572476186</v>
      </c>
      <c r="DB3712" t="str">
        <v/>
      </c>
    </row>
    <row r="3713" spans="83:106" x14ac:dyDescent="0.2">
      <c r="CE3713"/>
      <c r="CF3713"/>
      <c r="CG3713"/>
      <c r="CH3713"/>
      <c r="CI3713"/>
      <c r="CU3713" s="42">
        <v>3708</v>
      </c>
      <c r="CV3713" s="115">
        <v>4</v>
      </c>
      <c r="CW3713" s="115">
        <v>0.11332468572476186</v>
      </c>
      <c r="CX3713" s="115" t="e">
        <v>#N/A</v>
      </c>
      <c r="CY3713" s="115" t="e">
        <v>#N/A</v>
      </c>
      <c r="CZ3713" s="137" t="e">
        <v>#N/A</v>
      </c>
      <c r="DA3713">
        <v>0.11332468572476186</v>
      </c>
      <c r="DB3713" t="str">
        <v/>
      </c>
    </row>
    <row r="3714" spans="83:106" x14ac:dyDescent="0.2">
      <c r="CE3714"/>
      <c r="CF3714"/>
      <c r="CG3714"/>
      <c r="CH3714"/>
      <c r="CI3714"/>
      <c r="CU3714" s="42">
        <v>3709</v>
      </c>
      <c r="CV3714" s="115">
        <v>4</v>
      </c>
      <c r="CW3714" s="115">
        <v>0.11332468572476186</v>
      </c>
      <c r="CX3714" s="115" t="e">
        <v>#N/A</v>
      </c>
      <c r="CY3714" s="115" t="e">
        <v>#N/A</v>
      </c>
      <c r="CZ3714" s="137" t="e">
        <v>#N/A</v>
      </c>
      <c r="DA3714">
        <v>0.11332468572476186</v>
      </c>
      <c r="DB3714" t="str">
        <v/>
      </c>
    </row>
    <row r="3715" spans="83:106" x14ac:dyDescent="0.2">
      <c r="CE3715"/>
      <c r="CF3715"/>
      <c r="CG3715"/>
      <c r="CH3715"/>
      <c r="CI3715"/>
      <c r="CU3715" s="42">
        <v>3710</v>
      </c>
      <c r="CV3715" s="115">
        <v>4</v>
      </c>
      <c r="CW3715" s="115">
        <v>0.11332468572476186</v>
      </c>
      <c r="CX3715" s="115" t="e">
        <v>#N/A</v>
      </c>
      <c r="CY3715" s="115" t="e">
        <v>#N/A</v>
      </c>
      <c r="CZ3715" s="137" t="e">
        <v>#N/A</v>
      </c>
      <c r="DA3715">
        <v>0.11332468572476186</v>
      </c>
      <c r="DB3715" t="str">
        <v/>
      </c>
    </row>
    <row r="3716" spans="83:106" x14ac:dyDescent="0.2">
      <c r="CE3716"/>
      <c r="CF3716"/>
      <c r="CG3716"/>
      <c r="CH3716"/>
      <c r="CI3716"/>
      <c r="CU3716" s="42">
        <v>3711</v>
      </c>
      <c r="CV3716" s="115">
        <v>4</v>
      </c>
      <c r="CW3716" s="115">
        <v>0.11332468572476186</v>
      </c>
      <c r="CX3716" s="115" t="e">
        <v>#N/A</v>
      </c>
      <c r="CY3716" s="115" t="e">
        <v>#N/A</v>
      </c>
      <c r="CZ3716" s="137" t="e">
        <v>#N/A</v>
      </c>
      <c r="DA3716">
        <v>0.11332468572476186</v>
      </c>
      <c r="DB3716" t="str">
        <v/>
      </c>
    </row>
    <row r="3717" spans="83:106" x14ac:dyDescent="0.2">
      <c r="CE3717"/>
      <c r="CF3717"/>
      <c r="CG3717"/>
      <c r="CH3717"/>
      <c r="CI3717"/>
      <c r="CU3717" s="42">
        <v>3712</v>
      </c>
      <c r="CV3717" s="115">
        <v>4</v>
      </c>
      <c r="CW3717" s="115">
        <v>0.11332468572476186</v>
      </c>
      <c r="CX3717" s="115" t="e">
        <v>#N/A</v>
      </c>
      <c r="CY3717" s="115" t="e">
        <v>#N/A</v>
      </c>
      <c r="CZ3717" s="137" t="e">
        <v>#N/A</v>
      </c>
      <c r="DA3717">
        <v>0.11332468572476186</v>
      </c>
      <c r="DB3717" t="str">
        <v/>
      </c>
    </row>
    <row r="3718" spans="83:106" x14ac:dyDescent="0.2">
      <c r="CE3718"/>
      <c r="CF3718"/>
      <c r="CG3718"/>
      <c r="CH3718"/>
      <c r="CI3718"/>
      <c r="CU3718" s="42">
        <v>3713</v>
      </c>
      <c r="CV3718" s="115">
        <v>4</v>
      </c>
      <c r="CW3718" s="115">
        <v>0.11332468572476186</v>
      </c>
      <c r="CX3718" s="115" t="e">
        <v>#N/A</v>
      </c>
      <c r="CY3718" s="115" t="e">
        <v>#N/A</v>
      </c>
      <c r="CZ3718" s="137" t="e">
        <v>#N/A</v>
      </c>
      <c r="DA3718">
        <v>0.11332468572476186</v>
      </c>
      <c r="DB3718" t="str">
        <v/>
      </c>
    </row>
    <row r="3719" spans="83:106" x14ac:dyDescent="0.2">
      <c r="CE3719"/>
      <c r="CF3719"/>
      <c r="CG3719"/>
      <c r="CH3719"/>
      <c r="CI3719"/>
      <c r="CU3719" s="42">
        <v>3714</v>
      </c>
      <c r="CV3719" s="115">
        <v>4</v>
      </c>
      <c r="CW3719" s="115">
        <v>0.11332468572476186</v>
      </c>
      <c r="CX3719" s="115" t="e">
        <v>#N/A</v>
      </c>
      <c r="CY3719" s="115" t="e">
        <v>#N/A</v>
      </c>
      <c r="CZ3719" s="137" t="e">
        <v>#N/A</v>
      </c>
      <c r="DA3719">
        <v>0.11332468572476186</v>
      </c>
      <c r="DB3719" t="str">
        <v/>
      </c>
    </row>
    <row r="3720" spans="83:106" x14ac:dyDescent="0.2">
      <c r="CE3720"/>
      <c r="CF3720"/>
      <c r="CG3720"/>
      <c r="CH3720"/>
      <c r="CI3720"/>
      <c r="CU3720" s="42">
        <v>3715</v>
      </c>
      <c r="CV3720" s="115">
        <v>4</v>
      </c>
      <c r="CW3720" s="115">
        <v>0.11332468572476186</v>
      </c>
      <c r="CX3720" s="115" t="e">
        <v>#N/A</v>
      </c>
      <c r="CY3720" s="115" t="e">
        <v>#N/A</v>
      </c>
      <c r="CZ3720" s="137" t="e">
        <v>#N/A</v>
      </c>
      <c r="DA3720">
        <v>0.11332468572476186</v>
      </c>
      <c r="DB3720" t="str">
        <v/>
      </c>
    </row>
    <row r="3721" spans="83:106" x14ac:dyDescent="0.2">
      <c r="CE3721"/>
      <c r="CF3721"/>
      <c r="CG3721"/>
      <c r="CH3721"/>
      <c r="CI3721"/>
      <c r="CU3721" s="42">
        <v>3716</v>
      </c>
      <c r="CV3721" s="115">
        <v>4</v>
      </c>
      <c r="CW3721" s="115">
        <v>0.11332468572476186</v>
      </c>
      <c r="CX3721" s="115" t="e">
        <v>#N/A</v>
      </c>
      <c r="CY3721" s="115" t="e">
        <v>#N/A</v>
      </c>
      <c r="CZ3721" s="137" t="e">
        <v>#N/A</v>
      </c>
      <c r="DA3721">
        <v>0.11332468572476186</v>
      </c>
      <c r="DB3721" t="str">
        <v/>
      </c>
    </row>
    <row r="3722" spans="83:106" x14ac:dyDescent="0.2">
      <c r="CE3722"/>
      <c r="CF3722"/>
      <c r="CG3722"/>
      <c r="CH3722"/>
      <c r="CI3722"/>
      <c r="CU3722" s="42">
        <v>3717</v>
      </c>
      <c r="CV3722" s="115">
        <v>4</v>
      </c>
      <c r="CW3722" s="115">
        <v>0.11332468572476186</v>
      </c>
      <c r="CX3722" s="115" t="e">
        <v>#N/A</v>
      </c>
      <c r="CY3722" s="115" t="e">
        <v>#N/A</v>
      </c>
      <c r="CZ3722" s="137" t="e">
        <v>#N/A</v>
      </c>
      <c r="DA3722">
        <v>0.11332468572476186</v>
      </c>
      <c r="DB3722" t="str">
        <v/>
      </c>
    </row>
    <row r="3723" spans="83:106" x14ac:dyDescent="0.2">
      <c r="CE3723"/>
      <c r="CF3723"/>
      <c r="CG3723"/>
      <c r="CH3723"/>
      <c r="CI3723"/>
      <c r="CU3723" s="42">
        <v>3718</v>
      </c>
      <c r="CV3723" s="115">
        <v>4</v>
      </c>
      <c r="CW3723" s="115">
        <v>0.11332468572476186</v>
      </c>
      <c r="CX3723" s="115" t="e">
        <v>#N/A</v>
      </c>
      <c r="CY3723" s="115" t="e">
        <v>#N/A</v>
      </c>
      <c r="CZ3723" s="137" t="e">
        <v>#N/A</v>
      </c>
      <c r="DA3723">
        <v>0.11332468572476186</v>
      </c>
      <c r="DB3723" t="str">
        <v/>
      </c>
    </row>
    <row r="3724" spans="83:106" x14ac:dyDescent="0.2">
      <c r="CE3724"/>
      <c r="CF3724"/>
      <c r="CG3724"/>
      <c r="CH3724"/>
      <c r="CI3724"/>
      <c r="CU3724" s="42">
        <v>3719</v>
      </c>
      <c r="CV3724" s="115">
        <v>4</v>
      </c>
      <c r="CW3724" s="115">
        <v>0.11332468572476186</v>
      </c>
      <c r="CX3724" s="115" t="e">
        <v>#N/A</v>
      </c>
      <c r="CY3724" s="115" t="e">
        <v>#N/A</v>
      </c>
      <c r="CZ3724" s="137" t="e">
        <v>#N/A</v>
      </c>
      <c r="DA3724">
        <v>0.11332468572476186</v>
      </c>
      <c r="DB3724" t="str">
        <v/>
      </c>
    </row>
    <row r="3725" spans="83:106" x14ac:dyDescent="0.2">
      <c r="CE3725"/>
      <c r="CF3725"/>
      <c r="CG3725"/>
      <c r="CH3725"/>
      <c r="CI3725"/>
      <c r="CU3725" s="42">
        <v>3720</v>
      </c>
      <c r="CV3725" s="115">
        <v>4</v>
      </c>
      <c r="CW3725" s="115">
        <v>0.11332468572476186</v>
      </c>
      <c r="CX3725" s="115" t="e">
        <v>#N/A</v>
      </c>
      <c r="CY3725" s="115" t="e">
        <v>#N/A</v>
      </c>
      <c r="CZ3725" s="137" t="e">
        <v>#N/A</v>
      </c>
      <c r="DA3725">
        <v>0.11332468572476186</v>
      </c>
      <c r="DB3725" t="str">
        <v/>
      </c>
    </row>
    <row r="3726" spans="83:106" x14ac:dyDescent="0.2">
      <c r="CE3726"/>
      <c r="CF3726"/>
      <c r="CG3726"/>
      <c r="CH3726"/>
      <c r="CI3726"/>
      <c r="CU3726" s="42">
        <v>3721</v>
      </c>
      <c r="CV3726" s="115">
        <v>4</v>
      </c>
      <c r="CW3726" s="115">
        <v>0.11332468572476186</v>
      </c>
      <c r="CX3726" s="115" t="e">
        <v>#N/A</v>
      </c>
      <c r="CY3726" s="115" t="e">
        <v>#N/A</v>
      </c>
      <c r="CZ3726" s="137" t="e">
        <v>#N/A</v>
      </c>
      <c r="DA3726">
        <v>0.11332468572476186</v>
      </c>
      <c r="DB3726" t="str">
        <v/>
      </c>
    </row>
    <row r="3727" spans="83:106" x14ac:dyDescent="0.2">
      <c r="CE3727"/>
      <c r="CF3727"/>
      <c r="CG3727"/>
      <c r="CH3727"/>
      <c r="CI3727"/>
      <c r="CU3727" s="42">
        <v>3722</v>
      </c>
      <c r="CV3727" s="115">
        <v>4</v>
      </c>
      <c r="CW3727" s="115">
        <v>0.11332468572476186</v>
      </c>
      <c r="CX3727" s="115" t="e">
        <v>#N/A</v>
      </c>
      <c r="CY3727" s="115" t="e">
        <v>#N/A</v>
      </c>
      <c r="CZ3727" s="137" t="e">
        <v>#N/A</v>
      </c>
      <c r="DA3727">
        <v>0.11332468572476186</v>
      </c>
      <c r="DB3727" t="str">
        <v/>
      </c>
    </row>
    <row r="3728" spans="83:106" x14ac:dyDescent="0.2">
      <c r="CE3728"/>
      <c r="CF3728"/>
      <c r="CG3728"/>
      <c r="CH3728"/>
      <c r="CI3728"/>
      <c r="CU3728" s="42">
        <v>3723</v>
      </c>
      <c r="CV3728" s="115">
        <v>4</v>
      </c>
      <c r="CW3728" s="115">
        <v>0.11332468572476186</v>
      </c>
      <c r="CX3728" s="115" t="e">
        <v>#N/A</v>
      </c>
      <c r="CY3728" s="115" t="e">
        <v>#N/A</v>
      </c>
      <c r="CZ3728" s="137" t="e">
        <v>#N/A</v>
      </c>
      <c r="DA3728">
        <v>0.11332468572476186</v>
      </c>
      <c r="DB3728" t="str">
        <v/>
      </c>
    </row>
    <row r="3729" spans="83:106" x14ac:dyDescent="0.2">
      <c r="CE3729"/>
      <c r="CF3729"/>
      <c r="CG3729"/>
      <c r="CH3729"/>
      <c r="CI3729"/>
      <c r="CU3729" s="42">
        <v>3724</v>
      </c>
      <c r="CV3729" s="115">
        <v>4</v>
      </c>
      <c r="CW3729" s="115">
        <v>0.11332468572476186</v>
      </c>
      <c r="CX3729" s="115" t="e">
        <v>#N/A</v>
      </c>
      <c r="CY3729" s="115" t="e">
        <v>#N/A</v>
      </c>
      <c r="CZ3729" s="137" t="e">
        <v>#N/A</v>
      </c>
      <c r="DA3729">
        <v>0.11332468572476186</v>
      </c>
      <c r="DB3729" t="str">
        <v/>
      </c>
    </row>
    <row r="3730" spans="83:106" x14ac:dyDescent="0.2">
      <c r="CE3730"/>
      <c r="CF3730"/>
      <c r="CG3730"/>
      <c r="CH3730"/>
      <c r="CI3730"/>
      <c r="CU3730" s="42">
        <v>3725</v>
      </c>
      <c r="CV3730" s="115">
        <v>4</v>
      </c>
      <c r="CW3730" s="115">
        <v>0.11332468572476186</v>
      </c>
      <c r="CX3730" s="115" t="e">
        <v>#N/A</v>
      </c>
      <c r="CY3730" s="115" t="e">
        <v>#N/A</v>
      </c>
      <c r="CZ3730" s="137" t="e">
        <v>#N/A</v>
      </c>
      <c r="DA3730">
        <v>0.11332468572476186</v>
      </c>
      <c r="DB3730" t="str">
        <v/>
      </c>
    </row>
    <row r="3731" spans="83:106" x14ac:dyDescent="0.2">
      <c r="CE3731"/>
      <c r="CF3731"/>
      <c r="CG3731"/>
      <c r="CH3731"/>
      <c r="CI3731"/>
      <c r="CU3731" s="42">
        <v>3726</v>
      </c>
      <c r="CV3731" s="115">
        <v>4</v>
      </c>
      <c r="CW3731" s="115">
        <v>0.11332468572476186</v>
      </c>
      <c r="CX3731" s="115" t="e">
        <v>#N/A</v>
      </c>
      <c r="CY3731" s="115" t="e">
        <v>#N/A</v>
      </c>
      <c r="CZ3731" s="137" t="e">
        <v>#N/A</v>
      </c>
      <c r="DA3731">
        <v>0.11332468572476186</v>
      </c>
      <c r="DB3731" t="str">
        <v/>
      </c>
    </row>
    <row r="3732" spans="83:106" x14ac:dyDescent="0.2">
      <c r="CE3732"/>
      <c r="CF3732"/>
      <c r="CG3732"/>
      <c r="CH3732"/>
      <c r="CI3732"/>
      <c r="CU3732" s="42">
        <v>3727</v>
      </c>
      <c r="CV3732" s="115">
        <v>4</v>
      </c>
      <c r="CW3732" s="115">
        <v>0.11332468572476186</v>
      </c>
      <c r="CX3732" s="115" t="e">
        <v>#N/A</v>
      </c>
      <c r="CY3732" s="115" t="e">
        <v>#N/A</v>
      </c>
      <c r="CZ3732" s="137" t="e">
        <v>#N/A</v>
      </c>
      <c r="DA3732">
        <v>0.11332468572476186</v>
      </c>
      <c r="DB3732" t="str">
        <v/>
      </c>
    </row>
    <row r="3733" spans="83:106" x14ac:dyDescent="0.2">
      <c r="CE3733"/>
      <c r="CF3733"/>
      <c r="CG3733"/>
      <c r="CH3733"/>
      <c r="CI3733"/>
      <c r="CU3733" s="42">
        <v>3728</v>
      </c>
      <c r="CV3733" s="115">
        <v>4</v>
      </c>
      <c r="CW3733" s="115">
        <v>0.11332468572476186</v>
      </c>
      <c r="CX3733" s="115" t="e">
        <v>#N/A</v>
      </c>
      <c r="CY3733" s="115" t="e">
        <v>#N/A</v>
      </c>
      <c r="CZ3733" s="137" t="e">
        <v>#N/A</v>
      </c>
      <c r="DA3733">
        <v>0.11332468572476186</v>
      </c>
      <c r="DB3733" t="str">
        <v/>
      </c>
    </row>
    <row r="3734" spans="83:106" x14ac:dyDescent="0.2">
      <c r="CE3734"/>
      <c r="CF3734"/>
      <c r="CG3734"/>
      <c r="CH3734"/>
      <c r="CI3734"/>
      <c r="CU3734" s="42">
        <v>3729</v>
      </c>
      <c r="CV3734" s="115">
        <v>4</v>
      </c>
      <c r="CW3734" s="115">
        <v>0.11332468572476186</v>
      </c>
      <c r="CX3734" s="115" t="e">
        <v>#N/A</v>
      </c>
      <c r="CY3734" s="115" t="e">
        <v>#N/A</v>
      </c>
      <c r="CZ3734" s="137" t="e">
        <v>#N/A</v>
      </c>
      <c r="DA3734">
        <v>0.11332468572476186</v>
      </c>
      <c r="DB3734" t="str">
        <v/>
      </c>
    </row>
    <row r="3735" spans="83:106" x14ac:dyDescent="0.2">
      <c r="CE3735"/>
      <c r="CF3735"/>
      <c r="CG3735"/>
      <c r="CH3735"/>
      <c r="CI3735"/>
      <c r="CU3735" s="42">
        <v>3730</v>
      </c>
      <c r="CV3735" s="115">
        <v>4</v>
      </c>
      <c r="CW3735" s="115">
        <v>0.11332468572476186</v>
      </c>
      <c r="CX3735" s="115" t="e">
        <v>#N/A</v>
      </c>
      <c r="CY3735" s="115" t="e">
        <v>#N/A</v>
      </c>
      <c r="CZ3735" s="137" t="e">
        <v>#N/A</v>
      </c>
      <c r="DA3735">
        <v>0.11332468572476186</v>
      </c>
      <c r="DB3735" t="str">
        <v/>
      </c>
    </row>
    <row r="3736" spans="83:106" x14ac:dyDescent="0.2">
      <c r="CE3736"/>
      <c r="CF3736"/>
      <c r="CG3736"/>
      <c r="CH3736"/>
      <c r="CI3736"/>
      <c r="CU3736" s="42">
        <v>3731</v>
      </c>
      <c r="CV3736" s="115">
        <v>4</v>
      </c>
      <c r="CW3736" s="115">
        <v>0.11332468572476186</v>
      </c>
      <c r="CX3736" s="115" t="e">
        <v>#N/A</v>
      </c>
      <c r="CY3736" s="115" t="e">
        <v>#N/A</v>
      </c>
      <c r="CZ3736" s="137" t="e">
        <v>#N/A</v>
      </c>
      <c r="DA3736">
        <v>0.11332468572476186</v>
      </c>
      <c r="DB3736" t="str">
        <v/>
      </c>
    </row>
    <row r="3737" spans="83:106" x14ac:dyDescent="0.2">
      <c r="CE3737"/>
      <c r="CF3737"/>
      <c r="CG3737"/>
      <c r="CH3737"/>
      <c r="CI3737"/>
      <c r="CU3737" s="42">
        <v>3732</v>
      </c>
      <c r="CV3737" s="115">
        <v>4</v>
      </c>
      <c r="CW3737" s="115">
        <v>0.11332468572476186</v>
      </c>
      <c r="CX3737" s="115" t="e">
        <v>#N/A</v>
      </c>
      <c r="CY3737" s="115" t="e">
        <v>#N/A</v>
      </c>
      <c r="CZ3737" s="137" t="e">
        <v>#N/A</v>
      </c>
      <c r="DA3737">
        <v>0.11332468572476186</v>
      </c>
      <c r="DB3737" t="str">
        <v/>
      </c>
    </row>
    <row r="3738" spans="83:106" x14ac:dyDescent="0.2">
      <c r="CE3738"/>
      <c r="CF3738"/>
      <c r="CG3738"/>
      <c r="CH3738"/>
      <c r="CI3738"/>
      <c r="CU3738" s="42">
        <v>3733</v>
      </c>
      <c r="CV3738" s="115">
        <v>4</v>
      </c>
      <c r="CW3738" s="115">
        <v>0.11332468572476186</v>
      </c>
      <c r="CX3738" s="115" t="e">
        <v>#N/A</v>
      </c>
      <c r="CY3738" s="115" t="e">
        <v>#N/A</v>
      </c>
      <c r="CZ3738" s="137" t="e">
        <v>#N/A</v>
      </c>
      <c r="DA3738">
        <v>0.11332468572476186</v>
      </c>
      <c r="DB3738" t="str">
        <v/>
      </c>
    </row>
    <row r="3739" spans="83:106" x14ac:dyDescent="0.2">
      <c r="CE3739"/>
      <c r="CF3739"/>
      <c r="CG3739"/>
      <c r="CH3739"/>
      <c r="CI3739"/>
      <c r="CU3739" s="42">
        <v>3734</v>
      </c>
      <c r="CV3739" s="115">
        <v>4</v>
      </c>
      <c r="CW3739" s="115">
        <v>0.11332468572476186</v>
      </c>
      <c r="CX3739" s="115" t="e">
        <v>#N/A</v>
      </c>
      <c r="CY3739" s="115" t="e">
        <v>#N/A</v>
      </c>
      <c r="CZ3739" s="137" t="e">
        <v>#N/A</v>
      </c>
      <c r="DA3739">
        <v>0.11332468572476186</v>
      </c>
      <c r="DB3739" t="str">
        <v/>
      </c>
    </row>
    <row r="3740" spans="83:106" x14ac:dyDescent="0.2">
      <c r="CE3740"/>
      <c r="CF3740"/>
      <c r="CG3740"/>
      <c r="CH3740"/>
      <c r="CI3740"/>
      <c r="CU3740" s="42">
        <v>3735</v>
      </c>
      <c r="CV3740" s="115">
        <v>4</v>
      </c>
      <c r="CW3740" s="115">
        <v>0.11332468572476186</v>
      </c>
      <c r="CX3740" s="115" t="e">
        <v>#N/A</v>
      </c>
      <c r="CY3740" s="115" t="e">
        <v>#N/A</v>
      </c>
      <c r="CZ3740" s="137" t="e">
        <v>#N/A</v>
      </c>
      <c r="DA3740">
        <v>0.11332468572476186</v>
      </c>
      <c r="DB3740" t="str">
        <v/>
      </c>
    </row>
    <row r="3741" spans="83:106" x14ac:dyDescent="0.2">
      <c r="CE3741"/>
      <c r="CF3741"/>
      <c r="CG3741"/>
      <c r="CH3741"/>
      <c r="CI3741"/>
      <c r="CU3741" s="42">
        <v>3736</v>
      </c>
      <c r="CV3741" s="115">
        <v>4</v>
      </c>
      <c r="CW3741" s="115">
        <v>0.11332468572476186</v>
      </c>
      <c r="CX3741" s="115" t="e">
        <v>#N/A</v>
      </c>
      <c r="CY3741" s="115" t="e">
        <v>#N/A</v>
      </c>
      <c r="CZ3741" s="137" t="e">
        <v>#N/A</v>
      </c>
      <c r="DA3741">
        <v>0.11332468572476186</v>
      </c>
      <c r="DB3741" t="str">
        <v/>
      </c>
    </row>
    <row r="3742" spans="83:106" x14ac:dyDescent="0.2">
      <c r="CE3742"/>
      <c r="CF3742"/>
      <c r="CG3742"/>
      <c r="CH3742"/>
      <c r="CI3742"/>
      <c r="CU3742" s="42">
        <v>3737</v>
      </c>
      <c r="CV3742" s="115">
        <v>4</v>
      </c>
      <c r="CW3742" s="115">
        <v>0.11332468572476186</v>
      </c>
      <c r="CX3742" s="115" t="e">
        <v>#N/A</v>
      </c>
      <c r="CY3742" s="115" t="e">
        <v>#N/A</v>
      </c>
      <c r="CZ3742" s="137" t="e">
        <v>#N/A</v>
      </c>
      <c r="DA3742">
        <v>0.11332468572476186</v>
      </c>
      <c r="DB3742" t="str">
        <v/>
      </c>
    </row>
    <row r="3743" spans="83:106" x14ac:dyDescent="0.2">
      <c r="CE3743"/>
      <c r="CF3743"/>
      <c r="CG3743"/>
      <c r="CH3743"/>
      <c r="CI3743"/>
      <c r="CU3743" s="42">
        <v>3738</v>
      </c>
      <c r="CV3743" s="115">
        <v>4</v>
      </c>
      <c r="CW3743" s="115">
        <v>0.11332468572476186</v>
      </c>
      <c r="CX3743" s="115" t="e">
        <v>#N/A</v>
      </c>
      <c r="CY3743" s="115" t="e">
        <v>#N/A</v>
      </c>
      <c r="CZ3743" s="137" t="e">
        <v>#N/A</v>
      </c>
      <c r="DA3743">
        <v>0.11332468572476186</v>
      </c>
      <c r="DB3743" t="str">
        <v/>
      </c>
    </row>
    <row r="3744" spans="83:106" x14ac:dyDescent="0.2">
      <c r="CE3744"/>
      <c r="CF3744"/>
      <c r="CG3744"/>
      <c r="CH3744"/>
      <c r="CI3744"/>
      <c r="CU3744" s="42">
        <v>3739</v>
      </c>
      <c r="CV3744" s="115">
        <v>4</v>
      </c>
      <c r="CW3744" s="115">
        <v>0.11332468572476186</v>
      </c>
      <c r="CX3744" s="115" t="e">
        <v>#N/A</v>
      </c>
      <c r="CY3744" s="115" t="e">
        <v>#N/A</v>
      </c>
      <c r="CZ3744" s="137" t="e">
        <v>#N/A</v>
      </c>
      <c r="DA3744">
        <v>0.11332468572476186</v>
      </c>
      <c r="DB3744" t="str">
        <v/>
      </c>
    </row>
    <row r="3745" spans="83:106" x14ac:dyDescent="0.2">
      <c r="CE3745"/>
      <c r="CF3745"/>
      <c r="CG3745"/>
      <c r="CH3745"/>
      <c r="CI3745"/>
      <c r="CU3745" s="42">
        <v>3740</v>
      </c>
      <c r="CV3745" s="115">
        <v>4</v>
      </c>
      <c r="CW3745" s="115">
        <v>0.11332468572476186</v>
      </c>
      <c r="CX3745" s="115" t="e">
        <v>#N/A</v>
      </c>
      <c r="CY3745" s="115" t="e">
        <v>#N/A</v>
      </c>
      <c r="CZ3745" s="137" t="e">
        <v>#N/A</v>
      </c>
      <c r="DA3745">
        <v>0.11332468572476186</v>
      </c>
      <c r="DB3745" t="str">
        <v/>
      </c>
    </row>
    <row r="3746" spans="83:106" x14ac:dyDescent="0.2">
      <c r="CE3746"/>
      <c r="CF3746"/>
      <c r="CG3746"/>
      <c r="CH3746"/>
      <c r="CI3746"/>
      <c r="CU3746" s="42">
        <v>3741</v>
      </c>
      <c r="CV3746" s="115">
        <v>4</v>
      </c>
      <c r="CW3746" s="115">
        <v>0.11332468572476186</v>
      </c>
      <c r="CX3746" s="115" t="e">
        <v>#N/A</v>
      </c>
      <c r="CY3746" s="115" t="e">
        <v>#N/A</v>
      </c>
      <c r="CZ3746" s="137" t="e">
        <v>#N/A</v>
      </c>
      <c r="DA3746">
        <v>0.11332468572476186</v>
      </c>
      <c r="DB3746" t="str">
        <v/>
      </c>
    </row>
    <row r="3747" spans="83:106" x14ac:dyDescent="0.2">
      <c r="CE3747"/>
      <c r="CF3747"/>
      <c r="CG3747"/>
      <c r="CH3747"/>
      <c r="CI3747"/>
      <c r="CU3747" s="42">
        <v>3742</v>
      </c>
      <c r="CV3747" s="115">
        <v>4</v>
      </c>
      <c r="CW3747" s="115">
        <v>0.11332468572476186</v>
      </c>
      <c r="CX3747" s="115" t="e">
        <v>#N/A</v>
      </c>
      <c r="CY3747" s="115" t="e">
        <v>#N/A</v>
      </c>
      <c r="CZ3747" s="137" t="e">
        <v>#N/A</v>
      </c>
      <c r="DA3747">
        <v>0.11332468572476186</v>
      </c>
      <c r="DB3747" t="str">
        <v/>
      </c>
    </row>
    <row r="3748" spans="83:106" x14ac:dyDescent="0.2">
      <c r="CE3748"/>
      <c r="CF3748"/>
      <c r="CG3748"/>
      <c r="CH3748"/>
      <c r="CI3748"/>
      <c r="CU3748" s="42">
        <v>3743</v>
      </c>
      <c r="CV3748" s="115">
        <v>4</v>
      </c>
      <c r="CW3748" s="115">
        <v>0.11332468572476186</v>
      </c>
      <c r="CX3748" s="115" t="e">
        <v>#N/A</v>
      </c>
      <c r="CY3748" s="115" t="e">
        <v>#N/A</v>
      </c>
      <c r="CZ3748" s="137" t="e">
        <v>#N/A</v>
      </c>
      <c r="DA3748">
        <v>0.11332468572476186</v>
      </c>
      <c r="DB3748" t="str">
        <v/>
      </c>
    </row>
    <row r="3749" spans="83:106" x14ac:dyDescent="0.2">
      <c r="CE3749"/>
      <c r="CF3749"/>
      <c r="CG3749"/>
      <c r="CH3749"/>
      <c r="CI3749"/>
      <c r="CU3749" s="42">
        <v>3744</v>
      </c>
      <c r="CV3749" s="115">
        <v>4</v>
      </c>
      <c r="CW3749" s="115">
        <v>0.11332468572476186</v>
      </c>
      <c r="CX3749" s="115" t="e">
        <v>#N/A</v>
      </c>
      <c r="CY3749" s="115" t="e">
        <v>#N/A</v>
      </c>
      <c r="CZ3749" s="137" t="e">
        <v>#N/A</v>
      </c>
      <c r="DA3749">
        <v>0.11332468572476186</v>
      </c>
      <c r="DB3749" t="str">
        <v/>
      </c>
    </row>
    <row r="3750" spans="83:106" x14ac:dyDescent="0.2">
      <c r="CE3750"/>
      <c r="CF3750"/>
      <c r="CG3750"/>
      <c r="CH3750"/>
      <c r="CI3750"/>
      <c r="CU3750" s="42">
        <v>3745</v>
      </c>
      <c r="CV3750" s="115">
        <v>4</v>
      </c>
      <c r="CW3750" s="115">
        <v>0.11332468572476186</v>
      </c>
      <c r="CX3750" s="115" t="e">
        <v>#N/A</v>
      </c>
      <c r="CY3750" s="115" t="e">
        <v>#N/A</v>
      </c>
      <c r="CZ3750" s="137" t="e">
        <v>#N/A</v>
      </c>
      <c r="DA3750">
        <v>0.11332468572476186</v>
      </c>
      <c r="DB3750" t="str">
        <v/>
      </c>
    </row>
    <row r="3751" spans="83:106" x14ac:dyDescent="0.2">
      <c r="CE3751"/>
      <c r="CF3751"/>
      <c r="CG3751"/>
      <c r="CH3751"/>
      <c r="CI3751"/>
      <c r="CU3751" s="42">
        <v>3746</v>
      </c>
      <c r="CV3751" s="115">
        <v>4</v>
      </c>
      <c r="CW3751" s="115">
        <v>0.11332468572476186</v>
      </c>
      <c r="CX3751" s="115" t="e">
        <v>#N/A</v>
      </c>
      <c r="CY3751" s="115" t="e">
        <v>#N/A</v>
      </c>
      <c r="CZ3751" s="137" t="e">
        <v>#N/A</v>
      </c>
      <c r="DA3751">
        <v>0.11332468572476186</v>
      </c>
      <c r="DB3751" t="str">
        <v/>
      </c>
    </row>
    <row r="3752" spans="83:106" x14ac:dyDescent="0.2">
      <c r="CE3752"/>
      <c r="CF3752"/>
      <c r="CG3752"/>
      <c r="CH3752"/>
      <c r="CI3752"/>
      <c r="CU3752" s="42">
        <v>3747</v>
      </c>
      <c r="CV3752" s="115">
        <v>4</v>
      </c>
      <c r="CW3752" s="115">
        <v>0.11332468572476186</v>
      </c>
      <c r="CX3752" s="115" t="e">
        <v>#N/A</v>
      </c>
      <c r="CY3752" s="115" t="e">
        <v>#N/A</v>
      </c>
      <c r="CZ3752" s="137" t="e">
        <v>#N/A</v>
      </c>
      <c r="DA3752">
        <v>0.11332468572476186</v>
      </c>
      <c r="DB3752" t="str">
        <v/>
      </c>
    </row>
    <row r="3753" spans="83:106" x14ac:dyDescent="0.2">
      <c r="CE3753"/>
      <c r="CF3753"/>
      <c r="CG3753"/>
      <c r="CH3753"/>
      <c r="CI3753"/>
      <c r="CU3753" s="42">
        <v>3748</v>
      </c>
      <c r="CV3753" s="115">
        <v>4</v>
      </c>
      <c r="CW3753" s="115">
        <v>0.11332468572476186</v>
      </c>
      <c r="CX3753" s="115" t="e">
        <v>#N/A</v>
      </c>
      <c r="CY3753" s="115" t="e">
        <v>#N/A</v>
      </c>
      <c r="CZ3753" s="137" t="e">
        <v>#N/A</v>
      </c>
      <c r="DA3753">
        <v>0.11332468572476186</v>
      </c>
      <c r="DB3753" t="str">
        <v/>
      </c>
    </row>
    <row r="3754" spans="83:106" x14ac:dyDescent="0.2">
      <c r="CE3754"/>
      <c r="CF3754"/>
      <c r="CG3754"/>
      <c r="CH3754"/>
      <c r="CI3754"/>
      <c r="CU3754" s="42">
        <v>3749</v>
      </c>
      <c r="CV3754" s="115">
        <v>4</v>
      </c>
      <c r="CW3754" s="115">
        <v>0.11332468572476186</v>
      </c>
      <c r="CX3754" s="115" t="e">
        <v>#N/A</v>
      </c>
      <c r="CY3754" s="115" t="e">
        <v>#N/A</v>
      </c>
      <c r="CZ3754" s="137" t="e">
        <v>#N/A</v>
      </c>
      <c r="DA3754">
        <v>0.11332468572476186</v>
      </c>
      <c r="DB3754" t="str">
        <v/>
      </c>
    </row>
    <row r="3755" spans="83:106" x14ac:dyDescent="0.2">
      <c r="CE3755"/>
      <c r="CF3755"/>
      <c r="CG3755"/>
      <c r="CH3755"/>
      <c r="CI3755"/>
      <c r="CU3755" s="42">
        <v>3750</v>
      </c>
      <c r="CV3755" s="115">
        <v>4</v>
      </c>
      <c r="CW3755" s="115">
        <v>0.11332468572476186</v>
      </c>
      <c r="CX3755" s="115" t="e">
        <v>#N/A</v>
      </c>
      <c r="CY3755" s="115" t="e">
        <v>#N/A</v>
      </c>
      <c r="CZ3755" s="137" t="e">
        <v>#N/A</v>
      </c>
      <c r="DA3755">
        <v>0.11332468572476186</v>
      </c>
      <c r="DB3755" t="str">
        <v/>
      </c>
    </row>
    <row r="3756" spans="83:106" x14ac:dyDescent="0.2">
      <c r="CE3756"/>
      <c r="CF3756"/>
      <c r="CG3756"/>
      <c r="CH3756"/>
      <c r="CI3756"/>
      <c r="CU3756" s="42">
        <v>3751</v>
      </c>
      <c r="CV3756" s="115">
        <v>4</v>
      </c>
      <c r="CW3756" s="115">
        <v>0.11332468572476186</v>
      </c>
      <c r="CX3756" s="115" t="e">
        <v>#N/A</v>
      </c>
      <c r="CY3756" s="115" t="e">
        <v>#N/A</v>
      </c>
      <c r="CZ3756" s="137" t="e">
        <v>#N/A</v>
      </c>
      <c r="DA3756">
        <v>0.11332468572476186</v>
      </c>
      <c r="DB3756" t="str">
        <v/>
      </c>
    </row>
    <row r="3757" spans="83:106" x14ac:dyDescent="0.2">
      <c r="CE3757"/>
      <c r="CF3757"/>
      <c r="CG3757"/>
      <c r="CH3757"/>
      <c r="CI3757"/>
      <c r="CU3757" s="42">
        <v>3752</v>
      </c>
      <c r="CV3757" s="115">
        <v>4</v>
      </c>
      <c r="CW3757" s="115">
        <v>0.11332468572476186</v>
      </c>
      <c r="CX3757" s="115" t="e">
        <v>#N/A</v>
      </c>
      <c r="CY3757" s="115" t="e">
        <v>#N/A</v>
      </c>
      <c r="CZ3757" s="137" t="e">
        <v>#N/A</v>
      </c>
      <c r="DA3757">
        <v>0.11332468572476186</v>
      </c>
      <c r="DB3757" t="str">
        <v/>
      </c>
    </row>
    <row r="3758" spans="83:106" x14ac:dyDescent="0.2">
      <c r="CE3758"/>
      <c r="CF3758"/>
      <c r="CG3758"/>
      <c r="CH3758"/>
      <c r="CI3758"/>
      <c r="CU3758" s="42">
        <v>3753</v>
      </c>
      <c r="CV3758" s="115">
        <v>4</v>
      </c>
      <c r="CW3758" s="115">
        <v>0.11332468572476186</v>
      </c>
      <c r="CX3758" s="115" t="e">
        <v>#N/A</v>
      </c>
      <c r="CY3758" s="115" t="e">
        <v>#N/A</v>
      </c>
      <c r="CZ3758" s="137" t="e">
        <v>#N/A</v>
      </c>
      <c r="DA3758">
        <v>0.11332468572476186</v>
      </c>
      <c r="DB3758" t="str">
        <v/>
      </c>
    </row>
    <row r="3759" spans="83:106" x14ac:dyDescent="0.2">
      <c r="CE3759"/>
      <c r="CF3759"/>
      <c r="CG3759"/>
      <c r="CH3759"/>
      <c r="CI3759"/>
      <c r="CU3759" s="42">
        <v>3754</v>
      </c>
      <c r="CV3759" s="115">
        <v>4</v>
      </c>
      <c r="CW3759" s="115">
        <v>0.11332468572476186</v>
      </c>
      <c r="CX3759" s="115" t="e">
        <v>#N/A</v>
      </c>
      <c r="CY3759" s="115" t="e">
        <v>#N/A</v>
      </c>
      <c r="CZ3759" s="137" t="e">
        <v>#N/A</v>
      </c>
      <c r="DA3759">
        <v>0.11332468572476186</v>
      </c>
      <c r="DB3759" t="str">
        <v/>
      </c>
    </row>
    <row r="3760" spans="83:106" x14ac:dyDescent="0.2">
      <c r="CE3760"/>
      <c r="CF3760"/>
      <c r="CG3760"/>
      <c r="CH3760"/>
      <c r="CI3760"/>
      <c r="CU3760" s="42">
        <v>3755</v>
      </c>
      <c r="CV3760" s="115">
        <v>4</v>
      </c>
      <c r="CW3760" s="115">
        <v>0.11332468572476186</v>
      </c>
      <c r="CX3760" s="115" t="e">
        <v>#N/A</v>
      </c>
      <c r="CY3760" s="115" t="e">
        <v>#N/A</v>
      </c>
      <c r="CZ3760" s="137" t="e">
        <v>#N/A</v>
      </c>
      <c r="DA3760">
        <v>0.11332468572476186</v>
      </c>
      <c r="DB3760" t="str">
        <v/>
      </c>
    </row>
    <row r="3761" spans="83:106" x14ac:dyDescent="0.2">
      <c r="CE3761"/>
      <c r="CF3761"/>
      <c r="CG3761"/>
      <c r="CH3761"/>
      <c r="CI3761"/>
      <c r="CU3761" s="42">
        <v>3756</v>
      </c>
      <c r="CV3761" s="115">
        <v>4</v>
      </c>
      <c r="CW3761" s="115">
        <v>0.11332468572476186</v>
      </c>
      <c r="CX3761" s="115" t="e">
        <v>#N/A</v>
      </c>
      <c r="CY3761" s="115" t="e">
        <v>#N/A</v>
      </c>
      <c r="CZ3761" s="137" t="e">
        <v>#N/A</v>
      </c>
      <c r="DA3761">
        <v>0.11332468572476186</v>
      </c>
      <c r="DB3761" t="str">
        <v/>
      </c>
    </row>
    <row r="3762" spans="83:106" x14ac:dyDescent="0.2">
      <c r="CE3762"/>
      <c r="CF3762"/>
      <c r="CG3762"/>
      <c r="CH3762"/>
      <c r="CI3762"/>
      <c r="CU3762" s="42">
        <v>3757</v>
      </c>
      <c r="CV3762" s="115">
        <v>4</v>
      </c>
      <c r="CW3762" s="115">
        <v>0.11332468572476186</v>
      </c>
      <c r="CX3762" s="115" t="e">
        <v>#N/A</v>
      </c>
      <c r="CY3762" s="115" t="e">
        <v>#N/A</v>
      </c>
      <c r="CZ3762" s="137" t="e">
        <v>#N/A</v>
      </c>
      <c r="DA3762">
        <v>0.11332468572476186</v>
      </c>
      <c r="DB3762" t="str">
        <v/>
      </c>
    </row>
    <row r="3763" spans="83:106" x14ac:dyDescent="0.2">
      <c r="CE3763"/>
      <c r="CF3763"/>
      <c r="CG3763"/>
      <c r="CH3763"/>
      <c r="CI3763"/>
      <c r="CU3763" s="42">
        <v>3758</v>
      </c>
      <c r="CV3763" s="115">
        <v>4</v>
      </c>
      <c r="CW3763" s="115">
        <v>0.11332468572476186</v>
      </c>
      <c r="CX3763" s="115" t="e">
        <v>#N/A</v>
      </c>
      <c r="CY3763" s="115" t="e">
        <v>#N/A</v>
      </c>
      <c r="CZ3763" s="137" t="e">
        <v>#N/A</v>
      </c>
      <c r="DA3763">
        <v>0.11332468572476186</v>
      </c>
      <c r="DB3763" t="str">
        <v/>
      </c>
    </row>
    <row r="3764" spans="83:106" x14ac:dyDescent="0.2">
      <c r="CE3764"/>
      <c r="CF3764"/>
      <c r="CG3764"/>
      <c r="CH3764"/>
      <c r="CI3764"/>
      <c r="CU3764" s="42">
        <v>3759</v>
      </c>
      <c r="CV3764" s="115">
        <v>4</v>
      </c>
      <c r="CW3764" s="115">
        <v>0.11332468572476186</v>
      </c>
      <c r="CX3764" s="115" t="e">
        <v>#N/A</v>
      </c>
      <c r="CY3764" s="115" t="e">
        <v>#N/A</v>
      </c>
      <c r="CZ3764" s="137" t="e">
        <v>#N/A</v>
      </c>
      <c r="DA3764">
        <v>0.11332468572476186</v>
      </c>
      <c r="DB3764" t="str">
        <v/>
      </c>
    </row>
    <row r="3765" spans="83:106" x14ac:dyDescent="0.2">
      <c r="CE3765"/>
      <c r="CF3765"/>
      <c r="CG3765"/>
      <c r="CH3765"/>
      <c r="CI3765"/>
      <c r="CU3765" s="42">
        <v>3760</v>
      </c>
      <c r="CV3765" s="115">
        <v>4</v>
      </c>
      <c r="CW3765" s="115">
        <v>0.11332468572476186</v>
      </c>
      <c r="CX3765" s="115" t="e">
        <v>#N/A</v>
      </c>
      <c r="CY3765" s="115" t="e">
        <v>#N/A</v>
      </c>
      <c r="CZ3765" s="137" t="e">
        <v>#N/A</v>
      </c>
      <c r="DA3765">
        <v>0.11332468572476186</v>
      </c>
      <c r="DB3765" t="str">
        <v/>
      </c>
    </row>
    <row r="3766" spans="83:106" x14ac:dyDescent="0.2">
      <c r="CE3766"/>
      <c r="CF3766"/>
      <c r="CG3766"/>
      <c r="CH3766"/>
      <c r="CI3766"/>
      <c r="CU3766" s="42">
        <v>3761</v>
      </c>
      <c r="CV3766" s="115">
        <v>4</v>
      </c>
      <c r="CW3766" s="115">
        <v>0.11332468572476186</v>
      </c>
      <c r="CX3766" s="115" t="e">
        <v>#N/A</v>
      </c>
      <c r="CY3766" s="115" t="e">
        <v>#N/A</v>
      </c>
      <c r="CZ3766" s="137" t="e">
        <v>#N/A</v>
      </c>
      <c r="DA3766">
        <v>0.11332468572476186</v>
      </c>
      <c r="DB3766" t="str">
        <v/>
      </c>
    </row>
    <row r="3767" spans="83:106" x14ac:dyDescent="0.2">
      <c r="CE3767"/>
      <c r="CF3767"/>
      <c r="CG3767"/>
      <c r="CH3767"/>
      <c r="CI3767"/>
      <c r="CU3767" s="42">
        <v>3762</v>
      </c>
      <c r="CV3767" s="115">
        <v>4</v>
      </c>
      <c r="CW3767" s="115">
        <v>0.11332468572476186</v>
      </c>
      <c r="CX3767" s="115" t="e">
        <v>#N/A</v>
      </c>
      <c r="CY3767" s="115" t="e">
        <v>#N/A</v>
      </c>
      <c r="CZ3767" s="137" t="e">
        <v>#N/A</v>
      </c>
      <c r="DA3767">
        <v>0.11332468572476186</v>
      </c>
      <c r="DB3767" t="str">
        <v/>
      </c>
    </row>
    <row r="3768" spans="83:106" x14ac:dyDescent="0.2">
      <c r="CE3768"/>
      <c r="CF3768"/>
      <c r="CG3768"/>
      <c r="CH3768"/>
      <c r="CI3768"/>
      <c r="CU3768" s="42">
        <v>3763</v>
      </c>
      <c r="CV3768" s="115">
        <v>4</v>
      </c>
      <c r="CW3768" s="115">
        <v>0.11332468572476186</v>
      </c>
      <c r="CX3768" s="115" t="e">
        <v>#N/A</v>
      </c>
      <c r="CY3768" s="115" t="e">
        <v>#N/A</v>
      </c>
      <c r="CZ3768" s="137" t="e">
        <v>#N/A</v>
      </c>
      <c r="DA3768">
        <v>0.11332468572476186</v>
      </c>
      <c r="DB3768" t="str">
        <v/>
      </c>
    </row>
    <row r="3769" spans="83:106" x14ac:dyDescent="0.2">
      <c r="CE3769"/>
      <c r="CF3769"/>
      <c r="CG3769"/>
      <c r="CH3769"/>
      <c r="CI3769"/>
      <c r="CU3769" s="42">
        <v>3764</v>
      </c>
      <c r="CV3769" s="115">
        <v>4</v>
      </c>
      <c r="CW3769" s="115">
        <v>0.11332468572476186</v>
      </c>
      <c r="CX3769" s="115" t="e">
        <v>#N/A</v>
      </c>
      <c r="CY3769" s="115" t="e">
        <v>#N/A</v>
      </c>
      <c r="CZ3769" s="137" t="e">
        <v>#N/A</v>
      </c>
      <c r="DA3769">
        <v>0.11332468572476186</v>
      </c>
      <c r="DB3769" t="str">
        <v/>
      </c>
    </row>
    <row r="3770" spans="83:106" x14ac:dyDescent="0.2">
      <c r="CE3770"/>
      <c r="CF3770"/>
      <c r="CG3770"/>
      <c r="CH3770"/>
      <c r="CI3770"/>
      <c r="CU3770" s="42">
        <v>3765</v>
      </c>
      <c r="CV3770" s="115">
        <v>4</v>
      </c>
      <c r="CW3770" s="115">
        <v>0.11332468572476186</v>
      </c>
      <c r="CX3770" s="115" t="e">
        <v>#N/A</v>
      </c>
      <c r="CY3770" s="115" t="e">
        <v>#N/A</v>
      </c>
      <c r="CZ3770" s="137" t="e">
        <v>#N/A</v>
      </c>
      <c r="DA3770">
        <v>0.11332468572476186</v>
      </c>
      <c r="DB3770" t="str">
        <v/>
      </c>
    </row>
    <row r="3771" spans="83:106" x14ac:dyDescent="0.2">
      <c r="CE3771"/>
      <c r="CF3771"/>
      <c r="CG3771"/>
      <c r="CH3771"/>
      <c r="CI3771"/>
      <c r="CU3771" s="42">
        <v>3766</v>
      </c>
      <c r="CV3771" s="115">
        <v>4</v>
      </c>
      <c r="CW3771" s="115">
        <v>0.11332468572476186</v>
      </c>
      <c r="CX3771" s="115" t="e">
        <v>#N/A</v>
      </c>
      <c r="CY3771" s="115" t="e">
        <v>#N/A</v>
      </c>
      <c r="CZ3771" s="137" t="e">
        <v>#N/A</v>
      </c>
      <c r="DA3771">
        <v>0.11332468572476186</v>
      </c>
      <c r="DB3771" t="str">
        <v/>
      </c>
    </row>
    <row r="3772" spans="83:106" x14ac:dyDescent="0.2">
      <c r="CE3772"/>
      <c r="CF3772"/>
      <c r="CG3772"/>
      <c r="CH3772"/>
      <c r="CI3772"/>
      <c r="CU3772" s="42">
        <v>3767</v>
      </c>
      <c r="CV3772" s="115">
        <v>4</v>
      </c>
      <c r="CW3772" s="115">
        <v>0.11332468572476186</v>
      </c>
      <c r="CX3772" s="115" t="e">
        <v>#N/A</v>
      </c>
      <c r="CY3772" s="115" t="e">
        <v>#N/A</v>
      </c>
      <c r="CZ3772" s="137" t="e">
        <v>#N/A</v>
      </c>
      <c r="DA3772">
        <v>0.11332468572476186</v>
      </c>
      <c r="DB3772" t="str">
        <v/>
      </c>
    </row>
    <row r="3773" spans="83:106" x14ac:dyDescent="0.2">
      <c r="CE3773"/>
      <c r="CF3773"/>
      <c r="CG3773"/>
      <c r="CH3773"/>
      <c r="CI3773"/>
      <c r="CU3773" s="42">
        <v>3768</v>
      </c>
      <c r="CV3773" s="115">
        <v>4</v>
      </c>
      <c r="CW3773" s="115">
        <v>0.11332468572476186</v>
      </c>
      <c r="CX3773" s="115" t="e">
        <v>#N/A</v>
      </c>
      <c r="CY3773" s="115" t="e">
        <v>#N/A</v>
      </c>
      <c r="CZ3773" s="137" t="e">
        <v>#N/A</v>
      </c>
      <c r="DA3773">
        <v>0.11332468572476186</v>
      </c>
      <c r="DB3773" t="str">
        <v/>
      </c>
    </row>
    <row r="3774" spans="83:106" x14ac:dyDescent="0.2">
      <c r="CE3774"/>
      <c r="CF3774"/>
      <c r="CG3774"/>
      <c r="CH3774"/>
      <c r="CI3774"/>
      <c r="CU3774" s="42">
        <v>3769</v>
      </c>
      <c r="CV3774" s="115">
        <v>4</v>
      </c>
      <c r="CW3774" s="115">
        <v>0.11332468572476186</v>
      </c>
      <c r="CX3774" s="115" t="e">
        <v>#N/A</v>
      </c>
      <c r="CY3774" s="115" t="e">
        <v>#N/A</v>
      </c>
      <c r="CZ3774" s="137" t="e">
        <v>#N/A</v>
      </c>
      <c r="DA3774">
        <v>0.11332468572476186</v>
      </c>
      <c r="DB3774" t="str">
        <v/>
      </c>
    </row>
    <row r="3775" spans="83:106" x14ac:dyDescent="0.2">
      <c r="CE3775"/>
      <c r="CF3775"/>
      <c r="CG3775"/>
      <c r="CH3775"/>
      <c r="CI3775"/>
      <c r="CU3775" s="42">
        <v>3770</v>
      </c>
      <c r="CV3775" s="115">
        <v>4</v>
      </c>
      <c r="CW3775" s="115">
        <v>0.11332468572476186</v>
      </c>
      <c r="CX3775" s="115" t="e">
        <v>#N/A</v>
      </c>
      <c r="CY3775" s="115" t="e">
        <v>#N/A</v>
      </c>
      <c r="CZ3775" s="137" t="e">
        <v>#N/A</v>
      </c>
      <c r="DA3775">
        <v>0.11332468572476186</v>
      </c>
      <c r="DB3775" t="str">
        <v/>
      </c>
    </row>
    <row r="3776" spans="83:106" x14ac:dyDescent="0.2">
      <c r="CE3776"/>
      <c r="CF3776"/>
      <c r="CG3776"/>
      <c r="CH3776"/>
      <c r="CI3776"/>
      <c r="CU3776" s="42">
        <v>3771</v>
      </c>
      <c r="CV3776" s="115">
        <v>4</v>
      </c>
      <c r="CW3776" s="115">
        <v>0.11332468572476186</v>
      </c>
      <c r="CX3776" s="115" t="e">
        <v>#N/A</v>
      </c>
      <c r="CY3776" s="115" t="e">
        <v>#N/A</v>
      </c>
      <c r="CZ3776" s="137" t="e">
        <v>#N/A</v>
      </c>
      <c r="DA3776">
        <v>0.11332468572476186</v>
      </c>
      <c r="DB3776" t="str">
        <v/>
      </c>
    </row>
    <row r="3777" spans="83:106" x14ac:dyDescent="0.2">
      <c r="CE3777"/>
      <c r="CF3777"/>
      <c r="CG3777"/>
      <c r="CH3777"/>
      <c r="CI3777"/>
      <c r="CU3777" s="42">
        <v>3772</v>
      </c>
      <c r="CV3777" s="115">
        <v>4</v>
      </c>
      <c r="CW3777" s="115">
        <v>0.11332468572476186</v>
      </c>
      <c r="CX3777" s="115" t="e">
        <v>#N/A</v>
      </c>
      <c r="CY3777" s="115" t="e">
        <v>#N/A</v>
      </c>
      <c r="CZ3777" s="137" t="e">
        <v>#N/A</v>
      </c>
      <c r="DA3777">
        <v>0.11332468572476186</v>
      </c>
      <c r="DB3777" t="str">
        <v/>
      </c>
    </row>
    <row r="3778" spans="83:106" x14ac:dyDescent="0.2">
      <c r="CE3778"/>
      <c r="CF3778"/>
      <c r="CG3778"/>
      <c r="CH3778"/>
      <c r="CI3778"/>
      <c r="CU3778" s="42">
        <v>3773</v>
      </c>
      <c r="CV3778" s="115">
        <v>4</v>
      </c>
      <c r="CW3778" s="115">
        <v>0.11332468572476186</v>
      </c>
      <c r="CX3778" s="115" t="e">
        <v>#N/A</v>
      </c>
      <c r="CY3778" s="115" t="e">
        <v>#N/A</v>
      </c>
      <c r="CZ3778" s="137" t="e">
        <v>#N/A</v>
      </c>
      <c r="DA3778">
        <v>0.11332468572476186</v>
      </c>
      <c r="DB3778" t="str">
        <v/>
      </c>
    </row>
    <row r="3779" spans="83:106" x14ac:dyDescent="0.2">
      <c r="CE3779"/>
      <c r="CF3779"/>
      <c r="CG3779"/>
      <c r="CH3779"/>
      <c r="CI3779"/>
      <c r="CU3779" s="42">
        <v>3774</v>
      </c>
      <c r="CV3779" s="115">
        <v>4</v>
      </c>
      <c r="CW3779" s="115">
        <v>0.11332468572476186</v>
      </c>
      <c r="CX3779" s="115" t="e">
        <v>#N/A</v>
      </c>
      <c r="CY3779" s="115" t="e">
        <v>#N/A</v>
      </c>
      <c r="CZ3779" s="137" t="e">
        <v>#N/A</v>
      </c>
      <c r="DA3779">
        <v>0.11332468572476186</v>
      </c>
      <c r="DB3779" t="str">
        <v/>
      </c>
    </row>
    <row r="3780" spans="83:106" x14ac:dyDescent="0.2">
      <c r="CE3780"/>
      <c r="CF3780"/>
      <c r="CG3780"/>
      <c r="CH3780"/>
      <c r="CI3780"/>
      <c r="CU3780" s="42">
        <v>3775</v>
      </c>
      <c r="CV3780" s="115">
        <v>4</v>
      </c>
      <c r="CW3780" s="115">
        <v>0.11332468572476186</v>
      </c>
      <c r="CX3780" s="115" t="e">
        <v>#N/A</v>
      </c>
      <c r="CY3780" s="115" t="e">
        <v>#N/A</v>
      </c>
      <c r="CZ3780" s="137" t="e">
        <v>#N/A</v>
      </c>
      <c r="DA3780">
        <v>0.11332468572476186</v>
      </c>
      <c r="DB3780" t="str">
        <v/>
      </c>
    </row>
    <row r="3781" spans="83:106" x14ac:dyDescent="0.2">
      <c r="CE3781"/>
      <c r="CF3781"/>
      <c r="CG3781"/>
      <c r="CH3781"/>
      <c r="CI3781"/>
      <c r="CU3781" s="42">
        <v>3776</v>
      </c>
      <c r="CV3781" s="115">
        <v>4</v>
      </c>
      <c r="CW3781" s="115">
        <v>0.11332468572476186</v>
      </c>
      <c r="CX3781" s="115" t="e">
        <v>#N/A</v>
      </c>
      <c r="CY3781" s="115" t="e">
        <v>#N/A</v>
      </c>
      <c r="CZ3781" s="137" t="e">
        <v>#N/A</v>
      </c>
      <c r="DA3781">
        <v>0.11332468572476186</v>
      </c>
      <c r="DB3781" t="str">
        <v/>
      </c>
    </row>
    <row r="3782" spans="83:106" x14ac:dyDescent="0.2">
      <c r="CE3782"/>
      <c r="CF3782"/>
      <c r="CG3782"/>
      <c r="CH3782"/>
      <c r="CI3782"/>
      <c r="CU3782" s="42">
        <v>3777</v>
      </c>
      <c r="CV3782" s="115">
        <v>4</v>
      </c>
      <c r="CW3782" s="115">
        <v>0.11332468572476186</v>
      </c>
      <c r="CX3782" s="115" t="e">
        <v>#N/A</v>
      </c>
      <c r="CY3782" s="115" t="e">
        <v>#N/A</v>
      </c>
      <c r="CZ3782" s="137" t="e">
        <v>#N/A</v>
      </c>
      <c r="DA3782">
        <v>0.11332468572476186</v>
      </c>
      <c r="DB3782" t="str">
        <v/>
      </c>
    </row>
    <row r="3783" spans="83:106" x14ac:dyDescent="0.2">
      <c r="CE3783"/>
      <c r="CF3783"/>
      <c r="CG3783"/>
      <c r="CH3783"/>
      <c r="CI3783"/>
      <c r="CU3783" s="42">
        <v>3778</v>
      </c>
      <c r="CV3783" s="115">
        <v>4</v>
      </c>
      <c r="CW3783" s="115">
        <v>0.11332468572476186</v>
      </c>
      <c r="CX3783" s="115" t="e">
        <v>#N/A</v>
      </c>
      <c r="CY3783" s="115" t="e">
        <v>#N/A</v>
      </c>
      <c r="CZ3783" s="137" t="e">
        <v>#N/A</v>
      </c>
      <c r="DA3783">
        <v>0.11332468572476186</v>
      </c>
      <c r="DB3783" t="str">
        <v/>
      </c>
    </row>
    <row r="3784" spans="83:106" x14ac:dyDescent="0.2">
      <c r="CE3784"/>
      <c r="CF3784"/>
      <c r="CG3784"/>
      <c r="CH3784"/>
      <c r="CI3784"/>
      <c r="CU3784" s="42">
        <v>3779</v>
      </c>
      <c r="CV3784" s="115">
        <v>4</v>
      </c>
      <c r="CW3784" s="115">
        <v>0.11332468572476186</v>
      </c>
      <c r="CX3784" s="115" t="e">
        <v>#N/A</v>
      </c>
      <c r="CY3784" s="115" t="e">
        <v>#N/A</v>
      </c>
      <c r="CZ3784" s="137" t="e">
        <v>#N/A</v>
      </c>
      <c r="DA3784">
        <v>0.11332468572476186</v>
      </c>
      <c r="DB3784" t="str">
        <v/>
      </c>
    </row>
    <row r="3785" spans="83:106" x14ac:dyDescent="0.2">
      <c r="CE3785"/>
      <c r="CF3785"/>
      <c r="CG3785"/>
      <c r="CH3785"/>
      <c r="CI3785"/>
      <c r="CU3785" s="42">
        <v>3780</v>
      </c>
      <c r="CV3785" s="115">
        <v>4</v>
      </c>
      <c r="CW3785" s="115">
        <v>0.11332468572476186</v>
      </c>
      <c r="CX3785" s="115" t="e">
        <v>#N/A</v>
      </c>
      <c r="CY3785" s="115" t="e">
        <v>#N/A</v>
      </c>
      <c r="CZ3785" s="137" t="e">
        <v>#N/A</v>
      </c>
      <c r="DA3785">
        <v>0.11332468572476186</v>
      </c>
      <c r="DB3785" t="str">
        <v/>
      </c>
    </row>
    <row r="3786" spans="83:106" x14ac:dyDescent="0.2">
      <c r="CE3786"/>
      <c r="CF3786"/>
      <c r="CG3786"/>
      <c r="CH3786"/>
      <c r="CI3786"/>
      <c r="CU3786" s="42">
        <v>3781</v>
      </c>
      <c r="CV3786" s="115">
        <v>4</v>
      </c>
      <c r="CW3786" s="115">
        <v>0.11332468572476186</v>
      </c>
      <c r="CX3786" s="115" t="e">
        <v>#N/A</v>
      </c>
      <c r="CY3786" s="115" t="e">
        <v>#N/A</v>
      </c>
      <c r="CZ3786" s="137" t="e">
        <v>#N/A</v>
      </c>
      <c r="DA3786">
        <v>0.11332468572476186</v>
      </c>
      <c r="DB3786" t="str">
        <v/>
      </c>
    </row>
    <row r="3787" spans="83:106" x14ac:dyDescent="0.2">
      <c r="CE3787"/>
      <c r="CF3787"/>
      <c r="CG3787"/>
      <c r="CH3787"/>
      <c r="CI3787"/>
      <c r="CU3787" s="42">
        <v>3782</v>
      </c>
      <c r="CV3787" s="115">
        <v>4</v>
      </c>
      <c r="CW3787" s="115">
        <v>0.11332468572476186</v>
      </c>
      <c r="CX3787" s="115" t="e">
        <v>#N/A</v>
      </c>
      <c r="CY3787" s="115" t="e">
        <v>#N/A</v>
      </c>
      <c r="CZ3787" s="137" t="e">
        <v>#N/A</v>
      </c>
      <c r="DA3787">
        <v>0.11332468572476186</v>
      </c>
      <c r="DB3787" t="str">
        <v/>
      </c>
    </row>
    <row r="3788" spans="83:106" x14ac:dyDescent="0.2">
      <c r="CE3788"/>
      <c r="CF3788"/>
      <c r="CG3788"/>
      <c r="CH3788"/>
      <c r="CI3788"/>
      <c r="CU3788" s="42">
        <v>3783</v>
      </c>
      <c r="CV3788" s="115">
        <v>4</v>
      </c>
      <c r="CW3788" s="115">
        <v>0.11332468572476186</v>
      </c>
      <c r="CX3788" s="115" t="e">
        <v>#N/A</v>
      </c>
      <c r="CY3788" s="115" t="e">
        <v>#N/A</v>
      </c>
      <c r="CZ3788" s="137" t="e">
        <v>#N/A</v>
      </c>
      <c r="DA3788">
        <v>0.11332468572476186</v>
      </c>
      <c r="DB3788" t="str">
        <v/>
      </c>
    </row>
    <row r="3789" spans="83:106" x14ac:dyDescent="0.2">
      <c r="CE3789"/>
      <c r="CF3789"/>
      <c r="CG3789"/>
      <c r="CH3789"/>
      <c r="CI3789"/>
      <c r="CU3789" s="42">
        <v>3784</v>
      </c>
      <c r="CV3789" s="115">
        <v>4</v>
      </c>
      <c r="CW3789" s="115">
        <v>0.11332468572476186</v>
      </c>
      <c r="CX3789" s="115" t="e">
        <v>#N/A</v>
      </c>
      <c r="CY3789" s="115" t="e">
        <v>#N/A</v>
      </c>
      <c r="CZ3789" s="137" t="e">
        <v>#N/A</v>
      </c>
      <c r="DA3789">
        <v>0.11332468572476186</v>
      </c>
      <c r="DB3789" t="str">
        <v/>
      </c>
    </row>
    <row r="3790" spans="83:106" x14ac:dyDescent="0.2">
      <c r="CE3790"/>
      <c r="CF3790"/>
      <c r="CG3790"/>
      <c r="CH3790"/>
      <c r="CI3790"/>
      <c r="CU3790" s="42">
        <v>3785</v>
      </c>
      <c r="CV3790" s="115">
        <v>4</v>
      </c>
      <c r="CW3790" s="115">
        <v>0.11332468572476186</v>
      </c>
      <c r="CX3790" s="115" t="e">
        <v>#N/A</v>
      </c>
      <c r="CY3790" s="115" t="e">
        <v>#N/A</v>
      </c>
      <c r="CZ3790" s="137" t="e">
        <v>#N/A</v>
      </c>
      <c r="DA3790">
        <v>0.11332468572476186</v>
      </c>
      <c r="DB3790" t="str">
        <v/>
      </c>
    </row>
    <row r="3791" spans="83:106" x14ac:dyDescent="0.2">
      <c r="CE3791"/>
      <c r="CF3791"/>
      <c r="CG3791"/>
      <c r="CH3791"/>
      <c r="CI3791"/>
      <c r="CU3791" s="42">
        <v>3786</v>
      </c>
      <c r="CV3791" s="115">
        <v>4</v>
      </c>
      <c r="CW3791" s="115">
        <v>0.11332468572476186</v>
      </c>
      <c r="CX3791" s="115" t="e">
        <v>#N/A</v>
      </c>
      <c r="CY3791" s="115" t="e">
        <v>#N/A</v>
      </c>
      <c r="CZ3791" s="137" t="e">
        <v>#N/A</v>
      </c>
      <c r="DA3791">
        <v>0.11332468572476186</v>
      </c>
      <c r="DB3791" t="str">
        <v/>
      </c>
    </row>
    <row r="3792" spans="83:106" x14ac:dyDescent="0.2">
      <c r="CE3792"/>
      <c r="CF3792"/>
      <c r="CG3792"/>
      <c r="CH3792"/>
      <c r="CI3792"/>
      <c r="CU3792" s="42">
        <v>3787</v>
      </c>
      <c r="CV3792" s="115">
        <v>4</v>
      </c>
      <c r="CW3792" s="115">
        <v>0.11332468572476186</v>
      </c>
      <c r="CX3792" s="115" t="e">
        <v>#N/A</v>
      </c>
      <c r="CY3792" s="115" t="e">
        <v>#N/A</v>
      </c>
      <c r="CZ3792" s="137" t="e">
        <v>#N/A</v>
      </c>
      <c r="DA3792">
        <v>0.11332468572476186</v>
      </c>
      <c r="DB3792" t="str">
        <v/>
      </c>
    </row>
    <row r="3793" spans="83:106" x14ac:dyDescent="0.2">
      <c r="CE3793"/>
      <c r="CF3793"/>
      <c r="CG3793"/>
      <c r="CH3793"/>
      <c r="CI3793"/>
      <c r="CU3793" s="42">
        <v>3788</v>
      </c>
      <c r="CV3793" s="115">
        <v>4</v>
      </c>
      <c r="CW3793" s="115">
        <v>0.11332468572476186</v>
      </c>
      <c r="CX3793" s="115" t="e">
        <v>#N/A</v>
      </c>
      <c r="CY3793" s="115" t="e">
        <v>#N/A</v>
      </c>
      <c r="CZ3793" s="137" t="e">
        <v>#N/A</v>
      </c>
      <c r="DA3793">
        <v>0.11332468572476186</v>
      </c>
      <c r="DB3793" t="str">
        <v/>
      </c>
    </row>
    <row r="3794" spans="83:106" x14ac:dyDescent="0.2">
      <c r="CE3794"/>
      <c r="CF3794"/>
      <c r="CG3794"/>
      <c r="CH3794"/>
      <c r="CI3794"/>
      <c r="CU3794" s="42">
        <v>3789</v>
      </c>
      <c r="CV3794" s="115">
        <v>4</v>
      </c>
      <c r="CW3794" s="115">
        <v>0.11332468572476186</v>
      </c>
      <c r="CX3794" s="115" t="e">
        <v>#N/A</v>
      </c>
      <c r="CY3794" s="115" t="e">
        <v>#N/A</v>
      </c>
      <c r="CZ3794" s="137" t="e">
        <v>#N/A</v>
      </c>
      <c r="DA3794">
        <v>0.11332468572476186</v>
      </c>
      <c r="DB3794" t="str">
        <v/>
      </c>
    </row>
    <row r="3795" spans="83:106" x14ac:dyDescent="0.2">
      <c r="CE3795"/>
      <c r="CF3795"/>
      <c r="CG3795"/>
      <c r="CH3795"/>
      <c r="CI3795"/>
      <c r="CU3795" s="42">
        <v>3790</v>
      </c>
      <c r="CV3795" s="115">
        <v>4</v>
      </c>
      <c r="CW3795" s="115">
        <v>0.11332468572476186</v>
      </c>
      <c r="CX3795" s="115" t="e">
        <v>#N/A</v>
      </c>
      <c r="CY3795" s="115" t="e">
        <v>#N/A</v>
      </c>
      <c r="CZ3795" s="137" t="e">
        <v>#N/A</v>
      </c>
      <c r="DA3795">
        <v>0.11332468572476186</v>
      </c>
      <c r="DB3795" t="str">
        <v/>
      </c>
    </row>
    <row r="3796" spans="83:106" x14ac:dyDescent="0.2">
      <c r="CE3796"/>
      <c r="CF3796"/>
      <c r="CG3796"/>
      <c r="CH3796"/>
      <c r="CI3796"/>
      <c r="CU3796" s="42">
        <v>3791</v>
      </c>
      <c r="CV3796" s="115">
        <v>4</v>
      </c>
      <c r="CW3796" s="115">
        <v>0.11332468572476186</v>
      </c>
      <c r="CX3796" s="115" t="e">
        <v>#N/A</v>
      </c>
      <c r="CY3796" s="115" t="e">
        <v>#N/A</v>
      </c>
      <c r="CZ3796" s="137" t="e">
        <v>#N/A</v>
      </c>
      <c r="DA3796">
        <v>0.11332468572476186</v>
      </c>
      <c r="DB3796" t="str">
        <v/>
      </c>
    </row>
    <row r="3797" spans="83:106" x14ac:dyDescent="0.2">
      <c r="CE3797"/>
      <c r="CF3797"/>
      <c r="CG3797"/>
      <c r="CH3797"/>
      <c r="CI3797"/>
      <c r="CU3797" s="42">
        <v>3792</v>
      </c>
      <c r="CV3797" s="115">
        <v>4</v>
      </c>
      <c r="CW3797" s="115">
        <v>0.11332468572476186</v>
      </c>
      <c r="CX3797" s="115" t="e">
        <v>#N/A</v>
      </c>
      <c r="CY3797" s="115" t="e">
        <v>#N/A</v>
      </c>
      <c r="CZ3797" s="137" t="e">
        <v>#N/A</v>
      </c>
      <c r="DA3797">
        <v>0.11332468572476186</v>
      </c>
      <c r="DB3797" t="str">
        <v/>
      </c>
    </row>
    <row r="3798" spans="83:106" x14ac:dyDescent="0.2">
      <c r="CE3798"/>
      <c r="CF3798"/>
      <c r="CG3798"/>
      <c r="CH3798"/>
      <c r="CI3798"/>
      <c r="CU3798" s="42">
        <v>3793</v>
      </c>
      <c r="CV3798" s="115">
        <v>4</v>
      </c>
      <c r="CW3798" s="115">
        <v>0.11332468572476186</v>
      </c>
      <c r="CX3798" s="115" t="e">
        <v>#N/A</v>
      </c>
      <c r="CY3798" s="115" t="e">
        <v>#N/A</v>
      </c>
      <c r="CZ3798" s="137" t="e">
        <v>#N/A</v>
      </c>
      <c r="DA3798">
        <v>0.11332468572476186</v>
      </c>
      <c r="DB3798" t="str">
        <v/>
      </c>
    </row>
    <row r="3799" spans="83:106" x14ac:dyDescent="0.2">
      <c r="CE3799"/>
      <c r="CF3799"/>
      <c r="CG3799"/>
      <c r="CH3799"/>
      <c r="CI3799"/>
      <c r="CU3799" s="42">
        <v>3794</v>
      </c>
      <c r="CV3799" s="115">
        <v>4</v>
      </c>
      <c r="CW3799" s="115">
        <v>0.11332468572476186</v>
      </c>
      <c r="CX3799" s="115" t="e">
        <v>#N/A</v>
      </c>
      <c r="CY3799" s="115" t="e">
        <v>#N/A</v>
      </c>
      <c r="CZ3799" s="137" t="e">
        <v>#N/A</v>
      </c>
      <c r="DA3799">
        <v>0.11332468572476186</v>
      </c>
      <c r="DB3799" t="str">
        <v/>
      </c>
    </row>
    <row r="3800" spans="83:106" x14ac:dyDescent="0.2">
      <c r="CE3800"/>
      <c r="CF3800"/>
      <c r="CG3800"/>
      <c r="CH3800"/>
      <c r="CI3800"/>
      <c r="CU3800" s="42">
        <v>3795</v>
      </c>
      <c r="CV3800" s="115">
        <v>4</v>
      </c>
      <c r="CW3800" s="115">
        <v>0.11332468572476186</v>
      </c>
      <c r="CX3800" s="115" t="e">
        <v>#N/A</v>
      </c>
      <c r="CY3800" s="115" t="e">
        <v>#N/A</v>
      </c>
      <c r="CZ3800" s="137" t="e">
        <v>#N/A</v>
      </c>
      <c r="DA3800">
        <v>0.11332468572476186</v>
      </c>
      <c r="DB3800" t="str">
        <v/>
      </c>
    </row>
    <row r="3801" spans="83:106" x14ac:dyDescent="0.2">
      <c r="CE3801"/>
      <c r="CF3801"/>
      <c r="CG3801"/>
      <c r="CH3801"/>
      <c r="CI3801"/>
      <c r="CU3801" s="42">
        <v>3796</v>
      </c>
      <c r="CV3801" s="115">
        <v>4</v>
      </c>
      <c r="CW3801" s="115">
        <v>0.11332468572476186</v>
      </c>
      <c r="CX3801" s="115" t="e">
        <v>#N/A</v>
      </c>
      <c r="CY3801" s="115" t="e">
        <v>#N/A</v>
      </c>
      <c r="CZ3801" s="137" t="e">
        <v>#N/A</v>
      </c>
      <c r="DA3801">
        <v>0.11332468572476186</v>
      </c>
      <c r="DB3801" t="str">
        <v/>
      </c>
    </row>
    <row r="3802" spans="83:106" x14ac:dyDescent="0.2">
      <c r="CE3802"/>
      <c r="CF3802"/>
      <c r="CG3802"/>
      <c r="CH3802"/>
      <c r="CI3802"/>
      <c r="CU3802" s="42">
        <v>3797</v>
      </c>
      <c r="CV3802" s="115">
        <v>4</v>
      </c>
      <c r="CW3802" s="115">
        <v>0.11332468572476186</v>
      </c>
      <c r="CX3802" s="115" t="e">
        <v>#N/A</v>
      </c>
      <c r="CY3802" s="115" t="e">
        <v>#N/A</v>
      </c>
      <c r="CZ3802" s="137" t="e">
        <v>#N/A</v>
      </c>
      <c r="DA3802">
        <v>0.11332468572476186</v>
      </c>
      <c r="DB3802" t="str">
        <v/>
      </c>
    </row>
    <row r="3803" spans="83:106" x14ac:dyDescent="0.2">
      <c r="CE3803"/>
      <c r="CF3803"/>
      <c r="CG3803"/>
      <c r="CH3803"/>
      <c r="CI3803"/>
      <c r="CU3803" s="42">
        <v>3798</v>
      </c>
      <c r="CV3803" s="115">
        <v>4</v>
      </c>
      <c r="CW3803" s="115">
        <v>0.11332468572476186</v>
      </c>
      <c r="CX3803" s="115" t="e">
        <v>#N/A</v>
      </c>
      <c r="CY3803" s="115" t="e">
        <v>#N/A</v>
      </c>
      <c r="CZ3803" s="137" t="e">
        <v>#N/A</v>
      </c>
      <c r="DA3803">
        <v>0.11332468572476186</v>
      </c>
      <c r="DB3803" t="str">
        <v/>
      </c>
    </row>
    <row r="3804" spans="83:106" x14ac:dyDescent="0.2">
      <c r="CE3804"/>
      <c r="CF3804"/>
      <c r="CG3804"/>
      <c r="CH3804"/>
      <c r="CI3804"/>
      <c r="CU3804" s="42">
        <v>3799</v>
      </c>
      <c r="CV3804" s="115">
        <v>4</v>
      </c>
      <c r="CW3804" s="115">
        <v>0.11332468572476186</v>
      </c>
      <c r="CX3804" s="115" t="e">
        <v>#N/A</v>
      </c>
      <c r="CY3804" s="115" t="e">
        <v>#N/A</v>
      </c>
      <c r="CZ3804" s="137" t="e">
        <v>#N/A</v>
      </c>
      <c r="DA3804">
        <v>0.11332468572476186</v>
      </c>
      <c r="DB3804" t="str">
        <v/>
      </c>
    </row>
    <row r="3805" spans="83:106" x14ac:dyDescent="0.2">
      <c r="CE3805"/>
      <c r="CF3805"/>
      <c r="CG3805"/>
      <c r="CH3805"/>
      <c r="CI3805"/>
      <c r="CU3805" s="42">
        <v>3800</v>
      </c>
      <c r="CV3805" s="115">
        <v>4</v>
      </c>
      <c r="CW3805" s="115">
        <v>0.11332468572476186</v>
      </c>
      <c r="CX3805" s="115" t="e">
        <v>#N/A</v>
      </c>
      <c r="CY3805" s="115" t="e">
        <v>#N/A</v>
      </c>
      <c r="CZ3805" s="137" t="e">
        <v>#N/A</v>
      </c>
      <c r="DA3805">
        <v>0.11332468572476186</v>
      </c>
      <c r="DB3805" t="str">
        <v/>
      </c>
    </row>
    <row r="3806" spans="83:106" x14ac:dyDescent="0.2">
      <c r="CE3806"/>
      <c r="CF3806"/>
      <c r="CG3806"/>
      <c r="CH3806"/>
      <c r="CI3806"/>
      <c r="CU3806" s="42">
        <v>3801</v>
      </c>
      <c r="CV3806" s="115">
        <v>4</v>
      </c>
      <c r="CW3806" s="115">
        <v>0.11332468572476186</v>
      </c>
      <c r="CX3806" s="115" t="e">
        <v>#N/A</v>
      </c>
      <c r="CY3806" s="115" t="e">
        <v>#N/A</v>
      </c>
      <c r="CZ3806" s="137" t="e">
        <v>#N/A</v>
      </c>
      <c r="DA3806">
        <v>0.11332468572476186</v>
      </c>
      <c r="DB3806" t="str">
        <v/>
      </c>
    </row>
    <row r="3807" spans="83:106" x14ac:dyDescent="0.2">
      <c r="CE3807"/>
      <c r="CF3807"/>
      <c r="CG3807"/>
      <c r="CH3807"/>
      <c r="CI3807"/>
      <c r="CU3807" s="42">
        <v>3802</v>
      </c>
      <c r="CV3807" s="115">
        <v>4</v>
      </c>
      <c r="CW3807" s="115">
        <v>0.11332468572476186</v>
      </c>
      <c r="CX3807" s="115" t="e">
        <v>#N/A</v>
      </c>
      <c r="CY3807" s="115" t="e">
        <v>#N/A</v>
      </c>
      <c r="CZ3807" s="137" t="e">
        <v>#N/A</v>
      </c>
      <c r="DA3807">
        <v>0.11332468572476186</v>
      </c>
      <c r="DB3807" t="str">
        <v/>
      </c>
    </row>
    <row r="3808" spans="83:106" x14ac:dyDescent="0.2">
      <c r="CE3808"/>
      <c r="CF3808"/>
      <c r="CG3808"/>
      <c r="CH3808"/>
      <c r="CI3808"/>
      <c r="CU3808" s="42">
        <v>3803</v>
      </c>
      <c r="CV3808" s="115">
        <v>4</v>
      </c>
      <c r="CW3808" s="115">
        <v>0.11332468572476186</v>
      </c>
      <c r="CX3808" s="115" t="e">
        <v>#N/A</v>
      </c>
      <c r="CY3808" s="115" t="e">
        <v>#N/A</v>
      </c>
      <c r="CZ3808" s="137" t="e">
        <v>#N/A</v>
      </c>
      <c r="DA3808">
        <v>0.11332468572476186</v>
      </c>
      <c r="DB3808" t="str">
        <v/>
      </c>
    </row>
    <row r="3809" spans="83:106" x14ac:dyDescent="0.2">
      <c r="CE3809"/>
      <c r="CF3809"/>
      <c r="CG3809"/>
      <c r="CH3809"/>
      <c r="CI3809"/>
      <c r="CU3809" s="42">
        <v>3804</v>
      </c>
      <c r="CV3809" s="115">
        <v>4</v>
      </c>
      <c r="CW3809" s="115">
        <v>0.11332468572476186</v>
      </c>
      <c r="CX3809" s="115" t="e">
        <v>#N/A</v>
      </c>
      <c r="CY3809" s="115" t="e">
        <v>#N/A</v>
      </c>
      <c r="CZ3809" s="137" t="e">
        <v>#N/A</v>
      </c>
      <c r="DA3809">
        <v>0.11332468572476186</v>
      </c>
      <c r="DB3809" t="str">
        <v/>
      </c>
    </row>
    <row r="3810" spans="83:106" x14ac:dyDescent="0.2">
      <c r="CE3810"/>
      <c r="CF3810"/>
      <c r="CG3810"/>
      <c r="CH3810"/>
      <c r="CI3810"/>
      <c r="CU3810" s="42">
        <v>3805</v>
      </c>
      <c r="CV3810" s="115">
        <v>4</v>
      </c>
      <c r="CW3810" s="115">
        <v>0.11332468572476186</v>
      </c>
      <c r="CX3810" s="115" t="e">
        <v>#N/A</v>
      </c>
      <c r="CY3810" s="115" t="e">
        <v>#N/A</v>
      </c>
      <c r="CZ3810" s="137" t="e">
        <v>#N/A</v>
      </c>
      <c r="DA3810">
        <v>0.11332468572476186</v>
      </c>
      <c r="DB3810" t="str">
        <v/>
      </c>
    </row>
    <row r="3811" spans="83:106" x14ac:dyDescent="0.2">
      <c r="CE3811"/>
      <c r="CF3811"/>
      <c r="CG3811"/>
      <c r="CH3811"/>
      <c r="CI3811"/>
      <c r="CU3811" s="42">
        <v>3806</v>
      </c>
      <c r="CV3811" s="115">
        <v>4</v>
      </c>
      <c r="CW3811" s="115">
        <v>0.11332468572476186</v>
      </c>
      <c r="CX3811" s="115" t="e">
        <v>#N/A</v>
      </c>
      <c r="CY3811" s="115" t="e">
        <v>#N/A</v>
      </c>
      <c r="CZ3811" s="137" t="e">
        <v>#N/A</v>
      </c>
      <c r="DA3811">
        <v>0.11332468572476186</v>
      </c>
      <c r="DB3811" t="str">
        <v/>
      </c>
    </row>
    <row r="3812" spans="83:106" x14ac:dyDescent="0.2">
      <c r="CE3812"/>
      <c r="CF3812"/>
      <c r="CG3812"/>
      <c r="CH3812"/>
      <c r="CI3812"/>
      <c r="CU3812" s="42">
        <v>3807</v>
      </c>
      <c r="CV3812" s="115">
        <v>4</v>
      </c>
      <c r="CW3812" s="115">
        <v>0.11332468572476186</v>
      </c>
      <c r="CX3812" s="115" t="e">
        <v>#N/A</v>
      </c>
      <c r="CY3812" s="115" t="e">
        <v>#N/A</v>
      </c>
      <c r="CZ3812" s="137" t="e">
        <v>#N/A</v>
      </c>
      <c r="DA3812">
        <v>0.11332468572476186</v>
      </c>
      <c r="DB3812" t="str">
        <v/>
      </c>
    </row>
    <row r="3813" spans="83:106" x14ac:dyDescent="0.2">
      <c r="CE3813"/>
      <c r="CF3813"/>
      <c r="CG3813"/>
      <c r="CH3813"/>
      <c r="CI3813"/>
      <c r="CU3813" s="42">
        <v>3808</v>
      </c>
      <c r="CV3813" s="115">
        <v>4</v>
      </c>
      <c r="CW3813" s="115">
        <v>0.11332468572476186</v>
      </c>
      <c r="CX3813" s="115" t="e">
        <v>#N/A</v>
      </c>
      <c r="CY3813" s="115" t="e">
        <v>#N/A</v>
      </c>
      <c r="CZ3813" s="137" t="e">
        <v>#N/A</v>
      </c>
      <c r="DA3813">
        <v>0.11332468572476186</v>
      </c>
      <c r="DB3813" t="str">
        <v/>
      </c>
    </row>
    <row r="3814" spans="83:106" x14ac:dyDescent="0.2">
      <c r="CE3814"/>
      <c r="CF3814"/>
      <c r="CG3814"/>
      <c r="CH3814"/>
      <c r="CI3814"/>
      <c r="CU3814" s="42">
        <v>3809</v>
      </c>
      <c r="CV3814" s="115">
        <v>4</v>
      </c>
      <c r="CW3814" s="115">
        <v>0.11332468572476186</v>
      </c>
      <c r="CX3814" s="115" t="e">
        <v>#N/A</v>
      </c>
      <c r="CY3814" s="115" t="e">
        <v>#N/A</v>
      </c>
      <c r="CZ3814" s="137" t="e">
        <v>#N/A</v>
      </c>
      <c r="DA3814">
        <v>0.11332468572476186</v>
      </c>
      <c r="DB3814" t="str">
        <v/>
      </c>
    </row>
    <row r="3815" spans="83:106" x14ac:dyDescent="0.2">
      <c r="CE3815"/>
      <c r="CF3815"/>
      <c r="CG3815"/>
      <c r="CH3815"/>
      <c r="CI3815"/>
      <c r="CU3815" s="42">
        <v>3810</v>
      </c>
      <c r="CV3815" s="115">
        <v>4</v>
      </c>
      <c r="CW3815" s="115">
        <v>0.11332468572476186</v>
      </c>
      <c r="CX3815" s="115" t="e">
        <v>#N/A</v>
      </c>
      <c r="CY3815" s="115" t="e">
        <v>#N/A</v>
      </c>
      <c r="CZ3815" s="137" t="e">
        <v>#N/A</v>
      </c>
      <c r="DA3815">
        <v>0.11332468572476186</v>
      </c>
      <c r="DB3815" t="str">
        <v/>
      </c>
    </row>
    <row r="3816" spans="83:106" x14ac:dyDescent="0.2">
      <c r="CE3816"/>
      <c r="CF3816"/>
      <c r="CG3816"/>
      <c r="CH3816"/>
      <c r="CI3816"/>
      <c r="CU3816" s="42">
        <v>3811</v>
      </c>
      <c r="CV3816" s="115">
        <v>4</v>
      </c>
      <c r="CW3816" s="115">
        <v>0.11332468572476186</v>
      </c>
      <c r="CX3816" s="115" t="e">
        <v>#N/A</v>
      </c>
      <c r="CY3816" s="115" t="e">
        <v>#N/A</v>
      </c>
      <c r="CZ3816" s="137" t="e">
        <v>#N/A</v>
      </c>
      <c r="DA3816">
        <v>0.11332468572476186</v>
      </c>
      <c r="DB3816" t="str">
        <v/>
      </c>
    </row>
    <row r="3817" spans="83:106" x14ac:dyDescent="0.2">
      <c r="CE3817"/>
      <c r="CF3817"/>
      <c r="CG3817"/>
      <c r="CH3817"/>
      <c r="CI3817"/>
      <c r="CU3817" s="42">
        <v>3812</v>
      </c>
      <c r="CV3817" s="115">
        <v>4</v>
      </c>
      <c r="CW3817" s="115">
        <v>0.11332468572476186</v>
      </c>
      <c r="CX3817" s="115" t="e">
        <v>#N/A</v>
      </c>
      <c r="CY3817" s="115" t="e">
        <v>#N/A</v>
      </c>
      <c r="CZ3817" s="137" t="e">
        <v>#N/A</v>
      </c>
      <c r="DA3817">
        <v>0.11332468572476186</v>
      </c>
      <c r="DB3817" t="str">
        <v/>
      </c>
    </row>
    <row r="3818" spans="83:106" x14ac:dyDescent="0.2">
      <c r="CE3818"/>
      <c r="CF3818"/>
      <c r="CG3818"/>
      <c r="CH3818"/>
      <c r="CI3818"/>
      <c r="CU3818" s="42">
        <v>3813</v>
      </c>
      <c r="CV3818" s="115">
        <v>4</v>
      </c>
      <c r="CW3818" s="115">
        <v>0.11332468572476186</v>
      </c>
      <c r="CX3818" s="115" t="e">
        <v>#N/A</v>
      </c>
      <c r="CY3818" s="115" t="e">
        <v>#N/A</v>
      </c>
      <c r="CZ3818" s="137" t="e">
        <v>#N/A</v>
      </c>
      <c r="DA3818">
        <v>0.11332468572476186</v>
      </c>
      <c r="DB3818" t="str">
        <v/>
      </c>
    </row>
    <row r="3819" spans="83:106" x14ac:dyDescent="0.2">
      <c r="CE3819"/>
      <c r="CF3819"/>
      <c r="CG3819"/>
      <c r="CH3819"/>
      <c r="CI3819"/>
      <c r="CU3819" s="42">
        <v>3814</v>
      </c>
      <c r="CV3819" s="115">
        <v>4</v>
      </c>
      <c r="CW3819" s="115">
        <v>0.11332468572476186</v>
      </c>
      <c r="CX3819" s="115" t="e">
        <v>#N/A</v>
      </c>
      <c r="CY3819" s="115" t="e">
        <v>#N/A</v>
      </c>
      <c r="CZ3819" s="137" t="e">
        <v>#N/A</v>
      </c>
      <c r="DA3819">
        <v>0.11332468572476186</v>
      </c>
      <c r="DB3819" t="str">
        <v/>
      </c>
    </row>
    <row r="3820" spans="83:106" x14ac:dyDescent="0.2">
      <c r="CE3820"/>
      <c r="CF3820"/>
      <c r="CG3820"/>
      <c r="CH3820"/>
      <c r="CI3820"/>
      <c r="CU3820" s="42">
        <v>3815</v>
      </c>
      <c r="CV3820" s="115">
        <v>4</v>
      </c>
      <c r="CW3820" s="115">
        <v>0.11332468572476186</v>
      </c>
      <c r="CX3820" s="115" t="e">
        <v>#N/A</v>
      </c>
      <c r="CY3820" s="115" t="e">
        <v>#N/A</v>
      </c>
      <c r="CZ3820" s="137" t="e">
        <v>#N/A</v>
      </c>
      <c r="DA3820">
        <v>0.11332468572476186</v>
      </c>
      <c r="DB3820" t="str">
        <v/>
      </c>
    </row>
    <row r="3821" spans="83:106" x14ac:dyDescent="0.2">
      <c r="CE3821"/>
      <c r="CF3821"/>
      <c r="CG3821"/>
      <c r="CH3821"/>
      <c r="CI3821"/>
      <c r="CU3821" s="42">
        <v>3816</v>
      </c>
      <c r="CV3821" s="115">
        <v>4</v>
      </c>
      <c r="CW3821" s="115">
        <v>0.11332468572476186</v>
      </c>
      <c r="CX3821" s="115" t="e">
        <v>#N/A</v>
      </c>
      <c r="CY3821" s="115" t="e">
        <v>#N/A</v>
      </c>
      <c r="CZ3821" s="137" t="e">
        <v>#N/A</v>
      </c>
      <c r="DA3821">
        <v>0.11332468572476186</v>
      </c>
      <c r="DB3821" t="str">
        <v/>
      </c>
    </row>
    <row r="3822" spans="83:106" x14ac:dyDescent="0.2">
      <c r="CE3822"/>
      <c r="CF3822"/>
      <c r="CG3822"/>
      <c r="CH3822"/>
      <c r="CI3822"/>
      <c r="CU3822" s="42">
        <v>3817</v>
      </c>
      <c r="CV3822" s="115">
        <v>4</v>
      </c>
      <c r="CW3822" s="115">
        <v>0.11332468572476186</v>
      </c>
      <c r="CX3822" s="115" t="e">
        <v>#N/A</v>
      </c>
      <c r="CY3822" s="115" t="e">
        <v>#N/A</v>
      </c>
      <c r="CZ3822" s="137" t="e">
        <v>#N/A</v>
      </c>
      <c r="DA3822">
        <v>0.11332468572476186</v>
      </c>
      <c r="DB3822" t="str">
        <v/>
      </c>
    </row>
    <row r="3823" spans="83:106" x14ac:dyDescent="0.2">
      <c r="CE3823"/>
      <c r="CF3823"/>
      <c r="CG3823"/>
      <c r="CH3823"/>
      <c r="CI3823"/>
      <c r="CU3823" s="42">
        <v>3818</v>
      </c>
      <c r="CV3823" s="115">
        <v>4</v>
      </c>
      <c r="CW3823" s="115">
        <v>0.11332468572476186</v>
      </c>
      <c r="CX3823" s="115" t="e">
        <v>#N/A</v>
      </c>
      <c r="CY3823" s="115" t="e">
        <v>#N/A</v>
      </c>
      <c r="CZ3823" s="137" t="e">
        <v>#N/A</v>
      </c>
      <c r="DA3823">
        <v>0.11332468572476186</v>
      </c>
      <c r="DB3823" t="str">
        <v/>
      </c>
    </row>
    <row r="3824" spans="83:106" x14ac:dyDescent="0.2">
      <c r="CE3824"/>
      <c r="CF3824"/>
      <c r="CG3824"/>
      <c r="CH3824"/>
      <c r="CI3824"/>
      <c r="CU3824" s="42">
        <v>3819</v>
      </c>
      <c r="CV3824" s="115">
        <v>4</v>
      </c>
      <c r="CW3824" s="115">
        <v>0.11332468572476186</v>
      </c>
      <c r="CX3824" s="115" t="e">
        <v>#N/A</v>
      </c>
      <c r="CY3824" s="115" t="e">
        <v>#N/A</v>
      </c>
      <c r="CZ3824" s="137" t="e">
        <v>#N/A</v>
      </c>
      <c r="DA3824">
        <v>0.11332468572476186</v>
      </c>
      <c r="DB3824" t="str">
        <v/>
      </c>
    </row>
    <row r="3825" spans="83:106" x14ac:dyDescent="0.2">
      <c r="CE3825"/>
      <c r="CF3825"/>
      <c r="CG3825"/>
      <c r="CH3825"/>
      <c r="CI3825"/>
      <c r="CU3825" s="42">
        <v>3820</v>
      </c>
      <c r="CV3825" s="115">
        <v>4</v>
      </c>
      <c r="CW3825" s="115">
        <v>0.11332468572476186</v>
      </c>
      <c r="CX3825" s="115" t="e">
        <v>#N/A</v>
      </c>
      <c r="CY3825" s="115" t="e">
        <v>#N/A</v>
      </c>
      <c r="CZ3825" s="137" t="e">
        <v>#N/A</v>
      </c>
      <c r="DA3825">
        <v>0.11332468572476186</v>
      </c>
      <c r="DB3825" t="str">
        <v/>
      </c>
    </row>
    <row r="3826" spans="83:106" x14ac:dyDescent="0.2">
      <c r="CE3826"/>
      <c r="CF3826"/>
      <c r="CG3826"/>
      <c r="CH3826"/>
      <c r="CI3826"/>
      <c r="CU3826" s="42">
        <v>3821</v>
      </c>
      <c r="CV3826" s="115">
        <v>4</v>
      </c>
      <c r="CW3826" s="115">
        <v>0.11332468572476186</v>
      </c>
      <c r="CX3826" s="115" t="e">
        <v>#N/A</v>
      </c>
      <c r="CY3826" s="115" t="e">
        <v>#N/A</v>
      </c>
      <c r="CZ3826" s="137" t="e">
        <v>#N/A</v>
      </c>
      <c r="DA3826">
        <v>0.11332468572476186</v>
      </c>
      <c r="DB3826" t="str">
        <v/>
      </c>
    </row>
    <row r="3827" spans="83:106" x14ac:dyDescent="0.2">
      <c r="CE3827"/>
      <c r="CF3827"/>
      <c r="CG3827"/>
      <c r="CH3827"/>
      <c r="CI3827"/>
      <c r="CU3827" s="42">
        <v>3822</v>
      </c>
      <c r="CV3827" s="115">
        <v>4</v>
      </c>
      <c r="CW3827" s="115">
        <v>0.11332468572476186</v>
      </c>
      <c r="CX3827" s="115" t="e">
        <v>#N/A</v>
      </c>
      <c r="CY3827" s="115" t="e">
        <v>#N/A</v>
      </c>
      <c r="CZ3827" s="137" t="e">
        <v>#N/A</v>
      </c>
      <c r="DA3827">
        <v>0.11332468572476186</v>
      </c>
      <c r="DB3827" t="str">
        <v/>
      </c>
    </row>
    <row r="3828" spans="83:106" x14ac:dyDescent="0.2">
      <c r="CE3828"/>
      <c r="CF3828"/>
      <c r="CG3828"/>
      <c r="CH3828"/>
      <c r="CI3828"/>
      <c r="CU3828" s="42">
        <v>3823</v>
      </c>
      <c r="CV3828" s="115">
        <v>4</v>
      </c>
      <c r="CW3828" s="115">
        <v>0.11332468572476186</v>
      </c>
      <c r="CX3828" s="115" t="e">
        <v>#N/A</v>
      </c>
      <c r="CY3828" s="115" t="e">
        <v>#N/A</v>
      </c>
      <c r="CZ3828" s="137" t="e">
        <v>#N/A</v>
      </c>
      <c r="DA3828">
        <v>0.11332468572476186</v>
      </c>
      <c r="DB3828" t="str">
        <v/>
      </c>
    </row>
    <row r="3829" spans="83:106" x14ac:dyDescent="0.2">
      <c r="CE3829"/>
      <c r="CF3829"/>
      <c r="CG3829"/>
      <c r="CH3829"/>
      <c r="CI3829"/>
      <c r="CU3829" s="42">
        <v>3824</v>
      </c>
      <c r="CV3829" s="115">
        <v>4</v>
      </c>
      <c r="CW3829" s="115">
        <v>0.11332468572476186</v>
      </c>
      <c r="CX3829" s="115" t="e">
        <v>#N/A</v>
      </c>
      <c r="CY3829" s="115" t="e">
        <v>#N/A</v>
      </c>
      <c r="CZ3829" s="137" t="e">
        <v>#N/A</v>
      </c>
      <c r="DA3829">
        <v>0.11332468572476186</v>
      </c>
      <c r="DB3829" t="str">
        <v/>
      </c>
    </row>
    <row r="3830" spans="83:106" x14ac:dyDescent="0.2">
      <c r="CE3830"/>
      <c r="CF3830"/>
      <c r="CG3830"/>
      <c r="CH3830"/>
      <c r="CI3830"/>
      <c r="CU3830" s="42">
        <v>3825</v>
      </c>
      <c r="CV3830" s="115">
        <v>4</v>
      </c>
      <c r="CW3830" s="115">
        <v>0.11332468572476186</v>
      </c>
      <c r="CX3830" s="115" t="e">
        <v>#N/A</v>
      </c>
      <c r="CY3830" s="115" t="e">
        <v>#N/A</v>
      </c>
      <c r="CZ3830" s="137" t="e">
        <v>#N/A</v>
      </c>
      <c r="DA3830">
        <v>0.11332468572476186</v>
      </c>
      <c r="DB3830" t="str">
        <v/>
      </c>
    </row>
    <row r="3831" spans="83:106" x14ac:dyDescent="0.2">
      <c r="CE3831"/>
      <c r="CF3831"/>
      <c r="CG3831"/>
      <c r="CH3831"/>
      <c r="CI3831"/>
      <c r="CU3831" s="42">
        <v>3826</v>
      </c>
      <c r="CV3831" s="115">
        <v>4</v>
      </c>
      <c r="CW3831" s="115">
        <v>0.11332468572476186</v>
      </c>
      <c r="CX3831" s="115" t="e">
        <v>#N/A</v>
      </c>
      <c r="CY3831" s="115" t="e">
        <v>#N/A</v>
      </c>
      <c r="CZ3831" s="137" t="e">
        <v>#N/A</v>
      </c>
      <c r="DA3831">
        <v>0.11332468572476186</v>
      </c>
      <c r="DB3831" t="str">
        <v/>
      </c>
    </row>
    <row r="3832" spans="83:106" x14ac:dyDescent="0.2">
      <c r="CE3832"/>
      <c r="CF3832"/>
      <c r="CG3832"/>
      <c r="CH3832"/>
      <c r="CI3832"/>
      <c r="CU3832" s="42">
        <v>3827</v>
      </c>
      <c r="CV3832" s="115">
        <v>4</v>
      </c>
      <c r="CW3832" s="115">
        <v>0.11332468572476186</v>
      </c>
      <c r="CX3832" s="115" t="e">
        <v>#N/A</v>
      </c>
      <c r="CY3832" s="115" t="e">
        <v>#N/A</v>
      </c>
      <c r="CZ3832" s="137" t="e">
        <v>#N/A</v>
      </c>
      <c r="DA3832">
        <v>0.11332468572476186</v>
      </c>
      <c r="DB3832" t="str">
        <v/>
      </c>
    </row>
    <row r="3833" spans="83:106" x14ac:dyDescent="0.2">
      <c r="CE3833"/>
      <c r="CF3833"/>
      <c r="CG3833"/>
      <c r="CH3833"/>
      <c r="CI3833"/>
      <c r="CU3833" s="42">
        <v>3828</v>
      </c>
      <c r="CV3833" s="115">
        <v>4</v>
      </c>
      <c r="CW3833" s="115">
        <v>0.11332468572476186</v>
      </c>
      <c r="CX3833" s="115" t="e">
        <v>#N/A</v>
      </c>
      <c r="CY3833" s="115" t="e">
        <v>#N/A</v>
      </c>
      <c r="CZ3833" s="137" t="e">
        <v>#N/A</v>
      </c>
      <c r="DA3833">
        <v>0.11332468572476186</v>
      </c>
      <c r="DB3833" t="str">
        <v/>
      </c>
    </row>
    <row r="3834" spans="83:106" x14ac:dyDescent="0.2">
      <c r="CE3834"/>
      <c r="CF3834"/>
      <c r="CG3834"/>
      <c r="CH3834"/>
      <c r="CI3834"/>
      <c r="CU3834" s="42">
        <v>3829</v>
      </c>
      <c r="CV3834" s="115">
        <v>4</v>
      </c>
      <c r="CW3834" s="115">
        <v>0.11332468572476186</v>
      </c>
      <c r="CX3834" s="115" t="e">
        <v>#N/A</v>
      </c>
      <c r="CY3834" s="115" t="e">
        <v>#N/A</v>
      </c>
      <c r="CZ3834" s="137" t="e">
        <v>#N/A</v>
      </c>
      <c r="DA3834">
        <v>0.11332468572476186</v>
      </c>
      <c r="DB3834" t="str">
        <v/>
      </c>
    </row>
    <row r="3835" spans="83:106" x14ac:dyDescent="0.2">
      <c r="CE3835"/>
      <c r="CF3835"/>
      <c r="CG3835"/>
      <c r="CH3835"/>
      <c r="CI3835"/>
      <c r="CU3835" s="42">
        <v>3830</v>
      </c>
      <c r="CV3835" s="115">
        <v>4</v>
      </c>
      <c r="CW3835" s="115">
        <v>0.11332468572476186</v>
      </c>
      <c r="CX3835" s="115" t="e">
        <v>#N/A</v>
      </c>
      <c r="CY3835" s="115" t="e">
        <v>#N/A</v>
      </c>
      <c r="CZ3835" s="137" t="e">
        <v>#N/A</v>
      </c>
      <c r="DA3835">
        <v>0.11332468572476186</v>
      </c>
      <c r="DB3835" t="str">
        <v/>
      </c>
    </row>
    <row r="3836" spans="83:106" x14ac:dyDescent="0.2">
      <c r="CE3836"/>
      <c r="CF3836"/>
      <c r="CG3836"/>
      <c r="CH3836"/>
      <c r="CI3836"/>
      <c r="CU3836" s="42">
        <v>3831</v>
      </c>
      <c r="CV3836" s="115">
        <v>4</v>
      </c>
      <c r="CW3836" s="115">
        <v>0.11332468572476186</v>
      </c>
      <c r="CX3836" s="115" t="e">
        <v>#N/A</v>
      </c>
      <c r="CY3836" s="115" t="e">
        <v>#N/A</v>
      </c>
      <c r="CZ3836" s="137" t="e">
        <v>#N/A</v>
      </c>
      <c r="DA3836">
        <v>0.11332468572476186</v>
      </c>
      <c r="DB3836" t="str">
        <v/>
      </c>
    </row>
    <row r="3837" spans="83:106" x14ac:dyDescent="0.2">
      <c r="CE3837"/>
      <c r="CF3837"/>
      <c r="CG3837"/>
      <c r="CH3837"/>
      <c r="CI3837"/>
      <c r="CU3837" s="42">
        <v>3832</v>
      </c>
      <c r="CV3837" s="115">
        <v>4</v>
      </c>
      <c r="CW3837" s="115">
        <v>0.11332468572476186</v>
      </c>
      <c r="CX3837" s="115" t="e">
        <v>#N/A</v>
      </c>
      <c r="CY3837" s="115" t="e">
        <v>#N/A</v>
      </c>
      <c r="CZ3837" s="137" t="e">
        <v>#N/A</v>
      </c>
      <c r="DA3837">
        <v>0.11332468572476186</v>
      </c>
      <c r="DB3837" t="str">
        <v/>
      </c>
    </row>
    <row r="3838" spans="83:106" x14ac:dyDescent="0.2">
      <c r="CE3838"/>
      <c r="CF3838"/>
      <c r="CG3838"/>
      <c r="CH3838"/>
      <c r="CI3838"/>
      <c r="CU3838" s="42">
        <v>3833</v>
      </c>
      <c r="CV3838" s="115">
        <v>4</v>
      </c>
      <c r="CW3838" s="115">
        <v>0.11332468572476186</v>
      </c>
      <c r="CX3838" s="115" t="e">
        <v>#N/A</v>
      </c>
      <c r="CY3838" s="115" t="e">
        <v>#N/A</v>
      </c>
      <c r="CZ3838" s="137" t="e">
        <v>#N/A</v>
      </c>
      <c r="DA3838">
        <v>0.11332468572476186</v>
      </c>
      <c r="DB3838" t="str">
        <v/>
      </c>
    </row>
    <row r="3839" spans="83:106" x14ac:dyDescent="0.2">
      <c r="CE3839"/>
      <c r="CF3839"/>
      <c r="CG3839"/>
      <c r="CH3839"/>
      <c r="CI3839"/>
      <c r="CU3839" s="42">
        <v>3834</v>
      </c>
      <c r="CV3839" s="115">
        <v>4</v>
      </c>
      <c r="CW3839" s="115">
        <v>0.11332468572476186</v>
      </c>
      <c r="CX3839" s="115" t="e">
        <v>#N/A</v>
      </c>
      <c r="CY3839" s="115" t="e">
        <v>#N/A</v>
      </c>
      <c r="CZ3839" s="137" t="e">
        <v>#N/A</v>
      </c>
      <c r="DA3839">
        <v>0.11332468572476186</v>
      </c>
      <c r="DB3839" t="str">
        <v/>
      </c>
    </row>
    <row r="3840" spans="83:106" x14ac:dyDescent="0.2">
      <c r="CE3840"/>
      <c r="CF3840"/>
      <c r="CG3840"/>
      <c r="CH3840"/>
      <c r="CI3840"/>
      <c r="CU3840" s="42">
        <v>3835</v>
      </c>
      <c r="CV3840" s="115">
        <v>4</v>
      </c>
      <c r="CW3840" s="115">
        <v>0.11332468572476186</v>
      </c>
      <c r="CX3840" s="115" t="e">
        <v>#N/A</v>
      </c>
      <c r="CY3840" s="115" t="e">
        <v>#N/A</v>
      </c>
      <c r="CZ3840" s="137" t="e">
        <v>#N/A</v>
      </c>
      <c r="DA3840">
        <v>0.11332468572476186</v>
      </c>
      <c r="DB3840" t="str">
        <v/>
      </c>
    </row>
    <row r="3841" spans="83:106" x14ac:dyDescent="0.2">
      <c r="CE3841"/>
      <c r="CF3841"/>
      <c r="CG3841"/>
      <c r="CH3841"/>
      <c r="CI3841"/>
      <c r="CU3841" s="42">
        <v>3836</v>
      </c>
      <c r="CV3841" s="115">
        <v>4</v>
      </c>
      <c r="CW3841" s="115">
        <v>0.11332468572476186</v>
      </c>
      <c r="CX3841" s="115" t="e">
        <v>#N/A</v>
      </c>
      <c r="CY3841" s="115" t="e">
        <v>#N/A</v>
      </c>
      <c r="CZ3841" s="137" t="e">
        <v>#N/A</v>
      </c>
      <c r="DA3841">
        <v>0.11332468572476186</v>
      </c>
      <c r="DB3841" t="str">
        <v/>
      </c>
    </row>
    <row r="3842" spans="83:106" x14ac:dyDescent="0.2">
      <c r="CE3842"/>
      <c r="CF3842"/>
      <c r="CG3842"/>
      <c r="CH3842"/>
      <c r="CI3842"/>
      <c r="CU3842" s="42">
        <v>3837</v>
      </c>
      <c r="CV3842" s="115">
        <v>4</v>
      </c>
      <c r="CW3842" s="115">
        <v>0.11332468572476186</v>
      </c>
      <c r="CX3842" s="115" t="e">
        <v>#N/A</v>
      </c>
      <c r="CY3842" s="115" t="e">
        <v>#N/A</v>
      </c>
      <c r="CZ3842" s="137" t="e">
        <v>#N/A</v>
      </c>
      <c r="DA3842">
        <v>0.11332468572476186</v>
      </c>
      <c r="DB3842" t="str">
        <v/>
      </c>
    </row>
    <row r="3843" spans="83:106" x14ac:dyDescent="0.2">
      <c r="CE3843"/>
      <c r="CF3843"/>
      <c r="CG3843"/>
      <c r="CH3843"/>
      <c r="CI3843"/>
      <c r="CU3843" s="42">
        <v>3838</v>
      </c>
      <c r="CV3843" s="115">
        <v>4</v>
      </c>
      <c r="CW3843" s="115">
        <v>0.11332468572476186</v>
      </c>
      <c r="CX3843" s="115" t="e">
        <v>#N/A</v>
      </c>
      <c r="CY3843" s="115" t="e">
        <v>#N/A</v>
      </c>
      <c r="CZ3843" s="137" t="e">
        <v>#N/A</v>
      </c>
      <c r="DA3843">
        <v>0.11332468572476186</v>
      </c>
      <c r="DB3843" t="str">
        <v/>
      </c>
    </row>
    <row r="3844" spans="83:106" x14ac:dyDescent="0.2">
      <c r="CE3844"/>
      <c r="CF3844"/>
      <c r="CG3844"/>
      <c r="CH3844"/>
      <c r="CI3844"/>
      <c r="CU3844" s="42">
        <v>3839</v>
      </c>
      <c r="CV3844" s="115">
        <v>4</v>
      </c>
      <c r="CW3844" s="115">
        <v>0.11332468572476186</v>
      </c>
      <c r="CX3844" s="115" t="e">
        <v>#N/A</v>
      </c>
      <c r="CY3844" s="115" t="e">
        <v>#N/A</v>
      </c>
      <c r="CZ3844" s="137" t="e">
        <v>#N/A</v>
      </c>
      <c r="DA3844">
        <v>0.11332468572476186</v>
      </c>
      <c r="DB3844" t="str">
        <v/>
      </c>
    </row>
    <row r="3845" spans="83:106" x14ac:dyDescent="0.2">
      <c r="CE3845"/>
      <c r="CF3845"/>
      <c r="CG3845"/>
      <c r="CH3845"/>
      <c r="CI3845"/>
      <c r="CU3845" s="42">
        <v>3840</v>
      </c>
      <c r="CV3845" s="115">
        <v>4</v>
      </c>
      <c r="CW3845" s="115">
        <v>0.11332468572476186</v>
      </c>
      <c r="CX3845" s="115" t="e">
        <v>#N/A</v>
      </c>
      <c r="CY3845" s="115" t="e">
        <v>#N/A</v>
      </c>
      <c r="CZ3845" s="137" t="e">
        <v>#N/A</v>
      </c>
      <c r="DA3845">
        <v>0.11332468572476186</v>
      </c>
      <c r="DB3845" t="str">
        <v/>
      </c>
    </row>
    <row r="3846" spans="83:106" x14ac:dyDescent="0.2">
      <c r="CE3846"/>
      <c r="CF3846"/>
      <c r="CG3846"/>
      <c r="CH3846"/>
      <c r="CI3846"/>
      <c r="CU3846" s="42">
        <v>3841</v>
      </c>
      <c r="CV3846" s="115">
        <v>4</v>
      </c>
      <c r="CW3846" s="115">
        <v>0.11332468572476186</v>
      </c>
      <c r="CX3846" s="115" t="e">
        <v>#N/A</v>
      </c>
      <c r="CY3846" s="115" t="e">
        <v>#N/A</v>
      </c>
      <c r="CZ3846" s="137" t="e">
        <v>#N/A</v>
      </c>
      <c r="DA3846">
        <v>0.11332468572476186</v>
      </c>
      <c r="DB3846" t="str">
        <v/>
      </c>
    </row>
    <row r="3847" spans="83:106" x14ac:dyDescent="0.2">
      <c r="CE3847"/>
      <c r="CF3847"/>
      <c r="CG3847"/>
      <c r="CH3847"/>
      <c r="CI3847"/>
      <c r="CU3847" s="42">
        <v>3842</v>
      </c>
      <c r="CV3847" s="115">
        <v>4</v>
      </c>
      <c r="CW3847" s="115">
        <v>0.11332468572476186</v>
      </c>
      <c r="CX3847" s="115" t="e">
        <v>#N/A</v>
      </c>
      <c r="CY3847" s="115" t="e">
        <v>#N/A</v>
      </c>
      <c r="CZ3847" s="137" t="e">
        <v>#N/A</v>
      </c>
      <c r="DA3847">
        <v>0.11332468572476186</v>
      </c>
      <c r="DB3847" t="str">
        <v/>
      </c>
    </row>
    <row r="3848" spans="83:106" x14ac:dyDescent="0.2">
      <c r="CE3848"/>
      <c r="CF3848"/>
      <c r="CG3848"/>
      <c r="CH3848"/>
      <c r="CI3848"/>
      <c r="CU3848" s="42">
        <v>3843</v>
      </c>
      <c r="CV3848" s="115">
        <v>4</v>
      </c>
      <c r="CW3848" s="115">
        <v>0.11332468572476186</v>
      </c>
      <c r="CX3848" s="115" t="e">
        <v>#N/A</v>
      </c>
      <c r="CY3848" s="115" t="e">
        <v>#N/A</v>
      </c>
      <c r="CZ3848" s="137" t="e">
        <v>#N/A</v>
      </c>
      <c r="DA3848">
        <v>0.11332468572476186</v>
      </c>
      <c r="DB3848" t="str">
        <v/>
      </c>
    </row>
    <row r="3849" spans="83:106" x14ac:dyDescent="0.2">
      <c r="CE3849"/>
      <c r="CF3849"/>
      <c r="CG3849"/>
      <c r="CH3849"/>
      <c r="CI3849"/>
      <c r="CU3849" s="42">
        <v>3844</v>
      </c>
      <c r="CV3849" s="115">
        <v>4</v>
      </c>
      <c r="CW3849" s="115">
        <v>0.11332468572476186</v>
      </c>
      <c r="CX3849" s="115" t="e">
        <v>#N/A</v>
      </c>
      <c r="CY3849" s="115" t="e">
        <v>#N/A</v>
      </c>
      <c r="CZ3849" s="137" t="e">
        <v>#N/A</v>
      </c>
      <c r="DA3849">
        <v>0.11332468572476186</v>
      </c>
      <c r="DB3849" t="str">
        <v/>
      </c>
    </row>
    <row r="3850" spans="83:106" x14ac:dyDescent="0.2">
      <c r="CE3850"/>
      <c r="CF3850"/>
      <c r="CG3850"/>
      <c r="CH3850"/>
      <c r="CI3850"/>
      <c r="CU3850" s="42">
        <v>3845</v>
      </c>
      <c r="CV3850" s="115">
        <v>4</v>
      </c>
      <c r="CW3850" s="115">
        <v>0.11332468572476186</v>
      </c>
      <c r="CX3850" s="115" t="e">
        <v>#N/A</v>
      </c>
      <c r="CY3850" s="115" t="e">
        <v>#N/A</v>
      </c>
      <c r="CZ3850" s="137" t="e">
        <v>#N/A</v>
      </c>
      <c r="DA3850">
        <v>0.11332468572476186</v>
      </c>
      <c r="DB3850" t="str">
        <v/>
      </c>
    </row>
    <row r="3851" spans="83:106" x14ac:dyDescent="0.2">
      <c r="CE3851"/>
      <c r="CF3851"/>
      <c r="CG3851"/>
      <c r="CH3851"/>
      <c r="CI3851"/>
      <c r="CU3851" s="42">
        <v>3846</v>
      </c>
      <c r="CV3851" s="115">
        <v>4</v>
      </c>
      <c r="CW3851" s="115">
        <v>0.11332468572476186</v>
      </c>
      <c r="CX3851" s="115" t="e">
        <v>#N/A</v>
      </c>
      <c r="CY3851" s="115" t="e">
        <v>#N/A</v>
      </c>
      <c r="CZ3851" s="137" t="e">
        <v>#N/A</v>
      </c>
      <c r="DA3851">
        <v>0.11332468572476186</v>
      </c>
      <c r="DB3851" t="str">
        <v/>
      </c>
    </row>
    <row r="3852" spans="83:106" x14ac:dyDescent="0.2">
      <c r="CE3852"/>
      <c r="CF3852"/>
      <c r="CG3852"/>
      <c r="CH3852"/>
      <c r="CI3852"/>
      <c r="CU3852" s="42">
        <v>3847</v>
      </c>
      <c r="CV3852" s="115">
        <v>4</v>
      </c>
      <c r="CW3852" s="115">
        <v>0.11332468572476186</v>
      </c>
      <c r="CX3852" s="115" t="e">
        <v>#N/A</v>
      </c>
      <c r="CY3852" s="115" t="e">
        <v>#N/A</v>
      </c>
      <c r="CZ3852" s="137" t="e">
        <v>#N/A</v>
      </c>
      <c r="DA3852">
        <v>0.11332468572476186</v>
      </c>
      <c r="DB3852" t="str">
        <v/>
      </c>
    </row>
    <row r="3853" spans="83:106" x14ac:dyDescent="0.2">
      <c r="CE3853"/>
      <c r="CF3853"/>
      <c r="CG3853"/>
      <c r="CH3853"/>
      <c r="CI3853"/>
      <c r="CU3853" s="42">
        <v>3848</v>
      </c>
      <c r="CV3853" s="115">
        <v>4</v>
      </c>
      <c r="CW3853" s="115">
        <v>0.11332468572476186</v>
      </c>
      <c r="CX3853" s="115" t="e">
        <v>#N/A</v>
      </c>
      <c r="CY3853" s="115" t="e">
        <v>#N/A</v>
      </c>
      <c r="CZ3853" s="137" t="e">
        <v>#N/A</v>
      </c>
      <c r="DA3853">
        <v>0.11332468572476186</v>
      </c>
      <c r="DB3853" t="str">
        <v/>
      </c>
    </row>
    <row r="3854" spans="83:106" x14ac:dyDescent="0.2">
      <c r="CE3854"/>
      <c r="CF3854"/>
      <c r="CG3854"/>
      <c r="CH3854"/>
      <c r="CI3854"/>
      <c r="CU3854" s="42">
        <v>3849</v>
      </c>
      <c r="CV3854" s="115">
        <v>4</v>
      </c>
      <c r="CW3854" s="115">
        <v>0.11332468572476186</v>
      </c>
      <c r="CX3854" s="115" t="e">
        <v>#N/A</v>
      </c>
      <c r="CY3854" s="115" t="e">
        <v>#N/A</v>
      </c>
      <c r="CZ3854" s="137" t="e">
        <v>#N/A</v>
      </c>
      <c r="DA3854">
        <v>0.11332468572476186</v>
      </c>
      <c r="DB3854" t="str">
        <v/>
      </c>
    </row>
    <row r="3855" spans="83:106" x14ac:dyDescent="0.2">
      <c r="CE3855"/>
      <c r="CF3855"/>
      <c r="CG3855"/>
      <c r="CH3855"/>
      <c r="CI3855"/>
      <c r="CU3855" s="42">
        <v>3850</v>
      </c>
      <c r="CV3855" s="115">
        <v>4</v>
      </c>
      <c r="CW3855" s="115">
        <v>0.11332468572476186</v>
      </c>
      <c r="CX3855" s="115" t="e">
        <v>#N/A</v>
      </c>
      <c r="CY3855" s="115" t="e">
        <v>#N/A</v>
      </c>
      <c r="CZ3855" s="137" t="e">
        <v>#N/A</v>
      </c>
      <c r="DA3855">
        <v>0.11332468572476186</v>
      </c>
      <c r="DB3855" t="str">
        <v/>
      </c>
    </row>
    <row r="3856" spans="83:106" x14ac:dyDescent="0.2">
      <c r="CE3856"/>
      <c r="CF3856"/>
      <c r="CG3856"/>
      <c r="CH3856"/>
      <c r="CI3856"/>
      <c r="CU3856" s="42">
        <v>3851</v>
      </c>
      <c r="CV3856" s="115">
        <v>4</v>
      </c>
      <c r="CW3856" s="115">
        <v>0.11332468572476186</v>
      </c>
      <c r="CX3856" s="115" t="e">
        <v>#N/A</v>
      </c>
      <c r="CY3856" s="115" t="e">
        <v>#N/A</v>
      </c>
      <c r="CZ3856" s="137" t="e">
        <v>#N/A</v>
      </c>
      <c r="DA3856">
        <v>0.11332468572476186</v>
      </c>
      <c r="DB3856" t="str">
        <v/>
      </c>
    </row>
    <row r="3857" spans="83:106" x14ac:dyDescent="0.2">
      <c r="CE3857"/>
      <c r="CF3857"/>
      <c r="CG3857"/>
      <c r="CH3857"/>
      <c r="CI3857"/>
      <c r="CU3857" s="42">
        <v>3852</v>
      </c>
      <c r="CV3857" s="115">
        <v>4</v>
      </c>
      <c r="CW3857" s="115">
        <v>0.11332468572476186</v>
      </c>
      <c r="CX3857" s="115" t="e">
        <v>#N/A</v>
      </c>
      <c r="CY3857" s="115" t="e">
        <v>#N/A</v>
      </c>
      <c r="CZ3857" s="137" t="e">
        <v>#N/A</v>
      </c>
      <c r="DA3857">
        <v>0.11332468572476186</v>
      </c>
      <c r="DB3857" t="str">
        <v/>
      </c>
    </row>
    <row r="3858" spans="83:106" x14ac:dyDescent="0.2">
      <c r="CE3858"/>
      <c r="CF3858"/>
      <c r="CG3858"/>
      <c r="CH3858"/>
      <c r="CI3858"/>
      <c r="CU3858" s="42">
        <v>3853</v>
      </c>
      <c r="CV3858" s="115">
        <v>4</v>
      </c>
      <c r="CW3858" s="115">
        <v>0.11332468572476186</v>
      </c>
      <c r="CX3858" s="115" t="e">
        <v>#N/A</v>
      </c>
      <c r="CY3858" s="115" t="e">
        <v>#N/A</v>
      </c>
      <c r="CZ3858" s="137" t="e">
        <v>#N/A</v>
      </c>
      <c r="DA3858">
        <v>0.11332468572476186</v>
      </c>
      <c r="DB3858" t="str">
        <v/>
      </c>
    </row>
    <row r="3859" spans="83:106" x14ac:dyDescent="0.2">
      <c r="CE3859"/>
      <c r="CF3859"/>
      <c r="CG3859"/>
      <c r="CH3859"/>
      <c r="CI3859"/>
      <c r="CU3859" s="42">
        <v>3854</v>
      </c>
      <c r="CV3859" s="115">
        <v>4</v>
      </c>
      <c r="CW3859" s="115">
        <v>0.11332468572476186</v>
      </c>
      <c r="CX3859" s="115" t="e">
        <v>#N/A</v>
      </c>
      <c r="CY3859" s="115" t="e">
        <v>#N/A</v>
      </c>
      <c r="CZ3859" s="137" t="e">
        <v>#N/A</v>
      </c>
      <c r="DA3859">
        <v>0.11332468572476186</v>
      </c>
      <c r="DB3859" t="str">
        <v/>
      </c>
    </row>
    <row r="3860" spans="83:106" x14ac:dyDescent="0.2">
      <c r="CE3860"/>
      <c r="CF3860"/>
      <c r="CG3860"/>
      <c r="CH3860"/>
      <c r="CI3860"/>
      <c r="CU3860" s="42">
        <v>3855</v>
      </c>
      <c r="CV3860" s="115">
        <v>4</v>
      </c>
      <c r="CW3860" s="115">
        <v>0.11332468572476186</v>
      </c>
      <c r="CX3860" s="115" t="e">
        <v>#N/A</v>
      </c>
      <c r="CY3860" s="115" t="e">
        <v>#N/A</v>
      </c>
      <c r="CZ3860" s="137" t="e">
        <v>#N/A</v>
      </c>
      <c r="DA3860">
        <v>0.11332468572476186</v>
      </c>
      <c r="DB3860" t="str">
        <v/>
      </c>
    </row>
    <row r="3861" spans="83:106" x14ac:dyDescent="0.2">
      <c r="CE3861"/>
      <c r="CF3861"/>
      <c r="CG3861"/>
      <c r="CH3861"/>
      <c r="CI3861"/>
      <c r="CU3861" s="42">
        <v>3856</v>
      </c>
      <c r="CV3861" s="115">
        <v>4</v>
      </c>
      <c r="CW3861" s="115">
        <v>0.11332468572476186</v>
      </c>
      <c r="CX3861" s="115" t="e">
        <v>#N/A</v>
      </c>
      <c r="CY3861" s="115" t="e">
        <v>#N/A</v>
      </c>
      <c r="CZ3861" s="137" t="e">
        <v>#N/A</v>
      </c>
      <c r="DA3861">
        <v>0.11332468572476186</v>
      </c>
      <c r="DB3861" t="str">
        <v/>
      </c>
    </row>
    <row r="3862" spans="83:106" x14ac:dyDescent="0.2">
      <c r="CE3862"/>
      <c r="CF3862"/>
      <c r="CG3862"/>
      <c r="CH3862"/>
      <c r="CI3862"/>
      <c r="CU3862" s="42">
        <v>3857</v>
      </c>
      <c r="CV3862" s="115">
        <v>4</v>
      </c>
      <c r="CW3862" s="115">
        <v>0.11332468572476186</v>
      </c>
      <c r="CX3862" s="115" t="e">
        <v>#N/A</v>
      </c>
      <c r="CY3862" s="115" t="e">
        <v>#N/A</v>
      </c>
      <c r="CZ3862" s="137" t="e">
        <v>#N/A</v>
      </c>
      <c r="DA3862">
        <v>0.11332468572476186</v>
      </c>
      <c r="DB3862" t="str">
        <v/>
      </c>
    </row>
    <row r="3863" spans="83:106" x14ac:dyDescent="0.2">
      <c r="CE3863"/>
      <c r="CF3863"/>
      <c r="CG3863"/>
      <c r="CH3863"/>
      <c r="CI3863"/>
      <c r="CU3863" s="42">
        <v>3858</v>
      </c>
      <c r="CV3863" s="115">
        <v>4</v>
      </c>
      <c r="CW3863" s="115">
        <v>0.11332468572476186</v>
      </c>
      <c r="CX3863" s="115" t="e">
        <v>#N/A</v>
      </c>
      <c r="CY3863" s="115" t="e">
        <v>#N/A</v>
      </c>
      <c r="CZ3863" s="137" t="e">
        <v>#N/A</v>
      </c>
      <c r="DA3863">
        <v>0.11332468572476186</v>
      </c>
      <c r="DB3863" t="str">
        <v/>
      </c>
    </row>
    <row r="3864" spans="83:106" x14ac:dyDescent="0.2">
      <c r="CE3864"/>
      <c r="CF3864"/>
      <c r="CG3864"/>
      <c r="CH3864"/>
      <c r="CI3864"/>
      <c r="CU3864" s="42">
        <v>3859</v>
      </c>
      <c r="CV3864" s="115">
        <v>4</v>
      </c>
      <c r="CW3864" s="115">
        <v>0.11332468572476186</v>
      </c>
      <c r="CX3864" s="115" t="e">
        <v>#N/A</v>
      </c>
      <c r="CY3864" s="115" t="e">
        <v>#N/A</v>
      </c>
      <c r="CZ3864" s="137" t="e">
        <v>#N/A</v>
      </c>
      <c r="DA3864">
        <v>0.11332468572476186</v>
      </c>
      <c r="DB3864" t="str">
        <v/>
      </c>
    </row>
    <row r="3865" spans="83:106" x14ac:dyDescent="0.2">
      <c r="CE3865"/>
      <c r="CF3865"/>
      <c r="CG3865"/>
      <c r="CH3865"/>
      <c r="CI3865"/>
      <c r="CU3865" s="42">
        <v>3860</v>
      </c>
      <c r="CV3865" s="115">
        <v>4</v>
      </c>
      <c r="CW3865" s="115">
        <v>0.11332468572476186</v>
      </c>
      <c r="CX3865" s="115" t="e">
        <v>#N/A</v>
      </c>
      <c r="CY3865" s="115" t="e">
        <v>#N/A</v>
      </c>
      <c r="CZ3865" s="137" t="e">
        <v>#N/A</v>
      </c>
      <c r="DA3865">
        <v>0.11332468572476186</v>
      </c>
      <c r="DB3865" t="str">
        <v/>
      </c>
    </row>
    <row r="3866" spans="83:106" x14ac:dyDescent="0.2">
      <c r="CE3866"/>
      <c r="CF3866"/>
      <c r="CG3866"/>
      <c r="CH3866"/>
      <c r="CI3866"/>
      <c r="CU3866" s="42">
        <v>3861</v>
      </c>
      <c r="CV3866" s="115">
        <v>4</v>
      </c>
      <c r="CW3866" s="115">
        <v>0.11332468572476186</v>
      </c>
      <c r="CX3866" s="115" t="e">
        <v>#N/A</v>
      </c>
      <c r="CY3866" s="115" t="e">
        <v>#N/A</v>
      </c>
      <c r="CZ3866" s="137" t="e">
        <v>#N/A</v>
      </c>
      <c r="DA3866">
        <v>0.11332468572476186</v>
      </c>
      <c r="DB3866" t="str">
        <v/>
      </c>
    </row>
    <row r="3867" spans="83:106" x14ac:dyDescent="0.2">
      <c r="CE3867"/>
      <c r="CF3867"/>
      <c r="CG3867"/>
      <c r="CH3867"/>
      <c r="CI3867"/>
      <c r="CU3867" s="42">
        <v>3862</v>
      </c>
      <c r="CV3867" s="115">
        <v>4</v>
      </c>
      <c r="CW3867" s="115">
        <v>0.11332468572476186</v>
      </c>
      <c r="CX3867" s="115" t="e">
        <v>#N/A</v>
      </c>
      <c r="CY3867" s="115" t="e">
        <v>#N/A</v>
      </c>
      <c r="CZ3867" s="137" t="e">
        <v>#N/A</v>
      </c>
      <c r="DA3867">
        <v>0.11332468572476186</v>
      </c>
      <c r="DB3867" t="str">
        <v/>
      </c>
    </row>
    <row r="3868" spans="83:106" x14ac:dyDescent="0.2">
      <c r="CE3868"/>
      <c r="CF3868"/>
      <c r="CG3868"/>
      <c r="CH3868"/>
      <c r="CI3868"/>
      <c r="CU3868" s="42">
        <v>3863</v>
      </c>
      <c r="CV3868" s="115">
        <v>4</v>
      </c>
      <c r="CW3868" s="115">
        <v>0.11332468572476186</v>
      </c>
      <c r="CX3868" s="115" t="e">
        <v>#N/A</v>
      </c>
      <c r="CY3868" s="115" t="e">
        <v>#N/A</v>
      </c>
      <c r="CZ3868" s="137" t="e">
        <v>#N/A</v>
      </c>
      <c r="DA3868">
        <v>0.11332468572476186</v>
      </c>
      <c r="DB3868" t="str">
        <v/>
      </c>
    </row>
    <row r="3869" spans="83:106" x14ac:dyDescent="0.2">
      <c r="CE3869"/>
      <c r="CF3869"/>
      <c r="CG3869"/>
      <c r="CH3869"/>
      <c r="CI3869"/>
      <c r="CU3869" s="42">
        <v>3864</v>
      </c>
      <c r="CV3869" s="115">
        <v>4</v>
      </c>
      <c r="CW3869" s="115">
        <v>0.11332468572476186</v>
      </c>
      <c r="CX3869" s="115" t="e">
        <v>#N/A</v>
      </c>
      <c r="CY3869" s="115" t="e">
        <v>#N/A</v>
      </c>
      <c r="CZ3869" s="137" t="e">
        <v>#N/A</v>
      </c>
      <c r="DA3869">
        <v>0.11332468572476186</v>
      </c>
      <c r="DB3869" t="str">
        <v/>
      </c>
    </row>
    <row r="3870" spans="83:106" x14ac:dyDescent="0.2">
      <c r="CE3870"/>
      <c r="CF3870"/>
      <c r="CG3870"/>
      <c r="CH3870"/>
      <c r="CI3870"/>
      <c r="CU3870" s="42">
        <v>3865</v>
      </c>
      <c r="CV3870" s="115">
        <v>4</v>
      </c>
      <c r="CW3870" s="115">
        <v>0.11332468572476186</v>
      </c>
      <c r="CX3870" s="115" t="e">
        <v>#N/A</v>
      </c>
      <c r="CY3870" s="115" t="e">
        <v>#N/A</v>
      </c>
      <c r="CZ3870" s="137" t="e">
        <v>#N/A</v>
      </c>
      <c r="DA3870">
        <v>0.11332468572476186</v>
      </c>
      <c r="DB3870" t="str">
        <v/>
      </c>
    </row>
    <row r="3871" spans="83:106" x14ac:dyDescent="0.2">
      <c r="CE3871"/>
      <c r="CF3871"/>
      <c r="CG3871"/>
      <c r="CH3871"/>
      <c r="CI3871"/>
      <c r="CU3871" s="42">
        <v>3866</v>
      </c>
      <c r="CV3871" s="115">
        <v>4</v>
      </c>
      <c r="CW3871" s="115">
        <v>0.11332468572476186</v>
      </c>
      <c r="CX3871" s="115" t="e">
        <v>#N/A</v>
      </c>
      <c r="CY3871" s="115" t="e">
        <v>#N/A</v>
      </c>
      <c r="CZ3871" s="137" t="e">
        <v>#N/A</v>
      </c>
      <c r="DA3871">
        <v>0.11332468572476186</v>
      </c>
      <c r="DB3871" t="str">
        <v/>
      </c>
    </row>
    <row r="3872" spans="83:106" x14ac:dyDescent="0.2">
      <c r="CE3872"/>
      <c r="CF3872"/>
      <c r="CG3872"/>
      <c r="CH3872"/>
      <c r="CI3872"/>
      <c r="CU3872" s="42">
        <v>3867</v>
      </c>
      <c r="CV3872" s="115">
        <v>4</v>
      </c>
      <c r="CW3872" s="115">
        <v>0.11332468572476186</v>
      </c>
      <c r="CX3872" s="115" t="e">
        <v>#N/A</v>
      </c>
      <c r="CY3872" s="115" t="e">
        <v>#N/A</v>
      </c>
      <c r="CZ3872" s="137" t="e">
        <v>#N/A</v>
      </c>
      <c r="DA3872">
        <v>0.11332468572476186</v>
      </c>
      <c r="DB3872" t="str">
        <v/>
      </c>
    </row>
    <row r="3873" spans="83:106" x14ac:dyDescent="0.2">
      <c r="CE3873"/>
      <c r="CF3873"/>
      <c r="CG3873"/>
      <c r="CH3873"/>
      <c r="CI3873"/>
      <c r="CU3873" s="42">
        <v>3868</v>
      </c>
      <c r="CV3873" s="115">
        <v>4</v>
      </c>
      <c r="CW3873" s="115">
        <v>0.11332468572476186</v>
      </c>
      <c r="CX3873" s="115" t="e">
        <v>#N/A</v>
      </c>
      <c r="CY3873" s="115" t="e">
        <v>#N/A</v>
      </c>
      <c r="CZ3873" s="137" t="e">
        <v>#N/A</v>
      </c>
      <c r="DA3873">
        <v>0.11332468572476186</v>
      </c>
      <c r="DB3873" t="str">
        <v/>
      </c>
    </row>
    <row r="3874" spans="83:106" x14ac:dyDescent="0.2">
      <c r="CE3874"/>
      <c r="CF3874"/>
      <c r="CG3874"/>
      <c r="CH3874"/>
      <c r="CI3874"/>
      <c r="CU3874" s="42">
        <v>3869</v>
      </c>
      <c r="CV3874" s="115">
        <v>4</v>
      </c>
      <c r="CW3874" s="115">
        <v>0.11332468572476186</v>
      </c>
      <c r="CX3874" s="115" t="e">
        <v>#N/A</v>
      </c>
      <c r="CY3874" s="115" t="e">
        <v>#N/A</v>
      </c>
      <c r="CZ3874" s="137" t="e">
        <v>#N/A</v>
      </c>
      <c r="DA3874">
        <v>0.11332468572476186</v>
      </c>
      <c r="DB3874" t="str">
        <v/>
      </c>
    </row>
    <row r="3875" spans="83:106" x14ac:dyDescent="0.2">
      <c r="CE3875"/>
      <c r="CF3875"/>
      <c r="CG3875"/>
      <c r="CH3875"/>
      <c r="CI3875"/>
      <c r="CU3875" s="42">
        <v>3870</v>
      </c>
      <c r="CV3875" s="115">
        <v>4</v>
      </c>
      <c r="CW3875" s="115">
        <v>0.11332468572476186</v>
      </c>
      <c r="CX3875" s="115" t="e">
        <v>#N/A</v>
      </c>
      <c r="CY3875" s="115" t="e">
        <v>#N/A</v>
      </c>
      <c r="CZ3875" s="137" t="e">
        <v>#N/A</v>
      </c>
      <c r="DA3875">
        <v>0.11332468572476186</v>
      </c>
      <c r="DB3875" t="str">
        <v/>
      </c>
    </row>
    <row r="3876" spans="83:106" x14ac:dyDescent="0.2">
      <c r="CE3876"/>
      <c r="CF3876"/>
      <c r="CG3876"/>
      <c r="CH3876"/>
      <c r="CI3876"/>
      <c r="CU3876" s="42">
        <v>3871</v>
      </c>
      <c r="CV3876" s="115">
        <v>4</v>
      </c>
      <c r="CW3876" s="115">
        <v>0.11332468572476186</v>
      </c>
      <c r="CX3876" s="115" t="e">
        <v>#N/A</v>
      </c>
      <c r="CY3876" s="115" t="e">
        <v>#N/A</v>
      </c>
      <c r="CZ3876" s="137" t="e">
        <v>#N/A</v>
      </c>
      <c r="DA3876">
        <v>0.11332468572476186</v>
      </c>
      <c r="DB3876" t="str">
        <v/>
      </c>
    </row>
    <row r="3877" spans="83:106" x14ac:dyDescent="0.2">
      <c r="CE3877"/>
      <c r="CF3877"/>
      <c r="CG3877"/>
      <c r="CH3877"/>
      <c r="CI3877"/>
      <c r="CU3877" s="42">
        <v>3872</v>
      </c>
      <c r="CV3877" s="115">
        <v>4</v>
      </c>
      <c r="CW3877" s="115">
        <v>0.11332468572476186</v>
      </c>
      <c r="CX3877" s="115" t="e">
        <v>#N/A</v>
      </c>
      <c r="CY3877" s="115" t="e">
        <v>#N/A</v>
      </c>
      <c r="CZ3877" s="137" t="e">
        <v>#N/A</v>
      </c>
      <c r="DA3877">
        <v>0.11332468572476186</v>
      </c>
      <c r="DB3877" t="str">
        <v/>
      </c>
    </row>
    <row r="3878" spans="83:106" x14ac:dyDescent="0.2">
      <c r="CE3878"/>
      <c r="CF3878"/>
      <c r="CG3878"/>
      <c r="CH3878"/>
      <c r="CI3878"/>
      <c r="CU3878" s="42">
        <v>3873</v>
      </c>
      <c r="CV3878" s="115">
        <v>4</v>
      </c>
      <c r="CW3878" s="115">
        <v>0.11332468572476186</v>
      </c>
      <c r="CX3878" s="115" t="e">
        <v>#N/A</v>
      </c>
      <c r="CY3878" s="115" t="e">
        <v>#N/A</v>
      </c>
      <c r="CZ3878" s="137" t="e">
        <v>#N/A</v>
      </c>
      <c r="DA3878">
        <v>0.11332468572476186</v>
      </c>
      <c r="DB3878" t="str">
        <v/>
      </c>
    </row>
    <row r="3879" spans="83:106" x14ac:dyDescent="0.2">
      <c r="CE3879"/>
      <c r="CF3879"/>
      <c r="CG3879"/>
      <c r="CH3879"/>
      <c r="CI3879"/>
      <c r="CU3879" s="42">
        <v>3874</v>
      </c>
      <c r="CV3879" s="115">
        <v>4</v>
      </c>
      <c r="CW3879" s="115">
        <v>0.11332468572476186</v>
      </c>
      <c r="CX3879" s="115" t="e">
        <v>#N/A</v>
      </c>
      <c r="CY3879" s="115" t="e">
        <v>#N/A</v>
      </c>
      <c r="CZ3879" s="137" t="e">
        <v>#N/A</v>
      </c>
      <c r="DA3879">
        <v>0.11332468572476186</v>
      </c>
      <c r="DB3879" t="str">
        <v/>
      </c>
    </row>
    <row r="3880" spans="83:106" x14ac:dyDescent="0.2">
      <c r="CE3880"/>
      <c r="CF3880"/>
      <c r="CG3880"/>
      <c r="CH3880"/>
      <c r="CI3880"/>
      <c r="CU3880" s="42">
        <v>3875</v>
      </c>
      <c r="CV3880" s="115">
        <v>4</v>
      </c>
      <c r="CW3880" s="115">
        <v>0.11332468572476186</v>
      </c>
      <c r="CX3880" s="115" t="e">
        <v>#N/A</v>
      </c>
      <c r="CY3880" s="115" t="e">
        <v>#N/A</v>
      </c>
      <c r="CZ3880" s="137" t="e">
        <v>#N/A</v>
      </c>
      <c r="DA3880">
        <v>0.11332468572476186</v>
      </c>
      <c r="DB3880" t="str">
        <v/>
      </c>
    </row>
    <row r="3881" spans="83:106" x14ac:dyDescent="0.2">
      <c r="CE3881"/>
      <c r="CF3881"/>
      <c r="CG3881"/>
      <c r="CH3881"/>
      <c r="CI3881"/>
      <c r="CU3881" s="42">
        <v>3876</v>
      </c>
      <c r="CV3881" s="115">
        <v>4</v>
      </c>
      <c r="CW3881" s="115">
        <v>0.11332468572476186</v>
      </c>
      <c r="CX3881" s="115" t="e">
        <v>#N/A</v>
      </c>
      <c r="CY3881" s="115" t="e">
        <v>#N/A</v>
      </c>
      <c r="CZ3881" s="137" t="e">
        <v>#N/A</v>
      </c>
      <c r="DA3881">
        <v>0.11332468572476186</v>
      </c>
      <c r="DB3881" t="str">
        <v/>
      </c>
    </row>
    <row r="3882" spans="83:106" x14ac:dyDescent="0.2">
      <c r="CE3882"/>
      <c r="CF3882"/>
      <c r="CG3882"/>
      <c r="CH3882"/>
      <c r="CI3882"/>
      <c r="CU3882" s="42">
        <v>3877</v>
      </c>
      <c r="CV3882" s="115">
        <v>4</v>
      </c>
      <c r="CW3882" s="115">
        <v>0.11332468572476186</v>
      </c>
      <c r="CX3882" s="115" t="e">
        <v>#N/A</v>
      </c>
      <c r="CY3882" s="115" t="e">
        <v>#N/A</v>
      </c>
      <c r="CZ3882" s="137" t="e">
        <v>#N/A</v>
      </c>
      <c r="DA3882">
        <v>0.11332468572476186</v>
      </c>
      <c r="DB3882" t="str">
        <v/>
      </c>
    </row>
    <row r="3883" spans="83:106" x14ac:dyDescent="0.2">
      <c r="CE3883"/>
      <c r="CF3883"/>
      <c r="CG3883"/>
      <c r="CH3883"/>
      <c r="CI3883"/>
      <c r="CU3883" s="42">
        <v>3878</v>
      </c>
      <c r="CV3883" s="115">
        <v>4</v>
      </c>
      <c r="CW3883" s="115">
        <v>0.11332468572476186</v>
      </c>
      <c r="CX3883" s="115" t="e">
        <v>#N/A</v>
      </c>
      <c r="CY3883" s="115" t="e">
        <v>#N/A</v>
      </c>
      <c r="CZ3883" s="137" t="e">
        <v>#N/A</v>
      </c>
      <c r="DA3883">
        <v>0.11332468572476186</v>
      </c>
      <c r="DB3883" t="str">
        <v/>
      </c>
    </row>
    <row r="3884" spans="83:106" x14ac:dyDescent="0.2">
      <c r="CE3884"/>
      <c r="CF3884"/>
      <c r="CG3884"/>
      <c r="CH3884"/>
      <c r="CI3884"/>
      <c r="CU3884" s="42">
        <v>3879</v>
      </c>
      <c r="CV3884" s="115">
        <v>4</v>
      </c>
      <c r="CW3884" s="115">
        <v>0.11332468572476186</v>
      </c>
      <c r="CX3884" s="115" t="e">
        <v>#N/A</v>
      </c>
      <c r="CY3884" s="115" t="e">
        <v>#N/A</v>
      </c>
      <c r="CZ3884" s="137" t="e">
        <v>#N/A</v>
      </c>
      <c r="DA3884">
        <v>0.11332468572476186</v>
      </c>
      <c r="DB3884" t="str">
        <v/>
      </c>
    </row>
    <row r="3885" spans="83:106" x14ac:dyDescent="0.2">
      <c r="CE3885"/>
      <c r="CF3885"/>
      <c r="CG3885"/>
      <c r="CH3885"/>
      <c r="CI3885"/>
      <c r="CU3885" s="42">
        <v>3880</v>
      </c>
      <c r="CV3885" s="115">
        <v>4</v>
      </c>
      <c r="CW3885" s="115">
        <v>0.11332468572476186</v>
      </c>
      <c r="CX3885" s="115" t="e">
        <v>#N/A</v>
      </c>
      <c r="CY3885" s="115" t="e">
        <v>#N/A</v>
      </c>
      <c r="CZ3885" s="137" t="e">
        <v>#N/A</v>
      </c>
      <c r="DA3885">
        <v>0.11332468572476186</v>
      </c>
      <c r="DB3885" t="str">
        <v/>
      </c>
    </row>
    <row r="3886" spans="83:106" x14ac:dyDescent="0.2">
      <c r="CE3886"/>
      <c r="CF3886"/>
      <c r="CG3886"/>
      <c r="CH3886"/>
      <c r="CI3886"/>
      <c r="CU3886" s="42">
        <v>3881</v>
      </c>
      <c r="CV3886" s="115">
        <v>4</v>
      </c>
      <c r="CW3886" s="115">
        <v>0.11332468572476186</v>
      </c>
      <c r="CX3886" s="115" t="e">
        <v>#N/A</v>
      </c>
      <c r="CY3886" s="115" t="e">
        <v>#N/A</v>
      </c>
      <c r="CZ3886" s="137" t="e">
        <v>#N/A</v>
      </c>
      <c r="DA3886">
        <v>0.11332468572476186</v>
      </c>
      <c r="DB3886" t="str">
        <v/>
      </c>
    </row>
    <row r="3887" spans="83:106" x14ac:dyDescent="0.2">
      <c r="CE3887"/>
      <c r="CF3887"/>
      <c r="CG3887"/>
      <c r="CH3887"/>
      <c r="CI3887"/>
      <c r="CU3887" s="42">
        <v>3882</v>
      </c>
      <c r="CV3887" s="115">
        <v>4</v>
      </c>
      <c r="CW3887" s="115">
        <v>0.11332468572476186</v>
      </c>
      <c r="CX3887" s="115" t="e">
        <v>#N/A</v>
      </c>
      <c r="CY3887" s="115" t="e">
        <v>#N/A</v>
      </c>
      <c r="CZ3887" s="137" t="e">
        <v>#N/A</v>
      </c>
      <c r="DA3887">
        <v>0.11332468572476186</v>
      </c>
      <c r="DB3887" t="str">
        <v/>
      </c>
    </row>
    <row r="3888" spans="83:106" x14ac:dyDescent="0.2">
      <c r="CE3888"/>
      <c r="CF3888"/>
      <c r="CG3888"/>
      <c r="CH3888"/>
      <c r="CI3888"/>
      <c r="CU3888" s="42">
        <v>3883</v>
      </c>
      <c r="CV3888" s="115">
        <v>4</v>
      </c>
      <c r="CW3888" s="115">
        <v>0.11332468572476186</v>
      </c>
      <c r="CX3888" s="115" t="e">
        <v>#N/A</v>
      </c>
      <c r="CY3888" s="115" t="e">
        <v>#N/A</v>
      </c>
      <c r="CZ3888" s="137" t="e">
        <v>#N/A</v>
      </c>
      <c r="DA3888">
        <v>0.11332468572476186</v>
      </c>
      <c r="DB3888" t="str">
        <v/>
      </c>
    </row>
    <row r="3889" spans="83:106" x14ac:dyDescent="0.2">
      <c r="CE3889"/>
      <c r="CF3889"/>
      <c r="CG3889"/>
      <c r="CH3889"/>
      <c r="CI3889"/>
      <c r="CU3889" s="42">
        <v>3884</v>
      </c>
      <c r="CV3889" s="115">
        <v>4</v>
      </c>
      <c r="CW3889" s="115">
        <v>0.11332468572476186</v>
      </c>
      <c r="CX3889" s="115" t="e">
        <v>#N/A</v>
      </c>
      <c r="CY3889" s="115" t="e">
        <v>#N/A</v>
      </c>
      <c r="CZ3889" s="137" t="e">
        <v>#N/A</v>
      </c>
      <c r="DA3889">
        <v>0.11332468572476186</v>
      </c>
      <c r="DB3889" t="str">
        <v/>
      </c>
    </row>
    <row r="3890" spans="83:106" x14ac:dyDescent="0.2">
      <c r="CE3890"/>
      <c r="CF3890"/>
      <c r="CG3890"/>
      <c r="CH3890"/>
      <c r="CI3890"/>
      <c r="CU3890" s="42">
        <v>3885</v>
      </c>
      <c r="CV3890" s="115">
        <v>4</v>
      </c>
      <c r="CW3890" s="115">
        <v>0.11332468572476186</v>
      </c>
      <c r="CX3890" s="115" t="e">
        <v>#N/A</v>
      </c>
      <c r="CY3890" s="115" t="e">
        <v>#N/A</v>
      </c>
      <c r="CZ3890" s="137" t="e">
        <v>#N/A</v>
      </c>
      <c r="DA3890">
        <v>0.11332468572476186</v>
      </c>
      <c r="DB3890" t="str">
        <v/>
      </c>
    </row>
    <row r="3891" spans="83:106" x14ac:dyDescent="0.2">
      <c r="CE3891"/>
      <c r="CF3891"/>
      <c r="CG3891"/>
      <c r="CH3891"/>
      <c r="CI3891"/>
      <c r="CU3891" s="42">
        <v>3886</v>
      </c>
      <c r="CV3891" s="115">
        <v>4</v>
      </c>
      <c r="CW3891" s="115">
        <v>0.11332468572476186</v>
      </c>
      <c r="CX3891" s="115" t="e">
        <v>#N/A</v>
      </c>
      <c r="CY3891" s="115" t="e">
        <v>#N/A</v>
      </c>
      <c r="CZ3891" s="137" t="e">
        <v>#N/A</v>
      </c>
      <c r="DA3891">
        <v>0.11332468572476186</v>
      </c>
      <c r="DB3891" t="str">
        <v/>
      </c>
    </row>
    <row r="3892" spans="83:106" x14ac:dyDescent="0.2">
      <c r="CE3892"/>
      <c r="CF3892"/>
      <c r="CG3892"/>
      <c r="CH3892"/>
      <c r="CI3892"/>
      <c r="CU3892" s="42">
        <v>3887</v>
      </c>
      <c r="CV3892" s="115">
        <v>4</v>
      </c>
      <c r="CW3892" s="115">
        <v>0.11332468572476186</v>
      </c>
      <c r="CX3892" s="115" t="e">
        <v>#N/A</v>
      </c>
      <c r="CY3892" s="115" t="e">
        <v>#N/A</v>
      </c>
      <c r="CZ3892" s="137" t="e">
        <v>#N/A</v>
      </c>
      <c r="DA3892">
        <v>0.11332468572476186</v>
      </c>
      <c r="DB3892" t="str">
        <v/>
      </c>
    </row>
    <row r="3893" spans="83:106" x14ac:dyDescent="0.2">
      <c r="CE3893"/>
      <c r="CF3893"/>
      <c r="CG3893"/>
      <c r="CH3893"/>
      <c r="CI3893"/>
      <c r="CU3893" s="42">
        <v>3888</v>
      </c>
      <c r="CV3893" s="115">
        <v>4</v>
      </c>
      <c r="CW3893" s="115">
        <v>0.11332468572476186</v>
      </c>
      <c r="CX3893" s="115" t="e">
        <v>#N/A</v>
      </c>
      <c r="CY3893" s="115" t="e">
        <v>#N/A</v>
      </c>
      <c r="CZ3893" s="137" t="e">
        <v>#N/A</v>
      </c>
      <c r="DA3893">
        <v>0.11332468572476186</v>
      </c>
      <c r="DB3893" t="str">
        <v/>
      </c>
    </row>
    <row r="3894" spans="83:106" x14ac:dyDescent="0.2">
      <c r="CE3894"/>
      <c r="CF3894"/>
      <c r="CG3894"/>
      <c r="CH3894"/>
      <c r="CI3894"/>
      <c r="CU3894" s="42">
        <v>3889</v>
      </c>
      <c r="CV3894" s="115">
        <v>4</v>
      </c>
      <c r="CW3894" s="115">
        <v>0.11332468572476186</v>
      </c>
      <c r="CX3894" s="115" t="e">
        <v>#N/A</v>
      </c>
      <c r="CY3894" s="115" t="e">
        <v>#N/A</v>
      </c>
      <c r="CZ3894" s="137" t="e">
        <v>#N/A</v>
      </c>
      <c r="DA3894">
        <v>0.11332468572476186</v>
      </c>
      <c r="DB3894" t="str">
        <v/>
      </c>
    </row>
    <row r="3895" spans="83:106" x14ac:dyDescent="0.2">
      <c r="CE3895"/>
      <c r="CF3895"/>
      <c r="CG3895"/>
      <c r="CH3895"/>
      <c r="CI3895"/>
      <c r="CU3895" s="42">
        <v>3890</v>
      </c>
      <c r="CV3895" s="115">
        <v>4</v>
      </c>
      <c r="CW3895" s="115">
        <v>0.11332468572476186</v>
      </c>
      <c r="CX3895" s="115" t="e">
        <v>#N/A</v>
      </c>
      <c r="CY3895" s="115" t="e">
        <v>#N/A</v>
      </c>
      <c r="CZ3895" s="137" t="e">
        <v>#N/A</v>
      </c>
      <c r="DA3895">
        <v>0.11332468572476186</v>
      </c>
      <c r="DB3895" t="str">
        <v/>
      </c>
    </row>
    <row r="3896" spans="83:106" x14ac:dyDescent="0.2">
      <c r="CE3896"/>
      <c r="CF3896"/>
      <c r="CG3896"/>
      <c r="CH3896"/>
      <c r="CI3896"/>
      <c r="CU3896" s="42">
        <v>3891</v>
      </c>
      <c r="CV3896" s="115">
        <v>4</v>
      </c>
      <c r="CW3896" s="115">
        <v>0.11332468572476186</v>
      </c>
      <c r="CX3896" s="115" t="e">
        <v>#N/A</v>
      </c>
      <c r="CY3896" s="115" t="e">
        <v>#N/A</v>
      </c>
      <c r="CZ3896" s="137" t="e">
        <v>#N/A</v>
      </c>
      <c r="DA3896">
        <v>0.11332468572476186</v>
      </c>
      <c r="DB3896" t="str">
        <v/>
      </c>
    </row>
    <row r="3897" spans="83:106" x14ac:dyDescent="0.2">
      <c r="CE3897"/>
      <c r="CF3897"/>
      <c r="CG3897"/>
      <c r="CH3897"/>
      <c r="CI3897"/>
      <c r="CU3897" s="42">
        <v>3892</v>
      </c>
      <c r="CV3897" s="115">
        <v>4</v>
      </c>
      <c r="CW3897" s="115">
        <v>0.11332468572476186</v>
      </c>
      <c r="CX3897" s="115" t="e">
        <v>#N/A</v>
      </c>
      <c r="CY3897" s="115" t="e">
        <v>#N/A</v>
      </c>
      <c r="CZ3897" s="137" t="e">
        <v>#N/A</v>
      </c>
      <c r="DA3897">
        <v>0.11332468572476186</v>
      </c>
      <c r="DB3897" t="str">
        <v/>
      </c>
    </row>
    <row r="3898" spans="83:106" x14ac:dyDescent="0.2">
      <c r="CE3898"/>
      <c r="CF3898"/>
      <c r="CG3898"/>
      <c r="CH3898"/>
      <c r="CI3898"/>
      <c r="CU3898" s="42">
        <v>3893</v>
      </c>
      <c r="CV3898" s="115">
        <v>4</v>
      </c>
      <c r="CW3898" s="115">
        <v>0.11332468572476186</v>
      </c>
      <c r="CX3898" s="115" t="e">
        <v>#N/A</v>
      </c>
      <c r="CY3898" s="115" t="e">
        <v>#N/A</v>
      </c>
      <c r="CZ3898" s="137" t="e">
        <v>#N/A</v>
      </c>
      <c r="DA3898">
        <v>0.11332468572476186</v>
      </c>
      <c r="DB3898" t="str">
        <v/>
      </c>
    </row>
    <row r="3899" spans="83:106" x14ac:dyDescent="0.2">
      <c r="CE3899"/>
      <c r="CF3899"/>
      <c r="CG3899"/>
      <c r="CH3899"/>
      <c r="CI3899"/>
      <c r="CU3899" s="42">
        <v>3894</v>
      </c>
      <c r="CV3899" s="115">
        <v>4</v>
      </c>
      <c r="CW3899" s="115">
        <v>0.11332468572476186</v>
      </c>
      <c r="CX3899" s="115" t="e">
        <v>#N/A</v>
      </c>
      <c r="CY3899" s="115" t="e">
        <v>#N/A</v>
      </c>
      <c r="CZ3899" s="137" t="e">
        <v>#N/A</v>
      </c>
      <c r="DA3899">
        <v>0.11332468572476186</v>
      </c>
      <c r="DB3899" t="str">
        <v/>
      </c>
    </row>
    <row r="3900" spans="83:106" x14ac:dyDescent="0.2">
      <c r="CE3900"/>
      <c r="CF3900"/>
      <c r="CG3900"/>
      <c r="CH3900"/>
      <c r="CI3900"/>
      <c r="CU3900" s="42">
        <v>3895</v>
      </c>
      <c r="CV3900" s="115">
        <v>4</v>
      </c>
      <c r="CW3900" s="115">
        <v>0.11332468572476186</v>
      </c>
      <c r="CX3900" s="115" t="e">
        <v>#N/A</v>
      </c>
      <c r="CY3900" s="115" t="e">
        <v>#N/A</v>
      </c>
      <c r="CZ3900" s="137" t="e">
        <v>#N/A</v>
      </c>
      <c r="DA3900">
        <v>0.11332468572476186</v>
      </c>
      <c r="DB3900" t="str">
        <v/>
      </c>
    </row>
    <row r="3901" spans="83:106" x14ac:dyDescent="0.2">
      <c r="CE3901"/>
      <c r="CF3901"/>
      <c r="CG3901"/>
      <c r="CH3901"/>
      <c r="CI3901"/>
      <c r="CU3901" s="42">
        <v>3896</v>
      </c>
      <c r="CV3901" s="115">
        <v>4</v>
      </c>
      <c r="CW3901" s="115">
        <v>0.11332468572476186</v>
      </c>
      <c r="CX3901" s="115" t="e">
        <v>#N/A</v>
      </c>
      <c r="CY3901" s="115" t="e">
        <v>#N/A</v>
      </c>
      <c r="CZ3901" s="137" t="e">
        <v>#N/A</v>
      </c>
      <c r="DA3901">
        <v>0.11332468572476186</v>
      </c>
      <c r="DB3901" t="str">
        <v/>
      </c>
    </row>
    <row r="3902" spans="83:106" x14ac:dyDescent="0.2">
      <c r="CE3902"/>
      <c r="CF3902"/>
      <c r="CG3902"/>
      <c r="CH3902"/>
      <c r="CI3902"/>
      <c r="CU3902" s="42">
        <v>3897</v>
      </c>
      <c r="CV3902" s="115">
        <v>4</v>
      </c>
      <c r="CW3902" s="115">
        <v>0.11332468572476186</v>
      </c>
      <c r="CX3902" s="115" t="e">
        <v>#N/A</v>
      </c>
      <c r="CY3902" s="115" t="e">
        <v>#N/A</v>
      </c>
      <c r="CZ3902" s="137" t="e">
        <v>#N/A</v>
      </c>
      <c r="DA3902">
        <v>0.11332468572476186</v>
      </c>
      <c r="DB3902" t="str">
        <v/>
      </c>
    </row>
    <row r="3903" spans="83:106" x14ac:dyDescent="0.2">
      <c r="CE3903"/>
      <c r="CF3903"/>
      <c r="CG3903"/>
      <c r="CH3903"/>
      <c r="CI3903"/>
      <c r="CU3903" s="42">
        <v>3898</v>
      </c>
      <c r="CV3903" s="115">
        <v>4</v>
      </c>
      <c r="CW3903" s="115">
        <v>0.11332468572476186</v>
      </c>
      <c r="CX3903" s="115" t="e">
        <v>#N/A</v>
      </c>
      <c r="CY3903" s="115" t="e">
        <v>#N/A</v>
      </c>
      <c r="CZ3903" s="137" t="e">
        <v>#N/A</v>
      </c>
      <c r="DA3903">
        <v>0.11332468572476186</v>
      </c>
      <c r="DB3903" t="str">
        <v/>
      </c>
    </row>
    <row r="3904" spans="83:106" x14ac:dyDescent="0.2">
      <c r="CE3904"/>
      <c r="CF3904"/>
      <c r="CG3904"/>
      <c r="CH3904"/>
      <c r="CI3904"/>
      <c r="CU3904" s="42">
        <v>3899</v>
      </c>
      <c r="CV3904" s="115">
        <v>4</v>
      </c>
      <c r="CW3904" s="115">
        <v>0.11332468572476186</v>
      </c>
      <c r="CX3904" s="115" t="e">
        <v>#N/A</v>
      </c>
      <c r="CY3904" s="115" t="e">
        <v>#N/A</v>
      </c>
      <c r="CZ3904" s="137" t="e">
        <v>#N/A</v>
      </c>
      <c r="DA3904">
        <v>0.11332468572476186</v>
      </c>
      <c r="DB3904" t="str">
        <v/>
      </c>
    </row>
    <row r="3905" spans="83:106" x14ac:dyDescent="0.2">
      <c r="CE3905"/>
      <c r="CF3905"/>
      <c r="CG3905"/>
      <c r="CH3905"/>
      <c r="CI3905"/>
      <c r="CU3905" s="42">
        <v>3900</v>
      </c>
      <c r="CV3905" s="115">
        <v>4</v>
      </c>
      <c r="CW3905" s="115">
        <v>0.11332468572476186</v>
      </c>
      <c r="CX3905" s="115" t="e">
        <v>#N/A</v>
      </c>
      <c r="CY3905" s="115" t="e">
        <v>#N/A</v>
      </c>
      <c r="CZ3905" s="137" t="e">
        <v>#N/A</v>
      </c>
      <c r="DA3905">
        <v>0.11332468572476186</v>
      </c>
      <c r="DB3905" t="str">
        <v/>
      </c>
    </row>
    <row r="3906" spans="83:106" x14ac:dyDescent="0.2">
      <c r="CE3906"/>
      <c r="CF3906"/>
      <c r="CG3906"/>
      <c r="CH3906"/>
      <c r="CI3906"/>
      <c r="CU3906" s="42">
        <v>3901</v>
      </c>
      <c r="CV3906" s="115">
        <v>4</v>
      </c>
      <c r="CW3906" s="115">
        <v>0.11332468572476186</v>
      </c>
      <c r="CX3906" s="115" t="e">
        <v>#N/A</v>
      </c>
      <c r="CY3906" s="115" t="e">
        <v>#N/A</v>
      </c>
      <c r="CZ3906" s="137" t="e">
        <v>#N/A</v>
      </c>
      <c r="DA3906">
        <v>0.11332468572476186</v>
      </c>
      <c r="DB3906" t="str">
        <v/>
      </c>
    </row>
    <row r="3907" spans="83:106" x14ac:dyDescent="0.2">
      <c r="CE3907"/>
      <c r="CF3907"/>
      <c r="CG3907"/>
      <c r="CH3907"/>
      <c r="CI3907"/>
      <c r="CU3907" s="42">
        <v>3902</v>
      </c>
      <c r="CV3907" s="115">
        <v>4</v>
      </c>
      <c r="CW3907" s="115">
        <v>0.11332468572476186</v>
      </c>
      <c r="CX3907" s="115" t="e">
        <v>#N/A</v>
      </c>
      <c r="CY3907" s="115" t="e">
        <v>#N/A</v>
      </c>
      <c r="CZ3907" s="137" t="e">
        <v>#N/A</v>
      </c>
      <c r="DA3907">
        <v>0.11332468572476186</v>
      </c>
      <c r="DB3907" t="str">
        <v/>
      </c>
    </row>
    <row r="3908" spans="83:106" x14ac:dyDescent="0.2">
      <c r="CE3908"/>
      <c r="CF3908"/>
      <c r="CG3908"/>
      <c r="CH3908"/>
      <c r="CI3908"/>
      <c r="CU3908" s="42">
        <v>3903</v>
      </c>
      <c r="CV3908" s="115">
        <v>4</v>
      </c>
      <c r="CW3908" s="115">
        <v>0.11332468572476186</v>
      </c>
      <c r="CX3908" s="115" t="e">
        <v>#N/A</v>
      </c>
      <c r="CY3908" s="115" t="e">
        <v>#N/A</v>
      </c>
      <c r="CZ3908" s="137" t="e">
        <v>#N/A</v>
      </c>
      <c r="DA3908">
        <v>0.11332468572476186</v>
      </c>
      <c r="DB3908" t="str">
        <v/>
      </c>
    </row>
    <row r="3909" spans="83:106" x14ac:dyDescent="0.2">
      <c r="CE3909"/>
      <c r="CF3909"/>
      <c r="CG3909"/>
      <c r="CH3909"/>
      <c r="CI3909"/>
      <c r="CU3909" s="42">
        <v>3904</v>
      </c>
      <c r="CV3909" s="115">
        <v>4</v>
      </c>
      <c r="CW3909" s="115">
        <v>0.11332468572476186</v>
      </c>
      <c r="CX3909" s="115" t="e">
        <v>#N/A</v>
      </c>
      <c r="CY3909" s="115" t="e">
        <v>#N/A</v>
      </c>
      <c r="CZ3909" s="137" t="e">
        <v>#N/A</v>
      </c>
      <c r="DA3909">
        <v>0.11332468572476186</v>
      </c>
      <c r="DB3909" t="str">
        <v/>
      </c>
    </row>
    <row r="3910" spans="83:106" x14ac:dyDescent="0.2">
      <c r="CE3910"/>
      <c r="CF3910"/>
      <c r="CG3910"/>
      <c r="CH3910"/>
      <c r="CI3910"/>
      <c r="CU3910" s="42">
        <v>3905</v>
      </c>
      <c r="CV3910" s="115">
        <v>4</v>
      </c>
      <c r="CW3910" s="115">
        <v>0.11332468572476186</v>
      </c>
      <c r="CX3910" s="115" t="e">
        <v>#N/A</v>
      </c>
      <c r="CY3910" s="115" t="e">
        <v>#N/A</v>
      </c>
      <c r="CZ3910" s="137" t="e">
        <v>#N/A</v>
      </c>
      <c r="DA3910">
        <v>0.11332468572476186</v>
      </c>
      <c r="DB3910" t="str">
        <v/>
      </c>
    </row>
    <row r="3911" spans="83:106" x14ac:dyDescent="0.2">
      <c r="CE3911"/>
      <c r="CF3911"/>
      <c r="CG3911"/>
      <c r="CH3911"/>
      <c r="CI3911"/>
      <c r="CU3911" s="42">
        <v>3906</v>
      </c>
      <c r="CV3911" s="115">
        <v>4</v>
      </c>
      <c r="CW3911" s="115">
        <v>0.11332468572476186</v>
      </c>
      <c r="CX3911" s="115" t="e">
        <v>#N/A</v>
      </c>
      <c r="CY3911" s="115" t="e">
        <v>#N/A</v>
      </c>
      <c r="CZ3911" s="137" t="e">
        <v>#N/A</v>
      </c>
      <c r="DA3911">
        <v>0.11332468572476186</v>
      </c>
      <c r="DB3911" t="str">
        <v/>
      </c>
    </row>
    <row r="3912" spans="83:106" x14ac:dyDescent="0.2">
      <c r="CE3912"/>
      <c r="CF3912"/>
      <c r="CG3912"/>
      <c r="CH3912"/>
      <c r="CI3912"/>
      <c r="CU3912" s="42">
        <v>3907</v>
      </c>
      <c r="CV3912" s="115">
        <v>4</v>
      </c>
      <c r="CW3912" s="115">
        <v>0.11332468572476186</v>
      </c>
      <c r="CX3912" s="115" t="e">
        <v>#N/A</v>
      </c>
      <c r="CY3912" s="115" t="e">
        <v>#N/A</v>
      </c>
      <c r="CZ3912" s="137" t="e">
        <v>#N/A</v>
      </c>
      <c r="DA3912">
        <v>0.11332468572476186</v>
      </c>
      <c r="DB3912" t="str">
        <v/>
      </c>
    </row>
    <row r="3913" spans="83:106" x14ac:dyDescent="0.2">
      <c r="CE3913"/>
      <c r="CF3913"/>
      <c r="CG3913"/>
      <c r="CH3913"/>
      <c r="CI3913"/>
      <c r="CU3913" s="42">
        <v>3908</v>
      </c>
      <c r="CV3913" s="115">
        <v>4</v>
      </c>
      <c r="CW3913" s="115">
        <v>0.11332468572476186</v>
      </c>
      <c r="CX3913" s="115" t="e">
        <v>#N/A</v>
      </c>
      <c r="CY3913" s="115" t="e">
        <v>#N/A</v>
      </c>
      <c r="CZ3913" s="137" t="e">
        <v>#N/A</v>
      </c>
      <c r="DA3913">
        <v>0.11332468572476186</v>
      </c>
      <c r="DB3913" t="str">
        <v/>
      </c>
    </row>
    <row r="3914" spans="83:106" x14ac:dyDescent="0.2">
      <c r="CE3914"/>
      <c r="CF3914"/>
      <c r="CG3914"/>
      <c r="CH3914"/>
      <c r="CI3914"/>
      <c r="CU3914" s="42">
        <v>3909</v>
      </c>
      <c r="CV3914" s="115">
        <v>4</v>
      </c>
      <c r="CW3914" s="115">
        <v>0.11332468572476186</v>
      </c>
      <c r="CX3914" s="115" t="e">
        <v>#N/A</v>
      </c>
      <c r="CY3914" s="115" t="e">
        <v>#N/A</v>
      </c>
      <c r="CZ3914" s="137" t="e">
        <v>#N/A</v>
      </c>
      <c r="DA3914">
        <v>0.11332468572476186</v>
      </c>
      <c r="DB3914" t="str">
        <v/>
      </c>
    </row>
    <row r="3915" spans="83:106" x14ac:dyDescent="0.2">
      <c r="CE3915"/>
      <c r="CF3915"/>
      <c r="CG3915"/>
      <c r="CH3915"/>
      <c r="CI3915"/>
      <c r="CU3915" s="42">
        <v>3910</v>
      </c>
      <c r="CV3915" s="115">
        <v>4</v>
      </c>
      <c r="CW3915" s="115">
        <v>0.11332468572476186</v>
      </c>
      <c r="CX3915" s="115" t="e">
        <v>#N/A</v>
      </c>
      <c r="CY3915" s="115" t="e">
        <v>#N/A</v>
      </c>
      <c r="CZ3915" s="137" t="e">
        <v>#N/A</v>
      </c>
      <c r="DA3915">
        <v>0.11332468572476186</v>
      </c>
      <c r="DB3915" t="str">
        <v/>
      </c>
    </row>
    <row r="3916" spans="83:106" x14ac:dyDescent="0.2">
      <c r="CE3916"/>
      <c r="CF3916"/>
      <c r="CG3916"/>
      <c r="CH3916"/>
      <c r="CI3916"/>
      <c r="CU3916" s="42">
        <v>3911</v>
      </c>
      <c r="CV3916" s="115">
        <v>4</v>
      </c>
      <c r="CW3916" s="115">
        <v>0.11332468572476186</v>
      </c>
      <c r="CX3916" s="115" t="e">
        <v>#N/A</v>
      </c>
      <c r="CY3916" s="115" t="e">
        <v>#N/A</v>
      </c>
      <c r="CZ3916" s="137" t="e">
        <v>#N/A</v>
      </c>
      <c r="DA3916">
        <v>0.11332468572476186</v>
      </c>
      <c r="DB3916" t="str">
        <v/>
      </c>
    </row>
    <row r="3917" spans="83:106" x14ac:dyDescent="0.2">
      <c r="CE3917"/>
      <c r="CF3917"/>
      <c r="CG3917"/>
      <c r="CH3917"/>
      <c r="CI3917"/>
      <c r="CU3917" s="42">
        <v>3912</v>
      </c>
      <c r="CV3917" s="115">
        <v>4</v>
      </c>
      <c r="CW3917" s="115">
        <v>0.11332468572476186</v>
      </c>
      <c r="CX3917" s="115" t="e">
        <v>#N/A</v>
      </c>
      <c r="CY3917" s="115" t="e">
        <v>#N/A</v>
      </c>
      <c r="CZ3917" s="137" t="e">
        <v>#N/A</v>
      </c>
      <c r="DA3917">
        <v>0.11332468572476186</v>
      </c>
      <c r="DB3917" t="str">
        <v/>
      </c>
    </row>
    <row r="3918" spans="83:106" x14ac:dyDescent="0.2">
      <c r="CE3918"/>
      <c r="CF3918"/>
      <c r="CG3918"/>
      <c r="CH3918"/>
      <c r="CI3918"/>
      <c r="CU3918" s="42">
        <v>3913</v>
      </c>
      <c r="CV3918" s="115">
        <v>4</v>
      </c>
      <c r="CW3918" s="115">
        <v>0.11332468572476186</v>
      </c>
      <c r="CX3918" s="115" t="e">
        <v>#N/A</v>
      </c>
      <c r="CY3918" s="115" t="e">
        <v>#N/A</v>
      </c>
      <c r="CZ3918" s="137" t="e">
        <v>#N/A</v>
      </c>
      <c r="DA3918">
        <v>0.11332468572476186</v>
      </c>
      <c r="DB3918" t="str">
        <v/>
      </c>
    </row>
    <row r="3919" spans="83:106" x14ac:dyDescent="0.2">
      <c r="CE3919"/>
      <c r="CF3919"/>
      <c r="CG3919"/>
      <c r="CH3919"/>
      <c r="CI3919"/>
      <c r="CU3919" s="42">
        <v>3914</v>
      </c>
      <c r="CV3919" s="115">
        <v>4</v>
      </c>
      <c r="CW3919" s="115">
        <v>0.11332468572476186</v>
      </c>
      <c r="CX3919" s="115" t="e">
        <v>#N/A</v>
      </c>
      <c r="CY3919" s="115" t="e">
        <v>#N/A</v>
      </c>
      <c r="CZ3919" s="137" t="e">
        <v>#N/A</v>
      </c>
      <c r="DA3919">
        <v>0.11332468572476186</v>
      </c>
      <c r="DB3919" t="str">
        <v/>
      </c>
    </row>
    <row r="3920" spans="83:106" x14ac:dyDescent="0.2">
      <c r="CE3920"/>
      <c r="CF3920"/>
      <c r="CG3920"/>
      <c r="CH3920"/>
      <c r="CI3920"/>
      <c r="CU3920" s="42">
        <v>3915</v>
      </c>
      <c r="CV3920" s="115">
        <v>4</v>
      </c>
      <c r="CW3920" s="115">
        <v>0.11332468572476186</v>
      </c>
      <c r="CX3920" s="115" t="e">
        <v>#N/A</v>
      </c>
      <c r="CY3920" s="115" t="e">
        <v>#N/A</v>
      </c>
      <c r="CZ3920" s="137" t="e">
        <v>#N/A</v>
      </c>
      <c r="DA3920">
        <v>0.11332468572476186</v>
      </c>
      <c r="DB3920" t="str">
        <v/>
      </c>
    </row>
    <row r="3921" spans="83:106" x14ac:dyDescent="0.2">
      <c r="CE3921"/>
      <c r="CF3921"/>
      <c r="CG3921"/>
      <c r="CH3921"/>
      <c r="CI3921"/>
      <c r="CU3921" s="42">
        <v>3916</v>
      </c>
      <c r="CV3921" s="115">
        <v>4</v>
      </c>
      <c r="CW3921" s="115">
        <v>0.11332468572476186</v>
      </c>
      <c r="CX3921" s="115" t="e">
        <v>#N/A</v>
      </c>
      <c r="CY3921" s="115" t="e">
        <v>#N/A</v>
      </c>
      <c r="CZ3921" s="137" t="e">
        <v>#N/A</v>
      </c>
      <c r="DA3921">
        <v>0.11332468572476186</v>
      </c>
      <c r="DB3921" t="str">
        <v/>
      </c>
    </row>
    <row r="3922" spans="83:106" x14ac:dyDescent="0.2">
      <c r="CE3922"/>
      <c r="CF3922"/>
      <c r="CG3922"/>
      <c r="CH3922"/>
      <c r="CI3922"/>
      <c r="CU3922" s="42">
        <v>3917</v>
      </c>
      <c r="CV3922" s="115">
        <v>4</v>
      </c>
      <c r="CW3922" s="115">
        <v>0.11332468572476186</v>
      </c>
      <c r="CX3922" s="115" t="e">
        <v>#N/A</v>
      </c>
      <c r="CY3922" s="115" t="e">
        <v>#N/A</v>
      </c>
      <c r="CZ3922" s="137" t="e">
        <v>#N/A</v>
      </c>
      <c r="DA3922">
        <v>0.11332468572476186</v>
      </c>
      <c r="DB3922" t="str">
        <v/>
      </c>
    </row>
    <row r="3923" spans="83:106" x14ac:dyDescent="0.2">
      <c r="CE3923"/>
      <c r="CF3923"/>
      <c r="CG3923"/>
      <c r="CH3923"/>
      <c r="CI3923"/>
      <c r="CU3923" s="42">
        <v>3918</v>
      </c>
      <c r="CV3923" s="115">
        <v>4</v>
      </c>
      <c r="CW3923" s="115">
        <v>0.11332468572476186</v>
      </c>
      <c r="CX3923" s="115" t="e">
        <v>#N/A</v>
      </c>
      <c r="CY3923" s="115" t="e">
        <v>#N/A</v>
      </c>
      <c r="CZ3923" s="137" t="e">
        <v>#N/A</v>
      </c>
      <c r="DA3923">
        <v>0.11332468572476186</v>
      </c>
      <c r="DB3923" t="str">
        <v/>
      </c>
    </row>
    <row r="3924" spans="83:106" x14ac:dyDescent="0.2">
      <c r="CE3924"/>
      <c r="CF3924"/>
      <c r="CG3924"/>
      <c r="CH3924"/>
      <c r="CI3924"/>
      <c r="CU3924" s="42">
        <v>3919</v>
      </c>
      <c r="CV3924" s="115">
        <v>4</v>
      </c>
      <c r="CW3924" s="115">
        <v>0.11332468572476186</v>
      </c>
      <c r="CX3924" s="115" t="e">
        <v>#N/A</v>
      </c>
      <c r="CY3924" s="115" t="e">
        <v>#N/A</v>
      </c>
      <c r="CZ3924" s="137" t="e">
        <v>#N/A</v>
      </c>
      <c r="DA3924">
        <v>0.11332468572476186</v>
      </c>
      <c r="DB3924" t="str">
        <v/>
      </c>
    </row>
    <row r="3925" spans="83:106" x14ac:dyDescent="0.2">
      <c r="CE3925"/>
      <c r="CF3925"/>
      <c r="CG3925"/>
      <c r="CH3925"/>
      <c r="CI3925"/>
      <c r="CU3925" s="42">
        <v>3920</v>
      </c>
      <c r="CV3925" s="115">
        <v>4</v>
      </c>
      <c r="CW3925" s="115">
        <v>0.11332468572476186</v>
      </c>
      <c r="CX3925" s="115" t="e">
        <v>#N/A</v>
      </c>
      <c r="CY3925" s="115" t="e">
        <v>#N/A</v>
      </c>
      <c r="CZ3925" s="137" t="e">
        <v>#N/A</v>
      </c>
      <c r="DA3925">
        <v>0.11332468572476186</v>
      </c>
      <c r="DB3925" t="str">
        <v/>
      </c>
    </row>
    <row r="3926" spans="83:106" x14ac:dyDescent="0.2">
      <c r="CE3926"/>
      <c r="CF3926"/>
      <c r="CG3926"/>
      <c r="CH3926"/>
      <c r="CI3926"/>
      <c r="CU3926" s="42">
        <v>3921</v>
      </c>
      <c r="CV3926" s="115">
        <v>4</v>
      </c>
      <c r="CW3926" s="115">
        <v>0.11332468572476186</v>
      </c>
      <c r="CX3926" s="115" t="e">
        <v>#N/A</v>
      </c>
      <c r="CY3926" s="115" t="e">
        <v>#N/A</v>
      </c>
      <c r="CZ3926" s="137" t="e">
        <v>#N/A</v>
      </c>
      <c r="DA3926">
        <v>0.11332468572476186</v>
      </c>
      <c r="DB3926" t="str">
        <v/>
      </c>
    </row>
    <row r="3927" spans="83:106" x14ac:dyDescent="0.2">
      <c r="CE3927"/>
      <c r="CF3927"/>
      <c r="CG3927"/>
      <c r="CH3927"/>
      <c r="CI3927"/>
      <c r="CU3927" s="42">
        <v>3922</v>
      </c>
      <c r="CV3927" s="115">
        <v>4</v>
      </c>
      <c r="CW3927" s="115">
        <v>0.11332468572476186</v>
      </c>
      <c r="CX3927" s="115" t="e">
        <v>#N/A</v>
      </c>
      <c r="CY3927" s="115" t="e">
        <v>#N/A</v>
      </c>
      <c r="CZ3927" s="137" t="e">
        <v>#N/A</v>
      </c>
      <c r="DA3927">
        <v>0.11332468572476186</v>
      </c>
      <c r="DB3927" t="str">
        <v/>
      </c>
    </row>
    <row r="3928" spans="83:106" x14ac:dyDescent="0.2">
      <c r="CE3928"/>
      <c r="CF3928"/>
      <c r="CG3928"/>
      <c r="CH3928"/>
      <c r="CI3928"/>
      <c r="CU3928" s="42">
        <v>3923</v>
      </c>
      <c r="CV3928" s="115">
        <v>4</v>
      </c>
      <c r="CW3928" s="115">
        <v>0.11332468572476186</v>
      </c>
      <c r="CX3928" s="115" t="e">
        <v>#N/A</v>
      </c>
      <c r="CY3928" s="115" t="e">
        <v>#N/A</v>
      </c>
      <c r="CZ3928" s="137" t="e">
        <v>#N/A</v>
      </c>
      <c r="DA3928">
        <v>0.11332468572476186</v>
      </c>
      <c r="DB3928" t="str">
        <v/>
      </c>
    </row>
    <row r="3929" spans="83:106" x14ac:dyDescent="0.2">
      <c r="CE3929"/>
      <c r="CF3929"/>
      <c r="CG3929"/>
      <c r="CH3929"/>
      <c r="CI3929"/>
      <c r="CU3929" s="42">
        <v>3924</v>
      </c>
      <c r="CV3929" s="115">
        <v>4</v>
      </c>
      <c r="CW3929" s="115">
        <v>0.11332468572476186</v>
      </c>
      <c r="CX3929" s="115" t="e">
        <v>#N/A</v>
      </c>
      <c r="CY3929" s="115" t="e">
        <v>#N/A</v>
      </c>
      <c r="CZ3929" s="137" t="e">
        <v>#N/A</v>
      </c>
      <c r="DA3929">
        <v>0.11332468572476186</v>
      </c>
      <c r="DB3929" t="str">
        <v/>
      </c>
    </row>
    <row r="3930" spans="83:106" x14ac:dyDescent="0.2">
      <c r="CE3930"/>
      <c r="CF3930"/>
      <c r="CG3930"/>
      <c r="CH3930"/>
      <c r="CI3930"/>
      <c r="CU3930" s="42">
        <v>3925</v>
      </c>
      <c r="CV3930" s="115">
        <v>4</v>
      </c>
      <c r="CW3930" s="115">
        <v>0.11332468572476186</v>
      </c>
      <c r="CX3930" s="115" t="e">
        <v>#N/A</v>
      </c>
      <c r="CY3930" s="115" t="e">
        <v>#N/A</v>
      </c>
      <c r="CZ3930" s="137" t="e">
        <v>#N/A</v>
      </c>
      <c r="DA3930">
        <v>0.11332468572476186</v>
      </c>
      <c r="DB3930" t="str">
        <v/>
      </c>
    </row>
    <row r="3931" spans="83:106" x14ac:dyDescent="0.2">
      <c r="CE3931"/>
      <c r="CF3931"/>
      <c r="CG3931"/>
      <c r="CH3931"/>
      <c r="CI3931"/>
      <c r="CU3931" s="42">
        <v>3926</v>
      </c>
      <c r="CV3931" s="115">
        <v>4</v>
      </c>
      <c r="CW3931" s="115">
        <v>0.11332468572476186</v>
      </c>
      <c r="CX3931" s="115" t="e">
        <v>#N/A</v>
      </c>
      <c r="CY3931" s="115" t="e">
        <v>#N/A</v>
      </c>
      <c r="CZ3931" s="137" t="e">
        <v>#N/A</v>
      </c>
      <c r="DA3931">
        <v>0.11332468572476186</v>
      </c>
      <c r="DB3931" t="str">
        <v/>
      </c>
    </row>
    <row r="3932" spans="83:106" x14ac:dyDescent="0.2">
      <c r="CE3932"/>
      <c r="CF3932"/>
      <c r="CG3932"/>
      <c r="CH3932"/>
      <c r="CI3932"/>
      <c r="CU3932" s="42">
        <v>3927</v>
      </c>
      <c r="CV3932" s="115">
        <v>4</v>
      </c>
      <c r="CW3932" s="115">
        <v>0.11332468572476186</v>
      </c>
      <c r="CX3932" s="115" t="e">
        <v>#N/A</v>
      </c>
      <c r="CY3932" s="115" t="e">
        <v>#N/A</v>
      </c>
      <c r="CZ3932" s="137" t="e">
        <v>#N/A</v>
      </c>
      <c r="DA3932">
        <v>0.11332468572476186</v>
      </c>
      <c r="DB3932" t="str">
        <v/>
      </c>
    </row>
    <row r="3933" spans="83:106" x14ac:dyDescent="0.2">
      <c r="CE3933"/>
      <c r="CF3933"/>
      <c r="CG3933"/>
      <c r="CH3933"/>
      <c r="CI3933"/>
      <c r="CU3933" s="42">
        <v>3928</v>
      </c>
      <c r="CV3933" s="115">
        <v>4</v>
      </c>
      <c r="CW3933" s="115">
        <v>0.11332468572476186</v>
      </c>
      <c r="CX3933" s="115" t="e">
        <v>#N/A</v>
      </c>
      <c r="CY3933" s="115" t="e">
        <v>#N/A</v>
      </c>
      <c r="CZ3933" s="137" t="e">
        <v>#N/A</v>
      </c>
      <c r="DA3933">
        <v>0.11332468572476186</v>
      </c>
      <c r="DB3933" t="str">
        <v/>
      </c>
    </row>
    <row r="3934" spans="83:106" x14ac:dyDescent="0.2">
      <c r="CE3934"/>
      <c r="CF3934"/>
      <c r="CG3934"/>
      <c r="CH3934"/>
      <c r="CI3934"/>
      <c r="CU3934" s="42">
        <v>3929</v>
      </c>
      <c r="CV3934" s="115">
        <v>4</v>
      </c>
      <c r="CW3934" s="115">
        <v>0.11332468572476186</v>
      </c>
      <c r="CX3934" s="115" t="e">
        <v>#N/A</v>
      </c>
      <c r="CY3934" s="115" t="e">
        <v>#N/A</v>
      </c>
      <c r="CZ3934" s="137" t="e">
        <v>#N/A</v>
      </c>
      <c r="DA3934">
        <v>0.11332468572476186</v>
      </c>
      <c r="DB3934" t="str">
        <v/>
      </c>
    </row>
    <row r="3935" spans="83:106" x14ac:dyDescent="0.2">
      <c r="CE3935"/>
      <c r="CF3935"/>
      <c r="CG3935"/>
      <c r="CH3935"/>
      <c r="CI3935"/>
      <c r="CU3935" s="42">
        <v>3930</v>
      </c>
      <c r="CV3935" s="115">
        <v>4</v>
      </c>
      <c r="CW3935" s="115">
        <v>0.11332468572476186</v>
      </c>
      <c r="CX3935" s="115" t="e">
        <v>#N/A</v>
      </c>
      <c r="CY3935" s="115" t="e">
        <v>#N/A</v>
      </c>
      <c r="CZ3935" s="137" t="e">
        <v>#N/A</v>
      </c>
      <c r="DA3935">
        <v>0.11332468572476186</v>
      </c>
      <c r="DB3935" t="str">
        <v/>
      </c>
    </row>
    <row r="3936" spans="83:106" x14ac:dyDescent="0.2">
      <c r="CE3936"/>
      <c r="CF3936"/>
      <c r="CG3936"/>
      <c r="CH3936"/>
      <c r="CI3936"/>
      <c r="CU3936" s="42">
        <v>3931</v>
      </c>
      <c r="CV3936" s="115">
        <v>4</v>
      </c>
      <c r="CW3936" s="115">
        <v>0.11332468572476186</v>
      </c>
      <c r="CX3936" s="115" t="e">
        <v>#N/A</v>
      </c>
      <c r="CY3936" s="115" t="e">
        <v>#N/A</v>
      </c>
      <c r="CZ3936" s="137" t="e">
        <v>#N/A</v>
      </c>
      <c r="DA3936">
        <v>0.11332468572476186</v>
      </c>
      <c r="DB3936" t="str">
        <v/>
      </c>
    </row>
    <row r="3937" spans="83:106" x14ac:dyDescent="0.2">
      <c r="CE3937"/>
      <c r="CF3937"/>
      <c r="CG3937"/>
      <c r="CH3937"/>
      <c r="CI3937"/>
      <c r="CU3937" s="42">
        <v>3932</v>
      </c>
      <c r="CV3937" s="115">
        <v>4</v>
      </c>
      <c r="CW3937" s="115">
        <v>0.11332468572476186</v>
      </c>
      <c r="CX3937" s="115" t="e">
        <v>#N/A</v>
      </c>
      <c r="CY3937" s="115" t="e">
        <v>#N/A</v>
      </c>
      <c r="CZ3937" s="137" t="e">
        <v>#N/A</v>
      </c>
      <c r="DA3937">
        <v>0.11332468572476186</v>
      </c>
      <c r="DB3937" t="str">
        <v/>
      </c>
    </row>
    <row r="3938" spans="83:106" x14ac:dyDescent="0.2">
      <c r="CE3938"/>
      <c r="CF3938"/>
      <c r="CG3938"/>
      <c r="CH3938"/>
      <c r="CI3938"/>
      <c r="CU3938" s="42">
        <v>3933</v>
      </c>
      <c r="CV3938" s="115">
        <v>4</v>
      </c>
      <c r="CW3938" s="115">
        <v>0.11332468572476186</v>
      </c>
      <c r="CX3938" s="115" t="e">
        <v>#N/A</v>
      </c>
      <c r="CY3938" s="115" t="e">
        <v>#N/A</v>
      </c>
      <c r="CZ3938" s="137" t="e">
        <v>#N/A</v>
      </c>
      <c r="DA3938">
        <v>0.11332468572476186</v>
      </c>
      <c r="DB3938" t="str">
        <v/>
      </c>
    </row>
    <row r="3939" spans="83:106" x14ac:dyDescent="0.2">
      <c r="CE3939"/>
      <c r="CF3939"/>
      <c r="CG3939"/>
      <c r="CH3939"/>
      <c r="CI3939"/>
      <c r="CU3939" s="42">
        <v>3934</v>
      </c>
      <c r="CV3939" s="115">
        <v>4</v>
      </c>
      <c r="CW3939" s="115">
        <v>0.11332468572476186</v>
      </c>
      <c r="CX3939" s="115" t="e">
        <v>#N/A</v>
      </c>
      <c r="CY3939" s="115" t="e">
        <v>#N/A</v>
      </c>
      <c r="CZ3939" s="137" t="e">
        <v>#N/A</v>
      </c>
      <c r="DA3939">
        <v>0.11332468572476186</v>
      </c>
      <c r="DB3939" t="str">
        <v/>
      </c>
    </row>
    <row r="3940" spans="83:106" x14ac:dyDescent="0.2">
      <c r="CE3940"/>
      <c r="CF3940"/>
      <c r="CG3940"/>
      <c r="CH3940"/>
      <c r="CI3940"/>
      <c r="CU3940" s="42">
        <v>3935</v>
      </c>
      <c r="CV3940" s="115">
        <v>4</v>
      </c>
      <c r="CW3940" s="115">
        <v>0.11332468572476186</v>
      </c>
      <c r="CX3940" s="115" t="e">
        <v>#N/A</v>
      </c>
      <c r="CY3940" s="115" t="e">
        <v>#N/A</v>
      </c>
      <c r="CZ3940" s="137" t="e">
        <v>#N/A</v>
      </c>
      <c r="DA3940">
        <v>0.11332468572476186</v>
      </c>
      <c r="DB3940" t="str">
        <v/>
      </c>
    </row>
    <row r="3941" spans="83:106" x14ac:dyDescent="0.2">
      <c r="CE3941"/>
      <c r="CF3941"/>
      <c r="CG3941"/>
      <c r="CH3941"/>
      <c r="CI3941"/>
      <c r="CU3941" s="42">
        <v>3936</v>
      </c>
      <c r="CV3941" s="115">
        <v>4</v>
      </c>
      <c r="CW3941" s="115">
        <v>0.11332468572476186</v>
      </c>
      <c r="CX3941" s="115" t="e">
        <v>#N/A</v>
      </c>
      <c r="CY3941" s="115" t="e">
        <v>#N/A</v>
      </c>
      <c r="CZ3941" s="137" t="e">
        <v>#N/A</v>
      </c>
      <c r="DA3941">
        <v>0.11332468572476186</v>
      </c>
      <c r="DB3941" t="str">
        <v/>
      </c>
    </row>
    <row r="3942" spans="83:106" x14ac:dyDescent="0.2">
      <c r="CE3942"/>
      <c r="CF3942"/>
      <c r="CG3942"/>
      <c r="CH3942"/>
      <c r="CI3942"/>
      <c r="CU3942" s="42">
        <v>3937</v>
      </c>
      <c r="CV3942" s="115">
        <v>4</v>
      </c>
      <c r="CW3942" s="115">
        <v>0.11332468572476186</v>
      </c>
      <c r="CX3942" s="115" t="e">
        <v>#N/A</v>
      </c>
      <c r="CY3942" s="115" t="e">
        <v>#N/A</v>
      </c>
      <c r="CZ3942" s="137" t="e">
        <v>#N/A</v>
      </c>
      <c r="DA3942">
        <v>0.11332468572476186</v>
      </c>
      <c r="DB3942" t="str">
        <v/>
      </c>
    </row>
    <row r="3943" spans="83:106" x14ac:dyDescent="0.2">
      <c r="CE3943"/>
      <c r="CF3943"/>
      <c r="CG3943"/>
      <c r="CH3943"/>
      <c r="CI3943"/>
      <c r="CU3943" s="42">
        <v>3938</v>
      </c>
      <c r="CV3943" s="115">
        <v>4</v>
      </c>
      <c r="CW3943" s="115">
        <v>0.11332468572476186</v>
      </c>
      <c r="CX3943" s="115" t="e">
        <v>#N/A</v>
      </c>
      <c r="CY3943" s="115" t="e">
        <v>#N/A</v>
      </c>
      <c r="CZ3943" s="137" t="e">
        <v>#N/A</v>
      </c>
      <c r="DA3943">
        <v>0.11332468572476186</v>
      </c>
      <c r="DB3943" t="str">
        <v/>
      </c>
    </row>
    <row r="3944" spans="83:106" x14ac:dyDescent="0.2">
      <c r="CE3944"/>
      <c r="CF3944"/>
      <c r="CG3944"/>
      <c r="CH3944"/>
      <c r="CI3944"/>
      <c r="CU3944" s="42">
        <v>3939</v>
      </c>
      <c r="CV3944" s="115">
        <v>4</v>
      </c>
      <c r="CW3944" s="115">
        <v>0.11332468572476186</v>
      </c>
      <c r="CX3944" s="115" t="e">
        <v>#N/A</v>
      </c>
      <c r="CY3944" s="115" t="e">
        <v>#N/A</v>
      </c>
      <c r="CZ3944" s="137" t="e">
        <v>#N/A</v>
      </c>
      <c r="DA3944">
        <v>0.11332468572476186</v>
      </c>
      <c r="DB3944" t="str">
        <v/>
      </c>
    </row>
    <row r="3945" spans="83:106" x14ac:dyDescent="0.2">
      <c r="CE3945"/>
      <c r="CF3945"/>
      <c r="CG3945"/>
      <c r="CH3945"/>
      <c r="CI3945"/>
      <c r="CU3945" s="42">
        <v>3940</v>
      </c>
      <c r="CV3945" s="115">
        <v>4</v>
      </c>
      <c r="CW3945" s="115">
        <v>0.11332468572476186</v>
      </c>
      <c r="CX3945" s="115" t="e">
        <v>#N/A</v>
      </c>
      <c r="CY3945" s="115" t="e">
        <v>#N/A</v>
      </c>
      <c r="CZ3945" s="137" t="e">
        <v>#N/A</v>
      </c>
      <c r="DA3945">
        <v>0.11332468572476186</v>
      </c>
      <c r="DB3945" t="str">
        <v/>
      </c>
    </row>
    <row r="3946" spans="83:106" x14ac:dyDescent="0.2">
      <c r="CE3946"/>
      <c r="CF3946"/>
      <c r="CG3946"/>
      <c r="CH3946"/>
      <c r="CI3946"/>
      <c r="CU3946" s="42">
        <v>3941</v>
      </c>
      <c r="CV3946" s="115">
        <v>4</v>
      </c>
      <c r="CW3946" s="115">
        <v>0.11332468572476186</v>
      </c>
      <c r="CX3946" s="115" t="e">
        <v>#N/A</v>
      </c>
      <c r="CY3946" s="115" t="e">
        <v>#N/A</v>
      </c>
      <c r="CZ3946" s="137" t="e">
        <v>#N/A</v>
      </c>
      <c r="DA3946">
        <v>0.11332468572476186</v>
      </c>
      <c r="DB3946" t="str">
        <v/>
      </c>
    </row>
    <row r="3947" spans="83:106" x14ac:dyDescent="0.2">
      <c r="CE3947"/>
      <c r="CF3947"/>
      <c r="CG3947"/>
      <c r="CH3947"/>
      <c r="CI3947"/>
      <c r="CU3947" s="42">
        <v>3942</v>
      </c>
      <c r="CV3947" s="115">
        <v>4</v>
      </c>
      <c r="CW3947" s="115">
        <v>0.11332468572476186</v>
      </c>
      <c r="CX3947" s="115" t="e">
        <v>#N/A</v>
      </c>
      <c r="CY3947" s="115" t="e">
        <v>#N/A</v>
      </c>
      <c r="CZ3947" s="137" t="e">
        <v>#N/A</v>
      </c>
      <c r="DA3947">
        <v>0.11332468572476186</v>
      </c>
      <c r="DB3947" t="str">
        <v/>
      </c>
    </row>
    <row r="3948" spans="83:106" x14ac:dyDescent="0.2">
      <c r="CE3948"/>
      <c r="CF3948"/>
      <c r="CG3948"/>
      <c r="CH3948"/>
      <c r="CI3948"/>
      <c r="CU3948" s="42">
        <v>3943</v>
      </c>
      <c r="CV3948" s="115">
        <v>4</v>
      </c>
      <c r="CW3948" s="115">
        <v>0.11332468572476186</v>
      </c>
      <c r="CX3948" s="115" t="e">
        <v>#N/A</v>
      </c>
      <c r="CY3948" s="115" t="e">
        <v>#N/A</v>
      </c>
      <c r="CZ3948" s="137" t="e">
        <v>#N/A</v>
      </c>
      <c r="DA3948">
        <v>0.11332468572476186</v>
      </c>
      <c r="DB3948" t="str">
        <v/>
      </c>
    </row>
    <row r="3949" spans="83:106" x14ac:dyDescent="0.2">
      <c r="CE3949"/>
      <c r="CF3949"/>
      <c r="CG3949"/>
      <c r="CH3949"/>
      <c r="CI3949"/>
      <c r="CU3949" s="42">
        <v>3944</v>
      </c>
      <c r="CV3949" s="115">
        <v>4</v>
      </c>
      <c r="CW3949" s="115">
        <v>0.11332468572476186</v>
      </c>
      <c r="CX3949" s="115" t="e">
        <v>#N/A</v>
      </c>
      <c r="CY3949" s="115" t="e">
        <v>#N/A</v>
      </c>
      <c r="CZ3949" s="137" t="e">
        <v>#N/A</v>
      </c>
      <c r="DA3949">
        <v>0.11332468572476186</v>
      </c>
      <c r="DB3949" t="str">
        <v/>
      </c>
    </row>
    <row r="3950" spans="83:106" x14ac:dyDescent="0.2">
      <c r="CE3950"/>
      <c r="CF3950"/>
      <c r="CG3950"/>
      <c r="CH3950"/>
      <c r="CI3950"/>
      <c r="CU3950" s="42">
        <v>3945</v>
      </c>
      <c r="CV3950" s="115">
        <v>4</v>
      </c>
      <c r="CW3950" s="115">
        <v>0.11332468572476186</v>
      </c>
      <c r="CX3950" s="115" t="e">
        <v>#N/A</v>
      </c>
      <c r="CY3950" s="115" t="e">
        <v>#N/A</v>
      </c>
      <c r="CZ3950" s="137" t="e">
        <v>#N/A</v>
      </c>
      <c r="DA3950">
        <v>0.11332468572476186</v>
      </c>
      <c r="DB3950" t="str">
        <v/>
      </c>
    </row>
    <row r="3951" spans="83:106" x14ac:dyDescent="0.2">
      <c r="CE3951"/>
      <c r="CF3951"/>
      <c r="CG3951"/>
      <c r="CH3951"/>
      <c r="CI3951"/>
      <c r="CU3951" s="42">
        <v>3946</v>
      </c>
      <c r="CV3951" s="115">
        <v>4</v>
      </c>
      <c r="CW3951" s="115">
        <v>0.11332468572476186</v>
      </c>
      <c r="CX3951" s="115" t="e">
        <v>#N/A</v>
      </c>
      <c r="CY3951" s="115" t="e">
        <v>#N/A</v>
      </c>
      <c r="CZ3951" s="137" t="e">
        <v>#N/A</v>
      </c>
      <c r="DA3951">
        <v>0.11332468572476186</v>
      </c>
      <c r="DB3951" t="str">
        <v/>
      </c>
    </row>
    <row r="3952" spans="83:106" x14ac:dyDescent="0.2">
      <c r="CE3952"/>
      <c r="CF3952"/>
      <c r="CG3952"/>
      <c r="CH3952"/>
      <c r="CI3952"/>
      <c r="CU3952" s="42">
        <v>3947</v>
      </c>
      <c r="CV3952" s="115">
        <v>4</v>
      </c>
      <c r="CW3952" s="115">
        <v>0.11332468572476186</v>
      </c>
      <c r="CX3952" s="115" t="e">
        <v>#N/A</v>
      </c>
      <c r="CY3952" s="115" t="e">
        <v>#N/A</v>
      </c>
      <c r="CZ3952" s="137" t="e">
        <v>#N/A</v>
      </c>
      <c r="DA3952">
        <v>0.11332468572476186</v>
      </c>
      <c r="DB3952" t="str">
        <v/>
      </c>
    </row>
    <row r="3953" spans="83:106" x14ac:dyDescent="0.2">
      <c r="CE3953"/>
      <c r="CF3953"/>
      <c r="CG3953"/>
      <c r="CH3953"/>
      <c r="CI3953"/>
      <c r="CU3953" s="42">
        <v>3948</v>
      </c>
      <c r="CV3953" s="115">
        <v>4</v>
      </c>
      <c r="CW3953" s="115">
        <v>0.11332468572476186</v>
      </c>
      <c r="CX3953" s="115" t="e">
        <v>#N/A</v>
      </c>
      <c r="CY3953" s="115" t="e">
        <v>#N/A</v>
      </c>
      <c r="CZ3953" s="137" t="e">
        <v>#N/A</v>
      </c>
      <c r="DA3953">
        <v>0.11332468572476186</v>
      </c>
      <c r="DB3953" t="str">
        <v/>
      </c>
    </row>
    <row r="3954" spans="83:106" x14ac:dyDescent="0.2">
      <c r="CE3954"/>
      <c r="CF3954"/>
      <c r="CG3954"/>
      <c r="CH3954"/>
      <c r="CI3954"/>
      <c r="CU3954" s="42">
        <v>3949</v>
      </c>
      <c r="CV3954" s="115">
        <v>4</v>
      </c>
      <c r="CW3954" s="115">
        <v>0.11332468572476186</v>
      </c>
      <c r="CX3954" s="115" t="e">
        <v>#N/A</v>
      </c>
      <c r="CY3954" s="115" t="e">
        <v>#N/A</v>
      </c>
      <c r="CZ3954" s="137" t="e">
        <v>#N/A</v>
      </c>
      <c r="DA3954">
        <v>0.11332468572476186</v>
      </c>
      <c r="DB3954" t="str">
        <v/>
      </c>
    </row>
    <row r="3955" spans="83:106" x14ac:dyDescent="0.2">
      <c r="CE3955"/>
      <c r="CF3955"/>
      <c r="CG3955"/>
      <c r="CH3955"/>
      <c r="CI3955"/>
      <c r="CU3955" s="42">
        <v>3950</v>
      </c>
      <c r="CV3955" s="115">
        <v>4</v>
      </c>
      <c r="CW3955" s="115">
        <v>0.11332468572476186</v>
      </c>
      <c r="CX3955" s="115" t="e">
        <v>#N/A</v>
      </c>
      <c r="CY3955" s="115" t="e">
        <v>#N/A</v>
      </c>
      <c r="CZ3955" s="137" t="e">
        <v>#N/A</v>
      </c>
      <c r="DA3955">
        <v>0.11332468572476186</v>
      </c>
      <c r="DB3955" t="str">
        <v/>
      </c>
    </row>
    <row r="3956" spans="83:106" x14ac:dyDescent="0.2">
      <c r="CE3956"/>
      <c r="CF3956"/>
      <c r="CG3956"/>
      <c r="CH3956"/>
      <c r="CI3956"/>
      <c r="CU3956" s="42">
        <v>3951</v>
      </c>
      <c r="CV3956" s="115">
        <v>4</v>
      </c>
      <c r="CW3956" s="115">
        <v>0.11332468572476186</v>
      </c>
      <c r="CX3956" s="115" t="e">
        <v>#N/A</v>
      </c>
      <c r="CY3956" s="115" t="e">
        <v>#N/A</v>
      </c>
      <c r="CZ3956" s="137" t="e">
        <v>#N/A</v>
      </c>
      <c r="DA3956">
        <v>0.11332468572476186</v>
      </c>
      <c r="DB3956" t="str">
        <v/>
      </c>
    </row>
    <row r="3957" spans="83:106" x14ac:dyDescent="0.2">
      <c r="CE3957"/>
      <c r="CF3957"/>
      <c r="CG3957"/>
      <c r="CH3957"/>
      <c r="CI3957"/>
      <c r="CU3957" s="42">
        <v>3952</v>
      </c>
      <c r="CV3957" s="115">
        <v>4</v>
      </c>
      <c r="CW3957" s="115">
        <v>0.11332468572476186</v>
      </c>
      <c r="CX3957" s="115" t="e">
        <v>#N/A</v>
      </c>
      <c r="CY3957" s="115" t="e">
        <v>#N/A</v>
      </c>
      <c r="CZ3957" s="137" t="e">
        <v>#N/A</v>
      </c>
      <c r="DA3957">
        <v>0.11332468572476186</v>
      </c>
      <c r="DB3957" t="str">
        <v/>
      </c>
    </row>
    <row r="3958" spans="83:106" x14ac:dyDescent="0.2">
      <c r="CE3958"/>
      <c r="CF3958"/>
      <c r="CG3958"/>
      <c r="CH3958"/>
      <c r="CI3958"/>
      <c r="CU3958" s="42">
        <v>3953</v>
      </c>
      <c r="CV3958" s="115">
        <v>4</v>
      </c>
      <c r="CW3958" s="115">
        <v>0.11332468572476186</v>
      </c>
      <c r="CX3958" s="115" t="e">
        <v>#N/A</v>
      </c>
      <c r="CY3958" s="115" t="e">
        <v>#N/A</v>
      </c>
      <c r="CZ3958" s="137" t="e">
        <v>#N/A</v>
      </c>
      <c r="DA3958">
        <v>0.11332468572476186</v>
      </c>
      <c r="DB3958" t="str">
        <v/>
      </c>
    </row>
    <row r="3959" spans="83:106" x14ac:dyDescent="0.2">
      <c r="CE3959"/>
      <c r="CF3959"/>
      <c r="CG3959"/>
      <c r="CH3959"/>
      <c r="CI3959"/>
      <c r="CU3959" s="42">
        <v>3954</v>
      </c>
      <c r="CV3959" s="115">
        <v>4</v>
      </c>
      <c r="CW3959" s="115">
        <v>0.11332468572476186</v>
      </c>
      <c r="CX3959" s="115" t="e">
        <v>#N/A</v>
      </c>
      <c r="CY3959" s="115" t="e">
        <v>#N/A</v>
      </c>
      <c r="CZ3959" s="137" t="e">
        <v>#N/A</v>
      </c>
      <c r="DA3959">
        <v>0.11332468572476186</v>
      </c>
      <c r="DB3959" t="str">
        <v/>
      </c>
    </row>
    <row r="3960" spans="83:106" x14ac:dyDescent="0.2">
      <c r="CE3960"/>
      <c r="CF3960"/>
      <c r="CG3960"/>
      <c r="CH3960"/>
      <c r="CI3960"/>
      <c r="CU3960" s="42">
        <v>3955</v>
      </c>
      <c r="CV3960" s="115">
        <v>4</v>
      </c>
      <c r="CW3960" s="115">
        <v>0.11332468572476186</v>
      </c>
      <c r="CX3960" s="115" t="e">
        <v>#N/A</v>
      </c>
      <c r="CY3960" s="115" t="e">
        <v>#N/A</v>
      </c>
      <c r="CZ3960" s="137" t="e">
        <v>#N/A</v>
      </c>
      <c r="DA3960">
        <v>0.11332468572476186</v>
      </c>
      <c r="DB3960" t="str">
        <v/>
      </c>
    </row>
    <row r="3961" spans="83:106" x14ac:dyDescent="0.2">
      <c r="CE3961"/>
      <c r="CF3961"/>
      <c r="CG3961"/>
      <c r="CH3961"/>
      <c r="CI3961"/>
      <c r="CU3961" s="42">
        <v>3956</v>
      </c>
      <c r="CV3961" s="115">
        <v>4</v>
      </c>
      <c r="CW3961" s="115">
        <v>0.11332468572476186</v>
      </c>
      <c r="CX3961" s="115" t="e">
        <v>#N/A</v>
      </c>
      <c r="CY3961" s="115" t="e">
        <v>#N/A</v>
      </c>
      <c r="CZ3961" s="137" t="e">
        <v>#N/A</v>
      </c>
      <c r="DA3961">
        <v>0.11332468572476186</v>
      </c>
      <c r="DB3961" t="str">
        <v/>
      </c>
    </row>
    <row r="3962" spans="83:106" x14ac:dyDescent="0.2">
      <c r="CE3962"/>
      <c r="CF3962"/>
      <c r="CG3962"/>
      <c r="CH3962"/>
      <c r="CI3962"/>
      <c r="CU3962" s="42">
        <v>3957</v>
      </c>
      <c r="CV3962" s="115">
        <v>4</v>
      </c>
      <c r="CW3962" s="115">
        <v>0.11332468572476186</v>
      </c>
      <c r="CX3962" s="115" t="e">
        <v>#N/A</v>
      </c>
      <c r="CY3962" s="115" t="e">
        <v>#N/A</v>
      </c>
      <c r="CZ3962" s="137" t="e">
        <v>#N/A</v>
      </c>
      <c r="DA3962">
        <v>0.11332468572476186</v>
      </c>
      <c r="DB3962" t="str">
        <v/>
      </c>
    </row>
    <row r="3963" spans="83:106" x14ac:dyDescent="0.2">
      <c r="CE3963"/>
      <c r="CF3963"/>
      <c r="CG3963"/>
      <c r="CH3963"/>
      <c r="CI3963"/>
      <c r="CU3963" s="42">
        <v>3958</v>
      </c>
      <c r="CV3963" s="115">
        <v>4</v>
      </c>
      <c r="CW3963" s="115">
        <v>0.11332468572476186</v>
      </c>
      <c r="CX3963" s="115" t="e">
        <v>#N/A</v>
      </c>
      <c r="CY3963" s="115" t="e">
        <v>#N/A</v>
      </c>
      <c r="CZ3963" s="137" t="e">
        <v>#N/A</v>
      </c>
      <c r="DA3963">
        <v>0.11332468572476186</v>
      </c>
      <c r="DB3963" t="str">
        <v/>
      </c>
    </row>
    <row r="3964" spans="83:106" x14ac:dyDescent="0.2">
      <c r="CE3964"/>
      <c r="CF3964"/>
      <c r="CG3964"/>
      <c r="CH3964"/>
      <c r="CI3964"/>
      <c r="CU3964" s="42">
        <v>3959</v>
      </c>
      <c r="CV3964" s="115">
        <v>4</v>
      </c>
      <c r="CW3964" s="115">
        <v>0.11332468572476186</v>
      </c>
      <c r="CX3964" s="115" t="e">
        <v>#N/A</v>
      </c>
      <c r="CY3964" s="115" t="e">
        <v>#N/A</v>
      </c>
      <c r="CZ3964" s="137" t="e">
        <v>#N/A</v>
      </c>
      <c r="DA3964">
        <v>0.11332468572476186</v>
      </c>
      <c r="DB3964" t="str">
        <v/>
      </c>
    </row>
    <row r="3965" spans="83:106" x14ac:dyDescent="0.2">
      <c r="CE3965"/>
      <c r="CF3965"/>
      <c r="CG3965"/>
      <c r="CH3965"/>
      <c r="CI3965"/>
      <c r="CU3965" s="42">
        <v>3960</v>
      </c>
      <c r="CV3965" s="115">
        <v>4</v>
      </c>
      <c r="CW3965" s="115">
        <v>0.11332468572476186</v>
      </c>
      <c r="CX3965" s="115" t="e">
        <v>#N/A</v>
      </c>
      <c r="CY3965" s="115" t="e">
        <v>#N/A</v>
      </c>
      <c r="CZ3965" s="137" t="e">
        <v>#N/A</v>
      </c>
      <c r="DA3965">
        <v>0.11332468572476186</v>
      </c>
      <c r="DB3965" t="str">
        <v/>
      </c>
    </row>
    <row r="3966" spans="83:106" x14ac:dyDescent="0.2">
      <c r="CE3966"/>
      <c r="CF3966"/>
      <c r="CG3966"/>
      <c r="CH3966"/>
      <c r="CI3966"/>
      <c r="CU3966" s="42">
        <v>3961</v>
      </c>
      <c r="CV3966" s="115">
        <v>4</v>
      </c>
      <c r="CW3966" s="115">
        <v>0.11332468572476186</v>
      </c>
      <c r="CX3966" s="115" t="e">
        <v>#N/A</v>
      </c>
      <c r="CY3966" s="115" t="e">
        <v>#N/A</v>
      </c>
      <c r="CZ3966" s="137" t="e">
        <v>#N/A</v>
      </c>
      <c r="DA3966">
        <v>0.11332468572476186</v>
      </c>
      <c r="DB3966" t="str">
        <v/>
      </c>
    </row>
    <row r="3967" spans="83:106" x14ac:dyDescent="0.2">
      <c r="CE3967"/>
      <c r="CF3967"/>
      <c r="CG3967"/>
      <c r="CH3967"/>
      <c r="CI3967"/>
      <c r="CU3967" s="42">
        <v>3962</v>
      </c>
      <c r="CV3967" s="115">
        <v>4</v>
      </c>
      <c r="CW3967" s="115">
        <v>0.11332468572476186</v>
      </c>
      <c r="CX3967" s="115" t="e">
        <v>#N/A</v>
      </c>
      <c r="CY3967" s="115" t="e">
        <v>#N/A</v>
      </c>
      <c r="CZ3967" s="137" t="e">
        <v>#N/A</v>
      </c>
      <c r="DA3967">
        <v>0.11332468572476186</v>
      </c>
      <c r="DB3967" t="str">
        <v/>
      </c>
    </row>
    <row r="3968" spans="83:106" x14ac:dyDescent="0.2">
      <c r="CE3968"/>
      <c r="CF3968"/>
      <c r="CG3968"/>
      <c r="CH3968"/>
      <c r="CI3968"/>
      <c r="CU3968" s="42">
        <v>3963</v>
      </c>
      <c r="CV3968" s="115">
        <v>4</v>
      </c>
      <c r="CW3968" s="115">
        <v>0.11332468572476186</v>
      </c>
      <c r="CX3968" s="115" t="e">
        <v>#N/A</v>
      </c>
      <c r="CY3968" s="115" t="e">
        <v>#N/A</v>
      </c>
      <c r="CZ3968" s="137" t="e">
        <v>#N/A</v>
      </c>
      <c r="DA3968">
        <v>0.11332468572476186</v>
      </c>
      <c r="DB3968" t="str">
        <v/>
      </c>
    </row>
    <row r="3969" spans="83:106" x14ac:dyDescent="0.2">
      <c r="CE3969"/>
      <c r="CF3969"/>
      <c r="CG3969"/>
      <c r="CH3969"/>
      <c r="CI3969"/>
      <c r="CU3969" s="42">
        <v>3964</v>
      </c>
      <c r="CV3969" s="115">
        <v>4</v>
      </c>
      <c r="CW3969" s="115">
        <v>0.11332468572476186</v>
      </c>
      <c r="CX3969" s="115" t="e">
        <v>#N/A</v>
      </c>
      <c r="CY3969" s="115" t="e">
        <v>#N/A</v>
      </c>
      <c r="CZ3969" s="137" t="e">
        <v>#N/A</v>
      </c>
      <c r="DA3969">
        <v>0.11332468572476186</v>
      </c>
      <c r="DB3969" t="str">
        <v/>
      </c>
    </row>
    <row r="3970" spans="83:106" x14ac:dyDescent="0.2">
      <c r="CE3970"/>
      <c r="CF3970"/>
      <c r="CG3970"/>
      <c r="CH3970"/>
      <c r="CI3970"/>
      <c r="CU3970" s="42">
        <v>3965</v>
      </c>
      <c r="CV3970" s="115">
        <v>4</v>
      </c>
      <c r="CW3970" s="115">
        <v>0.11332468572476186</v>
      </c>
      <c r="CX3970" s="115" t="e">
        <v>#N/A</v>
      </c>
      <c r="CY3970" s="115" t="e">
        <v>#N/A</v>
      </c>
      <c r="CZ3970" s="137" t="e">
        <v>#N/A</v>
      </c>
      <c r="DA3970">
        <v>0.11332468572476186</v>
      </c>
      <c r="DB3970" t="str">
        <v/>
      </c>
    </row>
    <row r="3971" spans="83:106" x14ac:dyDescent="0.2">
      <c r="CE3971"/>
      <c r="CF3971"/>
      <c r="CG3971"/>
      <c r="CH3971"/>
      <c r="CI3971"/>
      <c r="CU3971" s="42">
        <v>3966</v>
      </c>
      <c r="CV3971" s="115">
        <v>4</v>
      </c>
      <c r="CW3971" s="115">
        <v>0.11332468572476186</v>
      </c>
      <c r="CX3971" s="115" t="e">
        <v>#N/A</v>
      </c>
      <c r="CY3971" s="115" t="e">
        <v>#N/A</v>
      </c>
      <c r="CZ3971" s="137" t="e">
        <v>#N/A</v>
      </c>
      <c r="DA3971">
        <v>0.11332468572476186</v>
      </c>
      <c r="DB3971" t="str">
        <v/>
      </c>
    </row>
    <row r="3972" spans="83:106" x14ac:dyDescent="0.2">
      <c r="CE3972"/>
      <c r="CF3972"/>
      <c r="CG3972"/>
      <c r="CH3972"/>
      <c r="CI3972"/>
      <c r="CU3972" s="42">
        <v>3967</v>
      </c>
      <c r="CV3972" s="115">
        <v>4</v>
      </c>
      <c r="CW3972" s="115">
        <v>0.11332468572476186</v>
      </c>
      <c r="CX3972" s="115" t="e">
        <v>#N/A</v>
      </c>
      <c r="CY3972" s="115" t="e">
        <v>#N/A</v>
      </c>
      <c r="CZ3972" s="137" t="e">
        <v>#N/A</v>
      </c>
      <c r="DA3972">
        <v>0.11332468572476186</v>
      </c>
      <c r="DB3972" t="str">
        <v/>
      </c>
    </row>
    <row r="3973" spans="83:106" x14ac:dyDescent="0.2">
      <c r="CE3973"/>
      <c r="CF3973"/>
      <c r="CG3973"/>
      <c r="CH3973"/>
      <c r="CI3973"/>
      <c r="CU3973" s="42">
        <v>3968</v>
      </c>
      <c r="CV3973" s="115">
        <v>4</v>
      </c>
      <c r="CW3973" s="115">
        <v>0.11332468572476186</v>
      </c>
      <c r="CX3973" s="115" t="e">
        <v>#N/A</v>
      </c>
      <c r="CY3973" s="115" t="e">
        <v>#N/A</v>
      </c>
      <c r="CZ3973" s="137" t="e">
        <v>#N/A</v>
      </c>
      <c r="DA3973">
        <v>0.11332468572476186</v>
      </c>
      <c r="DB3973" t="str">
        <v/>
      </c>
    </row>
    <row r="3974" spans="83:106" x14ac:dyDescent="0.2">
      <c r="CE3974"/>
      <c r="CF3974"/>
      <c r="CG3974"/>
      <c r="CH3974"/>
      <c r="CI3974"/>
      <c r="CU3974" s="42">
        <v>3969</v>
      </c>
      <c r="CV3974" s="115">
        <v>4</v>
      </c>
      <c r="CW3974" s="115">
        <v>0.11332468572476186</v>
      </c>
      <c r="CX3974" s="115" t="e">
        <v>#N/A</v>
      </c>
      <c r="CY3974" s="115" t="e">
        <v>#N/A</v>
      </c>
      <c r="CZ3974" s="137" t="e">
        <v>#N/A</v>
      </c>
      <c r="DA3974">
        <v>0.11332468572476186</v>
      </c>
      <c r="DB3974" t="str">
        <v/>
      </c>
    </row>
    <row r="3975" spans="83:106" x14ac:dyDescent="0.2">
      <c r="CE3975"/>
      <c r="CF3975"/>
      <c r="CG3975"/>
      <c r="CH3975"/>
      <c r="CI3975"/>
      <c r="CU3975" s="42">
        <v>3970</v>
      </c>
      <c r="CV3975" s="115">
        <v>4</v>
      </c>
      <c r="CW3975" s="115">
        <v>0.11332468572476186</v>
      </c>
      <c r="CX3975" s="115" t="e">
        <v>#N/A</v>
      </c>
      <c r="CY3975" s="115" t="e">
        <v>#N/A</v>
      </c>
      <c r="CZ3975" s="137" t="e">
        <v>#N/A</v>
      </c>
      <c r="DA3975">
        <v>0.11332468572476186</v>
      </c>
      <c r="DB3975" t="str">
        <v/>
      </c>
    </row>
    <row r="3976" spans="83:106" x14ac:dyDescent="0.2">
      <c r="CE3976"/>
      <c r="CF3976"/>
      <c r="CG3976"/>
      <c r="CH3976"/>
      <c r="CI3976"/>
      <c r="CU3976" s="42">
        <v>3971</v>
      </c>
      <c r="CV3976" s="115">
        <v>4</v>
      </c>
      <c r="CW3976" s="115">
        <v>0.11332468572476186</v>
      </c>
      <c r="CX3976" s="115" t="e">
        <v>#N/A</v>
      </c>
      <c r="CY3976" s="115" t="e">
        <v>#N/A</v>
      </c>
      <c r="CZ3976" s="137" t="e">
        <v>#N/A</v>
      </c>
      <c r="DA3976">
        <v>0.11332468572476186</v>
      </c>
      <c r="DB3976" t="str">
        <v/>
      </c>
    </row>
    <row r="3977" spans="83:106" x14ac:dyDescent="0.2">
      <c r="CE3977"/>
      <c r="CF3977"/>
      <c r="CG3977"/>
      <c r="CH3977"/>
      <c r="CI3977"/>
      <c r="CU3977" s="42">
        <v>3972</v>
      </c>
      <c r="CV3977" s="115">
        <v>4</v>
      </c>
      <c r="CW3977" s="115">
        <v>0.11332468572476186</v>
      </c>
      <c r="CX3977" s="115" t="e">
        <v>#N/A</v>
      </c>
      <c r="CY3977" s="115" t="e">
        <v>#N/A</v>
      </c>
      <c r="CZ3977" s="137" t="e">
        <v>#N/A</v>
      </c>
      <c r="DA3977">
        <v>0.11332468572476186</v>
      </c>
      <c r="DB3977" t="str">
        <v/>
      </c>
    </row>
    <row r="3978" spans="83:106" x14ac:dyDescent="0.2">
      <c r="CE3978"/>
      <c r="CF3978"/>
      <c r="CG3978"/>
      <c r="CH3978"/>
      <c r="CI3978"/>
      <c r="CU3978" s="42">
        <v>3973</v>
      </c>
      <c r="CV3978" s="115">
        <v>4</v>
      </c>
      <c r="CW3978" s="115">
        <v>0.11332468572476186</v>
      </c>
      <c r="CX3978" s="115" t="e">
        <v>#N/A</v>
      </c>
      <c r="CY3978" s="115" t="e">
        <v>#N/A</v>
      </c>
      <c r="CZ3978" s="137" t="e">
        <v>#N/A</v>
      </c>
      <c r="DA3978">
        <v>0.11332468572476186</v>
      </c>
      <c r="DB3978" t="str">
        <v/>
      </c>
    </row>
    <row r="3979" spans="83:106" x14ac:dyDescent="0.2">
      <c r="CE3979"/>
      <c r="CF3979"/>
      <c r="CG3979"/>
      <c r="CH3979"/>
      <c r="CI3979"/>
      <c r="CU3979" s="42">
        <v>3974</v>
      </c>
      <c r="CV3979" s="115">
        <v>4</v>
      </c>
      <c r="CW3979" s="115">
        <v>0.11332468572476186</v>
      </c>
      <c r="CX3979" s="115" t="e">
        <v>#N/A</v>
      </c>
      <c r="CY3979" s="115" t="e">
        <v>#N/A</v>
      </c>
      <c r="CZ3979" s="137" t="e">
        <v>#N/A</v>
      </c>
      <c r="DA3979">
        <v>0.11332468572476186</v>
      </c>
      <c r="DB3979" t="str">
        <v/>
      </c>
    </row>
    <row r="3980" spans="83:106" x14ac:dyDescent="0.2">
      <c r="CE3980"/>
      <c r="CF3980"/>
      <c r="CG3980"/>
      <c r="CH3980"/>
      <c r="CI3980"/>
      <c r="CU3980" s="42">
        <v>3975</v>
      </c>
      <c r="CV3980" s="115">
        <v>4</v>
      </c>
      <c r="CW3980" s="115">
        <v>0.11332468572476186</v>
      </c>
      <c r="CX3980" s="115" t="e">
        <v>#N/A</v>
      </c>
      <c r="CY3980" s="115" t="e">
        <v>#N/A</v>
      </c>
      <c r="CZ3980" s="137" t="e">
        <v>#N/A</v>
      </c>
      <c r="DA3980">
        <v>0.11332468572476186</v>
      </c>
      <c r="DB3980" t="str">
        <v/>
      </c>
    </row>
    <row r="3981" spans="83:106" x14ac:dyDescent="0.2">
      <c r="CE3981"/>
      <c r="CF3981"/>
      <c r="CG3981"/>
      <c r="CH3981"/>
      <c r="CI3981"/>
      <c r="CU3981" s="42">
        <v>3976</v>
      </c>
      <c r="CV3981" s="115">
        <v>4</v>
      </c>
      <c r="CW3981" s="115">
        <v>0.11332468572476186</v>
      </c>
      <c r="CX3981" s="115" t="e">
        <v>#N/A</v>
      </c>
      <c r="CY3981" s="115" t="e">
        <v>#N/A</v>
      </c>
      <c r="CZ3981" s="137" t="e">
        <v>#N/A</v>
      </c>
      <c r="DA3981">
        <v>0.11332468572476186</v>
      </c>
      <c r="DB3981" t="str">
        <v/>
      </c>
    </row>
    <row r="3982" spans="83:106" x14ac:dyDescent="0.2">
      <c r="CE3982"/>
      <c r="CF3982"/>
      <c r="CG3982"/>
      <c r="CH3982"/>
      <c r="CI3982"/>
      <c r="CU3982" s="42">
        <v>3977</v>
      </c>
      <c r="CV3982" s="115">
        <v>4</v>
      </c>
      <c r="CW3982" s="115">
        <v>0.11332468572476186</v>
      </c>
      <c r="CX3982" s="115" t="e">
        <v>#N/A</v>
      </c>
      <c r="CY3982" s="115" t="e">
        <v>#N/A</v>
      </c>
      <c r="CZ3982" s="137" t="e">
        <v>#N/A</v>
      </c>
      <c r="DA3982">
        <v>0.11332468572476186</v>
      </c>
      <c r="DB3982" t="str">
        <v/>
      </c>
    </row>
    <row r="3983" spans="83:106" x14ac:dyDescent="0.2">
      <c r="CE3983"/>
      <c r="CF3983"/>
      <c r="CG3983"/>
      <c r="CH3983"/>
      <c r="CI3983"/>
      <c r="CU3983" s="42">
        <v>3978</v>
      </c>
      <c r="CV3983" s="115">
        <v>4</v>
      </c>
      <c r="CW3983" s="115">
        <v>0.11332468572476186</v>
      </c>
      <c r="CX3983" s="115" t="e">
        <v>#N/A</v>
      </c>
      <c r="CY3983" s="115" t="e">
        <v>#N/A</v>
      </c>
      <c r="CZ3983" s="137" t="e">
        <v>#N/A</v>
      </c>
      <c r="DA3983">
        <v>0.11332468572476186</v>
      </c>
      <c r="DB3983" t="str">
        <v/>
      </c>
    </row>
    <row r="3984" spans="83:106" x14ac:dyDescent="0.2">
      <c r="CE3984"/>
      <c r="CF3984"/>
      <c r="CG3984"/>
      <c r="CH3984"/>
      <c r="CI3984"/>
      <c r="CU3984" s="42">
        <v>3979</v>
      </c>
      <c r="CV3984" s="115">
        <v>4</v>
      </c>
      <c r="CW3984" s="115">
        <v>0.11332468572476186</v>
      </c>
      <c r="CX3984" s="115" t="e">
        <v>#N/A</v>
      </c>
      <c r="CY3984" s="115" t="e">
        <v>#N/A</v>
      </c>
      <c r="CZ3984" s="137" t="e">
        <v>#N/A</v>
      </c>
      <c r="DA3984">
        <v>0.11332468572476186</v>
      </c>
      <c r="DB3984" t="str">
        <v/>
      </c>
    </row>
    <row r="3985" spans="83:106" x14ac:dyDescent="0.2">
      <c r="CE3985"/>
      <c r="CF3985"/>
      <c r="CG3985"/>
      <c r="CH3985"/>
      <c r="CI3985"/>
      <c r="CU3985" s="42">
        <v>3980</v>
      </c>
      <c r="CV3985" s="115">
        <v>4</v>
      </c>
      <c r="CW3985" s="115">
        <v>0.11332468572476186</v>
      </c>
      <c r="CX3985" s="115" t="e">
        <v>#N/A</v>
      </c>
      <c r="CY3985" s="115" t="e">
        <v>#N/A</v>
      </c>
      <c r="CZ3985" s="137" t="e">
        <v>#N/A</v>
      </c>
      <c r="DA3985">
        <v>0.11332468572476186</v>
      </c>
      <c r="DB3985" t="str">
        <v/>
      </c>
    </row>
    <row r="3986" spans="83:106" x14ac:dyDescent="0.2">
      <c r="CE3986"/>
      <c r="CF3986"/>
      <c r="CG3986"/>
      <c r="CH3986"/>
      <c r="CI3986"/>
      <c r="CU3986" s="42">
        <v>3981</v>
      </c>
      <c r="CV3986" s="115">
        <v>4</v>
      </c>
      <c r="CW3986" s="115">
        <v>0.11332468572476186</v>
      </c>
      <c r="CX3986" s="115" t="e">
        <v>#N/A</v>
      </c>
      <c r="CY3986" s="115" t="e">
        <v>#N/A</v>
      </c>
      <c r="CZ3986" s="137" t="e">
        <v>#N/A</v>
      </c>
      <c r="DA3986">
        <v>0.11332468572476186</v>
      </c>
      <c r="DB3986" t="str">
        <v/>
      </c>
    </row>
    <row r="3987" spans="83:106" x14ac:dyDescent="0.2">
      <c r="CE3987"/>
      <c r="CF3987"/>
      <c r="CG3987"/>
      <c r="CH3987"/>
      <c r="CI3987"/>
      <c r="CU3987" s="42">
        <v>3982</v>
      </c>
      <c r="CV3987" s="115">
        <v>4</v>
      </c>
      <c r="CW3987" s="115">
        <v>0.11332468572476186</v>
      </c>
      <c r="CX3987" s="115" t="e">
        <v>#N/A</v>
      </c>
      <c r="CY3987" s="115" t="e">
        <v>#N/A</v>
      </c>
      <c r="CZ3987" s="137" t="e">
        <v>#N/A</v>
      </c>
      <c r="DA3987">
        <v>0.11332468572476186</v>
      </c>
      <c r="DB3987" t="str">
        <v/>
      </c>
    </row>
    <row r="3988" spans="83:106" x14ac:dyDescent="0.2">
      <c r="CE3988"/>
      <c r="CF3988"/>
      <c r="CG3988"/>
      <c r="CH3988"/>
      <c r="CI3988"/>
      <c r="CU3988" s="42">
        <v>3983</v>
      </c>
      <c r="CV3988" s="115">
        <v>4</v>
      </c>
      <c r="CW3988" s="115">
        <v>0.11332468572476186</v>
      </c>
      <c r="CX3988" s="115" t="e">
        <v>#N/A</v>
      </c>
      <c r="CY3988" s="115" t="e">
        <v>#N/A</v>
      </c>
      <c r="CZ3988" s="137" t="e">
        <v>#N/A</v>
      </c>
      <c r="DA3988">
        <v>0.11332468572476186</v>
      </c>
      <c r="DB3988" t="str">
        <v/>
      </c>
    </row>
    <row r="3989" spans="83:106" x14ac:dyDescent="0.2">
      <c r="CE3989"/>
      <c r="CF3989"/>
      <c r="CG3989"/>
      <c r="CH3989"/>
      <c r="CI3989"/>
      <c r="CU3989" s="42">
        <v>3984</v>
      </c>
      <c r="CV3989" s="115">
        <v>4</v>
      </c>
      <c r="CW3989" s="115">
        <v>0.11332468572476186</v>
      </c>
      <c r="CX3989" s="115" t="e">
        <v>#N/A</v>
      </c>
      <c r="CY3989" s="115" t="e">
        <v>#N/A</v>
      </c>
      <c r="CZ3989" s="137" t="e">
        <v>#N/A</v>
      </c>
      <c r="DA3989">
        <v>0.11332468572476186</v>
      </c>
      <c r="DB3989" t="str">
        <v/>
      </c>
    </row>
    <row r="3990" spans="83:106" x14ac:dyDescent="0.2">
      <c r="CE3990"/>
      <c r="CF3990"/>
      <c r="CG3990"/>
      <c r="CH3990"/>
      <c r="CI3990"/>
      <c r="CU3990" s="42">
        <v>3985</v>
      </c>
      <c r="CV3990" s="115">
        <v>4</v>
      </c>
      <c r="CW3990" s="115">
        <v>0.11332468572476186</v>
      </c>
      <c r="CX3990" s="115" t="e">
        <v>#N/A</v>
      </c>
      <c r="CY3990" s="115" t="e">
        <v>#N/A</v>
      </c>
      <c r="CZ3990" s="137" t="e">
        <v>#N/A</v>
      </c>
      <c r="DA3990">
        <v>0.11332468572476186</v>
      </c>
      <c r="DB3990" t="str">
        <v/>
      </c>
    </row>
    <row r="3991" spans="83:106" x14ac:dyDescent="0.2">
      <c r="CE3991"/>
      <c r="CF3991"/>
      <c r="CG3991"/>
      <c r="CH3991"/>
      <c r="CI3991"/>
      <c r="CU3991" s="42">
        <v>3986</v>
      </c>
      <c r="CV3991" s="115">
        <v>4</v>
      </c>
      <c r="CW3991" s="115">
        <v>0.11332468572476186</v>
      </c>
      <c r="CX3991" s="115" t="e">
        <v>#N/A</v>
      </c>
      <c r="CY3991" s="115" t="e">
        <v>#N/A</v>
      </c>
      <c r="CZ3991" s="137" t="e">
        <v>#N/A</v>
      </c>
      <c r="DA3991">
        <v>0.11332468572476186</v>
      </c>
      <c r="DB3991" t="str">
        <v/>
      </c>
    </row>
    <row r="3992" spans="83:106" x14ac:dyDescent="0.2">
      <c r="CE3992"/>
      <c r="CF3992"/>
      <c r="CG3992"/>
      <c r="CH3992"/>
      <c r="CI3992"/>
      <c r="CU3992" s="42">
        <v>3987</v>
      </c>
      <c r="CV3992" s="115">
        <v>4</v>
      </c>
      <c r="CW3992" s="115">
        <v>0.11332468572476186</v>
      </c>
      <c r="CX3992" s="115" t="e">
        <v>#N/A</v>
      </c>
      <c r="CY3992" s="115" t="e">
        <v>#N/A</v>
      </c>
      <c r="CZ3992" s="137" t="e">
        <v>#N/A</v>
      </c>
      <c r="DA3992">
        <v>0.11332468572476186</v>
      </c>
      <c r="DB3992" t="str">
        <v/>
      </c>
    </row>
    <row r="3993" spans="83:106" x14ac:dyDescent="0.2">
      <c r="CE3993"/>
      <c r="CF3993"/>
      <c r="CG3993"/>
      <c r="CH3993"/>
      <c r="CI3993"/>
      <c r="CU3993" s="42">
        <v>3988</v>
      </c>
      <c r="CV3993" s="115">
        <v>4</v>
      </c>
      <c r="CW3993" s="115">
        <v>0.11332468572476186</v>
      </c>
      <c r="CX3993" s="115" t="e">
        <v>#N/A</v>
      </c>
      <c r="CY3993" s="115" t="e">
        <v>#N/A</v>
      </c>
      <c r="CZ3993" s="137" t="e">
        <v>#N/A</v>
      </c>
      <c r="DA3993">
        <v>0.11332468572476186</v>
      </c>
      <c r="DB3993" t="str">
        <v/>
      </c>
    </row>
    <row r="3994" spans="83:106" x14ac:dyDescent="0.2">
      <c r="CE3994"/>
      <c r="CF3994"/>
      <c r="CG3994"/>
      <c r="CH3994"/>
      <c r="CI3994"/>
      <c r="CU3994" s="42">
        <v>3989</v>
      </c>
      <c r="CV3994" s="115">
        <v>4</v>
      </c>
      <c r="CW3994" s="115">
        <v>0.11332468572476186</v>
      </c>
      <c r="CX3994" s="115" t="e">
        <v>#N/A</v>
      </c>
      <c r="CY3994" s="115" t="e">
        <v>#N/A</v>
      </c>
      <c r="CZ3994" s="137" t="e">
        <v>#N/A</v>
      </c>
      <c r="DA3994">
        <v>0.11332468572476186</v>
      </c>
      <c r="DB3994" t="str">
        <v/>
      </c>
    </row>
    <row r="3995" spans="83:106" x14ac:dyDescent="0.2">
      <c r="CE3995"/>
      <c r="CF3995"/>
      <c r="CG3995"/>
      <c r="CH3995"/>
      <c r="CI3995"/>
      <c r="CU3995" s="42">
        <v>3990</v>
      </c>
      <c r="CV3995" s="115">
        <v>4</v>
      </c>
      <c r="CW3995" s="115">
        <v>0.11332468572476186</v>
      </c>
      <c r="CX3995" s="115" t="e">
        <v>#N/A</v>
      </c>
      <c r="CY3995" s="115" t="e">
        <v>#N/A</v>
      </c>
      <c r="CZ3995" s="137" t="e">
        <v>#N/A</v>
      </c>
      <c r="DA3995">
        <v>0.11332468572476186</v>
      </c>
      <c r="DB3995" t="str">
        <v/>
      </c>
    </row>
    <row r="3996" spans="83:106" x14ac:dyDescent="0.2">
      <c r="CE3996"/>
      <c r="CF3996"/>
      <c r="CG3996"/>
      <c r="CH3996"/>
      <c r="CI3996"/>
      <c r="CU3996" s="42">
        <v>3991</v>
      </c>
      <c r="CV3996" s="115">
        <v>4</v>
      </c>
      <c r="CW3996" s="115">
        <v>0.11332468572476186</v>
      </c>
      <c r="CX3996" s="115" t="e">
        <v>#N/A</v>
      </c>
      <c r="CY3996" s="115" t="e">
        <v>#N/A</v>
      </c>
      <c r="CZ3996" s="137" t="e">
        <v>#N/A</v>
      </c>
      <c r="DA3996">
        <v>0.11332468572476186</v>
      </c>
      <c r="DB3996" t="str">
        <v/>
      </c>
    </row>
    <row r="3997" spans="83:106" x14ac:dyDescent="0.2">
      <c r="CE3997"/>
      <c r="CF3997"/>
      <c r="CG3997"/>
      <c r="CH3997"/>
      <c r="CI3997"/>
      <c r="CU3997" s="42">
        <v>3992</v>
      </c>
      <c r="CV3997" s="115">
        <v>4</v>
      </c>
      <c r="CW3997" s="115">
        <v>0.11332468572476186</v>
      </c>
      <c r="CX3997" s="115" t="e">
        <v>#N/A</v>
      </c>
      <c r="CY3997" s="115" t="e">
        <v>#N/A</v>
      </c>
      <c r="CZ3997" s="137" t="e">
        <v>#N/A</v>
      </c>
      <c r="DA3997">
        <v>0.11332468572476186</v>
      </c>
      <c r="DB3997" t="str">
        <v/>
      </c>
    </row>
    <row r="3998" spans="83:106" x14ac:dyDescent="0.2">
      <c r="CE3998"/>
      <c r="CF3998"/>
      <c r="CG3998"/>
      <c r="CH3998"/>
      <c r="CI3998"/>
      <c r="CU3998" s="42">
        <v>3993</v>
      </c>
      <c r="CV3998" s="115">
        <v>4</v>
      </c>
      <c r="CW3998" s="115">
        <v>0.11332468572476186</v>
      </c>
      <c r="CX3998" s="115" t="e">
        <v>#N/A</v>
      </c>
      <c r="CY3998" s="115" t="e">
        <v>#N/A</v>
      </c>
      <c r="CZ3998" s="137" t="e">
        <v>#N/A</v>
      </c>
      <c r="DA3998">
        <v>0.11332468572476186</v>
      </c>
      <c r="DB3998" t="str">
        <v/>
      </c>
    </row>
    <row r="3999" spans="83:106" x14ac:dyDescent="0.2">
      <c r="CE3999"/>
      <c r="CF3999"/>
      <c r="CG3999"/>
      <c r="CH3999"/>
      <c r="CI3999"/>
      <c r="CU3999" s="42">
        <v>3994</v>
      </c>
      <c r="CV3999" s="115">
        <v>4</v>
      </c>
      <c r="CW3999" s="115">
        <v>0.11332468572476186</v>
      </c>
      <c r="CX3999" s="115" t="e">
        <v>#N/A</v>
      </c>
      <c r="CY3999" s="115" t="e">
        <v>#N/A</v>
      </c>
      <c r="CZ3999" s="137" t="e">
        <v>#N/A</v>
      </c>
      <c r="DA3999">
        <v>0.11332468572476186</v>
      </c>
      <c r="DB3999" t="str">
        <v/>
      </c>
    </row>
    <row r="4000" spans="83:106" x14ac:dyDescent="0.2">
      <c r="CE4000"/>
      <c r="CF4000"/>
      <c r="CG4000"/>
      <c r="CH4000"/>
      <c r="CI4000"/>
      <c r="CU4000" s="42">
        <v>3995</v>
      </c>
      <c r="CV4000" s="115">
        <v>4</v>
      </c>
      <c r="CW4000" s="115">
        <v>0.11332468572476186</v>
      </c>
      <c r="CX4000" s="115" t="e">
        <v>#N/A</v>
      </c>
      <c r="CY4000" s="115" t="e">
        <v>#N/A</v>
      </c>
      <c r="CZ4000" s="137" t="e">
        <v>#N/A</v>
      </c>
      <c r="DA4000">
        <v>0.11332468572476186</v>
      </c>
      <c r="DB4000" t="str">
        <v/>
      </c>
    </row>
    <row r="4001" spans="83:106" x14ac:dyDescent="0.2">
      <c r="CE4001"/>
      <c r="CF4001"/>
      <c r="CG4001"/>
      <c r="CH4001"/>
      <c r="CI4001"/>
      <c r="CU4001" s="42">
        <v>3996</v>
      </c>
      <c r="CV4001" s="115">
        <v>4</v>
      </c>
      <c r="CW4001" s="115">
        <v>0.11332468572476186</v>
      </c>
      <c r="CX4001" s="115" t="e">
        <v>#N/A</v>
      </c>
      <c r="CY4001" s="115" t="e">
        <v>#N/A</v>
      </c>
      <c r="CZ4001" s="137" t="e">
        <v>#N/A</v>
      </c>
      <c r="DA4001">
        <v>0.11332468572476186</v>
      </c>
      <c r="DB4001" t="str">
        <v/>
      </c>
    </row>
    <row r="4002" spans="83:106" x14ac:dyDescent="0.2">
      <c r="CE4002"/>
      <c r="CF4002"/>
      <c r="CG4002"/>
      <c r="CH4002"/>
      <c r="CI4002"/>
      <c r="CU4002" s="42">
        <v>3997</v>
      </c>
      <c r="CV4002" s="115">
        <v>4</v>
      </c>
      <c r="CW4002" s="115">
        <v>0.11332468572476186</v>
      </c>
      <c r="CX4002" s="115" t="e">
        <v>#N/A</v>
      </c>
      <c r="CY4002" s="115" t="e">
        <v>#N/A</v>
      </c>
      <c r="CZ4002" s="137" t="e">
        <v>#N/A</v>
      </c>
      <c r="DA4002">
        <v>0.11332468572476186</v>
      </c>
      <c r="DB4002" t="str">
        <v/>
      </c>
    </row>
    <row r="4003" spans="83:106" x14ac:dyDescent="0.2">
      <c r="CE4003"/>
      <c r="CF4003"/>
      <c r="CG4003"/>
      <c r="CH4003"/>
      <c r="CI4003"/>
      <c r="CU4003" s="42">
        <v>3998</v>
      </c>
      <c r="CV4003" s="115">
        <v>4</v>
      </c>
      <c r="CW4003" s="115">
        <v>0.11332468572476186</v>
      </c>
      <c r="CX4003" s="115" t="e">
        <v>#N/A</v>
      </c>
      <c r="CY4003" s="115" t="e">
        <v>#N/A</v>
      </c>
      <c r="CZ4003" s="137" t="e">
        <v>#N/A</v>
      </c>
      <c r="DA4003">
        <v>0.11332468572476186</v>
      </c>
      <c r="DB4003" t="str">
        <v/>
      </c>
    </row>
    <row r="4004" spans="83:106" x14ac:dyDescent="0.2">
      <c r="CE4004"/>
      <c r="CF4004"/>
      <c r="CG4004"/>
      <c r="CH4004"/>
      <c r="CI4004"/>
      <c r="CU4004" s="42">
        <v>3999</v>
      </c>
      <c r="CV4004" s="115">
        <v>4</v>
      </c>
      <c r="CW4004" s="115">
        <v>0.11332468572476186</v>
      </c>
      <c r="CX4004" s="115" t="e">
        <v>#N/A</v>
      </c>
      <c r="CY4004" s="115" t="e">
        <v>#N/A</v>
      </c>
      <c r="CZ4004" s="137" t="e">
        <v>#N/A</v>
      </c>
      <c r="DA4004">
        <v>0.11332468572476186</v>
      </c>
      <c r="DB4004" t="str">
        <v/>
      </c>
    </row>
    <row r="4005" spans="83:106" x14ac:dyDescent="0.2">
      <c r="CE4005"/>
      <c r="CF4005"/>
      <c r="CG4005"/>
      <c r="CH4005"/>
      <c r="CI4005"/>
      <c r="CU4005" s="42">
        <v>4000</v>
      </c>
      <c r="CV4005" s="115">
        <v>4</v>
      </c>
      <c r="CW4005" s="115">
        <v>0.11332468572476186</v>
      </c>
      <c r="CX4005" s="115" t="e">
        <v>#N/A</v>
      </c>
      <c r="CY4005" s="115" t="e">
        <v>#N/A</v>
      </c>
      <c r="CZ4005" s="137" t="e">
        <v>#N/A</v>
      </c>
      <c r="DA4005">
        <v>0.11332468572476186</v>
      </c>
      <c r="DB4005" t="str">
        <v/>
      </c>
    </row>
    <row r="4006" spans="83:106" x14ac:dyDescent="0.2">
      <c r="CE4006"/>
      <c r="CF4006"/>
      <c r="CG4006"/>
      <c r="CH4006"/>
      <c r="CI4006"/>
      <c r="CU4006" s="42">
        <v>4001</v>
      </c>
      <c r="CV4006" s="115">
        <v>4</v>
      </c>
      <c r="CW4006" s="115">
        <v>0.11332468572476186</v>
      </c>
      <c r="CX4006" s="115" t="e">
        <v>#N/A</v>
      </c>
      <c r="CY4006" s="115" t="e">
        <v>#N/A</v>
      </c>
      <c r="CZ4006" s="137" t="e">
        <v>#N/A</v>
      </c>
      <c r="DA4006">
        <v>0.11332468572476186</v>
      </c>
      <c r="DB4006" t="str">
        <v/>
      </c>
    </row>
    <row r="4007" spans="83:106" x14ac:dyDescent="0.2">
      <c r="CE4007"/>
      <c r="CF4007"/>
      <c r="CG4007"/>
      <c r="CH4007"/>
      <c r="CI4007"/>
      <c r="CU4007" s="42">
        <v>4002</v>
      </c>
      <c r="CV4007" s="115">
        <v>4</v>
      </c>
      <c r="CW4007" s="115">
        <v>0.11332468572476186</v>
      </c>
      <c r="CX4007" s="115" t="e">
        <v>#N/A</v>
      </c>
      <c r="CY4007" s="115" t="e">
        <v>#N/A</v>
      </c>
      <c r="CZ4007" s="137" t="e">
        <v>#N/A</v>
      </c>
      <c r="DA4007">
        <v>0.11332468572476186</v>
      </c>
      <c r="DB4007" t="str">
        <v/>
      </c>
    </row>
    <row r="4008" spans="83:106" x14ac:dyDescent="0.2">
      <c r="CE4008"/>
      <c r="CF4008"/>
      <c r="CG4008"/>
      <c r="CH4008"/>
      <c r="CI4008"/>
      <c r="CU4008" s="42">
        <v>4003</v>
      </c>
      <c r="CV4008" s="115">
        <v>4</v>
      </c>
      <c r="CW4008" s="115">
        <v>0.11332468572476186</v>
      </c>
      <c r="CX4008" s="115" t="e">
        <v>#N/A</v>
      </c>
      <c r="CY4008" s="115" t="e">
        <v>#N/A</v>
      </c>
      <c r="CZ4008" s="137" t="e">
        <v>#N/A</v>
      </c>
      <c r="DA4008">
        <v>0.11332468572476186</v>
      </c>
      <c r="DB4008" t="str">
        <v/>
      </c>
    </row>
    <row r="4009" spans="83:106" x14ac:dyDescent="0.2">
      <c r="CE4009"/>
      <c r="CF4009"/>
      <c r="CG4009"/>
      <c r="CH4009"/>
      <c r="CI4009"/>
      <c r="CU4009" s="42">
        <v>4004</v>
      </c>
      <c r="CV4009" s="115">
        <v>4</v>
      </c>
      <c r="CW4009" s="115">
        <v>0.11332468572476186</v>
      </c>
      <c r="CX4009" s="115" t="e">
        <v>#N/A</v>
      </c>
      <c r="CY4009" s="115" t="e">
        <v>#N/A</v>
      </c>
      <c r="CZ4009" s="137" t="e">
        <v>#N/A</v>
      </c>
      <c r="DA4009">
        <v>0.11332468572476186</v>
      </c>
      <c r="DB4009" t="str">
        <v/>
      </c>
    </row>
    <row r="4010" spans="83:106" x14ac:dyDescent="0.2">
      <c r="CE4010"/>
      <c r="CF4010"/>
      <c r="CG4010"/>
      <c r="CH4010"/>
      <c r="CI4010"/>
      <c r="CU4010" s="42">
        <v>4005</v>
      </c>
      <c r="CV4010" s="115">
        <v>4</v>
      </c>
      <c r="CW4010" s="115">
        <v>0.11332468572476186</v>
      </c>
      <c r="CX4010" s="115" t="e">
        <v>#N/A</v>
      </c>
      <c r="CY4010" s="115" t="e">
        <v>#N/A</v>
      </c>
      <c r="CZ4010" s="137" t="e">
        <v>#N/A</v>
      </c>
      <c r="DA4010">
        <v>0.11332468572476186</v>
      </c>
      <c r="DB4010" t="str">
        <v/>
      </c>
    </row>
    <row r="4011" spans="83:106" x14ac:dyDescent="0.2">
      <c r="CE4011"/>
      <c r="CF4011"/>
      <c r="CG4011"/>
      <c r="CH4011"/>
      <c r="CI4011"/>
      <c r="CU4011" s="42">
        <v>4006</v>
      </c>
      <c r="CV4011" s="115">
        <v>4</v>
      </c>
      <c r="CW4011" s="115">
        <v>0.11332468572476186</v>
      </c>
      <c r="CX4011" s="115" t="e">
        <v>#N/A</v>
      </c>
      <c r="CY4011" s="115" t="e">
        <v>#N/A</v>
      </c>
      <c r="CZ4011" s="137" t="e">
        <v>#N/A</v>
      </c>
      <c r="DA4011">
        <v>0.11332468572476186</v>
      </c>
      <c r="DB4011" t="str">
        <v/>
      </c>
    </row>
    <row r="4012" spans="83:106" x14ac:dyDescent="0.2">
      <c r="CE4012"/>
      <c r="CF4012"/>
      <c r="CG4012"/>
      <c r="CH4012"/>
      <c r="CI4012"/>
      <c r="CU4012" s="42">
        <v>4007</v>
      </c>
      <c r="CV4012" s="115">
        <v>4</v>
      </c>
      <c r="CW4012" s="115">
        <v>0.11332468572476186</v>
      </c>
      <c r="CX4012" s="115" t="e">
        <v>#N/A</v>
      </c>
      <c r="CY4012" s="115" t="e">
        <v>#N/A</v>
      </c>
      <c r="CZ4012" s="137" t="e">
        <v>#N/A</v>
      </c>
      <c r="DA4012">
        <v>0.11332468572476186</v>
      </c>
      <c r="DB4012" t="str">
        <v/>
      </c>
    </row>
    <row r="4013" spans="83:106" x14ac:dyDescent="0.2">
      <c r="CE4013"/>
      <c r="CF4013"/>
      <c r="CG4013"/>
      <c r="CH4013"/>
      <c r="CI4013"/>
      <c r="CU4013" s="42">
        <v>4008</v>
      </c>
      <c r="CV4013" s="115">
        <v>4</v>
      </c>
      <c r="CW4013" s="115">
        <v>0.11332468572476186</v>
      </c>
      <c r="CX4013" s="115" t="e">
        <v>#N/A</v>
      </c>
      <c r="CY4013" s="115" t="e">
        <v>#N/A</v>
      </c>
      <c r="CZ4013" s="137" t="e">
        <v>#N/A</v>
      </c>
      <c r="DA4013">
        <v>0.11332468572476186</v>
      </c>
      <c r="DB4013" t="str">
        <v/>
      </c>
    </row>
    <row r="4014" spans="83:106" x14ac:dyDescent="0.2">
      <c r="CE4014"/>
      <c r="CF4014"/>
      <c r="CG4014"/>
      <c r="CH4014"/>
      <c r="CI4014"/>
      <c r="CU4014" s="42">
        <v>4009</v>
      </c>
      <c r="CV4014" s="115">
        <v>4</v>
      </c>
      <c r="CW4014" s="115">
        <v>0.11332468572476186</v>
      </c>
      <c r="CX4014" s="115" t="e">
        <v>#N/A</v>
      </c>
      <c r="CY4014" s="115" t="e">
        <v>#N/A</v>
      </c>
      <c r="CZ4014" s="137" t="e">
        <v>#N/A</v>
      </c>
      <c r="DA4014">
        <v>0.11332468572476186</v>
      </c>
      <c r="DB4014" t="str">
        <v/>
      </c>
    </row>
    <row r="4015" spans="83:106" x14ac:dyDescent="0.2">
      <c r="CE4015"/>
      <c r="CF4015"/>
      <c r="CG4015"/>
      <c r="CH4015"/>
      <c r="CI4015"/>
      <c r="CU4015" s="42">
        <v>4010</v>
      </c>
      <c r="CV4015" s="115">
        <v>4</v>
      </c>
      <c r="CW4015" s="115">
        <v>0.11332468572476186</v>
      </c>
      <c r="CX4015" s="115" t="e">
        <v>#N/A</v>
      </c>
      <c r="CY4015" s="115" t="e">
        <v>#N/A</v>
      </c>
      <c r="CZ4015" s="137" t="e">
        <v>#N/A</v>
      </c>
      <c r="DA4015">
        <v>0.11332468572476186</v>
      </c>
      <c r="DB4015" t="str">
        <v/>
      </c>
    </row>
    <row r="4016" spans="83:106" x14ac:dyDescent="0.2">
      <c r="CE4016"/>
      <c r="CF4016"/>
      <c r="CG4016"/>
      <c r="CH4016"/>
      <c r="CI4016"/>
      <c r="CU4016" s="42">
        <v>4011</v>
      </c>
      <c r="CV4016" s="115">
        <v>4</v>
      </c>
      <c r="CW4016" s="115">
        <v>0.11332468572476186</v>
      </c>
      <c r="CX4016" s="115" t="e">
        <v>#N/A</v>
      </c>
      <c r="CY4016" s="115" t="e">
        <v>#N/A</v>
      </c>
      <c r="CZ4016" s="137" t="e">
        <v>#N/A</v>
      </c>
      <c r="DA4016">
        <v>0.11332468572476186</v>
      </c>
      <c r="DB4016" t="str">
        <v/>
      </c>
    </row>
    <row r="4017" spans="83:106" x14ac:dyDescent="0.2">
      <c r="CE4017"/>
      <c r="CF4017"/>
      <c r="CG4017"/>
      <c r="CH4017"/>
      <c r="CI4017"/>
      <c r="CU4017" s="42">
        <v>4012</v>
      </c>
      <c r="CV4017" s="115">
        <v>4</v>
      </c>
      <c r="CW4017" s="115">
        <v>0.11332468572476186</v>
      </c>
      <c r="CX4017" s="115" t="e">
        <v>#N/A</v>
      </c>
      <c r="CY4017" s="115" t="e">
        <v>#N/A</v>
      </c>
      <c r="CZ4017" s="137" t="e">
        <v>#N/A</v>
      </c>
      <c r="DA4017">
        <v>0.11332468572476186</v>
      </c>
      <c r="DB4017" t="str">
        <v/>
      </c>
    </row>
    <row r="4018" spans="83:106" x14ac:dyDescent="0.2">
      <c r="CE4018"/>
      <c r="CF4018"/>
      <c r="CG4018"/>
      <c r="CH4018"/>
      <c r="CI4018"/>
      <c r="CU4018" s="42">
        <v>4013</v>
      </c>
      <c r="CV4018" s="115">
        <v>4</v>
      </c>
      <c r="CW4018" s="115">
        <v>0.11332468572476186</v>
      </c>
      <c r="CX4018" s="115" t="e">
        <v>#N/A</v>
      </c>
      <c r="CY4018" s="115" t="e">
        <v>#N/A</v>
      </c>
      <c r="CZ4018" s="137" t="e">
        <v>#N/A</v>
      </c>
      <c r="DA4018">
        <v>0.11332468572476186</v>
      </c>
      <c r="DB4018" t="str">
        <v/>
      </c>
    </row>
    <row r="4019" spans="83:106" x14ac:dyDescent="0.2">
      <c r="CE4019"/>
      <c r="CF4019"/>
      <c r="CG4019"/>
      <c r="CH4019"/>
      <c r="CI4019"/>
      <c r="CU4019" s="42">
        <v>4014</v>
      </c>
      <c r="CV4019" s="115">
        <v>4</v>
      </c>
      <c r="CW4019" s="115">
        <v>0.11332468572476186</v>
      </c>
      <c r="CX4019" s="115" t="e">
        <v>#N/A</v>
      </c>
      <c r="CY4019" s="115" t="e">
        <v>#N/A</v>
      </c>
      <c r="CZ4019" s="137" t="e">
        <v>#N/A</v>
      </c>
      <c r="DA4019">
        <v>0.11332468572476186</v>
      </c>
      <c r="DB4019" t="str">
        <v/>
      </c>
    </row>
    <row r="4020" spans="83:106" x14ac:dyDescent="0.2">
      <c r="CE4020"/>
      <c r="CF4020"/>
      <c r="CG4020"/>
      <c r="CH4020"/>
      <c r="CI4020"/>
      <c r="CU4020" s="42">
        <v>4015</v>
      </c>
      <c r="CV4020" s="115">
        <v>4</v>
      </c>
      <c r="CW4020" s="115">
        <v>0.11332468572476186</v>
      </c>
      <c r="CX4020" s="115" t="e">
        <v>#N/A</v>
      </c>
      <c r="CY4020" s="115" t="e">
        <v>#N/A</v>
      </c>
      <c r="CZ4020" s="137" t="e">
        <v>#N/A</v>
      </c>
      <c r="DA4020">
        <v>0.11332468572476186</v>
      </c>
      <c r="DB4020" t="str">
        <v/>
      </c>
    </row>
    <row r="4021" spans="83:106" x14ac:dyDescent="0.2">
      <c r="CE4021"/>
      <c r="CF4021"/>
      <c r="CG4021"/>
      <c r="CH4021"/>
      <c r="CI4021"/>
      <c r="CU4021" s="42">
        <v>4016</v>
      </c>
      <c r="CV4021" s="115">
        <v>4</v>
      </c>
      <c r="CW4021" s="115">
        <v>0.11332468572476186</v>
      </c>
      <c r="CX4021" s="115" t="e">
        <v>#N/A</v>
      </c>
      <c r="CY4021" s="115" t="e">
        <v>#N/A</v>
      </c>
      <c r="CZ4021" s="137" t="e">
        <v>#N/A</v>
      </c>
      <c r="DA4021">
        <v>0.11332468572476186</v>
      </c>
      <c r="DB4021" t="str">
        <v/>
      </c>
    </row>
    <row r="4022" spans="83:106" x14ac:dyDescent="0.2">
      <c r="CE4022"/>
      <c r="CF4022"/>
      <c r="CG4022"/>
      <c r="CH4022"/>
      <c r="CI4022"/>
      <c r="CU4022" s="42">
        <v>4017</v>
      </c>
      <c r="CV4022" s="115">
        <v>4</v>
      </c>
      <c r="CW4022" s="115">
        <v>0.11332468572476186</v>
      </c>
      <c r="CX4022" s="115" t="e">
        <v>#N/A</v>
      </c>
      <c r="CY4022" s="115" t="e">
        <v>#N/A</v>
      </c>
      <c r="CZ4022" s="137" t="e">
        <v>#N/A</v>
      </c>
      <c r="DA4022">
        <v>0.11332468572476186</v>
      </c>
      <c r="DB4022" t="str">
        <v/>
      </c>
    </row>
    <row r="4023" spans="83:106" x14ac:dyDescent="0.2">
      <c r="CE4023"/>
      <c r="CF4023"/>
      <c r="CG4023"/>
      <c r="CH4023"/>
      <c r="CI4023"/>
      <c r="CU4023" s="42">
        <v>4018</v>
      </c>
      <c r="CV4023" s="115">
        <v>4</v>
      </c>
      <c r="CW4023" s="115">
        <v>0.11332468572476186</v>
      </c>
      <c r="CX4023" s="115" t="e">
        <v>#N/A</v>
      </c>
      <c r="CY4023" s="115" t="e">
        <v>#N/A</v>
      </c>
      <c r="CZ4023" s="137" t="e">
        <v>#N/A</v>
      </c>
      <c r="DA4023">
        <v>0.11332468572476186</v>
      </c>
      <c r="DB4023" t="str">
        <v/>
      </c>
    </row>
    <row r="4024" spans="83:106" x14ac:dyDescent="0.2">
      <c r="CE4024"/>
      <c r="CF4024"/>
      <c r="CG4024"/>
      <c r="CH4024"/>
      <c r="CI4024"/>
      <c r="CU4024" s="42">
        <v>4019</v>
      </c>
      <c r="CV4024" s="115">
        <v>4</v>
      </c>
      <c r="CW4024" s="115">
        <v>0.11332468572476186</v>
      </c>
      <c r="CX4024" s="115" t="e">
        <v>#N/A</v>
      </c>
      <c r="CY4024" s="115" t="e">
        <v>#N/A</v>
      </c>
      <c r="CZ4024" s="137" t="e">
        <v>#N/A</v>
      </c>
      <c r="DA4024">
        <v>0.11332468572476186</v>
      </c>
      <c r="DB4024" t="str">
        <v/>
      </c>
    </row>
    <row r="4025" spans="83:106" x14ac:dyDescent="0.2">
      <c r="CE4025"/>
      <c r="CF4025"/>
      <c r="CG4025"/>
      <c r="CH4025"/>
      <c r="CI4025"/>
      <c r="CU4025" s="42">
        <v>4020</v>
      </c>
      <c r="CV4025" s="115">
        <v>4</v>
      </c>
      <c r="CW4025" s="115">
        <v>0.11332468572476186</v>
      </c>
      <c r="CX4025" s="115" t="e">
        <v>#N/A</v>
      </c>
      <c r="CY4025" s="115" t="e">
        <v>#N/A</v>
      </c>
      <c r="CZ4025" s="137" t="e">
        <v>#N/A</v>
      </c>
      <c r="DA4025">
        <v>0.11332468572476186</v>
      </c>
      <c r="DB4025" t="str">
        <v/>
      </c>
    </row>
    <row r="4026" spans="83:106" x14ac:dyDescent="0.2">
      <c r="CE4026"/>
      <c r="CF4026"/>
      <c r="CG4026"/>
      <c r="CH4026"/>
      <c r="CI4026"/>
      <c r="CU4026" s="42">
        <v>4021</v>
      </c>
      <c r="CV4026" s="115">
        <v>4</v>
      </c>
      <c r="CW4026" s="115">
        <v>0.11332468572476186</v>
      </c>
      <c r="CX4026" s="115" t="e">
        <v>#N/A</v>
      </c>
      <c r="CY4026" s="115" t="e">
        <v>#N/A</v>
      </c>
      <c r="CZ4026" s="137" t="e">
        <v>#N/A</v>
      </c>
      <c r="DA4026">
        <v>0.11332468572476186</v>
      </c>
      <c r="DB4026" t="str">
        <v/>
      </c>
    </row>
    <row r="4027" spans="83:106" x14ac:dyDescent="0.2">
      <c r="CE4027"/>
      <c r="CF4027"/>
      <c r="CG4027"/>
      <c r="CH4027"/>
      <c r="CI4027"/>
      <c r="CU4027" s="42">
        <v>4022</v>
      </c>
      <c r="CV4027" s="115">
        <v>4</v>
      </c>
      <c r="CW4027" s="115">
        <v>0.11332468572476186</v>
      </c>
      <c r="CX4027" s="115" t="e">
        <v>#N/A</v>
      </c>
      <c r="CY4027" s="115" t="e">
        <v>#N/A</v>
      </c>
      <c r="CZ4027" s="137" t="e">
        <v>#N/A</v>
      </c>
      <c r="DA4027">
        <v>0.11332468572476186</v>
      </c>
      <c r="DB4027" t="str">
        <v/>
      </c>
    </row>
    <row r="4028" spans="83:106" x14ac:dyDescent="0.2">
      <c r="CE4028"/>
      <c r="CF4028"/>
      <c r="CG4028"/>
      <c r="CH4028"/>
      <c r="CI4028"/>
      <c r="CU4028" s="42">
        <v>4023</v>
      </c>
      <c r="CV4028" s="115">
        <v>4</v>
      </c>
      <c r="CW4028" s="115">
        <v>0.11332468572476186</v>
      </c>
      <c r="CX4028" s="115" t="e">
        <v>#N/A</v>
      </c>
      <c r="CY4028" s="115" t="e">
        <v>#N/A</v>
      </c>
      <c r="CZ4028" s="137" t="e">
        <v>#N/A</v>
      </c>
      <c r="DA4028">
        <v>0.11332468572476186</v>
      </c>
      <c r="DB4028" t="str">
        <v/>
      </c>
    </row>
    <row r="4029" spans="83:106" x14ac:dyDescent="0.2">
      <c r="CE4029"/>
      <c r="CF4029"/>
      <c r="CG4029"/>
      <c r="CH4029"/>
      <c r="CI4029"/>
      <c r="CU4029" s="42">
        <v>4024</v>
      </c>
      <c r="CV4029" s="115">
        <v>4</v>
      </c>
      <c r="CW4029" s="115">
        <v>0.11332468572476186</v>
      </c>
      <c r="CX4029" s="115" t="e">
        <v>#N/A</v>
      </c>
      <c r="CY4029" s="115" t="e">
        <v>#N/A</v>
      </c>
      <c r="CZ4029" s="137" t="e">
        <v>#N/A</v>
      </c>
      <c r="DA4029">
        <v>0.11332468572476186</v>
      </c>
      <c r="DB4029" t="str">
        <v/>
      </c>
    </row>
    <row r="4030" spans="83:106" x14ac:dyDescent="0.2">
      <c r="CE4030"/>
      <c r="CF4030"/>
      <c r="CG4030"/>
      <c r="CH4030"/>
      <c r="CI4030"/>
      <c r="CU4030" s="42">
        <v>4025</v>
      </c>
      <c r="CV4030" s="115">
        <v>4</v>
      </c>
      <c r="CW4030" s="115">
        <v>0.11332468572476186</v>
      </c>
      <c r="CX4030" s="115" t="e">
        <v>#N/A</v>
      </c>
      <c r="CY4030" s="115" t="e">
        <v>#N/A</v>
      </c>
      <c r="CZ4030" s="137" t="e">
        <v>#N/A</v>
      </c>
      <c r="DA4030">
        <v>0.11332468572476186</v>
      </c>
      <c r="DB4030" t="str">
        <v/>
      </c>
    </row>
    <row r="4031" spans="83:106" x14ac:dyDescent="0.2">
      <c r="CE4031"/>
      <c r="CF4031"/>
      <c r="CG4031"/>
      <c r="CH4031"/>
      <c r="CI4031"/>
      <c r="CU4031" s="42">
        <v>4026</v>
      </c>
      <c r="CV4031" s="115">
        <v>4</v>
      </c>
      <c r="CW4031" s="115">
        <v>0.11332468572476186</v>
      </c>
      <c r="CX4031" s="115" t="e">
        <v>#N/A</v>
      </c>
      <c r="CY4031" s="115" t="e">
        <v>#N/A</v>
      </c>
      <c r="CZ4031" s="137" t="e">
        <v>#N/A</v>
      </c>
      <c r="DA4031">
        <v>0.11332468572476186</v>
      </c>
      <c r="DB4031" t="str">
        <v/>
      </c>
    </row>
    <row r="4032" spans="83:106" x14ac:dyDescent="0.2">
      <c r="CE4032"/>
      <c r="CF4032"/>
      <c r="CG4032"/>
      <c r="CH4032"/>
      <c r="CI4032"/>
      <c r="CU4032" s="42">
        <v>4027</v>
      </c>
      <c r="CV4032" s="115">
        <v>4</v>
      </c>
      <c r="CW4032" s="115">
        <v>0.11332468572476186</v>
      </c>
      <c r="CX4032" s="115" t="e">
        <v>#N/A</v>
      </c>
      <c r="CY4032" s="115" t="e">
        <v>#N/A</v>
      </c>
      <c r="CZ4032" s="137" t="e">
        <v>#N/A</v>
      </c>
      <c r="DA4032">
        <v>0.11332468572476186</v>
      </c>
      <c r="DB4032" t="str">
        <v/>
      </c>
    </row>
    <row r="4033" spans="83:106" x14ac:dyDescent="0.2">
      <c r="CE4033"/>
      <c r="CF4033"/>
      <c r="CG4033"/>
      <c r="CH4033"/>
      <c r="CI4033"/>
      <c r="CU4033" s="42">
        <v>4028</v>
      </c>
      <c r="CV4033" s="115">
        <v>4</v>
      </c>
      <c r="CW4033" s="115">
        <v>0.11332468572476186</v>
      </c>
      <c r="CX4033" s="115" t="e">
        <v>#N/A</v>
      </c>
      <c r="CY4033" s="115" t="e">
        <v>#N/A</v>
      </c>
      <c r="CZ4033" s="137" t="e">
        <v>#N/A</v>
      </c>
      <c r="DA4033">
        <v>0.11332468572476186</v>
      </c>
      <c r="DB4033" t="str">
        <v/>
      </c>
    </row>
    <row r="4034" spans="83:106" x14ac:dyDescent="0.2">
      <c r="CE4034"/>
      <c r="CF4034"/>
      <c r="CG4034"/>
      <c r="CH4034"/>
      <c r="CI4034"/>
      <c r="CU4034" s="42">
        <v>4029</v>
      </c>
      <c r="CV4034" s="115">
        <v>4</v>
      </c>
      <c r="CW4034" s="115">
        <v>0.11332468572476186</v>
      </c>
      <c r="CX4034" s="115" t="e">
        <v>#N/A</v>
      </c>
      <c r="CY4034" s="115" t="e">
        <v>#N/A</v>
      </c>
      <c r="CZ4034" s="137" t="e">
        <v>#N/A</v>
      </c>
      <c r="DA4034">
        <v>0.11332468572476186</v>
      </c>
      <c r="DB4034" t="str">
        <v/>
      </c>
    </row>
    <row r="4035" spans="83:106" x14ac:dyDescent="0.2">
      <c r="CE4035"/>
      <c r="CF4035"/>
      <c r="CG4035"/>
      <c r="CH4035"/>
      <c r="CI4035"/>
      <c r="CU4035" s="42">
        <v>4030</v>
      </c>
      <c r="CV4035" s="115">
        <v>4</v>
      </c>
      <c r="CW4035" s="115">
        <v>0.11332468572476186</v>
      </c>
      <c r="CX4035" s="115" t="e">
        <v>#N/A</v>
      </c>
      <c r="CY4035" s="115" t="e">
        <v>#N/A</v>
      </c>
      <c r="CZ4035" s="137" t="e">
        <v>#N/A</v>
      </c>
      <c r="DA4035">
        <v>0.11332468572476186</v>
      </c>
      <c r="DB4035" t="str">
        <v/>
      </c>
    </row>
    <row r="4036" spans="83:106" x14ac:dyDescent="0.2">
      <c r="CE4036"/>
      <c r="CF4036"/>
      <c r="CG4036"/>
      <c r="CH4036"/>
      <c r="CI4036"/>
      <c r="CU4036" s="42">
        <v>4031</v>
      </c>
      <c r="CV4036" s="115">
        <v>4</v>
      </c>
      <c r="CW4036" s="115">
        <v>0.11332468572476186</v>
      </c>
      <c r="CX4036" s="115" t="e">
        <v>#N/A</v>
      </c>
      <c r="CY4036" s="115" t="e">
        <v>#N/A</v>
      </c>
      <c r="CZ4036" s="137" t="e">
        <v>#N/A</v>
      </c>
      <c r="DA4036">
        <v>0.11332468572476186</v>
      </c>
      <c r="DB4036" t="str">
        <v/>
      </c>
    </row>
    <row r="4037" spans="83:106" x14ac:dyDescent="0.2">
      <c r="CE4037"/>
      <c r="CF4037"/>
      <c r="CG4037"/>
      <c r="CH4037"/>
      <c r="CI4037"/>
      <c r="CU4037" s="42">
        <v>4032</v>
      </c>
      <c r="CV4037" s="115">
        <v>4</v>
      </c>
      <c r="CW4037" s="115">
        <v>0.11332468572476186</v>
      </c>
      <c r="CX4037" s="115" t="e">
        <v>#N/A</v>
      </c>
      <c r="CY4037" s="115" t="e">
        <v>#N/A</v>
      </c>
      <c r="CZ4037" s="137" t="e">
        <v>#N/A</v>
      </c>
      <c r="DA4037">
        <v>0.11332468572476186</v>
      </c>
      <c r="DB4037" t="str">
        <v/>
      </c>
    </row>
    <row r="4038" spans="83:106" x14ac:dyDescent="0.2">
      <c r="CE4038"/>
      <c r="CF4038"/>
      <c r="CG4038"/>
      <c r="CH4038"/>
      <c r="CI4038"/>
      <c r="CU4038" s="42">
        <v>4033</v>
      </c>
      <c r="CV4038" s="115">
        <v>4</v>
      </c>
      <c r="CW4038" s="115">
        <v>0.11332468572476186</v>
      </c>
      <c r="CX4038" s="115" t="e">
        <v>#N/A</v>
      </c>
      <c r="CY4038" s="115" t="e">
        <v>#N/A</v>
      </c>
      <c r="CZ4038" s="137" t="e">
        <v>#N/A</v>
      </c>
      <c r="DA4038">
        <v>0.11332468572476186</v>
      </c>
      <c r="DB4038" t="str">
        <v/>
      </c>
    </row>
    <row r="4039" spans="83:106" x14ac:dyDescent="0.2">
      <c r="CE4039"/>
      <c r="CF4039"/>
      <c r="CG4039"/>
      <c r="CH4039"/>
      <c r="CI4039"/>
      <c r="CU4039" s="42">
        <v>4034</v>
      </c>
      <c r="CV4039" s="115">
        <v>4</v>
      </c>
      <c r="CW4039" s="115">
        <v>0.11332468572476186</v>
      </c>
      <c r="CX4039" s="115" t="e">
        <v>#N/A</v>
      </c>
      <c r="CY4039" s="115" t="e">
        <v>#N/A</v>
      </c>
      <c r="CZ4039" s="137" t="e">
        <v>#N/A</v>
      </c>
      <c r="DA4039">
        <v>0.11332468572476186</v>
      </c>
      <c r="DB4039" t="str">
        <v/>
      </c>
    </row>
    <row r="4040" spans="83:106" x14ac:dyDescent="0.2">
      <c r="CE4040"/>
      <c r="CF4040"/>
      <c r="CG4040"/>
      <c r="CH4040"/>
      <c r="CI4040"/>
      <c r="CU4040" s="42">
        <v>4035</v>
      </c>
      <c r="CV4040" s="115">
        <v>4</v>
      </c>
      <c r="CW4040" s="115">
        <v>0.11332468572476186</v>
      </c>
      <c r="CX4040" s="115" t="e">
        <v>#N/A</v>
      </c>
      <c r="CY4040" s="115" t="e">
        <v>#N/A</v>
      </c>
      <c r="CZ4040" s="137" t="e">
        <v>#N/A</v>
      </c>
      <c r="DA4040">
        <v>0.11332468572476186</v>
      </c>
      <c r="DB4040" t="str">
        <v/>
      </c>
    </row>
    <row r="4041" spans="83:106" x14ac:dyDescent="0.2">
      <c r="CE4041"/>
      <c r="CF4041"/>
      <c r="CG4041"/>
      <c r="CH4041"/>
      <c r="CI4041"/>
      <c r="CU4041" s="42">
        <v>4036</v>
      </c>
      <c r="CV4041" s="115">
        <v>4</v>
      </c>
      <c r="CW4041" s="115">
        <v>0.11332468572476186</v>
      </c>
      <c r="CX4041" s="115" t="e">
        <v>#N/A</v>
      </c>
      <c r="CY4041" s="115" t="e">
        <v>#N/A</v>
      </c>
      <c r="CZ4041" s="137" t="e">
        <v>#N/A</v>
      </c>
      <c r="DA4041">
        <v>0.11332468572476186</v>
      </c>
      <c r="DB4041" t="str">
        <v/>
      </c>
    </row>
    <row r="4042" spans="83:106" x14ac:dyDescent="0.2">
      <c r="CE4042"/>
      <c r="CF4042"/>
      <c r="CG4042"/>
      <c r="CH4042"/>
      <c r="CI4042"/>
      <c r="CU4042" s="42">
        <v>4037</v>
      </c>
      <c r="CV4042" s="115">
        <v>4</v>
      </c>
      <c r="CW4042" s="115">
        <v>0.11332468572476186</v>
      </c>
      <c r="CX4042" s="115" t="e">
        <v>#N/A</v>
      </c>
      <c r="CY4042" s="115" t="e">
        <v>#N/A</v>
      </c>
      <c r="CZ4042" s="137" t="e">
        <v>#N/A</v>
      </c>
      <c r="DA4042">
        <v>0.11332468572476186</v>
      </c>
      <c r="DB4042" t="str">
        <v/>
      </c>
    </row>
    <row r="4043" spans="83:106" x14ac:dyDescent="0.2">
      <c r="CE4043"/>
      <c r="CF4043"/>
      <c r="CG4043"/>
      <c r="CH4043"/>
      <c r="CI4043"/>
      <c r="CU4043" s="42">
        <v>4038</v>
      </c>
      <c r="CV4043" s="115">
        <v>4</v>
      </c>
      <c r="CW4043" s="115">
        <v>0.11332468572476186</v>
      </c>
      <c r="CX4043" s="115" t="e">
        <v>#N/A</v>
      </c>
      <c r="CY4043" s="115" t="e">
        <v>#N/A</v>
      </c>
      <c r="CZ4043" s="137" t="e">
        <v>#N/A</v>
      </c>
      <c r="DA4043">
        <v>0.11332468572476186</v>
      </c>
      <c r="DB4043" t="str">
        <v/>
      </c>
    </row>
    <row r="4044" spans="83:106" x14ac:dyDescent="0.2">
      <c r="CE4044"/>
      <c r="CF4044"/>
      <c r="CG4044"/>
      <c r="CH4044"/>
      <c r="CI4044"/>
      <c r="CU4044" s="42">
        <v>4039</v>
      </c>
      <c r="CV4044" s="115">
        <v>4</v>
      </c>
      <c r="CW4044" s="115">
        <v>0.11332468572476186</v>
      </c>
      <c r="CX4044" s="115" t="e">
        <v>#N/A</v>
      </c>
      <c r="CY4044" s="115" t="e">
        <v>#N/A</v>
      </c>
      <c r="CZ4044" s="137" t="e">
        <v>#N/A</v>
      </c>
      <c r="DA4044">
        <v>0.11332468572476186</v>
      </c>
      <c r="DB4044" t="str">
        <v/>
      </c>
    </row>
    <row r="4045" spans="83:106" x14ac:dyDescent="0.2">
      <c r="CE4045"/>
      <c r="CF4045"/>
      <c r="CG4045"/>
      <c r="CH4045"/>
      <c r="CI4045"/>
      <c r="CU4045" s="42">
        <v>4040</v>
      </c>
      <c r="CV4045" s="115">
        <v>4</v>
      </c>
      <c r="CW4045" s="115">
        <v>0.11332468572476186</v>
      </c>
      <c r="CX4045" s="115" t="e">
        <v>#N/A</v>
      </c>
      <c r="CY4045" s="115" t="e">
        <v>#N/A</v>
      </c>
      <c r="CZ4045" s="137" t="e">
        <v>#N/A</v>
      </c>
      <c r="DA4045">
        <v>0.11332468572476186</v>
      </c>
      <c r="DB4045" t="str">
        <v/>
      </c>
    </row>
    <row r="4046" spans="83:106" x14ac:dyDescent="0.2">
      <c r="CE4046"/>
      <c r="CF4046"/>
      <c r="CG4046"/>
      <c r="CH4046"/>
      <c r="CI4046"/>
      <c r="CU4046" s="42">
        <v>4041</v>
      </c>
      <c r="CV4046" s="115">
        <v>4</v>
      </c>
      <c r="CW4046" s="115">
        <v>0.11332468572476186</v>
      </c>
      <c r="CX4046" s="115" t="e">
        <v>#N/A</v>
      </c>
      <c r="CY4046" s="115" t="e">
        <v>#N/A</v>
      </c>
      <c r="CZ4046" s="137" t="e">
        <v>#N/A</v>
      </c>
      <c r="DA4046">
        <v>0.11332468572476186</v>
      </c>
      <c r="DB4046" t="str">
        <v/>
      </c>
    </row>
    <row r="4047" spans="83:106" x14ac:dyDescent="0.2">
      <c r="CE4047"/>
      <c r="CF4047"/>
      <c r="CG4047"/>
      <c r="CH4047"/>
      <c r="CI4047"/>
      <c r="CU4047" s="42">
        <v>4042</v>
      </c>
      <c r="CV4047" s="115">
        <v>4</v>
      </c>
      <c r="CW4047" s="115">
        <v>0.11332468572476186</v>
      </c>
      <c r="CX4047" s="115" t="e">
        <v>#N/A</v>
      </c>
      <c r="CY4047" s="115" t="e">
        <v>#N/A</v>
      </c>
      <c r="CZ4047" s="137" t="e">
        <v>#N/A</v>
      </c>
      <c r="DA4047">
        <v>0.11332468572476186</v>
      </c>
      <c r="DB4047" t="str">
        <v/>
      </c>
    </row>
    <row r="4048" spans="83:106" x14ac:dyDescent="0.2">
      <c r="CE4048"/>
      <c r="CF4048"/>
      <c r="CG4048"/>
      <c r="CH4048"/>
      <c r="CI4048"/>
      <c r="CU4048" s="42">
        <v>4043</v>
      </c>
      <c r="CV4048" s="115">
        <v>4</v>
      </c>
      <c r="CW4048" s="115">
        <v>0.11332468572476186</v>
      </c>
      <c r="CX4048" s="115" t="e">
        <v>#N/A</v>
      </c>
      <c r="CY4048" s="115" t="e">
        <v>#N/A</v>
      </c>
      <c r="CZ4048" s="137" t="e">
        <v>#N/A</v>
      </c>
      <c r="DA4048">
        <v>0.11332468572476186</v>
      </c>
      <c r="DB4048" t="str">
        <v/>
      </c>
    </row>
    <row r="4049" spans="83:106" x14ac:dyDescent="0.2">
      <c r="CE4049"/>
      <c r="CF4049"/>
      <c r="CG4049"/>
      <c r="CH4049"/>
      <c r="CI4049"/>
      <c r="CU4049" s="42">
        <v>4044</v>
      </c>
      <c r="CV4049" s="115">
        <v>4</v>
      </c>
      <c r="CW4049" s="115">
        <v>0.11332468572476186</v>
      </c>
      <c r="CX4049" s="115" t="e">
        <v>#N/A</v>
      </c>
      <c r="CY4049" s="115" t="e">
        <v>#N/A</v>
      </c>
      <c r="CZ4049" s="137" t="e">
        <v>#N/A</v>
      </c>
      <c r="DA4049">
        <v>0.11332468572476186</v>
      </c>
      <c r="DB4049" t="str">
        <v/>
      </c>
    </row>
    <row r="4050" spans="83:106" x14ac:dyDescent="0.2">
      <c r="CE4050"/>
      <c r="CF4050"/>
      <c r="CG4050"/>
      <c r="CH4050"/>
      <c r="CI4050"/>
      <c r="CU4050" s="42">
        <v>4045</v>
      </c>
      <c r="CV4050" s="115">
        <v>4</v>
      </c>
      <c r="CW4050" s="115">
        <v>0.11332468572476186</v>
      </c>
      <c r="CX4050" s="115" t="e">
        <v>#N/A</v>
      </c>
      <c r="CY4050" s="115" t="e">
        <v>#N/A</v>
      </c>
      <c r="CZ4050" s="137" t="e">
        <v>#N/A</v>
      </c>
      <c r="DA4050">
        <v>0.11332468572476186</v>
      </c>
      <c r="DB4050" t="str">
        <v/>
      </c>
    </row>
    <row r="4051" spans="83:106" x14ac:dyDescent="0.2">
      <c r="CE4051"/>
      <c r="CF4051"/>
      <c r="CG4051"/>
      <c r="CH4051"/>
      <c r="CI4051"/>
      <c r="CU4051" s="42">
        <v>4046</v>
      </c>
      <c r="CV4051" s="115">
        <v>4</v>
      </c>
      <c r="CW4051" s="115">
        <v>0.11332468572476186</v>
      </c>
      <c r="CX4051" s="115" t="e">
        <v>#N/A</v>
      </c>
      <c r="CY4051" s="115" t="e">
        <v>#N/A</v>
      </c>
      <c r="CZ4051" s="137" t="e">
        <v>#N/A</v>
      </c>
      <c r="DA4051">
        <v>0.11332468572476186</v>
      </c>
      <c r="DB4051" t="str">
        <v/>
      </c>
    </row>
    <row r="4052" spans="83:106" x14ac:dyDescent="0.2">
      <c r="CE4052"/>
      <c r="CF4052"/>
      <c r="CG4052"/>
      <c r="CH4052"/>
      <c r="CI4052"/>
      <c r="CU4052" s="42">
        <v>4047</v>
      </c>
      <c r="CV4052" s="115">
        <v>4</v>
      </c>
      <c r="CW4052" s="115">
        <v>0.11332468572476186</v>
      </c>
      <c r="CX4052" s="115" t="e">
        <v>#N/A</v>
      </c>
      <c r="CY4052" s="115" t="e">
        <v>#N/A</v>
      </c>
      <c r="CZ4052" s="137" t="e">
        <v>#N/A</v>
      </c>
      <c r="DA4052">
        <v>0.11332468572476186</v>
      </c>
      <c r="DB4052" t="str">
        <v/>
      </c>
    </row>
    <row r="4053" spans="83:106" x14ac:dyDescent="0.2">
      <c r="CE4053"/>
      <c r="CF4053"/>
      <c r="CG4053"/>
      <c r="CH4053"/>
      <c r="CI4053"/>
      <c r="CU4053" s="42">
        <v>4048</v>
      </c>
      <c r="CV4053" s="115">
        <v>4</v>
      </c>
      <c r="CW4053" s="115">
        <v>0.11332468572476186</v>
      </c>
      <c r="CX4053" s="115" t="e">
        <v>#N/A</v>
      </c>
      <c r="CY4053" s="115" t="e">
        <v>#N/A</v>
      </c>
      <c r="CZ4053" s="137" t="e">
        <v>#N/A</v>
      </c>
      <c r="DA4053">
        <v>0.11332468572476186</v>
      </c>
      <c r="DB4053" t="str">
        <v/>
      </c>
    </row>
    <row r="4054" spans="83:106" x14ac:dyDescent="0.2">
      <c r="CE4054"/>
      <c r="CF4054"/>
      <c r="CG4054"/>
      <c r="CH4054"/>
      <c r="CI4054"/>
      <c r="CU4054" s="42">
        <v>4049</v>
      </c>
      <c r="CV4054" s="115">
        <v>4</v>
      </c>
      <c r="CW4054" s="115">
        <v>0.11332468572476186</v>
      </c>
      <c r="CX4054" s="115" t="e">
        <v>#N/A</v>
      </c>
      <c r="CY4054" s="115" t="e">
        <v>#N/A</v>
      </c>
      <c r="CZ4054" s="137" t="e">
        <v>#N/A</v>
      </c>
      <c r="DA4054">
        <v>0.11332468572476186</v>
      </c>
      <c r="DB4054" t="str">
        <v/>
      </c>
    </row>
    <row r="4055" spans="83:106" x14ac:dyDescent="0.2">
      <c r="CE4055"/>
      <c r="CF4055"/>
      <c r="CG4055"/>
      <c r="CH4055"/>
      <c r="CI4055"/>
      <c r="CU4055" s="42">
        <v>4050</v>
      </c>
      <c r="CV4055" s="115">
        <v>4</v>
      </c>
      <c r="CW4055" s="115">
        <v>0.11332468572476186</v>
      </c>
      <c r="CX4055" s="115" t="e">
        <v>#N/A</v>
      </c>
      <c r="CY4055" s="115" t="e">
        <v>#N/A</v>
      </c>
      <c r="CZ4055" s="137" t="e">
        <v>#N/A</v>
      </c>
      <c r="DA4055">
        <v>0.11332468572476186</v>
      </c>
      <c r="DB4055" t="str">
        <v/>
      </c>
    </row>
    <row r="4056" spans="83:106" x14ac:dyDescent="0.2">
      <c r="CE4056"/>
      <c r="CF4056"/>
      <c r="CG4056"/>
      <c r="CH4056"/>
      <c r="CI4056"/>
      <c r="CU4056" s="42">
        <v>4051</v>
      </c>
      <c r="CV4056" s="115">
        <v>4</v>
      </c>
      <c r="CW4056" s="115">
        <v>0.11332468572476186</v>
      </c>
      <c r="CX4056" s="115" t="e">
        <v>#N/A</v>
      </c>
      <c r="CY4056" s="115" t="e">
        <v>#N/A</v>
      </c>
      <c r="CZ4056" s="137" t="e">
        <v>#N/A</v>
      </c>
      <c r="DA4056">
        <v>0.11332468572476186</v>
      </c>
      <c r="DB4056" t="str">
        <v/>
      </c>
    </row>
    <row r="4057" spans="83:106" x14ac:dyDescent="0.2">
      <c r="CE4057"/>
      <c r="CF4057"/>
      <c r="CG4057"/>
      <c r="CH4057"/>
      <c r="CI4057"/>
      <c r="CU4057" s="42">
        <v>4052</v>
      </c>
      <c r="CV4057" s="115">
        <v>4</v>
      </c>
      <c r="CW4057" s="115">
        <v>0.11332468572476186</v>
      </c>
      <c r="CX4057" s="115" t="e">
        <v>#N/A</v>
      </c>
      <c r="CY4057" s="115" t="e">
        <v>#N/A</v>
      </c>
      <c r="CZ4057" s="137" t="e">
        <v>#N/A</v>
      </c>
      <c r="DA4057">
        <v>0.11332468572476186</v>
      </c>
      <c r="DB4057" t="str">
        <v/>
      </c>
    </row>
    <row r="4058" spans="83:106" x14ac:dyDescent="0.2">
      <c r="CE4058"/>
      <c r="CF4058"/>
      <c r="CG4058"/>
      <c r="CH4058"/>
      <c r="CI4058"/>
      <c r="CU4058" s="42">
        <v>4053</v>
      </c>
      <c r="CV4058" s="115">
        <v>4</v>
      </c>
      <c r="CW4058" s="115">
        <v>0.11332468572476186</v>
      </c>
      <c r="CX4058" s="115" t="e">
        <v>#N/A</v>
      </c>
      <c r="CY4058" s="115" t="e">
        <v>#N/A</v>
      </c>
      <c r="CZ4058" s="137" t="e">
        <v>#N/A</v>
      </c>
      <c r="DA4058">
        <v>0.11332468572476186</v>
      </c>
      <c r="DB4058" t="str">
        <v/>
      </c>
    </row>
    <row r="4059" spans="83:106" x14ac:dyDescent="0.2">
      <c r="CE4059"/>
      <c r="CF4059"/>
      <c r="CG4059"/>
      <c r="CH4059"/>
      <c r="CI4059"/>
      <c r="CU4059" s="42">
        <v>4054</v>
      </c>
      <c r="CV4059" s="115">
        <v>4</v>
      </c>
      <c r="CW4059" s="115">
        <v>0.11332468572476186</v>
      </c>
      <c r="CX4059" s="115" t="e">
        <v>#N/A</v>
      </c>
      <c r="CY4059" s="115" t="e">
        <v>#N/A</v>
      </c>
      <c r="CZ4059" s="137" t="e">
        <v>#N/A</v>
      </c>
      <c r="DA4059">
        <v>0.11332468572476186</v>
      </c>
      <c r="DB4059" t="str">
        <v/>
      </c>
    </row>
    <row r="4060" spans="83:106" x14ac:dyDescent="0.2">
      <c r="CE4060"/>
      <c r="CF4060"/>
      <c r="CG4060"/>
      <c r="CH4060"/>
      <c r="CI4060"/>
      <c r="CU4060" s="42">
        <v>4055</v>
      </c>
      <c r="CV4060" s="115">
        <v>4</v>
      </c>
      <c r="CW4060" s="115">
        <v>0.11332468572476186</v>
      </c>
      <c r="CX4060" s="115" t="e">
        <v>#N/A</v>
      </c>
      <c r="CY4060" s="115" t="e">
        <v>#N/A</v>
      </c>
      <c r="CZ4060" s="137" t="e">
        <v>#N/A</v>
      </c>
      <c r="DA4060">
        <v>0.11332468572476186</v>
      </c>
      <c r="DB4060" t="str">
        <v/>
      </c>
    </row>
    <row r="4061" spans="83:106" x14ac:dyDescent="0.2">
      <c r="CE4061"/>
      <c r="CF4061"/>
      <c r="CG4061"/>
      <c r="CH4061"/>
      <c r="CI4061"/>
      <c r="CU4061" s="42">
        <v>4056</v>
      </c>
      <c r="CV4061" s="115">
        <v>4</v>
      </c>
      <c r="CW4061" s="115">
        <v>0.11332468572476186</v>
      </c>
      <c r="CX4061" s="115" t="e">
        <v>#N/A</v>
      </c>
      <c r="CY4061" s="115" t="e">
        <v>#N/A</v>
      </c>
      <c r="CZ4061" s="137" t="e">
        <v>#N/A</v>
      </c>
      <c r="DA4061">
        <v>0.11332468572476186</v>
      </c>
      <c r="DB4061" t="str">
        <v/>
      </c>
    </row>
    <row r="4062" spans="83:106" x14ac:dyDescent="0.2">
      <c r="CE4062"/>
      <c r="CF4062"/>
      <c r="CG4062"/>
      <c r="CH4062"/>
      <c r="CI4062"/>
      <c r="CU4062" s="42">
        <v>4057</v>
      </c>
      <c r="CV4062" s="115">
        <v>4</v>
      </c>
      <c r="CW4062" s="115">
        <v>0.11332468572476186</v>
      </c>
      <c r="CX4062" s="115" t="e">
        <v>#N/A</v>
      </c>
      <c r="CY4062" s="115" t="e">
        <v>#N/A</v>
      </c>
      <c r="CZ4062" s="137" t="e">
        <v>#N/A</v>
      </c>
      <c r="DA4062">
        <v>0.11332468572476186</v>
      </c>
      <c r="DB4062" t="str">
        <v/>
      </c>
    </row>
    <row r="4063" spans="83:106" x14ac:dyDescent="0.2">
      <c r="CE4063"/>
      <c r="CF4063"/>
      <c r="CG4063"/>
      <c r="CH4063"/>
      <c r="CI4063"/>
      <c r="CU4063" s="42">
        <v>4058</v>
      </c>
      <c r="CV4063" s="115">
        <v>4</v>
      </c>
      <c r="CW4063" s="115">
        <v>0.11332468572476186</v>
      </c>
      <c r="CX4063" s="115" t="e">
        <v>#N/A</v>
      </c>
      <c r="CY4063" s="115" t="e">
        <v>#N/A</v>
      </c>
      <c r="CZ4063" s="137" t="e">
        <v>#N/A</v>
      </c>
      <c r="DA4063">
        <v>0.11332468572476186</v>
      </c>
      <c r="DB4063" t="str">
        <v/>
      </c>
    </row>
    <row r="4064" spans="83:106" x14ac:dyDescent="0.2">
      <c r="CE4064"/>
      <c r="CF4064"/>
      <c r="CG4064"/>
      <c r="CH4064"/>
      <c r="CI4064"/>
      <c r="CU4064" s="42">
        <v>4059</v>
      </c>
      <c r="CV4064" s="115">
        <v>4</v>
      </c>
      <c r="CW4064" s="115">
        <v>0.11332468572476186</v>
      </c>
      <c r="CX4064" s="115" t="e">
        <v>#N/A</v>
      </c>
      <c r="CY4064" s="115" t="e">
        <v>#N/A</v>
      </c>
      <c r="CZ4064" s="137" t="e">
        <v>#N/A</v>
      </c>
      <c r="DA4064">
        <v>0.11332468572476186</v>
      </c>
      <c r="DB4064" t="str">
        <v/>
      </c>
    </row>
    <row r="4065" spans="83:106" x14ac:dyDescent="0.2">
      <c r="CE4065"/>
      <c r="CF4065"/>
      <c r="CG4065"/>
      <c r="CH4065"/>
      <c r="CI4065"/>
      <c r="CU4065" s="42">
        <v>4060</v>
      </c>
      <c r="CV4065" s="115">
        <v>4</v>
      </c>
      <c r="CW4065" s="115">
        <v>0.11332468572476186</v>
      </c>
      <c r="CX4065" s="115" t="e">
        <v>#N/A</v>
      </c>
      <c r="CY4065" s="115" t="e">
        <v>#N/A</v>
      </c>
      <c r="CZ4065" s="137" t="e">
        <v>#N/A</v>
      </c>
      <c r="DA4065">
        <v>0.11332468572476186</v>
      </c>
      <c r="DB4065" t="str">
        <v/>
      </c>
    </row>
    <row r="4066" spans="83:106" x14ac:dyDescent="0.2">
      <c r="CE4066"/>
      <c r="CF4066"/>
      <c r="CG4066"/>
      <c r="CH4066"/>
      <c r="CI4066"/>
      <c r="CU4066" s="42">
        <v>4061</v>
      </c>
      <c r="CV4066" s="115">
        <v>4</v>
      </c>
      <c r="CW4066" s="115">
        <v>0.11332468572476186</v>
      </c>
      <c r="CX4066" s="115" t="e">
        <v>#N/A</v>
      </c>
      <c r="CY4066" s="115" t="e">
        <v>#N/A</v>
      </c>
      <c r="CZ4066" s="137" t="e">
        <v>#N/A</v>
      </c>
      <c r="DA4066">
        <v>0.11332468572476186</v>
      </c>
      <c r="DB4066" t="str">
        <v/>
      </c>
    </row>
    <row r="4067" spans="83:106" x14ac:dyDescent="0.2">
      <c r="CE4067"/>
      <c r="CF4067"/>
      <c r="CG4067"/>
      <c r="CH4067"/>
      <c r="CI4067"/>
      <c r="CU4067" s="42">
        <v>4062</v>
      </c>
      <c r="CV4067" s="115">
        <v>4</v>
      </c>
      <c r="CW4067" s="115">
        <v>0.11332468572476186</v>
      </c>
      <c r="CX4067" s="115" t="e">
        <v>#N/A</v>
      </c>
      <c r="CY4067" s="115" t="e">
        <v>#N/A</v>
      </c>
      <c r="CZ4067" s="137" t="e">
        <v>#N/A</v>
      </c>
      <c r="DA4067">
        <v>0.11332468572476186</v>
      </c>
      <c r="DB4067" t="str">
        <v/>
      </c>
    </row>
    <row r="4068" spans="83:106" x14ac:dyDescent="0.2">
      <c r="CE4068"/>
      <c r="CF4068"/>
      <c r="CG4068"/>
      <c r="CH4068"/>
      <c r="CI4068"/>
      <c r="CU4068" s="42">
        <v>4063</v>
      </c>
      <c r="CV4068" s="115">
        <v>4</v>
      </c>
      <c r="CW4068" s="115">
        <v>0.11332468572476186</v>
      </c>
      <c r="CX4068" s="115" t="e">
        <v>#N/A</v>
      </c>
      <c r="CY4068" s="115" t="e">
        <v>#N/A</v>
      </c>
      <c r="CZ4068" s="137" t="e">
        <v>#N/A</v>
      </c>
      <c r="DA4068">
        <v>0.11332468572476186</v>
      </c>
      <c r="DB4068" t="str">
        <v/>
      </c>
    </row>
    <row r="4069" spans="83:106" x14ac:dyDescent="0.2">
      <c r="CE4069"/>
      <c r="CF4069"/>
      <c r="CG4069"/>
      <c r="CH4069"/>
      <c r="CI4069"/>
      <c r="CU4069" s="42">
        <v>4064</v>
      </c>
      <c r="CV4069" s="115">
        <v>4</v>
      </c>
      <c r="CW4069" s="115">
        <v>0.11332468572476186</v>
      </c>
      <c r="CX4069" s="115" t="e">
        <v>#N/A</v>
      </c>
      <c r="CY4069" s="115" t="e">
        <v>#N/A</v>
      </c>
      <c r="CZ4069" s="137" t="e">
        <v>#N/A</v>
      </c>
      <c r="DA4069">
        <v>0.11332468572476186</v>
      </c>
      <c r="DB4069" t="str">
        <v/>
      </c>
    </row>
    <row r="4070" spans="83:106" x14ac:dyDescent="0.2">
      <c r="CE4070"/>
      <c r="CF4070"/>
      <c r="CG4070"/>
      <c r="CH4070"/>
      <c r="CI4070"/>
      <c r="CU4070" s="42">
        <v>4065</v>
      </c>
      <c r="CV4070" s="115">
        <v>4</v>
      </c>
      <c r="CW4070" s="115">
        <v>0.11332468572476186</v>
      </c>
      <c r="CX4070" s="115" t="e">
        <v>#N/A</v>
      </c>
      <c r="CY4070" s="115" t="e">
        <v>#N/A</v>
      </c>
      <c r="CZ4070" s="137" t="e">
        <v>#N/A</v>
      </c>
      <c r="DA4070">
        <v>0.11332468572476186</v>
      </c>
      <c r="DB4070" t="str">
        <v/>
      </c>
    </row>
    <row r="4071" spans="83:106" x14ac:dyDescent="0.2">
      <c r="CE4071"/>
      <c r="CF4071"/>
      <c r="CG4071"/>
      <c r="CH4071"/>
      <c r="CI4071"/>
      <c r="CU4071" s="42">
        <v>4066</v>
      </c>
      <c r="CV4071" s="115">
        <v>4</v>
      </c>
      <c r="CW4071" s="115">
        <v>0.11332468572476186</v>
      </c>
      <c r="CX4071" s="115" t="e">
        <v>#N/A</v>
      </c>
      <c r="CY4071" s="115" t="e">
        <v>#N/A</v>
      </c>
      <c r="CZ4071" s="137" t="e">
        <v>#N/A</v>
      </c>
      <c r="DA4071">
        <v>0.11332468572476186</v>
      </c>
      <c r="DB4071" t="str">
        <v/>
      </c>
    </row>
    <row r="4072" spans="83:106" x14ac:dyDescent="0.2">
      <c r="CE4072"/>
      <c r="CF4072"/>
      <c r="CG4072"/>
      <c r="CH4072"/>
      <c r="CI4072"/>
      <c r="CU4072" s="42">
        <v>4067</v>
      </c>
      <c r="CV4072" s="115">
        <v>4</v>
      </c>
      <c r="CW4072" s="115">
        <v>0.11332468572476186</v>
      </c>
      <c r="CX4072" s="115" t="e">
        <v>#N/A</v>
      </c>
      <c r="CY4072" s="115" t="e">
        <v>#N/A</v>
      </c>
      <c r="CZ4072" s="137" t="e">
        <v>#N/A</v>
      </c>
      <c r="DA4072">
        <v>0.11332468572476186</v>
      </c>
      <c r="DB4072" t="str">
        <v/>
      </c>
    </row>
    <row r="4073" spans="83:106" x14ac:dyDescent="0.2">
      <c r="CE4073"/>
      <c r="CF4073"/>
      <c r="CG4073"/>
      <c r="CH4073"/>
      <c r="CI4073"/>
      <c r="CU4073" s="42">
        <v>4068</v>
      </c>
      <c r="CV4073" s="115">
        <v>4</v>
      </c>
      <c r="CW4073" s="115">
        <v>0.11332468572476186</v>
      </c>
      <c r="CX4073" s="115" t="e">
        <v>#N/A</v>
      </c>
      <c r="CY4073" s="115" t="e">
        <v>#N/A</v>
      </c>
      <c r="CZ4073" s="137" t="e">
        <v>#N/A</v>
      </c>
      <c r="DA4073">
        <v>0.11332468572476186</v>
      </c>
      <c r="DB4073" t="str">
        <v/>
      </c>
    </row>
    <row r="4074" spans="83:106" x14ac:dyDescent="0.2">
      <c r="CE4074"/>
      <c r="CF4074"/>
      <c r="CG4074"/>
      <c r="CH4074"/>
      <c r="CI4074"/>
      <c r="CU4074" s="42">
        <v>4069</v>
      </c>
      <c r="CV4074" s="115">
        <v>4</v>
      </c>
      <c r="CW4074" s="115">
        <v>0.11332468572476186</v>
      </c>
      <c r="CX4074" s="115" t="e">
        <v>#N/A</v>
      </c>
      <c r="CY4074" s="115" t="e">
        <v>#N/A</v>
      </c>
      <c r="CZ4074" s="137" t="e">
        <v>#N/A</v>
      </c>
      <c r="DA4074">
        <v>0.11332468572476186</v>
      </c>
      <c r="DB4074" t="str">
        <v/>
      </c>
    </row>
    <row r="4075" spans="83:106" x14ac:dyDescent="0.2">
      <c r="CE4075"/>
      <c r="CF4075"/>
      <c r="CG4075"/>
      <c r="CH4075"/>
      <c r="CI4075"/>
      <c r="CU4075" s="42">
        <v>4070</v>
      </c>
      <c r="CV4075" s="115">
        <v>4</v>
      </c>
      <c r="CW4075" s="115">
        <v>0.11332468572476186</v>
      </c>
      <c r="CX4075" s="115" t="e">
        <v>#N/A</v>
      </c>
      <c r="CY4075" s="115" t="e">
        <v>#N/A</v>
      </c>
      <c r="CZ4075" s="137" t="e">
        <v>#N/A</v>
      </c>
      <c r="DA4075">
        <v>0.11332468572476186</v>
      </c>
      <c r="DB4075" t="str">
        <v/>
      </c>
    </row>
    <row r="4076" spans="83:106" x14ac:dyDescent="0.2">
      <c r="CE4076"/>
      <c r="CF4076"/>
      <c r="CG4076"/>
      <c r="CH4076"/>
      <c r="CI4076"/>
      <c r="CU4076" s="42">
        <v>4071</v>
      </c>
      <c r="CV4076" s="115">
        <v>4</v>
      </c>
      <c r="CW4076" s="115">
        <v>0.11332468572476186</v>
      </c>
      <c r="CX4076" s="115" t="e">
        <v>#N/A</v>
      </c>
      <c r="CY4076" s="115" t="e">
        <v>#N/A</v>
      </c>
      <c r="CZ4076" s="137" t="e">
        <v>#N/A</v>
      </c>
      <c r="DA4076">
        <v>0.11332468572476186</v>
      </c>
      <c r="DB4076" t="str">
        <v/>
      </c>
    </row>
    <row r="4077" spans="83:106" x14ac:dyDescent="0.2">
      <c r="CE4077"/>
      <c r="CF4077"/>
      <c r="CG4077"/>
      <c r="CH4077"/>
      <c r="CI4077"/>
      <c r="CU4077" s="42">
        <v>4072</v>
      </c>
      <c r="CV4077" s="115">
        <v>4</v>
      </c>
      <c r="CW4077" s="115">
        <v>0.11332468572476186</v>
      </c>
      <c r="CX4077" s="115" t="e">
        <v>#N/A</v>
      </c>
      <c r="CY4077" s="115" t="e">
        <v>#N/A</v>
      </c>
      <c r="CZ4077" s="137" t="e">
        <v>#N/A</v>
      </c>
      <c r="DA4077">
        <v>0.11332468572476186</v>
      </c>
      <c r="DB4077" t="str">
        <v/>
      </c>
    </row>
    <row r="4078" spans="83:106" x14ac:dyDescent="0.2">
      <c r="CE4078"/>
      <c r="CF4078"/>
      <c r="CG4078"/>
      <c r="CH4078"/>
      <c r="CI4078"/>
      <c r="CU4078" s="42">
        <v>4073</v>
      </c>
      <c r="CV4078" s="115">
        <v>4</v>
      </c>
      <c r="CW4078" s="115">
        <v>0.11332468572476186</v>
      </c>
      <c r="CX4078" s="115" t="e">
        <v>#N/A</v>
      </c>
      <c r="CY4078" s="115" t="e">
        <v>#N/A</v>
      </c>
      <c r="CZ4078" s="137" t="e">
        <v>#N/A</v>
      </c>
      <c r="DA4078">
        <v>0.11332468572476186</v>
      </c>
      <c r="DB4078" t="str">
        <v/>
      </c>
    </row>
    <row r="4079" spans="83:106" x14ac:dyDescent="0.2">
      <c r="CE4079"/>
      <c r="CF4079"/>
      <c r="CG4079"/>
      <c r="CH4079"/>
      <c r="CI4079"/>
      <c r="CU4079" s="42">
        <v>4074</v>
      </c>
      <c r="CV4079" s="115">
        <v>4</v>
      </c>
      <c r="CW4079" s="115">
        <v>0.11332468572476186</v>
      </c>
      <c r="CX4079" s="115" t="e">
        <v>#N/A</v>
      </c>
      <c r="CY4079" s="115" t="e">
        <v>#N/A</v>
      </c>
      <c r="CZ4079" s="137" t="e">
        <v>#N/A</v>
      </c>
      <c r="DA4079">
        <v>0.11332468572476186</v>
      </c>
      <c r="DB4079" t="str">
        <v/>
      </c>
    </row>
    <row r="4080" spans="83:106" x14ac:dyDescent="0.2">
      <c r="CE4080"/>
      <c r="CF4080"/>
      <c r="CG4080"/>
      <c r="CH4080"/>
      <c r="CI4080"/>
      <c r="CU4080" s="42">
        <v>4075</v>
      </c>
      <c r="CV4080" s="115">
        <v>4</v>
      </c>
      <c r="CW4080" s="115">
        <v>0.11332468572476186</v>
      </c>
      <c r="CX4080" s="115" t="e">
        <v>#N/A</v>
      </c>
      <c r="CY4080" s="115" t="e">
        <v>#N/A</v>
      </c>
      <c r="CZ4080" s="137" t="e">
        <v>#N/A</v>
      </c>
      <c r="DA4080">
        <v>0.11332468572476186</v>
      </c>
      <c r="DB4080" t="str">
        <v/>
      </c>
    </row>
    <row r="4081" spans="83:106" x14ac:dyDescent="0.2">
      <c r="CE4081"/>
      <c r="CF4081"/>
      <c r="CG4081"/>
      <c r="CH4081"/>
      <c r="CI4081"/>
      <c r="CU4081" s="42">
        <v>4076</v>
      </c>
      <c r="CV4081" s="115">
        <v>4</v>
      </c>
      <c r="CW4081" s="115">
        <v>0.11332468572476186</v>
      </c>
      <c r="CX4081" s="115" t="e">
        <v>#N/A</v>
      </c>
      <c r="CY4081" s="115" t="e">
        <v>#N/A</v>
      </c>
      <c r="CZ4081" s="137" t="e">
        <v>#N/A</v>
      </c>
      <c r="DA4081">
        <v>0.11332468572476186</v>
      </c>
      <c r="DB4081" t="str">
        <v/>
      </c>
    </row>
    <row r="4082" spans="83:106" x14ac:dyDescent="0.2">
      <c r="CE4082"/>
      <c r="CF4082"/>
      <c r="CG4082"/>
      <c r="CH4082"/>
      <c r="CI4082"/>
      <c r="CU4082" s="42">
        <v>4077</v>
      </c>
      <c r="CV4082" s="115">
        <v>4</v>
      </c>
      <c r="CW4082" s="115">
        <v>0.11332468572476186</v>
      </c>
      <c r="CX4082" s="115" t="e">
        <v>#N/A</v>
      </c>
      <c r="CY4082" s="115" t="e">
        <v>#N/A</v>
      </c>
      <c r="CZ4082" s="137" t="e">
        <v>#N/A</v>
      </c>
      <c r="DA4082">
        <v>0.11332468572476186</v>
      </c>
      <c r="DB4082" t="str">
        <v/>
      </c>
    </row>
    <row r="4083" spans="83:106" x14ac:dyDescent="0.2">
      <c r="CE4083"/>
      <c r="CF4083"/>
      <c r="CG4083"/>
      <c r="CH4083"/>
      <c r="CI4083"/>
      <c r="CU4083" s="42">
        <v>4078</v>
      </c>
      <c r="CV4083" s="115">
        <v>4</v>
      </c>
      <c r="CW4083" s="115">
        <v>0.11332468572476186</v>
      </c>
      <c r="CX4083" s="115" t="e">
        <v>#N/A</v>
      </c>
      <c r="CY4083" s="115" t="e">
        <v>#N/A</v>
      </c>
      <c r="CZ4083" s="137" t="e">
        <v>#N/A</v>
      </c>
      <c r="DA4083">
        <v>0.11332468572476186</v>
      </c>
      <c r="DB4083" t="str">
        <v/>
      </c>
    </row>
    <row r="4084" spans="83:106" x14ac:dyDescent="0.2">
      <c r="CE4084"/>
      <c r="CF4084"/>
      <c r="CG4084"/>
      <c r="CH4084"/>
      <c r="CI4084"/>
      <c r="CU4084" s="42">
        <v>4079</v>
      </c>
      <c r="CV4084" s="115">
        <v>4</v>
      </c>
      <c r="CW4084" s="115">
        <v>0.11332468572476186</v>
      </c>
      <c r="CX4084" s="115" t="e">
        <v>#N/A</v>
      </c>
      <c r="CY4084" s="115" t="e">
        <v>#N/A</v>
      </c>
      <c r="CZ4084" s="137" t="e">
        <v>#N/A</v>
      </c>
      <c r="DA4084">
        <v>0.11332468572476186</v>
      </c>
      <c r="DB4084" t="str">
        <v/>
      </c>
    </row>
    <row r="4085" spans="83:106" x14ac:dyDescent="0.2">
      <c r="CE4085"/>
      <c r="CF4085"/>
      <c r="CG4085"/>
      <c r="CH4085"/>
      <c r="CI4085"/>
      <c r="CU4085" s="42">
        <v>4080</v>
      </c>
      <c r="CV4085" s="115">
        <v>4</v>
      </c>
      <c r="CW4085" s="115">
        <v>0.11332468572476186</v>
      </c>
      <c r="CX4085" s="115" t="e">
        <v>#N/A</v>
      </c>
      <c r="CY4085" s="115" t="e">
        <v>#N/A</v>
      </c>
      <c r="CZ4085" s="137" t="e">
        <v>#N/A</v>
      </c>
      <c r="DA4085">
        <v>0.11332468572476186</v>
      </c>
      <c r="DB4085" t="str">
        <v/>
      </c>
    </row>
    <row r="4086" spans="83:106" x14ac:dyDescent="0.2">
      <c r="CE4086"/>
      <c r="CF4086"/>
      <c r="CG4086"/>
      <c r="CH4086"/>
      <c r="CI4086"/>
      <c r="CU4086" s="42">
        <v>4081</v>
      </c>
      <c r="CV4086" s="115">
        <v>4</v>
      </c>
      <c r="CW4086" s="115">
        <v>0.11332468572476186</v>
      </c>
      <c r="CX4086" s="115" t="e">
        <v>#N/A</v>
      </c>
      <c r="CY4086" s="115" t="e">
        <v>#N/A</v>
      </c>
      <c r="CZ4086" s="137" t="e">
        <v>#N/A</v>
      </c>
      <c r="DA4086">
        <v>0.11332468572476186</v>
      </c>
      <c r="DB4086" t="str">
        <v/>
      </c>
    </row>
    <row r="4087" spans="83:106" x14ac:dyDescent="0.2">
      <c r="CE4087"/>
      <c r="CF4087"/>
      <c r="CG4087"/>
      <c r="CH4087"/>
      <c r="CI4087"/>
      <c r="CU4087" s="42">
        <v>4082</v>
      </c>
      <c r="CV4087" s="115">
        <v>4</v>
      </c>
      <c r="CW4087" s="115">
        <v>0.11332468572476186</v>
      </c>
      <c r="CX4087" s="115" t="e">
        <v>#N/A</v>
      </c>
      <c r="CY4087" s="115" t="e">
        <v>#N/A</v>
      </c>
      <c r="CZ4087" s="137" t="e">
        <v>#N/A</v>
      </c>
      <c r="DA4087">
        <v>0.11332468572476186</v>
      </c>
      <c r="DB4087" t="str">
        <v/>
      </c>
    </row>
    <row r="4088" spans="83:106" x14ac:dyDescent="0.2">
      <c r="CE4088"/>
      <c r="CF4088"/>
      <c r="CG4088"/>
      <c r="CH4088"/>
      <c r="CI4088"/>
      <c r="CU4088" s="42">
        <v>4083</v>
      </c>
      <c r="CV4088" s="115">
        <v>4</v>
      </c>
      <c r="CW4088" s="115">
        <v>0.11332468572476186</v>
      </c>
      <c r="CX4088" s="115" t="e">
        <v>#N/A</v>
      </c>
      <c r="CY4088" s="115" t="e">
        <v>#N/A</v>
      </c>
      <c r="CZ4088" s="137" t="e">
        <v>#N/A</v>
      </c>
      <c r="DA4088">
        <v>0.11332468572476186</v>
      </c>
      <c r="DB4088" t="str">
        <v/>
      </c>
    </row>
    <row r="4089" spans="83:106" x14ac:dyDescent="0.2">
      <c r="CE4089"/>
      <c r="CF4089"/>
      <c r="CG4089"/>
      <c r="CH4089"/>
      <c r="CI4089"/>
      <c r="CU4089" s="42">
        <v>4084</v>
      </c>
      <c r="CV4089" s="115">
        <v>4</v>
      </c>
      <c r="CW4089" s="115">
        <v>0.11332468572476186</v>
      </c>
      <c r="CX4089" s="115" t="e">
        <v>#N/A</v>
      </c>
      <c r="CY4089" s="115" t="e">
        <v>#N/A</v>
      </c>
      <c r="CZ4089" s="137" t="e">
        <v>#N/A</v>
      </c>
      <c r="DA4089">
        <v>0.11332468572476186</v>
      </c>
      <c r="DB4089" t="str">
        <v/>
      </c>
    </row>
    <row r="4090" spans="83:106" x14ac:dyDescent="0.2">
      <c r="CE4090"/>
      <c r="CF4090"/>
      <c r="CG4090"/>
      <c r="CH4090"/>
      <c r="CI4090"/>
      <c r="CU4090" s="42">
        <v>4085</v>
      </c>
      <c r="CV4090" s="115">
        <v>4</v>
      </c>
      <c r="CW4090" s="115">
        <v>0.11332468572476186</v>
      </c>
      <c r="CX4090" s="115" t="e">
        <v>#N/A</v>
      </c>
      <c r="CY4090" s="115" t="e">
        <v>#N/A</v>
      </c>
      <c r="CZ4090" s="137" t="e">
        <v>#N/A</v>
      </c>
      <c r="DA4090">
        <v>0.11332468572476186</v>
      </c>
      <c r="DB4090" t="str">
        <v/>
      </c>
    </row>
    <row r="4091" spans="83:106" x14ac:dyDescent="0.2">
      <c r="CE4091"/>
      <c r="CF4091"/>
      <c r="CG4091"/>
      <c r="CH4091"/>
      <c r="CI4091"/>
      <c r="CU4091" s="42">
        <v>4086</v>
      </c>
      <c r="CV4091" s="115">
        <v>4</v>
      </c>
      <c r="CW4091" s="115">
        <v>0.11332468572476186</v>
      </c>
      <c r="CX4091" s="115" t="e">
        <v>#N/A</v>
      </c>
      <c r="CY4091" s="115" t="e">
        <v>#N/A</v>
      </c>
      <c r="CZ4091" s="137" t="e">
        <v>#N/A</v>
      </c>
      <c r="DA4091">
        <v>0.11332468572476186</v>
      </c>
      <c r="DB4091" t="str">
        <v/>
      </c>
    </row>
    <row r="4092" spans="83:106" x14ac:dyDescent="0.2">
      <c r="CE4092"/>
      <c r="CF4092"/>
      <c r="CG4092"/>
      <c r="CH4092"/>
      <c r="CI4092"/>
      <c r="CU4092" s="42">
        <v>4087</v>
      </c>
      <c r="CV4092" s="115">
        <v>4</v>
      </c>
      <c r="CW4092" s="115">
        <v>0.11332468572476186</v>
      </c>
      <c r="CX4092" s="115" t="e">
        <v>#N/A</v>
      </c>
      <c r="CY4092" s="115" t="e">
        <v>#N/A</v>
      </c>
      <c r="CZ4092" s="137" t="e">
        <v>#N/A</v>
      </c>
      <c r="DA4092">
        <v>0.11332468572476186</v>
      </c>
      <c r="DB4092" t="str">
        <v/>
      </c>
    </row>
    <row r="4093" spans="83:106" x14ac:dyDescent="0.2">
      <c r="CE4093"/>
      <c r="CF4093"/>
      <c r="CG4093"/>
      <c r="CH4093"/>
      <c r="CI4093"/>
      <c r="CU4093" s="42">
        <v>4088</v>
      </c>
      <c r="CV4093" s="115">
        <v>4</v>
      </c>
      <c r="CW4093" s="115">
        <v>0.11332468572476186</v>
      </c>
      <c r="CX4093" s="115" t="e">
        <v>#N/A</v>
      </c>
      <c r="CY4093" s="115" t="e">
        <v>#N/A</v>
      </c>
      <c r="CZ4093" s="137" t="e">
        <v>#N/A</v>
      </c>
      <c r="DA4093">
        <v>0.11332468572476186</v>
      </c>
      <c r="DB4093" t="str">
        <v/>
      </c>
    </row>
    <row r="4094" spans="83:106" x14ac:dyDescent="0.2">
      <c r="CE4094"/>
      <c r="CF4094"/>
      <c r="CG4094"/>
      <c r="CH4094"/>
      <c r="CI4094"/>
      <c r="CU4094" s="42">
        <v>4089</v>
      </c>
      <c r="CV4094" s="115">
        <v>4</v>
      </c>
      <c r="CW4094" s="115">
        <v>0.11332468572476186</v>
      </c>
      <c r="CX4094" s="115" t="e">
        <v>#N/A</v>
      </c>
      <c r="CY4094" s="115" t="e">
        <v>#N/A</v>
      </c>
      <c r="CZ4094" s="137" t="e">
        <v>#N/A</v>
      </c>
      <c r="DA4094">
        <v>0.11332468572476186</v>
      </c>
      <c r="DB4094" t="str">
        <v/>
      </c>
    </row>
    <row r="4095" spans="83:106" x14ac:dyDescent="0.2">
      <c r="CE4095"/>
      <c r="CF4095"/>
      <c r="CG4095"/>
      <c r="CH4095"/>
      <c r="CI4095"/>
      <c r="CU4095" s="42">
        <v>4090</v>
      </c>
      <c r="CV4095" s="115">
        <v>4</v>
      </c>
      <c r="CW4095" s="115">
        <v>0.11332468572476186</v>
      </c>
      <c r="CX4095" s="115" t="e">
        <v>#N/A</v>
      </c>
      <c r="CY4095" s="115" t="e">
        <v>#N/A</v>
      </c>
      <c r="CZ4095" s="137" t="e">
        <v>#N/A</v>
      </c>
      <c r="DA4095">
        <v>0.11332468572476186</v>
      </c>
      <c r="DB4095" t="str">
        <v/>
      </c>
    </row>
    <row r="4096" spans="83:106" x14ac:dyDescent="0.2">
      <c r="CE4096"/>
      <c r="CF4096"/>
      <c r="CG4096"/>
      <c r="CH4096"/>
      <c r="CI4096"/>
      <c r="CU4096" s="42">
        <v>4091</v>
      </c>
      <c r="CV4096" s="115">
        <v>4</v>
      </c>
      <c r="CW4096" s="115">
        <v>0.11332468572476186</v>
      </c>
      <c r="CX4096" s="115" t="e">
        <v>#N/A</v>
      </c>
      <c r="CY4096" s="115" t="e">
        <v>#N/A</v>
      </c>
      <c r="CZ4096" s="137" t="e">
        <v>#N/A</v>
      </c>
      <c r="DA4096">
        <v>0.11332468572476186</v>
      </c>
      <c r="DB4096" t="str">
        <v/>
      </c>
    </row>
    <row r="4097" spans="83:106" x14ac:dyDescent="0.2">
      <c r="CE4097"/>
      <c r="CF4097"/>
      <c r="CG4097"/>
      <c r="CH4097"/>
      <c r="CI4097"/>
      <c r="CU4097" s="42">
        <v>4092</v>
      </c>
      <c r="CV4097" s="115">
        <v>4</v>
      </c>
      <c r="CW4097" s="115">
        <v>0.11332468572476186</v>
      </c>
      <c r="CX4097" s="115" t="e">
        <v>#N/A</v>
      </c>
      <c r="CY4097" s="115" t="e">
        <v>#N/A</v>
      </c>
      <c r="CZ4097" s="137" t="e">
        <v>#N/A</v>
      </c>
      <c r="DA4097">
        <v>0.11332468572476186</v>
      </c>
      <c r="DB4097" t="str">
        <v/>
      </c>
    </row>
    <row r="4098" spans="83:106" x14ac:dyDescent="0.2">
      <c r="CE4098"/>
      <c r="CF4098"/>
      <c r="CG4098"/>
      <c r="CH4098"/>
      <c r="CI4098"/>
      <c r="CU4098" s="42">
        <v>4093</v>
      </c>
      <c r="CV4098" s="115">
        <v>4</v>
      </c>
      <c r="CW4098" s="115">
        <v>0.11332468572476186</v>
      </c>
      <c r="CX4098" s="115" t="e">
        <v>#N/A</v>
      </c>
      <c r="CY4098" s="115" t="e">
        <v>#N/A</v>
      </c>
      <c r="CZ4098" s="137" t="e">
        <v>#N/A</v>
      </c>
      <c r="DA4098">
        <v>0.11332468572476186</v>
      </c>
      <c r="DB4098" t="str">
        <v/>
      </c>
    </row>
    <row r="4099" spans="83:106" x14ac:dyDescent="0.2">
      <c r="CE4099"/>
      <c r="CF4099"/>
      <c r="CG4099"/>
      <c r="CH4099"/>
      <c r="CI4099"/>
      <c r="CU4099" s="42">
        <v>4094</v>
      </c>
      <c r="CV4099" s="115">
        <v>4</v>
      </c>
      <c r="CW4099" s="115">
        <v>0.11332468572476186</v>
      </c>
      <c r="CX4099" s="115" t="e">
        <v>#N/A</v>
      </c>
      <c r="CY4099" s="115" t="e">
        <v>#N/A</v>
      </c>
      <c r="CZ4099" s="137" t="e">
        <v>#N/A</v>
      </c>
      <c r="DA4099">
        <v>0.11332468572476186</v>
      </c>
      <c r="DB4099" t="str">
        <v/>
      </c>
    </row>
    <row r="4100" spans="83:106" x14ac:dyDescent="0.2">
      <c r="CE4100"/>
      <c r="CF4100"/>
      <c r="CG4100"/>
      <c r="CH4100"/>
      <c r="CI4100"/>
      <c r="CU4100" s="42">
        <v>4095</v>
      </c>
      <c r="CV4100" s="115">
        <v>4</v>
      </c>
      <c r="CW4100" s="115">
        <v>0.11332468572476186</v>
      </c>
      <c r="CX4100" s="115" t="e">
        <v>#N/A</v>
      </c>
      <c r="CY4100" s="115" t="e">
        <v>#N/A</v>
      </c>
      <c r="CZ4100" s="137" t="e">
        <v>#N/A</v>
      </c>
      <c r="DA4100">
        <v>0.11332468572476186</v>
      </c>
      <c r="DB4100" t="str">
        <v/>
      </c>
    </row>
    <row r="4101" spans="83:106" x14ac:dyDescent="0.2">
      <c r="CE4101"/>
      <c r="CF4101"/>
      <c r="CG4101"/>
      <c r="CH4101"/>
      <c r="CI4101"/>
      <c r="CU4101" s="42">
        <v>4096</v>
      </c>
      <c r="CV4101" s="115">
        <v>4</v>
      </c>
      <c r="CW4101" s="115">
        <v>0.11332468572476186</v>
      </c>
      <c r="CX4101" s="115" t="e">
        <v>#N/A</v>
      </c>
      <c r="CY4101" s="115" t="e">
        <v>#N/A</v>
      </c>
      <c r="CZ4101" s="137" t="e">
        <v>#N/A</v>
      </c>
      <c r="DA4101">
        <v>0.11332468572476186</v>
      </c>
      <c r="DB4101" t="str">
        <v/>
      </c>
    </row>
    <row r="4102" spans="83:106" x14ac:dyDescent="0.2">
      <c r="CE4102"/>
      <c r="CF4102"/>
      <c r="CG4102"/>
      <c r="CH4102"/>
      <c r="CI4102"/>
      <c r="CU4102" s="42">
        <v>4097</v>
      </c>
      <c r="CV4102" s="115">
        <v>4</v>
      </c>
      <c r="CW4102" s="115">
        <v>0.11332468572476186</v>
      </c>
      <c r="CX4102" s="115" t="e">
        <v>#N/A</v>
      </c>
      <c r="CY4102" s="115" t="e">
        <v>#N/A</v>
      </c>
      <c r="CZ4102" s="137" t="e">
        <v>#N/A</v>
      </c>
      <c r="DA4102">
        <v>0.11332468572476186</v>
      </c>
      <c r="DB4102" t="str">
        <v/>
      </c>
    </row>
    <row r="4103" spans="83:106" x14ac:dyDescent="0.2">
      <c r="CE4103"/>
      <c r="CF4103"/>
      <c r="CG4103"/>
      <c r="CH4103"/>
      <c r="CI4103"/>
      <c r="CU4103" s="42">
        <v>4098</v>
      </c>
      <c r="CV4103" s="115">
        <v>4</v>
      </c>
      <c r="CW4103" s="115">
        <v>0.11332468572476186</v>
      </c>
      <c r="CX4103" s="115" t="e">
        <v>#N/A</v>
      </c>
      <c r="CY4103" s="115" t="e">
        <v>#N/A</v>
      </c>
      <c r="CZ4103" s="137" t="e">
        <v>#N/A</v>
      </c>
      <c r="DA4103">
        <v>0.11332468572476186</v>
      </c>
      <c r="DB4103" t="str">
        <v/>
      </c>
    </row>
    <row r="4104" spans="83:106" x14ac:dyDescent="0.2">
      <c r="CE4104"/>
      <c r="CF4104"/>
      <c r="CG4104"/>
      <c r="CH4104"/>
      <c r="CI4104"/>
      <c r="CU4104" s="42">
        <v>4099</v>
      </c>
      <c r="CV4104" s="115">
        <v>4</v>
      </c>
      <c r="CW4104" s="115">
        <v>0.11332468572476186</v>
      </c>
      <c r="CX4104" s="115" t="e">
        <v>#N/A</v>
      </c>
      <c r="CY4104" s="115" t="e">
        <v>#N/A</v>
      </c>
      <c r="CZ4104" s="137" t="e">
        <v>#N/A</v>
      </c>
      <c r="DA4104">
        <v>0.11332468572476186</v>
      </c>
      <c r="DB4104" t="str">
        <v/>
      </c>
    </row>
    <row r="4105" spans="83:106" x14ac:dyDescent="0.2">
      <c r="CE4105"/>
      <c r="CF4105"/>
      <c r="CG4105"/>
      <c r="CH4105"/>
      <c r="CI4105"/>
      <c r="CU4105" s="42">
        <v>4100</v>
      </c>
      <c r="CV4105" s="115">
        <v>4</v>
      </c>
      <c r="CW4105" s="115">
        <v>0.11332468572476186</v>
      </c>
      <c r="CX4105" s="115" t="e">
        <v>#N/A</v>
      </c>
      <c r="CY4105" s="115" t="e">
        <v>#N/A</v>
      </c>
      <c r="CZ4105" s="137" t="e">
        <v>#N/A</v>
      </c>
      <c r="DA4105">
        <v>0.11332468572476186</v>
      </c>
      <c r="DB4105" t="str">
        <v/>
      </c>
    </row>
    <row r="4106" spans="83:106" x14ac:dyDescent="0.2">
      <c r="CE4106"/>
      <c r="CF4106"/>
      <c r="CG4106"/>
      <c r="CH4106"/>
      <c r="CI4106"/>
      <c r="CU4106" s="42">
        <v>4101</v>
      </c>
      <c r="CV4106" s="115">
        <v>4</v>
      </c>
      <c r="CW4106" s="115">
        <v>0.11332468572476186</v>
      </c>
      <c r="CX4106" s="115" t="e">
        <v>#N/A</v>
      </c>
      <c r="CY4106" s="115" t="e">
        <v>#N/A</v>
      </c>
      <c r="CZ4106" s="137" t="e">
        <v>#N/A</v>
      </c>
      <c r="DA4106">
        <v>0.11332468572476186</v>
      </c>
      <c r="DB4106" t="str">
        <v/>
      </c>
    </row>
    <row r="4107" spans="83:106" x14ac:dyDescent="0.2">
      <c r="CE4107"/>
      <c r="CF4107"/>
      <c r="CG4107"/>
      <c r="CH4107"/>
      <c r="CI4107"/>
      <c r="CU4107" s="42">
        <v>4102</v>
      </c>
      <c r="CV4107" s="115">
        <v>4</v>
      </c>
      <c r="CW4107" s="115">
        <v>0.11332468572476186</v>
      </c>
      <c r="CX4107" s="115" t="e">
        <v>#N/A</v>
      </c>
      <c r="CY4107" s="115" t="e">
        <v>#N/A</v>
      </c>
      <c r="CZ4107" s="137" t="e">
        <v>#N/A</v>
      </c>
      <c r="DA4107">
        <v>0.11332468572476186</v>
      </c>
      <c r="DB4107" t="str">
        <v/>
      </c>
    </row>
    <row r="4108" spans="83:106" x14ac:dyDescent="0.2">
      <c r="CE4108"/>
      <c r="CF4108"/>
      <c r="CG4108"/>
      <c r="CH4108"/>
      <c r="CI4108"/>
      <c r="CU4108" s="42">
        <v>4103</v>
      </c>
      <c r="CV4108" s="115">
        <v>4</v>
      </c>
      <c r="CW4108" s="115">
        <v>0.11332468572476186</v>
      </c>
      <c r="CX4108" s="115" t="e">
        <v>#N/A</v>
      </c>
      <c r="CY4108" s="115" t="e">
        <v>#N/A</v>
      </c>
      <c r="CZ4108" s="137" t="e">
        <v>#N/A</v>
      </c>
      <c r="DA4108">
        <v>0.11332468572476186</v>
      </c>
      <c r="DB4108" t="str">
        <v/>
      </c>
    </row>
    <row r="4109" spans="83:106" x14ac:dyDescent="0.2">
      <c r="CE4109"/>
      <c r="CF4109"/>
      <c r="CG4109"/>
      <c r="CH4109"/>
      <c r="CI4109"/>
      <c r="CU4109" s="42">
        <v>4104</v>
      </c>
      <c r="CV4109" s="115">
        <v>4</v>
      </c>
      <c r="CW4109" s="115">
        <v>0.11332468572476186</v>
      </c>
      <c r="CX4109" s="115" t="e">
        <v>#N/A</v>
      </c>
      <c r="CY4109" s="115" t="e">
        <v>#N/A</v>
      </c>
      <c r="CZ4109" s="137" t="e">
        <v>#N/A</v>
      </c>
      <c r="DA4109">
        <v>0.11332468572476186</v>
      </c>
      <c r="DB4109" t="str">
        <v/>
      </c>
    </row>
    <row r="4110" spans="83:106" x14ac:dyDescent="0.2">
      <c r="CE4110"/>
      <c r="CF4110"/>
      <c r="CG4110"/>
      <c r="CH4110"/>
      <c r="CI4110"/>
      <c r="CU4110" s="42">
        <v>4105</v>
      </c>
      <c r="CV4110" s="115">
        <v>4</v>
      </c>
      <c r="CW4110" s="115">
        <v>0.11332468572476186</v>
      </c>
      <c r="CX4110" s="115" t="e">
        <v>#N/A</v>
      </c>
      <c r="CY4110" s="115" t="e">
        <v>#N/A</v>
      </c>
      <c r="CZ4110" s="137" t="e">
        <v>#N/A</v>
      </c>
      <c r="DA4110">
        <v>0.11332468572476186</v>
      </c>
      <c r="DB4110" t="str">
        <v/>
      </c>
    </row>
    <row r="4111" spans="83:106" x14ac:dyDescent="0.2">
      <c r="CE4111"/>
      <c r="CF4111"/>
      <c r="CG4111"/>
      <c r="CH4111"/>
      <c r="CI4111"/>
      <c r="CU4111" s="42">
        <v>4106</v>
      </c>
      <c r="CV4111" s="115">
        <v>4</v>
      </c>
      <c r="CW4111" s="115">
        <v>0.11332468572476186</v>
      </c>
      <c r="CX4111" s="115" t="e">
        <v>#N/A</v>
      </c>
      <c r="CY4111" s="115" t="e">
        <v>#N/A</v>
      </c>
      <c r="CZ4111" s="137" t="e">
        <v>#N/A</v>
      </c>
      <c r="DA4111">
        <v>0.11332468572476186</v>
      </c>
      <c r="DB4111" t="str">
        <v/>
      </c>
    </row>
    <row r="4112" spans="83:106" x14ac:dyDescent="0.2">
      <c r="CE4112"/>
      <c r="CF4112"/>
      <c r="CG4112"/>
      <c r="CH4112"/>
      <c r="CI4112"/>
      <c r="CU4112" s="42">
        <v>4107</v>
      </c>
      <c r="CV4112" s="115">
        <v>4</v>
      </c>
      <c r="CW4112" s="115">
        <v>0.11332468572476186</v>
      </c>
      <c r="CX4112" s="115" t="e">
        <v>#N/A</v>
      </c>
      <c r="CY4112" s="115" t="e">
        <v>#N/A</v>
      </c>
      <c r="CZ4112" s="137" t="e">
        <v>#N/A</v>
      </c>
      <c r="DA4112">
        <v>0.11332468572476186</v>
      </c>
      <c r="DB4112" t="str">
        <v/>
      </c>
    </row>
    <row r="4113" spans="83:106" x14ac:dyDescent="0.2">
      <c r="CE4113"/>
      <c r="CF4113"/>
      <c r="CG4113"/>
      <c r="CH4113"/>
      <c r="CI4113"/>
      <c r="CU4113" s="42">
        <v>4108</v>
      </c>
      <c r="CV4113" s="115">
        <v>4</v>
      </c>
      <c r="CW4113" s="115">
        <v>0.11332468572476186</v>
      </c>
      <c r="CX4113" s="115" t="e">
        <v>#N/A</v>
      </c>
      <c r="CY4113" s="115" t="e">
        <v>#N/A</v>
      </c>
      <c r="CZ4113" s="137" t="e">
        <v>#N/A</v>
      </c>
      <c r="DA4113">
        <v>0.11332468572476186</v>
      </c>
      <c r="DB4113" t="str">
        <v/>
      </c>
    </row>
    <row r="4114" spans="83:106" x14ac:dyDescent="0.2">
      <c r="CE4114"/>
      <c r="CF4114"/>
      <c r="CG4114"/>
      <c r="CH4114"/>
      <c r="CI4114"/>
      <c r="CU4114" s="42">
        <v>4109</v>
      </c>
      <c r="CV4114" s="115">
        <v>4</v>
      </c>
      <c r="CW4114" s="115">
        <v>0.11332468572476186</v>
      </c>
      <c r="CX4114" s="115" t="e">
        <v>#N/A</v>
      </c>
      <c r="CY4114" s="115" t="e">
        <v>#N/A</v>
      </c>
      <c r="CZ4114" s="137" t="e">
        <v>#N/A</v>
      </c>
      <c r="DA4114">
        <v>0.11332468572476186</v>
      </c>
      <c r="DB4114" t="str">
        <v/>
      </c>
    </row>
    <row r="4115" spans="83:106" x14ac:dyDescent="0.2">
      <c r="CE4115"/>
      <c r="CF4115"/>
      <c r="CG4115"/>
      <c r="CH4115"/>
      <c r="CI4115"/>
      <c r="CU4115" s="42">
        <v>4110</v>
      </c>
      <c r="CV4115" s="115">
        <v>4</v>
      </c>
      <c r="CW4115" s="115">
        <v>0.11332468572476186</v>
      </c>
      <c r="CX4115" s="115" t="e">
        <v>#N/A</v>
      </c>
      <c r="CY4115" s="115" t="e">
        <v>#N/A</v>
      </c>
      <c r="CZ4115" s="137" t="e">
        <v>#N/A</v>
      </c>
      <c r="DA4115">
        <v>0.11332468572476186</v>
      </c>
      <c r="DB4115" t="str">
        <v/>
      </c>
    </row>
    <row r="4116" spans="83:106" x14ac:dyDescent="0.2">
      <c r="CE4116"/>
      <c r="CF4116"/>
      <c r="CG4116"/>
      <c r="CH4116"/>
      <c r="CI4116"/>
      <c r="CU4116" s="42">
        <v>4111</v>
      </c>
      <c r="CV4116" s="115">
        <v>4</v>
      </c>
      <c r="CW4116" s="115">
        <v>0.11332468572476186</v>
      </c>
      <c r="CX4116" s="115" t="e">
        <v>#N/A</v>
      </c>
      <c r="CY4116" s="115" t="e">
        <v>#N/A</v>
      </c>
      <c r="CZ4116" s="137" t="e">
        <v>#N/A</v>
      </c>
      <c r="DA4116">
        <v>0.11332468572476186</v>
      </c>
      <c r="DB4116" t="str">
        <v/>
      </c>
    </row>
    <row r="4117" spans="83:106" x14ac:dyDescent="0.2">
      <c r="CE4117"/>
      <c r="CF4117"/>
      <c r="CG4117"/>
      <c r="CH4117"/>
      <c r="CI4117"/>
      <c r="CU4117" s="42">
        <v>4112</v>
      </c>
      <c r="CV4117" s="115">
        <v>4</v>
      </c>
      <c r="CW4117" s="115">
        <v>0.11332468572476186</v>
      </c>
      <c r="CX4117" s="115" t="e">
        <v>#N/A</v>
      </c>
      <c r="CY4117" s="115" t="e">
        <v>#N/A</v>
      </c>
      <c r="CZ4117" s="137" t="e">
        <v>#N/A</v>
      </c>
      <c r="DA4117">
        <v>0.11332468572476186</v>
      </c>
      <c r="DB4117" t="str">
        <v/>
      </c>
    </row>
    <row r="4118" spans="83:106" x14ac:dyDescent="0.2">
      <c r="CE4118"/>
      <c r="CF4118"/>
      <c r="CG4118"/>
      <c r="CH4118"/>
      <c r="CI4118"/>
      <c r="CU4118" s="42">
        <v>4113</v>
      </c>
      <c r="CV4118" s="115">
        <v>4</v>
      </c>
      <c r="CW4118" s="115">
        <v>0.11332468572476186</v>
      </c>
      <c r="CX4118" s="115" t="e">
        <v>#N/A</v>
      </c>
      <c r="CY4118" s="115" t="e">
        <v>#N/A</v>
      </c>
      <c r="CZ4118" s="137" t="e">
        <v>#N/A</v>
      </c>
      <c r="DA4118">
        <v>0.11332468572476186</v>
      </c>
      <c r="DB4118" t="str">
        <v/>
      </c>
    </row>
    <row r="4119" spans="83:106" x14ac:dyDescent="0.2">
      <c r="CE4119"/>
      <c r="CF4119"/>
      <c r="CG4119"/>
      <c r="CH4119"/>
      <c r="CI4119"/>
      <c r="CU4119" s="42">
        <v>4114</v>
      </c>
      <c r="CV4119" s="115">
        <v>4</v>
      </c>
      <c r="CW4119" s="115">
        <v>0.11332468572476186</v>
      </c>
      <c r="CX4119" s="115" t="e">
        <v>#N/A</v>
      </c>
      <c r="CY4119" s="115" t="e">
        <v>#N/A</v>
      </c>
      <c r="CZ4119" s="137" t="e">
        <v>#N/A</v>
      </c>
      <c r="DA4119">
        <v>0.11332468572476186</v>
      </c>
      <c r="DB4119" t="str">
        <v/>
      </c>
    </row>
    <row r="4120" spans="83:106" x14ac:dyDescent="0.2">
      <c r="CE4120"/>
      <c r="CF4120"/>
      <c r="CG4120"/>
      <c r="CH4120"/>
      <c r="CI4120"/>
      <c r="CU4120" s="42">
        <v>4115</v>
      </c>
      <c r="CV4120" s="115">
        <v>4</v>
      </c>
      <c r="CW4120" s="115">
        <v>0.11332468572476186</v>
      </c>
      <c r="CX4120" s="115" t="e">
        <v>#N/A</v>
      </c>
      <c r="CY4120" s="115" t="e">
        <v>#N/A</v>
      </c>
      <c r="CZ4120" s="137" t="e">
        <v>#N/A</v>
      </c>
      <c r="DA4120">
        <v>0.11332468572476186</v>
      </c>
      <c r="DB4120" t="str">
        <v/>
      </c>
    </row>
    <row r="4121" spans="83:106" x14ac:dyDescent="0.2">
      <c r="CE4121"/>
      <c r="CF4121"/>
      <c r="CG4121"/>
      <c r="CH4121"/>
      <c r="CI4121"/>
      <c r="CU4121" s="42">
        <v>4116</v>
      </c>
      <c r="CV4121" s="115">
        <v>4</v>
      </c>
      <c r="CW4121" s="115">
        <v>0.11332468572476186</v>
      </c>
      <c r="CX4121" s="115" t="e">
        <v>#N/A</v>
      </c>
      <c r="CY4121" s="115" t="e">
        <v>#N/A</v>
      </c>
      <c r="CZ4121" s="137" t="e">
        <v>#N/A</v>
      </c>
      <c r="DA4121">
        <v>0.11332468572476186</v>
      </c>
      <c r="DB4121" t="str">
        <v/>
      </c>
    </row>
    <row r="4122" spans="83:106" x14ac:dyDescent="0.2">
      <c r="CE4122"/>
      <c r="CF4122"/>
      <c r="CG4122"/>
      <c r="CH4122"/>
      <c r="CI4122"/>
      <c r="CU4122" s="42">
        <v>4117</v>
      </c>
      <c r="CV4122" s="115">
        <v>4</v>
      </c>
      <c r="CW4122" s="115">
        <v>0.11332468572476186</v>
      </c>
      <c r="CX4122" s="115" t="e">
        <v>#N/A</v>
      </c>
      <c r="CY4122" s="115" t="e">
        <v>#N/A</v>
      </c>
      <c r="CZ4122" s="137" t="e">
        <v>#N/A</v>
      </c>
      <c r="DA4122">
        <v>0.11332468572476186</v>
      </c>
      <c r="DB4122" t="str">
        <v/>
      </c>
    </row>
    <row r="4123" spans="83:106" x14ac:dyDescent="0.2">
      <c r="CE4123"/>
      <c r="CF4123"/>
      <c r="CG4123"/>
      <c r="CH4123"/>
      <c r="CI4123"/>
      <c r="CU4123" s="42">
        <v>4118</v>
      </c>
      <c r="CV4123" s="115">
        <v>4</v>
      </c>
      <c r="CW4123" s="115">
        <v>0.11332468572476186</v>
      </c>
      <c r="CX4123" s="115" t="e">
        <v>#N/A</v>
      </c>
      <c r="CY4123" s="115" t="e">
        <v>#N/A</v>
      </c>
      <c r="CZ4123" s="137" t="e">
        <v>#N/A</v>
      </c>
      <c r="DA4123">
        <v>0.11332468572476186</v>
      </c>
      <c r="DB4123" t="str">
        <v/>
      </c>
    </row>
    <row r="4124" spans="83:106" x14ac:dyDescent="0.2">
      <c r="CE4124"/>
      <c r="CF4124"/>
      <c r="CG4124"/>
      <c r="CH4124"/>
      <c r="CI4124"/>
      <c r="CU4124" s="42">
        <v>4119</v>
      </c>
      <c r="CV4124" s="115">
        <v>4</v>
      </c>
      <c r="CW4124" s="115">
        <v>0.11332468572476186</v>
      </c>
      <c r="CX4124" s="115" t="e">
        <v>#N/A</v>
      </c>
      <c r="CY4124" s="115" t="e">
        <v>#N/A</v>
      </c>
      <c r="CZ4124" s="137" t="e">
        <v>#N/A</v>
      </c>
      <c r="DA4124">
        <v>0.11332468572476186</v>
      </c>
      <c r="DB4124" t="str">
        <v/>
      </c>
    </row>
    <row r="4125" spans="83:106" x14ac:dyDescent="0.2">
      <c r="CE4125"/>
      <c r="CF4125"/>
      <c r="CG4125"/>
      <c r="CH4125"/>
      <c r="CI4125"/>
      <c r="CU4125" s="42">
        <v>4120</v>
      </c>
      <c r="CV4125" s="115">
        <v>4</v>
      </c>
      <c r="CW4125" s="115">
        <v>0.11332468572476186</v>
      </c>
      <c r="CX4125" s="115" t="e">
        <v>#N/A</v>
      </c>
      <c r="CY4125" s="115" t="e">
        <v>#N/A</v>
      </c>
      <c r="CZ4125" s="137" t="e">
        <v>#N/A</v>
      </c>
      <c r="DA4125">
        <v>0.11332468572476186</v>
      </c>
      <c r="DB4125" t="str">
        <v/>
      </c>
    </row>
    <row r="4126" spans="83:106" x14ac:dyDescent="0.2">
      <c r="CE4126"/>
      <c r="CF4126"/>
      <c r="CG4126"/>
      <c r="CH4126"/>
      <c r="CI4126"/>
      <c r="CU4126" s="42">
        <v>4121</v>
      </c>
      <c r="CV4126" s="115">
        <v>4</v>
      </c>
      <c r="CW4126" s="115">
        <v>0.11332468572476186</v>
      </c>
      <c r="CX4126" s="115" t="e">
        <v>#N/A</v>
      </c>
      <c r="CY4126" s="115" t="e">
        <v>#N/A</v>
      </c>
      <c r="CZ4126" s="137" t="e">
        <v>#N/A</v>
      </c>
      <c r="DA4126">
        <v>0.11332468572476186</v>
      </c>
      <c r="DB4126" t="str">
        <v/>
      </c>
    </row>
    <row r="4127" spans="83:106" x14ac:dyDescent="0.2">
      <c r="CE4127"/>
      <c r="CF4127"/>
      <c r="CG4127"/>
      <c r="CH4127"/>
      <c r="CI4127"/>
      <c r="CU4127" s="42">
        <v>4122</v>
      </c>
      <c r="CV4127" s="115">
        <v>4</v>
      </c>
      <c r="CW4127" s="115">
        <v>0.11332468572476186</v>
      </c>
      <c r="CX4127" s="115" t="e">
        <v>#N/A</v>
      </c>
      <c r="CY4127" s="115" t="e">
        <v>#N/A</v>
      </c>
      <c r="CZ4127" s="137" t="e">
        <v>#N/A</v>
      </c>
      <c r="DA4127">
        <v>0.11332468572476186</v>
      </c>
      <c r="DB4127" t="str">
        <v/>
      </c>
    </row>
    <row r="4128" spans="83:106" x14ac:dyDescent="0.2">
      <c r="CE4128"/>
      <c r="CF4128"/>
      <c r="CG4128"/>
      <c r="CH4128"/>
      <c r="CI4128"/>
      <c r="CU4128" s="42">
        <v>4123</v>
      </c>
      <c r="CV4128" s="115">
        <v>4</v>
      </c>
      <c r="CW4128" s="115">
        <v>0.11332468572476186</v>
      </c>
      <c r="CX4128" s="115" t="e">
        <v>#N/A</v>
      </c>
      <c r="CY4128" s="115" t="e">
        <v>#N/A</v>
      </c>
      <c r="CZ4128" s="137" t="e">
        <v>#N/A</v>
      </c>
      <c r="DA4128">
        <v>0.11332468572476186</v>
      </c>
      <c r="DB4128" t="str">
        <v/>
      </c>
    </row>
    <row r="4129" spans="83:106" x14ac:dyDescent="0.2">
      <c r="CE4129"/>
      <c r="CF4129"/>
      <c r="CG4129"/>
      <c r="CH4129"/>
      <c r="CI4129"/>
      <c r="CU4129" s="42">
        <v>4124</v>
      </c>
      <c r="CV4129" s="115">
        <v>4</v>
      </c>
      <c r="CW4129" s="115">
        <v>0.11332468572476186</v>
      </c>
      <c r="CX4129" s="115" t="e">
        <v>#N/A</v>
      </c>
      <c r="CY4129" s="115" t="e">
        <v>#N/A</v>
      </c>
      <c r="CZ4129" s="137" t="e">
        <v>#N/A</v>
      </c>
      <c r="DA4129">
        <v>0.11332468572476186</v>
      </c>
      <c r="DB4129" t="str">
        <v/>
      </c>
    </row>
    <row r="4130" spans="83:106" x14ac:dyDescent="0.2">
      <c r="CE4130"/>
      <c r="CF4130"/>
      <c r="CG4130"/>
      <c r="CH4130"/>
      <c r="CI4130"/>
      <c r="CU4130" s="42">
        <v>4125</v>
      </c>
      <c r="CV4130" s="115">
        <v>4</v>
      </c>
      <c r="CW4130" s="115">
        <v>0.11332468572476186</v>
      </c>
      <c r="CX4130" s="115" t="e">
        <v>#N/A</v>
      </c>
      <c r="CY4130" s="115" t="e">
        <v>#N/A</v>
      </c>
      <c r="CZ4130" s="137" t="e">
        <v>#N/A</v>
      </c>
      <c r="DA4130">
        <v>0.11332468572476186</v>
      </c>
      <c r="DB4130" t="str">
        <v/>
      </c>
    </row>
    <row r="4131" spans="83:106" x14ac:dyDescent="0.2">
      <c r="CE4131"/>
      <c r="CF4131"/>
      <c r="CG4131"/>
      <c r="CH4131"/>
      <c r="CI4131"/>
      <c r="CU4131" s="42">
        <v>4126</v>
      </c>
      <c r="CV4131" s="115">
        <v>4</v>
      </c>
      <c r="CW4131" s="115">
        <v>0.11332468572476186</v>
      </c>
      <c r="CX4131" s="115" t="e">
        <v>#N/A</v>
      </c>
      <c r="CY4131" s="115" t="e">
        <v>#N/A</v>
      </c>
      <c r="CZ4131" s="137" t="e">
        <v>#N/A</v>
      </c>
      <c r="DA4131">
        <v>0.11332468572476186</v>
      </c>
      <c r="DB4131" t="str">
        <v/>
      </c>
    </row>
    <row r="4132" spans="83:106" x14ac:dyDescent="0.2">
      <c r="CE4132"/>
      <c r="CF4132"/>
      <c r="CG4132"/>
      <c r="CH4132"/>
      <c r="CI4132"/>
      <c r="CU4132" s="42">
        <v>4127</v>
      </c>
      <c r="CV4132" s="115">
        <v>4</v>
      </c>
      <c r="CW4132" s="115">
        <v>0.11332468572476186</v>
      </c>
      <c r="CX4132" s="115" t="e">
        <v>#N/A</v>
      </c>
      <c r="CY4132" s="115" t="e">
        <v>#N/A</v>
      </c>
      <c r="CZ4132" s="137" t="e">
        <v>#N/A</v>
      </c>
      <c r="DA4132">
        <v>0.11332468572476186</v>
      </c>
      <c r="DB4132" t="str">
        <v/>
      </c>
    </row>
    <row r="4133" spans="83:106" x14ac:dyDescent="0.2">
      <c r="CE4133"/>
      <c r="CF4133"/>
      <c r="CG4133"/>
      <c r="CH4133"/>
      <c r="CI4133"/>
      <c r="CU4133" s="42">
        <v>4128</v>
      </c>
      <c r="CV4133" s="115">
        <v>4</v>
      </c>
      <c r="CW4133" s="115">
        <v>0.11332468572476186</v>
      </c>
      <c r="CX4133" s="115" t="e">
        <v>#N/A</v>
      </c>
      <c r="CY4133" s="115" t="e">
        <v>#N/A</v>
      </c>
      <c r="CZ4133" s="137" t="e">
        <v>#N/A</v>
      </c>
      <c r="DA4133">
        <v>0.11332468572476186</v>
      </c>
      <c r="DB4133" t="str">
        <v/>
      </c>
    </row>
    <row r="4134" spans="83:106" x14ac:dyDescent="0.2">
      <c r="CE4134"/>
      <c r="CF4134"/>
      <c r="CG4134"/>
      <c r="CH4134"/>
      <c r="CI4134"/>
      <c r="CU4134" s="42">
        <v>4129</v>
      </c>
      <c r="CV4134" s="115">
        <v>4</v>
      </c>
      <c r="CW4134" s="115">
        <v>0.11332468572476186</v>
      </c>
      <c r="CX4134" s="115" t="e">
        <v>#N/A</v>
      </c>
      <c r="CY4134" s="115" t="e">
        <v>#N/A</v>
      </c>
      <c r="CZ4134" s="137" t="e">
        <v>#N/A</v>
      </c>
      <c r="DA4134">
        <v>0.11332468572476186</v>
      </c>
      <c r="DB4134" t="str">
        <v/>
      </c>
    </row>
    <row r="4135" spans="83:106" x14ac:dyDescent="0.2">
      <c r="CE4135"/>
      <c r="CF4135"/>
      <c r="CG4135"/>
      <c r="CH4135"/>
      <c r="CI4135"/>
      <c r="CU4135" s="42">
        <v>4130</v>
      </c>
      <c r="CV4135" s="115">
        <v>4</v>
      </c>
      <c r="CW4135" s="115">
        <v>0.11332468572476186</v>
      </c>
      <c r="CX4135" s="115" t="e">
        <v>#N/A</v>
      </c>
      <c r="CY4135" s="115" t="e">
        <v>#N/A</v>
      </c>
      <c r="CZ4135" s="137" t="e">
        <v>#N/A</v>
      </c>
      <c r="DA4135">
        <v>0.11332468572476186</v>
      </c>
      <c r="DB4135" t="str">
        <v/>
      </c>
    </row>
    <row r="4136" spans="83:106" x14ac:dyDescent="0.2">
      <c r="CE4136"/>
      <c r="CF4136"/>
      <c r="CG4136"/>
      <c r="CH4136"/>
      <c r="CI4136"/>
      <c r="CU4136" s="42">
        <v>4131</v>
      </c>
      <c r="CV4136" s="115">
        <v>4</v>
      </c>
      <c r="CW4136" s="115">
        <v>0.11332468572476186</v>
      </c>
      <c r="CX4136" s="115" t="e">
        <v>#N/A</v>
      </c>
      <c r="CY4136" s="115" t="e">
        <v>#N/A</v>
      </c>
      <c r="CZ4136" s="137" t="e">
        <v>#N/A</v>
      </c>
      <c r="DA4136">
        <v>0.11332468572476186</v>
      </c>
      <c r="DB4136" t="str">
        <v/>
      </c>
    </row>
    <row r="4137" spans="83:106" x14ac:dyDescent="0.2">
      <c r="CE4137"/>
      <c r="CF4137"/>
      <c r="CG4137"/>
      <c r="CH4137"/>
      <c r="CI4137"/>
      <c r="CU4137" s="42">
        <v>4132</v>
      </c>
      <c r="CV4137" s="115">
        <v>4</v>
      </c>
      <c r="CW4137" s="115">
        <v>0.11332468572476186</v>
      </c>
      <c r="CX4137" s="115" t="e">
        <v>#N/A</v>
      </c>
      <c r="CY4137" s="115" t="e">
        <v>#N/A</v>
      </c>
      <c r="CZ4137" s="137" t="e">
        <v>#N/A</v>
      </c>
      <c r="DA4137">
        <v>0.11332468572476186</v>
      </c>
      <c r="DB4137" t="str">
        <v/>
      </c>
    </row>
    <row r="4138" spans="83:106" x14ac:dyDescent="0.2">
      <c r="CE4138"/>
      <c r="CF4138"/>
      <c r="CG4138"/>
      <c r="CH4138"/>
      <c r="CI4138"/>
      <c r="CU4138" s="42">
        <v>4133</v>
      </c>
      <c r="CV4138" s="115">
        <v>4</v>
      </c>
      <c r="CW4138" s="115">
        <v>0.11332468572476186</v>
      </c>
      <c r="CX4138" s="115" t="e">
        <v>#N/A</v>
      </c>
      <c r="CY4138" s="115" t="e">
        <v>#N/A</v>
      </c>
      <c r="CZ4138" s="137" t="e">
        <v>#N/A</v>
      </c>
      <c r="DA4138">
        <v>0.11332468572476186</v>
      </c>
      <c r="DB4138" t="str">
        <v/>
      </c>
    </row>
    <row r="4139" spans="83:106" x14ac:dyDescent="0.2">
      <c r="CE4139"/>
      <c r="CF4139"/>
      <c r="CG4139"/>
      <c r="CH4139"/>
      <c r="CI4139"/>
      <c r="CU4139" s="42">
        <v>4134</v>
      </c>
      <c r="CV4139" s="115">
        <v>4</v>
      </c>
      <c r="CW4139" s="115">
        <v>0.11332468572476186</v>
      </c>
      <c r="CX4139" s="115" t="e">
        <v>#N/A</v>
      </c>
      <c r="CY4139" s="115" t="e">
        <v>#N/A</v>
      </c>
      <c r="CZ4139" s="137" t="e">
        <v>#N/A</v>
      </c>
      <c r="DA4139">
        <v>0.11332468572476186</v>
      </c>
      <c r="DB4139" t="str">
        <v/>
      </c>
    </row>
    <row r="4140" spans="83:106" x14ac:dyDescent="0.2">
      <c r="CE4140"/>
      <c r="CF4140"/>
      <c r="CG4140"/>
      <c r="CH4140"/>
      <c r="CI4140"/>
      <c r="CU4140" s="42">
        <v>4135</v>
      </c>
      <c r="CV4140" s="115">
        <v>4</v>
      </c>
      <c r="CW4140" s="115">
        <v>0.11332468572476186</v>
      </c>
      <c r="CX4140" s="115" t="e">
        <v>#N/A</v>
      </c>
      <c r="CY4140" s="115" t="e">
        <v>#N/A</v>
      </c>
      <c r="CZ4140" s="137" t="e">
        <v>#N/A</v>
      </c>
      <c r="DA4140">
        <v>0.11332468572476186</v>
      </c>
      <c r="DB4140" t="str">
        <v/>
      </c>
    </row>
    <row r="4141" spans="83:106" x14ac:dyDescent="0.2">
      <c r="CE4141"/>
      <c r="CF4141"/>
      <c r="CG4141"/>
      <c r="CH4141"/>
      <c r="CI4141"/>
      <c r="CU4141" s="42">
        <v>4136</v>
      </c>
      <c r="CV4141" s="115">
        <v>4</v>
      </c>
      <c r="CW4141" s="115">
        <v>0.11332468572476186</v>
      </c>
      <c r="CX4141" s="115" t="e">
        <v>#N/A</v>
      </c>
      <c r="CY4141" s="115" t="e">
        <v>#N/A</v>
      </c>
      <c r="CZ4141" s="137" t="e">
        <v>#N/A</v>
      </c>
      <c r="DA4141">
        <v>0.11332468572476186</v>
      </c>
      <c r="DB4141" t="str">
        <v/>
      </c>
    </row>
    <row r="4142" spans="83:106" x14ac:dyDescent="0.2">
      <c r="CE4142"/>
      <c r="CF4142"/>
      <c r="CG4142"/>
      <c r="CH4142"/>
      <c r="CI4142"/>
      <c r="CU4142" s="42">
        <v>4137</v>
      </c>
      <c r="CV4142" s="115">
        <v>4</v>
      </c>
      <c r="CW4142" s="115">
        <v>0.11332468572476186</v>
      </c>
      <c r="CX4142" s="115" t="e">
        <v>#N/A</v>
      </c>
      <c r="CY4142" s="115" t="e">
        <v>#N/A</v>
      </c>
      <c r="CZ4142" s="137" t="e">
        <v>#N/A</v>
      </c>
      <c r="DA4142">
        <v>0.11332468572476186</v>
      </c>
      <c r="DB4142" t="str">
        <v/>
      </c>
    </row>
    <row r="4143" spans="83:106" x14ac:dyDescent="0.2">
      <c r="CE4143"/>
      <c r="CF4143"/>
      <c r="CG4143"/>
      <c r="CH4143"/>
      <c r="CI4143"/>
      <c r="CU4143" s="42">
        <v>4138</v>
      </c>
      <c r="CV4143" s="115">
        <v>4</v>
      </c>
      <c r="CW4143" s="115">
        <v>0.11332468572476186</v>
      </c>
      <c r="CX4143" s="115" t="e">
        <v>#N/A</v>
      </c>
      <c r="CY4143" s="115" t="e">
        <v>#N/A</v>
      </c>
      <c r="CZ4143" s="137" t="e">
        <v>#N/A</v>
      </c>
      <c r="DA4143">
        <v>0.11332468572476186</v>
      </c>
      <c r="DB4143" t="str">
        <v/>
      </c>
    </row>
    <row r="4144" spans="83:106" x14ac:dyDescent="0.2">
      <c r="CE4144"/>
      <c r="CF4144"/>
      <c r="CG4144"/>
      <c r="CH4144"/>
      <c r="CI4144"/>
      <c r="CU4144" s="42">
        <v>4139</v>
      </c>
      <c r="CV4144" s="115">
        <v>4</v>
      </c>
      <c r="CW4144" s="115">
        <v>0.11332468572476186</v>
      </c>
      <c r="CX4144" s="115" t="e">
        <v>#N/A</v>
      </c>
      <c r="CY4144" s="115" t="e">
        <v>#N/A</v>
      </c>
      <c r="CZ4144" s="137" t="e">
        <v>#N/A</v>
      </c>
      <c r="DA4144">
        <v>0.11332468572476186</v>
      </c>
      <c r="DB4144" t="str">
        <v/>
      </c>
    </row>
    <row r="4145" spans="83:106" x14ac:dyDescent="0.2">
      <c r="CE4145"/>
      <c r="CF4145"/>
      <c r="CG4145"/>
      <c r="CH4145"/>
      <c r="CI4145"/>
      <c r="CU4145" s="42">
        <v>4140</v>
      </c>
      <c r="CV4145" s="115">
        <v>4</v>
      </c>
      <c r="CW4145" s="115">
        <v>0.11332468572476186</v>
      </c>
      <c r="CX4145" s="115" t="e">
        <v>#N/A</v>
      </c>
      <c r="CY4145" s="115" t="e">
        <v>#N/A</v>
      </c>
      <c r="CZ4145" s="137" t="e">
        <v>#N/A</v>
      </c>
      <c r="DA4145">
        <v>0.11332468572476186</v>
      </c>
      <c r="DB4145" t="str">
        <v/>
      </c>
    </row>
    <row r="4146" spans="83:106" x14ac:dyDescent="0.2">
      <c r="CE4146"/>
      <c r="CF4146"/>
      <c r="CG4146"/>
      <c r="CH4146"/>
      <c r="CI4146"/>
      <c r="CU4146" s="42">
        <v>4141</v>
      </c>
      <c r="CV4146" s="115">
        <v>4</v>
      </c>
      <c r="CW4146" s="115">
        <v>0.11332468572476186</v>
      </c>
      <c r="CX4146" s="115" t="e">
        <v>#N/A</v>
      </c>
      <c r="CY4146" s="115" t="e">
        <v>#N/A</v>
      </c>
      <c r="CZ4146" s="137" t="e">
        <v>#N/A</v>
      </c>
      <c r="DA4146">
        <v>0.11332468572476186</v>
      </c>
      <c r="DB4146" t="str">
        <v/>
      </c>
    </row>
    <row r="4147" spans="83:106" x14ac:dyDescent="0.2">
      <c r="CE4147"/>
      <c r="CF4147"/>
      <c r="CG4147"/>
      <c r="CH4147"/>
      <c r="CI4147"/>
      <c r="CU4147" s="42">
        <v>4142</v>
      </c>
      <c r="CV4147" s="115">
        <v>4</v>
      </c>
      <c r="CW4147" s="115">
        <v>0.11332468572476186</v>
      </c>
      <c r="CX4147" s="115" t="e">
        <v>#N/A</v>
      </c>
      <c r="CY4147" s="115" t="e">
        <v>#N/A</v>
      </c>
      <c r="CZ4147" s="137" t="e">
        <v>#N/A</v>
      </c>
      <c r="DA4147">
        <v>0.11332468572476186</v>
      </c>
      <c r="DB4147" t="str">
        <v/>
      </c>
    </row>
    <row r="4148" spans="83:106" x14ac:dyDescent="0.2">
      <c r="CE4148"/>
      <c r="CF4148"/>
      <c r="CG4148"/>
      <c r="CH4148"/>
      <c r="CI4148"/>
      <c r="CU4148" s="42">
        <v>4143</v>
      </c>
      <c r="CV4148" s="115">
        <v>4</v>
      </c>
      <c r="CW4148" s="115">
        <v>0.11332468572476186</v>
      </c>
      <c r="CX4148" s="115" t="e">
        <v>#N/A</v>
      </c>
      <c r="CY4148" s="115" t="e">
        <v>#N/A</v>
      </c>
      <c r="CZ4148" s="137" t="e">
        <v>#N/A</v>
      </c>
      <c r="DA4148">
        <v>0.11332468572476186</v>
      </c>
      <c r="DB4148" t="str">
        <v/>
      </c>
    </row>
    <row r="4149" spans="83:106" x14ac:dyDescent="0.2">
      <c r="CE4149"/>
      <c r="CF4149"/>
      <c r="CG4149"/>
      <c r="CH4149"/>
      <c r="CI4149"/>
      <c r="CU4149" s="42">
        <v>4144</v>
      </c>
      <c r="CV4149" s="115">
        <v>4</v>
      </c>
      <c r="CW4149" s="115">
        <v>0.11332468572476186</v>
      </c>
      <c r="CX4149" s="115" t="e">
        <v>#N/A</v>
      </c>
      <c r="CY4149" s="115" t="e">
        <v>#N/A</v>
      </c>
      <c r="CZ4149" s="137" t="e">
        <v>#N/A</v>
      </c>
      <c r="DA4149">
        <v>0.11332468572476186</v>
      </c>
      <c r="DB4149" t="str">
        <v/>
      </c>
    </row>
    <row r="4150" spans="83:106" x14ac:dyDescent="0.2">
      <c r="CE4150"/>
      <c r="CF4150"/>
      <c r="CG4150"/>
      <c r="CH4150"/>
      <c r="CI4150"/>
      <c r="CU4150" s="42">
        <v>4145</v>
      </c>
      <c r="CV4150" s="115">
        <v>4</v>
      </c>
      <c r="CW4150" s="115">
        <v>0.11332468572476186</v>
      </c>
      <c r="CX4150" s="115" t="e">
        <v>#N/A</v>
      </c>
      <c r="CY4150" s="115" t="e">
        <v>#N/A</v>
      </c>
      <c r="CZ4150" s="137" t="e">
        <v>#N/A</v>
      </c>
      <c r="DA4150">
        <v>0.11332468572476186</v>
      </c>
      <c r="DB4150" t="str">
        <v/>
      </c>
    </row>
    <row r="4151" spans="83:106" x14ac:dyDescent="0.2">
      <c r="CE4151"/>
      <c r="CF4151"/>
      <c r="CG4151"/>
      <c r="CH4151"/>
      <c r="CI4151"/>
      <c r="CU4151" s="42">
        <v>4146</v>
      </c>
      <c r="CV4151" s="115">
        <v>4</v>
      </c>
      <c r="CW4151" s="115">
        <v>0.11332468572476186</v>
      </c>
      <c r="CX4151" s="115" t="e">
        <v>#N/A</v>
      </c>
      <c r="CY4151" s="115" t="e">
        <v>#N/A</v>
      </c>
      <c r="CZ4151" s="137" t="e">
        <v>#N/A</v>
      </c>
      <c r="DA4151">
        <v>0.11332468572476186</v>
      </c>
      <c r="DB4151" t="str">
        <v/>
      </c>
    </row>
    <row r="4152" spans="83:106" x14ac:dyDescent="0.2">
      <c r="CE4152"/>
      <c r="CF4152"/>
      <c r="CG4152"/>
      <c r="CH4152"/>
      <c r="CI4152"/>
      <c r="CU4152" s="42">
        <v>4147</v>
      </c>
      <c r="CV4152" s="115">
        <v>4</v>
      </c>
      <c r="CW4152" s="115">
        <v>0.11332468572476186</v>
      </c>
      <c r="CX4152" s="115" t="e">
        <v>#N/A</v>
      </c>
      <c r="CY4152" s="115" t="e">
        <v>#N/A</v>
      </c>
      <c r="CZ4152" s="137" t="e">
        <v>#N/A</v>
      </c>
      <c r="DA4152">
        <v>0.11332468572476186</v>
      </c>
      <c r="DB4152" t="str">
        <v/>
      </c>
    </row>
    <row r="4153" spans="83:106" x14ac:dyDescent="0.2">
      <c r="CE4153"/>
      <c r="CF4153"/>
      <c r="CG4153"/>
      <c r="CH4153"/>
      <c r="CI4153"/>
      <c r="CU4153" s="42">
        <v>4148</v>
      </c>
      <c r="CV4153" s="115">
        <v>4</v>
      </c>
      <c r="CW4153" s="115">
        <v>0.11332468572476186</v>
      </c>
      <c r="CX4153" s="115" t="e">
        <v>#N/A</v>
      </c>
      <c r="CY4153" s="115" t="e">
        <v>#N/A</v>
      </c>
      <c r="CZ4153" s="137" t="e">
        <v>#N/A</v>
      </c>
      <c r="DA4153">
        <v>0.11332468572476186</v>
      </c>
      <c r="DB4153" t="str">
        <v/>
      </c>
    </row>
    <row r="4154" spans="83:106" x14ac:dyDescent="0.2">
      <c r="CE4154"/>
      <c r="CF4154"/>
      <c r="CG4154"/>
      <c r="CH4154"/>
      <c r="CI4154"/>
      <c r="CU4154" s="42">
        <v>4149</v>
      </c>
      <c r="CV4154" s="115">
        <v>4</v>
      </c>
      <c r="CW4154" s="115">
        <v>0.11332468572476186</v>
      </c>
      <c r="CX4154" s="115" t="e">
        <v>#N/A</v>
      </c>
      <c r="CY4154" s="115" t="e">
        <v>#N/A</v>
      </c>
      <c r="CZ4154" s="137" t="e">
        <v>#N/A</v>
      </c>
      <c r="DA4154">
        <v>0.11332468572476186</v>
      </c>
      <c r="DB4154" t="str">
        <v/>
      </c>
    </row>
    <row r="4155" spans="83:106" x14ac:dyDescent="0.2">
      <c r="CE4155"/>
      <c r="CF4155"/>
      <c r="CG4155"/>
      <c r="CH4155"/>
      <c r="CI4155"/>
      <c r="CU4155" s="42">
        <v>4150</v>
      </c>
      <c r="CV4155" s="115">
        <v>4</v>
      </c>
      <c r="CW4155" s="115">
        <v>0.11332468572476186</v>
      </c>
      <c r="CX4155" s="115" t="e">
        <v>#N/A</v>
      </c>
      <c r="CY4155" s="115" t="e">
        <v>#N/A</v>
      </c>
      <c r="CZ4155" s="137" t="e">
        <v>#N/A</v>
      </c>
      <c r="DA4155">
        <v>0.11332468572476186</v>
      </c>
      <c r="DB4155" t="str">
        <v/>
      </c>
    </row>
    <row r="4156" spans="83:106" x14ac:dyDescent="0.2">
      <c r="CE4156"/>
      <c r="CF4156"/>
      <c r="CG4156"/>
      <c r="CH4156"/>
      <c r="CI4156"/>
      <c r="CU4156" s="42">
        <v>4151</v>
      </c>
      <c r="CV4156" s="115">
        <v>4</v>
      </c>
      <c r="CW4156" s="115">
        <v>0.11332468572476186</v>
      </c>
      <c r="CX4156" s="115" t="e">
        <v>#N/A</v>
      </c>
      <c r="CY4156" s="115" t="e">
        <v>#N/A</v>
      </c>
      <c r="CZ4156" s="137" t="e">
        <v>#N/A</v>
      </c>
      <c r="DA4156">
        <v>0.11332468572476186</v>
      </c>
      <c r="DB4156" t="str">
        <v/>
      </c>
    </row>
    <row r="4157" spans="83:106" x14ac:dyDescent="0.2">
      <c r="CE4157"/>
      <c r="CF4157"/>
      <c r="CG4157"/>
      <c r="CH4157"/>
      <c r="CI4157"/>
      <c r="CU4157" s="42">
        <v>4152</v>
      </c>
      <c r="CV4157" s="115">
        <v>4</v>
      </c>
      <c r="CW4157" s="115">
        <v>0.11332468572476186</v>
      </c>
      <c r="CX4157" s="115" t="e">
        <v>#N/A</v>
      </c>
      <c r="CY4157" s="115" t="e">
        <v>#N/A</v>
      </c>
      <c r="CZ4157" s="137" t="e">
        <v>#N/A</v>
      </c>
      <c r="DA4157">
        <v>0.11332468572476186</v>
      </c>
      <c r="DB4157" t="str">
        <v/>
      </c>
    </row>
    <row r="4158" spans="83:106" x14ac:dyDescent="0.2">
      <c r="CE4158"/>
      <c r="CF4158"/>
      <c r="CG4158"/>
      <c r="CH4158"/>
      <c r="CI4158"/>
      <c r="CU4158" s="42">
        <v>4153</v>
      </c>
      <c r="CV4158" s="115">
        <v>4</v>
      </c>
      <c r="CW4158" s="115">
        <v>0.11332468572476186</v>
      </c>
      <c r="CX4158" s="115" t="e">
        <v>#N/A</v>
      </c>
      <c r="CY4158" s="115" t="e">
        <v>#N/A</v>
      </c>
      <c r="CZ4158" s="137" t="e">
        <v>#N/A</v>
      </c>
      <c r="DA4158">
        <v>0.11332468572476186</v>
      </c>
      <c r="DB4158" t="str">
        <v/>
      </c>
    </row>
    <row r="4159" spans="83:106" x14ac:dyDescent="0.2">
      <c r="CE4159"/>
      <c r="CF4159"/>
      <c r="CG4159"/>
      <c r="CH4159"/>
      <c r="CI4159"/>
      <c r="CU4159" s="42">
        <v>4154</v>
      </c>
      <c r="CV4159" s="115">
        <v>4</v>
      </c>
      <c r="CW4159" s="115">
        <v>0.11332468572476186</v>
      </c>
      <c r="CX4159" s="115" t="e">
        <v>#N/A</v>
      </c>
      <c r="CY4159" s="115" t="e">
        <v>#N/A</v>
      </c>
      <c r="CZ4159" s="137" t="e">
        <v>#N/A</v>
      </c>
      <c r="DA4159">
        <v>0.11332468572476186</v>
      </c>
      <c r="DB4159" t="str">
        <v/>
      </c>
    </row>
    <row r="4160" spans="83:106" x14ac:dyDescent="0.2">
      <c r="CE4160"/>
      <c r="CF4160"/>
      <c r="CG4160"/>
      <c r="CH4160"/>
      <c r="CI4160"/>
      <c r="CU4160" s="42">
        <v>4155</v>
      </c>
      <c r="CV4160" s="115">
        <v>4</v>
      </c>
      <c r="CW4160" s="115">
        <v>0.11332468572476186</v>
      </c>
      <c r="CX4160" s="115" t="e">
        <v>#N/A</v>
      </c>
      <c r="CY4160" s="115" t="e">
        <v>#N/A</v>
      </c>
      <c r="CZ4160" s="137" t="e">
        <v>#N/A</v>
      </c>
      <c r="DA4160">
        <v>0.11332468572476186</v>
      </c>
      <c r="DB4160" t="str">
        <v/>
      </c>
    </row>
    <row r="4161" spans="83:106" x14ac:dyDescent="0.2">
      <c r="CE4161"/>
      <c r="CF4161"/>
      <c r="CG4161"/>
      <c r="CH4161"/>
      <c r="CI4161"/>
      <c r="CU4161" s="42">
        <v>4156</v>
      </c>
      <c r="CV4161" s="115">
        <v>4</v>
      </c>
      <c r="CW4161" s="115">
        <v>0.11332468572476186</v>
      </c>
      <c r="CX4161" s="115" t="e">
        <v>#N/A</v>
      </c>
      <c r="CY4161" s="115" t="e">
        <v>#N/A</v>
      </c>
      <c r="CZ4161" s="137" t="e">
        <v>#N/A</v>
      </c>
      <c r="DA4161">
        <v>0.11332468572476186</v>
      </c>
      <c r="DB4161" t="str">
        <v/>
      </c>
    </row>
    <row r="4162" spans="83:106" x14ac:dyDescent="0.2">
      <c r="CE4162"/>
      <c r="CF4162"/>
      <c r="CG4162"/>
      <c r="CH4162"/>
      <c r="CI4162"/>
      <c r="CU4162" s="42">
        <v>4157</v>
      </c>
      <c r="CV4162" s="115">
        <v>4</v>
      </c>
      <c r="CW4162" s="115">
        <v>0.11332468572476186</v>
      </c>
      <c r="CX4162" s="115" t="e">
        <v>#N/A</v>
      </c>
      <c r="CY4162" s="115" t="e">
        <v>#N/A</v>
      </c>
      <c r="CZ4162" s="137" t="e">
        <v>#N/A</v>
      </c>
      <c r="DA4162">
        <v>0.11332468572476186</v>
      </c>
      <c r="DB4162" t="str">
        <v/>
      </c>
    </row>
    <row r="4163" spans="83:106" x14ac:dyDescent="0.2">
      <c r="CE4163"/>
      <c r="CF4163"/>
      <c r="CG4163"/>
      <c r="CH4163"/>
      <c r="CI4163"/>
      <c r="CU4163" s="42">
        <v>4158</v>
      </c>
      <c r="CV4163" s="115">
        <v>4</v>
      </c>
      <c r="CW4163" s="115">
        <v>0.11332468572476186</v>
      </c>
      <c r="CX4163" s="115" t="e">
        <v>#N/A</v>
      </c>
      <c r="CY4163" s="115" t="e">
        <v>#N/A</v>
      </c>
      <c r="CZ4163" s="137" t="e">
        <v>#N/A</v>
      </c>
      <c r="DA4163">
        <v>0.11332468572476186</v>
      </c>
      <c r="DB4163" t="str">
        <v/>
      </c>
    </row>
    <row r="4164" spans="83:106" x14ac:dyDescent="0.2">
      <c r="CE4164"/>
      <c r="CF4164"/>
      <c r="CG4164"/>
      <c r="CH4164"/>
      <c r="CI4164"/>
      <c r="CU4164" s="42">
        <v>4159</v>
      </c>
      <c r="CV4164" s="115">
        <v>4</v>
      </c>
      <c r="CW4164" s="115">
        <v>0.11332468572476186</v>
      </c>
      <c r="CX4164" s="115" t="e">
        <v>#N/A</v>
      </c>
      <c r="CY4164" s="115" t="e">
        <v>#N/A</v>
      </c>
      <c r="CZ4164" s="137" t="e">
        <v>#N/A</v>
      </c>
      <c r="DA4164">
        <v>0.11332468572476186</v>
      </c>
      <c r="DB4164" t="str">
        <v/>
      </c>
    </row>
    <row r="4165" spans="83:106" x14ac:dyDescent="0.2">
      <c r="CE4165"/>
      <c r="CF4165"/>
      <c r="CG4165"/>
      <c r="CH4165"/>
      <c r="CI4165"/>
      <c r="CU4165" s="42">
        <v>4160</v>
      </c>
      <c r="CV4165" s="115">
        <v>4</v>
      </c>
      <c r="CW4165" s="115">
        <v>0.11332468572476186</v>
      </c>
      <c r="CX4165" s="115" t="e">
        <v>#N/A</v>
      </c>
      <c r="CY4165" s="115" t="e">
        <v>#N/A</v>
      </c>
      <c r="CZ4165" s="137" t="e">
        <v>#N/A</v>
      </c>
      <c r="DA4165">
        <v>0.11332468572476186</v>
      </c>
      <c r="DB4165" t="str">
        <v/>
      </c>
    </row>
    <row r="4166" spans="83:106" x14ac:dyDescent="0.2">
      <c r="CE4166"/>
      <c r="CF4166"/>
      <c r="CG4166"/>
      <c r="CH4166"/>
      <c r="CI4166"/>
      <c r="CU4166" s="42">
        <v>4161</v>
      </c>
      <c r="CV4166" s="115">
        <v>4</v>
      </c>
      <c r="CW4166" s="115">
        <v>0.11332468572476186</v>
      </c>
      <c r="CX4166" s="115" t="e">
        <v>#N/A</v>
      </c>
      <c r="CY4166" s="115" t="e">
        <v>#N/A</v>
      </c>
      <c r="CZ4166" s="137" t="e">
        <v>#N/A</v>
      </c>
      <c r="DA4166">
        <v>0.11332468572476186</v>
      </c>
      <c r="DB4166" t="str">
        <v/>
      </c>
    </row>
    <row r="4167" spans="83:106" x14ac:dyDescent="0.2">
      <c r="CE4167"/>
      <c r="CF4167"/>
      <c r="CG4167"/>
      <c r="CH4167"/>
      <c r="CI4167"/>
      <c r="CU4167" s="42">
        <v>4162</v>
      </c>
      <c r="CV4167" s="115">
        <v>4</v>
      </c>
      <c r="CW4167" s="115">
        <v>0.11332468572476186</v>
      </c>
      <c r="CX4167" s="115" t="e">
        <v>#N/A</v>
      </c>
      <c r="CY4167" s="115" t="e">
        <v>#N/A</v>
      </c>
      <c r="CZ4167" s="137" t="e">
        <v>#N/A</v>
      </c>
      <c r="DA4167">
        <v>0.11332468572476186</v>
      </c>
      <c r="DB4167" t="str">
        <v/>
      </c>
    </row>
    <row r="4168" spans="83:106" x14ac:dyDescent="0.2">
      <c r="CE4168"/>
      <c r="CF4168"/>
      <c r="CG4168"/>
      <c r="CH4168"/>
      <c r="CI4168"/>
      <c r="CU4168" s="42">
        <v>4163</v>
      </c>
      <c r="CV4168" s="115">
        <v>4</v>
      </c>
      <c r="CW4168" s="115">
        <v>0.11332468572476186</v>
      </c>
      <c r="CX4168" s="115" t="e">
        <v>#N/A</v>
      </c>
      <c r="CY4168" s="115" t="e">
        <v>#N/A</v>
      </c>
      <c r="CZ4168" s="137" t="e">
        <v>#N/A</v>
      </c>
      <c r="DA4168">
        <v>0.11332468572476186</v>
      </c>
      <c r="DB4168" t="str">
        <v/>
      </c>
    </row>
    <row r="4169" spans="83:106" x14ac:dyDescent="0.2">
      <c r="CE4169"/>
      <c r="CF4169"/>
      <c r="CG4169"/>
      <c r="CH4169"/>
      <c r="CI4169"/>
      <c r="CU4169" s="42">
        <v>4164</v>
      </c>
      <c r="CV4169" s="115">
        <v>4</v>
      </c>
      <c r="CW4169" s="115">
        <v>0.11332468572476186</v>
      </c>
      <c r="CX4169" s="115" t="e">
        <v>#N/A</v>
      </c>
      <c r="CY4169" s="115" t="e">
        <v>#N/A</v>
      </c>
      <c r="CZ4169" s="137" t="e">
        <v>#N/A</v>
      </c>
      <c r="DA4169">
        <v>0.11332468572476186</v>
      </c>
      <c r="DB4169" t="str">
        <v/>
      </c>
    </row>
    <row r="4170" spans="83:106" x14ac:dyDescent="0.2">
      <c r="CE4170"/>
      <c r="CF4170"/>
      <c r="CG4170"/>
      <c r="CH4170"/>
      <c r="CI4170"/>
      <c r="CU4170" s="42">
        <v>4165</v>
      </c>
      <c r="CV4170" s="115">
        <v>4</v>
      </c>
      <c r="CW4170" s="115">
        <v>0.11332468572476186</v>
      </c>
      <c r="CX4170" s="115" t="e">
        <v>#N/A</v>
      </c>
      <c r="CY4170" s="115" t="e">
        <v>#N/A</v>
      </c>
      <c r="CZ4170" s="137" t="e">
        <v>#N/A</v>
      </c>
      <c r="DA4170">
        <v>0.11332468572476186</v>
      </c>
      <c r="DB4170" t="str">
        <v/>
      </c>
    </row>
    <row r="4171" spans="83:106" x14ac:dyDescent="0.2">
      <c r="CE4171"/>
      <c r="CF4171"/>
      <c r="CG4171"/>
      <c r="CH4171"/>
      <c r="CI4171"/>
      <c r="CU4171" s="42">
        <v>4166</v>
      </c>
      <c r="CV4171" s="115">
        <v>4</v>
      </c>
      <c r="CW4171" s="115">
        <v>0.11332468572476186</v>
      </c>
      <c r="CX4171" s="115" t="e">
        <v>#N/A</v>
      </c>
      <c r="CY4171" s="115" t="e">
        <v>#N/A</v>
      </c>
      <c r="CZ4171" s="137" t="e">
        <v>#N/A</v>
      </c>
      <c r="DA4171">
        <v>0.11332468572476186</v>
      </c>
      <c r="DB4171" t="str">
        <v/>
      </c>
    </row>
    <row r="4172" spans="83:106" x14ac:dyDescent="0.2">
      <c r="CE4172"/>
      <c r="CF4172"/>
      <c r="CG4172"/>
      <c r="CH4172"/>
      <c r="CI4172"/>
      <c r="CU4172" s="42">
        <v>4167</v>
      </c>
      <c r="CV4172" s="115">
        <v>4</v>
      </c>
      <c r="CW4172" s="115">
        <v>0.11332468572476186</v>
      </c>
      <c r="CX4172" s="115" t="e">
        <v>#N/A</v>
      </c>
      <c r="CY4172" s="115" t="e">
        <v>#N/A</v>
      </c>
      <c r="CZ4172" s="137" t="e">
        <v>#N/A</v>
      </c>
      <c r="DA4172">
        <v>0.11332468572476186</v>
      </c>
      <c r="DB4172" t="str">
        <v/>
      </c>
    </row>
    <row r="4173" spans="83:106" x14ac:dyDescent="0.2">
      <c r="CE4173"/>
      <c r="CF4173"/>
      <c r="CG4173"/>
      <c r="CH4173"/>
      <c r="CI4173"/>
      <c r="CU4173" s="42">
        <v>4168</v>
      </c>
      <c r="CV4173" s="115">
        <v>4</v>
      </c>
      <c r="CW4173" s="115">
        <v>0.11332468572476186</v>
      </c>
      <c r="CX4173" s="115" t="e">
        <v>#N/A</v>
      </c>
      <c r="CY4173" s="115" t="e">
        <v>#N/A</v>
      </c>
      <c r="CZ4173" s="137" t="e">
        <v>#N/A</v>
      </c>
      <c r="DA4173">
        <v>0.11332468572476186</v>
      </c>
      <c r="DB4173" t="str">
        <v/>
      </c>
    </row>
    <row r="4174" spans="83:106" x14ac:dyDescent="0.2">
      <c r="CE4174"/>
      <c r="CF4174"/>
      <c r="CG4174"/>
      <c r="CH4174"/>
      <c r="CI4174"/>
      <c r="CU4174" s="42">
        <v>4169</v>
      </c>
      <c r="CV4174" s="115">
        <v>4</v>
      </c>
      <c r="CW4174" s="115">
        <v>0.11332468572476186</v>
      </c>
      <c r="CX4174" s="115" t="e">
        <v>#N/A</v>
      </c>
      <c r="CY4174" s="115" t="e">
        <v>#N/A</v>
      </c>
      <c r="CZ4174" s="137" t="e">
        <v>#N/A</v>
      </c>
      <c r="DA4174">
        <v>0.11332468572476186</v>
      </c>
      <c r="DB4174" t="str">
        <v/>
      </c>
    </row>
    <row r="4175" spans="83:106" x14ac:dyDescent="0.2">
      <c r="CE4175"/>
      <c r="CF4175"/>
      <c r="CG4175"/>
      <c r="CH4175"/>
      <c r="CI4175"/>
      <c r="CU4175" s="42">
        <v>4170</v>
      </c>
      <c r="CV4175" s="115">
        <v>4</v>
      </c>
      <c r="CW4175" s="115">
        <v>0.11332468572476186</v>
      </c>
      <c r="CX4175" s="115" t="e">
        <v>#N/A</v>
      </c>
      <c r="CY4175" s="115" t="e">
        <v>#N/A</v>
      </c>
      <c r="CZ4175" s="137" t="e">
        <v>#N/A</v>
      </c>
      <c r="DA4175">
        <v>0.11332468572476186</v>
      </c>
      <c r="DB4175" t="str">
        <v/>
      </c>
    </row>
    <row r="4176" spans="83:106" x14ac:dyDescent="0.2">
      <c r="CE4176"/>
      <c r="CF4176"/>
      <c r="CG4176"/>
      <c r="CH4176"/>
      <c r="CI4176"/>
      <c r="CU4176" s="42">
        <v>4171</v>
      </c>
      <c r="CV4176" s="115">
        <v>4</v>
      </c>
      <c r="CW4176" s="115">
        <v>0.11332468572476186</v>
      </c>
      <c r="CX4176" s="115" t="e">
        <v>#N/A</v>
      </c>
      <c r="CY4176" s="115" t="e">
        <v>#N/A</v>
      </c>
      <c r="CZ4176" s="137" t="e">
        <v>#N/A</v>
      </c>
      <c r="DA4176">
        <v>0.11332468572476186</v>
      </c>
      <c r="DB4176" t="str">
        <v/>
      </c>
    </row>
    <row r="4177" spans="83:106" x14ac:dyDescent="0.2">
      <c r="CE4177"/>
      <c r="CF4177"/>
      <c r="CG4177"/>
      <c r="CH4177"/>
      <c r="CI4177"/>
      <c r="CU4177" s="42">
        <v>4172</v>
      </c>
      <c r="CV4177" s="115">
        <v>4</v>
      </c>
      <c r="CW4177" s="115">
        <v>0.11332468572476186</v>
      </c>
      <c r="CX4177" s="115" t="e">
        <v>#N/A</v>
      </c>
      <c r="CY4177" s="115" t="e">
        <v>#N/A</v>
      </c>
      <c r="CZ4177" s="137" t="e">
        <v>#N/A</v>
      </c>
      <c r="DA4177">
        <v>0.11332468572476186</v>
      </c>
      <c r="DB4177" t="str">
        <v/>
      </c>
    </row>
    <row r="4178" spans="83:106" x14ac:dyDescent="0.2">
      <c r="CE4178"/>
      <c r="CF4178"/>
      <c r="CG4178"/>
      <c r="CH4178"/>
      <c r="CI4178"/>
      <c r="CU4178" s="42">
        <v>4173</v>
      </c>
      <c r="CV4178" s="115">
        <v>4</v>
      </c>
      <c r="CW4178" s="115">
        <v>0.11332468572476186</v>
      </c>
      <c r="CX4178" s="115" t="e">
        <v>#N/A</v>
      </c>
      <c r="CY4178" s="115" t="e">
        <v>#N/A</v>
      </c>
      <c r="CZ4178" s="137" t="e">
        <v>#N/A</v>
      </c>
      <c r="DA4178">
        <v>0.11332468572476186</v>
      </c>
      <c r="DB4178" t="str">
        <v/>
      </c>
    </row>
    <row r="4179" spans="83:106" x14ac:dyDescent="0.2">
      <c r="CE4179"/>
      <c r="CF4179"/>
      <c r="CG4179"/>
      <c r="CH4179"/>
      <c r="CI4179"/>
      <c r="CU4179" s="42">
        <v>4174</v>
      </c>
      <c r="CV4179" s="115">
        <v>4</v>
      </c>
      <c r="CW4179" s="115">
        <v>0.11332468572476186</v>
      </c>
      <c r="CX4179" s="115" t="e">
        <v>#N/A</v>
      </c>
      <c r="CY4179" s="115" t="e">
        <v>#N/A</v>
      </c>
      <c r="CZ4179" s="137" t="e">
        <v>#N/A</v>
      </c>
      <c r="DA4179">
        <v>0.11332468572476186</v>
      </c>
      <c r="DB4179" t="str">
        <v/>
      </c>
    </row>
    <row r="4180" spans="83:106" x14ac:dyDescent="0.2">
      <c r="CE4180"/>
      <c r="CF4180"/>
      <c r="CG4180"/>
      <c r="CH4180"/>
      <c r="CI4180"/>
      <c r="CU4180" s="42">
        <v>4175</v>
      </c>
      <c r="CV4180" s="115">
        <v>4</v>
      </c>
      <c r="CW4180" s="115">
        <v>0.11332468572476186</v>
      </c>
      <c r="CX4180" s="115" t="e">
        <v>#N/A</v>
      </c>
      <c r="CY4180" s="115" t="e">
        <v>#N/A</v>
      </c>
      <c r="CZ4180" s="137" t="e">
        <v>#N/A</v>
      </c>
      <c r="DA4180">
        <v>0.11332468572476186</v>
      </c>
      <c r="DB4180" t="str">
        <v/>
      </c>
    </row>
    <row r="4181" spans="83:106" x14ac:dyDescent="0.2">
      <c r="CE4181"/>
      <c r="CF4181"/>
      <c r="CG4181"/>
      <c r="CH4181"/>
      <c r="CI4181"/>
      <c r="CU4181" s="42">
        <v>4176</v>
      </c>
      <c r="CV4181" s="115">
        <v>4</v>
      </c>
      <c r="CW4181" s="115">
        <v>0.11332468572476186</v>
      </c>
      <c r="CX4181" s="115" t="e">
        <v>#N/A</v>
      </c>
      <c r="CY4181" s="115" t="e">
        <v>#N/A</v>
      </c>
      <c r="CZ4181" s="137" t="e">
        <v>#N/A</v>
      </c>
      <c r="DA4181">
        <v>0.11332468572476186</v>
      </c>
      <c r="DB4181" t="str">
        <v/>
      </c>
    </row>
    <row r="4182" spans="83:106" x14ac:dyDescent="0.2">
      <c r="CE4182"/>
      <c r="CF4182"/>
      <c r="CG4182"/>
      <c r="CH4182"/>
      <c r="CI4182"/>
      <c r="CU4182" s="42">
        <v>4177</v>
      </c>
      <c r="CV4182" s="115">
        <v>4</v>
      </c>
      <c r="CW4182" s="115">
        <v>0.11332468572476186</v>
      </c>
      <c r="CX4182" s="115" t="e">
        <v>#N/A</v>
      </c>
      <c r="CY4182" s="115" t="e">
        <v>#N/A</v>
      </c>
      <c r="CZ4182" s="137" t="e">
        <v>#N/A</v>
      </c>
      <c r="DA4182">
        <v>0.11332468572476186</v>
      </c>
      <c r="DB4182" t="str">
        <v/>
      </c>
    </row>
    <row r="4183" spans="83:106" x14ac:dyDescent="0.2">
      <c r="CE4183"/>
      <c r="CF4183"/>
      <c r="CG4183"/>
      <c r="CH4183"/>
      <c r="CI4183"/>
      <c r="CU4183" s="42">
        <v>4178</v>
      </c>
      <c r="CV4183" s="115">
        <v>4</v>
      </c>
      <c r="CW4183" s="115">
        <v>0.11332468572476186</v>
      </c>
      <c r="CX4183" s="115" t="e">
        <v>#N/A</v>
      </c>
      <c r="CY4183" s="115" t="e">
        <v>#N/A</v>
      </c>
      <c r="CZ4183" s="137" t="e">
        <v>#N/A</v>
      </c>
      <c r="DA4183">
        <v>0.11332468572476186</v>
      </c>
      <c r="DB4183" t="str">
        <v/>
      </c>
    </row>
    <row r="4184" spans="83:106" x14ac:dyDescent="0.2">
      <c r="CE4184"/>
      <c r="CF4184"/>
      <c r="CG4184"/>
      <c r="CH4184"/>
      <c r="CI4184"/>
      <c r="CU4184" s="42">
        <v>4179</v>
      </c>
      <c r="CV4184" s="115">
        <v>4</v>
      </c>
      <c r="CW4184" s="115">
        <v>0.11332468572476186</v>
      </c>
      <c r="CX4184" s="115" t="e">
        <v>#N/A</v>
      </c>
      <c r="CY4184" s="115" t="e">
        <v>#N/A</v>
      </c>
      <c r="CZ4184" s="137" t="e">
        <v>#N/A</v>
      </c>
      <c r="DA4184">
        <v>0.11332468572476186</v>
      </c>
      <c r="DB4184" t="str">
        <v/>
      </c>
    </row>
    <row r="4185" spans="83:106" x14ac:dyDescent="0.2">
      <c r="CE4185"/>
      <c r="CF4185"/>
      <c r="CG4185"/>
      <c r="CH4185"/>
      <c r="CI4185"/>
      <c r="CU4185" s="42">
        <v>4180</v>
      </c>
      <c r="CV4185" s="115">
        <v>4</v>
      </c>
      <c r="CW4185" s="115">
        <v>0.11332468572476186</v>
      </c>
      <c r="CX4185" s="115" t="e">
        <v>#N/A</v>
      </c>
      <c r="CY4185" s="115" t="e">
        <v>#N/A</v>
      </c>
      <c r="CZ4185" s="137" t="e">
        <v>#N/A</v>
      </c>
      <c r="DA4185">
        <v>0.11332468572476186</v>
      </c>
      <c r="DB4185" t="str">
        <v/>
      </c>
    </row>
    <row r="4186" spans="83:106" x14ac:dyDescent="0.2">
      <c r="CE4186"/>
      <c r="CF4186"/>
      <c r="CG4186"/>
      <c r="CH4186"/>
      <c r="CI4186"/>
      <c r="CU4186" s="42">
        <v>4181</v>
      </c>
      <c r="CV4186" s="115">
        <v>4</v>
      </c>
      <c r="CW4186" s="115">
        <v>0.11332468572476186</v>
      </c>
      <c r="CX4186" s="115" t="e">
        <v>#N/A</v>
      </c>
      <c r="CY4186" s="115" t="e">
        <v>#N/A</v>
      </c>
      <c r="CZ4186" s="137" t="e">
        <v>#N/A</v>
      </c>
      <c r="DA4186">
        <v>0.11332468572476186</v>
      </c>
      <c r="DB4186" t="str">
        <v/>
      </c>
    </row>
    <row r="4187" spans="83:106" x14ac:dyDescent="0.2">
      <c r="CE4187"/>
      <c r="CF4187"/>
      <c r="CG4187"/>
      <c r="CH4187"/>
      <c r="CI4187"/>
      <c r="CU4187" s="42">
        <v>4182</v>
      </c>
      <c r="CV4187" s="115">
        <v>4</v>
      </c>
      <c r="CW4187" s="115">
        <v>0.11332468572476186</v>
      </c>
      <c r="CX4187" s="115" t="e">
        <v>#N/A</v>
      </c>
      <c r="CY4187" s="115" t="e">
        <v>#N/A</v>
      </c>
      <c r="CZ4187" s="137" t="e">
        <v>#N/A</v>
      </c>
      <c r="DA4187">
        <v>0.11332468572476186</v>
      </c>
      <c r="DB4187" t="str">
        <v/>
      </c>
    </row>
    <row r="4188" spans="83:106" x14ac:dyDescent="0.2">
      <c r="CE4188"/>
      <c r="CF4188"/>
      <c r="CG4188"/>
      <c r="CH4188"/>
      <c r="CI4188"/>
      <c r="CU4188" s="42">
        <v>4183</v>
      </c>
      <c r="CV4188" s="115">
        <v>4</v>
      </c>
      <c r="CW4188" s="115">
        <v>0.11332468572476186</v>
      </c>
      <c r="CX4188" s="115" t="e">
        <v>#N/A</v>
      </c>
      <c r="CY4188" s="115" t="e">
        <v>#N/A</v>
      </c>
      <c r="CZ4188" s="137" t="e">
        <v>#N/A</v>
      </c>
      <c r="DA4188">
        <v>0.11332468572476186</v>
      </c>
      <c r="DB4188" t="str">
        <v/>
      </c>
    </row>
    <row r="4189" spans="83:106" x14ac:dyDescent="0.2">
      <c r="CE4189"/>
      <c r="CF4189"/>
      <c r="CG4189"/>
      <c r="CH4189"/>
      <c r="CI4189"/>
      <c r="CU4189" s="42">
        <v>4184</v>
      </c>
      <c r="CV4189" s="115">
        <v>4</v>
      </c>
      <c r="CW4189" s="115">
        <v>0.11332468572476186</v>
      </c>
      <c r="CX4189" s="115" t="e">
        <v>#N/A</v>
      </c>
      <c r="CY4189" s="115" t="e">
        <v>#N/A</v>
      </c>
      <c r="CZ4189" s="137" t="e">
        <v>#N/A</v>
      </c>
      <c r="DA4189">
        <v>0.11332468572476186</v>
      </c>
      <c r="DB4189" t="str">
        <v/>
      </c>
    </row>
    <row r="4190" spans="83:106" x14ac:dyDescent="0.2">
      <c r="CE4190"/>
      <c r="CF4190"/>
      <c r="CG4190"/>
      <c r="CH4190"/>
      <c r="CI4190"/>
      <c r="CU4190" s="42">
        <v>4185</v>
      </c>
      <c r="CV4190" s="115">
        <v>4</v>
      </c>
      <c r="CW4190" s="115">
        <v>0.11332468572476186</v>
      </c>
      <c r="CX4190" s="115" t="e">
        <v>#N/A</v>
      </c>
      <c r="CY4190" s="115" t="e">
        <v>#N/A</v>
      </c>
      <c r="CZ4190" s="137" t="e">
        <v>#N/A</v>
      </c>
      <c r="DA4190">
        <v>0.11332468572476186</v>
      </c>
      <c r="DB4190" t="str">
        <v/>
      </c>
    </row>
    <row r="4191" spans="83:106" x14ac:dyDescent="0.2">
      <c r="CE4191"/>
      <c r="CF4191"/>
      <c r="CG4191"/>
      <c r="CH4191"/>
      <c r="CI4191"/>
      <c r="CU4191" s="42">
        <v>4186</v>
      </c>
      <c r="CV4191" s="115">
        <v>4</v>
      </c>
      <c r="CW4191" s="115">
        <v>0.11332468572476186</v>
      </c>
      <c r="CX4191" s="115" t="e">
        <v>#N/A</v>
      </c>
      <c r="CY4191" s="115" t="e">
        <v>#N/A</v>
      </c>
      <c r="CZ4191" s="137" t="e">
        <v>#N/A</v>
      </c>
      <c r="DA4191">
        <v>0.11332468572476186</v>
      </c>
      <c r="DB4191" t="str">
        <v/>
      </c>
    </row>
    <row r="4192" spans="83:106" x14ac:dyDescent="0.2">
      <c r="CE4192"/>
      <c r="CF4192"/>
      <c r="CG4192"/>
      <c r="CH4192"/>
      <c r="CI4192"/>
      <c r="CU4192" s="42">
        <v>4187</v>
      </c>
      <c r="CV4192" s="115">
        <v>4</v>
      </c>
      <c r="CW4192" s="115">
        <v>0.11332468572476186</v>
      </c>
      <c r="CX4192" s="115" t="e">
        <v>#N/A</v>
      </c>
      <c r="CY4192" s="115" t="e">
        <v>#N/A</v>
      </c>
      <c r="CZ4192" s="137" t="e">
        <v>#N/A</v>
      </c>
      <c r="DA4192">
        <v>0.11332468572476186</v>
      </c>
      <c r="DB4192" t="str">
        <v/>
      </c>
    </row>
    <row r="4193" spans="83:106" x14ac:dyDescent="0.2">
      <c r="CE4193"/>
      <c r="CF4193"/>
      <c r="CG4193"/>
      <c r="CH4193"/>
      <c r="CI4193"/>
      <c r="CU4193" s="42">
        <v>4188</v>
      </c>
      <c r="CV4193" s="115">
        <v>4</v>
      </c>
      <c r="CW4193" s="115">
        <v>0.11332468572476186</v>
      </c>
      <c r="CX4193" s="115" t="e">
        <v>#N/A</v>
      </c>
      <c r="CY4193" s="115" t="e">
        <v>#N/A</v>
      </c>
      <c r="CZ4193" s="137" t="e">
        <v>#N/A</v>
      </c>
      <c r="DA4193">
        <v>0.11332468572476186</v>
      </c>
      <c r="DB4193" t="str">
        <v/>
      </c>
    </row>
    <row r="4194" spans="83:106" x14ac:dyDescent="0.2">
      <c r="CE4194"/>
      <c r="CF4194"/>
      <c r="CG4194"/>
      <c r="CH4194"/>
      <c r="CI4194"/>
      <c r="CU4194" s="42">
        <v>4189</v>
      </c>
      <c r="CV4194" s="115">
        <v>4</v>
      </c>
      <c r="CW4194" s="115">
        <v>0.11332468572476186</v>
      </c>
      <c r="CX4194" s="115" t="e">
        <v>#N/A</v>
      </c>
      <c r="CY4194" s="115" t="e">
        <v>#N/A</v>
      </c>
      <c r="CZ4194" s="137" t="e">
        <v>#N/A</v>
      </c>
      <c r="DA4194">
        <v>0.11332468572476186</v>
      </c>
      <c r="DB4194" t="str">
        <v/>
      </c>
    </row>
    <row r="4195" spans="83:106" x14ac:dyDescent="0.2">
      <c r="CE4195"/>
      <c r="CF4195"/>
      <c r="CG4195"/>
      <c r="CH4195"/>
      <c r="CI4195"/>
      <c r="CU4195" s="42">
        <v>4190</v>
      </c>
      <c r="CV4195" s="115">
        <v>4</v>
      </c>
      <c r="CW4195" s="115">
        <v>0.11332468572476186</v>
      </c>
      <c r="CX4195" s="115" t="e">
        <v>#N/A</v>
      </c>
      <c r="CY4195" s="115" t="e">
        <v>#N/A</v>
      </c>
      <c r="CZ4195" s="137" t="e">
        <v>#N/A</v>
      </c>
      <c r="DA4195">
        <v>0.11332468572476186</v>
      </c>
      <c r="DB4195" t="str">
        <v/>
      </c>
    </row>
    <row r="4196" spans="83:106" x14ac:dyDescent="0.2">
      <c r="CE4196"/>
      <c r="CF4196"/>
      <c r="CG4196"/>
      <c r="CH4196"/>
      <c r="CI4196"/>
      <c r="CU4196" s="42">
        <v>4191</v>
      </c>
      <c r="CV4196" s="115">
        <v>4</v>
      </c>
      <c r="CW4196" s="115">
        <v>0.11332468572476186</v>
      </c>
      <c r="CX4196" s="115" t="e">
        <v>#N/A</v>
      </c>
      <c r="CY4196" s="115" t="e">
        <v>#N/A</v>
      </c>
      <c r="CZ4196" s="137" t="e">
        <v>#N/A</v>
      </c>
      <c r="DA4196">
        <v>0.11332468572476186</v>
      </c>
      <c r="DB4196" t="str">
        <v/>
      </c>
    </row>
    <row r="4197" spans="83:106" x14ac:dyDescent="0.2">
      <c r="CE4197"/>
      <c r="CF4197"/>
      <c r="CG4197"/>
      <c r="CH4197"/>
      <c r="CI4197"/>
      <c r="CU4197" s="42">
        <v>4192</v>
      </c>
      <c r="CV4197" s="115">
        <v>4</v>
      </c>
      <c r="CW4197" s="115">
        <v>0.11332468572476186</v>
      </c>
      <c r="CX4197" s="115" t="e">
        <v>#N/A</v>
      </c>
      <c r="CY4197" s="115" t="e">
        <v>#N/A</v>
      </c>
      <c r="CZ4197" s="137" t="e">
        <v>#N/A</v>
      </c>
      <c r="DA4197">
        <v>0.11332468572476186</v>
      </c>
      <c r="DB4197" t="str">
        <v/>
      </c>
    </row>
    <row r="4198" spans="83:106" x14ac:dyDescent="0.2">
      <c r="CE4198"/>
      <c r="CF4198"/>
      <c r="CG4198"/>
      <c r="CH4198"/>
      <c r="CI4198"/>
      <c r="CU4198" s="42">
        <v>4193</v>
      </c>
      <c r="CV4198" s="115">
        <v>4</v>
      </c>
      <c r="CW4198" s="115">
        <v>0.11332468572476186</v>
      </c>
      <c r="CX4198" s="115" t="e">
        <v>#N/A</v>
      </c>
      <c r="CY4198" s="115" t="e">
        <v>#N/A</v>
      </c>
      <c r="CZ4198" s="137" t="e">
        <v>#N/A</v>
      </c>
      <c r="DA4198">
        <v>0.11332468572476186</v>
      </c>
      <c r="DB4198" t="str">
        <v/>
      </c>
    </row>
    <row r="4199" spans="83:106" x14ac:dyDescent="0.2">
      <c r="CE4199"/>
      <c r="CF4199"/>
      <c r="CG4199"/>
      <c r="CH4199"/>
      <c r="CI4199"/>
      <c r="CU4199" s="42">
        <v>4194</v>
      </c>
      <c r="CV4199" s="115">
        <v>4</v>
      </c>
      <c r="CW4199" s="115">
        <v>0.11332468572476186</v>
      </c>
      <c r="CX4199" s="115" t="e">
        <v>#N/A</v>
      </c>
      <c r="CY4199" s="115" t="e">
        <v>#N/A</v>
      </c>
      <c r="CZ4199" s="137" t="e">
        <v>#N/A</v>
      </c>
      <c r="DA4199">
        <v>0.11332468572476186</v>
      </c>
      <c r="DB4199" t="str">
        <v/>
      </c>
    </row>
    <row r="4200" spans="83:106" x14ac:dyDescent="0.2">
      <c r="CE4200"/>
      <c r="CF4200"/>
      <c r="CG4200"/>
      <c r="CH4200"/>
      <c r="CI4200"/>
      <c r="CU4200" s="42">
        <v>4195</v>
      </c>
      <c r="CV4200" s="115">
        <v>4</v>
      </c>
      <c r="CW4200" s="115">
        <v>0.11332468572476186</v>
      </c>
      <c r="CX4200" s="115" t="e">
        <v>#N/A</v>
      </c>
      <c r="CY4200" s="115" t="e">
        <v>#N/A</v>
      </c>
      <c r="CZ4200" s="137" t="e">
        <v>#N/A</v>
      </c>
      <c r="DA4200">
        <v>0.11332468572476186</v>
      </c>
      <c r="DB4200" t="str">
        <v/>
      </c>
    </row>
    <row r="4201" spans="83:106" x14ac:dyDescent="0.2">
      <c r="CE4201"/>
      <c r="CF4201"/>
      <c r="CG4201"/>
      <c r="CH4201"/>
      <c r="CI4201"/>
      <c r="CU4201" s="42">
        <v>4196</v>
      </c>
      <c r="CV4201" s="115">
        <v>4</v>
      </c>
      <c r="CW4201" s="115">
        <v>0.11332468572476186</v>
      </c>
      <c r="CX4201" s="115" t="e">
        <v>#N/A</v>
      </c>
      <c r="CY4201" s="115" t="e">
        <v>#N/A</v>
      </c>
      <c r="CZ4201" s="137" t="e">
        <v>#N/A</v>
      </c>
      <c r="DA4201">
        <v>0.11332468572476186</v>
      </c>
      <c r="DB4201" t="str">
        <v/>
      </c>
    </row>
    <row r="4202" spans="83:106" x14ac:dyDescent="0.2">
      <c r="CE4202"/>
      <c r="CF4202"/>
      <c r="CG4202"/>
      <c r="CH4202"/>
      <c r="CI4202"/>
      <c r="CU4202" s="42">
        <v>4197</v>
      </c>
      <c r="CV4202" s="115">
        <v>4</v>
      </c>
      <c r="CW4202" s="115">
        <v>0.11332468572476186</v>
      </c>
      <c r="CX4202" s="115" t="e">
        <v>#N/A</v>
      </c>
      <c r="CY4202" s="115" t="e">
        <v>#N/A</v>
      </c>
      <c r="CZ4202" s="137" t="e">
        <v>#N/A</v>
      </c>
      <c r="DA4202">
        <v>0.11332468572476186</v>
      </c>
      <c r="DB4202" t="str">
        <v/>
      </c>
    </row>
    <row r="4203" spans="83:106" x14ac:dyDescent="0.2">
      <c r="CE4203"/>
      <c r="CF4203"/>
      <c r="CG4203"/>
      <c r="CH4203"/>
      <c r="CI4203"/>
      <c r="CU4203" s="42">
        <v>4198</v>
      </c>
      <c r="CV4203" s="115">
        <v>4</v>
      </c>
      <c r="CW4203" s="115">
        <v>0.11332468572476186</v>
      </c>
      <c r="CX4203" s="115" t="e">
        <v>#N/A</v>
      </c>
      <c r="CY4203" s="115" t="e">
        <v>#N/A</v>
      </c>
      <c r="CZ4203" s="137" t="e">
        <v>#N/A</v>
      </c>
      <c r="DA4203">
        <v>0.11332468572476186</v>
      </c>
      <c r="DB4203" t="str">
        <v/>
      </c>
    </row>
    <row r="4204" spans="83:106" x14ac:dyDescent="0.2">
      <c r="CE4204"/>
      <c r="CF4204"/>
      <c r="CG4204"/>
      <c r="CH4204"/>
      <c r="CI4204"/>
      <c r="CU4204" s="42">
        <v>4199</v>
      </c>
      <c r="CV4204" s="115">
        <v>4</v>
      </c>
      <c r="CW4204" s="115">
        <v>0.11332468572476186</v>
      </c>
      <c r="CX4204" s="115" t="e">
        <v>#N/A</v>
      </c>
      <c r="CY4204" s="115" t="e">
        <v>#N/A</v>
      </c>
      <c r="CZ4204" s="137" t="e">
        <v>#N/A</v>
      </c>
      <c r="DA4204">
        <v>0.11332468572476186</v>
      </c>
      <c r="DB4204" t="str">
        <v/>
      </c>
    </row>
    <row r="4205" spans="83:106" x14ac:dyDescent="0.2">
      <c r="CE4205"/>
      <c r="CF4205"/>
      <c r="CG4205"/>
      <c r="CH4205"/>
      <c r="CI4205"/>
      <c r="CU4205" s="42">
        <v>4200</v>
      </c>
      <c r="CV4205" s="115">
        <v>4</v>
      </c>
      <c r="CW4205" s="115">
        <v>0.11332468572476186</v>
      </c>
      <c r="CX4205" s="115" t="e">
        <v>#N/A</v>
      </c>
      <c r="CY4205" s="115" t="e">
        <v>#N/A</v>
      </c>
      <c r="CZ4205" s="137" t="e">
        <v>#N/A</v>
      </c>
      <c r="DA4205">
        <v>0.11332468572476186</v>
      </c>
      <c r="DB4205" t="str">
        <v/>
      </c>
    </row>
    <row r="4206" spans="83:106" x14ac:dyDescent="0.2">
      <c r="CE4206"/>
      <c r="CF4206"/>
      <c r="CG4206"/>
      <c r="CH4206"/>
      <c r="CI4206"/>
      <c r="CU4206" s="42">
        <v>4201</v>
      </c>
      <c r="CV4206" s="115">
        <v>4</v>
      </c>
      <c r="CW4206" s="115">
        <v>0.11332468572476186</v>
      </c>
      <c r="CX4206" s="115" t="e">
        <v>#N/A</v>
      </c>
      <c r="CY4206" s="115" t="e">
        <v>#N/A</v>
      </c>
      <c r="CZ4206" s="137" t="e">
        <v>#N/A</v>
      </c>
      <c r="DA4206">
        <v>0.11332468572476186</v>
      </c>
      <c r="DB4206" t="str">
        <v/>
      </c>
    </row>
    <row r="4207" spans="83:106" x14ac:dyDescent="0.2">
      <c r="CE4207"/>
      <c r="CF4207"/>
      <c r="CG4207"/>
      <c r="CH4207"/>
      <c r="CI4207"/>
      <c r="CU4207" s="42">
        <v>4202</v>
      </c>
      <c r="CV4207" s="115">
        <v>4</v>
      </c>
      <c r="CW4207" s="115">
        <v>0.11332468572476186</v>
      </c>
      <c r="CX4207" s="115" t="e">
        <v>#N/A</v>
      </c>
      <c r="CY4207" s="115" t="e">
        <v>#N/A</v>
      </c>
      <c r="CZ4207" s="137" t="e">
        <v>#N/A</v>
      </c>
      <c r="DA4207">
        <v>0.11332468572476186</v>
      </c>
      <c r="DB4207" t="str">
        <v/>
      </c>
    </row>
    <row r="4208" spans="83:106" x14ac:dyDescent="0.2">
      <c r="CE4208"/>
      <c r="CF4208"/>
      <c r="CG4208"/>
      <c r="CH4208"/>
      <c r="CI4208"/>
      <c r="CU4208" s="42">
        <v>4203</v>
      </c>
      <c r="CV4208" s="115">
        <v>4</v>
      </c>
      <c r="CW4208" s="115">
        <v>0.11332468572476186</v>
      </c>
      <c r="CX4208" s="115" t="e">
        <v>#N/A</v>
      </c>
      <c r="CY4208" s="115" t="e">
        <v>#N/A</v>
      </c>
      <c r="CZ4208" s="137" t="e">
        <v>#N/A</v>
      </c>
      <c r="DA4208">
        <v>0.11332468572476186</v>
      </c>
      <c r="DB4208" t="str">
        <v/>
      </c>
    </row>
    <row r="4209" spans="83:106" x14ac:dyDescent="0.2">
      <c r="CE4209"/>
      <c r="CF4209"/>
      <c r="CG4209"/>
      <c r="CH4209"/>
      <c r="CI4209"/>
      <c r="CU4209" s="42">
        <v>4204</v>
      </c>
      <c r="CV4209" s="115">
        <v>4</v>
      </c>
      <c r="CW4209" s="115">
        <v>0.11332468572476186</v>
      </c>
      <c r="CX4209" s="115" t="e">
        <v>#N/A</v>
      </c>
      <c r="CY4209" s="115" t="e">
        <v>#N/A</v>
      </c>
      <c r="CZ4209" s="137" t="e">
        <v>#N/A</v>
      </c>
      <c r="DA4209">
        <v>0.11332468572476186</v>
      </c>
      <c r="DB4209" t="str">
        <v/>
      </c>
    </row>
    <row r="4210" spans="83:106" x14ac:dyDescent="0.2">
      <c r="CE4210"/>
      <c r="CF4210"/>
      <c r="CG4210"/>
      <c r="CH4210"/>
      <c r="CI4210"/>
      <c r="CU4210" s="42">
        <v>4205</v>
      </c>
      <c r="CV4210" s="115">
        <v>4</v>
      </c>
      <c r="CW4210" s="115">
        <v>0.11332468572476186</v>
      </c>
      <c r="CX4210" s="115" t="e">
        <v>#N/A</v>
      </c>
      <c r="CY4210" s="115" t="e">
        <v>#N/A</v>
      </c>
      <c r="CZ4210" s="137" t="e">
        <v>#N/A</v>
      </c>
      <c r="DA4210">
        <v>0.11332468572476186</v>
      </c>
      <c r="DB4210" t="str">
        <v/>
      </c>
    </row>
    <row r="4211" spans="83:106" x14ac:dyDescent="0.2">
      <c r="CE4211"/>
      <c r="CF4211"/>
      <c r="CG4211"/>
      <c r="CH4211"/>
      <c r="CI4211"/>
      <c r="CU4211" s="42">
        <v>4206</v>
      </c>
      <c r="CV4211" s="115">
        <v>4</v>
      </c>
      <c r="CW4211" s="115">
        <v>0.11332468572476186</v>
      </c>
      <c r="CX4211" s="115" t="e">
        <v>#N/A</v>
      </c>
      <c r="CY4211" s="115" t="e">
        <v>#N/A</v>
      </c>
      <c r="CZ4211" s="137" t="e">
        <v>#N/A</v>
      </c>
      <c r="DA4211">
        <v>0.11332468572476186</v>
      </c>
      <c r="DB4211" t="str">
        <v/>
      </c>
    </row>
    <row r="4212" spans="83:106" x14ac:dyDescent="0.2">
      <c r="CE4212"/>
      <c r="CF4212"/>
      <c r="CG4212"/>
      <c r="CH4212"/>
      <c r="CI4212"/>
      <c r="CU4212" s="42">
        <v>4207</v>
      </c>
      <c r="CV4212" s="115">
        <v>4</v>
      </c>
      <c r="CW4212" s="115">
        <v>0.11332468572476186</v>
      </c>
      <c r="CX4212" s="115" t="e">
        <v>#N/A</v>
      </c>
      <c r="CY4212" s="115" t="e">
        <v>#N/A</v>
      </c>
      <c r="CZ4212" s="137" t="e">
        <v>#N/A</v>
      </c>
      <c r="DA4212">
        <v>0.11332468572476186</v>
      </c>
      <c r="DB4212" t="str">
        <v/>
      </c>
    </row>
    <row r="4213" spans="83:106" x14ac:dyDescent="0.2">
      <c r="CE4213"/>
      <c r="CF4213"/>
      <c r="CG4213"/>
      <c r="CH4213"/>
      <c r="CI4213"/>
      <c r="CU4213" s="42">
        <v>4208</v>
      </c>
      <c r="CV4213" s="115">
        <v>4</v>
      </c>
      <c r="CW4213" s="115">
        <v>0.11332468572476186</v>
      </c>
      <c r="CX4213" s="115" t="e">
        <v>#N/A</v>
      </c>
      <c r="CY4213" s="115" t="e">
        <v>#N/A</v>
      </c>
      <c r="CZ4213" s="137" t="e">
        <v>#N/A</v>
      </c>
      <c r="DA4213">
        <v>0.11332468572476186</v>
      </c>
      <c r="DB4213" t="str">
        <v/>
      </c>
    </row>
    <row r="4214" spans="83:106" x14ac:dyDescent="0.2">
      <c r="CE4214"/>
      <c r="CF4214"/>
      <c r="CG4214"/>
      <c r="CH4214"/>
      <c r="CI4214"/>
      <c r="CU4214" s="42">
        <v>4209</v>
      </c>
      <c r="CV4214" s="115">
        <v>4</v>
      </c>
      <c r="CW4214" s="115">
        <v>0.11332468572476186</v>
      </c>
      <c r="CX4214" s="115" t="e">
        <v>#N/A</v>
      </c>
      <c r="CY4214" s="115" t="e">
        <v>#N/A</v>
      </c>
      <c r="CZ4214" s="137" t="e">
        <v>#N/A</v>
      </c>
      <c r="DA4214">
        <v>0.11332468572476186</v>
      </c>
      <c r="DB4214" t="str">
        <v/>
      </c>
    </row>
    <row r="4215" spans="83:106" x14ac:dyDescent="0.2">
      <c r="CE4215"/>
      <c r="CF4215"/>
      <c r="CG4215"/>
      <c r="CH4215"/>
      <c r="CI4215"/>
      <c r="CU4215" s="42">
        <v>4210</v>
      </c>
      <c r="CV4215" s="115">
        <v>4</v>
      </c>
      <c r="CW4215" s="115">
        <v>0.11332468572476186</v>
      </c>
      <c r="CX4215" s="115" t="e">
        <v>#N/A</v>
      </c>
      <c r="CY4215" s="115" t="e">
        <v>#N/A</v>
      </c>
      <c r="CZ4215" s="137" t="e">
        <v>#N/A</v>
      </c>
      <c r="DA4215">
        <v>0.11332468572476186</v>
      </c>
      <c r="DB4215" t="str">
        <v/>
      </c>
    </row>
    <row r="4216" spans="83:106" x14ac:dyDescent="0.2">
      <c r="CE4216"/>
      <c r="CF4216"/>
      <c r="CG4216"/>
      <c r="CH4216"/>
      <c r="CI4216"/>
      <c r="CU4216" s="42">
        <v>4211</v>
      </c>
      <c r="CV4216" s="115">
        <v>4</v>
      </c>
      <c r="CW4216" s="115">
        <v>0.11332468572476186</v>
      </c>
      <c r="CX4216" s="115" t="e">
        <v>#N/A</v>
      </c>
      <c r="CY4216" s="115" t="e">
        <v>#N/A</v>
      </c>
      <c r="CZ4216" s="137" t="e">
        <v>#N/A</v>
      </c>
      <c r="DA4216">
        <v>0.11332468572476186</v>
      </c>
      <c r="DB4216" t="str">
        <v/>
      </c>
    </row>
    <row r="4217" spans="83:106" x14ac:dyDescent="0.2">
      <c r="CE4217"/>
      <c r="CF4217"/>
      <c r="CG4217"/>
      <c r="CH4217"/>
      <c r="CI4217"/>
      <c r="CU4217" s="42">
        <v>4212</v>
      </c>
      <c r="CV4217" s="115">
        <v>4</v>
      </c>
      <c r="CW4217" s="115">
        <v>0.11332468572476186</v>
      </c>
      <c r="CX4217" s="115" t="e">
        <v>#N/A</v>
      </c>
      <c r="CY4217" s="115" t="e">
        <v>#N/A</v>
      </c>
      <c r="CZ4217" s="137" t="e">
        <v>#N/A</v>
      </c>
      <c r="DA4217">
        <v>0.11332468572476186</v>
      </c>
      <c r="DB4217" t="str">
        <v/>
      </c>
    </row>
    <row r="4218" spans="83:106" x14ac:dyDescent="0.2">
      <c r="CE4218"/>
      <c r="CF4218"/>
      <c r="CG4218"/>
      <c r="CH4218"/>
      <c r="CI4218"/>
      <c r="CU4218" s="42">
        <v>4213</v>
      </c>
      <c r="CV4218" s="115">
        <v>4</v>
      </c>
      <c r="CW4218" s="115">
        <v>0.11332468572476186</v>
      </c>
      <c r="CX4218" s="115" t="e">
        <v>#N/A</v>
      </c>
      <c r="CY4218" s="115" t="e">
        <v>#N/A</v>
      </c>
      <c r="CZ4218" s="137" t="e">
        <v>#N/A</v>
      </c>
      <c r="DA4218">
        <v>0.11332468572476186</v>
      </c>
      <c r="DB4218" t="str">
        <v/>
      </c>
    </row>
    <row r="4219" spans="83:106" x14ac:dyDescent="0.2">
      <c r="CE4219"/>
      <c r="CF4219"/>
      <c r="CG4219"/>
      <c r="CH4219"/>
      <c r="CI4219"/>
      <c r="CU4219" s="42">
        <v>4214</v>
      </c>
      <c r="CV4219" s="115">
        <v>4</v>
      </c>
      <c r="CW4219" s="115">
        <v>0.11332468572476186</v>
      </c>
      <c r="CX4219" s="115" t="e">
        <v>#N/A</v>
      </c>
      <c r="CY4219" s="115" t="e">
        <v>#N/A</v>
      </c>
      <c r="CZ4219" s="137" t="e">
        <v>#N/A</v>
      </c>
      <c r="DA4219">
        <v>0.11332468572476186</v>
      </c>
      <c r="DB4219" t="str">
        <v/>
      </c>
    </row>
    <row r="4220" spans="83:106" x14ac:dyDescent="0.2">
      <c r="CE4220"/>
      <c r="CF4220"/>
      <c r="CG4220"/>
      <c r="CH4220"/>
      <c r="CI4220"/>
      <c r="CU4220" s="42">
        <v>4215</v>
      </c>
      <c r="CV4220" s="115">
        <v>4</v>
      </c>
      <c r="CW4220" s="115">
        <v>0.11332468572476186</v>
      </c>
      <c r="CX4220" s="115" t="e">
        <v>#N/A</v>
      </c>
      <c r="CY4220" s="115" t="e">
        <v>#N/A</v>
      </c>
      <c r="CZ4220" s="137" t="e">
        <v>#N/A</v>
      </c>
      <c r="DA4220">
        <v>0.11332468572476186</v>
      </c>
      <c r="DB4220" t="str">
        <v/>
      </c>
    </row>
    <row r="4221" spans="83:106" x14ac:dyDescent="0.2">
      <c r="CE4221"/>
      <c r="CF4221"/>
      <c r="CG4221"/>
      <c r="CH4221"/>
      <c r="CI4221"/>
      <c r="CU4221" s="42">
        <v>4216</v>
      </c>
      <c r="CV4221" s="115">
        <v>4</v>
      </c>
      <c r="CW4221" s="115">
        <v>0.11332468572476186</v>
      </c>
      <c r="CX4221" s="115" t="e">
        <v>#N/A</v>
      </c>
      <c r="CY4221" s="115" t="e">
        <v>#N/A</v>
      </c>
      <c r="CZ4221" s="137" t="e">
        <v>#N/A</v>
      </c>
      <c r="DA4221">
        <v>0.11332468572476186</v>
      </c>
      <c r="DB4221" t="str">
        <v/>
      </c>
    </row>
    <row r="4222" spans="83:106" x14ac:dyDescent="0.2">
      <c r="CE4222"/>
      <c r="CF4222"/>
      <c r="CG4222"/>
      <c r="CH4222"/>
      <c r="CI4222"/>
      <c r="CU4222" s="42">
        <v>4217</v>
      </c>
      <c r="CV4222" s="115">
        <v>4</v>
      </c>
      <c r="CW4222" s="115">
        <v>0.11332468572476186</v>
      </c>
      <c r="CX4222" s="115" t="e">
        <v>#N/A</v>
      </c>
      <c r="CY4222" s="115" t="e">
        <v>#N/A</v>
      </c>
      <c r="CZ4222" s="137" t="e">
        <v>#N/A</v>
      </c>
      <c r="DA4222">
        <v>0.11332468572476186</v>
      </c>
      <c r="DB4222" t="str">
        <v/>
      </c>
    </row>
    <row r="4223" spans="83:106" x14ac:dyDescent="0.2">
      <c r="CE4223"/>
      <c r="CF4223"/>
      <c r="CG4223"/>
      <c r="CH4223"/>
      <c r="CI4223"/>
      <c r="CU4223" s="42">
        <v>4218</v>
      </c>
      <c r="CV4223" s="115">
        <v>4</v>
      </c>
      <c r="CW4223" s="115">
        <v>0.11332468572476186</v>
      </c>
      <c r="CX4223" s="115" t="e">
        <v>#N/A</v>
      </c>
      <c r="CY4223" s="115" t="e">
        <v>#N/A</v>
      </c>
      <c r="CZ4223" s="137" t="e">
        <v>#N/A</v>
      </c>
      <c r="DA4223">
        <v>0.11332468572476186</v>
      </c>
      <c r="DB4223" t="str">
        <v/>
      </c>
    </row>
    <row r="4224" spans="83:106" x14ac:dyDescent="0.2">
      <c r="CE4224"/>
      <c r="CF4224"/>
      <c r="CG4224"/>
      <c r="CH4224"/>
      <c r="CI4224"/>
      <c r="CU4224" s="42">
        <v>4219</v>
      </c>
      <c r="CV4224" s="115">
        <v>4</v>
      </c>
      <c r="CW4224" s="115">
        <v>0.11332468572476186</v>
      </c>
      <c r="CX4224" s="115" t="e">
        <v>#N/A</v>
      </c>
      <c r="CY4224" s="115" t="e">
        <v>#N/A</v>
      </c>
      <c r="CZ4224" s="137" t="e">
        <v>#N/A</v>
      </c>
      <c r="DA4224">
        <v>0.11332468572476186</v>
      </c>
      <c r="DB4224" t="str">
        <v/>
      </c>
    </row>
    <row r="4225" spans="83:106" x14ac:dyDescent="0.2">
      <c r="CE4225"/>
      <c r="CF4225"/>
      <c r="CG4225"/>
      <c r="CH4225"/>
      <c r="CI4225"/>
      <c r="CU4225" s="42">
        <v>4220</v>
      </c>
      <c r="CV4225" s="115">
        <v>4</v>
      </c>
      <c r="CW4225" s="115">
        <v>0.11332468572476186</v>
      </c>
      <c r="CX4225" s="115" t="e">
        <v>#N/A</v>
      </c>
      <c r="CY4225" s="115" t="e">
        <v>#N/A</v>
      </c>
      <c r="CZ4225" s="137" t="e">
        <v>#N/A</v>
      </c>
      <c r="DA4225">
        <v>0.11332468572476186</v>
      </c>
      <c r="DB4225" t="str">
        <v/>
      </c>
    </row>
    <row r="4226" spans="83:106" x14ac:dyDescent="0.2">
      <c r="CE4226"/>
      <c r="CF4226"/>
      <c r="CG4226"/>
      <c r="CH4226"/>
      <c r="CI4226"/>
      <c r="CU4226" s="42">
        <v>4221</v>
      </c>
      <c r="CV4226" s="115">
        <v>4</v>
      </c>
      <c r="CW4226" s="115">
        <v>0.11332468572476186</v>
      </c>
      <c r="CX4226" s="115" t="e">
        <v>#N/A</v>
      </c>
      <c r="CY4226" s="115" t="e">
        <v>#N/A</v>
      </c>
      <c r="CZ4226" s="137" t="e">
        <v>#N/A</v>
      </c>
      <c r="DA4226">
        <v>0.11332468572476186</v>
      </c>
      <c r="DB4226" t="str">
        <v/>
      </c>
    </row>
    <row r="4227" spans="83:106" x14ac:dyDescent="0.2">
      <c r="CE4227"/>
      <c r="CF4227"/>
      <c r="CG4227"/>
      <c r="CH4227"/>
      <c r="CI4227"/>
      <c r="CU4227" s="42">
        <v>4222</v>
      </c>
      <c r="CV4227" s="115">
        <v>4</v>
      </c>
      <c r="CW4227" s="115">
        <v>0.11332468572476186</v>
      </c>
      <c r="CX4227" s="115" t="e">
        <v>#N/A</v>
      </c>
      <c r="CY4227" s="115" t="e">
        <v>#N/A</v>
      </c>
      <c r="CZ4227" s="137" t="e">
        <v>#N/A</v>
      </c>
      <c r="DA4227">
        <v>0.11332468572476186</v>
      </c>
      <c r="DB4227" t="str">
        <v/>
      </c>
    </row>
    <row r="4228" spans="83:106" x14ac:dyDescent="0.2">
      <c r="CE4228"/>
      <c r="CF4228"/>
      <c r="CG4228"/>
      <c r="CH4228"/>
      <c r="CI4228"/>
      <c r="CU4228" s="42">
        <v>4223</v>
      </c>
      <c r="CV4228" s="115">
        <v>4</v>
      </c>
      <c r="CW4228" s="115">
        <v>0.11332468572476186</v>
      </c>
      <c r="CX4228" s="115" t="e">
        <v>#N/A</v>
      </c>
      <c r="CY4228" s="115" t="e">
        <v>#N/A</v>
      </c>
      <c r="CZ4228" s="137" t="e">
        <v>#N/A</v>
      </c>
      <c r="DA4228">
        <v>0.11332468572476186</v>
      </c>
      <c r="DB4228" t="str">
        <v/>
      </c>
    </row>
    <row r="4229" spans="83:106" x14ac:dyDescent="0.2">
      <c r="CE4229"/>
      <c r="CF4229"/>
      <c r="CG4229"/>
      <c r="CH4229"/>
      <c r="CI4229"/>
      <c r="CU4229" s="42">
        <v>4224</v>
      </c>
      <c r="CV4229" s="115">
        <v>4</v>
      </c>
      <c r="CW4229" s="115">
        <v>0.11332468572476186</v>
      </c>
      <c r="CX4229" s="115" t="e">
        <v>#N/A</v>
      </c>
      <c r="CY4229" s="115" t="e">
        <v>#N/A</v>
      </c>
      <c r="CZ4229" s="137" t="e">
        <v>#N/A</v>
      </c>
      <c r="DA4229">
        <v>0.11332468572476186</v>
      </c>
      <c r="DB4229" t="str">
        <v/>
      </c>
    </row>
    <row r="4230" spans="83:106" x14ac:dyDescent="0.2">
      <c r="CE4230"/>
      <c r="CF4230"/>
      <c r="CG4230"/>
      <c r="CH4230"/>
      <c r="CI4230"/>
      <c r="CU4230" s="42">
        <v>4225</v>
      </c>
      <c r="CV4230" s="115">
        <v>4</v>
      </c>
      <c r="CW4230" s="115">
        <v>0.11332468572476186</v>
      </c>
      <c r="CX4230" s="115" t="e">
        <v>#N/A</v>
      </c>
      <c r="CY4230" s="115" t="e">
        <v>#N/A</v>
      </c>
      <c r="CZ4230" s="137" t="e">
        <v>#N/A</v>
      </c>
      <c r="DA4230">
        <v>0.11332468572476186</v>
      </c>
      <c r="DB4230" t="str">
        <v/>
      </c>
    </row>
    <row r="4231" spans="83:106" x14ac:dyDescent="0.2">
      <c r="CE4231"/>
      <c r="CF4231"/>
      <c r="CG4231"/>
      <c r="CH4231"/>
      <c r="CI4231"/>
      <c r="CU4231" s="42">
        <v>4226</v>
      </c>
      <c r="CV4231" s="115">
        <v>4</v>
      </c>
      <c r="CW4231" s="115">
        <v>0.11332468572476186</v>
      </c>
      <c r="CX4231" s="115" t="e">
        <v>#N/A</v>
      </c>
      <c r="CY4231" s="115" t="e">
        <v>#N/A</v>
      </c>
      <c r="CZ4231" s="137" t="e">
        <v>#N/A</v>
      </c>
      <c r="DA4231">
        <v>0.11332468572476186</v>
      </c>
      <c r="DB4231" t="str">
        <v/>
      </c>
    </row>
    <row r="4232" spans="83:106" x14ac:dyDescent="0.2">
      <c r="CE4232"/>
      <c r="CF4232"/>
      <c r="CG4232"/>
      <c r="CH4232"/>
      <c r="CI4232"/>
      <c r="CU4232" s="42">
        <v>4227</v>
      </c>
      <c r="CV4232" s="115">
        <v>4</v>
      </c>
      <c r="CW4232" s="115">
        <v>0.11332468572476186</v>
      </c>
      <c r="CX4232" s="115" t="e">
        <v>#N/A</v>
      </c>
      <c r="CY4232" s="115" t="e">
        <v>#N/A</v>
      </c>
      <c r="CZ4232" s="137" t="e">
        <v>#N/A</v>
      </c>
      <c r="DA4232">
        <v>0.11332468572476186</v>
      </c>
      <c r="DB4232" t="str">
        <v/>
      </c>
    </row>
    <row r="4233" spans="83:106" x14ac:dyDescent="0.2">
      <c r="CE4233"/>
      <c r="CF4233"/>
      <c r="CG4233"/>
      <c r="CH4233"/>
      <c r="CI4233"/>
      <c r="CU4233" s="42">
        <v>4228</v>
      </c>
      <c r="CV4233" s="115">
        <v>4</v>
      </c>
      <c r="CW4233" s="115">
        <v>0.11332468572476186</v>
      </c>
      <c r="CX4233" s="115" t="e">
        <v>#N/A</v>
      </c>
      <c r="CY4233" s="115" t="e">
        <v>#N/A</v>
      </c>
      <c r="CZ4233" s="137" t="e">
        <v>#N/A</v>
      </c>
      <c r="DA4233">
        <v>0.11332468572476186</v>
      </c>
      <c r="DB4233" t="str">
        <v/>
      </c>
    </row>
    <row r="4234" spans="83:106" x14ac:dyDescent="0.2">
      <c r="CE4234"/>
      <c r="CF4234"/>
      <c r="CG4234"/>
      <c r="CH4234"/>
      <c r="CI4234"/>
      <c r="CU4234" s="42">
        <v>4229</v>
      </c>
      <c r="CV4234" s="115">
        <v>4</v>
      </c>
      <c r="CW4234" s="115">
        <v>0.11332468572476186</v>
      </c>
      <c r="CX4234" s="115" t="e">
        <v>#N/A</v>
      </c>
      <c r="CY4234" s="115" t="e">
        <v>#N/A</v>
      </c>
      <c r="CZ4234" s="137" t="e">
        <v>#N/A</v>
      </c>
      <c r="DA4234">
        <v>0.11332468572476186</v>
      </c>
      <c r="DB4234" t="str">
        <v/>
      </c>
    </row>
    <row r="4235" spans="83:106" x14ac:dyDescent="0.2">
      <c r="CE4235"/>
      <c r="CF4235"/>
      <c r="CG4235"/>
      <c r="CH4235"/>
      <c r="CI4235"/>
      <c r="CU4235" s="42">
        <v>4230</v>
      </c>
      <c r="CV4235" s="115">
        <v>4</v>
      </c>
      <c r="CW4235" s="115">
        <v>0.11332468572476186</v>
      </c>
      <c r="CX4235" s="115" t="e">
        <v>#N/A</v>
      </c>
      <c r="CY4235" s="115" t="e">
        <v>#N/A</v>
      </c>
      <c r="CZ4235" s="137" t="e">
        <v>#N/A</v>
      </c>
      <c r="DA4235">
        <v>0.11332468572476186</v>
      </c>
      <c r="DB4235" t="str">
        <v/>
      </c>
    </row>
    <row r="4236" spans="83:106" x14ac:dyDescent="0.2">
      <c r="CE4236"/>
      <c r="CF4236"/>
      <c r="CG4236"/>
      <c r="CH4236"/>
      <c r="CI4236"/>
      <c r="CU4236" s="42">
        <v>4231</v>
      </c>
      <c r="CV4236" s="115">
        <v>4</v>
      </c>
      <c r="CW4236" s="115">
        <v>0.11332468572476186</v>
      </c>
      <c r="CX4236" s="115" t="e">
        <v>#N/A</v>
      </c>
      <c r="CY4236" s="115" t="e">
        <v>#N/A</v>
      </c>
      <c r="CZ4236" s="137" t="e">
        <v>#N/A</v>
      </c>
      <c r="DA4236">
        <v>0.11332468572476186</v>
      </c>
      <c r="DB4236" t="str">
        <v/>
      </c>
    </row>
    <row r="4237" spans="83:106" x14ac:dyDescent="0.2">
      <c r="CE4237"/>
      <c r="CF4237"/>
      <c r="CG4237"/>
      <c r="CH4237"/>
      <c r="CI4237"/>
      <c r="CU4237" s="42">
        <v>4232</v>
      </c>
      <c r="CV4237" s="115">
        <v>4</v>
      </c>
      <c r="CW4237" s="115">
        <v>0.11332468572476186</v>
      </c>
      <c r="CX4237" s="115" t="e">
        <v>#N/A</v>
      </c>
      <c r="CY4237" s="115" t="e">
        <v>#N/A</v>
      </c>
      <c r="CZ4237" s="137" t="e">
        <v>#N/A</v>
      </c>
      <c r="DA4237">
        <v>0.11332468572476186</v>
      </c>
      <c r="DB4237" t="str">
        <v/>
      </c>
    </row>
    <row r="4238" spans="83:106" x14ac:dyDescent="0.2">
      <c r="CE4238"/>
      <c r="CF4238"/>
      <c r="CG4238"/>
      <c r="CH4238"/>
      <c r="CI4238"/>
      <c r="CU4238" s="42">
        <v>4233</v>
      </c>
      <c r="CV4238" s="115">
        <v>4</v>
      </c>
      <c r="CW4238" s="115">
        <v>0.11332468572476186</v>
      </c>
      <c r="CX4238" s="115" t="e">
        <v>#N/A</v>
      </c>
      <c r="CY4238" s="115" t="e">
        <v>#N/A</v>
      </c>
      <c r="CZ4238" s="137" t="e">
        <v>#N/A</v>
      </c>
      <c r="DA4238">
        <v>0.11332468572476186</v>
      </c>
      <c r="DB4238" t="str">
        <v/>
      </c>
    </row>
    <row r="4239" spans="83:106" x14ac:dyDescent="0.2">
      <c r="CE4239"/>
      <c r="CF4239"/>
      <c r="CG4239"/>
      <c r="CH4239"/>
      <c r="CI4239"/>
      <c r="CU4239" s="42">
        <v>4234</v>
      </c>
      <c r="CV4239" s="115">
        <v>4</v>
      </c>
      <c r="CW4239" s="115">
        <v>0.11332468572476186</v>
      </c>
      <c r="CX4239" s="115" t="e">
        <v>#N/A</v>
      </c>
      <c r="CY4239" s="115" t="e">
        <v>#N/A</v>
      </c>
      <c r="CZ4239" s="137" t="e">
        <v>#N/A</v>
      </c>
      <c r="DA4239">
        <v>0.11332468572476186</v>
      </c>
      <c r="DB4239" t="str">
        <v/>
      </c>
    </row>
    <row r="4240" spans="83:106" x14ac:dyDescent="0.2">
      <c r="CE4240"/>
      <c r="CF4240"/>
      <c r="CG4240"/>
      <c r="CH4240"/>
      <c r="CI4240"/>
      <c r="CU4240" s="42">
        <v>4235</v>
      </c>
      <c r="CV4240" s="115">
        <v>4</v>
      </c>
      <c r="CW4240" s="115">
        <v>0.11332468572476186</v>
      </c>
      <c r="CX4240" s="115" t="e">
        <v>#N/A</v>
      </c>
      <c r="CY4240" s="115" t="e">
        <v>#N/A</v>
      </c>
      <c r="CZ4240" s="137" t="e">
        <v>#N/A</v>
      </c>
      <c r="DA4240">
        <v>0.11332468572476186</v>
      </c>
      <c r="DB4240" t="str">
        <v/>
      </c>
    </row>
    <row r="4241" spans="83:106" x14ac:dyDescent="0.2">
      <c r="CE4241"/>
      <c r="CF4241"/>
      <c r="CG4241"/>
      <c r="CH4241"/>
      <c r="CI4241"/>
      <c r="CU4241" s="42">
        <v>4236</v>
      </c>
      <c r="CV4241" s="115">
        <v>4</v>
      </c>
      <c r="CW4241" s="115">
        <v>0.11332468572476186</v>
      </c>
      <c r="CX4241" s="115" t="e">
        <v>#N/A</v>
      </c>
      <c r="CY4241" s="115" t="e">
        <v>#N/A</v>
      </c>
      <c r="CZ4241" s="137" t="e">
        <v>#N/A</v>
      </c>
      <c r="DA4241">
        <v>0.11332468572476186</v>
      </c>
      <c r="DB4241" t="str">
        <v/>
      </c>
    </row>
    <row r="4242" spans="83:106" x14ac:dyDescent="0.2">
      <c r="CE4242"/>
      <c r="CF4242"/>
      <c r="CG4242"/>
      <c r="CH4242"/>
      <c r="CI4242"/>
      <c r="CU4242" s="42">
        <v>4237</v>
      </c>
      <c r="CV4242" s="115">
        <v>4</v>
      </c>
      <c r="CW4242" s="115">
        <v>0.11332468572476186</v>
      </c>
      <c r="CX4242" s="115" t="e">
        <v>#N/A</v>
      </c>
      <c r="CY4242" s="115" t="e">
        <v>#N/A</v>
      </c>
      <c r="CZ4242" s="137" t="e">
        <v>#N/A</v>
      </c>
      <c r="DA4242">
        <v>0.11332468572476186</v>
      </c>
      <c r="DB4242" t="str">
        <v/>
      </c>
    </row>
    <row r="4243" spans="83:106" x14ac:dyDescent="0.2">
      <c r="CE4243"/>
      <c r="CF4243"/>
      <c r="CG4243"/>
      <c r="CH4243"/>
      <c r="CI4243"/>
      <c r="CU4243" s="42">
        <v>4238</v>
      </c>
      <c r="CV4243" s="115">
        <v>4</v>
      </c>
      <c r="CW4243" s="115">
        <v>0.11332468572476186</v>
      </c>
      <c r="CX4243" s="115" t="e">
        <v>#N/A</v>
      </c>
      <c r="CY4243" s="115" t="e">
        <v>#N/A</v>
      </c>
      <c r="CZ4243" s="137" t="e">
        <v>#N/A</v>
      </c>
      <c r="DA4243">
        <v>0.11332468572476186</v>
      </c>
      <c r="DB4243" t="str">
        <v/>
      </c>
    </row>
    <row r="4244" spans="83:106" x14ac:dyDescent="0.2">
      <c r="CE4244"/>
      <c r="CF4244"/>
      <c r="CG4244"/>
      <c r="CH4244"/>
      <c r="CI4244"/>
      <c r="CU4244" s="42">
        <v>4239</v>
      </c>
      <c r="CV4244" s="115">
        <v>4</v>
      </c>
      <c r="CW4244" s="115">
        <v>0.11332468572476186</v>
      </c>
      <c r="CX4244" s="115" t="e">
        <v>#N/A</v>
      </c>
      <c r="CY4244" s="115" t="e">
        <v>#N/A</v>
      </c>
      <c r="CZ4244" s="137" t="e">
        <v>#N/A</v>
      </c>
      <c r="DA4244">
        <v>0.11332468572476186</v>
      </c>
      <c r="DB4244" t="str">
        <v/>
      </c>
    </row>
    <row r="4245" spans="83:106" x14ac:dyDescent="0.2">
      <c r="CE4245"/>
      <c r="CF4245"/>
      <c r="CG4245"/>
      <c r="CH4245"/>
      <c r="CI4245"/>
      <c r="CU4245" s="42">
        <v>4240</v>
      </c>
      <c r="CV4245" s="115">
        <v>4</v>
      </c>
      <c r="CW4245" s="115">
        <v>0.11332468572476186</v>
      </c>
      <c r="CX4245" s="115" t="e">
        <v>#N/A</v>
      </c>
      <c r="CY4245" s="115" t="e">
        <v>#N/A</v>
      </c>
      <c r="CZ4245" s="137" t="e">
        <v>#N/A</v>
      </c>
      <c r="DA4245">
        <v>0.11332468572476186</v>
      </c>
      <c r="DB4245" t="str">
        <v/>
      </c>
    </row>
    <row r="4246" spans="83:106" x14ac:dyDescent="0.2">
      <c r="CE4246"/>
      <c r="CF4246"/>
      <c r="CG4246"/>
      <c r="CH4246"/>
      <c r="CI4246"/>
      <c r="CU4246" s="42">
        <v>4241</v>
      </c>
      <c r="CV4246" s="115">
        <v>4</v>
      </c>
      <c r="CW4246" s="115">
        <v>0.11332468572476186</v>
      </c>
      <c r="CX4246" s="115" t="e">
        <v>#N/A</v>
      </c>
      <c r="CY4246" s="115" t="e">
        <v>#N/A</v>
      </c>
      <c r="CZ4246" s="137" t="e">
        <v>#N/A</v>
      </c>
      <c r="DA4246">
        <v>0.11332468572476186</v>
      </c>
      <c r="DB4246" t="str">
        <v/>
      </c>
    </row>
    <row r="4247" spans="83:106" x14ac:dyDescent="0.2">
      <c r="CE4247"/>
      <c r="CF4247"/>
      <c r="CG4247"/>
      <c r="CH4247"/>
      <c r="CI4247"/>
      <c r="CU4247" s="42">
        <v>4242</v>
      </c>
      <c r="CV4247" s="115">
        <v>4</v>
      </c>
      <c r="CW4247" s="115">
        <v>0.11332468572476186</v>
      </c>
      <c r="CX4247" s="115" t="e">
        <v>#N/A</v>
      </c>
      <c r="CY4247" s="115" t="e">
        <v>#N/A</v>
      </c>
      <c r="CZ4247" s="137" t="e">
        <v>#N/A</v>
      </c>
      <c r="DA4247">
        <v>0.11332468572476186</v>
      </c>
      <c r="DB4247" t="str">
        <v/>
      </c>
    </row>
    <row r="4248" spans="83:106" x14ac:dyDescent="0.2">
      <c r="CE4248"/>
      <c r="CF4248"/>
      <c r="CG4248"/>
      <c r="CH4248"/>
      <c r="CI4248"/>
      <c r="CU4248" s="42">
        <v>4243</v>
      </c>
      <c r="CV4248" s="115">
        <v>4</v>
      </c>
      <c r="CW4248" s="115">
        <v>0.11332468572476186</v>
      </c>
      <c r="CX4248" s="115" t="e">
        <v>#N/A</v>
      </c>
      <c r="CY4248" s="115" t="e">
        <v>#N/A</v>
      </c>
      <c r="CZ4248" s="137" t="e">
        <v>#N/A</v>
      </c>
      <c r="DA4248">
        <v>0.11332468572476186</v>
      </c>
      <c r="DB4248" t="str">
        <v/>
      </c>
    </row>
    <row r="4249" spans="83:106" x14ac:dyDescent="0.2">
      <c r="CE4249"/>
      <c r="CF4249"/>
      <c r="CG4249"/>
      <c r="CH4249"/>
      <c r="CI4249"/>
      <c r="CU4249" s="42">
        <v>4244</v>
      </c>
      <c r="CV4249" s="115">
        <v>4</v>
      </c>
      <c r="CW4249" s="115">
        <v>0.11332468572476186</v>
      </c>
      <c r="CX4249" s="115" t="e">
        <v>#N/A</v>
      </c>
      <c r="CY4249" s="115" t="e">
        <v>#N/A</v>
      </c>
      <c r="CZ4249" s="137" t="e">
        <v>#N/A</v>
      </c>
      <c r="DA4249">
        <v>0.11332468572476186</v>
      </c>
      <c r="DB4249" t="str">
        <v/>
      </c>
    </row>
    <row r="4250" spans="83:106" x14ac:dyDescent="0.2">
      <c r="CE4250"/>
      <c r="CF4250"/>
      <c r="CG4250"/>
      <c r="CH4250"/>
      <c r="CI4250"/>
      <c r="CU4250" s="42">
        <v>4245</v>
      </c>
      <c r="CV4250" s="115">
        <v>4</v>
      </c>
      <c r="CW4250" s="115">
        <v>0.11332468572476186</v>
      </c>
      <c r="CX4250" s="115" t="e">
        <v>#N/A</v>
      </c>
      <c r="CY4250" s="115" t="e">
        <v>#N/A</v>
      </c>
      <c r="CZ4250" s="137" t="e">
        <v>#N/A</v>
      </c>
      <c r="DA4250">
        <v>0.11332468572476186</v>
      </c>
      <c r="DB4250" t="str">
        <v/>
      </c>
    </row>
    <row r="4251" spans="83:106" x14ac:dyDescent="0.2">
      <c r="CE4251"/>
      <c r="CF4251"/>
      <c r="CG4251"/>
      <c r="CH4251"/>
      <c r="CI4251"/>
      <c r="CU4251" s="42">
        <v>4246</v>
      </c>
      <c r="CV4251" s="115">
        <v>4</v>
      </c>
      <c r="CW4251" s="115">
        <v>0.11332468572476186</v>
      </c>
      <c r="CX4251" s="115" t="e">
        <v>#N/A</v>
      </c>
      <c r="CY4251" s="115" t="e">
        <v>#N/A</v>
      </c>
      <c r="CZ4251" s="137" t="e">
        <v>#N/A</v>
      </c>
      <c r="DA4251">
        <v>0.11332468572476186</v>
      </c>
      <c r="DB4251" t="str">
        <v/>
      </c>
    </row>
    <row r="4252" spans="83:106" x14ac:dyDescent="0.2">
      <c r="CE4252"/>
      <c r="CF4252"/>
      <c r="CG4252"/>
      <c r="CH4252"/>
      <c r="CI4252"/>
      <c r="CU4252" s="42">
        <v>4247</v>
      </c>
      <c r="CV4252" s="115">
        <v>4</v>
      </c>
      <c r="CW4252" s="115">
        <v>0.11332468572476186</v>
      </c>
      <c r="CX4252" s="115" t="e">
        <v>#N/A</v>
      </c>
      <c r="CY4252" s="115" t="e">
        <v>#N/A</v>
      </c>
      <c r="CZ4252" s="137" t="e">
        <v>#N/A</v>
      </c>
      <c r="DA4252">
        <v>0.11332468572476186</v>
      </c>
      <c r="DB4252" t="str">
        <v/>
      </c>
    </row>
    <row r="4253" spans="83:106" x14ac:dyDescent="0.2">
      <c r="CE4253"/>
      <c r="CF4253"/>
      <c r="CG4253"/>
      <c r="CH4253"/>
      <c r="CI4253"/>
      <c r="CU4253" s="42">
        <v>4248</v>
      </c>
      <c r="CV4253" s="115">
        <v>4</v>
      </c>
      <c r="CW4253" s="115">
        <v>0.11332468572476186</v>
      </c>
      <c r="CX4253" s="115" t="e">
        <v>#N/A</v>
      </c>
      <c r="CY4253" s="115" t="e">
        <v>#N/A</v>
      </c>
      <c r="CZ4253" s="137" t="e">
        <v>#N/A</v>
      </c>
      <c r="DA4253">
        <v>0.11332468572476186</v>
      </c>
      <c r="DB4253" t="str">
        <v/>
      </c>
    </row>
    <row r="4254" spans="83:106" x14ac:dyDescent="0.2">
      <c r="CE4254"/>
      <c r="CF4254"/>
      <c r="CG4254"/>
      <c r="CH4254"/>
      <c r="CI4254"/>
      <c r="CU4254" s="42">
        <v>4249</v>
      </c>
      <c r="CV4254" s="115">
        <v>4</v>
      </c>
      <c r="CW4254" s="115">
        <v>0.11332468572476186</v>
      </c>
      <c r="CX4254" s="115" t="e">
        <v>#N/A</v>
      </c>
      <c r="CY4254" s="115" t="e">
        <v>#N/A</v>
      </c>
      <c r="CZ4254" s="137" t="e">
        <v>#N/A</v>
      </c>
      <c r="DA4254">
        <v>0.11332468572476186</v>
      </c>
      <c r="DB4254" t="str">
        <v/>
      </c>
    </row>
    <row r="4255" spans="83:106" x14ac:dyDescent="0.2">
      <c r="CE4255"/>
      <c r="CF4255"/>
      <c r="CG4255"/>
      <c r="CH4255"/>
      <c r="CI4255"/>
      <c r="CU4255" s="42">
        <v>4250</v>
      </c>
      <c r="CV4255" s="115">
        <v>4</v>
      </c>
      <c r="CW4255" s="115">
        <v>0.11332468572476186</v>
      </c>
      <c r="CX4255" s="115" t="e">
        <v>#N/A</v>
      </c>
      <c r="CY4255" s="115" t="e">
        <v>#N/A</v>
      </c>
      <c r="CZ4255" s="137" t="e">
        <v>#N/A</v>
      </c>
      <c r="DA4255">
        <v>0.11332468572476186</v>
      </c>
      <c r="DB4255" t="str">
        <v/>
      </c>
    </row>
    <row r="4256" spans="83:106" x14ac:dyDescent="0.2">
      <c r="CE4256"/>
      <c r="CF4256"/>
      <c r="CG4256"/>
      <c r="CH4256"/>
      <c r="CI4256"/>
      <c r="CU4256" s="42">
        <v>4251</v>
      </c>
      <c r="CV4256" s="115">
        <v>4</v>
      </c>
      <c r="CW4256" s="115">
        <v>0.11332468572476186</v>
      </c>
      <c r="CX4256" s="115" t="e">
        <v>#N/A</v>
      </c>
      <c r="CY4256" s="115" t="e">
        <v>#N/A</v>
      </c>
      <c r="CZ4256" s="137" t="e">
        <v>#N/A</v>
      </c>
      <c r="DA4256">
        <v>0.11332468572476186</v>
      </c>
      <c r="DB4256" t="str">
        <v/>
      </c>
    </row>
    <row r="4257" spans="83:106" x14ac:dyDescent="0.2">
      <c r="CE4257"/>
      <c r="CF4257"/>
      <c r="CG4257"/>
      <c r="CH4257"/>
      <c r="CI4257"/>
      <c r="CU4257" s="42">
        <v>4252</v>
      </c>
      <c r="CV4257" s="115">
        <v>4</v>
      </c>
      <c r="CW4257" s="115">
        <v>0.11332468572476186</v>
      </c>
      <c r="CX4257" s="115" t="e">
        <v>#N/A</v>
      </c>
      <c r="CY4257" s="115" t="e">
        <v>#N/A</v>
      </c>
      <c r="CZ4257" s="137" t="e">
        <v>#N/A</v>
      </c>
      <c r="DA4257">
        <v>0.11332468572476186</v>
      </c>
      <c r="DB4257" t="str">
        <v/>
      </c>
    </row>
    <row r="4258" spans="83:106" x14ac:dyDescent="0.2">
      <c r="CE4258"/>
      <c r="CF4258"/>
      <c r="CG4258"/>
      <c r="CH4258"/>
      <c r="CI4258"/>
      <c r="CU4258" s="42">
        <v>4253</v>
      </c>
      <c r="CV4258" s="115">
        <v>4</v>
      </c>
      <c r="CW4258" s="115">
        <v>0.11332468572476186</v>
      </c>
      <c r="CX4258" s="115" t="e">
        <v>#N/A</v>
      </c>
      <c r="CY4258" s="115" t="e">
        <v>#N/A</v>
      </c>
      <c r="CZ4258" s="137" t="e">
        <v>#N/A</v>
      </c>
      <c r="DA4258">
        <v>0.11332468572476186</v>
      </c>
      <c r="DB4258" t="str">
        <v/>
      </c>
    </row>
    <row r="4259" spans="83:106" x14ac:dyDescent="0.2">
      <c r="CE4259"/>
      <c r="CF4259"/>
      <c r="CG4259"/>
      <c r="CH4259"/>
      <c r="CI4259"/>
      <c r="CU4259" s="42">
        <v>4254</v>
      </c>
      <c r="CV4259" s="115">
        <v>4</v>
      </c>
      <c r="CW4259" s="115">
        <v>0.11332468572476186</v>
      </c>
      <c r="CX4259" s="115" t="e">
        <v>#N/A</v>
      </c>
      <c r="CY4259" s="115" t="e">
        <v>#N/A</v>
      </c>
      <c r="CZ4259" s="137" t="e">
        <v>#N/A</v>
      </c>
      <c r="DA4259">
        <v>0.11332468572476186</v>
      </c>
      <c r="DB4259" t="str">
        <v/>
      </c>
    </row>
    <row r="4260" spans="83:106" x14ac:dyDescent="0.2">
      <c r="CE4260"/>
      <c r="CF4260"/>
      <c r="CG4260"/>
      <c r="CH4260"/>
      <c r="CI4260"/>
      <c r="CU4260" s="42">
        <v>4255</v>
      </c>
      <c r="CV4260" s="115">
        <v>4</v>
      </c>
      <c r="CW4260" s="115">
        <v>0.11332468572476186</v>
      </c>
      <c r="CX4260" s="115" t="e">
        <v>#N/A</v>
      </c>
      <c r="CY4260" s="115" t="e">
        <v>#N/A</v>
      </c>
      <c r="CZ4260" s="137" t="e">
        <v>#N/A</v>
      </c>
      <c r="DA4260">
        <v>0.11332468572476186</v>
      </c>
      <c r="DB4260" t="str">
        <v/>
      </c>
    </row>
    <row r="4261" spans="83:106" x14ac:dyDescent="0.2">
      <c r="CE4261"/>
      <c r="CF4261"/>
      <c r="CG4261"/>
      <c r="CH4261"/>
      <c r="CI4261"/>
      <c r="CU4261" s="42">
        <v>4256</v>
      </c>
      <c r="CV4261" s="115">
        <v>4</v>
      </c>
      <c r="CW4261" s="115">
        <v>0.11332468572476186</v>
      </c>
      <c r="CX4261" s="115" t="e">
        <v>#N/A</v>
      </c>
      <c r="CY4261" s="115" t="e">
        <v>#N/A</v>
      </c>
      <c r="CZ4261" s="137" t="e">
        <v>#N/A</v>
      </c>
      <c r="DA4261">
        <v>0.11332468572476186</v>
      </c>
      <c r="DB4261" t="str">
        <v/>
      </c>
    </row>
    <row r="4262" spans="83:106" x14ac:dyDescent="0.2">
      <c r="CE4262"/>
      <c r="CF4262"/>
      <c r="CG4262"/>
      <c r="CH4262"/>
      <c r="CI4262"/>
      <c r="CU4262" s="42">
        <v>4257</v>
      </c>
      <c r="CV4262" s="115">
        <v>4</v>
      </c>
      <c r="CW4262" s="115">
        <v>0.11332468572476186</v>
      </c>
      <c r="CX4262" s="115" t="e">
        <v>#N/A</v>
      </c>
      <c r="CY4262" s="115" t="e">
        <v>#N/A</v>
      </c>
      <c r="CZ4262" s="137" t="e">
        <v>#N/A</v>
      </c>
      <c r="DA4262">
        <v>0.11332468572476186</v>
      </c>
      <c r="DB4262" t="str">
        <v/>
      </c>
    </row>
    <row r="4263" spans="83:106" x14ac:dyDescent="0.2">
      <c r="CE4263"/>
      <c r="CF4263"/>
      <c r="CG4263"/>
      <c r="CH4263"/>
      <c r="CI4263"/>
      <c r="CU4263" s="42">
        <v>4258</v>
      </c>
      <c r="CV4263" s="115">
        <v>4</v>
      </c>
      <c r="CW4263" s="115">
        <v>0.11332468572476186</v>
      </c>
      <c r="CX4263" s="115" t="e">
        <v>#N/A</v>
      </c>
      <c r="CY4263" s="115" t="e">
        <v>#N/A</v>
      </c>
      <c r="CZ4263" s="137" t="e">
        <v>#N/A</v>
      </c>
      <c r="DA4263">
        <v>0.11332468572476186</v>
      </c>
      <c r="DB4263" t="str">
        <v/>
      </c>
    </row>
    <row r="4264" spans="83:106" x14ac:dyDescent="0.2">
      <c r="CE4264"/>
      <c r="CF4264"/>
      <c r="CG4264"/>
      <c r="CH4264"/>
      <c r="CI4264"/>
      <c r="CU4264" s="42">
        <v>4259</v>
      </c>
      <c r="CV4264" s="115">
        <v>4</v>
      </c>
      <c r="CW4264" s="115">
        <v>0.11332468572476186</v>
      </c>
      <c r="CX4264" s="115" t="e">
        <v>#N/A</v>
      </c>
      <c r="CY4264" s="115" t="e">
        <v>#N/A</v>
      </c>
      <c r="CZ4264" s="137" t="e">
        <v>#N/A</v>
      </c>
      <c r="DA4264">
        <v>0.11332468572476186</v>
      </c>
      <c r="DB4264" t="str">
        <v/>
      </c>
    </row>
    <row r="4265" spans="83:106" x14ac:dyDescent="0.2">
      <c r="CE4265"/>
      <c r="CF4265"/>
      <c r="CG4265"/>
      <c r="CH4265"/>
      <c r="CI4265"/>
      <c r="CU4265" s="42">
        <v>4260</v>
      </c>
      <c r="CV4265" s="115">
        <v>4</v>
      </c>
      <c r="CW4265" s="115">
        <v>0.11332468572476186</v>
      </c>
      <c r="CX4265" s="115" t="e">
        <v>#N/A</v>
      </c>
      <c r="CY4265" s="115" t="e">
        <v>#N/A</v>
      </c>
      <c r="CZ4265" s="137" t="e">
        <v>#N/A</v>
      </c>
      <c r="DA4265">
        <v>0.11332468572476186</v>
      </c>
      <c r="DB4265" t="str">
        <v/>
      </c>
    </row>
    <row r="4266" spans="83:106" x14ac:dyDescent="0.2">
      <c r="CE4266"/>
      <c r="CF4266"/>
      <c r="CG4266"/>
      <c r="CH4266"/>
      <c r="CI4266"/>
      <c r="CU4266" s="42">
        <v>4261</v>
      </c>
      <c r="CV4266" s="115">
        <v>4</v>
      </c>
      <c r="CW4266" s="115">
        <v>0.11332468572476186</v>
      </c>
      <c r="CX4266" s="115" t="e">
        <v>#N/A</v>
      </c>
      <c r="CY4266" s="115" t="e">
        <v>#N/A</v>
      </c>
      <c r="CZ4266" s="137" t="e">
        <v>#N/A</v>
      </c>
      <c r="DA4266">
        <v>0.11332468572476186</v>
      </c>
      <c r="DB4266" t="str">
        <v/>
      </c>
    </row>
    <row r="4267" spans="83:106" x14ac:dyDescent="0.2">
      <c r="CE4267"/>
      <c r="CF4267"/>
      <c r="CG4267"/>
      <c r="CH4267"/>
      <c r="CI4267"/>
      <c r="CU4267" s="42">
        <v>4262</v>
      </c>
      <c r="CV4267" s="115">
        <v>4</v>
      </c>
      <c r="CW4267" s="115">
        <v>0.11332468572476186</v>
      </c>
      <c r="CX4267" s="115" t="e">
        <v>#N/A</v>
      </c>
      <c r="CY4267" s="115" t="e">
        <v>#N/A</v>
      </c>
      <c r="CZ4267" s="137" t="e">
        <v>#N/A</v>
      </c>
      <c r="DA4267">
        <v>0.11332468572476186</v>
      </c>
      <c r="DB4267" t="str">
        <v/>
      </c>
    </row>
    <row r="4268" spans="83:106" x14ac:dyDescent="0.2">
      <c r="CE4268"/>
      <c r="CF4268"/>
      <c r="CG4268"/>
      <c r="CH4268"/>
      <c r="CI4268"/>
      <c r="CU4268" s="42">
        <v>4263</v>
      </c>
      <c r="CV4268" s="115">
        <v>4</v>
      </c>
      <c r="CW4268" s="115">
        <v>0.11332468572476186</v>
      </c>
      <c r="CX4268" s="115" t="e">
        <v>#N/A</v>
      </c>
      <c r="CY4268" s="115" t="e">
        <v>#N/A</v>
      </c>
      <c r="CZ4268" s="137" t="e">
        <v>#N/A</v>
      </c>
      <c r="DA4268">
        <v>0.11332468572476186</v>
      </c>
      <c r="DB4268" t="str">
        <v/>
      </c>
    </row>
    <row r="4269" spans="83:106" x14ac:dyDescent="0.2">
      <c r="CE4269"/>
      <c r="CF4269"/>
      <c r="CG4269"/>
      <c r="CH4269"/>
      <c r="CI4269"/>
      <c r="CU4269" s="42">
        <v>4264</v>
      </c>
      <c r="CV4269" s="115">
        <v>4</v>
      </c>
      <c r="CW4269" s="115">
        <v>0.11332468572476186</v>
      </c>
      <c r="CX4269" s="115" t="e">
        <v>#N/A</v>
      </c>
      <c r="CY4269" s="115" t="e">
        <v>#N/A</v>
      </c>
      <c r="CZ4269" s="137" t="e">
        <v>#N/A</v>
      </c>
      <c r="DA4269">
        <v>0.11332468572476186</v>
      </c>
      <c r="DB4269" t="str">
        <v/>
      </c>
    </row>
    <row r="4270" spans="83:106" x14ac:dyDescent="0.2">
      <c r="CE4270"/>
      <c r="CF4270"/>
      <c r="CG4270"/>
      <c r="CH4270"/>
      <c r="CI4270"/>
      <c r="CU4270" s="42">
        <v>4265</v>
      </c>
      <c r="CV4270" s="115">
        <v>4</v>
      </c>
      <c r="CW4270" s="115">
        <v>0.11332468572476186</v>
      </c>
      <c r="CX4270" s="115" t="e">
        <v>#N/A</v>
      </c>
      <c r="CY4270" s="115" t="e">
        <v>#N/A</v>
      </c>
      <c r="CZ4270" s="137" t="e">
        <v>#N/A</v>
      </c>
      <c r="DA4270">
        <v>0.11332468572476186</v>
      </c>
      <c r="DB4270" t="str">
        <v/>
      </c>
    </row>
    <row r="4271" spans="83:106" x14ac:dyDescent="0.2">
      <c r="CE4271"/>
      <c r="CF4271"/>
      <c r="CG4271"/>
      <c r="CH4271"/>
      <c r="CI4271"/>
      <c r="CU4271" s="42">
        <v>4266</v>
      </c>
      <c r="CV4271" s="115">
        <v>4</v>
      </c>
      <c r="CW4271" s="115">
        <v>0.11332468572476186</v>
      </c>
      <c r="CX4271" s="115" t="e">
        <v>#N/A</v>
      </c>
      <c r="CY4271" s="115" t="e">
        <v>#N/A</v>
      </c>
      <c r="CZ4271" s="137" t="e">
        <v>#N/A</v>
      </c>
      <c r="DA4271">
        <v>0.11332468572476186</v>
      </c>
      <c r="DB4271" t="str">
        <v/>
      </c>
    </row>
    <row r="4272" spans="83:106" x14ac:dyDescent="0.2">
      <c r="CE4272"/>
      <c r="CF4272"/>
      <c r="CG4272"/>
      <c r="CH4272"/>
      <c r="CI4272"/>
      <c r="CU4272" s="42">
        <v>4267</v>
      </c>
      <c r="CV4272" s="115">
        <v>4</v>
      </c>
      <c r="CW4272" s="115">
        <v>0.11332468572476186</v>
      </c>
      <c r="CX4272" s="115" t="e">
        <v>#N/A</v>
      </c>
      <c r="CY4272" s="115" t="e">
        <v>#N/A</v>
      </c>
      <c r="CZ4272" s="137" t="e">
        <v>#N/A</v>
      </c>
      <c r="DA4272">
        <v>0.11332468572476186</v>
      </c>
      <c r="DB4272" t="str">
        <v/>
      </c>
    </row>
    <row r="4273" spans="83:106" x14ac:dyDescent="0.2">
      <c r="CE4273"/>
      <c r="CF4273"/>
      <c r="CG4273"/>
      <c r="CH4273"/>
      <c r="CI4273"/>
      <c r="CU4273" s="42">
        <v>4268</v>
      </c>
      <c r="CV4273" s="115">
        <v>4</v>
      </c>
      <c r="CW4273" s="115">
        <v>0.11332468572476186</v>
      </c>
      <c r="CX4273" s="115" t="e">
        <v>#N/A</v>
      </c>
      <c r="CY4273" s="115" t="e">
        <v>#N/A</v>
      </c>
      <c r="CZ4273" s="137" t="e">
        <v>#N/A</v>
      </c>
      <c r="DA4273">
        <v>0.11332468572476186</v>
      </c>
      <c r="DB4273" t="str">
        <v/>
      </c>
    </row>
    <row r="4274" spans="83:106" x14ac:dyDescent="0.2">
      <c r="CE4274"/>
      <c r="CF4274"/>
      <c r="CG4274"/>
      <c r="CH4274"/>
      <c r="CI4274"/>
      <c r="CU4274" s="42">
        <v>4269</v>
      </c>
      <c r="CV4274" s="115">
        <v>4</v>
      </c>
      <c r="CW4274" s="115">
        <v>0.11332468572476186</v>
      </c>
      <c r="CX4274" s="115" t="e">
        <v>#N/A</v>
      </c>
      <c r="CY4274" s="115" t="e">
        <v>#N/A</v>
      </c>
      <c r="CZ4274" s="137" t="e">
        <v>#N/A</v>
      </c>
      <c r="DA4274">
        <v>0.11332468572476186</v>
      </c>
      <c r="DB4274" t="str">
        <v/>
      </c>
    </row>
    <row r="4275" spans="83:106" x14ac:dyDescent="0.2">
      <c r="CE4275"/>
      <c r="CF4275"/>
      <c r="CG4275"/>
      <c r="CH4275"/>
      <c r="CI4275"/>
      <c r="CU4275" s="42">
        <v>4270</v>
      </c>
      <c r="CV4275" s="115">
        <v>4</v>
      </c>
      <c r="CW4275" s="115">
        <v>0.11332468572476186</v>
      </c>
      <c r="CX4275" s="115" t="e">
        <v>#N/A</v>
      </c>
      <c r="CY4275" s="115" t="e">
        <v>#N/A</v>
      </c>
      <c r="CZ4275" s="137" t="e">
        <v>#N/A</v>
      </c>
      <c r="DA4275">
        <v>0.11332468572476186</v>
      </c>
      <c r="DB4275" t="str">
        <v/>
      </c>
    </row>
    <row r="4276" spans="83:106" x14ac:dyDescent="0.2">
      <c r="CE4276"/>
      <c r="CF4276"/>
      <c r="CG4276"/>
      <c r="CH4276"/>
      <c r="CI4276"/>
      <c r="CU4276" s="42">
        <v>4271</v>
      </c>
      <c r="CV4276" s="115">
        <v>4</v>
      </c>
      <c r="CW4276" s="115">
        <v>0.11332468572476186</v>
      </c>
      <c r="CX4276" s="115" t="e">
        <v>#N/A</v>
      </c>
      <c r="CY4276" s="115" t="e">
        <v>#N/A</v>
      </c>
      <c r="CZ4276" s="137" t="e">
        <v>#N/A</v>
      </c>
      <c r="DA4276">
        <v>0.11332468572476186</v>
      </c>
      <c r="DB4276" t="str">
        <v/>
      </c>
    </row>
    <row r="4277" spans="83:106" x14ac:dyDescent="0.2">
      <c r="CE4277"/>
      <c r="CF4277"/>
      <c r="CG4277"/>
      <c r="CH4277"/>
      <c r="CI4277"/>
      <c r="CU4277" s="42">
        <v>4272</v>
      </c>
      <c r="CV4277" s="115">
        <v>4</v>
      </c>
      <c r="CW4277" s="115">
        <v>0.11332468572476186</v>
      </c>
      <c r="CX4277" s="115" t="e">
        <v>#N/A</v>
      </c>
      <c r="CY4277" s="115" t="e">
        <v>#N/A</v>
      </c>
      <c r="CZ4277" s="137" t="e">
        <v>#N/A</v>
      </c>
      <c r="DA4277">
        <v>0.11332468572476186</v>
      </c>
      <c r="DB4277" t="str">
        <v/>
      </c>
    </row>
    <row r="4278" spans="83:106" x14ac:dyDescent="0.2">
      <c r="CE4278"/>
      <c r="CF4278"/>
      <c r="CG4278"/>
      <c r="CH4278"/>
      <c r="CI4278"/>
      <c r="CU4278" s="42">
        <v>4273</v>
      </c>
      <c r="CV4278" s="115">
        <v>4</v>
      </c>
      <c r="CW4278" s="115">
        <v>0.11332468572476186</v>
      </c>
      <c r="CX4278" s="115" t="e">
        <v>#N/A</v>
      </c>
      <c r="CY4278" s="115" t="e">
        <v>#N/A</v>
      </c>
      <c r="CZ4278" s="137" t="e">
        <v>#N/A</v>
      </c>
      <c r="DA4278">
        <v>0.11332468572476186</v>
      </c>
      <c r="DB4278" t="str">
        <v/>
      </c>
    </row>
    <row r="4279" spans="83:106" x14ac:dyDescent="0.2">
      <c r="CE4279"/>
      <c r="CF4279"/>
      <c r="CG4279"/>
      <c r="CH4279"/>
      <c r="CI4279"/>
      <c r="CU4279" s="42">
        <v>4274</v>
      </c>
      <c r="CV4279" s="115">
        <v>4</v>
      </c>
      <c r="CW4279" s="115">
        <v>0.11332468572476186</v>
      </c>
      <c r="CX4279" s="115" t="e">
        <v>#N/A</v>
      </c>
      <c r="CY4279" s="115" t="e">
        <v>#N/A</v>
      </c>
      <c r="CZ4279" s="137" t="e">
        <v>#N/A</v>
      </c>
      <c r="DA4279">
        <v>0.11332468572476186</v>
      </c>
      <c r="DB4279" t="str">
        <v/>
      </c>
    </row>
    <row r="4280" spans="83:106" x14ac:dyDescent="0.2">
      <c r="CE4280"/>
      <c r="CF4280"/>
      <c r="CG4280"/>
      <c r="CH4280"/>
      <c r="CI4280"/>
      <c r="CU4280" s="42">
        <v>4275</v>
      </c>
      <c r="CV4280" s="115">
        <v>4</v>
      </c>
      <c r="CW4280" s="115">
        <v>0.11332468572476186</v>
      </c>
      <c r="CX4280" s="115" t="e">
        <v>#N/A</v>
      </c>
      <c r="CY4280" s="115" t="e">
        <v>#N/A</v>
      </c>
      <c r="CZ4280" s="137" t="e">
        <v>#N/A</v>
      </c>
      <c r="DA4280">
        <v>0.11332468572476186</v>
      </c>
      <c r="DB4280" t="str">
        <v/>
      </c>
    </row>
    <row r="4281" spans="83:106" x14ac:dyDescent="0.2">
      <c r="CE4281"/>
      <c r="CF4281"/>
      <c r="CG4281"/>
      <c r="CH4281"/>
      <c r="CI4281"/>
      <c r="CU4281" s="42">
        <v>4276</v>
      </c>
      <c r="CV4281" s="115">
        <v>4</v>
      </c>
      <c r="CW4281" s="115">
        <v>0.11332468572476186</v>
      </c>
      <c r="CX4281" s="115" t="e">
        <v>#N/A</v>
      </c>
      <c r="CY4281" s="115" t="e">
        <v>#N/A</v>
      </c>
      <c r="CZ4281" s="137" t="e">
        <v>#N/A</v>
      </c>
      <c r="DA4281">
        <v>0.11332468572476186</v>
      </c>
      <c r="DB4281" t="str">
        <v/>
      </c>
    </row>
    <row r="4282" spans="83:106" x14ac:dyDescent="0.2">
      <c r="CE4282"/>
      <c r="CF4282"/>
      <c r="CG4282"/>
      <c r="CH4282"/>
      <c r="CI4282"/>
      <c r="CU4282" s="42">
        <v>4277</v>
      </c>
      <c r="CV4282" s="115">
        <v>4</v>
      </c>
      <c r="CW4282" s="115">
        <v>0.11332468572476186</v>
      </c>
      <c r="CX4282" s="115" t="e">
        <v>#N/A</v>
      </c>
      <c r="CY4282" s="115" t="e">
        <v>#N/A</v>
      </c>
      <c r="CZ4282" s="137" t="e">
        <v>#N/A</v>
      </c>
      <c r="DA4282">
        <v>0.11332468572476186</v>
      </c>
      <c r="DB4282" t="str">
        <v/>
      </c>
    </row>
    <row r="4283" spans="83:106" x14ac:dyDescent="0.2">
      <c r="CE4283"/>
      <c r="CF4283"/>
      <c r="CG4283"/>
      <c r="CH4283"/>
      <c r="CI4283"/>
      <c r="CU4283" s="42">
        <v>4278</v>
      </c>
      <c r="CV4283" s="115">
        <v>4</v>
      </c>
      <c r="CW4283" s="115">
        <v>0.11332468572476186</v>
      </c>
      <c r="CX4283" s="115" t="e">
        <v>#N/A</v>
      </c>
      <c r="CY4283" s="115" t="e">
        <v>#N/A</v>
      </c>
      <c r="CZ4283" s="137" t="e">
        <v>#N/A</v>
      </c>
      <c r="DA4283">
        <v>0.11332468572476186</v>
      </c>
      <c r="DB4283" t="str">
        <v/>
      </c>
    </row>
    <row r="4284" spans="83:106" x14ac:dyDescent="0.2">
      <c r="CE4284"/>
      <c r="CF4284"/>
      <c r="CG4284"/>
      <c r="CH4284"/>
      <c r="CI4284"/>
      <c r="CU4284" s="42">
        <v>4279</v>
      </c>
      <c r="CV4284" s="115">
        <v>4</v>
      </c>
      <c r="CW4284" s="115">
        <v>0.11332468572476186</v>
      </c>
      <c r="CX4284" s="115" t="e">
        <v>#N/A</v>
      </c>
      <c r="CY4284" s="115" t="e">
        <v>#N/A</v>
      </c>
      <c r="CZ4284" s="137" t="e">
        <v>#N/A</v>
      </c>
      <c r="DA4284">
        <v>0.11332468572476186</v>
      </c>
      <c r="DB4284" t="str">
        <v/>
      </c>
    </row>
    <row r="4285" spans="83:106" x14ac:dyDescent="0.2">
      <c r="CE4285"/>
      <c r="CF4285"/>
      <c r="CG4285"/>
      <c r="CH4285"/>
      <c r="CI4285"/>
      <c r="CU4285" s="42">
        <v>4280</v>
      </c>
      <c r="CV4285" s="115">
        <v>4</v>
      </c>
      <c r="CW4285" s="115">
        <v>0.11332468572476186</v>
      </c>
      <c r="CX4285" s="115" t="e">
        <v>#N/A</v>
      </c>
      <c r="CY4285" s="115" t="e">
        <v>#N/A</v>
      </c>
      <c r="CZ4285" s="137" t="e">
        <v>#N/A</v>
      </c>
      <c r="DA4285">
        <v>0.11332468572476186</v>
      </c>
      <c r="DB4285" t="str">
        <v/>
      </c>
    </row>
    <row r="4286" spans="83:106" x14ac:dyDescent="0.2">
      <c r="CE4286"/>
      <c r="CF4286"/>
      <c r="CG4286"/>
      <c r="CH4286"/>
      <c r="CI4286"/>
      <c r="CU4286" s="42">
        <v>4281</v>
      </c>
      <c r="CV4286" s="115">
        <v>4</v>
      </c>
      <c r="CW4286" s="115">
        <v>0.11332468572476186</v>
      </c>
      <c r="CX4286" s="115" t="e">
        <v>#N/A</v>
      </c>
      <c r="CY4286" s="115" t="e">
        <v>#N/A</v>
      </c>
      <c r="CZ4286" s="137" t="e">
        <v>#N/A</v>
      </c>
      <c r="DA4286">
        <v>0.11332468572476186</v>
      </c>
      <c r="DB4286" t="str">
        <v/>
      </c>
    </row>
    <row r="4287" spans="83:106" x14ac:dyDescent="0.2">
      <c r="CE4287"/>
      <c r="CF4287"/>
      <c r="CG4287"/>
      <c r="CH4287"/>
      <c r="CI4287"/>
      <c r="CU4287" s="42">
        <v>4282</v>
      </c>
      <c r="CV4287" s="115">
        <v>4</v>
      </c>
      <c r="CW4287" s="115">
        <v>0.11332468572476186</v>
      </c>
      <c r="CX4287" s="115" t="e">
        <v>#N/A</v>
      </c>
      <c r="CY4287" s="115" t="e">
        <v>#N/A</v>
      </c>
      <c r="CZ4287" s="137" t="e">
        <v>#N/A</v>
      </c>
      <c r="DA4287">
        <v>0.11332468572476186</v>
      </c>
      <c r="DB4287" t="str">
        <v/>
      </c>
    </row>
    <row r="4288" spans="83:106" x14ac:dyDescent="0.2">
      <c r="CE4288"/>
      <c r="CF4288"/>
      <c r="CG4288"/>
      <c r="CH4288"/>
      <c r="CI4288"/>
      <c r="CU4288" s="42">
        <v>4283</v>
      </c>
      <c r="CV4288" s="115">
        <v>4</v>
      </c>
      <c r="CW4288" s="115">
        <v>0.11332468572476186</v>
      </c>
      <c r="CX4288" s="115" t="e">
        <v>#N/A</v>
      </c>
      <c r="CY4288" s="115" t="e">
        <v>#N/A</v>
      </c>
      <c r="CZ4288" s="137" t="e">
        <v>#N/A</v>
      </c>
      <c r="DA4288">
        <v>0.11332468572476186</v>
      </c>
      <c r="DB4288" t="str">
        <v/>
      </c>
    </row>
    <row r="4289" spans="83:106" x14ac:dyDescent="0.2">
      <c r="CE4289"/>
      <c r="CF4289"/>
      <c r="CG4289"/>
      <c r="CH4289"/>
      <c r="CI4289"/>
      <c r="CU4289" s="42">
        <v>4284</v>
      </c>
      <c r="CV4289" s="115">
        <v>4</v>
      </c>
      <c r="CW4289" s="115">
        <v>0.11332468572476186</v>
      </c>
      <c r="CX4289" s="115" t="e">
        <v>#N/A</v>
      </c>
      <c r="CY4289" s="115" t="e">
        <v>#N/A</v>
      </c>
      <c r="CZ4289" s="137" t="e">
        <v>#N/A</v>
      </c>
      <c r="DA4289">
        <v>0.11332468572476186</v>
      </c>
      <c r="DB4289" t="str">
        <v/>
      </c>
    </row>
    <row r="4290" spans="83:106" x14ac:dyDescent="0.2">
      <c r="CE4290"/>
      <c r="CF4290"/>
      <c r="CG4290"/>
      <c r="CH4290"/>
      <c r="CI4290"/>
      <c r="CU4290" s="42">
        <v>4285</v>
      </c>
      <c r="CV4290" s="115">
        <v>4</v>
      </c>
      <c r="CW4290" s="115">
        <v>0.11332468572476186</v>
      </c>
      <c r="CX4290" s="115" t="e">
        <v>#N/A</v>
      </c>
      <c r="CY4290" s="115" t="e">
        <v>#N/A</v>
      </c>
      <c r="CZ4290" s="137" t="e">
        <v>#N/A</v>
      </c>
      <c r="DA4290">
        <v>0.11332468572476186</v>
      </c>
      <c r="DB4290" t="str">
        <v/>
      </c>
    </row>
    <row r="4291" spans="83:106" x14ac:dyDescent="0.2">
      <c r="CE4291"/>
      <c r="CF4291"/>
      <c r="CG4291"/>
      <c r="CH4291"/>
      <c r="CI4291"/>
      <c r="CU4291" s="42">
        <v>4286</v>
      </c>
      <c r="CV4291" s="115">
        <v>4</v>
      </c>
      <c r="CW4291" s="115">
        <v>0.11332468572476186</v>
      </c>
      <c r="CX4291" s="115" t="e">
        <v>#N/A</v>
      </c>
      <c r="CY4291" s="115" t="e">
        <v>#N/A</v>
      </c>
      <c r="CZ4291" s="137" t="e">
        <v>#N/A</v>
      </c>
      <c r="DA4291">
        <v>0.11332468572476186</v>
      </c>
      <c r="DB4291" t="str">
        <v/>
      </c>
    </row>
    <row r="4292" spans="83:106" x14ac:dyDescent="0.2">
      <c r="CE4292"/>
      <c r="CF4292"/>
      <c r="CG4292"/>
      <c r="CH4292"/>
      <c r="CI4292"/>
      <c r="CU4292" s="42">
        <v>4287</v>
      </c>
      <c r="CV4292" s="115">
        <v>4</v>
      </c>
      <c r="CW4292" s="115">
        <v>0.11332468572476186</v>
      </c>
      <c r="CX4292" s="115" t="e">
        <v>#N/A</v>
      </c>
      <c r="CY4292" s="115" t="e">
        <v>#N/A</v>
      </c>
      <c r="CZ4292" s="137" t="e">
        <v>#N/A</v>
      </c>
      <c r="DA4292">
        <v>0.11332468572476186</v>
      </c>
      <c r="DB4292" t="str">
        <v/>
      </c>
    </row>
    <row r="4293" spans="83:106" x14ac:dyDescent="0.2">
      <c r="CE4293"/>
      <c r="CF4293"/>
      <c r="CG4293"/>
      <c r="CH4293"/>
      <c r="CI4293"/>
      <c r="CU4293" s="42">
        <v>4288</v>
      </c>
      <c r="CV4293" s="115">
        <v>4</v>
      </c>
      <c r="CW4293" s="115">
        <v>0.11332468572476186</v>
      </c>
      <c r="CX4293" s="115" t="e">
        <v>#N/A</v>
      </c>
      <c r="CY4293" s="115" t="e">
        <v>#N/A</v>
      </c>
      <c r="CZ4293" s="137" t="e">
        <v>#N/A</v>
      </c>
      <c r="DA4293">
        <v>0.11332468572476186</v>
      </c>
      <c r="DB4293" t="str">
        <v/>
      </c>
    </row>
    <row r="4294" spans="83:106" x14ac:dyDescent="0.2">
      <c r="CE4294"/>
      <c r="CF4294"/>
      <c r="CG4294"/>
      <c r="CH4294"/>
      <c r="CI4294"/>
      <c r="CU4294" s="42">
        <v>4289</v>
      </c>
      <c r="CV4294" s="115">
        <v>4</v>
      </c>
      <c r="CW4294" s="115">
        <v>0.11332468572476186</v>
      </c>
      <c r="CX4294" s="115" t="e">
        <v>#N/A</v>
      </c>
      <c r="CY4294" s="115" t="e">
        <v>#N/A</v>
      </c>
      <c r="CZ4294" s="137" t="e">
        <v>#N/A</v>
      </c>
      <c r="DA4294">
        <v>0.11332468572476186</v>
      </c>
      <c r="DB4294" t="str">
        <v/>
      </c>
    </row>
    <row r="4295" spans="83:106" x14ac:dyDescent="0.2">
      <c r="CE4295"/>
      <c r="CF4295"/>
      <c r="CG4295"/>
      <c r="CH4295"/>
      <c r="CI4295"/>
      <c r="CU4295" s="42">
        <v>4290</v>
      </c>
      <c r="CV4295" s="115">
        <v>4</v>
      </c>
      <c r="CW4295" s="115">
        <v>0.11332468572476186</v>
      </c>
      <c r="CX4295" s="115" t="e">
        <v>#N/A</v>
      </c>
      <c r="CY4295" s="115" t="e">
        <v>#N/A</v>
      </c>
      <c r="CZ4295" s="137" t="e">
        <v>#N/A</v>
      </c>
      <c r="DA4295">
        <v>0.11332468572476186</v>
      </c>
      <c r="DB4295" t="str">
        <v/>
      </c>
    </row>
    <row r="4296" spans="83:106" x14ac:dyDescent="0.2">
      <c r="CE4296"/>
      <c r="CF4296"/>
      <c r="CG4296"/>
      <c r="CH4296"/>
      <c r="CI4296"/>
      <c r="CU4296" s="42">
        <v>4291</v>
      </c>
      <c r="CV4296" s="115">
        <v>4</v>
      </c>
      <c r="CW4296" s="115">
        <v>0.11332468572476186</v>
      </c>
      <c r="CX4296" s="115" t="e">
        <v>#N/A</v>
      </c>
      <c r="CY4296" s="115" t="e">
        <v>#N/A</v>
      </c>
      <c r="CZ4296" s="137" t="e">
        <v>#N/A</v>
      </c>
      <c r="DA4296">
        <v>0.11332468572476186</v>
      </c>
      <c r="DB4296" t="str">
        <v/>
      </c>
    </row>
    <row r="4297" spans="83:106" x14ac:dyDescent="0.2">
      <c r="CE4297"/>
      <c r="CF4297"/>
      <c r="CG4297"/>
      <c r="CH4297"/>
      <c r="CI4297"/>
      <c r="CU4297" s="42">
        <v>4292</v>
      </c>
      <c r="CV4297" s="115">
        <v>4</v>
      </c>
      <c r="CW4297" s="115">
        <v>0.11332468572476186</v>
      </c>
      <c r="CX4297" s="115" t="e">
        <v>#N/A</v>
      </c>
      <c r="CY4297" s="115" t="e">
        <v>#N/A</v>
      </c>
      <c r="CZ4297" s="137" t="e">
        <v>#N/A</v>
      </c>
      <c r="DA4297">
        <v>0.11332468572476186</v>
      </c>
      <c r="DB4297" t="str">
        <v/>
      </c>
    </row>
    <row r="4298" spans="83:106" x14ac:dyDescent="0.2">
      <c r="CE4298"/>
      <c r="CF4298"/>
      <c r="CG4298"/>
      <c r="CH4298"/>
      <c r="CI4298"/>
      <c r="CU4298" s="42">
        <v>4293</v>
      </c>
      <c r="CV4298" s="115">
        <v>4</v>
      </c>
      <c r="CW4298" s="115">
        <v>0.11332468572476186</v>
      </c>
      <c r="CX4298" s="115" t="e">
        <v>#N/A</v>
      </c>
      <c r="CY4298" s="115" t="e">
        <v>#N/A</v>
      </c>
      <c r="CZ4298" s="137" t="e">
        <v>#N/A</v>
      </c>
      <c r="DA4298">
        <v>0.11332468572476186</v>
      </c>
      <c r="DB4298" t="str">
        <v/>
      </c>
    </row>
    <row r="4299" spans="83:106" x14ac:dyDescent="0.2">
      <c r="CE4299"/>
      <c r="CF4299"/>
      <c r="CG4299"/>
      <c r="CH4299"/>
      <c r="CI4299"/>
      <c r="CU4299" s="42">
        <v>4294</v>
      </c>
      <c r="CV4299" s="115">
        <v>4</v>
      </c>
      <c r="CW4299" s="115">
        <v>0.11332468572476186</v>
      </c>
      <c r="CX4299" s="115" t="e">
        <v>#N/A</v>
      </c>
      <c r="CY4299" s="115" t="e">
        <v>#N/A</v>
      </c>
      <c r="CZ4299" s="137" t="e">
        <v>#N/A</v>
      </c>
      <c r="DA4299">
        <v>0.11332468572476186</v>
      </c>
      <c r="DB4299" t="str">
        <v/>
      </c>
    </row>
    <row r="4300" spans="83:106" x14ac:dyDescent="0.2">
      <c r="CE4300"/>
      <c r="CF4300"/>
      <c r="CG4300"/>
      <c r="CH4300"/>
      <c r="CI4300"/>
      <c r="CU4300" s="42">
        <v>4295</v>
      </c>
      <c r="CV4300" s="115">
        <v>4</v>
      </c>
      <c r="CW4300" s="115">
        <v>0.11332468572476186</v>
      </c>
      <c r="CX4300" s="115" t="e">
        <v>#N/A</v>
      </c>
      <c r="CY4300" s="115" t="e">
        <v>#N/A</v>
      </c>
      <c r="CZ4300" s="137" t="e">
        <v>#N/A</v>
      </c>
      <c r="DA4300">
        <v>0.11332468572476186</v>
      </c>
      <c r="DB4300" t="str">
        <v/>
      </c>
    </row>
    <row r="4301" spans="83:106" x14ac:dyDescent="0.2">
      <c r="CE4301"/>
      <c r="CF4301"/>
      <c r="CG4301"/>
      <c r="CH4301"/>
      <c r="CI4301"/>
      <c r="CU4301" s="42">
        <v>4296</v>
      </c>
      <c r="CV4301" s="115">
        <v>4</v>
      </c>
      <c r="CW4301" s="115">
        <v>0.11332468572476186</v>
      </c>
      <c r="CX4301" s="115" t="e">
        <v>#N/A</v>
      </c>
      <c r="CY4301" s="115" t="e">
        <v>#N/A</v>
      </c>
      <c r="CZ4301" s="137" t="e">
        <v>#N/A</v>
      </c>
      <c r="DA4301">
        <v>0.11332468572476186</v>
      </c>
      <c r="DB4301" t="str">
        <v/>
      </c>
    </row>
    <row r="4302" spans="83:106" x14ac:dyDescent="0.2">
      <c r="CE4302"/>
      <c r="CF4302"/>
      <c r="CG4302"/>
      <c r="CH4302"/>
      <c r="CI4302"/>
      <c r="CU4302" s="42">
        <v>4297</v>
      </c>
      <c r="CV4302" s="115">
        <v>4</v>
      </c>
      <c r="CW4302" s="115">
        <v>0.11332468572476186</v>
      </c>
      <c r="CX4302" s="115" t="e">
        <v>#N/A</v>
      </c>
      <c r="CY4302" s="115" t="e">
        <v>#N/A</v>
      </c>
      <c r="CZ4302" s="137" t="e">
        <v>#N/A</v>
      </c>
      <c r="DA4302">
        <v>0.11332468572476186</v>
      </c>
      <c r="DB4302" t="str">
        <v/>
      </c>
    </row>
    <row r="4303" spans="83:106" x14ac:dyDescent="0.2">
      <c r="CE4303"/>
      <c r="CF4303"/>
      <c r="CG4303"/>
      <c r="CH4303"/>
      <c r="CI4303"/>
      <c r="CU4303" s="42">
        <v>4298</v>
      </c>
      <c r="CV4303" s="115">
        <v>4</v>
      </c>
      <c r="CW4303" s="115">
        <v>0.11332468572476186</v>
      </c>
      <c r="CX4303" s="115" t="e">
        <v>#N/A</v>
      </c>
      <c r="CY4303" s="115" t="e">
        <v>#N/A</v>
      </c>
      <c r="CZ4303" s="137" t="e">
        <v>#N/A</v>
      </c>
      <c r="DA4303">
        <v>0.11332468572476186</v>
      </c>
      <c r="DB4303" t="str">
        <v/>
      </c>
    </row>
    <row r="4304" spans="83:106" x14ac:dyDescent="0.2">
      <c r="CE4304"/>
      <c r="CF4304"/>
      <c r="CG4304"/>
      <c r="CH4304"/>
      <c r="CI4304"/>
      <c r="CU4304" s="42">
        <v>4299</v>
      </c>
      <c r="CV4304" s="115">
        <v>4</v>
      </c>
      <c r="CW4304" s="115">
        <v>0.11332468572476186</v>
      </c>
      <c r="CX4304" s="115" t="e">
        <v>#N/A</v>
      </c>
      <c r="CY4304" s="115" t="e">
        <v>#N/A</v>
      </c>
      <c r="CZ4304" s="137" t="e">
        <v>#N/A</v>
      </c>
      <c r="DA4304">
        <v>0.11332468572476186</v>
      </c>
      <c r="DB4304" t="str">
        <v/>
      </c>
    </row>
    <row r="4305" spans="83:106" x14ac:dyDescent="0.2">
      <c r="CE4305"/>
      <c r="CF4305"/>
      <c r="CG4305"/>
      <c r="CH4305"/>
      <c r="CI4305"/>
      <c r="CU4305" s="42">
        <v>4300</v>
      </c>
      <c r="CV4305" s="115">
        <v>4</v>
      </c>
      <c r="CW4305" s="115">
        <v>0.11332468572476186</v>
      </c>
      <c r="CX4305" s="115" t="e">
        <v>#N/A</v>
      </c>
      <c r="CY4305" s="115" t="e">
        <v>#N/A</v>
      </c>
      <c r="CZ4305" s="137" t="e">
        <v>#N/A</v>
      </c>
      <c r="DA4305">
        <v>0.11332468572476186</v>
      </c>
      <c r="DB4305" t="str">
        <v/>
      </c>
    </row>
    <row r="4306" spans="83:106" x14ac:dyDescent="0.2">
      <c r="CE4306"/>
      <c r="CF4306"/>
      <c r="CG4306"/>
      <c r="CH4306"/>
      <c r="CI4306"/>
      <c r="CU4306" s="42">
        <v>4301</v>
      </c>
      <c r="CV4306" s="115">
        <v>4</v>
      </c>
      <c r="CW4306" s="115">
        <v>0.11332468572476186</v>
      </c>
      <c r="CX4306" s="115" t="e">
        <v>#N/A</v>
      </c>
      <c r="CY4306" s="115" t="e">
        <v>#N/A</v>
      </c>
      <c r="CZ4306" s="137" t="e">
        <v>#N/A</v>
      </c>
      <c r="DA4306">
        <v>0.11332468572476186</v>
      </c>
      <c r="DB4306" t="str">
        <v/>
      </c>
    </row>
    <row r="4307" spans="83:106" x14ac:dyDescent="0.2">
      <c r="CE4307"/>
      <c r="CF4307"/>
      <c r="CG4307"/>
      <c r="CH4307"/>
      <c r="CI4307"/>
      <c r="CU4307" s="42">
        <v>4302</v>
      </c>
      <c r="CV4307" s="115">
        <v>4</v>
      </c>
      <c r="CW4307" s="115">
        <v>0.11332468572476186</v>
      </c>
      <c r="CX4307" s="115" t="e">
        <v>#N/A</v>
      </c>
      <c r="CY4307" s="115" t="e">
        <v>#N/A</v>
      </c>
      <c r="CZ4307" s="137" t="e">
        <v>#N/A</v>
      </c>
      <c r="DA4307">
        <v>0.11332468572476186</v>
      </c>
      <c r="DB4307" t="str">
        <v/>
      </c>
    </row>
    <row r="4308" spans="83:106" x14ac:dyDescent="0.2">
      <c r="CE4308"/>
      <c r="CF4308"/>
      <c r="CG4308"/>
      <c r="CH4308"/>
      <c r="CI4308"/>
      <c r="CU4308" s="42">
        <v>4303</v>
      </c>
      <c r="CV4308" s="115">
        <v>4</v>
      </c>
      <c r="CW4308" s="115">
        <v>0.11332468572476186</v>
      </c>
      <c r="CX4308" s="115" t="e">
        <v>#N/A</v>
      </c>
      <c r="CY4308" s="115" t="e">
        <v>#N/A</v>
      </c>
      <c r="CZ4308" s="137" t="e">
        <v>#N/A</v>
      </c>
      <c r="DA4308">
        <v>0.11332468572476186</v>
      </c>
      <c r="DB4308" t="str">
        <v/>
      </c>
    </row>
    <row r="4309" spans="83:106" x14ac:dyDescent="0.2">
      <c r="CE4309"/>
      <c r="CF4309"/>
      <c r="CG4309"/>
      <c r="CH4309"/>
      <c r="CI4309"/>
      <c r="CU4309" s="42">
        <v>4304</v>
      </c>
      <c r="CV4309" s="115">
        <v>4</v>
      </c>
      <c r="CW4309" s="115">
        <v>0.11332468572476186</v>
      </c>
      <c r="CX4309" s="115" t="e">
        <v>#N/A</v>
      </c>
      <c r="CY4309" s="115" t="e">
        <v>#N/A</v>
      </c>
      <c r="CZ4309" s="137" t="e">
        <v>#N/A</v>
      </c>
      <c r="DA4309">
        <v>0.11332468572476186</v>
      </c>
      <c r="DB4309" t="str">
        <v/>
      </c>
    </row>
    <row r="4310" spans="83:106" x14ac:dyDescent="0.2">
      <c r="CE4310"/>
      <c r="CF4310"/>
      <c r="CG4310"/>
      <c r="CH4310"/>
      <c r="CI4310"/>
      <c r="CU4310" s="42">
        <v>4305</v>
      </c>
      <c r="CV4310" s="115">
        <v>4</v>
      </c>
      <c r="CW4310" s="115">
        <v>0.11332468572476186</v>
      </c>
      <c r="CX4310" s="115" t="e">
        <v>#N/A</v>
      </c>
      <c r="CY4310" s="115" t="e">
        <v>#N/A</v>
      </c>
      <c r="CZ4310" s="137" t="e">
        <v>#N/A</v>
      </c>
      <c r="DA4310">
        <v>0.11332468572476186</v>
      </c>
      <c r="DB4310" t="str">
        <v/>
      </c>
    </row>
    <row r="4311" spans="83:106" x14ac:dyDescent="0.2">
      <c r="CE4311"/>
      <c r="CF4311"/>
      <c r="CG4311"/>
      <c r="CH4311"/>
      <c r="CI4311"/>
      <c r="CU4311" s="42">
        <v>4306</v>
      </c>
      <c r="CV4311" s="115">
        <v>4</v>
      </c>
      <c r="CW4311" s="115">
        <v>0.11332468572476186</v>
      </c>
      <c r="CX4311" s="115" t="e">
        <v>#N/A</v>
      </c>
      <c r="CY4311" s="115" t="e">
        <v>#N/A</v>
      </c>
      <c r="CZ4311" s="137" t="e">
        <v>#N/A</v>
      </c>
      <c r="DA4311">
        <v>0.11332468572476186</v>
      </c>
      <c r="DB4311" t="str">
        <v/>
      </c>
    </row>
    <row r="4312" spans="83:106" x14ac:dyDescent="0.2">
      <c r="CE4312"/>
      <c r="CF4312"/>
      <c r="CG4312"/>
      <c r="CH4312"/>
      <c r="CI4312"/>
      <c r="CU4312" s="42">
        <v>4307</v>
      </c>
      <c r="CV4312" s="115">
        <v>4</v>
      </c>
      <c r="CW4312" s="115">
        <v>0.11332468572476186</v>
      </c>
      <c r="CX4312" s="115" t="e">
        <v>#N/A</v>
      </c>
      <c r="CY4312" s="115" t="e">
        <v>#N/A</v>
      </c>
      <c r="CZ4312" s="137" t="e">
        <v>#N/A</v>
      </c>
      <c r="DA4312">
        <v>0.11332468572476186</v>
      </c>
      <c r="DB4312" t="str">
        <v/>
      </c>
    </row>
    <row r="4313" spans="83:106" x14ac:dyDescent="0.2">
      <c r="CE4313"/>
      <c r="CF4313"/>
      <c r="CG4313"/>
      <c r="CH4313"/>
      <c r="CI4313"/>
      <c r="CU4313" s="42">
        <v>4308</v>
      </c>
      <c r="CV4313" s="115">
        <v>4</v>
      </c>
      <c r="CW4313" s="115">
        <v>0.11332468572476186</v>
      </c>
      <c r="CX4313" s="115" t="e">
        <v>#N/A</v>
      </c>
      <c r="CY4313" s="115" t="e">
        <v>#N/A</v>
      </c>
      <c r="CZ4313" s="137" t="e">
        <v>#N/A</v>
      </c>
      <c r="DA4313">
        <v>0.11332468572476186</v>
      </c>
      <c r="DB4313" t="str">
        <v/>
      </c>
    </row>
    <row r="4314" spans="83:106" x14ac:dyDescent="0.2">
      <c r="CE4314"/>
      <c r="CF4314"/>
      <c r="CG4314"/>
      <c r="CH4314"/>
      <c r="CI4314"/>
      <c r="CU4314" s="42">
        <v>4309</v>
      </c>
      <c r="CV4314" s="115">
        <v>4</v>
      </c>
      <c r="CW4314" s="115">
        <v>0.11332468572476186</v>
      </c>
      <c r="CX4314" s="115" t="e">
        <v>#N/A</v>
      </c>
      <c r="CY4314" s="115" t="e">
        <v>#N/A</v>
      </c>
      <c r="CZ4314" s="137" t="e">
        <v>#N/A</v>
      </c>
      <c r="DA4314">
        <v>0.11332468572476186</v>
      </c>
      <c r="DB4314" t="str">
        <v/>
      </c>
    </row>
    <row r="4315" spans="83:106" x14ac:dyDescent="0.2">
      <c r="CE4315"/>
      <c r="CF4315"/>
      <c r="CG4315"/>
      <c r="CH4315"/>
      <c r="CI4315"/>
      <c r="CU4315" s="42">
        <v>4310</v>
      </c>
      <c r="CV4315" s="115">
        <v>4</v>
      </c>
      <c r="CW4315" s="115">
        <v>0.11332468572476186</v>
      </c>
      <c r="CX4315" s="115" t="e">
        <v>#N/A</v>
      </c>
      <c r="CY4315" s="115" t="e">
        <v>#N/A</v>
      </c>
      <c r="CZ4315" s="137" t="e">
        <v>#N/A</v>
      </c>
      <c r="DA4315">
        <v>0.11332468572476186</v>
      </c>
      <c r="DB4315" t="str">
        <v/>
      </c>
    </row>
    <row r="4316" spans="83:106" x14ac:dyDescent="0.2">
      <c r="CE4316"/>
      <c r="CF4316"/>
      <c r="CG4316"/>
      <c r="CH4316"/>
      <c r="CI4316"/>
      <c r="CU4316" s="42">
        <v>4311</v>
      </c>
      <c r="CV4316" s="115">
        <v>4</v>
      </c>
      <c r="CW4316" s="115">
        <v>0.11332468572476186</v>
      </c>
      <c r="CX4316" s="115" t="e">
        <v>#N/A</v>
      </c>
      <c r="CY4316" s="115" t="e">
        <v>#N/A</v>
      </c>
      <c r="CZ4316" s="137" t="e">
        <v>#N/A</v>
      </c>
      <c r="DA4316">
        <v>0.11332468572476186</v>
      </c>
      <c r="DB4316" t="str">
        <v/>
      </c>
    </row>
    <row r="4317" spans="83:106" x14ac:dyDescent="0.2">
      <c r="CE4317"/>
      <c r="CF4317"/>
      <c r="CG4317"/>
      <c r="CH4317"/>
      <c r="CI4317"/>
      <c r="CU4317" s="42">
        <v>4312</v>
      </c>
      <c r="CV4317" s="115">
        <v>4</v>
      </c>
      <c r="CW4317" s="115">
        <v>0.11332468572476186</v>
      </c>
      <c r="CX4317" s="115" t="e">
        <v>#N/A</v>
      </c>
      <c r="CY4317" s="115" t="e">
        <v>#N/A</v>
      </c>
      <c r="CZ4317" s="137" t="e">
        <v>#N/A</v>
      </c>
      <c r="DA4317">
        <v>0.11332468572476186</v>
      </c>
      <c r="DB4317" t="str">
        <v/>
      </c>
    </row>
    <row r="4318" spans="83:106" x14ac:dyDescent="0.2">
      <c r="CE4318"/>
      <c r="CF4318"/>
      <c r="CG4318"/>
      <c r="CH4318"/>
      <c r="CI4318"/>
      <c r="CU4318" s="42">
        <v>4313</v>
      </c>
      <c r="CV4318" s="115">
        <v>4</v>
      </c>
      <c r="CW4318" s="115">
        <v>0.11332468572476186</v>
      </c>
      <c r="CX4318" s="115" t="e">
        <v>#N/A</v>
      </c>
      <c r="CY4318" s="115" t="e">
        <v>#N/A</v>
      </c>
      <c r="CZ4318" s="137" t="e">
        <v>#N/A</v>
      </c>
      <c r="DA4318">
        <v>0.11332468572476186</v>
      </c>
      <c r="DB4318" t="str">
        <v/>
      </c>
    </row>
    <row r="4319" spans="83:106" x14ac:dyDescent="0.2">
      <c r="CE4319"/>
      <c r="CF4319"/>
      <c r="CG4319"/>
      <c r="CH4319"/>
      <c r="CI4319"/>
      <c r="CU4319" s="42">
        <v>4314</v>
      </c>
      <c r="CV4319" s="115">
        <v>4</v>
      </c>
      <c r="CW4319" s="115">
        <v>0.11332468572476186</v>
      </c>
      <c r="CX4319" s="115" t="e">
        <v>#N/A</v>
      </c>
      <c r="CY4319" s="115" t="e">
        <v>#N/A</v>
      </c>
      <c r="CZ4319" s="137" t="e">
        <v>#N/A</v>
      </c>
      <c r="DA4319">
        <v>0.11332468572476186</v>
      </c>
      <c r="DB4319" t="str">
        <v/>
      </c>
    </row>
    <row r="4320" spans="83:106" x14ac:dyDescent="0.2">
      <c r="CE4320"/>
      <c r="CF4320"/>
      <c r="CG4320"/>
      <c r="CH4320"/>
      <c r="CI4320"/>
      <c r="CU4320" s="42">
        <v>4315</v>
      </c>
      <c r="CV4320" s="115">
        <v>4</v>
      </c>
      <c r="CW4320" s="115">
        <v>0.11332468572476186</v>
      </c>
      <c r="CX4320" s="115" t="e">
        <v>#N/A</v>
      </c>
      <c r="CY4320" s="115" t="e">
        <v>#N/A</v>
      </c>
      <c r="CZ4320" s="137" t="e">
        <v>#N/A</v>
      </c>
      <c r="DA4320">
        <v>0.11332468572476186</v>
      </c>
      <c r="DB4320" t="str">
        <v/>
      </c>
    </row>
    <row r="4321" spans="83:106" x14ac:dyDescent="0.2">
      <c r="CE4321"/>
      <c r="CF4321"/>
      <c r="CG4321"/>
      <c r="CH4321"/>
      <c r="CI4321"/>
      <c r="CU4321" s="42">
        <v>4316</v>
      </c>
      <c r="CV4321" s="115">
        <v>4</v>
      </c>
      <c r="CW4321" s="115">
        <v>0.11332468572476186</v>
      </c>
      <c r="CX4321" s="115" t="e">
        <v>#N/A</v>
      </c>
      <c r="CY4321" s="115" t="e">
        <v>#N/A</v>
      </c>
      <c r="CZ4321" s="137" t="e">
        <v>#N/A</v>
      </c>
      <c r="DA4321">
        <v>0.11332468572476186</v>
      </c>
      <c r="DB4321" t="str">
        <v/>
      </c>
    </row>
    <row r="4322" spans="83:106" x14ac:dyDescent="0.2">
      <c r="CE4322"/>
      <c r="CF4322"/>
      <c r="CG4322"/>
      <c r="CH4322"/>
      <c r="CI4322"/>
      <c r="CU4322" s="42">
        <v>4317</v>
      </c>
      <c r="CV4322" s="115">
        <v>4</v>
      </c>
      <c r="CW4322" s="115">
        <v>0.11332468572476186</v>
      </c>
      <c r="CX4322" s="115" t="e">
        <v>#N/A</v>
      </c>
      <c r="CY4322" s="115" t="e">
        <v>#N/A</v>
      </c>
      <c r="CZ4322" s="137" t="e">
        <v>#N/A</v>
      </c>
      <c r="DA4322">
        <v>0.11332468572476186</v>
      </c>
      <c r="DB4322" t="str">
        <v/>
      </c>
    </row>
    <row r="4323" spans="83:106" x14ac:dyDescent="0.2">
      <c r="CE4323"/>
      <c r="CF4323"/>
      <c r="CG4323"/>
      <c r="CH4323"/>
      <c r="CI4323"/>
      <c r="CU4323" s="42">
        <v>4318</v>
      </c>
      <c r="CV4323" s="115">
        <v>4</v>
      </c>
      <c r="CW4323" s="115">
        <v>0.11332468572476186</v>
      </c>
      <c r="CX4323" s="115" t="e">
        <v>#N/A</v>
      </c>
      <c r="CY4323" s="115" t="e">
        <v>#N/A</v>
      </c>
      <c r="CZ4323" s="137" t="e">
        <v>#N/A</v>
      </c>
      <c r="DA4323">
        <v>0.11332468572476186</v>
      </c>
      <c r="DB4323" t="str">
        <v/>
      </c>
    </row>
    <row r="4324" spans="83:106" x14ac:dyDescent="0.2">
      <c r="CE4324"/>
      <c r="CF4324"/>
      <c r="CG4324"/>
      <c r="CH4324"/>
      <c r="CI4324"/>
      <c r="CU4324" s="42">
        <v>4319</v>
      </c>
      <c r="CV4324" s="115">
        <v>4</v>
      </c>
      <c r="CW4324" s="115">
        <v>0.11332468572476186</v>
      </c>
      <c r="CX4324" s="115" t="e">
        <v>#N/A</v>
      </c>
      <c r="CY4324" s="115" t="e">
        <v>#N/A</v>
      </c>
      <c r="CZ4324" s="137" t="e">
        <v>#N/A</v>
      </c>
      <c r="DA4324">
        <v>0.11332468572476186</v>
      </c>
      <c r="DB4324" t="str">
        <v/>
      </c>
    </row>
    <row r="4325" spans="83:106" x14ac:dyDescent="0.2">
      <c r="CE4325"/>
      <c r="CF4325"/>
      <c r="CG4325"/>
      <c r="CH4325"/>
      <c r="CI4325"/>
      <c r="CU4325" s="42">
        <v>4320</v>
      </c>
      <c r="CV4325" s="115">
        <v>4</v>
      </c>
      <c r="CW4325" s="115">
        <v>0.11332468572476186</v>
      </c>
      <c r="CX4325" s="115" t="e">
        <v>#N/A</v>
      </c>
      <c r="CY4325" s="115" t="e">
        <v>#N/A</v>
      </c>
      <c r="CZ4325" s="137" t="e">
        <v>#N/A</v>
      </c>
      <c r="DA4325">
        <v>0.11332468572476186</v>
      </c>
      <c r="DB4325" t="str">
        <v/>
      </c>
    </row>
    <row r="4326" spans="83:106" x14ac:dyDescent="0.2">
      <c r="CE4326"/>
      <c r="CF4326"/>
      <c r="CG4326"/>
      <c r="CH4326"/>
      <c r="CI4326"/>
      <c r="CU4326" s="42">
        <v>4321</v>
      </c>
      <c r="CV4326" s="115">
        <v>4</v>
      </c>
      <c r="CW4326" s="115">
        <v>0.11332468572476186</v>
      </c>
      <c r="CX4326" s="115" t="e">
        <v>#N/A</v>
      </c>
      <c r="CY4326" s="115" t="e">
        <v>#N/A</v>
      </c>
      <c r="CZ4326" s="137" t="e">
        <v>#N/A</v>
      </c>
      <c r="DA4326">
        <v>0.11332468572476186</v>
      </c>
      <c r="DB4326" t="str">
        <v/>
      </c>
    </row>
    <row r="4327" spans="83:106" x14ac:dyDescent="0.2">
      <c r="CE4327"/>
      <c r="CF4327"/>
      <c r="CG4327"/>
      <c r="CH4327"/>
      <c r="CI4327"/>
      <c r="CU4327" s="42">
        <v>4322</v>
      </c>
      <c r="CV4327" s="115">
        <v>4</v>
      </c>
      <c r="CW4327" s="115">
        <v>0.11332468572476186</v>
      </c>
      <c r="CX4327" s="115" t="e">
        <v>#N/A</v>
      </c>
      <c r="CY4327" s="115" t="e">
        <v>#N/A</v>
      </c>
      <c r="CZ4327" s="137" t="e">
        <v>#N/A</v>
      </c>
      <c r="DA4327">
        <v>0.11332468572476186</v>
      </c>
      <c r="DB4327" t="str">
        <v/>
      </c>
    </row>
    <row r="4328" spans="83:106" x14ac:dyDescent="0.2">
      <c r="CE4328"/>
      <c r="CF4328"/>
      <c r="CG4328"/>
      <c r="CH4328"/>
      <c r="CI4328"/>
      <c r="CU4328" s="42">
        <v>4323</v>
      </c>
      <c r="CV4328" s="115">
        <v>4</v>
      </c>
      <c r="CW4328" s="115">
        <v>0.11332468572476186</v>
      </c>
      <c r="CX4328" s="115" t="e">
        <v>#N/A</v>
      </c>
      <c r="CY4328" s="115" t="e">
        <v>#N/A</v>
      </c>
      <c r="CZ4328" s="137" t="e">
        <v>#N/A</v>
      </c>
      <c r="DA4328">
        <v>0.11332468572476186</v>
      </c>
      <c r="DB4328" t="str">
        <v/>
      </c>
    </row>
    <row r="4329" spans="83:106" x14ac:dyDescent="0.2">
      <c r="CE4329"/>
      <c r="CF4329"/>
      <c r="CG4329"/>
      <c r="CH4329"/>
      <c r="CI4329"/>
      <c r="CU4329" s="42">
        <v>4324</v>
      </c>
      <c r="CV4329" s="115">
        <v>4</v>
      </c>
      <c r="CW4329" s="115">
        <v>0.11332468572476186</v>
      </c>
      <c r="CX4329" s="115" t="e">
        <v>#N/A</v>
      </c>
      <c r="CY4329" s="115" t="e">
        <v>#N/A</v>
      </c>
      <c r="CZ4329" s="137" t="e">
        <v>#N/A</v>
      </c>
      <c r="DA4329">
        <v>0.11332468572476186</v>
      </c>
      <c r="DB4329" t="str">
        <v/>
      </c>
    </row>
    <row r="4330" spans="83:106" x14ac:dyDescent="0.2">
      <c r="CE4330"/>
      <c r="CF4330"/>
      <c r="CG4330"/>
      <c r="CH4330"/>
      <c r="CI4330"/>
      <c r="CU4330" s="42">
        <v>4325</v>
      </c>
      <c r="CV4330" s="115">
        <v>4</v>
      </c>
      <c r="CW4330" s="115">
        <v>0.11332468572476186</v>
      </c>
      <c r="CX4330" s="115" t="e">
        <v>#N/A</v>
      </c>
      <c r="CY4330" s="115" t="e">
        <v>#N/A</v>
      </c>
      <c r="CZ4330" s="137" t="e">
        <v>#N/A</v>
      </c>
      <c r="DA4330">
        <v>0.11332468572476186</v>
      </c>
      <c r="DB4330" t="str">
        <v/>
      </c>
    </row>
    <row r="4331" spans="83:106" x14ac:dyDescent="0.2">
      <c r="CE4331"/>
      <c r="CF4331"/>
      <c r="CG4331"/>
      <c r="CH4331"/>
      <c r="CI4331"/>
      <c r="CU4331" s="42">
        <v>4326</v>
      </c>
      <c r="CV4331" s="115">
        <v>4</v>
      </c>
      <c r="CW4331" s="115">
        <v>0.11332468572476186</v>
      </c>
      <c r="CX4331" s="115" t="e">
        <v>#N/A</v>
      </c>
      <c r="CY4331" s="115" t="e">
        <v>#N/A</v>
      </c>
      <c r="CZ4331" s="137" t="e">
        <v>#N/A</v>
      </c>
      <c r="DA4331">
        <v>0.11332468572476186</v>
      </c>
      <c r="DB4331" t="str">
        <v/>
      </c>
    </row>
    <row r="4332" spans="83:106" x14ac:dyDescent="0.2">
      <c r="CE4332"/>
      <c r="CF4332"/>
      <c r="CG4332"/>
      <c r="CH4332"/>
      <c r="CI4332"/>
      <c r="CU4332" s="42">
        <v>4327</v>
      </c>
      <c r="CV4332" s="115">
        <v>4</v>
      </c>
      <c r="CW4332" s="115">
        <v>0.11332468572476186</v>
      </c>
      <c r="CX4332" s="115" t="e">
        <v>#N/A</v>
      </c>
      <c r="CY4332" s="115" t="e">
        <v>#N/A</v>
      </c>
      <c r="CZ4332" s="137" t="e">
        <v>#N/A</v>
      </c>
      <c r="DA4332">
        <v>0.11332468572476186</v>
      </c>
      <c r="DB4332" t="str">
        <v/>
      </c>
    </row>
    <row r="4333" spans="83:106" x14ac:dyDescent="0.2">
      <c r="CE4333"/>
      <c r="CF4333"/>
      <c r="CG4333"/>
      <c r="CH4333"/>
      <c r="CI4333"/>
      <c r="CU4333" s="42">
        <v>4328</v>
      </c>
      <c r="CV4333" s="115">
        <v>4</v>
      </c>
      <c r="CW4333" s="115">
        <v>0.11332468572476186</v>
      </c>
      <c r="CX4333" s="115" t="e">
        <v>#N/A</v>
      </c>
      <c r="CY4333" s="115" t="e">
        <v>#N/A</v>
      </c>
      <c r="CZ4333" s="137" t="e">
        <v>#N/A</v>
      </c>
      <c r="DA4333">
        <v>0.11332468572476186</v>
      </c>
      <c r="DB4333" t="str">
        <v/>
      </c>
    </row>
    <row r="4334" spans="83:106" x14ac:dyDescent="0.2">
      <c r="CE4334"/>
      <c r="CF4334"/>
      <c r="CG4334"/>
      <c r="CH4334"/>
      <c r="CI4334"/>
      <c r="CU4334" s="42">
        <v>4329</v>
      </c>
      <c r="CV4334" s="115">
        <v>4</v>
      </c>
      <c r="CW4334" s="115">
        <v>0.11332468572476186</v>
      </c>
      <c r="CX4334" s="115" t="e">
        <v>#N/A</v>
      </c>
      <c r="CY4334" s="115" t="e">
        <v>#N/A</v>
      </c>
      <c r="CZ4334" s="137" t="e">
        <v>#N/A</v>
      </c>
      <c r="DA4334">
        <v>0.11332468572476186</v>
      </c>
      <c r="DB4334" t="str">
        <v/>
      </c>
    </row>
    <row r="4335" spans="83:106" x14ac:dyDescent="0.2">
      <c r="CE4335"/>
      <c r="CF4335"/>
      <c r="CG4335"/>
      <c r="CH4335"/>
      <c r="CI4335"/>
      <c r="CU4335" s="42">
        <v>4330</v>
      </c>
      <c r="CV4335" s="115">
        <v>4</v>
      </c>
      <c r="CW4335" s="115">
        <v>0.11332468572476186</v>
      </c>
      <c r="CX4335" s="115" t="e">
        <v>#N/A</v>
      </c>
      <c r="CY4335" s="115" t="e">
        <v>#N/A</v>
      </c>
      <c r="CZ4335" s="137" t="e">
        <v>#N/A</v>
      </c>
      <c r="DA4335">
        <v>0.11332468572476186</v>
      </c>
      <c r="DB4335" t="str">
        <v/>
      </c>
    </row>
    <row r="4336" spans="83:106" x14ac:dyDescent="0.2">
      <c r="CE4336"/>
      <c r="CF4336"/>
      <c r="CG4336"/>
      <c r="CH4336"/>
      <c r="CI4336"/>
      <c r="CU4336" s="42">
        <v>4331</v>
      </c>
      <c r="CV4336" s="115">
        <v>4</v>
      </c>
      <c r="CW4336" s="115">
        <v>0.11332468572476186</v>
      </c>
      <c r="CX4336" s="115" t="e">
        <v>#N/A</v>
      </c>
      <c r="CY4336" s="115" t="e">
        <v>#N/A</v>
      </c>
      <c r="CZ4336" s="137" t="e">
        <v>#N/A</v>
      </c>
      <c r="DA4336">
        <v>0.11332468572476186</v>
      </c>
      <c r="DB4336" t="str">
        <v/>
      </c>
    </row>
    <row r="4337" spans="83:106" x14ac:dyDescent="0.2">
      <c r="CE4337"/>
      <c r="CF4337"/>
      <c r="CG4337"/>
      <c r="CH4337"/>
      <c r="CI4337"/>
      <c r="CU4337" s="42">
        <v>4332</v>
      </c>
      <c r="CV4337" s="115">
        <v>4</v>
      </c>
      <c r="CW4337" s="115">
        <v>0.11332468572476186</v>
      </c>
      <c r="CX4337" s="115" t="e">
        <v>#N/A</v>
      </c>
      <c r="CY4337" s="115" t="e">
        <v>#N/A</v>
      </c>
      <c r="CZ4337" s="137" t="e">
        <v>#N/A</v>
      </c>
      <c r="DA4337">
        <v>0.11332468572476186</v>
      </c>
      <c r="DB4337" t="str">
        <v/>
      </c>
    </row>
    <row r="4338" spans="83:106" x14ac:dyDescent="0.2">
      <c r="CE4338"/>
      <c r="CF4338"/>
      <c r="CG4338"/>
      <c r="CH4338"/>
      <c r="CI4338"/>
      <c r="CU4338" s="42">
        <v>4333</v>
      </c>
      <c r="CV4338" s="115">
        <v>4</v>
      </c>
      <c r="CW4338" s="115">
        <v>0.11332468572476186</v>
      </c>
      <c r="CX4338" s="115" t="e">
        <v>#N/A</v>
      </c>
      <c r="CY4338" s="115" t="e">
        <v>#N/A</v>
      </c>
      <c r="CZ4338" s="137" t="e">
        <v>#N/A</v>
      </c>
      <c r="DA4338">
        <v>0.11332468572476186</v>
      </c>
      <c r="DB4338" t="str">
        <v/>
      </c>
    </row>
    <row r="4339" spans="83:106" x14ac:dyDescent="0.2">
      <c r="CE4339"/>
      <c r="CF4339"/>
      <c r="CG4339"/>
      <c r="CH4339"/>
      <c r="CI4339"/>
      <c r="CU4339" s="42">
        <v>4334</v>
      </c>
      <c r="CV4339" s="115">
        <v>4</v>
      </c>
      <c r="CW4339" s="115">
        <v>0.11332468572476186</v>
      </c>
      <c r="CX4339" s="115" t="e">
        <v>#N/A</v>
      </c>
      <c r="CY4339" s="115" t="e">
        <v>#N/A</v>
      </c>
      <c r="CZ4339" s="137" t="e">
        <v>#N/A</v>
      </c>
      <c r="DA4339">
        <v>0.11332468572476186</v>
      </c>
      <c r="DB4339" t="str">
        <v/>
      </c>
    </row>
    <row r="4340" spans="83:106" x14ac:dyDescent="0.2">
      <c r="CE4340"/>
      <c r="CF4340"/>
      <c r="CG4340"/>
      <c r="CH4340"/>
      <c r="CI4340"/>
      <c r="CU4340" s="42">
        <v>4335</v>
      </c>
      <c r="CV4340" s="115">
        <v>4</v>
      </c>
      <c r="CW4340" s="115">
        <v>0.11332468572476186</v>
      </c>
      <c r="CX4340" s="115" t="e">
        <v>#N/A</v>
      </c>
      <c r="CY4340" s="115" t="e">
        <v>#N/A</v>
      </c>
      <c r="CZ4340" s="137" t="e">
        <v>#N/A</v>
      </c>
      <c r="DA4340">
        <v>0.11332468572476186</v>
      </c>
      <c r="DB4340" t="str">
        <v/>
      </c>
    </row>
    <row r="4341" spans="83:106" x14ac:dyDescent="0.2">
      <c r="CE4341"/>
      <c r="CF4341"/>
      <c r="CG4341"/>
      <c r="CH4341"/>
      <c r="CI4341"/>
      <c r="CU4341" s="42">
        <v>4336</v>
      </c>
      <c r="CV4341" s="115">
        <v>4</v>
      </c>
      <c r="CW4341" s="115">
        <v>0.11332468572476186</v>
      </c>
      <c r="CX4341" s="115" t="e">
        <v>#N/A</v>
      </c>
      <c r="CY4341" s="115" t="e">
        <v>#N/A</v>
      </c>
      <c r="CZ4341" s="137" t="e">
        <v>#N/A</v>
      </c>
      <c r="DA4341">
        <v>0.11332468572476186</v>
      </c>
      <c r="DB4341" t="str">
        <v/>
      </c>
    </row>
    <row r="4342" spans="83:106" x14ac:dyDescent="0.2">
      <c r="CE4342"/>
      <c r="CF4342"/>
      <c r="CG4342"/>
      <c r="CH4342"/>
      <c r="CI4342"/>
      <c r="CU4342" s="42">
        <v>4337</v>
      </c>
      <c r="CV4342" s="115">
        <v>4</v>
      </c>
      <c r="CW4342" s="115">
        <v>0.11332468572476186</v>
      </c>
      <c r="CX4342" s="115" t="e">
        <v>#N/A</v>
      </c>
      <c r="CY4342" s="115" t="e">
        <v>#N/A</v>
      </c>
      <c r="CZ4342" s="137" t="e">
        <v>#N/A</v>
      </c>
      <c r="DA4342">
        <v>0.11332468572476186</v>
      </c>
      <c r="DB4342" t="str">
        <v/>
      </c>
    </row>
    <row r="4343" spans="83:106" x14ac:dyDescent="0.2">
      <c r="CE4343"/>
      <c r="CF4343"/>
      <c r="CG4343"/>
      <c r="CH4343"/>
      <c r="CI4343"/>
      <c r="CU4343" s="42">
        <v>4338</v>
      </c>
      <c r="CV4343" s="115">
        <v>4</v>
      </c>
      <c r="CW4343" s="115">
        <v>0.11332468572476186</v>
      </c>
      <c r="CX4343" s="115" t="e">
        <v>#N/A</v>
      </c>
      <c r="CY4343" s="115" t="e">
        <v>#N/A</v>
      </c>
      <c r="CZ4343" s="137" t="e">
        <v>#N/A</v>
      </c>
      <c r="DA4343">
        <v>0.11332468572476186</v>
      </c>
      <c r="DB4343" t="str">
        <v/>
      </c>
    </row>
    <row r="4344" spans="83:106" x14ac:dyDescent="0.2">
      <c r="CE4344"/>
      <c r="CF4344"/>
      <c r="CG4344"/>
      <c r="CH4344"/>
      <c r="CI4344"/>
      <c r="CU4344" s="42">
        <v>4339</v>
      </c>
      <c r="CV4344" s="115">
        <v>4</v>
      </c>
      <c r="CW4344" s="115">
        <v>0.11332468572476186</v>
      </c>
      <c r="CX4344" s="115" t="e">
        <v>#N/A</v>
      </c>
      <c r="CY4344" s="115" t="e">
        <v>#N/A</v>
      </c>
      <c r="CZ4344" s="137" t="e">
        <v>#N/A</v>
      </c>
      <c r="DA4344">
        <v>0.11332468572476186</v>
      </c>
      <c r="DB4344" t="str">
        <v/>
      </c>
    </row>
    <row r="4345" spans="83:106" x14ac:dyDescent="0.2">
      <c r="CE4345"/>
      <c r="CF4345"/>
      <c r="CG4345"/>
      <c r="CH4345"/>
      <c r="CI4345"/>
      <c r="CU4345" s="42">
        <v>4340</v>
      </c>
      <c r="CV4345" s="115">
        <v>4</v>
      </c>
      <c r="CW4345" s="115">
        <v>0.11332468572476186</v>
      </c>
      <c r="CX4345" s="115" t="e">
        <v>#N/A</v>
      </c>
      <c r="CY4345" s="115" t="e">
        <v>#N/A</v>
      </c>
      <c r="CZ4345" s="137" t="e">
        <v>#N/A</v>
      </c>
      <c r="DA4345">
        <v>0.11332468572476186</v>
      </c>
      <c r="DB4345" t="str">
        <v/>
      </c>
    </row>
    <row r="4346" spans="83:106" x14ac:dyDescent="0.2">
      <c r="CE4346"/>
      <c r="CF4346"/>
      <c r="CG4346"/>
      <c r="CH4346"/>
      <c r="CI4346"/>
      <c r="CU4346" s="42">
        <v>4341</v>
      </c>
      <c r="CV4346" s="115">
        <v>4</v>
      </c>
      <c r="CW4346" s="115">
        <v>0.11332468572476186</v>
      </c>
      <c r="CX4346" s="115" t="e">
        <v>#N/A</v>
      </c>
      <c r="CY4346" s="115" t="e">
        <v>#N/A</v>
      </c>
      <c r="CZ4346" s="137" t="e">
        <v>#N/A</v>
      </c>
      <c r="DA4346">
        <v>0.11332468572476186</v>
      </c>
      <c r="DB4346" t="str">
        <v/>
      </c>
    </row>
    <row r="4347" spans="83:106" x14ac:dyDescent="0.2">
      <c r="CE4347"/>
      <c r="CF4347"/>
      <c r="CG4347"/>
      <c r="CH4347"/>
      <c r="CI4347"/>
      <c r="CU4347" s="42">
        <v>4342</v>
      </c>
      <c r="CV4347" s="115">
        <v>4</v>
      </c>
      <c r="CW4347" s="115">
        <v>0.11332468572476186</v>
      </c>
      <c r="CX4347" s="115" t="e">
        <v>#N/A</v>
      </c>
      <c r="CY4347" s="115" t="e">
        <v>#N/A</v>
      </c>
      <c r="CZ4347" s="137" t="e">
        <v>#N/A</v>
      </c>
      <c r="DA4347">
        <v>0.11332468572476186</v>
      </c>
      <c r="DB4347" t="str">
        <v/>
      </c>
    </row>
    <row r="4348" spans="83:106" x14ac:dyDescent="0.2">
      <c r="CE4348"/>
      <c r="CF4348"/>
      <c r="CG4348"/>
      <c r="CH4348"/>
      <c r="CI4348"/>
      <c r="CU4348" s="42">
        <v>4343</v>
      </c>
      <c r="CV4348" s="115">
        <v>4</v>
      </c>
      <c r="CW4348" s="115">
        <v>0.11332468572476186</v>
      </c>
      <c r="CX4348" s="115" t="e">
        <v>#N/A</v>
      </c>
      <c r="CY4348" s="115" t="e">
        <v>#N/A</v>
      </c>
      <c r="CZ4348" s="137" t="e">
        <v>#N/A</v>
      </c>
      <c r="DA4348">
        <v>0.11332468572476186</v>
      </c>
      <c r="DB4348" t="str">
        <v/>
      </c>
    </row>
    <row r="4349" spans="83:106" x14ac:dyDescent="0.2">
      <c r="CE4349"/>
      <c r="CF4349"/>
      <c r="CG4349"/>
      <c r="CH4349"/>
      <c r="CI4349"/>
      <c r="CU4349" s="42">
        <v>4344</v>
      </c>
      <c r="CV4349" s="115">
        <v>4</v>
      </c>
      <c r="CW4349" s="115">
        <v>0.11332468572476186</v>
      </c>
      <c r="CX4349" s="115" t="e">
        <v>#N/A</v>
      </c>
      <c r="CY4349" s="115" t="e">
        <v>#N/A</v>
      </c>
      <c r="CZ4349" s="137" t="e">
        <v>#N/A</v>
      </c>
      <c r="DA4349">
        <v>0.11332468572476186</v>
      </c>
      <c r="DB4349" t="str">
        <v/>
      </c>
    </row>
    <row r="4350" spans="83:106" x14ac:dyDescent="0.2">
      <c r="CE4350"/>
      <c r="CF4350"/>
      <c r="CG4350"/>
      <c r="CH4350"/>
      <c r="CI4350"/>
      <c r="CU4350" s="42">
        <v>4345</v>
      </c>
      <c r="CV4350" s="115">
        <v>4</v>
      </c>
      <c r="CW4350" s="115">
        <v>0.11332468572476186</v>
      </c>
      <c r="CX4350" s="115" t="e">
        <v>#N/A</v>
      </c>
      <c r="CY4350" s="115" t="e">
        <v>#N/A</v>
      </c>
      <c r="CZ4350" s="137" t="e">
        <v>#N/A</v>
      </c>
      <c r="DA4350">
        <v>0.11332468572476186</v>
      </c>
      <c r="DB4350" t="str">
        <v/>
      </c>
    </row>
    <row r="4351" spans="83:106" x14ac:dyDescent="0.2">
      <c r="CE4351"/>
      <c r="CF4351"/>
      <c r="CG4351"/>
      <c r="CH4351"/>
      <c r="CI4351"/>
      <c r="CU4351" s="42">
        <v>4346</v>
      </c>
      <c r="CV4351" s="115">
        <v>4</v>
      </c>
      <c r="CW4351" s="115">
        <v>0.11332468572476186</v>
      </c>
      <c r="CX4351" s="115" t="e">
        <v>#N/A</v>
      </c>
      <c r="CY4351" s="115" t="e">
        <v>#N/A</v>
      </c>
      <c r="CZ4351" s="137" t="e">
        <v>#N/A</v>
      </c>
      <c r="DA4351">
        <v>0.11332468572476186</v>
      </c>
      <c r="DB4351" t="str">
        <v/>
      </c>
    </row>
    <row r="4352" spans="83:106" x14ac:dyDescent="0.2">
      <c r="CE4352"/>
      <c r="CF4352"/>
      <c r="CG4352"/>
      <c r="CH4352"/>
      <c r="CI4352"/>
      <c r="CU4352" s="42">
        <v>4347</v>
      </c>
      <c r="CV4352" s="115">
        <v>4</v>
      </c>
      <c r="CW4352" s="115">
        <v>0.11332468572476186</v>
      </c>
      <c r="CX4352" s="115" t="e">
        <v>#N/A</v>
      </c>
      <c r="CY4352" s="115" t="e">
        <v>#N/A</v>
      </c>
      <c r="CZ4352" s="137" t="e">
        <v>#N/A</v>
      </c>
      <c r="DA4352">
        <v>0.11332468572476186</v>
      </c>
      <c r="DB4352" t="str">
        <v/>
      </c>
    </row>
    <row r="4353" spans="83:106" x14ac:dyDescent="0.2">
      <c r="CE4353"/>
      <c r="CF4353"/>
      <c r="CG4353"/>
      <c r="CH4353"/>
      <c r="CI4353"/>
      <c r="CU4353" s="42">
        <v>4348</v>
      </c>
      <c r="CV4353" s="115">
        <v>4</v>
      </c>
      <c r="CW4353" s="115">
        <v>0.11332468572476186</v>
      </c>
      <c r="CX4353" s="115" t="e">
        <v>#N/A</v>
      </c>
      <c r="CY4353" s="115" t="e">
        <v>#N/A</v>
      </c>
      <c r="CZ4353" s="137" t="e">
        <v>#N/A</v>
      </c>
      <c r="DA4353">
        <v>0.11332468572476186</v>
      </c>
      <c r="DB4353" t="str">
        <v/>
      </c>
    </row>
    <row r="4354" spans="83:106" x14ac:dyDescent="0.2">
      <c r="CE4354"/>
      <c r="CF4354"/>
      <c r="CG4354"/>
      <c r="CH4354"/>
      <c r="CI4354"/>
      <c r="CU4354" s="42">
        <v>4349</v>
      </c>
      <c r="CV4354" s="115">
        <v>4</v>
      </c>
      <c r="CW4354" s="115">
        <v>0.11332468572476186</v>
      </c>
      <c r="CX4354" s="115" t="e">
        <v>#N/A</v>
      </c>
      <c r="CY4354" s="115" t="e">
        <v>#N/A</v>
      </c>
      <c r="CZ4354" s="137" t="e">
        <v>#N/A</v>
      </c>
      <c r="DA4354">
        <v>0.11332468572476186</v>
      </c>
      <c r="DB4354" t="str">
        <v/>
      </c>
    </row>
    <row r="4355" spans="83:106" x14ac:dyDescent="0.2">
      <c r="CE4355"/>
      <c r="CF4355"/>
      <c r="CG4355"/>
      <c r="CH4355"/>
      <c r="CI4355"/>
      <c r="CU4355" s="42">
        <v>4350</v>
      </c>
      <c r="CV4355" s="115">
        <v>4</v>
      </c>
      <c r="CW4355" s="115">
        <v>0.11332468572476186</v>
      </c>
      <c r="CX4355" s="115" t="e">
        <v>#N/A</v>
      </c>
      <c r="CY4355" s="115" t="e">
        <v>#N/A</v>
      </c>
      <c r="CZ4355" s="137" t="e">
        <v>#N/A</v>
      </c>
      <c r="DA4355">
        <v>0.11332468572476186</v>
      </c>
      <c r="DB4355" t="str">
        <v/>
      </c>
    </row>
    <row r="4356" spans="83:106" x14ac:dyDescent="0.2">
      <c r="CE4356"/>
      <c r="CF4356"/>
      <c r="CG4356"/>
      <c r="CH4356"/>
      <c r="CI4356"/>
      <c r="CU4356" s="42">
        <v>4351</v>
      </c>
      <c r="CV4356" s="115">
        <v>4</v>
      </c>
      <c r="CW4356" s="115">
        <v>0.11332468572476186</v>
      </c>
      <c r="CX4356" s="115" t="e">
        <v>#N/A</v>
      </c>
      <c r="CY4356" s="115" t="e">
        <v>#N/A</v>
      </c>
      <c r="CZ4356" s="137" t="e">
        <v>#N/A</v>
      </c>
      <c r="DA4356">
        <v>0.11332468572476186</v>
      </c>
      <c r="DB4356" t="str">
        <v/>
      </c>
    </row>
    <row r="4357" spans="83:106" x14ac:dyDescent="0.2">
      <c r="CE4357"/>
      <c r="CF4357"/>
      <c r="CG4357"/>
      <c r="CH4357"/>
      <c r="CI4357"/>
      <c r="CU4357" s="42">
        <v>4352</v>
      </c>
      <c r="CV4357" s="115">
        <v>4</v>
      </c>
      <c r="CW4357" s="115">
        <v>0.11332468572476186</v>
      </c>
      <c r="CX4357" s="115" t="e">
        <v>#N/A</v>
      </c>
      <c r="CY4357" s="115" t="e">
        <v>#N/A</v>
      </c>
      <c r="CZ4357" s="137" t="e">
        <v>#N/A</v>
      </c>
      <c r="DA4357">
        <v>0.11332468572476186</v>
      </c>
      <c r="DB4357" t="str">
        <v/>
      </c>
    </row>
    <row r="4358" spans="83:106" x14ac:dyDescent="0.2">
      <c r="CE4358"/>
      <c r="CF4358"/>
      <c r="CG4358"/>
      <c r="CH4358"/>
      <c r="CI4358"/>
      <c r="CU4358" s="42">
        <v>4353</v>
      </c>
      <c r="CV4358" s="115">
        <v>4</v>
      </c>
      <c r="CW4358" s="115">
        <v>0.11332468572476186</v>
      </c>
      <c r="CX4358" s="115" t="e">
        <v>#N/A</v>
      </c>
      <c r="CY4358" s="115" t="e">
        <v>#N/A</v>
      </c>
      <c r="CZ4358" s="137" t="e">
        <v>#N/A</v>
      </c>
      <c r="DA4358">
        <v>0.11332468572476186</v>
      </c>
      <c r="DB4358" t="str">
        <v/>
      </c>
    </row>
    <row r="4359" spans="83:106" x14ac:dyDescent="0.2">
      <c r="CE4359"/>
      <c r="CF4359"/>
      <c r="CG4359"/>
      <c r="CH4359"/>
      <c r="CI4359"/>
      <c r="CU4359" s="42">
        <v>4354</v>
      </c>
      <c r="CV4359" s="115">
        <v>4</v>
      </c>
      <c r="CW4359" s="115">
        <v>0.11332468572476186</v>
      </c>
      <c r="CX4359" s="115" t="e">
        <v>#N/A</v>
      </c>
      <c r="CY4359" s="115" t="e">
        <v>#N/A</v>
      </c>
      <c r="CZ4359" s="137" t="e">
        <v>#N/A</v>
      </c>
      <c r="DA4359">
        <v>0.11332468572476186</v>
      </c>
      <c r="DB4359" t="str">
        <v/>
      </c>
    </row>
    <row r="4360" spans="83:106" x14ac:dyDescent="0.2">
      <c r="CE4360"/>
      <c r="CF4360"/>
      <c r="CG4360"/>
      <c r="CH4360"/>
      <c r="CI4360"/>
      <c r="CU4360" s="42">
        <v>4355</v>
      </c>
      <c r="CV4360" s="115">
        <v>4</v>
      </c>
      <c r="CW4360" s="115">
        <v>0.11332468572476186</v>
      </c>
      <c r="CX4360" s="115" t="e">
        <v>#N/A</v>
      </c>
      <c r="CY4360" s="115" t="e">
        <v>#N/A</v>
      </c>
      <c r="CZ4360" s="137" t="e">
        <v>#N/A</v>
      </c>
      <c r="DA4360">
        <v>0.11332468572476186</v>
      </c>
      <c r="DB4360" t="str">
        <v/>
      </c>
    </row>
    <row r="4361" spans="83:106" x14ac:dyDescent="0.2">
      <c r="CE4361"/>
      <c r="CF4361"/>
      <c r="CG4361"/>
      <c r="CH4361"/>
      <c r="CI4361"/>
      <c r="CU4361" s="42">
        <v>4356</v>
      </c>
      <c r="CV4361" s="115">
        <v>4</v>
      </c>
      <c r="CW4361" s="115">
        <v>0.11332468572476186</v>
      </c>
      <c r="CX4361" s="115" t="e">
        <v>#N/A</v>
      </c>
      <c r="CY4361" s="115" t="e">
        <v>#N/A</v>
      </c>
      <c r="CZ4361" s="137" t="e">
        <v>#N/A</v>
      </c>
      <c r="DA4361">
        <v>0.11332468572476186</v>
      </c>
      <c r="DB4361" t="str">
        <v/>
      </c>
    </row>
    <row r="4362" spans="83:106" x14ac:dyDescent="0.2">
      <c r="CE4362"/>
      <c r="CF4362"/>
      <c r="CG4362"/>
      <c r="CH4362"/>
      <c r="CI4362"/>
      <c r="CU4362" s="42">
        <v>4357</v>
      </c>
      <c r="CV4362" s="115">
        <v>4</v>
      </c>
      <c r="CW4362" s="115">
        <v>0.11332468572476186</v>
      </c>
      <c r="CX4362" s="115" t="e">
        <v>#N/A</v>
      </c>
      <c r="CY4362" s="115" t="e">
        <v>#N/A</v>
      </c>
      <c r="CZ4362" s="137" t="e">
        <v>#N/A</v>
      </c>
      <c r="DA4362">
        <v>0.11332468572476186</v>
      </c>
      <c r="DB4362" t="str">
        <v/>
      </c>
    </row>
    <row r="4363" spans="83:106" x14ac:dyDescent="0.2">
      <c r="CE4363"/>
      <c r="CF4363"/>
      <c r="CG4363"/>
      <c r="CH4363"/>
      <c r="CI4363"/>
      <c r="CU4363" s="42">
        <v>4358</v>
      </c>
      <c r="CV4363" s="115">
        <v>4</v>
      </c>
      <c r="CW4363" s="115">
        <v>0.11332468572476186</v>
      </c>
      <c r="CX4363" s="115" t="e">
        <v>#N/A</v>
      </c>
      <c r="CY4363" s="115" t="e">
        <v>#N/A</v>
      </c>
      <c r="CZ4363" s="137" t="e">
        <v>#N/A</v>
      </c>
      <c r="DA4363">
        <v>0.11332468572476186</v>
      </c>
      <c r="DB4363" t="str">
        <v/>
      </c>
    </row>
    <row r="4364" spans="83:106" x14ac:dyDescent="0.2">
      <c r="CE4364"/>
      <c r="CF4364"/>
      <c r="CG4364"/>
      <c r="CH4364"/>
      <c r="CI4364"/>
      <c r="CU4364" s="42">
        <v>4359</v>
      </c>
      <c r="CV4364" s="115">
        <v>4</v>
      </c>
      <c r="CW4364" s="115">
        <v>0.11332468572476186</v>
      </c>
      <c r="CX4364" s="115" t="e">
        <v>#N/A</v>
      </c>
      <c r="CY4364" s="115" t="e">
        <v>#N/A</v>
      </c>
      <c r="CZ4364" s="137" t="e">
        <v>#N/A</v>
      </c>
      <c r="DA4364">
        <v>0.11332468572476186</v>
      </c>
      <c r="DB4364" t="str">
        <v/>
      </c>
    </row>
    <row r="4365" spans="83:106" x14ac:dyDescent="0.2">
      <c r="CE4365"/>
      <c r="CF4365"/>
      <c r="CG4365"/>
      <c r="CH4365"/>
      <c r="CI4365"/>
      <c r="CU4365" s="42">
        <v>4360</v>
      </c>
      <c r="CV4365" s="115">
        <v>4</v>
      </c>
      <c r="CW4365" s="115">
        <v>0.11332468572476186</v>
      </c>
      <c r="CX4365" s="115" t="e">
        <v>#N/A</v>
      </c>
      <c r="CY4365" s="115" t="e">
        <v>#N/A</v>
      </c>
      <c r="CZ4365" s="137" t="e">
        <v>#N/A</v>
      </c>
      <c r="DA4365">
        <v>0.11332468572476186</v>
      </c>
      <c r="DB4365" t="str">
        <v/>
      </c>
    </row>
    <row r="4366" spans="83:106" x14ac:dyDescent="0.2">
      <c r="CE4366"/>
      <c r="CF4366"/>
      <c r="CG4366"/>
      <c r="CH4366"/>
      <c r="CI4366"/>
      <c r="CU4366" s="42">
        <v>4361</v>
      </c>
      <c r="CV4366" s="115">
        <v>4</v>
      </c>
      <c r="CW4366" s="115">
        <v>0.11332468572476186</v>
      </c>
      <c r="CX4366" s="115" t="e">
        <v>#N/A</v>
      </c>
      <c r="CY4366" s="115" t="e">
        <v>#N/A</v>
      </c>
      <c r="CZ4366" s="137" t="e">
        <v>#N/A</v>
      </c>
      <c r="DA4366">
        <v>0.11332468572476186</v>
      </c>
      <c r="DB4366" t="str">
        <v/>
      </c>
    </row>
    <row r="4367" spans="83:106" x14ac:dyDescent="0.2">
      <c r="CE4367"/>
      <c r="CF4367"/>
      <c r="CG4367"/>
      <c r="CH4367"/>
      <c r="CI4367"/>
      <c r="CU4367" s="42">
        <v>4362</v>
      </c>
      <c r="CV4367" s="115">
        <v>4</v>
      </c>
      <c r="CW4367" s="115">
        <v>0.11332468572476186</v>
      </c>
      <c r="CX4367" s="115" t="e">
        <v>#N/A</v>
      </c>
      <c r="CY4367" s="115" t="e">
        <v>#N/A</v>
      </c>
      <c r="CZ4367" s="137" t="e">
        <v>#N/A</v>
      </c>
      <c r="DA4367">
        <v>0.11332468572476186</v>
      </c>
      <c r="DB4367" t="str">
        <v/>
      </c>
    </row>
    <row r="4368" spans="83:106" x14ac:dyDescent="0.2">
      <c r="CE4368"/>
      <c r="CF4368"/>
      <c r="CG4368"/>
      <c r="CH4368"/>
      <c r="CI4368"/>
      <c r="CU4368" s="42">
        <v>4363</v>
      </c>
      <c r="CV4368" s="115">
        <v>4</v>
      </c>
      <c r="CW4368" s="115">
        <v>0.11332468572476186</v>
      </c>
      <c r="CX4368" s="115" t="e">
        <v>#N/A</v>
      </c>
      <c r="CY4368" s="115" t="e">
        <v>#N/A</v>
      </c>
      <c r="CZ4368" s="137" t="e">
        <v>#N/A</v>
      </c>
      <c r="DA4368">
        <v>0.11332468572476186</v>
      </c>
      <c r="DB4368" t="str">
        <v/>
      </c>
    </row>
    <row r="4369" spans="83:106" x14ac:dyDescent="0.2">
      <c r="CE4369"/>
      <c r="CF4369"/>
      <c r="CG4369"/>
      <c r="CH4369"/>
      <c r="CI4369"/>
      <c r="CU4369" s="42">
        <v>4364</v>
      </c>
      <c r="CV4369" s="115">
        <v>4</v>
      </c>
      <c r="CW4369" s="115">
        <v>0.11332468572476186</v>
      </c>
      <c r="CX4369" s="115" t="e">
        <v>#N/A</v>
      </c>
      <c r="CY4369" s="115" t="e">
        <v>#N/A</v>
      </c>
      <c r="CZ4369" s="137" t="e">
        <v>#N/A</v>
      </c>
      <c r="DA4369">
        <v>0.11332468572476186</v>
      </c>
      <c r="DB4369" t="str">
        <v/>
      </c>
    </row>
    <row r="4370" spans="83:106" x14ac:dyDescent="0.2">
      <c r="CE4370"/>
      <c r="CF4370"/>
      <c r="CG4370"/>
      <c r="CH4370"/>
      <c r="CI4370"/>
      <c r="CU4370" s="42">
        <v>4365</v>
      </c>
      <c r="CV4370" s="115">
        <v>4</v>
      </c>
      <c r="CW4370" s="115">
        <v>0.11332468572476186</v>
      </c>
      <c r="CX4370" s="115" t="e">
        <v>#N/A</v>
      </c>
      <c r="CY4370" s="115" t="e">
        <v>#N/A</v>
      </c>
      <c r="CZ4370" s="137" t="e">
        <v>#N/A</v>
      </c>
      <c r="DA4370">
        <v>0.11332468572476186</v>
      </c>
      <c r="DB4370" t="str">
        <v/>
      </c>
    </row>
    <row r="4371" spans="83:106" x14ac:dyDescent="0.2">
      <c r="CE4371"/>
      <c r="CF4371"/>
      <c r="CG4371"/>
      <c r="CH4371"/>
      <c r="CI4371"/>
      <c r="CU4371" s="42">
        <v>4366</v>
      </c>
      <c r="CV4371" s="115">
        <v>4</v>
      </c>
      <c r="CW4371" s="115">
        <v>0.11332468572476186</v>
      </c>
      <c r="CX4371" s="115" t="e">
        <v>#N/A</v>
      </c>
      <c r="CY4371" s="115" t="e">
        <v>#N/A</v>
      </c>
      <c r="CZ4371" s="137" t="e">
        <v>#N/A</v>
      </c>
      <c r="DA4371">
        <v>0.11332468572476186</v>
      </c>
      <c r="DB4371" t="str">
        <v/>
      </c>
    </row>
    <row r="4372" spans="83:106" x14ac:dyDescent="0.2">
      <c r="CE4372"/>
      <c r="CF4372"/>
      <c r="CG4372"/>
      <c r="CH4372"/>
      <c r="CI4372"/>
      <c r="CU4372" s="42">
        <v>4367</v>
      </c>
      <c r="CV4372" s="115">
        <v>4</v>
      </c>
      <c r="CW4372" s="115">
        <v>0.11332468572476186</v>
      </c>
      <c r="CX4372" s="115" t="e">
        <v>#N/A</v>
      </c>
      <c r="CY4372" s="115" t="e">
        <v>#N/A</v>
      </c>
      <c r="CZ4372" s="137" t="e">
        <v>#N/A</v>
      </c>
      <c r="DA4372">
        <v>0.11332468572476186</v>
      </c>
      <c r="DB4372" t="str">
        <v/>
      </c>
    </row>
    <row r="4373" spans="83:106" x14ac:dyDescent="0.2">
      <c r="CE4373"/>
      <c r="CF4373"/>
      <c r="CG4373"/>
      <c r="CH4373"/>
      <c r="CI4373"/>
      <c r="CU4373" s="42">
        <v>4368</v>
      </c>
      <c r="CV4373" s="115">
        <v>4</v>
      </c>
      <c r="CW4373" s="115">
        <v>0.11332468572476186</v>
      </c>
      <c r="CX4373" s="115" t="e">
        <v>#N/A</v>
      </c>
      <c r="CY4373" s="115" t="e">
        <v>#N/A</v>
      </c>
      <c r="CZ4373" s="137" t="e">
        <v>#N/A</v>
      </c>
      <c r="DA4373">
        <v>0.11332468572476186</v>
      </c>
      <c r="DB4373" t="str">
        <v/>
      </c>
    </row>
    <row r="4374" spans="83:106" x14ac:dyDescent="0.2">
      <c r="CE4374"/>
      <c r="CF4374"/>
      <c r="CG4374"/>
      <c r="CH4374"/>
      <c r="CI4374"/>
      <c r="CU4374" s="42">
        <v>4369</v>
      </c>
      <c r="CV4374" s="115">
        <v>4</v>
      </c>
      <c r="CW4374" s="115">
        <v>0.11332468572476186</v>
      </c>
      <c r="CX4374" s="115" t="e">
        <v>#N/A</v>
      </c>
      <c r="CY4374" s="115" t="e">
        <v>#N/A</v>
      </c>
      <c r="CZ4374" s="137" t="e">
        <v>#N/A</v>
      </c>
      <c r="DA4374">
        <v>0.11332468572476186</v>
      </c>
      <c r="DB4374" t="str">
        <v/>
      </c>
    </row>
    <row r="4375" spans="83:106" x14ac:dyDescent="0.2">
      <c r="CE4375"/>
      <c r="CF4375"/>
      <c r="CG4375"/>
      <c r="CH4375"/>
      <c r="CI4375"/>
      <c r="CU4375" s="42">
        <v>4370</v>
      </c>
      <c r="CV4375" s="115">
        <v>4</v>
      </c>
      <c r="CW4375" s="115">
        <v>0.11332468572476186</v>
      </c>
      <c r="CX4375" s="115" t="e">
        <v>#N/A</v>
      </c>
      <c r="CY4375" s="115" t="e">
        <v>#N/A</v>
      </c>
      <c r="CZ4375" s="137" t="e">
        <v>#N/A</v>
      </c>
      <c r="DA4375">
        <v>0.11332468572476186</v>
      </c>
      <c r="DB4375" t="str">
        <v/>
      </c>
    </row>
    <row r="4376" spans="83:106" x14ac:dyDescent="0.2">
      <c r="CE4376"/>
      <c r="CF4376"/>
      <c r="CG4376"/>
      <c r="CH4376"/>
      <c r="CI4376"/>
      <c r="CU4376" s="42">
        <v>4371</v>
      </c>
      <c r="CV4376" s="115">
        <v>4</v>
      </c>
      <c r="CW4376" s="115">
        <v>0.11332468572476186</v>
      </c>
      <c r="CX4376" s="115" t="e">
        <v>#N/A</v>
      </c>
      <c r="CY4376" s="115" t="e">
        <v>#N/A</v>
      </c>
      <c r="CZ4376" s="137" t="e">
        <v>#N/A</v>
      </c>
      <c r="DA4376">
        <v>0.11332468572476186</v>
      </c>
      <c r="DB4376" t="str">
        <v/>
      </c>
    </row>
    <row r="4377" spans="83:106" x14ac:dyDescent="0.2">
      <c r="CE4377"/>
      <c r="CF4377"/>
      <c r="CG4377"/>
      <c r="CH4377"/>
      <c r="CI4377"/>
      <c r="CU4377" s="42">
        <v>4372</v>
      </c>
      <c r="CV4377" s="115">
        <v>4</v>
      </c>
      <c r="CW4377" s="115">
        <v>0.11332468572476186</v>
      </c>
      <c r="CX4377" s="115" t="e">
        <v>#N/A</v>
      </c>
      <c r="CY4377" s="115" t="e">
        <v>#N/A</v>
      </c>
      <c r="CZ4377" s="137" t="e">
        <v>#N/A</v>
      </c>
      <c r="DA4377">
        <v>0.11332468572476186</v>
      </c>
      <c r="DB4377" t="str">
        <v/>
      </c>
    </row>
    <row r="4378" spans="83:106" x14ac:dyDescent="0.2">
      <c r="CE4378"/>
      <c r="CF4378"/>
      <c r="CG4378"/>
      <c r="CH4378"/>
      <c r="CI4378"/>
      <c r="CU4378" s="42">
        <v>4373</v>
      </c>
      <c r="CV4378" s="115">
        <v>4</v>
      </c>
      <c r="CW4378" s="115">
        <v>0.11332468572476186</v>
      </c>
      <c r="CX4378" s="115" t="e">
        <v>#N/A</v>
      </c>
      <c r="CY4378" s="115" t="e">
        <v>#N/A</v>
      </c>
      <c r="CZ4378" s="137" t="e">
        <v>#N/A</v>
      </c>
      <c r="DA4378">
        <v>0.11332468572476186</v>
      </c>
      <c r="DB4378" t="str">
        <v/>
      </c>
    </row>
    <row r="4379" spans="83:106" x14ac:dyDescent="0.2">
      <c r="CE4379"/>
      <c r="CF4379"/>
      <c r="CG4379"/>
      <c r="CH4379"/>
      <c r="CI4379"/>
      <c r="CU4379" s="42">
        <v>4374</v>
      </c>
      <c r="CV4379" s="115">
        <v>4</v>
      </c>
      <c r="CW4379" s="115">
        <v>0.11332468572476186</v>
      </c>
      <c r="CX4379" s="115" t="e">
        <v>#N/A</v>
      </c>
      <c r="CY4379" s="115" t="e">
        <v>#N/A</v>
      </c>
      <c r="CZ4379" s="137" t="e">
        <v>#N/A</v>
      </c>
      <c r="DA4379">
        <v>0.11332468572476186</v>
      </c>
      <c r="DB4379" t="str">
        <v/>
      </c>
    </row>
    <row r="4380" spans="83:106" x14ac:dyDescent="0.2">
      <c r="CE4380"/>
      <c r="CF4380"/>
      <c r="CG4380"/>
      <c r="CH4380"/>
      <c r="CI4380"/>
      <c r="CU4380" s="42">
        <v>4375</v>
      </c>
      <c r="CV4380" s="115">
        <v>4</v>
      </c>
      <c r="CW4380" s="115">
        <v>0.11332468572476186</v>
      </c>
      <c r="CX4380" s="115" t="e">
        <v>#N/A</v>
      </c>
      <c r="CY4380" s="115" t="e">
        <v>#N/A</v>
      </c>
      <c r="CZ4380" s="137" t="e">
        <v>#N/A</v>
      </c>
      <c r="DA4380">
        <v>0.11332468572476186</v>
      </c>
      <c r="DB4380" t="str">
        <v/>
      </c>
    </row>
    <row r="4381" spans="83:106" x14ac:dyDescent="0.2">
      <c r="CE4381"/>
      <c r="CF4381"/>
      <c r="CG4381"/>
      <c r="CH4381"/>
      <c r="CI4381"/>
      <c r="CU4381" s="42">
        <v>4376</v>
      </c>
      <c r="CV4381" s="115">
        <v>4</v>
      </c>
      <c r="CW4381" s="115">
        <v>0.11332468572476186</v>
      </c>
      <c r="CX4381" s="115" t="e">
        <v>#N/A</v>
      </c>
      <c r="CY4381" s="115" t="e">
        <v>#N/A</v>
      </c>
      <c r="CZ4381" s="137" t="e">
        <v>#N/A</v>
      </c>
      <c r="DA4381">
        <v>0.11332468572476186</v>
      </c>
      <c r="DB4381" t="str">
        <v/>
      </c>
    </row>
    <row r="4382" spans="83:106" x14ac:dyDescent="0.2">
      <c r="CE4382"/>
      <c r="CF4382"/>
      <c r="CG4382"/>
      <c r="CH4382"/>
      <c r="CI4382"/>
      <c r="CU4382" s="42">
        <v>4377</v>
      </c>
      <c r="CV4382" s="115">
        <v>4</v>
      </c>
      <c r="CW4382" s="115">
        <v>0.11332468572476186</v>
      </c>
      <c r="CX4382" s="115" t="e">
        <v>#N/A</v>
      </c>
      <c r="CY4382" s="115" t="e">
        <v>#N/A</v>
      </c>
      <c r="CZ4382" s="137" t="e">
        <v>#N/A</v>
      </c>
      <c r="DA4382">
        <v>0.11332468572476186</v>
      </c>
      <c r="DB4382" t="str">
        <v/>
      </c>
    </row>
    <row r="4383" spans="83:106" x14ac:dyDescent="0.2">
      <c r="CE4383"/>
      <c r="CF4383"/>
      <c r="CG4383"/>
      <c r="CH4383"/>
      <c r="CI4383"/>
      <c r="CU4383" s="42">
        <v>4378</v>
      </c>
      <c r="CV4383" s="115">
        <v>4</v>
      </c>
      <c r="CW4383" s="115">
        <v>0.11332468572476186</v>
      </c>
      <c r="CX4383" s="115" t="e">
        <v>#N/A</v>
      </c>
      <c r="CY4383" s="115" t="e">
        <v>#N/A</v>
      </c>
      <c r="CZ4383" s="137" t="e">
        <v>#N/A</v>
      </c>
      <c r="DA4383">
        <v>0.11332468572476186</v>
      </c>
      <c r="DB4383" t="str">
        <v/>
      </c>
    </row>
    <row r="4384" spans="83:106" x14ac:dyDescent="0.2">
      <c r="CE4384"/>
      <c r="CF4384"/>
      <c r="CG4384"/>
      <c r="CH4384"/>
      <c r="CI4384"/>
      <c r="CU4384" s="42">
        <v>4379</v>
      </c>
      <c r="CV4384" s="115">
        <v>4</v>
      </c>
      <c r="CW4384" s="115">
        <v>0.11332468572476186</v>
      </c>
      <c r="CX4384" s="115" t="e">
        <v>#N/A</v>
      </c>
      <c r="CY4384" s="115" t="e">
        <v>#N/A</v>
      </c>
      <c r="CZ4384" s="137" t="e">
        <v>#N/A</v>
      </c>
      <c r="DA4384">
        <v>0.11332468572476186</v>
      </c>
      <c r="DB4384" t="str">
        <v/>
      </c>
    </row>
    <row r="4385" spans="83:106" x14ac:dyDescent="0.2">
      <c r="CE4385"/>
      <c r="CF4385"/>
      <c r="CG4385"/>
      <c r="CH4385"/>
      <c r="CI4385"/>
      <c r="CU4385" s="42">
        <v>4380</v>
      </c>
      <c r="CV4385" s="115">
        <v>4</v>
      </c>
      <c r="CW4385" s="115">
        <v>0.11332468572476186</v>
      </c>
      <c r="CX4385" s="115" t="e">
        <v>#N/A</v>
      </c>
      <c r="CY4385" s="115" t="e">
        <v>#N/A</v>
      </c>
      <c r="CZ4385" s="137" t="e">
        <v>#N/A</v>
      </c>
      <c r="DA4385">
        <v>0.11332468572476186</v>
      </c>
      <c r="DB4385" t="str">
        <v/>
      </c>
    </row>
    <row r="4386" spans="83:106" x14ac:dyDescent="0.2">
      <c r="CE4386"/>
      <c r="CF4386"/>
      <c r="CG4386"/>
      <c r="CH4386"/>
      <c r="CI4386"/>
      <c r="CU4386" s="42">
        <v>4381</v>
      </c>
      <c r="CV4386" s="115">
        <v>4</v>
      </c>
      <c r="CW4386" s="115">
        <v>0.11332468572476186</v>
      </c>
      <c r="CX4386" s="115" t="e">
        <v>#N/A</v>
      </c>
      <c r="CY4386" s="115" t="e">
        <v>#N/A</v>
      </c>
      <c r="CZ4386" s="137" t="e">
        <v>#N/A</v>
      </c>
      <c r="DA4386">
        <v>0.11332468572476186</v>
      </c>
      <c r="DB4386" t="str">
        <v/>
      </c>
    </row>
    <row r="4387" spans="83:106" x14ac:dyDescent="0.2">
      <c r="CE4387"/>
      <c r="CF4387"/>
      <c r="CG4387"/>
      <c r="CH4387"/>
      <c r="CI4387"/>
      <c r="CU4387" s="42">
        <v>4382</v>
      </c>
      <c r="CV4387" s="115">
        <v>4</v>
      </c>
      <c r="CW4387" s="115">
        <v>0.11332468572476186</v>
      </c>
      <c r="CX4387" s="115" t="e">
        <v>#N/A</v>
      </c>
      <c r="CY4387" s="115" t="e">
        <v>#N/A</v>
      </c>
      <c r="CZ4387" s="137" t="e">
        <v>#N/A</v>
      </c>
      <c r="DA4387">
        <v>0.11332468572476186</v>
      </c>
      <c r="DB4387" t="str">
        <v/>
      </c>
    </row>
    <row r="4388" spans="83:106" x14ac:dyDescent="0.2">
      <c r="CE4388"/>
      <c r="CF4388"/>
      <c r="CG4388"/>
      <c r="CH4388"/>
      <c r="CI4388"/>
      <c r="CU4388" s="42">
        <v>4383</v>
      </c>
      <c r="CV4388" s="115">
        <v>4</v>
      </c>
      <c r="CW4388" s="115">
        <v>0.11332468572476186</v>
      </c>
      <c r="CX4388" s="115" t="e">
        <v>#N/A</v>
      </c>
      <c r="CY4388" s="115" t="e">
        <v>#N/A</v>
      </c>
      <c r="CZ4388" s="137" t="e">
        <v>#N/A</v>
      </c>
      <c r="DA4388">
        <v>0.11332468572476186</v>
      </c>
      <c r="DB4388" t="str">
        <v/>
      </c>
    </row>
    <row r="4389" spans="83:106" x14ac:dyDescent="0.2">
      <c r="CE4389"/>
      <c r="CF4389"/>
      <c r="CG4389"/>
      <c r="CH4389"/>
      <c r="CI4389"/>
      <c r="CU4389" s="42">
        <v>4384</v>
      </c>
      <c r="CV4389" s="115">
        <v>4</v>
      </c>
      <c r="CW4389" s="115">
        <v>0.11332468572476186</v>
      </c>
      <c r="CX4389" s="115" t="e">
        <v>#N/A</v>
      </c>
      <c r="CY4389" s="115" t="e">
        <v>#N/A</v>
      </c>
      <c r="CZ4389" s="137" t="e">
        <v>#N/A</v>
      </c>
      <c r="DA4389">
        <v>0.11332468572476186</v>
      </c>
      <c r="DB4389" t="str">
        <v/>
      </c>
    </row>
    <row r="4390" spans="83:106" x14ac:dyDescent="0.2">
      <c r="CE4390"/>
      <c r="CF4390"/>
      <c r="CG4390"/>
      <c r="CH4390"/>
      <c r="CI4390"/>
      <c r="CU4390" s="42">
        <v>4385</v>
      </c>
      <c r="CV4390" s="115">
        <v>4</v>
      </c>
      <c r="CW4390" s="115">
        <v>0.11332468572476186</v>
      </c>
      <c r="CX4390" s="115" t="e">
        <v>#N/A</v>
      </c>
      <c r="CY4390" s="115" t="e">
        <v>#N/A</v>
      </c>
      <c r="CZ4390" s="137" t="e">
        <v>#N/A</v>
      </c>
      <c r="DA4390">
        <v>0.11332468572476186</v>
      </c>
      <c r="DB4390" t="str">
        <v/>
      </c>
    </row>
    <row r="4391" spans="83:106" x14ac:dyDescent="0.2">
      <c r="CE4391"/>
      <c r="CF4391"/>
      <c r="CG4391"/>
      <c r="CH4391"/>
      <c r="CI4391"/>
      <c r="CU4391" s="42">
        <v>4386</v>
      </c>
      <c r="CV4391" s="115">
        <v>4</v>
      </c>
      <c r="CW4391" s="115">
        <v>0.11332468572476186</v>
      </c>
      <c r="CX4391" s="115" t="e">
        <v>#N/A</v>
      </c>
      <c r="CY4391" s="115" t="e">
        <v>#N/A</v>
      </c>
      <c r="CZ4391" s="137" t="e">
        <v>#N/A</v>
      </c>
      <c r="DA4391">
        <v>0.11332468572476186</v>
      </c>
      <c r="DB4391" t="str">
        <v/>
      </c>
    </row>
    <row r="4392" spans="83:106" x14ac:dyDescent="0.2">
      <c r="CE4392"/>
      <c r="CF4392"/>
      <c r="CG4392"/>
      <c r="CH4392"/>
      <c r="CI4392"/>
      <c r="CU4392" s="42">
        <v>4387</v>
      </c>
      <c r="CV4392" s="115">
        <v>4</v>
      </c>
      <c r="CW4392" s="115">
        <v>0.11332468572476186</v>
      </c>
      <c r="CX4392" s="115" t="e">
        <v>#N/A</v>
      </c>
      <c r="CY4392" s="115" t="e">
        <v>#N/A</v>
      </c>
      <c r="CZ4392" s="137" t="e">
        <v>#N/A</v>
      </c>
      <c r="DA4392">
        <v>0.11332468572476186</v>
      </c>
      <c r="DB4392" t="str">
        <v/>
      </c>
    </row>
    <row r="4393" spans="83:106" x14ac:dyDescent="0.2">
      <c r="CE4393"/>
      <c r="CF4393"/>
      <c r="CG4393"/>
      <c r="CH4393"/>
      <c r="CI4393"/>
      <c r="CU4393" s="42">
        <v>4388</v>
      </c>
      <c r="CV4393" s="115">
        <v>4</v>
      </c>
      <c r="CW4393" s="115">
        <v>0.11332468572476186</v>
      </c>
      <c r="CX4393" s="115" t="e">
        <v>#N/A</v>
      </c>
      <c r="CY4393" s="115" t="e">
        <v>#N/A</v>
      </c>
      <c r="CZ4393" s="137" t="e">
        <v>#N/A</v>
      </c>
      <c r="DA4393">
        <v>0.11332468572476186</v>
      </c>
      <c r="DB4393" t="str">
        <v/>
      </c>
    </row>
    <row r="4394" spans="83:106" x14ac:dyDescent="0.2">
      <c r="CE4394"/>
      <c r="CF4394"/>
      <c r="CG4394"/>
      <c r="CH4394"/>
      <c r="CI4394"/>
      <c r="CU4394" s="42">
        <v>4389</v>
      </c>
      <c r="CV4394" s="115">
        <v>4</v>
      </c>
      <c r="CW4394" s="115">
        <v>0.11332468572476186</v>
      </c>
      <c r="CX4394" s="115" t="e">
        <v>#N/A</v>
      </c>
      <c r="CY4394" s="115" t="e">
        <v>#N/A</v>
      </c>
      <c r="CZ4394" s="137" t="e">
        <v>#N/A</v>
      </c>
      <c r="DA4394">
        <v>0.11332468572476186</v>
      </c>
      <c r="DB4394" t="str">
        <v/>
      </c>
    </row>
    <row r="4395" spans="83:106" x14ac:dyDescent="0.2">
      <c r="CE4395"/>
      <c r="CF4395"/>
      <c r="CG4395"/>
      <c r="CH4395"/>
      <c r="CI4395"/>
      <c r="CU4395" s="42">
        <v>4390</v>
      </c>
      <c r="CV4395" s="115">
        <v>4</v>
      </c>
      <c r="CW4395" s="115">
        <v>0.11332468572476186</v>
      </c>
      <c r="CX4395" s="115" t="e">
        <v>#N/A</v>
      </c>
      <c r="CY4395" s="115" t="e">
        <v>#N/A</v>
      </c>
      <c r="CZ4395" s="137" t="e">
        <v>#N/A</v>
      </c>
      <c r="DA4395">
        <v>0.11332468572476186</v>
      </c>
      <c r="DB4395" t="str">
        <v/>
      </c>
    </row>
    <row r="4396" spans="83:106" x14ac:dyDescent="0.2">
      <c r="CE4396"/>
      <c r="CF4396"/>
      <c r="CG4396"/>
      <c r="CH4396"/>
      <c r="CI4396"/>
      <c r="CU4396" s="42">
        <v>4391</v>
      </c>
      <c r="CV4396" s="115">
        <v>4</v>
      </c>
      <c r="CW4396" s="115">
        <v>0.11332468572476186</v>
      </c>
      <c r="CX4396" s="115" t="e">
        <v>#N/A</v>
      </c>
      <c r="CY4396" s="115" t="e">
        <v>#N/A</v>
      </c>
      <c r="CZ4396" s="137" t="e">
        <v>#N/A</v>
      </c>
      <c r="DA4396">
        <v>0.11332468572476186</v>
      </c>
      <c r="DB4396" t="str">
        <v/>
      </c>
    </row>
    <row r="4397" spans="83:106" x14ac:dyDescent="0.2">
      <c r="CE4397"/>
      <c r="CF4397"/>
      <c r="CG4397"/>
      <c r="CH4397"/>
      <c r="CI4397"/>
      <c r="CU4397" s="42">
        <v>4392</v>
      </c>
      <c r="CV4397" s="115">
        <v>4</v>
      </c>
      <c r="CW4397" s="115">
        <v>0.11332468572476186</v>
      </c>
      <c r="CX4397" s="115" t="e">
        <v>#N/A</v>
      </c>
      <c r="CY4397" s="115" t="e">
        <v>#N/A</v>
      </c>
      <c r="CZ4397" s="137" t="e">
        <v>#N/A</v>
      </c>
      <c r="DA4397">
        <v>0.11332468572476186</v>
      </c>
      <c r="DB4397" t="str">
        <v/>
      </c>
    </row>
    <row r="4398" spans="83:106" x14ac:dyDescent="0.2">
      <c r="CE4398"/>
      <c r="CF4398"/>
      <c r="CG4398"/>
      <c r="CH4398"/>
      <c r="CI4398"/>
      <c r="CU4398" s="42">
        <v>4393</v>
      </c>
      <c r="CV4398" s="115">
        <v>4</v>
      </c>
      <c r="CW4398" s="115">
        <v>0.11332468572476186</v>
      </c>
      <c r="CX4398" s="115" t="e">
        <v>#N/A</v>
      </c>
      <c r="CY4398" s="115" t="e">
        <v>#N/A</v>
      </c>
      <c r="CZ4398" s="137" t="e">
        <v>#N/A</v>
      </c>
      <c r="DA4398">
        <v>0.11332468572476186</v>
      </c>
      <c r="DB4398" t="str">
        <v/>
      </c>
    </row>
    <row r="4399" spans="83:106" x14ac:dyDescent="0.2">
      <c r="CE4399"/>
      <c r="CF4399"/>
      <c r="CG4399"/>
      <c r="CH4399"/>
      <c r="CI4399"/>
      <c r="CU4399" s="42">
        <v>4394</v>
      </c>
      <c r="CV4399" s="115">
        <v>4</v>
      </c>
      <c r="CW4399" s="115">
        <v>0.11332468572476186</v>
      </c>
      <c r="CX4399" s="115" t="e">
        <v>#N/A</v>
      </c>
      <c r="CY4399" s="115" t="e">
        <v>#N/A</v>
      </c>
      <c r="CZ4399" s="137" t="e">
        <v>#N/A</v>
      </c>
      <c r="DA4399">
        <v>0.11332468572476186</v>
      </c>
      <c r="DB4399" t="str">
        <v/>
      </c>
    </row>
    <row r="4400" spans="83:106" x14ac:dyDescent="0.2">
      <c r="CE4400"/>
      <c r="CF4400"/>
      <c r="CG4400"/>
      <c r="CH4400"/>
      <c r="CI4400"/>
      <c r="CU4400" s="42">
        <v>4395</v>
      </c>
      <c r="CV4400" s="115">
        <v>4</v>
      </c>
      <c r="CW4400" s="115">
        <v>0.11332468572476186</v>
      </c>
      <c r="CX4400" s="115" t="e">
        <v>#N/A</v>
      </c>
      <c r="CY4400" s="115" t="e">
        <v>#N/A</v>
      </c>
      <c r="CZ4400" s="137" t="e">
        <v>#N/A</v>
      </c>
      <c r="DA4400">
        <v>0.11332468572476186</v>
      </c>
      <c r="DB4400" t="str">
        <v/>
      </c>
    </row>
    <row r="4401" spans="83:106" x14ac:dyDescent="0.2">
      <c r="CE4401"/>
      <c r="CF4401"/>
      <c r="CG4401"/>
      <c r="CH4401"/>
      <c r="CI4401"/>
      <c r="CU4401" s="42">
        <v>4396</v>
      </c>
      <c r="CV4401" s="115">
        <v>4</v>
      </c>
      <c r="CW4401" s="115">
        <v>0.11332468572476186</v>
      </c>
      <c r="CX4401" s="115" t="e">
        <v>#N/A</v>
      </c>
      <c r="CY4401" s="115" t="e">
        <v>#N/A</v>
      </c>
      <c r="CZ4401" s="137" t="e">
        <v>#N/A</v>
      </c>
      <c r="DA4401">
        <v>0.11332468572476186</v>
      </c>
      <c r="DB4401" t="str">
        <v/>
      </c>
    </row>
    <row r="4402" spans="83:106" x14ac:dyDescent="0.2">
      <c r="CE4402"/>
      <c r="CF4402"/>
      <c r="CG4402"/>
      <c r="CH4402"/>
      <c r="CI4402"/>
      <c r="CU4402" s="42">
        <v>4397</v>
      </c>
      <c r="CV4402" s="115">
        <v>4</v>
      </c>
      <c r="CW4402" s="115">
        <v>0.11332468572476186</v>
      </c>
      <c r="CX4402" s="115" t="e">
        <v>#N/A</v>
      </c>
      <c r="CY4402" s="115" t="e">
        <v>#N/A</v>
      </c>
      <c r="CZ4402" s="137" t="e">
        <v>#N/A</v>
      </c>
      <c r="DA4402">
        <v>0.11332468572476186</v>
      </c>
      <c r="DB4402" t="str">
        <v/>
      </c>
    </row>
    <row r="4403" spans="83:106" x14ac:dyDescent="0.2">
      <c r="CE4403"/>
      <c r="CF4403"/>
      <c r="CG4403"/>
      <c r="CH4403"/>
      <c r="CI4403"/>
      <c r="CU4403" s="42">
        <v>4398</v>
      </c>
      <c r="CV4403" s="115">
        <v>4</v>
      </c>
      <c r="CW4403" s="115">
        <v>0.11332468572476186</v>
      </c>
      <c r="CX4403" s="115" t="e">
        <v>#N/A</v>
      </c>
      <c r="CY4403" s="115" t="e">
        <v>#N/A</v>
      </c>
      <c r="CZ4403" s="137" t="e">
        <v>#N/A</v>
      </c>
      <c r="DA4403">
        <v>0.11332468572476186</v>
      </c>
      <c r="DB4403" t="str">
        <v/>
      </c>
    </row>
    <row r="4404" spans="83:106" x14ac:dyDescent="0.2">
      <c r="CE4404"/>
      <c r="CF4404"/>
      <c r="CG4404"/>
      <c r="CH4404"/>
      <c r="CI4404"/>
      <c r="CU4404" s="42">
        <v>4399</v>
      </c>
      <c r="CV4404" s="115">
        <v>4</v>
      </c>
      <c r="CW4404" s="115">
        <v>0.11332468572476186</v>
      </c>
      <c r="CX4404" s="115" t="e">
        <v>#N/A</v>
      </c>
      <c r="CY4404" s="115" t="e">
        <v>#N/A</v>
      </c>
      <c r="CZ4404" s="137" t="e">
        <v>#N/A</v>
      </c>
      <c r="DA4404">
        <v>0.11332468572476186</v>
      </c>
      <c r="DB4404" t="str">
        <v/>
      </c>
    </row>
    <row r="4405" spans="83:106" x14ac:dyDescent="0.2">
      <c r="CE4405"/>
      <c r="CF4405"/>
      <c r="CG4405"/>
      <c r="CH4405"/>
      <c r="CI4405"/>
      <c r="CU4405" s="42">
        <v>4400</v>
      </c>
      <c r="CV4405" s="115">
        <v>4</v>
      </c>
      <c r="CW4405" s="115">
        <v>0.11332468572476186</v>
      </c>
      <c r="CX4405" s="115" t="e">
        <v>#N/A</v>
      </c>
      <c r="CY4405" s="115" t="e">
        <v>#N/A</v>
      </c>
      <c r="CZ4405" s="137" t="e">
        <v>#N/A</v>
      </c>
      <c r="DA4405">
        <v>0.11332468572476186</v>
      </c>
      <c r="DB4405" t="str">
        <v/>
      </c>
    </row>
    <row r="4406" spans="83:106" x14ac:dyDescent="0.2">
      <c r="CE4406"/>
      <c r="CF4406"/>
      <c r="CG4406"/>
      <c r="CH4406"/>
      <c r="CI4406"/>
      <c r="CU4406" s="42">
        <v>4401</v>
      </c>
      <c r="CV4406" s="115">
        <v>4</v>
      </c>
      <c r="CW4406" s="115">
        <v>0.11332468572476186</v>
      </c>
      <c r="CX4406" s="115" t="e">
        <v>#N/A</v>
      </c>
      <c r="CY4406" s="115" t="e">
        <v>#N/A</v>
      </c>
      <c r="CZ4406" s="137" t="e">
        <v>#N/A</v>
      </c>
      <c r="DA4406">
        <v>0.11332468572476186</v>
      </c>
      <c r="DB4406" t="str">
        <v/>
      </c>
    </row>
    <row r="4407" spans="83:106" x14ac:dyDescent="0.2">
      <c r="CE4407"/>
      <c r="CF4407"/>
      <c r="CG4407"/>
      <c r="CH4407"/>
      <c r="CI4407"/>
      <c r="CU4407" s="42">
        <v>4402</v>
      </c>
      <c r="CV4407" s="115">
        <v>4</v>
      </c>
      <c r="CW4407" s="115">
        <v>0.11332468572476186</v>
      </c>
      <c r="CX4407" s="115" t="e">
        <v>#N/A</v>
      </c>
      <c r="CY4407" s="115" t="e">
        <v>#N/A</v>
      </c>
      <c r="CZ4407" s="137" t="e">
        <v>#N/A</v>
      </c>
      <c r="DA4407">
        <v>0.11332468572476186</v>
      </c>
      <c r="DB4407" t="str">
        <v/>
      </c>
    </row>
    <row r="4408" spans="83:106" x14ac:dyDescent="0.2">
      <c r="CE4408"/>
      <c r="CF4408"/>
      <c r="CG4408"/>
      <c r="CH4408"/>
      <c r="CI4408"/>
      <c r="CU4408" s="42">
        <v>4403</v>
      </c>
      <c r="CV4408" s="115">
        <v>4</v>
      </c>
      <c r="CW4408" s="115">
        <v>0.11332468572476186</v>
      </c>
      <c r="CX4408" s="115" t="e">
        <v>#N/A</v>
      </c>
      <c r="CY4408" s="115" t="e">
        <v>#N/A</v>
      </c>
      <c r="CZ4408" s="137" t="e">
        <v>#N/A</v>
      </c>
      <c r="DA4408">
        <v>0.11332468572476186</v>
      </c>
      <c r="DB4408" t="str">
        <v/>
      </c>
    </row>
    <row r="4409" spans="83:106" x14ac:dyDescent="0.2">
      <c r="CE4409"/>
      <c r="CF4409"/>
      <c r="CG4409"/>
      <c r="CH4409"/>
      <c r="CI4409"/>
      <c r="CU4409" s="42">
        <v>4404</v>
      </c>
      <c r="CV4409" s="115">
        <v>4</v>
      </c>
      <c r="CW4409" s="115">
        <v>0.11332468572476186</v>
      </c>
      <c r="CX4409" s="115" t="e">
        <v>#N/A</v>
      </c>
      <c r="CY4409" s="115" t="e">
        <v>#N/A</v>
      </c>
      <c r="CZ4409" s="137" t="e">
        <v>#N/A</v>
      </c>
      <c r="DA4409">
        <v>0.11332468572476186</v>
      </c>
      <c r="DB4409" t="str">
        <v/>
      </c>
    </row>
    <row r="4410" spans="83:106" x14ac:dyDescent="0.2">
      <c r="CE4410"/>
      <c r="CF4410"/>
      <c r="CG4410"/>
      <c r="CH4410"/>
      <c r="CI4410"/>
      <c r="CU4410" s="42">
        <v>4405</v>
      </c>
      <c r="CV4410" s="115">
        <v>4</v>
      </c>
      <c r="CW4410" s="115">
        <v>0.11332468572476186</v>
      </c>
      <c r="CX4410" s="115" t="e">
        <v>#N/A</v>
      </c>
      <c r="CY4410" s="115" t="e">
        <v>#N/A</v>
      </c>
      <c r="CZ4410" s="137" t="e">
        <v>#N/A</v>
      </c>
      <c r="DA4410">
        <v>0.11332468572476186</v>
      </c>
      <c r="DB4410" t="str">
        <v/>
      </c>
    </row>
    <row r="4411" spans="83:106" x14ac:dyDescent="0.2">
      <c r="CE4411"/>
      <c r="CF4411"/>
      <c r="CG4411"/>
      <c r="CH4411"/>
      <c r="CI4411"/>
      <c r="CU4411" s="42">
        <v>4406</v>
      </c>
      <c r="CV4411" s="115">
        <v>4</v>
      </c>
      <c r="CW4411" s="115">
        <v>0.11332468572476186</v>
      </c>
      <c r="CX4411" s="115" t="e">
        <v>#N/A</v>
      </c>
      <c r="CY4411" s="115" t="e">
        <v>#N/A</v>
      </c>
      <c r="CZ4411" s="137" t="e">
        <v>#N/A</v>
      </c>
      <c r="DA4411">
        <v>0.11332468572476186</v>
      </c>
      <c r="DB4411" t="str">
        <v/>
      </c>
    </row>
    <row r="4412" spans="83:106" x14ac:dyDescent="0.2">
      <c r="CE4412"/>
      <c r="CF4412"/>
      <c r="CG4412"/>
      <c r="CH4412"/>
      <c r="CI4412"/>
      <c r="CU4412" s="42">
        <v>4407</v>
      </c>
      <c r="CV4412" s="115">
        <v>4</v>
      </c>
      <c r="CW4412" s="115">
        <v>0.11332468572476186</v>
      </c>
      <c r="CX4412" s="115" t="e">
        <v>#N/A</v>
      </c>
      <c r="CY4412" s="115" t="e">
        <v>#N/A</v>
      </c>
      <c r="CZ4412" s="137" t="e">
        <v>#N/A</v>
      </c>
      <c r="DA4412">
        <v>0.11332468572476186</v>
      </c>
      <c r="DB4412" t="str">
        <v/>
      </c>
    </row>
    <row r="4413" spans="83:106" x14ac:dyDescent="0.2">
      <c r="CE4413"/>
      <c r="CF4413"/>
      <c r="CG4413"/>
      <c r="CH4413"/>
      <c r="CI4413"/>
      <c r="CU4413" s="42">
        <v>4408</v>
      </c>
      <c r="CV4413" s="115">
        <v>4</v>
      </c>
      <c r="CW4413" s="115">
        <v>0.11332468572476186</v>
      </c>
      <c r="CX4413" s="115" t="e">
        <v>#N/A</v>
      </c>
      <c r="CY4413" s="115" t="e">
        <v>#N/A</v>
      </c>
      <c r="CZ4413" s="137" t="e">
        <v>#N/A</v>
      </c>
      <c r="DA4413">
        <v>0.11332468572476186</v>
      </c>
      <c r="DB4413" t="str">
        <v/>
      </c>
    </row>
    <row r="4414" spans="83:106" x14ac:dyDescent="0.2">
      <c r="CE4414"/>
      <c r="CF4414"/>
      <c r="CG4414"/>
      <c r="CH4414"/>
      <c r="CI4414"/>
      <c r="CU4414" s="42">
        <v>4409</v>
      </c>
      <c r="CV4414" s="115">
        <v>4</v>
      </c>
      <c r="CW4414" s="115">
        <v>0.11332468572476186</v>
      </c>
      <c r="CX4414" s="115" t="e">
        <v>#N/A</v>
      </c>
      <c r="CY4414" s="115" t="e">
        <v>#N/A</v>
      </c>
      <c r="CZ4414" s="137" t="e">
        <v>#N/A</v>
      </c>
      <c r="DA4414">
        <v>0.11332468572476186</v>
      </c>
      <c r="DB4414" t="str">
        <v/>
      </c>
    </row>
    <row r="4415" spans="83:106" x14ac:dyDescent="0.2">
      <c r="CE4415"/>
      <c r="CF4415"/>
      <c r="CG4415"/>
      <c r="CH4415"/>
      <c r="CI4415"/>
      <c r="CU4415" s="42">
        <v>4410</v>
      </c>
      <c r="CV4415" s="115">
        <v>4</v>
      </c>
      <c r="CW4415" s="115">
        <v>0.11332468572476186</v>
      </c>
      <c r="CX4415" s="115" t="e">
        <v>#N/A</v>
      </c>
      <c r="CY4415" s="115" t="e">
        <v>#N/A</v>
      </c>
      <c r="CZ4415" s="137" t="e">
        <v>#N/A</v>
      </c>
      <c r="DA4415">
        <v>0.11332468572476186</v>
      </c>
      <c r="DB4415" t="str">
        <v/>
      </c>
    </row>
    <row r="4416" spans="83:106" x14ac:dyDescent="0.2">
      <c r="CE4416"/>
      <c r="CF4416"/>
      <c r="CG4416"/>
      <c r="CH4416"/>
      <c r="CI4416"/>
      <c r="CU4416" s="42">
        <v>4411</v>
      </c>
      <c r="CV4416" s="115">
        <v>4</v>
      </c>
      <c r="CW4416" s="115">
        <v>0.11332468572476186</v>
      </c>
      <c r="CX4416" s="115" t="e">
        <v>#N/A</v>
      </c>
      <c r="CY4416" s="115" t="e">
        <v>#N/A</v>
      </c>
      <c r="CZ4416" s="137" t="e">
        <v>#N/A</v>
      </c>
      <c r="DA4416">
        <v>0.11332468572476186</v>
      </c>
      <c r="DB4416" t="str">
        <v/>
      </c>
    </row>
    <row r="4417" spans="83:106" x14ac:dyDescent="0.2">
      <c r="CE4417"/>
      <c r="CF4417"/>
      <c r="CG4417"/>
      <c r="CH4417"/>
      <c r="CI4417"/>
      <c r="CU4417" s="42">
        <v>4412</v>
      </c>
      <c r="CV4417" s="115">
        <v>4</v>
      </c>
      <c r="CW4417" s="115">
        <v>0.11332468572476186</v>
      </c>
      <c r="CX4417" s="115" t="e">
        <v>#N/A</v>
      </c>
      <c r="CY4417" s="115" t="e">
        <v>#N/A</v>
      </c>
      <c r="CZ4417" s="137" t="e">
        <v>#N/A</v>
      </c>
      <c r="DA4417">
        <v>0.11332468572476186</v>
      </c>
      <c r="DB4417" t="str">
        <v/>
      </c>
    </row>
    <row r="4418" spans="83:106" x14ac:dyDescent="0.2">
      <c r="CE4418"/>
      <c r="CF4418"/>
      <c r="CG4418"/>
      <c r="CH4418"/>
      <c r="CI4418"/>
      <c r="CU4418" s="42">
        <v>4413</v>
      </c>
      <c r="CV4418" s="115">
        <v>4</v>
      </c>
      <c r="CW4418" s="115">
        <v>0.11332468572476186</v>
      </c>
      <c r="CX4418" s="115" t="e">
        <v>#N/A</v>
      </c>
      <c r="CY4418" s="115" t="e">
        <v>#N/A</v>
      </c>
      <c r="CZ4418" s="137" t="e">
        <v>#N/A</v>
      </c>
      <c r="DA4418">
        <v>0.11332468572476186</v>
      </c>
      <c r="DB4418" t="str">
        <v/>
      </c>
    </row>
    <row r="4419" spans="83:106" x14ac:dyDescent="0.2">
      <c r="CE4419"/>
      <c r="CF4419"/>
      <c r="CG4419"/>
      <c r="CH4419"/>
      <c r="CI4419"/>
      <c r="CU4419" s="42">
        <v>4414</v>
      </c>
      <c r="CV4419" s="115">
        <v>4</v>
      </c>
      <c r="CW4419" s="115">
        <v>0.11332468572476186</v>
      </c>
      <c r="CX4419" s="115" t="e">
        <v>#N/A</v>
      </c>
      <c r="CY4419" s="115" t="e">
        <v>#N/A</v>
      </c>
      <c r="CZ4419" s="137" t="e">
        <v>#N/A</v>
      </c>
      <c r="DA4419">
        <v>0.11332468572476186</v>
      </c>
      <c r="DB4419" t="str">
        <v/>
      </c>
    </row>
    <row r="4420" spans="83:106" x14ac:dyDescent="0.2">
      <c r="CE4420"/>
      <c r="CF4420"/>
      <c r="CG4420"/>
      <c r="CH4420"/>
      <c r="CI4420"/>
      <c r="CU4420" s="42">
        <v>4415</v>
      </c>
      <c r="CV4420" s="115">
        <v>4</v>
      </c>
      <c r="CW4420" s="115">
        <v>0.11332468572476186</v>
      </c>
      <c r="CX4420" s="115" t="e">
        <v>#N/A</v>
      </c>
      <c r="CY4420" s="115" t="e">
        <v>#N/A</v>
      </c>
      <c r="CZ4420" s="137" t="e">
        <v>#N/A</v>
      </c>
      <c r="DA4420">
        <v>0.11332468572476186</v>
      </c>
      <c r="DB4420" t="str">
        <v/>
      </c>
    </row>
    <row r="4421" spans="83:106" x14ac:dyDescent="0.2">
      <c r="CE4421"/>
      <c r="CF4421"/>
      <c r="CG4421"/>
      <c r="CH4421"/>
      <c r="CI4421"/>
      <c r="CU4421" s="42">
        <v>4416</v>
      </c>
      <c r="CV4421" s="115">
        <v>4</v>
      </c>
      <c r="CW4421" s="115">
        <v>0.11332468572476186</v>
      </c>
      <c r="CX4421" s="115" t="e">
        <v>#N/A</v>
      </c>
      <c r="CY4421" s="115" t="e">
        <v>#N/A</v>
      </c>
      <c r="CZ4421" s="137" t="e">
        <v>#N/A</v>
      </c>
      <c r="DA4421">
        <v>0.11332468572476186</v>
      </c>
      <c r="DB4421" t="str">
        <v/>
      </c>
    </row>
    <row r="4422" spans="83:106" x14ac:dyDescent="0.2">
      <c r="CE4422"/>
      <c r="CF4422"/>
      <c r="CG4422"/>
      <c r="CH4422"/>
      <c r="CI4422"/>
      <c r="CU4422" s="42">
        <v>4417</v>
      </c>
      <c r="CV4422" s="115">
        <v>4</v>
      </c>
      <c r="CW4422" s="115">
        <v>0.11332468572476186</v>
      </c>
      <c r="CX4422" s="115" t="e">
        <v>#N/A</v>
      </c>
      <c r="CY4422" s="115" t="e">
        <v>#N/A</v>
      </c>
      <c r="CZ4422" s="137" t="e">
        <v>#N/A</v>
      </c>
      <c r="DA4422">
        <v>0.11332468572476186</v>
      </c>
      <c r="DB4422" t="str">
        <v/>
      </c>
    </row>
    <row r="4423" spans="83:106" x14ac:dyDescent="0.2">
      <c r="CE4423"/>
      <c r="CF4423"/>
      <c r="CG4423"/>
      <c r="CH4423"/>
      <c r="CI4423"/>
      <c r="CU4423" s="42">
        <v>4418</v>
      </c>
      <c r="CV4423" s="115">
        <v>4</v>
      </c>
      <c r="CW4423" s="115">
        <v>0.11332468572476186</v>
      </c>
      <c r="CX4423" s="115" t="e">
        <v>#N/A</v>
      </c>
      <c r="CY4423" s="115" t="e">
        <v>#N/A</v>
      </c>
      <c r="CZ4423" s="137" t="e">
        <v>#N/A</v>
      </c>
      <c r="DA4423">
        <v>0.11332468572476186</v>
      </c>
      <c r="DB4423" t="str">
        <v/>
      </c>
    </row>
    <row r="4424" spans="83:106" x14ac:dyDescent="0.2">
      <c r="CE4424"/>
      <c r="CF4424"/>
      <c r="CG4424"/>
      <c r="CH4424"/>
      <c r="CI4424"/>
      <c r="CU4424" s="42">
        <v>4419</v>
      </c>
      <c r="CV4424" s="115">
        <v>4</v>
      </c>
      <c r="CW4424" s="115">
        <v>0.11332468572476186</v>
      </c>
      <c r="CX4424" s="115" t="e">
        <v>#N/A</v>
      </c>
      <c r="CY4424" s="115" t="e">
        <v>#N/A</v>
      </c>
      <c r="CZ4424" s="137" t="e">
        <v>#N/A</v>
      </c>
      <c r="DA4424">
        <v>0.11332468572476186</v>
      </c>
      <c r="DB4424" t="str">
        <v/>
      </c>
    </row>
    <row r="4425" spans="83:106" x14ac:dyDescent="0.2">
      <c r="CE4425"/>
      <c r="CF4425"/>
      <c r="CG4425"/>
      <c r="CH4425"/>
      <c r="CI4425"/>
      <c r="CU4425" s="42">
        <v>4420</v>
      </c>
      <c r="CV4425" s="115">
        <v>4</v>
      </c>
      <c r="CW4425" s="115">
        <v>0.11332468572476186</v>
      </c>
      <c r="CX4425" s="115" t="e">
        <v>#N/A</v>
      </c>
      <c r="CY4425" s="115" t="e">
        <v>#N/A</v>
      </c>
      <c r="CZ4425" s="137" t="e">
        <v>#N/A</v>
      </c>
      <c r="DA4425">
        <v>0.11332468572476186</v>
      </c>
      <c r="DB4425" t="str">
        <v/>
      </c>
    </row>
    <row r="4426" spans="83:106" x14ac:dyDescent="0.2">
      <c r="CE4426"/>
      <c r="CF4426"/>
      <c r="CG4426"/>
      <c r="CH4426"/>
      <c r="CI4426"/>
      <c r="CU4426" s="42">
        <v>4421</v>
      </c>
      <c r="CV4426" s="115">
        <v>4</v>
      </c>
      <c r="CW4426" s="115">
        <v>0.11332468572476186</v>
      </c>
      <c r="CX4426" s="115" t="e">
        <v>#N/A</v>
      </c>
      <c r="CY4426" s="115" t="e">
        <v>#N/A</v>
      </c>
      <c r="CZ4426" s="137" t="e">
        <v>#N/A</v>
      </c>
      <c r="DA4426">
        <v>0.11332468572476186</v>
      </c>
      <c r="DB4426" t="str">
        <v/>
      </c>
    </row>
    <row r="4427" spans="83:106" x14ac:dyDescent="0.2">
      <c r="CE4427"/>
      <c r="CF4427"/>
      <c r="CG4427"/>
      <c r="CH4427"/>
      <c r="CI4427"/>
      <c r="CU4427" s="42">
        <v>4422</v>
      </c>
      <c r="CV4427" s="115">
        <v>4</v>
      </c>
      <c r="CW4427" s="115">
        <v>0.11332468572476186</v>
      </c>
      <c r="CX4427" s="115" t="e">
        <v>#N/A</v>
      </c>
      <c r="CY4427" s="115" t="e">
        <v>#N/A</v>
      </c>
      <c r="CZ4427" s="137" t="e">
        <v>#N/A</v>
      </c>
      <c r="DA4427">
        <v>0.11332468572476186</v>
      </c>
      <c r="DB4427" t="str">
        <v/>
      </c>
    </row>
    <row r="4428" spans="83:106" x14ac:dyDescent="0.2">
      <c r="CE4428"/>
      <c r="CF4428"/>
      <c r="CG4428"/>
      <c r="CH4428"/>
      <c r="CI4428"/>
      <c r="CU4428" s="42">
        <v>4423</v>
      </c>
      <c r="CV4428" s="115">
        <v>4</v>
      </c>
      <c r="CW4428" s="115">
        <v>0.11332468572476186</v>
      </c>
      <c r="CX4428" s="115" t="e">
        <v>#N/A</v>
      </c>
      <c r="CY4428" s="115" t="e">
        <v>#N/A</v>
      </c>
      <c r="CZ4428" s="137" t="e">
        <v>#N/A</v>
      </c>
      <c r="DA4428">
        <v>0.11332468572476186</v>
      </c>
      <c r="DB4428" t="str">
        <v/>
      </c>
    </row>
    <row r="4429" spans="83:106" x14ac:dyDescent="0.2">
      <c r="CE4429"/>
      <c r="CF4429"/>
      <c r="CG4429"/>
      <c r="CH4429"/>
      <c r="CI4429"/>
      <c r="CU4429" s="42">
        <v>4424</v>
      </c>
      <c r="CV4429" s="115">
        <v>4</v>
      </c>
      <c r="CW4429" s="115">
        <v>0.11332468572476186</v>
      </c>
      <c r="CX4429" s="115" t="e">
        <v>#N/A</v>
      </c>
      <c r="CY4429" s="115" t="e">
        <v>#N/A</v>
      </c>
      <c r="CZ4429" s="137" t="e">
        <v>#N/A</v>
      </c>
      <c r="DA4429">
        <v>0.11332468572476186</v>
      </c>
      <c r="DB4429" t="str">
        <v/>
      </c>
    </row>
    <row r="4430" spans="83:106" x14ac:dyDescent="0.2">
      <c r="CE4430"/>
      <c r="CF4430"/>
      <c r="CG4430"/>
      <c r="CH4430"/>
      <c r="CI4430"/>
      <c r="CU4430" s="42">
        <v>4425</v>
      </c>
      <c r="CV4430" s="115">
        <v>4</v>
      </c>
      <c r="CW4430" s="115">
        <v>0.11332468572476186</v>
      </c>
      <c r="CX4430" s="115" t="e">
        <v>#N/A</v>
      </c>
      <c r="CY4430" s="115" t="e">
        <v>#N/A</v>
      </c>
      <c r="CZ4430" s="137" t="e">
        <v>#N/A</v>
      </c>
      <c r="DA4430">
        <v>0.11332468572476186</v>
      </c>
      <c r="DB4430" t="str">
        <v/>
      </c>
    </row>
    <row r="4431" spans="83:106" x14ac:dyDescent="0.2">
      <c r="CE4431"/>
      <c r="CF4431"/>
      <c r="CG4431"/>
      <c r="CH4431"/>
      <c r="CI4431"/>
      <c r="CU4431" s="42">
        <v>4426</v>
      </c>
      <c r="CV4431" s="115">
        <v>4</v>
      </c>
      <c r="CW4431" s="115">
        <v>0.11332468572476186</v>
      </c>
      <c r="CX4431" s="115" t="e">
        <v>#N/A</v>
      </c>
      <c r="CY4431" s="115" t="e">
        <v>#N/A</v>
      </c>
      <c r="CZ4431" s="137" t="e">
        <v>#N/A</v>
      </c>
      <c r="DA4431">
        <v>0.11332468572476186</v>
      </c>
      <c r="DB4431" t="str">
        <v/>
      </c>
    </row>
    <row r="4432" spans="83:106" x14ac:dyDescent="0.2">
      <c r="CE4432"/>
      <c r="CF4432"/>
      <c r="CG4432"/>
      <c r="CH4432"/>
      <c r="CI4432"/>
      <c r="CU4432" s="42">
        <v>4427</v>
      </c>
      <c r="CV4432" s="115">
        <v>4</v>
      </c>
      <c r="CW4432" s="115">
        <v>0.11332468572476186</v>
      </c>
      <c r="CX4432" s="115" t="e">
        <v>#N/A</v>
      </c>
      <c r="CY4432" s="115" t="e">
        <v>#N/A</v>
      </c>
      <c r="CZ4432" s="137" t="e">
        <v>#N/A</v>
      </c>
      <c r="DA4432">
        <v>0.11332468572476186</v>
      </c>
      <c r="DB4432" t="str">
        <v/>
      </c>
    </row>
    <row r="4433" spans="83:106" x14ac:dyDescent="0.2">
      <c r="CE4433"/>
      <c r="CF4433"/>
      <c r="CG4433"/>
      <c r="CH4433"/>
      <c r="CI4433"/>
      <c r="CU4433" s="42">
        <v>4428</v>
      </c>
      <c r="CV4433" s="115">
        <v>4</v>
      </c>
      <c r="CW4433" s="115">
        <v>0.11332468572476186</v>
      </c>
      <c r="CX4433" s="115" t="e">
        <v>#N/A</v>
      </c>
      <c r="CY4433" s="115" t="e">
        <v>#N/A</v>
      </c>
      <c r="CZ4433" s="137" t="e">
        <v>#N/A</v>
      </c>
      <c r="DA4433">
        <v>0.11332468572476186</v>
      </c>
      <c r="DB4433" t="str">
        <v/>
      </c>
    </row>
    <row r="4434" spans="83:106" x14ac:dyDescent="0.2">
      <c r="CE4434"/>
      <c r="CF4434"/>
      <c r="CG4434"/>
      <c r="CH4434"/>
      <c r="CI4434"/>
      <c r="CU4434" s="42">
        <v>4429</v>
      </c>
      <c r="CV4434" s="115">
        <v>4</v>
      </c>
      <c r="CW4434" s="115">
        <v>0.11332468572476186</v>
      </c>
      <c r="CX4434" s="115" t="e">
        <v>#N/A</v>
      </c>
      <c r="CY4434" s="115" t="e">
        <v>#N/A</v>
      </c>
      <c r="CZ4434" s="137" t="e">
        <v>#N/A</v>
      </c>
      <c r="DA4434">
        <v>0.11332468572476186</v>
      </c>
      <c r="DB4434" t="str">
        <v/>
      </c>
    </row>
    <row r="4435" spans="83:106" x14ac:dyDescent="0.2">
      <c r="CE4435"/>
      <c r="CF4435"/>
      <c r="CG4435"/>
      <c r="CH4435"/>
      <c r="CI4435"/>
      <c r="CU4435" s="42">
        <v>4430</v>
      </c>
      <c r="CV4435" s="115">
        <v>4</v>
      </c>
      <c r="CW4435" s="115">
        <v>0.11332468572476186</v>
      </c>
      <c r="CX4435" s="115" t="e">
        <v>#N/A</v>
      </c>
      <c r="CY4435" s="115" t="e">
        <v>#N/A</v>
      </c>
      <c r="CZ4435" s="137" t="e">
        <v>#N/A</v>
      </c>
      <c r="DA4435">
        <v>0.11332468572476186</v>
      </c>
      <c r="DB4435" t="str">
        <v/>
      </c>
    </row>
    <row r="4436" spans="83:106" x14ac:dyDescent="0.2">
      <c r="CE4436"/>
      <c r="CF4436"/>
      <c r="CG4436"/>
      <c r="CH4436"/>
      <c r="CI4436"/>
      <c r="CU4436" s="42">
        <v>4431</v>
      </c>
      <c r="CV4436" s="115">
        <v>4</v>
      </c>
      <c r="CW4436" s="115">
        <v>0.11332468572476186</v>
      </c>
      <c r="CX4436" s="115" t="e">
        <v>#N/A</v>
      </c>
      <c r="CY4436" s="115" t="e">
        <v>#N/A</v>
      </c>
      <c r="CZ4436" s="137" t="e">
        <v>#N/A</v>
      </c>
      <c r="DA4436">
        <v>0.11332468572476186</v>
      </c>
      <c r="DB4436" t="str">
        <v/>
      </c>
    </row>
    <row r="4437" spans="83:106" x14ac:dyDescent="0.2">
      <c r="CE4437"/>
      <c r="CF4437"/>
      <c r="CG4437"/>
      <c r="CH4437"/>
      <c r="CI4437"/>
      <c r="CU4437" s="42">
        <v>4432</v>
      </c>
      <c r="CV4437" s="115">
        <v>4</v>
      </c>
      <c r="CW4437" s="115">
        <v>0.11332468572476186</v>
      </c>
      <c r="CX4437" s="115" t="e">
        <v>#N/A</v>
      </c>
      <c r="CY4437" s="115" t="e">
        <v>#N/A</v>
      </c>
      <c r="CZ4437" s="137" t="e">
        <v>#N/A</v>
      </c>
      <c r="DA4437">
        <v>0.11332468572476186</v>
      </c>
      <c r="DB4437" t="str">
        <v/>
      </c>
    </row>
    <row r="4438" spans="83:106" x14ac:dyDescent="0.2">
      <c r="CE4438"/>
      <c r="CF4438"/>
      <c r="CG4438"/>
      <c r="CH4438"/>
      <c r="CI4438"/>
      <c r="CU4438" s="42">
        <v>4433</v>
      </c>
      <c r="CV4438" s="115">
        <v>4</v>
      </c>
      <c r="CW4438" s="115">
        <v>0.11332468572476186</v>
      </c>
      <c r="CX4438" s="115" t="e">
        <v>#N/A</v>
      </c>
      <c r="CY4438" s="115" t="e">
        <v>#N/A</v>
      </c>
      <c r="CZ4438" s="137" t="e">
        <v>#N/A</v>
      </c>
      <c r="DA4438">
        <v>0.11332468572476186</v>
      </c>
      <c r="DB4438" t="str">
        <v/>
      </c>
    </row>
    <row r="4439" spans="83:106" x14ac:dyDescent="0.2">
      <c r="CE4439"/>
      <c r="CF4439"/>
      <c r="CG4439"/>
      <c r="CH4439"/>
      <c r="CI4439"/>
      <c r="CU4439" s="42">
        <v>4434</v>
      </c>
      <c r="CV4439" s="115">
        <v>4</v>
      </c>
      <c r="CW4439" s="115">
        <v>0.11332468572476186</v>
      </c>
      <c r="CX4439" s="115" t="e">
        <v>#N/A</v>
      </c>
      <c r="CY4439" s="115" t="e">
        <v>#N/A</v>
      </c>
      <c r="CZ4439" s="137" t="e">
        <v>#N/A</v>
      </c>
      <c r="DA4439">
        <v>0.11332468572476186</v>
      </c>
      <c r="DB4439" t="str">
        <v/>
      </c>
    </row>
    <row r="4440" spans="83:106" x14ac:dyDescent="0.2">
      <c r="CE4440"/>
      <c r="CF4440"/>
      <c r="CG4440"/>
      <c r="CH4440"/>
      <c r="CI4440"/>
      <c r="CU4440" s="42">
        <v>4435</v>
      </c>
      <c r="CV4440" s="115">
        <v>4</v>
      </c>
      <c r="CW4440" s="115">
        <v>0.11332468572476186</v>
      </c>
      <c r="CX4440" s="115" t="e">
        <v>#N/A</v>
      </c>
      <c r="CY4440" s="115" t="e">
        <v>#N/A</v>
      </c>
      <c r="CZ4440" s="137" t="e">
        <v>#N/A</v>
      </c>
      <c r="DA4440">
        <v>0.11332468572476186</v>
      </c>
      <c r="DB4440" t="str">
        <v/>
      </c>
    </row>
    <row r="4441" spans="83:106" x14ac:dyDescent="0.2">
      <c r="CE4441"/>
      <c r="CF4441"/>
      <c r="CG4441"/>
      <c r="CH4441"/>
      <c r="CI4441"/>
      <c r="CU4441" s="42">
        <v>4436</v>
      </c>
      <c r="CV4441" s="115">
        <v>4</v>
      </c>
      <c r="CW4441" s="115">
        <v>0.11332468572476186</v>
      </c>
      <c r="CX4441" s="115" t="e">
        <v>#N/A</v>
      </c>
      <c r="CY4441" s="115" t="e">
        <v>#N/A</v>
      </c>
      <c r="CZ4441" s="137" t="e">
        <v>#N/A</v>
      </c>
      <c r="DA4441">
        <v>0.11332468572476186</v>
      </c>
      <c r="DB4441" t="str">
        <v/>
      </c>
    </row>
    <row r="4442" spans="83:106" x14ac:dyDescent="0.2">
      <c r="CE4442"/>
      <c r="CF4442"/>
      <c r="CG4442"/>
      <c r="CH4442"/>
      <c r="CI4442"/>
      <c r="CU4442" s="42">
        <v>4437</v>
      </c>
      <c r="CV4442" s="115">
        <v>4</v>
      </c>
      <c r="CW4442" s="115">
        <v>0.11332468572476186</v>
      </c>
      <c r="CX4442" s="115" t="e">
        <v>#N/A</v>
      </c>
      <c r="CY4442" s="115" t="e">
        <v>#N/A</v>
      </c>
      <c r="CZ4442" s="137" t="e">
        <v>#N/A</v>
      </c>
      <c r="DA4442">
        <v>0.11332468572476186</v>
      </c>
      <c r="DB4442" t="str">
        <v/>
      </c>
    </row>
    <row r="4443" spans="83:106" x14ac:dyDescent="0.2">
      <c r="CE4443"/>
      <c r="CF4443"/>
      <c r="CG4443"/>
      <c r="CH4443"/>
      <c r="CI4443"/>
      <c r="CU4443" s="42">
        <v>4438</v>
      </c>
      <c r="CV4443" s="115">
        <v>4</v>
      </c>
      <c r="CW4443" s="115">
        <v>0.11332468572476186</v>
      </c>
      <c r="CX4443" s="115" t="e">
        <v>#N/A</v>
      </c>
      <c r="CY4443" s="115" t="e">
        <v>#N/A</v>
      </c>
      <c r="CZ4443" s="137" t="e">
        <v>#N/A</v>
      </c>
      <c r="DA4443">
        <v>0.11332468572476186</v>
      </c>
      <c r="DB4443" t="str">
        <v/>
      </c>
    </row>
    <row r="4444" spans="83:106" x14ac:dyDescent="0.2">
      <c r="CE4444"/>
      <c r="CF4444"/>
      <c r="CG4444"/>
      <c r="CH4444"/>
      <c r="CI4444"/>
      <c r="CU4444" s="42">
        <v>4439</v>
      </c>
      <c r="CV4444" s="115">
        <v>4</v>
      </c>
      <c r="CW4444" s="115">
        <v>0.11332468572476186</v>
      </c>
      <c r="CX4444" s="115" t="e">
        <v>#N/A</v>
      </c>
      <c r="CY4444" s="115" t="e">
        <v>#N/A</v>
      </c>
      <c r="CZ4444" s="137" t="e">
        <v>#N/A</v>
      </c>
      <c r="DA4444">
        <v>0.11332468572476186</v>
      </c>
      <c r="DB4444" t="str">
        <v/>
      </c>
    </row>
    <row r="4445" spans="83:106" x14ac:dyDescent="0.2">
      <c r="CE4445"/>
      <c r="CF4445"/>
      <c r="CG4445"/>
      <c r="CH4445"/>
      <c r="CI4445"/>
      <c r="CU4445" s="42">
        <v>4440</v>
      </c>
      <c r="CV4445" s="115">
        <v>4</v>
      </c>
      <c r="CW4445" s="115">
        <v>0.11332468572476186</v>
      </c>
      <c r="CX4445" s="115" t="e">
        <v>#N/A</v>
      </c>
      <c r="CY4445" s="115" t="e">
        <v>#N/A</v>
      </c>
      <c r="CZ4445" s="137" t="e">
        <v>#N/A</v>
      </c>
      <c r="DA4445">
        <v>0.11332468572476186</v>
      </c>
      <c r="DB4445" t="str">
        <v/>
      </c>
    </row>
    <row r="4446" spans="83:106" x14ac:dyDescent="0.2">
      <c r="CE4446"/>
      <c r="CF4446"/>
      <c r="CG4446"/>
      <c r="CH4446"/>
      <c r="CI4446"/>
      <c r="CU4446" s="42">
        <v>4441</v>
      </c>
      <c r="CV4446" s="115">
        <v>4</v>
      </c>
      <c r="CW4446" s="115">
        <v>0.11332468572476186</v>
      </c>
      <c r="CX4446" s="115" t="e">
        <v>#N/A</v>
      </c>
      <c r="CY4446" s="115" t="e">
        <v>#N/A</v>
      </c>
      <c r="CZ4446" s="137" t="e">
        <v>#N/A</v>
      </c>
      <c r="DA4446">
        <v>0.11332468572476186</v>
      </c>
      <c r="DB4446" t="str">
        <v/>
      </c>
    </row>
    <row r="4447" spans="83:106" x14ac:dyDescent="0.2">
      <c r="CE4447"/>
      <c r="CF4447"/>
      <c r="CG4447"/>
      <c r="CH4447"/>
      <c r="CI4447"/>
      <c r="CU4447" s="42">
        <v>4442</v>
      </c>
      <c r="CV4447" s="115">
        <v>4</v>
      </c>
      <c r="CW4447" s="115">
        <v>0.11332468572476186</v>
      </c>
      <c r="CX4447" s="115" t="e">
        <v>#N/A</v>
      </c>
      <c r="CY4447" s="115" t="e">
        <v>#N/A</v>
      </c>
      <c r="CZ4447" s="137" t="e">
        <v>#N/A</v>
      </c>
      <c r="DA4447">
        <v>0.11332468572476186</v>
      </c>
      <c r="DB4447" t="str">
        <v/>
      </c>
    </row>
    <row r="4448" spans="83:106" x14ac:dyDescent="0.2">
      <c r="CE4448"/>
      <c r="CF4448"/>
      <c r="CG4448"/>
      <c r="CH4448"/>
      <c r="CI4448"/>
      <c r="CU4448" s="42">
        <v>4443</v>
      </c>
      <c r="CV4448" s="115">
        <v>4</v>
      </c>
      <c r="CW4448" s="115">
        <v>0.11332468572476186</v>
      </c>
      <c r="CX4448" s="115" t="e">
        <v>#N/A</v>
      </c>
      <c r="CY4448" s="115" t="e">
        <v>#N/A</v>
      </c>
      <c r="CZ4448" s="137" t="e">
        <v>#N/A</v>
      </c>
      <c r="DA4448">
        <v>0.11332468572476186</v>
      </c>
      <c r="DB4448" t="str">
        <v/>
      </c>
    </row>
    <row r="4449" spans="83:106" x14ac:dyDescent="0.2">
      <c r="CE4449"/>
      <c r="CF4449"/>
      <c r="CG4449"/>
      <c r="CH4449"/>
      <c r="CI4449"/>
      <c r="CU4449" s="42">
        <v>4444</v>
      </c>
      <c r="CV4449" s="115">
        <v>4</v>
      </c>
      <c r="CW4449" s="115">
        <v>0.11332468572476186</v>
      </c>
      <c r="CX4449" s="115" t="e">
        <v>#N/A</v>
      </c>
      <c r="CY4449" s="115" t="e">
        <v>#N/A</v>
      </c>
      <c r="CZ4449" s="137" t="e">
        <v>#N/A</v>
      </c>
      <c r="DA4449">
        <v>0.11332468572476186</v>
      </c>
      <c r="DB4449" t="str">
        <v/>
      </c>
    </row>
    <row r="4450" spans="83:106" x14ac:dyDescent="0.2">
      <c r="CE4450"/>
      <c r="CF4450"/>
      <c r="CG4450"/>
      <c r="CH4450"/>
      <c r="CI4450"/>
      <c r="CU4450" s="42">
        <v>4445</v>
      </c>
      <c r="CV4450" s="115">
        <v>4</v>
      </c>
      <c r="CW4450" s="115">
        <v>0.11332468572476186</v>
      </c>
      <c r="CX4450" s="115" t="e">
        <v>#N/A</v>
      </c>
      <c r="CY4450" s="115" t="e">
        <v>#N/A</v>
      </c>
      <c r="CZ4450" s="137" t="e">
        <v>#N/A</v>
      </c>
      <c r="DA4450">
        <v>0.11332468572476186</v>
      </c>
      <c r="DB4450" t="str">
        <v/>
      </c>
    </row>
    <row r="4451" spans="83:106" x14ac:dyDescent="0.2">
      <c r="CE4451"/>
      <c r="CF4451"/>
      <c r="CG4451"/>
      <c r="CH4451"/>
      <c r="CI4451"/>
      <c r="CU4451" s="42">
        <v>4446</v>
      </c>
      <c r="CV4451" s="115">
        <v>4</v>
      </c>
      <c r="CW4451" s="115">
        <v>0.11332468572476186</v>
      </c>
      <c r="CX4451" s="115" t="e">
        <v>#N/A</v>
      </c>
      <c r="CY4451" s="115" t="e">
        <v>#N/A</v>
      </c>
      <c r="CZ4451" s="137" t="e">
        <v>#N/A</v>
      </c>
      <c r="DA4451">
        <v>0.11332468572476186</v>
      </c>
      <c r="DB4451" t="str">
        <v/>
      </c>
    </row>
    <row r="4452" spans="83:106" x14ac:dyDescent="0.2">
      <c r="CE4452"/>
      <c r="CF4452"/>
      <c r="CG4452"/>
      <c r="CH4452"/>
      <c r="CI4452"/>
      <c r="CU4452" s="42">
        <v>4447</v>
      </c>
      <c r="CV4452" s="115">
        <v>4</v>
      </c>
      <c r="CW4452" s="115">
        <v>0.11332468572476186</v>
      </c>
      <c r="CX4452" s="115" t="e">
        <v>#N/A</v>
      </c>
      <c r="CY4452" s="115" t="e">
        <v>#N/A</v>
      </c>
      <c r="CZ4452" s="137" t="e">
        <v>#N/A</v>
      </c>
      <c r="DA4452">
        <v>0.11332468572476186</v>
      </c>
      <c r="DB4452" t="str">
        <v/>
      </c>
    </row>
    <row r="4453" spans="83:106" x14ac:dyDescent="0.2">
      <c r="CE4453"/>
      <c r="CF4453"/>
      <c r="CG4453"/>
      <c r="CH4453"/>
      <c r="CI4453"/>
      <c r="CU4453" s="42">
        <v>4448</v>
      </c>
      <c r="CV4453" s="115">
        <v>4</v>
      </c>
      <c r="CW4453" s="115">
        <v>0.11332468572476186</v>
      </c>
      <c r="CX4453" s="115" t="e">
        <v>#N/A</v>
      </c>
      <c r="CY4453" s="115" t="e">
        <v>#N/A</v>
      </c>
      <c r="CZ4453" s="137" t="e">
        <v>#N/A</v>
      </c>
      <c r="DA4453">
        <v>0.11332468572476186</v>
      </c>
      <c r="DB4453" t="str">
        <v/>
      </c>
    </row>
    <row r="4454" spans="83:106" x14ac:dyDescent="0.2">
      <c r="CE4454"/>
      <c r="CF4454"/>
      <c r="CG4454"/>
      <c r="CH4454"/>
      <c r="CI4454"/>
      <c r="CU4454" s="42">
        <v>4449</v>
      </c>
      <c r="CV4454" s="115">
        <v>4</v>
      </c>
      <c r="CW4454" s="115">
        <v>0.11332468572476186</v>
      </c>
      <c r="CX4454" s="115" t="e">
        <v>#N/A</v>
      </c>
      <c r="CY4454" s="115" t="e">
        <v>#N/A</v>
      </c>
      <c r="CZ4454" s="137" t="e">
        <v>#N/A</v>
      </c>
      <c r="DA4454">
        <v>0.11332468572476186</v>
      </c>
      <c r="DB4454" t="str">
        <v/>
      </c>
    </row>
    <row r="4455" spans="83:106" x14ac:dyDescent="0.2">
      <c r="CE4455"/>
      <c r="CF4455"/>
      <c r="CG4455"/>
      <c r="CH4455"/>
      <c r="CI4455"/>
      <c r="CU4455" s="42">
        <v>4450</v>
      </c>
      <c r="CV4455" s="115">
        <v>4</v>
      </c>
      <c r="CW4455" s="115">
        <v>0.11332468572476186</v>
      </c>
      <c r="CX4455" s="115" t="e">
        <v>#N/A</v>
      </c>
      <c r="CY4455" s="115" t="e">
        <v>#N/A</v>
      </c>
      <c r="CZ4455" s="137" t="e">
        <v>#N/A</v>
      </c>
      <c r="DA4455">
        <v>0.11332468572476186</v>
      </c>
      <c r="DB4455" t="str">
        <v/>
      </c>
    </row>
    <row r="4456" spans="83:106" x14ac:dyDescent="0.2">
      <c r="CE4456"/>
      <c r="CF4456"/>
      <c r="CG4456"/>
      <c r="CH4456"/>
      <c r="CI4456"/>
      <c r="CU4456" s="42">
        <v>4451</v>
      </c>
      <c r="CV4456" s="115">
        <v>4</v>
      </c>
      <c r="CW4456" s="115">
        <v>0.11332468572476186</v>
      </c>
      <c r="CX4456" s="115" t="e">
        <v>#N/A</v>
      </c>
      <c r="CY4456" s="115" t="e">
        <v>#N/A</v>
      </c>
      <c r="CZ4456" s="137" t="e">
        <v>#N/A</v>
      </c>
      <c r="DA4456">
        <v>0.11332468572476186</v>
      </c>
      <c r="DB4456" t="str">
        <v/>
      </c>
    </row>
    <row r="4457" spans="83:106" x14ac:dyDescent="0.2">
      <c r="CE4457"/>
      <c r="CF4457"/>
      <c r="CG4457"/>
      <c r="CH4457"/>
      <c r="CI4457"/>
      <c r="CU4457" s="42">
        <v>4452</v>
      </c>
      <c r="CV4457" s="115">
        <v>4</v>
      </c>
      <c r="CW4457" s="115">
        <v>0.11332468572476186</v>
      </c>
      <c r="CX4457" s="115" t="e">
        <v>#N/A</v>
      </c>
      <c r="CY4457" s="115" t="e">
        <v>#N/A</v>
      </c>
      <c r="CZ4457" s="137" t="e">
        <v>#N/A</v>
      </c>
      <c r="DA4457">
        <v>0.11332468572476186</v>
      </c>
      <c r="DB4457" t="str">
        <v/>
      </c>
    </row>
    <row r="4458" spans="83:106" x14ac:dyDescent="0.2">
      <c r="CE4458"/>
      <c r="CF4458"/>
      <c r="CG4458"/>
      <c r="CH4458"/>
      <c r="CI4458"/>
      <c r="CU4458" s="42">
        <v>4453</v>
      </c>
      <c r="CV4458" s="115">
        <v>4</v>
      </c>
      <c r="CW4458" s="115">
        <v>0.11332468572476186</v>
      </c>
      <c r="CX4458" s="115" t="e">
        <v>#N/A</v>
      </c>
      <c r="CY4458" s="115" t="e">
        <v>#N/A</v>
      </c>
      <c r="CZ4458" s="137" t="e">
        <v>#N/A</v>
      </c>
      <c r="DA4458">
        <v>0.11332468572476186</v>
      </c>
      <c r="DB4458" t="str">
        <v/>
      </c>
    </row>
    <row r="4459" spans="83:106" x14ac:dyDescent="0.2">
      <c r="CE4459"/>
      <c r="CF4459"/>
      <c r="CG4459"/>
      <c r="CH4459"/>
      <c r="CI4459"/>
      <c r="CU4459" s="42">
        <v>4454</v>
      </c>
      <c r="CV4459" s="115">
        <v>4</v>
      </c>
      <c r="CW4459" s="115">
        <v>0.11332468572476186</v>
      </c>
      <c r="CX4459" s="115" t="e">
        <v>#N/A</v>
      </c>
      <c r="CY4459" s="115" t="e">
        <v>#N/A</v>
      </c>
      <c r="CZ4459" s="137" t="e">
        <v>#N/A</v>
      </c>
      <c r="DA4459">
        <v>0.11332468572476186</v>
      </c>
      <c r="DB4459" t="str">
        <v/>
      </c>
    </row>
    <row r="4460" spans="83:106" x14ac:dyDescent="0.2">
      <c r="CE4460"/>
      <c r="CF4460"/>
      <c r="CG4460"/>
      <c r="CH4460"/>
      <c r="CI4460"/>
      <c r="CU4460" s="42">
        <v>4455</v>
      </c>
      <c r="CV4460" s="115">
        <v>4</v>
      </c>
      <c r="CW4460" s="115">
        <v>0.11332468572476186</v>
      </c>
      <c r="CX4460" s="115" t="e">
        <v>#N/A</v>
      </c>
      <c r="CY4460" s="115" t="e">
        <v>#N/A</v>
      </c>
      <c r="CZ4460" s="137" t="e">
        <v>#N/A</v>
      </c>
      <c r="DA4460">
        <v>0.11332468572476186</v>
      </c>
      <c r="DB4460" t="str">
        <v/>
      </c>
    </row>
    <row r="4461" spans="83:106" x14ac:dyDescent="0.2">
      <c r="CE4461"/>
      <c r="CF4461"/>
      <c r="CG4461"/>
      <c r="CH4461"/>
      <c r="CI4461"/>
      <c r="CU4461" s="42">
        <v>4456</v>
      </c>
      <c r="CV4461" s="115">
        <v>4</v>
      </c>
      <c r="CW4461" s="115">
        <v>0.11332468572476186</v>
      </c>
      <c r="CX4461" s="115" t="e">
        <v>#N/A</v>
      </c>
      <c r="CY4461" s="115" t="e">
        <v>#N/A</v>
      </c>
      <c r="CZ4461" s="137" t="e">
        <v>#N/A</v>
      </c>
      <c r="DA4461">
        <v>0.11332468572476186</v>
      </c>
      <c r="DB4461" t="str">
        <v/>
      </c>
    </row>
    <row r="4462" spans="83:106" x14ac:dyDescent="0.2">
      <c r="CE4462"/>
      <c r="CF4462"/>
      <c r="CG4462"/>
      <c r="CH4462"/>
      <c r="CI4462"/>
      <c r="CU4462" s="42">
        <v>4457</v>
      </c>
      <c r="CV4462" s="115">
        <v>4</v>
      </c>
      <c r="CW4462" s="115">
        <v>0.11332468572476186</v>
      </c>
      <c r="CX4462" s="115" t="e">
        <v>#N/A</v>
      </c>
      <c r="CY4462" s="115" t="e">
        <v>#N/A</v>
      </c>
      <c r="CZ4462" s="137" t="e">
        <v>#N/A</v>
      </c>
      <c r="DA4462">
        <v>0.11332468572476186</v>
      </c>
      <c r="DB4462" t="str">
        <v/>
      </c>
    </row>
    <row r="4463" spans="83:106" x14ac:dyDescent="0.2">
      <c r="CE4463"/>
      <c r="CF4463"/>
      <c r="CG4463"/>
      <c r="CH4463"/>
      <c r="CI4463"/>
      <c r="CU4463" s="42">
        <v>4458</v>
      </c>
      <c r="CV4463" s="115">
        <v>4</v>
      </c>
      <c r="CW4463" s="115">
        <v>0.11332468572476186</v>
      </c>
      <c r="CX4463" s="115" t="e">
        <v>#N/A</v>
      </c>
      <c r="CY4463" s="115" t="e">
        <v>#N/A</v>
      </c>
      <c r="CZ4463" s="137" t="e">
        <v>#N/A</v>
      </c>
      <c r="DA4463">
        <v>0.11332468572476186</v>
      </c>
      <c r="DB4463" t="str">
        <v/>
      </c>
    </row>
    <row r="4464" spans="83:106" x14ac:dyDescent="0.2">
      <c r="CE4464"/>
      <c r="CF4464"/>
      <c r="CG4464"/>
      <c r="CH4464"/>
      <c r="CI4464"/>
      <c r="CU4464" s="42">
        <v>4459</v>
      </c>
      <c r="CV4464" s="115">
        <v>4</v>
      </c>
      <c r="CW4464" s="115">
        <v>0.11332468572476186</v>
      </c>
      <c r="CX4464" s="115" t="e">
        <v>#N/A</v>
      </c>
      <c r="CY4464" s="115" t="e">
        <v>#N/A</v>
      </c>
      <c r="CZ4464" s="137" t="e">
        <v>#N/A</v>
      </c>
      <c r="DA4464">
        <v>0.11332468572476186</v>
      </c>
      <c r="DB4464" t="str">
        <v/>
      </c>
    </row>
    <row r="4465" spans="83:106" x14ac:dyDescent="0.2">
      <c r="CE4465"/>
      <c r="CF4465"/>
      <c r="CG4465"/>
      <c r="CH4465"/>
      <c r="CI4465"/>
      <c r="CU4465" s="42">
        <v>4460</v>
      </c>
      <c r="CV4465" s="115">
        <v>4</v>
      </c>
      <c r="CW4465" s="115">
        <v>0.11332468572476186</v>
      </c>
      <c r="CX4465" s="115" t="e">
        <v>#N/A</v>
      </c>
      <c r="CY4465" s="115" t="e">
        <v>#N/A</v>
      </c>
      <c r="CZ4465" s="137" t="e">
        <v>#N/A</v>
      </c>
      <c r="DA4465">
        <v>0.11332468572476186</v>
      </c>
      <c r="DB4465" t="str">
        <v/>
      </c>
    </row>
    <row r="4466" spans="83:106" x14ac:dyDescent="0.2">
      <c r="CE4466"/>
      <c r="CF4466"/>
      <c r="CG4466"/>
      <c r="CH4466"/>
      <c r="CI4466"/>
      <c r="CU4466" s="42">
        <v>4461</v>
      </c>
      <c r="CV4466" s="115">
        <v>4</v>
      </c>
      <c r="CW4466" s="115">
        <v>0.11332468572476186</v>
      </c>
      <c r="CX4466" s="115" t="e">
        <v>#N/A</v>
      </c>
      <c r="CY4466" s="115" t="e">
        <v>#N/A</v>
      </c>
      <c r="CZ4466" s="137" t="e">
        <v>#N/A</v>
      </c>
      <c r="DA4466">
        <v>0.11332468572476186</v>
      </c>
      <c r="DB4466" t="str">
        <v/>
      </c>
    </row>
    <row r="4467" spans="83:106" x14ac:dyDescent="0.2">
      <c r="CE4467"/>
      <c r="CF4467"/>
      <c r="CG4467"/>
      <c r="CH4467"/>
      <c r="CI4467"/>
      <c r="CU4467" s="42">
        <v>4462</v>
      </c>
      <c r="CV4467" s="115">
        <v>4</v>
      </c>
      <c r="CW4467" s="115">
        <v>0.11332468572476186</v>
      </c>
      <c r="CX4467" s="115" t="e">
        <v>#N/A</v>
      </c>
      <c r="CY4467" s="115" t="e">
        <v>#N/A</v>
      </c>
      <c r="CZ4467" s="137" t="e">
        <v>#N/A</v>
      </c>
      <c r="DA4467">
        <v>0.11332468572476186</v>
      </c>
      <c r="DB4467" t="str">
        <v/>
      </c>
    </row>
    <row r="4468" spans="83:106" x14ac:dyDescent="0.2">
      <c r="CE4468"/>
      <c r="CF4468"/>
      <c r="CG4468"/>
      <c r="CH4468"/>
      <c r="CI4468"/>
      <c r="CU4468" s="42">
        <v>4463</v>
      </c>
      <c r="CV4468" s="115">
        <v>4</v>
      </c>
      <c r="CW4468" s="115">
        <v>0.11332468572476186</v>
      </c>
      <c r="CX4468" s="115" t="e">
        <v>#N/A</v>
      </c>
      <c r="CY4468" s="115" t="e">
        <v>#N/A</v>
      </c>
      <c r="CZ4468" s="137" t="e">
        <v>#N/A</v>
      </c>
      <c r="DA4468">
        <v>0.11332468572476186</v>
      </c>
      <c r="DB4468" t="str">
        <v/>
      </c>
    </row>
    <row r="4469" spans="83:106" x14ac:dyDescent="0.2">
      <c r="CE4469"/>
      <c r="CF4469"/>
      <c r="CG4469"/>
      <c r="CH4469"/>
      <c r="CI4469"/>
      <c r="CU4469" s="42">
        <v>4464</v>
      </c>
      <c r="CV4469" s="115">
        <v>4</v>
      </c>
      <c r="CW4469" s="115">
        <v>0.11332468572476186</v>
      </c>
      <c r="CX4469" s="115" t="e">
        <v>#N/A</v>
      </c>
      <c r="CY4469" s="115" t="e">
        <v>#N/A</v>
      </c>
      <c r="CZ4469" s="137" t="e">
        <v>#N/A</v>
      </c>
      <c r="DA4469">
        <v>0.11332468572476186</v>
      </c>
      <c r="DB4469" t="str">
        <v/>
      </c>
    </row>
    <row r="4470" spans="83:106" x14ac:dyDescent="0.2">
      <c r="CE4470"/>
      <c r="CF4470"/>
      <c r="CG4470"/>
      <c r="CH4470"/>
      <c r="CI4470"/>
      <c r="CU4470" s="42">
        <v>4465</v>
      </c>
      <c r="CV4470" s="115">
        <v>4</v>
      </c>
      <c r="CW4470" s="115">
        <v>0.11332468572476186</v>
      </c>
      <c r="CX4470" s="115" t="e">
        <v>#N/A</v>
      </c>
      <c r="CY4470" s="115" t="e">
        <v>#N/A</v>
      </c>
      <c r="CZ4470" s="137" t="e">
        <v>#N/A</v>
      </c>
      <c r="DA4470">
        <v>0.11332468572476186</v>
      </c>
      <c r="DB4470" t="str">
        <v/>
      </c>
    </row>
    <row r="4471" spans="83:106" x14ac:dyDescent="0.2">
      <c r="CE4471"/>
      <c r="CF4471"/>
      <c r="CG4471"/>
      <c r="CH4471"/>
      <c r="CI4471"/>
      <c r="CU4471" s="42">
        <v>4466</v>
      </c>
      <c r="CV4471" s="115">
        <v>4</v>
      </c>
      <c r="CW4471" s="115">
        <v>0.11332468572476186</v>
      </c>
      <c r="CX4471" s="115" t="e">
        <v>#N/A</v>
      </c>
      <c r="CY4471" s="115" t="e">
        <v>#N/A</v>
      </c>
      <c r="CZ4471" s="137" t="e">
        <v>#N/A</v>
      </c>
      <c r="DA4471">
        <v>0.11332468572476186</v>
      </c>
      <c r="DB4471" t="str">
        <v/>
      </c>
    </row>
    <row r="4472" spans="83:106" x14ac:dyDescent="0.2">
      <c r="CE4472"/>
      <c r="CF4472"/>
      <c r="CG4472"/>
      <c r="CH4472"/>
      <c r="CI4472"/>
      <c r="CU4472" s="42">
        <v>4467</v>
      </c>
      <c r="CV4472" s="115">
        <v>4</v>
      </c>
      <c r="CW4472" s="115">
        <v>0.11332468572476186</v>
      </c>
      <c r="CX4472" s="115" t="e">
        <v>#N/A</v>
      </c>
      <c r="CY4472" s="115" t="e">
        <v>#N/A</v>
      </c>
      <c r="CZ4472" s="137" t="e">
        <v>#N/A</v>
      </c>
      <c r="DA4472">
        <v>0.11332468572476186</v>
      </c>
      <c r="DB4472" t="str">
        <v/>
      </c>
    </row>
    <row r="4473" spans="83:106" x14ac:dyDescent="0.2">
      <c r="CE4473"/>
      <c r="CF4473"/>
      <c r="CG4473"/>
      <c r="CH4473"/>
      <c r="CI4473"/>
      <c r="CU4473" s="42">
        <v>4468</v>
      </c>
      <c r="CV4473" s="115">
        <v>4</v>
      </c>
      <c r="CW4473" s="115">
        <v>0.11332468572476186</v>
      </c>
      <c r="CX4473" s="115" t="e">
        <v>#N/A</v>
      </c>
      <c r="CY4473" s="115" t="e">
        <v>#N/A</v>
      </c>
      <c r="CZ4473" s="137" t="e">
        <v>#N/A</v>
      </c>
      <c r="DA4473">
        <v>0.11332468572476186</v>
      </c>
      <c r="DB4473" t="str">
        <v/>
      </c>
    </row>
    <row r="4474" spans="83:106" x14ac:dyDescent="0.2">
      <c r="CE4474"/>
      <c r="CF4474"/>
      <c r="CG4474"/>
      <c r="CH4474"/>
      <c r="CI4474"/>
      <c r="CU4474" s="42">
        <v>4469</v>
      </c>
      <c r="CV4474" s="115">
        <v>4</v>
      </c>
      <c r="CW4474" s="115">
        <v>0.11332468572476186</v>
      </c>
      <c r="CX4474" s="115" t="e">
        <v>#N/A</v>
      </c>
      <c r="CY4474" s="115" t="e">
        <v>#N/A</v>
      </c>
      <c r="CZ4474" s="137" t="e">
        <v>#N/A</v>
      </c>
      <c r="DA4474">
        <v>0.11332468572476186</v>
      </c>
      <c r="DB4474" t="str">
        <v/>
      </c>
    </row>
    <row r="4475" spans="83:106" x14ac:dyDescent="0.2">
      <c r="CE4475"/>
      <c r="CF4475"/>
      <c r="CG4475"/>
      <c r="CH4475"/>
      <c r="CI4475"/>
      <c r="CU4475" s="42">
        <v>4470</v>
      </c>
      <c r="CV4475" s="115">
        <v>4</v>
      </c>
      <c r="CW4475" s="115">
        <v>0.11332468572476186</v>
      </c>
      <c r="CX4475" s="115" t="e">
        <v>#N/A</v>
      </c>
      <c r="CY4475" s="115" t="e">
        <v>#N/A</v>
      </c>
      <c r="CZ4475" s="137" t="e">
        <v>#N/A</v>
      </c>
      <c r="DA4475">
        <v>0.11332468572476186</v>
      </c>
      <c r="DB4475" t="str">
        <v/>
      </c>
    </row>
    <row r="4476" spans="83:106" x14ac:dyDescent="0.2">
      <c r="CE4476"/>
      <c r="CF4476"/>
      <c r="CG4476"/>
      <c r="CH4476"/>
      <c r="CI4476"/>
      <c r="CU4476" s="42">
        <v>4471</v>
      </c>
      <c r="CV4476" s="115">
        <v>4</v>
      </c>
      <c r="CW4476" s="115">
        <v>0.11332468572476186</v>
      </c>
      <c r="CX4476" s="115" t="e">
        <v>#N/A</v>
      </c>
      <c r="CY4476" s="115" t="e">
        <v>#N/A</v>
      </c>
      <c r="CZ4476" s="137" t="e">
        <v>#N/A</v>
      </c>
      <c r="DA4476">
        <v>0.11332468572476186</v>
      </c>
      <c r="DB4476" t="str">
        <v/>
      </c>
    </row>
    <row r="4477" spans="83:106" x14ac:dyDescent="0.2">
      <c r="CE4477"/>
      <c r="CF4477"/>
      <c r="CG4477"/>
      <c r="CH4477"/>
      <c r="CI4477"/>
      <c r="CU4477" s="42">
        <v>4472</v>
      </c>
      <c r="CV4477" s="115">
        <v>4</v>
      </c>
      <c r="CW4477" s="115">
        <v>0.11332468572476186</v>
      </c>
      <c r="CX4477" s="115" t="e">
        <v>#N/A</v>
      </c>
      <c r="CY4477" s="115" t="e">
        <v>#N/A</v>
      </c>
      <c r="CZ4477" s="137" t="e">
        <v>#N/A</v>
      </c>
      <c r="DA4477">
        <v>0.11332468572476186</v>
      </c>
      <c r="DB4477" t="str">
        <v/>
      </c>
    </row>
    <row r="4478" spans="83:106" x14ac:dyDescent="0.2">
      <c r="CE4478"/>
      <c r="CF4478"/>
      <c r="CG4478"/>
      <c r="CH4478"/>
      <c r="CI4478"/>
      <c r="CU4478" s="42">
        <v>4473</v>
      </c>
      <c r="CV4478" s="115">
        <v>4</v>
      </c>
      <c r="CW4478" s="115">
        <v>0.11332468572476186</v>
      </c>
      <c r="CX4478" s="115" t="e">
        <v>#N/A</v>
      </c>
      <c r="CY4478" s="115" t="e">
        <v>#N/A</v>
      </c>
      <c r="CZ4478" s="137" t="e">
        <v>#N/A</v>
      </c>
      <c r="DA4478">
        <v>0.11332468572476186</v>
      </c>
      <c r="DB4478" t="str">
        <v/>
      </c>
    </row>
    <row r="4479" spans="83:106" x14ac:dyDescent="0.2">
      <c r="CE4479"/>
      <c r="CF4479"/>
      <c r="CG4479"/>
      <c r="CH4479"/>
      <c r="CI4479"/>
      <c r="CU4479" s="42">
        <v>4474</v>
      </c>
      <c r="CV4479" s="115">
        <v>4</v>
      </c>
      <c r="CW4479" s="115">
        <v>0.11332468572476186</v>
      </c>
      <c r="CX4479" s="115" t="e">
        <v>#N/A</v>
      </c>
      <c r="CY4479" s="115" t="e">
        <v>#N/A</v>
      </c>
      <c r="CZ4479" s="137" t="e">
        <v>#N/A</v>
      </c>
      <c r="DA4479">
        <v>0.11332468572476186</v>
      </c>
      <c r="DB4479" t="str">
        <v/>
      </c>
    </row>
    <row r="4480" spans="83:106" x14ac:dyDescent="0.2">
      <c r="CE4480"/>
      <c r="CF4480"/>
      <c r="CG4480"/>
      <c r="CH4480"/>
      <c r="CI4480"/>
      <c r="CU4480" s="42">
        <v>4475</v>
      </c>
      <c r="CV4480" s="115">
        <v>4</v>
      </c>
      <c r="CW4480" s="115">
        <v>0.11332468572476186</v>
      </c>
      <c r="CX4480" s="115" t="e">
        <v>#N/A</v>
      </c>
      <c r="CY4480" s="115" t="e">
        <v>#N/A</v>
      </c>
      <c r="CZ4480" s="137" t="e">
        <v>#N/A</v>
      </c>
      <c r="DA4480">
        <v>0.11332468572476186</v>
      </c>
      <c r="DB4480" t="str">
        <v/>
      </c>
    </row>
    <row r="4481" spans="83:106" x14ac:dyDescent="0.2">
      <c r="CE4481"/>
      <c r="CF4481"/>
      <c r="CG4481"/>
      <c r="CH4481"/>
      <c r="CI4481"/>
      <c r="CU4481" s="42">
        <v>4476</v>
      </c>
      <c r="CV4481" s="115">
        <v>4</v>
      </c>
      <c r="CW4481" s="115">
        <v>0.11332468572476186</v>
      </c>
      <c r="CX4481" s="115" t="e">
        <v>#N/A</v>
      </c>
      <c r="CY4481" s="115" t="e">
        <v>#N/A</v>
      </c>
      <c r="CZ4481" s="137" t="e">
        <v>#N/A</v>
      </c>
      <c r="DA4481">
        <v>0.11332468572476186</v>
      </c>
      <c r="DB4481" t="str">
        <v/>
      </c>
    </row>
    <row r="4482" spans="83:106" x14ac:dyDescent="0.2">
      <c r="CE4482"/>
      <c r="CF4482"/>
      <c r="CG4482"/>
      <c r="CH4482"/>
      <c r="CI4482"/>
      <c r="CU4482" s="42">
        <v>4477</v>
      </c>
      <c r="CV4482" s="115">
        <v>4</v>
      </c>
      <c r="CW4482" s="115">
        <v>0.11332468572476186</v>
      </c>
      <c r="CX4482" s="115" t="e">
        <v>#N/A</v>
      </c>
      <c r="CY4482" s="115" t="e">
        <v>#N/A</v>
      </c>
      <c r="CZ4482" s="137" t="e">
        <v>#N/A</v>
      </c>
      <c r="DA4482">
        <v>0.11332468572476186</v>
      </c>
      <c r="DB4482" t="str">
        <v/>
      </c>
    </row>
    <row r="4483" spans="83:106" x14ac:dyDescent="0.2">
      <c r="CE4483"/>
      <c r="CF4483"/>
      <c r="CG4483"/>
      <c r="CH4483"/>
      <c r="CI4483"/>
      <c r="CU4483" s="42">
        <v>4478</v>
      </c>
      <c r="CV4483" s="115">
        <v>4</v>
      </c>
      <c r="CW4483" s="115">
        <v>0.11332468572476186</v>
      </c>
      <c r="CX4483" s="115" t="e">
        <v>#N/A</v>
      </c>
      <c r="CY4483" s="115" t="e">
        <v>#N/A</v>
      </c>
      <c r="CZ4483" s="137" t="e">
        <v>#N/A</v>
      </c>
      <c r="DA4483">
        <v>0.11332468572476186</v>
      </c>
      <c r="DB4483" t="str">
        <v/>
      </c>
    </row>
    <row r="4484" spans="83:106" x14ac:dyDescent="0.2">
      <c r="CE4484"/>
      <c r="CF4484"/>
      <c r="CG4484"/>
      <c r="CH4484"/>
      <c r="CI4484"/>
      <c r="CU4484" s="42">
        <v>4479</v>
      </c>
      <c r="CV4484" s="115">
        <v>4</v>
      </c>
      <c r="CW4484" s="115">
        <v>0.11332468572476186</v>
      </c>
      <c r="CX4484" s="115" t="e">
        <v>#N/A</v>
      </c>
      <c r="CY4484" s="115" t="e">
        <v>#N/A</v>
      </c>
      <c r="CZ4484" s="137" t="e">
        <v>#N/A</v>
      </c>
      <c r="DA4484">
        <v>0.11332468572476186</v>
      </c>
      <c r="DB4484" t="str">
        <v/>
      </c>
    </row>
    <row r="4485" spans="83:106" x14ac:dyDescent="0.2">
      <c r="CE4485"/>
      <c r="CF4485"/>
      <c r="CG4485"/>
      <c r="CH4485"/>
      <c r="CI4485"/>
      <c r="CU4485" s="42">
        <v>4480</v>
      </c>
      <c r="CV4485" s="115">
        <v>4</v>
      </c>
      <c r="CW4485" s="115">
        <v>0.11332468572476186</v>
      </c>
      <c r="CX4485" s="115" t="e">
        <v>#N/A</v>
      </c>
      <c r="CY4485" s="115" t="e">
        <v>#N/A</v>
      </c>
      <c r="CZ4485" s="137" t="e">
        <v>#N/A</v>
      </c>
      <c r="DA4485">
        <v>0.11332468572476186</v>
      </c>
      <c r="DB4485" t="str">
        <v/>
      </c>
    </row>
    <row r="4486" spans="83:106" x14ac:dyDescent="0.2">
      <c r="CE4486"/>
      <c r="CF4486"/>
      <c r="CG4486"/>
      <c r="CH4486"/>
      <c r="CI4486"/>
      <c r="CU4486" s="42">
        <v>4481</v>
      </c>
      <c r="CV4486" s="115">
        <v>4</v>
      </c>
      <c r="CW4486" s="115">
        <v>0.11332468572476186</v>
      </c>
      <c r="CX4486" s="115" t="e">
        <v>#N/A</v>
      </c>
      <c r="CY4486" s="115" t="e">
        <v>#N/A</v>
      </c>
      <c r="CZ4486" s="137" t="e">
        <v>#N/A</v>
      </c>
      <c r="DA4486">
        <v>0.11332468572476186</v>
      </c>
      <c r="DB4486" t="str">
        <v/>
      </c>
    </row>
    <row r="4487" spans="83:106" x14ac:dyDescent="0.2">
      <c r="CE4487"/>
      <c r="CF4487"/>
      <c r="CG4487"/>
      <c r="CH4487"/>
      <c r="CI4487"/>
      <c r="CU4487" s="42">
        <v>4482</v>
      </c>
      <c r="CV4487" s="115">
        <v>4</v>
      </c>
      <c r="CW4487" s="115">
        <v>0.11332468572476186</v>
      </c>
      <c r="CX4487" s="115" t="e">
        <v>#N/A</v>
      </c>
      <c r="CY4487" s="115" t="e">
        <v>#N/A</v>
      </c>
      <c r="CZ4487" s="137" t="e">
        <v>#N/A</v>
      </c>
      <c r="DA4487">
        <v>0.11332468572476186</v>
      </c>
      <c r="DB4487" t="str">
        <v/>
      </c>
    </row>
    <row r="4488" spans="83:106" x14ac:dyDescent="0.2">
      <c r="CE4488"/>
      <c r="CF4488"/>
      <c r="CG4488"/>
      <c r="CH4488"/>
      <c r="CI4488"/>
      <c r="CU4488" s="42">
        <v>4483</v>
      </c>
      <c r="CV4488" s="115">
        <v>4</v>
      </c>
      <c r="CW4488" s="115">
        <v>0.11332468572476186</v>
      </c>
      <c r="CX4488" s="115" t="e">
        <v>#N/A</v>
      </c>
      <c r="CY4488" s="115" t="e">
        <v>#N/A</v>
      </c>
      <c r="CZ4488" s="137" t="e">
        <v>#N/A</v>
      </c>
      <c r="DA4488">
        <v>0.11332468572476186</v>
      </c>
      <c r="DB4488" t="str">
        <v/>
      </c>
    </row>
    <row r="4489" spans="83:106" x14ac:dyDescent="0.2">
      <c r="CE4489"/>
      <c r="CF4489"/>
      <c r="CG4489"/>
      <c r="CH4489"/>
      <c r="CI4489"/>
      <c r="CU4489" s="42">
        <v>4484</v>
      </c>
      <c r="CV4489" s="115">
        <v>4</v>
      </c>
      <c r="CW4489" s="115">
        <v>0.11332468572476186</v>
      </c>
      <c r="CX4489" s="115" t="e">
        <v>#N/A</v>
      </c>
      <c r="CY4489" s="115" t="e">
        <v>#N/A</v>
      </c>
      <c r="CZ4489" s="137" t="e">
        <v>#N/A</v>
      </c>
      <c r="DA4489">
        <v>0.11332468572476186</v>
      </c>
      <c r="DB4489" t="str">
        <v/>
      </c>
    </row>
    <row r="4490" spans="83:106" x14ac:dyDescent="0.2">
      <c r="CE4490"/>
      <c r="CF4490"/>
      <c r="CG4490"/>
      <c r="CH4490"/>
      <c r="CI4490"/>
      <c r="CU4490" s="42">
        <v>4485</v>
      </c>
      <c r="CV4490" s="115">
        <v>4</v>
      </c>
      <c r="CW4490" s="115">
        <v>0.11332468572476186</v>
      </c>
      <c r="CX4490" s="115" t="e">
        <v>#N/A</v>
      </c>
      <c r="CY4490" s="115" t="e">
        <v>#N/A</v>
      </c>
      <c r="CZ4490" s="137" t="e">
        <v>#N/A</v>
      </c>
      <c r="DA4490">
        <v>0.11332468572476186</v>
      </c>
      <c r="DB4490" t="str">
        <v/>
      </c>
    </row>
    <row r="4491" spans="83:106" x14ac:dyDescent="0.2">
      <c r="CE4491"/>
      <c r="CF4491"/>
      <c r="CG4491"/>
      <c r="CH4491"/>
      <c r="CI4491"/>
      <c r="CU4491" s="42">
        <v>4486</v>
      </c>
      <c r="CV4491" s="115">
        <v>4</v>
      </c>
      <c r="CW4491" s="115">
        <v>0.11332468572476186</v>
      </c>
      <c r="CX4491" s="115" t="e">
        <v>#N/A</v>
      </c>
      <c r="CY4491" s="115" t="e">
        <v>#N/A</v>
      </c>
      <c r="CZ4491" s="137" t="e">
        <v>#N/A</v>
      </c>
      <c r="DA4491">
        <v>0.11332468572476186</v>
      </c>
      <c r="DB4491" t="str">
        <v/>
      </c>
    </row>
    <row r="4492" spans="83:106" x14ac:dyDescent="0.2">
      <c r="CE4492"/>
      <c r="CF4492"/>
      <c r="CG4492"/>
      <c r="CH4492"/>
      <c r="CI4492"/>
      <c r="CU4492" s="42">
        <v>4487</v>
      </c>
      <c r="CV4492" s="115">
        <v>4</v>
      </c>
      <c r="CW4492" s="115">
        <v>0.11332468572476186</v>
      </c>
      <c r="CX4492" s="115" t="e">
        <v>#N/A</v>
      </c>
      <c r="CY4492" s="115" t="e">
        <v>#N/A</v>
      </c>
      <c r="CZ4492" s="137" t="e">
        <v>#N/A</v>
      </c>
      <c r="DA4492">
        <v>0.11332468572476186</v>
      </c>
      <c r="DB4492" t="str">
        <v/>
      </c>
    </row>
    <row r="4493" spans="83:106" x14ac:dyDescent="0.2">
      <c r="CE4493"/>
      <c r="CF4493"/>
      <c r="CG4493"/>
      <c r="CH4493"/>
      <c r="CI4493"/>
      <c r="CU4493" s="42">
        <v>4488</v>
      </c>
      <c r="CV4493" s="115">
        <v>4</v>
      </c>
      <c r="CW4493" s="115">
        <v>0.11332468572476186</v>
      </c>
      <c r="CX4493" s="115" t="e">
        <v>#N/A</v>
      </c>
      <c r="CY4493" s="115" t="e">
        <v>#N/A</v>
      </c>
      <c r="CZ4493" s="137" t="e">
        <v>#N/A</v>
      </c>
      <c r="DA4493">
        <v>0.11332468572476186</v>
      </c>
      <c r="DB4493" t="str">
        <v/>
      </c>
    </row>
    <row r="4494" spans="83:106" x14ac:dyDescent="0.2">
      <c r="CE4494"/>
      <c r="CF4494"/>
      <c r="CG4494"/>
      <c r="CH4494"/>
      <c r="CI4494"/>
      <c r="CU4494" s="42">
        <v>4489</v>
      </c>
      <c r="CV4494" s="115">
        <v>4</v>
      </c>
      <c r="CW4494" s="115">
        <v>0.11332468572476186</v>
      </c>
      <c r="CX4494" s="115" t="e">
        <v>#N/A</v>
      </c>
      <c r="CY4494" s="115" t="e">
        <v>#N/A</v>
      </c>
      <c r="CZ4494" s="137" t="e">
        <v>#N/A</v>
      </c>
      <c r="DA4494">
        <v>0.11332468572476186</v>
      </c>
      <c r="DB4494" t="str">
        <v/>
      </c>
    </row>
    <row r="4495" spans="83:106" x14ac:dyDescent="0.2">
      <c r="CE4495"/>
      <c r="CF4495"/>
      <c r="CG4495"/>
      <c r="CH4495"/>
      <c r="CI4495"/>
      <c r="CU4495" s="42">
        <v>4490</v>
      </c>
      <c r="CV4495" s="115">
        <v>4</v>
      </c>
      <c r="CW4495" s="115">
        <v>0.11332468572476186</v>
      </c>
      <c r="CX4495" s="115" t="e">
        <v>#N/A</v>
      </c>
      <c r="CY4495" s="115" t="e">
        <v>#N/A</v>
      </c>
      <c r="CZ4495" s="137" t="e">
        <v>#N/A</v>
      </c>
      <c r="DA4495">
        <v>0.11332468572476186</v>
      </c>
      <c r="DB4495" t="str">
        <v/>
      </c>
    </row>
    <row r="4496" spans="83:106" x14ac:dyDescent="0.2">
      <c r="CE4496"/>
      <c r="CF4496"/>
      <c r="CG4496"/>
      <c r="CH4496"/>
      <c r="CI4496"/>
      <c r="CU4496" s="42">
        <v>4491</v>
      </c>
      <c r="CV4496" s="115">
        <v>4</v>
      </c>
      <c r="CW4496" s="115">
        <v>0.11332468572476186</v>
      </c>
      <c r="CX4496" s="115" t="e">
        <v>#N/A</v>
      </c>
      <c r="CY4496" s="115" t="e">
        <v>#N/A</v>
      </c>
      <c r="CZ4496" s="137" t="e">
        <v>#N/A</v>
      </c>
      <c r="DA4496">
        <v>0.11332468572476186</v>
      </c>
      <c r="DB4496" t="str">
        <v/>
      </c>
    </row>
    <row r="4497" spans="83:106" x14ac:dyDescent="0.2">
      <c r="CE4497"/>
      <c r="CF4497"/>
      <c r="CG4497"/>
      <c r="CH4497"/>
      <c r="CI4497"/>
      <c r="CU4497" s="42">
        <v>4492</v>
      </c>
      <c r="CV4497" s="115">
        <v>4</v>
      </c>
      <c r="CW4497" s="115">
        <v>0.11332468572476186</v>
      </c>
      <c r="CX4497" s="115" t="e">
        <v>#N/A</v>
      </c>
      <c r="CY4497" s="115" t="e">
        <v>#N/A</v>
      </c>
      <c r="CZ4497" s="137" t="e">
        <v>#N/A</v>
      </c>
      <c r="DA4497">
        <v>0.11332468572476186</v>
      </c>
      <c r="DB4497" t="str">
        <v/>
      </c>
    </row>
    <row r="4498" spans="83:106" x14ac:dyDescent="0.2">
      <c r="CE4498"/>
      <c r="CF4498"/>
      <c r="CG4498"/>
      <c r="CH4498"/>
      <c r="CI4498"/>
      <c r="CU4498" s="42">
        <v>4493</v>
      </c>
      <c r="CV4498" s="115">
        <v>4</v>
      </c>
      <c r="CW4498" s="115">
        <v>0.11332468572476186</v>
      </c>
      <c r="CX4498" s="115" t="e">
        <v>#N/A</v>
      </c>
      <c r="CY4498" s="115" t="e">
        <v>#N/A</v>
      </c>
      <c r="CZ4498" s="137" t="e">
        <v>#N/A</v>
      </c>
      <c r="DA4498">
        <v>0.11332468572476186</v>
      </c>
      <c r="DB4498" t="str">
        <v/>
      </c>
    </row>
    <row r="4499" spans="83:106" x14ac:dyDescent="0.2">
      <c r="CE4499"/>
      <c r="CF4499"/>
      <c r="CG4499"/>
      <c r="CH4499"/>
      <c r="CI4499"/>
      <c r="CU4499" s="42">
        <v>4494</v>
      </c>
      <c r="CV4499" s="115">
        <v>4</v>
      </c>
      <c r="CW4499" s="115">
        <v>0.11332468572476186</v>
      </c>
      <c r="CX4499" s="115" t="e">
        <v>#N/A</v>
      </c>
      <c r="CY4499" s="115" t="e">
        <v>#N/A</v>
      </c>
      <c r="CZ4499" s="137" t="e">
        <v>#N/A</v>
      </c>
      <c r="DA4499">
        <v>0.11332468572476186</v>
      </c>
      <c r="DB4499" t="str">
        <v/>
      </c>
    </row>
    <row r="4500" spans="83:106" x14ac:dyDescent="0.2">
      <c r="CE4500"/>
      <c r="CF4500"/>
      <c r="CG4500"/>
      <c r="CH4500"/>
      <c r="CI4500"/>
      <c r="CU4500" s="42">
        <v>4495</v>
      </c>
      <c r="CV4500" s="115">
        <v>4</v>
      </c>
      <c r="CW4500" s="115">
        <v>0.11332468572476186</v>
      </c>
      <c r="CX4500" s="115" t="e">
        <v>#N/A</v>
      </c>
      <c r="CY4500" s="115" t="e">
        <v>#N/A</v>
      </c>
      <c r="CZ4500" s="137" t="e">
        <v>#N/A</v>
      </c>
      <c r="DA4500">
        <v>0.11332468572476186</v>
      </c>
      <c r="DB4500" t="str">
        <v/>
      </c>
    </row>
    <row r="4501" spans="83:106" x14ac:dyDescent="0.2">
      <c r="CE4501"/>
      <c r="CF4501"/>
      <c r="CG4501"/>
      <c r="CH4501"/>
      <c r="CI4501"/>
      <c r="CU4501" s="42">
        <v>4496</v>
      </c>
      <c r="CV4501" s="115">
        <v>4</v>
      </c>
      <c r="CW4501" s="115">
        <v>0.11332468572476186</v>
      </c>
      <c r="CX4501" s="115" t="e">
        <v>#N/A</v>
      </c>
      <c r="CY4501" s="115" t="e">
        <v>#N/A</v>
      </c>
      <c r="CZ4501" s="137" t="e">
        <v>#N/A</v>
      </c>
      <c r="DA4501">
        <v>0.11332468572476186</v>
      </c>
      <c r="DB4501" t="str">
        <v/>
      </c>
    </row>
    <row r="4502" spans="83:106" x14ac:dyDescent="0.2">
      <c r="CE4502"/>
      <c r="CF4502"/>
      <c r="CG4502"/>
      <c r="CH4502"/>
      <c r="CI4502"/>
      <c r="CU4502" s="42">
        <v>4497</v>
      </c>
      <c r="CV4502" s="115">
        <v>4</v>
      </c>
      <c r="CW4502" s="115">
        <v>0.11332468572476186</v>
      </c>
      <c r="CX4502" s="115" t="e">
        <v>#N/A</v>
      </c>
      <c r="CY4502" s="115" t="e">
        <v>#N/A</v>
      </c>
      <c r="CZ4502" s="137" t="e">
        <v>#N/A</v>
      </c>
      <c r="DA4502">
        <v>0.11332468572476186</v>
      </c>
      <c r="DB4502" t="str">
        <v/>
      </c>
    </row>
    <row r="4503" spans="83:106" x14ac:dyDescent="0.2">
      <c r="CE4503"/>
      <c r="CF4503"/>
      <c r="CG4503"/>
      <c r="CH4503"/>
      <c r="CI4503"/>
      <c r="CU4503" s="42">
        <v>4498</v>
      </c>
      <c r="CV4503" s="115">
        <v>4</v>
      </c>
      <c r="CW4503" s="115">
        <v>0.11332468572476186</v>
      </c>
      <c r="CX4503" s="115" t="e">
        <v>#N/A</v>
      </c>
      <c r="CY4503" s="115" t="e">
        <v>#N/A</v>
      </c>
      <c r="CZ4503" s="137" t="e">
        <v>#N/A</v>
      </c>
      <c r="DA4503">
        <v>0.11332468572476186</v>
      </c>
      <c r="DB4503" t="str">
        <v/>
      </c>
    </row>
    <row r="4504" spans="83:106" x14ac:dyDescent="0.2">
      <c r="CE4504"/>
      <c r="CF4504"/>
      <c r="CG4504"/>
      <c r="CH4504"/>
      <c r="CI4504"/>
      <c r="CU4504" s="42">
        <v>4499</v>
      </c>
      <c r="CV4504" s="115">
        <v>4</v>
      </c>
      <c r="CW4504" s="115">
        <v>0.11332468572476186</v>
      </c>
      <c r="CX4504" s="115" t="e">
        <v>#N/A</v>
      </c>
      <c r="CY4504" s="115" t="e">
        <v>#N/A</v>
      </c>
      <c r="CZ4504" s="137" t="e">
        <v>#N/A</v>
      </c>
      <c r="DA4504">
        <v>0.11332468572476186</v>
      </c>
      <c r="DB4504" t="str">
        <v/>
      </c>
    </row>
    <row r="4505" spans="83:106" x14ac:dyDescent="0.2">
      <c r="CE4505"/>
      <c r="CF4505"/>
      <c r="CG4505"/>
      <c r="CH4505"/>
      <c r="CI4505"/>
      <c r="CU4505" s="42">
        <v>4500</v>
      </c>
      <c r="CV4505" s="115">
        <v>4</v>
      </c>
      <c r="CW4505" s="115">
        <v>0.11332468572476186</v>
      </c>
      <c r="CX4505" s="115" t="e">
        <v>#N/A</v>
      </c>
      <c r="CY4505" s="115" t="e">
        <v>#N/A</v>
      </c>
      <c r="CZ4505" s="137" t="e">
        <v>#N/A</v>
      </c>
      <c r="DA4505">
        <v>0.11332468572476186</v>
      </c>
      <c r="DB4505" t="str">
        <v/>
      </c>
    </row>
    <row r="4506" spans="83:106" x14ac:dyDescent="0.2">
      <c r="CE4506"/>
      <c r="CF4506"/>
      <c r="CG4506"/>
      <c r="CH4506"/>
      <c r="CI4506"/>
      <c r="CU4506" s="42">
        <v>4501</v>
      </c>
      <c r="CV4506" s="115">
        <v>4</v>
      </c>
      <c r="CW4506" s="115">
        <v>0.11332468572476186</v>
      </c>
      <c r="CX4506" s="115" t="e">
        <v>#N/A</v>
      </c>
      <c r="CY4506" s="115" t="e">
        <v>#N/A</v>
      </c>
      <c r="CZ4506" s="137" t="e">
        <v>#N/A</v>
      </c>
      <c r="DA4506">
        <v>0.11332468572476186</v>
      </c>
      <c r="DB4506" t="str">
        <v/>
      </c>
    </row>
    <row r="4507" spans="83:106" x14ac:dyDescent="0.2">
      <c r="CE4507"/>
      <c r="CF4507"/>
      <c r="CG4507"/>
      <c r="CH4507"/>
      <c r="CI4507"/>
      <c r="CU4507" s="42">
        <v>4502</v>
      </c>
      <c r="CV4507" s="115">
        <v>4</v>
      </c>
      <c r="CW4507" s="115">
        <v>0.11332468572476186</v>
      </c>
      <c r="CX4507" s="115" t="e">
        <v>#N/A</v>
      </c>
      <c r="CY4507" s="115" t="e">
        <v>#N/A</v>
      </c>
      <c r="CZ4507" s="137" t="e">
        <v>#N/A</v>
      </c>
      <c r="DA4507">
        <v>0.11332468572476186</v>
      </c>
      <c r="DB4507" t="str">
        <v/>
      </c>
    </row>
    <row r="4508" spans="83:106" x14ac:dyDescent="0.2">
      <c r="CE4508"/>
      <c r="CF4508"/>
      <c r="CG4508"/>
      <c r="CH4508"/>
      <c r="CI4508"/>
      <c r="CU4508" s="42">
        <v>4503</v>
      </c>
      <c r="CV4508" s="115">
        <v>4</v>
      </c>
      <c r="CW4508" s="115">
        <v>0.11332468572476186</v>
      </c>
      <c r="CX4508" s="115" t="e">
        <v>#N/A</v>
      </c>
      <c r="CY4508" s="115" t="e">
        <v>#N/A</v>
      </c>
      <c r="CZ4508" s="137" t="e">
        <v>#N/A</v>
      </c>
      <c r="DA4508">
        <v>0.11332468572476186</v>
      </c>
      <c r="DB4508" t="str">
        <v/>
      </c>
    </row>
    <row r="4509" spans="83:106" x14ac:dyDescent="0.2">
      <c r="CE4509"/>
      <c r="CF4509"/>
      <c r="CG4509"/>
      <c r="CH4509"/>
      <c r="CI4509"/>
      <c r="CU4509" s="42">
        <v>4504</v>
      </c>
      <c r="CV4509" s="115">
        <v>4</v>
      </c>
      <c r="CW4509" s="115">
        <v>0.11332468572476186</v>
      </c>
      <c r="CX4509" s="115" t="e">
        <v>#N/A</v>
      </c>
      <c r="CY4509" s="115" t="e">
        <v>#N/A</v>
      </c>
      <c r="CZ4509" s="137" t="e">
        <v>#N/A</v>
      </c>
      <c r="DA4509">
        <v>0.11332468572476186</v>
      </c>
      <c r="DB4509" t="str">
        <v/>
      </c>
    </row>
    <row r="4510" spans="83:106" x14ac:dyDescent="0.2">
      <c r="CE4510"/>
      <c r="CF4510"/>
      <c r="CG4510"/>
      <c r="CH4510"/>
      <c r="CI4510"/>
      <c r="CU4510" s="42">
        <v>4505</v>
      </c>
      <c r="CV4510" s="115">
        <v>4</v>
      </c>
      <c r="CW4510" s="115">
        <v>0.11332468572476186</v>
      </c>
      <c r="CX4510" s="115" t="e">
        <v>#N/A</v>
      </c>
      <c r="CY4510" s="115" t="e">
        <v>#N/A</v>
      </c>
      <c r="CZ4510" s="137" t="e">
        <v>#N/A</v>
      </c>
      <c r="DA4510">
        <v>0.11332468572476186</v>
      </c>
      <c r="DB4510" t="str">
        <v/>
      </c>
    </row>
    <row r="4511" spans="83:106" x14ac:dyDescent="0.2">
      <c r="CE4511"/>
      <c r="CF4511"/>
      <c r="CG4511"/>
      <c r="CH4511"/>
      <c r="CI4511"/>
      <c r="CU4511" s="42">
        <v>4506</v>
      </c>
      <c r="CV4511" s="115">
        <v>4</v>
      </c>
      <c r="CW4511" s="115">
        <v>0.11332468572476186</v>
      </c>
      <c r="CX4511" s="115" t="e">
        <v>#N/A</v>
      </c>
      <c r="CY4511" s="115" t="e">
        <v>#N/A</v>
      </c>
      <c r="CZ4511" s="137" t="e">
        <v>#N/A</v>
      </c>
      <c r="DA4511">
        <v>0.11332468572476186</v>
      </c>
      <c r="DB4511" t="str">
        <v/>
      </c>
    </row>
    <row r="4512" spans="83:106" x14ac:dyDescent="0.2">
      <c r="CE4512"/>
      <c r="CF4512"/>
      <c r="CG4512"/>
      <c r="CH4512"/>
      <c r="CI4512"/>
      <c r="CU4512" s="42">
        <v>4507</v>
      </c>
      <c r="CV4512" s="115">
        <v>4</v>
      </c>
      <c r="CW4512" s="115">
        <v>0.11332468572476186</v>
      </c>
      <c r="CX4512" s="115" t="e">
        <v>#N/A</v>
      </c>
      <c r="CY4512" s="115" t="e">
        <v>#N/A</v>
      </c>
      <c r="CZ4512" s="137" t="e">
        <v>#N/A</v>
      </c>
      <c r="DA4512">
        <v>0.11332468572476186</v>
      </c>
      <c r="DB4512" t="str">
        <v/>
      </c>
    </row>
    <row r="4513" spans="83:106" x14ac:dyDescent="0.2">
      <c r="CE4513"/>
      <c r="CF4513"/>
      <c r="CG4513"/>
      <c r="CH4513"/>
      <c r="CI4513"/>
      <c r="CU4513" s="42">
        <v>4508</v>
      </c>
      <c r="CV4513" s="115">
        <v>4</v>
      </c>
      <c r="CW4513" s="115">
        <v>0.11332468572476186</v>
      </c>
      <c r="CX4513" s="115" t="e">
        <v>#N/A</v>
      </c>
      <c r="CY4513" s="115" t="e">
        <v>#N/A</v>
      </c>
      <c r="CZ4513" s="137" t="e">
        <v>#N/A</v>
      </c>
      <c r="DA4513">
        <v>0.11332468572476186</v>
      </c>
      <c r="DB4513" t="str">
        <v/>
      </c>
    </row>
    <row r="4514" spans="83:106" x14ac:dyDescent="0.2">
      <c r="CE4514"/>
      <c r="CF4514"/>
      <c r="CG4514"/>
      <c r="CH4514"/>
      <c r="CI4514"/>
      <c r="CU4514" s="42">
        <v>4509</v>
      </c>
      <c r="CV4514" s="115">
        <v>4</v>
      </c>
      <c r="CW4514" s="115">
        <v>0.11332468572476186</v>
      </c>
      <c r="CX4514" s="115" t="e">
        <v>#N/A</v>
      </c>
      <c r="CY4514" s="115" t="e">
        <v>#N/A</v>
      </c>
      <c r="CZ4514" s="137" t="e">
        <v>#N/A</v>
      </c>
      <c r="DA4514">
        <v>0.11332468572476186</v>
      </c>
      <c r="DB4514" t="str">
        <v/>
      </c>
    </row>
    <row r="4515" spans="83:106" x14ac:dyDescent="0.2">
      <c r="CE4515"/>
      <c r="CF4515"/>
      <c r="CG4515"/>
      <c r="CH4515"/>
      <c r="CI4515"/>
      <c r="CU4515" s="42">
        <v>4510</v>
      </c>
      <c r="CV4515" s="115">
        <v>4</v>
      </c>
      <c r="CW4515" s="115">
        <v>0.11332468572476186</v>
      </c>
      <c r="CX4515" s="115" t="e">
        <v>#N/A</v>
      </c>
      <c r="CY4515" s="115" t="e">
        <v>#N/A</v>
      </c>
      <c r="CZ4515" s="137" t="e">
        <v>#N/A</v>
      </c>
      <c r="DA4515">
        <v>0.11332468572476186</v>
      </c>
      <c r="DB4515" t="str">
        <v/>
      </c>
    </row>
    <row r="4516" spans="83:106" x14ac:dyDescent="0.2">
      <c r="CE4516"/>
      <c r="CF4516"/>
      <c r="CG4516"/>
      <c r="CH4516"/>
      <c r="CI4516"/>
      <c r="CU4516" s="42">
        <v>4511</v>
      </c>
      <c r="CV4516" s="115">
        <v>4</v>
      </c>
      <c r="CW4516" s="115">
        <v>0.11332468572476186</v>
      </c>
      <c r="CX4516" s="115" t="e">
        <v>#N/A</v>
      </c>
      <c r="CY4516" s="115" t="e">
        <v>#N/A</v>
      </c>
      <c r="CZ4516" s="137" t="e">
        <v>#N/A</v>
      </c>
      <c r="DA4516">
        <v>0.11332468572476186</v>
      </c>
      <c r="DB4516" t="str">
        <v/>
      </c>
    </row>
    <row r="4517" spans="83:106" x14ac:dyDescent="0.2">
      <c r="CE4517"/>
      <c r="CF4517"/>
      <c r="CG4517"/>
      <c r="CH4517"/>
      <c r="CI4517"/>
      <c r="CU4517" s="42">
        <v>4512</v>
      </c>
      <c r="CV4517" s="115">
        <v>4</v>
      </c>
      <c r="CW4517" s="115">
        <v>0.11332468572476186</v>
      </c>
      <c r="CX4517" s="115" t="e">
        <v>#N/A</v>
      </c>
      <c r="CY4517" s="115" t="e">
        <v>#N/A</v>
      </c>
      <c r="CZ4517" s="137" t="e">
        <v>#N/A</v>
      </c>
      <c r="DA4517">
        <v>0.11332468572476186</v>
      </c>
      <c r="DB4517" t="str">
        <v/>
      </c>
    </row>
    <row r="4518" spans="83:106" x14ac:dyDescent="0.2">
      <c r="CE4518"/>
      <c r="CF4518"/>
      <c r="CG4518"/>
      <c r="CH4518"/>
      <c r="CI4518"/>
      <c r="CU4518" s="42">
        <v>4513</v>
      </c>
      <c r="CV4518" s="115">
        <v>4</v>
      </c>
      <c r="CW4518" s="115">
        <v>0.11332468572476186</v>
      </c>
      <c r="CX4518" s="115" t="e">
        <v>#N/A</v>
      </c>
      <c r="CY4518" s="115" t="e">
        <v>#N/A</v>
      </c>
      <c r="CZ4518" s="137" t="e">
        <v>#N/A</v>
      </c>
      <c r="DA4518">
        <v>0.11332468572476186</v>
      </c>
      <c r="DB4518" t="str">
        <v/>
      </c>
    </row>
    <row r="4519" spans="83:106" x14ac:dyDescent="0.2">
      <c r="CE4519"/>
      <c r="CF4519"/>
      <c r="CG4519"/>
      <c r="CH4519"/>
      <c r="CI4519"/>
      <c r="CU4519" s="42">
        <v>4514</v>
      </c>
      <c r="CV4519" s="115">
        <v>4</v>
      </c>
      <c r="CW4519" s="115">
        <v>0.11332468572476186</v>
      </c>
      <c r="CX4519" s="115" t="e">
        <v>#N/A</v>
      </c>
      <c r="CY4519" s="115" t="e">
        <v>#N/A</v>
      </c>
      <c r="CZ4519" s="137" t="e">
        <v>#N/A</v>
      </c>
      <c r="DA4519">
        <v>0.11332468572476186</v>
      </c>
      <c r="DB4519" t="str">
        <v/>
      </c>
    </row>
    <row r="4520" spans="83:106" x14ac:dyDescent="0.2">
      <c r="CE4520"/>
      <c r="CF4520"/>
      <c r="CG4520"/>
      <c r="CH4520"/>
      <c r="CI4520"/>
      <c r="CU4520" s="42">
        <v>4515</v>
      </c>
      <c r="CV4520" s="115">
        <v>4</v>
      </c>
      <c r="CW4520" s="115">
        <v>0.11332468572476186</v>
      </c>
      <c r="CX4520" s="115" t="e">
        <v>#N/A</v>
      </c>
      <c r="CY4520" s="115" t="e">
        <v>#N/A</v>
      </c>
      <c r="CZ4520" s="137" t="e">
        <v>#N/A</v>
      </c>
      <c r="DA4520">
        <v>0.11332468572476186</v>
      </c>
      <c r="DB4520" t="str">
        <v/>
      </c>
    </row>
    <row r="4521" spans="83:106" x14ac:dyDescent="0.2">
      <c r="CE4521"/>
      <c r="CF4521"/>
      <c r="CG4521"/>
      <c r="CH4521"/>
      <c r="CI4521"/>
      <c r="CU4521" s="42">
        <v>4516</v>
      </c>
      <c r="CV4521" s="115">
        <v>4</v>
      </c>
      <c r="CW4521" s="115">
        <v>0.11332468572476186</v>
      </c>
      <c r="CX4521" s="115" t="e">
        <v>#N/A</v>
      </c>
      <c r="CY4521" s="115" t="e">
        <v>#N/A</v>
      </c>
      <c r="CZ4521" s="137" t="e">
        <v>#N/A</v>
      </c>
      <c r="DA4521">
        <v>0.11332468572476186</v>
      </c>
      <c r="DB4521" t="str">
        <v/>
      </c>
    </row>
    <row r="4522" spans="83:106" x14ac:dyDescent="0.2">
      <c r="CE4522"/>
      <c r="CF4522"/>
      <c r="CG4522"/>
      <c r="CH4522"/>
      <c r="CI4522"/>
      <c r="CU4522" s="42">
        <v>4517</v>
      </c>
      <c r="CV4522" s="115">
        <v>4</v>
      </c>
      <c r="CW4522" s="115">
        <v>0.11332468572476186</v>
      </c>
      <c r="CX4522" s="115" t="e">
        <v>#N/A</v>
      </c>
      <c r="CY4522" s="115" t="e">
        <v>#N/A</v>
      </c>
      <c r="CZ4522" s="137" t="e">
        <v>#N/A</v>
      </c>
      <c r="DA4522">
        <v>0.11332468572476186</v>
      </c>
      <c r="DB4522" t="str">
        <v/>
      </c>
    </row>
    <row r="4523" spans="83:106" x14ac:dyDescent="0.2">
      <c r="CE4523"/>
      <c r="CF4523"/>
      <c r="CG4523"/>
      <c r="CH4523"/>
      <c r="CI4523"/>
      <c r="CU4523" s="42">
        <v>4518</v>
      </c>
      <c r="CV4523" s="115">
        <v>4</v>
      </c>
      <c r="CW4523" s="115">
        <v>0.11332468572476186</v>
      </c>
      <c r="CX4523" s="115" t="e">
        <v>#N/A</v>
      </c>
      <c r="CY4523" s="115" t="e">
        <v>#N/A</v>
      </c>
      <c r="CZ4523" s="137" t="e">
        <v>#N/A</v>
      </c>
      <c r="DA4523">
        <v>0.11332468572476186</v>
      </c>
      <c r="DB4523" t="str">
        <v/>
      </c>
    </row>
    <row r="4524" spans="83:106" x14ac:dyDescent="0.2">
      <c r="CE4524"/>
      <c r="CF4524"/>
      <c r="CG4524"/>
      <c r="CH4524"/>
      <c r="CI4524"/>
      <c r="CU4524" s="42">
        <v>4519</v>
      </c>
      <c r="CV4524" s="115">
        <v>4</v>
      </c>
      <c r="CW4524" s="115">
        <v>0.11332468572476186</v>
      </c>
      <c r="CX4524" s="115" t="e">
        <v>#N/A</v>
      </c>
      <c r="CY4524" s="115" t="e">
        <v>#N/A</v>
      </c>
      <c r="CZ4524" s="137" t="e">
        <v>#N/A</v>
      </c>
      <c r="DA4524">
        <v>0.11332468572476186</v>
      </c>
      <c r="DB4524" t="str">
        <v/>
      </c>
    </row>
    <row r="4525" spans="83:106" x14ac:dyDescent="0.2">
      <c r="CE4525"/>
      <c r="CF4525"/>
      <c r="CG4525"/>
      <c r="CH4525"/>
      <c r="CI4525"/>
      <c r="CU4525" s="42">
        <v>4520</v>
      </c>
      <c r="CV4525" s="115">
        <v>4</v>
      </c>
      <c r="CW4525" s="115">
        <v>0.11332468572476186</v>
      </c>
      <c r="CX4525" s="115" t="e">
        <v>#N/A</v>
      </c>
      <c r="CY4525" s="115" t="e">
        <v>#N/A</v>
      </c>
      <c r="CZ4525" s="137" t="e">
        <v>#N/A</v>
      </c>
      <c r="DA4525">
        <v>0.11332468572476186</v>
      </c>
      <c r="DB4525" t="str">
        <v/>
      </c>
    </row>
    <row r="4526" spans="83:106" x14ac:dyDescent="0.2">
      <c r="CE4526"/>
      <c r="CF4526"/>
      <c r="CG4526"/>
      <c r="CH4526"/>
      <c r="CI4526"/>
      <c r="CU4526" s="42">
        <v>4521</v>
      </c>
      <c r="CV4526" s="115">
        <v>4</v>
      </c>
      <c r="CW4526" s="115">
        <v>0.11332468572476186</v>
      </c>
      <c r="CX4526" s="115" t="e">
        <v>#N/A</v>
      </c>
      <c r="CY4526" s="115" t="e">
        <v>#N/A</v>
      </c>
      <c r="CZ4526" s="137" t="e">
        <v>#N/A</v>
      </c>
      <c r="DA4526">
        <v>0.11332468572476186</v>
      </c>
      <c r="DB4526" t="str">
        <v/>
      </c>
    </row>
    <row r="4527" spans="83:106" x14ac:dyDescent="0.2">
      <c r="CE4527"/>
      <c r="CF4527"/>
      <c r="CG4527"/>
      <c r="CH4527"/>
      <c r="CI4527"/>
      <c r="CU4527" s="42">
        <v>4522</v>
      </c>
      <c r="CV4527" s="115">
        <v>4</v>
      </c>
      <c r="CW4527" s="115">
        <v>0.11332468572476186</v>
      </c>
      <c r="CX4527" s="115" t="e">
        <v>#N/A</v>
      </c>
      <c r="CY4527" s="115" t="e">
        <v>#N/A</v>
      </c>
      <c r="CZ4527" s="137" t="e">
        <v>#N/A</v>
      </c>
      <c r="DA4527">
        <v>0.11332468572476186</v>
      </c>
      <c r="DB4527" t="str">
        <v/>
      </c>
    </row>
    <row r="4528" spans="83:106" x14ac:dyDescent="0.2">
      <c r="CE4528"/>
      <c r="CF4528"/>
      <c r="CG4528"/>
      <c r="CH4528"/>
      <c r="CI4528"/>
      <c r="CU4528" s="42">
        <v>4523</v>
      </c>
      <c r="CV4528" s="115">
        <v>4</v>
      </c>
      <c r="CW4528" s="115">
        <v>0.11332468572476186</v>
      </c>
      <c r="CX4528" s="115" t="e">
        <v>#N/A</v>
      </c>
      <c r="CY4528" s="115" t="e">
        <v>#N/A</v>
      </c>
      <c r="CZ4528" s="137" t="e">
        <v>#N/A</v>
      </c>
      <c r="DA4528">
        <v>0.11332468572476186</v>
      </c>
      <c r="DB4528" t="str">
        <v/>
      </c>
    </row>
    <row r="4529" spans="83:106" x14ac:dyDescent="0.2">
      <c r="CE4529"/>
      <c r="CF4529"/>
      <c r="CG4529"/>
      <c r="CH4529"/>
      <c r="CI4529"/>
      <c r="CU4529" s="42">
        <v>4524</v>
      </c>
      <c r="CV4529" s="115">
        <v>4</v>
      </c>
      <c r="CW4529" s="115">
        <v>0.11332468572476186</v>
      </c>
      <c r="CX4529" s="115" t="e">
        <v>#N/A</v>
      </c>
      <c r="CY4529" s="115" t="e">
        <v>#N/A</v>
      </c>
      <c r="CZ4529" s="137" t="e">
        <v>#N/A</v>
      </c>
      <c r="DA4529">
        <v>0.11332468572476186</v>
      </c>
      <c r="DB4529" t="str">
        <v/>
      </c>
    </row>
    <row r="4530" spans="83:106" x14ac:dyDescent="0.2">
      <c r="CE4530"/>
      <c r="CF4530"/>
      <c r="CG4530"/>
      <c r="CH4530"/>
      <c r="CI4530"/>
      <c r="CU4530" s="42">
        <v>4525</v>
      </c>
      <c r="CV4530" s="115">
        <v>4</v>
      </c>
      <c r="CW4530" s="115">
        <v>0.11332468572476186</v>
      </c>
      <c r="CX4530" s="115" t="e">
        <v>#N/A</v>
      </c>
      <c r="CY4530" s="115" t="e">
        <v>#N/A</v>
      </c>
      <c r="CZ4530" s="137" t="e">
        <v>#N/A</v>
      </c>
      <c r="DA4530">
        <v>0.11332468572476186</v>
      </c>
      <c r="DB4530" t="str">
        <v/>
      </c>
    </row>
    <row r="4531" spans="83:106" x14ac:dyDescent="0.2">
      <c r="CE4531"/>
      <c r="CF4531"/>
      <c r="CG4531"/>
      <c r="CH4531"/>
      <c r="CI4531"/>
      <c r="CU4531" s="42">
        <v>4526</v>
      </c>
      <c r="CV4531" s="115">
        <v>4</v>
      </c>
      <c r="CW4531" s="115">
        <v>0.11332468572476186</v>
      </c>
      <c r="CX4531" s="115" t="e">
        <v>#N/A</v>
      </c>
      <c r="CY4531" s="115" t="e">
        <v>#N/A</v>
      </c>
      <c r="CZ4531" s="137" t="e">
        <v>#N/A</v>
      </c>
      <c r="DA4531">
        <v>0.11332468572476186</v>
      </c>
      <c r="DB4531" t="str">
        <v/>
      </c>
    </row>
    <row r="4532" spans="83:106" x14ac:dyDescent="0.2">
      <c r="CE4532"/>
      <c r="CF4532"/>
      <c r="CG4532"/>
      <c r="CH4532"/>
      <c r="CI4532"/>
      <c r="CU4532" s="42">
        <v>4527</v>
      </c>
      <c r="CV4532" s="115">
        <v>4</v>
      </c>
      <c r="CW4532" s="115">
        <v>0.11332468572476186</v>
      </c>
      <c r="CX4532" s="115" t="e">
        <v>#N/A</v>
      </c>
      <c r="CY4532" s="115" t="e">
        <v>#N/A</v>
      </c>
      <c r="CZ4532" s="137" t="e">
        <v>#N/A</v>
      </c>
      <c r="DA4532">
        <v>0.11332468572476186</v>
      </c>
      <c r="DB4532" t="str">
        <v/>
      </c>
    </row>
    <row r="4533" spans="83:106" x14ac:dyDescent="0.2">
      <c r="CE4533"/>
      <c r="CF4533"/>
      <c r="CG4533"/>
      <c r="CH4533"/>
      <c r="CI4533"/>
      <c r="CU4533" s="42">
        <v>4528</v>
      </c>
      <c r="CV4533" s="115">
        <v>4</v>
      </c>
      <c r="CW4533" s="115">
        <v>0.11332468572476186</v>
      </c>
      <c r="CX4533" s="115" t="e">
        <v>#N/A</v>
      </c>
      <c r="CY4533" s="115" t="e">
        <v>#N/A</v>
      </c>
      <c r="CZ4533" s="137" t="e">
        <v>#N/A</v>
      </c>
      <c r="DA4533">
        <v>0.11332468572476186</v>
      </c>
      <c r="DB4533" t="str">
        <v/>
      </c>
    </row>
    <row r="4534" spans="83:106" x14ac:dyDescent="0.2">
      <c r="CE4534"/>
      <c r="CF4534"/>
      <c r="CG4534"/>
      <c r="CH4534"/>
      <c r="CI4534"/>
      <c r="CU4534" s="42">
        <v>4529</v>
      </c>
      <c r="CV4534" s="115">
        <v>4</v>
      </c>
      <c r="CW4534" s="115">
        <v>0.11332468572476186</v>
      </c>
      <c r="CX4534" s="115" t="e">
        <v>#N/A</v>
      </c>
      <c r="CY4534" s="115" t="e">
        <v>#N/A</v>
      </c>
      <c r="CZ4534" s="137" t="e">
        <v>#N/A</v>
      </c>
      <c r="DA4534">
        <v>0.11332468572476186</v>
      </c>
      <c r="DB4534" t="str">
        <v/>
      </c>
    </row>
    <row r="4535" spans="83:106" x14ac:dyDescent="0.2">
      <c r="CE4535"/>
      <c r="CF4535"/>
      <c r="CG4535"/>
      <c r="CH4535"/>
      <c r="CI4535"/>
      <c r="CU4535" s="42">
        <v>4530</v>
      </c>
      <c r="CV4535" s="115">
        <v>4</v>
      </c>
      <c r="CW4535" s="115">
        <v>0.11332468572476186</v>
      </c>
      <c r="CX4535" s="115" t="e">
        <v>#N/A</v>
      </c>
      <c r="CY4535" s="115" t="e">
        <v>#N/A</v>
      </c>
      <c r="CZ4535" s="137" t="e">
        <v>#N/A</v>
      </c>
      <c r="DA4535">
        <v>0.11332468572476186</v>
      </c>
      <c r="DB4535" t="str">
        <v/>
      </c>
    </row>
    <row r="4536" spans="83:106" x14ac:dyDescent="0.2">
      <c r="CE4536"/>
      <c r="CF4536"/>
      <c r="CG4536"/>
      <c r="CH4536"/>
      <c r="CI4536"/>
      <c r="CU4536" s="42">
        <v>4531</v>
      </c>
      <c r="CV4536" s="115">
        <v>4</v>
      </c>
      <c r="CW4536" s="115">
        <v>0.11332468572476186</v>
      </c>
      <c r="CX4536" s="115" t="e">
        <v>#N/A</v>
      </c>
      <c r="CY4536" s="115" t="e">
        <v>#N/A</v>
      </c>
      <c r="CZ4536" s="137" t="e">
        <v>#N/A</v>
      </c>
      <c r="DA4536">
        <v>0.11332468572476186</v>
      </c>
      <c r="DB4536" t="str">
        <v/>
      </c>
    </row>
    <row r="4537" spans="83:106" x14ac:dyDescent="0.2">
      <c r="CE4537"/>
      <c r="CF4537"/>
      <c r="CG4537"/>
      <c r="CH4537"/>
      <c r="CI4537"/>
      <c r="CU4537" s="42">
        <v>4532</v>
      </c>
      <c r="CV4537" s="115">
        <v>4</v>
      </c>
      <c r="CW4537" s="115">
        <v>0.11332468572476186</v>
      </c>
      <c r="CX4537" s="115" t="e">
        <v>#N/A</v>
      </c>
      <c r="CY4537" s="115" t="e">
        <v>#N/A</v>
      </c>
      <c r="CZ4537" s="137" t="e">
        <v>#N/A</v>
      </c>
      <c r="DA4537">
        <v>0.11332468572476186</v>
      </c>
      <c r="DB4537" t="str">
        <v/>
      </c>
    </row>
    <row r="4538" spans="83:106" x14ac:dyDescent="0.2">
      <c r="CE4538"/>
      <c r="CF4538"/>
      <c r="CG4538"/>
      <c r="CH4538"/>
      <c r="CI4538"/>
      <c r="CU4538" s="42">
        <v>4533</v>
      </c>
      <c r="CV4538" s="115">
        <v>4</v>
      </c>
      <c r="CW4538" s="115">
        <v>0.11332468572476186</v>
      </c>
      <c r="CX4538" s="115" t="e">
        <v>#N/A</v>
      </c>
      <c r="CY4538" s="115" t="e">
        <v>#N/A</v>
      </c>
      <c r="CZ4538" s="137" t="e">
        <v>#N/A</v>
      </c>
      <c r="DA4538">
        <v>0.11332468572476186</v>
      </c>
      <c r="DB4538" t="str">
        <v/>
      </c>
    </row>
    <row r="4539" spans="83:106" x14ac:dyDescent="0.2">
      <c r="CE4539"/>
      <c r="CF4539"/>
      <c r="CG4539"/>
      <c r="CH4539"/>
      <c r="CI4539"/>
      <c r="CU4539" s="42">
        <v>4534</v>
      </c>
      <c r="CV4539" s="115">
        <v>4</v>
      </c>
      <c r="CW4539" s="115">
        <v>0.11332468572476186</v>
      </c>
      <c r="CX4539" s="115" t="e">
        <v>#N/A</v>
      </c>
      <c r="CY4539" s="115" t="e">
        <v>#N/A</v>
      </c>
      <c r="CZ4539" s="137" t="e">
        <v>#N/A</v>
      </c>
      <c r="DA4539">
        <v>0.11332468572476186</v>
      </c>
      <c r="DB4539" t="str">
        <v/>
      </c>
    </row>
    <row r="4540" spans="83:106" x14ac:dyDescent="0.2">
      <c r="CE4540"/>
      <c r="CF4540"/>
      <c r="CG4540"/>
      <c r="CH4540"/>
      <c r="CI4540"/>
      <c r="CU4540" s="42">
        <v>4535</v>
      </c>
      <c r="CV4540" s="115">
        <v>4</v>
      </c>
      <c r="CW4540" s="115">
        <v>0.11332468572476186</v>
      </c>
      <c r="CX4540" s="115" t="e">
        <v>#N/A</v>
      </c>
      <c r="CY4540" s="115" t="e">
        <v>#N/A</v>
      </c>
      <c r="CZ4540" s="137" t="e">
        <v>#N/A</v>
      </c>
      <c r="DA4540">
        <v>0.11332468572476186</v>
      </c>
      <c r="DB4540" t="str">
        <v/>
      </c>
    </row>
    <row r="4541" spans="83:106" x14ac:dyDescent="0.2">
      <c r="CE4541"/>
      <c r="CF4541"/>
      <c r="CG4541"/>
      <c r="CH4541"/>
      <c r="CI4541"/>
      <c r="CU4541" s="42">
        <v>4536</v>
      </c>
      <c r="CV4541" s="115">
        <v>4</v>
      </c>
      <c r="CW4541" s="115">
        <v>0.11332468572476186</v>
      </c>
      <c r="CX4541" s="115" t="e">
        <v>#N/A</v>
      </c>
      <c r="CY4541" s="115" t="e">
        <v>#N/A</v>
      </c>
      <c r="CZ4541" s="137" t="e">
        <v>#N/A</v>
      </c>
      <c r="DA4541">
        <v>0.11332468572476186</v>
      </c>
      <c r="DB4541" t="str">
        <v/>
      </c>
    </row>
    <row r="4542" spans="83:106" x14ac:dyDescent="0.2">
      <c r="CE4542"/>
      <c r="CF4542"/>
      <c r="CG4542"/>
      <c r="CH4542"/>
      <c r="CI4542"/>
      <c r="CU4542" s="42">
        <v>4537</v>
      </c>
      <c r="CV4542" s="115">
        <v>4</v>
      </c>
      <c r="CW4542" s="115">
        <v>0.11332468572476186</v>
      </c>
      <c r="CX4542" s="115" t="e">
        <v>#N/A</v>
      </c>
      <c r="CY4542" s="115" t="e">
        <v>#N/A</v>
      </c>
      <c r="CZ4542" s="137" t="e">
        <v>#N/A</v>
      </c>
      <c r="DA4542">
        <v>0.11332468572476186</v>
      </c>
      <c r="DB4542" t="str">
        <v/>
      </c>
    </row>
    <row r="4543" spans="83:106" x14ac:dyDescent="0.2">
      <c r="CE4543"/>
      <c r="CF4543"/>
      <c r="CG4543"/>
      <c r="CH4543"/>
      <c r="CI4543"/>
      <c r="CU4543" s="42">
        <v>4538</v>
      </c>
      <c r="CV4543" s="115">
        <v>4</v>
      </c>
      <c r="CW4543" s="115">
        <v>0.11332468572476186</v>
      </c>
      <c r="CX4543" s="115" t="e">
        <v>#N/A</v>
      </c>
      <c r="CY4543" s="115" t="e">
        <v>#N/A</v>
      </c>
      <c r="CZ4543" s="137" t="e">
        <v>#N/A</v>
      </c>
      <c r="DA4543">
        <v>0.11332468572476186</v>
      </c>
      <c r="DB4543" t="str">
        <v/>
      </c>
    </row>
    <row r="4544" spans="83:106" x14ac:dyDescent="0.2">
      <c r="CE4544"/>
      <c r="CF4544"/>
      <c r="CG4544"/>
      <c r="CH4544"/>
      <c r="CI4544"/>
      <c r="CU4544" s="42">
        <v>4539</v>
      </c>
      <c r="CV4544" s="115">
        <v>4</v>
      </c>
      <c r="CW4544" s="115">
        <v>0.11332468572476186</v>
      </c>
      <c r="CX4544" s="115" t="e">
        <v>#N/A</v>
      </c>
      <c r="CY4544" s="115" t="e">
        <v>#N/A</v>
      </c>
      <c r="CZ4544" s="137" t="e">
        <v>#N/A</v>
      </c>
      <c r="DA4544">
        <v>0.11332468572476186</v>
      </c>
      <c r="DB4544" t="str">
        <v/>
      </c>
    </row>
    <row r="4545" spans="83:106" x14ac:dyDescent="0.2">
      <c r="CE4545"/>
      <c r="CF4545"/>
      <c r="CG4545"/>
      <c r="CH4545"/>
      <c r="CI4545"/>
      <c r="CU4545" s="42">
        <v>4540</v>
      </c>
      <c r="CV4545" s="115">
        <v>4</v>
      </c>
      <c r="CW4545" s="115">
        <v>0.11332468572476186</v>
      </c>
      <c r="CX4545" s="115" t="e">
        <v>#N/A</v>
      </c>
      <c r="CY4545" s="115" t="e">
        <v>#N/A</v>
      </c>
      <c r="CZ4545" s="137" t="e">
        <v>#N/A</v>
      </c>
      <c r="DA4545">
        <v>0.11332468572476186</v>
      </c>
      <c r="DB4545" t="str">
        <v/>
      </c>
    </row>
    <row r="4546" spans="83:106" x14ac:dyDescent="0.2">
      <c r="CE4546"/>
      <c r="CF4546"/>
      <c r="CG4546"/>
      <c r="CH4546"/>
      <c r="CI4546"/>
      <c r="CU4546" s="42">
        <v>4541</v>
      </c>
      <c r="CV4546" s="115">
        <v>4</v>
      </c>
      <c r="CW4546" s="115">
        <v>0.11332468572476186</v>
      </c>
      <c r="CX4546" s="115" t="e">
        <v>#N/A</v>
      </c>
      <c r="CY4546" s="115" t="e">
        <v>#N/A</v>
      </c>
      <c r="CZ4546" s="137" t="e">
        <v>#N/A</v>
      </c>
      <c r="DA4546">
        <v>0.11332468572476186</v>
      </c>
      <c r="DB4546" t="str">
        <v/>
      </c>
    </row>
    <row r="4547" spans="83:106" x14ac:dyDescent="0.2">
      <c r="CE4547"/>
      <c r="CF4547"/>
      <c r="CG4547"/>
      <c r="CH4547"/>
      <c r="CI4547"/>
      <c r="CU4547" s="42">
        <v>4542</v>
      </c>
      <c r="CV4547" s="115">
        <v>4</v>
      </c>
      <c r="CW4547" s="115">
        <v>0.11332468572476186</v>
      </c>
      <c r="CX4547" s="115" t="e">
        <v>#N/A</v>
      </c>
      <c r="CY4547" s="115" t="e">
        <v>#N/A</v>
      </c>
      <c r="CZ4547" s="137" t="e">
        <v>#N/A</v>
      </c>
      <c r="DA4547">
        <v>0.11332468572476186</v>
      </c>
      <c r="DB4547" t="str">
        <v/>
      </c>
    </row>
    <row r="4548" spans="83:106" x14ac:dyDescent="0.2">
      <c r="CE4548"/>
      <c r="CF4548"/>
      <c r="CG4548"/>
      <c r="CH4548"/>
      <c r="CI4548"/>
      <c r="CU4548" s="42">
        <v>4543</v>
      </c>
      <c r="CV4548" s="115">
        <v>4</v>
      </c>
      <c r="CW4548" s="115">
        <v>0.11332468572476186</v>
      </c>
      <c r="CX4548" s="115" t="e">
        <v>#N/A</v>
      </c>
      <c r="CY4548" s="115" t="e">
        <v>#N/A</v>
      </c>
      <c r="CZ4548" s="137" t="e">
        <v>#N/A</v>
      </c>
      <c r="DA4548">
        <v>0.11332468572476186</v>
      </c>
      <c r="DB4548" t="str">
        <v/>
      </c>
    </row>
    <row r="4549" spans="83:106" x14ac:dyDescent="0.2">
      <c r="CE4549"/>
      <c r="CF4549"/>
      <c r="CG4549"/>
      <c r="CH4549"/>
      <c r="CI4549"/>
      <c r="CU4549" s="42">
        <v>4544</v>
      </c>
      <c r="CV4549" s="115">
        <v>4</v>
      </c>
      <c r="CW4549" s="115">
        <v>0.11332468572476186</v>
      </c>
      <c r="CX4549" s="115" t="e">
        <v>#N/A</v>
      </c>
      <c r="CY4549" s="115" t="e">
        <v>#N/A</v>
      </c>
      <c r="CZ4549" s="137" t="e">
        <v>#N/A</v>
      </c>
      <c r="DA4549">
        <v>0.11332468572476186</v>
      </c>
      <c r="DB4549" t="str">
        <v/>
      </c>
    </row>
    <row r="4550" spans="83:106" x14ac:dyDescent="0.2">
      <c r="CE4550"/>
      <c r="CF4550"/>
      <c r="CG4550"/>
      <c r="CH4550"/>
      <c r="CI4550"/>
      <c r="CU4550" s="42">
        <v>4545</v>
      </c>
      <c r="CV4550" s="115">
        <v>4</v>
      </c>
      <c r="CW4550" s="115">
        <v>0.11332468572476186</v>
      </c>
      <c r="CX4550" s="115" t="e">
        <v>#N/A</v>
      </c>
      <c r="CY4550" s="115" t="e">
        <v>#N/A</v>
      </c>
      <c r="CZ4550" s="137" t="e">
        <v>#N/A</v>
      </c>
      <c r="DA4550">
        <v>0.11332468572476186</v>
      </c>
      <c r="DB4550" t="str">
        <v/>
      </c>
    </row>
    <row r="4551" spans="83:106" x14ac:dyDescent="0.2">
      <c r="CE4551"/>
      <c r="CF4551"/>
      <c r="CG4551"/>
      <c r="CH4551"/>
      <c r="CI4551"/>
      <c r="CU4551" s="42">
        <v>4546</v>
      </c>
      <c r="CV4551" s="115">
        <v>4</v>
      </c>
      <c r="CW4551" s="115">
        <v>0.11332468572476186</v>
      </c>
      <c r="CX4551" s="115" t="e">
        <v>#N/A</v>
      </c>
      <c r="CY4551" s="115" t="e">
        <v>#N/A</v>
      </c>
      <c r="CZ4551" s="137" t="e">
        <v>#N/A</v>
      </c>
      <c r="DA4551">
        <v>0.11332468572476186</v>
      </c>
      <c r="DB4551" t="str">
        <v/>
      </c>
    </row>
    <row r="4552" spans="83:106" x14ac:dyDescent="0.2">
      <c r="CE4552"/>
      <c r="CF4552"/>
      <c r="CG4552"/>
      <c r="CH4552"/>
      <c r="CI4552"/>
      <c r="CU4552" s="42">
        <v>4547</v>
      </c>
      <c r="CV4552" s="115">
        <v>4</v>
      </c>
      <c r="CW4552" s="115">
        <v>0.11332468572476186</v>
      </c>
      <c r="CX4552" s="115" t="e">
        <v>#N/A</v>
      </c>
      <c r="CY4552" s="115" t="e">
        <v>#N/A</v>
      </c>
      <c r="CZ4552" s="137" t="e">
        <v>#N/A</v>
      </c>
      <c r="DA4552">
        <v>0.11332468572476186</v>
      </c>
      <c r="DB4552" t="str">
        <v/>
      </c>
    </row>
    <row r="4553" spans="83:106" x14ac:dyDescent="0.2">
      <c r="CE4553"/>
      <c r="CF4553"/>
      <c r="CG4553"/>
      <c r="CH4553"/>
      <c r="CI4553"/>
      <c r="CU4553" s="42">
        <v>4548</v>
      </c>
      <c r="CV4553" s="115">
        <v>4</v>
      </c>
      <c r="CW4553" s="115">
        <v>0.11332468572476186</v>
      </c>
      <c r="CX4553" s="115" t="e">
        <v>#N/A</v>
      </c>
      <c r="CY4553" s="115" t="e">
        <v>#N/A</v>
      </c>
      <c r="CZ4553" s="137" t="e">
        <v>#N/A</v>
      </c>
      <c r="DA4553">
        <v>0.11332468572476186</v>
      </c>
      <c r="DB4553" t="str">
        <v/>
      </c>
    </row>
    <row r="4554" spans="83:106" x14ac:dyDescent="0.2">
      <c r="CE4554"/>
      <c r="CF4554"/>
      <c r="CG4554"/>
      <c r="CH4554"/>
      <c r="CI4554"/>
      <c r="CU4554" s="42">
        <v>4549</v>
      </c>
      <c r="CV4554" s="115">
        <v>4</v>
      </c>
      <c r="CW4554" s="115">
        <v>0.11332468572476186</v>
      </c>
      <c r="CX4554" s="115" t="e">
        <v>#N/A</v>
      </c>
      <c r="CY4554" s="115" t="e">
        <v>#N/A</v>
      </c>
      <c r="CZ4554" s="137" t="e">
        <v>#N/A</v>
      </c>
      <c r="DA4554">
        <v>0.11332468572476186</v>
      </c>
      <c r="DB4554" t="str">
        <v/>
      </c>
    </row>
    <row r="4555" spans="83:106" x14ac:dyDescent="0.2">
      <c r="CE4555"/>
      <c r="CF4555"/>
      <c r="CG4555"/>
      <c r="CH4555"/>
      <c r="CI4555"/>
      <c r="CU4555" s="42">
        <v>4550</v>
      </c>
      <c r="CV4555" s="115">
        <v>4</v>
      </c>
      <c r="CW4555" s="115">
        <v>0.11332468572476186</v>
      </c>
      <c r="CX4555" s="115" t="e">
        <v>#N/A</v>
      </c>
      <c r="CY4555" s="115" t="e">
        <v>#N/A</v>
      </c>
      <c r="CZ4555" s="137" t="e">
        <v>#N/A</v>
      </c>
      <c r="DA4555">
        <v>0.11332468572476186</v>
      </c>
      <c r="DB4555" t="str">
        <v/>
      </c>
    </row>
    <row r="4556" spans="83:106" x14ac:dyDescent="0.2">
      <c r="CE4556"/>
      <c r="CF4556"/>
      <c r="CG4556"/>
      <c r="CH4556"/>
      <c r="CI4556"/>
      <c r="CU4556" s="42">
        <v>4551</v>
      </c>
      <c r="CV4556" s="115">
        <v>4</v>
      </c>
      <c r="CW4556" s="115">
        <v>0.11332468572476186</v>
      </c>
      <c r="CX4556" s="115" t="e">
        <v>#N/A</v>
      </c>
      <c r="CY4556" s="115" t="e">
        <v>#N/A</v>
      </c>
      <c r="CZ4556" s="137" t="e">
        <v>#N/A</v>
      </c>
      <c r="DA4556">
        <v>0.11332468572476186</v>
      </c>
      <c r="DB4556" t="str">
        <v/>
      </c>
    </row>
    <row r="4557" spans="83:106" x14ac:dyDescent="0.2">
      <c r="CE4557"/>
      <c r="CF4557"/>
      <c r="CG4557"/>
      <c r="CH4557"/>
      <c r="CI4557"/>
      <c r="CU4557" s="42">
        <v>4552</v>
      </c>
      <c r="CV4557" s="115">
        <v>4</v>
      </c>
      <c r="CW4557" s="115">
        <v>0.11332468572476186</v>
      </c>
      <c r="CX4557" s="115" t="e">
        <v>#N/A</v>
      </c>
      <c r="CY4557" s="115" t="e">
        <v>#N/A</v>
      </c>
      <c r="CZ4557" s="137" t="e">
        <v>#N/A</v>
      </c>
      <c r="DA4557">
        <v>0.11332468572476186</v>
      </c>
      <c r="DB4557" t="str">
        <v/>
      </c>
    </row>
    <row r="4558" spans="83:106" x14ac:dyDescent="0.2">
      <c r="CE4558"/>
      <c r="CF4558"/>
      <c r="CG4558"/>
      <c r="CH4558"/>
      <c r="CI4558"/>
      <c r="CU4558" s="42">
        <v>4553</v>
      </c>
      <c r="CV4558" s="115">
        <v>4</v>
      </c>
      <c r="CW4558" s="115">
        <v>0.11332468572476186</v>
      </c>
      <c r="CX4558" s="115" t="e">
        <v>#N/A</v>
      </c>
      <c r="CY4558" s="115" t="e">
        <v>#N/A</v>
      </c>
      <c r="CZ4558" s="137" t="e">
        <v>#N/A</v>
      </c>
      <c r="DA4558">
        <v>0.11332468572476186</v>
      </c>
      <c r="DB4558" t="str">
        <v/>
      </c>
    </row>
    <row r="4559" spans="83:106" x14ac:dyDescent="0.2">
      <c r="CE4559"/>
      <c r="CF4559"/>
      <c r="CG4559"/>
      <c r="CH4559"/>
      <c r="CI4559"/>
      <c r="CU4559" s="42">
        <v>4554</v>
      </c>
      <c r="CV4559" s="115">
        <v>4</v>
      </c>
      <c r="CW4559" s="115">
        <v>0.11332468572476186</v>
      </c>
      <c r="CX4559" s="115" t="e">
        <v>#N/A</v>
      </c>
      <c r="CY4559" s="115" t="e">
        <v>#N/A</v>
      </c>
      <c r="CZ4559" s="137" t="e">
        <v>#N/A</v>
      </c>
      <c r="DA4559">
        <v>0.11332468572476186</v>
      </c>
      <c r="DB4559" t="str">
        <v/>
      </c>
    </row>
    <row r="4560" spans="83:106" x14ac:dyDescent="0.2">
      <c r="CE4560"/>
      <c r="CF4560"/>
      <c r="CG4560"/>
      <c r="CH4560"/>
      <c r="CI4560"/>
      <c r="CU4560" s="42">
        <v>4555</v>
      </c>
      <c r="CV4560" s="115">
        <v>4</v>
      </c>
      <c r="CW4560" s="115">
        <v>0.11332468572476186</v>
      </c>
      <c r="CX4560" s="115" t="e">
        <v>#N/A</v>
      </c>
      <c r="CY4560" s="115" t="e">
        <v>#N/A</v>
      </c>
      <c r="CZ4560" s="137" t="e">
        <v>#N/A</v>
      </c>
      <c r="DA4560">
        <v>0.11332468572476186</v>
      </c>
      <c r="DB4560" t="str">
        <v/>
      </c>
    </row>
    <row r="4561" spans="83:106" x14ac:dyDescent="0.2">
      <c r="CE4561"/>
      <c r="CF4561"/>
      <c r="CG4561"/>
      <c r="CH4561"/>
      <c r="CI4561"/>
      <c r="CU4561" s="42">
        <v>4556</v>
      </c>
      <c r="CV4561" s="115">
        <v>4</v>
      </c>
      <c r="CW4561" s="115">
        <v>0.11332468572476186</v>
      </c>
      <c r="CX4561" s="115" t="e">
        <v>#N/A</v>
      </c>
      <c r="CY4561" s="115" t="e">
        <v>#N/A</v>
      </c>
      <c r="CZ4561" s="137" t="e">
        <v>#N/A</v>
      </c>
      <c r="DA4561">
        <v>0.11332468572476186</v>
      </c>
      <c r="DB4561" t="str">
        <v/>
      </c>
    </row>
    <row r="4562" spans="83:106" x14ac:dyDescent="0.2">
      <c r="CE4562"/>
      <c r="CF4562"/>
      <c r="CG4562"/>
      <c r="CH4562"/>
      <c r="CI4562"/>
      <c r="CU4562" s="42">
        <v>4557</v>
      </c>
      <c r="CV4562" s="115">
        <v>4</v>
      </c>
      <c r="CW4562" s="115">
        <v>0.11332468572476186</v>
      </c>
      <c r="CX4562" s="115" t="e">
        <v>#N/A</v>
      </c>
      <c r="CY4562" s="115" t="e">
        <v>#N/A</v>
      </c>
      <c r="CZ4562" s="137" t="e">
        <v>#N/A</v>
      </c>
      <c r="DA4562">
        <v>0.11332468572476186</v>
      </c>
      <c r="DB4562" t="str">
        <v/>
      </c>
    </row>
    <row r="4563" spans="83:106" x14ac:dyDescent="0.2">
      <c r="CE4563"/>
      <c r="CF4563"/>
      <c r="CG4563"/>
      <c r="CH4563"/>
      <c r="CI4563"/>
      <c r="CU4563" s="42">
        <v>4558</v>
      </c>
      <c r="CV4563" s="115">
        <v>4</v>
      </c>
      <c r="CW4563" s="115">
        <v>0.11332468572476186</v>
      </c>
      <c r="CX4563" s="115" t="e">
        <v>#N/A</v>
      </c>
      <c r="CY4563" s="115" t="e">
        <v>#N/A</v>
      </c>
      <c r="CZ4563" s="137" t="e">
        <v>#N/A</v>
      </c>
      <c r="DA4563">
        <v>0.11332468572476186</v>
      </c>
      <c r="DB4563" t="str">
        <v/>
      </c>
    </row>
    <row r="4564" spans="83:106" x14ac:dyDescent="0.2">
      <c r="CE4564"/>
      <c r="CF4564"/>
      <c r="CG4564"/>
      <c r="CH4564"/>
      <c r="CI4564"/>
      <c r="CU4564" s="42">
        <v>4559</v>
      </c>
      <c r="CV4564" s="115">
        <v>4</v>
      </c>
      <c r="CW4564" s="115">
        <v>0.11332468572476186</v>
      </c>
      <c r="CX4564" s="115" t="e">
        <v>#N/A</v>
      </c>
      <c r="CY4564" s="115" t="e">
        <v>#N/A</v>
      </c>
      <c r="CZ4564" s="137" t="e">
        <v>#N/A</v>
      </c>
      <c r="DA4564">
        <v>0.11332468572476186</v>
      </c>
      <c r="DB4564" t="str">
        <v/>
      </c>
    </row>
    <row r="4565" spans="83:106" x14ac:dyDescent="0.2">
      <c r="CE4565"/>
      <c r="CF4565"/>
      <c r="CG4565"/>
      <c r="CH4565"/>
      <c r="CI4565"/>
      <c r="CU4565" s="42">
        <v>4560</v>
      </c>
      <c r="CV4565" s="115">
        <v>4</v>
      </c>
      <c r="CW4565" s="115">
        <v>0.11332468572476186</v>
      </c>
      <c r="CX4565" s="115" t="e">
        <v>#N/A</v>
      </c>
      <c r="CY4565" s="115" t="e">
        <v>#N/A</v>
      </c>
      <c r="CZ4565" s="137" t="e">
        <v>#N/A</v>
      </c>
      <c r="DA4565">
        <v>0.11332468572476186</v>
      </c>
      <c r="DB4565" t="str">
        <v/>
      </c>
    </row>
    <row r="4566" spans="83:106" x14ac:dyDescent="0.2">
      <c r="CE4566"/>
      <c r="CF4566"/>
      <c r="CG4566"/>
      <c r="CH4566"/>
      <c r="CI4566"/>
      <c r="CU4566" s="42">
        <v>4561</v>
      </c>
      <c r="CV4566" s="115">
        <v>4</v>
      </c>
      <c r="CW4566" s="115">
        <v>0.11332468572476186</v>
      </c>
      <c r="CX4566" s="115" t="e">
        <v>#N/A</v>
      </c>
      <c r="CY4566" s="115" t="e">
        <v>#N/A</v>
      </c>
      <c r="CZ4566" s="137" t="e">
        <v>#N/A</v>
      </c>
      <c r="DA4566">
        <v>0.11332468572476186</v>
      </c>
      <c r="DB4566" t="str">
        <v/>
      </c>
    </row>
    <row r="4567" spans="83:106" x14ac:dyDescent="0.2">
      <c r="CE4567"/>
      <c r="CF4567"/>
      <c r="CG4567"/>
      <c r="CH4567"/>
      <c r="CI4567"/>
      <c r="CU4567" s="42">
        <v>4562</v>
      </c>
      <c r="CV4567" s="115">
        <v>4</v>
      </c>
      <c r="CW4567" s="115">
        <v>0.11332468572476186</v>
      </c>
      <c r="CX4567" s="115" t="e">
        <v>#N/A</v>
      </c>
      <c r="CY4567" s="115" t="e">
        <v>#N/A</v>
      </c>
      <c r="CZ4567" s="137" t="e">
        <v>#N/A</v>
      </c>
      <c r="DA4567">
        <v>0.11332468572476186</v>
      </c>
      <c r="DB4567" t="str">
        <v/>
      </c>
    </row>
    <row r="4568" spans="83:106" x14ac:dyDescent="0.2">
      <c r="CE4568"/>
      <c r="CF4568"/>
      <c r="CG4568"/>
      <c r="CH4568"/>
      <c r="CI4568"/>
      <c r="CU4568" s="42">
        <v>4563</v>
      </c>
      <c r="CV4568" s="115">
        <v>4</v>
      </c>
      <c r="CW4568" s="115">
        <v>0.11332468572476186</v>
      </c>
      <c r="CX4568" s="115" t="e">
        <v>#N/A</v>
      </c>
      <c r="CY4568" s="115" t="e">
        <v>#N/A</v>
      </c>
      <c r="CZ4568" s="137" t="e">
        <v>#N/A</v>
      </c>
      <c r="DA4568">
        <v>0.11332468572476186</v>
      </c>
      <c r="DB4568" t="str">
        <v/>
      </c>
    </row>
    <row r="4569" spans="83:106" x14ac:dyDescent="0.2">
      <c r="CE4569"/>
      <c r="CF4569"/>
      <c r="CG4569"/>
      <c r="CH4569"/>
      <c r="CI4569"/>
      <c r="CU4569" s="42">
        <v>4564</v>
      </c>
      <c r="CV4569" s="115">
        <v>4</v>
      </c>
      <c r="CW4569" s="115">
        <v>0.11332468572476186</v>
      </c>
      <c r="CX4569" s="115" t="e">
        <v>#N/A</v>
      </c>
      <c r="CY4569" s="115" t="e">
        <v>#N/A</v>
      </c>
      <c r="CZ4569" s="137" t="e">
        <v>#N/A</v>
      </c>
      <c r="DA4569">
        <v>0.11332468572476186</v>
      </c>
      <c r="DB4569" t="str">
        <v/>
      </c>
    </row>
    <row r="4570" spans="83:106" x14ac:dyDescent="0.2">
      <c r="CE4570"/>
      <c r="CF4570"/>
      <c r="CG4570"/>
      <c r="CH4570"/>
      <c r="CI4570"/>
      <c r="CU4570" s="42">
        <v>4565</v>
      </c>
      <c r="CV4570" s="115">
        <v>4</v>
      </c>
      <c r="CW4570" s="115">
        <v>0.11332468572476186</v>
      </c>
      <c r="CX4570" s="115" t="e">
        <v>#N/A</v>
      </c>
      <c r="CY4570" s="115" t="e">
        <v>#N/A</v>
      </c>
      <c r="CZ4570" s="137" t="e">
        <v>#N/A</v>
      </c>
      <c r="DA4570">
        <v>0.11332468572476186</v>
      </c>
      <c r="DB4570" t="str">
        <v/>
      </c>
    </row>
    <row r="4571" spans="83:106" x14ac:dyDescent="0.2">
      <c r="CE4571"/>
      <c r="CF4571"/>
      <c r="CG4571"/>
      <c r="CH4571"/>
      <c r="CI4571"/>
      <c r="CU4571" s="42">
        <v>4566</v>
      </c>
      <c r="CV4571" s="115">
        <v>4</v>
      </c>
      <c r="CW4571" s="115">
        <v>0.11332468572476186</v>
      </c>
      <c r="CX4571" s="115" t="e">
        <v>#N/A</v>
      </c>
      <c r="CY4571" s="115" t="e">
        <v>#N/A</v>
      </c>
      <c r="CZ4571" s="137" t="e">
        <v>#N/A</v>
      </c>
      <c r="DA4571">
        <v>0.11332468572476186</v>
      </c>
      <c r="DB4571" t="str">
        <v/>
      </c>
    </row>
    <row r="4572" spans="83:106" x14ac:dyDescent="0.2">
      <c r="CE4572"/>
      <c r="CF4572"/>
      <c r="CG4572"/>
      <c r="CH4572"/>
      <c r="CI4572"/>
      <c r="CU4572" s="42">
        <v>4567</v>
      </c>
      <c r="CV4572" s="115">
        <v>4</v>
      </c>
      <c r="CW4572" s="115">
        <v>0.11332468572476186</v>
      </c>
      <c r="CX4572" s="115" t="e">
        <v>#N/A</v>
      </c>
      <c r="CY4572" s="115" t="e">
        <v>#N/A</v>
      </c>
      <c r="CZ4572" s="137" t="e">
        <v>#N/A</v>
      </c>
      <c r="DA4572">
        <v>0.11332468572476186</v>
      </c>
      <c r="DB4572" t="str">
        <v/>
      </c>
    </row>
    <row r="4573" spans="83:106" x14ac:dyDescent="0.2">
      <c r="CE4573"/>
      <c r="CF4573"/>
      <c r="CG4573"/>
      <c r="CH4573"/>
      <c r="CI4573"/>
      <c r="CU4573" s="42">
        <v>4568</v>
      </c>
      <c r="CV4573" s="115">
        <v>4</v>
      </c>
      <c r="CW4573" s="115">
        <v>0.11332468572476186</v>
      </c>
      <c r="CX4573" s="115" t="e">
        <v>#N/A</v>
      </c>
      <c r="CY4573" s="115" t="e">
        <v>#N/A</v>
      </c>
      <c r="CZ4573" s="137" t="e">
        <v>#N/A</v>
      </c>
      <c r="DA4573">
        <v>0.11332468572476186</v>
      </c>
      <c r="DB4573" t="str">
        <v/>
      </c>
    </row>
    <row r="4574" spans="83:106" x14ac:dyDescent="0.2">
      <c r="CE4574"/>
      <c r="CF4574"/>
      <c r="CG4574"/>
      <c r="CH4574"/>
      <c r="CI4574"/>
      <c r="CU4574" s="42">
        <v>4569</v>
      </c>
      <c r="CV4574" s="115">
        <v>4</v>
      </c>
      <c r="CW4574" s="115">
        <v>0.11332468572476186</v>
      </c>
      <c r="CX4574" s="115" t="e">
        <v>#N/A</v>
      </c>
      <c r="CY4574" s="115" t="e">
        <v>#N/A</v>
      </c>
      <c r="CZ4574" s="137" t="e">
        <v>#N/A</v>
      </c>
      <c r="DA4574">
        <v>0.11332468572476186</v>
      </c>
      <c r="DB4574" t="str">
        <v/>
      </c>
    </row>
    <row r="4575" spans="83:106" x14ac:dyDescent="0.2">
      <c r="CE4575"/>
      <c r="CF4575"/>
      <c r="CG4575"/>
      <c r="CH4575"/>
      <c r="CI4575"/>
      <c r="CU4575" s="42">
        <v>4570</v>
      </c>
      <c r="CV4575" s="115">
        <v>4</v>
      </c>
      <c r="CW4575" s="115">
        <v>0.11332468572476186</v>
      </c>
      <c r="CX4575" s="115" t="e">
        <v>#N/A</v>
      </c>
      <c r="CY4575" s="115" t="e">
        <v>#N/A</v>
      </c>
      <c r="CZ4575" s="137" t="e">
        <v>#N/A</v>
      </c>
      <c r="DA4575">
        <v>0.11332468572476186</v>
      </c>
      <c r="DB4575" t="str">
        <v/>
      </c>
    </row>
    <row r="4576" spans="83:106" x14ac:dyDescent="0.2">
      <c r="CE4576"/>
      <c r="CF4576"/>
      <c r="CG4576"/>
      <c r="CH4576"/>
      <c r="CI4576"/>
      <c r="CU4576" s="42">
        <v>4571</v>
      </c>
      <c r="CV4576" s="115">
        <v>4</v>
      </c>
      <c r="CW4576" s="115">
        <v>0.11332468572476186</v>
      </c>
      <c r="CX4576" s="115" t="e">
        <v>#N/A</v>
      </c>
      <c r="CY4576" s="115" t="e">
        <v>#N/A</v>
      </c>
      <c r="CZ4576" s="137" t="e">
        <v>#N/A</v>
      </c>
      <c r="DA4576">
        <v>0.11332468572476186</v>
      </c>
      <c r="DB4576" t="str">
        <v/>
      </c>
    </row>
    <row r="4577" spans="83:106" x14ac:dyDescent="0.2">
      <c r="CE4577"/>
      <c r="CF4577"/>
      <c r="CG4577"/>
      <c r="CH4577"/>
      <c r="CI4577"/>
      <c r="CU4577" s="42">
        <v>4572</v>
      </c>
      <c r="CV4577" s="115">
        <v>4</v>
      </c>
      <c r="CW4577" s="115">
        <v>0.11332468572476186</v>
      </c>
      <c r="CX4577" s="115" t="e">
        <v>#N/A</v>
      </c>
      <c r="CY4577" s="115" t="e">
        <v>#N/A</v>
      </c>
      <c r="CZ4577" s="137" t="e">
        <v>#N/A</v>
      </c>
      <c r="DA4577">
        <v>0.11332468572476186</v>
      </c>
      <c r="DB4577" t="str">
        <v/>
      </c>
    </row>
    <row r="4578" spans="83:106" x14ac:dyDescent="0.2">
      <c r="CE4578"/>
      <c r="CF4578"/>
      <c r="CG4578"/>
      <c r="CH4578"/>
      <c r="CI4578"/>
      <c r="CU4578" s="42">
        <v>4573</v>
      </c>
      <c r="CV4578" s="115">
        <v>4</v>
      </c>
      <c r="CW4578" s="115">
        <v>0.11332468572476186</v>
      </c>
      <c r="CX4578" s="115" t="e">
        <v>#N/A</v>
      </c>
      <c r="CY4578" s="115" t="e">
        <v>#N/A</v>
      </c>
      <c r="CZ4578" s="137" t="e">
        <v>#N/A</v>
      </c>
      <c r="DA4578">
        <v>0.11332468572476186</v>
      </c>
      <c r="DB4578" t="str">
        <v/>
      </c>
    </row>
    <row r="4579" spans="83:106" x14ac:dyDescent="0.2">
      <c r="CE4579"/>
      <c r="CF4579"/>
      <c r="CG4579"/>
      <c r="CH4579"/>
      <c r="CI4579"/>
      <c r="CU4579" s="42">
        <v>4574</v>
      </c>
      <c r="CV4579" s="115">
        <v>4</v>
      </c>
      <c r="CW4579" s="115">
        <v>0.11332468572476186</v>
      </c>
      <c r="CX4579" s="115" t="e">
        <v>#N/A</v>
      </c>
      <c r="CY4579" s="115" t="e">
        <v>#N/A</v>
      </c>
      <c r="CZ4579" s="137" t="e">
        <v>#N/A</v>
      </c>
      <c r="DA4579">
        <v>0.11332468572476186</v>
      </c>
      <c r="DB4579" t="str">
        <v/>
      </c>
    </row>
    <row r="4580" spans="83:106" x14ac:dyDescent="0.2">
      <c r="CE4580"/>
      <c r="CF4580"/>
      <c r="CG4580"/>
      <c r="CH4580"/>
      <c r="CI4580"/>
      <c r="CU4580" s="42">
        <v>4575</v>
      </c>
      <c r="CV4580" s="115">
        <v>4</v>
      </c>
      <c r="CW4580" s="115">
        <v>0.11332468572476186</v>
      </c>
      <c r="CX4580" s="115" t="e">
        <v>#N/A</v>
      </c>
      <c r="CY4580" s="115" t="e">
        <v>#N/A</v>
      </c>
      <c r="CZ4580" s="137" t="e">
        <v>#N/A</v>
      </c>
      <c r="DA4580">
        <v>0.11332468572476186</v>
      </c>
      <c r="DB4580" t="str">
        <v/>
      </c>
    </row>
    <row r="4581" spans="83:106" x14ac:dyDescent="0.2">
      <c r="CE4581"/>
      <c r="CF4581"/>
      <c r="CG4581"/>
      <c r="CH4581"/>
      <c r="CI4581"/>
      <c r="CU4581" s="42">
        <v>4576</v>
      </c>
      <c r="CV4581" s="115">
        <v>4</v>
      </c>
      <c r="CW4581" s="115">
        <v>0.11332468572476186</v>
      </c>
      <c r="CX4581" s="115" t="e">
        <v>#N/A</v>
      </c>
      <c r="CY4581" s="115" t="e">
        <v>#N/A</v>
      </c>
      <c r="CZ4581" s="137" t="e">
        <v>#N/A</v>
      </c>
      <c r="DA4581">
        <v>0.11332468572476186</v>
      </c>
      <c r="DB4581" t="str">
        <v/>
      </c>
    </row>
    <row r="4582" spans="83:106" x14ac:dyDescent="0.2">
      <c r="CE4582"/>
      <c r="CF4582"/>
      <c r="CG4582"/>
      <c r="CH4582"/>
      <c r="CI4582"/>
      <c r="CU4582" s="42">
        <v>4577</v>
      </c>
      <c r="CV4582" s="115">
        <v>4</v>
      </c>
      <c r="CW4582" s="115">
        <v>0.11332468572476186</v>
      </c>
      <c r="CX4582" s="115" t="e">
        <v>#N/A</v>
      </c>
      <c r="CY4582" s="115" t="e">
        <v>#N/A</v>
      </c>
      <c r="CZ4582" s="137" t="e">
        <v>#N/A</v>
      </c>
      <c r="DA4582">
        <v>0.11332468572476186</v>
      </c>
      <c r="DB4582" t="str">
        <v/>
      </c>
    </row>
    <row r="4583" spans="83:106" x14ac:dyDescent="0.2">
      <c r="CE4583"/>
      <c r="CF4583"/>
      <c r="CG4583"/>
      <c r="CH4583"/>
      <c r="CI4583"/>
      <c r="CU4583" s="42">
        <v>4578</v>
      </c>
      <c r="CV4583" s="115">
        <v>4</v>
      </c>
      <c r="CW4583" s="115">
        <v>0.11332468572476186</v>
      </c>
      <c r="CX4583" s="115" t="e">
        <v>#N/A</v>
      </c>
      <c r="CY4583" s="115" t="e">
        <v>#N/A</v>
      </c>
      <c r="CZ4583" s="137" t="e">
        <v>#N/A</v>
      </c>
      <c r="DA4583">
        <v>0.11332468572476186</v>
      </c>
      <c r="DB4583" t="str">
        <v/>
      </c>
    </row>
    <row r="4584" spans="83:106" x14ac:dyDescent="0.2">
      <c r="CE4584"/>
      <c r="CF4584"/>
      <c r="CG4584"/>
      <c r="CH4584"/>
      <c r="CI4584"/>
      <c r="CU4584" s="42">
        <v>4579</v>
      </c>
      <c r="CV4584" s="115">
        <v>4</v>
      </c>
      <c r="CW4584" s="115">
        <v>0.11332468572476186</v>
      </c>
      <c r="CX4584" s="115" t="e">
        <v>#N/A</v>
      </c>
      <c r="CY4584" s="115" t="e">
        <v>#N/A</v>
      </c>
      <c r="CZ4584" s="137" t="e">
        <v>#N/A</v>
      </c>
      <c r="DA4584">
        <v>0.11332468572476186</v>
      </c>
      <c r="DB4584" t="str">
        <v/>
      </c>
    </row>
    <row r="4585" spans="83:106" x14ac:dyDescent="0.2">
      <c r="CE4585"/>
      <c r="CF4585"/>
      <c r="CG4585"/>
      <c r="CH4585"/>
      <c r="CI4585"/>
      <c r="CU4585" s="42">
        <v>4580</v>
      </c>
      <c r="CV4585" s="115">
        <v>4</v>
      </c>
      <c r="CW4585" s="115">
        <v>0.11332468572476186</v>
      </c>
      <c r="CX4585" s="115" t="e">
        <v>#N/A</v>
      </c>
      <c r="CY4585" s="115" t="e">
        <v>#N/A</v>
      </c>
      <c r="CZ4585" s="137" t="e">
        <v>#N/A</v>
      </c>
      <c r="DA4585">
        <v>0.11332468572476186</v>
      </c>
      <c r="DB4585" t="str">
        <v/>
      </c>
    </row>
    <row r="4586" spans="83:106" x14ac:dyDescent="0.2">
      <c r="CE4586"/>
      <c r="CF4586"/>
      <c r="CG4586"/>
      <c r="CH4586"/>
      <c r="CI4586"/>
      <c r="CU4586" s="42">
        <v>4581</v>
      </c>
      <c r="CV4586" s="115">
        <v>4</v>
      </c>
      <c r="CW4586" s="115">
        <v>0.11332468572476186</v>
      </c>
      <c r="CX4586" s="115" t="e">
        <v>#N/A</v>
      </c>
      <c r="CY4586" s="115" t="e">
        <v>#N/A</v>
      </c>
      <c r="CZ4586" s="137" t="e">
        <v>#N/A</v>
      </c>
      <c r="DA4586">
        <v>0.11332468572476186</v>
      </c>
      <c r="DB4586" t="str">
        <v/>
      </c>
    </row>
    <row r="4587" spans="83:106" x14ac:dyDescent="0.2">
      <c r="CE4587"/>
      <c r="CF4587"/>
      <c r="CG4587"/>
      <c r="CH4587"/>
      <c r="CI4587"/>
      <c r="CU4587" s="42">
        <v>4582</v>
      </c>
      <c r="CV4587" s="115">
        <v>4</v>
      </c>
      <c r="CW4587" s="115">
        <v>0.11332468572476186</v>
      </c>
      <c r="CX4587" s="115" t="e">
        <v>#N/A</v>
      </c>
      <c r="CY4587" s="115" t="e">
        <v>#N/A</v>
      </c>
      <c r="CZ4587" s="137" t="e">
        <v>#N/A</v>
      </c>
      <c r="DA4587">
        <v>0.11332468572476186</v>
      </c>
      <c r="DB4587" t="str">
        <v/>
      </c>
    </row>
    <row r="4588" spans="83:106" x14ac:dyDescent="0.2">
      <c r="CE4588"/>
      <c r="CF4588"/>
      <c r="CG4588"/>
      <c r="CH4588"/>
      <c r="CI4588"/>
      <c r="CU4588" s="42">
        <v>4583</v>
      </c>
      <c r="CV4588" s="115">
        <v>4</v>
      </c>
      <c r="CW4588" s="115">
        <v>0.11332468572476186</v>
      </c>
      <c r="CX4588" s="115" t="e">
        <v>#N/A</v>
      </c>
      <c r="CY4588" s="115" t="e">
        <v>#N/A</v>
      </c>
      <c r="CZ4588" s="137" t="e">
        <v>#N/A</v>
      </c>
      <c r="DA4588">
        <v>0.11332468572476186</v>
      </c>
      <c r="DB4588" t="str">
        <v/>
      </c>
    </row>
    <row r="4589" spans="83:106" x14ac:dyDescent="0.2">
      <c r="CE4589"/>
      <c r="CF4589"/>
      <c r="CG4589"/>
      <c r="CH4589"/>
      <c r="CI4589"/>
      <c r="CU4589" s="42">
        <v>4584</v>
      </c>
      <c r="CV4589" s="115">
        <v>4</v>
      </c>
      <c r="CW4589" s="115">
        <v>0.11332468572476186</v>
      </c>
      <c r="CX4589" s="115" t="e">
        <v>#N/A</v>
      </c>
      <c r="CY4589" s="115" t="e">
        <v>#N/A</v>
      </c>
      <c r="CZ4589" s="137" t="e">
        <v>#N/A</v>
      </c>
      <c r="DA4589">
        <v>0.11332468572476186</v>
      </c>
      <c r="DB4589" t="str">
        <v/>
      </c>
    </row>
    <row r="4590" spans="83:106" x14ac:dyDescent="0.2">
      <c r="CE4590"/>
      <c r="CF4590"/>
      <c r="CG4590"/>
      <c r="CH4590"/>
      <c r="CI4590"/>
      <c r="CU4590" s="42">
        <v>4585</v>
      </c>
      <c r="CV4590" s="115">
        <v>4</v>
      </c>
      <c r="CW4590" s="115">
        <v>0.11332468572476186</v>
      </c>
      <c r="CX4590" s="115" t="e">
        <v>#N/A</v>
      </c>
      <c r="CY4590" s="115" t="e">
        <v>#N/A</v>
      </c>
      <c r="CZ4590" s="137" t="e">
        <v>#N/A</v>
      </c>
      <c r="DA4590">
        <v>0.11332468572476186</v>
      </c>
      <c r="DB4590" t="str">
        <v/>
      </c>
    </row>
    <row r="4591" spans="83:106" x14ac:dyDescent="0.2">
      <c r="CE4591"/>
      <c r="CF4591"/>
      <c r="CG4591"/>
      <c r="CH4591"/>
      <c r="CI4591"/>
      <c r="CU4591" s="42">
        <v>4586</v>
      </c>
      <c r="CV4591" s="115">
        <v>4</v>
      </c>
      <c r="CW4591" s="115">
        <v>0.11332468572476186</v>
      </c>
      <c r="CX4591" s="115" t="e">
        <v>#N/A</v>
      </c>
      <c r="CY4591" s="115" t="e">
        <v>#N/A</v>
      </c>
      <c r="CZ4591" s="137" t="e">
        <v>#N/A</v>
      </c>
      <c r="DA4591">
        <v>0.11332468572476186</v>
      </c>
      <c r="DB4591" t="str">
        <v/>
      </c>
    </row>
    <row r="4592" spans="83:106" x14ac:dyDescent="0.2">
      <c r="CE4592"/>
      <c r="CF4592"/>
      <c r="CG4592"/>
      <c r="CH4592"/>
      <c r="CI4592"/>
      <c r="CU4592" s="42">
        <v>4587</v>
      </c>
      <c r="CV4592" s="115">
        <v>4</v>
      </c>
      <c r="CW4592" s="115">
        <v>0.11332468572476186</v>
      </c>
      <c r="CX4592" s="115" t="e">
        <v>#N/A</v>
      </c>
      <c r="CY4592" s="115" t="e">
        <v>#N/A</v>
      </c>
      <c r="CZ4592" s="137" t="e">
        <v>#N/A</v>
      </c>
      <c r="DA4592">
        <v>0.11332468572476186</v>
      </c>
      <c r="DB4592" t="str">
        <v/>
      </c>
    </row>
    <row r="4593" spans="83:106" x14ac:dyDescent="0.2">
      <c r="CE4593"/>
      <c r="CF4593"/>
      <c r="CG4593"/>
      <c r="CH4593"/>
      <c r="CI4593"/>
      <c r="CU4593" s="42">
        <v>4588</v>
      </c>
      <c r="CV4593" s="115">
        <v>4</v>
      </c>
      <c r="CW4593" s="115">
        <v>0.11332468572476186</v>
      </c>
      <c r="CX4593" s="115" t="e">
        <v>#N/A</v>
      </c>
      <c r="CY4593" s="115" t="e">
        <v>#N/A</v>
      </c>
      <c r="CZ4593" s="137" t="e">
        <v>#N/A</v>
      </c>
      <c r="DA4593">
        <v>0.11332468572476186</v>
      </c>
      <c r="DB4593" t="str">
        <v/>
      </c>
    </row>
    <row r="4594" spans="83:106" x14ac:dyDescent="0.2">
      <c r="CE4594"/>
      <c r="CF4594"/>
      <c r="CG4594"/>
      <c r="CH4594"/>
      <c r="CI4594"/>
      <c r="CU4594" s="42">
        <v>4589</v>
      </c>
      <c r="CV4594" s="115">
        <v>4</v>
      </c>
      <c r="CW4594" s="115">
        <v>0.11332468572476186</v>
      </c>
      <c r="CX4594" s="115" t="e">
        <v>#N/A</v>
      </c>
      <c r="CY4594" s="115" t="e">
        <v>#N/A</v>
      </c>
      <c r="CZ4594" s="137" t="e">
        <v>#N/A</v>
      </c>
      <c r="DA4594">
        <v>0.11332468572476186</v>
      </c>
      <c r="DB4594" t="str">
        <v/>
      </c>
    </row>
    <row r="4595" spans="83:106" x14ac:dyDescent="0.2">
      <c r="CE4595"/>
      <c r="CF4595"/>
      <c r="CG4595"/>
      <c r="CH4595"/>
      <c r="CI4595"/>
      <c r="CU4595" s="42">
        <v>4590</v>
      </c>
      <c r="CV4595" s="115">
        <v>4</v>
      </c>
      <c r="CW4595" s="115">
        <v>0.11332468572476186</v>
      </c>
      <c r="CX4595" s="115" t="e">
        <v>#N/A</v>
      </c>
      <c r="CY4595" s="115" t="e">
        <v>#N/A</v>
      </c>
      <c r="CZ4595" s="137" t="e">
        <v>#N/A</v>
      </c>
      <c r="DA4595">
        <v>0.11332468572476186</v>
      </c>
      <c r="DB4595" t="str">
        <v/>
      </c>
    </row>
    <row r="4596" spans="83:106" x14ac:dyDescent="0.2">
      <c r="CE4596"/>
      <c r="CF4596"/>
      <c r="CG4596"/>
      <c r="CH4596"/>
      <c r="CI4596"/>
      <c r="CU4596" s="42">
        <v>4591</v>
      </c>
      <c r="CV4596" s="115">
        <v>4</v>
      </c>
      <c r="CW4596" s="115">
        <v>0.11332468572476186</v>
      </c>
      <c r="CX4596" s="115" t="e">
        <v>#N/A</v>
      </c>
      <c r="CY4596" s="115" t="e">
        <v>#N/A</v>
      </c>
      <c r="CZ4596" s="137" t="e">
        <v>#N/A</v>
      </c>
      <c r="DA4596">
        <v>0.11332468572476186</v>
      </c>
      <c r="DB4596" t="str">
        <v/>
      </c>
    </row>
    <row r="4597" spans="83:106" x14ac:dyDescent="0.2">
      <c r="CE4597"/>
      <c r="CF4597"/>
      <c r="CG4597"/>
      <c r="CH4597"/>
      <c r="CI4597"/>
      <c r="CU4597" s="42">
        <v>4592</v>
      </c>
      <c r="CV4597" s="115">
        <v>4</v>
      </c>
      <c r="CW4597" s="115">
        <v>0.11332468572476186</v>
      </c>
      <c r="CX4597" s="115" t="e">
        <v>#N/A</v>
      </c>
      <c r="CY4597" s="115" t="e">
        <v>#N/A</v>
      </c>
      <c r="CZ4597" s="137" t="e">
        <v>#N/A</v>
      </c>
      <c r="DA4597">
        <v>0.11332468572476186</v>
      </c>
      <c r="DB4597" t="str">
        <v/>
      </c>
    </row>
    <row r="4598" spans="83:106" x14ac:dyDescent="0.2">
      <c r="CE4598"/>
      <c r="CF4598"/>
      <c r="CG4598"/>
      <c r="CH4598"/>
      <c r="CI4598"/>
      <c r="CU4598" s="42">
        <v>4593</v>
      </c>
      <c r="CV4598" s="115">
        <v>4</v>
      </c>
      <c r="CW4598" s="115">
        <v>0.11332468572476186</v>
      </c>
      <c r="CX4598" s="115" t="e">
        <v>#N/A</v>
      </c>
      <c r="CY4598" s="115" t="e">
        <v>#N/A</v>
      </c>
      <c r="CZ4598" s="137" t="e">
        <v>#N/A</v>
      </c>
      <c r="DA4598">
        <v>0.11332468572476186</v>
      </c>
      <c r="DB4598" t="str">
        <v/>
      </c>
    </row>
    <row r="4599" spans="83:106" x14ac:dyDescent="0.2">
      <c r="CE4599"/>
      <c r="CF4599"/>
      <c r="CG4599"/>
      <c r="CH4599"/>
      <c r="CI4599"/>
      <c r="CU4599" s="42">
        <v>4594</v>
      </c>
      <c r="CV4599" s="115">
        <v>4</v>
      </c>
      <c r="CW4599" s="115">
        <v>0.11332468572476186</v>
      </c>
      <c r="CX4599" s="115" t="e">
        <v>#N/A</v>
      </c>
      <c r="CY4599" s="115" t="e">
        <v>#N/A</v>
      </c>
      <c r="CZ4599" s="137" t="e">
        <v>#N/A</v>
      </c>
      <c r="DA4599">
        <v>0.11332468572476186</v>
      </c>
      <c r="DB4599" t="str">
        <v/>
      </c>
    </row>
    <row r="4600" spans="83:106" x14ac:dyDescent="0.2">
      <c r="CE4600"/>
      <c r="CF4600"/>
      <c r="CG4600"/>
      <c r="CH4600"/>
      <c r="CI4600"/>
      <c r="CU4600" s="42">
        <v>4595</v>
      </c>
      <c r="CV4600" s="115">
        <v>4</v>
      </c>
      <c r="CW4600" s="115">
        <v>0.11332468572476186</v>
      </c>
      <c r="CX4600" s="115" t="e">
        <v>#N/A</v>
      </c>
      <c r="CY4600" s="115" t="e">
        <v>#N/A</v>
      </c>
      <c r="CZ4600" s="137" t="e">
        <v>#N/A</v>
      </c>
      <c r="DA4600">
        <v>0.11332468572476186</v>
      </c>
      <c r="DB4600" t="str">
        <v/>
      </c>
    </row>
    <row r="4601" spans="83:106" x14ac:dyDescent="0.2">
      <c r="CE4601"/>
      <c r="CF4601"/>
      <c r="CG4601"/>
      <c r="CH4601"/>
      <c r="CI4601"/>
      <c r="CU4601" s="42">
        <v>4596</v>
      </c>
      <c r="CV4601" s="115">
        <v>4</v>
      </c>
      <c r="CW4601" s="115">
        <v>0.11332468572476186</v>
      </c>
      <c r="CX4601" s="115" t="e">
        <v>#N/A</v>
      </c>
      <c r="CY4601" s="115" t="e">
        <v>#N/A</v>
      </c>
      <c r="CZ4601" s="137" t="e">
        <v>#N/A</v>
      </c>
      <c r="DA4601">
        <v>0.11332468572476186</v>
      </c>
      <c r="DB4601" t="str">
        <v/>
      </c>
    </row>
    <row r="4602" spans="83:106" x14ac:dyDescent="0.2">
      <c r="CE4602"/>
      <c r="CF4602"/>
      <c r="CG4602"/>
      <c r="CH4602"/>
      <c r="CI4602"/>
      <c r="CU4602" s="42">
        <v>4597</v>
      </c>
      <c r="CV4602" s="115">
        <v>4</v>
      </c>
      <c r="CW4602" s="115">
        <v>0.11332468572476186</v>
      </c>
      <c r="CX4602" s="115" t="e">
        <v>#N/A</v>
      </c>
      <c r="CY4602" s="115" t="e">
        <v>#N/A</v>
      </c>
      <c r="CZ4602" s="137" t="e">
        <v>#N/A</v>
      </c>
      <c r="DA4602">
        <v>0.11332468572476186</v>
      </c>
      <c r="DB4602" t="str">
        <v/>
      </c>
    </row>
    <row r="4603" spans="83:106" x14ac:dyDescent="0.2">
      <c r="CE4603"/>
      <c r="CF4603"/>
      <c r="CG4603"/>
      <c r="CH4603"/>
      <c r="CI4603"/>
      <c r="CU4603" s="42">
        <v>4598</v>
      </c>
      <c r="CV4603" s="115">
        <v>4</v>
      </c>
      <c r="CW4603" s="115">
        <v>0.11332468572476186</v>
      </c>
      <c r="CX4603" s="115" t="e">
        <v>#N/A</v>
      </c>
      <c r="CY4603" s="115" t="e">
        <v>#N/A</v>
      </c>
      <c r="CZ4603" s="137" t="e">
        <v>#N/A</v>
      </c>
      <c r="DA4603">
        <v>0.11332468572476186</v>
      </c>
      <c r="DB4603" t="str">
        <v/>
      </c>
    </row>
    <row r="4604" spans="83:106" x14ac:dyDescent="0.2">
      <c r="CE4604"/>
      <c r="CF4604"/>
      <c r="CG4604"/>
      <c r="CH4604"/>
      <c r="CI4604"/>
      <c r="CU4604" s="42">
        <v>4599</v>
      </c>
      <c r="CV4604" s="115">
        <v>4</v>
      </c>
      <c r="CW4604" s="115">
        <v>0.11332468572476186</v>
      </c>
      <c r="CX4604" s="115" t="e">
        <v>#N/A</v>
      </c>
      <c r="CY4604" s="115" t="e">
        <v>#N/A</v>
      </c>
      <c r="CZ4604" s="137" t="e">
        <v>#N/A</v>
      </c>
      <c r="DA4604">
        <v>0.11332468572476186</v>
      </c>
      <c r="DB4604" t="str">
        <v/>
      </c>
    </row>
    <row r="4605" spans="83:106" x14ac:dyDescent="0.2">
      <c r="CE4605"/>
      <c r="CF4605"/>
      <c r="CG4605"/>
      <c r="CH4605"/>
      <c r="CI4605"/>
      <c r="CU4605" s="42">
        <v>4600</v>
      </c>
      <c r="CV4605" s="115">
        <v>4</v>
      </c>
      <c r="CW4605" s="115">
        <v>0.11332468572476186</v>
      </c>
      <c r="CX4605" s="115" t="e">
        <v>#N/A</v>
      </c>
      <c r="CY4605" s="115" t="e">
        <v>#N/A</v>
      </c>
      <c r="CZ4605" s="137" t="e">
        <v>#N/A</v>
      </c>
      <c r="DA4605">
        <v>0.11332468572476186</v>
      </c>
      <c r="DB4605" t="str">
        <v/>
      </c>
    </row>
    <row r="4606" spans="83:106" x14ac:dyDescent="0.2">
      <c r="CE4606"/>
      <c r="CF4606"/>
      <c r="CG4606"/>
      <c r="CH4606"/>
      <c r="CI4606"/>
      <c r="CU4606" s="42">
        <v>4601</v>
      </c>
      <c r="CV4606" s="115">
        <v>4</v>
      </c>
      <c r="CW4606" s="115">
        <v>0.11332468572476186</v>
      </c>
      <c r="CX4606" s="115" t="e">
        <v>#N/A</v>
      </c>
      <c r="CY4606" s="115" t="e">
        <v>#N/A</v>
      </c>
      <c r="CZ4606" s="137" t="e">
        <v>#N/A</v>
      </c>
      <c r="DA4606">
        <v>0.11332468572476186</v>
      </c>
      <c r="DB4606" t="str">
        <v/>
      </c>
    </row>
    <row r="4607" spans="83:106" x14ac:dyDescent="0.2">
      <c r="CE4607"/>
      <c r="CF4607"/>
      <c r="CG4607"/>
      <c r="CH4607"/>
      <c r="CI4607"/>
      <c r="CU4607" s="42">
        <v>4602</v>
      </c>
      <c r="CV4607" s="115">
        <v>4</v>
      </c>
      <c r="CW4607" s="115">
        <v>0.11332468572476186</v>
      </c>
      <c r="CX4607" s="115" t="e">
        <v>#N/A</v>
      </c>
      <c r="CY4607" s="115" t="e">
        <v>#N/A</v>
      </c>
      <c r="CZ4607" s="137" t="e">
        <v>#N/A</v>
      </c>
      <c r="DA4607">
        <v>0.11332468572476186</v>
      </c>
      <c r="DB4607" t="str">
        <v/>
      </c>
    </row>
    <row r="4608" spans="83:106" x14ac:dyDescent="0.2">
      <c r="CE4608"/>
      <c r="CF4608"/>
      <c r="CG4608"/>
      <c r="CH4608"/>
      <c r="CI4608"/>
      <c r="CU4608" s="42">
        <v>4603</v>
      </c>
      <c r="CV4608" s="115">
        <v>4</v>
      </c>
      <c r="CW4608" s="115">
        <v>0.11332468572476186</v>
      </c>
      <c r="CX4608" s="115" t="e">
        <v>#N/A</v>
      </c>
      <c r="CY4608" s="115" t="e">
        <v>#N/A</v>
      </c>
      <c r="CZ4608" s="137" t="e">
        <v>#N/A</v>
      </c>
      <c r="DA4608">
        <v>0.11332468572476186</v>
      </c>
      <c r="DB4608" t="str">
        <v/>
      </c>
    </row>
    <row r="4609" spans="83:106" x14ac:dyDescent="0.2">
      <c r="CE4609"/>
      <c r="CF4609"/>
      <c r="CG4609"/>
      <c r="CH4609"/>
      <c r="CI4609"/>
      <c r="CU4609" s="42">
        <v>4604</v>
      </c>
      <c r="CV4609" s="115">
        <v>4</v>
      </c>
      <c r="CW4609" s="115">
        <v>0.11332468572476186</v>
      </c>
      <c r="CX4609" s="115" t="e">
        <v>#N/A</v>
      </c>
      <c r="CY4609" s="115" t="e">
        <v>#N/A</v>
      </c>
      <c r="CZ4609" s="137" t="e">
        <v>#N/A</v>
      </c>
      <c r="DA4609">
        <v>0.11332468572476186</v>
      </c>
      <c r="DB4609" t="str">
        <v/>
      </c>
    </row>
    <row r="4610" spans="83:106" x14ac:dyDescent="0.2">
      <c r="CE4610"/>
      <c r="CF4610"/>
      <c r="CG4610"/>
      <c r="CH4610"/>
      <c r="CI4610"/>
      <c r="CU4610" s="42">
        <v>4605</v>
      </c>
      <c r="CV4610" s="115">
        <v>4</v>
      </c>
      <c r="CW4610" s="115">
        <v>0.11332468572476186</v>
      </c>
      <c r="CX4610" s="115" t="e">
        <v>#N/A</v>
      </c>
      <c r="CY4610" s="115" t="e">
        <v>#N/A</v>
      </c>
      <c r="CZ4610" s="137" t="e">
        <v>#N/A</v>
      </c>
      <c r="DA4610">
        <v>0.11332468572476186</v>
      </c>
      <c r="DB4610" t="str">
        <v/>
      </c>
    </row>
    <row r="4611" spans="83:106" x14ac:dyDescent="0.2">
      <c r="CE4611"/>
      <c r="CF4611"/>
      <c r="CG4611"/>
      <c r="CH4611"/>
      <c r="CI4611"/>
      <c r="CU4611" s="42">
        <v>4606</v>
      </c>
      <c r="CV4611" s="115">
        <v>4</v>
      </c>
      <c r="CW4611" s="115">
        <v>0.11332468572476186</v>
      </c>
      <c r="CX4611" s="115" t="e">
        <v>#N/A</v>
      </c>
      <c r="CY4611" s="115" t="e">
        <v>#N/A</v>
      </c>
      <c r="CZ4611" s="137" t="e">
        <v>#N/A</v>
      </c>
      <c r="DA4611">
        <v>0.11332468572476186</v>
      </c>
      <c r="DB4611" t="str">
        <v/>
      </c>
    </row>
    <row r="4612" spans="83:106" x14ac:dyDescent="0.2">
      <c r="CE4612"/>
      <c r="CF4612"/>
      <c r="CG4612"/>
      <c r="CH4612"/>
      <c r="CI4612"/>
      <c r="CU4612" s="42">
        <v>4607</v>
      </c>
      <c r="CV4612" s="115">
        <v>4</v>
      </c>
      <c r="CW4612" s="115">
        <v>0.11332468572476186</v>
      </c>
      <c r="CX4612" s="115" t="e">
        <v>#N/A</v>
      </c>
      <c r="CY4612" s="115" t="e">
        <v>#N/A</v>
      </c>
      <c r="CZ4612" s="137" t="e">
        <v>#N/A</v>
      </c>
      <c r="DA4612">
        <v>0.11332468572476186</v>
      </c>
      <c r="DB4612" t="str">
        <v/>
      </c>
    </row>
    <row r="4613" spans="83:106" x14ac:dyDescent="0.2">
      <c r="CE4613"/>
      <c r="CF4613"/>
      <c r="CG4613"/>
      <c r="CH4613"/>
      <c r="CI4613"/>
      <c r="CU4613" s="42">
        <v>4608</v>
      </c>
      <c r="CV4613" s="115">
        <v>4</v>
      </c>
      <c r="CW4613" s="115">
        <v>0.11332468572476186</v>
      </c>
      <c r="CX4613" s="115" t="e">
        <v>#N/A</v>
      </c>
      <c r="CY4613" s="115" t="e">
        <v>#N/A</v>
      </c>
      <c r="CZ4613" s="137" t="e">
        <v>#N/A</v>
      </c>
      <c r="DA4613">
        <v>0.11332468572476186</v>
      </c>
      <c r="DB4613" t="str">
        <v/>
      </c>
    </row>
    <row r="4614" spans="83:106" x14ac:dyDescent="0.2">
      <c r="CE4614"/>
      <c r="CF4614"/>
      <c r="CG4614"/>
      <c r="CH4614"/>
      <c r="CI4614"/>
      <c r="CU4614" s="42">
        <v>4609</v>
      </c>
      <c r="CV4614" s="115">
        <v>4</v>
      </c>
      <c r="CW4614" s="115">
        <v>0.11332468572476186</v>
      </c>
      <c r="CX4614" s="115" t="e">
        <v>#N/A</v>
      </c>
      <c r="CY4614" s="115" t="e">
        <v>#N/A</v>
      </c>
      <c r="CZ4614" s="137" t="e">
        <v>#N/A</v>
      </c>
      <c r="DA4614">
        <v>0.11332468572476186</v>
      </c>
      <c r="DB4614" t="str">
        <v/>
      </c>
    </row>
    <row r="4615" spans="83:106" x14ac:dyDescent="0.2">
      <c r="CE4615"/>
      <c r="CF4615"/>
      <c r="CG4615"/>
      <c r="CH4615"/>
      <c r="CI4615"/>
      <c r="CU4615" s="42">
        <v>4610</v>
      </c>
      <c r="CV4615" s="115">
        <v>4</v>
      </c>
      <c r="CW4615" s="115">
        <v>0.11332468572476186</v>
      </c>
      <c r="CX4615" s="115" t="e">
        <v>#N/A</v>
      </c>
      <c r="CY4615" s="115" t="e">
        <v>#N/A</v>
      </c>
      <c r="CZ4615" s="137" t="e">
        <v>#N/A</v>
      </c>
      <c r="DA4615">
        <v>0.11332468572476186</v>
      </c>
      <c r="DB4615" t="str">
        <v/>
      </c>
    </row>
    <row r="4616" spans="83:106" x14ac:dyDescent="0.2">
      <c r="CE4616"/>
      <c r="CF4616"/>
      <c r="CG4616"/>
      <c r="CH4616"/>
      <c r="CI4616"/>
      <c r="CU4616" s="42">
        <v>4611</v>
      </c>
      <c r="CV4616" s="115">
        <v>4</v>
      </c>
      <c r="CW4616" s="115">
        <v>0.11332468572476186</v>
      </c>
      <c r="CX4616" s="115" t="e">
        <v>#N/A</v>
      </c>
      <c r="CY4616" s="115" t="e">
        <v>#N/A</v>
      </c>
      <c r="CZ4616" s="137" t="e">
        <v>#N/A</v>
      </c>
      <c r="DA4616">
        <v>0.11332468572476186</v>
      </c>
      <c r="DB4616" t="str">
        <v/>
      </c>
    </row>
    <row r="4617" spans="83:106" x14ac:dyDescent="0.2">
      <c r="CE4617"/>
      <c r="CF4617"/>
      <c r="CG4617"/>
      <c r="CH4617"/>
      <c r="CI4617"/>
      <c r="CU4617" s="42">
        <v>4612</v>
      </c>
      <c r="CV4617" s="115">
        <v>4</v>
      </c>
      <c r="CW4617" s="115">
        <v>0.11332468572476186</v>
      </c>
      <c r="CX4617" s="115" t="e">
        <v>#N/A</v>
      </c>
      <c r="CY4617" s="115" t="e">
        <v>#N/A</v>
      </c>
      <c r="CZ4617" s="137" t="e">
        <v>#N/A</v>
      </c>
      <c r="DA4617">
        <v>0.11332468572476186</v>
      </c>
      <c r="DB4617" t="str">
        <v/>
      </c>
    </row>
    <row r="4618" spans="83:106" x14ac:dyDescent="0.2">
      <c r="CE4618"/>
      <c r="CF4618"/>
      <c r="CG4618"/>
      <c r="CH4618"/>
      <c r="CI4618"/>
      <c r="CU4618" s="42">
        <v>4613</v>
      </c>
      <c r="CV4618" s="115">
        <v>4</v>
      </c>
      <c r="CW4618" s="115">
        <v>0.11332468572476186</v>
      </c>
      <c r="CX4618" s="115" t="e">
        <v>#N/A</v>
      </c>
      <c r="CY4618" s="115" t="e">
        <v>#N/A</v>
      </c>
      <c r="CZ4618" s="137" t="e">
        <v>#N/A</v>
      </c>
      <c r="DA4618">
        <v>0.11332468572476186</v>
      </c>
      <c r="DB4618" t="str">
        <v/>
      </c>
    </row>
    <row r="4619" spans="83:106" x14ac:dyDescent="0.2">
      <c r="CE4619"/>
      <c r="CF4619"/>
      <c r="CG4619"/>
      <c r="CH4619"/>
      <c r="CI4619"/>
      <c r="CU4619" s="42">
        <v>4614</v>
      </c>
      <c r="CV4619" s="115">
        <v>4</v>
      </c>
      <c r="CW4619" s="115">
        <v>0.11332468572476186</v>
      </c>
      <c r="CX4619" s="115" t="e">
        <v>#N/A</v>
      </c>
      <c r="CY4619" s="115" t="e">
        <v>#N/A</v>
      </c>
      <c r="CZ4619" s="137" t="e">
        <v>#N/A</v>
      </c>
      <c r="DA4619">
        <v>0.11332468572476186</v>
      </c>
      <c r="DB4619" t="str">
        <v/>
      </c>
    </row>
    <row r="4620" spans="83:106" x14ac:dyDescent="0.2">
      <c r="CE4620"/>
      <c r="CF4620"/>
      <c r="CG4620"/>
      <c r="CH4620"/>
      <c r="CI4620"/>
      <c r="CU4620" s="42">
        <v>4615</v>
      </c>
      <c r="CV4620" s="115">
        <v>4</v>
      </c>
      <c r="CW4620" s="115">
        <v>0.11332468572476186</v>
      </c>
      <c r="CX4620" s="115" t="e">
        <v>#N/A</v>
      </c>
      <c r="CY4620" s="115" t="e">
        <v>#N/A</v>
      </c>
      <c r="CZ4620" s="137" t="e">
        <v>#N/A</v>
      </c>
      <c r="DA4620">
        <v>0.11332468572476186</v>
      </c>
      <c r="DB4620" t="str">
        <v/>
      </c>
    </row>
    <row r="4621" spans="83:106" x14ac:dyDescent="0.2">
      <c r="CE4621"/>
      <c r="CF4621"/>
      <c r="CG4621"/>
      <c r="CH4621"/>
      <c r="CI4621"/>
      <c r="CU4621" s="42">
        <v>4616</v>
      </c>
      <c r="CV4621" s="115">
        <v>4</v>
      </c>
      <c r="CW4621" s="115">
        <v>0.11332468572476186</v>
      </c>
      <c r="CX4621" s="115" t="e">
        <v>#N/A</v>
      </c>
      <c r="CY4621" s="115" t="e">
        <v>#N/A</v>
      </c>
      <c r="CZ4621" s="137" t="e">
        <v>#N/A</v>
      </c>
      <c r="DA4621">
        <v>0.11332468572476186</v>
      </c>
      <c r="DB4621" t="str">
        <v/>
      </c>
    </row>
    <row r="4622" spans="83:106" x14ac:dyDescent="0.2">
      <c r="CE4622"/>
      <c r="CF4622"/>
      <c r="CG4622"/>
      <c r="CH4622"/>
      <c r="CI4622"/>
      <c r="CU4622" s="42">
        <v>4617</v>
      </c>
      <c r="CV4622" s="115">
        <v>4</v>
      </c>
      <c r="CW4622" s="115">
        <v>0.11332468572476186</v>
      </c>
      <c r="CX4622" s="115" t="e">
        <v>#N/A</v>
      </c>
      <c r="CY4622" s="115" t="e">
        <v>#N/A</v>
      </c>
      <c r="CZ4622" s="137" t="e">
        <v>#N/A</v>
      </c>
      <c r="DA4622">
        <v>0.11332468572476186</v>
      </c>
      <c r="DB4622" t="str">
        <v/>
      </c>
    </row>
    <row r="4623" spans="83:106" x14ac:dyDescent="0.2">
      <c r="CE4623"/>
      <c r="CF4623"/>
      <c r="CG4623"/>
      <c r="CH4623"/>
      <c r="CI4623"/>
      <c r="CU4623" s="42">
        <v>4618</v>
      </c>
      <c r="CV4623" s="115">
        <v>4</v>
      </c>
      <c r="CW4623" s="115">
        <v>0.11332468572476186</v>
      </c>
      <c r="CX4623" s="115" t="e">
        <v>#N/A</v>
      </c>
      <c r="CY4623" s="115" t="e">
        <v>#N/A</v>
      </c>
      <c r="CZ4623" s="137" t="e">
        <v>#N/A</v>
      </c>
      <c r="DA4623">
        <v>0.11332468572476186</v>
      </c>
      <c r="DB4623" t="str">
        <v/>
      </c>
    </row>
    <row r="4624" spans="83:106" x14ac:dyDescent="0.2">
      <c r="CE4624"/>
      <c r="CF4624"/>
      <c r="CG4624"/>
      <c r="CH4624"/>
      <c r="CI4624"/>
      <c r="CU4624" s="42">
        <v>4619</v>
      </c>
      <c r="CV4624" s="115">
        <v>4</v>
      </c>
      <c r="CW4624" s="115">
        <v>0.11332468572476186</v>
      </c>
      <c r="CX4624" s="115" t="e">
        <v>#N/A</v>
      </c>
      <c r="CY4624" s="115" t="e">
        <v>#N/A</v>
      </c>
      <c r="CZ4624" s="137" t="e">
        <v>#N/A</v>
      </c>
      <c r="DA4624">
        <v>0.11332468572476186</v>
      </c>
      <c r="DB4624" t="str">
        <v/>
      </c>
    </row>
    <row r="4625" spans="83:106" x14ac:dyDescent="0.2">
      <c r="CE4625"/>
      <c r="CF4625"/>
      <c r="CG4625"/>
      <c r="CH4625"/>
      <c r="CI4625"/>
      <c r="CU4625" s="42">
        <v>4620</v>
      </c>
      <c r="CV4625" s="115">
        <v>4</v>
      </c>
      <c r="CW4625" s="115">
        <v>0.11332468572476186</v>
      </c>
      <c r="CX4625" s="115" t="e">
        <v>#N/A</v>
      </c>
      <c r="CY4625" s="115" t="e">
        <v>#N/A</v>
      </c>
      <c r="CZ4625" s="137" t="e">
        <v>#N/A</v>
      </c>
      <c r="DA4625">
        <v>0.11332468572476186</v>
      </c>
      <c r="DB4625" t="str">
        <v/>
      </c>
    </row>
    <row r="4626" spans="83:106" x14ac:dyDescent="0.2">
      <c r="CE4626"/>
      <c r="CF4626"/>
      <c r="CG4626"/>
      <c r="CH4626"/>
      <c r="CI4626"/>
      <c r="CU4626" s="42">
        <v>4621</v>
      </c>
      <c r="CV4626" s="115">
        <v>4</v>
      </c>
      <c r="CW4626" s="115">
        <v>0.11332468572476186</v>
      </c>
      <c r="CX4626" s="115" t="e">
        <v>#N/A</v>
      </c>
      <c r="CY4626" s="115" t="e">
        <v>#N/A</v>
      </c>
      <c r="CZ4626" s="137" t="e">
        <v>#N/A</v>
      </c>
      <c r="DA4626">
        <v>0.11332468572476186</v>
      </c>
      <c r="DB4626" t="str">
        <v/>
      </c>
    </row>
    <row r="4627" spans="83:106" x14ac:dyDescent="0.2">
      <c r="CE4627"/>
      <c r="CF4627"/>
      <c r="CG4627"/>
      <c r="CH4627"/>
      <c r="CI4627"/>
      <c r="CU4627" s="42">
        <v>4622</v>
      </c>
      <c r="CV4627" s="115">
        <v>4</v>
      </c>
      <c r="CW4627" s="115">
        <v>0.11332468572476186</v>
      </c>
      <c r="CX4627" s="115" t="e">
        <v>#N/A</v>
      </c>
      <c r="CY4627" s="115" t="e">
        <v>#N/A</v>
      </c>
      <c r="CZ4627" s="137" t="e">
        <v>#N/A</v>
      </c>
      <c r="DA4627">
        <v>0.11332468572476186</v>
      </c>
      <c r="DB4627" t="str">
        <v/>
      </c>
    </row>
    <row r="4628" spans="83:106" x14ac:dyDescent="0.2">
      <c r="CE4628"/>
      <c r="CF4628"/>
      <c r="CG4628"/>
      <c r="CH4628"/>
      <c r="CI4628"/>
      <c r="CU4628" s="42">
        <v>4623</v>
      </c>
      <c r="CV4628" s="42">
        <v>4</v>
      </c>
      <c r="CW4628" s="42">
        <v>0.11332468572476186</v>
      </c>
      <c r="CX4628" s="42" t="e">
        <v>#N/A</v>
      </c>
      <c r="CY4628" s="42" t="e">
        <v>#N/A</v>
      </c>
      <c r="CZ4628" s="42" t="e">
        <v>#N/A</v>
      </c>
      <c r="DA4628">
        <v>0.11332468572476186</v>
      </c>
      <c r="DB4628" t="str">
        <v/>
      </c>
    </row>
    <row r="4629" spans="83:106" x14ac:dyDescent="0.2">
      <c r="CE4629"/>
      <c r="CF4629"/>
      <c r="CG4629"/>
      <c r="CH4629"/>
      <c r="CI4629"/>
      <c r="CU4629" s="42">
        <v>4624</v>
      </c>
      <c r="CV4629" s="42">
        <v>4</v>
      </c>
      <c r="CW4629" s="42">
        <v>0.11332468572476186</v>
      </c>
      <c r="CX4629" s="42" t="e">
        <v>#N/A</v>
      </c>
      <c r="CY4629" s="42" t="e">
        <v>#N/A</v>
      </c>
      <c r="CZ4629" s="42" t="e">
        <v>#N/A</v>
      </c>
      <c r="DA4629">
        <v>0.11332468572476186</v>
      </c>
      <c r="DB4629" t="str">
        <v/>
      </c>
    </row>
    <row r="4630" spans="83:106" x14ac:dyDescent="0.2">
      <c r="CE4630"/>
      <c r="CF4630"/>
      <c r="CG4630"/>
      <c r="CH4630"/>
      <c r="CI4630"/>
      <c r="CU4630" s="42">
        <v>4625</v>
      </c>
      <c r="CV4630" s="42">
        <v>4</v>
      </c>
      <c r="CW4630" s="42">
        <v>0.11332468572476186</v>
      </c>
      <c r="CX4630" s="42" t="e">
        <v>#N/A</v>
      </c>
      <c r="CY4630" s="42" t="e">
        <v>#N/A</v>
      </c>
      <c r="CZ4630" s="42" t="e">
        <v>#N/A</v>
      </c>
      <c r="DA4630">
        <v>0.11332468572476186</v>
      </c>
      <c r="DB4630" t="str">
        <v/>
      </c>
    </row>
    <row r="4631" spans="83:106" x14ac:dyDescent="0.2">
      <c r="CE4631"/>
      <c r="CF4631"/>
      <c r="CG4631"/>
      <c r="CH4631"/>
      <c r="CI4631"/>
      <c r="CU4631" s="42">
        <v>4626</v>
      </c>
      <c r="CV4631" s="42">
        <v>4</v>
      </c>
      <c r="CW4631" s="42">
        <v>0.11332468572476186</v>
      </c>
      <c r="CX4631" s="42" t="e">
        <v>#N/A</v>
      </c>
      <c r="CY4631" s="42" t="e">
        <v>#N/A</v>
      </c>
      <c r="CZ4631" s="42" t="e">
        <v>#N/A</v>
      </c>
      <c r="DA4631">
        <v>0.11332468572476186</v>
      </c>
      <c r="DB4631" t="str">
        <v/>
      </c>
    </row>
    <row r="4632" spans="83:106" x14ac:dyDescent="0.2">
      <c r="CE4632"/>
      <c r="CF4632"/>
      <c r="CG4632"/>
      <c r="CH4632"/>
      <c r="CI4632"/>
      <c r="CU4632" s="42">
        <v>4627</v>
      </c>
      <c r="CV4632" s="42">
        <v>4</v>
      </c>
      <c r="CW4632" s="42">
        <v>0.11332468572476186</v>
      </c>
      <c r="CX4632" s="42" t="e">
        <v>#N/A</v>
      </c>
      <c r="CY4632" s="42" t="e">
        <v>#N/A</v>
      </c>
      <c r="CZ4632" s="42" t="e">
        <v>#N/A</v>
      </c>
      <c r="DA4632">
        <v>0.11332468572476186</v>
      </c>
      <c r="DB4632" t="str">
        <v/>
      </c>
    </row>
    <row r="4633" spans="83:106" x14ac:dyDescent="0.2">
      <c r="CE4633"/>
      <c r="CF4633"/>
      <c r="CG4633"/>
      <c r="CH4633"/>
      <c r="CI4633"/>
      <c r="CU4633" s="42">
        <v>4628</v>
      </c>
      <c r="CV4633" s="42">
        <v>4</v>
      </c>
      <c r="CW4633" s="42">
        <v>0.11332468572476186</v>
      </c>
      <c r="CX4633" s="42" t="e">
        <v>#N/A</v>
      </c>
      <c r="CY4633" s="42" t="e">
        <v>#N/A</v>
      </c>
      <c r="CZ4633" s="42" t="e">
        <v>#N/A</v>
      </c>
      <c r="DA4633">
        <v>0.11332468572476186</v>
      </c>
      <c r="DB4633" t="str">
        <v/>
      </c>
    </row>
    <row r="4634" spans="83:106" x14ac:dyDescent="0.2">
      <c r="CE4634"/>
      <c r="CF4634"/>
      <c r="CG4634"/>
      <c r="CH4634"/>
      <c r="CI4634"/>
      <c r="CU4634" s="42">
        <v>4629</v>
      </c>
      <c r="CV4634" s="42">
        <v>4</v>
      </c>
      <c r="CW4634" s="42">
        <v>0.11332468572476186</v>
      </c>
      <c r="CX4634" s="42" t="e">
        <v>#N/A</v>
      </c>
      <c r="CY4634" s="42" t="e">
        <v>#N/A</v>
      </c>
      <c r="CZ4634" s="42" t="e">
        <v>#N/A</v>
      </c>
      <c r="DA4634">
        <v>0.11332468572476186</v>
      </c>
      <c r="DB4634" t="str">
        <v/>
      </c>
    </row>
    <row r="4635" spans="83:106" x14ac:dyDescent="0.2">
      <c r="CE4635"/>
      <c r="CF4635"/>
      <c r="CG4635"/>
      <c r="CH4635"/>
      <c r="CI4635"/>
      <c r="CU4635" s="42">
        <v>4630</v>
      </c>
      <c r="CV4635" s="42">
        <v>4</v>
      </c>
      <c r="CW4635" s="42">
        <v>0.11332468572476186</v>
      </c>
      <c r="CX4635" s="42" t="e">
        <v>#N/A</v>
      </c>
      <c r="CY4635" s="42" t="e">
        <v>#N/A</v>
      </c>
      <c r="CZ4635" s="42" t="e">
        <v>#N/A</v>
      </c>
      <c r="DA4635">
        <v>0.11332468572476186</v>
      </c>
      <c r="DB4635" t="str">
        <v/>
      </c>
    </row>
    <row r="4636" spans="83:106" x14ac:dyDescent="0.2">
      <c r="CE4636"/>
      <c r="CF4636"/>
      <c r="CG4636"/>
      <c r="CH4636"/>
      <c r="CI4636"/>
      <c r="CU4636" s="42">
        <v>4631</v>
      </c>
      <c r="CV4636" s="42">
        <v>4</v>
      </c>
      <c r="CW4636" s="42">
        <v>0.11332468572476186</v>
      </c>
      <c r="CX4636" s="42" t="e">
        <v>#N/A</v>
      </c>
      <c r="CY4636" s="42" t="e">
        <v>#N/A</v>
      </c>
      <c r="CZ4636" s="42" t="e">
        <v>#N/A</v>
      </c>
      <c r="DA4636">
        <v>0.11332468572476186</v>
      </c>
      <c r="DB4636" t="str">
        <v/>
      </c>
    </row>
    <row r="4637" spans="83:106" x14ac:dyDescent="0.2">
      <c r="CE4637"/>
      <c r="CF4637"/>
      <c r="CG4637"/>
      <c r="CH4637"/>
      <c r="CI4637"/>
      <c r="CU4637" s="42">
        <v>4632</v>
      </c>
      <c r="CV4637" s="42">
        <v>4</v>
      </c>
      <c r="CW4637" s="42">
        <v>0.11332468572476186</v>
      </c>
      <c r="CX4637" s="42" t="e">
        <v>#N/A</v>
      </c>
      <c r="CY4637" s="42" t="e">
        <v>#N/A</v>
      </c>
      <c r="CZ4637" s="42" t="e">
        <v>#N/A</v>
      </c>
      <c r="DA4637">
        <v>0.11332468572476186</v>
      </c>
      <c r="DB4637" t="str">
        <v/>
      </c>
    </row>
    <row r="4638" spans="83:106" x14ac:dyDescent="0.2">
      <c r="CE4638"/>
      <c r="CF4638"/>
      <c r="CG4638"/>
      <c r="CH4638"/>
      <c r="CI4638"/>
      <c r="CU4638" s="42">
        <v>4633</v>
      </c>
      <c r="CV4638" s="42">
        <v>4</v>
      </c>
      <c r="CW4638" s="42">
        <v>0.11332468572476186</v>
      </c>
      <c r="CX4638" s="42" t="e">
        <v>#N/A</v>
      </c>
      <c r="CY4638" s="42" t="e">
        <v>#N/A</v>
      </c>
      <c r="CZ4638" s="42" t="e">
        <v>#N/A</v>
      </c>
      <c r="DA4638">
        <v>0.11332468572476186</v>
      </c>
      <c r="DB4638" t="str">
        <v/>
      </c>
    </row>
    <row r="4639" spans="83:106" x14ac:dyDescent="0.2">
      <c r="CE4639"/>
      <c r="CF4639"/>
      <c r="CG4639"/>
      <c r="CH4639"/>
      <c r="CI4639"/>
      <c r="CU4639" s="42">
        <v>4634</v>
      </c>
      <c r="CV4639" s="42">
        <v>4</v>
      </c>
      <c r="CW4639" s="42">
        <v>0.11332468572476186</v>
      </c>
      <c r="CX4639" s="42" t="e">
        <v>#N/A</v>
      </c>
      <c r="CY4639" s="42" t="e">
        <v>#N/A</v>
      </c>
      <c r="CZ4639" s="42" t="e">
        <v>#N/A</v>
      </c>
      <c r="DA4639">
        <v>0.11332468572476186</v>
      </c>
      <c r="DB4639" t="str">
        <v/>
      </c>
    </row>
    <row r="4640" spans="83:106" x14ac:dyDescent="0.2">
      <c r="CE4640"/>
      <c r="CF4640"/>
      <c r="CG4640"/>
      <c r="CH4640"/>
      <c r="CI4640"/>
      <c r="CU4640" s="42">
        <v>4635</v>
      </c>
      <c r="CV4640" s="42">
        <v>4</v>
      </c>
      <c r="CW4640" s="42">
        <v>0.11332468572476186</v>
      </c>
      <c r="CX4640" s="42" t="e">
        <v>#N/A</v>
      </c>
      <c r="CY4640" s="42" t="e">
        <v>#N/A</v>
      </c>
      <c r="CZ4640" s="42" t="e">
        <v>#N/A</v>
      </c>
      <c r="DA4640">
        <v>0.11332468572476186</v>
      </c>
      <c r="DB4640" t="str">
        <v/>
      </c>
    </row>
    <row r="4641" spans="83:106" x14ac:dyDescent="0.2">
      <c r="CE4641"/>
      <c r="CF4641"/>
      <c r="CG4641"/>
      <c r="CH4641"/>
      <c r="CI4641"/>
      <c r="CU4641" s="42">
        <v>4636</v>
      </c>
      <c r="CV4641" s="42">
        <v>4</v>
      </c>
      <c r="CW4641" s="42">
        <v>0.11332468572476186</v>
      </c>
      <c r="CX4641" s="42" t="e">
        <v>#N/A</v>
      </c>
      <c r="CY4641" s="42" t="e">
        <v>#N/A</v>
      </c>
      <c r="CZ4641" s="42" t="e">
        <v>#N/A</v>
      </c>
      <c r="DA4641">
        <v>0.11332468572476186</v>
      </c>
      <c r="DB4641" t="str">
        <v/>
      </c>
    </row>
    <row r="4642" spans="83:106" x14ac:dyDescent="0.2">
      <c r="CE4642"/>
      <c r="CF4642"/>
      <c r="CG4642"/>
      <c r="CH4642"/>
      <c r="CI4642"/>
      <c r="CU4642" s="42">
        <v>4637</v>
      </c>
      <c r="CV4642" s="42">
        <v>4</v>
      </c>
      <c r="CW4642" s="42">
        <v>0.11332468572476186</v>
      </c>
      <c r="CX4642" s="42" t="e">
        <v>#N/A</v>
      </c>
      <c r="CY4642" s="42" t="e">
        <v>#N/A</v>
      </c>
      <c r="CZ4642" s="42" t="e">
        <v>#N/A</v>
      </c>
      <c r="DA4642">
        <v>0.11332468572476186</v>
      </c>
      <c r="DB4642" t="str">
        <v/>
      </c>
    </row>
    <row r="4643" spans="83:106" x14ac:dyDescent="0.2">
      <c r="CE4643"/>
      <c r="CF4643"/>
      <c r="CG4643"/>
      <c r="CH4643"/>
      <c r="CI4643"/>
      <c r="CU4643" s="42">
        <v>4638</v>
      </c>
      <c r="CV4643" s="42">
        <v>4</v>
      </c>
      <c r="CW4643" s="42">
        <v>0.11332468572476186</v>
      </c>
      <c r="CX4643" s="42" t="e">
        <v>#N/A</v>
      </c>
      <c r="CY4643" s="42" t="e">
        <v>#N/A</v>
      </c>
      <c r="CZ4643" s="42" t="e">
        <v>#N/A</v>
      </c>
      <c r="DA4643">
        <v>0.11332468572476186</v>
      </c>
      <c r="DB4643" t="str">
        <v/>
      </c>
    </row>
    <row r="4644" spans="83:106" x14ac:dyDescent="0.2">
      <c r="CE4644"/>
      <c r="CF4644"/>
      <c r="CG4644"/>
      <c r="CH4644"/>
      <c r="CI4644"/>
      <c r="CU4644" s="42">
        <v>4639</v>
      </c>
      <c r="CV4644" s="42">
        <v>4</v>
      </c>
      <c r="CW4644" s="42">
        <v>0.11332468572476186</v>
      </c>
      <c r="CX4644" s="42" t="e">
        <v>#N/A</v>
      </c>
      <c r="CY4644" s="42" t="e">
        <v>#N/A</v>
      </c>
      <c r="CZ4644" s="42" t="e">
        <v>#N/A</v>
      </c>
      <c r="DA4644">
        <v>0.11332468572476186</v>
      </c>
      <c r="DB4644" t="str">
        <v/>
      </c>
    </row>
    <row r="4645" spans="83:106" x14ac:dyDescent="0.2">
      <c r="CE4645"/>
      <c r="CF4645"/>
      <c r="CG4645"/>
      <c r="CH4645"/>
      <c r="CI4645"/>
      <c r="CU4645" s="42">
        <v>4640</v>
      </c>
      <c r="CV4645" s="42">
        <v>4</v>
      </c>
      <c r="CW4645" s="42">
        <v>0.11332468572476186</v>
      </c>
      <c r="CX4645" s="42" t="e">
        <v>#N/A</v>
      </c>
      <c r="CY4645" s="42" t="e">
        <v>#N/A</v>
      </c>
      <c r="CZ4645" s="42" t="e">
        <v>#N/A</v>
      </c>
      <c r="DA4645">
        <v>0.11332468572476186</v>
      </c>
      <c r="DB4645" t="str">
        <v/>
      </c>
    </row>
    <row r="4646" spans="83:106" x14ac:dyDescent="0.2">
      <c r="CE4646"/>
      <c r="CF4646"/>
      <c r="CG4646"/>
      <c r="CH4646"/>
      <c r="CI4646"/>
      <c r="CU4646" s="42">
        <v>4641</v>
      </c>
      <c r="CV4646" s="42">
        <v>4</v>
      </c>
      <c r="CW4646" s="42">
        <v>0.11332468572476186</v>
      </c>
      <c r="CX4646" s="42" t="e">
        <v>#N/A</v>
      </c>
      <c r="CY4646" s="42" t="e">
        <v>#N/A</v>
      </c>
      <c r="CZ4646" s="42" t="e">
        <v>#N/A</v>
      </c>
      <c r="DA4646">
        <v>0.11332468572476186</v>
      </c>
      <c r="DB4646" t="str">
        <v/>
      </c>
    </row>
    <row r="4647" spans="83:106" x14ac:dyDescent="0.2">
      <c r="CE4647"/>
      <c r="CF4647"/>
      <c r="CG4647"/>
      <c r="CH4647"/>
      <c r="CI4647"/>
      <c r="CU4647" s="42">
        <v>4642</v>
      </c>
      <c r="CV4647" s="42">
        <v>4</v>
      </c>
      <c r="CW4647" s="42">
        <v>0.11332468572476186</v>
      </c>
      <c r="CX4647" s="42" t="e">
        <v>#N/A</v>
      </c>
      <c r="CY4647" s="42" t="e">
        <v>#N/A</v>
      </c>
      <c r="CZ4647" s="42" t="e">
        <v>#N/A</v>
      </c>
      <c r="DA4647">
        <v>0.11332468572476186</v>
      </c>
      <c r="DB4647" t="str">
        <v/>
      </c>
    </row>
    <row r="4648" spans="83:106" x14ac:dyDescent="0.2">
      <c r="CE4648"/>
      <c r="CF4648"/>
      <c r="CG4648"/>
      <c r="CH4648"/>
      <c r="CI4648"/>
      <c r="CU4648" s="42">
        <v>4643</v>
      </c>
      <c r="CV4648" s="42">
        <v>4</v>
      </c>
      <c r="CW4648" s="42">
        <v>0.11332468572476186</v>
      </c>
      <c r="CX4648" s="42" t="e">
        <v>#N/A</v>
      </c>
      <c r="CY4648" s="42" t="e">
        <v>#N/A</v>
      </c>
      <c r="CZ4648" s="42" t="e">
        <v>#N/A</v>
      </c>
      <c r="DA4648">
        <v>0.11332468572476186</v>
      </c>
      <c r="DB4648" t="str">
        <v/>
      </c>
    </row>
    <row r="4649" spans="83:106" x14ac:dyDescent="0.2">
      <c r="CE4649"/>
      <c r="CF4649"/>
      <c r="CG4649"/>
      <c r="CH4649"/>
      <c r="CI4649"/>
      <c r="CU4649" s="42">
        <v>4644</v>
      </c>
      <c r="CV4649" s="42">
        <v>4</v>
      </c>
      <c r="CW4649" s="42">
        <v>0.11332468572476186</v>
      </c>
      <c r="CX4649" s="42" t="e">
        <v>#N/A</v>
      </c>
      <c r="CY4649" s="42" t="e">
        <v>#N/A</v>
      </c>
      <c r="CZ4649" s="42" t="e">
        <v>#N/A</v>
      </c>
      <c r="DA4649">
        <v>0.11332468572476186</v>
      </c>
      <c r="DB4649" t="str">
        <v/>
      </c>
    </row>
    <row r="4650" spans="83:106" x14ac:dyDescent="0.2">
      <c r="CE4650"/>
      <c r="CF4650"/>
      <c r="CG4650"/>
      <c r="CH4650"/>
      <c r="CI4650"/>
      <c r="CU4650" s="42">
        <v>4645</v>
      </c>
      <c r="CV4650" s="42">
        <v>4</v>
      </c>
      <c r="CW4650" s="42">
        <v>0.11332468572476186</v>
      </c>
      <c r="CX4650" s="42" t="e">
        <v>#N/A</v>
      </c>
      <c r="CY4650" s="42" t="e">
        <v>#N/A</v>
      </c>
      <c r="CZ4650" s="42" t="e">
        <v>#N/A</v>
      </c>
      <c r="DA4650">
        <v>0.11332468572476186</v>
      </c>
      <c r="DB4650" t="str">
        <v/>
      </c>
    </row>
    <row r="4651" spans="83:106" x14ac:dyDescent="0.2">
      <c r="CE4651"/>
      <c r="CF4651"/>
      <c r="CG4651"/>
      <c r="CH4651"/>
      <c r="CI4651"/>
      <c r="CU4651" s="42">
        <v>4646</v>
      </c>
      <c r="CV4651" s="42">
        <v>4</v>
      </c>
      <c r="CW4651" s="42">
        <v>0.11332468572476186</v>
      </c>
      <c r="CX4651" s="42" t="e">
        <v>#N/A</v>
      </c>
      <c r="CY4651" s="42" t="e">
        <v>#N/A</v>
      </c>
      <c r="CZ4651" s="42" t="e">
        <v>#N/A</v>
      </c>
      <c r="DA4651">
        <v>0.11332468572476186</v>
      </c>
      <c r="DB4651" t="str">
        <v/>
      </c>
    </row>
    <row r="4652" spans="83:106" x14ac:dyDescent="0.2">
      <c r="CE4652"/>
      <c r="CF4652"/>
      <c r="CG4652"/>
      <c r="CH4652"/>
      <c r="CI4652"/>
      <c r="CU4652" s="42">
        <v>4647</v>
      </c>
      <c r="CV4652" s="42">
        <v>4</v>
      </c>
      <c r="CW4652" s="42">
        <v>0.11332468572476186</v>
      </c>
      <c r="CX4652" s="42" t="e">
        <v>#N/A</v>
      </c>
      <c r="CY4652" s="42" t="e">
        <v>#N/A</v>
      </c>
      <c r="CZ4652" s="42" t="e">
        <v>#N/A</v>
      </c>
      <c r="DA4652">
        <v>0.11332468572476186</v>
      </c>
      <c r="DB4652" t="str">
        <v/>
      </c>
    </row>
    <row r="4653" spans="83:106" x14ac:dyDescent="0.2">
      <c r="CE4653"/>
      <c r="CF4653"/>
      <c r="CG4653"/>
      <c r="CH4653"/>
      <c r="CI4653"/>
      <c r="CU4653" s="42">
        <v>4648</v>
      </c>
      <c r="CV4653" s="42">
        <v>4</v>
      </c>
      <c r="CW4653" s="42">
        <v>0.11332468572476186</v>
      </c>
      <c r="CX4653" s="42" t="e">
        <v>#N/A</v>
      </c>
      <c r="CY4653" s="42" t="e">
        <v>#N/A</v>
      </c>
      <c r="CZ4653" s="42" t="e">
        <v>#N/A</v>
      </c>
      <c r="DA4653">
        <v>0.11332468572476186</v>
      </c>
      <c r="DB4653" t="str">
        <v/>
      </c>
    </row>
    <row r="4654" spans="83:106" x14ac:dyDescent="0.2">
      <c r="CE4654"/>
      <c r="CF4654"/>
      <c r="CG4654"/>
      <c r="CH4654"/>
      <c r="CI4654"/>
      <c r="CU4654" s="42">
        <v>4649</v>
      </c>
      <c r="CV4654" s="42">
        <v>4</v>
      </c>
      <c r="CW4654" s="42">
        <v>0.11332468572476186</v>
      </c>
      <c r="CX4654" s="42" t="e">
        <v>#N/A</v>
      </c>
      <c r="CY4654" s="42" t="e">
        <v>#N/A</v>
      </c>
      <c r="CZ4654" s="42" t="e">
        <v>#N/A</v>
      </c>
      <c r="DA4654">
        <v>0.11332468572476186</v>
      </c>
      <c r="DB4654" t="str">
        <v/>
      </c>
    </row>
    <row r="4655" spans="83:106" x14ac:dyDescent="0.2">
      <c r="CE4655"/>
      <c r="CF4655"/>
      <c r="CG4655"/>
      <c r="CH4655"/>
      <c r="CI4655"/>
      <c r="CU4655" s="42">
        <v>4650</v>
      </c>
      <c r="CV4655" s="42">
        <v>4</v>
      </c>
      <c r="CW4655" s="42">
        <v>0.11332468572476186</v>
      </c>
      <c r="CX4655" s="42" t="e">
        <v>#N/A</v>
      </c>
      <c r="CY4655" s="42" t="e">
        <v>#N/A</v>
      </c>
      <c r="CZ4655" s="42" t="e">
        <v>#N/A</v>
      </c>
      <c r="DA4655">
        <v>0.11332468572476186</v>
      </c>
      <c r="DB4655" t="str">
        <v/>
      </c>
    </row>
    <row r="4656" spans="83:106" x14ac:dyDescent="0.2">
      <c r="CE4656"/>
      <c r="CF4656"/>
      <c r="CG4656"/>
      <c r="CH4656"/>
      <c r="CI4656"/>
      <c r="CU4656" s="42">
        <v>4651</v>
      </c>
      <c r="CV4656" s="42">
        <v>4</v>
      </c>
      <c r="CW4656" s="42">
        <v>0.11332468572476186</v>
      </c>
      <c r="CX4656" s="42" t="e">
        <v>#N/A</v>
      </c>
      <c r="CY4656" s="42" t="e">
        <v>#N/A</v>
      </c>
      <c r="CZ4656" s="42" t="e">
        <v>#N/A</v>
      </c>
      <c r="DA4656">
        <v>0.11332468572476186</v>
      </c>
      <c r="DB4656" t="str">
        <v/>
      </c>
    </row>
    <row r="4657" spans="83:106" x14ac:dyDescent="0.2">
      <c r="CE4657"/>
      <c r="CF4657"/>
      <c r="CG4657"/>
      <c r="CH4657"/>
      <c r="CI4657"/>
      <c r="CU4657" s="42">
        <v>4652</v>
      </c>
      <c r="CV4657" s="42">
        <v>4</v>
      </c>
      <c r="CW4657" s="42">
        <v>0.11332468572476186</v>
      </c>
      <c r="CX4657" s="42" t="e">
        <v>#N/A</v>
      </c>
      <c r="CY4657" s="42" t="e">
        <v>#N/A</v>
      </c>
      <c r="CZ4657" s="42" t="e">
        <v>#N/A</v>
      </c>
      <c r="DA4657">
        <v>0.11332468572476186</v>
      </c>
      <c r="DB4657" t="str">
        <v/>
      </c>
    </row>
    <row r="4658" spans="83:106" x14ac:dyDescent="0.2">
      <c r="CE4658"/>
      <c r="CF4658"/>
      <c r="CG4658"/>
      <c r="CH4658"/>
      <c r="CI4658"/>
      <c r="CU4658" s="42">
        <v>4653</v>
      </c>
      <c r="CV4658" s="42">
        <v>4</v>
      </c>
      <c r="CW4658" s="42">
        <v>0.11332468572476186</v>
      </c>
      <c r="CX4658" s="42" t="e">
        <v>#N/A</v>
      </c>
      <c r="CY4658" s="42" t="e">
        <v>#N/A</v>
      </c>
      <c r="CZ4658" s="42" t="e">
        <v>#N/A</v>
      </c>
      <c r="DA4658">
        <v>0.11332468572476186</v>
      </c>
      <c r="DB4658" t="str">
        <v/>
      </c>
    </row>
    <row r="4659" spans="83:106" x14ac:dyDescent="0.2">
      <c r="CE4659"/>
      <c r="CF4659"/>
      <c r="CG4659"/>
      <c r="CH4659"/>
      <c r="CI4659"/>
      <c r="CU4659" s="42">
        <v>4654</v>
      </c>
      <c r="CV4659" s="42">
        <v>4</v>
      </c>
      <c r="CW4659" s="42">
        <v>0.11332468572476186</v>
      </c>
      <c r="CX4659" s="42" t="e">
        <v>#N/A</v>
      </c>
      <c r="CY4659" s="42" t="e">
        <v>#N/A</v>
      </c>
      <c r="CZ4659" s="42" t="e">
        <v>#N/A</v>
      </c>
      <c r="DA4659">
        <v>0.11332468572476186</v>
      </c>
      <c r="DB4659" t="str">
        <v/>
      </c>
    </row>
    <row r="4660" spans="83:106" x14ac:dyDescent="0.2">
      <c r="CE4660"/>
      <c r="CF4660"/>
      <c r="CG4660"/>
      <c r="CH4660"/>
      <c r="CI4660"/>
      <c r="CU4660" s="42">
        <v>4655</v>
      </c>
      <c r="CV4660" s="42">
        <v>4</v>
      </c>
      <c r="CW4660" s="42">
        <v>0.11332468572476186</v>
      </c>
      <c r="CX4660" s="42" t="e">
        <v>#N/A</v>
      </c>
      <c r="CY4660" s="42" t="e">
        <v>#N/A</v>
      </c>
      <c r="CZ4660" s="42" t="e">
        <v>#N/A</v>
      </c>
      <c r="DA4660">
        <v>0.11332468572476186</v>
      </c>
      <c r="DB4660" t="str">
        <v/>
      </c>
    </row>
    <row r="4661" spans="83:106" x14ac:dyDescent="0.2">
      <c r="CE4661"/>
      <c r="CF4661"/>
      <c r="CG4661"/>
      <c r="CH4661"/>
      <c r="CI4661"/>
      <c r="CU4661" s="42">
        <v>4656</v>
      </c>
      <c r="CV4661" s="42">
        <v>4</v>
      </c>
      <c r="CW4661" s="42">
        <v>0.11332468572476186</v>
      </c>
      <c r="CX4661" s="42" t="e">
        <v>#N/A</v>
      </c>
      <c r="CY4661" s="42" t="e">
        <v>#N/A</v>
      </c>
      <c r="CZ4661" s="42" t="e">
        <v>#N/A</v>
      </c>
      <c r="DA4661">
        <v>0.11332468572476186</v>
      </c>
      <c r="DB4661" t="str">
        <v/>
      </c>
    </row>
    <row r="4662" spans="83:106" x14ac:dyDescent="0.2">
      <c r="CE4662"/>
      <c r="CF4662"/>
      <c r="CG4662"/>
      <c r="CH4662"/>
      <c r="CI4662"/>
      <c r="CU4662" s="42">
        <v>4657</v>
      </c>
      <c r="CV4662" s="42">
        <v>4</v>
      </c>
      <c r="CW4662" s="42">
        <v>0.11332468572476186</v>
      </c>
      <c r="CX4662" s="42" t="e">
        <v>#N/A</v>
      </c>
      <c r="CY4662" s="42" t="e">
        <v>#N/A</v>
      </c>
      <c r="CZ4662" s="42" t="e">
        <v>#N/A</v>
      </c>
      <c r="DA4662">
        <v>0.11332468572476186</v>
      </c>
      <c r="DB4662" t="str">
        <v/>
      </c>
    </row>
    <row r="4663" spans="83:106" x14ac:dyDescent="0.2">
      <c r="CE4663"/>
      <c r="CF4663"/>
      <c r="CG4663"/>
      <c r="CH4663"/>
      <c r="CI4663"/>
      <c r="CU4663" s="42">
        <v>4658</v>
      </c>
      <c r="CV4663" s="42">
        <v>4</v>
      </c>
      <c r="CW4663" s="42">
        <v>0.11332468572476186</v>
      </c>
      <c r="CX4663" s="42" t="e">
        <v>#N/A</v>
      </c>
      <c r="CY4663" s="42" t="e">
        <v>#N/A</v>
      </c>
      <c r="CZ4663" s="42" t="e">
        <v>#N/A</v>
      </c>
      <c r="DA4663">
        <v>0.11332468572476186</v>
      </c>
      <c r="DB4663" t="str">
        <v/>
      </c>
    </row>
    <row r="4664" spans="83:106" x14ac:dyDescent="0.2">
      <c r="CE4664"/>
      <c r="CF4664"/>
      <c r="CG4664"/>
      <c r="CH4664"/>
      <c r="CI4664"/>
      <c r="CU4664" s="42">
        <v>4659</v>
      </c>
      <c r="CV4664" s="42">
        <v>4</v>
      </c>
      <c r="CW4664" s="42">
        <v>0.11332468572476186</v>
      </c>
      <c r="CX4664" s="42" t="e">
        <v>#N/A</v>
      </c>
      <c r="CY4664" s="42" t="e">
        <v>#N/A</v>
      </c>
      <c r="CZ4664" s="42" t="e">
        <v>#N/A</v>
      </c>
      <c r="DA4664">
        <v>0.11332468572476186</v>
      </c>
      <c r="DB4664" t="str">
        <v/>
      </c>
    </row>
    <row r="4665" spans="83:106" x14ac:dyDescent="0.2">
      <c r="CE4665"/>
      <c r="CF4665"/>
      <c r="CG4665"/>
      <c r="CH4665"/>
      <c r="CI4665"/>
      <c r="CU4665" s="42">
        <v>4660</v>
      </c>
      <c r="CV4665" s="42">
        <v>4</v>
      </c>
      <c r="CW4665" s="42">
        <v>0.11332468572476186</v>
      </c>
      <c r="CX4665" s="42" t="e">
        <v>#N/A</v>
      </c>
      <c r="CY4665" s="42" t="e">
        <v>#N/A</v>
      </c>
      <c r="CZ4665" s="42" t="e">
        <v>#N/A</v>
      </c>
      <c r="DA4665">
        <v>0.11332468572476186</v>
      </c>
      <c r="DB4665" t="str">
        <v/>
      </c>
    </row>
    <row r="4666" spans="83:106" x14ac:dyDescent="0.2">
      <c r="CE4666"/>
      <c r="CF4666"/>
      <c r="CG4666"/>
      <c r="CH4666"/>
      <c r="CI4666"/>
      <c r="CU4666" s="42">
        <v>4661</v>
      </c>
      <c r="CV4666" s="42">
        <v>4</v>
      </c>
      <c r="CW4666" s="42">
        <v>0.11332468572476186</v>
      </c>
      <c r="CX4666" s="42" t="e">
        <v>#N/A</v>
      </c>
      <c r="CY4666" s="42" t="e">
        <v>#N/A</v>
      </c>
      <c r="CZ4666" s="42" t="e">
        <v>#N/A</v>
      </c>
      <c r="DA4666">
        <v>0.11332468572476186</v>
      </c>
      <c r="DB4666" t="str">
        <v/>
      </c>
    </row>
    <row r="4667" spans="83:106" x14ac:dyDescent="0.2">
      <c r="CE4667"/>
      <c r="CF4667"/>
      <c r="CG4667"/>
      <c r="CH4667"/>
      <c r="CI4667"/>
      <c r="CU4667" s="42">
        <v>4662</v>
      </c>
      <c r="CV4667" s="42">
        <v>4</v>
      </c>
      <c r="CW4667" s="42">
        <v>0.11332468572476186</v>
      </c>
      <c r="CX4667" s="42" t="e">
        <v>#N/A</v>
      </c>
      <c r="CY4667" s="42" t="e">
        <v>#N/A</v>
      </c>
      <c r="CZ4667" s="42" t="e">
        <v>#N/A</v>
      </c>
      <c r="DA4667">
        <v>0.11332468572476186</v>
      </c>
      <c r="DB4667" t="str">
        <v/>
      </c>
    </row>
    <row r="4668" spans="83:106" x14ac:dyDescent="0.2">
      <c r="CE4668"/>
      <c r="CF4668"/>
      <c r="CG4668"/>
      <c r="CH4668"/>
      <c r="CI4668"/>
      <c r="CU4668" s="42">
        <v>4663</v>
      </c>
      <c r="CV4668" s="42">
        <v>4</v>
      </c>
      <c r="CW4668" s="42">
        <v>0.11332468572476186</v>
      </c>
      <c r="CX4668" s="42" t="e">
        <v>#N/A</v>
      </c>
      <c r="CY4668" s="42" t="e">
        <v>#N/A</v>
      </c>
      <c r="CZ4668" s="42" t="e">
        <v>#N/A</v>
      </c>
      <c r="DA4668">
        <v>0.11332468572476186</v>
      </c>
      <c r="DB4668" t="str">
        <v/>
      </c>
    </row>
    <row r="4669" spans="83:106" x14ac:dyDescent="0.2">
      <c r="CE4669"/>
      <c r="CF4669"/>
      <c r="CG4669"/>
      <c r="CH4669"/>
      <c r="CI4669"/>
      <c r="CU4669" s="42">
        <v>4664</v>
      </c>
      <c r="CV4669" s="42">
        <v>4</v>
      </c>
      <c r="CW4669" s="42">
        <v>0.11332468572476186</v>
      </c>
      <c r="CX4669" s="42" t="e">
        <v>#N/A</v>
      </c>
      <c r="CY4669" s="42" t="e">
        <v>#N/A</v>
      </c>
      <c r="CZ4669" s="42" t="e">
        <v>#N/A</v>
      </c>
      <c r="DA4669">
        <v>0.11332468572476186</v>
      </c>
      <c r="DB4669" t="str">
        <v/>
      </c>
    </row>
    <row r="4670" spans="83:106" x14ac:dyDescent="0.2">
      <c r="CE4670"/>
      <c r="CF4670"/>
      <c r="CG4670"/>
      <c r="CH4670"/>
      <c r="CI4670"/>
      <c r="CU4670" s="42">
        <v>4665</v>
      </c>
      <c r="CV4670" s="42">
        <v>4</v>
      </c>
      <c r="CW4670" s="42">
        <v>0.11332468572476186</v>
      </c>
      <c r="CX4670" s="42" t="e">
        <v>#N/A</v>
      </c>
      <c r="CY4670" s="42" t="e">
        <v>#N/A</v>
      </c>
      <c r="CZ4670" s="42" t="e">
        <v>#N/A</v>
      </c>
      <c r="DA4670">
        <v>0.11332468572476186</v>
      </c>
      <c r="DB4670" t="str">
        <v/>
      </c>
    </row>
    <row r="4671" spans="83:106" x14ac:dyDescent="0.2">
      <c r="CE4671"/>
      <c r="CF4671"/>
      <c r="CG4671"/>
      <c r="CH4671"/>
      <c r="CI4671"/>
      <c r="CU4671" s="42">
        <v>4666</v>
      </c>
      <c r="CV4671" s="42">
        <v>4</v>
      </c>
      <c r="CW4671" s="42">
        <v>0.11332468572476186</v>
      </c>
      <c r="CX4671" s="42" t="e">
        <v>#N/A</v>
      </c>
      <c r="CY4671" s="42" t="e">
        <v>#N/A</v>
      </c>
      <c r="CZ4671" s="42" t="e">
        <v>#N/A</v>
      </c>
      <c r="DA4671">
        <v>0.11332468572476186</v>
      </c>
      <c r="DB4671" t="str">
        <v/>
      </c>
    </row>
    <row r="4672" spans="83:106" x14ac:dyDescent="0.2">
      <c r="CE4672"/>
      <c r="CF4672"/>
      <c r="CG4672"/>
      <c r="CH4672"/>
      <c r="CI4672"/>
      <c r="CU4672" s="42">
        <v>4667</v>
      </c>
      <c r="CV4672" s="42">
        <v>4</v>
      </c>
      <c r="CW4672" s="42">
        <v>0.11332468572476186</v>
      </c>
      <c r="CX4672" s="42" t="e">
        <v>#N/A</v>
      </c>
      <c r="CY4672" s="42" t="e">
        <v>#N/A</v>
      </c>
      <c r="CZ4672" s="42" t="e">
        <v>#N/A</v>
      </c>
      <c r="DA4672">
        <v>0.11332468572476186</v>
      </c>
      <c r="DB4672" t="str">
        <v/>
      </c>
    </row>
    <row r="4673" spans="83:106" x14ac:dyDescent="0.2">
      <c r="CE4673"/>
      <c r="CF4673"/>
      <c r="CG4673"/>
      <c r="CH4673"/>
      <c r="CI4673"/>
      <c r="CU4673" s="42">
        <v>4668</v>
      </c>
      <c r="CV4673" s="42">
        <v>4</v>
      </c>
      <c r="CW4673" s="42">
        <v>0.11332468572476186</v>
      </c>
      <c r="CX4673" s="42" t="e">
        <v>#N/A</v>
      </c>
      <c r="CY4673" s="42" t="e">
        <v>#N/A</v>
      </c>
      <c r="CZ4673" s="42" t="e">
        <v>#N/A</v>
      </c>
      <c r="DA4673">
        <v>0.11332468572476186</v>
      </c>
      <c r="DB4673" t="str">
        <v/>
      </c>
    </row>
    <row r="4674" spans="83:106" x14ac:dyDescent="0.2">
      <c r="CE4674"/>
      <c r="CF4674"/>
      <c r="CG4674"/>
      <c r="CH4674"/>
      <c r="CI4674"/>
      <c r="CU4674" s="42">
        <v>4669</v>
      </c>
      <c r="CV4674" s="42">
        <v>4</v>
      </c>
      <c r="CW4674" s="42">
        <v>0.11332468572476186</v>
      </c>
      <c r="CX4674" s="42" t="e">
        <v>#N/A</v>
      </c>
      <c r="CY4674" s="42" t="e">
        <v>#N/A</v>
      </c>
      <c r="CZ4674" s="42" t="e">
        <v>#N/A</v>
      </c>
      <c r="DA4674">
        <v>0.11332468572476186</v>
      </c>
      <c r="DB4674" t="str">
        <v/>
      </c>
    </row>
    <row r="4675" spans="83:106" x14ac:dyDescent="0.2">
      <c r="CE4675"/>
      <c r="CF4675"/>
      <c r="CG4675"/>
      <c r="CH4675"/>
      <c r="CI4675"/>
      <c r="CU4675" s="42">
        <v>4670</v>
      </c>
      <c r="CV4675" s="42">
        <v>4</v>
      </c>
      <c r="CW4675" s="42">
        <v>0.11332468572476186</v>
      </c>
      <c r="CX4675" s="42" t="e">
        <v>#N/A</v>
      </c>
      <c r="CY4675" s="42" t="e">
        <v>#N/A</v>
      </c>
      <c r="CZ4675" s="42" t="e">
        <v>#N/A</v>
      </c>
      <c r="DA4675">
        <v>0.11332468572476186</v>
      </c>
      <c r="DB4675" t="str">
        <v/>
      </c>
    </row>
    <row r="4676" spans="83:106" x14ac:dyDescent="0.2">
      <c r="CE4676"/>
      <c r="CF4676"/>
      <c r="CG4676"/>
      <c r="CH4676"/>
      <c r="CI4676"/>
      <c r="CU4676" s="42">
        <v>4671</v>
      </c>
      <c r="CV4676" s="42">
        <v>4</v>
      </c>
      <c r="CW4676" s="42">
        <v>0.11332468572476186</v>
      </c>
      <c r="CX4676" s="42" t="e">
        <v>#N/A</v>
      </c>
      <c r="CY4676" s="42" t="e">
        <v>#N/A</v>
      </c>
      <c r="CZ4676" s="42" t="e">
        <v>#N/A</v>
      </c>
      <c r="DA4676">
        <v>0.11332468572476186</v>
      </c>
      <c r="DB4676" t="str">
        <v/>
      </c>
    </row>
    <row r="4677" spans="83:106" x14ac:dyDescent="0.2">
      <c r="CE4677"/>
      <c r="CF4677"/>
      <c r="CG4677"/>
      <c r="CH4677"/>
      <c r="CI4677"/>
      <c r="CU4677" s="42">
        <v>4672</v>
      </c>
      <c r="CV4677" s="42">
        <v>4</v>
      </c>
      <c r="CW4677" s="42">
        <v>0.11332468572476186</v>
      </c>
      <c r="CX4677" s="42" t="e">
        <v>#N/A</v>
      </c>
      <c r="CY4677" s="42" t="e">
        <v>#N/A</v>
      </c>
      <c r="CZ4677" s="42" t="e">
        <v>#N/A</v>
      </c>
      <c r="DA4677">
        <v>0.11332468572476186</v>
      </c>
      <c r="DB4677" t="str">
        <v/>
      </c>
    </row>
    <row r="4678" spans="83:106" x14ac:dyDescent="0.2">
      <c r="CE4678"/>
      <c r="CF4678"/>
      <c r="CG4678"/>
      <c r="CH4678"/>
      <c r="CI4678"/>
      <c r="CU4678" s="42">
        <v>4673</v>
      </c>
      <c r="CV4678" s="42">
        <v>4</v>
      </c>
      <c r="CW4678" s="42">
        <v>0.11332468572476186</v>
      </c>
      <c r="CX4678" s="42" t="e">
        <v>#N/A</v>
      </c>
      <c r="CY4678" s="42" t="e">
        <v>#N/A</v>
      </c>
      <c r="CZ4678" s="42" t="e">
        <v>#N/A</v>
      </c>
      <c r="DA4678">
        <v>0.11332468572476186</v>
      </c>
      <c r="DB4678" t="str">
        <v/>
      </c>
    </row>
    <row r="4679" spans="83:106" x14ac:dyDescent="0.2">
      <c r="CE4679"/>
      <c r="CF4679"/>
      <c r="CG4679"/>
      <c r="CH4679"/>
      <c r="CI4679"/>
      <c r="CU4679" s="42">
        <v>4674</v>
      </c>
      <c r="CV4679" s="42">
        <v>4</v>
      </c>
      <c r="CW4679" s="42">
        <v>0.11332468572476186</v>
      </c>
      <c r="CX4679" s="42" t="e">
        <v>#N/A</v>
      </c>
      <c r="CY4679" s="42" t="e">
        <v>#N/A</v>
      </c>
      <c r="CZ4679" s="42" t="e">
        <v>#N/A</v>
      </c>
      <c r="DA4679">
        <v>0.11332468572476186</v>
      </c>
      <c r="DB4679" t="str">
        <v/>
      </c>
    </row>
    <row r="4680" spans="83:106" x14ac:dyDescent="0.2">
      <c r="CE4680"/>
      <c r="CF4680"/>
      <c r="CG4680"/>
      <c r="CH4680"/>
      <c r="CI4680"/>
      <c r="CU4680" s="42">
        <v>4675</v>
      </c>
      <c r="CV4680" s="42">
        <v>4</v>
      </c>
      <c r="CW4680" s="42">
        <v>0.11332468572476186</v>
      </c>
      <c r="CX4680" s="42" t="e">
        <v>#N/A</v>
      </c>
      <c r="CY4680" s="42" t="e">
        <v>#N/A</v>
      </c>
      <c r="CZ4680" s="42" t="e">
        <v>#N/A</v>
      </c>
      <c r="DA4680">
        <v>0.11332468572476186</v>
      </c>
      <c r="DB4680" t="str">
        <v/>
      </c>
    </row>
    <row r="4681" spans="83:106" x14ac:dyDescent="0.2">
      <c r="CE4681"/>
      <c r="CF4681"/>
      <c r="CG4681"/>
      <c r="CH4681"/>
      <c r="CI4681"/>
      <c r="CU4681" s="42">
        <v>4676</v>
      </c>
      <c r="CV4681" s="42">
        <v>4</v>
      </c>
      <c r="CW4681" s="42">
        <v>0.11332468572476186</v>
      </c>
      <c r="CX4681" s="42" t="e">
        <v>#N/A</v>
      </c>
      <c r="CY4681" s="42" t="e">
        <v>#N/A</v>
      </c>
      <c r="CZ4681" s="42" t="e">
        <v>#N/A</v>
      </c>
      <c r="DA4681">
        <v>0.11332468572476186</v>
      </c>
      <c r="DB4681" t="str">
        <v/>
      </c>
    </row>
    <row r="4682" spans="83:106" x14ac:dyDescent="0.2">
      <c r="CE4682"/>
      <c r="CF4682"/>
      <c r="CG4682"/>
      <c r="CH4682"/>
      <c r="CI4682"/>
      <c r="CU4682" s="42">
        <v>4677</v>
      </c>
      <c r="CV4682" s="42">
        <v>4</v>
      </c>
      <c r="CW4682" s="42">
        <v>0.11332468572476186</v>
      </c>
      <c r="CX4682" s="42" t="e">
        <v>#N/A</v>
      </c>
      <c r="CY4682" s="42" t="e">
        <v>#N/A</v>
      </c>
      <c r="CZ4682" s="42" t="e">
        <v>#N/A</v>
      </c>
      <c r="DA4682">
        <v>0.11332468572476186</v>
      </c>
      <c r="DB4682" t="str">
        <v/>
      </c>
    </row>
    <row r="4683" spans="83:106" x14ac:dyDescent="0.2">
      <c r="CE4683"/>
      <c r="CF4683"/>
      <c r="CG4683"/>
      <c r="CH4683"/>
      <c r="CI4683"/>
      <c r="CU4683" s="42">
        <v>4678</v>
      </c>
      <c r="CV4683" s="42">
        <v>4</v>
      </c>
      <c r="CW4683" s="42">
        <v>0.11332468572476186</v>
      </c>
      <c r="CX4683" s="42" t="e">
        <v>#N/A</v>
      </c>
      <c r="CY4683" s="42" t="e">
        <v>#N/A</v>
      </c>
      <c r="CZ4683" s="42" t="e">
        <v>#N/A</v>
      </c>
      <c r="DA4683">
        <v>0.11332468572476186</v>
      </c>
      <c r="DB4683" t="str">
        <v/>
      </c>
    </row>
    <row r="4684" spans="83:106" x14ac:dyDescent="0.2">
      <c r="CE4684"/>
      <c r="CF4684"/>
      <c r="CG4684"/>
      <c r="CH4684"/>
      <c r="CI4684"/>
      <c r="CU4684" s="42">
        <v>4679</v>
      </c>
      <c r="CV4684" s="42">
        <v>4</v>
      </c>
      <c r="CW4684" s="42">
        <v>0.11332468572476186</v>
      </c>
      <c r="CX4684" s="42" t="e">
        <v>#N/A</v>
      </c>
      <c r="CY4684" s="42" t="e">
        <v>#N/A</v>
      </c>
      <c r="CZ4684" s="42" t="e">
        <v>#N/A</v>
      </c>
      <c r="DA4684">
        <v>0.11332468572476186</v>
      </c>
      <c r="DB4684" t="str">
        <v/>
      </c>
    </row>
    <row r="4685" spans="83:106" x14ac:dyDescent="0.2">
      <c r="CE4685"/>
      <c r="CF4685"/>
      <c r="CG4685"/>
      <c r="CH4685"/>
      <c r="CI4685"/>
      <c r="CU4685" s="42">
        <v>4680</v>
      </c>
      <c r="CV4685" s="42">
        <v>4</v>
      </c>
      <c r="CW4685" s="42">
        <v>0.11332468572476186</v>
      </c>
      <c r="CX4685" s="42" t="e">
        <v>#N/A</v>
      </c>
      <c r="CY4685" s="42" t="e">
        <v>#N/A</v>
      </c>
      <c r="CZ4685" s="42" t="e">
        <v>#N/A</v>
      </c>
      <c r="DA4685">
        <v>0.11332468572476186</v>
      </c>
      <c r="DB4685" t="str">
        <v/>
      </c>
    </row>
    <row r="4686" spans="83:106" x14ac:dyDescent="0.2">
      <c r="CE4686"/>
      <c r="CF4686"/>
      <c r="CG4686"/>
      <c r="CH4686"/>
      <c r="CI4686"/>
      <c r="CU4686" s="42">
        <v>4681</v>
      </c>
      <c r="CV4686" s="42">
        <v>4</v>
      </c>
      <c r="CW4686" s="42">
        <v>0.11332468572476186</v>
      </c>
      <c r="CX4686" s="42" t="e">
        <v>#N/A</v>
      </c>
      <c r="CY4686" s="42" t="e">
        <v>#N/A</v>
      </c>
      <c r="CZ4686" s="42" t="e">
        <v>#N/A</v>
      </c>
      <c r="DA4686">
        <v>0.11332468572476186</v>
      </c>
      <c r="DB4686" t="str">
        <v/>
      </c>
    </row>
    <row r="4687" spans="83:106" x14ac:dyDescent="0.2">
      <c r="CE4687"/>
      <c r="CF4687"/>
      <c r="CG4687"/>
      <c r="CH4687"/>
      <c r="CI4687"/>
      <c r="CU4687" s="42">
        <v>4682</v>
      </c>
      <c r="CV4687" s="42">
        <v>4</v>
      </c>
      <c r="CW4687" s="42">
        <v>0.11332468572476186</v>
      </c>
      <c r="CX4687" s="42" t="e">
        <v>#N/A</v>
      </c>
      <c r="CY4687" s="42" t="e">
        <v>#N/A</v>
      </c>
      <c r="CZ4687" s="42" t="e">
        <v>#N/A</v>
      </c>
      <c r="DA4687">
        <v>0.11332468572476186</v>
      </c>
      <c r="DB4687" t="str">
        <v/>
      </c>
    </row>
    <row r="4688" spans="83:106" x14ac:dyDescent="0.2">
      <c r="CE4688"/>
      <c r="CF4688"/>
      <c r="CG4688"/>
      <c r="CH4688"/>
      <c r="CI4688"/>
      <c r="CU4688" s="42">
        <v>4683</v>
      </c>
      <c r="CV4688" s="42">
        <v>4</v>
      </c>
      <c r="CW4688" s="42">
        <v>0.11332468572476186</v>
      </c>
      <c r="CX4688" s="42" t="e">
        <v>#N/A</v>
      </c>
      <c r="CY4688" s="42" t="e">
        <v>#N/A</v>
      </c>
      <c r="CZ4688" s="42" t="e">
        <v>#N/A</v>
      </c>
      <c r="DA4688">
        <v>0.11332468572476186</v>
      </c>
      <c r="DB4688" t="str">
        <v/>
      </c>
    </row>
    <row r="4689" spans="83:106" x14ac:dyDescent="0.2">
      <c r="CE4689"/>
      <c r="CF4689"/>
      <c r="CG4689"/>
      <c r="CH4689"/>
      <c r="CI4689"/>
      <c r="CU4689" s="42">
        <v>4684</v>
      </c>
      <c r="CV4689" s="42">
        <v>4</v>
      </c>
      <c r="CW4689" s="42">
        <v>0.11332468572476186</v>
      </c>
      <c r="CX4689" s="42" t="e">
        <v>#N/A</v>
      </c>
      <c r="CY4689" s="42" t="e">
        <v>#N/A</v>
      </c>
      <c r="CZ4689" s="42" t="e">
        <v>#N/A</v>
      </c>
      <c r="DA4689">
        <v>0.11332468572476186</v>
      </c>
      <c r="DB4689" t="str">
        <v/>
      </c>
    </row>
    <row r="4690" spans="83:106" x14ac:dyDescent="0.2">
      <c r="CE4690"/>
      <c r="CF4690"/>
      <c r="CG4690"/>
      <c r="CH4690"/>
      <c r="CI4690"/>
      <c r="CU4690" s="42">
        <v>4685</v>
      </c>
      <c r="CV4690" s="42">
        <v>4</v>
      </c>
      <c r="CW4690" s="42">
        <v>0.11332468572476186</v>
      </c>
      <c r="CX4690" s="42" t="e">
        <v>#N/A</v>
      </c>
      <c r="CY4690" s="42" t="e">
        <v>#N/A</v>
      </c>
      <c r="CZ4690" s="42" t="e">
        <v>#N/A</v>
      </c>
      <c r="DA4690">
        <v>0.11332468572476186</v>
      </c>
      <c r="DB4690" t="str">
        <v/>
      </c>
    </row>
    <row r="4691" spans="83:106" x14ac:dyDescent="0.2">
      <c r="CE4691"/>
      <c r="CF4691"/>
      <c r="CG4691"/>
      <c r="CH4691"/>
      <c r="CI4691"/>
      <c r="CU4691" s="42">
        <v>4686</v>
      </c>
      <c r="CV4691" s="42">
        <v>4</v>
      </c>
      <c r="CW4691" s="42">
        <v>0.11332468572476186</v>
      </c>
      <c r="CX4691" s="42" t="e">
        <v>#N/A</v>
      </c>
      <c r="CY4691" s="42" t="e">
        <v>#N/A</v>
      </c>
      <c r="CZ4691" s="42" t="e">
        <v>#N/A</v>
      </c>
      <c r="DA4691">
        <v>0.11332468572476186</v>
      </c>
      <c r="DB4691" t="str">
        <v/>
      </c>
    </row>
    <row r="4692" spans="83:106" x14ac:dyDescent="0.2">
      <c r="CE4692"/>
      <c r="CF4692"/>
      <c r="CG4692"/>
      <c r="CH4692"/>
      <c r="CI4692"/>
      <c r="CU4692" s="42">
        <v>4687</v>
      </c>
      <c r="CV4692" s="42">
        <v>4</v>
      </c>
      <c r="CW4692" s="42">
        <v>0.11332468572476186</v>
      </c>
      <c r="CX4692" s="42" t="e">
        <v>#N/A</v>
      </c>
      <c r="CY4692" s="42" t="e">
        <v>#N/A</v>
      </c>
      <c r="CZ4692" s="42" t="e">
        <v>#N/A</v>
      </c>
      <c r="DA4692">
        <v>0.11332468572476186</v>
      </c>
      <c r="DB4692" t="str">
        <v/>
      </c>
    </row>
    <row r="4693" spans="83:106" x14ac:dyDescent="0.2">
      <c r="CE4693"/>
      <c r="CF4693"/>
      <c r="CG4693"/>
      <c r="CH4693"/>
      <c r="CI4693"/>
      <c r="CU4693" s="42">
        <v>4688</v>
      </c>
      <c r="CV4693" s="42">
        <v>4</v>
      </c>
      <c r="CW4693" s="42">
        <v>0.11332468572476186</v>
      </c>
      <c r="CX4693" s="42" t="e">
        <v>#N/A</v>
      </c>
      <c r="CY4693" s="42" t="e">
        <v>#N/A</v>
      </c>
      <c r="CZ4693" s="42" t="e">
        <v>#N/A</v>
      </c>
      <c r="DA4693">
        <v>0.11332468572476186</v>
      </c>
      <c r="DB4693" t="str">
        <v/>
      </c>
    </row>
    <row r="4694" spans="83:106" x14ac:dyDescent="0.2">
      <c r="CE4694"/>
      <c r="CF4694"/>
      <c r="CG4694"/>
      <c r="CH4694"/>
      <c r="CI4694"/>
      <c r="CU4694" s="42">
        <v>4689</v>
      </c>
      <c r="CV4694" s="42">
        <v>4</v>
      </c>
      <c r="CW4694" s="42">
        <v>0.11332468572476186</v>
      </c>
      <c r="CX4694" s="42" t="e">
        <v>#N/A</v>
      </c>
      <c r="CY4694" s="42" t="e">
        <v>#N/A</v>
      </c>
      <c r="CZ4694" s="42" t="e">
        <v>#N/A</v>
      </c>
      <c r="DA4694">
        <v>0.11332468572476186</v>
      </c>
      <c r="DB4694" t="str">
        <v/>
      </c>
    </row>
    <row r="4695" spans="83:106" x14ac:dyDescent="0.2">
      <c r="CE4695"/>
      <c r="CF4695"/>
      <c r="CG4695"/>
      <c r="CH4695"/>
      <c r="CI4695"/>
      <c r="CU4695" s="42">
        <v>4690</v>
      </c>
      <c r="CV4695" s="42">
        <v>4</v>
      </c>
      <c r="CW4695" s="42">
        <v>0.11332468572476186</v>
      </c>
      <c r="CX4695" s="42" t="e">
        <v>#N/A</v>
      </c>
      <c r="CY4695" s="42" t="e">
        <v>#N/A</v>
      </c>
      <c r="CZ4695" s="42" t="e">
        <v>#N/A</v>
      </c>
      <c r="DA4695">
        <v>0.11332468572476186</v>
      </c>
      <c r="DB4695" t="str">
        <v/>
      </c>
    </row>
    <row r="4696" spans="83:106" x14ac:dyDescent="0.2">
      <c r="CE4696"/>
      <c r="CF4696"/>
      <c r="CG4696"/>
      <c r="CH4696"/>
      <c r="CI4696"/>
      <c r="CU4696" s="42">
        <v>4691</v>
      </c>
      <c r="CV4696" s="42">
        <v>4</v>
      </c>
      <c r="CW4696" s="42">
        <v>0.11332468572476186</v>
      </c>
      <c r="CX4696" s="42" t="e">
        <v>#N/A</v>
      </c>
      <c r="CY4696" s="42" t="e">
        <v>#N/A</v>
      </c>
      <c r="CZ4696" s="42" t="e">
        <v>#N/A</v>
      </c>
      <c r="DA4696">
        <v>0.11332468572476186</v>
      </c>
      <c r="DB4696" t="str">
        <v/>
      </c>
    </row>
    <row r="4697" spans="83:106" x14ac:dyDescent="0.2">
      <c r="CE4697"/>
      <c r="CF4697"/>
      <c r="CG4697"/>
      <c r="CH4697"/>
      <c r="CI4697"/>
      <c r="CU4697" s="42">
        <v>4692</v>
      </c>
      <c r="CV4697" s="42">
        <v>4</v>
      </c>
      <c r="CW4697" s="42">
        <v>0.11332468572476186</v>
      </c>
      <c r="CX4697" s="42" t="e">
        <v>#N/A</v>
      </c>
      <c r="CY4697" s="42" t="e">
        <v>#N/A</v>
      </c>
      <c r="CZ4697" s="42" t="e">
        <v>#N/A</v>
      </c>
      <c r="DA4697">
        <v>0.11332468572476186</v>
      </c>
      <c r="DB4697" t="str">
        <v/>
      </c>
    </row>
    <row r="4698" spans="83:106" x14ac:dyDescent="0.2">
      <c r="CE4698"/>
      <c r="CF4698"/>
      <c r="CG4698"/>
      <c r="CH4698"/>
      <c r="CI4698"/>
      <c r="CU4698" s="42">
        <v>4693</v>
      </c>
      <c r="CV4698" s="42">
        <v>4</v>
      </c>
      <c r="CW4698" s="42">
        <v>0.11332468572476186</v>
      </c>
      <c r="CX4698" s="42" t="e">
        <v>#N/A</v>
      </c>
      <c r="CY4698" s="42" t="e">
        <v>#N/A</v>
      </c>
      <c r="CZ4698" s="42" t="e">
        <v>#N/A</v>
      </c>
      <c r="DA4698">
        <v>0.11332468572476186</v>
      </c>
      <c r="DB4698" t="str">
        <v/>
      </c>
    </row>
    <row r="4699" spans="83:106" x14ac:dyDescent="0.2">
      <c r="CE4699"/>
      <c r="CF4699"/>
      <c r="CG4699"/>
      <c r="CH4699"/>
      <c r="CI4699"/>
      <c r="CU4699" s="42">
        <v>4694</v>
      </c>
      <c r="CV4699" s="42">
        <v>4</v>
      </c>
      <c r="CW4699" s="42">
        <v>0.11332468572476186</v>
      </c>
      <c r="CX4699" s="42" t="e">
        <v>#N/A</v>
      </c>
      <c r="CY4699" s="42" t="e">
        <v>#N/A</v>
      </c>
      <c r="CZ4699" s="42" t="e">
        <v>#N/A</v>
      </c>
      <c r="DA4699">
        <v>0.11332468572476186</v>
      </c>
      <c r="DB4699" t="str">
        <v/>
      </c>
    </row>
    <row r="4700" spans="83:106" x14ac:dyDescent="0.2">
      <c r="CE4700"/>
      <c r="CF4700"/>
      <c r="CG4700"/>
      <c r="CH4700"/>
      <c r="CI4700"/>
      <c r="CU4700" s="42">
        <v>4695</v>
      </c>
      <c r="CV4700" s="42">
        <v>4</v>
      </c>
      <c r="CW4700" s="42">
        <v>0.11332468572476186</v>
      </c>
      <c r="CX4700" s="42" t="e">
        <v>#N/A</v>
      </c>
      <c r="CY4700" s="42" t="e">
        <v>#N/A</v>
      </c>
      <c r="CZ4700" s="42" t="e">
        <v>#N/A</v>
      </c>
      <c r="DA4700">
        <v>0.11332468572476186</v>
      </c>
      <c r="DB4700" t="str">
        <v/>
      </c>
    </row>
    <row r="4701" spans="83:106" x14ac:dyDescent="0.2">
      <c r="CE4701"/>
      <c r="CF4701"/>
      <c r="CG4701"/>
      <c r="CH4701"/>
      <c r="CI4701"/>
      <c r="CU4701" s="42">
        <v>4696</v>
      </c>
      <c r="CV4701" s="42">
        <v>4</v>
      </c>
      <c r="CW4701" s="42">
        <v>0.11332468572476186</v>
      </c>
      <c r="CX4701" s="42" t="e">
        <v>#N/A</v>
      </c>
      <c r="CY4701" s="42" t="e">
        <v>#N/A</v>
      </c>
      <c r="CZ4701" s="42" t="e">
        <v>#N/A</v>
      </c>
      <c r="DA4701">
        <v>0.11332468572476186</v>
      </c>
      <c r="DB4701" t="str">
        <v/>
      </c>
    </row>
    <row r="4702" spans="83:106" x14ac:dyDescent="0.2">
      <c r="CE4702"/>
      <c r="CF4702"/>
      <c r="CG4702"/>
      <c r="CH4702"/>
      <c r="CI4702"/>
      <c r="CU4702" s="42">
        <v>4697</v>
      </c>
      <c r="CV4702" s="42">
        <v>4</v>
      </c>
      <c r="CW4702" s="42">
        <v>0.11332468572476186</v>
      </c>
      <c r="CX4702" s="42" t="e">
        <v>#N/A</v>
      </c>
      <c r="CY4702" s="42" t="e">
        <v>#N/A</v>
      </c>
      <c r="CZ4702" s="42" t="e">
        <v>#N/A</v>
      </c>
      <c r="DA4702">
        <v>0.11332468572476186</v>
      </c>
      <c r="DB4702" t="str">
        <v/>
      </c>
    </row>
    <row r="4703" spans="83:106" x14ac:dyDescent="0.2">
      <c r="CE4703"/>
      <c r="CF4703"/>
      <c r="CG4703"/>
      <c r="CH4703"/>
      <c r="CI4703"/>
      <c r="CU4703" s="42">
        <v>4698</v>
      </c>
      <c r="CV4703" s="42">
        <v>4</v>
      </c>
      <c r="CW4703" s="42">
        <v>0.11332468572476186</v>
      </c>
      <c r="CX4703" s="42" t="e">
        <v>#N/A</v>
      </c>
      <c r="CY4703" s="42" t="e">
        <v>#N/A</v>
      </c>
      <c r="CZ4703" s="42" t="e">
        <v>#N/A</v>
      </c>
      <c r="DA4703">
        <v>0.11332468572476186</v>
      </c>
      <c r="DB4703" t="str">
        <v/>
      </c>
    </row>
    <row r="4704" spans="83:106" x14ac:dyDescent="0.2">
      <c r="CE4704"/>
      <c r="CF4704"/>
      <c r="CG4704"/>
      <c r="CH4704"/>
      <c r="CI4704"/>
      <c r="CU4704" s="42">
        <v>4699</v>
      </c>
      <c r="CV4704" s="42">
        <v>4</v>
      </c>
      <c r="CW4704" s="42">
        <v>0.11332468572476186</v>
      </c>
      <c r="CX4704" s="42" t="e">
        <v>#N/A</v>
      </c>
      <c r="CY4704" s="42" t="e">
        <v>#N/A</v>
      </c>
      <c r="CZ4704" s="42" t="e">
        <v>#N/A</v>
      </c>
      <c r="DA4704">
        <v>0.11332468572476186</v>
      </c>
      <c r="DB4704" t="str">
        <v/>
      </c>
    </row>
    <row r="4705" spans="83:106" x14ac:dyDescent="0.2">
      <c r="CE4705"/>
      <c r="CF4705"/>
      <c r="CG4705"/>
      <c r="CH4705"/>
      <c r="CI4705"/>
      <c r="CU4705" s="42">
        <v>4700</v>
      </c>
      <c r="CV4705" s="42">
        <v>4</v>
      </c>
      <c r="CW4705" s="42">
        <v>0.11332468572476186</v>
      </c>
      <c r="CX4705" s="42" t="e">
        <v>#N/A</v>
      </c>
      <c r="CY4705" s="42" t="e">
        <v>#N/A</v>
      </c>
      <c r="CZ4705" s="42" t="e">
        <v>#N/A</v>
      </c>
      <c r="DA4705">
        <v>0.11332468572476186</v>
      </c>
      <c r="DB4705" t="str">
        <v/>
      </c>
    </row>
    <row r="4706" spans="83:106" x14ac:dyDescent="0.2">
      <c r="CE4706"/>
      <c r="CF4706"/>
      <c r="CG4706"/>
      <c r="CH4706"/>
      <c r="CI4706"/>
      <c r="CU4706" s="42">
        <v>4701</v>
      </c>
      <c r="CV4706" s="42">
        <v>4</v>
      </c>
      <c r="CW4706" s="42">
        <v>0.11332468572476186</v>
      </c>
      <c r="CX4706" s="42" t="e">
        <v>#N/A</v>
      </c>
      <c r="CY4706" s="42" t="e">
        <v>#N/A</v>
      </c>
      <c r="CZ4706" s="42" t="e">
        <v>#N/A</v>
      </c>
      <c r="DA4706">
        <v>0.11332468572476186</v>
      </c>
      <c r="DB4706" t="str">
        <v/>
      </c>
    </row>
    <row r="4707" spans="83:106" x14ac:dyDescent="0.2">
      <c r="CE4707"/>
      <c r="CF4707"/>
      <c r="CG4707"/>
      <c r="CH4707"/>
      <c r="CI4707"/>
      <c r="CU4707" s="42">
        <v>4702</v>
      </c>
      <c r="CV4707" s="42">
        <v>4</v>
      </c>
      <c r="CW4707" s="42">
        <v>0.11332468572476186</v>
      </c>
      <c r="CX4707" s="42" t="e">
        <v>#N/A</v>
      </c>
      <c r="CY4707" s="42" t="e">
        <v>#N/A</v>
      </c>
      <c r="CZ4707" s="42" t="e">
        <v>#N/A</v>
      </c>
      <c r="DA4707">
        <v>0.11332468572476186</v>
      </c>
      <c r="DB4707" t="str">
        <v/>
      </c>
    </row>
    <row r="4708" spans="83:106" x14ac:dyDescent="0.2">
      <c r="CE4708"/>
      <c r="CF4708"/>
      <c r="CG4708"/>
      <c r="CH4708"/>
      <c r="CI4708"/>
      <c r="CU4708" s="42">
        <v>4703</v>
      </c>
      <c r="CV4708" s="42">
        <v>4</v>
      </c>
      <c r="CW4708" s="42">
        <v>0.11332468572476186</v>
      </c>
      <c r="CX4708" s="42" t="e">
        <v>#N/A</v>
      </c>
      <c r="CY4708" s="42" t="e">
        <v>#N/A</v>
      </c>
      <c r="CZ4708" s="42" t="e">
        <v>#N/A</v>
      </c>
      <c r="DA4708">
        <v>0.11332468572476186</v>
      </c>
      <c r="DB4708" t="str">
        <v/>
      </c>
    </row>
    <row r="4709" spans="83:106" x14ac:dyDescent="0.2">
      <c r="CE4709"/>
      <c r="CF4709"/>
      <c r="CG4709"/>
      <c r="CH4709"/>
      <c r="CI4709"/>
      <c r="CU4709" s="42">
        <v>4704</v>
      </c>
      <c r="CV4709" s="42">
        <v>4</v>
      </c>
      <c r="CW4709" s="42">
        <v>0.11332468572476186</v>
      </c>
      <c r="CX4709" s="42" t="e">
        <v>#N/A</v>
      </c>
      <c r="CY4709" s="42" t="e">
        <v>#N/A</v>
      </c>
      <c r="CZ4709" s="42" t="e">
        <v>#N/A</v>
      </c>
      <c r="DA4709">
        <v>0.11332468572476186</v>
      </c>
      <c r="DB4709" t="str">
        <v/>
      </c>
    </row>
    <row r="4710" spans="83:106" x14ac:dyDescent="0.2">
      <c r="CE4710"/>
      <c r="CF4710"/>
      <c r="CG4710"/>
      <c r="CH4710"/>
      <c r="CI4710"/>
      <c r="CU4710" s="42">
        <v>4705</v>
      </c>
      <c r="CV4710" s="42">
        <v>4</v>
      </c>
      <c r="CW4710" s="42">
        <v>0.11332468572476186</v>
      </c>
      <c r="CX4710" s="42" t="e">
        <v>#N/A</v>
      </c>
      <c r="CY4710" s="42" t="e">
        <v>#N/A</v>
      </c>
      <c r="CZ4710" s="42" t="e">
        <v>#N/A</v>
      </c>
      <c r="DA4710">
        <v>0.11332468572476186</v>
      </c>
      <c r="DB4710" t="str">
        <v/>
      </c>
    </row>
    <row r="4711" spans="83:106" x14ac:dyDescent="0.2">
      <c r="CE4711"/>
      <c r="CF4711"/>
      <c r="CG4711"/>
      <c r="CH4711"/>
      <c r="CI4711"/>
      <c r="CU4711" s="42">
        <v>4706</v>
      </c>
      <c r="CV4711" s="42">
        <v>4</v>
      </c>
      <c r="CW4711" s="42">
        <v>0.11332468572476186</v>
      </c>
      <c r="CX4711" s="42" t="e">
        <v>#N/A</v>
      </c>
      <c r="CY4711" s="42" t="e">
        <v>#N/A</v>
      </c>
      <c r="CZ4711" s="42" t="e">
        <v>#N/A</v>
      </c>
      <c r="DA4711">
        <v>0.11332468572476186</v>
      </c>
      <c r="DB4711" t="str">
        <v/>
      </c>
    </row>
    <row r="4712" spans="83:106" x14ac:dyDescent="0.2">
      <c r="CE4712"/>
      <c r="CF4712"/>
      <c r="CG4712"/>
      <c r="CH4712"/>
      <c r="CI4712"/>
      <c r="CU4712" s="42">
        <v>4707</v>
      </c>
      <c r="CV4712" s="42">
        <v>4</v>
      </c>
      <c r="CW4712" s="42">
        <v>0.11332468572476186</v>
      </c>
      <c r="CX4712" s="42" t="e">
        <v>#N/A</v>
      </c>
      <c r="CY4712" s="42" t="e">
        <v>#N/A</v>
      </c>
      <c r="CZ4712" s="42" t="e">
        <v>#N/A</v>
      </c>
      <c r="DA4712">
        <v>0.11332468572476186</v>
      </c>
      <c r="DB4712" t="str">
        <v/>
      </c>
    </row>
    <row r="4713" spans="83:106" x14ac:dyDescent="0.2">
      <c r="CE4713"/>
      <c r="CF4713"/>
      <c r="CG4713"/>
      <c r="CH4713"/>
      <c r="CI4713"/>
      <c r="CU4713" s="42">
        <v>4708</v>
      </c>
      <c r="CV4713" s="42">
        <v>4</v>
      </c>
      <c r="CW4713" s="42">
        <v>0.11332468572476186</v>
      </c>
      <c r="CX4713" s="42" t="e">
        <v>#N/A</v>
      </c>
      <c r="CY4713" s="42" t="e">
        <v>#N/A</v>
      </c>
      <c r="CZ4713" s="42" t="e">
        <v>#N/A</v>
      </c>
      <c r="DA4713">
        <v>0.11332468572476186</v>
      </c>
      <c r="DB4713" t="str">
        <v/>
      </c>
    </row>
    <row r="4714" spans="83:106" x14ac:dyDescent="0.2">
      <c r="CE4714"/>
      <c r="CF4714"/>
      <c r="CG4714"/>
      <c r="CH4714"/>
      <c r="CI4714"/>
      <c r="CU4714" s="42">
        <v>4709</v>
      </c>
      <c r="CV4714" s="42">
        <v>4</v>
      </c>
      <c r="CW4714" s="42">
        <v>0.11332468572476186</v>
      </c>
      <c r="CX4714" s="42" t="e">
        <v>#N/A</v>
      </c>
      <c r="CY4714" s="42" t="e">
        <v>#N/A</v>
      </c>
      <c r="CZ4714" s="42" t="e">
        <v>#N/A</v>
      </c>
      <c r="DA4714">
        <v>0.11332468572476186</v>
      </c>
      <c r="DB4714" t="str">
        <v/>
      </c>
    </row>
    <row r="4715" spans="83:106" x14ac:dyDescent="0.2">
      <c r="CE4715"/>
      <c r="CF4715"/>
      <c r="CG4715"/>
      <c r="CH4715"/>
      <c r="CI4715"/>
      <c r="CU4715" s="42">
        <v>4710</v>
      </c>
      <c r="CV4715" s="42">
        <v>4</v>
      </c>
      <c r="CW4715" s="42">
        <v>0.11332468572476186</v>
      </c>
      <c r="CX4715" s="42" t="e">
        <v>#N/A</v>
      </c>
      <c r="CY4715" s="42" t="e">
        <v>#N/A</v>
      </c>
      <c r="CZ4715" s="42" t="e">
        <v>#N/A</v>
      </c>
      <c r="DA4715">
        <v>0.11332468572476186</v>
      </c>
      <c r="DB4715" t="str">
        <v/>
      </c>
    </row>
    <row r="4716" spans="83:106" x14ac:dyDescent="0.2">
      <c r="CE4716"/>
      <c r="CF4716"/>
      <c r="CG4716"/>
      <c r="CH4716"/>
      <c r="CI4716"/>
      <c r="CU4716" s="42">
        <v>4711</v>
      </c>
      <c r="CV4716" s="42">
        <v>4</v>
      </c>
      <c r="CW4716" s="42">
        <v>0.11332468572476186</v>
      </c>
      <c r="CX4716" s="42" t="e">
        <v>#N/A</v>
      </c>
      <c r="CY4716" s="42" t="e">
        <v>#N/A</v>
      </c>
      <c r="CZ4716" s="42" t="e">
        <v>#N/A</v>
      </c>
      <c r="DA4716">
        <v>0.11332468572476186</v>
      </c>
      <c r="DB4716" t="str">
        <v/>
      </c>
    </row>
    <row r="4717" spans="83:106" x14ac:dyDescent="0.2">
      <c r="CE4717"/>
      <c r="CF4717"/>
      <c r="CG4717"/>
      <c r="CH4717"/>
      <c r="CI4717"/>
      <c r="CU4717" s="42">
        <v>4712</v>
      </c>
      <c r="CV4717" s="42">
        <v>4</v>
      </c>
      <c r="CW4717" s="42">
        <v>0.11332468572476186</v>
      </c>
      <c r="CX4717" s="42" t="e">
        <v>#N/A</v>
      </c>
      <c r="CY4717" s="42" t="e">
        <v>#N/A</v>
      </c>
      <c r="CZ4717" s="42" t="e">
        <v>#N/A</v>
      </c>
      <c r="DA4717">
        <v>0.11332468572476186</v>
      </c>
      <c r="DB4717" t="str">
        <v/>
      </c>
    </row>
    <row r="4718" spans="83:106" x14ac:dyDescent="0.2">
      <c r="CE4718"/>
      <c r="CF4718"/>
      <c r="CG4718"/>
      <c r="CH4718"/>
      <c r="CI4718"/>
      <c r="CU4718" s="42">
        <v>4713</v>
      </c>
      <c r="CV4718" s="42">
        <v>4</v>
      </c>
      <c r="CW4718" s="42">
        <v>0.11332468572476186</v>
      </c>
      <c r="CX4718" s="42" t="e">
        <v>#N/A</v>
      </c>
      <c r="CY4718" s="42" t="e">
        <v>#N/A</v>
      </c>
      <c r="CZ4718" s="42" t="e">
        <v>#N/A</v>
      </c>
      <c r="DA4718">
        <v>0.11332468572476186</v>
      </c>
      <c r="DB4718" t="str">
        <v/>
      </c>
    </row>
    <row r="4719" spans="83:106" x14ac:dyDescent="0.2">
      <c r="CE4719"/>
      <c r="CF4719"/>
      <c r="CG4719"/>
      <c r="CH4719"/>
      <c r="CI4719"/>
      <c r="CU4719" s="42">
        <v>4714</v>
      </c>
      <c r="CV4719" s="42">
        <v>4</v>
      </c>
      <c r="CW4719" s="42">
        <v>0.11332468572476186</v>
      </c>
      <c r="CX4719" s="42" t="e">
        <v>#N/A</v>
      </c>
      <c r="CY4719" s="42" t="e">
        <v>#N/A</v>
      </c>
      <c r="CZ4719" s="42" t="e">
        <v>#N/A</v>
      </c>
      <c r="DA4719">
        <v>0.11332468572476186</v>
      </c>
      <c r="DB4719" t="str">
        <v/>
      </c>
    </row>
    <row r="4720" spans="83:106" x14ac:dyDescent="0.2">
      <c r="CE4720"/>
      <c r="CF4720"/>
      <c r="CG4720"/>
      <c r="CH4720"/>
      <c r="CI4720"/>
      <c r="CU4720" s="42">
        <v>4715</v>
      </c>
      <c r="CV4720" s="42">
        <v>4</v>
      </c>
      <c r="CW4720" s="42">
        <v>0.11332468572476186</v>
      </c>
      <c r="CX4720" s="42" t="e">
        <v>#N/A</v>
      </c>
      <c r="CY4720" s="42" t="e">
        <v>#N/A</v>
      </c>
      <c r="CZ4720" s="42" t="e">
        <v>#N/A</v>
      </c>
      <c r="DA4720">
        <v>0.11332468572476186</v>
      </c>
      <c r="DB4720" t="str">
        <v/>
      </c>
    </row>
    <row r="4721" spans="83:106" x14ac:dyDescent="0.2">
      <c r="CE4721"/>
      <c r="CF4721"/>
      <c r="CG4721"/>
      <c r="CH4721"/>
      <c r="CI4721"/>
      <c r="CU4721" s="42">
        <v>4716</v>
      </c>
      <c r="CV4721" s="42">
        <v>4</v>
      </c>
      <c r="CW4721" s="42">
        <v>0.11332468572476186</v>
      </c>
      <c r="CX4721" s="42" t="e">
        <v>#N/A</v>
      </c>
      <c r="CY4721" s="42" t="e">
        <v>#N/A</v>
      </c>
      <c r="CZ4721" s="42" t="e">
        <v>#N/A</v>
      </c>
      <c r="DA4721">
        <v>0.11332468572476186</v>
      </c>
      <c r="DB4721" t="str">
        <v/>
      </c>
    </row>
    <row r="4722" spans="83:106" x14ac:dyDescent="0.2">
      <c r="CE4722"/>
      <c r="CF4722"/>
      <c r="CG4722"/>
      <c r="CH4722"/>
      <c r="CI4722"/>
      <c r="CU4722" s="42">
        <v>4717</v>
      </c>
      <c r="CV4722" s="42">
        <v>4</v>
      </c>
      <c r="CW4722" s="42">
        <v>0.11332468572476186</v>
      </c>
      <c r="CX4722" s="42" t="e">
        <v>#N/A</v>
      </c>
      <c r="CY4722" s="42" t="e">
        <v>#N/A</v>
      </c>
      <c r="CZ4722" s="42" t="e">
        <v>#N/A</v>
      </c>
      <c r="DA4722">
        <v>0.11332468572476186</v>
      </c>
      <c r="DB4722" t="str">
        <v/>
      </c>
    </row>
    <row r="4723" spans="83:106" x14ac:dyDescent="0.2">
      <c r="CE4723"/>
      <c r="CF4723"/>
      <c r="CG4723"/>
      <c r="CH4723"/>
      <c r="CI4723"/>
      <c r="CU4723" s="42">
        <v>4718</v>
      </c>
      <c r="CV4723" s="42">
        <v>4</v>
      </c>
      <c r="CW4723" s="42">
        <v>0.11332468572476186</v>
      </c>
      <c r="CX4723" s="42" t="e">
        <v>#N/A</v>
      </c>
      <c r="CY4723" s="42" t="e">
        <v>#N/A</v>
      </c>
      <c r="CZ4723" s="42" t="e">
        <v>#N/A</v>
      </c>
      <c r="DA4723">
        <v>0.11332468572476186</v>
      </c>
      <c r="DB4723" t="str">
        <v/>
      </c>
    </row>
    <row r="4724" spans="83:106" x14ac:dyDescent="0.2">
      <c r="CE4724"/>
      <c r="CF4724"/>
      <c r="CG4724"/>
      <c r="CH4724"/>
      <c r="CI4724"/>
      <c r="CU4724" s="42">
        <v>4719</v>
      </c>
      <c r="CV4724" s="42">
        <v>4</v>
      </c>
      <c r="CW4724" s="42">
        <v>0.11332468572476186</v>
      </c>
      <c r="CX4724" s="42" t="e">
        <v>#N/A</v>
      </c>
      <c r="CY4724" s="42" t="e">
        <v>#N/A</v>
      </c>
      <c r="CZ4724" s="42" t="e">
        <v>#N/A</v>
      </c>
      <c r="DA4724">
        <v>0.11332468572476186</v>
      </c>
      <c r="DB4724" t="str">
        <v/>
      </c>
    </row>
    <row r="4725" spans="83:106" x14ac:dyDescent="0.2">
      <c r="CE4725"/>
      <c r="CF4725"/>
      <c r="CG4725"/>
      <c r="CH4725"/>
      <c r="CI4725"/>
      <c r="CU4725" s="42">
        <v>4720</v>
      </c>
      <c r="CV4725" s="42">
        <v>4</v>
      </c>
      <c r="CW4725" s="42">
        <v>0.11332468572476186</v>
      </c>
      <c r="CX4725" s="42" t="e">
        <v>#N/A</v>
      </c>
      <c r="CY4725" s="42" t="e">
        <v>#N/A</v>
      </c>
      <c r="CZ4725" s="42" t="e">
        <v>#N/A</v>
      </c>
      <c r="DA4725">
        <v>0.11332468572476186</v>
      </c>
      <c r="DB4725" t="str">
        <v/>
      </c>
    </row>
    <row r="4726" spans="83:106" x14ac:dyDescent="0.2">
      <c r="CE4726"/>
      <c r="CF4726"/>
      <c r="CG4726"/>
      <c r="CH4726"/>
      <c r="CI4726"/>
      <c r="CU4726" s="42">
        <v>4721</v>
      </c>
      <c r="CV4726" s="42">
        <v>4</v>
      </c>
      <c r="CW4726" s="42">
        <v>0.11332468572476186</v>
      </c>
      <c r="CX4726" s="42" t="e">
        <v>#N/A</v>
      </c>
      <c r="CY4726" s="42" t="e">
        <v>#N/A</v>
      </c>
      <c r="CZ4726" s="42" t="e">
        <v>#N/A</v>
      </c>
      <c r="DA4726">
        <v>0.11332468572476186</v>
      </c>
      <c r="DB4726" t="str">
        <v/>
      </c>
    </row>
    <row r="4727" spans="83:106" x14ac:dyDescent="0.2">
      <c r="CE4727"/>
      <c r="CF4727"/>
      <c r="CG4727"/>
      <c r="CH4727"/>
      <c r="CI4727"/>
      <c r="CU4727" s="42">
        <v>4722</v>
      </c>
      <c r="CV4727" s="42">
        <v>4</v>
      </c>
      <c r="CW4727" s="42">
        <v>0.11332468572476186</v>
      </c>
      <c r="CX4727" s="42" t="e">
        <v>#N/A</v>
      </c>
      <c r="CY4727" s="42" t="e">
        <v>#N/A</v>
      </c>
      <c r="CZ4727" s="42" t="e">
        <v>#N/A</v>
      </c>
      <c r="DA4727">
        <v>0.11332468572476186</v>
      </c>
      <c r="DB4727" t="str">
        <v/>
      </c>
    </row>
    <row r="4728" spans="83:106" x14ac:dyDescent="0.2">
      <c r="CE4728"/>
      <c r="CF4728"/>
      <c r="CG4728"/>
      <c r="CH4728"/>
      <c r="CI4728"/>
      <c r="CU4728" s="42">
        <v>4723</v>
      </c>
      <c r="CV4728" s="42">
        <v>4</v>
      </c>
      <c r="CW4728" s="42">
        <v>0.11332468572476186</v>
      </c>
      <c r="CX4728" s="42" t="e">
        <v>#N/A</v>
      </c>
      <c r="CY4728" s="42" t="e">
        <v>#N/A</v>
      </c>
      <c r="CZ4728" s="42" t="e">
        <v>#N/A</v>
      </c>
      <c r="DA4728">
        <v>0.11332468572476186</v>
      </c>
      <c r="DB4728" t="str">
        <v/>
      </c>
    </row>
    <row r="4729" spans="83:106" x14ac:dyDescent="0.2">
      <c r="CE4729"/>
      <c r="CF4729"/>
      <c r="CG4729"/>
      <c r="CH4729"/>
      <c r="CI4729"/>
      <c r="CU4729" s="42">
        <v>4724</v>
      </c>
      <c r="CV4729" s="42">
        <v>4</v>
      </c>
      <c r="CW4729" s="42">
        <v>0.11332468572476186</v>
      </c>
      <c r="CX4729" s="42" t="e">
        <v>#N/A</v>
      </c>
      <c r="CY4729" s="42" t="e">
        <v>#N/A</v>
      </c>
      <c r="CZ4729" s="42" t="e">
        <v>#N/A</v>
      </c>
      <c r="DA4729">
        <v>0.11332468572476186</v>
      </c>
      <c r="DB4729" t="str">
        <v/>
      </c>
    </row>
    <row r="4730" spans="83:106" x14ac:dyDescent="0.2">
      <c r="CE4730"/>
      <c r="CF4730"/>
      <c r="CG4730"/>
      <c r="CH4730"/>
      <c r="CI4730"/>
      <c r="CU4730" s="42">
        <v>4725</v>
      </c>
      <c r="CV4730" s="42">
        <v>4</v>
      </c>
      <c r="CW4730" s="42">
        <v>0.11332468572476186</v>
      </c>
      <c r="CX4730" s="42" t="e">
        <v>#N/A</v>
      </c>
      <c r="CY4730" s="42" t="e">
        <v>#N/A</v>
      </c>
      <c r="CZ4730" s="42" t="e">
        <v>#N/A</v>
      </c>
      <c r="DA4730">
        <v>0.11332468572476186</v>
      </c>
      <c r="DB4730" t="str">
        <v/>
      </c>
    </row>
    <row r="4731" spans="83:106" x14ac:dyDescent="0.2">
      <c r="CE4731"/>
      <c r="CF4731"/>
      <c r="CG4731"/>
      <c r="CH4731"/>
      <c r="CI4731"/>
      <c r="CU4731" s="42">
        <v>4726</v>
      </c>
      <c r="CV4731" s="42">
        <v>4</v>
      </c>
      <c r="CW4731" s="42">
        <v>0.11332468572476186</v>
      </c>
      <c r="CX4731" s="42" t="e">
        <v>#N/A</v>
      </c>
      <c r="CY4731" s="42" t="e">
        <v>#N/A</v>
      </c>
      <c r="CZ4731" s="42" t="e">
        <v>#N/A</v>
      </c>
      <c r="DA4731">
        <v>0.11332468572476186</v>
      </c>
      <c r="DB4731" t="str">
        <v/>
      </c>
    </row>
    <row r="4732" spans="83:106" x14ac:dyDescent="0.2">
      <c r="CE4732"/>
      <c r="CF4732"/>
      <c r="CG4732"/>
      <c r="CH4732"/>
      <c r="CI4732"/>
      <c r="CU4732" s="42">
        <v>4727</v>
      </c>
      <c r="CV4732" s="42">
        <v>4</v>
      </c>
      <c r="CW4732" s="42">
        <v>0.11332468572476186</v>
      </c>
      <c r="CX4732" s="42" t="e">
        <v>#N/A</v>
      </c>
      <c r="CY4732" s="42" t="e">
        <v>#N/A</v>
      </c>
      <c r="CZ4732" s="42" t="e">
        <v>#N/A</v>
      </c>
      <c r="DA4732">
        <v>0.11332468572476186</v>
      </c>
      <c r="DB4732" t="str">
        <v/>
      </c>
    </row>
    <row r="4733" spans="83:106" x14ac:dyDescent="0.2">
      <c r="CE4733"/>
      <c r="CF4733"/>
      <c r="CG4733"/>
      <c r="CH4733"/>
      <c r="CI4733"/>
      <c r="CU4733" s="42">
        <v>4728</v>
      </c>
      <c r="CV4733" s="42">
        <v>4</v>
      </c>
      <c r="CW4733" s="42">
        <v>0.11332468572476186</v>
      </c>
      <c r="CX4733" s="42" t="e">
        <v>#N/A</v>
      </c>
      <c r="CY4733" s="42" t="e">
        <v>#N/A</v>
      </c>
      <c r="CZ4733" s="42" t="e">
        <v>#N/A</v>
      </c>
      <c r="DA4733">
        <v>0.11332468572476186</v>
      </c>
      <c r="DB4733" t="str">
        <v/>
      </c>
    </row>
    <row r="4734" spans="83:106" x14ac:dyDescent="0.2">
      <c r="CE4734"/>
      <c r="CF4734"/>
      <c r="CG4734"/>
      <c r="CH4734"/>
      <c r="CI4734"/>
      <c r="CU4734" s="42">
        <v>4729</v>
      </c>
      <c r="CV4734" s="42">
        <v>4</v>
      </c>
      <c r="CW4734" s="42">
        <v>0.11332468572476186</v>
      </c>
      <c r="CX4734" s="42" t="e">
        <v>#N/A</v>
      </c>
      <c r="CY4734" s="42" t="e">
        <v>#N/A</v>
      </c>
      <c r="CZ4734" s="42" t="e">
        <v>#N/A</v>
      </c>
      <c r="DA4734">
        <v>0.11332468572476186</v>
      </c>
      <c r="DB4734" t="str">
        <v/>
      </c>
    </row>
    <row r="4735" spans="83:106" x14ac:dyDescent="0.2">
      <c r="CE4735"/>
      <c r="CF4735"/>
      <c r="CG4735"/>
      <c r="CH4735"/>
      <c r="CI4735"/>
      <c r="CU4735" s="42">
        <v>4730</v>
      </c>
      <c r="CV4735" s="42">
        <v>4</v>
      </c>
      <c r="CW4735" s="42">
        <v>0.11332468572476186</v>
      </c>
      <c r="CX4735" s="42" t="e">
        <v>#N/A</v>
      </c>
      <c r="CY4735" s="42" t="e">
        <v>#N/A</v>
      </c>
      <c r="CZ4735" s="42" t="e">
        <v>#N/A</v>
      </c>
      <c r="DA4735">
        <v>0.11332468572476186</v>
      </c>
      <c r="DB4735" t="str">
        <v/>
      </c>
    </row>
    <row r="4736" spans="83:106" x14ac:dyDescent="0.2">
      <c r="CE4736"/>
      <c r="CF4736"/>
      <c r="CG4736"/>
      <c r="CH4736"/>
      <c r="CI4736"/>
      <c r="CU4736" s="42">
        <v>4731</v>
      </c>
      <c r="CV4736" s="42">
        <v>4</v>
      </c>
      <c r="CW4736" s="42">
        <v>0.11332468572476186</v>
      </c>
      <c r="CX4736" s="42" t="e">
        <v>#N/A</v>
      </c>
      <c r="CY4736" s="42" t="e">
        <v>#N/A</v>
      </c>
      <c r="CZ4736" s="42" t="e">
        <v>#N/A</v>
      </c>
      <c r="DA4736">
        <v>0.11332468572476186</v>
      </c>
      <c r="DB4736" t="str">
        <v/>
      </c>
    </row>
    <row r="4737" spans="83:106" x14ac:dyDescent="0.2">
      <c r="CE4737"/>
      <c r="CF4737"/>
      <c r="CG4737"/>
      <c r="CH4737"/>
      <c r="CI4737"/>
      <c r="CU4737" s="42">
        <v>4732</v>
      </c>
      <c r="CV4737" s="42">
        <v>4</v>
      </c>
      <c r="CW4737" s="42">
        <v>0.11332468572476186</v>
      </c>
      <c r="CX4737" s="42" t="e">
        <v>#N/A</v>
      </c>
      <c r="CY4737" s="42" t="e">
        <v>#N/A</v>
      </c>
      <c r="CZ4737" s="42" t="e">
        <v>#N/A</v>
      </c>
      <c r="DA4737">
        <v>0.11332468572476186</v>
      </c>
      <c r="DB4737" t="str">
        <v/>
      </c>
    </row>
    <row r="4738" spans="83:106" x14ac:dyDescent="0.2">
      <c r="CE4738"/>
      <c r="CF4738"/>
      <c r="CG4738"/>
      <c r="CH4738"/>
      <c r="CI4738"/>
      <c r="CU4738" s="42">
        <v>4733</v>
      </c>
      <c r="CV4738" s="42">
        <v>4</v>
      </c>
      <c r="CW4738" s="42">
        <v>0.11332468572476186</v>
      </c>
      <c r="CX4738" s="42" t="e">
        <v>#N/A</v>
      </c>
      <c r="CY4738" s="42" t="e">
        <v>#N/A</v>
      </c>
      <c r="CZ4738" s="42" t="e">
        <v>#N/A</v>
      </c>
      <c r="DA4738">
        <v>0.11332468572476186</v>
      </c>
      <c r="DB4738" t="str">
        <v/>
      </c>
    </row>
    <row r="4739" spans="83:106" x14ac:dyDescent="0.2">
      <c r="CE4739"/>
      <c r="CF4739"/>
      <c r="CG4739"/>
      <c r="CH4739"/>
      <c r="CI4739"/>
      <c r="CU4739" s="42">
        <v>4734</v>
      </c>
      <c r="CV4739" s="42">
        <v>4</v>
      </c>
      <c r="CW4739" s="42">
        <v>0.11332468572476186</v>
      </c>
      <c r="CX4739" s="42" t="e">
        <v>#N/A</v>
      </c>
      <c r="CY4739" s="42" t="e">
        <v>#N/A</v>
      </c>
      <c r="CZ4739" s="42" t="e">
        <v>#N/A</v>
      </c>
      <c r="DA4739">
        <v>0.11332468572476186</v>
      </c>
      <c r="DB4739" t="str">
        <v/>
      </c>
    </row>
    <row r="4740" spans="83:106" x14ac:dyDescent="0.2">
      <c r="CE4740"/>
      <c r="CF4740"/>
      <c r="CG4740"/>
      <c r="CH4740"/>
      <c r="CI4740"/>
      <c r="CU4740" s="42">
        <v>4735</v>
      </c>
      <c r="CV4740" s="42">
        <v>4</v>
      </c>
      <c r="CW4740" s="42">
        <v>0.11332468572476186</v>
      </c>
      <c r="CX4740" s="42" t="e">
        <v>#N/A</v>
      </c>
      <c r="CY4740" s="42" t="e">
        <v>#N/A</v>
      </c>
      <c r="CZ4740" s="42" t="e">
        <v>#N/A</v>
      </c>
      <c r="DA4740">
        <v>0.11332468572476186</v>
      </c>
      <c r="DB4740" t="str">
        <v/>
      </c>
    </row>
    <row r="4741" spans="83:106" x14ac:dyDescent="0.2">
      <c r="CE4741"/>
      <c r="CF4741"/>
      <c r="CG4741"/>
      <c r="CH4741"/>
      <c r="CI4741"/>
      <c r="CU4741" s="42">
        <v>4736</v>
      </c>
      <c r="CV4741" s="42">
        <v>4</v>
      </c>
      <c r="CW4741" s="42">
        <v>0.11332468572476186</v>
      </c>
      <c r="CX4741" s="42" t="e">
        <v>#N/A</v>
      </c>
      <c r="CY4741" s="42" t="e">
        <v>#N/A</v>
      </c>
      <c r="CZ4741" s="42" t="e">
        <v>#N/A</v>
      </c>
      <c r="DA4741">
        <v>0.11332468572476186</v>
      </c>
      <c r="DB4741" t="str">
        <v/>
      </c>
    </row>
    <row r="4742" spans="83:106" x14ac:dyDescent="0.2">
      <c r="CE4742"/>
      <c r="CF4742"/>
      <c r="CG4742"/>
      <c r="CH4742"/>
      <c r="CI4742"/>
      <c r="CU4742" s="42">
        <v>4737</v>
      </c>
      <c r="CV4742" s="42">
        <v>4</v>
      </c>
      <c r="CW4742" s="42">
        <v>0.11332468572476186</v>
      </c>
      <c r="CX4742" s="42" t="e">
        <v>#N/A</v>
      </c>
      <c r="CY4742" s="42" t="e">
        <v>#N/A</v>
      </c>
      <c r="CZ4742" s="42" t="e">
        <v>#N/A</v>
      </c>
      <c r="DA4742">
        <v>0.11332468572476186</v>
      </c>
      <c r="DB4742" t="str">
        <v/>
      </c>
    </row>
    <row r="4743" spans="83:106" x14ac:dyDescent="0.2">
      <c r="CE4743"/>
      <c r="CF4743"/>
      <c r="CG4743"/>
      <c r="CH4743"/>
      <c r="CI4743"/>
      <c r="CU4743" s="42">
        <v>4738</v>
      </c>
      <c r="CV4743" s="42">
        <v>4</v>
      </c>
      <c r="CW4743" s="42">
        <v>0.11332468572476186</v>
      </c>
      <c r="CX4743" s="42" t="e">
        <v>#N/A</v>
      </c>
      <c r="CY4743" s="42" t="e">
        <v>#N/A</v>
      </c>
      <c r="CZ4743" s="42" t="e">
        <v>#N/A</v>
      </c>
      <c r="DA4743">
        <v>0.11332468572476186</v>
      </c>
      <c r="DB4743" t="str">
        <v/>
      </c>
    </row>
    <row r="4744" spans="83:106" x14ac:dyDescent="0.2">
      <c r="CE4744"/>
      <c r="CF4744"/>
      <c r="CG4744"/>
      <c r="CH4744"/>
      <c r="CI4744"/>
      <c r="CU4744" s="42">
        <v>4739</v>
      </c>
      <c r="CV4744" s="42">
        <v>4</v>
      </c>
      <c r="CW4744" s="42">
        <v>0.11332468572476186</v>
      </c>
      <c r="CX4744" s="42" t="e">
        <v>#N/A</v>
      </c>
      <c r="CY4744" s="42" t="e">
        <v>#N/A</v>
      </c>
      <c r="CZ4744" s="42" t="e">
        <v>#N/A</v>
      </c>
      <c r="DA4744">
        <v>0.11332468572476186</v>
      </c>
      <c r="DB4744" t="str">
        <v/>
      </c>
    </row>
    <row r="4745" spans="83:106" x14ac:dyDescent="0.2">
      <c r="CE4745"/>
      <c r="CF4745"/>
      <c r="CG4745"/>
      <c r="CH4745"/>
      <c r="CI4745"/>
      <c r="CU4745" s="42">
        <v>4740</v>
      </c>
      <c r="CV4745" s="42">
        <v>4</v>
      </c>
      <c r="CW4745" s="42">
        <v>0.11332468572476186</v>
      </c>
      <c r="CX4745" s="42" t="e">
        <v>#N/A</v>
      </c>
      <c r="CY4745" s="42" t="e">
        <v>#N/A</v>
      </c>
      <c r="CZ4745" s="42" t="e">
        <v>#N/A</v>
      </c>
      <c r="DA4745">
        <v>0.11332468572476186</v>
      </c>
      <c r="DB4745" t="str">
        <v/>
      </c>
    </row>
    <row r="4746" spans="83:106" x14ac:dyDescent="0.2">
      <c r="CE4746"/>
      <c r="CF4746"/>
      <c r="CG4746"/>
      <c r="CH4746"/>
      <c r="CI4746"/>
      <c r="CU4746" s="42">
        <v>4741</v>
      </c>
      <c r="CV4746" s="42">
        <v>4</v>
      </c>
      <c r="CW4746" s="42">
        <v>0.11332468572476186</v>
      </c>
      <c r="CX4746" s="42" t="e">
        <v>#N/A</v>
      </c>
      <c r="CY4746" s="42" t="e">
        <v>#N/A</v>
      </c>
      <c r="CZ4746" s="42" t="e">
        <v>#N/A</v>
      </c>
      <c r="DA4746">
        <v>0.11332468572476186</v>
      </c>
      <c r="DB4746" t="str">
        <v/>
      </c>
    </row>
    <row r="4747" spans="83:106" x14ac:dyDescent="0.2">
      <c r="CE4747"/>
      <c r="CF4747"/>
      <c r="CG4747"/>
      <c r="CH4747"/>
      <c r="CI4747"/>
      <c r="CU4747" s="42">
        <v>4742</v>
      </c>
      <c r="CV4747" s="42">
        <v>4</v>
      </c>
      <c r="CW4747" s="42">
        <v>0.11332468572476186</v>
      </c>
      <c r="CX4747" s="42" t="e">
        <v>#N/A</v>
      </c>
      <c r="CY4747" s="42" t="e">
        <v>#N/A</v>
      </c>
      <c r="CZ4747" s="42" t="e">
        <v>#N/A</v>
      </c>
      <c r="DA4747">
        <v>0.11332468572476186</v>
      </c>
      <c r="DB4747" t="str">
        <v/>
      </c>
    </row>
    <row r="4748" spans="83:106" x14ac:dyDescent="0.2">
      <c r="CE4748"/>
      <c r="CF4748"/>
      <c r="CG4748"/>
      <c r="CH4748"/>
      <c r="CI4748"/>
      <c r="CU4748" s="42">
        <v>4743</v>
      </c>
      <c r="CV4748" s="42">
        <v>4</v>
      </c>
      <c r="CW4748" s="42">
        <v>0.11332468572476186</v>
      </c>
      <c r="CX4748" s="42" t="e">
        <v>#N/A</v>
      </c>
      <c r="CY4748" s="42" t="e">
        <v>#N/A</v>
      </c>
      <c r="CZ4748" s="42" t="e">
        <v>#N/A</v>
      </c>
      <c r="DA4748">
        <v>0.11332468572476186</v>
      </c>
      <c r="DB4748" t="str">
        <v/>
      </c>
    </row>
    <row r="4749" spans="83:106" x14ac:dyDescent="0.2">
      <c r="CE4749"/>
      <c r="CF4749"/>
      <c r="CG4749"/>
      <c r="CH4749"/>
      <c r="CI4749"/>
      <c r="CU4749" s="42">
        <v>4744</v>
      </c>
      <c r="CV4749" s="42">
        <v>4</v>
      </c>
      <c r="CW4749" s="42">
        <v>0.11332468572476186</v>
      </c>
      <c r="CX4749" s="42" t="e">
        <v>#N/A</v>
      </c>
      <c r="CY4749" s="42" t="e">
        <v>#N/A</v>
      </c>
      <c r="CZ4749" s="42" t="e">
        <v>#N/A</v>
      </c>
      <c r="DA4749">
        <v>0.11332468572476186</v>
      </c>
      <c r="DB4749" t="str">
        <v/>
      </c>
    </row>
    <row r="4750" spans="83:106" x14ac:dyDescent="0.2">
      <c r="CE4750"/>
      <c r="CF4750"/>
      <c r="CG4750"/>
      <c r="CH4750"/>
      <c r="CI4750"/>
      <c r="CU4750" s="42">
        <v>4745</v>
      </c>
      <c r="CV4750" s="42">
        <v>4</v>
      </c>
      <c r="CW4750" s="42">
        <v>0.11332468572476186</v>
      </c>
      <c r="CX4750" s="42" t="e">
        <v>#N/A</v>
      </c>
      <c r="CY4750" s="42" t="e">
        <v>#N/A</v>
      </c>
      <c r="CZ4750" s="42" t="e">
        <v>#N/A</v>
      </c>
      <c r="DA4750">
        <v>0.11332468572476186</v>
      </c>
      <c r="DB4750" t="str">
        <v/>
      </c>
    </row>
    <row r="4751" spans="83:106" x14ac:dyDescent="0.2">
      <c r="CE4751"/>
      <c r="CF4751"/>
      <c r="CG4751"/>
      <c r="CH4751"/>
      <c r="CI4751"/>
      <c r="CU4751" s="42">
        <v>4746</v>
      </c>
      <c r="CV4751" s="42">
        <v>4</v>
      </c>
      <c r="CW4751" s="42">
        <v>0.11332468572476186</v>
      </c>
      <c r="CX4751" s="42" t="e">
        <v>#N/A</v>
      </c>
      <c r="CY4751" s="42" t="e">
        <v>#N/A</v>
      </c>
      <c r="CZ4751" s="42" t="e">
        <v>#N/A</v>
      </c>
      <c r="DA4751">
        <v>0.11332468572476186</v>
      </c>
      <c r="DB4751" t="str">
        <v/>
      </c>
    </row>
    <row r="4752" spans="83:106" x14ac:dyDescent="0.2">
      <c r="CE4752"/>
      <c r="CF4752"/>
      <c r="CG4752"/>
      <c r="CH4752"/>
      <c r="CI4752"/>
      <c r="CU4752" s="42">
        <v>4747</v>
      </c>
      <c r="CV4752" s="42">
        <v>4</v>
      </c>
      <c r="CW4752" s="42">
        <v>0.11332468572476186</v>
      </c>
      <c r="CX4752" s="42" t="e">
        <v>#N/A</v>
      </c>
      <c r="CY4752" s="42" t="e">
        <v>#N/A</v>
      </c>
      <c r="CZ4752" s="42" t="e">
        <v>#N/A</v>
      </c>
      <c r="DA4752">
        <v>0.11332468572476186</v>
      </c>
      <c r="DB4752" t="str">
        <v/>
      </c>
    </row>
    <row r="4753" spans="83:106" x14ac:dyDescent="0.2">
      <c r="CE4753"/>
      <c r="CF4753"/>
      <c r="CG4753"/>
      <c r="CH4753"/>
      <c r="CI4753"/>
      <c r="CU4753" s="42">
        <v>4748</v>
      </c>
      <c r="CV4753" s="42">
        <v>4</v>
      </c>
      <c r="CW4753" s="42">
        <v>0.11332468572476186</v>
      </c>
      <c r="CX4753" s="42" t="e">
        <v>#N/A</v>
      </c>
      <c r="CY4753" s="42" t="e">
        <v>#N/A</v>
      </c>
      <c r="CZ4753" s="42" t="e">
        <v>#N/A</v>
      </c>
      <c r="DA4753">
        <v>0.11332468572476186</v>
      </c>
      <c r="DB4753" t="str">
        <v/>
      </c>
    </row>
    <row r="4754" spans="83:106" x14ac:dyDescent="0.2">
      <c r="CE4754"/>
      <c r="CF4754"/>
      <c r="CG4754"/>
      <c r="CH4754"/>
      <c r="CI4754"/>
      <c r="CU4754" s="42">
        <v>4749</v>
      </c>
      <c r="CV4754" s="42">
        <v>4</v>
      </c>
      <c r="CW4754" s="42">
        <v>0.11332468572476186</v>
      </c>
      <c r="CX4754" s="42" t="e">
        <v>#N/A</v>
      </c>
      <c r="CY4754" s="42" t="e">
        <v>#N/A</v>
      </c>
      <c r="CZ4754" s="42" t="e">
        <v>#N/A</v>
      </c>
      <c r="DA4754">
        <v>0.11332468572476186</v>
      </c>
      <c r="DB4754" t="str">
        <v/>
      </c>
    </row>
    <row r="4755" spans="83:106" x14ac:dyDescent="0.2">
      <c r="CE4755"/>
      <c r="CF4755"/>
      <c r="CG4755"/>
      <c r="CH4755"/>
      <c r="CI4755"/>
      <c r="CU4755" s="42">
        <v>4750</v>
      </c>
      <c r="CV4755" s="42">
        <v>4</v>
      </c>
      <c r="CW4755" s="42">
        <v>0.11332468572476186</v>
      </c>
      <c r="CX4755" s="42" t="e">
        <v>#N/A</v>
      </c>
      <c r="CY4755" s="42" t="e">
        <v>#N/A</v>
      </c>
      <c r="CZ4755" s="42" t="e">
        <v>#N/A</v>
      </c>
      <c r="DA4755">
        <v>0.11332468572476186</v>
      </c>
      <c r="DB4755" t="str">
        <v/>
      </c>
    </row>
    <row r="4756" spans="83:106" x14ac:dyDescent="0.2">
      <c r="CE4756"/>
      <c r="CF4756"/>
      <c r="CG4756"/>
      <c r="CH4756"/>
      <c r="CI4756"/>
      <c r="CU4756" s="42">
        <v>4751</v>
      </c>
      <c r="CV4756" s="42">
        <v>4</v>
      </c>
      <c r="CW4756" s="42">
        <v>0.11332468572476186</v>
      </c>
      <c r="CX4756" s="42" t="e">
        <v>#N/A</v>
      </c>
      <c r="CY4756" s="42" t="e">
        <v>#N/A</v>
      </c>
      <c r="CZ4756" s="42" t="e">
        <v>#N/A</v>
      </c>
      <c r="DA4756">
        <v>0.11332468572476186</v>
      </c>
      <c r="DB4756" t="str">
        <v/>
      </c>
    </row>
    <row r="4757" spans="83:106" x14ac:dyDescent="0.2">
      <c r="CE4757"/>
      <c r="CF4757"/>
      <c r="CG4757"/>
      <c r="CH4757"/>
      <c r="CI4757"/>
      <c r="CU4757" s="42">
        <v>4752</v>
      </c>
      <c r="CV4757" s="42">
        <v>4</v>
      </c>
      <c r="CW4757" s="42">
        <v>0.11332468572476186</v>
      </c>
      <c r="CX4757" s="42" t="e">
        <v>#N/A</v>
      </c>
      <c r="CY4757" s="42" t="e">
        <v>#N/A</v>
      </c>
      <c r="CZ4757" s="42" t="e">
        <v>#N/A</v>
      </c>
      <c r="DA4757">
        <v>0.11332468572476186</v>
      </c>
      <c r="DB4757" t="str">
        <v/>
      </c>
    </row>
    <row r="4758" spans="83:106" x14ac:dyDescent="0.2">
      <c r="CE4758"/>
      <c r="CF4758"/>
      <c r="CG4758"/>
      <c r="CH4758"/>
      <c r="CI4758"/>
      <c r="CU4758" s="42">
        <v>4753</v>
      </c>
      <c r="CV4758" s="42">
        <v>4</v>
      </c>
      <c r="CW4758" s="42">
        <v>0.11332468572476186</v>
      </c>
      <c r="CX4758" s="42" t="e">
        <v>#N/A</v>
      </c>
      <c r="CY4758" s="42" t="e">
        <v>#N/A</v>
      </c>
      <c r="CZ4758" s="42" t="e">
        <v>#N/A</v>
      </c>
      <c r="DA4758">
        <v>0.11332468572476186</v>
      </c>
      <c r="DB4758" t="str">
        <v/>
      </c>
    </row>
    <row r="4759" spans="83:106" x14ac:dyDescent="0.2">
      <c r="CE4759"/>
      <c r="CF4759"/>
      <c r="CG4759"/>
      <c r="CH4759"/>
      <c r="CI4759"/>
      <c r="CU4759" s="42">
        <v>4754</v>
      </c>
      <c r="CV4759" s="42">
        <v>4</v>
      </c>
      <c r="CW4759" s="42">
        <v>0.11332468572476186</v>
      </c>
      <c r="CX4759" s="42" t="e">
        <v>#N/A</v>
      </c>
      <c r="CY4759" s="42" t="e">
        <v>#N/A</v>
      </c>
      <c r="CZ4759" s="42" t="e">
        <v>#N/A</v>
      </c>
      <c r="DA4759">
        <v>0.11332468572476186</v>
      </c>
      <c r="DB4759" t="str">
        <v/>
      </c>
    </row>
    <row r="4760" spans="83:106" x14ac:dyDescent="0.2">
      <c r="CE4760"/>
      <c r="CF4760"/>
      <c r="CG4760"/>
      <c r="CH4760"/>
      <c r="CI4760"/>
      <c r="CU4760" s="42">
        <v>4755</v>
      </c>
      <c r="CV4760" s="42">
        <v>4</v>
      </c>
      <c r="CW4760" s="42">
        <v>0.11332468572476186</v>
      </c>
      <c r="CX4760" s="42" t="e">
        <v>#N/A</v>
      </c>
      <c r="CY4760" s="42" t="e">
        <v>#N/A</v>
      </c>
      <c r="CZ4760" s="42" t="e">
        <v>#N/A</v>
      </c>
      <c r="DA4760">
        <v>0.11332468572476186</v>
      </c>
      <c r="DB4760" t="str">
        <v/>
      </c>
    </row>
    <row r="4761" spans="83:106" x14ac:dyDescent="0.2">
      <c r="CE4761"/>
      <c r="CF4761"/>
      <c r="CG4761"/>
      <c r="CH4761"/>
      <c r="CI4761"/>
      <c r="CU4761" s="42">
        <v>4756</v>
      </c>
      <c r="CV4761" s="42">
        <v>4</v>
      </c>
      <c r="CW4761" s="42">
        <v>0.11332468572476186</v>
      </c>
      <c r="CX4761" s="42" t="e">
        <v>#N/A</v>
      </c>
      <c r="CY4761" s="42" t="e">
        <v>#N/A</v>
      </c>
      <c r="CZ4761" s="42" t="e">
        <v>#N/A</v>
      </c>
      <c r="DA4761">
        <v>0.11332468572476186</v>
      </c>
      <c r="DB4761" t="str">
        <v/>
      </c>
    </row>
    <row r="4762" spans="83:106" x14ac:dyDescent="0.2">
      <c r="CE4762"/>
      <c r="CF4762"/>
      <c r="CG4762"/>
      <c r="CH4762"/>
      <c r="CI4762"/>
      <c r="CU4762" s="42">
        <v>4757</v>
      </c>
      <c r="CV4762" s="42">
        <v>4</v>
      </c>
      <c r="CW4762" s="42">
        <v>0.11332468572476186</v>
      </c>
      <c r="CX4762" s="42" t="e">
        <v>#N/A</v>
      </c>
      <c r="CY4762" s="42" t="e">
        <v>#N/A</v>
      </c>
      <c r="CZ4762" s="42" t="e">
        <v>#N/A</v>
      </c>
      <c r="DA4762">
        <v>0.11332468572476186</v>
      </c>
      <c r="DB4762" t="str">
        <v/>
      </c>
    </row>
    <row r="4763" spans="83:106" x14ac:dyDescent="0.2">
      <c r="CE4763"/>
      <c r="CF4763"/>
      <c r="CG4763"/>
      <c r="CH4763"/>
      <c r="CI4763"/>
      <c r="CU4763" s="42">
        <v>4758</v>
      </c>
      <c r="CV4763" s="42">
        <v>4</v>
      </c>
      <c r="CW4763" s="42">
        <v>0.11332468572476186</v>
      </c>
      <c r="CX4763" s="42" t="e">
        <v>#N/A</v>
      </c>
      <c r="CY4763" s="42" t="e">
        <v>#N/A</v>
      </c>
      <c r="CZ4763" s="42" t="e">
        <v>#N/A</v>
      </c>
      <c r="DA4763">
        <v>0.11332468572476186</v>
      </c>
      <c r="DB4763" t="str">
        <v/>
      </c>
    </row>
    <row r="4764" spans="83:106" x14ac:dyDescent="0.2">
      <c r="CE4764"/>
      <c r="CF4764"/>
      <c r="CG4764"/>
      <c r="CH4764"/>
      <c r="CI4764"/>
      <c r="CU4764" s="42">
        <v>4759</v>
      </c>
      <c r="CV4764" s="42">
        <v>4</v>
      </c>
      <c r="CW4764" s="42">
        <v>0.11332468572476186</v>
      </c>
      <c r="CX4764" s="42" t="e">
        <v>#N/A</v>
      </c>
      <c r="CY4764" s="42" t="e">
        <v>#N/A</v>
      </c>
      <c r="CZ4764" s="42" t="e">
        <v>#N/A</v>
      </c>
      <c r="DA4764">
        <v>0.11332468572476186</v>
      </c>
      <c r="DB4764" t="str">
        <v/>
      </c>
    </row>
    <row r="4765" spans="83:106" x14ac:dyDescent="0.2">
      <c r="CE4765"/>
      <c r="CF4765"/>
      <c r="CG4765"/>
      <c r="CH4765"/>
      <c r="CI4765"/>
      <c r="CU4765" s="42">
        <v>4760</v>
      </c>
      <c r="CV4765" s="42">
        <v>4</v>
      </c>
      <c r="CW4765" s="42">
        <v>0.11332468572476186</v>
      </c>
      <c r="CX4765" s="42" t="e">
        <v>#N/A</v>
      </c>
      <c r="CY4765" s="42" t="e">
        <v>#N/A</v>
      </c>
      <c r="CZ4765" s="42" t="e">
        <v>#N/A</v>
      </c>
      <c r="DA4765">
        <v>0.11332468572476186</v>
      </c>
      <c r="DB4765" t="str">
        <v/>
      </c>
    </row>
    <row r="4766" spans="83:106" x14ac:dyDescent="0.2">
      <c r="CE4766"/>
      <c r="CF4766"/>
      <c r="CG4766"/>
      <c r="CH4766"/>
      <c r="CI4766"/>
      <c r="CU4766" s="42">
        <v>4761</v>
      </c>
      <c r="CV4766" s="42">
        <v>4</v>
      </c>
      <c r="CW4766" s="42">
        <v>0.11332468572476186</v>
      </c>
      <c r="CX4766" s="42" t="e">
        <v>#N/A</v>
      </c>
      <c r="CY4766" s="42" t="e">
        <v>#N/A</v>
      </c>
      <c r="CZ4766" s="42" t="e">
        <v>#N/A</v>
      </c>
      <c r="DA4766">
        <v>0.11332468572476186</v>
      </c>
      <c r="DB4766" t="str">
        <v/>
      </c>
    </row>
    <row r="4767" spans="83:106" x14ac:dyDescent="0.2">
      <c r="CE4767"/>
      <c r="CF4767"/>
      <c r="CG4767"/>
      <c r="CH4767"/>
      <c r="CI4767"/>
      <c r="CU4767" s="42">
        <v>4762</v>
      </c>
      <c r="CV4767" s="42">
        <v>4</v>
      </c>
      <c r="CW4767" s="42">
        <v>0.11332468572476186</v>
      </c>
      <c r="CX4767" s="42" t="e">
        <v>#N/A</v>
      </c>
      <c r="CY4767" s="42" t="e">
        <v>#N/A</v>
      </c>
      <c r="CZ4767" s="42" t="e">
        <v>#N/A</v>
      </c>
      <c r="DA4767">
        <v>0.11332468572476186</v>
      </c>
      <c r="DB4767" t="str">
        <v/>
      </c>
    </row>
    <row r="4768" spans="83:106" x14ac:dyDescent="0.2">
      <c r="CE4768"/>
      <c r="CF4768"/>
      <c r="CG4768"/>
      <c r="CH4768"/>
      <c r="CI4768"/>
      <c r="CU4768" s="42">
        <v>4763</v>
      </c>
      <c r="CV4768" s="42">
        <v>4</v>
      </c>
      <c r="CW4768" s="42">
        <v>0.11332468572476186</v>
      </c>
      <c r="CX4768" s="42" t="e">
        <v>#N/A</v>
      </c>
      <c r="CY4768" s="42" t="e">
        <v>#N/A</v>
      </c>
      <c r="CZ4768" s="42" t="e">
        <v>#N/A</v>
      </c>
      <c r="DA4768">
        <v>0.11332468572476186</v>
      </c>
      <c r="DB4768" t="str">
        <v/>
      </c>
    </row>
    <row r="4769" spans="83:106" x14ac:dyDescent="0.2">
      <c r="CE4769"/>
      <c r="CF4769"/>
      <c r="CG4769"/>
      <c r="CH4769"/>
      <c r="CI4769"/>
      <c r="CU4769" s="42">
        <v>4764</v>
      </c>
      <c r="CV4769" s="42">
        <v>4</v>
      </c>
      <c r="CW4769" s="42">
        <v>0.11332468572476186</v>
      </c>
      <c r="CX4769" s="42" t="e">
        <v>#N/A</v>
      </c>
      <c r="CY4769" s="42" t="e">
        <v>#N/A</v>
      </c>
      <c r="CZ4769" s="42" t="e">
        <v>#N/A</v>
      </c>
      <c r="DA4769">
        <v>0.11332468572476186</v>
      </c>
      <c r="DB4769" t="str">
        <v/>
      </c>
    </row>
    <row r="4770" spans="83:106" x14ac:dyDescent="0.2">
      <c r="CE4770"/>
      <c r="CF4770"/>
      <c r="CG4770"/>
      <c r="CH4770"/>
      <c r="CI4770"/>
      <c r="CU4770" s="42">
        <v>4765</v>
      </c>
      <c r="CV4770" s="42">
        <v>4</v>
      </c>
      <c r="CW4770" s="42">
        <v>0.11332468572476186</v>
      </c>
      <c r="CX4770" s="42" t="e">
        <v>#N/A</v>
      </c>
      <c r="CY4770" s="42" t="e">
        <v>#N/A</v>
      </c>
      <c r="CZ4770" s="42" t="e">
        <v>#N/A</v>
      </c>
      <c r="DA4770">
        <v>0.11332468572476186</v>
      </c>
      <c r="DB4770" t="str">
        <v/>
      </c>
    </row>
    <row r="4771" spans="83:106" x14ac:dyDescent="0.2">
      <c r="CE4771"/>
      <c r="CF4771"/>
      <c r="CG4771"/>
      <c r="CH4771"/>
      <c r="CI4771"/>
      <c r="CU4771" s="42">
        <v>4766</v>
      </c>
      <c r="CV4771" s="42">
        <v>4</v>
      </c>
      <c r="CW4771" s="42">
        <v>0.11332468572476186</v>
      </c>
      <c r="CX4771" s="42" t="e">
        <v>#N/A</v>
      </c>
      <c r="CY4771" s="42" t="e">
        <v>#N/A</v>
      </c>
      <c r="CZ4771" s="42" t="e">
        <v>#N/A</v>
      </c>
      <c r="DA4771">
        <v>0.11332468572476186</v>
      </c>
      <c r="DB4771" t="str">
        <v/>
      </c>
    </row>
    <row r="4772" spans="83:106" x14ac:dyDescent="0.2">
      <c r="CE4772"/>
      <c r="CF4772"/>
      <c r="CG4772"/>
      <c r="CH4772"/>
      <c r="CI4772"/>
      <c r="CU4772" s="42">
        <v>4767</v>
      </c>
      <c r="CV4772" s="42">
        <v>4</v>
      </c>
      <c r="CW4772" s="42">
        <v>0.11332468572476186</v>
      </c>
      <c r="CX4772" s="42" t="e">
        <v>#N/A</v>
      </c>
      <c r="CY4772" s="42" t="e">
        <v>#N/A</v>
      </c>
      <c r="CZ4772" s="42" t="e">
        <v>#N/A</v>
      </c>
      <c r="DA4772">
        <v>0.11332468572476186</v>
      </c>
      <c r="DB4772" t="str">
        <v/>
      </c>
    </row>
    <row r="4773" spans="83:106" x14ac:dyDescent="0.2">
      <c r="CE4773"/>
      <c r="CF4773"/>
      <c r="CG4773"/>
      <c r="CH4773"/>
      <c r="CI4773"/>
      <c r="CU4773" s="42">
        <v>4768</v>
      </c>
      <c r="CV4773" s="42">
        <v>4</v>
      </c>
      <c r="CW4773" s="42">
        <v>0.11332468572476186</v>
      </c>
      <c r="CX4773" s="42" t="e">
        <v>#N/A</v>
      </c>
      <c r="CY4773" s="42" t="e">
        <v>#N/A</v>
      </c>
      <c r="CZ4773" s="42" t="e">
        <v>#N/A</v>
      </c>
      <c r="DA4773">
        <v>0.11332468572476186</v>
      </c>
      <c r="DB4773" t="str">
        <v/>
      </c>
    </row>
    <row r="4774" spans="83:106" x14ac:dyDescent="0.2">
      <c r="CE4774"/>
      <c r="CF4774"/>
      <c r="CG4774"/>
      <c r="CH4774"/>
      <c r="CI4774"/>
      <c r="CU4774" s="42">
        <v>4769</v>
      </c>
      <c r="CV4774" s="42">
        <v>4</v>
      </c>
      <c r="CW4774" s="42">
        <v>0.11332468572476186</v>
      </c>
      <c r="CX4774" s="42" t="e">
        <v>#N/A</v>
      </c>
      <c r="CY4774" s="42" t="e">
        <v>#N/A</v>
      </c>
      <c r="CZ4774" s="42" t="e">
        <v>#N/A</v>
      </c>
      <c r="DA4774">
        <v>0.11332468572476186</v>
      </c>
      <c r="DB4774" t="str">
        <v/>
      </c>
    </row>
    <row r="4775" spans="83:106" x14ac:dyDescent="0.2">
      <c r="CE4775"/>
      <c r="CF4775"/>
      <c r="CG4775"/>
      <c r="CH4775"/>
      <c r="CI4775"/>
      <c r="CU4775" s="42">
        <v>4770</v>
      </c>
      <c r="CV4775" s="42">
        <v>4</v>
      </c>
      <c r="CW4775" s="42">
        <v>0.11332468572476186</v>
      </c>
      <c r="CX4775" s="42" t="e">
        <v>#N/A</v>
      </c>
      <c r="CY4775" s="42" t="e">
        <v>#N/A</v>
      </c>
      <c r="CZ4775" s="42" t="e">
        <v>#N/A</v>
      </c>
      <c r="DA4775">
        <v>0.11332468572476186</v>
      </c>
      <c r="DB4775" t="str">
        <v/>
      </c>
    </row>
    <row r="4776" spans="83:106" x14ac:dyDescent="0.2">
      <c r="CE4776"/>
      <c r="CF4776"/>
      <c r="CG4776"/>
      <c r="CH4776"/>
      <c r="CI4776"/>
      <c r="CU4776" s="42">
        <v>4771</v>
      </c>
      <c r="CV4776" s="42">
        <v>4</v>
      </c>
      <c r="CW4776" s="42">
        <v>0.11332468572476186</v>
      </c>
      <c r="CX4776" s="42" t="e">
        <v>#N/A</v>
      </c>
      <c r="CY4776" s="42" t="e">
        <v>#N/A</v>
      </c>
      <c r="CZ4776" s="42" t="e">
        <v>#N/A</v>
      </c>
      <c r="DA4776">
        <v>0.11332468572476186</v>
      </c>
      <c r="DB4776" t="str">
        <v/>
      </c>
    </row>
    <row r="4777" spans="83:106" x14ac:dyDescent="0.2">
      <c r="CE4777"/>
      <c r="CF4777"/>
      <c r="CG4777"/>
      <c r="CH4777"/>
      <c r="CI4777"/>
      <c r="CU4777" s="42">
        <v>4772</v>
      </c>
      <c r="CV4777" s="42">
        <v>4</v>
      </c>
      <c r="CW4777" s="42">
        <v>0.11332468572476186</v>
      </c>
      <c r="CX4777" s="42" t="e">
        <v>#N/A</v>
      </c>
      <c r="CY4777" s="42" t="e">
        <v>#N/A</v>
      </c>
      <c r="CZ4777" s="42" t="e">
        <v>#N/A</v>
      </c>
      <c r="DA4777">
        <v>0.11332468572476186</v>
      </c>
      <c r="DB4777" t="str">
        <v/>
      </c>
    </row>
    <row r="4778" spans="83:106" x14ac:dyDescent="0.2">
      <c r="CE4778"/>
      <c r="CF4778"/>
      <c r="CG4778"/>
      <c r="CH4778"/>
      <c r="CI4778"/>
      <c r="CU4778" s="42">
        <v>4773</v>
      </c>
      <c r="CV4778" s="42">
        <v>4</v>
      </c>
      <c r="CW4778" s="42">
        <v>0.11332468572476186</v>
      </c>
      <c r="CX4778" s="42" t="e">
        <v>#N/A</v>
      </c>
      <c r="CY4778" s="42" t="e">
        <v>#N/A</v>
      </c>
      <c r="CZ4778" s="42" t="e">
        <v>#N/A</v>
      </c>
      <c r="DA4778">
        <v>0.11332468572476186</v>
      </c>
      <c r="DB4778" t="str">
        <v/>
      </c>
    </row>
    <row r="4779" spans="83:106" x14ac:dyDescent="0.2">
      <c r="CE4779"/>
      <c r="CF4779"/>
      <c r="CG4779"/>
      <c r="CH4779"/>
      <c r="CI4779"/>
      <c r="CU4779" s="42">
        <v>4774</v>
      </c>
      <c r="CV4779" s="42">
        <v>4</v>
      </c>
      <c r="CW4779" s="42">
        <v>0.11332468572476186</v>
      </c>
      <c r="CX4779" s="42" t="e">
        <v>#N/A</v>
      </c>
      <c r="CY4779" s="42" t="e">
        <v>#N/A</v>
      </c>
      <c r="CZ4779" s="42" t="e">
        <v>#N/A</v>
      </c>
      <c r="DA4779">
        <v>0.11332468572476186</v>
      </c>
      <c r="DB4779" t="str">
        <v/>
      </c>
    </row>
    <row r="4780" spans="83:106" x14ac:dyDescent="0.2">
      <c r="CE4780"/>
      <c r="CF4780"/>
      <c r="CG4780"/>
      <c r="CH4780"/>
      <c r="CI4780"/>
      <c r="CU4780" s="42">
        <v>4775</v>
      </c>
      <c r="CV4780" s="42">
        <v>4</v>
      </c>
      <c r="CW4780" s="42">
        <v>0.11332468572476186</v>
      </c>
      <c r="CX4780" s="42" t="e">
        <v>#N/A</v>
      </c>
      <c r="CY4780" s="42" t="e">
        <v>#N/A</v>
      </c>
      <c r="CZ4780" s="42" t="e">
        <v>#N/A</v>
      </c>
      <c r="DA4780">
        <v>0.11332468572476186</v>
      </c>
      <c r="DB4780" t="str">
        <v/>
      </c>
    </row>
    <row r="4781" spans="83:106" x14ac:dyDescent="0.2">
      <c r="CE4781"/>
      <c r="CF4781"/>
      <c r="CG4781"/>
      <c r="CH4781"/>
      <c r="CI4781"/>
      <c r="CU4781" s="42">
        <v>4776</v>
      </c>
      <c r="CV4781" s="42">
        <v>4</v>
      </c>
      <c r="CW4781" s="42">
        <v>0.11332468572476186</v>
      </c>
      <c r="CX4781" s="42" t="e">
        <v>#N/A</v>
      </c>
      <c r="CY4781" s="42" t="e">
        <v>#N/A</v>
      </c>
      <c r="CZ4781" s="42" t="e">
        <v>#N/A</v>
      </c>
      <c r="DA4781">
        <v>0.11332468572476186</v>
      </c>
      <c r="DB4781" t="str">
        <v/>
      </c>
    </row>
    <row r="4782" spans="83:106" x14ac:dyDescent="0.2">
      <c r="CE4782"/>
      <c r="CF4782"/>
      <c r="CG4782"/>
      <c r="CH4782"/>
      <c r="CI4782"/>
      <c r="CU4782" s="42">
        <v>4777</v>
      </c>
      <c r="CV4782" s="42">
        <v>4</v>
      </c>
      <c r="CW4782" s="42">
        <v>0.11332468572476186</v>
      </c>
      <c r="CX4782" s="42" t="e">
        <v>#N/A</v>
      </c>
      <c r="CY4782" s="42" t="e">
        <v>#N/A</v>
      </c>
      <c r="CZ4782" s="42" t="e">
        <v>#N/A</v>
      </c>
      <c r="DA4782">
        <v>0.11332468572476186</v>
      </c>
      <c r="DB4782" t="str">
        <v/>
      </c>
    </row>
    <row r="4783" spans="83:106" x14ac:dyDescent="0.2">
      <c r="CE4783"/>
      <c r="CF4783"/>
      <c r="CG4783"/>
      <c r="CH4783"/>
      <c r="CI4783"/>
      <c r="CU4783" s="42">
        <v>4778</v>
      </c>
      <c r="CV4783" s="42">
        <v>4</v>
      </c>
      <c r="CW4783" s="42">
        <v>0.11332468572476186</v>
      </c>
      <c r="CX4783" s="42" t="e">
        <v>#N/A</v>
      </c>
      <c r="CY4783" s="42" t="e">
        <v>#N/A</v>
      </c>
      <c r="CZ4783" s="42" t="e">
        <v>#N/A</v>
      </c>
      <c r="DA4783">
        <v>0.11332468572476186</v>
      </c>
      <c r="DB4783" t="str">
        <v/>
      </c>
    </row>
    <row r="4784" spans="83:106" x14ac:dyDescent="0.2">
      <c r="CE4784"/>
      <c r="CF4784"/>
      <c r="CG4784"/>
      <c r="CH4784"/>
      <c r="CI4784"/>
      <c r="CU4784" s="42">
        <v>4779</v>
      </c>
      <c r="CV4784" s="42">
        <v>4</v>
      </c>
      <c r="CW4784" s="42">
        <v>0.11332468572476186</v>
      </c>
      <c r="CX4784" s="42" t="e">
        <v>#N/A</v>
      </c>
      <c r="CY4784" s="42" t="e">
        <v>#N/A</v>
      </c>
      <c r="CZ4784" s="42" t="e">
        <v>#N/A</v>
      </c>
      <c r="DA4784">
        <v>0.11332468572476186</v>
      </c>
      <c r="DB4784" t="str">
        <v/>
      </c>
    </row>
    <row r="4785" spans="83:106" x14ac:dyDescent="0.2">
      <c r="CE4785"/>
      <c r="CF4785"/>
      <c r="CG4785"/>
      <c r="CH4785"/>
      <c r="CI4785"/>
      <c r="CU4785" s="42">
        <v>4780</v>
      </c>
      <c r="CV4785" s="42">
        <v>4</v>
      </c>
      <c r="CW4785" s="42">
        <v>0.11332468572476186</v>
      </c>
      <c r="CX4785" s="42" t="e">
        <v>#N/A</v>
      </c>
      <c r="CY4785" s="42" t="e">
        <v>#N/A</v>
      </c>
      <c r="CZ4785" s="42" t="e">
        <v>#N/A</v>
      </c>
      <c r="DA4785">
        <v>0.11332468572476186</v>
      </c>
      <c r="DB4785" t="str">
        <v/>
      </c>
    </row>
    <row r="4786" spans="83:106" x14ac:dyDescent="0.2">
      <c r="CE4786"/>
      <c r="CF4786"/>
      <c r="CG4786"/>
      <c r="CH4786"/>
      <c r="CI4786"/>
      <c r="CU4786" s="42">
        <v>4781</v>
      </c>
      <c r="CV4786" s="42">
        <v>4</v>
      </c>
      <c r="CW4786" s="42">
        <v>0.11332468572476186</v>
      </c>
      <c r="CX4786" s="42" t="e">
        <v>#N/A</v>
      </c>
      <c r="CY4786" s="42" t="e">
        <v>#N/A</v>
      </c>
      <c r="CZ4786" s="42" t="e">
        <v>#N/A</v>
      </c>
      <c r="DA4786">
        <v>0.11332468572476186</v>
      </c>
      <c r="DB4786" t="str">
        <v/>
      </c>
    </row>
    <row r="4787" spans="83:106" x14ac:dyDescent="0.2">
      <c r="CE4787"/>
      <c r="CF4787"/>
      <c r="CG4787"/>
      <c r="CH4787"/>
      <c r="CI4787"/>
      <c r="CU4787" s="42">
        <v>4782</v>
      </c>
      <c r="CV4787" s="42">
        <v>4</v>
      </c>
      <c r="CW4787" s="42">
        <v>0.11332468572476186</v>
      </c>
      <c r="CX4787" s="42" t="e">
        <v>#N/A</v>
      </c>
      <c r="CY4787" s="42" t="e">
        <v>#N/A</v>
      </c>
      <c r="CZ4787" s="42" t="e">
        <v>#N/A</v>
      </c>
      <c r="DA4787">
        <v>0.11332468572476186</v>
      </c>
      <c r="DB4787" t="str">
        <v/>
      </c>
    </row>
    <row r="4788" spans="83:106" x14ac:dyDescent="0.2">
      <c r="CE4788"/>
      <c r="CF4788"/>
      <c r="CG4788"/>
      <c r="CH4788"/>
      <c r="CI4788"/>
      <c r="CU4788" s="42">
        <v>4783</v>
      </c>
      <c r="CV4788" s="42">
        <v>4</v>
      </c>
      <c r="CW4788" s="42">
        <v>0.11332468572476186</v>
      </c>
      <c r="CX4788" s="42" t="e">
        <v>#N/A</v>
      </c>
      <c r="CY4788" s="42" t="e">
        <v>#N/A</v>
      </c>
      <c r="CZ4788" s="42" t="e">
        <v>#N/A</v>
      </c>
      <c r="DA4788">
        <v>0.11332468572476186</v>
      </c>
      <c r="DB4788" t="str">
        <v/>
      </c>
    </row>
    <row r="4789" spans="83:106" x14ac:dyDescent="0.2">
      <c r="CE4789"/>
      <c r="CF4789"/>
      <c r="CG4789"/>
      <c r="CH4789"/>
      <c r="CI4789"/>
      <c r="CU4789" s="42">
        <v>4784</v>
      </c>
      <c r="CV4789" s="42">
        <v>4</v>
      </c>
      <c r="CW4789" s="42">
        <v>0.11332468572476186</v>
      </c>
      <c r="CX4789" s="42" t="e">
        <v>#N/A</v>
      </c>
      <c r="CY4789" s="42" t="e">
        <v>#N/A</v>
      </c>
      <c r="CZ4789" s="42" t="e">
        <v>#N/A</v>
      </c>
      <c r="DA4789">
        <v>0.11332468572476186</v>
      </c>
      <c r="DB4789" t="str">
        <v/>
      </c>
    </row>
    <row r="4790" spans="83:106" x14ac:dyDescent="0.2">
      <c r="CE4790"/>
      <c r="CF4790"/>
      <c r="CG4790"/>
      <c r="CH4790"/>
      <c r="CI4790"/>
      <c r="CU4790" s="42">
        <v>4785</v>
      </c>
      <c r="CV4790" s="42">
        <v>4</v>
      </c>
      <c r="CW4790" s="42">
        <v>0.11332468572476186</v>
      </c>
      <c r="CX4790" s="42" t="e">
        <v>#N/A</v>
      </c>
      <c r="CY4790" s="42" t="e">
        <v>#N/A</v>
      </c>
      <c r="CZ4790" s="42" t="e">
        <v>#N/A</v>
      </c>
      <c r="DA4790">
        <v>0.11332468572476186</v>
      </c>
      <c r="DB4790" t="str">
        <v/>
      </c>
    </row>
    <row r="4791" spans="83:106" x14ac:dyDescent="0.2">
      <c r="CE4791"/>
      <c r="CF4791"/>
      <c r="CG4791"/>
      <c r="CH4791"/>
      <c r="CI4791"/>
      <c r="CU4791" s="42">
        <v>4786</v>
      </c>
      <c r="CV4791" s="42">
        <v>4</v>
      </c>
      <c r="CW4791" s="42">
        <v>0.11332468572476186</v>
      </c>
      <c r="CX4791" s="42" t="e">
        <v>#N/A</v>
      </c>
      <c r="CY4791" s="42" t="e">
        <v>#N/A</v>
      </c>
      <c r="CZ4791" s="42" t="e">
        <v>#N/A</v>
      </c>
      <c r="DA4791">
        <v>0.11332468572476186</v>
      </c>
      <c r="DB4791" t="str">
        <v/>
      </c>
    </row>
    <row r="4792" spans="83:106" x14ac:dyDescent="0.2">
      <c r="CE4792"/>
      <c r="CF4792"/>
      <c r="CG4792"/>
      <c r="CH4792"/>
      <c r="CI4792"/>
      <c r="CU4792" s="42">
        <v>4787</v>
      </c>
      <c r="CV4792" s="42">
        <v>4</v>
      </c>
      <c r="CW4792" s="42">
        <v>0.11332468572476186</v>
      </c>
      <c r="CX4792" s="42" t="e">
        <v>#N/A</v>
      </c>
      <c r="CY4792" s="42" t="e">
        <v>#N/A</v>
      </c>
      <c r="CZ4792" s="42" t="e">
        <v>#N/A</v>
      </c>
      <c r="DA4792">
        <v>0.11332468572476186</v>
      </c>
      <c r="DB4792" t="str">
        <v/>
      </c>
    </row>
    <row r="4793" spans="83:106" x14ac:dyDescent="0.2">
      <c r="CE4793"/>
      <c r="CF4793"/>
      <c r="CG4793"/>
      <c r="CH4793"/>
      <c r="CI4793"/>
      <c r="CU4793" s="42">
        <v>4788</v>
      </c>
      <c r="CV4793" s="42">
        <v>4</v>
      </c>
      <c r="CW4793" s="42">
        <v>0.11332468572476186</v>
      </c>
      <c r="CX4793" s="42" t="e">
        <v>#N/A</v>
      </c>
      <c r="CY4793" s="42" t="e">
        <v>#N/A</v>
      </c>
      <c r="CZ4793" s="42" t="e">
        <v>#N/A</v>
      </c>
      <c r="DA4793">
        <v>0.11332468572476186</v>
      </c>
      <c r="DB4793" t="str">
        <v/>
      </c>
    </row>
    <row r="4794" spans="83:106" x14ac:dyDescent="0.2">
      <c r="CE4794"/>
      <c r="CF4794"/>
      <c r="CG4794"/>
      <c r="CH4794"/>
      <c r="CI4794"/>
      <c r="CU4794" s="42">
        <v>4789</v>
      </c>
      <c r="CV4794" s="42">
        <v>4</v>
      </c>
      <c r="CW4794" s="42">
        <v>0.11332468572476186</v>
      </c>
      <c r="CX4794" s="42" t="e">
        <v>#N/A</v>
      </c>
      <c r="CY4794" s="42" t="e">
        <v>#N/A</v>
      </c>
      <c r="CZ4794" s="42" t="e">
        <v>#N/A</v>
      </c>
      <c r="DA4794">
        <v>0.11332468572476186</v>
      </c>
      <c r="DB4794" t="str">
        <v/>
      </c>
    </row>
    <row r="4795" spans="83:106" x14ac:dyDescent="0.2">
      <c r="CE4795"/>
      <c r="CF4795"/>
      <c r="CG4795"/>
      <c r="CH4795"/>
      <c r="CI4795"/>
      <c r="CU4795" s="42">
        <v>4790</v>
      </c>
      <c r="CV4795" s="42">
        <v>4</v>
      </c>
      <c r="CW4795" s="42">
        <v>0.11332468572476186</v>
      </c>
      <c r="CX4795" s="42" t="e">
        <v>#N/A</v>
      </c>
      <c r="CY4795" s="42" t="e">
        <v>#N/A</v>
      </c>
      <c r="CZ4795" s="42" t="e">
        <v>#N/A</v>
      </c>
      <c r="DA4795">
        <v>0.11332468572476186</v>
      </c>
      <c r="DB4795" t="str">
        <v/>
      </c>
    </row>
    <row r="4796" spans="83:106" x14ac:dyDescent="0.2">
      <c r="CE4796"/>
      <c r="CF4796"/>
      <c r="CG4796"/>
      <c r="CH4796"/>
      <c r="CI4796"/>
      <c r="CU4796" s="42">
        <v>4791</v>
      </c>
      <c r="CV4796" s="42">
        <v>4</v>
      </c>
      <c r="CW4796" s="42">
        <v>0.11332468572476186</v>
      </c>
      <c r="CX4796" s="42" t="e">
        <v>#N/A</v>
      </c>
      <c r="CY4796" s="42" t="e">
        <v>#N/A</v>
      </c>
      <c r="CZ4796" s="42" t="e">
        <v>#N/A</v>
      </c>
      <c r="DA4796">
        <v>0.11332468572476186</v>
      </c>
      <c r="DB4796" t="str">
        <v/>
      </c>
    </row>
    <row r="4797" spans="83:106" x14ac:dyDescent="0.2">
      <c r="CE4797"/>
      <c r="CF4797"/>
      <c r="CG4797"/>
      <c r="CH4797"/>
      <c r="CI4797"/>
      <c r="CU4797" s="42">
        <v>4792</v>
      </c>
      <c r="CV4797" s="42">
        <v>4</v>
      </c>
      <c r="CW4797" s="42">
        <v>0.11332468572476186</v>
      </c>
      <c r="CX4797" s="42" t="e">
        <v>#N/A</v>
      </c>
      <c r="CY4797" s="42" t="e">
        <v>#N/A</v>
      </c>
      <c r="CZ4797" s="42" t="e">
        <v>#N/A</v>
      </c>
      <c r="DA4797">
        <v>0.11332468572476186</v>
      </c>
      <c r="DB4797" t="str">
        <v/>
      </c>
    </row>
    <row r="4798" spans="83:106" x14ac:dyDescent="0.2">
      <c r="CE4798"/>
      <c r="CF4798"/>
      <c r="CG4798"/>
      <c r="CH4798"/>
      <c r="CI4798"/>
      <c r="CU4798" s="42">
        <v>4793</v>
      </c>
      <c r="CV4798" s="42">
        <v>4</v>
      </c>
      <c r="CW4798" s="42">
        <v>0.11332468572476186</v>
      </c>
      <c r="CX4798" s="42" t="e">
        <v>#N/A</v>
      </c>
      <c r="CY4798" s="42" t="e">
        <v>#N/A</v>
      </c>
      <c r="CZ4798" s="42" t="e">
        <v>#N/A</v>
      </c>
      <c r="DA4798">
        <v>0.11332468572476186</v>
      </c>
      <c r="DB4798" t="str">
        <v/>
      </c>
    </row>
    <row r="4799" spans="83:106" x14ac:dyDescent="0.2">
      <c r="CE4799"/>
      <c r="CF4799"/>
      <c r="CG4799"/>
      <c r="CH4799"/>
      <c r="CI4799"/>
      <c r="CU4799" s="42">
        <v>4794</v>
      </c>
      <c r="CV4799" s="42">
        <v>4</v>
      </c>
      <c r="CW4799" s="42">
        <v>0.11332468572476186</v>
      </c>
      <c r="CX4799" s="42" t="e">
        <v>#N/A</v>
      </c>
      <c r="CY4799" s="42" t="e">
        <v>#N/A</v>
      </c>
      <c r="CZ4799" s="42" t="e">
        <v>#N/A</v>
      </c>
      <c r="DA4799">
        <v>0.11332468572476186</v>
      </c>
      <c r="DB4799" t="str">
        <v/>
      </c>
    </row>
    <row r="4800" spans="83:106" x14ac:dyDescent="0.2">
      <c r="CE4800"/>
      <c r="CF4800"/>
      <c r="CG4800"/>
      <c r="CH4800"/>
      <c r="CI4800"/>
      <c r="CU4800" s="42">
        <v>4795</v>
      </c>
      <c r="CV4800" s="42">
        <v>4</v>
      </c>
      <c r="CW4800" s="42">
        <v>0.11332468572476186</v>
      </c>
      <c r="CX4800" s="42" t="e">
        <v>#N/A</v>
      </c>
      <c r="CY4800" s="42" t="e">
        <v>#N/A</v>
      </c>
      <c r="CZ4800" s="42" t="e">
        <v>#N/A</v>
      </c>
      <c r="DA4800">
        <v>0.11332468572476186</v>
      </c>
      <c r="DB4800" t="str">
        <v/>
      </c>
    </row>
    <row r="4801" spans="83:106" x14ac:dyDescent="0.2">
      <c r="CE4801"/>
      <c r="CF4801"/>
      <c r="CG4801"/>
      <c r="CH4801"/>
      <c r="CI4801"/>
      <c r="CU4801" s="42">
        <v>4796</v>
      </c>
      <c r="CV4801" s="42">
        <v>4</v>
      </c>
      <c r="CW4801" s="42">
        <v>0.11332468572476186</v>
      </c>
      <c r="CX4801" s="42" t="e">
        <v>#N/A</v>
      </c>
      <c r="CY4801" s="42" t="e">
        <v>#N/A</v>
      </c>
      <c r="CZ4801" s="42" t="e">
        <v>#N/A</v>
      </c>
      <c r="DA4801">
        <v>0.11332468572476186</v>
      </c>
      <c r="DB4801" t="str">
        <v/>
      </c>
    </row>
    <row r="4802" spans="83:106" x14ac:dyDescent="0.2">
      <c r="CE4802"/>
      <c r="CF4802"/>
      <c r="CG4802"/>
      <c r="CH4802"/>
      <c r="CI4802"/>
      <c r="CU4802" s="42">
        <v>4797</v>
      </c>
      <c r="CV4802" s="42">
        <v>4</v>
      </c>
      <c r="CW4802" s="42">
        <v>0.11332468572476186</v>
      </c>
      <c r="CX4802" s="42" t="e">
        <v>#N/A</v>
      </c>
      <c r="CY4802" s="42" t="e">
        <v>#N/A</v>
      </c>
      <c r="CZ4802" s="42" t="e">
        <v>#N/A</v>
      </c>
      <c r="DA4802">
        <v>0.11332468572476186</v>
      </c>
      <c r="DB4802" t="str">
        <v/>
      </c>
    </row>
    <row r="4803" spans="83:106" x14ac:dyDescent="0.2">
      <c r="CE4803"/>
      <c r="CF4803"/>
      <c r="CG4803"/>
      <c r="CH4803"/>
      <c r="CI4803"/>
      <c r="CU4803" s="42">
        <v>4798</v>
      </c>
      <c r="CV4803" s="42">
        <v>4</v>
      </c>
      <c r="CW4803" s="42">
        <v>0.11332468572476186</v>
      </c>
      <c r="CX4803" s="42" t="e">
        <v>#N/A</v>
      </c>
      <c r="CY4803" s="42" t="e">
        <v>#N/A</v>
      </c>
      <c r="CZ4803" s="42" t="e">
        <v>#N/A</v>
      </c>
      <c r="DA4803">
        <v>0.11332468572476186</v>
      </c>
      <c r="DB4803" t="str">
        <v/>
      </c>
    </row>
    <row r="4804" spans="83:106" x14ac:dyDescent="0.2">
      <c r="CE4804"/>
      <c r="CF4804"/>
      <c r="CG4804"/>
      <c r="CH4804"/>
      <c r="CI4804"/>
      <c r="CU4804" s="42">
        <v>4799</v>
      </c>
      <c r="CV4804" s="42">
        <v>4</v>
      </c>
      <c r="CW4804" s="42">
        <v>0.11332468572476186</v>
      </c>
      <c r="CX4804" s="42" t="e">
        <v>#N/A</v>
      </c>
      <c r="CY4804" s="42" t="e">
        <v>#N/A</v>
      </c>
      <c r="CZ4804" s="42" t="e">
        <v>#N/A</v>
      </c>
      <c r="DA4804">
        <v>0.11332468572476186</v>
      </c>
      <c r="DB4804" t="str">
        <v/>
      </c>
    </row>
    <row r="4805" spans="83:106" x14ac:dyDescent="0.2">
      <c r="CE4805"/>
      <c r="CF4805"/>
      <c r="CG4805"/>
      <c r="CH4805"/>
      <c r="CI4805"/>
      <c r="CU4805" s="42">
        <v>4800</v>
      </c>
      <c r="CV4805" s="42">
        <v>4</v>
      </c>
      <c r="CW4805" s="42">
        <v>0.11332468572476186</v>
      </c>
      <c r="CX4805" s="42" t="e">
        <v>#N/A</v>
      </c>
      <c r="CY4805" s="42" t="e">
        <v>#N/A</v>
      </c>
      <c r="CZ4805" s="42" t="e">
        <v>#N/A</v>
      </c>
      <c r="DA4805">
        <v>0.11332468572476186</v>
      </c>
      <c r="DB4805" t="str">
        <v/>
      </c>
    </row>
    <row r="4806" spans="83:106" x14ac:dyDescent="0.2">
      <c r="CE4806"/>
      <c r="CF4806"/>
      <c r="CG4806"/>
      <c r="CH4806"/>
      <c r="CI4806"/>
      <c r="CU4806" s="42">
        <v>4801</v>
      </c>
      <c r="CV4806" s="42">
        <v>4</v>
      </c>
      <c r="CW4806" s="42">
        <v>0.11332468572476186</v>
      </c>
      <c r="CX4806" s="42" t="e">
        <v>#N/A</v>
      </c>
      <c r="CY4806" s="42" t="e">
        <v>#N/A</v>
      </c>
      <c r="CZ4806" s="42" t="e">
        <v>#N/A</v>
      </c>
      <c r="DA4806">
        <v>0.11332468572476186</v>
      </c>
      <c r="DB4806" t="str">
        <v/>
      </c>
    </row>
    <row r="4807" spans="83:106" x14ac:dyDescent="0.2">
      <c r="CE4807"/>
      <c r="CF4807"/>
      <c r="CG4807"/>
      <c r="CH4807"/>
      <c r="CI4807"/>
      <c r="CU4807" s="42">
        <v>4802</v>
      </c>
      <c r="CV4807" s="42">
        <v>4</v>
      </c>
      <c r="CW4807" s="42">
        <v>0.11332468572476186</v>
      </c>
      <c r="CX4807" s="42" t="e">
        <v>#N/A</v>
      </c>
      <c r="CY4807" s="42" t="e">
        <v>#N/A</v>
      </c>
      <c r="CZ4807" s="42" t="e">
        <v>#N/A</v>
      </c>
      <c r="DA4807">
        <v>0.11332468572476186</v>
      </c>
      <c r="DB4807" t="str">
        <v/>
      </c>
    </row>
    <row r="4808" spans="83:106" x14ac:dyDescent="0.2">
      <c r="CE4808"/>
      <c r="CF4808"/>
      <c r="CG4808"/>
      <c r="CH4808"/>
      <c r="CI4808"/>
      <c r="CU4808" s="42">
        <v>4803</v>
      </c>
      <c r="CV4808" s="42">
        <v>4</v>
      </c>
      <c r="CW4808" s="42">
        <v>0.11332468572476186</v>
      </c>
      <c r="CX4808" s="42" t="e">
        <v>#N/A</v>
      </c>
      <c r="CY4808" s="42" t="e">
        <v>#N/A</v>
      </c>
      <c r="CZ4808" s="42" t="e">
        <v>#N/A</v>
      </c>
      <c r="DA4808">
        <v>0.11332468572476186</v>
      </c>
      <c r="DB4808" t="str">
        <v/>
      </c>
    </row>
    <row r="4809" spans="83:106" x14ac:dyDescent="0.2">
      <c r="CE4809"/>
      <c r="CF4809"/>
      <c r="CG4809"/>
      <c r="CH4809"/>
      <c r="CI4809"/>
      <c r="CU4809" s="42">
        <v>4804</v>
      </c>
      <c r="CV4809" s="42">
        <v>4</v>
      </c>
      <c r="CW4809" s="42">
        <v>0.11332468572476186</v>
      </c>
      <c r="CX4809" s="42" t="e">
        <v>#N/A</v>
      </c>
      <c r="CY4809" s="42" t="e">
        <v>#N/A</v>
      </c>
      <c r="CZ4809" s="42" t="e">
        <v>#N/A</v>
      </c>
      <c r="DA4809">
        <v>0.11332468572476186</v>
      </c>
      <c r="DB4809" t="str">
        <v/>
      </c>
    </row>
    <row r="4810" spans="83:106" x14ac:dyDescent="0.2">
      <c r="CE4810"/>
      <c r="CF4810"/>
      <c r="CG4810"/>
      <c r="CH4810"/>
      <c r="CI4810"/>
      <c r="CU4810" s="42">
        <v>4805</v>
      </c>
      <c r="CV4810" s="42">
        <v>4</v>
      </c>
      <c r="CW4810" s="42">
        <v>0.11332468572476186</v>
      </c>
      <c r="CX4810" s="42" t="e">
        <v>#N/A</v>
      </c>
      <c r="CY4810" s="42" t="e">
        <v>#N/A</v>
      </c>
      <c r="CZ4810" s="42" t="e">
        <v>#N/A</v>
      </c>
      <c r="DA4810">
        <v>0.11332468572476186</v>
      </c>
      <c r="DB4810" t="str">
        <v/>
      </c>
    </row>
    <row r="4811" spans="83:106" x14ac:dyDescent="0.2">
      <c r="CE4811"/>
      <c r="CF4811"/>
      <c r="CG4811"/>
      <c r="CH4811"/>
      <c r="CI4811"/>
      <c r="CU4811" s="42">
        <v>4806</v>
      </c>
      <c r="CV4811" s="42">
        <v>4</v>
      </c>
      <c r="CW4811" s="42">
        <v>0.11332468572476186</v>
      </c>
      <c r="CX4811" s="42" t="e">
        <v>#N/A</v>
      </c>
      <c r="CY4811" s="42" t="e">
        <v>#N/A</v>
      </c>
      <c r="CZ4811" s="42" t="e">
        <v>#N/A</v>
      </c>
      <c r="DA4811">
        <v>0.11332468572476186</v>
      </c>
      <c r="DB4811" t="str">
        <v/>
      </c>
    </row>
    <row r="4812" spans="83:106" x14ac:dyDescent="0.2">
      <c r="CE4812"/>
      <c r="CF4812"/>
      <c r="CG4812"/>
      <c r="CH4812"/>
      <c r="CI4812"/>
      <c r="CU4812" s="42">
        <v>4807</v>
      </c>
      <c r="CV4812" s="42">
        <v>4</v>
      </c>
      <c r="CW4812" s="42">
        <v>0.11332468572476186</v>
      </c>
      <c r="CX4812" s="42" t="e">
        <v>#N/A</v>
      </c>
      <c r="CY4812" s="42" t="e">
        <v>#N/A</v>
      </c>
      <c r="CZ4812" s="42" t="e">
        <v>#N/A</v>
      </c>
      <c r="DA4812">
        <v>0.11332468572476186</v>
      </c>
      <c r="DB4812" t="str">
        <v/>
      </c>
    </row>
    <row r="4813" spans="83:106" x14ac:dyDescent="0.2">
      <c r="CE4813"/>
      <c r="CF4813"/>
      <c r="CG4813"/>
      <c r="CH4813"/>
      <c r="CI4813"/>
      <c r="CU4813" s="42">
        <v>4808</v>
      </c>
      <c r="CV4813" s="42">
        <v>4</v>
      </c>
      <c r="CW4813" s="42">
        <v>0.11332468572476186</v>
      </c>
      <c r="CX4813" s="42" t="e">
        <v>#N/A</v>
      </c>
      <c r="CY4813" s="42" t="e">
        <v>#N/A</v>
      </c>
      <c r="CZ4813" s="42" t="e">
        <v>#N/A</v>
      </c>
      <c r="DA4813">
        <v>0.11332468572476186</v>
      </c>
      <c r="DB4813" t="str">
        <v/>
      </c>
    </row>
    <row r="4814" spans="83:106" x14ac:dyDescent="0.2">
      <c r="CE4814"/>
      <c r="CF4814"/>
      <c r="CG4814"/>
      <c r="CH4814"/>
      <c r="CI4814"/>
      <c r="CU4814" s="42">
        <v>4809</v>
      </c>
      <c r="CV4814" s="42">
        <v>4</v>
      </c>
      <c r="CW4814" s="42">
        <v>0.11332468572476186</v>
      </c>
      <c r="CX4814" s="42" t="e">
        <v>#N/A</v>
      </c>
      <c r="CY4814" s="42" t="e">
        <v>#N/A</v>
      </c>
      <c r="CZ4814" s="42" t="e">
        <v>#N/A</v>
      </c>
      <c r="DA4814">
        <v>0.11332468572476186</v>
      </c>
      <c r="DB4814" t="str">
        <v/>
      </c>
    </row>
    <row r="4815" spans="83:106" x14ac:dyDescent="0.2">
      <c r="CE4815"/>
      <c r="CF4815"/>
      <c r="CG4815"/>
      <c r="CH4815"/>
      <c r="CI4815"/>
      <c r="CU4815" s="42">
        <v>4810</v>
      </c>
      <c r="CV4815" s="42">
        <v>4</v>
      </c>
      <c r="CW4815" s="42">
        <v>0.11332468572476186</v>
      </c>
      <c r="CX4815" s="42" t="e">
        <v>#N/A</v>
      </c>
      <c r="CY4815" s="42" t="e">
        <v>#N/A</v>
      </c>
      <c r="CZ4815" s="42" t="e">
        <v>#N/A</v>
      </c>
      <c r="DA4815">
        <v>0.11332468572476186</v>
      </c>
      <c r="DB4815" t="str">
        <v/>
      </c>
    </row>
    <row r="4816" spans="83:106" x14ac:dyDescent="0.2">
      <c r="CE4816"/>
      <c r="CF4816"/>
      <c r="CG4816"/>
      <c r="CH4816"/>
      <c r="CI4816"/>
      <c r="CU4816" s="42">
        <v>4811</v>
      </c>
      <c r="CV4816" s="42">
        <v>4</v>
      </c>
      <c r="CW4816" s="42">
        <v>0.11332468572476186</v>
      </c>
      <c r="CX4816" s="42" t="e">
        <v>#N/A</v>
      </c>
      <c r="CY4816" s="42" t="e">
        <v>#N/A</v>
      </c>
      <c r="CZ4816" s="42" t="e">
        <v>#N/A</v>
      </c>
      <c r="DA4816">
        <v>0.11332468572476186</v>
      </c>
      <c r="DB4816" t="str">
        <v/>
      </c>
    </row>
    <row r="4817" spans="83:106" x14ac:dyDescent="0.2">
      <c r="CE4817"/>
      <c r="CF4817"/>
      <c r="CG4817"/>
      <c r="CH4817"/>
      <c r="CI4817"/>
      <c r="CU4817" s="42">
        <v>4812</v>
      </c>
      <c r="CV4817" s="42">
        <v>4</v>
      </c>
      <c r="CW4817" s="42">
        <v>0.11332468572476186</v>
      </c>
      <c r="CX4817" s="42" t="e">
        <v>#N/A</v>
      </c>
      <c r="CY4817" s="42" t="e">
        <v>#N/A</v>
      </c>
      <c r="CZ4817" s="42" t="e">
        <v>#N/A</v>
      </c>
      <c r="DA4817">
        <v>0.11332468572476186</v>
      </c>
      <c r="DB4817" t="str">
        <v/>
      </c>
    </row>
    <row r="4818" spans="83:106" x14ac:dyDescent="0.2">
      <c r="CE4818"/>
      <c r="CF4818"/>
      <c r="CG4818"/>
      <c r="CH4818"/>
      <c r="CI4818"/>
      <c r="CU4818" s="42">
        <v>4813</v>
      </c>
      <c r="CV4818" s="42">
        <v>4</v>
      </c>
      <c r="CW4818" s="42">
        <v>0.11332468572476186</v>
      </c>
      <c r="CX4818" s="42" t="e">
        <v>#N/A</v>
      </c>
      <c r="CY4818" s="42" t="e">
        <v>#N/A</v>
      </c>
      <c r="CZ4818" s="42" t="e">
        <v>#N/A</v>
      </c>
      <c r="DA4818">
        <v>0.11332468572476186</v>
      </c>
      <c r="DB4818" t="str">
        <v/>
      </c>
    </row>
    <row r="4819" spans="83:106" x14ac:dyDescent="0.2">
      <c r="CE4819"/>
      <c r="CF4819"/>
      <c r="CG4819"/>
      <c r="CH4819"/>
      <c r="CI4819"/>
      <c r="CU4819" s="42">
        <v>4814</v>
      </c>
      <c r="CV4819" s="42">
        <v>4</v>
      </c>
      <c r="CW4819" s="42">
        <v>0.11332468572476186</v>
      </c>
      <c r="CX4819" s="42" t="e">
        <v>#N/A</v>
      </c>
      <c r="CY4819" s="42" t="e">
        <v>#N/A</v>
      </c>
      <c r="CZ4819" s="42" t="e">
        <v>#N/A</v>
      </c>
      <c r="DA4819">
        <v>0.11332468572476186</v>
      </c>
      <c r="DB4819" t="str">
        <v/>
      </c>
    </row>
    <row r="4820" spans="83:106" x14ac:dyDescent="0.2">
      <c r="CE4820"/>
      <c r="CF4820"/>
      <c r="CG4820"/>
      <c r="CH4820"/>
      <c r="CI4820"/>
      <c r="CU4820" s="42">
        <v>4815</v>
      </c>
      <c r="CV4820" s="42">
        <v>4</v>
      </c>
      <c r="CW4820" s="42">
        <v>0.11332468572476186</v>
      </c>
      <c r="CX4820" s="42" t="e">
        <v>#N/A</v>
      </c>
      <c r="CY4820" s="42" t="e">
        <v>#N/A</v>
      </c>
      <c r="CZ4820" s="42" t="e">
        <v>#N/A</v>
      </c>
      <c r="DA4820">
        <v>0.11332468572476186</v>
      </c>
      <c r="DB4820" t="str">
        <v/>
      </c>
    </row>
    <row r="4821" spans="83:106" x14ac:dyDescent="0.2">
      <c r="CE4821"/>
      <c r="CF4821"/>
      <c r="CG4821"/>
      <c r="CH4821"/>
      <c r="CI4821"/>
      <c r="CU4821" s="42">
        <v>4816</v>
      </c>
      <c r="CV4821" s="42">
        <v>4</v>
      </c>
      <c r="CW4821" s="42">
        <v>0.11332468572476186</v>
      </c>
      <c r="CX4821" s="42" t="e">
        <v>#N/A</v>
      </c>
      <c r="CY4821" s="42" t="e">
        <v>#N/A</v>
      </c>
      <c r="CZ4821" s="42" t="e">
        <v>#N/A</v>
      </c>
      <c r="DA4821">
        <v>0.11332468572476186</v>
      </c>
      <c r="DB4821" t="str">
        <v/>
      </c>
    </row>
    <row r="4822" spans="83:106" x14ac:dyDescent="0.2">
      <c r="CE4822"/>
      <c r="CF4822"/>
      <c r="CG4822"/>
      <c r="CH4822"/>
      <c r="CI4822"/>
      <c r="CU4822" s="42">
        <v>4817</v>
      </c>
      <c r="CV4822" s="42">
        <v>4</v>
      </c>
      <c r="CW4822" s="42">
        <v>0.11332468572476186</v>
      </c>
      <c r="CX4822" s="42" t="e">
        <v>#N/A</v>
      </c>
      <c r="CY4822" s="42" t="e">
        <v>#N/A</v>
      </c>
      <c r="CZ4822" s="42" t="e">
        <v>#N/A</v>
      </c>
      <c r="DA4822">
        <v>0.11332468572476186</v>
      </c>
      <c r="DB4822" t="str">
        <v/>
      </c>
    </row>
    <row r="4823" spans="83:106" x14ac:dyDescent="0.2">
      <c r="CE4823"/>
      <c r="CF4823"/>
      <c r="CG4823"/>
      <c r="CH4823"/>
      <c r="CI4823"/>
      <c r="CU4823" s="42">
        <v>4818</v>
      </c>
      <c r="CV4823" s="42">
        <v>4</v>
      </c>
      <c r="CW4823" s="42">
        <v>0.11332468572476186</v>
      </c>
      <c r="CX4823" s="42" t="e">
        <v>#N/A</v>
      </c>
      <c r="CY4823" s="42" t="e">
        <v>#N/A</v>
      </c>
      <c r="CZ4823" s="42" t="e">
        <v>#N/A</v>
      </c>
      <c r="DA4823">
        <v>0.11332468572476186</v>
      </c>
      <c r="DB4823" t="str">
        <v/>
      </c>
    </row>
    <row r="4824" spans="83:106" x14ac:dyDescent="0.2">
      <c r="CE4824"/>
      <c r="CF4824"/>
      <c r="CG4824"/>
      <c r="CH4824"/>
      <c r="CI4824"/>
      <c r="CU4824" s="42">
        <v>4819</v>
      </c>
      <c r="CV4824" s="42">
        <v>4</v>
      </c>
      <c r="CW4824" s="42">
        <v>0.11332468572476186</v>
      </c>
      <c r="CX4824" s="42" t="e">
        <v>#N/A</v>
      </c>
      <c r="CY4824" s="42" t="e">
        <v>#N/A</v>
      </c>
      <c r="CZ4824" s="42" t="e">
        <v>#N/A</v>
      </c>
      <c r="DA4824">
        <v>0.11332468572476186</v>
      </c>
      <c r="DB4824" t="str">
        <v/>
      </c>
    </row>
    <row r="4825" spans="83:106" x14ac:dyDescent="0.2">
      <c r="CE4825"/>
      <c r="CF4825"/>
      <c r="CG4825"/>
      <c r="CH4825"/>
      <c r="CI4825"/>
      <c r="CU4825" s="42">
        <v>4820</v>
      </c>
      <c r="CV4825" s="42">
        <v>4</v>
      </c>
      <c r="CW4825" s="42">
        <v>0.11332468572476186</v>
      </c>
      <c r="CX4825" s="42" t="e">
        <v>#N/A</v>
      </c>
      <c r="CY4825" s="42" t="e">
        <v>#N/A</v>
      </c>
      <c r="CZ4825" s="42" t="e">
        <v>#N/A</v>
      </c>
      <c r="DA4825">
        <v>0.11332468572476186</v>
      </c>
      <c r="DB4825" t="str">
        <v/>
      </c>
    </row>
    <row r="4826" spans="83:106" x14ac:dyDescent="0.2">
      <c r="CE4826"/>
      <c r="CF4826"/>
      <c r="CG4826"/>
      <c r="CH4826"/>
      <c r="CI4826"/>
      <c r="CU4826" s="42">
        <v>4821</v>
      </c>
      <c r="CV4826" s="42">
        <v>4</v>
      </c>
      <c r="CW4826" s="42">
        <v>0.11332468572476186</v>
      </c>
      <c r="CX4826" s="42" t="e">
        <v>#N/A</v>
      </c>
      <c r="CY4826" s="42" t="e">
        <v>#N/A</v>
      </c>
      <c r="CZ4826" s="42" t="e">
        <v>#N/A</v>
      </c>
      <c r="DA4826">
        <v>0.11332468572476186</v>
      </c>
      <c r="DB4826" t="str">
        <v/>
      </c>
    </row>
    <row r="4827" spans="83:106" x14ac:dyDescent="0.2">
      <c r="CE4827"/>
      <c r="CF4827"/>
      <c r="CG4827"/>
      <c r="CH4827"/>
      <c r="CI4827"/>
      <c r="CU4827" s="42">
        <v>4822</v>
      </c>
      <c r="CV4827" s="42">
        <v>4</v>
      </c>
      <c r="CW4827" s="42">
        <v>0.11332468572476186</v>
      </c>
      <c r="CX4827" s="42" t="e">
        <v>#N/A</v>
      </c>
      <c r="CY4827" s="42" t="e">
        <v>#N/A</v>
      </c>
      <c r="CZ4827" s="42" t="e">
        <v>#N/A</v>
      </c>
      <c r="DA4827">
        <v>0.11332468572476186</v>
      </c>
      <c r="DB4827" t="str">
        <v/>
      </c>
    </row>
    <row r="4828" spans="83:106" x14ac:dyDescent="0.2">
      <c r="CE4828"/>
      <c r="CF4828"/>
      <c r="CG4828"/>
      <c r="CH4828"/>
      <c r="CI4828"/>
      <c r="CU4828" s="42">
        <v>4823</v>
      </c>
      <c r="CV4828" s="42">
        <v>4</v>
      </c>
      <c r="CW4828" s="42">
        <v>0.11332468572476186</v>
      </c>
      <c r="CX4828" s="42" t="e">
        <v>#N/A</v>
      </c>
      <c r="CY4828" s="42" t="e">
        <v>#N/A</v>
      </c>
      <c r="CZ4828" s="42" t="e">
        <v>#N/A</v>
      </c>
      <c r="DA4828">
        <v>0.11332468572476186</v>
      </c>
      <c r="DB4828" t="str">
        <v/>
      </c>
    </row>
    <row r="4829" spans="83:106" x14ac:dyDescent="0.2">
      <c r="CE4829"/>
      <c r="CF4829"/>
      <c r="CG4829"/>
      <c r="CH4829"/>
      <c r="CI4829"/>
      <c r="CU4829" s="42">
        <v>4824</v>
      </c>
      <c r="CV4829" s="42">
        <v>4</v>
      </c>
      <c r="CW4829" s="42">
        <v>0.11332468572476186</v>
      </c>
      <c r="CX4829" s="42" t="e">
        <v>#N/A</v>
      </c>
      <c r="CY4829" s="42" t="e">
        <v>#N/A</v>
      </c>
      <c r="CZ4829" s="42" t="e">
        <v>#N/A</v>
      </c>
      <c r="DA4829">
        <v>0.11332468572476186</v>
      </c>
      <c r="DB4829" t="str">
        <v/>
      </c>
    </row>
    <row r="4830" spans="83:106" x14ac:dyDescent="0.2">
      <c r="CE4830"/>
      <c r="CF4830"/>
      <c r="CG4830"/>
      <c r="CH4830"/>
      <c r="CI4830"/>
      <c r="CU4830" s="42">
        <v>4825</v>
      </c>
      <c r="CV4830" s="42">
        <v>4</v>
      </c>
      <c r="CW4830" s="42">
        <v>0.11332468572476186</v>
      </c>
      <c r="CX4830" s="42" t="e">
        <v>#N/A</v>
      </c>
      <c r="CY4830" s="42" t="e">
        <v>#N/A</v>
      </c>
      <c r="CZ4830" s="42" t="e">
        <v>#N/A</v>
      </c>
      <c r="DA4830">
        <v>0.11332468572476186</v>
      </c>
      <c r="DB4830" t="str">
        <v/>
      </c>
    </row>
    <row r="4831" spans="83:106" x14ac:dyDescent="0.2">
      <c r="CE4831"/>
      <c r="CF4831"/>
      <c r="CG4831"/>
      <c r="CH4831"/>
      <c r="CI4831"/>
      <c r="CU4831" s="42">
        <v>4826</v>
      </c>
      <c r="CV4831" s="42">
        <v>4</v>
      </c>
      <c r="CW4831" s="42">
        <v>0.11332468572476186</v>
      </c>
      <c r="CX4831" s="42" t="e">
        <v>#N/A</v>
      </c>
      <c r="CY4831" s="42" t="e">
        <v>#N/A</v>
      </c>
      <c r="CZ4831" s="42" t="e">
        <v>#N/A</v>
      </c>
      <c r="DA4831">
        <v>0.11332468572476186</v>
      </c>
      <c r="DB4831" t="str">
        <v/>
      </c>
    </row>
    <row r="4832" spans="83:106" x14ac:dyDescent="0.2">
      <c r="CE4832"/>
      <c r="CF4832"/>
      <c r="CG4832"/>
      <c r="CH4832"/>
      <c r="CI4832"/>
      <c r="CU4832" s="42">
        <v>4827</v>
      </c>
      <c r="CV4832" s="42">
        <v>4</v>
      </c>
      <c r="CW4832" s="42">
        <v>0.11332468572476186</v>
      </c>
      <c r="CX4832" s="42" t="e">
        <v>#N/A</v>
      </c>
      <c r="CY4832" s="42" t="e">
        <v>#N/A</v>
      </c>
      <c r="CZ4832" s="42" t="e">
        <v>#N/A</v>
      </c>
      <c r="DA4832">
        <v>0.11332468572476186</v>
      </c>
      <c r="DB4832" t="str">
        <v/>
      </c>
    </row>
    <row r="4833" spans="83:106" x14ac:dyDescent="0.2">
      <c r="CE4833"/>
      <c r="CF4833"/>
      <c r="CG4833"/>
      <c r="CH4833"/>
      <c r="CI4833"/>
      <c r="CU4833" s="42">
        <v>4828</v>
      </c>
      <c r="CV4833" s="42">
        <v>4</v>
      </c>
      <c r="CW4833" s="42">
        <v>0.11332468572476186</v>
      </c>
      <c r="CX4833" s="42" t="e">
        <v>#N/A</v>
      </c>
      <c r="CY4833" s="42" t="e">
        <v>#N/A</v>
      </c>
      <c r="CZ4833" s="42" t="e">
        <v>#N/A</v>
      </c>
      <c r="DA4833">
        <v>0.11332468572476186</v>
      </c>
      <c r="DB4833" t="str">
        <v/>
      </c>
    </row>
    <row r="4834" spans="83:106" x14ac:dyDescent="0.2">
      <c r="CE4834"/>
      <c r="CF4834"/>
      <c r="CG4834"/>
      <c r="CH4834"/>
      <c r="CI4834"/>
      <c r="CU4834" s="42">
        <v>4829</v>
      </c>
      <c r="CV4834" s="42">
        <v>4</v>
      </c>
      <c r="CW4834" s="42">
        <v>0.11332468572476186</v>
      </c>
      <c r="CX4834" s="42" t="e">
        <v>#N/A</v>
      </c>
      <c r="CY4834" s="42" t="e">
        <v>#N/A</v>
      </c>
      <c r="CZ4834" s="42" t="e">
        <v>#N/A</v>
      </c>
      <c r="DA4834">
        <v>0.11332468572476186</v>
      </c>
      <c r="DB4834" t="str">
        <v/>
      </c>
    </row>
    <row r="4835" spans="83:106" x14ac:dyDescent="0.2">
      <c r="CE4835"/>
      <c r="CF4835"/>
      <c r="CG4835"/>
      <c r="CH4835"/>
      <c r="CI4835"/>
      <c r="CU4835" s="42">
        <v>4830</v>
      </c>
      <c r="CV4835" s="42">
        <v>4</v>
      </c>
      <c r="CW4835" s="42">
        <v>0.11332468572476186</v>
      </c>
      <c r="CX4835" s="42" t="e">
        <v>#N/A</v>
      </c>
      <c r="CY4835" s="42" t="e">
        <v>#N/A</v>
      </c>
      <c r="CZ4835" s="42" t="e">
        <v>#N/A</v>
      </c>
      <c r="DA4835">
        <v>0.11332468572476186</v>
      </c>
      <c r="DB4835" t="str">
        <v/>
      </c>
    </row>
    <row r="4836" spans="83:106" x14ac:dyDescent="0.2">
      <c r="CE4836"/>
      <c r="CF4836"/>
      <c r="CG4836"/>
      <c r="CH4836"/>
      <c r="CI4836"/>
      <c r="CU4836" s="42">
        <v>4831</v>
      </c>
      <c r="CV4836" s="42">
        <v>4</v>
      </c>
      <c r="CW4836" s="42">
        <v>0.11332468572476186</v>
      </c>
      <c r="CX4836" s="42" t="e">
        <v>#N/A</v>
      </c>
      <c r="CY4836" s="42" t="e">
        <v>#N/A</v>
      </c>
      <c r="CZ4836" s="42" t="e">
        <v>#N/A</v>
      </c>
      <c r="DA4836">
        <v>0.11332468572476186</v>
      </c>
      <c r="DB4836" t="str">
        <v/>
      </c>
    </row>
    <row r="4837" spans="83:106" x14ac:dyDescent="0.2">
      <c r="CE4837"/>
      <c r="CF4837"/>
      <c r="CG4837"/>
      <c r="CH4837"/>
      <c r="CI4837"/>
      <c r="CU4837" s="42">
        <v>4832</v>
      </c>
      <c r="CV4837" s="42">
        <v>4</v>
      </c>
      <c r="CW4837" s="42">
        <v>0.11332468572476186</v>
      </c>
      <c r="CX4837" s="42" t="e">
        <v>#N/A</v>
      </c>
      <c r="CY4837" s="42" t="e">
        <v>#N/A</v>
      </c>
      <c r="CZ4837" s="42" t="e">
        <v>#N/A</v>
      </c>
      <c r="DA4837">
        <v>0.11332468572476186</v>
      </c>
      <c r="DB4837" t="str">
        <v/>
      </c>
    </row>
    <row r="4838" spans="83:106" x14ac:dyDescent="0.2">
      <c r="CE4838"/>
      <c r="CF4838"/>
      <c r="CG4838"/>
      <c r="CH4838"/>
      <c r="CI4838"/>
      <c r="CU4838" s="42">
        <v>4833</v>
      </c>
      <c r="CV4838" s="42">
        <v>4</v>
      </c>
      <c r="CW4838" s="42">
        <v>0.11332468572476186</v>
      </c>
      <c r="CX4838" s="42" t="e">
        <v>#N/A</v>
      </c>
      <c r="CY4838" s="42" t="e">
        <v>#N/A</v>
      </c>
      <c r="CZ4838" s="42" t="e">
        <v>#N/A</v>
      </c>
      <c r="DA4838">
        <v>0.11332468572476186</v>
      </c>
      <c r="DB4838" t="str">
        <v/>
      </c>
    </row>
    <row r="4839" spans="83:106" x14ac:dyDescent="0.2">
      <c r="CE4839"/>
      <c r="CF4839"/>
      <c r="CG4839"/>
      <c r="CH4839"/>
      <c r="CI4839"/>
      <c r="CU4839" s="42">
        <v>4834</v>
      </c>
      <c r="CV4839" s="42">
        <v>4</v>
      </c>
      <c r="CW4839" s="42">
        <v>0.11332468572476186</v>
      </c>
      <c r="CX4839" s="42" t="e">
        <v>#N/A</v>
      </c>
      <c r="CY4839" s="42" t="e">
        <v>#N/A</v>
      </c>
      <c r="CZ4839" s="42" t="e">
        <v>#N/A</v>
      </c>
      <c r="DA4839">
        <v>0.11332468572476186</v>
      </c>
      <c r="DB4839" t="str">
        <v/>
      </c>
    </row>
    <row r="4840" spans="83:106" x14ac:dyDescent="0.2">
      <c r="CE4840"/>
      <c r="CF4840"/>
      <c r="CG4840"/>
      <c r="CH4840"/>
      <c r="CI4840"/>
      <c r="CU4840" s="42">
        <v>4835</v>
      </c>
      <c r="CV4840" s="42">
        <v>4</v>
      </c>
      <c r="CW4840" s="42">
        <v>0.11332468572476186</v>
      </c>
      <c r="CX4840" s="42" t="e">
        <v>#N/A</v>
      </c>
      <c r="CY4840" s="42" t="e">
        <v>#N/A</v>
      </c>
      <c r="CZ4840" s="42" t="e">
        <v>#N/A</v>
      </c>
      <c r="DA4840">
        <v>0.11332468572476186</v>
      </c>
      <c r="DB4840" t="str">
        <v/>
      </c>
    </row>
    <row r="4841" spans="83:106" x14ac:dyDescent="0.2">
      <c r="CE4841"/>
      <c r="CF4841"/>
      <c r="CG4841"/>
      <c r="CH4841"/>
      <c r="CI4841"/>
      <c r="CU4841" s="42">
        <v>4836</v>
      </c>
      <c r="CV4841" s="42">
        <v>4</v>
      </c>
      <c r="CW4841" s="42">
        <v>0.11332468572476186</v>
      </c>
      <c r="CX4841" s="42" t="e">
        <v>#N/A</v>
      </c>
      <c r="CY4841" s="42" t="e">
        <v>#N/A</v>
      </c>
      <c r="CZ4841" s="42" t="e">
        <v>#N/A</v>
      </c>
      <c r="DA4841">
        <v>0.11332468572476186</v>
      </c>
      <c r="DB4841" t="str">
        <v/>
      </c>
    </row>
    <row r="4842" spans="83:106" x14ac:dyDescent="0.2">
      <c r="CE4842"/>
      <c r="CF4842"/>
      <c r="CG4842"/>
      <c r="CH4842"/>
      <c r="CI4842"/>
      <c r="CU4842" s="42">
        <v>4837</v>
      </c>
      <c r="CV4842" s="42">
        <v>4</v>
      </c>
      <c r="CW4842" s="42">
        <v>0.11332468572476186</v>
      </c>
      <c r="CX4842" s="42" t="e">
        <v>#N/A</v>
      </c>
      <c r="CY4842" s="42" t="e">
        <v>#N/A</v>
      </c>
      <c r="CZ4842" s="42" t="e">
        <v>#N/A</v>
      </c>
      <c r="DA4842">
        <v>0.11332468572476186</v>
      </c>
      <c r="DB4842" t="str">
        <v/>
      </c>
    </row>
    <row r="4843" spans="83:106" x14ac:dyDescent="0.2">
      <c r="CE4843"/>
      <c r="CF4843"/>
      <c r="CG4843"/>
      <c r="CH4843"/>
      <c r="CI4843"/>
      <c r="CU4843" s="42">
        <v>4838</v>
      </c>
      <c r="CV4843" s="42">
        <v>4</v>
      </c>
      <c r="CW4843" s="42">
        <v>0.11332468572476186</v>
      </c>
      <c r="CX4843" s="42" t="e">
        <v>#N/A</v>
      </c>
      <c r="CY4843" s="42" t="e">
        <v>#N/A</v>
      </c>
      <c r="CZ4843" s="42" t="e">
        <v>#N/A</v>
      </c>
      <c r="DA4843">
        <v>0.11332468572476186</v>
      </c>
      <c r="DB4843" t="str">
        <v/>
      </c>
    </row>
    <row r="4844" spans="83:106" x14ac:dyDescent="0.2">
      <c r="CE4844"/>
      <c r="CF4844"/>
      <c r="CG4844"/>
      <c r="CH4844"/>
      <c r="CI4844"/>
      <c r="CU4844" s="42">
        <v>4839</v>
      </c>
      <c r="CV4844" s="42">
        <v>4</v>
      </c>
      <c r="CW4844" s="42">
        <v>0.11332468572476186</v>
      </c>
      <c r="CX4844" s="42" t="e">
        <v>#N/A</v>
      </c>
      <c r="CY4844" s="42" t="e">
        <v>#N/A</v>
      </c>
      <c r="CZ4844" s="42" t="e">
        <v>#N/A</v>
      </c>
      <c r="DA4844">
        <v>0.11332468572476186</v>
      </c>
      <c r="DB4844" t="str">
        <v/>
      </c>
    </row>
    <row r="4845" spans="83:106" x14ac:dyDescent="0.2">
      <c r="CE4845"/>
      <c r="CF4845"/>
      <c r="CG4845"/>
      <c r="CH4845"/>
      <c r="CI4845"/>
      <c r="CU4845" s="42">
        <v>4840</v>
      </c>
      <c r="CV4845" s="42">
        <v>4</v>
      </c>
      <c r="CW4845" s="42">
        <v>0.11332468572476186</v>
      </c>
      <c r="CX4845" s="42" t="e">
        <v>#N/A</v>
      </c>
      <c r="CY4845" s="42" t="e">
        <v>#N/A</v>
      </c>
      <c r="CZ4845" s="42" t="e">
        <v>#N/A</v>
      </c>
      <c r="DA4845">
        <v>0.11332468572476186</v>
      </c>
      <c r="DB4845" t="str">
        <v/>
      </c>
    </row>
    <row r="4846" spans="83:106" x14ac:dyDescent="0.2">
      <c r="CE4846"/>
      <c r="CF4846"/>
      <c r="CG4846"/>
      <c r="CH4846"/>
      <c r="CI4846"/>
      <c r="CU4846" s="42">
        <v>4841</v>
      </c>
      <c r="CV4846" s="42">
        <v>4</v>
      </c>
      <c r="CW4846" s="42">
        <v>0.11332468572476186</v>
      </c>
      <c r="CX4846" s="42" t="e">
        <v>#N/A</v>
      </c>
      <c r="CY4846" s="42" t="e">
        <v>#N/A</v>
      </c>
      <c r="CZ4846" s="42" t="e">
        <v>#N/A</v>
      </c>
      <c r="DA4846">
        <v>0.11332468572476186</v>
      </c>
      <c r="DB4846" t="str">
        <v/>
      </c>
    </row>
    <row r="4847" spans="83:106" x14ac:dyDescent="0.2">
      <c r="CE4847"/>
      <c r="CF4847"/>
      <c r="CG4847"/>
      <c r="CH4847"/>
      <c r="CI4847"/>
      <c r="CU4847" s="42">
        <v>4842</v>
      </c>
      <c r="CV4847" s="42">
        <v>4</v>
      </c>
      <c r="CW4847" s="42">
        <v>0.11332468572476186</v>
      </c>
      <c r="CX4847" s="42" t="e">
        <v>#N/A</v>
      </c>
      <c r="CY4847" s="42" t="e">
        <v>#N/A</v>
      </c>
      <c r="CZ4847" s="42" t="e">
        <v>#N/A</v>
      </c>
      <c r="DA4847">
        <v>0.11332468572476186</v>
      </c>
      <c r="DB4847" t="str">
        <v/>
      </c>
    </row>
    <row r="4848" spans="83:106" x14ac:dyDescent="0.2">
      <c r="CE4848"/>
      <c r="CF4848"/>
      <c r="CG4848"/>
      <c r="CH4848"/>
      <c r="CI4848"/>
      <c r="CU4848" s="42">
        <v>4843</v>
      </c>
      <c r="CV4848" s="42">
        <v>4</v>
      </c>
      <c r="CW4848" s="42">
        <v>0.11332468572476186</v>
      </c>
      <c r="CX4848" s="42" t="e">
        <v>#N/A</v>
      </c>
      <c r="CY4848" s="42" t="e">
        <v>#N/A</v>
      </c>
      <c r="CZ4848" s="42" t="e">
        <v>#N/A</v>
      </c>
      <c r="DA4848">
        <v>0.11332468572476186</v>
      </c>
      <c r="DB4848" t="str">
        <v/>
      </c>
    </row>
    <row r="4849" spans="83:106" x14ac:dyDescent="0.2">
      <c r="CE4849"/>
      <c r="CF4849"/>
      <c r="CG4849"/>
      <c r="CH4849"/>
      <c r="CI4849"/>
      <c r="CU4849" s="42">
        <v>4844</v>
      </c>
      <c r="CV4849" s="42">
        <v>4</v>
      </c>
      <c r="CW4849" s="42">
        <v>0.11332468572476186</v>
      </c>
      <c r="CX4849" s="42" t="e">
        <v>#N/A</v>
      </c>
      <c r="CY4849" s="42" t="e">
        <v>#N/A</v>
      </c>
      <c r="CZ4849" s="42" t="e">
        <v>#N/A</v>
      </c>
      <c r="DA4849">
        <v>0.11332468572476186</v>
      </c>
      <c r="DB4849" t="str">
        <v/>
      </c>
    </row>
    <row r="4850" spans="83:106" x14ac:dyDescent="0.2">
      <c r="CE4850"/>
      <c r="CF4850"/>
      <c r="CG4850"/>
      <c r="CH4850"/>
      <c r="CI4850"/>
      <c r="CU4850" s="42">
        <v>4845</v>
      </c>
      <c r="CV4850" s="42">
        <v>4</v>
      </c>
      <c r="CW4850" s="42">
        <v>0.11332468572476186</v>
      </c>
      <c r="CX4850" s="42" t="e">
        <v>#N/A</v>
      </c>
      <c r="CY4850" s="42" t="e">
        <v>#N/A</v>
      </c>
      <c r="CZ4850" s="42" t="e">
        <v>#N/A</v>
      </c>
      <c r="DA4850">
        <v>0.11332468572476186</v>
      </c>
      <c r="DB4850" t="str">
        <v/>
      </c>
    </row>
    <row r="4851" spans="83:106" x14ac:dyDescent="0.2">
      <c r="CE4851"/>
      <c r="CF4851"/>
      <c r="CG4851"/>
      <c r="CH4851"/>
      <c r="CI4851"/>
      <c r="CU4851" s="42">
        <v>4846</v>
      </c>
      <c r="CV4851" s="42">
        <v>4</v>
      </c>
      <c r="CW4851" s="42">
        <v>0.11332468572476186</v>
      </c>
      <c r="CX4851" s="42" t="e">
        <v>#N/A</v>
      </c>
      <c r="CY4851" s="42" t="e">
        <v>#N/A</v>
      </c>
      <c r="CZ4851" s="42" t="e">
        <v>#N/A</v>
      </c>
      <c r="DA4851">
        <v>0.11332468572476186</v>
      </c>
      <c r="DB4851" t="str">
        <v/>
      </c>
    </row>
    <row r="4852" spans="83:106" x14ac:dyDescent="0.2">
      <c r="CE4852"/>
      <c r="CF4852"/>
      <c r="CG4852"/>
      <c r="CH4852"/>
      <c r="CI4852"/>
      <c r="CU4852" s="42">
        <v>4847</v>
      </c>
      <c r="CV4852" s="42">
        <v>4</v>
      </c>
      <c r="CW4852" s="42">
        <v>0.11332468572476186</v>
      </c>
      <c r="CX4852" s="42" t="e">
        <v>#N/A</v>
      </c>
      <c r="CY4852" s="42" t="e">
        <v>#N/A</v>
      </c>
      <c r="CZ4852" s="42" t="e">
        <v>#N/A</v>
      </c>
      <c r="DA4852">
        <v>0.11332468572476186</v>
      </c>
      <c r="DB4852" t="str">
        <v/>
      </c>
    </row>
    <row r="4853" spans="83:106" x14ac:dyDescent="0.2">
      <c r="CE4853"/>
      <c r="CF4853"/>
      <c r="CG4853"/>
      <c r="CH4853"/>
      <c r="CI4853"/>
      <c r="CU4853" s="42">
        <v>4848</v>
      </c>
      <c r="CV4853" s="42">
        <v>4</v>
      </c>
      <c r="CW4853" s="42">
        <v>0.11332468572476186</v>
      </c>
      <c r="CX4853" s="42" t="e">
        <v>#N/A</v>
      </c>
      <c r="CY4853" s="42" t="e">
        <v>#N/A</v>
      </c>
      <c r="CZ4853" s="42" t="e">
        <v>#N/A</v>
      </c>
      <c r="DA4853">
        <v>0.11332468572476186</v>
      </c>
      <c r="DB4853" t="str">
        <v/>
      </c>
    </row>
    <row r="4854" spans="83:106" x14ac:dyDescent="0.2">
      <c r="CE4854"/>
      <c r="CF4854"/>
      <c r="CG4854"/>
      <c r="CH4854"/>
      <c r="CI4854"/>
      <c r="CU4854" s="42">
        <v>4849</v>
      </c>
      <c r="CV4854" s="42">
        <v>4</v>
      </c>
      <c r="CW4854" s="42">
        <v>0.11332468572476186</v>
      </c>
      <c r="CX4854" s="42" t="e">
        <v>#N/A</v>
      </c>
      <c r="CY4854" s="42" t="e">
        <v>#N/A</v>
      </c>
      <c r="CZ4854" s="42" t="e">
        <v>#N/A</v>
      </c>
      <c r="DA4854">
        <v>0.11332468572476186</v>
      </c>
      <c r="DB4854" t="str">
        <v/>
      </c>
    </row>
    <row r="4855" spans="83:106" x14ac:dyDescent="0.2">
      <c r="CE4855"/>
      <c r="CF4855"/>
      <c r="CG4855"/>
      <c r="CH4855"/>
      <c r="CI4855"/>
      <c r="CU4855" s="42">
        <v>4850</v>
      </c>
      <c r="CV4855" s="42">
        <v>4</v>
      </c>
      <c r="CW4855" s="42">
        <v>0.11332468572476186</v>
      </c>
      <c r="CX4855" s="42" t="e">
        <v>#N/A</v>
      </c>
      <c r="CY4855" s="42" t="e">
        <v>#N/A</v>
      </c>
      <c r="CZ4855" s="42" t="e">
        <v>#N/A</v>
      </c>
      <c r="DA4855">
        <v>0.11332468572476186</v>
      </c>
      <c r="DB4855" t="str">
        <v/>
      </c>
    </row>
    <row r="4856" spans="83:106" x14ac:dyDescent="0.2">
      <c r="CE4856"/>
      <c r="CF4856"/>
      <c r="CG4856"/>
      <c r="CH4856"/>
      <c r="CI4856"/>
      <c r="CU4856" s="42">
        <v>4851</v>
      </c>
      <c r="CV4856" s="42">
        <v>4</v>
      </c>
      <c r="CW4856" s="42">
        <v>0.11332468572476186</v>
      </c>
      <c r="CX4856" s="42" t="e">
        <v>#N/A</v>
      </c>
      <c r="CY4856" s="42" t="e">
        <v>#N/A</v>
      </c>
      <c r="CZ4856" s="42" t="e">
        <v>#N/A</v>
      </c>
      <c r="DA4856">
        <v>0.11332468572476186</v>
      </c>
      <c r="DB4856" t="str">
        <v/>
      </c>
    </row>
    <row r="4857" spans="83:106" x14ac:dyDescent="0.2">
      <c r="CE4857"/>
      <c r="CF4857"/>
      <c r="CG4857"/>
      <c r="CH4857"/>
      <c r="CI4857"/>
      <c r="CU4857" s="42">
        <v>4852</v>
      </c>
      <c r="CV4857" s="42">
        <v>4</v>
      </c>
      <c r="CW4857" s="42">
        <v>0.11332468572476186</v>
      </c>
      <c r="CX4857" s="42" t="e">
        <v>#N/A</v>
      </c>
      <c r="CY4857" s="42" t="e">
        <v>#N/A</v>
      </c>
      <c r="CZ4857" s="42" t="e">
        <v>#N/A</v>
      </c>
      <c r="DA4857">
        <v>0.11332468572476186</v>
      </c>
      <c r="DB4857" t="str">
        <v/>
      </c>
    </row>
    <row r="4858" spans="83:106" x14ac:dyDescent="0.2">
      <c r="CE4858"/>
      <c r="CF4858"/>
      <c r="CG4858"/>
      <c r="CH4858"/>
      <c r="CI4858"/>
      <c r="CU4858" s="42">
        <v>4853</v>
      </c>
      <c r="CV4858" s="42">
        <v>4</v>
      </c>
      <c r="CW4858" s="42">
        <v>0.11332468572476186</v>
      </c>
      <c r="CX4858" s="42" t="e">
        <v>#N/A</v>
      </c>
      <c r="CY4858" s="42" t="e">
        <v>#N/A</v>
      </c>
      <c r="CZ4858" s="42" t="e">
        <v>#N/A</v>
      </c>
      <c r="DA4858">
        <v>0.11332468572476186</v>
      </c>
      <c r="DB4858" t="str">
        <v/>
      </c>
    </row>
    <row r="4859" spans="83:106" x14ac:dyDescent="0.2">
      <c r="CE4859"/>
      <c r="CF4859"/>
      <c r="CG4859"/>
      <c r="CH4859"/>
      <c r="CI4859"/>
      <c r="CU4859" s="42">
        <v>4854</v>
      </c>
      <c r="CV4859" s="42">
        <v>4</v>
      </c>
      <c r="CW4859" s="42">
        <v>0.11332468572476186</v>
      </c>
      <c r="CX4859" s="42" t="e">
        <v>#N/A</v>
      </c>
      <c r="CY4859" s="42" t="e">
        <v>#N/A</v>
      </c>
      <c r="CZ4859" s="42" t="e">
        <v>#N/A</v>
      </c>
      <c r="DA4859">
        <v>0.11332468572476186</v>
      </c>
      <c r="DB4859" t="str">
        <v/>
      </c>
    </row>
    <row r="4860" spans="83:106" x14ac:dyDescent="0.2">
      <c r="CE4860"/>
      <c r="CF4860"/>
      <c r="CG4860"/>
      <c r="CH4860"/>
      <c r="CI4860"/>
      <c r="CU4860" s="42">
        <v>4855</v>
      </c>
      <c r="CV4860" s="42">
        <v>4</v>
      </c>
      <c r="CW4860" s="42">
        <v>0.11332468572476186</v>
      </c>
      <c r="CX4860" s="42" t="e">
        <v>#N/A</v>
      </c>
      <c r="CY4860" s="42" t="e">
        <v>#N/A</v>
      </c>
      <c r="CZ4860" s="42" t="e">
        <v>#N/A</v>
      </c>
      <c r="DA4860">
        <v>0.11332468572476186</v>
      </c>
      <c r="DB4860" t="str">
        <v/>
      </c>
    </row>
    <row r="4861" spans="83:106" x14ac:dyDescent="0.2">
      <c r="CE4861"/>
      <c r="CF4861"/>
      <c r="CG4861"/>
      <c r="CH4861"/>
      <c r="CI4861"/>
      <c r="CU4861" s="42">
        <v>4856</v>
      </c>
      <c r="CV4861" s="42">
        <v>4</v>
      </c>
      <c r="CW4861" s="42">
        <v>0.11332468572476186</v>
      </c>
      <c r="CX4861" s="42" t="e">
        <v>#N/A</v>
      </c>
      <c r="CY4861" s="42" t="e">
        <v>#N/A</v>
      </c>
      <c r="CZ4861" s="42" t="e">
        <v>#N/A</v>
      </c>
      <c r="DA4861">
        <v>0.11332468572476186</v>
      </c>
      <c r="DB4861" t="str">
        <v/>
      </c>
    </row>
    <row r="4862" spans="83:106" x14ac:dyDescent="0.2">
      <c r="CE4862"/>
      <c r="CF4862"/>
      <c r="CG4862"/>
      <c r="CH4862"/>
      <c r="CI4862"/>
      <c r="CU4862" s="42">
        <v>4857</v>
      </c>
      <c r="CV4862" s="42">
        <v>4</v>
      </c>
      <c r="CW4862" s="42">
        <v>0.11332468572476186</v>
      </c>
      <c r="CX4862" s="42" t="e">
        <v>#N/A</v>
      </c>
      <c r="CY4862" s="42" t="e">
        <v>#N/A</v>
      </c>
      <c r="CZ4862" s="42" t="e">
        <v>#N/A</v>
      </c>
      <c r="DA4862">
        <v>0.11332468572476186</v>
      </c>
      <c r="DB4862" t="str">
        <v/>
      </c>
    </row>
    <row r="4863" spans="83:106" x14ac:dyDescent="0.2">
      <c r="CE4863"/>
      <c r="CF4863"/>
      <c r="CG4863"/>
      <c r="CH4863"/>
      <c r="CI4863"/>
      <c r="CU4863" s="42">
        <v>4858</v>
      </c>
      <c r="CV4863" s="42">
        <v>4</v>
      </c>
      <c r="CW4863" s="42">
        <v>0.11332468572476186</v>
      </c>
      <c r="CX4863" s="42" t="e">
        <v>#N/A</v>
      </c>
      <c r="CY4863" s="42" t="e">
        <v>#N/A</v>
      </c>
      <c r="CZ4863" s="42" t="e">
        <v>#N/A</v>
      </c>
      <c r="DA4863">
        <v>0.11332468572476186</v>
      </c>
      <c r="DB4863" t="str">
        <v/>
      </c>
    </row>
    <row r="4864" spans="83:106" x14ac:dyDescent="0.2">
      <c r="CE4864"/>
      <c r="CF4864"/>
      <c r="CG4864"/>
      <c r="CH4864"/>
      <c r="CI4864"/>
      <c r="CU4864" s="42">
        <v>4859</v>
      </c>
      <c r="CV4864" s="42">
        <v>4</v>
      </c>
      <c r="CW4864" s="42">
        <v>0.11332468572476186</v>
      </c>
      <c r="CX4864" s="42" t="e">
        <v>#N/A</v>
      </c>
      <c r="CY4864" s="42" t="e">
        <v>#N/A</v>
      </c>
      <c r="CZ4864" s="42" t="e">
        <v>#N/A</v>
      </c>
      <c r="DA4864">
        <v>0.11332468572476186</v>
      </c>
      <c r="DB4864" t="str">
        <v/>
      </c>
    </row>
    <row r="4865" spans="83:106" x14ac:dyDescent="0.2">
      <c r="CE4865"/>
      <c r="CF4865"/>
      <c r="CG4865"/>
      <c r="CH4865"/>
      <c r="CI4865"/>
      <c r="CU4865" s="42">
        <v>4860</v>
      </c>
      <c r="CV4865" s="42">
        <v>4</v>
      </c>
      <c r="CW4865" s="42">
        <v>0.11332468572476186</v>
      </c>
      <c r="CX4865" s="42" t="e">
        <v>#N/A</v>
      </c>
      <c r="CY4865" s="42" t="e">
        <v>#N/A</v>
      </c>
      <c r="CZ4865" s="42" t="e">
        <v>#N/A</v>
      </c>
      <c r="DA4865">
        <v>0.11332468572476186</v>
      </c>
      <c r="DB4865" t="str">
        <v/>
      </c>
    </row>
    <row r="4866" spans="83:106" x14ac:dyDescent="0.2">
      <c r="CE4866"/>
      <c r="CF4866"/>
      <c r="CG4866"/>
      <c r="CH4866"/>
      <c r="CI4866"/>
      <c r="CU4866" s="42">
        <v>4861</v>
      </c>
      <c r="CV4866" s="42">
        <v>4</v>
      </c>
      <c r="CW4866" s="42">
        <v>0.11332468572476186</v>
      </c>
      <c r="CX4866" s="42" t="e">
        <v>#N/A</v>
      </c>
      <c r="CY4866" s="42" t="e">
        <v>#N/A</v>
      </c>
      <c r="CZ4866" s="42" t="e">
        <v>#N/A</v>
      </c>
      <c r="DA4866">
        <v>0.11332468572476186</v>
      </c>
      <c r="DB4866" t="str">
        <v/>
      </c>
    </row>
    <row r="4867" spans="83:106" x14ac:dyDescent="0.2">
      <c r="CE4867"/>
      <c r="CF4867"/>
      <c r="CG4867"/>
      <c r="CH4867"/>
      <c r="CI4867"/>
      <c r="CU4867" s="42">
        <v>4862</v>
      </c>
      <c r="CV4867" s="42">
        <v>4</v>
      </c>
      <c r="CW4867" s="42">
        <v>0.11332468572476186</v>
      </c>
      <c r="CX4867" s="42" t="e">
        <v>#N/A</v>
      </c>
      <c r="CY4867" s="42" t="e">
        <v>#N/A</v>
      </c>
      <c r="CZ4867" s="42" t="e">
        <v>#N/A</v>
      </c>
      <c r="DA4867">
        <v>0.11332468572476186</v>
      </c>
      <c r="DB4867" t="str">
        <v/>
      </c>
    </row>
    <row r="4868" spans="83:106" x14ac:dyDescent="0.2">
      <c r="CE4868"/>
      <c r="CF4868"/>
      <c r="CG4868"/>
      <c r="CH4868"/>
      <c r="CI4868"/>
      <c r="CU4868" s="42">
        <v>4863</v>
      </c>
      <c r="CV4868" s="42">
        <v>4</v>
      </c>
      <c r="CW4868" s="42">
        <v>0.11332468572476186</v>
      </c>
      <c r="CX4868" s="42" t="e">
        <v>#N/A</v>
      </c>
      <c r="CY4868" s="42" t="e">
        <v>#N/A</v>
      </c>
      <c r="CZ4868" s="42" t="e">
        <v>#N/A</v>
      </c>
      <c r="DA4868">
        <v>0.11332468572476186</v>
      </c>
      <c r="DB4868" t="str">
        <v/>
      </c>
    </row>
    <row r="4869" spans="83:106" x14ac:dyDescent="0.2">
      <c r="CE4869"/>
      <c r="CF4869"/>
      <c r="CG4869"/>
      <c r="CH4869"/>
      <c r="CI4869"/>
      <c r="CU4869" s="42">
        <v>4864</v>
      </c>
      <c r="CV4869" s="42">
        <v>4</v>
      </c>
      <c r="CW4869" s="42">
        <v>0.11332468572476186</v>
      </c>
      <c r="CX4869" s="42" t="e">
        <v>#N/A</v>
      </c>
      <c r="CY4869" s="42" t="e">
        <v>#N/A</v>
      </c>
      <c r="CZ4869" s="42" t="e">
        <v>#N/A</v>
      </c>
      <c r="DA4869">
        <v>0.11332468572476186</v>
      </c>
      <c r="DB4869" t="str">
        <v/>
      </c>
    </row>
    <row r="4870" spans="83:106" x14ac:dyDescent="0.2">
      <c r="CE4870"/>
      <c r="CF4870"/>
      <c r="CG4870"/>
      <c r="CH4870"/>
      <c r="CI4870"/>
      <c r="CU4870" s="42">
        <v>4865</v>
      </c>
      <c r="CV4870" s="42">
        <v>4</v>
      </c>
      <c r="CW4870" s="42">
        <v>0.11332468572476186</v>
      </c>
      <c r="CX4870" s="42" t="e">
        <v>#N/A</v>
      </c>
      <c r="CY4870" s="42" t="e">
        <v>#N/A</v>
      </c>
      <c r="CZ4870" s="42" t="e">
        <v>#N/A</v>
      </c>
      <c r="DA4870">
        <v>0.11332468572476186</v>
      </c>
      <c r="DB4870" t="str">
        <v/>
      </c>
    </row>
    <row r="4871" spans="83:106" x14ac:dyDescent="0.2">
      <c r="CE4871"/>
      <c r="CF4871"/>
      <c r="CG4871"/>
      <c r="CH4871"/>
      <c r="CI4871"/>
      <c r="CU4871" s="42">
        <v>4866</v>
      </c>
      <c r="CV4871" s="42">
        <v>4</v>
      </c>
      <c r="CW4871" s="42">
        <v>0.11332468572476186</v>
      </c>
      <c r="CX4871" s="42" t="e">
        <v>#N/A</v>
      </c>
      <c r="CY4871" s="42" t="e">
        <v>#N/A</v>
      </c>
      <c r="CZ4871" s="42" t="e">
        <v>#N/A</v>
      </c>
      <c r="DA4871">
        <v>0.11332468572476186</v>
      </c>
      <c r="DB4871" t="str">
        <v/>
      </c>
    </row>
    <row r="4872" spans="83:106" x14ac:dyDescent="0.2">
      <c r="CE4872"/>
      <c r="CF4872"/>
      <c r="CG4872"/>
      <c r="CH4872"/>
      <c r="CI4872"/>
      <c r="CU4872" s="42">
        <v>4867</v>
      </c>
      <c r="CV4872" s="42">
        <v>4</v>
      </c>
      <c r="CW4872" s="42">
        <v>0.11332468572476186</v>
      </c>
      <c r="CX4872" s="42" t="e">
        <v>#N/A</v>
      </c>
      <c r="CY4872" s="42" t="e">
        <v>#N/A</v>
      </c>
      <c r="CZ4872" s="42" t="e">
        <v>#N/A</v>
      </c>
      <c r="DA4872">
        <v>0.11332468572476186</v>
      </c>
      <c r="DB4872" t="str">
        <v/>
      </c>
    </row>
    <row r="4873" spans="83:106" x14ac:dyDescent="0.2">
      <c r="CE4873"/>
      <c r="CF4873"/>
      <c r="CG4873"/>
      <c r="CH4873"/>
      <c r="CI4873"/>
      <c r="CU4873" s="42">
        <v>4868</v>
      </c>
      <c r="CV4873" s="42">
        <v>4</v>
      </c>
      <c r="CW4873" s="42">
        <v>0.11332468572476186</v>
      </c>
      <c r="CX4873" s="42" t="e">
        <v>#N/A</v>
      </c>
      <c r="CY4873" s="42" t="e">
        <v>#N/A</v>
      </c>
      <c r="CZ4873" s="42" t="e">
        <v>#N/A</v>
      </c>
      <c r="DA4873">
        <v>0.11332468572476186</v>
      </c>
      <c r="DB4873" t="str">
        <v/>
      </c>
    </row>
    <row r="4874" spans="83:106" x14ac:dyDescent="0.2">
      <c r="CE4874"/>
      <c r="CF4874"/>
      <c r="CG4874"/>
      <c r="CH4874"/>
      <c r="CI4874"/>
      <c r="CU4874" s="42">
        <v>4869</v>
      </c>
      <c r="CV4874" s="42">
        <v>4</v>
      </c>
      <c r="CW4874" s="42">
        <v>0.11332468572476186</v>
      </c>
      <c r="CX4874" s="42" t="e">
        <v>#N/A</v>
      </c>
      <c r="CY4874" s="42" t="e">
        <v>#N/A</v>
      </c>
      <c r="CZ4874" s="42" t="e">
        <v>#N/A</v>
      </c>
      <c r="DA4874">
        <v>0.11332468572476186</v>
      </c>
      <c r="DB4874" t="str">
        <v/>
      </c>
    </row>
    <row r="4875" spans="83:106" x14ac:dyDescent="0.2">
      <c r="CE4875"/>
      <c r="CF4875"/>
      <c r="CG4875"/>
      <c r="CH4875"/>
      <c r="CI4875"/>
      <c r="CU4875" s="42">
        <v>4870</v>
      </c>
      <c r="CV4875" s="42">
        <v>4</v>
      </c>
      <c r="CW4875" s="42">
        <v>0.11332468572476186</v>
      </c>
      <c r="CX4875" s="42" t="e">
        <v>#N/A</v>
      </c>
      <c r="CY4875" s="42" t="e">
        <v>#N/A</v>
      </c>
      <c r="CZ4875" s="42" t="e">
        <v>#N/A</v>
      </c>
      <c r="DA4875">
        <v>0.11332468572476186</v>
      </c>
      <c r="DB4875" t="str">
        <v/>
      </c>
    </row>
    <row r="4876" spans="83:106" x14ac:dyDescent="0.2">
      <c r="CE4876"/>
      <c r="CF4876"/>
      <c r="CG4876"/>
      <c r="CH4876"/>
      <c r="CI4876"/>
      <c r="CU4876" s="42">
        <v>4871</v>
      </c>
      <c r="CV4876" s="42">
        <v>4</v>
      </c>
      <c r="CW4876" s="42">
        <v>0.11332468572476186</v>
      </c>
      <c r="CX4876" s="42" t="e">
        <v>#N/A</v>
      </c>
      <c r="CY4876" s="42" t="e">
        <v>#N/A</v>
      </c>
      <c r="CZ4876" s="42" t="e">
        <v>#N/A</v>
      </c>
      <c r="DA4876">
        <v>0.11332468572476186</v>
      </c>
      <c r="DB4876" t="str">
        <v/>
      </c>
    </row>
    <row r="4877" spans="83:106" x14ac:dyDescent="0.2">
      <c r="CE4877"/>
      <c r="CF4877"/>
      <c r="CG4877"/>
      <c r="CH4877"/>
      <c r="CI4877"/>
      <c r="CU4877" s="42">
        <v>4872</v>
      </c>
      <c r="CV4877" s="42">
        <v>4</v>
      </c>
      <c r="CW4877" s="42">
        <v>0.11332468572476186</v>
      </c>
      <c r="CX4877" s="42" t="e">
        <v>#N/A</v>
      </c>
      <c r="CY4877" s="42" t="e">
        <v>#N/A</v>
      </c>
      <c r="CZ4877" s="42" t="e">
        <v>#N/A</v>
      </c>
      <c r="DA4877">
        <v>0.11332468572476186</v>
      </c>
      <c r="DB4877" t="str">
        <v/>
      </c>
    </row>
    <row r="4878" spans="83:106" x14ac:dyDescent="0.2">
      <c r="CE4878"/>
      <c r="CF4878"/>
      <c r="CG4878"/>
      <c r="CH4878"/>
      <c r="CI4878"/>
      <c r="CU4878" s="42">
        <v>4873</v>
      </c>
      <c r="CV4878" s="42">
        <v>4</v>
      </c>
      <c r="CW4878" s="42">
        <v>0.11332468572476186</v>
      </c>
      <c r="CX4878" s="42" t="e">
        <v>#N/A</v>
      </c>
      <c r="CY4878" s="42" t="e">
        <v>#N/A</v>
      </c>
      <c r="CZ4878" s="42" t="e">
        <v>#N/A</v>
      </c>
      <c r="DA4878">
        <v>0.11332468572476186</v>
      </c>
      <c r="DB4878" t="str">
        <v/>
      </c>
    </row>
    <row r="4879" spans="83:106" x14ac:dyDescent="0.2">
      <c r="CE4879"/>
      <c r="CF4879"/>
      <c r="CG4879"/>
      <c r="CH4879"/>
      <c r="CI4879"/>
      <c r="CU4879" s="42">
        <v>4874</v>
      </c>
      <c r="CV4879" s="42">
        <v>4</v>
      </c>
      <c r="CW4879" s="42">
        <v>0.11332468572476186</v>
      </c>
      <c r="CX4879" s="42" t="e">
        <v>#N/A</v>
      </c>
      <c r="CY4879" s="42" t="e">
        <v>#N/A</v>
      </c>
      <c r="CZ4879" s="42" t="e">
        <v>#N/A</v>
      </c>
      <c r="DA4879">
        <v>0.11332468572476186</v>
      </c>
      <c r="DB4879" t="str">
        <v/>
      </c>
    </row>
    <row r="4880" spans="83:106" x14ac:dyDescent="0.2">
      <c r="CE4880"/>
      <c r="CF4880"/>
      <c r="CG4880"/>
      <c r="CH4880"/>
      <c r="CI4880"/>
      <c r="CU4880" s="42">
        <v>4875</v>
      </c>
      <c r="CV4880" s="42">
        <v>4</v>
      </c>
      <c r="CW4880" s="42">
        <v>0.11332468572476186</v>
      </c>
      <c r="CX4880" s="42" t="e">
        <v>#N/A</v>
      </c>
      <c r="CY4880" s="42" t="e">
        <v>#N/A</v>
      </c>
      <c r="CZ4880" s="42" t="e">
        <v>#N/A</v>
      </c>
      <c r="DA4880">
        <v>0.11332468572476186</v>
      </c>
      <c r="DB4880" t="str">
        <v/>
      </c>
    </row>
    <row r="4881" spans="83:106" x14ac:dyDescent="0.2">
      <c r="CE4881"/>
      <c r="CF4881"/>
      <c r="CG4881"/>
      <c r="CH4881"/>
      <c r="CI4881"/>
      <c r="CU4881" s="42">
        <v>4876</v>
      </c>
      <c r="CV4881" s="42">
        <v>4</v>
      </c>
      <c r="CW4881" s="42">
        <v>0.11332468572476186</v>
      </c>
      <c r="CX4881" s="42" t="e">
        <v>#N/A</v>
      </c>
      <c r="CY4881" s="42" t="e">
        <v>#N/A</v>
      </c>
      <c r="CZ4881" s="42" t="e">
        <v>#N/A</v>
      </c>
      <c r="DA4881">
        <v>0.11332468572476186</v>
      </c>
      <c r="DB4881" t="str">
        <v/>
      </c>
    </row>
    <row r="4882" spans="83:106" x14ac:dyDescent="0.2">
      <c r="CE4882"/>
      <c r="CF4882"/>
      <c r="CG4882"/>
      <c r="CH4882"/>
      <c r="CI4882"/>
      <c r="CU4882" s="42">
        <v>4877</v>
      </c>
      <c r="CV4882" s="42">
        <v>4</v>
      </c>
      <c r="CW4882" s="42">
        <v>0.11332468572476186</v>
      </c>
      <c r="CX4882" s="42" t="e">
        <v>#N/A</v>
      </c>
      <c r="CY4882" s="42" t="e">
        <v>#N/A</v>
      </c>
      <c r="CZ4882" s="42" t="e">
        <v>#N/A</v>
      </c>
      <c r="DA4882">
        <v>0.11332468572476186</v>
      </c>
      <c r="DB4882" t="str">
        <v/>
      </c>
    </row>
    <row r="4883" spans="83:106" x14ac:dyDescent="0.2">
      <c r="CE4883"/>
      <c r="CF4883"/>
      <c r="CG4883"/>
      <c r="CH4883"/>
      <c r="CI4883"/>
      <c r="CU4883" s="42">
        <v>4878</v>
      </c>
      <c r="CV4883" s="42">
        <v>4</v>
      </c>
      <c r="CW4883" s="42">
        <v>0.11332468572476186</v>
      </c>
      <c r="CX4883" s="42" t="e">
        <v>#N/A</v>
      </c>
      <c r="CY4883" s="42" t="e">
        <v>#N/A</v>
      </c>
      <c r="CZ4883" s="42" t="e">
        <v>#N/A</v>
      </c>
      <c r="DA4883">
        <v>0.11332468572476186</v>
      </c>
      <c r="DB4883" t="str">
        <v/>
      </c>
    </row>
    <row r="4884" spans="83:106" x14ac:dyDescent="0.2">
      <c r="CE4884"/>
      <c r="CF4884"/>
      <c r="CG4884"/>
      <c r="CH4884"/>
      <c r="CI4884"/>
      <c r="CU4884" s="42">
        <v>4879</v>
      </c>
      <c r="CV4884" s="42">
        <v>4</v>
      </c>
      <c r="CW4884" s="42">
        <v>0.11332468572476186</v>
      </c>
      <c r="CX4884" s="42" t="e">
        <v>#N/A</v>
      </c>
      <c r="CY4884" s="42" t="e">
        <v>#N/A</v>
      </c>
      <c r="CZ4884" s="42" t="e">
        <v>#N/A</v>
      </c>
      <c r="DA4884">
        <v>0.11332468572476186</v>
      </c>
      <c r="DB4884" t="str">
        <v/>
      </c>
    </row>
    <row r="4885" spans="83:106" x14ac:dyDescent="0.2">
      <c r="CE4885"/>
      <c r="CF4885"/>
      <c r="CG4885"/>
      <c r="CH4885"/>
      <c r="CI4885"/>
      <c r="CU4885" s="42">
        <v>4880</v>
      </c>
      <c r="CV4885" s="42">
        <v>4</v>
      </c>
      <c r="CW4885" s="42">
        <v>0.11332468572476186</v>
      </c>
      <c r="CX4885" s="42" t="e">
        <v>#N/A</v>
      </c>
      <c r="CY4885" s="42" t="e">
        <v>#N/A</v>
      </c>
      <c r="CZ4885" s="42" t="e">
        <v>#N/A</v>
      </c>
      <c r="DA4885">
        <v>0.11332468572476186</v>
      </c>
      <c r="DB4885" t="str">
        <v/>
      </c>
    </row>
    <row r="4886" spans="83:106" x14ac:dyDescent="0.2">
      <c r="CE4886"/>
      <c r="CF4886"/>
      <c r="CG4886"/>
      <c r="CH4886"/>
      <c r="CI4886"/>
      <c r="CU4886" s="42">
        <v>4881</v>
      </c>
      <c r="CV4886" s="42">
        <v>4</v>
      </c>
      <c r="CW4886" s="42">
        <v>0.11332468572476186</v>
      </c>
      <c r="CX4886" s="42" t="e">
        <v>#N/A</v>
      </c>
      <c r="CY4886" s="42" t="e">
        <v>#N/A</v>
      </c>
      <c r="CZ4886" s="42" t="e">
        <v>#N/A</v>
      </c>
      <c r="DA4886">
        <v>0.11332468572476186</v>
      </c>
      <c r="DB4886" t="str">
        <v/>
      </c>
    </row>
    <row r="4887" spans="83:106" x14ac:dyDescent="0.2">
      <c r="CE4887"/>
      <c r="CF4887"/>
      <c r="CG4887"/>
      <c r="CH4887"/>
      <c r="CI4887"/>
      <c r="CU4887" s="42">
        <v>4882</v>
      </c>
      <c r="CV4887" s="42">
        <v>4</v>
      </c>
      <c r="CW4887" s="42">
        <v>0.11332468572476186</v>
      </c>
      <c r="CX4887" s="42" t="e">
        <v>#N/A</v>
      </c>
      <c r="CY4887" s="42" t="e">
        <v>#N/A</v>
      </c>
      <c r="CZ4887" s="42" t="e">
        <v>#N/A</v>
      </c>
      <c r="DA4887">
        <v>0.11332468572476186</v>
      </c>
      <c r="DB4887" t="str">
        <v/>
      </c>
    </row>
    <row r="4888" spans="83:106" x14ac:dyDescent="0.2">
      <c r="CE4888"/>
      <c r="CF4888"/>
      <c r="CG4888"/>
      <c r="CH4888"/>
      <c r="CI4888"/>
      <c r="CU4888" s="42">
        <v>4883</v>
      </c>
      <c r="CV4888" s="42">
        <v>4</v>
      </c>
      <c r="CW4888" s="42">
        <v>0.11332468572476186</v>
      </c>
      <c r="CX4888" s="42" t="e">
        <v>#N/A</v>
      </c>
      <c r="CY4888" s="42" t="e">
        <v>#N/A</v>
      </c>
      <c r="CZ4888" s="42" t="e">
        <v>#N/A</v>
      </c>
      <c r="DA4888">
        <v>0.11332468572476186</v>
      </c>
      <c r="DB4888" t="str">
        <v/>
      </c>
    </row>
    <row r="4889" spans="83:106" x14ac:dyDescent="0.2">
      <c r="CE4889"/>
      <c r="CF4889"/>
      <c r="CG4889"/>
      <c r="CH4889"/>
      <c r="CI4889"/>
      <c r="CU4889" s="42">
        <v>4884</v>
      </c>
      <c r="CV4889" s="42">
        <v>4</v>
      </c>
      <c r="CW4889" s="42">
        <v>0.11332468572476186</v>
      </c>
      <c r="CX4889" s="42" t="e">
        <v>#N/A</v>
      </c>
      <c r="CY4889" s="42" t="e">
        <v>#N/A</v>
      </c>
      <c r="CZ4889" s="42" t="e">
        <v>#N/A</v>
      </c>
      <c r="DA4889">
        <v>0.11332468572476186</v>
      </c>
      <c r="DB4889" t="str">
        <v/>
      </c>
    </row>
    <row r="4890" spans="83:106" x14ac:dyDescent="0.2">
      <c r="CE4890"/>
      <c r="CF4890"/>
      <c r="CG4890"/>
      <c r="CH4890"/>
      <c r="CI4890"/>
      <c r="CU4890" s="42">
        <v>4885</v>
      </c>
      <c r="CV4890" s="42">
        <v>4</v>
      </c>
      <c r="CW4890" s="42">
        <v>0.11332468572476186</v>
      </c>
      <c r="CX4890" s="42" t="e">
        <v>#N/A</v>
      </c>
      <c r="CY4890" s="42" t="e">
        <v>#N/A</v>
      </c>
      <c r="CZ4890" s="42" t="e">
        <v>#N/A</v>
      </c>
      <c r="DA4890">
        <v>0.11332468572476186</v>
      </c>
      <c r="DB4890" t="str">
        <v/>
      </c>
    </row>
    <row r="4891" spans="83:106" x14ac:dyDescent="0.2">
      <c r="CE4891"/>
      <c r="CF4891"/>
      <c r="CG4891"/>
      <c r="CH4891"/>
      <c r="CI4891"/>
      <c r="CU4891" s="42">
        <v>4886</v>
      </c>
      <c r="CV4891" s="42">
        <v>4</v>
      </c>
      <c r="CW4891" s="42">
        <v>0.11332468572476186</v>
      </c>
      <c r="CX4891" s="42" t="e">
        <v>#N/A</v>
      </c>
      <c r="CY4891" s="42" t="e">
        <v>#N/A</v>
      </c>
      <c r="CZ4891" s="42" t="e">
        <v>#N/A</v>
      </c>
      <c r="DA4891">
        <v>0.11332468572476186</v>
      </c>
      <c r="DB4891" t="str">
        <v/>
      </c>
    </row>
    <row r="4892" spans="83:106" x14ac:dyDescent="0.2">
      <c r="CE4892"/>
      <c r="CF4892"/>
      <c r="CG4892"/>
      <c r="CH4892"/>
      <c r="CI4892"/>
      <c r="CU4892" s="42">
        <v>4887</v>
      </c>
      <c r="CV4892" s="42">
        <v>4</v>
      </c>
      <c r="CW4892" s="42">
        <v>0.11332468572476186</v>
      </c>
      <c r="CX4892" s="42" t="e">
        <v>#N/A</v>
      </c>
      <c r="CY4892" s="42" t="e">
        <v>#N/A</v>
      </c>
      <c r="CZ4892" s="42" t="e">
        <v>#N/A</v>
      </c>
      <c r="DA4892">
        <v>0.11332468572476186</v>
      </c>
      <c r="DB4892" t="str">
        <v/>
      </c>
    </row>
    <row r="4893" spans="83:106" x14ac:dyDescent="0.2">
      <c r="CE4893"/>
      <c r="CF4893"/>
      <c r="CG4893"/>
      <c r="CH4893"/>
      <c r="CI4893"/>
      <c r="CU4893" s="42">
        <v>4888</v>
      </c>
      <c r="CV4893" s="42">
        <v>4</v>
      </c>
      <c r="CW4893" s="42">
        <v>0.11332468572476186</v>
      </c>
      <c r="CX4893" s="42" t="e">
        <v>#N/A</v>
      </c>
      <c r="CY4893" s="42" t="e">
        <v>#N/A</v>
      </c>
      <c r="CZ4893" s="42" t="e">
        <v>#N/A</v>
      </c>
      <c r="DA4893">
        <v>0.11332468572476186</v>
      </c>
      <c r="DB4893" t="str">
        <v/>
      </c>
    </row>
    <row r="4894" spans="83:106" x14ac:dyDescent="0.2">
      <c r="CE4894"/>
      <c r="CF4894"/>
      <c r="CG4894"/>
      <c r="CH4894"/>
      <c r="CI4894"/>
      <c r="CU4894" s="42">
        <v>4889</v>
      </c>
      <c r="CV4894" s="42">
        <v>4</v>
      </c>
      <c r="CW4894" s="42">
        <v>0.11332468572476186</v>
      </c>
      <c r="CX4894" s="42" t="e">
        <v>#N/A</v>
      </c>
      <c r="CY4894" s="42" t="e">
        <v>#N/A</v>
      </c>
      <c r="CZ4894" s="42" t="e">
        <v>#N/A</v>
      </c>
      <c r="DA4894">
        <v>0.11332468572476186</v>
      </c>
      <c r="DB4894" t="str">
        <v/>
      </c>
    </row>
    <row r="4895" spans="83:106" x14ac:dyDescent="0.2">
      <c r="CE4895"/>
      <c r="CF4895"/>
      <c r="CG4895"/>
      <c r="CH4895"/>
      <c r="CI4895"/>
      <c r="CU4895" s="42">
        <v>4890</v>
      </c>
      <c r="CV4895" s="42">
        <v>4</v>
      </c>
      <c r="CW4895" s="42">
        <v>0.11332468572476186</v>
      </c>
      <c r="CX4895" s="42" t="e">
        <v>#N/A</v>
      </c>
      <c r="CY4895" s="42" t="e">
        <v>#N/A</v>
      </c>
      <c r="CZ4895" s="42" t="e">
        <v>#N/A</v>
      </c>
      <c r="DA4895">
        <v>0.11332468572476186</v>
      </c>
      <c r="DB4895" t="str">
        <v/>
      </c>
    </row>
    <row r="4896" spans="83:106" x14ac:dyDescent="0.2">
      <c r="CE4896"/>
      <c r="CF4896"/>
      <c r="CG4896"/>
      <c r="CH4896"/>
      <c r="CI4896"/>
      <c r="CU4896" s="42">
        <v>4891</v>
      </c>
      <c r="CV4896" s="42">
        <v>4</v>
      </c>
      <c r="CW4896" s="42">
        <v>0.11332468572476186</v>
      </c>
      <c r="CX4896" s="42" t="e">
        <v>#N/A</v>
      </c>
      <c r="CY4896" s="42" t="e">
        <v>#N/A</v>
      </c>
      <c r="CZ4896" s="42" t="e">
        <v>#N/A</v>
      </c>
      <c r="DA4896">
        <v>0.11332468572476186</v>
      </c>
      <c r="DB4896" t="str">
        <v/>
      </c>
    </row>
    <row r="4897" spans="83:106" x14ac:dyDescent="0.2">
      <c r="CE4897"/>
      <c r="CF4897"/>
      <c r="CG4897"/>
      <c r="CH4897"/>
      <c r="CI4897"/>
      <c r="CU4897" s="42">
        <v>4892</v>
      </c>
      <c r="CV4897" s="42">
        <v>4</v>
      </c>
      <c r="CW4897" s="42">
        <v>0.11332468572476186</v>
      </c>
      <c r="CX4897" s="42" t="e">
        <v>#N/A</v>
      </c>
      <c r="CY4897" s="42" t="e">
        <v>#N/A</v>
      </c>
      <c r="CZ4897" s="42" t="e">
        <v>#N/A</v>
      </c>
      <c r="DA4897">
        <v>0.11332468572476186</v>
      </c>
      <c r="DB4897" t="str">
        <v/>
      </c>
    </row>
    <row r="4898" spans="83:106" x14ac:dyDescent="0.2">
      <c r="CE4898"/>
      <c r="CF4898"/>
      <c r="CG4898"/>
      <c r="CH4898"/>
      <c r="CI4898"/>
      <c r="CU4898" s="42">
        <v>4893</v>
      </c>
      <c r="CV4898" s="42">
        <v>4</v>
      </c>
      <c r="CW4898" s="42">
        <v>0.11332468572476186</v>
      </c>
      <c r="CX4898" s="42" t="e">
        <v>#N/A</v>
      </c>
      <c r="CY4898" s="42" t="e">
        <v>#N/A</v>
      </c>
      <c r="CZ4898" s="42" t="e">
        <v>#N/A</v>
      </c>
      <c r="DA4898">
        <v>0.11332468572476186</v>
      </c>
      <c r="DB4898" t="str">
        <v/>
      </c>
    </row>
    <row r="4899" spans="83:106" x14ac:dyDescent="0.2">
      <c r="CE4899"/>
      <c r="CF4899"/>
      <c r="CG4899"/>
      <c r="CH4899"/>
      <c r="CI4899"/>
      <c r="CU4899" s="42">
        <v>4894</v>
      </c>
      <c r="CV4899" s="42">
        <v>4</v>
      </c>
      <c r="CW4899" s="42">
        <v>0.11332468572476186</v>
      </c>
      <c r="CX4899" s="42" t="e">
        <v>#N/A</v>
      </c>
      <c r="CY4899" s="42" t="e">
        <v>#N/A</v>
      </c>
      <c r="CZ4899" s="42" t="e">
        <v>#N/A</v>
      </c>
      <c r="DA4899">
        <v>0.11332468572476186</v>
      </c>
      <c r="DB4899" t="str">
        <v/>
      </c>
    </row>
    <row r="4900" spans="83:106" x14ac:dyDescent="0.2">
      <c r="CE4900"/>
      <c r="CF4900"/>
      <c r="CG4900"/>
      <c r="CH4900"/>
      <c r="CI4900"/>
      <c r="CU4900" s="42">
        <v>4895</v>
      </c>
      <c r="CV4900" s="42">
        <v>4</v>
      </c>
      <c r="CW4900" s="42">
        <v>0.11332468572476186</v>
      </c>
      <c r="CX4900" s="42" t="e">
        <v>#N/A</v>
      </c>
      <c r="CY4900" s="42" t="e">
        <v>#N/A</v>
      </c>
      <c r="CZ4900" s="42" t="e">
        <v>#N/A</v>
      </c>
      <c r="DA4900">
        <v>0.11332468572476186</v>
      </c>
      <c r="DB4900" t="str">
        <v/>
      </c>
    </row>
    <row r="4901" spans="83:106" x14ac:dyDescent="0.2">
      <c r="CE4901"/>
      <c r="CF4901"/>
      <c r="CG4901"/>
      <c r="CH4901"/>
      <c r="CI4901"/>
      <c r="CU4901" s="42">
        <v>4896</v>
      </c>
      <c r="CV4901" s="42">
        <v>4</v>
      </c>
      <c r="CW4901" s="42">
        <v>0.11332468572476186</v>
      </c>
      <c r="CX4901" s="42" t="e">
        <v>#N/A</v>
      </c>
      <c r="CY4901" s="42" t="e">
        <v>#N/A</v>
      </c>
      <c r="CZ4901" s="42" t="e">
        <v>#N/A</v>
      </c>
      <c r="DA4901">
        <v>0.11332468572476186</v>
      </c>
      <c r="DB4901" t="str">
        <v/>
      </c>
    </row>
    <row r="4902" spans="83:106" x14ac:dyDescent="0.2">
      <c r="CE4902"/>
      <c r="CF4902"/>
      <c r="CG4902"/>
      <c r="CH4902"/>
      <c r="CI4902"/>
      <c r="CU4902" s="42">
        <v>4897</v>
      </c>
      <c r="CV4902" s="42">
        <v>4</v>
      </c>
      <c r="CW4902" s="42">
        <v>0.11332468572476186</v>
      </c>
      <c r="CX4902" s="42" t="e">
        <v>#N/A</v>
      </c>
      <c r="CY4902" s="42" t="e">
        <v>#N/A</v>
      </c>
      <c r="CZ4902" s="42" t="e">
        <v>#N/A</v>
      </c>
      <c r="DA4902">
        <v>0.11332468572476186</v>
      </c>
      <c r="DB4902" t="str">
        <v/>
      </c>
    </row>
    <row r="4903" spans="83:106" x14ac:dyDescent="0.2">
      <c r="CE4903"/>
      <c r="CF4903"/>
      <c r="CG4903"/>
      <c r="CH4903"/>
      <c r="CI4903"/>
      <c r="CU4903" s="42">
        <v>4898</v>
      </c>
      <c r="CV4903" s="42">
        <v>4</v>
      </c>
      <c r="CW4903" s="42">
        <v>0.11332468572476186</v>
      </c>
      <c r="CX4903" s="42" t="e">
        <v>#N/A</v>
      </c>
      <c r="CY4903" s="42" t="e">
        <v>#N/A</v>
      </c>
      <c r="CZ4903" s="42" t="e">
        <v>#N/A</v>
      </c>
      <c r="DA4903">
        <v>0.11332468572476186</v>
      </c>
      <c r="DB4903" t="str">
        <v/>
      </c>
    </row>
    <row r="4904" spans="83:106" x14ac:dyDescent="0.2">
      <c r="CE4904"/>
      <c r="CF4904"/>
      <c r="CG4904"/>
      <c r="CH4904"/>
      <c r="CI4904"/>
      <c r="CU4904" s="42">
        <v>4899</v>
      </c>
      <c r="CV4904" s="42">
        <v>4</v>
      </c>
      <c r="CW4904" s="42">
        <v>0.11332468572476186</v>
      </c>
      <c r="CX4904" s="42" t="e">
        <v>#N/A</v>
      </c>
      <c r="CY4904" s="42" t="e">
        <v>#N/A</v>
      </c>
      <c r="CZ4904" s="42" t="e">
        <v>#N/A</v>
      </c>
      <c r="DA4904">
        <v>0.11332468572476186</v>
      </c>
      <c r="DB4904" t="str">
        <v/>
      </c>
    </row>
    <row r="4905" spans="83:106" x14ac:dyDescent="0.2">
      <c r="CE4905"/>
      <c r="CF4905"/>
      <c r="CG4905"/>
      <c r="CH4905"/>
      <c r="CI4905"/>
      <c r="CU4905" s="42">
        <v>4900</v>
      </c>
      <c r="CV4905" s="42">
        <v>4</v>
      </c>
      <c r="CW4905" s="42">
        <v>0.11332468572476186</v>
      </c>
      <c r="CX4905" s="42" t="e">
        <v>#N/A</v>
      </c>
      <c r="CY4905" s="42" t="e">
        <v>#N/A</v>
      </c>
      <c r="CZ4905" s="42" t="e">
        <v>#N/A</v>
      </c>
      <c r="DA4905">
        <v>0.11332468572476186</v>
      </c>
      <c r="DB4905" t="str">
        <v/>
      </c>
    </row>
    <row r="4906" spans="83:106" x14ac:dyDescent="0.2">
      <c r="CE4906"/>
      <c r="CF4906"/>
      <c r="CG4906"/>
      <c r="CH4906"/>
      <c r="CI4906"/>
      <c r="CU4906" s="42">
        <v>4901</v>
      </c>
      <c r="CV4906" s="42">
        <v>4</v>
      </c>
      <c r="CW4906" s="42">
        <v>0.11332468572476186</v>
      </c>
      <c r="CX4906" s="42" t="e">
        <v>#N/A</v>
      </c>
      <c r="CY4906" s="42" t="e">
        <v>#N/A</v>
      </c>
      <c r="CZ4906" s="42" t="e">
        <v>#N/A</v>
      </c>
      <c r="DA4906">
        <v>0.11332468572476186</v>
      </c>
      <c r="DB4906" t="str">
        <v/>
      </c>
    </row>
    <row r="4907" spans="83:106" x14ac:dyDescent="0.2">
      <c r="CE4907"/>
      <c r="CF4907"/>
      <c r="CG4907"/>
      <c r="CH4907"/>
      <c r="CI4907"/>
      <c r="CU4907" s="42">
        <v>4902</v>
      </c>
      <c r="CV4907" s="42">
        <v>4</v>
      </c>
      <c r="CW4907" s="42">
        <v>0.11332468572476186</v>
      </c>
      <c r="CX4907" s="42" t="e">
        <v>#N/A</v>
      </c>
      <c r="CY4907" s="42" t="e">
        <v>#N/A</v>
      </c>
      <c r="CZ4907" s="42" t="e">
        <v>#N/A</v>
      </c>
      <c r="DA4907">
        <v>0.11332468572476186</v>
      </c>
      <c r="DB4907" t="str">
        <v/>
      </c>
    </row>
    <row r="4908" spans="83:106" x14ac:dyDescent="0.2">
      <c r="CE4908"/>
      <c r="CF4908"/>
      <c r="CG4908"/>
      <c r="CH4908"/>
      <c r="CI4908"/>
      <c r="CU4908" s="42">
        <v>4903</v>
      </c>
      <c r="CV4908" s="42">
        <v>4</v>
      </c>
      <c r="CW4908" s="42">
        <v>0.11332468572476186</v>
      </c>
      <c r="CX4908" s="42" t="e">
        <v>#N/A</v>
      </c>
      <c r="CY4908" s="42" t="e">
        <v>#N/A</v>
      </c>
      <c r="CZ4908" s="42" t="e">
        <v>#N/A</v>
      </c>
      <c r="DA4908">
        <v>0.11332468572476186</v>
      </c>
      <c r="DB4908" t="str">
        <v/>
      </c>
    </row>
    <row r="4909" spans="83:106" x14ac:dyDescent="0.2">
      <c r="CE4909"/>
      <c r="CF4909"/>
      <c r="CG4909"/>
      <c r="CH4909"/>
      <c r="CI4909"/>
      <c r="CU4909" s="42">
        <v>4904</v>
      </c>
      <c r="CV4909" s="42">
        <v>4</v>
      </c>
      <c r="CW4909" s="42">
        <v>0.11332468572476186</v>
      </c>
      <c r="CX4909" s="42" t="e">
        <v>#N/A</v>
      </c>
      <c r="CY4909" s="42" t="e">
        <v>#N/A</v>
      </c>
      <c r="CZ4909" s="42" t="e">
        <v>#N/A</v>
      </c>
      <c r="DA4909">
        <v>0.11332468572476186</v>
      </c>
      <c r="DB4909" t="str">
        <v/>
      </c>
    </row>
    <row r="4910" spans="83:106" x14ac:dyDescent="0.2">
      <c r="CE4910"/>
      <c r="CF4910"/>
      <c r="CG4910"/>
      <c r="CH4910"/>
      <c r="CI4910"/>
      <c r="CU4910" s="42">
        <v>4905</v>
      </c>
      <c r="CV4910" s="42">
        <v>4</v>
      </c>
      <c r="CW4910" s="42">
        <v>0.11332468572476186</v>
      </c>
      <c r="CX4910" s="42" t="e">
        <v>#N/A</v>
      </c>
      <c r="CY4910" s="42" t="e">
        <v>#N/A</v>
      </c>
      <c r="CZ4910" s="42" t="e">
        <v>#N/A</v>
      </c>
      <c r="DA4910">
        <v>0.11332468572476186</v>
      </c>
      <c r="DB4910" t="str">
        <v/>
      </c>
    </row>
    <row r="4911" spans="83:106" x14ac:dyDescent="0.2">
      <c r="CE4911"/>
      <c r="CF4911"/>
      <c r="CG4911"/>
      <c r="CH4911"/>
      <c r="CI4911"/>
      <c r="CU4911" s="42">
        <v>4906</v>
      </c>
      <c r="CV4911" s="42">
        <v>4</v>
      </c>
      <c r="CW4911" s="42">
        <v>0.11332468572476186</v>
      </c>
      <c r="CX4911" s="42" t="e">
        <v>#N/A</v>
      </c>
      <c r="CY4911" s="42" t="e">
        <v>#N/A</v>
      </c>
      <c r="CZ4911" s="42" t="e">
        <v>#N/A</v>
      </c>
      <c r="DA4911">
        <v>0.11332468572476186</v>
      </c>
      <c r="DB4911" t="str">
        <v/>
      </c>
    </row>
    <row r="4912" spans="83:106" x14ac:dyDescent="0.2">
      <c r="CE4912"/>
      <c r="CF4912"/>
      <c r="CG4912"/>
      <c r="CH4912"/>
      <c r="CI4912"/>
      <c r="CU4912" s="42">
        <v>4907</v>
      </c>
      <c r="CV4912" s="42">
        <v>4</v>
      </c>
      <c r="CW4912" s="42">
        <v>0.11332468572476186</v>
      </c>
      <c r="CX4912" s="42" t="e">
        <v>#N/A</v>
      </c>
      <c r="CY4912" s="42" t="e">
        <v>#N/A</v>
      </c>
      <c r="CZ4912" s="42" t="e">
        <v>#N/A</v>
      </c>
      <c r="DA4912">
        <v>0.11332468572476186</v>
      </c>
      <c r="DB4912" t="str">
        <v/>
      </c>
    </row>
    <row r="4913" spans="83:106" x14ac:dyDescent="0.2">
      <c r="CE4913"/>
      <c r="CF4913"/>
      <c r="CG4913"/>
      <c r="CH4913"/>
      <c r="CI4913"/>
      <c r="CU4913" s="42">
        <v>4908</v>
      </c>
      <c r="CV4913" s="42">
        <v>4</v>
      </c>
      <c r="CW4913" s="42">
        <v>0.11332468572476186</v>
      </c>
      <c r="CX4913" s="42" t="e">
        <v>#N/A</v>
      </c>
      <c r="CY4913" s="42" t="e">
        <v>#N/A</v>
      </c>
      <c r="CZ4913" s="42" t="e">
        <v>#N/A</v>
      </c>
      <c r="DA4913">
        <v>0.11332468572476186</v>
      </c>
      <c r="DB4913" t="str">
        <v/>
      </c>
    </row>
    <row r="4914" spans="83:106" x14ac:dyDescent="0.2">
      <c r="CE4914"/>
      <c r="CF4914"/>
      <c r="CG4914"/>
      <c r="CH4914"/>
      <c r="CI4914"/>
      <c r="CU4914" s="42">
        <v>4909</v>
      </c>
      <c r="CV4914" s="42">
        <v>4</v>
      </c>
      <c r="CW4914" s="42">
        <v>0.11332468572476186</v>
      </c>
      <c r="CX4914" s="42" t="e">
        <v>#N/A</v>
      </c>
      <c r="CY4914" s="42" t="e">
        <v>#N/A</v>
      </c>
      <c r="CZ4914" s="42" t="e">
        <v>#N/A</v>
      </c>
      <c r="DA4914">
        <v>0.11332468572476186</v>
      </c>
      <c r="DB4914" t="str">
        <v/>
      </c>
    </row>
    <row r="4915" spans="83:106" x14ac:dyDescent="0.2">
      <c r="CE4915"/>
      <c r="CF4915"/>
      <c r="CG4915"/>
      <c r="CH4915"/>
      <c r="CI4915"/>
      <c r="CU4915" s="42">
        <v>4910</v>
      </c>
      <c r="CV4915" s="42">
        <v>4</v>
      </c>
      <c r="CW4915" s="42">
        <v>0.11332468572476186</v>
      </c>
      <c r="CX4915" s="42" t="e">
        <v>#N/A</v>
      </c>
      <c r="CY4915" s="42" t="e">
        <v>#N/A</v>
      </c>
      <c r="CZ4915" s="42" t="e">
        <v>#N/A</v>
      </c>
      <c r="DA4915">
        <v>0.11332468572476186</v>
      </c>
      <c r="DB4915" t="str">
        <v/>
      </c>
    </row>
    <row r="4916" spans="83:106" x14ac:dyDescent="0.2">
      <c r="CE4916"/>
      <c r="CF4916"/>
      <c r="CG4916"/>
      <c r="CH4916"/>
      <c r="CI4916"/>
      <c r="CU4916" s="42">
        <v>4911</v>
      </c>
      <c r="CV4916" s="42">
        <v>4</v>
      </c>
      <c r="CW4916" s="42">
        <v>0.11332468572476186</v>
      </c>
      <c r="CX4916" s="42" t="e">
        <v>#N/A</v>
      </c>
      <c r="CY4916" s="42" t="e">
        <v>#N/A</v>
      </c>
      <c r="CZ4916" s="42" t="e">
        <v>#N/A</v>
      </c>
      <c r="DA4916">
        <v>0.11332468572476186</v>
      </c>
      <c r="DB4916" t="str">
        <v/>
      </c>
    </row>
    <row r="4917" spans="83:106" x14ac:dyDescent="0.2">
      <c r="CE4917"/>
      <c r="CF4917"/>
      <c r="CG4917"/>
      <c r="CH4917"/>
      <c r="CI4917"/>
      <c r="CU4917" s="42">
        <v>4912</v>
      </c>
      <c r="CV4917" s="42">
        <v>4</v>
      </c>
      <c r="CW4917" s="42">
        <v>0.11332468572476186</v>
      </c>
      <c r="CX4917" s="42" t="e">
        <v>#N/A</v>
      </c>
      <c r="CY4917" s="42" t="e">
        <v>#N/A</v>
      </c>
      <c r="CZ4917" s="42" t="e">
        <v>#N/A</v>
      </c>
      <c r="DA4917">
        <v>0.11332468572476186</v>
      </c>
      <c r="DB4917" t="str">
        <v/>
      </c>
    </row>
    <row r="4918" spans="83:106" x14ac:dyDescent="0.2">
      <c r="CE4918"/>
      <c r="CF4918"/>
      <c r="CG4918"/>
      <c r="CH4918"/>
      <c r="CI4918"/>
      <c r="CU4918" s="42">
        <v>4913</v>
      </c>
      <c r="CV4918" s="42">
        <v>4</v>
      </c>
      <c r="CW4918" s="42">
        <v>0.11332468572476186</v>
      </c>
      <c r="CX4918" s="42" t="e">
        <v>#N/A</v>
      </c>
      <c r="CY4918" s="42" t="e">
        <v>#N/A</v>
      </c>
      <c r="CZ4918" s="42" t="e">
        <v>#N/A</v>
      </c>
      <c r="DA4918">
        <v>0.11332468572476186</v>
      </c>
      <c r="DB4918" t="str">
        <v/>
      </c>
    </row>
    <row r="4919" spans="83:106" x14ac:dyDescent="0.2">
      <c r="CE4919"/>
      <c r="CF4919"/>
      <c r="CG4919"/>
      <c r="CH4919"/>
      <c r="CI4919"/>
      <c r="CU4919" s="42">
        <v>4914</v>
      </c>
      <c r="CV4919" s="42">
        <v>4</v>
      </c>
      <c r="CW4919" s="42">
        <v>0.11332468572476186</v>
      </c>
      <c r="CX4919" s="42" t="e">
        <v>#N/A</v>
      </c>
      <c r="CY4919" s="42" t="e">
        <v>#N/A</v>
      </c>
      <c r="CZ4919" s="42" t="e">
        <v>#N/A</v>
      </c>
      <c r="DA4919">
        <v>0.11332468572476186</v>
      </c>
      <c r="DB4919" t="str">
        <v/>
      </c>
    </row>
    <row r="4920" spans="83:106" x14ac:dyDescent="0.2">
      <c r="CE4920"/>
      <c r="CF4920"/>
      <c r="CG4920"/>
      <c r="CH4920"/>
      <c r="CI4920"/>
      <c r="CU4920" s="42">
        <v>4915</v>
      </c>
      <c r="CV4920" s="42">
        <v>4</v>
      </c>
      <c r="CW4920" s="42">
        <v>0.11332468572476186</v>
      </c>
      <c r="CX4920" s="42" t="e">
        <v>#N/A</v>
      </c>
      <c r="CY4920" s="42" t="e">
        <v>#N/A</v>
      </c>
      <c r="CZ4920" s="42" t="e">
        <v>#N/A</v>
      </c>
      <c r="DA4920">
        <v>0.11332468572476186</v>
      </c>
      <c r="DB4920" t="str">
        <v/>
      </c>
    </row>
    <row r="4921" spans="83:106" x14ac:dyDescent="0.2">
      <c r="CE4921"/>
      <c r="CF4921"/>
      <c r="CG4921"/>
      <c r="CH4921"/>
      <c r="CI4921"/>
      <c r="CU4921" s="42">
        <v>4916</v>
      </c>
      <c r="CV4921" s="42">
        <v>4</v>
      </c>
      <c r="CW4921" s="42">
        <v>0.11332468572476186</v>
      </c>
      <c r="CX4921" s="42" t="e">
        <v>#N/A</v>
      </c>
      <c r="CY4921" s="42" t="e">
        <v>#N/A</v>
      </c>
      <c r="CZ4921" s="42" t="e">
        <v>#N/A</v>
      </c>
      <c r="DA4921">
        <v>0.11332468572476186</v>
      </c>
      <c r="DB4921" t="str">
        <v/>
      </c>
    </row>
    <row r="4922" spans="83:106" x14ac:dyDescent="0.2">
      <c r="CE4922"/>
      <c r="CF4922"/>
      <c r="CG4922"/>
      <c r="CH4922"/>
      <c r="CI4922"/>
      <c r="CU4922" s="42">
        <v>4917</v>
      </c>
      <c r="CV4922" s="42">
        <v>4</v>
      </c>
      <c r="CW4922" s="42">
        <v>0.11332468572476186</v>
      </c>
      <c r="CX4922" s="42" t="e">
        <v>#N/A</v>
      </c>
      <c r="CY4922" s="42" t="e">
        <v>#N/A</v>
      </c>
      <c r="CZ4922" s="42" t="e">
        <v>#N/A</v>
      </c>
      <c r="DA4922">
        <v>0.11332468572476186</v>
      </c>
      <c r="DB4922" t="str">
        <v/>
      </c>
    </row>
    <row r="4923" spans="83:106" x14ac:dyDescent="0.2">
      <c r="CE4923"/>
      <c r="CF4923"/>
      <c r="CG4923"/>
      <c r="CH4923"/>
      <c r="CI4923"/>
      <c r="CU4923" s="42">
        <v>4918</v>
      </c>
      <c r="CV4923" s="42">
        <v>4</v>
      </c>
      <c r="CW4923" s="42">
        <v>0.11332468572476186</v>
      </c>
      <c r="CX4923" s="42" t="e">
        <v>#N/A</v>
      </c>
      <c r="CY4923" s="42" t="e">
        <v>#N/A</v>
      </c>
      <c r="CZ4923" s="42" t="e">
        <v>#N/A</v>
      </c>
      <c r="DA4923">
        <v>0.11332468572476186</v>
      </c>
      <c r="DB4923" t="str">
        <v/>
      </c>
    </row>
    <row r="4924" spans="83:106" x14ac:dyDescent="0.2">
      <c r="CE4924"/>
      <c r="CF4924"/>
      <c r="CG4924"/>
      <c r="CH4924"/>
      <c r="CI4924"/>
      <c r="CU4924" s="42">
        <v>4919</v>
      </c>
      <c r="CV4924" s="42">
        <v>4</v>
      </c>
      <c r="CW4924" s="42">
        <v>0.11332468572476186</v>
      </c>
      <c r="CX4924" s="42" t="e">
        <v>#N/A</v>
      </c>
      <c r="CY4924" s="42" t="e">
        <v>#N/A</v>
      </c>
      <c r="CZ4924" s="42" t="e">
        <v>#N/A</v>
      </c>
      <c r="DA4924">
        <v>0.11332468572476186</v>
      </c>
      <c r="DB4924" t="str">
        <v/>
      </c>
    </row>
    <row r="4925" spans="83:106" x14ac:dyDescent="0.2">
      <c r="CE4925"/>
      <c r="CF4925"/>
      <c r="CG4925"/>
      <c r="CH4925"/>
      <c r="CI4925"/>
      <c r="CU4925" s="42">
        <v>4920</v>
      </c>
      <c r="CV4925" s="42">
        <v>4</v>
      </c>
      <c r="CW4925" s="42">
        <v>0.11332468572476186</v>
      </c>
      <c r="CX4925" s="42" t="e">
        <v>#N/A</v>
      </c>
      <c r="CY4925" s="42" t="e">
        <v>#N/A</v>
      </c>
      <c r="CZ4925" s="42" t="e">
        <v>#N/A</v>
      </c>
      <c r="DA4925">
        <v>0.11332468572476186</v>
      </c>
      <c r="DB4925" t="str">
        <v/>
      </c>
    </row>
    <row r="4926" spans="83:106" x14ac:dyDescent="0.2">
      <c r="CE4926"/>
      <c r="CF4926"/>
      <c r="CG4926"/>
      <c r="CH4926"/>
      <c r="CI4926"/>
      <c r="CU4926" s="42">
        <v>4921</v>
      </c>
      <c r="CV4926" s="42">
        <v>4</v>
      </c>
      <c r="CW4926" s="42">
        <v>0.11332468572476186</v>
      </c>
      <c r="CX4926" s="42" t="e">
        <v>#N/A</v>
      </c>
      <c r="CY4926" s="42" t="e">
        <v>#N/A</v>
      </c>
      <c r="CZ4926" s="42" t="e">
        <v>#N/A</v>
      </c>
      <c r="DA4926">
        <v>0.11332468572476186</v>
      </c>
      <c r="DB4926" t="str">
        <v/>
      </c>
    </row>
    <row r="4927" spans="83:106" x14ac:dyDescent="0.2">
      <c r="CE4927"/>
      <c r="CF4927"/>
      <c r="CG4927"/>
      <c r="CH4927"/>
      <c r="CI4927"/>
      <c r="CU4927" s="42">
        <v>4922</v>
      </c>
      <c r="CV4927" s="42">
        <v>4</v>
      </c>
      <c r="CW4927" s="42">
        <v>0.11332468572476186</v>
      </c>
      <c r="CX4927" s="42" t="e">
        <v>#N/A</v>
      </c>
      <c r="CY4927" s="42" t="e">
        <v>#N/A</v>
      </c>
      <c r="CZ4927" s="42" t="e">
        <v>#N/A</v>
      </c>
      <c r="DA4927">
        <v>0.11332468572476186</v>
      </c>
      <c r="DB4927" t="str">
        <v/>
      </c>
    </row>
    <row r="4928" spans="83:106" x14ac:dyDescent="0.2">
      <c r="CE4928"/>
      <c r="CF4928"/>
      <c r="CG4928"/>
      <c r="CH4928"/>
      <c r="CI4928"/>
      <c r="CU4928" s="42">
        <v>4923</v>
      </c>
      <c r="CV4928" s="42">
        <v>4</v>
      </c>
      <c r="CW4928" s="42">
        <v>0.11332468572476186</v>
      </c>
      <c r="CX4928" s="42" t="e">
        <v>#N/A</v>
      </c>
      <c r="CY4928" s="42" t="e">
        <v>#N/A</v>
      </c>
      <c r="CZ4928" s="42" t="e">
        <v>#N/A</v>
      </c>
      <c r="DA4928">
        <v>0.11332468572476186</v>
      </c>
      <c r="DB4928" t="str">
        <v/>
      </c>
    </row>
    <row r="4929" spans="83:106" x14ac:dyDescent="0.2">
      <c r="CE4929"/>
      <c r="CF4929"/>
      <c r="CG4929"/>
      <c r="CH4929"/>
      <c r="CI4929"/>
      <c r="CU4929" s="42">
        <v>4924</v>
      </c>
      <c r="CV4929" s="42">
        <v>4</v>
      </c>
      <c r="CW4929" s="42">
        <v>0.11332468572476186</v>
      </c>
      <c r="CX4929" s="42" t="e">
        <v>#N/A</v>
      </c>
      <c r="CY4929" s="42" t="e">
        <v>#N/A</v>
      </c>
      <c r="CZ4929" s="42" t="e">
        <v>#N/A</v>
      </c>
      <c r="DA4929">
        <v>0.11332468572476186</v>
      </c>
      <c r="DB4929" t="str">
        <v/>
      </c>
    </row>
    <row r="4930" spans="83:106" x14ac:dyDescent="0.2">
      <c r="CE4930"/>
      <c r="CF4930"/>
      <c r="CG4930"/>
      <c r="CH4930"/>
      <c r="CI4930"/>
      <c r="CU4930" s="42">
        <v>4925</v>
      </c>
      <c r="CV4930" s="42">
        <v>4</v>
      </c>
      <c r="CW4930" s="42">
        <v>0.11332468572476186</v>
      </c>
      <c r="CX4930" s="42" t="e">
        <v>#N/A</v>
      </c>
      <c r="CY4930" s="42" t="e">
        <v>#N/A</v>
      </c>
      <c r="CZ4930" s="42" t="e">
        <v>#N/A</v>
      </c>
      <c r="DA4930">
        <v>0.11332468572476186</v>
      </c>
      <c r="DB4930" t="str">
        <v/>
      </c>
    </row>
    <row r="4931" spans="83:106" x14ac:dyDescent="0.2">
      <c r="CE4931"/>
      <c r="CF4931"/>
      <c r="CG4931"/>
      <c r="CH4931"/>
      <c r="CI4931"/>
      <c r="CU4931" s="42">
        <v>4926</v>
      </c>
      <c r="CV4931" s="42">
        <v>4</v>
      </c>
      <c r="CW4931" s="42">
        <v>0.11332468572476186</v>
      </c>
      <c r="CX4931" s="42" t="e">
        <v>#N/A</v>
      </c>
      <c r="CY4931" s="42" t="e">
        <v>#N/A</v>
      </c>
      <c r="CZ4931" s="42" t="e">
        <v>#N/A</v>
      </c>
      <c r="DA4931">
        <v>0.11332468572476186</v>
      </c>
      <c r="DB4931" t="str">
        <v/>
      </c>
    </row>
    <row r="4932" spans="83:106" x14ac:dyDescent="0.2">
      <c r="CE4932"/>
      <c r="CF4932"/>
      <c r="CG4932"/>
      <c r="CH4932"/>
      <c r="CI4932"/>
      <c r="CU4932" s="42">
        <v>4927</v>
      </c>
      <c r="CV4932" s="42">
        <v>4</v>
      </c>
      <c r="CW4932" s="42">
        <v>0.11332468572476186</v>
      </c>
      <c r="CX4932" s="42" t="e">
        <v>#N/A</v>
      </c>
      <c r="CY4932" s="42" t="e">
        <v>#N/A</v>
      </c>
      <c r="CZ4932" s="42" t="e">
        <v>#N/A</v>
      </c>
      <c r="DA4932">
        <v>0.11332468572476186</v>
      </c>
      <c r="DB4932" t="str">
        <v/>
      </c>
    </row>
    <row r="4933" spans="83:106" x14ac:dyDescent="0.2">
      <c r="CE4933"/>
      <c r="CF4933"/>
      <c r="CG4933"/>
      <c r="CH4933"/>
      <c r="CI4933"/>
      <c r="CU4933" s="42">
        <v>4928</v>
      </c>
      <c r="CV4933" s="42">
        <v>4</v>
      </c>
      <c r="CW4933" s="42">
        <v>0.11332468572476186</v>
      </c>
      <c r="CX4933" s="42" t="e">
        <v>#N/A</v>
      </c>
      <c r="CY4933" s="42" t="e">
        <v>#N/A</v>
      </c>
      <c r="CZ4933" s="42" t="e">
        <v>#N/A</v>
      </c>
      <c r="DA4933">
        <v>0.11332468572476186</v>
      </c>
      <c r="DB4933" t="str">
        <v/>
      </c>
    </row>
    <row r="4934" spans="83:106" x14ac:dyDescent="0.2">
      <c r="CE4934"/>
      <c r="CF4934"/>
      <c r="CG4934"/>
      <c r="CH4934"/>
      <c r="CI4934"/>
      <c r="CU4934" s="42">
        <v>4929</v>
      </c>
      <c r="CV4934" s="42">
        <v>4</v>
      </c>
      <c r="CW4934" s="42">
        <v>0.11332468572476186</v>
      </c>
      <c r="CX4934" s="42" t="e">
        <v>#N/A</v>
      </c>
      <c r="CY4934" s="42" t="e">
        <v>#N/A</v>
      </c>
      <c r="CZ4934" s="42" t="e">
        <v>#N/A</v>
      </c>
      <c r="DA4934">
        <v>0.11332468572476186</v>
      </c>
      <c r="DB4934" t="str">
        <v/>
      </c>
    </row>
    <row r="4935" spans="83:106" x14ac:dyDescent="0.2">
      <c r="CE4935"/>
      <c r="CF4935"/>
      <c r="CG4935"/>
      <c r="CH4935"/>
      <c r="CI4935"/>
      <c r="CU4935" s="42">
        <v>4930</v>
      </c>
      <c r="CV4935" s="42">
        <v>4</v>
      </c>
      <c r="CW4935" s="42">
        <v>0.11332468572476186</v>
      </c>
      <c r="CX4935" s="42" t="e">
        <v>#N/A</v>
      </c>
      <c r="CY4935" s="42" t="e">
        <v>#N/A</v>
      </c>
      <c r="CZ4935" s="42" t="e">
        <v>#N/A</v>
      </c>
      <c r="DA4935">
        <v>0.11332468572476186</v>
      </c>
      <c r="DB4935" t="str">
        <v/>
      </c>
    </row>
    <row r="4936" spans="83:106" x14ac:dyDescent="0.2">
      <c r="CE4936"/>
      <c r="CF4936"/>
      <c r="CG4936"/>
      <c r="CH4936"/>
      <c r="CI4936"/>
      <c r="CU4936" s="42">
        <v>4931</v>
      </c>
      <c r="CV4936" s="42">
        <v>4</v>
      </c>
      <c r="CW4936" s="42">
        <v>0.11332468572476186</v>
      </c>
      <c r="CX4936" s="42" t="e">
        <v>#N/A</v>
      </c>
      <c r="CY4936" s="42" t="e">
        <v>#N/A</v>
      </c>
      <c r="CZ4936" s="42" t="e">
        <v>#N/A</v>
      </c>
      <c r="DA4936">
        <v>0.11332468572476186</v>
      </c>
      <c r="DB4936" t="str">
        <v/>
      </c>
    </row>
    <row r="4937" spans="83:106" x14ac:dyDescent="0.2">
      <c r="CE4937"/>
      <c r="CF4937"/>
      <c r="CG4937"/>
      <c r="CH4937"/>
      <c r="CI4937"/>
      <c r="CU4937" s="42">
        <v>4932</v>
      </c>
      <c r="CV4937" s="42">
        <v>4</v>
      </c>
      <c r="CW4937" s="42">
        <v>0.11332468572476186</v>
      </c>
      <c r="CX4937" s="42" t="e">
        <v>#N/A</v>
      </c>
      <c r="CY4937" s="42" t="e">
        <v>#N/A</v>
      </c>
      <c r="CZ4937" s="42" t="e">
        <v>#N/A</v>
      </c>
      <c r="DA4937">
        <v>0.11332468572476186</v>
      </c>
      <c r="DB4937" t="str">
        <v/>
      </c>
    </row>
    <row r="4938" spans="83:106" x14ac:dyDescent="0.2">
      <c r="CE4938"/>
      <c r="CF4938"/>
      <c r="CG4938"/>
      <c r="CH4938"/>
      <c r="CI4938"/>
      <c r="CU4938" s="42">
        <v>4933</v>
      </c>
      <c r="CV4938" s="42">
        <v>4</v>
      </c>
      <c r="CW4938" s="42">
        <v>0.11332468572476186</v>
      </c>
      <c r="CX4938" s="42" t="e">
        <v>#N/A</v>
      </c>
      <c r="CY4938" s="42" t="e">
        <v>#N/A</v>
      </c>
      <c r="CZ4938" s="42" t="e">
        <v>#N/A</v>
      </c>
      <c r="DA4938">
        <v>0.11332468572476186</v>
      </c>
      <c r="DB4938" t="str">
        <v/>
      </c>
    </row>
    <row r="4939" spans="83:106" x14ac:dyDescent="0.2">
      <c r="CE4939"/>
      <c r="CF4939"/>
      <c r="CG4939"/>
      <c r="CH4939"/>
      <c r="CI4939"/>
      <c r="CU4939" s="42">
        <v>4934</v>
      </c>
      <c r="CV4939" s="42">
        <v>4</v>
      </c>
      <c r="CW4939" s="42">
        <v>0.11332468572476186</v>
      </c>
      <c r="CX4939" s="42" t="e">
        <v>#N/A</v>
      </c>
      <c r="CY4939" s="42" t="e">
        <v>#N/A</v>
      </c>
      <c r="CZ4939" s="42" t="e">
        <v>#N/A</v>
      </c>
      <c r="DA4939">
        <v>0.11332468572476186</v>
      </c>
      <c r="DB4939" t="str">
        <v/>
      </c>
    </row>
    <row r="4940" spans="83:106" x14ac:dyDescent="0.2">
      <c r="CE4940"/>
      <c r="CF4940"/>
      <c r="CG4940"/>
      <c r="CH4940"/>
      <c r="CI4940"/>
      <c r="CU4940" s="42">
        <v>4935</v>
      </c>
      <c r="CV4940" s="42">
        <v>4</v>
      </c>
      <c r="CW4940" s="42">
        <v>0.11332468572476186</v>
      </c>
      <c r="CX4940" s="42" t="e">
        <v>#N/A</v>
      </c>
      <c r="CY4940" s="42" t="e">
        <v>#N/A</v>
      </c>
      <c r="CZ4940" s="42" t="e">
        <v>#N/A</v>
      </c>
      <c r="DA4940">
        <v>0.11332468572476186</v>
      </c>
      <c r="DB4940" t="str">
        <v/>
      </c>
    </row>
    <row r="4941" spans="83:106" x14ac:dyDescent="0.2">
      <c r="CE4941"/>
      <c r="CF4941"/>
      <c r="CG4941"/>
      <c r="CH4941"/>
      <c r="CI4941"/>
      <c r="CU4941" s="42">
        <v>4936</v>
      </c>
      <c r="CV4941" s="42">
        <v>4</v>
      </c>
      <c r="CW4941" s="42">
        <v>0.11332468572476186</v>
      </c>
      <c r="CX4941" s="42" t="e">
        <v>#N/A</v>
      </c>
      <c r="CY4941" s="42" t="e">
        <v>#N/A</v>
      </c>
      <c r="CZ4941" s="42" t="e">
        <v>#N/A</v>
      </c>
      <c r="DA4941">
        <v>0.11332468572476186</v>
      </c>
      <c r="DB4941" t="str">
        <v/>
      </c>
    </row>
    <row r="4942" spans="83:106" x14ac:dyDescent="0.2">
      <c r="CE4942"/>
      <c r="CF4942"/>
      <c r="CG4942"/>
      <c r="CH4942"/>
      <c r="CI4942"/>
      <c r="CU4942" s="42">
        <v>4937</v>
      </c>
      <c r="CV4942" s="42">
        <v>4</v>
      </c>
      <c r="CW4942" s="42">
        <v>0.11332468572476186</v>
      </c>
      <c r="CX4942" s="42" t="e">
        <v>#N/A</v>
      </c>
      <c r="CY4942" s="42" t="e">
        <v>#N/A</v>
      </c>
      <c r="CZ4942" s="42" t="e">
        <v>#N/A</v>
      </c>
      <c r="DA4942">
        <v>0.11332468572476186</v>
      </c>
      <c r="DB4942" t="str">
        <v/>
      </c>
    </row>
    <row r="4943" spans="83:106" x14ac:dyDescent="0.2">
      <c r="CE4943"/>
      <c r="CF4943"/>
      <c r="CG4943"/>
      <c r="CH4943"/>
      <c r="CI4943"/>
      <c r="CU4943" s="42">
        <v>4938</v>
      </c>
      <c r="CV4943" s="42">
        <v>4</v>
      </c>
      <c r="CW4943" s="42">
        <v>0.11332468572476186</v>
      </c>
      <c r="CX4943" s="42" t="e">
        <v>#N/A</v>
      </c>
      <c r="CY4943" s="42" t="e">
        <v>#N/A</v>
      </c>
      <c r="CZ4943" s="42" t="e">
        <v>#N/A</v>
      </c>
      <c r="DA4943">
        <v>0.11332468572476186</v>
      </c>
      <c r="DB4943" t="str">
        <v/>
      </c>
    </row>
    <row r="4944" spans="83:106" x14ac:dyDescent="0.2">
      <c r="CE4944"/>
      <c r="CF4944"/>
      <c r="CG4944"/>
      <c r="CH4944"/>
      <c r="CI4944"/>
      <c r="CU4944" s="42">
        <v>4939</v>
      </c>
      <c r="CV4944" s="42">
        <v>4</v>
      </c>
      <c r="CW4944" s="42">
        <v>0.11332468572476186</v>
      </c>
      <c r="CX4944" s="42" t="e">
        <v>#N/A</v>
      </c>
      <c r="CY4944" s="42" t="e">
        <v>#N/A</v>
      </c>
      <c r="CZ4944" s="42" t="e">
        <v>#N/A</v>
      </c>
      <c r="DA4944">
        <v>0.11332468572476186</v>
      </c>
      <c r="DB4944" t="str">
        <v/>
      </c>
    </row>
    <row r="4945" spans="83:106" x14ac:dyDescent="0.2">
      <c r="CE4945"/>
      <c r="CF4945"/>
      <c r="CG4945"/>
      <c r="CH4945"/>
      <c r="CI4945"/>
      <c r="CU4945" s="42">
        <v>4940</v>
      </c>
      <c r="CV4945" s="42">
        <v>4</v>
      </c>
      <c r="CW4945" s="42">
        <v>0.11332468572476186</v>
      </c>
      <c r="CX4945" s="42" t="e">
        <v>#N/A</v>
      </c>
      <c r="CY4945" s="42" t="e">
        <v>#N/A</v>
      </c>
      <c r="CZ4945" s="42" t="e">
        <v>#N/A</v>
      </c>
      <c r="DA4945">
        <v>0.11332468572476186</v>
      </c>
      <c r="DB4945" t="str">
        <v/>
      </c>
    </row>
    <row r="4946" spans="83:106" x14ac:dyDescent="0.2">
      <c r="CE4946"/>
      <c r="CF4946"/>
      <c r="CG4946"/>
      <c r="CH4946"/>
      <c r="CI4946"/>
      <c r="CU4946" s="42">
        <v>4941</v>
      </c>
      <c r="CV4946" s="42">
        <v>4</v>
      </c>
      <c r="CW4946" s="42">
        <v>0.11332468572476186</v>
      </c>
      <c r="CX4946" s="42" t="e">
        <v>#N/A</v>
      </c>
      <c r="CY4946" s="42" t="e">
        <v>#N/A</v>
      </c>
      <c r="CZ4946" s="42" t="e">
        <v>#N/A</v>
      </c>
      <c r="DA4946">
        <v>0.11332468572476186</v>
      </c>
      <c r="DB4946" t="str">
        <v/>
      </c>
    </row>
    <row r="4947" spans="83:106" x14ac:dyDescent="0.2">
      <c r="CE4947"/>
      <c r="CF4947"/>
      <c r="CG4947"/>
      <c r="CH4947"/>
      <c r="CI4947"/>
      <c r="CU4947" s="42">
        <v>4942</v>
      </c>
      <c r="CV4947" s="42">
        <v>4</v>
      </c>
      <c r="CW4947" s="42">
        <v>0.11332468572476186</v>
      </c>
      <c r="CX4947" s="42" t="e">
        <v>#N/A</v>
      </c>
      <c r="CY4947" s="42" t="e">
        <v>#N/A</v>
      </c>
      <c r="CZ4947" s="42" t="e">
        <v>#N/A</v>
      </c>
      <c r="DA4947">
        <v>0.11332468572476186</v>
      </c>
      <c r="DB4947" t="str">
        <v/>
      </c>
    </row>
    <row r="4948" spans="83:106" x14ac:dyDescent="0.2">
      <c r="CE4948"/>
      <c r="CF4948"/>
      <c r="CG4948"/>
      <c r="CH4948"/>
      <c r="CI4948"/>
      <c r="CU4948" s="42">
        <v>4943</v>
      </c>
      <c r="CV4948" s="42">
        <v>4</v>
      </c>
      <c r="CW4948" s="42">
        <v>0.11332468572476186</v>
      </c>
      <c r="CX4948" s="42" t="e">
        <v>#N/A</v>
      </c>
      <c r="CY4948" s="42" t="e">
        <v>#N/A</v>
      </c>
      <c r="CZ4948" s="42" t="e">
        <v>#N/A</v>
      </c>
      <c r="DA4948">
        <v>0.11332468572476186</v>
      </c>
      <c r="DB4948" t="str">
        <v/>
      </c>
    </row>
    <row r="4949" spans="83:106" x14ac:dyDescent="0.2">
      <c r="CE4949"/>
      <c r="CF4949"/>
      <c r="CG4949"/>
      <c r="CH4949"/>
      <c r="CI4949"/>
      <c r="CU4949" s="42">
        <v>4944</v>
      </c>
      <c r="CV4949" s="42">
        <v>4</v>
      </c>
      <c r="CW4949" s="42">
        <v>0.11332468572476186</v>
      </c>
      <c r="CX4949" s="42" t="e">
        <v>#N/A</v>
      </c>
      <c r="CY4949" s="42" t="e">
        <v>#N/A</v>
      </c>
      <c r="CZ4949" s="42" t="e">
        <v>#N/A</v>
      </c>
      <c r="DA4949">
        <v>0.11332468572476186</v>
      </c>
      <c r="DB4949" t="str">
        <v/>
      </c>
    </row>
    <row r="4950" spans="83:106" x14ac:dyDescent="0.2">
      <c r="CE4950"/>
      <c r="CF4950"/>
      <c r="CG4950"/>
      <c r="CH4950"/>
      <c r="CI4950"/>
      <c r="CU4950" s="42">
        <v>4945</v>
      </c>
      <c r="CV4950" s="42">
        <v>4</v>
      </c>
      <c r="CW4950" s="42">
        <v>0.11332468572476186</v>
      </c>
      <c r="CX4950" s="42" t="e">
        <v>#N/A</v>
      </c>
      <c r="CY4950" s="42" t="e">
        <v>#N/A</v>
      </c>
      <c r="CZ4950" s="42" t="e">
        <v>#N/A</v>
      </c>
      <c r="DA4950">
        <v>0.11332468572476186</v>
      </c>
      <c r="DB4950" t="str">
        <v/>
      </c>
    </row>
    <row r="4951" spans="83:106" x14ac:dyDescent="0.2">
      <c r="CE4951"/>
      <c r="CF4951"/>
      <c r="CG4951"/>
      <c r="CH4951"/>
      <c r="CI4951"/>
      <c r="CU4951" s="42">
        <v>4946</v>
      </c>
      <c r="CV4951" s="42">
        <v>4</v>
      </c>
      <c r="CW4951" s="42">
        <v>0.11332468572476186</v>
      </c>
      <c r="CX4951" s="42" t="e">
        <v>#N/A</v>
      </c>
      <c r="CY4951" s="42" t="e">
        <v>#N/A</v>
      </c>
      <c r="CZ4951" s="42" t="e">
        <v>#N/A</v>
      </c>
      <c r="DA4951">
        <v>0.11332468572476186</v>
      </c>
      <c r="DB4951" t="str">
        <v/>
      </c>
    </row>
    <row r="4952" spans="83:106" x14ac:dyDescent="0.2">
      <c r="CE4952"/>
      <c r="CF4952"/>
      <c r="CG4952"/>
      <c r="CH4952"/>
      <c r="CI4952"/>
      <c r="CU4952" s="42">
        <v>4947</v>
      </c>
      <c r="CV4952" s="42">
        <v>4</v>
      </c>
      <c r="CW4952" s="42">
        <v>0.11332468572476186</v>
      </c>
      <c r="CX4952" s="42" t="e">
        <v>#N/A</v>
      </c>
      <c r="CY4952" s="42" t="e">
        <v>#N/A</v>
      </c>
      <c r="CZ4952" s="42" t="e">
        <v>#N/A</v>
      </c>
      <c r="DA4952">
        <v>0.11332468572476186</v>
      </c>
      <c r="DB4952" t="str">
        <v/>
      </c>
    </row>
    <row r="4953" spans="83:106" x14ac:dyDescent="0.2">
      <c r="CE4953"/>
      <c r="CF4953"/>
      <c r="CG4953"/>
      <c r="CH4953"/>
      <c r="CI4953"/>
      <c r="CU4953" s="42">
        <v>4948</v>
      </c>
      <c r="CV4953" s="42">
        <v>4</v>
      </c>
      <c r="CW4953" s="42">
        <v>0.11332468572476186</v>
      </c>
      <c r="CX4953" s="42" t="e">
        <v>#N/A</v>
      </c>
      <c r="CY4953" s="42" t="e">
        <v>#N/A</v>
      </c>
      <c r="CZ4953" s="42" t="e">
        <v>#N/A</v>
      </c>
      <c r="DA4953">
        <v>0.11332468572476186</v>
      </c>
      <c r="DB4953" t="str">
        <v/>
      </c>
    </row>
    <row r="4954" spans="83:106" x14ac:dyDescent="0.2">
      <c r="CE4954"/>
      <c r="CF4954"/>
      <c r="CG4954"/>
      <c r="CH4954"/>
      <c r="CI4954"/>
      <c r="CU4954" s="42">
        <v>4949</v>
      </c>
      <c r="CV4954" s="42">
        <v>4</v>
      </c>
      <c r="CW4954" s="42">
        <v>0.11332468572476186</v>
      </c>
      <c r="CX4954" s="42" t="e">
        <v>#N/A</v>
      </c>
      <c r="CY4954" s="42" t="e">
        <v>#N/A</v>
      </c>
      <c r="CZ4954" s="42" t="e">
        <v>#N/A</v>
      </c>
      <c r="DA4954">
        <v>0.11332468572476186</v>
      </c>
      <c r="DB4954" t="str">
        <v/>
      </c>
    </row>
    <row r="4955" spans="83:106" x14ac:dyDescent="0.2">
      <c r="CE4955"/>
      <c r="CF4955"/>
      <c r="CG4955"/>
      <c r="CH4955"/>
      <c r="CI4955"/>
      <c r="CU4955" s="42">
        <v>4950</v>
      </c>
      <c r="CV4955" s="42">
        <v>4</v>
      </c>
      <c r="CW4955" s="42">
        <v>0.11332468572476186</v>
      </c>
      <c r="CX4955" s="42" t="e">
        <v>#N/A</v>
      </c>
      <c r="CY4955" s="42" t="e">
        <v>#N/A</v>
      </c>
      <c r="CZ4955" s="42" t="e">
        <v>#N/A</v>
      </c>
      <c r="DA4955">
        <v>0.11332468572476186</v>
      </c>
      <c r="DB4955" t="str">
        <v/>
      </c>
    </row>
    <row r="4956" spans="83:106" x14ac:dyDescent="0.2">
      <c r="CE4956"/>
      <c r="CF4956"/>
      <c r="CG4956"/>
      <c r="CH4956"/>
      <c r="CI4956"/>
      <c r="CU4956" s="42">
        <v>4951</v>
      </c>
      <c r="CV4956" s="42">
        <v>4</v>
      </c>
      <c r="CW4956" s="42">
        <v>0.11332468572476186</v>
      </c>
      <c r="CX4956" s="42" t="e">
        <v>#N/A</v>
      </c>
      <c r="CY4956" s="42" t="e">
        <v>#N/A</v>
      </c>
      <c r="CZ4956" s="42" t="e">
        <v>#N/A</v>
      </c>
      <c r="DA4956">
        <v>0.11332468572476186</v>
      </c>
      <c r="DB4956" t="str">
        <v/>
      </c>
    </row>
    <row r="4957" spans="83:106" x14ac:dyDescent="0.2">
      <c r="CE4957"/>
      <c r="CF4957"/>
      <c r="CG4957"/>
      <c r="CH4957"/>
      <c r="CI4957"/>
      <c r="CU4957" s="42">
        <v>4952</v>
      </c>
      <c r="CV4957" s="42">
        <v>4</v>
      </c>
      <c r="CW4957" s="42">
        <v>0.11332468572476186</v>
      </c>
      <c r="CX4957" s="42" t="e">
        <v>#N/A</v>
      </c>
      <c r="CY4957" s="42" t="e">
        <v>#N/A</v>
      </c>
      <c r="CZ4957" s="42" t="e">
        <v>#N/A</v>
      </c>
      <c r="DA4957">
        <v>0.11332468572476186</v>
      </c>
      <c r="DB4957" t="str">
        <v/>
      </c>
    </row>
    <row r="4958" spans="83:106" x14ac:dyDescent="0.2">
      <c r="CE4958"/>
      <c r="CF4958"/>
      <c r="CG4958"/>
      <c r="CH4958"/>
      <c r="CI4958"/>
      <c r="CU4958" s="42">
        <v>4953</v>
      </c>
      <c r="CV4958" s="42">
        <v>4</v>
      </c>
      <c r="CW4958" s="42">
        <v>0.11332468572476186</v>
      </c>
      <c r="CX4958" s="42" t="e">
        <v>#N/A</v>
      </c>
      <c r="CY4958" s="42" t="e">
        <v>#N/A</v>
      </c>
      <c r="CZ4958" s="42" t="e">
        <v>#N/A</v>
      </c>
      <c r="DA4958">
        <v>0.11332468572476186</v>
      </c>
      <c r="DB4958" t="str">
        <v/>
      </c>
    </row>
    <row r="4959" spans="83:106" x14ac:dyDescent="0.2">
      <c r="CE4959"/>
      <c r="CF4959"/>
      <c r="CG4959"/>
      <c r="CH4959"/>
      <c r="CI4959"/>
      <c r="CU4959" s="42">
        <v>4954</v>
      </c>
      <c r="CV4959" s="42">
        <v>4</v>
      </c>
      <c r="CW4959" s="42">
        <v>0.11332468572476186</v>
      </c>
      <c r="CX4959" s="42" t="e">
        <v>#N/A</v>
      </c>
      <c r="CY4959" s="42" t="e">
        <v>#N/A</v>
      </c>
      <c r="CZ4959" s="42" t="e">
        <v>#N/A</v>
      </c>
      <c r="DA4959">
        <v>0.11332468572476186</v>
      </c>
      <c r="DB4959" t="str">
        <v/>
      </c>
    </row>
    <row r="4960" spans="83:106" x14ac:dyDescent="0.2">
      <c r="CE4960"/>
      <c r="CF4960"/>
      <c r="CG4960"/>
      <c r="CH4960"/>
      <c r="CI4960"/>
      <c r="CU4960" s="42">
        <v>4955</v>
      </c>
      <c r="CV4960" s="42">
        <v>4</v>
      </c>
      <c r="CW4960" s="42">
        <v>0.11332468572476186</v>
      </c>
      <c r="CX4960" s="42" t="e">
        <v>#N/A</v>
      </c>
      <c r="CY4960" s="42" t="e">
        <v>#N/A</v>
      </c>
      <c r="CZ4960" s="42" t="e">
        <v>#N/A</v>
      </c>
      <c r="DA4960">
        <v>0.11332468572476186</v>
      </c>
      <c r="DB4960" t="str">
        <v/>
      </c>
    </row>
    <row r="4961" spans="83:106" x14ac:dyDescent="0.2">
      <c r="CE4961"/>
      <c r="CF4961"/>
      <c r="CG4961"/>
      <c r="CH4961"/>
      <c r="CI4961"/>
      <c r="CU4961" s="42">
        <v>4956</v>
      </c>
      <c r="CV4961" s="42">
        <v>4</v>
      </c>
      <c r="CW4961" s="42">
        <v>0.11332468572476186</v>
      </c>
      <c r="CX4961" s="42" t="e">
        <v>#N/A</v>
      </c>
      <c r="CY4961" s="42" t="e">
        <v>#N/A</v>
      </c>
      <c r="CZ4961" s="42" t="e">
        <v>#N/A</v>
      </c>
      <c r="DA4961">
        <v>0.11332468572476186</v>
      </c>
      <c r="DB4961" t="str">
        <v/>
      </c>
    </row>
    <row r="4962" spans="83:106" x14ac:dyDescent="0.2">
      <c r="CE4962"/>
      <c r="CF4962"/>
      <c r="CG4962"/>
      <c r="CH4962"/>
      <c r="CI4962"/>
      <c r="CU4962" s="42">
        <v>4957</v>
      </c>
      <c r="CV4962" s="42">
        <v>4</v>
      </c>
      <c r="CW4962" s="42">
        <v>0.11332468572476186</v>
      </c>
      <c r="CX4962" s="42" t="e">
        <v>#N/A</v>
      </c>
      <c r="CY4962" s="42" t="e">
        <v>#N/A</v>
      </c>
      <c r="CZ4962" s="42" t="e">
        <v>#N/A</v>
      </c>
      <c r="DA4962">
        <v>0.11332468572476186</v>
      </c>
      <c r="DB4962" t="str">
        <v/>
      </c>
    </row>
    <row r="4963" spans="83:106" x14ac:dyDescent="0.2">
      <c r="CE4963"/>
      <c r="CF4963"/>
      <c r="CG4963"/>
      <c r="CH4963"/>
      <c r="CI4963"/>
      <c r="CU4963" s="42">
        <v>4958</v>
      </c>
      <c r="CV4963" s="42">
        <v>4</v>
      </c>
      <c r="CW4963" s="42">
        <v>0.11332468572476186</v>
      </c>
      <c r="CX4963" s="42" t="e">
        <v>#N/A</v>
      </c>
      <c r="CY4963" s="42" t="e">
        <v>#N/A</v>
      </c>
      <c r="CZ4963" s="42" t="e">
        <v>#N/A</v>
      </c>
      <c r="DA4963">
        <v>0.11332468572476186</v>
      </c>
      <c r="DB4963" t="str">
        <v/>
      </c>
    </row>
    <row r="4964" spans="83:106" x14ac:dyDescent="0.2">
      <c r="CE4964"/>
      <c r="CF4964"/>
      <c r="CG4964"/>
      <c r="CH4964"/>
      <c r="CI4964"/>
      <c r="CU4964" s="42">
        <v>4959</v>
      </c>
      <c r="CV4964" s="42">
        <v>4</v>
      </c>
      <c r="CW4964" s="42">
        <v>0.11332468572476186</v>
      </c>
      <c r="CX4964" s="42" t="e">
        <v>#N/A</v>
      </c>
      <c r="CY4964" s="42" t="e">
        <v>#N/A</v>
      </c>
      <c r="CZ4964" s="42" t="e">
        <v>#N/A</v>
      </c>
      <c r="DA4964">
        <v>0.11332468572476186</v>
      </c>
      <c r="DB4964" t="str">
        <v/>
      </c>
    </row>
    <row r="4965" spans="83:106" x14ac:dyDescent="0.2">
      <c r="CE4965"/>
      <c r="CF4965"/>
      <c r="CG4965"/>
      <c r="CH4965"/>
      <c r="CI4965"/>
      <c r="CU4965" s="42">
        <v>4960</v>
      </c>
      <c r="CV4965" s="42">
        <v>4</v>
      </c>
      <c r="CW4965" s="42">
        <v>0.11332468572476186</v>
      </c>
      <c r="CX4965" s="42" t="e">
        <v>#N/A</v>
      </c>
      <c r="CY4965" s="42" t="e">
        <v>#N/A</v>
      </c>
      <c r="CZ4965" s="42" t="e">
        <v>#N/A</v>
      </c>
      <c r="DA4965">
        <v>0.11332468572476186</v>
      </c>
      <c r="DB4965" t="str">
        <v/>
      </c>
    </row>
    <row r="4966" spans="83:106" x14ac:dyDescent="0.2">
      <c r="CE4966"/>
      <c r="CF4966"/>
      <c r="CG4966"/>
      <c r="CH4966"/>
      <c r="CI4966"/>
      <c r="CU4966" s="42">
        <v>4961</v>
      </c>
      <c r="CV4966" s="42">
        <v>4</v>
      </c>
      <c r="CW4966" s="42">
        <v>0.11332468572476186</v>
      </c>
      <c r="CX4966" s="42" t="e">
        <v>#N/A</v>
      </c>
      <c r="CY4966" s="42" t="e">
        <v>#N/A</v>
      </c>
      <c r="CZ4966" s="42" t="e">
        <v>#N/A</v>
      </c>
      <c r="DA4966">
        <v>0.11332468572476186</v>
      </c>
      <c r="DB4966" t="str">
        <v/>
      </c>
    </row>
    <row r="4967" spans="83:106" x14ac:dyDescent="0.2">
      <c r="CE4967"/>
      <c r="CF4967"/>
      <c r="CG4967"/>
      <c r="CH4967"/>
      <c r="CI4967"/>
      <c r="CU4967" s="42">
        <v>4962</v>
      </c>
      <c r="CV4967" s="42">
        <v>4</v>
      </c>
      <c r="CW4967" s="42">
        <v>0.11332468572476186</v>
      </c>
      <c r="CX4967" s="42" t="e">
        <v>#N/A</v>
      </c>
      <c r="CY4967" s="42" t="e">
        <v>#N/A</v>
      </c>
      <c r="CZ4967" s="42" t="e">
        <v>#N/A</v>
      </c>
      <c r="DA4967">
        <v>0.11332468572476186</v>
      </c>
      <c r="DB4967" t="str">
        <v/>
      </c>
    </row>
    <row r="4968" spans="83:106" x14ac:dyDescent="0.2">
      <c r="CE4968"/>
      <c r="CF4968"/>
      <c r="CG4968"/>
      <c r="CH4968"/>
      <c r="CI4968"/>
      <c r="CU4968" s="42">
        <v>4963</v>
      </c>
      <c r="CV4968" s="42">
        <v>4</v>
      </c>
      <c r="CW4968" s="42">
        <v>0.11332468572476186</v>
      </c>
      <c r="CX4968" s="42" t="e">
        <v>#N/A</v>
      </c>
      <c r="CY4968" s="42" t="e">
        <v>#N/A</v>
      </c>
      <c r="CZ4968" s="42" t="e">
        <v>#N/A</v>
      </c>
      <c r="DA4968">
        <v>0.11332468572476186</v>
      </c>
      <c r="DB4968" t="str">
        <v/>
      </c>
    </row>
    <row r="4969" spans="83:106" x14ac:dyDescent="0.2">
      <c r="CE4969"/>
      <c r="CF4969"/>
      <c r="CG4969"/>
      <c r="CH4969"/>
      <c r="CI4969"/>
      <c r="CU4969" s="42">
        <v>4964</v>
      </c>
      <c r="CV4969" s="42">
        <v>4</v>
      </c>
      <c r="CW4969" s="42">
        <v>0.11332468572476186</v>
      </c>
      <c r="CX4969" s="42" t="e">
        <v>#N/A</v>
      </c>
      <c r="CY4969" s="42" t="e">
        <v>#N/A</v>
      </c>
      <c r="CZ4969" s="42" t="e">
        <v>#N/A</v>
      </c>
      <c r="DA4969">
        <v>0.11332468572476186</v>
      </c>
      <c r="DB4969" t="str">
        <v/>
      </c>
    </row>
    <row r="4970" spans="83:106" x14ac:dyDescent="0.2">
      <c r="CE4970"/>
      <c r="CF4970"/>
      <c r="CG4970"/>
      <c r="CH4970"/>
      <c r="CI4970"/>
      <c r="CU4970" s="42">
        <v>4965</v>
      </c>
      <c r="CV4970" s="42">
        <v>4</v>
      </c>
      <c r="CW4970" s="42">
        <v>0.11332468572476186</v>
      </c>
      <c r="CX4970" s="42" t="e">
        <v>#N/A</v>
      </c>
      <c r="CY4970" s="42" t="e">
        <v>#N/A</v>
      </c>
      <c r="CZ4970" s="42" t="e">
        <v>#N/A</v>
      </c>
      <c r="DA4970">
        <v>0.11332468572476186</v>
      </c>
      <c r="DB4970" t="str">
        <v/>
      </c>
    </row>
    <row r="4971" spans="83:106" x14ac:dyDescent="0.2">
      <c r="CE4971"/>
      <c r="CF4971"/>
      <c r="CG4971"/>
      <c r="CH4971"/>
      <c r="CI4971"/>
      <c r="CU4971" s="42">
        <v>4966</v>
      </c>
      <c r="CV4971" s="42">
        <v>4</v>
      </c>
      <c r="CW4971" s="42">
        <v>0.11332468572476186</v>
      </c>
      <c r="CX4971" s="42" t="e">
        <v>#N/A</v>
      </c>
      <c r="CY4971" s="42" t="e">
        <v>#N/A</v>
      </c>
      <c r="CZ4971" s="42" t="e">
        <v>#N/A</v>
      </c>
      <c r="DA4971">
        <v>0.11332468572476186</v>
      </c>
      <c r="DB4971" t="str">
        <v/>
      </c>
    </row>
    <row r="4972" spans="83:106" x14ac:dyDescent="0.2">
      <c r="CE4972"/>
      <c r="CF4972"/>
      <c r="CG4972"/>
      <c r="CH4972"/>
      <c r="CI4972"/>
      <c r="CU4972" s="42">
        <v>4967</v>
      </c>
      <c r="CV4972" s="42">
        <v>4</v>
      </c>
      <c r="CW4972" s="42">
        <v>0.11332468572476186</v>
      </c>
      <c r="CX4972" s="42" t="e">
        <v>#N/A</v>
      </c>
      <c r="CY4972" s="42" t="e">
        <v>#N/A</v>
      </c>
      <c r="CZ4972" s="42" t="e">
        <v>#N/A</v>
      </c>
      <c r="DA4972">
        <v>0.11332468572476186</v>
      </c>
      <c r="DB4972" t="str">
        <v/>
      </c>
    </row>
    <row r="4973" spans="83:106" x14ac:dyDescent="0.2">
      <c r="CE4973"/>
      <c r="CF4973"/>
      <c r="CG4973"/>
      <c r="CH4973"/>
      <c r="CI4973"/>
      <c r="CU4973" s="42">
        <v>4968</v>
      </c>
      <c r="CV4973" s="42">
        <v>4</v>
      </c>
      <c r="CW4973" s="42">
        <v>0.11332468572476186</v>
      </c>
      <c r="CX4973" s="42" t="e">
        <v>#N/A</v>
      </c>
      <c r="CY4973" s="42" t="e">
        <v>#N/A</v>
      </c>
      <c r="CZ4973" s="42" t="e">
        <v>#N/A</v>
      </c>
      <c r="DA4973">
        <v>0.11332468572476186</v>
      </c>
      <c r="DB4973" t="str">
        <v/>
      </c>
    </row>
    <row r="4974" spans="83:106" x14ac:dyDescent="0.2">
      <c r="CE4974"/>
      <c r="CF4974"/>
      <c r="CG4974"/>
      <c r="CH4974"/>
      <c r="CI4974"/>
      <c r="CU4974" s="42">
        <v>4969</v>
      </c>
      <c r="CV4974" s="42">
        <v>4</v>
      </c>
      <c r="CW4974" s="42">
        <v>0.11332468572476186</v>
      </c>
      <c r="CX4974" s="42" t="e">
        <v>#N/A</v>
      </c>
      <c r="CY4974" s="42" t="e">
        <v>#N/A</v>
      </c>
      <c r="CZ4974" s="42" t="e">
        <v>#N/A</v>
      </c>
      <c r="DA4974">
        <v>0.11332468572476186</v>
      </c>
      <c r="DB4974" t="str">
        <v/>
      </c>
    </row>
    <row r="4975" spans="83:106" x14ac:dyDescent="0.2">
      <c r="CE4975"/>
      <c r="CF4975"/>
      <c r="CG4975"/>
      <c r="CH4975"/>
      <c r="CI4975"/>
      <c r="CU4975" s="42">
        <v>4970</v>
      </c>
      <c r="CV4975" s="42">
        <v>4</v>
      </c>
      <c r="CW4975" s="42">
        <v>0.11332468572476186</v>
      </c>
      <c r="CX4975" s="42" t="e">
        <v>#N/A</v>
      </c>
      <c r="CY4975" s="42" t="e">
        <v>#N/A</v>
      </c>
      <c r="CZ4975" s="42" t="e">
        <v>#N/A</v>
      </c>
      <c r="DA4975">
        <v>0.11332468572476186</v>
      </c>
      <c r="DB4975" t="str">
        <v/>
      </c>
    </row>
    <row r="4976" spans="83:106" x14ac:dyDescent="0.2">
      <c r="CE4976"/>
      <c r="CF4976"/>
      <c r="CG4976"/>
      <c r="CH4976"/>
      <c r="CI4976"/>
      <c r="CU4976" s="42">
        <v>4971</v>
      </c>
      <c r="CV4976" s="42">
        <v>4</v>
      </c>
      <c r="CW4976" s="42">
        <v>0.11332468572476186</v>
      </c>
      <c r="CX4976" s="42" t="e">
        <v>#N/A</v>
      </c>
      <c r="CY4976" s="42" t="e">
        <v>#N/A</v>
      </c>
      <c r="CZ4976" s="42" t="e">
        <v>#N/A</v>
      </c>
      <c r="DA4976">
        <v>0.11332468572476186</v>
      </c>
      <c r="DB4976" t="str">
        <v/>
      </c>
    </row>
    <row r="4977" spans="83:106" x14ac:dyDescent="0.2">
      <c r="CE4977"/>
      <c r="CF4977"/>
      <c r="CG4977"/>
      <c r="CH4977"/>
      <c r="CI4977"/>
      <c r="CU4977" s="42">
        <v>4972</v>
      </c>
      <c r="CV4977" s="42">
        <v>4</v>
      </c>
      <c r="CW4977" s="42">
        <v>0.11332468572476186</v>
      </c>
      <c r="CX4977" s="42" t="e">
        <v>#N/A</v>
      </c>
      <c r="CY4977" s="42" t="e">
        <v>#N/A</v>
      </c>
      <c r="CZ4977" s="42" t="e">
        <v>#N/A</v>
      </c>
      <c r="DA4977">
        <v>0.11332468572476186</v>
      </c>
      <c r="DB4977" t="str">
        <v/>
      </c>
    </row>
    <row r="4978" spans="83:106" x14ac:dyDescent="0.2">
      <c r="CE4978"/>
      <c r="CF4978"/>
      <c r="CG4978"/>
      <c r="CH4978"/>
      <c r="CI4978"/>
      <c r="CU4978" s="42">
        <v>4973</v>
      </c>
      <c r="CV4978" s="42">
        <v>4</v>
      </c>
      <c r="CW4978" s="42">
        <v>0.11332468572476186</v>
      </c>
      <c r="CX4978" s="42" t="e">
        <v>#N/A</v>
      </c>
      <c r="CY4978" s="42" t="e">
        <v>#N/A</v>
      </c>
      <c r="CZ4978" s="42" t="e">
        <v>#N/A</v>
      </c>
      <c r="DA4978">
        <v>0.11332468572476186</v>
      </c>
      <c r="DB4978" t="str">
        <v/>
      </c>
    </row>
    <row r="4979" spans="83:106" x14ac:dyDescent="0.2">
      <c r="CE4979"/>
      <c r="CF4979"/>
      <c r="CG4979"/>
      <c r="CH4979"/>
      <c r="CI4979"/>
      <c r="CU4979" s="42">
        <v>4974</v>
      </c>
      <c r="CV4979" s="42">
        <v>4</v>
      </c>
      <c r="CW4979" s="42">
        <v>0.11332468572476186</v>
      </c>
      <c r="CX4979" s="42" t="e">
        <v>#N/A</v>
      </c>
      <c r="CY4979" s="42" t="e">
        <v>#N/A</v>
      </c>
      <c r="CZ4979" s="42" t="e">
        <v>#N/A</v>
      </c>
      <c r="DA4979">
        <v>0.11332468572476186</v>
      </c>
      <c r="DB4979" t="str">
        <v/>
      </c>
    </row>
    <row r="4980" spans="83:106" x14ac:dyDescent="0.2">
      <c r="CE4980"/>
      <c r="CF4980"/>
      <c r="CG4980"/>
      <c r="CH4980"/>
      <c r="CI4980"/>
      <c r="CU4980" s="42">
        <v>4975</v>
      </c>
      <c r="CV4980" s="42">
        <v>4</v>
      </c>
      <c r="CW4980" s="42">
        <v>0.11332468572476186</v>
      </c>
      <c r="CX4980" s="42" t="e">
        <v>#N/A</v>
      </c>
      <c r="CY4980" s="42" t="e">
        <v>#N/A</v>
      </c>
      <c r="CZ4980" s="42" t="e">
        <v>#N/A</v>
      </c>
      <c r="DA4980">
        <v>0.11332468572476186</v>
      </c>
      <c r="DB4980" t="str">
        <v/>
      </c>
    </row>
    <row r="4981" spans="83:106" x14ac:dyDescent="0.2">
      <c r="CE4981"/>
      <c r="CF4981"/>
      <c r="CG4981"/>
      <c r="CH4981"/>
      <c r="CI4981"/>
      <c r="CU4981" s="42">
        <v>4976</v>
      </c>
      <c r="CV4981" s="42">
        <v>4</v>
      </c>
      <c r="CW4981" s="42">
        <v>0.11332468572476186</v>
      </c>
      <c r="CX4981" s="42" t="e">
        <v>#N/A</v>
      </c>
      <c r="CY4981" s="42" t="e">
        <v>#N/A</v>
      </c>
      <c r="CZ4981" s="42" t="e">
        <v>#N/A</v>
      </c>
      <c r="DA4981">
        <v>0.11332468572476186</v>
      </c>
      <c r="DB4981" t="str">
        <v/>
      </c>
    </row>
    <row r="4982" spans="83:106" x14ac:dyDescent="0.2">
      <c r="CE4982"/>
      <c r="CF4982"/>
      <c r="CG4982"/>
      <c r="CH4982"/>
      <c r="CI4982"/>
      <c r="CU4982" s="42">
        <v>4977</v>
      </c>
      <c r="CV4982" s="42">
        <v>4</v>
      </c>
      <c r="CW4982" s="42">
        <v>0.11332468572476186</v>
      </c>
      <c r="CX4982" s="42" t="e">
        <v>#N/A</v>
      </c>
      <c r="CY4982" s="42" t="e">
        <v>#N/A</v>
      </c>
      <c r="CZ4982" s="42" t="e">
        <v>#N/A</v>
      </c>
      <c r="DA4982">
        <v>0.11332468572476186</v>
      </c>
      <c r="DB4982" t="str">
        <v/>
      </c>
    </row>
    <row r="4983" spans="83:106" x14ac:dyDescent="0.2">
      <c r="CE4983"/>
      <c r="CF4983"/>
      <c r="CG4983"/>
      <c r="CH4983"/>
      <c r="CI4983"/>
      <c r="CU4983" s="42">
        <v>4978</v>
      </c>
      <c r="CV4983" s="42">
        <v>4</v>
      </c>
      <c r="CW4983" s="42">
        <v>0.11332468572476186</v>
      </c>
      <c r="CX4983" s="42" t="e">
        <v>#N/A</v>
      </c>
      <c r="CY4983" s="42" t="e">
        <v>#N/A</v>
      </c>
      <c r="CZ4983" s="42" t="e">
        <v>#N/A</v>
      </c>
      <c r="DA4983">
        <v>0.11332468572476186</v>
      </c>
      <c r="DB4983" t="str">
        <v/>
      </c>
    </row>
    <row r="4984" spans="83:106" x14ac:dyDescent="0.2">
      <c r="CE4984"/>
      <c r="CF4984"/>
      <c r="CG4984"/>
      <c r="CH4984"/>
      <c r="CI4984"/>
      <c r="CU4984" s="42">
        <v>4979</v>
      </c>
      <c r="CV4984" s="42">
        <v>4</v>
      </c>
      <c r="CW4984" s="42">
        <v>0.11332468572476186</v>
      </c>
      <c r="CX4984" s="42" t="e">
        <v>#N/A</v>
      </c>
      <c r="CY4984" s="42" t="e">
        <v>#N/A</v>
      </c>
      <c r="CZ4984" s="42" t="e">
        <v>#N/A</v>
      </c>
      <c r="DA4984">
        <v>0.11332468572476186</v>
      </c>
      <c r="DB4984" t="str">
        <v/>
      </c>
    </row>
    <row r="4985" spans="83:106" x14ac:dyDescent="0.2">
      <c r="CE4985"/>
      <c r="CF4985"/>
      <c r="CG4985"/>
      <c r="CH4985"/>
      <c r="CI4985"/>
      <c r="CU4985" s="42">
        <v>4980</v>
      </c>
      <c r="CV4985" s="42">
        <v>4</v>
      </c>
      <c r="CW4985" s="42">
        <v>0.11332468572476186</v>
      </c>
      <c r="CX4985" s="42" t="e">
        <v>#N/A</v>
      </c>
      <c r="CY4985" s="42" t="e">
        <v>#N/A</v>
      </c>
      <c r="CZ4985" s="42" t="e">
        <v>#N/A</v>
      </c>
      <c r="DA4985">
        <v>0.11332468572476186</v>
      </c>
      <c r="DB4985" t="str">
        <v/>
      </c>
    </row>
    <row r="4986" spans="83:106" x14ac:dyDescent="0.2">
      <c r="CE4986"/>
      <c r="CF4986"/>
      <c r="CG4986"/>
      <c r="CH4986"/>
      <c r="CI4986"/>
      <c r="CU4986" s="42">
        <v>4981</v>
      </c>
      <c r="CV4986" s="42">
        <v>4</v>
      </c>
      <c r="CW4986" s="42">
        <v>0.11332468572476186</v>
      </c>
      <c r="CX4986" s="42" t="e">
        <v>#N/A</v>
      </c>
      <c r="CY4986" s="42" t="e">
        <v>#N/A</v>
      </c>
      <c r="CZ4986" s="42" t="e">
        <v>#N/A</v>
      </c>
      <c r="DA4986">
        <v>0.11332468572476186</v>
      </c>
      <c r="DB4986" t="str">
        <v/>
      </c>
    </row>
    <row r="4987" spans="83:106" x14ac:dyDescent="0.2">
      <c r="CE4987"/>
      <c r="CF4987"/>
      <c r="CG4987"/>
      <c r="CH4987"/>
      <c r="CI4987"/>
      <c r="CU4987" s="42">
        <v>4982</v>
      </c>
      <c r="CV4987" s="42">
        <v>4</v>
      </c>
      <c r="CW4987" s="42">
        <v>0.11332468572476186</v>
      </c>
      <c r="CX4987" s="42" t="e">
        <v>#N/A</v>
      </c>
      <c r="CY4987" s="42" t="e">
        <v>#N/A</v>
      </c>
      <c r="CZ4987" s="42" t="e">
        <v>#N/A</v>
      </c>
      <c r="DA4987">
        <v>0.11332468572476186</v>
      </c>
      <c r="DB4987" t="str">
        <v/>
      </c>
    </row>
    <row r="4988" spans="83:106" x14ac:dyDescent="0.2">
      <c r="CE4988"/>
      <c r="CF4988"/>
      <c r="CG4988"/>
      <c r="CH4988"/>
      <c r="CI4988"/>
      <c r="CU4988" s="42">
        <v>4983</v>
      </c>
      <c r="CV4988" s="42">
        <v>4</v>
      </c>
      <c r="CW4988" s="42">
        <v>0.11332468572476186</v>
      </c>
      <c r="CX4988" s="42" t="e">
        <v>#N/A</v>
      </c>
      <c r="CY4988" s="42" t="e">
        <v>#N/A</v>
      </c>
      <c r="CZ4988" s="42" t="e">
        <v>#N/A</v>
      </c>
      <c r="DA4988">
        <v>0.11332468572476186</v>
      </c>
      <c r="DB4988" t="str">
        <v/>
      </c>
    </row>
    <row r="4989" spans="83:106" x14ac:dyDescent="0.2">
      <c r="CE4989"/>
      <c r="CF4989"/>
      <c r="CG4989"/>
      <c r="CH4989"/>
      <c r="CI4989"/>
      <c r="CU4989" s="42">
        <v>4984</v>
      </c>
      <c r="CV4989" s="42">
        <v>4</v>
      </c>
      <c r="CW4989" s="42">
        <v>0.11332468572476186</v>
      </c>
      <c r="CX4989" s="42" t="e">
        <v>#N/A</v>
      </c>
      <c r="CY4989" s="42" t="e">
        <v>#N/A</v>
      </c>
      <c r="CZ4989" s="42" t="e">
        <v>#N/A</v>
      </c>
      <c r="DA4989">
        <v>0.11332468572476186</v>
      </c>
      <c r="DB4989" t="str">
        <v/>
      </c>
    </row>
    <row r="4990" spans="83:106" x14ac:dyDescent="0.2">
      <c r="CE4990"/>
      <c r="CF4990"/>
      <c r="CG4990"/>
      <c r="CH4990"/>
      <c r="CI4990"/>
      <c r="CU4990" s="42">
        <v>4985</v>
      </c>
      <c r="CV4990" s="42">
        <v>4</v>
      </c>
      <c r="CW4990" s="42">
        <v>0.11332468572476186</v>
      </c>
      <c r="CX4990" s="42" t="e">
        <v>#N/A</v>
      </c>
      <c r="CY4990" s="42" t="e">
        <v>#N/A</v>
      </c>
      <c r="CZ4990" s="42" t="e">
        <v>#N/A</v>
      </c>
      <c r="DA4990">
        <v>0.11332468572476186</v>
      </c>
      <c r="DB4990" t="str">
        <v/>
      </c>
    </row>
    <row r="4991" spans="83:106" x14ac:dyDescent="0.2">
      <c r="CE4991"/>
      <c r="CF4991"/>
      <c r="CG4991"/>
      <c r="CH4991"/>
      <c r="CI4991"/>
      <c r="CU4991" s="42">
        <v>4986</v>
      </c>
      <c r="CV4991" s="42">
        <v>4</v>
      </c>
      <c r="CW4991" s="42">
        <v>0.11332468572476186</v>
      </c>
      <c r="CX4991" s="42" t="e">
        <v>#N/A</v>
      </c>
      <c r="CY4991" s="42" t="e">
        <v>#N/A</v>
      </c>
      <c r="CZ4991" s="42" t="e">
        <v>#N/A</v>
      </c>
      <c r="DA4991">
        <v>0.11332468572476186</v>
      </c>
      <c r="DB4991" t="str">
        <v/>
      </c>
    </row>
    <row r="4992" spans="83:106" x14ac:dyDescent="0.2">
      <c r="CE4992"/>
      <c r="CF4992"/>
      <c r="CG4992"/>
      <c r="CH4992"/>
      <c r="CI4992"/>
      <c r="CU4992" s="42">
        <v>4987</v>
      </c>
      <c r="CV4992" s="42">
        <v>4</v>
      </c>
      <c r="CW4992" s="42">
        <v>0.11332468572476186</v>
      </c>
      <c r="CX4992" s="42" t="e">
        <v>#N/A</v>
      </c>
      <c r="CY4992" s="42" t="e">
        <v>#N/A</v>
      </c>
      <c r="CZ4992" s="42" t="e">
        <v>#N/A</v>
      </c>
      <c r="DA4992">
        <v>0.11332468572476186</v>
      </c>
      <c r="DB4992" t="str">
        <v/>
      </c>
    </row>
    <row r="4993" spans="83:106" x14ac:dyDescent="0.2">
      <c r="CE4993"/>
      <c r="CF4993"/>
      <c r="CG4993"/>
      <c r="CH4993"/>
      <c r="CI4993"/>
      <c r="CU4993" s="42">
        <v>4988</v>
      </c>
      <c r="CV4993" s="42">
        <v>4</v>
      </c>
      <c r="CW4993" s="42">
        <v>0.11332468572476186</v>
      </c>
      <c r="CX4993" s="42" t="e">
        <v>#N/A</v>
      </c>
      <c r="CY4993" s="42" t="e">
        <v>#N/A</v>
      </c>
      <c r="CZ4993" s="42" t="e">
        <v>#N/A</v>
      </c>
      <c r="DA4993">
        <v>0.11332468572476186</v>
      </c>
      <c r="DB4993" t="str">
        <v/>
      </c>
    </row>
    <row r="4994" spans="83:106" x14ac:dyDescent="0.2">
      <c r="CE4994"/>
      <c r="CF4994"/>
      <c r="CG4994"/>
      <c r="CH4994"/>
      <c r="CI4994"/>
      <c r="CU4994" s="42">
        <v>4989</v>
      </c>
      <c r="CV4994" s="42">
        <v>4</v>
      </c>
      <c r="CW4994" s="42">
        <v>0.11332468572476186</v>
      </c>
      <c r="CX4994" s="42" t="e">
        <v>#N/A</v>
      </c>
      <c r="CY4994" s="42" t="e">
        <v>#N/A</v>
      </c>
      <c r="CZ4994" s="42" t="e">
        <v>#N/A</v>
      </c>
      <c r="DA4994">
        <v>0.11332468572476186</v>
      </c>
      <c r="DB4994" t="str">
        <v/>
      </c>
    </row>
    <row r="4995" spans="83:106" x14ac:dyDescent="0.2">
      <c r="CE4995"/>
      <c r="CF4995"/>
      <c r="CG4995"/>
      <c r="CH4995"/>
      <c r="CI4995"/>
      <c r="CU4995" s="42">
        <v>4990</v>
      </c>
      <c r="CV4995" s="42">
        <v>4</v>
      </c>
      <c r="CW4995" s="42">
        <v>0.11332468572476186</v>
      </c>
      <c r="CX4995" s="42" t="e">
        <v>#N/A</v>
      </c>
      <c r="CY4995" s="42" t="e">
        <v>#N/A</v>
      </c>
      <c r="CZ4995" s="42" t="e">
        <v>#N/A</v>
      </c>
      <c r="DA4995">
        <v>0.11332468572476186</v>
      </c>
      <c r="DB4995" t="str">
        <v/>
      </c>
    </row>
    <row r="4996" spans="83:106" x14ac:dyDescent="0.2">
      <c r="CE4996"/>
      <c r="CF4996"/>
      <c r="CG4996"/>
      <c r="CH4996"/>
      <c r="CI4996"/>
      <c r="CU4996" s="42">
        <v>4991</v>
      </c>
      <c r="CV4996" s="42">
        <v>4</v>
      </c>
      <c r="CW4996" s="42">
        <v>0.11332468572476186</v>
      </c>
      <c r="CX4996" s="42" t="e">
        <v>#N/A</v>
      </c>
      <c r="CY4996" s="42" t="e">
        <v>#N/A</v>
      </c>
      <c r="CZ4996" s="42" t="e">
        <v>#N/A</v>
      </c>
      <c r="DA4996">
        <v>0.11332468572476186</v>
      </c>
      <c r="DB4996" t="str">
        <v/>
      </c>
    </row>
    <row r="4997" spans="83:106" x14ac:dyDescent="0.2">
      <c r="CE4997"/>
      <c r="CF4997"/>
      <c r="CG4997"/>
      <c r="CH4997"/>
      <c r="CI4997"/>
      <c r="CU4997" s="42">
        <v>4992</v>
      </c>
      <c r="CV4997" s="42">
        <v>4</v>
      </c>
      <c r="CW4997" s="42">
        <v>0.11332468572476186</v>
      </c>
      <c r="CX4997" s="42" t="e">
        <v>#N/A</v>
      </c>
      <c r="CY4997" s="42" t="e">
        <v>#N/A</v>
      </c>
      <c r="CZ4997" s="42" t="e">
        <v>#N/A</v>
      </c>
      <c r="DA4997">
        <v>0.11332468572476186</v>
      </c>
      <c r="DB4997" t="str">
        <v/>
      </c>
    </row>
    <row r="4998" spans="83:106" x14ac:dyDescent="0.2">
      <c r="CE4998"/>
      <c r="CF4998"/>
      <c r="CG4998"/>
      <c r="CH4998"/>
      <c r="CI4998"/>
      <c r="CU4998" s="42">
        <v>4993</v>
      </c>
      <c r="CV4998" s="42">
        <v>4</v>
      </c>
      <c r="CW4998" s="42">
        <v>0.11332468572476186</v>
      </c>
      <c r="CX4998" s="42" t="e">
        <v>#N/A</v>
      </c>
      <c r="CY4998" s="42" t="e">
        <v>#N/A</v>
      </c>
      <c r="CZ4998" s="42" t="e">
        <v>#N/A</v>
      </c>
      <c r="DA4998">
        <v>0.11332468572476186</v>
      </c>
      <c r="DB4998" t="str">
        <v/>
      </c>
    </row>
    <row r="4999" spans="83:106" x14ac:dyDescent="0.2">
      <c r="CE4999"/>
      <c r="CF4999"/>
      <c r="CG4999"/>
      <c r="CH4999"/>
      <c r="CI4999"/>
      <c r="CU4999" s="42">
        <v>4994</v>
      </c>
      <c r="CV4999" s="42">
        <v>4</v>
      </c>
      <c r="CW4999" s="42">
        <v>0.11332468572476186</v>
      </c>
      <c r="CX4999" s="42" t="e">
        <v>#N/A</v>
      </c>
      <c r="CY4999" s="42" t="e">
        <v>#N/A</v>
      </c>
      <c r="CZ4999" s="42" t="e">
        <v>#N/A</v>
      </c>
      <c r="DA4999">
        <v>0.11332468572476186</v>
      </c>
      <c r="DB4999" t="str">
        <v/>
      </c>
    </row>
    <row r="5000" spans="83:106" x14ac:dyDescent="0.2">
      <c r="CE5000"/>
      <c r="CF5000"/>
      <c r="CG5000"/>
      <c r="CH5000"/>
      <c r="CI5000"/>
      <c r="CU5000" s="42">
        <v>4995</v>
      </c>
      <c r="CV5000" s="42">
        <v>4</v>
      </c>
      <c r="CW5000" s="42">
        <v>0.11332468572476186</v>
      </c>
      <c r="CX5000" s="42" t="e">
        <v>#N/A</v>
      </c>
      <c r="CY5000" s="42" t="e">
        <v>#N/A</v>
      </c>
      <c r="CZ5000" s="42" t="e">
        <v>#N/A</v>
      </c>
      <c r="DA5000">
        <v>0.11332468572476186</v>
      </c>
      <c r="DB5000" t="str">
        <v/>
      </c>
    </row>
    <row r="5001" spans="83:106" x14ac:dyDescent="0.2">
      <c r="CE5001"/>
      <c r="CF5001"/>
      <c r="CG5001"/>
      <c r="CH5001"/>
      <c r="CI5001"/>
      <c r="CU5001" s="42">
        <v>4996</v>
      </c>
      <c r="CV5001" s="42">
        <v>4</v>
      </c>
      <c r="CW5001" s="42">
        <v>0.11332468572476186</v>
      </c>
      <c r="CX5001" s="42" t="e">
        <v>#N/A</v>
      </c>
      <c r="CY5001" s="42" t="e">
        <v>#N/A</v>
      </c>
      <c r="CZ5001" s="42" t="e">
        <v>#N/A</v>
      </c>
      <c r="DA5001">
        <v>0.11332468572476186</v>
      </c>
      <c r="DB5001" t="str">
        <v/>
      </c>
    </row>
    <row r="5002" spans="83:106" x14ac:dyDescent="0.2">
      <c r="CE5002"/>
      <c r="CF5002"/>
      <c r="CG5002"/>
      <c r="CH5002"/>
      <c r="CI5002"/>
      <c r="CU5002" s="42">
        <v>4997</v>
      </c>
      <c r="CV5002" s="42">
        <v>4</v>
      </c>
      <c r="CW5002" s="42">
        <v>0.11332468572476186</v>
      </c>
      <c r="CX5002" s="42" t="e">
        <v>#N/A</v>
      </c>
      <c r="CY5002" s="42" t="e">
        <v>#N/A</v>
      </c>
      <c r="CZ5002" s="42" t="e">
        <v>#N/A</v>
      </c>
      <c r="DA5002">
        <v>0.11332468572476186</v>
      </c>
      <c r="DB5002" t="str">
        <v/>
      </c>
    </row>
    <row r="5003" spans="83:106" x14ac:dyDescent="0.2">
      <c r="CE5003"/>
      <c r="CF5003"/>
      <c r="CG5003"/>
      <c r="CH5003"/>
      <c r="CI5003"/>
      <c r="CU5003" s="42">
        <v>4998</v>
      </c>
      <c r="CV5003" s="42">
        <v>4</v>
      </c>
      <c r="CW5003" s="42">
        <v>0.11332468572476186</v>
      </c>
      <c r="CX5003" s="42" t="e">
        <v>#N/A</v>
      </c>
      <c r="CY5003" s="42" t="e">
        <v>#N/A</v>
      </c>
      <c r="CZ5003" s="42" t="e">
        <v>#N/A</v>
      </c>
      <c r="DA5003">
        <v>0.11332468572476186</v>
      </c>
      <c r="DB5003" t="str">
        <v/>
      </c>
    </row>
    <row r="5004" spans="83:106" x14ac:dyDescent="0.2">
      <c r="CE5004"/>
      <c r="CF5004"/>
      <c r="CG5004"/>
      <c r="CH5004"/>
      <c r="CI5004"/>
      <c r="CU5004" s="42">
        <v>4999</v>
      </c>
      <c r="CV5004" s="42">
        <v>4</v>
      </c>
      <c r="CW5004" s="42">
        <v>0.11332468572476186</v>
      </c>
      <c r="CX5004" s="42" t="e">
        <v>#N/A</v>
      </c>
      <c r="CY5004" s="42" t="e">
        <v>#N/A</v>
      </c>
      <c r="CZ5004" s="42" t="e">
        <v>#N/A</v>
      </c>
      <c r="DA5004">
        <v>0.11332468572476186</v>
      </c>
      <c r="DB5004" t="str">
        <v/>
      </c>
    </row>
    <row r="5005" spans="83:106" x14ac:dyDescent="0.2">
      <c r="CE5005"/>
      <c r="CF5005"/>
      <c r="CG5005"/>
      <c r="CH5005"/>
      <c r="CI5005"/>
      <c r="CU5005" s="42">
        <v>5000</v>
      </c>
      <c r="CV5005" s="42">
        <v>4</v>
      </c>
      <c r="CW5005" s="42">
        <v>0.11332468572476186</v>
      </c>
      <c r="CX5005" s="42" t="e">
        <v>#N/A</v>
      </c>
      <c r="CY5005" s="42" t="e">
        <v>#N/A</v>
      </c>
      <c r="CZ5005" s="42" t="e">
        <v>#N/A</v>
      </c>
      <c r="DA5005">
        <v>0.11332468572476186</v>
      </c>
      <c r="DB5005">
        <v>13</v>
      </c>
    </row>
    <row r="5006" spans="83:106" x14ac:dyDescent="0.2">
      <c r="CE5006"/>
      <c r="CF5006"/>
      <c r="CG5006"/>
      <c r="CH5006"/>
      <c r="CI5006"/>
    </row>
    <row r="5007" spans="83:106" x14ac:dyDescent="0.2">
      <c r="CE5007"/>
      <c r="CF5007"/>
      <c r="CG5007"/>
      <c r="CH5007"/>
      <c r="CI5007"/>
    </row>
    <row r="5008" spans="83:106" x14ac:dyDescent="0.2">
      <c r="CE5008"/>
      <c r="CF5008"/>
      <c r="CG5008"/>
      <c r="CH5008"/>
      <c r="CI5008"/>
    </row>
    <row r="5009" spans="83:87" x14ac:dyDescent="0.2">
      <c r="CE5009"/>
      <c r="CF5009"/>
      <c r="CG5009"/>
      <c r="CH5009"/>
      <c r="CI5009"/>
    </row>
    <row r="5010" spans="83:87" x14ac:dyDescent="0.2">
      <c r="CE5010"/>
      <c r="CF5010"/>
      <c r="CG5010"/>
      <c r="CH5010"/>
      <c r="CI5010"/>
    </row>
    <row r="5011" spans="83:87" x14ac:dyDescent="0.2">
      <c r="CE5011"/>
      <c r="CF5011"/>
      <c r="CG5011"/>
      <c r="CH5011"/>
      <c r="CI5011"/>
    </row>
    <row r="5012" spans="83:87" x14ac:dyDescent="0.2">
      <c r="CE5012"/>
      <c r="CF5012"/>
      <c r="CG5012"/>
      <c r="CH5012"/>
      <c r="CI5012"/>
    </row>
    <row r="5013" spans="83:87" x14ac:dyDescent="0.2">
      <c r="CE5013"/>
      <c r="CF5013"/>
      <c r="CG5013"/>
      <c r="CH5013"/>
      <c r="CI5013"/>
    </row>
    <row r="5014" spans="83:87" x14ac:dyDescent="0.2">
      <c r="CE5014"/>
      <c r="CF5014"/>
      <c r="CG5014"/>
      <c r="CH5014"/>
      <c r="CI5014"/>
    </row>
    <row r="5015" spans="83:87" x14ac:dyDescent="0.2">
      <c r="CE5015"/>
      <c r="CF5015"/>
      <c r="CG5015"/>
      <c r="CH5015"/>
      <c r="CI5015"/>
    </row>
    <row r="5016" spans="83:87" x14ac:dyDescent="0.2">
      <c r="CE5016"/>
      <c r="CF5016"/>
      <c r="CG5016"/>
      <c r="CH5016"/>
      <c r="CI5016"/>
    </row>
    <row r="5017" spans="83:87" x14ac:dyDescent="0.2">
      <c r="CE5017"/>
      <c r="CF5017"/>
      <c r="CG5017"/>
      <c r="CH5017"/>
      <c r="CI5017"/>
    </row>
    <row r="5018" spans="83:87" x14ac:dyDescent="0.2">
      <c r="CE5018"/>
      <c r="CF5018"/>
      <c r="CG5018"/>
      <c r="CH5018"/>
      <c r="CI5018"/>
    </row>
    <row r="5019" spans="83:87" x14ac:dyDescent="0.2">
      <c r="CE5019"/>
      <c r="CF5019"/>
      <c r="CG5019"/>
      <c r="CH5019"/>
      <c r="CI5019"/>
    </row>
    <row r="5020" spans="83:87" x14ac:dyDescent="0.2">
      <c r="CE5020"/>
      <c r="CF5020"/>
      <c r="CG5020"/>
      <c r="CH5020"/>
      <c r="CI5020"/>
    </row>
    <row r="5021" spans="83:87" x14ac:dyDescent="0.2">
      <c r="CE5021"/>
      <c r="CF5021"/>
      <c r="CG5021"/>
      <c r="CH5021"/>
      <c r="CI5021"/>
    </row>
    <row r="5022" spans="83:87" x14ac:dyDescent="0.2">
      <c r="CE5022"/>
      <c r="CF5022"/>
      <c r="CG5022"/>
      <c r="CH5022"/>
      <c r="CI5022"/>
    </row>
    <row r="5023" spans="83:87" x14ac:dyDescent="0.2">
      <c r="CE5023"/>
      <c r="CF5023"/>
      <c r="CG5023"/>
      <c r="CH5023"/>
      <c r="CI5023"/>
    </row>
    <row r="5024" spans="83:87" x14ac:dyDescent="0.2">
      <c r="CE5024"/>
      <c r="CF5024"/>
      <c r="CG5024"/>
      <c r="CH5024"/>
      <c r="CI5024"/>
    </row>
    <row r="5025" spans="83:87" x14ac:dyDescent="0.2">
      <c r="CE5025"/>
      <c r="CF5025"/>
      <c r="CG5025"/>
      <c r="CH5025"/>
      <c r="CI5025"/>
    </row>
    <row r="5026" spans="83:87" x14ac:dyDescent="0.2">
      <c r="CE5026"/>
      <c r="CF5026"/>
      <c r="CG5026"/>
      <c r="CH5026"/>
      <c r="CI5026"/>
    </row>
    <row r="5027" spans="83:87" x14ac:dyDescent="0.2">
      <c r="CE5027"/>
      <c r="CF5027"/>
      <c r="CG5027"/>
      <c r="CH5027"/>
      <c r="CI5027"/>
    </row>
    <row r="5028" spans="83:87" x14ac:dyDescent="0.2">
      <c r="CE5028"/>
      <c r="CF5028"/>
      <c r="CG5028"/>
      <c r="CH5028"/>
      <c r="CI5028"/>
    </row>
    <row r="5029" spans="83:87" x14ac:dyDescent="0.2">
      <c r="CE5029"/>
      <c r="CF5029"/>
      <c r="CG5029"/>
      <c r="CH5029"/>
      <c r="CI5029"/>
    </row>
    <row r="5030" spans="83:87" x14ac:dyDescent="0.2">
      <c r="CE5030"/>
      <c r="CF5030"/>
      <c r="CG5030"/>
      <c r="CH5030"/>
      <c r="CI5030"/>
    </row>
    <row r="5031" spans="83:87" x14ac:dyDescent="0.2">
      <c r="CE5031"/>
      <c r="CF5031"/>
      <c r="CG5031"/>
      <c r="CH5031"/>
      <c r="CI5031"/>
    </row>
    <row r="5032" spans="83:87" x14ac:dyDescent="0.2">
      <c r="CE5032"/>
      <c r="CF5032"/>
      <c r="CG5032"/>
      <c r="CH5032"/>
      <c r="CI5032"/>
    </row>
    <row r="5033" spans="83:87" x14ac:dyDescent="0.2">
      <c r="CE5033"/>
      <c r="CF5033"/>
      <c r="CG5033"/>
      <c r="CH5033"/>
      <c r="CI5033"/>
    </row>
    <row r="5034" spans="83:87" x14ac:dyDescent="0.2">
      <c r="CE5034"/>
      <c r="CF5034"/>
      <c r="CG5034"/>
      <c r="CH5034"/>
      <c r="CI5034"/>
    </row>
    <row r="5035" spans="83:87" x14ac:dyDescent="0.2">
      <c r="CE5035"/>
      <c r="CF5035"/>
      <c r="CG5035"/>
      <c r="CH5035"/>
      <c r="CI5035"/>
    </row>
    <row r="5036" spans="83:87" x14ac:dyDescent="0.2">
      <c r="CE5036"/>
      <c r="CF5036"/>
      <c r="CG5036"/>
      <c r="CH5036"/>
      <c r="CI5036"/>
    </row>
    <row r="5037" spans="83:87" x14ac:dyDescent="0.2">
      <c r="CE5037"/>
      <c r="CF5037"/>
      <c r="CG5037"/>
      <c r="CH5037"/>
      <c r="CI5037"/>
    </row>
    <row r="5038" spans="83:87" x14ac:dyDescent="0.2">
      <c r="CE5038"/>
      <c r="CF5038"/>
      <c r="CG5038"/>
      <c r="CH5038"/>
      <c r="CI5038"/>
    </row>
    <row r="5039" spans="83:87" x14ac:dyDescent="0.2">
      <c r="CE5039"/>
      <c r="CF5039"/>
      <c r="CG5039"/>
      <c r="CH5039"/>
      <c r="CI5039"/>
    </row>
    <row r="5040" spans="83:87" x14ac:dyDescent="0.2">
      <c r="CE5040"/>
      <c r="CF5040"/>
      <c r="CG5040"/>
      <c r="CH5040"/>
      <c r="CI5040"/>
    </row>
    <row r="5041" spans="83:87" x14ac:dyDescent="0.2">
      <c r="CE5041"/>
      <c r="CF5041"/>
      <c r="CG5041"/>
      <c r="CH5041"/>
      <c r="CI5041"/>
    </row>
    <row r="5042" spans="83:87" x14ac:dyDescent="0.2">
      <c r="CE5042"/>
      <c r="CF5042"/>
      <c r="CG5042"/>
      <c r="CH5042"/>
      <c r="CI5042"/>
    </row>
    <row r="5043" spans="83:87" x14ac:dyDescent="0.2">
      <c r="CE5043"/>
      <c r="CF5043"/>
      <c r="CG5043"/>
      <c r="CH5043"/>
      <c r="CI5043"/>
    </row>
    <row r="5044" spans="83:87" x14ac:dyDescent="0.2">
      <c r="CE5044"/>
      <c r="CF5044"/>
      <c r="CG5044"/>
      <c r="CH5044"/>
      <c r="CI5044"/>
    </row>
    <row r="5045" spans="83:87" x14ac:dyDescent="0.2">
      <c r="CE5045"/>
      <c r="CF5045"/>
      <c r="CG5045"/>
      <c r="CH5045"/>
      <c r="CI5045"/>
    </row>
    <row r="5046" spans="83:87" x14ac:dyDescent="0.2">
      <c r="CE5046"/>
      <c r="CF5046"/>
      <c r="CG5046"/>
      <c r="CH5046"/>
      <c r="CI5046"/>
    </row>
    <row r="5047" spans="83:87" x14ac:dyDescent="0.2">
      <c r="CE5047"/>
      <c r="CF5047"/>
      <c r="CG5047"/>
      <c r="CH5047"/>
      <c r="CI5047"/>
    </row>
    <row r="5048" spans="83:87" x14ac:dyDescent="0.2">
      <c r="CE5048"/>
      <c r="CF5048"/>
      <c r="CG5048"/>
      <c r="CH5048"/>
      <c r="CI5048"/>
    </row>
    <row r="5049" spans="83:87" x14ac:dyDescent="0.2">
      <c r="CE5049"/>
      <c r="CF5049"/>
      <c r="CG5049"/>
      <c r="CH5049"/>
      <c r="CI5049"/>
    </row>
    <row r="5050" spans="83:87" x14ac:dyDescent="0.2">
      <c r="CE5050"/>
      <c r="CF5050"/>
      <c r="CG5050"/>
      <c r="CH5050"/>
      <c r="CI5050"/>
    </row>
    <row r="5051" spans="83:87" x14ac:dyDescent="0.2">
      <c r="CE5051"/>
      <c r="CF5051"/>
      <c r="CG5051"/>
      <c r="CH5051"/>
      <c r="CI5051"/>
    </row>
    <row r="5052" spans="83:87" x14ac:dyDescent="0.2">
      <c r="CE5052"/>
      <c r="CF5052"/>
      <c r="CG5052"/>
      <c r="CH5052"/>
      <c r="CI5052"/>
    </row>
    <row r="5053" spans="83:87" x14ac:dyDescent="0.2">
      <c r="CE5053"/>
      <c r="CF5053"/>
      <c r="CG5053"/>
      <c r="CH5053"/>
      <c r="CI5053"/>
    </row>
    <row r="5054" spans="83:87" x14ac:dyDescent="0.2">
      <c r="CE5054"/>
      <c r="CF5054"/>
      <c r="CG5054"/>
      <c r="CH5054"/>
      <c r="CI5054"/>
    </row>
    <row r="5055" spans="83:87" x14ac:dyDescent="0.2">
      <c r="CE5055"/>
      <c r="CF5055"/>
      <c r="CG5055"/>
      <c r="CH5055"/>
      <c r="CI5055"/>
    </row>
    <row r="5056" spans="83:87" x14ac:dyDescent="0.2">
      <c r="CE5056"/>
      <c r="CF5056"/>
      <c r="CG5056"/>
      <c r="CH5056"/>
      <c r="CI5056"/>
    </row>
    <row r="5057" spans="83:87" x14ac:dyDescent="0.2">
      <c r="CE5057"/>
      <c r="CF5057"/>
      <c r="CG5057"/>
      <c r="CH5057"/>
      <c r="CI5057"/>
    </row>
    <row r="5058" spans="83:87" x14ac:dyDescent="0.2">
      <c r="CE5058"/>
      <c r="CF5058"/>
      <c r="CG5058"/>
      <c r="CH5058"/>
      <c r="CI5058"/>
    </row>
    <row r="5059" spans="83:87" x14ac:dyDescent="0.2">
      <c r="CE5059"/>
      <c r="CF5059"/>
      <c r="CG5059"/>
      <c r="CH5059"/>
      <c r="CI5059"/>
    </row>
    <row r="5060" spans="83:87" x14ac:dyDescent="0.2">
      <c r="CE5060"/>
      <c r="CF5060"/>
      <c r="CG5060"/>
      <c r="CH5060"/>
      <c r="CI5060"/>
    </row>
    <row r="5061" spans="83:87" x14ac:dyDescent="0.2">
      <c r="CE5061"/>
      <c r="CF5061"/>
      <c r="CG5061"/>
      <c r="CH5061"/>
      <c r="CI5061"/>
    </row>
    <row r="5062" spans="83:87" x14ac:dyDescent="0.2">
      <c r="CE5062"/>
      <c r="CF5062"/>
      <c r="CG5062"/>
      <c r="CH5062"/>
      <c r="CI5062"/>
    </row>
    <row r="5063" spans="83:87" x14ac:dyDescent="0.2">
      <c r="CE5063"/>
      <c r="CF5063"/>
      <c r="CG5063"/>
      <c r="CH5063"/>
      <c r="CI5063"/>
    </row>
    <row r="5064" spans="83:87" x14ac:dyDescent="0.2">
      <c r="CE5064"/>
      <c r="CF5064"/>
      <c r="CG5064"/>
      <c r="CH5064"/>
      <c r="CI5064"/>
    </row>
    <row r="5065" spans="83:87" x14ac:dyDescent="0.2">
      <c r="CE5065"/>
      <c r="CF5065"/>
      <c r="CG5065"/>
      <c r="CH5065"/>
      <c r="CI5065"/>
    </row>
    <row r="5066" spans="83:87" x14ac:dyDescent="0.2">
      <c r="CE5066"/>
      <c r="CF5066"/>
      <c r="CG5066"/>
      <c r="CH5066"/>
      <c r="CI5066"/>
    </row>
    <row r="5067" spans="83:87" x14ac:dyDescent="0.2">
      <c r="CE5067"/>
      <c r="CF5067"/>
      <c r="CG5067"/>
      <c r="CH5067"/>
      <c r="CI5067"/>
    </row>
    <row r="5068" spans="83:87" x14ac:dyDescent="0.2">
      <c r="CE5068"/>
      <c r="CF5068"/>
      <c r="CG5068"/>
      <c r="CH5068"/>
      <c r="CI5068"/>
    </row>
    <row r="5069" spans="83:87" x14ac:dyDescent="0.2">
      <c r="CE5069"/>
      <c r="CF5069"/>
      <c r="CG5069"/>
      <c r="CH5069"/>
      <c r="CI5069"/>
    </row>
    <row r="5070" spans="83:87" x14ac:dyDescent="0.2">
      <c r="CE5070"/>
      <c r="CF5070"/>
      <c r="CG5070"/>
      <c r="CH5070"/>
      <c r="CI5070"/>
    </row>
    <row r="5071" spans="83:87" x14ac:dyDescent="0.2">
      <c r="CE5071"/>
      <c r="CF5071"/>
      <c r="CG5071"/>
      <c r="CH5071"/>
      <c r="CI5071"/>
    </row>
    <row r="5072" spans="83:87" x14ac:dyDescent="0.2">
      <c r="CE5072"/>
      <c r="CF5072"/>
      <c r="CG5072"/>
      <c r="CH5072"/>
      <c r="CI5072"/>
    </row>
    <row r="5073" spans="83:87" x14ac:dyDescent="0.2">
      <c r="CE5073"/>
      <c r="CF5073"/>
      <c r="CG5073"/>
      <c r="CH5073"/>
      <c r="CI5073"/>
    </row>
    <row r="5074" spans="83:87" x14ac:dyDescent="0.2">
      <c r="CE5074"/>
      <c r="CF5074"/>
      <c r="CG5074"/>
      <c r="CH5074"/>
      <c r="CI5074"/>
    </row>
    <row r="5075" spans="83:87" x14ac:dyDescent="0.2">
      <c r="CE5075"/>
      <c r="CF5075"/>
      <c r="CG5075"/>
      <c r="CH5075"/>
      <c r="CI5075"/>
    </row>
    <row r="5076" spans="83:87" x14ac:dyDescent="0.2">
      <c r="CE5076"/>
      <c r="CF5076"/>
      <c r="CG5076"/>
      <c r="CH5076"/>
      <c r="CI5076"/>
    </row>
    <row r="5077" spans="83:87" x14ac:dyDescent="0.2">
      <c r="CE5077"/>
      <c r="CF5077"/>
      <c r="CG5077"/>
      <c r="CH5077"/>
      <c r="CI5077"/>
    </row>
    <row r="5078" spans="83:87" x14ac:dyDescent="0.2">
      <c r="CE5078"/>
      <c r="CF5078"/>
      <c r="CG5078"/>
      <c r="CH5078"/>
      <c r="CI5078"/>
    </row>
    <row r="5079" spans="83:87" x14ac:dyDescent="0.2">
      <c r="CE5079"/>
      <c r="CF5079"/>
      <c r="CG5079"/>
      <c r="CH5079"/>
      <c r="CI5079"/>
    </row>
    <row r="5080" spans="83:87" x14ac:dyDescent="0.2">
      <c r="CE5080"/>
      <c r="CF5080"/>
      <c r="CG5080"/>
      <c r="CH5080"/>
      <c r="CI5080"/>
    </row>
    <row r="5081" spans="83:87" x14ac:dyDescent="0.2">
      <c r="CE5081"/>
      <c r="CF5081"/>
      <c r="CG5081"/>
      <c r="CH5081"/>
      <c r="CI5081"/>
    </row>
    <row r="5082" spans="83:87" x14ac:dyDescent="0.2">
      <c r="CE5082"/>
      <c r="CF5082"/>
      <c r="CG5082"/>
      <c r="CH5082"/>
      <c r="CI5082"/>
    </row>
    <row r="5083" spans="83:87" x14ac:dyDescent="0.2">
      <c r="CE5083"/>
      <c r="CF5083"/>
      <c r="CG5083"/>
      <c r="CH5083"/>
      <c r="CI5083"/>
    </row>
    <row r="5084" spans="83:87" x14ac:dyDescent="0.2">
      <c r="CE5084"/>
      <c r="CF5084"/>
      <c r="CG5084"/>
      <c r="CH5084"/>
      <c r="CI5084"/>
    </row>
    <row r="5085" spans="83:87" x14ac:dyDescent="0.2">
      <c r="CE5085"/>
      <c r="CF5085"/>
      <c r="CG5085"/>
      <c r="CH5085"/>
      <c r="CI5085"/>
    </row>
    <row r="5086" spans="83:87" x14ac:dyDescent="0.2">
      <c r="CE5086"/>
      <c r="CF5086"/>
      <c r="CG5086"/>
      <c r="CH5086"/>
      <c r="CI5086"/>
    </row>
    <row r="5087" spans="83:87" x14ac:dyDescent="0.2">
      <c r="CE5087"/>
      <c r="CF5087"/>
      <c r="CG5087"/>
      <c r="CH5087"/>
      <c r="CI5087"/>
    </row>
    <row r="5088" spans="83:87" x14ac:dyDescent="0.2">
      <c r="CE5088"/>
      <c r="CF5088"/>
      <c r="CG5088"/>
      <c r="CH5088"/>
      <c r="CI5088"/>
    </row>
    <row r="5089" spans="83:87" x14ac:dyDescent="0.2">
      <c r="CE5089"/>
      <c r="CF5089"/>
      <c r="CG5089"/>
      <c r="CH5089"/>
      <c r="CI5089"/>
    </row>
    <row r="5090" spans="83:87" x14ac:dyDescent="0.2">
      <c r="CE5090"/>
      <c r="CF5090"/>
      <c r="CG5090"/>
      <c r="CH5090"/>
      <c r="CI5090"/>
    </row>
    <row r="5091" spans="83:87" x14ac:dyDescent="0.2">
      <c r="CE5091"/>
      <c r="CF5091"/>
      <c r="CG5091"/>
      <c r="CH5091"/>
      <c r="CI5091"/>
    </row>
    <row r="5092" spans="83:87" x14ac:dyDescent="0.2">
      <c r="CE5092"/>
      <c r="CF5092"/>
      <c r="CG5092"/>
      <c r="CH5092"/>
      <c r="CI5092"/>
    </row>
    <row r="5093" spans="83:87" x14ac:dyDescent="0.2">
      <c r="CE5093"/>
      <c r="CF5093"/>
      <c r="CG5093"/>
      <c r="CH5093"/>
      <c r="CI5093"/>
    </row>
    <row r="5094" spans="83:87" x14ac:dyDescent="0.2">
      <c r="CE5094"/>
      <c r="CF5094"/>
      <c r="CG5094"/>
      <c r="CH5094"/>
      <c r="CI5094"/>
    </row>
    <row r="5095" spans="83:87" x14ac:dyDescent="0.2">
      <c r="CE5095"/>
      <c r="CF5095"/>
      <c r="CG5095"/>
      <c r="CH5095"/>
      <c r="CI5095"/>
    </row>
    <row r="5096" spans="83:87" x14ac:dyDescent="0.2">
      <c r="CE5096"/>
      <c r="CF5096"/>
      <c r="CG5096"/>
      <c r="CH5096"/>
      <c r="CI5096"/>
    </row>
    <row r="5097" spans="83:87" x14ac:dyDescent="0.2">
      <c r="CE5097"/>
      <c r="CF5097"/>
      <c r="CG5097"/>
      <c r="CH5097"/>
      <c r="CI5097"/>
    </row>
    <row r="5098" spans="83:87" x14ac:dyDescent="0.2">
      <c r="CE5098"/>
      <c r="CF5098"/>
      <c r="CG5098"/>
      <c r="CH5098"/>
      <c r="CI5098"/>
    </row>
    <row r="5099" spans="83:87" x14ac:dyDescent="0.2">
      <c r="CE5099"/>
      <c r="CF5099"/>
      <c r="CG5099"/>
      <c r="CH5099"/>
      <c r="CI5099"/>
    </row>
    <row r="5100" spans="83:87" x14ac:dyDescent="0.2">
      <c r="CE5100"/>
      <c r="CF5100"/>
      <c r="CG5100"/>
      <c r="CH5100"/>
      <c r="CI5100"/>
    </row>
    <row r="5101" spans="83:87" x14ac:dyDescent="0.2">
      <c r="CE5101"/>
      <c r="CF5101"/>
      <c r="CG5101"/>
      <c r="CH5101"/>
      <c r="CI5101"/>
    </row>
    <row r="5102" spans="83:87" x14ac:dyDescent="0.2">
      <c r="CE5102"/>
      <c r="CF5102"/>
      <c r="CG5102"/>
      <c r="CH5102"/>
      <c r="CI5102"/>
    </row>
    <row r="5103" spans="83:87" x14ac:dyDescent="0.2">
      <c r="CE5103"/>
      <c r="CF5103"/>
      <c r="CG5103"/>
      <c r="CH5103"/>
      <c r="CI5103"/>
    </row>
    <row r="5104" spans="83:87" x14ac:dyDescent="0.2">
      <c r="CE5104"/>
      <c r="CF5104"/>
      <c r="CG5104"/>
      <c r="CH5104"/>
      <c r="CI5104"/>
    </row>
    <row r="5105" spans="83:87" x14ac:dyDescent="0.2">
      <c r="CE5105"/>
      <c r="CF5105"/>
      <c r="CG5105"/>
      <c r="CH5105"/>
      <c r="CI5105"/>
    </row>
    <row r="5106" spans="83:87" x14ac:dyDescent="0.2">
      <c r="CE5106"/>
      <c r="CF5106"/>
      <c r="CG5106"/>
      <c r="CH5106"/>
      <c r="CI5106"/>
    </row>
    <row r="5107" spans="83:87" x14ac:dyDescent="0.2">
      <c r="CE5107"/>
      <c r="CF5107"/>
      <c r="CG5107"/>
      <c r="CH5107"/>
      <c r="CI5107"/>
    </row>
    <row r="5108" spans="83:87" x14ac:dyDescent="0.2">
      <c r="CE5108"/>
      <c r="CF5108"/>
      <c r="CG5108"/>
      <c r="CH5108"/>
      <c r="CI5108"/>
    </row>
    <row r="5109" spans="83:87" x14ac:dyDescent="0.2">
      <c r="CE5109"/>
      <c r="CF5109"/>
      <c r="CG5109"/>
      <c r="CH5109"/>
      <c r="CI5109"/>
    </row>
    <row r="5110" spans="83:87" x14ac:dyDescent="0.2">
      <c r="CE5110"/>
      <c r="CF5110"/>
      <c r="CG5110"/>
      <c r="CH5110"/>
      <c r="CI5110"/>
    </row>
    <row r="5111" spans="83:87" x14ac:dyDescent="0.2">
      <c r="CE5111"/>
      <c r="CF5111"/>
      <c r="CG5111"/>
      <c r="CH5111"/>
      <c r="CI5111"/>
    </row>
    <row r="5112" spans="83:87" x14ac:dyDescent="0.2">
      <c r="CE5112"/>
      <c r="CF5112"/>
      <c r="CG5112"/>
      <c r="CH5112"/>
      <c r="CI5112"/>
    </row>
    <row r="5113" spans="83:87" x14ac:dyDescent="0.2">
      <c r="CE5113"/>
      <c r="CF5113"/>
      <c r="CG5113"/>
      <c r="CH5113"/>
      <c r="CI5113"/>
    </row>
    <row r="5114" spans="83:87" x14ac:dyDescent="0.2">
      <c r="CE5114"/>
      <c r="CF5114"/>
      <c r="CG5114"/>
      <c r="CH5114"/>
      <c r="CI5114"/>
    </row>
    <row r="5115" spans="83:87" x14ac:dyDescent="0.2">
      <c r="CE5115"/>
      <c r="CF5115"/>
      <c r="CG5115"/>
      <c r="CH5115"/>
      <c r="CI5115"/>
    </row>
    <row r="5116" spans="83:87" x14ac:dyDescent="0.2">
      <c r="CE5116"/>
      <c r="CF5116"/>
      <c r="CG5116"/>
      <c r="CH5116"/>
      <c r="CI5116"/>
    </row>
    <row r="5117" spans="83:87" x14ac:dyDescent="0.2">
      <c r="CE5117"/>
      <c r="CF5117"/>
      <c r="CG5117"/>
      <c r="CH5117"/>
      <c r="CI5117"/>
    </row>
    <row r="5118" spans="83:87" x14ac:dyDescent="0.2">
      <c r="CE5118"/>
      <c r="CF5118"/>
      <c r="CG5118"/>
      <c r="CH5118"/>
      <c r="CI5118"/>
    </row>
    <row r="5119" spans="83:87" x14ac:dyDescent="0.2">
      <c r="CE5119"/>
      <c r="CF5119"/>
      <c r="CG5119"/>
      <c r="CH5119"/>
      <c r="CI5119"/>
    </row>
    <row r="5120" spans="83:87" x14ac:dyDescent="0.2">
      <c r="CE5120"/>
      <c r="CF5120"/>
      <c r="CG5120"/>
      <c r="CH5120"/>
      <c r="CI5120"/>
    </row>
    <row r="5121" spans="83:87" x14ac:dyDescent="0.2">
      <c r="CE5121"/>
      <c r="CF5121"/>
      <c r="CG5121"/>
      <c r="CH5121"/>
      <c r="CI5121"/>
    </row>
    <row r="5122" spans="83:87" x14ac:dyDescent="0.2">
      <c r="CE5122"/>
      <c r="CF5122"/>
      <c r="CG5122"/>
      <c r="CH5122"/>
      <c r="CI5122"/>
    </row>
    <row r="5123" spans="83:87" x14ac:dyDescent="0.2">
      <c r="CE5123"/>
      <c r="CF5123"/>
      <c r="CG5123"/>
      <c r="CH5123"/>
      <c r="CI5123"/>
    </row>
    <row r="5124" spans="83:87" x14ac:dyDescent="0.2">
      <c r="CE5124"/>
      <c r="CF5124"/>
      <c r="CG5124"/>
      <c r="CH5124"/>
      <c r="CI5124"/>
    </row>
    <row r="5125" spans="83:87" x14ac:dyDescent="0.2">
      <c r="CE5125"/>
      <c r="CF5125"/>
      <c r="CG5125"/>
      <c r="CH5125"/>
      <c r="CI5125"/>
    </row>
    <row r="5126" spans="83:87" x14ac:dyDescent="0.2">
      <c r="CE5126"/>
      <c r="CF5126"/>
      <c r="CG5126"/>
      <c r="CH5126"/>
      <c r="CI5126"/>
    </row>
    <row r="5127" spans="83:87" x14ac:dyDescent="0.2">
      <c r="CE5127"/>
      <c r="CF5127"/>
      <c r="CG5127"/>
      <c r="CH5127"/>
      <c r="CI5127"/>
    </row>
    <row r="5128" spans="83:87" x14ac:dyDescent="0.2">
      <c r="CE5128"/>
      <c r="CF5128"/>
      <c r="CG5128"/>
      <c r="CH5128"/>
      <c r="CI5128"/>
    </row>
    <row r="5129" spans="83:87" x14ac:dyDescent="0.2">
      <c r="CE5129"/>
      <c r="CF5129"/>
      <c r="CG5129"/>
      <c r="CH5129"/>
      <c r="CI5129"/>
    </row>
    <row r="5130" spans="83:87" x14ac:dyDescent="0.2">
      <c r="CE5130"/>
      <c r="CF5130"/>
      <c r="CG5130"/>
      <c r="CH5130"/>
      <c r="CI5130"/>
    </row>
    <row r="5131" spans="83:87" x14ac:dyDescent="0.2">
      <c r="CE5131"/>
      <c r="CF5131"/>
      <c r="CG5131"/>
      <c r="CH5131"/>
      <c r="CI5131"/>
    </row>
    <row r="5132" spans="83:87" x14ac:dyDescent="0.2">
      <c r="CE5132"/>
      <c r="CF5132"/>
      <c r="CG5132"/>
      <c r="CH5132"/>
      <c r="CI5132"/>
    </row>
    <row r="5133" spans="83:87" x14ac:dyDescent="0.2">
      <c r="CE5133"/>
      <c r="CF5133"/>
      <c r="CG5133"/>
      <c r="CH5133"/>
      <c r="CI5133"/>
    </row>
    <row r="5134" spans="83:87" x14ac:dyDescent="0.2">
      <c r="CE5134"/>
      <c r="CF5134"/>
      <c r="CG5134"/>
      <c r="CH5134"/>
      <c r="CI5134"/>
    </row>
    <row r="5135" spans="83:87" x14ac:dyDescent="0.2">
      <c r="CE5135"/>
      <c r="CF5135"/>
      <c r="CG5135"/>
      <c r="CH5135"/>
      <c r="CI5135"/>
    </row>
    <row r="5136" spans="83:87" x14ac:dyDescent="0.2">
      <c r="CE5136"/>
      <c r="CF5136"/>
      <c r="CG5136"/>
      <c r="CH5136"/>
      <c r="CI5136"/>
    </row>
    <row r="5137" spans="83:87" x14ac:dyDescent="0.2">
      <c r="CE5137"/>
      <c r="CF5137"/>
      <c r="CG5137"/>
      <c r="CH5137"/>
      <c r="CI5137"/>
    </row>
    <row r="5138" spans="83:87" x14ac:dyDescent="0.2">
      <c r="CE5138"/>
      <c r="CF5138"/>
      <c r="CG5138"/>
      <c r="CH5138"/>
      <c r="CI5138"/>
    </row>
    <row r="5139" spans="83:87" x14ac:dyDescent="0.2">
      <c r="CE5139"/>
      <c r="CF5139"/>
      <c r="CG5139"/>
      <c r="CH5139"/>
      <c r="CI5139"/>
    </row>
    <row r="5140" spans="83:87" x14ac:dyDescent="0.2">
      <c r="CE5140"/>
      <c r="CF5140"/>
      <c r="CG5140"/>
      <c r="CH5140"/>
      <c r="CI5140"/>
    </row>
    <row r="5141" spans="83:87" x14ac:dyDescent="0.2">
      <c r="CE5141"/>
      <c r="CF5141"/>
      <c r="CG5141"/>
      <c r="CH5141"/>
      <c r="CI5141"/>
    </row>
    <row r="5142" spans="83:87" x14ac:dyDescent="0.2">
      <c r="CE5142"/>
      <c r="CF5142"/>
      <c r="CG5142"/>
      <c r="CH5142"/>
      <c r="CI5142"/>
    </row>
    <row r="5143" spans="83:87" x14ac:dyDescent="0.2">
      <c r="CE5143"/>
      <c r="CF5143"/>
      <c r="CG5143"/>
      <c r="CH5143"/>
      <c r="CI5143"/>
    </row>
    <row r="5144" spans="83:87" x14ac:dyDescent="0.2">
      <c r="CE5144"/>
      <c r="CF5144"/>
      <c r="CG5144"/>
      <c r="CH5144"/>
      <c r="CI5144"/>
    </row>
    <row r="5145" spans="83:87" x14ac:dyDescent="0.2">
      <c r="CE5145"/>
      <c r="CF5145"/>
      <c r="CG5145"/>
      <c r="CH5145"/>
      <c r="CI5145"/>
    </row>
    <row r="5146" spans="83:87" x14ac:dyDescent="0.2">
      <c r="CE5146"/>
      <c r="CF5146"/>
      <c r="CG5146"/>
      <c r="CH5146"/>
      <c r="CI5146"/>
    </row>
    <row r="5147" spans="83:87" x14ac:dyDescent="0.2">
      <c r="CE5147"/>
      <c r="CF5147"/>
      <c r="CG5147"/>
      <c r="CH5147"/>
      <c r="CI5147"/>
    </row>
    <row r="5148" spans="83:87" x14ac:dyDescent="0.2">
      <c r="CE5148"/>
      <c r="CF5148"/>
      <c r="CG5148"/>
      <c r="CH5148"/>
      <c r="CI5148"/>
    </row>
    <row r="5149" spans="83:87" x14ac:dyDescent="0.2">
      <c r="CE5149"/>
      <c r="CF5149"/>
      <c r="CG5149"/>
      <c r="CH5149"/>
      <c r="CI5149"/>
    </row>
    <row r="5150" spans="83:87" x14ac:dyDescent="0.2">
      <c r="CE5150"/>
      <c r="CF5150"/>
      <c r="CG5150"/>
      <c r="CH5150"/>
      <c r="CI5150"/>
    </row>
    <row r="5151" spans="83:87" x14ac:dyDescent="0.2">
      <c r="CE5151"/>
      <c r="CF5151"/>
      <c r="CG5151"/>
      <c r="CH5151"/>
      <c r="CI5151"/>
    </row>
    <row r="5152" spans="83:87" x14ac:dyDescent="0.2">
      <c r="CE5152"/>
      <c r="CF5152"/>
      <c r="CG5152"/>
      <c r="CH5152"/>
      <c r="CI5152"/>
    </row>
    <row r="5153" spans="83:87" x14ac:dyDescent="0.2">
      <c r="CE5153"/>
      <c r="CF5153"/>
      <c r="CG5153"/>
      <c r="CH5153"/>
      <c r="CI5153"/>
    </row>
    <row r="5154" spans="83:87" x14ac:dyDescent="0.2">
      <c r="CE5154"/>
      <c r="CF5154"/>
      <c r="CG5154"/>
      <c r="CH5154"/>
      <c r="CI5154"/>
    </row>
    <row r="5155" spans="83:87" x14ac:dyDescent="0.2">
      <c r="CE5155"/>
      <c r="CF5155"/>
      <c r="CG5155"/>
      <c r="CH5155"/>
      <c r="CI5155"/>
    </row>
    <row r="5156" spans="83:87" x14ac:dyDescent="0.2">
      <c r="CE5156"/>
      <c r="CF5156"/>
      <c r="CG5156"/>
      <c r="CH5156"/>
      <c r="CI5156"/>
    </row>
    <row r="5157" spans="83:87" x14ac:dyDescent="0.2">
      <c r="CE5157"/>
      <c r="CF5157"/>
      <c r="CG5157"/>
      <c r="CH5157"/>
      <c r="CI5157"/>
    </row>
    <row r="5158" spans="83:87" x14ac:dyDescent="0.2">
      <c r="CE5158"/>
      <c r="CF5158"/>
      <c r="CG5158"/>
      <c r="CH5158"/>
      <c r="CI5158"/>
    </row>
    <row r="5159" spans="83:87" x14ac:dyDescent="0.2">
      <c r="CE5159"/>
      <c r="CF5159"/>
      <c r="CG5159"/>
      <c r="CH5159"/>
      <c r="CI5159"/>
    </row>
    <row r="5160" spans="83:87" x14ac:dyDescent="0.2">
      <c r="CE5160"/>
      <c r="CF5160"/>
      <c r="CG5160"/>
      <c r="CH5160"/>
      <c r="CI5160"/>
    </row>
    <row r="5161" spans="83:87" x14ac:dyDescent="0.2">
      <c r="CE5161"/>
      <c r="CF5161"/>
      <c r="CG5161"/>
      <c r="CH5161"/>
      <c r="CI5161"/>
    </row>
    <row r="5162" spans="83:87" x14ac:dyDescent="0.2">
      <c r="CE5162"/>
      <c r="CF5162"/>
      <c r="CG5162"/>
      <c r="CH5162"/>
      <c r="CI5162"/>
    </row>
    <row r="5163" spans="83:87" x14ac:dyDescent="0.2">
      <c r="CE5163"/>
      <c r="CF5163"/>
      <c r="CG5163"/>
      <c r="CH5163"/>
      <c r="CI5163"/>
    </row>
    <row r="5164" spans="83:87" x14ac:dyDescent="0.2">
      <c r="CE5164"/>
      <c r="CF5164"/>
      <c r="CG5164"/>
      <c r="CH5164"/>
      <c r="CI5164"/>
    </row>
    <row r="5165" spans="83:87" x14ac:dyDescent="0.2">
      <c r="CE5165"/>
      <c r="CF5165"/>
      <c r="CG5165"/>
      <c r="CH5165"/>
      <c r="CI5165"/>
    </row>
    <row r="5166" spans="83:87" x14ac:dyDescent="0.2">
      <c r="CE5166"/>
      <c r="CF5166"/>
      <c r="CG5166"/>
      <c r="CH5166"/>
      <c r="CI5166"/>
    </row>
    <row r="5167" spans="83:87" x14ac:dyDescent="0.2">
      <c r="CE5167"/>
      <c r="CF5167"/>
      <c r="CG5167"/>
      <c r="CH5167"/>
      <c r="CI5167"/>
    </row>
    <row r="5168" spans="83:87" x14ac:dyDescent="0.2">
      <c r="CE5168"/>
      <c r="CF5168"/>
      <c r="CG5168"/>
      <c r="CH5168"/>
      <c r="CI5168"/>
    </row>
    <row r="5169" spans="83:87" x14ac:dyDescent="0.2">
      <c r="CE5169"/>
      <c r="CF5169"/>
      <c r="CG5169"/>
      <c r="CH5169"/>
      <c r="CI5169"/>
    </row>
    <row r="5170" spans="83:87" x14ac:dyDescent="0.2">
      <c r="CE5170"/>
      <c r="CF5170"/>
      <c r="CG5170"/>
      <c r="CH5170"/>
      <c r="CI5170"/>
    </row>
    <row r="5171" spans="83:87" x14ac:dyDescent="0.2">
      <c r="CE5171"/>
      <c r="CF5171"/>
      <c r="CG5171"/>
      <c r="CH5171"/>
      <c r="CI5171"/>
    </row>
    <row r="5172" spans="83:87" x14ac:dyDescent="0.2">
      <c r="CE5172"/>
      <c r="CF5172"/>
      <c r="CG5172"/>
      <c r="CH5172"/>
      <c r="CI5172"/>
    </row>
    <row r="5173" spans="83:87" x14ac:dyDescent="0.2">
      <c r="CE5173"/>
      <c r="CF5173"/>
      <c r="CG5173"/>
      <c r="CH5173"/>
      <c r="CI5173"/>
    </row>
    <row r="5174" spans="83:87" x14ac:dyDescent="0.2">
      <c r="CE5174"/>
      <c r="CF5174"/>
      <c r="CG5174"/>
      <c r="CH5174"/>
      <c r="CI5174"/>
    </row>
    <row r="5175" spans="83:87" x14ac:dyDescent="0.2">
      <c r="CE5175"/>
      <c r="CF5175"/>
      <c r="CG5175"/>
      <c r="CH5175"/>
      <c r="CI5175"/>
    </row>
    <row r="5176" spans="83:87" x14ac:dyDescent="0.2">
      <c r="CE5176"/>
      <c r="CF5176"/>
      <c r="CG5176"/>
      <c r="CH5176"/>
      <c r="CI5176"/>
    </row>
    <row r="5177" spans="83:87" x14ac:dyDescent="0.2">
      <c r="CE5177"/>
      <c r="CF5177"/>
      <c r="CG5177"/>
      <c r="CH5177"/>
      <c r="CI5177"/>
    </row>
    <row r="5178" spans="83:87" x14ac:dyDescent="0.2">
      <c r="CE5178"/>
      <c r="CF5178"/>
      <c r="CG5178"/>
      <c r="CH5178"/>
      <c r="CI5178"/>
    </row>
    <row r="5179" spans="83:87" x14ac:dyDescent="0.2">
      <c r="CE5179"/>
      <c r="CF5179"/>
      <c r="CG5179"/>
      <c r="CH5179"/>
      <c r="CI5179"/>
    </row>
    <row r="5180" spans="83:87" x14ac:dyDescent="0.2">
      <c r="CE5180"/>
      <c r="CF5180"/>
      <c r="CG5180"/>
      <c r="CH5180"/>
      <c r="CI5180"/>
    </row>
    <row r="5181" spans="83:87" x14ac:dyDescent="0.2">
      <c r="CE5181"/>
      <c r="CF5181"/>
      <c r="CG5181"/>
      <c r="CH5181"/>
      <c r="CI5181"/>
    </row>
    <row r="5182" spans="83:87" x14ac:dyDescent="0.2">
      <c r="CE5182"/>
      <c r="CF5182"/>
      <c r="CG5182"/>
      <c r="CH5182"/>
      <c r="CI5182"/>
    </row>
    <row r="5183" spans="83:87" x14ac:dyDescent="0.2">
      <c r="CE5183"/>
      <c r="CF5183"/>
      <c r="CG5183"/>
      <c r="CH5183"/>
      <c r="CI5183"/>
    </row>
    <row r="5184" spans="83:87" x14ac:dyDescent="0.2">
      <c r="CE5184"/>
      <c r="CF5184"/>
      <c r="CG5184"/>
      <c r="CH5184"/>
      <c r="CI5184"/>
    </row>
    <row r="5185" spans="83:87" x14ac:dyDescent="0.2">
      <c r="CE5185"/>
      <c r="CF5185"/>
      <c r="CG5185"/>
      <c r="CH5185"/>
      <c r="CI5185"/>
    </row>
    <row r="5186" spans="83:87" x14ac:dyDescent="0.2">
      <c r="CE5186"/>
      <c r="CF5186"/>
      <c r="CG5186"/>
      <c r="CH5186"/>
      <c r="CI5186"/>
    </row>
    <row r="5187" spans="83:87" x14ac:dyDescent="0.2">
      <c r="CE5187"/>
      <c r="CF5187"/>
      <c r="CG5187"/>
      <c r="CH5187"/>
      <c r="CI5187"/>
    </row>
    <row r="5188" spans="83:87" x14ac:dyDescent="0.2">
      <c r="CE5188"/>
      <c r="CF5188"/>
      <c r="CG5188"/>
      <c r="CH5188"/>
      <c r="CI5188"/>
    </row>
    <row r="5189" spans="83:87" x14ac:dyDescent="0.2">
      <c r="CE5189"/>
      <c r="CF5189"/>
      <c r="CG5189"/>
      <c r="CH5189"/>
      <c r="CI5189"/>
    </row>
    <row r="5190" spans="83:87" x14ac:dyDescent="0.2">
      <c r="CE5190"/>
      <c r="CF5190"/>
      <c r="CG5190"/>
      <c r="CH5190"/>
      <c r="CI5190"/>
    </row>
    <row r="5191" spans="83:87" x14ac:dyDescent="0.2">
      <c r="CE5191"/>
      <c r="CF5191"/>
      <c r="CG5191"/>
      <c r="CH5191"/>
      <c r="CI5191"/>
    </row>
    <row r="5192" spans="83:87" x14ac:dyDescent="0.2">
      <c r="CE5192"/>
      <c r="CF5192"/>
      <c r="CG5192"/>
      <c r="CH5192"/>
      <c r="CI5192"/>
    </row>
    <row r="5193" spans="83:87" x14ac:dyDescent="0.2">
      <c r="CE5193"/>
      <c r="CF5193"/>
      <c r="CG5193"/>
      <c r="CH5193"/>
      <c r="CI5193"/>
    </row>
    <row r="5194" spans="83:87" x14ac:dyDescent="0.2">
      <c r="CE5194"/>
      <c r="CF5194"/>
      <c r="CG5194"/>
      <c r="CH5194"/>
      <c r="CI5194"/>
    </row>
    <row r="5195" spans="83:87" x14ac:dyDescent="0.2">
      <c r="CE5195"/>
      <c r="CF5195"/>
      <c r="CG5195"/>
      <c r="CH5195"/>
      <c r="CI5195"/>
    </row>
    <row r="5196" spans="83:87" x14ac:dyDescent="0.2">
      <c r="CE5196"/>
      <c r="CF5196"/>
      <c r="CG5196"/>
      <c r="CH5196"/>
      <c r="CI5196"/>
    </row>
    <row r="5197" spans="83:87" x14ac:dyDescent="0.2">
      <c r="CE5197"/>
      <c r="CF5197"/>
      <c r="CG5197"/>
      <c r="CH5197"/>
      <c r="CI5197"/>
    </row>
    <row r="5198" spans="83:87" x14ac:dyDescent="0.2">
      <c r="CE5198"/>
      <c r="CF5198"/>
      <c r="CG5198"/>
      <c r="CH5198"/>
      <c r="CI5198"/>
    </row>
    <row r="5199" spans="83:87" x14ac:dyDescent="0.2">
      <c r="CE5199"/>
      <c r="CF5199"/>
      <c r="CG5199"/>
      <c r="CH5199"/>
      <c r="CI5199"/>
    </row>
    <row r="5200" spans="83:87" x14ac:dyDescent="0.2">
      <c r="CE5200"/>
      <c r="CF5200"/>
      <c r="CG5200"/>
      <c r="CH5200"/>
      <c r="CI5200"/>
    </row>
    <row r="5201" spans="83:87" x14ac:dyDescent="0.2">
      <c r="CE5201"/>
      <c r="CF5201"/>
      <c r="CG5201"/>
      <c r="CH5201"/>
      <c r="CI5201"/>
    </row>
    <row r="5202" spans="83:87" x14ac:dyDescent="0.2">
      <c r="CE5202"/>
      <c r="CF5202"/>
      <c r="CG5202"/>
      <c r="CH5202"/>
      <c r="CI5202"/>
    </row>
    <row r="5203" spans="83:87" x14ac:dyDescent="0.2">
      <c r="CE5203"/>
      <c r="CF5203"/>
      <c r="CG5203"/>
      <c r="CH5203"/>
      <c r="CI5203"/>
    </row>
    <row r="5204" spans="83:87" x14ac:dyDescent="0.2">
      <c r="CE5204"/>
      <c r="CF5204"/>
      <c r="CG5204"/>
      <c r="CH5204"/>
      <c r="CI5204"/>
    </row>
    <row r="5205" spans="83:87" x14ac:dyDescent="0.2">
      <c r="CE5205"/>
      <c r="CF5205"/>
      <c r="CG5205"/>
      <c r="CH5205"/>
      <c r="CI5205"/>
    </row>
    <row r="5206" spans="83:87" x14ac:dyDescent="0.2">
      <c r="CE5206"/>
      <c r="CF5206"/>
      <c r="CG5206"/>
      <c r="CH5206"/>
      <c r="CI5206"/>
    </row>
    <row r="5207" spans="83:87" x14ac:dyDescent="0.2">
      <c r="CE5207"/>
      <c r="CF5207"/>
      <c r="CG5207"/>
      <c r="CH5207"/>
      <c r="CI5207"/>
    </row>
    <row r="5208" spans="83:87" x14ac:dyDescent="0.2">
      <c r="CE5208"/>
      <c r="CF5208"/>
      <c r="CG5208"/>
      <c r="CH5208"/>
      <c r="CI5208"/>
    </row>
    <row r="5209" spans="83:87" x14ac:dyDescent="0.2">
      <c r="CE5209"/>
      <c r="CF5209"/>
      <c r="CG5209"/>
      <c r="CH5209"/>
      <c r="CI5209"/>
    </row>
    <row r="5210" spans="83:87" x14ac:dyDescent="0.2">
      <c r="CE5210"/>
      <c r="CF5210"/>
      <c r="CG5210"/>
      <c r="CH5210"/>
      <c r="CI5210"/>
    </row>
    <row r="5211" spans="83:87" x14ac:dyDescent="0.2">
      <c r="CE5211"/>
      <c r="CF5211"/>
      <c r="CG5211"/>
      <c r="CH5211"/>
      <c r="CI5211"/>
    </row>
    <row r="5212" spans="83:87" x14ac:dyDescent="0.2">
      <c r="CE5212"/>
      <c r="CF5212"/>
      <c r="CG5212"/>
      <c r="CH5212"/>
      <c r="CI5212"/>
    </row>
    <row r="5213" spans="83:87" x14ac:dyDescent="0.2">
      <c r="CE5213"/>
      <c r="CF5213"/>
      <c r="CG5213"/>
      <c r="CH5213"/>
      <c r="CI5213"/>
    </row>
    <row r="5214" spans="83:87" x14ac:dyDescent="0.2">
      <c r="CE5214"/>
      <c r="CF5214"/>
      <c r="CG5214"/>
      <c r="CH5214"/>
      <c r="CI5214"/>
    </row>
    <row r="5215" spans="83:87" x14ac:dyDescent="0.2">
      <c r="CE5215"/>
      <c r="CF5215"/>
      <c r="CG5215"/>
      <c r="CH5215"/>
      <c r="CI5215"/>
    </row>
    <row r="5216" spans="83:87" x14ac:dyDescent="0.2">
      <c r="CE5216"/>
      <c r="CF5216"/>
      <c r="CG5216"/>
      <c r="CH5216"/>
      <c r="CI5216"/>
    </row>
    <row r="5217" spans="83:87" x14ac:dyDescent="0.2">
      <c r="CE5217"/>
      <c r="CF5217"/>
      <c r="CG5217"/>
      <c r="CH5217"/>
      <c r="CI5217"/>
    </row>
    <row r="5218" spans="83:87" x14ac:dyDescent="0.2">
      <c r="CE5218"/>
      <c r="CF5218"/>
      <c r="CG5218"/>
      <c r="CH5218"/>
      <c r="CI5218"/>
    </row>
    <row r="5219" spans="83:87" x14ac:dyDescent="0.2">
      <c r="CE5219"/>
      <c r="CF5219"/>
      <c r="CG5219"/>
      <c r="CH5219"/>
      <c r="CI5219"/>
    </row>
    <row r="5220" spans="83:87" x14ac:dyDescent="0.2">
      <c r="CE5220"/>
      <c r="CF5220"/>
      <c r="CG5220"/>
      <c r="CH5220"/>
      <c r="CI5220"/>
    </row>
    <row r="5221" spans="83:87" x14ac:dyDescent="0.2">
      <c r="CE5221"/>
      <c r="CF5221"/>
      <c r="CG5221"/>
      <c r="CH5221"/>
      <c r="CI5221"/>
    </row>
    <row r="5222" spans="83:87" x14ac:dyDescent="0.2">
      <c r="CE5222"/>
      <c r="CF5222"/>
      <c r="CG5222"/>
      <c r="CH5222"/>
      <c r="CI5222"/>
    </row>
    <row r="5223" spans="83:87" x14ac:dyDescent="0.2">
      <c r="CE5223"/>
      <c r="CF5223"/>
      <c r="CG5223"/>
      <c r="CH5223"/>
      <c r="CI5223"/>
    </row>
    <row r="5224" spans="83:87" x14ac:dyDescent="0.2">
      <c r="CE5224"/>
      <c r="CF5224"/>
      <c r="CG5224"/>
      <c r="CH5224"/>
      <c r="CI5224"/>
    </row>
    <row r="5225" spans="83:87" x14ac:dyDescent="0.2">
      <c r="CE5225"/>
      <c r="CF5225"/>
      <c r="CG5225"/>
      <c r="CH5225"/>
      <c r="CI5225"/>
    </row>
    <row r="5226" spans="83:87" x14ac:dyDescent="0.2">
      <c r="CE5226"/>
      <c r="CF5226"/>
      <c r="CG5226"/>
      <c r="CH5226"/>
      <c r="CI5226"/>
    </row>
    <row r="5227" spans="83:87" x14ac:dyDescent="0.2">
      <c r="CE5227"/>
      <c r="CF5227"/>
      <c r="CG5227"/>
      <c r="CH5227"/>
      <c r="CI5227"/>
    </row>
    <row r="5228" spans="83:87" x14ac:dyDescent="0.2">
      <c r="CE5228"/>
      <c r="CF5228"/>
      <c r="CG5228"/>
      <c r="CH5228"/>
      <c r="CI5228"/>
    </row>
    <row r="5229" spans="83:87" x14ac:dyDescent="0.2">
      <c r="CE5229"/>
      <c r="CF5229"/>
      <c r="CG5229"/>
      <c r="CH5229"/>
      <c r="CI5229"/>
    </row>
    <row r="5230" spans="83:87" x14ac:dyDescent="0.2">
      <c r="CE5230"/>
      <c r="CF5230"/>
      <c r="CG5230"/>
      <c r="CH5230"/>
      <c r="CI5230"/>
    </row>
    <row r="5231" spans="83:87" x14ac:dyDescent="0.2">
      <c r="CE5231"/>
      <c r="CF5231"/>
      <c r="CG5231"/>
      <c r="CH5231"/>
      <c r="CI5231"/>
    </row>
    <row r="5232" spans="83:87" x14ac:dyDescent="0.2">
      <c r="CE5232"/>
      <c r="CF5232"/>
      <c r="CG5232"/>
      <c r="CH5232"/>
      <c r="CI5232"/>
    </row>
    <row r="5233" spans="83:87" x14ac:dyDescent="0.2">
      <c r="CE5233"/>
      <c r="CF5233"/>
      <c r="CG5233"/>
      <c r="CH5233"/>
      <c r="CI5233"/>
    </row>
    <row r="5234" spans="83:87" x14ac:dyDescent="0.2">
      <c r="CE5234"/>
      <c r="CF5234"/>
      <c r="CG5234"/>
      <c r="CH5234"/>
      <c r="CI5234"/>
    </row>
    <row r="5235" spans="83:87" x14ac:dyDescent="0.2">
      <c r="CE5235"/>
      <c r="CF5235"/>
      <c r="CG5235"/>
      <c r="CH5235"/>
      <c r="CI5235"/>
    </row>
    <row r="5236" spans="83:87" x14ac:dyDescent="0.2">
      <c r="CE5236"/>
      <c r="CF5236"/>
      <c r="CG5236"/>
      <c r="CH5236"/>
      <c r="CI5236"/>
    </row>
    <row r="5237" spans="83:87" x14ac:dyDescent="0.2">
      <c r="CE5237"/>
      <c r="CF5237"/>
      <c r="CG5237"/>
      <c r="CH5237"/>
      <c r="CI5237"/>
    </row>
    <row r="5238" spans="83:87" x14ac:dyDescent="0.2">
      <c r="CE5238"/>
      <c r="CF5238"/>
      <c r="CG5238"/>
      <c r="CH5238"/>
      <c r="CI5238"/>
    </row>
    <row r="5239" spans="83:87" x14ac:dyDescent="0.2">
      <c r="CE5239"/>
      <c r="CF5239"/>
      <c r="CG5239"/>
      <c r="CH5239"/>
      <c r="CI5239"/>
    </row>
    <row r="5240" spans="83:87" x14ac:dyDescent="0.2">
      <c r="CE5240"/>
      <c r="CF5240"/>
      <c r="CG5240"/>
      <c r="CH5240"/>
      <c r="CI5240"/>
    </row>
    <row r="5241" spans="83:87" x14ac:dyDescent="0.2">
      <c r="CE5241"/>
      <c r="CF5241"/>
      <c r="CG5241"/>
      <c r="CH5241"/>
      <c r="CI5241"/>
    </row>
    <row r="5242" spans="83:87" x14ac:dyDescent="0.2">
      <c r="CE5242"/>
      <c r="CF5242"/>
      <c r="CG5242"/>
      <c r="CH5242"/>
      <c r="CI5242"/>
    </row>
    <row r="5243" spans="83:87" x14ac:dyDescent="0.2">
      <c r="CE5243"/>
      <c r="CF5243"/>
      <c r="CG5243"/>
      <c r="CH5243"/>
      <c r="CI5243"/>
    </row>
    <row r="5244" spans="83:87" x14ac:dyDescent="0.2">
      <c r="CE5244"/>
      <c r="CF5244"/>
      <c r="CG5244"/>
      <c r="CH5244"/>
      <c r="CI5244"/>
    </row>
    <row r="5245" spans="83:87" x14ac:dyDescent="0.2">
      <c r="CE5245"/>
      <c r="CF5245"/>
      <c r="CG5245"/>
      <c r="CH5245"/>
      <c r="CI5245"/>
    </row>
    <row r="5246" spans="83:87" x14ac:dyDescent="0.2">
      <c r="CE5246"/>
      <c r="CF5246"/>
      <c r="CG5246"/>
      <c r="CH5246"/>
      <c r="CI5246"/>
    </row>
    <row r="5247" spans="83:87" x14ac:dyDescent="0.2">
      <c r="CE5247"/>
      <c r="CF5247"/>
      <c r="CG5247"/>
      <c r="CH5247"/>
      <c r="CI5247"/>
    </row>
    <row r="5248" spans="83:87" x14ac:dyDescent="0.2">
      <c r="CE5248"/>
      <c r="CF5248"/>
      <c r="CG5248"/>
      <c r="CH5248"/>
      <c r="CI5248"/>
    </row>
    <row r="5249" spans="83:87" x14ac:dyDescent="0.2">
      <c r="CE5249"/>
      <c r="CF5249"/>
      <c r="CG5249"/>
      <c r="CH5249"/>
      <c r="CI5249"/>
    </row>
    <row r="5250" spans="83:87" x14ac:dyDescent="0.2">
      <c r="CE5250"/>
      <c r="CF5250"/>
      <c r="CG5250"/>
      <c r="CH5250"/>
      <c r="CI5250"/>
    </row>
    <row r="5251" spans="83:87" x14ac:dyDescent="0.2">
      <c r="CE5251"/>
      <c r="CF5251"/>
      <c r="CG5251"/>
      <c r="CH5251"/>
      <c r="CI5251"/>
    </row>
    <row r="5252" spans="83:87" x14ac:dyDescent="0.2">
      <c r="CE5252"/>
      <c r="CF5252"/>
      <c r="CG5252"/>
      <c r="CH5252"/>
      <c r="CI5252"/>
    </row>
    <row r="5253" spans="83:87" x14ac:dyDescent="0.2">
      <c r="CE5253"/>
      <c r="CF5253"/>
      <c r="CG5253"/>
      <c r="CH5253"/>
      <c r="CI5253"/>
    </row>
    <row r="5254" spans="83:87" x14ac:dyDescent="0.2">
      <c r="CE5254"/>
      <c r="CF5254"/>
      <c r="CG5254"/>
      <c r="CH5254"/>
      <c r="CI5254"/>
    </row>
    <row r="5255" spans="83:87" x14ac:dyDescent="0.2">
      <c r="CE5255"/>
      <c r="CF5255"/>
      <c r="CG5255"/>
      <c r="CH5255"/>
      <c r="CI5255"/>
    </row>
    <row r="5256" spans="83:87" x14ac:dyDescent="0.2">
      <c r="CE5256"/>
      <c r="CF5256"/>
      <c r="CG5256"/>
      <c r="CH5256"/>
      <c r="CI5256"/>
    </row>
    <row r="5257" spans="83:87" x14ac:dyDescent="0.2">
      <c r="CE5257"/>
      <c r="CF5257"/>
      <c r="CG5257"/>
      <c r="CH5257"/>
      <c r="CI5257"/>
    </row>
    <row r="5258" spans="83:87" x14ac:dyDescent="0.2">
      <c r="CE5258"/>
      <c r="CF5258"/>
      <c r="CG5258"/>
      <c r="CH5258"/>
      <c r="CI5258"/>
    </row>
    <row r="5259" spans="83:87" x14ac:dyDescent="0.2">
      <c r="CE5259"/>
      <c r="CF5259"/>
      <c r="CG5259"/>
      <c r="CH5259"/>
      <c r="CI5259"/>
    </row>
    <row r="5260" spans="83:87" x14ac:dyDescent="0.2">
      <c r="CE5260"/>
      <c r="CF5260"/>
      <c r="CG5260"/>
      <c r="CH5260"/>
      <c r="CI5260"/>
    </row>
    <row r="5261" spans="83:87" x14ac:dyDescent="0.2">
      <c r="CE5261"/>
      <c r="CF5261"/>
      <c r="CG5261"/>
      <c r="CH5261"/>
      <c r="CI5261"/>
    </row>
    <row r="5262" spans="83:87" x14ac:dyDescent="0.2">
      <c r="CE5262"/>
      <c r="CF5262"/>
      <c r="CG5262"/>
      <c r="CH5262"/>
      <c r="CI5262"/>
    </row>
    <row r="5263" spans="83:87" x14ac:dyDescent="0.2">
      <c r="CE5263"/>
      <c r="CF5263"/>
      <c r="CG5263"/>
      <c r="CH5263"/>
      <c r="CI5263"/>
    </row>
    <row r="5264" spans="83:87" x14ac:dyDescent="0.2">
      <c r="CE5264"/>
      <c r="CF5264"/>
      <c r="CG5264"/>
      <c r="CH5264"/>
      <c r="CI5264"/>
    </row>
    <row r="5265" spans="83:87" x14ac:dyDescent="0.2">
      <c r="CE5265"/>
      <c r="CF5265"/>
      <c r="CG5265"/>
      <c r="CH5265"/>
      <c r="CI5265"/>
    </row>
    <row r="5266" spans="83:87" x14ac:dyDescent="0.2">
      <c r="CE5266"/>
      <c r="CF5266"/>
      <c r="CG5266"/>
      <c r="CH5266"/>
      <c r="CI5266"/>
    </row>
    <row r="5267" spans="83:87" x14ac:dyDescent="0.2">
      <c r="CE5267"/>
      <c r="CF5267"/>
      <c r="CG5267"/>
      <c r="CH5267"/>
      <c r="CI5267"/>
    </row>
    <row r="5268" spans="83:87" x14ac:dyDescent="0.2">
      <c r="CE5268"/>
      <c r="CF5268"/>
      <c r="CG5268"/>
      <c r="CH5268"/>
      <c r="CI5268"/>
    </row>
    <row r="5269" spans="83:87" x14ac:dyDescent="0.2">
      <c r="CE5269"/>
      <c r="CF5269"/>
      <c r="CG5269"/>
      <c r="CH5269"/>
      <c r="CI5269"/>
    </row>
    <row r="5270" spans="83:87" x14ac:dyDescent="0.2">
      <c r="CE5270"/>
      <c r="CF5270"/>
      <c r="CG5270"/>
      <c r="CH5270"/>
      <c r="CI5270"/>
    </row>
    <row r="5271" spans="83:87" x14ac:dyDescent="0.2">
      <c r="CE5271"/>
      <c r="CF5271"/>
      <c r="CG5271"/>
      <c r="CH5271"/>
      <c r="CI5271"/>
    </row>
    <row r="5272" spans="83:87" x14ac:dyDescent="0.2">
      <c r="CE5272"/>
      <c r="CF5272"/>
      <c r="CG5272"/>
      <c r="CH5272"/>
      <c r="CI5272"/>
    </row>
    <row r="5273" spans="83:87" x14ac:dyDescent="0.2">
      <c r="CE5273"/>
      <c r="CF5273"/>
      <c r="CG5273"/>
      <c r="CH5273"/>
      <c r="CI5273"/>
    </row>
    <row r="5274" spans="83:87" x14ac:dyDescent="0.2">
      <c r="CE5274"/>
      <c r="CF5274"/>
      <c r="CG5274"/>
      <c r="CH5274"/>
      <c r="CI5274"/>
    </row>
    <row r="5275" spans="83:87" x14ac:dyDescent="0.2">
      <c r="CE5275"/>
      <c r="CF5275"/>
      <c r="CG5275"/>
      <c r="CH5275"/>
      <c r="CI5275"/>
    </row>
    <row r="5276" spans="83:87" x14ac:dyDescent="0.2">
      <c r="CE5276"/>
      <c r="CF5276"/>
      <c r="CG5276"/>
      <c r="CH5276"/>
      <c r="CI5276"/>
    </row>
    <row r="5277" spans="83:87" x14ac:dyDescent="0.2">
      <c r="CE5277"/>
      <c r="CF5277"/>
      <c r="CG5277"/>
      <c r="CH5277"/>
      <c r="CI5277"/>
    </row>
    <row r="5278" spans="83:87" x14ac:dyDescent="0.2">
      <c r="CE5278"/>
      <c r="CF5278"/>
      <c r="CG5278"/>
      <c r="CH5278"/>
      <c r="CI5278"/>
    </row>
    <row r="5279" spans="83:87" x14ac:dyDescent="0.2">
      <c r="CE5279"/>
      <c r="CF5279"/>
      <c r="CG5279"/>
      <c r="CH5279"/>
      <c r="CI5279"/>
    </row>
    <row r="5280" spans="83:87" x14ac:dyDescent="0.2">
      <c r="CE5280"/>
      <c r="CF5280"/>
      <c r="CG5280"/>
      <c r="CH5280"/>
      <c r="CI5280"/>
    </row>
    <row r="5281" spans="83:87" x14ac:dyDescent="0.2">
      <c r="CE5281"/>
      <c r="CF5281"/>
      <c r="CG5281"/>
      <c r="CH5281"/>
      <c r="CI5281"/>
    </row>
    <row r="5282" spans="83:87" x14ac:dyDescent="0.2">
      <c r="CE5282"/>
      <c r="CF5282"/>
      <c r="CG5282"/>
      <c r="CH5282"/>
      <c r="CI5282"/>
    </row>
    <row r="5283" spans="83:87" x14ac:dyDescent="0.2">
      <c r="CE5283"/>
      <c r="CF5283"/>
      <c r="CG5283"/>
      <c r="CH5283"/>
      <c r="CI5283"/>
    </row>
    <row r="5284" spans="83:87" x14ac:dyDescent="0.2">
      <c r="CE5284"/>
      <c r="CF5284"/>
      <c r="CG5284"/>
      <c r="CH5284"/>
      <c r="CI5284"/>
    </row>
    <row r="5285" spans="83:87" x14ac:dyDescent="0.2">
      <c r="CE5285"/>
      <c r="CF5285"/>
      <c r="CG5285"/>
      <c r="CH5285"/>
      <c r="CI5285"/>
    </row>
    <row r="5286" spans="83:87" x14ac:dyDescent="0.2">
      <c r="CE5286"/>
      <c r="CF5286"/>
      <c r="CG5286"/>
      <c r="CH5286"/>
      <c r="CI5286"/>
    </row>
    <row r="5287" spans="83:87" x14ac:dyDescent="0.2">
      <c r="CE5287"/>
      <c r="CF5287"/>
      <c r="CG5287"/>
      <c r="CH5287"/>
      <c r="CI5287"/>
    </row>
    <row r="5288" spans="83:87" x14ac:dyDescent="0.2">
      <c r="CE5288"/>
      <c r="CF5288"/>
      <c r="CG5288"/>
      <c r="CH5288"/>
      <c r="CI5288"/>
    </row>
    <row r="5289" spans="83:87" x14ac:dyDescent="0.2">
      <c r="CE5289"/>
      <c r="CF5289"/>
      <c r="CG5289"/>
      <c r="CH5289"/>
      <c r="CI5289"/>
    </row>
    <row r="5290" spans="83:87" x14ac:dyDescent="0.2">
      <c r="CE5290"/>
      <c r="CF5290"/>
      <c r="CG5290"/>
      <c r="CH5290"/>
      <c r="CI5290"/>
    </row>
    <row r="5291" spans="83:87" x14ac:dyDescent="0.2">
      <c r="CE5291"/>
      <c r="CF5291"/>
      <c r="CG5291"/>
      <c r="CH5291"/>
      <c r="CI5291"/>
    </row>
    <row r="5292" spans="83:87" x14ac:dyDescent="0.2">
      <c r="CE5292"/>
      <c r="CF5292"/>
      <c r="CG5292"/>
      <c r="CH5292"/>
      <c r="CI5292"/>
    </row>
    <row r="5293" spans="83:87" x14ac:dyDescent="0.2">
      <c r="CE5293"/>
      <c r="CF5293"/>
      <c r="CG5293"/>
      <c r="CH5293"/>
      <c r="CI5293"/>
    </row>
    <row r="5294" spans="83:87" x14ac:dyDescent="0.2">
      <c r="CE5294"/>
      <c r="CF5294"/>
      <c r="CG5294"/>
      <c r="CH5294"/>
      <c r="CI5294"/>
    </row>
    <row r="5295" spans="83:87" x14ac:dyDescent="0.2">
      <c r="CE5295"/>
      <c r="CF5295"/>
      <c r="CG5295"/>
      <c r="CH5295"/>
      <c r="CI5295"/>
    </row>
    <row r="5296" spans="83:87" x14ac:dyDescent="0.2">
      <c r="CE5296"/>
      <c r="CF5296"/>
      <c r="CG5296"/>
      <c r="CH5296"/>
      <c r="CI5296"/>
    </row>
    <row r="5297" spans="83:87" x14ac:dyDescent="0.2">
      <c r="CE5297"/>
      <c r="CF5297"/>
      <c r="CG5297"/>
      <c r="CH5297"/>
      <c r="CI5297"/>
    </row>
    <row r="5298" spans="83:87" x14ac:dyDescent="0.2">
      <c r="CE5298"/>
      <c r="CF5298"/>
      <c r="CG5298"/>
      <c r="CH5298"/>
      <c r="CI5298"/>
    </row>
    <row r="5299" spans="83:87" x14ac:dyDescent="0.2">
      <c r="CE5299"/>
      <c r="CF5299"/>
      <c r="CG5299"/>
      <c r="CH5299"/>
      <c r="CI5299"/>
    </row>
    <row r="5300" spans="83:87" x14ac:dyDescent="0.2">
      <c r="CE5300"/>
      <c r="CF5300"/>
      <c r="CG5300"/>
      <c r="CH5300"/>
      <c r="CI5300"/>
    </row>
    <row r="5301" spans="83:87" x14ac:dyDescent="0.2">
      <c r="CE5301"/>
      <c r="CF5301"/>
      <c r="CG5301"/>
      <c r="CH5301"/>
      <c r="CI5301"/>
    </row>
    <row r="5302" spans="83:87" x14ac:dyDescent="0.2">
      <c r="CE5302"/>
      <c r="CF5302"/>
      <c r="CG5302"/>
      <c r="CH5302"/>
      <c r="CI5302"/>
    </row>
    <row r="5303" spans="83:87" x14ac:dyDescent="0.2">
      <c r="CE5303"/>
      <c r="CF5303"/>
      <c r="CG5303"/>
      <c r="CH5303"/>
      <c r="CI5303"/>
    </row>
    <row r="5304" spans="83:87" x14ac:dyDescent="0.2">
      <c r="CE5304"/>
      <c r="CF5304"/>
      <c r="CG5304"/>
      <c r="CH5304"/>
      <c r="CI5304"/>
    </row>
    <row r="5305" spans="83:87" x14ac:dyDescent="0.2">
      <c r="CE5305"/>
      <c r="CF5305"/>
      <c r="CG5305"/>
      <c r="CH5305"/>
      <c r="CI5305"/>
    </row>
    <row r="5306" spans="83:87" x14ac:dyDescent="0.2">
      <c r="CE5306"/>
      <c r="CF5306"/>
      <c r="CG5306"/>
      <c r="CH5306"/>
      <c r="CI5306"/>
    </row>
    <row r="5307" spans="83:87" x14ac:dyDescent="0.2">
      <c r="CE5307"/>
      <c r="CF5307"/>
      <c r="CG5307"/>
      <c r="CH5307"/>
      <c r="CI5307"/>
    </row>
    <row r="5308" spans="83:87" x14ac:dyDescent="0.2">
      <c r="CE5308"/>
      <c r="CF5308"/>
      <c r="CG5308"/>
      <c r="CH5308"/>
      <c r="CI5308"/>
    </row>
    <row r="5309" spans="83:87" x14ac:dyDescent="0.2">
      <c r="CE5309"/>
      <c r="CF5309"/>
      <c r="CG5309"/>
      <c r="CH5309"/>
      <c r="CI5309"/>
    </row>
    <row r="5310" spans="83:87" x14ac:dyDescent="0.2">
      <c r="CE5310"/>
      <c r="CF5310"/>
      <c r="CG5310"/>
      <c r="CH5310"/>
      <c r="CI5310"/>
    </row>
    <row r="5311" spans="83:87" x14ac:dyDescent="0.2">
      <c r="CE5311"/>
      <c r="CF5311"/>
      <c r="CG5311"/>
      <c r="CH5311"/>
      <c r="CI5311"/>
    </row>
    <row r="5312" spans="83:87" x14ac:dyDescent="0.2">
      <c r="CE5312"/>
      <c r="CF5312"/>
      <c r="CG5312"/>
      <c r="CH5312"/>
      <c r="CI5312"/>
    </row>
    <row r="5313" spans="83:87" x14ac:dyDescent="0.2">
      <c r="CE5313"/>
      <c r="CF5313"/>
      <c r="CG5313"/>
      <c r="CH5313"/>
      <c r="CI5313"/>
    </row>
    <row r="5314" spans="83:87" x14ac:dyDescent="0.2">
      <c r="CE5314"/>
      <c r="CF5314"/>
      <c r="CG5314"/>
      <c r="CH5314"/>
      <c r="CI5314"/>
    </row>
    <row r="5315" spans="83:87" x14ac:dyDescent="0.2">
      <c r="CE5315"/>
      <c r="CF5315"/>
      <c r="CG5315"/>
      <c r="CH5315"/>
      <c r="CI5315"/>
    </row>
    <row r="5316" spans="83:87" x14ac:dyDescent="0.2">
      <c r="CE5316"/>
      <c r="CF5316"/>
      <c r="CG5316"/>
      <c r="CH5316"/>
      <c r="CI5316"/>
    </row>
    <row r="5317" spans="83:87" x14ac:dyDescent="0.2">
      <c r="CE5317"/>
      <c r="CF5317"/>
      <c r="CG5317"/>
      <c r="CH5317"/>
      <c r="CI5317"/>
    </row>
    <row r="5318" spans="83:87" x14ac:dyDescent="0.2">
      <c r="CE5318"/>
      <c r="CF5318"/>
      <c r="CG5318"/>
      <c r="CH5318"/>
      <c r="CI5318"/>
    </row>
    <row r="5319" spans="83:87" x14ac:dyDescent="0.2">
      <c r="CE5319"/>
      <c r="CF5319"/>
      <c r="CG5319"/>
      <c r="CH5319"/>
      <c r="CI5319"/>
    </row>
    <row r="5320" spans="83:87" x14ac:dyDescent="0.2">
      <c r="CE5320"/>
      <c r="CF5320"/>
      <c r="CG5320"/>
      <c r="CH5320"/>
      <c r="CI5320"/>
    </row>
    <row r="5321" spans="83:87" x14ac:dyDescent="0.2">
      <c r="CE5321"/>
      <c r="CF5321"/>
      <c r="CG5321"/>
      <c r="CH5321"/>
      <c r="CI5321"/>
    </row>
    <row r="5322" spans="83:87" x14ac:dyDescent="0.2">
      <c r="CE5322"/>
      <c r="CF5322"/>
      <c r="CG5322"/>
      <c r="CH5322"/>
      <c r="CI5322"/>
    </row>
    <row r="5323" spans="83:87" x14ac:dyDescent="0.2">
      <c r="CE5323"/>
      <c r="CF5323"/>
      <c r="CG5323"/>
      <c r="CH5323"/>
      <c r="CI5323"/>
    </row>
    <row r="5324" spans="83:87" x14ac:dyDescent="0.2">
      <c r="CE5324"/>
      <c r="CF5324"/>
      <c r="CG5324"/>
      <c r="CH5324"/>
      <c r="CI5324"/>
    </row>
    <row r="5325" spans="83:87" x14ac:dyDescent="0.2">
      <c r="CE5325"/>
      <c r="CF5325"/>
      <c r="CG5325"/>
      <c r="CH5325"/>
      <c r="CI5325"/>
    </row>
    <row r="5326" spans="83:87" x14ac:dyDescent="0.2">
      <c r="CE5326"/>
      <c r="CF5326"/>
      <c r="CG5326"/>
      <c r="CH5326"/>
      <c r="CI5326"/>
    </row>
    <row r="5327" spans="83:87" x14ac:dyDescent="0.2">
      <c r="CE5327"/>
      <c r="CF5327"/>
      <c r="CG5327"/>
      <c r="CH5327"/>
      <c r="CI5327"/>
    </row>
    <row r="5328" spans="83:87" x14ac:dyDescent="0.2">
      <c r="CE5328"/>
      <c r="CF5328"/>
      <c r="CG5328"/>
      <c r="CH5328"/>
      <c r="CI5328"/>
    </row>
    <row r="5329" spans="83:87" x14ac:dyDescent="0.2">
      <c r="CE5329"/>
      <c r="CF5329"/>
      <c r="CG5329"/>
      <c r="CH5329"/>
      <c r="CI5329"/>
    </row>
    <row r="5330" spans="83:87" x14ac:dyDescent="0.2">
      <c r="CE5330"/>
      <c r="CF5330"/>
      <c r="CG5330"/>
      <c r="CH5330"/>
      <c r="CI5330"/>
    </row>
    <row r="5331" spans="83:87" x14ac:dyDescent="0.2">
      <c r="CE5331"/>
      <c r="CF5331"/>
      <c r="CG5331"/>
      <c r="CH5331"/>
      <c r="CI5331"/>
    </row>
    <row r="5332" spans="83:87" x14ac:dyDescent="0.2">
      <c r="CE5332"/>
      <c r="CF5332"/>
      <c r="CG5332"/>
      <c r="CH5332"/>
      <c r="CI5332"/>
    </row>
    <row r="5333" spans="83:87" x14ac:dyDescent="0.2">
      <c r="CE5333"/>
      <c r="CF5333"/>
      <c r="CG5333"/>
      <c r="CH5333"/>
      <c r="CI5333"/>
    </row>
    <row r="5334" spans="83:87" x14ac:dyDescent="0.2">
      <c r="CE5334"/>
      <c r="CF5334"/>
      <c r="CG5334"/>
      <c r="CH5334"/>
      <c r="CI5334"/>
    </row>
    <row r="5335" spans="83:87" x14ac:dyDescent="0.2">
      <c r="CE5335"/>
      <c r="CF5335"/>
      <c r="CG5335"/>
      <c r="CH5335"/>
      <c r="CI5335"/>
    </row>
    <row r="5336" spans="83:87" x14ac:dyDescent="0.2">
      <c r="CE5336"/>
      <c r="CF5336"/>
      <c r="CG5336"/>
      <c r="CH5336"/>
      <c r="CI5336"/>
    </row>
    <row r="5337" spans="83:87" x14ac:dyDescent="0.2">
      <c r="CE5337"/>
      <c r="CF5337"/>
      <c r="CG5337"/>
      <c r="CH5337"/>
      <c r="CI5337"/>
    </row>
    <row r="5338" spans="83:87" x14ac:dyDescent="0.2">
      <c r="CE5338"/>
      <c r="CF5338"/>
      <c r="CG5338"/>
      <c r="CH5338"/>
      <c r="CI5338"/>
    </row>
    <row r="5339" spans="83:87" x14ac:dyDescent="0.2">
      <c r="CE5339"/>
      <c r="CF5339"/>
      <c r="CG5339"/>
      <c r="CH5339"/>
      <c r="CI5339"/>
    </row>
    <row r="5340" spans="83:87" x14ac:dyDescent="0.2">
      <c r="CE5340"/>
      <c r="CF5340"/>
      <c r="CG5340"/>
      <c r="CH5340"/>
      <c r="CI5340"/>
    </row>
    <row r="5341" spans="83:87" x14ac:dyDescent="0.2">
      <c r="CE5341"/>
      <c r="CF5341"/>
      <c r="CG5341"/>
      <c r="CH5341"/>
      <c r="CI5341"/>
    </row>
    <row r="5342" spans="83:87" x14ac:dyDescent="0.2">
      <c r="CE5342"/>
      <c r="CF5342"/>
      <c r="CG5342"/>
      <c r="CH5342"/>
      <c r="CI5342"/>
    </row>
    <row r="5343" spans="83:87" x14ac:dyDescent="0.2">
      <c r="CE5343"/>
      <c r="CF5343"/>
      <c r="CG5343"/>
      <c r="CH5343"/>
      <c r="CI5343"/>
    </row>
    <row r="5344" spans="83:87" x14ac:dyDescent="0.2">
      <c r="CE5344"/>
      <c r="CF5344"/>
      <c r="CG5344"/>
      <c r="CH5344"/>
      <c r="CI5344"/>
    </row>
    <row r="5345" spans="83:87" x14ac:dyDescent="0.2">
      <c r="CE5345"/>
      <c r="CF5345"/>
      <c r="CG5345"/>
      <c r="CH5345"/>
      <c r="CI5345"/>
    </row>
    <row r="5346" spans="83:87" x14ac:dyDescent="0.2">
      <c r="CE5346"/>
      <c r="CF5346"/>
      <c r="CG5346"/>
      <c r="CH5346"/>
      <c r="CI5346"/>
    </row>
    <row r="5347" spans="83:87" x14ac:dyDescent="0.2">
      <c r="CE5347"/>
      <c r="CF5347"/>
      <c r="CG5347"/>
      <c r="CH5347"/>
      <c r="CI5347"/>
    </row>
    <row r="5348" spans="83:87" x14ac:dyDescent="0.2">
      <c r="CE5348"/>
      <c r="CF5348"/>
      <c r="CG5348"/>
      <c r="CH5348"/>
      <c r="CI5348"/>
    </row>
    <row r="5349" spans="83:87" x14ac:dyDescent="0.2">
      <c r="CE5349"/>
      <c r="CF5349"/>
      <c r="CG5349"/>
      <c r="CH5349"/>
      <c r="CI5349"/>
    </row>
    <row r="5350" spans="83:87" x14ac:dyDescent="0.2">
      <c r="CE5350"/>
      <c r="CF5350"/>
      <c r="CG5350"/>
      <c r="CH5350"/>
      <c r="CI5350"/>
    </row>
    <row r="5351" spans="83:87" x14ac:dyDescent="0.2">
      <c r="CE5351"/>
      <c r="CF5351"/>
      <c r="CG5351"/>
      <c r="CH5351"/>
      <c r="CI5351"/>
    </row>
    <row r="5352" spans="83:87" x14ac:dyDescent="0.2">
      <c r="CE5352"/>
      <c r="CF5352"/>
      <c r="CG5352"/>
      <c r="CH5352"/>
      <c r="CI5352"/>
    </row>
    <row r="5353" spans="83:87" x14ac:dyDescent="0.2">
      <c r="CE5353"/>
      <c r="CF5353"/>
      <c r="CG5353"/>
      <c r="CH5353"/>
      <c r="CI5353"/>
    </row>
    <row r="5354" spans="83:87" x14ac:dyDescent="0.2">
      <c r="CE5354"/>
      <c r="CF5354"/>
      <c r="CG5354"/>
      <c r="CH5354"/>
      <c r="CI5354"/>
    </row>
    <row r="5355" spans="83:87" x14ac:dyDescent="0.2">
      <c r="CE5355"/>
      <c r="CF5355"/>
      <c r="CG5355"/>
      <c r="CH5355"/>
      <c r="CI5355"/>
    </row>
    <row r="5356" spans="83:87" x14ac:dyDescent="0.2">
      <c r="CE5356"/>
      <c r="CF5356"/>
      <c r="CG5356"/>
      <c r="CH5356"/>
      <c r="CI5356"/>
    </row>
    <row r="5357" spans="83:87" x14ac:dyDescent="0.2">
      <c r="CE5357"/>
      <c r="CF5357"/>
      <c r="CG5357"/>
      <c r="CH5357"/>
      <c r="CI5357"/>
    </row>
    <row r="5358" spans="83:87" x14ac:dyDescent="0.2">
      <c r="CE5358"/>
      <c r="CF5358"/>
      <c r="CG5358"/>
      <c r="CH5358"/>
      <c r="CI5358"/>
    </row>
    <row r="5359" spans="83:87" x14ac:dyDescent="0.2">
      <c r="CE5359"/>
      <c r="CF5359"/>
      <c r="CG5359"/>
      <c r="CH5359"/>
      <c r="CI5359"/>
    </row>
    <row r="5360" spans="83:87" x14ac:dyDescent="0.2">
      <c r="CE5360"/>
      <c r="CF5360"/>
      <c r="CG5360"/>
      <c r="CH5360"/>
      <c r="CI5360"/>
    </row>
    <row r="5361" spans="83:87" x14ac:dyDescent="0.2">
      <c r="CE5361"/>
      <c r="CF5361"/>
      <c r="CG5361"/>
      <c r="CH5361"/>
      <c r="CI5361"/>
    </row>
    <row r="5362" spans="83:87" x14ac:dyDescent="0.2">
      <c r="CE5362"/>
      <c r="CF5362"/>
      <c r="CG5362"/>
      <c r="CH5362"/>
      <c r="CI5362"/>
    </row>
    <row r="5363" spans="83:87" x14ac:dyDescent="0.2">
      <c r="CE5363"/>
      <c r="CF5363"/>
      <c r="CG5363"/>
      <c r="CH5363"/>
      <c r="CI5363"/>
    </row>
    <row r="5364" spans="83:87" x14ac:dyDescent="0.2">
      <c r="CE5364"/>
      <c r="CF5364"/>
      <c r="CG5364"/>
      <c r="CH5364"/>
      <c r="CI5364"/>
    </row>
    <row r="5365" spans="83:87" x14ac:dyDescent="0.2">
      <c r="CE5365"/>
      <c r="CF5365"/>
      <c r="CG5365"/>
      <c r="CH5365"/>
      <c r="CI5365"/>
    </row>
    <row r="5366" spans="83:87" x14ac:dyDescent="0.2">
      <c r="CE5366"/>
      <c r="CF5366"/>
      <c r="CG5366"/>
      <c r="CH5366"/>
      <c r="CI5366"/>
    </row>
    <row r="5367" spans="83:87" x14ac:dyDescent="0.2">
      <c r="CE5367"/>
      <c r="CF5367"/>
      <c r="CG5367"/>
      <c r="CH5367"/>
      <c r="CI5367"/>
    </row>
    <row r="5368" spans="83:87" x14ac:dyDescent="0.2">
      <c r="CE5368"/>
      <c r="CF5368"/>
      <c r="CG5368"/>
      <c r="CH5368"/>
      <c r="CI5368"/>
    </row>
    <row r="5369" spans="83:87" x14ac:dyDescent="0.2">
      <c r="CE5369"/>
      <c r="CF5369"/>
      <c r="CG5369"/>
      <c r="CH5369"/>
      <c r="CI5369"/>
    </row>
    <row r="5370" spans="83:87" x14ac:dyDescent="0.2">
      <c r="CE5370"/>
      <c r="CF5370"/>
      <c r="CG5370"/>
      <c r="CH5370"/>
      <c r="CI5370"/>
    </row>
    <row r="5371" spans="83:87" x14ac:dyDescent="0.2">
      <c r="CE5371"/>
      <c r="CF5371"/>
      <c r="CG5371"/>
      <c r="CH5371"/>
      <c r="CI5371"/>
    </row>
    <row r="5372" spans="83:87" x14ac:dyDescent="0.2">
      <c r="CE5372"/>
      <c r="CF5372"/>
      <c r="CG5372"/>
      <c r="CH5372"/>
      <c r="CI5372"/>
    </row>
    <row r="5373" spans="83:87" x14ac:dyDescent="0.2">
      <c r="CE5373"/>
      <c r="CF5373"/>
      <c r="CG5373"/>
      <c r="CH5373"/>
      <c r="CI5373"/>
    </row>
    <row r="5374" spans="83:87" x14ac:dyDescent="0.2">
      <c r="CE5374"/>
      <c r="CF5374"/>
      <c r="CG5374"/>
      <c r="CH5374"/>
      <c r="CI5374"/>
    </row>
    <row r="5375" spans="83:87" x14ac:dyDescent="0.2">
      <c r="CE5375"/>
      <c r="CF5375"/>
      <c r="CG5375"/>
      <c r="CH5375"/>
      <c r="CI5375"/>
    </row>
    <row r="5376" spans="83:87" x14ac:dyDescent="0.2">
      <c r="CE5376"/>
      <c r="CF5376"/>
      <c r="CG5376"/>
      <c r="CH5376"/>
      <c r="CI5376"/>
    </row>
    <row r="5377" spans="83:87" x14ac:dyDescent="0.2">
      <c r="CE5377"/>
      <c r="CF5377"/>
      <c r="CG5377"/>
      <c r="CH5377"/>
      <c r="CI5377"/>
    </row>
    <row r="5378" spans="83:87" x14ac:dyDescent="0.2">
      <c r="CE5378"/>
      <c r="CF5378"/>
      <c r="CG5378"/>
      <c r="CH5378"/>
      <c r="CI5378"/>
    </row>
    <row r="5379" spans="83:87" x14ac:dyDescent="0.2">
      <c r="CE5379"/>
      <c r="CF5379"/>
      <c r="CG5379"/>
      <c r="CH5379"/>
      <c r="CI5379"/>
    </row>
    <row r="5380" spans="83:87" x14ac:dyDescent="0.2">
      <c r="CE5380"/>
      <c r="CF5380"/>
      <c r="CG5380"/>
      <c r="CH5380"/>
      <c r="CI5380"/>
    </row>
    <row r="5381" spans="83:87" x14ac:dyDescent="0.2">
      <c r="CE5381"/>
      <c r="CF5381"/>
      <c r="CG5381"/>
      <c r="CH5381"/>
      <c r="CI5381"/>
    </row>
    <row r="5382" spans="83:87" x14ac:dyDescent="0.2">
      <c r="CE5382"/>
      <c r="CF5382"/>
      <c r="CG5382"/>
      <c r="CH5382"/>
      <c r="CI5382"/>
    </row>
    <row r="5383" spans="83:87" x14ac:dyDescent="0.2">
      <c r="CE5383"/>
      <c r="CF5383"/>
      <c r="CG5383"/>
      <c r="CH5383"/>
      <c r="CI5383"/>
    </row>
    <row r="5384" spans="83:87" x14ac:dyDescent="0.2">
      <c r="CE5384"/>
      <c r="CF5384"/>
      <c r="CG5384"/>
      <c r="CH5384"/>
      <c r="CI5384"/>
    </row>
    <row r="5385" spans="83:87" x14ac:dyDescent="0.2">
      <c r="CE5385"/>
      <c r="CF5385"/>
      <c r="CG5385"/>
      <c r="CH5385"/>
      <c r="CI5385"/>
    </row>
    <row r="5386" spans="83:87" x14ac:dyDescent="0.2">
      <c r="CE5386"/>
      <c r="CF5386"/>
      <c r="CG5386"/>
      <c r="CH5386"/>
      <c r="CI5386"/>
    </row>
    <row r="5387" spans="83:87" x14ac:dyDescent="0.2">
      <c r="CE5387"/>
      <c r="CF5387"/>
      <c r="CG5387"/>
      <c r="CH5387"/>
      <c r="CI5387"/>
    </row>
    <row r="5388" spans="83:87" x14ac:dyDescent="0.2">
      <c r="CE5388"/>
      <c r="CF5388"/>
      <c r="CG5388"/>
      <c r="CH5388"/>
      <c r="CI5388"/>
    </row>
    <row r="5389" spans="83:87" x14ac:dyDescent="0.2">
      <c r="CE5389"/>
      <c r="CF5389"/>
      <c r="CG5389"/>
      <c r="CH5389"/>
      <c r="CI5389"/>
    </row>
    <row r="5390" spans="83:87" x14ac:dyDescent="0.2">
      <c r="CE5390"/>
      <c r="CF5390"/>
      <c r="CG5390"/>
      <c r="CH5390"/>
      <c r="CI5390"/>
    </row>
    <row r="5391" spans="83:87" x14ac:dyDescent="0.2">
      <c r="CE5391"/>
      <c r="CF5391"/>
      <c r="CG5391"/>
      <c r="CH5391"/>
      <c r="CI5391"/>
    </row>
    <row r="5392" spans="83:87" x14ac:dyDescent="0.2">
      <c r="CE5392"/>
      <c r="CF5392"/>
      <c r="CG5392"/>
      <c r="CH5392"/>
      <c r="CI5392"/>
    </row>
    <row r="5393" spans="83:87" x14ac:dyDescent="0.2">
      <c r="CE5393"/>
      <c r="CF5393"/>
      <c r="CG5393"/>
      <c r="CH5393"/>
      <c r="CI5393"/>
    </row>
    <row r="5394" spans="83:87" x14ac:dyDescent="0.2">
      <c r="CE5394"/>
      <c r="CF5394"/>
      <c r="CG5394"/>
      <c r="CH5394"/>
      <c r="CI5394"/>
    </row>
    <row r="5395" spans="83:87" x14ac:dyDescent="0.2">
      <c r="CE5395"/>
      <c r="CF5395"/>
      <c r="CG5395"/>
      <c r="CH5395"/>
      <c r="CI5395"/>
    </row>
    <row r="5396" spans="83:87" x14ac:dyDescent="0.2">
      <c r="CE5396"/>
      <c r="CF5396"/>
      <c r="CG5396"/>
      <c r="CH5396"/>
      <c r="CI5396"/>
    </row>
    <row r="5397" spans="83:87" x14ac:dyDescent="0.2">
      <c r="CE5397"/>
      <c r="CF5397"/>
      <c r="CG5397"/>
      <c r="CH5397"/>
      <c r="CI5397"/>
    </row>
    <row r="5398" spans="83:87" x14ac:dyDescent="0.2">
      <c r="CE5398"/>
      <c r="CF5398"/>
      <c r="CG5398"/>
      <c r="CH5398"/>
      <c r="CI5398"/>
    </row>
    <row r="5399" spans="83:87" x14ac:dyDescent="0.2">
      <c r="CE5399"/>
      <c r="CF5399"/>
      <c r="CG5399"/>
      <c r="CH5399"/>
      <c r="CI5399"/>
    </row>
    <row r="5400" spans="83:87" x14ac:dyDescent="0.2">
      <c r="CE5400"/>
      <c r="CF5400"/>
      <c r="CG5400"/>
      <c r="CH5400"/>
      <c r="CI5400"/>
    </row>
    <row r="5401" spans="83:87" x14ac:dyDescent="0.2">
      <c r="CE5401"/>
      <c r="CF5401"/>
      <c r="CG5401"/>
      <c r="CH5401"/>
      <c r="CI5401"/>
    </row>
    <row r="5402" spans="83:87" x14ac:dyDescent="0.2">
      <c r="CE5402"/>
      <c r="CF5402"/>
      <c r="CG5402"/>
      <c r="CH5402"/>
      <c r="CI5402"/>
    </row>
    <row r="5403" spans="83:87" x14ac:dyDescent="0.2">
      <c r="CE5403"/>
      <c r="CF5403"/>
      <c r="CG5403"/>
      <c r="CH5403"/>
      <c r="CI5403"/>
    </row>
    <row r="5404" spans="83:87" x14ac:dyDescent="0.2">
      <c r="CE5404"/>
      <c r="CF5404"/>
      <c r="CG5404"/>
      <c r="CH5404"/>
      <c r="CI5404"/>
    </row>
    <row r="5405" spans="83:87" x14ac:dyDescent="0.2">
      <c r="CE5405"/>
      <c r="CF5405"/>
      <c r="CG5405"/>
      <c r="CH5405"/>
      <c r="CI5405"/>
    </row>
    <row r="5406" spans="83:87" x14ac:dyDescent="0.2">
      <c r="CE5406"/>
      <c r="CF5406"/>
      <c r="CG5406"/>
      <c r="CH5406"/>
      <c r="CI5406"/>
    </row>
    <row r="5407" spans="83:87" x14ac:dyDescent="0.2">
      <c r="CE5407"/>
      <c r="CF5407"/>
      <c r="CG5407"/>
      <c r="CH5407"/>
      <c r="CI5407"/>
    </row>
    <row r="5408" spans="83:87" x14ac:dyDescent="0.2">
      <c r="CE5408"/>
      <c r="CF5408"/>
      <c r="CG5408"/>
      <c r="CH5408"/>
      <c r="CI5408"/>
    </row>
    <row r="5409" spans="83:87" x14ac:dyDescent="0.2">
      <c r="CE5409"/>
      <c r="CF5409"/>
      <c r="CG5409"/>
      <c r="CH5409"/>
      <c r="CI5409"/>
    </row>
    <row r="5410" spans="83:87" x14ac:dyDescent="0.2">
      <c r="CE5410"/>
      <c r="CF5410"/>
      <c r="CG5410"/>
      <c r="CH5410"/>
      <c r="CI5410"/>
    </row>
    <row r="5411" spans="83:87" x14ac:dyDescent="0.2">
      <c r="CE5411"/>
      <c r="CF5411"/>
      <c r="CG5411"/>
      <c r="CH5411"/>
      <c r="CI5411"/>
    </row>
    <row r="5412" spans="83:87" x14ac:dyDescent="0.2">
      <c r="CE5412"/>
      <c r="CF5412"/>
      <c r="CG5412"/>
      <c r="CH5412"/>
      <c r="CI5412"/>
    </row>
    <row r="5413" spans="83:87" x14ac:dyDescent="0.2">
      <c r="CE5413"/>
      <c r="CF5413"/>
      <c r="CG5413"/>
      <c r="CH5413"/>
      <c r="CI5413"/>
    </row>
    <row r="5414" spans="83:87" x14ac:dyDescent="0.2">
      <c r="CE5414"/>
      <c r="CF5414"/>
      <c r="CG5414"/>
      <c r="CH5414"/>
      <c r="CI5414"/>
    </row>
    <row r="5415" spans="83:87" x14ac:dyDescent="0.2">
      <c r="CE5415"/>
      <c r="CF5415"/>
      <c r="CG5415"/>
      <c r="CH5415"/>
      <c r="CI5415"/>
    </row>
    <row r="5416" spans="83:87" x14ac:dyDescent="0.2">
      <c r="CE5416"/>
      <c r="CF5416"/>
      <c r="CG5416"/>
      <c r="CH5416"/>
      <c r="CI5416"/>
    </row>
    <row r="5417" spans="83:87" x14ac:dyDescent="0.2">
      <c r="CE5417"/>
      <c r="CF5417"/>
      <c r="CG5417"/>
      <c r="CH5417"/>
      <c r="CI5417"/>
    </row>
    <row r="5418" spans="83:87" x14ac:dyDescent="0.2">
      <c r="CE5418"/>
      <c r="CF5418"/>
      <c r="CG5418"/>
      <c r="CH5418"/>
      <c r="CI5418"/>
    </row>
    <row r="5419" spans="83:87" x14ac:dyDescent="0.2">
      <c r="CE5419"/>
      <c r="CF5419"/>
      <c r="CG5419"/>
      <c r="CH5419"/>
      <c r="CI5419"/>
    </row>
    <row r="5420" spans="83:87" x14ac:dyDescent="0.2">
      <c r="CE5420"/>
      <c r="CF5420"/>
      <c r="CG5420"/>
      <c r="CH5420"/>
      <c r="CI5420"/>
    </row>
    <row r="5421" spans="83:87" x14ac:dyDescent="0.2">
      <c r="CE5421"/>
      <c r="CF5421"/>
      <c r="CG5421"/>
      <c r="CH5421"/>
      <c r="CI5421"/>
    </row>
    <row r="5422" spans="83:87" x14ac:dyDescent="0.2">
      <c r="CE5422"/>
      <c r="CF5422"/>
      <c r="CG5422"/>
      <c r="CH5422"/>
      <c r="CI5422"/>
    </row>
    <row r="5423" spans="83:87" x14ac:dyDescent="0.2">
      <c r="CE5423"/>
      <c r="CF5423"/>
      <c r="CG5423"/>
      <c r="CH5423"/>
      <c r="CI5423"/>
    </row>
    <row r="5424" spans="83:87" x14ac:dyDescent="0.2">
      <c r="CE5424"/>
      <c r="CF5424"/>
      <c r="CG5424"/>
      <c r="CH5424"/>
      <c r="CI5424"/>
    </row>
    <row r="5425" spans="83:87" x14ac:dyDescent="0.2">
      <c r="CE5425"/>
      <c r="CF5425"/>
      <c r="CG5425"/>
      <c r="CH5425"/>
      <c r="CI5425"/>
    </row>
    <row r="5426" spans="83:87" x14ac:dyDescent="0.2">
      <c r="CE5426"/>
      <c r="CF5426"/>
      <c r="CG5426"/>
      <c r="CH5426"/>
      <c r="CI5426"/>
    </row>
    <row r="5427" spans="83:87" x14ac:dyDescent="0.2">
      <c r="CE5427"/>
      <c r="CF5427"/>
      <c r="CG5427"/>
      <c r="CH5427"/>
      <c r="CI5427"/>
    </row>
    <row r="5428" spans="83:87" x14ac:dyDescent="0.2">
      <c r="CE5428"/>
      <c r="CF5428"/>
      <c r="CG5428"/>
      <c r="CH5428"/>
      <c r="CI5428"/>
    </row>
    <row r="5429" spans="83:87" x14ac:dyDescent="0.2">
      <c r="CE5429"/>
      <c r="CF5429"/>
      <c r="CG5429"/>
      <c r="CH5429"/>
      <c r="CI5429"/>
    </row>
    <row r="5430" spans="83:87" x14ac:dyDescent="0.2">
      <c r="CE5430"/>
      <c r="CF5430"/>
      <c r="CG5430"/>
      <c r="CH5430"/>
      <c r="CI5430"/>
    </row>
    <row r="5431" spans="83:87" x14ac:dyDescent="0.2">
      <c r="CE5431"/>
      <c r="CF5431"/>
      <c r="CG5431"/>
      <c r="CH5431"/>
      <c r="CI5431"/>
    </row>
    <row r="5432" spans="83:87" x14ac:dyDescent="0.2">
      <c r="CE5432"/>
      <c r="CF5432"/>
      <c r="CG5432"/>
      <c r="CH5432"/>
      <c r="CI5432"/>
    </row>
    <row r="5433" spans="83:87" x14ac:dyDescent="0.2">
      <c r="CE5433"/>
      <c r="CF5433"/>
      <c r="CG5433"/>
      <c r="CH5433"/>
      <c r="CI5433"/>
    </row>
    <row r="5434" spans="83:87" x14ac:dyDescent="0.2">
      <c r="CE5434"/>
      <c r="CF5434"/>
      <c r="CG5434"/>
      <c r="CH5434"/>
      <c r="CI5434"/>
    </row>
    <row r="5435" spans="83:87" x14ac:dyDescent="0.2">
      <c r="CE5435"/>
      <c r="CF5435"/>
      <c r="CG5435"/>
      <c r="CH5435"/>
      <c r="CI5435"/>
    </row>
    <row r="5436" spans="83:87" x14ac:dyDescent="0.2">
      <c r="CE5436"/>
      <c r="CF5436"/>
      <c r="CG5436"/>
      <c r="CH5436"/>
      <c r="CI5436"/>
    </row>
    <row r="5437" spans="83:87" x14ac:dyDescent="0.2">
      <c r="CE5437"/>
      <c r="CF5437"/>
      <c r="CG5437"/>
      <c r="CH5437"/>
      <c r="CI5437"/>
    </row>
    <row r="5438" spans="83:87" x14ac:dyDescent="0.2">
      <c r="CE5438"/>
      <c r="CF5438"/>
      <c r="CG5438"/>
      <c r="CH5438"/>
      <c r="CI5438"/>
    </row>
    <row r="5439" spans="83:87" x14ac:dyDescent="0.2">
      <c r="CE5439"/>
      <c r="CF5439"/>
      <c r="CG5439"/>
      <c r="CH5439"/>
      <c r="CI5439"/>
    </row>
    <row r="5440" spans="83:87" x14ac:dyDescent="0.2">
      <c r="CE5440"/>
      <c r="CF5440"/>
      <c r="CG5440"/>
      <c r="CH5440"/>
      <c r="CI5440"/>
    </row>
    <row r="5441" spans="83:87" x14ac:dyDescent="0.2">
      <c r="CE5441"/>
      <c r="CF5441"/>
      <c r="CG5441"/>
      <c r="CH5441"/>
      <c r="CI5441"/>
    </row>
    <row r="5442" spans="83:87" x14ac:dyDescent="0.2">
      <c r="CE5442"/>
      <c r="CF5442"/>
      <c r="CG5442"/>
      <c r="CH5442"/>
      <c r="CI5442"/>
    </row>
    <row r="5443" spans="83:87" x14ac:dyDescent="0.2">
      <c r="CE5443"/>
      <c r="CF5443"/>
      <c r="CG5443"/>
      <c r="CH5443"/>
      <c r="CI5443"/>
    </row>
    <row r="5444" spans="83:87" x14ac:dyDescent="0.2">
      <c r="CE5444"/>
      <c r="CF5444"/>
      <c r="CG5444"/>
      <c r="CH5444"/>
      <c r="CI5444"/>
    </row>
    <row r="5445" spans="83:87" x14ac:dyDescent="0.2">
      <c r="CE5445"/>
      <c r="CF5445"/>
      <c r="CG5445"/>
      <c r="CH5445"/>
      <c r="CI5445"/>
    </row>
    <row r="5446" spans="83:87" x14ac:dyDescent="0.2">
      <c r="CE5446"/>
      <c r="CF5446"/>
      <c r="CG5446"/>
      <c r="CH5446"/>
      <c r="CI5446"/>
    </row>
    <row r="5447" spans="83:87" x14ac:dyDescent="0.2">
      <c r="CE5447"/>
      <c r="CF5447"/>
      <c r="CG5447"/>
      <c r="CH5447"/>
      <c r="CI5447"/>
    </row>
    <row r="5448" spans="83:87" x14ac:dyDescent="0.2">
      <c r="CE5448"/>
      <c r="CF5448"/>
      <c r="CG5448"/>
      <c r="CH5448"/>
      <c r="CI5448"/>
    </row>
    <row r="5449" spans="83:87" x14ac:dyDescent="0.2">
      <c r="CE5449"/>
      <c r="CF5449"/>
      <c r="CG5449"/>
      <c r="CH5449"/>
      <c r="CI5449"/>
    </row>
    <row r="5450" spans="83:87" x14ac:dyDescent="0.2">
      <c r="CE5450"/>
      <c r="CF5450"/>
      <c r="CG5450"/>
      <c r="CH5450"/>
      <c r="CI5450"/>
    </row>
    <row r="5451" spans="83:87" x14ac:dyDescent="0.2">
      <c r="CE5451"/>
      <c r="CF5451"/>
      <c r="CG5451"/>
      <c r="CH5451"/>
      <c r="CI5451"/>
    </row>
    <row r="5452" spans="83:87" x14ac:dyDescent="0.2">
      <c r="CE5452"/>
      <c r="CF5452"/>
      <c r="CG5452"/>
      <c r="CH5452"/>
      <c r="CI5452"/>
    </row>
    <row r="5453" spans="83:87" x14ac:dyDescent="0.2">
      <c r="CE5453"/>
      <c r="CF5453"/>
      <c r="CG5453"/>
      <c r="CH5453"/>
      <c r="CI5453"/>
    </row>
    <row r="5454" spans="83:87" x14ac:dyDescent="0.2">
      <c r="CE5454"/>
      <c r="CF5454"/>
      <c r="CG5454"/>
      <c r="CH5454"/>
      <c r="CI5454"/>
    </row>
    <row r="5455" spans="83:87" x14ac:dyDescent="0.2">
      <c r="CE5455"/>
      <c r="CF5455"/>
      <c r="CG5455"/>
      <c r="CH5455"/>
      <c r="CI5455"/>
    </row>
    <row r="5456" spans="83:87" x14ac:dyDescent="0.2">
      <c r="CE5456"/>
      <c r="CF5456"/>
      <c r="CG5456"/>
      <c r="CH5456"/>
      <c r="CI5456"/>
    </row>
    <row r="5457" spans="83:87" x14ac:dyDescent="0.2">
      <c r="CE5457"/>
      <c r="CF5457"/>
      <c r="CG5457"/>
      <c r="CH5457"/>
      <c r="CI5457"/>
    </row>
    <row r="5458" spans="83:87" x14ac:dyDescent="0.2">
      <c r="CE5458"/>
      <c r="CF5458"/>
      <c r="CG5458"/>
      <c r="CH5458"/>
      <c r="CI5458"/>
    </row>
    <row r="5459" spans="83:87" x14ac:dyDescent="0.2">
      <c r="CE5459"/>
      <c r="CF5459"/>
      <c r="CG5459"/>
      <c r="CH5459"/>
      <c r="CI5459"/>
    </row>
    <row r="5460" spans="83:87" x14ac:dyDescent="0.2">
      <c r="CE5460"/>
      <c r="CF5460"/>
      <c r="CG5460"/>
      <c r="CH5460"/>
      <c r="CI5460"/>
    </row>
    <row r="5461" spans="83:87" x14ac:dyDescent="0.2">
      <c r="CE5461"/>
      <c r="CF5461"/>
      <c r="CG5461"/>
      <c r="CH5461"/>
      <c r="CI5461"/>
    </row>
    <row r="5462" spans="83:87" x14ac:dyDescent="0.2">
      <c r="CE5462"/>
      <c r="CF5462"/>
      <c r="CG5462"/>
      <c r="CH5462"/>
      <c r="CI5462"/>
    </row>
    <row r="5463" spans="83:87" x14ac:dyDescent="0.2">
      <c r="CE5463"/>
      <c r="CF5463"/>
      <c r="CG5463"/>
      <c r="CH5463"/>
      <c r="CI5463"/>
    </row>
    <row r="5464" spans="83:87" x14ac:dyDescent="0.2">
      <c r="CE5464"/>
      <c r="CF5464"/>
      <c r="CG5464"/>
      <c r="CH5464"/>
      <c r="CI5464"/>
    </row>
    <row r="5465" spans="83:87" x14ac:dyDescent="0.2">
      <c r="CE5465"/>
      <c r="CF5465"/>
      <c r="CG5465"/>
      <c r="CH5465"/>
      <c r="CI5465"/>
    </row>
    <row r="5466" spans="83:87" x14ac:dyDescent="0.2">
      <c r="CE5466"/>
      <c r="CF5466"/>
      <c r="CG5466"/>
      <c r="CH5466"/>
      <c r="CI5466"/>
    </row>
    <row r="5467" spans="83:87" x14ac:dyDescent="0.2">
      <c r="CE5467"/>
      <c r="CF5467"/>
      <c r="CG5467"/>
      <c r="CH5467"/>
      <c r="CI5467"/>
    </row>
    <row r="5468" spans="83:87" x14ac:dyDescent="0.2">
      <c r="CE5468"/>
      <c r="CF5468"/>
      <c r="CG5468"/>
      <c r="CH5468"/>
      <c r="CI5468"/>
    </row>
    <row r="5469" spans="83:87" x14ac:dyDescent="0.2">
      <c r="CE5469"/>
      <c r="CF5469"/>
      <c r="CG5469"/>
      <c r="CH5469"/>
      <c r="CI5469"/>
    </row>
    <row r="5470" spans="83:87" x14ac:dyDescent="0.2">
      <c r="CE5470"/>
      <c r="CF5470"/>
      <c r="CG5470"/>
      <c r="CH5470"/>
      <c r="CI5470"/>
    </row>
    <row r="5471" spans="83:87" x14ac:dyDescent="0.2">
      <c r="CE5471"/>
      <c r="CF5471"/>
      <c r="CG5471"/>
      <c r="CH5471"/>
      <c r="CI5471"/>
    </row>
    <row r="5472" spans="83:87" x14ac:dyDescent="0.2">
      <c r="CE5472"/>
      <c r="CF5472"/>
      <c r="CG5472"/>
      <c r="CH5472"/>
      <c r="CI5472"/>
    </row>
    <row r="5473" spans="83:87" x14ac:dyDescent="0.2">
      <c r="CE5473"/>
      <c r="CF5473"/>
      <c r="CG5473"/>
      <c r="CH5473"/>
      <c r="CI5473"/>
    </row>
    <row r="5474" spans="83:87" x14ac:dyDescent="0.2">
      <c r="CE5474"/>
      <c r="CF5474"/>
      <c r="CG5474"/>
      <c r="CH5474"/>
      <c r="CI5474"/>
    </row>
    <row r="5475" spans="83:87" x14ac:dyDescent="0.2">
      <c r="CE5475"/>
      <c r="CF5475"/>
      <c r="CG5475"/>
      <c r="CH5475"/>
      <c r="CI5475"/>
    </row>
    <row r="5476" spans="83:87" x14ac:dyDescent="0.2">
      <c r="CE5476"/>
      <c r="CF5476"/>
      <c r="CG5476"/>
      <c r="CH5476"/>
      <c r="CI5476"/>
    </row>
    <row r="5477" spans="83:87" x14ac:dyDescent="0.2">
      <c r="CE5477"/>
      <c r="CF5477"/>
      <c r="CG5477"/>
      <c r="CH5477"/>
      <c r="CI5477"/>
    </row>
    <row r="5478" spans="83:87" x14ac:dyDescent="0.2">
      <c r="CE5478"/>
      <c r="CF5478"/>
      <c r="CG5478"/>
      <c r="CH5478"/>
      <c r="CI5478"/>
    </row>
    <row r="5479" spans="83:87" x14ac:dyDescent="0.2">
      <c r="CE5479"/>
      <c r="CF5479"/>
      <c r="CG5479"/>
      <c r="CH5479"/>
      <c r="CI5479"/>
    </row>
    <row r="5480" spans="83:87" x14ac:dyDescent="0.2">
      <c r="CE5480"/>
      <c r="CF5480"/>
      <c r="CG5480"/>
      <c r="CH5480"/>
      <c r="CI5480"/>
    </row>
    <row r="5481" spans="83:87" x14ac:dyDescent="0.2">
      <c r="CE5481"/>
      <c r="CF5481"/>
      <c r="CG5481"/>
      <c r="CH5481"/>
      <c r="CI5481"/>
    </row>
    <row r="5482" spans="83:87" x14ac:dyDescent="0.2">
      <c r="CE5482"/>
      <c r="CF5482"/>
      <c r="CG5482"/>
      <c r="CH5482"/>
      <c r="CI5482"/>
    </row>
    <row r="5483" spans="83:87" x14ac:dyDescent="0.2">
      <c r="CE5483"/>
      <c r="CF5483"/>
      <c r="CG5483"/>
      <c r="CH5483"/>
      <c r="CI5483"/>
    </row>
    <row r="5484" spans="83:87" x14ac:dyDescent="0.2">
      <c r="CE5484"/>
      <c r="CF5484"/>
      <c r="CG5484"/>
      <c r="CH5484"/>
      <c r="CI5484"/>
    </row>
    <row r="5485" spans="83:87" x14ac:dyDescent="0.2">
      <c r="CE5485"/>
      <c r="CF5485"/>
      <c r="CG5485"/>
      <c r="CH5485"/>
      <c r="CI5485"/>
    </row>
    <row r="5486" spans="83:87" x14ac:dyDescent="0.2">
      <c r="CE5486"/>
      <c r="CF5486"/>
      <c r="CG5486"/>
      <c r="CH5486"/>
      <c r="CI5486"/>
    </row>
    <row r="5487" spans="83:87" x14ac:dyDescent="0.2">
      <c r="CE5487"/>
      <c r="CF5487"/>
      <c r="CG5487"/>
      <c r="CH5487"/>
      <c r="CI5487"/>
    </row>
    <row r="5488" spans="83:87" x14ac:dyDescent="0.2">
      <c r="CE5488"/>
      <c r="CF5488"/>
      <c r="CG5488"/>
      <c r="CH5488"/>
      <c r="CI5488"/>
    </row>
    <row r="5489" spans="83:87" x14ac:dyDescent="0.2">
      <c r="CE5489"/>
      <c r="CF5489"/>
      <c r="CG5489"/>
      <c r="CH5489"/>
      <c r="CI5489"/>
    </row>
    <row r="5490" spans="83:87" x14ac:dyDescent="0.2">
      <c r="CE5490"/>
      <c r="CF5490"/>
      <c r="CG5490"/>
      <c r="CH5490"/>
      <c r="CI5490"/>
    </row>
    <row r="5491" spans="83:87" x14ac:dyDescent="0.2">
      <c r="CE5491"/>
      <c r="CF5491"/>
      <c r="CG5491"/>
      <c r="CH5491"/>
      <c r="CI5491"/>
    </row>
    <row r="5492" spans="83:87" x14ac:dyDescent="0.2">
      <c r="CE5492"/>
      <c r="CF5492"/>
      <c r="CG5492"/>
      <c r="CH5492"/>
      <c r="CI5492"/>
    </row>
    <row r="5493" spans="83:87" x14ac:dyDescent="0.2">
      <c r="CE5493"/>
      <c r="CF5493"/>
      <c r="CG5493"/>
      <c r="CH5493"/>
      <c r="CI5493"/>
    </row>
    <row r="5494" spans="83:87" x14ac:dyDescent="0.2">
      <c r="CE5494"/>
      <c r="CF5494"/>
      <c r="CG5494"/>
      <c r="CH5494"/>
      <c r="CI5494"/>
    </row>
    <row r="5495" spans="83:87" x14ac:dyDescent="0.2">
      <c r="CE5495"/>
      <c r="CF5495"/>
      <c r="CG5495"/>
      <c r="CH5495"/>
      <c r="CI5495"/>
    </row>
    <row r="5496" spans="83:87" x14ac:dyDescent="0.2">
      <c r="CE5496"/>
      <c r="CF5496"/>
      <c r="CG5496"/>
      <c r="CH5496"/>
      <c r="CI5496"/>
    </row>
    <row r="5497" spans="83:87" x14ac:dyDescent="0.2">
      <c r="CE5497"/>
      <c r="CF5497"/>
      <c r="CG5497"/>
      <c r="CH5497"/>
      <c r="CI5497"/>
    </row>
    <row r="5498" spans="83:87" x14ac:dyDescent="0.2">
      <c r="CE5498"/>
      <c r="CF5498"/>
      <c r="CG5498"/>
      <c r="CH5498"/>
      <c r="CI5498"/>
    </row>
    <row r="5499" spans="83:87" x14ac:dyDescent="0.2">
      <c r="CE5499"/>
      <c r="CF5499"/>
      <c r="CG5499"/>
      <c r="CH5499"/>
      <c r="CI5499"/>
    </row>
    <row r="5500" spans="83:87" x14ac:dyDescent="0.2">
      <c r="CE5500"/>
      <c r="CF5500"/>
      <c r="CG5500"/>
      <c r="CH5500"/>
      <c r="CI5500"/>
    </row>
    <row r="5501" spans="83:87" x14ac:dyDescent="0.2">
      <c r="CE5501"/>
      <c r="CF5501"/>
      <c r="CG5501"/>
      <c r="CH5501"/>
      <c r="CI5501"/>
    </row>
    <row r="5502" spans="83:87" x14ac:dyDescent="0.2">
      <c r="CE5502"/>
      <c r="CF5502"/>
      <c r="CG5502"/>
      <c r="CH5502"/>
      <c r="CI5502"/>
    </row>
    <row r="5503" spans="83:87" x14ac:dyDescent="0.2">
      <c r="CE5503"/>
      <c r="CF5503"/>
      <c r="CG5503"/>
      <c r="CH5503"/>
      <c r="CI5503"/>
    </row>
    <row r="5504" spans="83:87" x14ac:dyDescent="0.2">
      <c r="CE5504"/>
      <c r="CF5504"/>
      <c r="CG5504"/>
      <c r="CH5504"/>
      <c r="CI5504"/>
    </row>
    <row r="5505" spans="83:87" x14ac:dyDescent="0.2">
      <c r="CE5505"/>
      <c r="CF5505"/>
      <c r="CG5505"/>
      <c r="CH5505"/>
      <c r="CI5505"/>
    </row>
    <row r="5506" spans="83:87" x14ac:dyDescent="0.2">
      <c r="CE5506"/>
      <c r="CF5506"/>
      <c r="CG5506"/>
      <c r="CH5506"/>
      <c r="CI5506"/>
    </row>
    <row r="5507" spans="83:87" x14ac:dyDescent="0.2">
      <c r="CE5507"/>
      <c r="CF5507"/>
      <c r="CG5507"/>
      <c r="CH5507"/>
      <c r="CI5507"/>
    </row>
    <row r="5508" spans="83:87" x14ac:dyDescent="0.2">
      <c r="CE5508"/>
      <c r="CF5508"/>
      <c r="CG5508"/>
      <c r="CH5508"/>
      <c r="CI5508"/>
    </row>
    <row r="5509" spans="83:87" x14ac:dyDescent="0.2">
      <c r="CE5509"/>
      <c r="CF5509"/>
      <c r="CG5509"/>
      <c r="CH5509"/>
      <c r="CI5509"/>
    </row>
    <row r="5510" spans="83:87" x14ac:dyDescent="0.2">
      <c r="CE5510"/>
      <c r="CF5510"/>
      <c r="CG5510"/>
      <c r="CH5510"/>
      <c r="CI5510"/>
    </row>
    <row r="5511" spans="83:87" x14ac:dyDescent="0.2">
      <c r="CE5511"/>
      <c r="CF5511"/>
      <c r="CG5511"/>
      <c r="CH5511"/>
      <c r="CI5511"/>
    </row>
    <row r="5512" spans="83:87" x14ac:dyDescent="0.2">
      <c r="CE5512"/>
      <c r="CF5512"/>
      <c r="CG5512"/>
      <c r="CH5512"/>
      <c r="CI5512"/>
    </row>
    <row r="5513" spans="83:87" x14ac:dyDescent="0.2">
      <c r="CE5513"/>
      <c r="CF5513"/>
      <c r="CG5513"/>
      <c r="CH5513"/>
      <c r="CI5513"/>
    </row>
    <row r="5514" spans="83:87" x14ac:dyDescent="0.2">
      <c r="CE5514"/>
      <c r="CF5514"/>
      <c r="CG5514"/>
      <c r="CH5514"/>
      <c r="CI5514"/>
    </row>
    <row r="5515" spans="83:87" x14ac:dyDescent="0.2">
      <c r="CE5515"/>
      <c r="CF5515"/>
      <c r="CG5515"/>
      <c r="CH5515"/>
      <c r="CI5515"/>
    </row>
    <row r="5516" spans="83:87" x14ac:dyDescent="0.2">
      <c r="CE5516"/>
      <c r="CF5516"/>
      <c r="CG5516"/>
      <c r="CH5516"/>
      <c r="CI5516"/>
    </row>
    <row r="5517" spans="83:87" x14ac:dyDescent="0.2">
      <c r="CE5517"/>
      <c r="CF5517"/>
      <c r="CG5517"/>
      <c r="CH5517"/>
      <c r="CI5517"/>
    </row>
    <row r="5518" spans="83:87" x14ac:dyDescent="0.2">
      <c r="CE5518"/>
      <c r="CF5518"/>
      <c r="CG5518"/>
      <c r="CH5518"/>
      <c r="CI5518"/>
    </row>
    <row r="5519" spans="83:87" x14ac:dyDescent="0.2">
      <c r="CE5519"/>
      <c r="CF5519"/>
      <c r="CG5519"/>
      <c r="CH5519"/>
      <c r="CI5519"/>
    </row>
    <row r="5520" spans="83:87" x14ac:dyDescent="0.2">
      <c r="CE5520"/>
      <c r="CF5520"/>
      <c r="CG5520"/>
      <c r="CH5520"/>
      <c r="CI5520"/>
    </row>
    <row r="5521" spans="83:87" x14ac:dyDescent="0.2">
      <c r="CE5521"/>
      <c r="CF5521"/>
      <c r="CG5521"/>
      <c r="CH5521"/>
      <c r="CI5521"/>
    </row>
    <row r="5522" spans="83:87" x14ac:dyDescent="0.2">
      <c r="CE5522"/>
      <c r="CF5522"/>
      <c r="CG5522"/>
      <c r="CH5522"/>
      <c r="CI5522"/>
    </row>
    <row r="5523" spans="83:87" x14ac:dyDescent="0.2">
      <c r="CE5523"/>
      <c r="CF5523"/>
      <c r="CG5523"/>
      <c r="CH5523"/>
      <c r="CI5523"/>
    </row>
    <row r="5524" spans="83:87" x14ac:dyDescent="0.2">
      <c r="CE5524"/>
      <c r="CF5524"/>
      <c r="CG5524"/>
      <c r="CH5524"/>
      <c r="CI5524"/>
    </row>
    <row r="5525" spans="83:87" x14ac:dyDescent="0.2">
      <c r="CE5525"/>
      <c r="CF5525"/>
      <c r="CG5525"/>
      <c r="CH5525"/>
      <c r="CI5525"/>
    </row>
    <row r="5526" spans="83:87" x14ac:dyDescent="0.2">
      <c r="CE5526"/>
      <c r="CF5526"/>
      <c r="CG5526"/>
      <c r="CH5526"/>
      <c r="CI5526"/>
    </row>
    <row r="5527" spans="83:87" x14ac:dyDescent="0.2">
      <c r="CE5527"/>
      <c r="CF5527"/>
      <c r="CG5527"/>
      <c r="CH5527"/>
      <c r="CI5527"/>
    </row>
    <row r="5528" spans="83:87" x14ac:dyDescent="0.2">
      <c r="CE5528"/>
      <c r="CF5528"/>
      <c r="CG5528"/>
      <c r="CH5528"/>
      <c r="CI5528"/>
    </row>
    <row r="5529" spans="83:87" x14ac:dyDescent="0.2">
      <c r="CE5529"/>
      <c r="CF5529"/>
      <c r="CG5529"/>
      <c r="CH5529"/>
      <c r="CI5529"/>
    </row>
    <row r="5530" spans="83:87" x14ac:dyDescent="0.2">
      <c r="CE5530"/>
      <c r="CF5530"/>
      <c r="CG5530"/>
      <c r="CH5530"/>
      <c r="CI5530"/>
    </row>
    <row r="5531" spans="83:87" x14ac:dyDescent="0.2">
      <c r="CE5531"/>
      <c r="CF5531"/>
      <c r="CG5531"/>
      <c r="CH5531"/>
      <c r="CI5531"/>
    </row>
    <row r="5532" spans="83:87" x14ac:dyDescent="0.2">
      <c r="CE5532"/>
      <c r="CF5532"/>
      <c r="CG5532"/>
      <c r="CH5532"/>
      <c r="CI5532"/>
    </row>
    <row r="5533" spans="83:87" x14ac:dyDescent="0.2">
      <c r="CE5533"/>
      <c r="CF5533"/>
      <c r="CG5533"/>
      <c r="CH5533"/>
      <c r="CI5533"/>
    </row>
    <row r="5534" spans="83:87" x14ac:dyDescent="0.2">
      <c r="CE5534"/>
      <c r="CF5534"/>
      <c r="CG5534"/>
      <c r="CH5534"/>
      <c r="CI5534"/>
    </row>
    <row r="5535" spans="83:87" x14ac:dyDescent="0.2">
      <c r="CE5535"/>
      <c r="CF5535"/>
      <c r="CG5535"/>
      <c r="CH5535"/>
      <c r="CI5535"/>
    </row>
    <row r="5536" spans="83:87" x14ac:dyDescent="0.2">
      <c r="CE5536"/>
      <c r="CF5536"/>
      <c r="CG5536"/>
      <c r="CH5536"/>
      <c r="CI5536"/>
    </row>
    <row r="5537" spans="83:87" x14ac:dyDescent="0.2">
      <c r="CE5537"/>
      <c r="CF5537"/>
      <c r="CG5537"/>
      <c r="CH5537"/>
      <c r="CI5537"/>
    </row>
    <row r="5538" spans="83:87" x14ac:dyDescent="0.2">
      <c r="CE5538"/>
      <c r="CF5538"/>
      <c r="CG5538"/>
      <c r="CH5538"/>
      <c r="CI5538"/>
    </row>
    <row r="5539" spans="83:87" x14ac:dyDescent="0.2">
      <c r="CE5539"/>
      <c r="CF5539"/>
      <c r="CG5539"/>
      <c r="CH5539"/>
      <c r="CI5539"/>
    </row>
    <row r="5540" spans="83:87" x14ac:dyDescent="0.2">
      <c r="CE5540"/>
      <c r="CF5540"/>
      <c r="CG5540"/>
      <c r="CH5540"/>
      <c r="CI5540"/>
    </row>
    <row r="5541" spans="83:87" x14ac:dyDescent="0.2">
      <c r="CE5541"/>
      <c r="CF5541"/>
      <c r="CG5541"/>
      <c r="CH5541"/>
      <c r="CI5541"/>
    </row>
    <row r="5542" spans="83:87" x14ac:dyDescent="0.2">
      <c r="CE5542"/>
      <c r="CF5542"/>
      <c r="CG5542"/>
      <c r="CH5542"/>
      <c r="CI5542"/>
    </row>
    <row r="5543" spans="83:87" x14ac:dyDescent="0.2">
      <c r="CE5543"/>
      <c r="CF5543"/>
      <c r="CG5543"/>
      <c r="CH5543"/>
      <c r="CI5543"/>
    </row>
    <row r="5544" spans="83:87" x14ac:dyDescent="0.2">
      <c r="CE5544"/>
      <c r="CF5544"/>
      <c r="CG5544"/>
      <c r="CH5544"/>
      <c r="CI5544"/>
    </row>
    <row r="5545" spans="83:87" x14ac:dyDescent="0.2">
      <c r="CE5545"/>
      <c r="CF5545"/>
      <c r="CG5545"/>
      <c r="CH5545"/>
      <c r="CI5545"/>
    </row>
    <row r="5546" spans="83:87" x14ac:dyDescent="0.2">
      <c r="CE5546"/>
      <c r="CF5546"/>
      <c r="CG5546"/>
      <c r="CH5546"/>
      <c r="CI5546"/>
    </row>
    <row r="5547" spans="83:87" x14ac:dyDescent="0.2">
      <c r="CE5547"/>
      <c r="CF5547"/>
      <c r="CG5547"/>
      <c r="CH5547"/>
      <c r="CI5547"/>
    </row>
    <row r="5548" spans="83:87" x14ac:dyDescent="0.2">
      <c r="CE5548"/>
      <c r="CF5548"/>
      <c r="CG5548"/>
      <c r="CH5548"/>
      <c r="CI5548"/>
    </row>
    <row r="5549" spans="83:87" x14ac:dyDescent="0.2">
      <c r="CE5549"/>
      <c r="CF5549"/>
      <c r="CG5549"/>
      <c r="CH5549"/>
      <c r="CI5549"/>
    </row>
    <row r="5550" spans="83:87" x14ac:dyDescent="0.2">
      <c r="CE5550"/>
      <c r="CF5550"/>
      <c r="CG5550"/>
      <c r="CH5550"/>
      <c r="CI5550"/>
    </row>
    <row r="5551" spans="83:87" x14ac:dyDescent="0.2">
      <c r="CE5551"/>
      <c r="CF5551"/>
      <c r="CG5551"/>
      <c r="CH5551"/>
      <c r="CI5551"/>
    </row>
    <row r="5552" spans="83:87" x14ac:dyDescent="0.2">
      <c r="CE5552"/>
      <c r="CF5552"/>
      <c r="CG5552"/>
      <c r="CH5552"/>
      <c r="CI5552"/>
    </row>
    <row r="5553" spans="83:87" x14ac:dyDescent="0.2">
      <c r="CE5553"/>
      <c r="CF5553"/>
      <c r="CG5553"/>
      <c r="CH5553"/>
      <c r="CI5553"/>
    </row>
    <row r="5554" spans="83:87" x14ac:dyDescent="0.2">
      <c r="CE5554"/>
      <c r="CF5554"/>
      <c r="CG5554"/>
      <c r="CH5554"/>
      <c r="CI5554"/>
    </row>
    <row r="5555" spans="83:87" x14ac:dyDescent="0.2">
      <c r="CE5555"/>
      <c r="CF5555"/>
      <c r="CG5555"/>
      <c r="CH5555"/>
      <c r="CI5555"/>
    </row>
    <row r="5556" spans="83:87" x14ac:dyDescent="0.2">
      <c r="CE5556"/>
      <c r="CF5556"/>
      <c r="CG5556"/>
      <c r="CH5556"/>
      <c r="CI5556"/>
    </row>
    <row r="5557" spans="83:87" x14ac:dyDescent="0.2">
      <c r="CE5557"/>
      <c r="CF5557"/>
      <c r="CG5557"/>
      <c r="CH5557"/>
      <c r="CI5557"/>
    </row>
    <row r="5558" spans="83:87" x14ac:dyDescent="0.2">
      <c r="CE5558"/>
      <c r="CF5558"/>
      <c r="CG5558"/>
      <c r="CH5558"/>
      <c r="CI5558"/>
    </row>
    <row r="5559" spans="83:87" x14ac:dyDescent="0.2">
      <c r="CE5559"/>
      <c r="CF5559"/>
      <c r="CG5559"/>
      <c r="CH5559"/>
      <c r="CI5559"/>
    </row>
    <row r="5560" spans="83:87" x14ac:dyDescent="0.2">
      <c r="CE5560"/>
      <c r="CF5560"/>
      <c r="CG5560"/>
      <c r="CH5560"/>
      <c r="CI5560"/>
    </row>
    <row r="5561" spans="83:87" x14ac:dyDescent="0.2">
      <c r="CE5561"/>
      <c r="CF5561"/>
      <c r="CG5561"/>
      <c r="CH5561"/>
      <c r="CI5561"/>
    </row>
    <row r="5562" spans="83:87" x14ac:dyDescent="0.2">
      <c r="CE5562"/>
      <c r="CF5562"/>
      <c r="CG5562"/>
      <c r="CH5562"/>
      <c r="CI5562"/>
    </row>
    <row r="5563" spans="83:87" x14ac:dyDescent="0.2">
      <c r="CE5563"/>
      <c r="CF5563"/>
      <c r="CG5563"/>
      <c r="CH5563"/>
      <c r="CI5563"/>
    </row>
    <row r="5564" spans="83:87" x14ac:dyDescent="0.2">
      <c r="CE5564"/>
      <c r="CF5564"/>
      <c r="CG5564"/>
      <c r="CH5564"/>
      <c r="CI5564"/>
    </row>
    <row r="5565" spans="83:87" x14ac:dyDescent="0.2">
      <c r="CE5565"/>
      <c r="CF5565"/>
      <c r="CG5565"/>
      <c r="CH5565"/>
      <c r="CI5565"/>
    </row>
    <row r="5566" spans="83:87" x14ac:dyDescent="0.2">
      <c r="CE5566"/>
      <c r="CF5566"/>
      <c r="CG5566"/>
      <c r="CH5566"/>
      <c r="CI5566"/>
    </row>
    <row r="5567" spans="83:87" x14ac:dyDescent="0.2">
      <c r="CE5567"/>
      <c r="CF5567"/>
      <c r="CG5567"/>
      <c r="CH5567"/>
      <c r="CI5567"/>
    </row>
    <row r="5568" spans="83:87" x14ac:dyDescent="0.2">
      <c r="CE5568"/>
      <c r="CF5568"/>
      <c r="CG5568"/>
      <c r="CH5568"/>
      <c r="CI5568"/>
    </row>
    <row r="5569" spans="83:87" x14ac:dyDescent="0.2">
      <c r="CE5569"/>
      <c r="CF5569"/>
      <c r="CG5569"/>
      <c r="CH5569"/>
      <c r="CI5569"/>
    </row>
    <row r="5570" spans="83:87" x14ac:dyDescent="0.2">
      <c r="CE5570"/>
      <c r="CF5570"/>
      <c r="CG5570"/>
      <c r="CH5570"/>
      <c r="CI5570"/>
    </row>
    <row r="5571" spans="83:87" x14ac:dyDescent="0.2">
      <c r="CE5571"/>
      <c r="CF5571"/>
      <c r="CG5571"/>
      <c r="CH5571"/>
      <c r="CI5571"/>
    </row>
    <row r="5572" spans="83:87" x14ac:dyDescent="0.2">
      <c r="CE5572"/>
      <c r="CF5572"/>
      <c r="CG5572"/>
      <c r="CH5572"/>
      <c r="CI5572"/>
    </row>
    <row r="5573" spans="83:87" x14ac:dyDescent="0.2">
      <c r="CE5573"/>
      <c r="CF5573"/>
      <c r="CG5573"/>
      <c r="CH5573"/>
      <c r="CI5573"/>
    </row>
    <row r="5574" spans="83:87" x14ac:dyDescent="0.2">
      <c r="CE5574"/>
      <c r="CF5574"/>
      <c r="CG5574"/>
      <c r="CH5574"/>
      <c r="CI5574"/>
    </row>
    <row r="5575" spans="83:87" x14ac:dyDescent="0.2">
      <c r="CE5575"/>
      <c r="CF5575"/>
      <c r="CG5575"/>
      <c r="CH5575"/>
      <c r="CI5575"/>
    </row>
    <row r="5576" spans="83:87" x14ac:dyDescent="0.2">
      <c r="CE5576"/>
      <c r="CF5576"/>
      <c r="CG5576"/>
      <c r="CH5576"/>
      <c r="CI5576"/>
    </row>
    <row r="5577" spans="83:87" x14ac:dyDescent="0.2">
      <c r="CE5577"/>
      <c r="CF5577"/>
      <c r="CG5577"/>
      <c r="CH5577"/>
      <c r="CI5577"/>
    </row>
    <row r="5578" spans="83:87" x14ac:dyDescent="0.2">
      <c r="CE5578"/>
      <c r="CF5578"/>
      <c r="CG5578"/>
      <c r="CH5578"/>
      <c r="CI5578"/>
    </row>
    <row r="5579" spans="83:87" x14ac:dyDescent="0.2">
      <c r="CE5579"/>
      <c r="CF5579"/>
      <c r="CG5579"/>
      <c r="CH5579"/>
      <c r="CI5579"/>
    </row>
    <row r="5580" spans="83:87" x14ac:dyDescent="0.2">
      <c r="CE5580"/>
      <c r="CF5580"/>
      <c r="CG5580"/>
      <c r="CH5580"/>
      <c r="CI5580"/>
    </row>
    <row r="5581" spans="83:87" x14ac:dyDescent="0.2">
      <c r="CE5581"/>
      <c r="CF5581"/>
      <c r="CG5581"/>
      <c r="CH5581"/>
      <c r="CI5581"/>
    </row>
    <row r="5582" spans="83:87" x14ac:dyDescent="0.2">
      <c r="CE5582"/>
      <c r="CF5582"/>
      <c r="CG5582"/>
      <c r="CH5582"/>
      <c r="CI5582"/>
    </row>
    <row r="5583" spans="83:87" x14ac:dyDescent="0.2">
      <c r="CE5583"/>
      <c r="CF5583"/>
      <c r="CG5583"/>
      <c r="CH5583"/>
      <c r="CI5583"/>
    </row>
    <row r="5584" spans="83:87" x14ac:dyDescent="0.2">
      <c r="CE5584"/>
      <c r="CF5584"/>
      <c r="CG5584"/>
      <c r="CH5584"/>
      <c r="CI5584"/>
    </row>
    <row r="5585" spans="83:87" x14ac:dyDescent="0.2">
      <c r="CE5585"/>
      <c r="CF5585"/>
      <c r="CG5585"/>
      <c r="CH5585"/>
      <c r="CI5585"/>
    </row>
    <row r="5586" spans="83:87" x14ac:dyDescent="0.2">
      <c r="CE5586"/>
      <c r="CF5586"/>
      <c r="CG5586"/>
      <c r="CH5586"/>
      <c r="CI5586"/>
    </row>
    <row r="5587" spans="83:87" x14ac:dyDescent="0.2">
      <c r="CE5587"/>
      <c r="CF5587"/>
      <c r="CG5587"/>
      <c r="CH5587"/>
      <c r="CI5587"/>
    </row>
    <row r="5588" spans="83:87" x14ac:dyDescent="0.2">
      <c r="CE5588"/>
      <c r="CF5588"/>
      <c r="CG5588"/>
      <c r="CH5588"/>
      <c r="CI5588"/>
    </row>
    <row r="5589" spans="83:87" x14ac:dyDescent="0.2">
      <c r="CE5589"/>
      <c r="CF5589"/>
      <c r="CG5589"/>
      <c r="CH5589"/>
      <c r="CI5589"/>
    </row>
    <row r="5590" spans="83:87" x14ac:dyDescent="0.2">
      <c r="CE5590"/>
      <c r="CF5590"/>
      <c r="CG5590"/>
      <c r="CH5590"/>
      <c r="CI5590"/>
    </row>
    <row r="5591" spans="83:87" x14ac:dyDescent="0.2">
      <c r="CE5591"/>
      <c r="CF5591"/>
      <c r="CG5591"/>
      <c r="CH5591"/>
      <c r="CI5591"/>
    </row>
    <row r="5592" spans="83:87" x14ac:dyDescent="0.2">
      <c r="CE5592"/>
      <c r="CF5592"/>
      <c r="CG5592"/>
      <c r="CH5592"/>
      <c r="CI5592"/>
    </row>
    <row r="5593" spans="83:87" x14ac:dyDescent="0.2">
      <c r="CE5593"/>
      <c r="CF5593"/>
      <c r="CG5593"/>
      <c r="CH5593"/>
      <c r="CI5593"/>
    </row>
    <row r="5594" spans="83:87" x14ac:dyDescent="0.2">
      <c r="CE5594"/>
      <c r="CF5594"/>
      <c r="CG5594"/>
      <c r="CH5594"/>
      <c r="CI5594"/>
    </row>
    <row r="5595" spans="83:87" x14ac:dyDescent="0.2">
      <c r="CE5595"/>
      <c r="CF5595"/>
      <c r="CG5595"/>
      <c r="CH5595"/>
      <c r="CI5595"/>
    </row>
    <row r="5596" spans="83:87" x14ac:dyDescent="0.2">
      <c r="CE5596"/>
      <c r="CF5596"/>
      <c r="CG5596"/>
      <c r="CH5596"/>
      <c r="CI5596"/>
    </row>
    <row r="5597" spans="83:87" x14ac:dyDescent="0.2">
      <c r="CE5597"/>
      <c r="CF5597"/>
      <c r="CG5597"/>
      <c r="CH5597"/>
      <c r="CI5597"/>
    </row>
    <row r="5598" spans="83:87" x14ac:dyDescent="0.2">
      <c r="CE5598"/>
      <c r="CF5598"/>
      <c r="CG5598"/>
      <c r="CH5598"/>
      <c r="CI5598"/>
    </row>
    <row r="5599" spans="83:87" x14ac:dyDescent="0.2">
      <c r="CE5599"/>
      <c r="CF5599"/>
      <c r="CG5599"/>
      <c r="CH5599"/>
      <c r="CI5599"/>
    </row>
    <row r="5600" spans="83:87" x14ac:dyDescent="0.2">
      <c r="CE5600"/>
      <c r="CF5600"/>
      <c r="CG5600"/>
      <c r="CH5600"/>
      <c r="CI5600"/>
    </row>
    <row r="5601" spans="83:87" x14ac:dyDescent="0.2">
      <c r="CE5601"/>
      <c r="CF5601"/>
      <c r="CG5601"/>
      <c r="CH5601"/>
      <c r="CI5601"/>
    </row>
    <row r="5602" spans="83:87" x14ac:dyDescent="0.2">
      <c r="CE5602"/>
      <c r="CF5602"/>
      <c r="CG5602"/>
      <c r="CH5602"/>
      <c r="CI5602"/>
    </row>
    <row r="5603" spans="83:87" x14ac:dyDescent="0.2">
      <c r="CE5603"/>
      <c r="CF5603"/>
      <c r="CG5603"/>
      <c r="CH5603"/>
      <c r="CI5603"/>
    </row>
    <row r="5604" spans="83:87" x14ac:dyDescent="0.2">
      <c r="CE5604"/>
      <c r="CF5604"/>
      <c r="CG5604"/>
      <c r="CH5604"/>
      <c r="CI5604"/>
    </row>
    <row r="5605" spans="83:87" x14ac:dyDescent="0.2">
      <c r="CE5605"/>
      <c r="CF5605"/>
      <c r="CG5605"/>
      <c r="CH5605"/>
      <c r="CI5605"/>
    </row>
    <row r="5606" spans="83:87" x14ac:dyDescent="0.2">
      <c r="CE5606"/>
      <c r="CF5606"/>
      <c r="CG5606"/>
      <c r="CH5606"/>
      <c r="CI5606"/>
    </row>
    <row r="5607" spans="83:87" x14ac:dyDescent="0.2">
      <c r="CE5607"/>
      <c r="CF5607"/>
      <c r="CG5607"/>
      <c r="CH5607"/>
      <c r="CI5607"/>
    </row>
    <row r="5608" spans="83:87" x14ac:dyDescent="0.2">
      <c r="CE5608"/>
      <c r="CF5608"/>
      <c r="CG5608"/>
      <c r="CH5608"/>
      <c r="CI5608"/>
    </row>
    <row r="5609" spans="83:87" x14ac:dyDescent="0.2">
      <c r="CE5609"/>
      <c r="CF5609"/>
      <c r="CG5609"/>
      <c r="CH5609"/>
      <c r="CI5609"/>
    </row>
    <row r="5610" spans="83:87" x14ac:dyDescent="0.2">
      <c r="CE5610"/>
      <c r="CF5610"/>
      <c r="CG5610"/>
      <c r="CH5610"/>
      <c r="CI5610"/>
    </row>
    <row r="5611" spans="83:87" x14ac:dyDescent="0.2">
      <c r="CE5611"/>
      <c r="CF5611"/>
      <c r="CG5611"/>
      <c r="CH5611"/>
      <c r="CI5611"/>
    </row>
    <row r="5612" spans="83:87" x14ac:dyDescent="0.2">
      <c r="CE5612"/>
      <c r="CF5612"/>
      <c r="CG5612"/>
      <c r="CH5612"/>
      <c r="CI5612"/>
    </row>
    <row r="5613" spans="83:87" x14ac:dyDescent="0.2">
      <c r="CE5613"/>
      <c r="CF5613"/>
      <c r="CG5613"/>
      <c r="CH5613"/>
      <c r="CI5613"/>
    </row>
    <row r="5614" spans="83:87" x14ac:dyDescent="0.2">
      <c r="CE5614"/>
      <c r="CF5614"/>
      <c r="CG5614"/>
      <c r="CH5614"/>
      <c r="CI5614"/>
    </row>
    <row r="5615" spans="83:87" x14ac:dyDescent="0.2">
      <c r="CE5615"/>
      <c r="CF5615"/>
      <c r="CG5615"/>
      <c r="CH5615"/>
      <c r="CI5615"/>
    </row>
    <row r="5616" spans="83:87" x14ac:dyDescent="0.2">
      <c r="CE5616"/>
      <c r="CF5616"/>
      <c r="CG5616"/>
      <c r="CH5616"/>
      <c r="CI5616"/>
    </row>
    <row r="5617" spans="83:87" x14ac:dyDescent="0.2">
      <c r="CE5617"/>
      <c r="CF5617"/>
      <c r="CG5617"/>
      <c r="CH5617"/>
      <c r="CI5617"/>
    </row>
    <row r="5618" spans="83:87" x14ac:dyDescent="0.2">
      <c r="CE5618"/>
      <c r="CF5618"/>
      <c r="CG5618"/>
      <c r="CH5618"/>
      <c r="CI5618"/>
    </row>
    <row r="5619" spans="83:87" x14ac:dyDescent="0.2">
      <c r="CE5619"/>
      <c r="CF5619"/>
      <c r="CG5619"/>
      <c r="CH5619"/>
      <c r="CI5619"/>
    </row>
    <row r="5620" spans="83:87" x14ac:dyDescent="0.2">
      <c r="CE5620"/>
      <c r="CF5620"/>
      <c r="CG5620"/>
      <c r="CH5620"/>
      <c r="CI5620"/>
    </row>
    <row r="5621" spans="83:87" x14ac:dyDescent="0.2">
      <c r="CE5621"/>
      <c r="CF5621"/>
      <c r="CG5621"/>
      <c r="CH5621"/>
      <c r="CI5621"/>
    </row>
    <row r="5622" spans="83:87" x14ac:dyDescent="0.2">
      <c r="CE5622"/>
      <c r="CF5622"/>
      <c r="CG5622"/>
      <c r="CH5622"/>
      <c r="CI5622"/>
    </row>
    <row r="5623" spans="83:87" x14ac:dyDescent="0.2">
      <c r="CE5623"/>
      <c r="CF5623"/>
      <c r="CG5623"/>
      <c r="CH5623"/>
      <c r="CI5623"/>
    </row>
    <row r="5624" spans="83:87" x14ac:dyDescent="0.2">
      <c r="CE5624"/>
      <c r="CF5624"/>
      <c r="CG5624"/>
      <c r="CH5624"/>
      <c r="CI5624"/>
    </row>
    <row r="5625" spans="83:87" x14ac:dyDescent="0.2">
      <c r="CE5625"/>
      <c r="CF5625"/>
      <c r="CG5625"/>
      <c r="CH5625"/>
      <c r="CI5625"/>
    </row>
    <row r="5626" spans="83:87" x14ac:dyDescent="0.2">
      <c r="CE5626"/>
      <c r="CF5626"/>
      <c r="CG5626"/>
      <c r="CH5626"/>
      <c r="CI5626"/>
    </row>
    <row r="5627" spans="83:87" x14ac:dyDescent="0.2">
      <c r="CE5627"/>
      <c r="CF5627"/>
      <c r="CG5627"/>
      <c r="CH5627"/>
      <c r="CI5627"/>
    </row>
    <row r="5628" spans="83:87" x14ac:dyDescent="0.2">
      <c r="CE5628"/>
      <c r="CF5628"/>
      <c r="CG5628"/>
      <c r="CH5628"/>
      <c r="CI5628"/>
    </row>
    <row r="5629" spans="83:87" x14ac:dyDescent="0.2">
      <c r="CE5629"/>
      <c r="CF5629"/>
      <c r="CG5629"/>
      <c r="CH5629"/>
      <c r="CI5629"/>
    </row>
    <row r="5630" spans="83:87" x14ac:dyDescent="0.2">
      <c r="CE5630"/>
      <c r="CF5630"/>
      <c r="CG5630"/>
      <c r="CH5630"/>
      <c r="CI5630"/>
    </row>
    <row r="5631" spans="83:87" x14ac:dyDescent="0.2">
      <c r="CE5631"/>
      <c r="CF5631"/>
      <c r="CG5631"/>
      <c r="CH5631"/>
      <c r="CI5631"/>
    </row>
    <row r="5632" spans="83:87" x14ac:dyDescent="0.2">
      <c r="CE5632"/>
      <c r="CF5632"/>
      <c r="CG5632"/>
      <c r="CH5632"/>
      <c r="CI5632"/>
    </row>
    <row r="5633" spans="83:87" x14ac:dyDescent="0.2">
      <c r="CE5633"/>
      <c r="CF5633"/>
      <c r="CG5633"/>
      <c r="CH5633"/>
      <c r="CI5633"/>
    </row>
    <row r="5634" spans="83:87" x14ac:dyDescent="0.2">
      <c r="CE5634"/>
      <c r="CF5634"/>
      <c r="CG5634"/>
      <c r="CH5634"/>
      <c r="CI5634"/>
    </row>
    <row r="5635" spans="83:87" x14ac:dyDescent="0.2">
      <c r="CE5635"/>
      <c r="CF5635"/>
      <c r="CG5635"/>
      <c r="CH5635"/>
      <c r="CI5635"/>
    </row>
    <row r="5636" spans="83:87" x14ac:dyDescent="0.2">
      <c r="CE5636"/>
      <c r="CF5636"/>
      <c r="CG5636"/>
      <c r="CH5636"/>
      <c r="CI5636"/>
    </row>
    <row r="5637" spans="83:87" x14ac:dyDescent="0.2">
      <c r="CE5637"/>
      <c r="CF5637"/>
      <c r="CG5637"/>
      <c r="CH5637"/>
      <c r="CI5637"/>
    </row>
    <row r="5638" spans="83:87" x14ac:dyDescent="0.2">
      <c r="CE5638"/>
      <c r="CF5638"/>
      <c r="CG5638"/>
      <c r="CH5638"/>
      <c r="CI5638"/>
    </row>
    <row r="5639" spans="83:87" x14ac:dyDescent="0.2">
      <c r="CE5639"/>
      <c r="CF5639"/>
      <c r="CG5639"/>
      <c r="CH5639"/>
      <c r="CI5639"/>
    </row>
    <row r="5640" spans="83:87" x14ac:dyDescent="0.2">
      <c r="CE5640"/>
      <c r="CF5640"/>
      <c r="CG5640"/>
      <c r="CH5640"/>
      <c r="CI5640"/>
    </row>
    <row r="5641" spans="83:87" x14ac:dyDescent="0.2">
      <c r="CE5641"/>
      <c r="CF5641"/>
      <c r="CG5641"/>
      <c r="CH5641"/>
      <c r="CI5641"/>
    </row>
    <row r="5642" spans="83:87" x14ac:dyDescent="0.2">
      <c r="CE5642"/>
      <c r="CF5642"/>
      <c r="CG5642"/>
      <c r="CH5642"/>
      <c r="CI5642"/>
    </row>
    <row r="5643" spans="83:87" x14ac:dyDescent="0.2">
      <c r="CE5643"/>
      <c r="CF5643"/>
      <c r="CG5643"/>
      <c r="CH5643"/>
      <c r="CI5643"/>
    </row>
    <row r="5644" spans="83:87" x14ac:dyDescent="0.2">
      <c r="CE5644"/>
      <c r="CF5644"/>
      <c r="CG5644"/>
      <c r="CH5644"/>
      <c r="CI5644"/>
    </row>
    <row r="5645" spans="83:87" x14ac:dyDescent="0.2">
      <c r="CE5645"/>
      <c r="CF5645"/>
      <c r="CG5645"/>
      <c r="CH5645"/>
      <c r="CI5645"/>
    </row>
    <row r="5646" spans="83:87" x14ac:dyDescent="0.2">
      <c r="CE5646"/>
      <c r="CF5646"/>
      <c r="CG5646"/>
      <c r="CH5646"/>
      <c r="CI5646"/>
    </row>
    <row r="5647" spans="83:87" x14ac:dyDescent="0.2">
      <c r="CE5647"/>
      <c r="CF5647"/>
      <c r="CG5647"/>
      <c r="CH5647"/>
      <c r="CI5647"/>
    </row>
    <row r="5648" spans="83:87" x14ac:dyDescent="0.2">
      <c r="CE5648"/>
      <c r="CF5648"/>
      <c r="CG5648"/>
      <c r="CH5648"/>
      <c r="CI5648"/>
    </row>
    <row r="5649" spans="83:87" x14ac:dyDescent="0.2">
      <c r="CE5649"/>
      <c r="CF5649"/>
      <c r="CG5649"/>
      <c r="CH5649"/>
      <c r="CI5649"/>
    </row>
    <row r="5650" spans="83:87" x14ac:dyDescent="0.2">
      <c r="CE5650"/>
      <c r="CF5650"/>
      <c r="CG5650"/>
      <c r="CH5650"/>
      <c r="CI5650"/>
    </row>
    <row r="5651" spans="83:87" x14ac:dyDescent="0.2">
      <c r="CE5651"/>
      <c r="CF5651"/>
      <c r="CG5651"/>
      <c r="CH5651"/>
      <c r="CI5651"/>
    </row>
    <row r="5652" spans="83:87" x14ac:dyDescent="0.2">
      <c r="CE5652"/>
      <c r="CF5652"/>
      <c r="CG5652"/>
      <c r="CH5652"/>
      <c r="CI5652"/>
    </row>
    <row r="5653" spans="83:87" x14ac:dyDescent="0.2">
      <c r="CE5653"/>
      <c r="CF5653"/>
      <c r="CG5653"/>
      <c r="CH5653"/>
      <c r="CI5653"/>
    </row>
    <row r="5654" spans="83:87" x14ac:dyDescent="0.2">
      <c r="CE5654"/>
      <c r="CF5654"/>
      <c r="CG5654"/>
      <c r="CH5654"/>
      <c r="CI5654"/>
    </row>
    <row r="5655" spans="83:87" x14ac:dyDescent="0.2">
      <c r="CE5655"/>
      <c r="CF5655"/>
      <c r="CG5655"/>
      <c r="CH5655"/>
      <c r="CI5655"/>
    </row>
    <row r="5656" spans="83:87" x14ac:dyDescent="0.2">
      <c r="CE5656"/>
      <c r="CF5656"/>
      <c r="CG5656"/>
      <c r="CH5656"/>
      <c r="CI5656"/>
    </row>
    <row r="5657" spans="83:87" x14ac:dyDescent="0.2">
      <c r="CE5657"/>
      <c r="CF5657"/>
      <c r="CG5657"/>
      <c r="CH5657"/>
      <c r="CI5657"/>
    </row>
    <row r="5658" spans="83:87" x14ac:dyDescent="0.2">
      <c r="CE5658"/>
      <c r="CF5658"/>
      <c r="CG5658"/>
      <c r="CH5658"/>
      <c r="CI5658"/>
    </row>
    <row r="5659" spans="83:87" x14ac:dyDescent="0.2">
      <c r="CE5659"/>
      <c r="CF5659"/>
      <c r="CG5659"/>
      <c r="CH5659"/>
      <c r="CI5659"/>
    </row>
    <row r="5660" spans="83:87" x14ac:dyDescent="0.2">
      <c r="CE5660"/>
      <c r="CF5660"/>
      <c r="CG5660"/>
      <c r="CH5660"/>
      <c r="CI5660"/>
    </row>
    <row r="5661" spans="83:87" x14ac:dyDescent="0.2">
      <c r="CE5661"/>
      <c r="CF5661"/>
      <c r="CG5661"/>
      <c r="CH5661"/>
      <c r="CI5661"/>
    </row>
    <row r="5662" spans="83:87" x14ac:dyDescent="0.2">
      <c r="CE5662"/>
      <c r="CF5662"/>
      <c r="CG5662"/>
      <c r="CH5662"/>
      <c r="CI5662"/>
    </row>
    <row r="5663" spans="83:87" x14ac:dyDescent="0.2">
      <c r="CE5663"/>
      <c r="CF5663"/>
      <c r="CG5663"/>
      <c r="CH5663"/>
      <c r="CI5663"/>
    </row>
    <row r="5664" spans="83:87" x14ac:dyDescent="0.2">
      <c r="CE5664"/>
      <c r="CF5664"/>
      <c r="CG5664"/>
      <c r="CH5664"/>
      <c r="CI5664"/>
    </row>
    <row r="5665" spans="83:87" x14ac:dyDescent="0.2">
      <c r="CE5665"/>
      <c r="CF5665"/>
      <c r="CG5665"/>
      <c r="CH5665"/>
      <c r="CI5665"/>
    </row>
    <row r="5666" spans="83:87" x14ac:dyDescent="0.2">
      <c r="CE5666"/>
      <c r="CF5666"/>
      <c r="CG5666"/>
      <c r="CH5666"/>
      <c r="CI5666"/>
    </row>
    <row r="5667" spans="83:87" x14ac:dyDescent="0.2">
      <c r="CE5667"/>
      <c r="CF5667"/>
      <c r="CG5667"/>
      <c r="CH5667"/>
      <c r="CI5667"/>
    </row>
    <row r="5668" spans="83:87" x14ac:dyDescent="0.2">
      <c r="CE5668"/>
      <c r="CF5668"/>
      <c r="CG5668"/>
      <c r="CH5668"/>
      <c r="CI5668"/>
    </row>
    <row r="5669" spans="83:87" x14ac:dyDescent="0.2">
      <c r="CE5669"/>
      <c r="CF5669"/>
      <c r="CG5669"/>
      <c r="CH5669"/>
      <c r="CI5669"/>
    </row>
    <row r="5670" spans="83:87" x14ac:dyDescent="0.2">
      <c r="CE5670"/>
      <c r="CF5670"/>
      <c r="CG5670"/>
      <c r="CH5670"/>
      <c r="CI5670"/>
    </row>
    <row r="5671" spans="83:87" x14ac:dyDescent="0.2">
      <c r="CE5671"/>
      <c r="CF5671"/>
      <c r="CG5671"/>
      <c r="CH5671"/>
      <c r="CI5671"/>
    </row>
    <row r="5672" spans="83:87" x14ac:dyDescent="0.2">
      <c r="CE5672"/>
      <c r="CF5672"/>
      <c r="CG5672"/>
      <c r="CH5672"/>
      <c r="CI5672"/>
    </row>
    <row r="5673" spans="83:87" x14ac:dyDescent="0.2">
      <c r="CE5673"/>
      <c r="CF5673"/>
      <c r="CG5673"/>
      <c r="CH5673"/>
      <c r="CI5673"/>
    </row>
    <row r="5674" spans="83:87" x14ac:dyDescent="0.2">
      <c r="CE5674"/>
      <c r="CF5674"/>
      <c r="CG5674"/>
      <c r="CH5674"/>
      <c r="CI5674"/>
    </row>
    <row r="5675" spans="83:87" x14ac:dyDescent="0.2">
      <c r="CE5675"/>
      <c r="CF5675"/>
      <c r="CG5675"/>
      <c r="CH5675"/>
      <c r="CI5675"/>
    </row>
    <row r="5676" spans="83:87" x14ac:dyDescent="0.2">
      <c r="CE5676"/>
      <c r="CF5676"/>
      <c r="CG5676"/>
      <c r="CH5676"/>
      <c r="CI5676"/>
    </row>
    <row r="5677" spans="83:87" x14ac:dyDescent="0.2">
      <c r="CE5677"/>
      <c r="CF5677"/>
      <c r="CG5677"/>
      <c r="CH5677"/>
      <c r="CI5677"/>
    </row>
    <row r="5678" spans="83:87" x14ac:dyDescent="0.2">
      <c r="CE5678"/>
      <c r="CF5678"/>
      <c r="CG5678"/>
      <c r="CH5678"/>
      <c r="CI5678"/>
    </row>
    <row r="5679" spans="83:87" x14ac:dyDescent="0.2">
      <c r="CE5679"/>
      <c r="CF5679"/>
      <c r="CG5679"/>
      <c r="CH5679"/>
      <c r="CI5679"/>
    </row>
    <row r="5680" spans="83:87" x14ac:dyDescent="0.2">
      <c r="CE5680"/>
      <c r="CF5680"/>
      <c r="CG5680"/>
      <c r="CH5680"/>
      <c r="CI5680"/>
    </row>
    <row r="5681" spans="83:87" x14ac:dyDescent="0.2">
      <c r="CE5681"/>
      <c r="CF5681"/>
      <c r="CG5681"/>
      <c r="CH5681"/>
      <c r="CI5681"/>
    </row>
    <row r="5682" spans="83:87" x14ac:dyDescent="0.2">
      <c r="CE5682"/>
      <c r="CF5682"/>
      <c r="CG5682"/>
      <c r="CH5682"/>
      <c r="CI5682"/>
    </row>
    <row r="5683" spans="83:87" x14ac:dyDescent="0.2">
      <c r="CE5683"/>
      <c r="CF5683"/>
      <c r="CG5683"/>
      <c r="CH5683"/>
      <c r="CI5683"/>
    </row>
    <row r="5684" spans="83:87" x14ac:dyDescent="0.2">
      <c r="CE5684"/>
      <c r="CF5684"/>
      <c r="CG5684"/>
      <c r="CH5684"/>
      <c r="CI5684"/>
    </row>
    <row r="5685" spans="83:87" x14ac:dyDescent="0.2">
      <c r="CE5685"/>
      <c r="CF5685"/>
      <c r="CG5685"/>
      <c r="CH5685"/>
      <c r="CI5685"/>
    </row>
    <row r="5686" spans="83:87" x14ac:dyDescent="0.2">
      <c r="CE5686"/>
      <c r="CF5686"/>
      <c r="CG5686"/>
      <c r="CH5686"/>
      <c r="CI5686"/>
    </row>
    <row r="5687" spans="83:87" x14ac:dyDescent="0.2">
      <c r="CE5687"/>
      <c r="CF5687"/>
      <c r="CG5687"/>
      <c r="CH5687"/>
      <c r="CI5687"/>
    </row>
    <row r="5688" spans="83:87" x14ac:dyDescent="0.2">
      <c r="CE5688"/>
      <c r="CF5688"/>
      <c r="CG5688"/>
      <c r="CH5688"/>
      <c r="CI5688"/>
    </row>
    <row r="5689" spans="83:87" x14ac:dyDescent="0.2">
      <c r="CE5689"/>
      <c r="CF5689"/>
      <c r="CG5689"/>
      <c r="CH5689"/>
      <c r="CI5689"/>
    </row>
    <row r="5690" spans="83:87" x14ac:dyDescent="0.2">
      <c r="CE5690"/>
      <c r="CF5690"/>
      <c r="CG5690"/>
      <c r="CH5690"/>
      <c r="CI5690"/>
    </row>
    <row r="5691" spans="83:87" x14ac:dyDescent="0.2">
      <c r="CE5691"/>
      <c r="CF5691"/>
      <c r="CG5691"/>
      <c r="CH5691"/>
      <c r="CI5691"/>
    </row>
    <row r="5692" spans="83:87" x14ac:dyDescent="0.2">
      <c r="CE5692"/>
      <c r="CF5692"/>
      <c r="CG5692"/>
      <c r="CH5692"/>
      <c r="CI5692"/>
    </row>
    <row r="5693" spans="83:87" x14ac:dyDescent="0.2">
      <c r="CE5693"/>
      <c r="CF5693"/>
      <c r="CG5693"/>
      <c r="CH5693"/>
      <c r="CI5693"/>
    </row>
    <row r="5694" spans="83:87" x14ac:dyDescent="0.2">
      <c r="CE5694"/>
      <c r="CF5694"/>
      <c r="CG5694"/>
      <c r="CH5694"/>
      <c r="CI5694"/>
    </row>
    <row r="5695" spans="83:87" x14ac:dyDescent="0.2">
      <c r="CE5695"/>
      <c r="CF5695"/>
      <c r="CG5695"/>
      <c r="CH5695"/>
      <c r="CI5695"/>
    </row>
    <row r="5696" spans="83:87" x14ac:dyDescent="0.2">
      <c r="CE5696"/>
      <c r="CF5696"/>
      <c r="CG5696"/>
      <c r="CH5696"/>
      <c r="CI5696"/>
    </row>
    <row r="5697" spans="83:87" x14ac:dyDescent="0.2">
      <c r="CE5697"/>
      <c r="CF5697"/>
      <c r="CG5697"/>
      <c r="CH5697"/>
      <c r="CI5697"/>
    </row>
    <row r="5698" spans="83:87" x14ac:dyDescent="0.2">
      <c r="CE5698"/>
      <c r="CF5698"/>
      <c r="CG5698"/>
      <c r="CH5698"/>
      <c r="CI5698"/>
    </row>
    <row r="5699" spans="83:87" x14ac:dyDescent="0.2">
      <c r="CE5699"/>
      <c r="CF5699"/>
      <c r="CG5699"/>
      <c r="CH5699"/>
      <c r="CI5699"/>
    </row>
    <row r="5700" spans="83:87" x14ac:dyDescent="0.2">
      <c r="CE5700"/>
      <c r="CF5700"/>
      <c r="CG5700"/>
      <c r="CH5700"/>
      <c r="CI5700"/>
    </row>
    <row r="5701" spans="83:87" x14ac:dyDescent="0.2">
      <c r="CE5701"/>
      <c r="CF5701"/>
      <c r="CG5701"/>
      <c r="CH5701"/>
      <c r="CI5701"/>
    </row>
    <row r="5702" spans="83:87" x14ac:dyDescent="0.2">
      <c r="CE5702"/>
      <c r="CF5702"/>
      <c r="CG5702"/>
      <c r="CH5702"/>
      <c r="CI5702"/>
    </row>
    <row r="5703" spans="83:87" x14ac:dyDescent="0.2">
      <c r="CE5703"/>
      <c r="CF5703"/>
      <c r="CG5703"/>
      <c r="CH5703"/>
      <c r="CI5703"/>
    </row>
    <row r="5704" spans="83:87" x14ac:dyDescent="0.2">
      <c r="CE5704"/>
      <c r="CF5704"/>
      <c r="CG5704"/>
      <c r="CH5704"/>
      <c r="CI5704"/>
    </row>
    <row r="5705" spans="83:87" x14ac:dyDescent="0.2">
      <c r="CE5705"/>
      <c r="CF5705"/>
      <c r="CG5705"/>
      <c r="CH5705"/>
      <c r="CI5705"/>
    </row>
    <row r="5706" spans="83:87" x14ac:dyDescent="0.2">
      <c r="CE5706"/>
      <c r="CF5706"/>
      <c r="CG5706"/>
      <c r="CH5706"/>
      <c r="CI5706"/>
    </row>
    <row r="5707" spans="83:87" x14ac:dyDescent="0.2">
      <c r="CE5707"/>
      <c r="CF5707"/>
      <c r="CG5707"/>
      <c r="CH5707"/>
      <c r="CI5707"/>
    </row>
    <row r="5708" spans="83:87" x14ac:dyDescent="0.2">
      <c r="CE5708"/>
      <c r="CF5708"/>
      <c r="CG5708"/>
      <c r="CH5708"/>
      <c r="CI5708"/>
    </row>
    <row r="5709" spans="83:87" x14ac:dyDescent="0.2">
      <c r="CE5709"/>
      <c r="CF5709"/>
      <c r="CG5709"/>
      <c r="CH5709"/>
      <c r="CI5709"/>
    </row>
    <row r="5710" spans="83:87" x14ac:dyDescent="0.2">
      <c r="CE5710"/>
      <c r="CF5710"/>
      <c r="CG5710"/>
      <c r="CH5710"/>
      <c r="CI5710"/>
    </row>
    <row r="5711" spans="83:87" x14ac:dyDescent="0.2">
      <c r="CE5711"/>
      <c r="CF5711"/>
      <c r="CG5711"/>
      <c r="CH5711"/>
      <c r="CI5711"/>
    </row>
    <row r="5712" spans="83:87" x14ac:dyDescent="0.2">
      <c r="CE5712"/>
      <c r="CF5712"/>
      <c r="CG5712"/>
      <c r="CH5712"/>
      <c r="CI5712"/>
    </row>
    <row r="5713" spans="83:87" x14ac:dyDescent="0.2">
      <c r="CE5713"/>
      <c r="CF5713"/>
      <c r="CG5713"/>
      <c r="CH5713"/>
      <c r="CI5713"/>
    </row>
    <row r="5714" spans="83:87" x14ac:dyDescent="0.2">
      <c r="CE5714"/>
      <c r="CF5714"/>
      <c r="CG5714"/>
      <c r="CH5714"/>
      <c r="CI5714"/>
    </row>
    <row r="5715" spans="83:87" x14ac:dyDescent="0.2">
      <c r="CE5715"/>
      <c r="CF5715"/>
      <c r="CG5715"/>
      <c r="CH5715"/>
      <c r="CI5715"/>
    </row>
    <row r="5716" spans="83:87" x14ac:dyDescent="0.2">
      <c r="CE5716"/>
      <c r="CF5716"/>
      <c r="CG5716"/>
      <c r="CH5716"/>
      <c r="CI5716"/>
    </row>
    <row r="5717" spans="83:87" x14ac:dyDescent="0.2">
      <c r="CE5717"/>
      <c r="CF5717"/>
      <c r="CG5717"/>
      <c r="CH5717"/>
      <c r="CI5717"/>
    </row>
    <row r="5718" spans="83:87" x14ac:dyDescent="0.2">
      <c r="CE5718"/>
      <c r="CF5718"/>
      <c r="CG5718"/>
      <c r="CH5718"/>
      <c r="CI5718"/>
    </row>
    <row r="5719" spans="83:87" x14ac:dyDescent="0.2">
      <c r="CE5719"/>
      <c r="CF5719"/>
      <c r="CG5719"/>
      <c r="CH5719"/>
      <c r="CI5719"/>
    </row>
    <row r="5720" spans="83:87" x14ac:dyDescent="0.2">
      <c r="CE5720"/>
      <c r="CF5720"/>
      <c r="CG5720"/>
      <c r="CH5720"/>
      <c r="CI5720"/>
    </row>
    <row r="5721" spans="83:87" x14ac:dyDescent="0.2">
      <c r="CE5721"/>
      <c r="CF5721"/>
      <c r="CG5721"/>
      <c r="CH5721"/>
      <c r="CI5721"/>
    </row>
    <row r="5722" spans="83:87" x14ac:dyDescent="0.2">
      <c r="CE5722"/>
      <c r="CF5722"/>
      <c r="CG5722"/>
      <c r="CH5722"/>
      <c r="CI5722"/>
    </row>
    <row r="5723" spans="83:87" x14ac:dyDescent="0.2">
      <c r="CE5723"/>
      <c r="CF5723"/>
      <c r="CG5723"/>
      <c r="CH5723"/>
      <c r="CI5723"/>
    </row>
    <row r="5724" spans="83:87" x14ac:dyDescent="0.2">
      <c r="CE5724"/>
      <c r="CF5724"/>
      <c r="CG5724"/>
      <c r="CH5724"/>
      <c r="CI5724"/>
    </row>
    <row r="5725" spans="83:87" x14ac:dyDescent="0.2">
      <c r="CE5725"/>
      <c r="CF5725"/>
      <c r="CG5725"/>
      <c r="CH5725"/>
      <c r="CI5725"/>
    </row>
    <row r="5726" spans="83:87" x14ac:dyDescent="0.2">
      <c r="CE5726"/>
      <c r="CF5726"/>
      <c r="CG5726"/>
      <c r="CH5726"/>
      <c r="CI5726"/>
    </row>
    <row r="5727" spans="83:87" x14ac:dyDescent="0.2">
      <c r="CE5727"/>
      <c r="CF5727"/>
      <c r="CG5727"/>
      <c r="CH5727"/>
      <c r="CI5727"/>
    </row>
    <row r="5728" spans="83:87" x14ac:dyDescent="0.2">
      <c r="CE5728"/>
      <c r="CF5728"/>
      <c r="CG5728"/>
      <c r="CH5728"/>
      <c r="CI5728"/>
    </row>
    <row r="5729" spans="83:87" x14ac:dyDescent="0.2">
      <c r="CE5729"/>
      <c r="CF5729"/>
      <c r="CG5729"/>
      <c r="CH5729"/>
      <c r="CI5729"/>
    </row>
    <row r="5730" spans="83:87" x14ac:dyDescent="0.2">
      <c r="CE5730"/>
      <c r="CF5730"/>
      <c r="CG5730"/>
      <c r="CH5730"/>
      <c r="CI5730"/>
    </row>
    <row r="5731" spans="83:87" x14ac:dyDescent="0.2">
      <c r="CE5731"/>
      <c r="CF5731"/>
      <c r="CG5731"/>
      <c r="CH5731"/>
      <c r="CI5731"/>
    </row>
    <row r="5732" spans="83:87" x14ac:dyDescent="0.2">
      <c r="CE5732"/>
      <c r="CF5732"/>
      <c r="CG5732"/>
      <c r="CH5732"/>
      <c r="CI5732"/>
    </row>
    <row r="5733" spans="83:87" x14ac:dyDescent="0.2">
      <c r="CE5733"/>
      <c r="CF5733"/>
      <c r="CG5733"/>
      <c r="CH5733"/>
      <c r="CI5733"/>
    </row>
    <row r="5734" spans="83:87" x14ac:dyDescent="0.2">
      <c r="CE5734"/>
      <c r="CF5734"/>
      <c r="CG5734"/>
      <c r="CH5734"/>
      <c r="CI5734"/>
    </row>
    <row r="5735" spans="83:87" x14ac:dyDescent="0.2">
      <c r="CE5735"/>
      <c r="CF5735"/>
      <c r="CG5735"/>
      <c r="CH5735"/>
      <c r="CI5735"/>
    </row>
    <row r="5736" spans="83:87" x14ac:dyDescent="0.2">
      <c r="CE5736"/>
      <c r="CF5736"/>
      <c r="CG5736"/>
      <c r="CH5736"/>
      <c r="CI5736"/>
    </row>
    <row r="5737" spans="83:87" x14ac:dyDescent="0.2">
      <c r="CE5737"/>
      <c r="CF5737"/>
      <c r="CG5737"/>
      <c r="CH5737"/>
      <c r="CI5737"/>
    </row>
    <row r="5738" spans="83:87" x14ac:dyDescent="0.2">
      <c r="CE5738"/>
      <c r="CF5738"/>
      <c r="CG5738"/>
      <c r="CH5738"/>
      <c r="CI5738"/>
    </row>
    <row r="5739" spans="83:87" x14ac:dyDescent="0.2">
      <c r="CE5739"/>
      <c r="CF5739"/>
      <c r="CG5739"/>
      <c r="CH5739"/>
      <c r="CI5739"/>
    </row>
    <row r="5740" spans="83:87" x14ac:dyDescent="0.2">
      <c r="CE5740"/>
      <c r="CF5740"/>
      <c r="CG5740"/>
      <c r="CH5740"/>
      <c r="CI5740"/>
    </row>
    <row r="5741" spans="83:87" x14ac:dyDescent="0.2">
      <c r="CE5741"/>
      <c r="CF5741"/>
      <c r="CG5741"/>
      <c r="CH5741"/>
      <c r="CI5741"/>
    </row>
    <row r="5742" spans="83:87" x14ac:dyDescent="0.2">
      <c r="CE5742"/>
      <c r="CF5742"/>
      <c r="CG5742"/>
      <c r="CH5742"/>
      <c r="CI5742"/>
    </row>
    <row r="5743" spans="83:87" x14ac:dyDescent="0.2">
      <c r="CE5743"/>
      <c r="CF5743"/>
      <c r="CG5743"/>
      <c r="CH5743"/>
      <c r="CI5743"/>
    </row>
    <row r="5744" spans="83:87" x14ac:dyDescent="0.2">
      <c r="CE5744"/>
      <c r="CF5744"/>
      <c r="CG5744"/>
      <c r="CH5744"/>
      <c r="CI5744"/>
    </row>
    <row r="5745" spans="83:87" x14ac:dyDescent="0.2">
      <c r="CE5745"/>
      <c r="CF5745"/>
      <c r="CG5745"/>
      <c r="CH5745"/>
      <c r="CI5745"/>
    </row>
    <row r="5746" spans="83:87" x14ac:dyDescent="0.2">
      <c r="CE5746"/>
      <c r="CF5746"/>
      <c r="CG5746"/>
      <c r="CH5746"/>
      <c r="CI5746"/>
    </row>
    <row r="5747" spans="83:87" x14ac:dyDescent="0.2">
      <c r="CE5747"/>
      <c r="CF5747"/>
      <c r="CG5747"/>
      <c r="CH5747"/>
      <c r="CI5747"/>
    </row>
    <row r="5748" spans="83:87" x14ac:dyDescent="0.2">
      <c r="CE5748"/>
      <c r="CF5748"/>
      <c r="CG5748"/>
      <c r="CH5748"/>
      <c r="CI5748"/>
    </row>
    <row r="5749" spans="83:87" x14ac:dyDescent="0.2">
      <c r="CE5749"/>
      <c r="CF5749"/>
      <c r="CG5749"/>
      <c r="CH5749"/>
      <c r="CI5749"/>
    </row>
    <row r="5750" spans="83:87" x14ac:dyDescent="0.2">
      <c r="CE5750"/>
      <c r="CF5750"/>
      <c r="CG5750"/>
      <c r="CH5750"/>
      <c r="CI5750"/>
    </row>
    <row r="5751" spans="83:87" x14ac:dyDescent="0.2">
      <c r="CE5751"/>
      <c r="CF5751"/>
      <c r="CG5751"/>
      <c r="CH5751"/>
      <c r="CI5751"/>
    </row>
    <row r="5752" spans="83:87" x14ac:dyDescent="0.2">
      <c r="CE5752"/>
      <c r="CF5752"/>
      <c r="CG5752"/>
      <c r="CH5752"/>
      <c r="CI5752"/>
    </row>
    <row r="5753" spans="83:87" x14ac:dyDescent="0.2">
      <c r="CE5753"/>
      <c r="CF5753"/>
      <c r="CG5753"/>
      <c r="CH5753"/>
      <c r="CI5753"/>
    </row>
    <row r="5754" spans="83:87" x14ac:dyDescent="0.2">
      <c r="CE5754"/>
      <c r="CF5754"/>
      <c r="CG5754"/>
      <c r="CH5754"/>
      <c r="CI5754"/>
    </row>
    <row r="5755" spans="83:87" x14ac:dyDescent="0.2">
      <c r="CE5755"/>
      <c r="CF5755"/>
      <c r="CG5755"/>
      <c r="CH5755"/>
      <c r="CI5755"/>
    </row>
    <row r="5756" spans="83:87" x14ac:dyDescent="0.2">
      <c r="CE5756"/>
      <c r="CF5756"/>
      <c r="CG5756"/>
      <c r="CH5756"/>
      <c r="CI5756"/>
    </row>
    <row r="5757" spans="83:87" x14ac:dyDescent="0.2">
      <c r="CE5757"/>
      <c r="CF5757"/>
      <c r="CG5757"/>
      <c r="CH5757"/>
      <c r="CI5757"/>
    </row>
    <row r="5758" spans="83:87" x14ac:dyDescent="0.2">
      <c r="CE5758"/>
      <c r="CF5758"/>
      <c r="CG5758"/>
      <c r="CH5758"/>
      <c r="CI5758"/>
    </row>
    <row r="5759" spans="83:87" x14ac:dyDescent="0.2">
      <c r="CE5759"/>
      <c r="CF5759"/>
      <c r="CG5759"/>
      <c r="CH5759"/>
      <c r="CI5759"/>
    </row>
    <row r="5760" spans="83:87" x14ac:dyDescent="0.2">
      <c r="CE5760"/>
      <c r="CF5760"/>
      <c r="CG5760"/>
      <c r="CH5760"/>
      <c r="CI5760"/>
    </row>
    <row r="5761" spans="83:87" x14ac:dyDescent="0.2">
      <c r="CE5761"/>
      <c r="CF5761"/>
      <c r="CG5761"/>
      <c r="CH5761"/>
      <c r="CI5761"/>
    </row>
    <row r="5762" spans="83:87" x14ac:dyDescent="0.2">
      <c r="CE5762"/>
      <c r="CF5762"/>
      <c r="CG5762"/>
      <c r="CH5762"/>
      <c r="CI5762"/>
    </row>
    <row r="5763" spans="83:87" x14ac:dyDescent="0.2">
      <c r="CE5763"/>
      <c r="CF5763"/>
      <c r="CG5763"/>
      <c r="CH5763"/>
      <c r="CI5763"/>
    </row>
    <row r="5764" spans="83:87" x14ac:dyDescent="0.2">
      <c r="CE5764"/>
      <c r="CF5764"/>
      <c r="CG5764"/>
      <c r="CH5764"/>
      <c r="CI5764"/>
    </row>
    <row r="5765" spans="83:87" x14ac:dyDescent="0.2">
      <c r="CE5765"/>
      <c r="CF5765"/>
      <c r="CG5765"/>
      <c r="CH5765"/>
      <c r="CI5765"/>
    </row>
    <row r="5766" spans="83:87" x14ac:dyDescent="0.2">
      <c r="CE5766"/>
      <c r="CF5766"/>
      <c r="CG5766"/>
      <c r="CH5766"/>
      <c r="CI5766"/>
    </row>
    <row r="5767" spans="83:87" x14ac:dyDescent="0.2">
      <c r="CE5767"/>
      <c r="CF5767"/>
      <c r="CG5767"/>
      <c r="CH5767"/>
      <c r="CI5767"/>
    </row>
    <row r="5768" spans="83:87" x14ac:dyDescent="0.2">
      <c r="CE5768"/>
      <c r="CF5768"/>
      <c r="CG5768"/>
      <c r="CH5768"/>
      <c r="CI5768"/>
    </row>
    <row r="5769" spans="83:87" x14ac:dyDescent="0.2">
      <c r="CE5769"/>
      <c r="CF5769"/>
      <c r="CG5769"/>
      <c r="CH5769"/>
      <c r="CI5769"/>
    </row>
    <row r="5770" spans="83:87" x14ac:dyDescent="0.2">
      <c r="CE5770"/>
      <c r="CF5770"/>
      <c r="CG5770"/>
      <c r="CH5770"/>
      <c r="CI5770"/>
    </row>
    <row r="5771" spans="83:87" x14ac:dyDescent="0.2">
      <c r="CE5771"/>
      <c r="CF5771"/>
      <c r="CG5771"/>
      <c r="CH5771"/>
      <c r="CI5771"/>
    </row>
    <row r="5772" spans="83:87" x14ac:dyDescent="0.2">
      <c r="CE5772"/>
      <c r="CF5772"/>
      <c r="CG5772"/>
      <c r="CH5772"/>
      <c r="CI5772"/>
    </row>
    <row r="5773" spans="83:87" x14ac:dyDescent="0.2">
      <c r="CE5773"/>
      <c r="CF5773"/>
      <c r="CG5773"/>
      <c r="CH5773"/>
      <c r="CI5773"/>
    </row>
    <row r="5774" spans="83:87" x14ac:dyDescent="0.2">
      <c r="CE5774"/>
      <c r="CF5774"/>
      <c r="CG5774"/>
      <c r="CH5774"/>
      <c r="CI5774"/>
    </row>
    <row r="5775" spans="83:87" x14ac:dyDescent="0.2">
      <c r="CE5775"/>
      <c r="CF5775"/>
      <c r="CG5775"/>
      <c r="CH5775"/>
      <c r="CI5775"/>
    </row>
    <row r="5776" spans="83:87" x14ac:dyDescent="0.2">
      <c r="CE5776"/>
      <c r="CF5776"/>
      <c r="CG5776"/>
      <c r="CH5776"/>
      <c r="CI5776"/>
    </row>
    <row r="5777" spans="83:87" x14ac:dyDescent="0.2">
      <c r="CE5777"/>
      <c r="CF5777"/>
      <c r="CG5777"/>
      <c r="CH5777"/>
      <c r="CI5777"/>
    </row>
    <row r="5778" spans="83:87" x14ac:dyDescent="0.2">
      <c r="CE5778"/>
      <c r="CF5778"/>
      <c r="CG5778"/>
      <c r="CH5778"/>
      <c r="CI5778"/>
    </row>
    <row r="5779" spans="83:87" x14ac:dyDescent="0.2">
      <c r="CE5779"/>
      <c r="CF5779"/>
      <c r="CG5779"/>
      <c r="CH5779"/>
      <c r="CI5779"/>
    </row>
    <row r="5780" spans="83:87" x14ac:dyDescent="0.2">
      <c r="CE5780"/>
      <c r="CF5780"/>
      <c r="CG5780"/>
      <c r="CH5780"/>
      <c r="CI5780"/>
    </row>
    <row r="5781" spans="83:87" x14ac:dyDescent="0.2">
      <c r="CE5781"/>
      <c r="CF5781"/>
      <c r="CG5781"/>
      <c r="CH5781"/>
      <c r="CI5781"/>
    </row>
    <row r="5782" spans="83:87" x14ac:dyDescent="0.2">
      <c r="CE5782"/>
      <c r="CF5782"/>
      <c r="CG5782"/>
      <c r="CH5782"/>
      <c r="CI5782"/>
    </row>
    <row r="5783" spans="83:87" x14ac:dyDescent="0.2">
      <c r="CE5783"/>
      <c r="CF5783"/>
      <c r="CG5783"/>
      <c r="CH5783"/>
      <c r="CI5783"/>
    </row>
    <row r="5784" spans="83:87" x14ac:dyDescent="0.2">
      <c r="CE5784"/>
      <c r="CF5784"/>
      <c r="CG5784"/>
      <c r="CH5784"/>
      <c r="CI5784"/>
    </row>
    <row r="5785" spans="83:87" x14ac:dyDescent="0.2">
      <c r="CE5785"/>
      <c r="CF5785"/>
      <c r="CG5785"/>
      <c r="CH5785"/>
      <c r="CI5785"/>
    </row>
    <row r="5786" spans="83:87" x14ac:dyDescent="0.2">
      <c r="CE5786"/>
      <c r="CF5786"/>
      <c r="CG5786"/>
      <c r="CH5786"/>
      <c r="CI5786"/>
    </row>
    <row r="5787" spans="83:87" x14ac:dyDescent="0.2">
      <c r="CE5787"/>
      <c r="CF5787"/>
      <c r="CG5787"/>
      <c r="CH5787"/>
      <c r="CI5787"/>
    </row>
    <row r="5788" spans="83:87" x14ac:dyDescent="0.2">
      <c r="CE5788"/>
      <c r="CF5788"/>
      <c r="CG5788"/>
      <c r="CH5788"/>
      <c r="CI5788"/>
    </row>
    <row r="5789" spans="83:87" x14ac:dyDescent="0.2">
      <c r="CE5789"/>
      <c r="CF5789"/>
      <c r="CG5789"/>
      <c r="CH5789"/>
      <c r="CI5789"/>
    </row>
    <row r="5790" spans="83:87" x14ac:dyDescent="0.2">
      <c r="CE5790"/>
      <c r="CF5790"/>
      <c r="CG5790"/>
      <c r="CH5790"/>
      <c r="CI5790"/>
    </row>
    <row r="5791" spans="83:87" x14ac:dyDescent="0.2">
      <c r="CE5791"/>
      <c r="CF5791"/>
      <c r="CG5791"/>
      <c r="CH5791"/>
      <c r="CI5791"/>
    </row>
    <row r="5792" spans="83:87" x14ac:dyDescent="0.2">
      <c r="CE5792"/>
      <c r="CF5792"/>
      <c r="CG5792"/>
      <c r="CH5792"/>
      <c r="CI5792"/>
    </row>
    <row r="5793" spans="83:87" x14ac:dyDescent="0.2">
      <c r="CE5793"/>
      <c r="CF5793"/>
      <c r="CG5793"/>
      <c r="CH5793"/>
      <c r="CI5793"/>
    </row>
    <row r="5794" spans="83:87" x14ac:dyDescent="0.2">
      <c r="CE5794"/>
      <c r="CF5794"/>
      <c r="CG5794"/>
      <c r="CH5794"/>
      <c r="CI5794"/>
    </row>
    <row r="5795" spans="83:87" x14ac:dyDescent="0.2">
      <c r="CE5795"/>
      <c r="CF5795"/>
      <c r="CG5795"/>
      <c r="CH5795"/>
      <c r="CI5795"/>
    </row>
    <row r="5796" spans="83:87" x14ac:dyDescent="0.2">
      <c r="CE5796"/>
      <c r="CF5796"/>
      <c r="CG5796"/>
      <c r="CH5796"/>
      <c r="CI5796"/>
    </row>
    <row r="5797" spans="83:87" x14ac:dyDescent="0.2">
      <c r="CE5797"/>
      <c r="CF5797"/>
      <c r="CG5797"/>
      <c r="CH5797"/>
      <c r="CI5797"/>
    </row>
    <row r="5798" spans="83:87" x14ac:dyDescent="0.2">
      <c r="CE5798"/>
      <c r="CF5798"/>
      <c r="CG5798"/>
      <c r="CH5798"/>
      <c r="CI5798"/>
    </row>
    <row r="5799" spans="83:87" x14ac:dyDescent="0.2">
      <c r="CE5799"/>
      <c r="CF5799"/>
      <c r="CG5799"/>
      <c r="CH5799"/>
      <c r="CI5799"/>
    </row>
    <row r="5800" spans="83:87" x14ac:dyDescent="0.2">
      <c r="CE5800"/>
      <c r="CF5800"/>
      <c r="CG5800"/>
      <c r="CH5800"/>
      <c r="CI5800"/>
    </row>
    <row r="5801" spans="83:87" x14ac:dyDescent="0.2">
      <c r="CE5801"/>
      <c r="CF5801"/>
      <c r="CG5801"/>
      <c r="CH5801"/>
      <c r="CI5801"/>
    </row>
    <row r="5802" spans="83:87" x14ac:dyDescent="0.2">
      <c r="CE5802"/>
      <c r="CF5802"/>
      <c r="CG5802"/>
      <c r="CH5802"/>
      <c r="CI5802"/>
    </row>
    <row r="5803" spans="83:87" x14ac:dyDescent="0.2">
      <c r="CE5803"/>
      <c r="CF5803"/>
      <c r="CG5803"/>
      <c r="CH5803"/>
      <c r="CI5803"/>
    </row>
    <row r="5804" spans="83:87" x14ac:dyDescent="0.2">
      <c r="CE5804"/>
      <c r="CF5804"/>
      <c r="CG5804"/>
      <c r="CH5804"/>
      <c r="CI5804"/>
    </row>
    <row r="5805" spans="83:87" x14ac:dyDescent="0.2">
      <c r="CE5805"/>
      <c r="CF5805"/>
      <c r="CG5805"/>
      <c r="CH5805"/>
      <c r="CI5805"/>
    </row>
    <row r="5806" spans="83:87" x14ac:dyDescent="0.2">
      <c r="CE5806"/>
      <c r="CF5806"/>
      <c r="CG5806"/>
      <c r="CH5806"/>
      <c r="CI5806"/>
    </row>
    <row r="5807" spans="83:87" x14ac:dyDescent="0.2">
      <c r="CE5807"/>
      <c r="CF5807"/>
      <c r="CG5807"/>
      <c r="CH5807"/>
      <c r="CI5807"/>
    </row>
    <row r="5808" spans="83:87" x14ac:dyDescent="0.2">
      <c r="CE5808"/>
      <c r="CF5808"/>
      <c r="CG5808"/>
      <c r="CH5808"/>
      <c r="CI5808"/>
    </row>
    <row r="5809" spans="83:87" x14ac:dyDescent="0.2">
      <c r="CE5809"/>
      <c r="CF5809"/>
      <c r="CG5809"/>
      <c r="CH5809"/>
      <c r="CI5809"/>
    </row>
    <row r="5810" spans="83:87" x14ac:dyDescent="0.2">
      <c r="CE5810"/>
      <c r="CF5810"/>
      <c r="CG5810"/>
      <c r="CH5810"/>
      <c r="CI5810"/>
    </row>
    <row r="5811" spans="83:87" x14ac:dyDescent="0.2">
      <c r="CE5811"/>
      <c r="CF5811"/>
      <c r="CG5811"/>
      <c r="CH5811"/>
      <c r="CI5811"/>
    </row>
    <row r="5812" spans="83:87" x14ac:dyDescent="0.2">
      <c r="CE5812"/>
      <c r="CF5812"/>
      <c r="CG5812"/>
      <c r="CH5812"/>
      <c r="CI5812"/>
    </row>
    <row r="5813" spans="83:87" x14ac:dyDescent="0.2">
      <c r="CE5813"/>
      <c r="CF5813"/>
      <c r="CG5813"/>
      <c r="CH5813"/>
      <c r="CI5813"/>
    </row>
    <row r="5814" spans="83:87" x14ac:dyDescent="0.2">
      <c r="CE5814"/>
      <c r="CF5814"/>
      <c r="CG5814"/>
      <c r="CH5814"/>
      <c r="CI5814"/>
    </row>
    <row r="5815" spans="83:87" x14ac:dyDescent="0.2">
      <c r="CE5815"/>
      <c r="CF5815"/>
      <c r="CG5815"/>
      <c r="CH5815"/>
      <c r="CI5815"/>
    </row>
    <row r="5816" spans="83:87" x14ac:dyDescent="0.2">
      <c r="CE5816"/>
      <c r="CF5816"/>
      <c r="CG5816"/>
      <c r="CH5816"/>
      <c r="CI5816"/>
    </row>
    <row r="5817" spans="83:87" x14ac:dyDescent="0.2">
      <c r="CE5817"/>
      <c r="CF5817"/>
      <c r="CG5817"/>
      <c r="CH5817"/>
      <c r="CI5817"/>
    </row>
    <row r="5818" spans="83:87" x14ac:dyDescent="0.2">
      <c r="CE5818"/>
      <c r="CF5818"/>
      <c r="CG5818"/>
      <c r="CH5818"/>
      <c r="CI5818"/>
    </row>
    <row r="5819" spans="83:87" x14ac:dyDescent="0.2">
      <c r="CE5819"/>
      <c r="CF5819"/>
      <c r="CG5819"/>
      <c r="CH5819"/>
      <c r="CI5819"/>
    </row>
    <row r="5820" spans="83:87" x14ac:dyDescent="0.2">
      <c r="CE5820"/>
      <c r="CF5820"/>
      <c r="CG5820"/>
      <c r="CH5820"/>
      <c r="CI5820"/>
    </row>
    <row r="5821" spans="83:87" x14ac:dyDescent="0.2">
      <c r="CE5821"/>
      <c r="CF5821"/>
      <c r="CG5821"/>
      <c r="CH5821"/>
      <c r="CI5821"/>
    </row>
    <row r="5822" spans="83:87" x14ac:dyDescent="0.2">
      <c r="CE5822"/>
      <c r="CF5822"/>
      <c r="CG5822"/>
      <c r="CH5822"/>
      <c r="CI5822"/>
    </row>
    <row r="5823" spans="83:87" x14ac:dyDescent="0.2">
      <c r="CE5823"/>
      <c r="CF5823"/>
      <c r="CG5823"/>
      <c r="CH5823"/>
      <c r="CI5823"/>
    </row>
    <row r="5824" spans="83:87" x14ac:dyDescent="0.2">
      <c r="CE5824"/>
      <c r="CF5824"/>
      <c r="CG5824"/>
      <c r="CH5824"/>
      <c r="CI5824"/>
    </row>
    <row r="5825" spans="83:87" x14ac:dyDescent="0.2">
      <c r="CE5825"/>
      <c r="CF5825"/>
      <c r="CG5825"/>
      <c r="CH5825"/>
      <c r="CI5825"/>
    </row>
    <row r="5826" spans="83:87" x14ac:dyDescent="0.2">
      <c r="CE5826"/>
      <c r="CF5826"/>
      <c r="CG5826"/>
      <c r="CH5826"/>
      <c r="CI5826"/>
    </row>
    <row r="5827" spans="83:87" x14ac:dyDescent="0.2">
      <c r="CE5827"/>
      <c r="CF5827"/>
      <c r="CG5827"/>
      <c r="CH5827"/>
      <c r="CI5827"/>
    </row>
    <row r="5828" spans="83:87" x14ac:dyDescent="0.2">
      <c r="CE5828"/>
      <c r="CF5828"/>
      <c r="CG5828"/>
      <c r="CH5828"/>
      <c r="CI5828"/>
    </row>
    <row r="5829" spans="83:87" x14ac:dyDescent="0.2">
      <c r="CE5829"/>
      <c r="CF5829"/>
      <c r="CG5829"/>
      <c r="CH5829"/>
      <c r="CI5829"/>
    </row>
    <row r="5830" spans="83:87" x14ac:dyDescent="0.2">
      <c r="CE5830"/>
      <c r="CF5830"/>
      <c r="CG5830"/>
      <c r="CH5830"/>
      <c r="CI5830"/>
    </row>
    <row r="5831" spans="83:87" x14ac:dyDescent="0.2">
      <c r="CE5831"/>
      <c r="CF5831"/>
      <c r="CG5831"/>
      <c r="CH5831"/>
      <c r="CI5831"/>
    </row>
    <row r="5832" spans="83:87" x14ac:dyDescent="0.2">
      <c r="CE5832"/>
      <c r="CF5832"/>
      <c r="CG5832"/>
      <c r="CH5832"/>
      <c r="CI5832"/>
    </row>
    <row r="5833" spans="83:87" x14ac:dyDescent="0.2">
      <c r="CE5833"/>
      <c r="CF5833"/>
      <c r="CG5833"/>
      <c r="CH5833"/>
      <c r="CI5833"/>
    </row>
    <row r="5834" spans="83:87" x14ac:dyDescent="0.2">
      <c r="CE5834"/>
      <c r="CF5834"/>
      <c r="CG5834"/>
      <c r="CH5834"/>
      <c r="CI5834"/>
    </row>
    <row r="5835" spans="83:87" x14ac:dyDescent="0.2">
      <c r="CE5835"/>
      <c r="CF5835"/>
      <c r="CG5835"/>
      <c r="CH5835"/>
      <c r="CI5835"/>
    </row>
    <row r="5836" spans="83:87" x14ac:dyDescent="0.2">
      <c r="CE5836"/>
      <c r="CF5836"/>
      <c r="CG5836"/>
      <c r="CH5836"/>
      <c r="CI5836"/>
    </row>
    <row r="5837" spans="83:87" x14ac:dyDescent="0.2">
      <c r="CE5837"/>
      <c r="CF5837"/>
      <c r="CG5837"/>
      <c r="CH5837"/>
      <c r="CI5837"/>
    </row>
    <row r="5838" spans="83:87" x14ac:dyDescent="0.2">
      <c r="CE5838"/>
      <c r="CF5838"/>
      <c r="CG5838"/>
      <c r="CH5838"/>
      <c r="CI5838"/>
    </row>
    <row r="5839" spans="83:87" x14ac:dyDescent="0.2">
      <c r="CE5839"/>
      <c r="CF5839"/>
      <c r="CG5839"/>
      <c r="CH5839"/>
      <c r="CI5839"/>
    </row>
    <row r="5840" spans="83:87" x14ac:dyDescent="0.2">
      <c r="CE5840"/>
      <c r="CF5840"/>
      <c r="CG5840"/>
      <c r="CH5840"/>
      <c r="CI5840"/>
    </row>
    <row r="5841" spans="83:87" x14ac:dyDescent="0.2">
      <c r="CE5841"/>
      <c r="CF5841"/>
      <c r="CG5841"/>
      <c r="CH5841"/>
      <c r="CI5841"/>
    </row>
    <row r="5842" spans="83:87" x14ac:dyDescent="0.2">
      <c r="CE5842"/>
      <c r="CF5842"/>
      <c r="CG5842"/>
      <c r="CH5842"/>
      <c r="CI5842"/>
    </row>
    <row r="5843" spans="83:87" x14ac:dyDescent="0.2">
      <c r="CE5843"/>
      <c r="CF5843"/>
      <c r="CG5843"/>
      <c r="CH5843"/>
      <c r="CI5843"/>
    </row>
    <row r="5844" spans="83:87" x14ac:dyDescent="0.2">
      <c r="CE5844"/>
      <c r="CF5844"/>
      <c r="CG5844"/>
      <c r="CH5844"/>
      <c r="CI5844"/>
    </row>
    <row r="5845" spans="83:87" x14ac:dyDescent="0.2">
      <c r="CE5845"/>
      <c r="CF5845"/>
      <c r="CG5845"/>
      <c r="CH5845"/>
      <c r="CI5845"/>
    </row>
    <row r="5846" spans="83:87" x14ac:dyDescent="0.2">
      <c r="CE5846"/>
      <c r="CF5846"/>
      <c r="CG5846"/>
      <c r="CH5846"/>
      <c r="CI5846"/>
    </row>
    <row r="5847" spans="83:87" x14ac:dyDescent="0.2">
      <c r="CE5847"/>
      <c r="CF5847"/>
      <c r="CG5847"/>
      <c r="CH5847"/>
      <c r="CI5847"/>
    </row>
    <row r="5848" spans="83:87" x14ac:dyDescent="0.2">
      <c r="CE5848"/>
      <c r="CF5848"/>
      <c r="CG5848"/>
      <c r="CH5848"/>
      <c r="CI5848"/>
    </row>
    <row r="5849" spans="83:87" x14ac:dyDescent="0.2">
      <c r="CE5849"/>
      <c r="CF5849"/>
      <c r="CG5849"/>
      <c r="CH5849"/>
      <c r="CI5849"/>
    </row>
    <row r="5850" spans="83:87" x14ac:dyDescent="0.2">
      <c r="CE5850"/>
      <c r="CF5850"/>
      <c r="CG5850"/>
      <c r="CH5850"/>
      <c r="CI5850"/>
    </row>
    <row r="5851" spans="83:87" x14ac:dyDescent="0.2">
      <c r="CE5851"/>
      <c r="CF5851"/>
      <c r="CG5851"/>
      <c r="CH5851"/>
      <c r="CI5851"/>
    </row>
    <row r="5852" spans="83:87" x14ac:dyDescent="0.2">
      <c r="CE5852"/>
      <c r="CF5852"/>
      <c r="CG5852"/>
      <c r="CH5852"/>
      <c r="CI5852"/>
    </row>
    <row r="5853" spans="83:87" x14ac:dyDescent="0.2">
      <c r="CE5853"/>
      <c r="CF5853"/>
      <c r="CG5853"/>
      <c r="CH5853"/>
      <c r="CI5853"/>
    </row>
    <row r="5854" spans="83:87" x14ac:dyDescent="0.2">
      <c r="CE5854"/>
      <c r="CF5854"/>
      <c r="CG5854"/>
      <c r="CH5854"/>
      <c r="CI5854"/>
    </row>
    <row r="5855" spans="83:87" x14ac:dyDescent="0.2">
      <c r="CE5855"/>
      <c r="CF5855"/>
      <c r="CG5855"/>
      <c r="CH5855"/>
      <c r="CI5855"/>
    </row>
    <row r="5856" spans="83:87" x14ac:dyDescent="0.2">
      <c r="CE5856"/>
      <c r="CF5856"/>
      <c r="CG5856"/>
      <c r="CH5856"/>
      <c r="CI5856"/>
    </row>
    <row r="5857" spans="83:87" x14ac:dyDescent="0.2">
      <c r="CE5857"/>
      <c r="CF5857"/>
      <c r="CG5857"/>
      <c r="CH5857"/>
      <c r="CI5857"/>
    </row>
    <row r="5858" spans="83:87" x14ac:dyDescent="0.2">
      <c r="CE5858"/>
      <c r="CF5858"/>
      <c r="CG5858"/>
      <c r="CH5858"/>
      <c r="CI5858"/>
    </row>
    <row r="5859" spans="83:87" x14ac:dyDescent="0.2">
      <c r="CE5859"/>
      <c r="CF5859"/>
      <c r="CG5859"/>
      <c r="CH5859"/>
      <c r="CI5859"/>
    </row>
    <row r="5860" spans="83:87" x14ac:dyDescent="0.2">
      <c r="CE5860"/>
      <c r="CF5860"/>
      <c r="CG5860"/>
      <c r="CH5860"/>
      <c r="CI5860"/>
    </row>
    <row r="5861" spans="83:87" x14ac:dyDescent="0.2">
      <c r="CE5861"/>
      <c r="CF5861"/>
      <c r="CG5861"/>
      <c r="CH5861"/>
      <c r="CI5861"/>
    </row>
    <row r="5862" spans="83:87" x14ac:dyDescent="0.2">
      <c r="CE5862"/>
      <c r="CF5862"/>
      <c r="CG5862"/>
      <c r="CH5862"/>
      <c r="CI5862"/>
    </row>
    <row r="5863" spans="83:87" x14ac:dyDescent="0.2">
      <c r="CE5863"/>
      <c r="CF5863"/>
      <c r="CG5863"/>
      <c r="CH5863"/>
      <c r="CI5863"/>
    </row>
    <row r="5864" spans="83:87" x14ac:dyDescent="0.2">
      <c r="CE5864"/>
      <c r="CF5864"/>
      <c r="CG5864"/>
      <c r="CH5864"/>
      <c r="CI5864"/>
    </row>
    <row r="5865" spans="83:87" x14ac:dyDescent="0.2">
      <c r="CE5865"/>
      <c r="CF5865"/>
      <c r="CG5865"/>
      <c r="CH5865"/>
      <c r="CI5865"/>
    </row>
    <row r="5866" spans="83:87" x14ac:dyDescent="0.2">
      <c r="CE5866"/>
      <c r="CF5866"/>
      <c r="CG5866"/>
      <c r="CH5866"/>
      <c r="CI5866"/>
    </row>
    <row r="5867" spans="83:87" x14ac:dyDescent="0.2">
      <c r="CE5867"/>
      <c r="CF5867"/>
      <c r="CG5867"/>
      <c r="CH5867"/>
      <c r="CI5867"/>
    </row>
    <row r="5868" spans="83:87" x14ac:dyDescent="0.2">
      <c r="CE5868"/>
      <c r="CF5868"/>
      <c r="CG5868"/>
      <c r="CH5868"/>
      <c r="CI5868"/>
    </row>
    <row r="5869" spans="83:87" x14ac:dyDescent="0.2">
      <c r="CE5869"/>
      <c r="CF5869"/>
      <c r="CG5869"/>
      <c r="CH5869"/>
      <c r="CI5869"/>
    </row>
    <row r="5870" spans="83:87" x14ac:dyDescent="0.2">
      <c r="CE5870"/>
      <c r="CF5870"/>
      <c r="CG5870"/>
      <c r="CH5870"/>
      <c r="CI5870"/>
    </row>
    <row r="5871" spans="83:87" x14ac:dyDescent="0.2">
      <c r="CE5871"/>
      <c r="CF5871"/>
      <c r="CG5871"/>
      <c r="CH5871"/>
      <c r="CI5871"/>
    </row>
    <row r="5872" spans="83:87" x14ac:dyDescent="0.2">
      <c r="CE5872"/>
      <c r="CF5872"/>
      <c r="CG5872"/>
      <c r="CH5872"/>
      <c r="CI5872"/>
    </row>
    <row r="5873" spans="83:87" x14ac:dyDescent="0.2">
      <c r="CE5873"/>
      <c r="CF5873"/>
      <c r="CG5873"/>
      <c r="CH5873"/>
      <c r="CI5873"/>
    </row>
    <row r="5874" spans="83:87" x14ac:dyDescent="0.2">
      <c r="CE5874"/>
      <c r="CF5874"/>
      <c r="CG5874"/>
      <c r="CH5874"/>
      <c r="CI5874"/>
    </row>
    <row r="5875" spans="83:87" x14ac:dyDescent="0.2">
      <c r="CE5875"/>
      <c r="CF5875"/>
      <c r="CG5875"/>
      <c r="CH5875"/>
      <c r="CI5875"/>
    </row>
    <row r="5876" spans="83:87" x14ac:dyDescent="0.2">
      <c r="CE5876"/>
      <c r="CF5876"/>
      <c r="CG5876"/>
      <c r="CH5876"/>
      <c r="CI5876"/>
    </row>
    <row r="5877" spans="83:87" x14ac:dyDescent="0.2">
      <c r="CE5877"/>
      <c r="CF5877"/>
      <c r="CG5877"/>
      <c r="CH5877"/>
      <c r="CI5877"/>
    </row>
    <row r="5878" spans="83:87" x14ac:dyDescent="0.2">
      <c r="CE5878"/>
      <c r="CF5878"/>
      <c r="CG5878"/>
      <c r="CH5878"/>
      <c r="CI5878"/>
    </row>
    <row r="5879" spans="83:87" x14ac:dyDescent="0.2">
      <c r="CE5879"/>
      <c r="CF5879"/>
      <c r="CG5879"/>
      <c r="CH5879"/>
      <c r="CI5879"/>
    </row>
    <row r="5880" spans="83:87" x14ac:dyDescent="0.2">
      <c r="CE5880"/>
      <c r="CF5880"/>
      <c r="CG5880"/>
      <c r="CH5880"/>
      <c r="CI5880"/>
    </row>
    <row r="5881" spans="83:87" x14ac:dyDescent="0.2">
      <c r="CE5881"/>
      <c r="CF5881"/>
      <c r="CG5881"/>
      <c r="CH5881"/>
      <c r="CI5881"/>
    </row>
    <row r="5882" spans="83:87" x14ac:dyDescent="0.2">
      <c r="CE5882"/>
      <c r="CF5882"/>
      <c r="CG5882"/>
      <c r="CH5882"/>
      <c r="CI5882"/>
    </row>
    <row r="5883" spans="83:87" x14ac:dyDescent="0.2">
      <c r="CE5883"/>
      <c r="CF5883"/>
      <c r="CG5883"/>
      <c r="CH5883"/>
      <c r="CI5883"/>
    </row>
    <row r="5884" spans="83:87" x14ac:dyDescent="0.2">
      <c r="CE5884"/>
      <c r="CF5884"/>
      <c r="CG5884"/>
      <c r="CH5884"/>
      <c r="CI5884"/>
    </row>
    <row r="5885" spans="83:87" x14ac:dyDescent="0.2">
      <c r="CE5885"/>
      <c r="CF5885"/>
      <c r="CG5885"/>
      <c r="CH5885"/>
      <c r="CI5885"/>
    </row>
    <row r="5886" spans="83:87" x14ac:dyDescent="0.2">
      <c r="CE5886"/>
      <c r="CF5886"/>
      <c r="CG5886"/>
      <c r="CH5886"/>
      <c r="CI5886"/>
    </row>
    <row r="5887" spans="83:87" x14ac:dyDescent="0.2">
      <c r="CE5887"/>
      <c r="CF5887"/>
      <c r="CG5887"/>
      <c r="CH5887"/>
      <c r="CI5887"/>
    </row>
    <row r="5888" spans="83:87" x14ac:dyDescent="0.2">
      <c r="CE5888"/>
      <c r="CF5888"/>
      <c r="CG5888"/>
      <c r="CH5888"/>
      <c r="CI5888"/>
    </row>
    <row r="5889" spans="83:87" x14ac:dyDescent="0.2">
      <c r="CE5889"/>
      <c r="CF5889"/>
      <c r="CG5889"/>
      <c r="CH5889"/>
      <c r="CI5889"/>
    </row>
    <row r="5890" spans="83:87" x14ac:dyDescent="0.2">
      <c r="CE5890"/>
      <c r="CF5890"/>
      <c r="CG5890"/>
      <c r="CH5890"/>
      <c r="CI5890"/>
    </row>
    <row r="5891" spans="83:87" x14ac:dyDescent="0.2">
      <c r="CE5891"/>
      <c r="CF5891"/>
      <c r="CG5891"/>
      <c r="CH5891"/>
      <c r="CI5891"/>
    </row>
    <row r="5892" spans="83:87" x14ac:dyDescent="0.2">
      <c r="CE5892"/>
      <c r="CF5892"/>
      <c r="CG5892"/>
      <c r="CH5892"/>
      <c r="CI5892"/>
    </row>
    <row r="5893" spans="83:87" x14ac:dyDescent="0.2">
      <c r="CE5893"/>
      <c r="CF5893"/>
      <c r="CG5893"/>
      <c r="CH5893"/>
      <c r="CI5893"/>
    </row>
    <row r="5894" spans="83:87" x14ac:dyDescent="0.2">
      <c r="CE5894"/>
      <c r="CF5894"/>
      <c r="CG5894"/>
      <c r="CH5894"/>
      <c r="CI5894"/>
    </row>
    <row r="5895" spans="83:87" x14ac:dyDescent="0.2">
      <c r="CE5895"/>
      <c r="CF5895"/>
      <c r="CG5895"/>
      <c r="CH5895"/>
      <c r="CI5895"/>
    </row>
    <row r="5896" spans="83:87" x14ac:dyDescent="0.2">
      <c r="CE5896"/>
      <c r="CF5896"/>
      <c r="CG5896"/>
      <c r="CH5896"/>
      <c r="CI5896"/>
    </row>
    <row r="5897" spans="83:87" x14ac:dyDescent="0.2">
      <c r="CE5897"/>
      <c r="CF5897"/>
      <c r="CG5897"/>
      <c r="CH5897"/>
      <c r="CI5897"/>
    </row>
    <row r="5898" spans="83:87" x14ac:dyDescent="0.2">
      <c r="CE5898"/>
      <c r="CF5898"/>
      <c r="CG5898"/>
      <c r="CH5898"/>
      <c r="CI5898"/>
    </row>
    <row r="5899" spans="83:87" x14ac:dyDescent="0.2">
      <c r="CE5899"/>
      <c r="CF5899"/>
      <c r="CG5899"/>
      <c r="CH5899"/>
      <c r="CI5899"/>
    </row>
    <row r="5900" spans="83:87" x14ac:dyDescent="0.2">
      <c r="CE5900"/>
      <c r="CF5900"/>
      <c r="CG5900"/>
      <c r="CH5900"/>
      <c r="CI5900"/>
    </row>
    <row r="5901" spans="83:87" x14ac:dyDescent="0.2">
      <c r="CE5901"/>
      <c r="CF5901"/>
      <c r="CG5901"/>
      <c r="CH5901"/>
      <c r="CI5901"/>
    </row>
    <row r="5902" spans="83:87" x14ac:dyDescent="0.2">
      <c r="CE5902"/>
      <c r="CF5902"/>
      <c r="CG5902"/>
      <c r="CH5902"/>
      <c r="CI5902"/>
    </row>
    <row r="5903" spans="83:87" x14ac:dyDescent="0.2">
      <c r="CE5903"/>
      <c r="CF5903"/>
      <c r="CG5903"/>
      <c r="CH5903"/>
      <c r="CI5903"/>
    </row>
    <row r="5904" spans="83:87" x14ac:dyDescent="0.2">
      <c r="CE5904"/>
      <c r="CF5904"/>
      <c r="CG5904"/>
      <c r="CH5904"/>
      <c r="CI5904"/>
    </row>
    <row r="5905" spans="83:87" x14ac:dyDescent="0.2">
      <c r="CE5905"/>
      <c r="CF5905"/>
      <c r="CG5905"/>
      <c r="CH5905"/>
      <c r="CI5905"/>
    </row>
    <row r="5906" spans="83:87" x14ac:dyDescent="0.2">
      <c r="CE5906"/>
      <c r="CF5906"/>
      <c r="CG5906"/>
      <c r="CH5906"/>
      <c r="CI5906"/>
    </row>
    <row r="5907" spans="83:87" x14ac:dyDescent="0.2">
      <c r="CE5907"/>
      <c r="CF5907"/>
      <c r="CG5907"/>
      <c r="CH5907"/>
      <c r="CI5907"/>
    </row>
    <row r="5908" spans="83:87" x14ac:dyDescent="0.2">
      <c r="CE5908"/>
      <c r="CF5908"/>
      <c r="CG5908"/>
      <c r="CH5908"/>
      <c r="CI5908"/>
    </row>
    <row r="5909" spans="83:87" x14ac:dyDescent="0.2">
      <c r="CE5909"/>
      <c r="CF5909"/>
      <c r="CG5909"/>
      <c r="CH5909"/>
      <c r="CI5909"/>
    </row>
    <row r="5910" spans="83:87" x14ac:dyDescent="0.2">
      <c r="CE5910"/>
      <c r="CF5910"/>
      <c r="CG5910"/>
      <c r="CH5910"/>
      <c r="CI5910"/>
    </row>
    <row r="5911" spans="83:87" x14ac:dyDescent="0.2">
      <c r="CE5911"/>
      <c r="CF5911"/>
      <c r="CG5911"/>
      <c r="CH5911"/>
      <c r="CI5911"/>
    </row>
    <row r="5912" spans="83:87" x14ac:dyDescent="0.2">
      <c r="CE5912"/>
      <c r="CF5912"/>
      <c r="CG5912"/>
      <c r="CH5912"/>
      <c r="CI5912"/>
    </row>
    <row r="5913" spans="83:87" x14ac:dyDescent="0.2">
      <c r="CE5913"/>
      <c r="CF5913"/>
      <c r="CG5913"/>
      <c r="CH5913"/>
      <c r="CI5913"/>
    </row>
    <row r="5914" spans="83:87" x14ac:dyDescent="0.2">
      <c r="CE5914"/>
      <c r="CF5914"/>
      <c r="CG5914"/>
      <c r="CH5914"/>
      <c r="CI5914"/>
    </row>
    <row r="5915" spans="83:87" x14ac:dyDescent="0.2">
      <c r="CE5915"/>
      <c r="CF5915"/>
      <c r="CG5915"/>
      <c r="CH5915"/>
      <c r="CI5915"/>
    </row>
    <row r="5916" spans="83:87" x14ac:dyDescent="0.2">
      <c r="CE5916"/>
      <c r="CF5916"/>
      <c r="CG5916"/>
      <c r="CH5916"/>
      <c r="CI5916"/>
    </row>
    <row r="5917" spans="83:87" x14ac:dyDescent="0.2">
      <c r="CE5917"/>
      <c r="CF5917"/>
      <c r="CG5917"/>
      <c r="CH5917"/>
      <c r="CI5917"/>
    </row>
    <row r="5918" spans="83:87" x14ac:dyDescent="0.2">
      <c r="CE5918"/>
      <c r="CF5918"/>
      <c r="CG5918"/>
      <c r="CH5918"/>
      <c r="CI5918"/>
    </row>
    <row r="5919" spans="83:87" x14ac:dyDescent="0.2">
      <c r="CE5919"/>
      <c r="CF5919"/>
      <c r="CG5919"/>
      <c r="CH5919"/>
      <c r="CI5919"/>
    </row>
    <row r="5920" spans="83:87" x14ac:dyDescent="0.2">
      <c r="CE5920"/>
      <c r="CF5920"/>
      <c r="CG5920"/>
      <c r="CH5920"/>
      <c r="CI5920"/>
    </row>
    <row r="5921" spans="83:87" x14ac:dyDescent="0.2">
      <c r="CE5921"/>
      <c r="CF5921"/>
      <c r="CG5921"/>
      <c r="CH5921"/>
      <c r="CI5921"/>
    </row>
    <row r="5922" spans="83:87" x14ac:dyDescent="0.2">
      <c r="CE5922"/>
      <c r="CF5922"/>
      <c r="CG5922"/>
      <c r="CH5922"/>
      <c r="CI5922"/>
    </row>
    <row r="5923" spans="83:87" x14ac:dyDescent="0.2">
      <c r="CE5923"/>
      <c r="CF5923"/>
      <c r="CG5923"/>
      <c r="CH5923"/>
      <c r="CI5923"/>
    </row>
    <row r="5924" spans="83:87" x14ac:dyDescent="0.2">
      <c r="CE5924"/>
      <c r="CF5924"/>
      <c r="CG5924"/>
      <c r="CH5924"/>
      <c r="CI5924"/>
    </row>
    <row r="5925" spans="83:87" x14ac:dyDescent="0.2">
      <c r="CE5925"/>
      <c r="CF5925"/>
      <c r="CG5925"/>
      <c r="CH5925"/>
      <c r="CI5925"/>
    </row>
    <row r="5926" spans="83:87" x14ac:dyDescent="0.2">
      <c r="CE5926"/>
      <c r="CF5926"/>
      <c r="CG5926"/>
      <c r="CH5926"/>
      <c r="CI5926"/>
    </row>
    <row r="5927" spans="83:87" x14ac:dyDescent="0.2">
      <c r="CE5927"/>
      <c r="CF5927"/>
      <c r="CG5927"/>
      <c r="CH5927"/>
      <c r="CI5927"/>
    </row>
    <row r="5928" spans="83:87" x14ac:dyDescent="0.2">
      <c r="CE5928"/>
      <c r="CF5928"/>
      <c r="CG5928"/>
      <c r="CH5928"/>
      <c r="CI5928"/>
    </row>
    <row r="5929" spans="83:87" x14ac:dyDescent="0.2">
      <c r="CE5929"/>
      <c r="CF5929"/>
      <c r="CG5929"/>
      <c r="CH5929"/>
      <c r="CI5929"/>
    </row>
    <row r="5930" spans="83:87" x14ac:dyDescent="0.2">
      <c r="CE5930"/>
      <c r="CF5930"/>
      <c r="CG5930"/>
      <c r="CH5930"/>
      <c r="CI5930"/>
    </row>
    <row r="5931" spans="83:87" x14ac:dyDescent="0.2">
      <c r="CE5931"/>
      <c r="CF5931"/>
      <c r="CG5931"/>
      <c r="CH5931"/>
      <c r="CI5931"/>
    </row>
    <row r="5932" spans="83:87" x14ac:dyDescent="0.2">
      <c r="CE5932"/>
      <c r="CF5932"/>
      <c r="CG5932"/>
      <c r="CH5932"/>
      <c r="CI5932"/>
    </row>
    <row r="5933" spans="83:87" x14ac:dyDescent="0.2">
      <c r="CE5933"/>
      <c r="CF5933"/>
      <c r="CG5933"/>
      <c r="CH5933"/>
      <c r="CI5933"/>
    </row>
    <row r="5934" spans="83:87" x14ac:dyDescent="0.2">
      <c r="CE5934"/>
      <c r="CF5934"/>
      <c r="CG5934"/>
      <c r="CH5934"/>
      <c r="CI5934"/>
    </row>
    <row r="5935" spans="83:87" x14ac:dyDescent="0.2">
      <c r="CE5935"/>
      <c r="CF5935"/>
      <c r="CG5935"/>
      <c r="CH5935"/>
      <c r="CI5935"/>
    </row>
    <row r="5936" spans="83:87" x14ac:dyDescent="0.2">
      <c r="CE5936"/>
      <c r="CF5936"/>
      <c r="CG5936"/>
      <c r="CH5936"/>
      <c r="CI5936"/>
    </row>
    <row r="5937" spans="83:87" x14ac:dyDescent="0.2">
      <c r="CE5937"/>
      <c r="CF5937"/>
      <c r="CG5937"/>
      <c r="CH5937"/>
      <c r="CI5937"/>
    </row>
    <row r="5938" spans="83:87" x14ac:dyDescent="0.2">
      <c r="CE5938"/>
      <c r="CF5938"/>
      <c r="CG5938"/>
      <c r="CH5938"/>
      <c r="CI5938"/>
    </row>
    <row r="5939" spans="83:87" x14ac:dyDescent="0.2">
      <c r="CE5939"/>
      <c r="CF5939"/>
      <c r="CG5939"/>
      <c r="CH5939"/>
      <c r="CI5939"/>
    </row>
    <row r="5940" spans="83:87" x14ac:dyDescent="0.2">
      <c r="CE5940"/>
      <c r="CF5940"/>
      <c r="CG5940"/>
      <c r="CH5940"/>
      <c r="CI5940"/>
    </row>
    <row r="5941" spans="83:87" x14ac:dyDescent="0.2">
      <c r="CE5941"/>
      <c r="CF5941"/>
      <c r="CG5941"/>
      <c r="CH5941"/>
      <c r="CI5941"/>
    </row>
    <row r="5942" spans="83:87" x14ac:dyDescent="0.2">
      <c r="CE5942"/>
      <c r="CF5942"/>
      <c r="CG5942"/>
      <c r="CH5942"/>
      <c r="CI5942"/>
    </row>
    <row r="5943" spans="83:87" x14ac:dyDescent="0.2">
      <c r="CE5943"/>
      <c r="CF5943"/>
      <c r="CG5943"/>
      <c r="CH5943"/>
      <c r="CI5943"/>
    </row>
    <row r="5944" spans="83:87" x14ac:dyDescent="0.2">
      <c r="CE5944"/>
      <c r="CF5944"/>
      <c r="CG5944"/>
      <c r="CH5944"/>
      <c r="CI5944"/>
    </row>
    <row r="5945" spans="83:87" x14ac:dyDescent="0.2">
      <c r="CE5945"/>
      <c r="CF5945"/>
      <c r="CG5945"/>
      <c r="CH5945"/>
      <c r="CI5945"/>
    </row>
    <row r="5946" spans="83:87" x14ac:dyDescent="0.2">
      <c r="CE5946"/>
      <c r="CF5946"/>
      <c r="CG5946"/>
      <c r="CH5946"/>
      <c r="CI5946"/>
    </row>
    <row r="5947" spans="83:87" x14ac:dyDescent="0.2">
      <c r="CE5947"/>
      <c r="CF5947"/>
      <c r="CG5947"/>
      <c r="CH5947"/>
      <c r="CI5947"/>
    </row>
    <row r="5948" spans="83:87" x14ac:dyDescent="0.2">
      <c r="CE5948"/>
      <c r="CF5948"/>
      <c r="CG5948"/>
      <c r="CH5948"/>
      <c r="CI5948"/>
    </row>
    <row r="5949" spans="83:87" x14ac:dyDescent="0.2">
      <c r="CE5949"/>
      <c r="CF5949"/>
      <c r="CG5949"/>
      <c r="CH5949"/>
      <c r="CI5949"/>
    </row>
    <row r="5950" spans="83:87" x14ac:dyDescent="0.2">
      <c r="CE5950"/>
      <c r="CF5950"/>
      <c r="CG5950"/>
      <c r="CH5950"/>
      <c r="CI5950"/>
    </row>
    <row r="5951" spans="83:87" x14ac:dyDescent="0.2">
      <c r="CE5951"/>
      <c r="CF5951"/>
      <c r="CG5951"/>
      <c r="CH5951"/>
      <c r="CI5951"/>
    </row>
    <row r="5952" spans="83:87" x14ac:dyDescent="0.2">
      <c r="CE5952"/>
      <c r="CF5952"/>
      <c r="CG5952"/>
      <c r="CH5952"/>
      <c r="CI5952"/>
    </row>
    <row r="5953" spans="83:87" x14ac:dyDescent="0.2">
      <c r="CE5953"/>
      <c r="CF5953"/>
      <c r="CG5953"/>
      <c r="CH5953"/>
      <c r="CI5953"/>
    </row>
    <row r="5954" spans="83:87" x14ac:dyDescent="0.2">
      <c r="CE5954"/>
      <c r="CF5954"/>
      <c r="CG5954"/>
      <c r="CH5954"/>
      <c r="CI5954"/>
    </row>
    <row r="5955" spans="83:87" x14ac:dyDescent="0.2">
      <c r="CE5955"/>
      <c r="CF5955"/>
      <c r="CG5955"/>
      <c r="CH5955"/>
      <c r="CI5955"/>
    </row>
    <row r="5956" spans="83:87" x14ac:dyDescent="0.2">
      <c r="CE5956"/>
      <c r="CF5956"/>
      <c r="CG5956"/>
      <c r="CH5956"/>
      <c r="CI5956"/>
    </row>
    <row r="5957" spans="83:87" x14ac:dyDescent="0.2">
      <c r="CE5957"/>
      <c r="CF5957"/>
      <c r="CG5957"/>
      <c r="CH5957"/>
      <c r="CI5957"/>
    </row>
    <row r="5958" spans="83:87" x14ac:dyDescent="0.2">
      <c r="CE5958"/>
      <c r="CF5958"/>
      <c r="CG5958"/>
      <c r="CH5958"/>
      <c r="CI5958"/>
    </row>
    <row r="5959" spans="83:87" x14ac:dyDescent="0.2">
      <c r="CE5959"/>
      <c r="CF5959"/>
      <c r="CG5959"/>
      <c r="CH5959"/>
      <c r="CI5959"/>
    </row>
    <row r="5960" spans="83:87" x14ac:dyDescent="0.2">
      <c r="CE5960"/>
      <c r="CF5960"/>
      <c r="CG5960"/>
      <c r="CH5960"/>
      <c r="CI5960"/>
    </row>
    <row r="5961" spans="83:87" x14ac:dyDescent="0.2">
      <c r="CE5961"/>
      <c r="CF5961"/>
      <c r="CG5961"/>
      <c r="CH5961"/>
      <c r="CI5961"/>
    </row>
    <row r="5962" spans="83:87" x14ac:dyDescent="0.2">
      <c r="CE5962"/>
      <c r="CF5962"/>
      <c r="CG5962"/>
      <c r="CH5962"/>
      <c r="CI5962"/>
    </row>
    <row r="5963" spans="83:87" x14ac:dyDescent="0.2">
      <c r="CE5963"/>
      <c r="CF5963"/>
      <c r="CG5963"/>
      <c r="CH5963"/>
      <c r="CI5963"/>
    </row>
    <row r="5964" spans="83:87" x14ac:dyDescent="0.2">
      <c r="CE5964"/>
      <c r="CF5964"/>
      <c r="CG5964"/>
      <c r="CH5964"/>
      <c r="CI5964"/>
    </row>
    <row r="5965" spans="83:87" x14ac:dyDescent="0.2">
      <c r="CE5965"/>
      <c r="CF5965"/>
      <c r="CG5965"/>
      <c r="CH5965"/>
      <c r="CI5965"/>
    </row>
    <row r="5966" spans="83:87" x14ac:dyDescent="0.2">
      <c r="CE5966"/>
      <c r="CF5966"/>
      <c r="CG5966"/>
      <c r="CH5966"/>
      <c r="CI5966"/>
    </row>
    <row r="5967" spans="83:87" x14ac:dyDescent="0.2">
      <c r="CE5967"/>
      <c r="CF5967"/>
      <c r="CG5967"/>
      <c r="CH5967"/>
      <c r="CI5967"/>
    </row>
    <row r="5968" spans="83:87" x14ac:dyDescent="0.2">
      <c r="CE5968"/>
      <c r="CF5968"/>
      <c r="CG5968"/>
      <c r="CH5968"/>
      <c r="CI5968"/>
    </row>
    <row r="5969" spans="83:87" x14ac:dyDescent="0.2">
      <c r="CE5969"/>
      <c r="CF5969"/>
      <c r="CG5969"/>
      <c r="CH5969"/>
      <c r="CI5969"/>
    </row>
    <row r="5970" spans="83:87" x14ac:dyDescent="0.2">
      <c r="CE5970"/>
      <c r="CF5970"/>
      <c r="CG5970"/>
      <c r="CH5970"/>
      <c r="CI5970"/>
    </row>
    <row r="5971" spans="83:87" x14ac:dyDescent="0.2">
      <c r="CE5971"/>
      <c r="CF5971"/>
      <c r="CG5971"/>
      <c r="CH5971"/>
      <c r="CI5971"/>
    </row>
    <row r="5972" spans="83:87" x14ac:dyDescent="0.2">
      <c r="CE5972"/>
      <c r="CF5972"/>
      <c r="CG5972"/>
      <c r="CH5972"/>
      <c r="CI5972"/>
    </row>
    <row r="5973" spans="83:87" x14ac:dyDescent="0.2">
      <c r="CE5973"/>
      <c r="CF5973"/>
      <c r="CG5973"/>
      <c r="CH5973"/>
      <c r="CI5973"/>
    </row>
    <row r="5974" spans="83:87" x14ac:dyDescent="0.2">
      <c r="CE5974"/>
      <c r="CF5974"/>
      <c r="CG5974"/>
      <c r="CH5974"/>
      <c r="CI5974"/>
    </row>
    <row r="5975" spans="83:87" x14ac:dyDescent="0.2">
      <c r="CE5975"/>
      <c r="CF5975"/>
      <c r="CG5975"/>
      <c r="CH5975"/>
      <c r="CI5975"/>
    </row>
    <row r="5976" spans="83:87" x14ac:dyDescent="0.2">
      <c r="CE5976"/>
      <c r="CF5976"/>
      <c r="CG5976"/>
      <c r="CH5976"/>
      <c r="CI5976"/>
    </row>
    <row r="5977" spans="83:87" x14ac:dyDescent="0.2">
      <c r="CE5977"/>
      <c r="CF5977"/>
      <c r="CG5977"/>
      <c r="CH5977"/>
      <c r="CI5977"/>
    </row>
    <row r="5978" spans="83:87" x14ac:dyDescent="0.2">
      <c r="CE5978"/>
      <c r="CF5978"/>
      <c r="CG5978"/>
      <c r="CH5978"/>
      <c r="CI5978"/>
    </row>
    <row r="5979" spans="83:87" x14ac:dyDescent="0.2">
      <c r="CE5979"/>
      <c r="CF5979"/>
      <c r="CG5979"/>
      <c r="CH5979"/>
      <c r="CI5979"/>
    </row>
    <row r="5980" spans="83:87" x14ac:dyDescent="0.2">
      <c r="CE5980"/>
      <c r="CF5980"/>
      <c r="CG5980"/>
      <c r="CH5980"/>
      <c r="CI5980"/>
    </row>
    <row r="5981" spans="83:87" x14ac:dyDescent="0.2">
      <c r="CE5981"/>
      <c r="CF5981"/>
      <c r="CG5981"/>
      <c r="CH5981"/>
      <c r="CI5981"/>
    </row>
    <row r="5982" spans="83:87" x14ac:dyDescent="0.2">
      <c r="CE5982"/>
      <c r="CF5982"/>
      <c r="CG5982"/>
      <c r="CH5982"/>
      <c r="CI5982"/>
    </row>
    <row r="5983" spans="83:87" x14ac:dyDescent="0.2">
      <c r="CE5983"/>
      <c r="CF5983"/>
      <c r="CG5983"/>
      <c r="CH5983"/>
      <c r="CI5983"/>
    </row>
    <row r="5984" spans="83:87" x14ac:dyDescent="0.2">
      <c r="CE5984"/>
      <c r="CF5984"/>
      <c r="CG5984"/>
      <c r="CH5984"/>
      <c r="CI5984"/>
    </row>
    <row r="5985" spans="83:87" x14ac:dyDescent="0.2">
      <c r="CE5985"/>
      <c r="CF5985"/>
      <c r="CG5985"/>
      <c r="CH5985"/>
      <c r="CI5985"/>
    </row>
    <row r="5986" spans="83:87" x14ac:dyDescent="0.2">
      <c r="CE5986"/>
      <c r="CF5986"/>
      <c r="CG5986"/>
      <c r="CH5986"/>
      <c r="CI5986"/>
    </row>
    <row r="5987" spans="83:87" x14ac:dyDescent="0.2">
      <c r="CE5987"/>
      <c r="CF5987"/>
      <c r="CG5987"/>
      <c r="CH5987"/>
      <c r="CI5987"/>
    </row>
    <row r="5988" spans="83:87" x14ac:dyDescent="0.2">
      <c r="CE5988"/>
      <c r="CF5988"/>
      <c r="CG5988"/>
      <c r="CH5988"/>
      <c r="CI5988"/>
    </row>
    <row r="5989" spans="83:87" x14ac:dyDescent="0.2">
      <c r="CE5989"/>
      <c r="CF5989"/>
      <c r="CG5989"/>
      <c r="CH5989"/>
      <c r="CI5989"/>
    </row>
    <row r="5990" spans="83:87" x14ac:dyDescent="0.2">
      <c r="CE5990"/>
      <c r="CF5990"/>
      <c r="CG5990"/>
      <c r="CH5990"/>
      <c r="CI5990"/>
    </row>
    <row r="5991" spans="83:87" x14ac:dyDescent="0.2">
      <c r="CE5991"/>
      <c r="CF5991"/>
      <c r="CG5991"/>
      <c r="CH5991"/>
      <c r="CI5991"/>
    </row>
    <row r="5992" spans="83:87" x14ac:dyDescent="0.2">
      <c r="CE5992"/>
      <c r="CF5992"/>
      <c r="CG5992"/>
      <c r="CH5992"/>
      <c r="CI5992"/>
    </row>
    <row r="5993" spans="83:87" x14ac:dyDescent="0.2">
      <c r="CE5993"/>
      <c r="CF5993"/>
      <c r="CG5993"/>
      <c r="CH5993"/>
      <c r="CI5993"/>
    </row>
    <row r="5994" spans="83:87" x14ac:dyDescent="0.2">
      <c r="CE5994"/>
      <c r="CF5994"/>
      <c r="CG5994"/>
      <c r="CH5994"/>
      <c r="CI5994"/>
    </row>
    <row r="5995" spans="83:87" x14ac:dyDescent="0.2">
      <c r="CE5995"/>
      <c r="CF5995"/>
      <c r="CG5995"/>
      <c r="CH5995"/>
      <c r="CI5995"/>
    </row>
    <row r="5996" spans="83:87" x14ac:dyDescent="0.2">
      <c r="CE5996"/>
      <c r="CF5996"/>
      <c r="CG5996"/>
      <c r="CH5996"/>
      <c r="CI5996"/>
    </row>
    <row r="5997" spans="83:87" x14ac:dyDescent="0.2">
      <c r="CE5997"/>
      <c r="CF5997"/>
      <c r="CG5997"/>
      <c r="CH5997"/>
      <c r="CI5997"/>
    </row>
    <row r="5998" spans="83:87" x14ac:dyDescent="0.2">
      <c r="CE5998"/>
      <c r="CF5998"/>
      <c r="CG5998"/>
      <c r="CH5998"/>
      <c r="CI5998"/>
    </row>
    <row r="5999" spans="83:87" x14ac:dyDescent="0.2">
      <c r="CE5999"/>
      <c r="CF5999"/>
      <c r="CG5999"/>
      <c r="CH5999"/>
      <c r="CI5999"/>
    </row>
    <row r="6000" spans="83:87" x14ac:dyDescent="0.2">
      <c r="CE6000"/>
      <c r="CF6000"/>
      <c r="CG6000"/>
      <c r="CH6000"/>
      <c r="CI6000"/>
    </row>
    <row r="6001" spans="83:87" x14ac:dyDescent="0.2">
      <c r="CE6001"/>
      <c r="CF6001"/>
      <c r="CG6001"/>
      <c r="CH6001"/>
      <c r="CI6001"/>
    </row>
    <row r="6002" spans="83:87" x14ac:dyDescent="0.2">
      <c r="CE6002"/>
      <c r="CF6002"/>
      <c r="CG6002"/>
      <c r="CH6002"/>
      <c r="CI6002"/>
    </row>
    <row r="6003" spans="83:87" x14ac:dyDescent="0.2">
      <c r="CE6003"/>
      <c r="CF6003"/>
      <c r="CG6003"/>
      <c r="CH6003"/>
      <c r="CI6003"/>
    </row>
    <row r="6004" spans="83:87" x14ac:dyDescent="0.2">
      <c r="CE6004"/>
      <c r="CF6004"/>
      <c r="CG6004"/>
      <c r="CH6004"/>
      <c r="CI6004"/>
    </row>
    <row r="6005" spans="83:87" x14ac:dyDescent="0.2">
      <c r="CE6005"/>
      <c r="CF6005"/>
      <c r="CG6005"/>
      <c r="CH6005"/>
      <c r="CI6005"/>
    </row>
    <row r="6006" spans="83:87" x14ac:dyDescent="0.2">
      <c r="CE6006"/>
      <c r="CF6006"/>
      <c r="CG6006"/>
      <c r="CH6006"/>
      <c r="CI6006"/>
    </row>
    <row r="6007" spans="83:87" x14ac:dyDescent="0.2">
      <c r="CE6007"/>
      <c r="CF6007"/>
      <c r="CG6007"/>
      <c r="CH6007"/>
      <c r="CI6007"/>
    </row>
    <row r="6008" spans="83:87" x14ac:dyDescent="0.2">
      <c r="CE6008"/>
      <c r="CF6008"/>
      <c r="CG6008"/>
      <c r="CH6008"/>
      <c r="CI6008"/>
    </row>
    <row r="6009" spans="83:87" x14ac:dyDescent="0.2">
      <c r="CE6009"/>
      <c r="CF6009"/>
      <c r="CG6009"/>
      <c r="CH6009"/>
      <c r="CI6009"/>
    </row>
    <row r="6010" spans="83:87" x14ac:dyDescent="0.2">
      <c r="CE6010"/>
      <c r="CF6010"/>
      <c r="CG6010"/>
      <c r="CH6010"/>
      <c r="CI6010"/>
    </row>
    <row r="6011" spans="83:87" x14ac:dyDescent="0.2">
      <c r="CE6011"/>
      <c r="CF6011"/>
      <c r="CG6011"/>
      <c r="CH6011"/>
      <c r="CI6011"/>
    </row>
    <row r="6012" spans="83:87" x14ac:dyDescent="0.2">
      <c r="CE6012"/>
      <c r="CF6012"/>
      <c r="CG6012"/>
      <c r="CH6012"/>
      <c r="CI6012"/>
    </row>
    <row r="6013" spans="83:87" x14ac:dyDescent="0.2">
      <c r="CE6013"/>
      <c r="CF6013"/>
      <c r="CG6013"/>
      <c r="CH6013"/>
      <c r="CI6013"/>
    </row>
    <row r="6014" spans="83:87" x14ac:dyDescent="0.2">
      <c r="CE6014"/>
      <c r="CF6014"/>
      <c r="CG6014"/>
      <c r="CH6014"/>
      <c r="CI6014"/>
    </row>
    <row r="6015" spans="83:87" x14ac:dyDescent="0.2">
      <c r="CE6015"/>
      <c r="CF6015"/>
      <c r="CG6015"/>
      <c r="CH6015"/>
      <c r="CI6015"/>
    </row>
    <row r="6016" spans="83:87" x14ac:dyDescent="0.2">
      <c r="CE6016"/>
      <c r="CF6016"/>
      <c r="CG6016"/>
      <c r="CH6016"/>
      <c r="CI6016"/>
    </row>
    <row r="6017" spans="83:87" x14ac:dyDescent="0.2">
      <c r="CE6017"/>
      <c r="CF6017"/>
      <c r="CG6017"/>
      <c r="CH6017"/>
      <c r="CI6017"/>
    </row>
    <row r="6018" spans="83:87" x14ac:dyDescent="0.2">
      <c r="CE6018"/>
      <c r="CF6018"/>
      <c r="CG6018"/>
      <c r="CH6018"/>
      <c r="CI6018"/>
    </row>
    <row r="6019" spans="83:87" x14ac:dyDescent="0.2">
      <c r="CE6019"/>
      <c r="CF6019"/>
      <c r="CG6019"/>
      <c r="CH6019"/>
      <c r="CI6019"/>
    </row>
    <row r="6020" spans="83:87" x14ac:dyDescent="0.2">
      <c r="CE6020"/>
      <c r="CF6020"/>
      <c r="CG6020"/>
      <c r="CH6020"/>
      <c r="CI6020"/>
    </row>
    <row r="6021" spans="83:87" x14ac:dyDescent="0.2">
      <c r="CE6021"/>
      <c r="CF6021"/>
      <c r="CG6021"/>
      <c r="CH6021"/>
      <c r="CI6021"/>
    </row>
    <row r="6022" spans="83:87" x14ac:dyDescent="0.2">
      <c r="CE6022"/>
      <c r="CF6022"/>
      <c r="CG6022"/>
      <c r="CH6022"/>
      <c r="CI6022"/>
    </row>
    <row r="6023" spans="83:87" x14ac:dyDescent="0.2">
      <c r="CE6023"/>
      <c r="CF6023"/>
      <c r="CG6023"/>
      <c r="CH6023"/>
      <c r="CI6023"/>
    </row>
    <row r="6024" spans="83:87" x14ac:dyDescent="0.2">
      <c r="CE6024"/>
      <c r="CF6024"/>
      <c r="CG6024"/>
      <c r="CH6024"/>
      <c r="CI6024"/>
    </row>
    <row r="6025" spans="83:87" x14ac:dyDescent="0.2">
      <c r="CE6025"/>
      <c r="CF6025"/>
      <c r="CG6025"/>
      <c r="CH6025"/>
      <c r="CI6025"/>
    </row>
    <row r="6026" spans="83:87" x14ac:dyDescent="0.2">
      <c r="CE6026"/>
      <c r="CF6026"/>
      <c r="CG6026"/>
      <c r="CH6026"/>
      <c r="CI6026"/>
    </row>
    <row r="6027" spans="83:87" x14ac:dyDescent="0.2">
      <c r="CE6027"/>
      <c r="CF6027"/>
      <c r="CG6027"/>
      <c r="CH6027"/>
      <c r="CI6027"/>
    </row>
    <row r="6028" spans="83:87" x14ac:dyDescent="0.2">
      <c r="CE6028"/>
      <c r="CF6028"/>
      <c r="CG6028"/>
      <c r="CH6028"/>
      <c r="CI6028"/>
    </row>
    <row r="6029" spans="83:87" x14ac:dyDescent="0.2">
      <c r="CE6029"/>
      <c r="CF6029"/>
      <c r="CG6029"/>
      <c r="CH6029"/>
      <c r="CI6029"/>
    </row>
    <row r="6030" spans="83:87" x14ac:dyDescent="0.2">
      <c r="CE6030"/>
      <c r="CF6030"/>
      <c r="CG6030"/>
      <c r="CH6030"/>
      <c r="CI6030"/>
    </row>
    <row r="6031" spans="83:87" x14ac:dyDescent="0.2">
      <c r="CE6031"/>
      <c r="CF6031"/>
      <c r="CG6031"/>
      <c r="CH6031"/>
      <c r="CI6031"/>
    </row>
    <row r="6032" spans="83:87" x14ac:dyDescent="0.2">
      <c r="CE6032"/>
      <c r="CF6032"/>
      <c r="CG6032"/>
      <c r="CH6032"/>
      <c r="CI6032"/>
    </row>
    <row r="6033" spans="83:87" x14ac:dyDescent="0.2">
      <c r="CE6033"/>
      <c r="CF6033"/>
      <c r="CG6033"/>
      <c r="CH6033"/>
      <c r="CI6033"/>
    </row>
    <row r="6034" spans="83:87" x14ac:dyDescent="0.2">
      <c r="CE6034"/>
      <c r="CF6034"/>
      <c r="CG6034"/>
      <c r="CH6034"/>
      <c r="CI6034"/>
    </row>
    <row r="6035" spans="83:87" x14ac:dyDescent="0.2">
      <c r="CE6035"/>
      <c r="CF6035"/>
      <c r="CG6035"/>
      <c r="CH6035"/>
      <c r="CI6035"/>
    </row>
    <row r="6036" spans="83:87" x14ac:dyDescent="0.2">
      <c r="CE6036"/>
      <c r="CF6036"/>
      <c r="CG6036"/>
      <c r="CH6036"/>
      <c r="CI6036"/>
    </row>
    <row r="6037" spans="83:87" x14ac:dyDescent="0.2">
      <c r="CE6037"/>
      <c r="CF6037"/>
      <c r="CG6037"/>
      <c r="CH6037"/>
      <c r="CI6037"/>
    </row>
    <row r="6038" spans="83:87" x14ac:dyDescent="0.2">
      <c r="CE6038"/>
      <c r="CF6038"/>
      <c r="CG6038"/>
      <c r="CH6038"/>
      <c r="CI6038"/>
    </row>
    <row r="6039" spans="83:87" x14ac:dyDescent="0.2">
      <c r="CE6039"/>
      <c r="CF6039"/>
      <c r="CG6039"/>
      <c r="CH6039"/>
      <c r="CI6039"/>
    </row>
    <row r="6040" spans="83:87" x14ac:dyDescent="0.2">
      <c r="CE6040"/>
      <c r="CF6040"/>
      <c r="CG6040"/>
      <c r="CH6040"/>
      <c r="CI6040"/>
    </row>
    <row r="6041" spans="83:87" x14ac:dyDescent="0.2">
      <c r="CE6041"/>
      <c r="CF6041"/>
      <c r="CG6041"/>
      <c r="CH6041"/>
      <c r="CI6041"/>
    </row>
    <row r="6042" spans="83:87" x14ac:dyDescent="0.2">
      <c r="CE6042"/>
      <c r="CF6042"/>
      <c r="CG6042"/>
      <c r="CH6042"/>
      <c r="CI6042"/>
    </row>
    <row r="6043" spans="83:87" x14ac:dyDescent="0.2">
      <c r="CE6043"/>
      <c r="CF6043"/>
      <c r="CG6043"/>
      <c r="CH6043"/>
      <c r="CI6043"/>
    </row>
    <row r="6044" spans="83:87" x14ac:dyDescent="0.2">
      <c r="CE6044"/>
      <c r="CF6044"/>
      <c r="CG6044"/>
      <c r="CH6044"/>
      <c r="CI6044"/>
    </row>
    <row r="6045" spans="83:87" x14ac:dyDescent="0.2">
      <c r="CE6045"/>
      <c r="CF6045"/>
      <c r="CG6045"/>
      <c r="CH6045"/>
      <c r="CI6045"/>
    </row>
    <row r="6046" spans="83:87" x14ac:dyDescent="0.2">
      <c r="CE6046"/>
      <c r="CF6046"/>
      <c r="CG6046"/>
      <c r="CH6046"/>
      <c r="CI6046"/>
    </row>
    <row r="6047" spans="83:87" x14ac:dyDescent="0.2">
      <c r="CE6047"/>
      <c r="CF6047"/>
      <c r="CG6047"/>
      <c r="CH6047"/>
      <c r="CI6047"/>
    </row>
    <row r="6048" spans="83:87" x14ac:dyDescent="0.2">
      <c r="CE6048"/>
      <c r="CF6048"/>
      <c r="CG6048"/>
      <c r="CH6048"/>
      <c r="CI6048"/>
    </row>
    <row r="6049" spans="83:87" x14ac:dyDescent="0.2">
      <c r="CE6049"/>
      <c r="CF6049"/>
      <c r="CG6049"/>
      <c r="CH6049"/>
      <c r="CI6049"/>
    </row>
    <row r="6050" spans="83:87" x14ac:dyDescent="0.2">
      <c r="CE6050"/>
      <c r="CF6050"/>
      <c r="CG6050"/>
      <c r="CH6050"/>
      <c r="CI6050"/>
    </row>
    <row r="6051" spans="83:87" x14ac:dyDescent="0.2">
      <c r="CE6051"/>
      <c r="CF6051"/>
      <c r="CG6051"/>
      <c r="CH6051"/>
      <c r="CI6051"/>
    </row>
    <row r="6052" spans="83:87" x14ac:dyDescent="0.2">
      <c r="CE6052"/>
      <c r="CF6052"/>
      <c r="CG6052"/>
      <c r="CH6052"/>
      <c r="CI6052"/>
    </row>
    <row r="6053" spans="83:87" x14ac:dyDescent="0.2">
      <c r="CE6053"/>
      <c r="CF6053"/>
      <c r="CG6053"/>
      <c r="CH6053"/>
      <c r="CI6053"/>
    </row>
    <row r="6054" spans="83:87" x14ac:dyDescent="0.2">
      <c r="CE6054"/>
      <c r="CF6054"/>
      <c r="CG6054"/>
      <c r="CH6054"/>
      <c r="CI6054"/>
    </row>
    <row r="6055" spans="83:87" x14ac:dyDescent="0.2">
      <c r="CE6055"/>
      <c r="CF6055"/>
      <c r="CG6055"/>
      <c r="CH6055"/>
      <c r="CI6055"/>
    </row>
    <row r="6056" spans="83:87" x14ac:dyDescent="0.2">
      <c r="CE6056"/>
      <c r="CF6056"/>
      <c r="CG6056"/>
      <c r="CH6056"/>
      <c r="CI6056"/>
    </row>
    <row r="6057" spans="83:87" x14ac:dyDescent="0.2">
      <c r="CE6057"/>
      <c r="CF6057"/>
      <c r="CG6057"/>
      <c r="CH6057"/>
      <c r="CI6057"/>
    </row>
    <row r="6058" spans="83:87" x14ac:dyDescent="0.2">
      <c r="CE6058"/>
      <c r="CF6058"/>
      <c r="CG6058"/>
      <c r="CH6058"/>
      <c r="CI6058"/>
    </row>
    <row r="6059" spans="83:87" x14ac:dyDescent="0.2">
      <c r="CE6059"/>
      <c r="CF6059"/>
      <c r="CG6059"/>
      <c r="CH6059"/>
      <c r="CI6059"/>
    </row>
    <row r="6060" spans="83:87" x14ac:dyDescent="0.2">
      <c r="CE6060"/>
      <c r="CF6060"/>
      <c r="CG6060"/>
      <c r="CH6060"/>
      <c r="CI6060"/>
    </row>
    <row r="6061" spans="83:87" x14ac:dyDescent="0.2">
      <c r="CE6061"/>
      <c r="CF6061"/>
      <c r="CG6061"/>
      <c r="CH6061"/>
      <c r="CI6061"/>
    </row>
    <row r="6062" spans="83:87" x14ac:dyDescent="0.2">
      <c r="CE6062"/>
      <c r="CF6062"/>
      <c r="CG6062"/>
      <c r="CH6062"/>
      <c r="CI6062"/>
    </row>
    <row r="6063" spans="83:87" x14ac:dyDescent="0.2">
      <c r="CE6063"/>
      <c r="CF6063"/>
      <c r="CG6063"/>
      <c r="CH6063"/>
      <c r="CI6063"/>
    </row>
    <row r="6064" spans="83:87" x14ac:dyDescent="0.2">
      <c r="CE6064"/>
      <c r="CF6064"/>
      <c r="CG6064"/>
      <c r="CH6064"/>
      <c r="CI6064"/>
    </row>
    <row r="6065" spans="83:87" x14ac:dyDescent="0.2">
      <c r="CE6065"/>
      <c r="CF6065"/>
      <c r="CG6065"/>
      <c r="CH6065"/>
      <c r="CI6065"/>
    </row>
    <row r="6066" spans="83:87" x14ac:dyDescent="0.2">
      <c r="CE6066"/>
      <c r="CF6066"/>
      <c r="CG6066"/>
      <c r="CH6066"/>
      <c r="CI6066"/>
    </row>
    <row r="6067" spans="83:87" x14ac:dyDescent="0.2">
      <c r="CE6067"/>
      <c r="CF6067"/>
      <c r="CG6067"/>
      <c r="CH6067"/>
      <c r="CI6067"/>
    </row>
    <row r="6068" spans="83:87" x14ac:dyDescent="0.2">
      <c r="CE6068"/>
      <c r="CF6068"/>
      <c r="CG6068"/>
      <c r="CH6068"/>
      <c r="CI6068"/>
    </row>
    <row r="6069" spans="83:87" x14ac:dyDescent="0.2">
      <c r="CE6069"/>
      <c r="CF6069"/>
      <c r="CG6069"/>
      <c r="CH6069"/>
      <c r="CI6069"/>
    </row>
    <row r="6070" spans="83:87" x14ac:dyDescent="0.2">
      <c r="CE6070"/>
      <c r="CF6070"/>
      <c r="CG6070"/>
      <c r="CH6070"/>
      <c r="CI6070"/>
    </row>
    <row r="6071" spans="83:87" x14ac:dyDescent="0.2">
      <c r="CE6071"/>
      <c r="CF6071"/>
      <c r="CG6071"/>
      <c r="CH6071"/>
      <c r="CI6071"/>
    </row>
    <row r="6072" spans="83:87" x14ac:dyDescent="0.2">
      <c r="CE6072"/>
      <c r="CF6072"/>
      <c r="CG6072"/>
      <c r="CH6072"/>
      <c r="CI6072"/>
    </row>
    <row r="6073" spans="83:87" x14ac:dyDescent="0.2">
      <c r="CE6073"/>
      <c r="CF6073"/>
      <c r="CG6073"/>
      <c r="CH6073"/>
      <c r="CI6073"/>
    </row>
    <row r="6074" spans="83:87" x14ac:dyDescent="0.2">
      <c r="CE6074"/>
      <c r="CF6074"/>
      <c r="CG6074"/>
      <c r="CH6074"/>
      <c r="CI6074"/>
    </row>
    <row r="6075" spans="83:87" x14ac:dyDescent="0.2">
      <c r="CE6075"/>
      <c r="CF6075"/>
      <c r="CG6075"/>
      <c r="CH6075"/>
      <c r="CI6075"/>
    </row>
    <row r="6076" spans="83:87" x14ac:dyDescent="0.2">
      <c r="CE6076"/>
      <c r="CF6076"/>
      <c r="CG6076"/>
      <c r="CH6076"/>
      <c r="CI6076"/>
    </row>
    <row r="6077" spans="83:87" x14ac:dyDescent="0.2">
      <c r="CE6077"/>
      <c r="CF6077"/>
      <c r="CG6077"/>
      <c r="CH6077"/>
      <c r="CI6077"/>
    </row>
    <row r="6078" spans="83:87" x14ac:dyDescent="0.2">
      <c r="CE6078"/>
      <c r="CF6078"/>
      <c r="CG6078"/>
      <c r="CH6078"/>
      <c r="CI6078"/>
    </row>
    <row r="6079" spans="83:87" x14ac:dyDescent="0.2">
      <c r="CE6079"/>
      <c r="CF6079"/>
      <c r="CG6079"/>
      <c r="CH6079"/>
      <c r="CI6079"/>
    </row>
    <row r="6080" spans="83:87" x14ac:dyDescent="0.2">
      <c r="CE6080"/>
      <c r="CF6080"/>
      <c r="CG6080"/>
      <c r="CH6080"/>
      <c r="CI6080"/>
    </row>
    <row r="6081" spans="83:87" x14ac:dyDescent="0.2">
      <c r="CE6081"/>
      <c r="CF6081"/>
      <c r="CG6081"/>
      <c r="CH6081"/>
      <c r="CI6081"/>
    </row>
    <row r="6082" spans="83:87" x14ac:dyDescent="0.2">
      <c r="CE6082"/>
      <c r="CF6082"/>
      <c r="CG6082"/>
      <c r="CH6082"/>
      <c r="CI6082"/>
    </row>
    <row r="6083" spans="83:87" x14ac:dyDescent="0.2">
      <c r="CE6083"/>
      <c r="CF6083"/>
      <c r="CG6083"/>
      <c r="CH6083"/>
      <c r="CI6083"/>
    </row>
    <row r="6084" spans="83:87" x14ac:dyDescent="0.2">
      <c r="CE6084"/>
      <c r="CF6084"/>
      <c r="CG6084"/>
      <c r="CH6084"/>
      <c r="CI6084"/>
    </row>
    <row r="6085" spans="83:87" x14ac:dyDescent="0.2">
      <c r="CE6085"/>
      <c r="CF6085"/>
      <c r="CG6085"/>
      <c r="CH6085"/>
      <c r="CI6085"/>
    </row>
    <row r="6086" spans="83:87" x14ac:dyDescent="0.2">
      <c r="CE6086"/>
      <c r="CF6086"/>
      <c r="CG6086"/>
      <c r="CH6086"/>
      <c r="CI6086"/>
    </row>
    <row r="6087" spans="83:87" x14ac:dyDescent="0.2">
      <c r="CE6087"/>
      <c r="CF6087"/>
      <c r="CG6087"/>
      <c r="CH6087"/>
      <c r="CI6087"/>
    </row>
    <row r="6088" spans="83:87" x14ac:dyDescent="0.2">
      <c r="CE6088"/>
      <c r="CF6088"/>
      <c r="CG6088"/>
      <c r="CH6088"/>
      <c r="CI6088"/>
    </row>
    <row r="6089" spans="83:87" x14ac:dyDescent="0.2">
      <c r="CE6089"/>
      <c r="CF6089"/>
      <c r="CG6089"/>
      <c r="CH6089"/>
      <c r="CI6089"/>
    </row>
    <row r="6090" spans="83:87" x14ac:dyDescent="0.2">
      <c r="CE6090"/>
      <c r="CF6090"/>
      <c r="CG6090"/>
      <c r="CH6090"/>
      <c r="CI6090"/>
    </row>
    <row r="6091" spans="83:87" x14ac:dyDescent="0.2">
      <c r="CE6091"/>
      <c r="CF6091"/>
      <c r="CG6091"/>
      <c r="CH6091"/>
      <c r="CI6091"/>
    </row>
    <row r="6092" spans="83:87" x14ac:dyDescent="0.2">
      <c r="CE6092"/>
      <c r="CF6092"/>
      <c r="CG6092"/>
      <c r="CH6092"/>
      <c r="CI6092"/>
    </row>
    <row r="6093" spans="83:87" x14ac:dyDescent="0.2">
      <c r="CE6093"/>
      <c r="CF6093"/>
      <c r="CG6093"/>
      <c r="CH6093"/>
      <c r="CI6093"/>
    </row>
    <row r="6094" spans="83:87" x14ac:dyDescent="0.2">
      <c r="CE6094"/>
      <c r="CF6094"/>
      <c r="CG6094"/>
      <c r="CH6094"/>
      <c r="CI6094"/>
    </row>
    <row r="6095" spans="83:87" x14ac:dyDescent="0.2">
      <c r="CE6095"/>
      <c r="CF6095"/>
      <c r="CG6095"/>
      <c r="CH6095"/>
      <c r="CI6095"/>
    </row>
    <row r="6096" spans="83:87" x14ac:dyDescent="0.2">
      <c r="CE6096"/>
      <c r="CF6096"/>
      <c r="CG6096"/>
      <c r="CH6096"/>
      <c r="CI6096"/>
    </row>
    <row r="6097" spans="83:87" x14ac:dyDescent="0.2">
      <c r="CE6097"/>
      <c r="CF6097"/>
      <c r="CG6097"/>
      <c r="CH6097"/>
      <c r="CI6097"/>
    </row>
    <row r="6098" spans="83:87" x14ac:dyDescent="0.2">
      <c r="CE6098"/>
      <c r="CF6098"/>
      <c r="CG6098"/>
      <c r="CH6098"/>
      <c r="CI6098"/>
    </row>
    <row r="6099" spans="83:87" x14ac:dyDescent="0.2">
      <c r="CE6099"/>
      <c r="CF6099"/>
      <c r="CG6099"/>
      <c r="CH6099"/>
      <c r="CI6099"/>
    </row>
    <row r="6100" spans="83:87" x14ac:dyDescent="0.2">
      <c r="CE6100"/>
      <c r="CF6100"/>
      <c r="CG6100"/>
      <c r="CH6100"/>
      <c r="CI6100"/>
    </row>
    <row r="6101" spans="83:87" x14ac:dyDescent="0.2">
      <c r="CE6101"/>
      <c r="CF6101"/>
      <c r="CG6101"/>
      <c r="CH6101"/>
      <c r="CI6101"/>
    </row>
    <row r="6102" spans="83:87" x14ac:dyDescent="0.2">
      <c r="CE6102"/>
      <c r="CF6102"/>
      <c r="CG6102"/>
      <c r="CH6102"/>
      <c r="CI6102"/>
    </row>
    <row r="6103" spans="83:87" x14ac:dyDescent="0.2">
      <c r="CE6103"/>
      <c r="CF6103"/>
      <c r="CG6103"/>
      <c r="CH6103"/>
      <c r="CI6103"/>
    </row>
    <row r="6104" spans="83:87" x14ac:dyDescent="0.2">
      <c r="CE6104"/>
      <c r="CF6104"/>
      <c r="CG6104"/>
      <c r="CH6104"/>
      <c r="CI6104"/>
    </row>
    <row r="6105" spans="83:87" x14ac:dyDescent="0.2">
      <c r="CE6105"/>
      <c r="CF6105"/>
      <c r="CG6105"/>
      <c r="CH6105"/>
      <c r="CI6105"/>
    </row>
    <row r="6106" spans="83:87" x14ac:dyDescent="0.2">
      <c r="CE6106"/>
      <c r="CF6106"/>
      <c r="CG6106"/>
      <c r="CH6106"/>
      <c r="CI6106"/>
    </row>
    <row r="6107" spans="83:87" x14ac:dyDescent="0.2">
      <c r="CE6107"/>
      <c r="CF6107"/>
      <c r="CG6107"/>
      <c r="CH6107"/>
      <c r="CI6107"/>
    </row>
    <row r="6108" spans="83:87" x14ac:dyDescent="0.2">
      <c r="CE6108"/>
      <c r="CF6108"/>
      <c r="CG6108"/>
      <c r="CH6108"/>
      <c r="CI6108"/>
    </row>
    <row r="6109" spans="83:87" x14ac:dyDescent="0.2">
      <c r="CE6109"/>
      <c r="CF6109"/>
      <c r="CG6109"/>
      <c r="CH6109"/>
      <c r="CI6109"/>
    </row>
    <row r="6110" spans="83:87" x14ac:dyDescent="0.2">
      <c r="CE6110"/>
      <c r="CF6110"/>
      <c r="CG6110"/>
      <c r="CH6110"/>
      <c r="CI6110"/>
    </row>
    <row r="6111" spans="83:87" x14ac:dyDescent="0.2">
      <c r="CE6111"/>
      <c r="CF6111"/>
      <c r="CG6111"/>
      <c r="CH6111"/>
      <c r="CI6111"/>
    </row>
    <row r="6112" spans="83:87" x14ac:dyDescent="0.2">
      <c r="CE6112"/>
      <c r="CF6112"/>
      <c r="CG6112"/>
      <c r="CH6112"/>
      <c r="CI6112"/>
    </row>
    <row r="6113" spans="83:87" x14ac:dyDescent="0.2">
      <c r="CE6113"/>
      <c r="CF6113"/>
      <c r="CG6113"/>
      <c r="CH6113"/>
      <c r="CI6113"/>
    </row>
    <row r="6114" spans="83:87" x14ac:dyDescent="0.2">
      <c r="CE6114"/>
      <c r="CF6114"/>
      <c r="CG6114"/>
      <c r="CH6114"/>
      <c r="CI6114"/>
    </row>
    <row r="6115" spans="83:87" x14ac:dyDescent="0.2">
      <c r="CE6115"/>
      <c r="CF6115"/>
      <c r="CG6115"/>
      <c r="CH6115"/>
      <c r="CI6115"/>
    </row>
    <row r="6116" spans="83:87" x14ac:dyDescent="0.2">
      <c r="CE6116"/>
      <c r="CF6116"/>
      <c r="CG6116"/>
      <c r="CH6116"/>
      <c r="CI6116"/>
    </row>
    <row r="6117" spans="83:87" x14ac:dyDescent="0.2">
      <c r="CE6117"/>
      <c r="CF6117"/>
      <c r="CG6117"/>
      <c r="CH6117"/>
      <c r="CI6117"/>
    </row>
    <row r="6118" spans="83:87" x14ac:dyDescent="0.2">
      <c r="CE6118"/>
      <c r="CF6118"/>
      <c r="CG6118"/>
      <c r="CH6118"/>
      <c r="CI6118"/>
    </row>
    <row r="6119" spans="83:87" x14ac:dyDescent="0.2">
      <c r="CE6119"/>
      <c r="CF6119"/>
      <c r="CG6119"/>
      <c r="CH6119"/>
      <c r="CI6119"/>
    </row>
    <row r="6120" spans="83:87" x14ac:dyDescent="0.2">
      <c r="CE6120"/>
      <c r="CF6120"/>
      <c r="CG6120"/>
      <c r="CH6120"/>
      <c r="CI6120"/>
    </row>
    <row r="6121" spans="83:87" x14ac:dyDescent="0.2">
      <c r="CE6121"/>
      <c r="CF6121"/>
      <c r="CG6121"/>
      <c r="CH6121"/>
      <c r="CI6121"/>
    </row>
    <row r="6122" spans="83:87" x14ac:dyDescent="0.2">
      <c r="CE6122"/>
      <c r="CF6122"/>
      <c r="CG6122"/>
      <c r="CH6122"/>
      <c r="CI6122"/>
    </row>
    <row r="6123" spans="83:87" x14ac:dyDescent="0.2">
      <c r="CE6123"/>
      <c r="CF6123"/>
      <c r="CG6123"/>
      <c r="CH6123"/>
      <c r="CI6123"/>
    </row>
    <row r="6124" spans="83:87" x14ac:dyDescent="0.2">
      <c r="CE6124"/>
      <c r="CF6124"/>
      <c r="CG6124"/>
      <c r="CH6124"/>
      <c r="CI6124"/>
    </row>
    <row r="6125" spans="83:87" x14ac:dyDescent="0.2">
      <c r="CE6125"/>
      <c r="CF6125"/>
      <c r="CG6125"/>
      <c r="CH6125"/>
      <c r="CI6125"/>
    </row>
    <row r="6126" spans="83:87" x14ac:dyDescent="0.2">
      <c r="CE6126"/>
      <c r="CF6126"/>
      <c r="CG6126"/>
      <c r="CH6126"/>
      <c r="CI6126"/>
    </row>
    <row r="6127" spans="83:87" x14ac:dyDescent="0.2">
      <c r="CE6127"/>
      <c r="CF6127"/>
      <c r="CG6127"/>
      <c r="CH6127"/>
      <c r="CI6127"/>
    </row>
    <row r="6128" spans="83:87" x14ac:dyDescent="0.2">
      <c r="CE6128"/>
      <c r="CF6128"/>
      <c r="CG6128"/>
      <c r="CH6128"/>
      <c r="CI6128"/>
    </row>
    <row r="6129" spans="83:87" x14ac:dyDescent="0.2">
      <c r="CE6129"/>
      <c r="CF6129"/>
      <c r="CG6129"/>
      <c r="CH6129"/>
      <c r="CI6129"/>
    </row>
    <row r="6130" spans="83:87" x14ac:dyDescent="0.2">
      <c r="CE6130"/>
      <c r="CF6130"/>
      <c r="CG6130"/>
      <c r="CH6130"/>
      <c r="CI6130"/>
    </row>
    <row r="6131" spans="83:87" x14ac:dyDescent="0.2">
      <c r="CE6131"/>
      <c r="CF6131"/>
      <c r="CG6131"/>
      <c r="CH6131"/>
      <c r="CI6131"/>
    </row>
    <row r="6132" spans="83:87" x14ac:dyDescent="0.2">
      <c r="CE6132"/>
      <c r="CF6132"/>
      <c r="CG6132"/>
      <c r="CH6132"/>
      <c r="CI6132"/>
    </row>
    <row r="6133" spans="83:87" x14ac:dyDescent="0.2">
      <c r="CE6133"/>
      <c r="CF6133"/>
      <c r="CG6133"/>
      <c r="CH6133"/>
      <c r="CI6133"/>
    </row>
    <row r="6134" spans="83:87" x14ac:dyDescent="0.2">
      <c r="CE6134"/>
      <c r="CF6134"/>
      <c r="CG6134"/>
      <c r="CH6134"/>
      <c r="CI6134"/>
    </row>
    <row r="6135" spans="83:87" x14ac:dyDescent="0.2">
      <c r="CE6135"/>
      <c r="CF6135"/>
      <c r="CG6135"/>
      <c r="CH6135"/>
      <c r="CI6135"/>
    </row>
    <row r="6136" spans="83:87" x14ac:dyDescent="0.2">
      <c r="CE6136"/>
      <c r="CF6136"/>
      <c r="CG6136"/>
      <c r="CH6136"/>
      <c r="CI6136"/>
    </row>
    <row r="6137" spans="83:87" x14ac:dyDescent="0.2">
      <c r="CE6137"/>
      <c r="CF6137"/>
      <c r="CG6137"/>
      <c r="CH6137"/>
      <c r="CI6137"/>
    </row>
    <row r="6138" spans="83:87" x14ac:dyDescent="0.2">
      <c r="CE6138"/>
      <c r="CF6138"/>
      <c r="CG6138"/>
      <c r="CH6138"/>
      <c r="CI6138"/>
    </row>
    <row r="6139" spans="83:87" x14ac:dyDescent="0.2">
      <c r="CE6139"/>
      <c r="CF6139"/>
      <c r="CG6139"/>
      <c r="CH6139"/>
      <c r="CI6139"/>
    </row>
    <row r="6140" spans="83:87" x14ac:dyDescent="0.2">
      <c r="CE6140"/>
      <c r="CF6140"/>
      <c r="CG6140"/>
      <c r="CH6140"/>
      <c r="CI6140"/>
    </row>
    <row r="6141" spans="83:87" x14ac:dyDescent="0.2">
      <c r="CE6141"/>
      <c r="CF6141"/>
      <c r="CG6141"/>
      <c r="CH6141"/>
      <c r="CI6141"/>
    </row>
    <row r="6142" spans="83:87" x14ac:dyDescent="0.2">
      <c r="CE6142"/>
      <c r="CF6142"/>
      <c r="CG6142"/>
      <c r="CH6142"/>
      <c r="CI6142"/>
    </row>
    <row r="6143" spans="83:87" x14ac:dyDescent="0.2">
      <c r="CE6143"/>
      <c r="CF6143"/>
      <c r="CG6143"/>
      <c r="CH6143"/>
      <c r="CI6143"/>
    </row>
    <row r="6144" spans="83:87" x14ac:dyDescent="0.2">
      <c r="CE6144"/>
      <c r="CF6144"/>
      <c r="CG6144"/>
      <c r="CH6144"/>
      <c r="CI6144"/>
    </row>
    <row r="6145" spans="83:87" x14ac:dyDescent="0.2">
      <c r="CE6145"/>
      <c r="CF6145"/>
      <c r="CG6145"/>
      <c r="CH6145"/>
      <c r="CI6145"/>
    </row>
    <row r="6146" spans="83:87" x14ac:dyDescent="0.2">
      <c r="CE6146"/>
      <c r="CF6146"/>
      <c r="CG6146"/>
      <c r="CH6146"/>
      <c r="CI6146"/>
    </row>
    <row r="6147" spans="83:87" x14ac:dyDescent="0.2">
      <c r="CE6147"/>
      <c r="CF6147"/>
      <c r="CG6147"/>
      <c r="CH6147"/>
      <c r="CI6147"/>
    </row>
    <row r="6148" spans="83:87" x14ac:dyDescent="0.2">
      <c r="CE6148"/>
      <c r="CF6148"/>
      <c r="CG6148"/>
      <c r="CH6148"/>
      <c r="CI6148"/>
    </row>
    <row r="6149" spans="83:87" x14ac:dyDescent="0.2">
      <c r="CE6149"/>
      <c r="CF6149"/>
      <c r="CG6149"/>
      <c r="CH6149"/>
      <c r="CI6149"/>
    </row>
    <row r="6150" spans="83:87" x14ac:dyDescent="0.2">
      <c r="CE6150"/>
      <c r="CF6150"/>
      <c r="CG6150"/>
      <c r="CH6150"/>
      <c r="CI6150"/>
    </row>
    <row r="6151" spans="83:87" x14ac:dyDescent="0.2">
      <c r="CE6151"/>
      <c r="CF6151"/>
      <c r="CG6151"/>
      <c r="CH6151"/>
      <c r="CI6151"/>
    </row>
    <row r="6152" spans="83:87" x14ac:dyDescent="0.2">
      <c r="CE6152"/>
      <c r="CF6152"/>
      <c r="CG6152"/>
      <c r="CH6152"/>
      <c r="CI6152"/>
    </row>
    <row r="6153" spans="83:87" x14ac:dyDescent="0.2">
      <c r="CE6153"/>
      <c r="CF6153"/>
      <c r="CG6153"/>
      <c r="CH6153"/>
      <c r="CI6153"/>
    </row>
    <row r="6154" spans="83:87" x14ac:dyDescent="0.2">
      <c r="CE6154"/>
      <c r="CF6154"/>
      <c r="CG6154"/>
      <c r="CH6154"/>
      <c r="CI6154"/>
    </row>
    <row r="6155" spans="83:87" x14ac:dyDescent="0.2">
      <c r="CE6155"/>
      <c r="CF6155"/>
      <c r="CG6155"/>
      <c r="CH6155"/>
      <c r="CI6155"/>
    </row>
    <row r="6156" spans="83:87" x14ac:dyDescent="0.2">
      <c r="CE6156"/>
      <c r="CF6156"/>
      <c r="CG6156"/>
      <c r="CH6156"/>
      <c r="CI6156"/>
    </row>
    <row r="6157" spans="83:87" x14ac:dyDescent="0.2">
      <c r="CE6157"/>
      <c r="CF6157"/>
      <c r="CG6157"/>
      <c r="CH6157"/>
      <c r="CI6157"/>
    </row>
    <row r="6158" spans="83:87" x14ac:dyDescent="0.2">
      <c r="CE6158"/>
      <c r="CF6158"/>
      <c r="CG6158"/>
      <c r="CH6158"/>
      <c r="CI6158"/>
    </row>
    <row r="6159" spans="83:87" x14ac:dyDescent="0.2">
      <c r="CE6159"/>
      <c r="CF6159"/>
      <c r="CG6159"/>
      <c r="CH6159"/>
      <c r="CI6159"/>
    </row>
    <row r="6160" spans="83:87" x14ac:dyDescent="0.2">
      <c r="CE6160"/>
      <c r="CF6160"/>
      <c r="CG6160"/>
      <c r="CH6160"/>
      <c r="CI6160"/>
    </row>
    <row r="6161" spans="83:87" x14ac:dyDescent="0.2">
      <c r="CE6161"/>
      <c r="CF6161"/>
      <c r="CG6161"/>
      <c r="CH6161"/>
      <c r="CI6161"/>
    </row>
    <row r="6162" spans="83:87" x14ac:dyDescent="0.2">
      <c r="CE6162"/>
      <c r="CF6162"/>
      <c r="CG6162"/>
      <c r="CH6162"/>
      <c r="CI6162"/>
    </row>
    <row r="6163" spans="83:87" x14ac:dyDescent="0.2">
      <c r="CE6163"/>
      <c r="CF6163"/>
      <c r="CG6163"/>
      <c r="CH6163"/>
      <c r="CI6163"/>
    </row>
    <row r="6164" spans="83:87" x14ac:dyDescent="0.2">
      <c r="CE6164"/>
      <c r="CF6164"/>
      <c r="CG6164"/>
      <c r="CH6164"/>
      <c r="CI6164"/>
    </row>
    <row r="6165" spans="83:87" x14ac:dyDescent="0.2">
      <c r="CE6165"/>
      <c r="CF6165"/>
      <c r="CG6165"/>
      <c r="CH6165"/>
      <c r="CI6165"/>
    </row>
    <row r="6166" spans="83:87" x14ac:dyDescent="0.2">
      <c r="CE6166"/>
      <c r="CF6166"/>
      <c r="CG6166"/>
      <c r="CH6166"/>
      <c r="CI6166"/>
    </row>
    <row r="6167" spans="83:87" x14ac:dyDescent="0.2">
      <c r="CE6167"/>
      <c r="CF6167"/>
      <c r="CG6167"/>
      <c r="CH6167"/>
      <c r="CI6167"/>
    </row>
    <row r="6168" spans="83:87" x14ac:dyDescent="0.2">
      <c r="CE6168"/>
      <c r="CF6168"/>
      <c r="CG6168"/>
      <c r="CH6168"/>
      <c r="CI6168"/>
    </row>
    <row r="6169" spans="83:87" x14ac:dyDescent="0.2">
      <c r="CE6169"/>
      <c r="CF6169"/>
      <c r="CG6169"/>
      <c r="CH6169"/>
      <c r="CI6169"/>
    </row>
    <row r="6170" spans="83:87" x14ac:dyDescent="0.2">
      <c r="CE6170"/>
      <c r="CF6170"/>
      <c r="CG6170"/>
      <c r="CH6170"/>
      <c r="CI6170"/>
    </row>
    <row r="6171" spans="83:87" x14ac:dyDescent="0.2">
      <c r="CE6171"/>
      <c r="CF6171"/>
      <c r="CG6171"/>
      <c r="CH6171"/>
      <c r="CI6171"/>
    </row>
    <row r="6172" spans="83:87" x14ac:dyDescent="0.2">
      <c r="CE6172"/>
      <c r="CF6172"/>
      <c r="CG6172"/>
      <c r="CH6172"/>
      <c r="CI6172"/>
    </row>
    <row r="6173" spans="83:87" x14ac:dyDescent="0.2">
      <c r="CE6173"/>
      <c r="CF6173"/>
      <c r="CG6173"/>
      <c r="CH6173"/>
      <c r="CI6173"/>
    </row>
    <row r="6174" spans="83:87" x14ac:dyDescent="0.2">
      <c r="CE6174"/>
      <c r="CF6174"/>
      <c r="CG6174"/>
      <c r="CH6174"/>
      <c r="CI6174"/>
    </row>
    <row r="6175" spans="83:87" x14ac:dyDescent="0.2">
      <c r="CE6175"/>
      <c r="CF6175"/>
      <c r="CG6175"/>
      <c r="CH6175"/>
      <c r="CI6175"/>
    </row>
    <row r="6176" spans="83:87" x14ac:dyDescent="0.2">
      <c r="CE6176"/>
      <c r="CF6176"/>
      <c r="CG6176"/>
      <c r="CH6176"/>
      <c r="CI6176"/>
    </row>
    <row r="6177" spans="83:87" x14ac:dyDescent="0.2">
      <c r="CE6177"/>
      <c r="CF6177"/>
      <c r="CG6177"/>
      <c r="CH6177"/>
      <c r="CI6177"/>
    </row>
    <row r="6178" spans="83:87" x14ac:dyDescent="0.2">
      <c r="CE6178"/>
      <c r="CF6178"/>
      <c r="CG6178"/>
      <c r="CH6178"/>
      <c r="CI6178"/>
    </row>
    <row r="6179" spans="83:87" x14ac:dyDescent="0.2">
      <c r="CE6179"/>
      <c r="CF6179"/>
      <c r="CG6179"/>
      <c r="CH6179"/>
      <c r="CI6179"/>
    </row>
    <row r="6180" spans="83:87" x14ac:dyDescent="0.2">
      <c r="CE6180"/>
      <c r="CF6180"/>
      <c r="CG6180"/>
      <c r="CH6180"/>
      <c r="CI6180"/>
    </row>
    <row r="6181" spans="83:87" x14ac:dyDescent="0.2">
      <c r="CE6181"/>
      <c r="CF6181"/>
      <c r="CG6181"/>
      <c r="CH6181"/>
      <c r="CI6181"/>
    </row>
    <row r="6182" spans="83:87" x14ac:dyDescent="0.2">
      <c r="CE6182"/>
      <c r="CF6182"/>
      <c r="CG6182"/>
      <c r="CH6182"/>
      <c r="CI6182"/>
    </row>
    <row r="6183" spans="83:87" x14ac:dyDescent="0.2">
      <c r="CE6183"/>
      <c r="CF6183"/>
      <c r="CG6183"/>
      <c r="CH6183"/>
      <c r="CI6183"/>
    </row>
    <row r="6184" spans="83:87" x14ac:dyDescent="0.2">
      <c r="CE6184"/>
      <c r="CF6184"/>
      <c r="CG6184"/>
      <c r="CH6184"/>
      <c r="CI6184"/>
    </row>
    <row r="6185" spans="83:87" x14ac:dyDescent="0.2">
      <c r="CE6185"/>
      <c r="CF6185"/>
      <c r="CG6185"/>
      <c r="CH6185"/>
      <c r="CI6185"/>
    </row>
    <row r="6186" spans="83:87" x14ac:dyDescent="0.2">
      <c r="CE6186"/>
      <c r="CF6186"/>
      <c r="CG6186"/>
      <c r="CH6186"/>
      <c r="CI6186"/>
    </row>
    <row r="6187" spans="83:87" x14ac:dyDescent="0.2">
      <c r="CE6187"/>
      <c r="CF6187"/>
      <c r="CG6187"/>
      <c r="CH6187"/>
      <c r="CI6187"/>
    </row>
    <row r="6188" spans="83:87" x14ac:dyDescent="0.2">
      <c r="CE6188"/>
      <c r="CF6188"/>
      <c r="CG6188"/>
      <c r="CH6188"/>
      <c r="CI6188"/>
    </row>
    <row r="6189" spans="83:87" x14ac:dyDescent="0.2">
      <c r="CE6189"/>
      <c r="CF6189"/>
      <c r="CG6189"/>
      <c r="CH6189"/>
      <c r="CI6189"/>
    </row>
    <row r="6190" spans="83:87" x14ac:dyDescent="0.2">
      <c r="CE6190"/>
      <c r="CF6190"/>
      <c r="CG6190"/>
      <c r="CH6190"/>
      <c r="CI6190"/>
    </row>
    <row r="6191" spans="83:87" x14ac:dyDescent="0.2">
      <c r="CE6191"/>
      <c r="CF6191"/>
      <c r="CG6191"/>
      <c r="CH6191"/>
      <c r="CI6191"/>
    </row>
    <row r="6192" spans="83:87" x14ac:dyDescent="0.2">
      <c r="CE6192"/>
      <c r="CF6192"/>
      <c r="CG6192"/>
      <c r="CH6192"/>
      <c r="CI6192"/>
    </row>
    <row r="6193" spans="83:87" x14ac:dyDescent="0.2">
      <c r="CE6193"/>
      <c r="CF6193"/>
      <c r="CG6193"/>
      <c r="CH6193"/>
      <c r="CI6193"/>
    </row>
    <row r="6194" spans="83:87" x14ac:dyDescent="0.2">
      <c r="CE6194"/>
      <c r="CF6194"/>
      <c r="CG6194"/>
      <c r="CH6194"/>
      <c r="CI6194"/>
    </row>
    <row r="6195" spans="83:87" x14ac:dyDescent="0.2">
      <c r="CE6195"/>
      <c r="CF6195"/>
      <c r="CG6195"/>
      <c r="CH6195"/>
      <c r="CI6195"/>
    </row>
    <row r="6196" spans="83:87" x14ac:dyDescent="0.2">
      <c r="CE6196"/>
      <c r="CF6196"/>
      <c r="CG6196"/>
      <c r="CH6196"/>
      <c r="CI6196"/>
    </row>
    <row r="6197" spans="83:87" x14ac:dyDescent="0.2">
      <c r="CE6197"/>
      <c r="CF6197"/>
      <c r="CG6197"/>
      <c r="CH6197"/>
      <c r="CI6197"/>
    </row>
    <row r="6198" spans="83:87" x14ac:dyDescent="0.2">
      <c r="CE6198"/>
      <c r="CF6198"/>
      <c r="CG6198"/>
      <c r="CH6198"/>
      <c r="CI6198"/>
    </row>
    <row r="6199" spans="83:87" x14ac:dyDescent="0.2">
      <c r="CE6199"/>
      <c r="CF6199"/>
      <c r="CG6199"/>
      <c r="CH6199"/>
      <c r="CI6199"/>
    </row>
    <row r="6200" spans="83:87" x14ac:dyDescent="0.2">
      <c r="CE6200"/>
      <c r="CF6200"/>
      <c r="CG6200"/>
      <c r="CH6200"/>
      <c r="CI6200"/>
    </row>
    <row r="6201" spans="83:87" x14ac:dyDescent="0.2">
      <c r="CE6201"/>
      <c r="CF6201"/>
      <c r="CG6201"/>
      <c r="CH6201"/>
      <c r="CI6201"/>
    </row>
    <row r="6202" spans="83:87" x14ac:dyDescent="0.2">
      <c r="CE6202"/>
      <c r="CF6202"/>
      <c r="CG6202"/>
      <c r="CH6202"/>
      <c r="CI6202"/>
    </row>
    <row r="6203" spans="83:87" x14ac:dyDescent="0.2">
      <c r="CE6203"/>
      <c r="CF6203"/>
      <c r="CG6203"/>
      <c r="CH6203"/>
      <c r="CI6203"/>
    </row>
    <row r="6204" spans="83:87" x14ac:dyDescent="0.2">
      <c r="CE6204"/>
      <c r="CF6204"/>
      <c r="CG6204"/>
      <c r="CH6204"/>
      <c r="CI6204"/>
    </row>
    <row r="6205" spans="83:87" x14ac:dyDescent="0.2">
      <c r="CE6205"/>
      <c r="CF6205"/>
      <c r="CG6205"/>
      <c r="CH6205"/>
      <c r="CI6205"/>
    </row>
    <row r="6206" spans="83:87" x14ac:dyDescent="0.2">
      <c r="CE6206"/>
      <c r="CF6206"/>
      <c r="CG6206"/>
      <c r="CH6206"/>
      <c r="CI6206"/>
    </row>
    <row r="6207" spans="83:87" x14ac:dyDescent="0.2">
      <c r="CE6207"/>
      <c r="CF6207"/>
      <c r="CG6207"/>
      <c r="CH6207"/>
      <c r="CI6207"/>
    </row>
    <row r="6208" spans="83:87" x14ac:dyDescent="0.2">
      <c r="CE6208"/>
      <c r="CF6208"/>
      <c r="CG6208"/>
      <c r="CH6208"/>
      <c r="CI6208"/>
    </row>
    <row r="6209" spans="83:87" x14ac:dyDescent="0.2">
      <c r="CE6209"/>
      <c r="CF6209"/>
      <c r="CG6209"/>
      <c r="CH6209"/>
      <c r="CI6209"/>
    </row>
    <row r="6210" spans="83:87" x14ac:dyDescent="0.2">
      <c r="CE6210"/>
      <c r="CF6210"/>
      <c r="CG6210"/>
      <c r="CH6210"/>
      <c r="CI6210"/>
    </row>
    <row r="6211" spans="83:87" x14ac:dyDescent="0.2">
      <c r="CE6211"/>
      <c r="CF6211"/>
      <c r="CG6211"/>
      <c r="CH6211"/>
      <c r="CI6211"/>
    </row>
    <row r="6212" spans="83:87" x14ac:dyDescent="0.2">
      <c r="CE6212"/>
      <c r="CF6212"/>
      <c r="CG6212"/>
      <c r="CH6212"/>
      <c r="CI6212"/>
    </row>
    <row r="6213" spans="83:87" x14ac:dyDescent="0.2">
      <c r="CE6213"/>
      <c r="CF6213"/>
      <c r="CG6213"/>
      <c r="CH6213"/>
      <c r="CI6213"/>
    </row>
    <row r="6214" spans="83:87" x14ac:dyDescent="0.2">
      <c r="CE6214"/>
      <c r="CF6214"/>
      <c r="CG6214"/>
      <c r="CH6214"/>
      <c r="CI6214"/>
    </row>
    <row r="6215" spans="83:87" x14ac:dyDescent="0.2">
      <c r="CE6215"/>
      <c r="CF6215"/>
      <c r="CG6215"/>
      <c r="CH6215"/>
      <c r="CI6215"/>
    </row>
    <row r="6216" spans="83:87" x14ac:dyDescent="0.2">
      <c r="CE6216"/>
      <c r="CF6216"/>
      <c r="CG6216"/>
      <c r="CH6216"/>
      <c r="CI6216"/>
    </row>
    <row r="6217" spans="83:87" x14ac:dyDescent="0.2">
      <c r="CE6217"/>
      <c r="CF6217"/>
      <c r="CG6217"/>
      <c r="CH6217"/>
      <c r="CI6217"/>
    </row>
    <row r="6218" spans="83:87" x14ac:dyDescent="0.2">
      <c r="CE6218"/>
      <c r="CF6218"/>
      <c r="CG6218"/>
      <c r="CH6218"/>
      <c r="CI6218"/>
    </row>
    <row r="6219" spans="83:87" x14ac:dyDescent="0.2">
      <c r="CE6219"/>
      <c r="CF6219"/>
      <c r="CG6219"/>
      <c r="CH6219"/>
      <c r="CI6219"/>
    </row>
    <row r="6220" spans="83:87" x14ac:dyDescent="0.2">
      <c r="CE6220"/>
      <c r="CF6220"/>
      <c r="CG6220"/>
      <c r="CH6220"/>
      <c r="CI6220"/>
    </row>
    <row r="6221" spans="83:87" x14ac:dyDescent="0.2">
      <c r="CE6221"/>
      <c r="CF6221"/>
      <c r="CG6221"/>
      <c r="CH6221"/>
      <c r="CI6221"/>
    </row>
    <row r="6222" spans="83:87" x14ac:dyDescent="0.2">
      <c r="CE6222"/>
      <c r="CF6222"/>
      <c r="CG6222"/>
      <c r="CH6222"/>
      <c r="CI6222"/>
    </row>
    <row r="6223" spans="83:87" x14ac:dyDescent="0.2">
      <c r="CE6223"/>
      <c r="CF6223"/>
      <c r="CG6223"/>
      <c r="CH6223"/>
      <c r="CI6223"/>
    </row>
    <row r="6224" spans="83:87" x14ac:dyDescent="0.2">
      <c r="CE6224"/>
      <c r="CF6224"/>
      <c r="CG6224"/>
      <c r="CH6224"/>
      <c r="CI6224"/>
    </row>
    <row r="6225" spans="83:87" x14ac:dyDescent="0.2">
      <c r="CE6225"/>
      <c r="CF6225"/>
      <c r="CG6225"/>
      <c r="CH6225"/>
      <c r="CI6225"/>
    </row>
    <row r="6226" spans="83:87" x14ac:dyDescent="0.2">
      <c r="CE6226"/>
      <c r="CF6226"/>
      <c r="CG6226"/>
      <c r="CH6226"/>
      <c r="CI6226"/>
    </row>
    <row r="6227" spans="83:87" x14ac:dyDescent="0.2">
      <c r="CE6227"/>
      <c r="CF6227"/>
      <c r="CG6227"/>
      <c r="CH6227"/>
      <c r="CI6227"/>
    </row>
    <row r="6228" spans="83:87" x14ac:dyDescent="0.2">
      <c r="CE6228"/>
      <c r="CF6228"/>
      <c r="CG6228"/>
      <c r="CH6228"/>
      <c r="CI6228"/>
    </row>
    <row r="6229" spans="83:87" x14ac:dyDescent="0.2">
      <c r="CE6229"/>
      <c r="CF6229"/>
      <c r="CG6229"/>
      <c r="CH6229"/>
      <c r="CI6229"/>
    </row>
    <row r="6230" spans="83:87" x14ac:dyDescent="0.2">
      <c r="CE6230"/>
      <c r="CF6230"/>
      <c r="CG6230"/>
      <c r="CH6230"/>
      <c r="CI6230"/>
    </row>
    <row r="6231" spans="83:87" x14ac:dyDescent="0.2">
      <c r="CE6231"/>
      <c r="CF6231"/>
      <c r="CG6231"/>
      <c r="CH6231"/>
      <c r="CI6231"/>
    </row>
    <row r="6232" spans="83:87" x14ac:dyDescent="0.2">
      <c r="CE6232"/>
      <c r="CF6232"/>
      <c r="CG6232"/>
      <c r="CH6232"/>
      <c r="CI6232"/>
    </row>
    <row r="6233" spans="83:87" x14ac:dyDescent="0.2">
      <c r="CE6233"/>
      <c r="CF6233"/>
      <c r="CG6233"/>
      <c r="CH6233"/>
      <c r="CI6233"/>
    </row>
    <row r="6234" spans="83:87" x14ac:dyDescent="0.2">
      <c r="CE6234"/>
      <c r="CF6234"/>
      <c r="CG6234"/>
      <c r="CH6234"/>
      <c r="CI6234"/>
    </row>
    <row r="6235" spans="83:87" x14ac:dyDescent="0.2">
      <c r="CE6235"/>
      <c r="CF6235"/>
      <c r="CG6235"/>
      <c r="CH6235"/>
      <c r="CI6235"/>
    </row>
    <row r="6236" spans="83:87" x14ac:dyDescent="0.2">
      <c r="CE6236"/>
      <c r="CF6236"/>
      <c r="CG6236"/>
      <c r="CH6236"/>
      <c r="CI6236"/>
    </row>
    <row r="6237" spans="83:87" x14ac:dyDescent="0.2">
      <c r="CE6237"/>
      <c r="CF6237"/>
      <c r="CG6237"/>
      <c r="CH6237"/>
      <c r="CI6237"/>
    </row>
    <row r="6238" spans="83:87" x14ac:dyDescent="0.2">
      <c r="CE6238"/>
      <c r="CF6238"/>
      <c r="CG6238"/>
      <c r="CH6238"/>
      <c r="CI6238"/>
    </row>
    <row r="6239" spans="83:87" x14ac:dyDescent="0.2">
      <c r="CE6239"/>
      <c r="CF6239"/>
      <c r="CG6239"/>
      <c r="CH6239"/>
      <c r="CI6239"/>
    </row>
    <row r="6240" spans="83:87" x14ac:dyDescent="0.2">
      <c r="CE6240"/>
      <c r="CF6240"/>
      <c r="CG6240"/>
      <c r="CH6240"/>
      <c r="CI6240"/>
    </row>
    <row r="6241" spans="83:87" x14ac:dyDescent="0.2">
      <c r="CE6241"/>
      <c r="CF6241"/>
      <c r="CG6241"/>
      <c r="CH6241"/>
      <c r="CI6241"/>
    </row>
    <row r="6242" spans="83:87" x14ac:dyDescent="0.2">
      <c r="CE6242"/>
      <c r="CF6242"/>
      <c r="CG6242"/>
      <c r="CH6242"/>
      <c r="CI6242"/>
    </row>
    <row r="6243" spans="83:87" x14ac:dyDescent="0.2">
      <c r="CE6243"/>
      <c r="CF6243"/>
      <c r="CG6243"/>
      <c r="CH6243"/>
      <c r="CI6243"/>
    </row>
    <row r="6244" spans="83:87" x14ac:dyDescent="0.2">
      <c r="CE6244"/>
      <c r="CF6244"/>
      <c r="CG6244"/>
      <c r="CH6244"/>
      <c r="CI6244"/>
    </row>
    <row r="6245" spans="83:87" x14ac:dyDescent="0.2">
      <c r="CE6245"/>
      <c r="CF6245"/>
      <c r="CG6245"/>
      <c r="CH6245"/>
      <c r="CI6245"/>
    </row>
    <row r="6246" spans="83:87" x14ac:dyDescent="0.2">
      <c r="CE6246"/>
      <c r="CF6246"/>
      <c r="CG6246"/>
      <c r="CH6246"/>
      <c r="CI6246"/>
    </row>
    <row r="6247" spans="83:87" x14ac:dyDescent="0.2">
      <c r="CE6247"/>
      <c r="CF6247"/>
      <c r="CG6247"/>
      <c r="CH6247"/>
      <c r="CI6247"/>
    </row>
    <row r="6248" spans="83:87" x14ac:dyDescent="0.2">
      <c r="CE6248"/>
      <c r="CF6248"/>
      <c r="CG6248"/>
      <c r="CH6248"/>
      <c r="CI6248"/>
    </row>
    <row r="6249" spans="83:87" x14ac:dyDescent="0.2">
      <c r="CE6249"/>
      <c r="CF6249"/>
      <c r="CG6249"/>
      <c r="CH6249"/>
      <c r="CI6249"/>
    </row>
    <row r="6250" spans="83:87" x14ac:dyDescent="0.2">
      <c r="CE6250"/>
      <c r="CF6250"/>
      <c r="CG6250"/>
      <c r="CH6250"/>
      <c r="CI6250"/>
    </row>
    <row r="6251" spans="83:87" x14ac:dyDescent="0.2">
      <c r="CE6251"/>
      <c r="CF6251"/>
      <c r="CG6251"/>
      <c r="CH6251"/>
      <c r="CI6251"/>
    </row>
    <row r="6252" spans="83:87" x14ac:dyDescent="0.2">
      <c r="CE6252"/>
      <c r="CF6252"/>
      <c r="CG6252"/>
      <c r="CH6252"/>
      <c r="CI6252"/>
    </row>
    <row r="6253" spans="83:87" x14ac:dyDescent="0.2">
      <c r="CE6253"/>
      <c r="CF6253"/>
      <c r="CG6253"/>
      <c r="CH6253"/>
      <c r="CI6253"/>
    </row>
    <row r="6254" spans="83:87" x14ac:dyDescent="0.2">
      <c r="CE6254"/>
      <c r="CF6254"/>
      <c r="CG6254"/>
      <c r="CH6254"/>
      <c r="CI6254"/>
    </row>
    <row r="6255" spans="83:87" x14ac:dyDescent="0.2">
      <c r="CE6255"/>
      <c r="CF6255"/>
      <c r="CG6255"/>
      <c r="CH6255"/>
      <c r="CI6255"/>
    </row>
    <row r="6256" spans="83:87" x14ac:dyDescent="0.2">
      <c r="CE6256"/>
      <c r="CF6256"/>
      <c r="CG6256"/>
      <c r="CH6256"/>
      <c r="CI6256"/>
    </row>
    <row r="6257" spans="83:87" x14ac:dyDescent="0.2">
      <c r="CE6257"/>
      <c r="CF6257"/>
      <c r="CG6257"/>
      <c r="CH6257"/>
      <c r="CI6257"/>
    </row>
    <row r="6258" spans="83:87" x14ac:dyDescent="0.2">
      <c r="CE6258"/>
      <c r="CF6258"/>
      <c r="CG6258"/>
      <c r="CH6258"/>
      <c r="CI6258"/>
    </row>
    <row r="6259" spans="83:87" x14ac:dyDescent="0.2">
      <c r="CE6259"/>
      <c r="CF6259"/>
      <c r="CG6259"/>
      <c r="CH6259"/>
      <c r="CI6259"/>
    </row>
    <row r="6260" spans="83:87" x14ac:dyDescent="0.2">
      <c r="CE6260"/>
      <c r="CF6260"/>
      <c r="CG6260"/>
      <c r="CH6260"/>
      <c r="CI6260"/>
    </row>
    <row r="6261" spans="83:87" x14ac:dyDescent="0.2">
      <c r="CE6261"/>
      <c r="CF6261"/>
      <c r="CG6261"/>
      <c r="CH6261"/>
      <c r="CI6261"/>
    </row>
    <row r="6262" spans="83:87" x14ac:dyDescent="0.2">
      <c r="CE6262"/>
      <c r="CF6262"/>
      <c r="CG6262"/>
      <c r="CH6262"/>
      <c r="CI6262"/>
    </row>
    <row r="6263" spans="83:87" x14ac:dyDescent="0.2">
      <c r="CE6263"/>
      <c r="CF6263"/>
      <c r="CG6263"/>
      <c r="CH6263"/>
      <c r="CI6263"/>
    </row>
    <row r="6264" spans="83:87" x14ac:dyDescent="0.2">
      <c r="CE6264"/>
      <c r="CF6264"/>
      <c r="CG6264"/>
      <c r="CH6264"/>
      <c r="CI6264"/>
    </row>
    <row r="6265" spans="83:87" x14ac:dyDescent="0.2">
      <c r="CE6265"/>
      <c r="CF6265"/>
      <c r="CG6265"/>
      <c r="CH6265"/>
      <c r="CI6265"/>
    </row>
    <row r="6266" spans="83:87" x14ac:dyDescent="0.2">
      <c r="CE6266"/>
      <c r="CF6266"/>
      <c r="CG6266"/>
      <c r="CH6266"/>
      <c r="CI6266"/>
    </row>
    <row r="6267" spans="83:87" x14ac:dyDescent="0.2">
      <c r="CE6267"/>
      <c r="CF6267"/>
      <c r="CG6267"/>
      <c r="CH6267"/>
      <c r="CI6267"/>
    </row>
    <row r="6268" spans="83:87" x14ac:dyDescent="0.2">
      <c r="CE6268"/>
      <c r="CF6268"/>
      <c r="CG6268"/>
      <c r="CH6268"/>
      <c r="CI6268"/>
    </row>
    <row r="6269" spans="83:87" x14ac:dyDescent="0.2">
      <c r="CE6269"/>
      <c r="CF6269"/>
      <c r="CG6269"/>
      <c r="CH6269"/>
      <c r="CI6269"/>
    </row>
    <row r="6270" spans="83:87" x14ac:dyDescent="0.2">
      <c r="CE6270"/>
      <c r="CF6270"/>
      <c r="CG6270"/>
      <c r="CH6270"/>
      <c r="CI6270"/>
    </row>
    <row r="6271" spans="83:87" x14ac:dyDescent="0.2">
      <c r="CE6271"/>
      <c r="CF6271"/>
      <c r="CG6271"/>
      <c r="CH6271"/>
      <c r="CI6271"/>
    </row>
    <row r="6272" spans="83:87" x14ac:dyDescent="0.2">
      <c r="CE6272"/>
      <c r="CF6272"/>
      <c r="CG6272"/>
      <c r="CH6272"/>
      <c r="CI6272"/>
    </row>
    <row r="6273" spans="83:87" x14ac:dyDescent="0.2">
      <c r="CE6273"/>
      <c r="CF6273"/>
      <c r="CG6273"/>
      <c r="CH6273"/>
      <c r="CI6273"/>
    </row>
    <row r="6274" spans="83:87" x14ac:dyDescent="0.2">
      <c r="CE6274"/>
      <c r="CF6274"/>
      <c r="CG6274"/>
      <c r="CH6274"/>
      <c r="CI6274"/>
    </row>
    <row r="6275" spans="83:87" x14ac:dyDescent="0.2">
      <c r="CE6275"/>
      <c r="CF6275"/>
      <c r="CG6275"/>
      <c r="CH6275"/>
      <c r="CI6275"/>
    </row>
    <row r="6276" spans="83:87" x14ac:dyDescent="0.2">
      <c r="CE6276"/>
      <c r="CF6276"/>
      <c r="CG6276"/>
      <c r="CH6276"/>
      <c r="CI6276"/>
    </row>
    <row r="6277" spans="83:87" x14ac:dyDescent="0.2">
      <c r="CE6277"/>
      <c r="CF6277"/>
      <c r="CG6277"/>
      <c r="CH6277"/>
      <c r="CI6277"/>
    </row>
    <row r="6278" spans="83:87" x14ac:dyDescent="0.2">
      <c r="CE6278"/>
      <c r="CF6278"/>
      <c r="CG6278"/>
      <c r="CH6278"/>
      <c r="CI6278"/>
    </row>
    <row r="6279" spans="83:87" x14ac:dyDescent="0.2">
      <c r="CE6279"/>
      <c r="CF6279"/>
      <c r="CG6279"/>
      <c r="CH6279"/>
      <c r="CI6279"/>
    </row>
    <row r="6280" spans="83:87" x14ac:dyDescent="0.2">
      <c r="CE6280"/>
      <c r="CF6280"/>
      <c r="CG6280"/>
      <c r="CH6280"/>
      <c r="CI6280"/>
    </row>
    <row r="6281" spans="83:87" x14ac:dyDescent="0.2">
      <c r="CE6281"/>
      <c r="CF6281"/>
      <c r="CG6281"/>
      <c r="CH6281"/>
      <c r="CI6281"/>
    </row>
    <row r="6282" spans="83:87" x14ac:dyDescent="0.2">
      <c r="CE6282"/>
      <c r="CF6282"/>
      <c r="CG6282"/>
      <c r="CH6282"/>
      <c r="CI6282"/>
    </row>
    <row r="6283" spans="83:87" x14ac:dyDescent="0.2">
      <c r="CE6283"/>
      <c r="CF6283"/>
      <c r="CG6283"/>
      <c r="CH6283"/>
      <c r="CI6283"/>
    </row>
    <row r="6284" spans="83:87" x14ac:dyDescent="0.2">
      <c r="CE6284"/>
      <c r="CF6284"/>
      <c r="CG6284"/>
      <c r="CH6284"/>
      <c r="CI6284"/>
    </row>
    <row r="6285" spans="83:87" x14ac:dyDescent="0.2">
      <c r="CE6285"/>
      <c r="CF6285"/>
      <c r="CG6285"/>
      <c r="CH6285"/>
      <c r="CI6285"/>
    </row>
    <row r="6286" spans="83:87" x14ac:dyDescent="0.2">
      <c r="CE6286"/>
      <c r="CF6286"/>
      <c r="CG6286"/>
      <c r="CH6286"/>
      <c r="CI6286"/>
    </row>
    <row r="6287" spans="83:87" x14ac:dyDescent="0.2">
      <c r="CE6287"/>
      <c r="CF6287"/>
      <c r="CG6287"/>
      <c r="CH6287"/>
      <c r="CI6287"/>
    </row>
    <row r="6288" spans="83:87" x14ac:dyDescent="0.2">
      <c r="CE6288"/>
      <c r="CF6288"/>
      <c r="CG6288"/>
      <c r="CH6288"/>
      <c r="CI6288"/>
    </row>
    <row r="6289" spans="83:87" x14ac:dyDescent="0.2">
      <c r="CE6289"/>
      <c r="CF6289"/>
      <c r="CG6289"/>
      <c r="CH6289"/>
      <c r="CI6289"/>
    </row>
    <row r="6290" spans="83:87" x14ac:dyDescent="0.2">
      <c r="CE6290"/>
      <c r="CF6290"/>
      <c r="CG6290"/>
      <c r="CH6290"/>
      <c r="CI6290"/>
    </row>
    <row r="6291" spans="83:87" x14ac:dyDescent="0.2">
      <c r="CE6291"/>
      <c r="CF6291"/>
      <c r="CG6291"/>
      <c r="CH6291"/>
      <c r="CI6291"/>
    </row>
    <row r="6292" spans="83:87" x14ac:dyDescent="0.2">
      <c r="CE6292"/>
      <c r="CF6292"/>
      <c r="CG6292"/>
      <c r="CH6292"/>
      <c r="CI6292"/>
    </row>
    <row r="6293" spans="83:87" x14ac:dyDescent="0.2">
      <c r="CE6293"/>
      <c r="CF6293"/>
      <c r="CG6293"/>
      <c r="CH6293"/>
      <c r="CI6293"/>
    </row>
    <row r="6294" spans="83:87" x14ac:dyDescent="0.2">
      <c r="CE6294"/>
      <c r="CF6294"/>
      <c r="CG6294"/>
      <c r="CH6294"/>
      <c r="CI6294"/>
    </row>
    <row r="6295" spans="83:87" x14ac:dyDescent="0.2">
      <c r="CE6295"/>
      <c r="CF6295"/>
      <c r="CG6295"/>
      <c r="CH6295"/>
      <c r="CI6295"/>
    </row>
    <row r="6296" spans="83:87" x14ac:dyDescent="0.2">
      <c r="CE6296"/>
      <c r="CF6296"/>
      <c r="CG6296"/>
      <c r="CH6296"/>
      <c r="CI6296"/>
    </row>
    <row r="6297" spans="83:87" x14ac:dyDescent="0.2">
      <c r="CE6297"/>
      <c r="CF6297"/>
      <c r="CG6297"/>
      <c r="CH6297"/>
      <c r="CI6297"/>
    </row>
    <row r="6298" spans="83:87" x14ac:dyDescent="0.2">
      <c r="CE6298"/>
      <c r="CF6298"/>
      <c r="CG6298"/>
      <c r="CH6298"/>
      <c r="CI6298"/>
    </row>
    <row r="6299" spans="83:87" x14ac:dyDescent="0.2">
      <c r="CE6299"/>
      <c r="CF6299"/>
      <c r="CG6299"/>
      <c r="CH6299"/>
      <c r="CI6299"/>
    </row>
    <row r="6300" spans="83:87" x14ac:dyDescent="0.2">
      <c r="CE6300"/>
      <c r="CF6300"/>
      <c r="CG6300"/>
      <c r="CH6300"/>
      <c r="CI6300"/>
    </row>
    <row r="6301" spans="83:87" x14ac:dyDescent="0.2">
      <c r="CE6301"/>
      <c r="CF6301"/>
      <c r="CG6301"/>
      <c r="CH6301"/>
      <c r="CI6301"/>
    </row>
    <row r="6302" spans="83:87" x14ac:dyDescent="0.2">
      <c r="CE6302"/>
      <c r="CF6302"/>
      <c r="CG6302"/>
      <c r="CH6302"/>
      <c r="CI6302"/>
    </row>
    <row r="6303" spans="83:87" x14ac:dyDescent="0.2">
      <c r="CE6303"/>
      <c r="CF6303"/>
      <c r="CG6303"/>
      <c r="CH6303"/>
      <c r="CI6303"/>
    </row>
    <row r="6304" spans="83:87" x14ac:dyDescent="0.2">
      <c r="CE6304"/>
      <c r="CF6304"/>
      <c r="CG6304"/>
      <c r="CH6304"/>
      <c r="CI6304"/>
    </row>
    <row r="6305" spans="83:87" x14ac:dyDescent="0.2">
      <c r="CE6305"/>
      <c r="CF6305"/>
      <c r="CG6305"/>
      <c r="CH6305"/>
      <c r="CI6305"/>
    </row>
    <row r="6306" spans="83:87" x14ac:dyDescent="0.2">
      <c r="CE6306"/>
      <c r="CF6306"/>
      <c r="CG6306"/>
      <c r="CH6306"/>
      <c r="CI6306"/>
    </row>
    <row r="6307" spans="83:87" x14ac:dyDescent="0.2">
      <c r="CE6307"/>
      <c r="CF6307"/>
      <c r="CG6307"/>
      <c r="CH6307"/>
      <c r="CI6307"/>
    </row>
    <row r="6308" spans="83:87" x14ac:dyDescent="0.2">
      <c r="CE6308"/>
      <c r="CF6308"/>
      <c r="CG6308"/>
      <c r="CH6308"/>
      <c r="CI6308"/>
    </row>
    <row r="6309" spans="83:87" x14ac:dyDescent="0.2">
      <c r="CE6309"/>
      <c r="CF6309"/>
      <c r="CG6309"/>
      <c r="CH6309"/>
      <c r="CI6309"/>
    </row>
    <row r="6310" spans="83:87" x14ac:dyDescent="0.2">
      <c r="CE6310"/>
      <c r="CF6310"/>
      <c r="CG6310"/>
      <c r="CH6310"/>
      <c r="CI6310"/>
    </row>
    <row r="6311" spans="83:87" x14ac:dyDescent="0.2">
      <c r="CE6311"/>
      <c r="CF6311"/>
      <c r="CG6311"/>
      <c r="CH6311"/>
      <c r="CI6311"/>
    </row>
    <row r="6312" spans="83:87" x14ac:dyDescent="0.2">
      <c r="CE6312"/>
      <c r="CF6312"/>
      <c r="CG6312"/>
      <c r="CH6312"/>
      <c r="CI6312"/>
    </row>
    <row r="6313" spans="83:87" x14ac:dyDescent="0.2">
      <c r="CE6313"/>
      <c r="CF6313"/>
      <c r="CG6313"/>
      <c r="CH6313"/>
      <c r="CI6313"/>
    </row>
    <row r="6314" spans="83:87" x14ac:dyDescent="0.2">
      <c r="CE6314"/>
      <c r="CF6314"/>
      <c r="CG6314"/>
      <c r="CH6314"/>
      <c r="CI6314"/>
    </row>
    <row r="6315" spans="83:87" x14ac:dyDescent="0.2">
      <c r="CE6315"/>
      <c r="CF6315"/>
      <c r="CG6315"/>
      <c r="CH6315"/>
      <c r="CI6315"/>
    </row>
    <row r="6316" spans="83:87" x14ac:dyDescent="0.2">
      <c r="CE6316"/>
      <c r="CF6316"/>
      <c r="CG6316"/>
      <c r="CH6316"/>
      <c r="CI6316"/>
    </row>
    <row r="6317" spans="83:87" x14ac:dyDescent="0.2">
      <c r="CE6317"/>
      <c r="CF6317"/>
      <c r="CG6317"/>
      <c r="CH6317"/>
      <c r="CI6317"/>
    </row>
    <row r="6318" spans="83:87" x14ac:dyDescent="0.2">
      <c r="CE6318"/>
      <c r="CF6318"/>
      <c r="CG6318"/>
      <c r="CH6318"/>
      <c r="CI6318"/>
    </row>
    <row r="6319" spans="83:87" x14ac:dyDescent="0.2">
      <c r="CE6319"/>
      <c r="CF6319"/>
      <c r="CG6319"/>
      <c r="CH6319"/>
      <c r="CI6319"/>
    </row>
    <row r="6320" spans="83:87" x14ac:dyDescent="0.2">
      <c r="CE6320"/>
      <c r="CF6320"/>
      <c r="CG6320"/>
      <c r="CH6320"/>
      <c r="CI6320"/>
    </row>
    <row r="6321" spans="83:87" x14ac:dyDescent="0.2">
      <c r="CE6321"/>
      <c r="CF6321"/>
      <c r="CG6321"/>
      <c r="CH6321"/>
      <c r="CI6321"/>
    </row>
    <row r="6322" spans="83:87" x14ac:dyDescent="0.2">
      <c r="CE6322"/>
      <c r="CF6322"/>
      <c r="CG6322"/>
      <c r="CH6322"/>
      <c r="CI6322"/>
    </row>
    <row r="6323" spans="83:87" x14ac:dyDescent="0.2">
      <c r="CE6323"/>
      <c r="CF6323"/>
      <c r="CG6323"/>
      <c r="CH6323"/>
      <c r="CI6323"/>
    </row>
    <row r="6324" spans="83:87" x14ac:dyDescent="0.2">
      <c r="CE6324"/>
      <c r="CF6324"/>
      <c r="CG6324"/>
      <c r="CH6324"/>
      <c r="CI6324"/>
    </row>
    <row r="6325" spans="83:87" x14ac:dyDescent="0.2">
      <c r="CE6325"/>
      <c r="CF6325"/>
      <c r="CG6325"/>
      <c r="CH6325"/>
      <c r="CI6325"/>
    </row>
    <row r="6326" spans="83:87" x14ac:dyDescent="0.2">
      <c r="CE6326"/>
      <c r="CF6326"/>
      <c r="CG6326"/>
      <c r="CH6326"/>
      <c r="CI6326"/>
    </row>
    <row r="6327" spans="83:87" x14ac:dyDescent="0.2">
      <c r="CE6327"/>
      <c r="CF6327"/>
      <c r="CG6327"/>
      <c r="CH6327"/>
      <c r="CI6327"/>
    </row>
    <row r="6328" spans="83:87" x14ac:dyDescent="0.2">
      <c r="CE6328"/>
      <c r="CF6328"/>
      <c r="CG6328"/>
      <c r="CH6328"/>
      <c r="CI6328"/>
    </row>
    <row r="6329" spans="83:87" x14ac:dyDescent="0.2">
      <c r="CE6329"/>
      <c r="CF6329"/>
      <c r="CG6329"/>
      <c r="CH6329"/>
      <c r="CI6329"/>
    </row>
    <row r="6330" spans="83:87" x14ac:dyDescent="0.2">
      <c r="CE6330"/>
      <c r="CF6330"/>
      <c r="CG6330"/>
      <c r="CH6330"/>
      <c r="CI6330"/>
    </row>
    <row r="6331" spans="83:87" x14ac:dyDescent="0.2">
      <c r="CE6331"/>
      <c r="CF6331"/>
      <c r="CG6331"/>
      <c r="CH6331"/>
      <c r="CI6331"/>
    </row>
    <row r="6332" spans="83:87" x14ac:dyDescent="0.2">
      <c r="CE6332"/>
      <c r="CF6332"/>
      <c r="CG6332"/>
      <c r="CH6332"/>
      <c r="CI6332"/>
    </row>
    <row r="6333" spans="83:87" x14ac:dyDescent="0.2">
      <c r="CE6333"/>
      <c r="CF6333"/>
      <c r="CG6333"/>
      <c r="CH6333"/>
      <c r="CI6333"/>
    </row>
    <row r="6334" spans="83:87" x14ac:dyDescent="0.2">
      <c r="CE6334"/>
      <c r="CF6334"/>
      <c r="CG6334"/>
      <c r="CH6334"/>
      <c r="CI6334"/>
    </row>
    <row r="6335" spans="83:87" x14ac:dyDescent="0.2">
      <c r="CE6335"/>
      <c r="CF6335"/>
      <c r="CG6335"/>
      <c r="CH6335"/>
      <c r="CI6335"/>
    </row>
    <row r="6336" spans="83:87" x14ac:dyDescent="0.2">
      <c r="CE6336"/>
      <c r="CF6336"/>
      <c r="CG6336"/>
      <c r="CH6336"/>
      <c r="CI6336"/>
    </row>
    <row r="6337" spans="83:87" x14ac:dyDescent="0.2">
      <c r="CE6337"/>
      <c r="CF6337"/>
      <c r="CG6337"/>
      <c r="CH6337"/>
      <c r="CI6337"/>
    </row>
    <row r="6338" spans="83:87" x14ac:dyDescent="0.2">
      <c r="CE6338"/>
      <c r="CF6338"/>
      <c r="CG6338"/>
      <c r="CH6338"/>
      <c r="CI6338"/>
    </row>
    <row r="6339" spans="83:87" x14ac:dyDescent="0.2">
      <c r="CE6339"/>
      <c r="CF6339"/>
      <c r="CG6339"/>
      <c r="CH6339"/>
      <c r="CI6339"/>
    </row>
    <row r="6340" spans="83:87" x14ac:dyDescent="0.2">
      <c r="CE6340"/>
      <c r="CF6340"/>
      <c r="CG6340"/>
      <c r="CH6340"/>
      <c r="CI6340"/>
    </row>
    <row r="6341" spans="83:87" x14ac:dyDescent="0.2">
      <c r="CE6341"/>
      <c r="CF6341"/>
      <c r="CG6341"/>
      <c r="CH6341"/>
      <c r="CI6341"/>
    </row>
    <row r="6342" spans="83:87" x14ac:dyDescent="0.2">
      <c r="CE6342"/>
      <c r="CF6342"/>
      <c r="CG6342"/>
      <c r="CH6342"/>
      <c r="CI6342"/>
    </row>
    <row r="6343" spans="83:87" x14ac:dyDescent="0.2">
      <c r="CE6343"/>
      <c r="CF6343"/>
      <c r="CG6343"/>
      <c r="CH6343"/>
      <c r="CI6343"/>
    </row>
    <row r="6344" spans="83:87" x14ac:dyDescent="0.2">
      <c r="CE6344"/>
      <c r="CF6344"/>
      <c r="CG6344"/>
      <c r="CH6344"/>
      <c r="CI6344"/>
    </row>
    <row r="6345" spans="83:87" x14ac:dyDescent="0.2">
      <c r="CE6345"/>
      <c r="CF6345"/>
      <c r="CG6345"/>
      <c r="CH6345"/>
      <c r="CI6345"/>
    </row>
    <row r="6346" spans="83:87" x14ac:dyDescent="0.2">
      <c r="CE6346"/>
      <c r="CF6346"/>
      <c r="CG6346"/>
      <c r="CH6346"/>
      <c r="CI6346"/>
    </row>
    <row r="6347" spans="83:87" x14ac:dyDescent="0.2">
      <c r="CE6347"/>
      <c r="CF6347"/>
      <c r="CG6347"/>
      <c r="CH6347"/>
      <c r="CI6347"/>
    </row>
    <row r="6348" spans="83:87" x14ac:dyDescent="0.2">
      <c r="CE6348"/>
      <c r="CF6348"/>
      <c r="CG6348"/>
      <c r="CH6348"/>
      <c r="CI6348"/>
    </row>
    <row r="6349" spans="83:87" x14ac:dyDescent="0.2">
      <c r="CE6349"/>
      <c r="CF6349"/>
      <c r="CG6349"/>
      <c r="CH6349"/>
      <c r="CI6349"/>
    </row>
    <row r="6350" spans="83:87" x14ac:dyDescent="0.2">
      <c r="CE6350"/>
      <c r="CF6350"/>
      <c r="CG6350"/>
      <c r="CH6350"/>
      <c r="CI6350"/>
    </row>
    <row r="6351" spans="83:87" x14ac:dyDescent="0.2">
      <c r="CE6351"/>
      <c r="CF6351"/>
      <c r="CG6351"/>
      <c r="CH6351"/>
      <c r="CI6351"/>
    </row>
    <row r="6352" spans="83:87" x14ac:dyDescent="0.2">
      <c r="CE6352"/>
      <c r="CF6352"/>
      <c r="CG6352"/>
      <c r="CH6352"/>
      <c r="CI6352"/>
    </row>
    <row r="6353" spans="83:87" x14ac:dyDescent="0.2">
      <c r="CE6353"/>
      <c r="CF6353"/>
      <c r="CG6353"/>
      <c r="CH6353"/>
      <c r="CI6353"/>
    </row>
    <row r="6354" spans="83:87" x14ac:dyDescent="0.2">
      <c r="CE6354"/>
      <c r="CF6354"/>
      <c r="CG6354"/>
      <c r="CH6354"/>
      <c r="CI6354"/>
    </row>
    <row r="6355" spans="83:87" x14ac:dyDescent="0.2">
      <c r="CE6355"/>
      <c r="CF6355"/>
      <c r="CG6355"/>
      <c r="CH6355"/>
      <c r="CI6355"/>
    </row>
    <row r="6356" spans="83:87" x14ac:dyDescent="0.2">
      <c r="CE6356"/>
      <c r="CF6356"/>
      <c r="CG6356"/>
      <c r="CH6356"/>
      <c r="CI6356"/>
    </row>
    <row r="6357" spans="83:87" x14ac:dyDescent="0.2">
      <c r="CE6357"/>
      <c r="CF6357"/>
      <c r="CG6357"/>
      <c r="CH6357"/>
      <c r="CI6357"/>
    </row>
    <row r="6358" spans="83:87" x14ac:dyDescent="0.2">
      <c r="CE6358"/>
      <c r="CF6358"/>
      <c r="CG6358"/>
      <c r="CH6358"/>
      <c r="CI6358"/>
    </row>
    <row r="6359" spans="83:87" x14ac:dyDescent="0.2">
      <c r="CE6359"/>
      <c r="CF6359"/>
      <c r="CG6359"/>
      <c r="CH6359"/>
      <c r="CI6359"/>
    </row>
    <row r="6360" spans="83:87" x14ac:dyDescent="0.2">
      <c r="CE6360"/>
      <c r="CF6360"/>
      <c r="CG6360"/>
      <c r="CH6360"/>
      <c r="CI6360"/>
    </row>
    <row r="6361" spans="83:87" x14ac:dyDescent="0.2">
      <c r="CE6361"/>
      <c r="CF6361"/>
      <c r="CG6361"/>
      <c r="CH6361"/>
      <c r="CI6361"/>
    </row>
    <row r="6362" spans="83:87" x14ac:dyDescent="0.2">
      <c r="CE6362"/>
      <c r="CF6362"/>
      <c r="CG6362"/>
      <c r="CH6362"/>
      <c r="CI6362"/>
    </row>
    <row r="6363" spans="83:87" x14ac:dyDescent="0.2">
      <c r="CE6363"/>
      <c r="CF6363"/>
      <c r="CG6363"/>
      <c r="CH6363"/>
      <c r="CI6363"/>
    </row>
    <row r="6364" spans="83:87" x14ac:dyDescent="0.2">
      <c r="CE6364"/>
      <c r="CF6364"/>
      <c r="CG6364"/>
      <c r="CH6364"/>
      <c r="CI6364"/>
    </row>
    <row r="6365" spans="83:87" x14ac:dyDescent="0.2">
      <c r="CE6365"/>
      <c r="CF6365"/>
      <c r="CG6365"/>
      <c r="CH6365"/>
      <c r="CI6365"/>
    </row>
    <row r="6366" spans="83:87" x14ac:dyDescent="0.2">
      <c r="CE6366"/>
      <c r="CF6366"/>
      <c r="CG6366"/>
      <c r="CH6366"/>
      <c r="CI6366"/>
    </row>
    <row r="6367" spans="83:87" x14ac:dyDescent="0.2">
      <c r="CE6367"/>
      <c r="CF6367"/>
      <c r="CG6367"/>
      <c r="CH6367"/>
      <c r="CI6367"/>
    </row>
    <row r="6368" spans="83:87" x14ac:dyDescent="0.2">
      <c r="CE6368"/>
      <c r="CF6368"/>
      <c r="CG6368"/>
      <c r="CH6368"/>
      <c r="CI6368"/>
    </row>
    <row r="6369" spans="83:87" x14ac:dyDescent="0.2">
      <c r="CE6369"/>
      <c r="CF6369"/>
      <c r="CG6369"/>
      <c r="CH6369"/>
      <c r="CI6369"/>
    </row>
    <row r="6370" spans="83:87" x14ac:dyDescent="0.2">
      <c r="CE6370"/>
      <c r="CF6370"/>
      <c r="CG6370"/>
      <c r="CH6370"/>
      <c r="CI6370"/>
    </row>
    <row r="6371" spans="83:87" x14ac:dyDescent="0.2">
      <c r="CE6371"/>
      <c r="CF6371"/>
      <c r="CG6371"/>
      <c r="CH6371"/>
      <c r="CI6371"/>
    </row>
    <row r="6372" spans="83:87" x14ac:dyDescent="0.2">
      <c r="CE6372"/>
      <c r="CF6372"/>
      <c r="CG6372"/>
      <c r="CH6372"/>
      <c r="CI6372"/>
    </row>
    <row r="6373" spans="83:87" x14ac:dyDescent="0.2">
      <c r="CE6373"/>
      <c r="CF6373"/>
      <c r="CG6373"/>
      <c r="CH6373"/>
      <c r="CI6373"/>
    </row>
    <row r="6374" spans="83:87" x14ac:dyDescent="0.2">
      <c r="CE6374"/>
      <c r="CF6374"/>
      <c r="CG6374"/>
      <c r="CH6374"/>
      <c r="CI6374"/>
    </row>
    <row r="6375" spans="83:87" x14ac:dyDescent="0.2">
      <c r="CE6375"/>
      <c r="CF6375"/>
      <c r="CG6375"/>
      <c r="CH6375"/>
      <c r="CI6375"/>
    </row>
    <row r="6376" spans="83:87" x14ac:dyDescent="0.2">
      <c r="CE6376"/>
      <c r="CF6376"/>
      <c r="CG6376"/>
      <c r="CH6376"/>
      <c r="CI6376"/>
    </row>
    <row r="6377" spans="83:87" x14ac:dyDescent="0.2">
      <c r="CE6377"/>
      <c r="CF6377"/>
      <c r="CG6377"/>
      <c r="CH6377"/>
      <c r="CI6377"/>
    </row>
    <row r="6378" spans="83:87" x14ac:dyDescent="0.2">
      <c r="CE6378"/>
      <c r="CF6378"/>
      <c r="CG6378"/>
      <c r="CH6378"/>
      <c r="CI6378"/>
    </row>
    <row r="6379" spans="83:87" x14ac:dyDescent="0.2">
      <c r="CE6379"/>
      <c r="CF6379"/>
      <c r="CG6379"/>
      <c r="CH6379"/>
      <c r="CI6379"/>
    </row>
    <row r="6380" spans="83:87" x14ac:dyDescent="0.2">
      <c r="CE6380"/>
      <c r="CF6380"/>
      <c r="CG6380"/>
      <c r="CH6380"/>
      <c r="CI6380"/>
    </row>
    <row r="6381" spans="83:87" x14ac:dyDescent="0.2">
      <c r="CE6381"/>
      <c r="CF6381"/>
      <c r="CG6381"/>
      <c r="CH6381"/>
      <c r="CI6381"/>
    </row>
    <row r="6382" spans="83:87" x14ac:dyDescent="0.2">
      <c r="CE6382"/>
      <c r="CF6382"/>
      <c r="CG6382"/>
      <c r="CH6382"/>
      <c r="CI6382"/>
    </row>
    <row r="6383" spans="83:87" x14ac:dyDescent="0.2">
      <c r="CE6383"/>
      <c r="CF6383"/>
      <c r="CG6383"/>
      <c r="CH6383"/>
      <c r="CI6383"/>
    </row>
    <row r="6384" spans="83:87" x14ac:dyDescent="0.2">
      <c r="CE6384"/>
      <c r="CF6384"/>
      <c r="CG6384"/>
      <c r="CH6384"/>
      <c r="CI6384"/>
    </row>
    <row r="6385" spans="83:87" x14ac:dyDescent="0.2">
      <c r="CE6385"/>
      <c r="CF6385"/>
      <c r="CG6385"/>
      <c r="CH6385"/>
      <c r="CI6385"/>
    </row>
    <row r="6386" spans="83:87" x14ac:dyDescent="0.2">
      <c r="CE6386"/>
      <c r="CF6386"/>
      <c r="CG6386"/>
      <c r="CH6386"/>
      <c r="CI6386"/>
    </row>
    <row r="6387" spans="83:87" x14ac:dyDescent="0.2">
      <c r="CE6387"/>
      <c r="CF6387"/>
      <c r="CG6387"/>
      <c r="CH6387"/>
      <c r="CI6387"/>
    </row>
    <row r="6388" spans="83:87" x14ac:dyDescent="0.2">
      <c r="CE6388"/>
      <c r="CF6388"/>
      <c r="CG6388"/>
      <c r="CH6388"/>
      <c r="CI6388"/>
    </row>
    <row r="6389" spans="83:87" x14ac:dyDescent="0.2">
      <c r="CE6389"/>
      <c r="CF6389"/>
      <c r="CG6389"/>
      <c r="CH6389"/>
      <c r="CI6389"/>
    </row>
    <row r="6390" spans="83:87" x14ac:dyDescent="0.2">
      <c r="CE6390"/>
      <c r="CF6390"/>
      <c r="CG6390"/>
      <c r="CH6390"/>
      <c r="CI6390"/>
    </row>
    <row r="6391" spans="83:87" x14ac:dyDescent="0.2">
      <c r="CE6391"/>
      <c r="CF6391"/>
      <c r="CG6391"/>
      <c r="CH6391"/>
      <c r="CI6391"/>
    </row>
    <row r="6392" spans="83:87" x14ac:dyDescent="0.2">
      <c r="CE6392"/>
      <c r="CF6392"/>
      <c r="CG6392"/>
      <c r="CH6392"/>
      <c r="CI6392"/>
    </row>
    <row r="6393" spans="83:87" x14ac:dyDescent="0.2">
      <c r="CE6393"/>
      <c r="CF6393"/>
      <c r="CG6393"/>
      <c r="CH6393"/>
      <c r="CI6393"/>
    </row>
    <row r="6394" spans="83:87" x14ac:dyDescent="0.2">
      <c r="CE6394"/>
      <c r="CF6394"/>
      <c r="CG6394"/>
      <c r="CH6394"/>
      <c r="CI6394"/>
    </row>
    <row r="6395" spans="83:87" x14ac:dyDescent="0.2">
      <c r="CE6395"/>
      <c r="CF6395"/>
      <c r="CG6395"/>
      <c r="CH6395"/>
      <c r="CI6395"/>
    </row>
    <row r="6396" spans="83:87" x14ac:dyDescent="0.2">
      <c r="CE6396"/>
      <c r="CF6396"/>
      <c r="CG6396"/>
      <c r="CH6396"/>
      <c r="CI6396"/>
    </row>
    <row r="6397" spans="83:87" x14ac:dyDescent="0.2">
      <c r="CE6397"/>
      <c r="CF6397"/>
      <c r="CG6397"/>
      <c r="CH6397"/>
      <c r="CI6397"/>
    </row>
    <row r="6398" spans="83:87" x14ac:dyDescent="0.2">
      <c r="CE6398"/>
      <c r="CF6398"/>
      <c r="CG6398"/>
      <c r="CH6398"/>
      <c r="CI6398"/>
    </row>
    <row r="6399" spans="83:87" x14ac:dyDescent="0.2">
      <c r="CE6399"/>
      <c r="CF6399"/>
      <c r="CG6399"/>
      <c r="CH6399"/>
      <c r="CI6399"/>
    </row>
    <row r="6400" spans="83:87" x14ac:dyDescent="0.2">
      <c r="CE6400"/>
      <c r="CF6400"/>
      <c r="CG6400"/>
      <c r="CH6400"/>
      <c r="CI6400"/>
    </row>
    <row r="6401" spans="83:87" x14ac:dyDescent="0.2">
      <c r="CE6401"/>
      <c r="CF6401"/>
      <c r="CG6401"/>
      <c r="CH6401"/>
      <c r="CI6401"/>
    </row>
    <row r="6402" spans="83:87" x14ac:dyDescent="0.2">
      <c r="CE6402"/>
      <c r="CF6402"/>
      <c r="CG6402"/>
      <c r="CH6402"/>
      <c r="CI6402"/>
    </row>
    <row r="6403" spans="83:87" x14ac:dyDescent="0.2">
      <c r="CE6403"/>
      <c r="CF6403"/>
      <c r="CG6403"/>
      <c r="CH6403"/>
      <c r="CI6403"/>
    </row>
    <row r="6404" spans="83:87" x14ac:dyDescent="0.2">
      <c r="CE6404"/>
      <c r="CF6404"/>
      <c r="CG6404"/>
      <c r="CH6404"/>
      <c r="CI6404"/>
    </row>
    <row r="6405" spans="83:87" x14ac:dyDescent="0.2">
      <c r="CE6405"/>
      <c r="CF6405"/>
      <c r="CG6405"/>
      <c r="CH6405"/>
      <c r="CI6405"/>
    </row>
    <row r="6406" spans="83:87" x14ac:dyDescent="0.2">
      <c r="CE6406"/>
      <c r="CF6406"/>
      <c r="CG6406"/>
      <c r="CH6406"/>
      <c r="CI6406"/>
    </row>
    <row r="6407" spans="83:87" x14ac:dyDescent="0.2">
      <c r="CE6407"/>
      <c r="CF6407"/>
      <c r="CG6407"/>
      <c r="CH6407"/>
      <c r="CI6407"/>
    </row>
    <row r="6408" spans="83:87" x14ac:dyDescent="0.2">
      <c r="CE6408"/>
      <c r="CF6408"/>
      <c r="CG6408"/>
      <c r="CH6408"/>
      <c r="CI6408"/>
    </row>
    <row r="6409" spans="83:87" x14ac:dyDescent="0.2">
      <c r="CE6409"/>
      <c r="CF6409"/>
      <c r="CG6409"/>
      <c r="CH6409"/>
      <c r="CI6409"/>
    </row>
    <row r="6410" spans="83:87" x14ac:dyDescent="0.2">
      <c r="CE6410"/>
      <c r="CF6410"/>
      <c r="CG6410"/>
      <c r="CH6410"/>
      <c r="CI6410"/>
    </row>
    <row r="6411" spans="83:87" x14ac:dyDescent="0.2">
      <c r="CE6411"/>
      <c r="CF6411"/>
      <c r="CG6411"/>
      <c r="CH6411"/>
      <c r="CI6411"/>
    </row>
    <row r="6412" spans="83:87" x14ac:dyDescent="0.2">
      <c r="CE6412"/>
      <c r="CF6412"/>
      <c r="CG6412"/>
      <c r="CH6412"/>
      <c r="CI6412"/>
    </row>
    <row r="6413" spans="83:87" x14ac:dyDescent="0.2">
      <c r="CE6413"/>
      <c r="CF6413"/>
      <c r="CG6413"/>
      <c r="CH6413"/>
      <c r="CI6413"/>
    </row>
    <row r="6414" spans="83:87" x14ac:dyDescent="0.2">
      <c r="CE6414"/>
      <c r="CF6414"/>
      <c r="CG6414"/>
      <c r="CH6414"/>
      <c r="CI6414"/>
    </row>
    <row r="6415" spans="83:87" x14ac:dyDescent="0.2">
      <c r="CE6415"/>
      <c r="CF6415"/>
      <c r="CG6415"/>
      <c r="CH6415"/>
      <c r="CI6415"/>
    </row>
    <row r="6416" spans="83:87" x14ac:dyDescent="0.2">
      <c r="CE6416"/>
      <c r="CF6416"/>
      <c r="CG6416"/>
      <c r="CH6416"/>
      <c r="CI6416"/>
    </row>
    <row r="6417" spans="83:87" x14ac:dyDescent="0.2">
      <c r="CE6417"/>
      <c r="CF6417"/>
      <c r="CG6417"/>
      <c r="CH6417"/>
      <c r="CI6417"/>
    </row>
    <row r="6418" spans="83:87" x14ac:dyDescent="0.2">
      <c r="CE6418"/>
      <c r="CF6418"/>
      <c r="CG6418"/>
      <c r="CH6418"/>
      <c r="CI6418"/>
    </row>
    <row r="6419" spans="83:87" x14ac:dyDescent="0.2">
      <c r="CE6419"/>
      <c r="CF6419"/>
      <c r="CG6419"/>
      <c r="CH6419"/>
      <c r="CI6419"/>
    </row>
    <row r="6420" spans="83:87" x14ac:dyDescent="0.2">
      <c r="CE6420"/>
      <c r="CF6420"/>
      <c r="CG6420"/>
      <c r="CH6420"/>
      <c r="CI6420"/>
    </row>
    <row r="6421" spans="83:87" x14ac:dyDescent="0.2">
      <c r="CE6421"/>
      <c r="CF6421"/>
      <c r="CG6421"/>
      <c r="CH6421"/>
      <c r="CI6421"/>
    </row>
    <row r="6422" spans="83:87" x14ac:dyDescent="0.2">
      <c r="CE6422"/>
      <c r="CF6422"/>
      <c r="CG6422"/>
      <c r="CH6422"/>
      <c r="CI6422"/>
    </row>
    <row r="6423" spans="83:87" x14ac:dyDescent="0.2">
      <c r="CE6423"/>
      <c r="CF6423"/>
      <c r="CG6423"/>
      <c r="CH6423"/>
      <c r="CI6423"/>
    </row>
    <row r="6424" spans="83:87" x14ac:dyDescent="0.2">
      <c r="CE6424"/>
      <c r="CF6424"/>
      <c r="CG6424"/>
      <c r="CH6424"/>
      <c r="CI6424"/>
    </row>
    <row r="6425" spans="83:87" x14ac:dyDescent="0.2">
      <c r="CE6425"/>
      <c r="CF6425"/>
      <c r="CG6425"/>
      <c r="CH6425"/>
      <c r="CI6425"/>
    </row>
    <row r="6426" spans="83:87" x14ac:dyDescent="0.2">
      <c r="CE6426"/>
      <c r="CF6426"/>
      <c r="CG6426"/>
      <c r="CH6426"/>
      <c r="CI6426"/>
    </row>
    <row r="6427" spans="83:87" x14ac:dyDescent="0.2">
      <c r="CE6427"/>
      <c r="CF6427"/>
      <c r="CG6427"/>
      <c r="CH6427"/>
      <c r="CI6427"/>
    </row>
    <row r="6428" spans="83:87" x14ac:dyDescent="0.2">
      <c r="CE6428"/>
      <c r="CF6428"/>
      <c r="CG6428"/>
      <c r="CH6428"/>
      <c r="CI6428"/>
    </row>
    <row r="6429" spans="83:87" x14ac:dyDescent="0.2">
      <c r="CE6429"/>
      <c r="CF6429"/>
      <c r="CG6429"/>
      <c r="CH6429"/>
      <c r="CI6429"/>
    </row>
    <row r="6430" spans="83:87" x14ac:dyDescent="0.2">
      <c r="CE6430"/>
      <c r="CF6430"/>
      <c r="CG6430"/>
      <c r="CH6430"/>
      <c r="CI6430"/>
    </row>
    <row r="6431" spans="83:87" x14ac:dyDescent="0.2">
      <c r="CE6431"/>
      <c r="CF6431"/>
      <c r="CG6431"/>
      <c r="CH6431"/>
      <c r="CI6431"/>
    </row>
    <row r="6432" spans="83:87" x14ac:dyDescent="0.2">
      <c r="CE6432"/>
      <c r="CF6432"/>
      <c r="CG6432"/>
      <c r="CH6432"/>
      <c r="CI6432"/>
    </row>
    <row r="6433" spans="83:87" x14ac:dyDescent="0.2">
      <c r="CE6433"/>
      <c r="CF6433"/>
      <c r="CG6433"/>
      <c r="CH6433"/>
      <c r="CI6433"/>
    </row>
    <row r="6434" spans="83:87" x14ac:dyDescent="0.2">
      <c r="CE6434"/>
      <c r="CF6434"/>
      <c r="CG6434"/>
      <c r="CH6434"/>
      <c r="CI6434"/>
    </row>
    <row r="6435" spans="83:87" x14ac:dyDescent="0.2">
      <c r="CE6435"/>
      <c r="CF6435"/>
      <c r="CG6435"/>
      <c r="CH6435"/>
      <c r="CI6435"/>
    </row>
    <row r="6436" spans="83:87" x14ac:dyDescent="0.2">
      <c r="CE6436"/>
      <c r="CF6436"/>
      <c r="CG6436"/>
      <c r="CH6436"/>
      <c r="CI6436"/>
    </row>
    <row r="6437" spans="83:87" x14ac:dyDescent="0.2">
      <c r="CE6437"/>
      <c r="CF6437"/>
      <c r="CG6437"/>
      <c r="CH6437"/>
      <c r="CI6437"/>
    </row>
    <row r="6438" spans="83:87" x14ac:dyDescent="0.2">
      <c r="CE6438"/>
      <c r="CF6438"/>
      <c r="CG6438"/>
      <c r="CH6438"/>
      <c r="CI6438"/>
    </row>
    <row r="6439" spans="83:87" x14ac:dyDescent="0.2">
      <c r="CE6439"/>
      <c r="CF6439"/>
      <c r="CG6439"/>
      <c r="CH6439"/>
      <c r="CI6439"/>
    </row>
    <row r="6440" spans="83:87" x14ac:dyDescent="0.2">
      <c r="CE6440"/>
      <c r="CF6440"/>
      <c r="CG6440"/>
      <c r="CH6440"/>
      <c r="CI6440"/>
    </row>
    <row r="6441" spans="83:87" x14ac:dyDescent="0.2">
      <c r="CE6441"/>
      <c r="CF6441"/>
      <c r="CG6441"/>
      <c r="CH6441"/>
      <c r="CI6441"/>
    </row>
    <row r="6442" spans="83:87" x14ac:dyDescent="0.2">
      <c r="CE6442"/>
      <c r="CF6442"/>
      <c r="CG6442"/>
      <c r="CH6442"/>
      <c r="CI6442"/>
    </row>
    <row r="6443" spans="83:87" x14ac:dyDescent="0.2">
      <c r="CE6443"/>
      <c r="CF6443"/>
      <c r="CG6443"/>
      <c r="CH6443"/>
      <c r="CI6443"/>
    </row>
    <row r="6444" spans="83:87" x14ac:dyDescent="0.2">
      <c r="CE6444"/>
      <c r="CF6444"/>
      <c r="CG6444"/>
      <c r="CH6444"/>
      <c r="CI6444"/>
    </row>
    <row r="6445" spans="83:87" x14ac:dyDescent="0.2">
      <c r="CE6445"/>
      <c r="CF6445"/>
      <c r="CG6445"/>
      <c r="CH6445"/>
      <c r="CI6445"/>
    </row>
    <row r="6446" spans="83:87" x14ac:dyDescent="0.2">
      <c r="CE6446"/>
      <c r="CF6446"/>
      <c r="CG6446"/>
      <c r="CH6446"/>
      <c r="CI6446"/>
    </row>
    <row r="6447" spans="83:87" x14ac:dyDescent="0.2">
      <c r="CE6447"/>
      <c r="CF6447"/>
      <c r="CG6447"/>
      <c r="CH6447"/>
      <c r="CI6447"/>
    </row>
    <row r="6448" spans="83:87" x14ac:dyDescent="0.2">
      <c r="CE6448"/>
      <c r="CF6448"/>
      <c r="CG6448"/>
      <c r="CH6448"/>
      <c r="CI6448"/>
    </row>
    <row r="6449" spans="83:87" x14ac:dyDescent="0.2">
      <c r="CE6449"/>
      <c r="CF6449"/>
      <c r="CG6449"/>
      <c r="CH6449"/>
      <c r="CI6449"/>
    </row>
    <row r="6450" spans="83:87" x14ac:dyDescent="0.2">
      <c r="CE6450"/>
      <c r="CF6450"/>
      <c r="CG6450"/>
      <c r="CH6450"/>
      <c r="CI6450"/>
    </row>
    <row r="6451" spans="83:87" x14ac:dyDescent="0.2">
      <c r="CE6451"/>
      <c r="CF6451"/>
      <c r="CG6451"/>
      <c r="CH6451"/>
      <c r="CI6451"/>
    </row>
    <row r="6452" spans="83:87" x14ac:dyDescent="0.2">
      <c r="CE6452"/>
      <c r="CF6452"/>
      <c r="CG6452"/>
      <c r="CH6452"/>
      <c r="CI6452"/>
    </row>
    <row r="6453" spans="83:87" x14ac:dyDescent="0.2">
      <c r="CE6453"/>
      <c r="CF6453"/>
      <c r="CG6453"/>
      <c r="CH6453"/>
      <c r="CI6453"/>
    </row>
    <row r="6454" spans="83:87" x14ac:dyDescent="0.2">
      <c r="CE6454"/>
      <c r="CF6454"/>
      <c r="CG6454"/>
      <c r="CH6454"/>
      <c r="CI6454"/>
    </row>
    <row r="6455" spans="83:87" x14ac:dyDescent="0.2">
      <c r="CE6455"/>
      <c r="CF6455"/>
      <c r="CG6455"/>
      <c r="CH6455"/>
      <c r="CI6455"/>
    </row>
    <row r="6456" spans="83:87" x14ac:dyDescent="0.2">
      <c r="CE6456"/>
      <c r="CF6456"/>
      <c r="CG6456"/>
      <c r="CH6456"/>
      <c r="CI6456"/>
    </row>
    <row r="6457" spans="83:87" x14ac:dyDescent="0.2">
      <c r="CE6457"/>
      <c r="CF6457"/>
      <c r="CG6457"/>
      <c r="CH6457"/>
      <c r="CI6457"/>
    </row>
    <row r="6458" spans="83:87" x14ac:dyDescent="0.2">
      <c r="CE6458"/>
      <c r="CF6458"/>
      <c r="CG6458"/>
      <c r="CH6458"/>
      <c r="CI6458"/>
    </row>
    <row r="6459" spans="83:87" x14ac:dyDescent="0.2">
      <c r="CE6459"/>
      <c r="CF6459"/>
      <c r="CG6459"/>
      <c r="CH6459"/>
      <c r="CI6459"/>
    </row>
    <row r="6460" spans="83:87" x14ac:dyDescent="0.2">
      <c r="CE6460"/>
      <c r="CF6460"/>
      <c r="CG6460"/>
      <c r="CH6460"/>
      <c r="CI6460"/>
    </row>
    <row r="6461" spans="83:87" x14ac:dyDescent="0.2">
      <c r="CE6461"/>
      <c r="CF6461"/>
      <c r="CG6461"/>
      <c r="CH6461"/>
      <c r="CI6461"/>
    </row>
    <row r="6462" spans="83:87" x14ac:dyDescent="0.2">
      <c r="CE6462"/>
      <c r="CF6462"/>
      <c r="CG6462"/>
      <c r="CH6462"/>
      <c r="CI6462"/>
    </row>
    <row r="6463" spans="83:87" x14ac:dyDescent="0.2">
      <c r="CE6463"/>
      <c r="CF6463"/>
      <c r="CG6463"/>
      <c r="CH6463"/>
      <c r="CI6463"/>
    </row>
    <row r="6464" spans="83:87" x14ac:dyDescent="0.2">
      <c r="CE6464"/>
      <c r="CF6464"/>
      <c r="CG6464"/>
      <c r="CH6464"/>
      <c r="CI6464"/>
    </row>
    <row r="6465" spans="83:87" x14ac:dyDescent="0.2">
      <c r="CE6465"/>
      <c r="CF6465"/>
      <c r="CG6465"/>
      <c r="CH6465"/>
      <c r="CI6465"/>
    </row>
    <row r="6466" spans="83:87" x14ac:dyDescent="0.2">
      <c r="CE6466"/>
      <c r="CF6466"/>
      <c r="CG6466"/>
      <c r="CH6466"/>
      <c r="CI6466"/>
    </row>
    <row r="6467" spans="83:87" x14ac:dyDescent="0.2">
      <c r="CE6467"/>
      <c r="CF6467"/>
      <c r="CG6467"/>
      <c r="CH6467"/>
      <c r="CI6467"/>
    </row>
    <row r="6468" spans="83:87" x14ac:dyDescent="0.2">
      <c r="CE6468"/>
      <c r="CF6468"/>
      <c r="CG6468"/>
      <c r="CH6468"/>
      <c r="CI6468"/>
    </row>
    <row r="6469" spans="83:87" x14ac:dyDescent="0.2">
      <c r="CE6469"/>
      <c r="CF6469"/>
      <c r="CG6469"/>
      <c r="CH6469"/>
      <c r="CI6469"/>
    </row>
    <row r="6470" spans="83:87" x14ac:dyDescent="0.2">
      <c r="CE6470"/>
      <c r="CF6470"/>
      <c r="CG6470"/>
      <c r="CH6470"/>
      <c r="CI6470"/>
    </row>
    <row r="6471" spans="83:87" x14ac:dyDescent="0.2">
      <c r="CE6471"/>
      <c r="CF6471"/>
      <c r="CG6471"/>
      <c r="CH6471"/>
      <c r="CI6471"/>
    </row>
    <row r="6472" spans="83:87" x14ac:dyDescent="0.2">
      <c r="CE6472"/>
      <c r="CF6472"/>
      <c r="CG6472"/>
      <c r="CH6472"/>
      <c r="CI6472"/>
    </row>
    <row r="6473" spans="83:87" x14ac:dyDescent="0.2">
      <c r="CE6473"/>
      <c r="CF6473"/>
      <c r="CG6473"/>
      <c r="CH6473"/>
      <c r="CI6473"/>
    </row>
    <row r="6474" spans="83:87" x14ac:dyDescent="0.2">
      <c r="CE6474"/>
      <c r="CF6474"/>
      <c r="CG6474"/>
      <c r="CH6474"/>
      <c r="CI6474"/>
    </row>
    <row r="6475" spans="83:87" x14ac:dyDescent="0.2">
      <c r="CE6475"/>
      <c r="CF6475"/>
      <c r="CG6475"/>
      <c r="CH6475"/>
      <c r="CI6475"/>
    </row>
    <row r="6476" spans="83:87" x14ac:dyDescent="0.2">
      <c r="CE6476"/>
      <c r="CF6476"/>
      <c r="CG6476"/>
      <c r="CH6476"/>
      <c r="CI6476"/>
    </row>
    <row r="6477" spans="83:87" x14ac:dyDescent="0.2">
      <c r="CE6477"/>
      <c r="CF6477"/>
      <c r="CG6477"/>
      <c r="CH6477"/>
      <c r="CI6477"/>
    </row>
    <row r="6478" spans="83:87" x14ac:dyDescent="0.2">
      <c r="CE6478"/>
      <c r="CF6478"/>
      <c r="CG6478"/>
      <c r="CH6478"/>
      <c r="CI6478"/>
    </row>
    <row r="6479" spans="83:87" x14ac:dyDescent="0.2">
      <c r="CE6479"/>
      <c r="CF6479"/>
      <c r="CG6479"/>
      <c r="CH6479"/>
      <c r="CI6479"/>
    </row>
    <row r="6480" spans="83:87" x14ac:dyDescent="0.2">
      <c r="CE6480"/>
      <c r="CF6480"/>
      <c r="CG6480"/>
      <c r="CH6480"/>
      <c r="CI6480"/>
    </row>
    <row r="6481" spans="83:87" x14ac:dyDescent="0.2">
      <c r="CE6481"/>
      <c r="CF6481"/>
      <c r="CG6481"/>
      <c r="CH6481"/>
      <c r="CI6481"/>
    </row>
    <row r="6482" spans="83:87" x14ac:dyDescent="0.2">
      <c r="CE6482"/>
      <c r="CF6482"/>
      <c r="CG6482"/>
      <c r="CH6482"/>
      <c r="CI6482"/>
    </row>
    <row r="6483" spans="83:87" x14ac:dyDescent="0.2">
      <c r="CE6483"/>
      <c r="CF6483"/>
      <c r="CG6483"/>
      <c r="CH6483"/>
      <c r="CI6483"/>
    </row>
    <row r="6484" spans="83:87" x14ac:dyDescent="0.2">
      <c r="CE6484"/>
      <c r="CF6484"/>
      <c r="CG6484"/>
      <c r="CH6484"/>
      <c r="CI6484"/>
    </row>
    <row r="6485" spans="83:87" x14ac:dyDescent="0.2">
      <c r="CE6485"/>
      <c r="CF6485"/>
      <c r="CG6485"/>
      <c r="CH6485"/>
      <c r="CI6485"/>
    </row>
    <row r="6486" spans="83:87" x14ac:dyDescent="0.2">
      <c r="CE6486"/>
      <c r="CF6486"/>
      <c r="CG6486"/>
      <c r="CH6486"/>
      <c r="CI6486"/>
    </row>
    <row r="6487" spans="83:87" x14ac:dyDescent="0.2">
      <c r="CE6487"/>
      <c r="CF6487"/>
      <c r="CG6487"/>
      <c r="CH6487"/>
      <c r="CI6487"/>
    </row>
    <row r="6488" spans="83:87" x14ac:dyDescent="0.2">
      <c r="CE6488"/>
      <c r="CF6488"/>
      <c r="CG6488"/>
      <c r="CH6488"/>
      <c r="CI6488"/>
    </row>
    <row r="6489" spans="83:87" x14ac:dyDescent="0.2">
      <c r="CE6489"/>
      <c r="CF6489"/>
      <c r="CG6489"/>
      <c r="CH6489"/>
      <c r="CI6489"/>
    </row>
    <row r="6490" spans="83:87" x14ac:dyDescent="0.2">
      <c r="CE6490"/>
      <c r="CF6490"/>
      <c r="CG6490"/>
      <c r="CH6490"/>
      <c r="CI6490"/>
    </row>
    <row r="6491" spans="83:87" x14ac:dyDescent="0.2">
      <c r="CE6491"/>
      <c r="CF6491"/>
      <c r="CG6491"/>
      <c r="CH6491"/>
      <c r="CI6491"/>
    </row>
    <row r="6492" spans="83:87" x14ac:dyDescent="0.2">
      <c r="CE6492"/>
      <c r="CF6492"/>
      <c r="CG6492"/>
      <c r="CH6492"/>
      <c r="CI6492"/>
    </row>
    <row r="6493" spans="83:87" x14ac:dyDescent="0.2">
      <c r="CE6493"/>
      <c r="CF6493"/>
      <c r="CG6493"/>
      <c r="CH6493"/>
      <c r="CI6493"/>
    </row>
    <row r="6494" spans="83:87" x14ac:dyDescent="0.2">
      <c r="CE6494"/>
      <c r="CF6494"/>
      <c r="CG6494"/>
      <c r="CH6494"/>
      <c r="CI6494"/>
    </row>
    <row r="6495" spans="83:87" x14ac:dyDescent="0.2">
      <c r="CE6495"/>
      <c r="CF6495"/>
      <c r="CG6495"/>
      <c r="CH6495"/>
      <c r="CI6495"/>
    </row>
    <row r="6496" spans="83:87" x14ac:dyDescent="0.2">
      <c r="CE6496"/>
      <c r="CF6496"/>
      <c r="CG6496"/>
      <c r="CH6496"/>
      <c r="CI6496"/>
    </row>
    <row r="6497" spans="83:87" x14ac:dyDescent="0.2">
      <c r="CE6497"/>
      <c r="CF6497"/>
      <c r="CG6497"/>
      <c r="CH6497"/>
      <c r="CI6497"/>
    </row>
    <row r="6498" spans="83:87" x14ac:dyDescent="0.2">
      <c r="CE6498"/>
      <c r="CF6498"/>
      <c r="CG6498"/>
      <c r="CH6498"/>
      <c r="CI6498"/>
    </row>
    <row r="6499" spans="83:87" x14ac:dyDescent="0.2">
      <c r="CE6499"/>
      <c r="CF6499"/>
      <c r="CG6499"/>
      <c r="CH6499"/>
      <c r="CI6499"/>
    </row>
    <row r="6500" spans="83:87" x14ac:dyDescent="0.2">
      <c r="CE6500"/>
      <c r="CF6500"/>
      <c r="CG6500"/>
      <c r="CH6500"/>
      <c r="CI6500"/>
    </row>
    <row r="6501" spans="83:87" x14ac:dyDescent="0.2">
      <c r="CE6501"/>
      <c r="CF6501"/>
      <c r="CG6501"/>
      <c r="CH6501"/>
      <c r="CI6501"/>
    </row>
    <row r="6502" spans="83:87" x14ac:dyDescent="0.2">
      <c r="CE6502"/>
      <c r="CF6502"/>
      <c r="CG6502"/>
      <c r="CH6502"/>
      <c r="CI6502"/>
    </row>
    <row r="6503" spans="83:87" x14ac:dyDescent="0.2">
      <c r="CE6503"/>
      <c r="CF6503"/>
      <c r="CG6503"/>
      <c r="CH6503"/>
      <c r="CI6503"/>
    </row>
    <row r="6504" spans="83:87" x14ac:dyDescent="0.2">
      <c r="CE6504"/>
      <c r="CF6504"/>
      <c r="CG6504"/>
      <c r="CH6504"/>
      <c r="CI6504"/>
    </row>
    <row r="6505" spans="83:87" x14ac:dyDescent="0.2">
      <c r="CE6505"/>
      <c r="CF6505"/>
      <c r="CG6505"/>
      <c r="CH6505"/>
      <c r="CI6505"/>
    </row>
    <row r="6506" spans="83:87" x14ac:dyDescent="0.2">
      <c r="CE6506"/>
      <c r="CF6506"/>
      <c r="CG6506"/>
      <c r="CH6506"/>
      <c r="CI6506"/>
    </row>
    <row r="6507" spans="83:87" x14ac:dyDescent="0.2">
      <c r="CE6507"/>
      <c r="CF6507"/>
      <c r="CG6507"/>
      <c r="CH6507"/>
      <c r="CI6507"/>
    </row>
    <row r="6508" spans="83:87" x14ac:dyDescent="0.2">
      <c r="CE6508"/>
      <c r="CF6508"/>
      <c r="CG6508"/>
      <c r="CH6508"/>
      <c r="CI6508"/>
    </row>
    <row r="6509" spans="83:87" x14ac:dyDescent="0.2">
      <c r="CE6509"/>
      <c r="CF6509"/>
      <c r="CG6509"/>
      <c r="CH6509"/>
      <c r="CI6509"/>
    </row>
    <row r="6510" spans="83:87" x14ac:dyDescent="0.2">
      <c r="CE6510"/>
      <c r="CF6510"/>
      <c r="CG6510"/>
      <c r="CH6510"/>
      <c r="CI6510"/>
    </row>
    <row r="6511" spans="83:87" x14ac:dyDescent="0.2">
      <c r="CE6511"/>
      <c r="CF6511"/>
      <c r="CG6511"/>
      <c r="CH6511"/>
      <c r="CI6511"/>
    </row>
    <row r="6512" spans="83:87" x14ac:dyDescent="0.2">
      <c r="CE6512"/>
      <c r="CF6512"/>
      <c r="CG6512"/>
      <c r="CH6512"/>
      <c r="CI6512"/>
    </row>
    <row r="6513" spans="83:87" x14ac:dyDescent="0.2">
      <c r="CE6513"/>
      <c r="CF6513"/>
      <c r="CG6513"/>
      <c r="CH6513"/>
      <c r="CI6513"/>
    </row>
    <row r="6514" spans="83:87" x14ac:dyDescent="0.2">
      <c r="CE6514"/>
      <c r="CF6514"/>
      <c r="CG6514"/>
      <c r="CH6514"/>
      <c r="CI6514"/>
    </row>
    <row r="6515" spans="83:87" x14ac:dyDescent="0.2">
      <c r="CE6515"/>
      <c r="CF6515"/>
      <c r="CG6515"/>
      <c r="CH6515"/>
      <c r="CI6515"/>
    </row>
    <row r="6516" spans="83:87" x14ac:dyDescent="0.2">
      <c r="CE6516"/>
      <c r="CF6516"/>
      <c r="CG6516"/>
      <c r="CH6516"/>
      <c r="CI6516"/>
    </row>
    <row r="6517" spans="83:87" x14ac:dyDescent="0.2">
      <c r="CE6517"/>
      <c r="CF6517"/>
      <c r="CG6517"/>
      <c r="CH6517"/>
      <c r="CI6517"/>
    </row>
    <row r="6518" spans="83:87" x14ac:dyDescent="0.2">
      <c r="CE6518"/>
      <c r="CF6518"/>
      <c r="CG6518"/>
      <c r="CH6518"/>
      <c r="CI6518"/>
    </row>
    <row r="6519" spans="83:87" x14ac:dyDescent="0.2">
      <c r="CE6519"/>
      <c r="CF6519"/>
      <c r="CG6519"/>
      <c r="CH6519"/>
      <c r="CI6519"/>
    </row>
    <row r="6520" spans="83:87" x14ac:dyDescent="0.2">
      <c r="CE6520"/>
      <c r="CF6520"/>
      <c r="CG6520"/>
      <c r="CH6520"/>
      <c r="CI6520"/>
    </row>
    <row r="6521" spans="83:87" x14ac:dyDescent="0.2">
      <c r="CE6521"/>
      <c r="CF6521"/>
      <c r="CG6521"/>
      <c r="CH6521"/>
      <c r="CI6521"/>
    </row>
    <row r="6522" spans="83:87" x14ac:dyDescent="0.2">
      <c r="CE6522"/>
      <c r="CF6522"/>
      <c r="CG6522"/>
      <c r="CH6522"/>
      <c r="CI6522"/>
    </row>
    <row r="6523" spans="83:87" x14ac:dyDescent="0.2">
      <c r="CE6523"/>
      <c r="CF6523"/>
      <c r="CG6523"/>
      <c r="CH6523"/>
      <c r="CI6523"/>
    </row>
    <row r="6524" spans="83:87" x14ac:dyDescent="0.2">
      <c r="CE6524"/>
      <c r="CF6524"/>
      <c r="CG6524"/>
      <c r="CH6524"/>
      <c r="CI6524"/>
    </row>
    <row r="6525" spans="83:87" x14ac:dyDescent="0.2">
      <c r="CE6525"/>
      <c r="CF6525"/>
      <c r="CG6525"/>
      <c r="CH6525"/>
      <c r="CI6525"/>
    </row>
    <row r="6526" spans="83:87" x14ac:dyDescent="0.2">
      <c r="CE6526"/>
      <c r="CF6526"/>
      <c r="CG6526"/>
      <c r="CH6526"/>
      <c r="CI6526"/>
    </row>
    <row r="6527" spans="83:87" x14ac:dyDescent="0.2">
      <c r="CE6527"/>
      <c r="CF6527"/>
      <c r="CG6527"/>
      <c r="CH6527"/>
      <c r="CI6527"/>
    </row>
    <row r="6528" spans="83:87" x14ac:dyDescent="0.2">
      <c r="CE6528"/>
      <c r="CF6528"/>
      <c r="CG6528"/>
      <c r="CH6528"/>
      <c r="CI6528"/>
    </row>
    <row r="6529" spans="83:87" x14ac:dyDescent="0.2">
      <c r="CE6529"/>
      <c r="CF6529"/>
      <c r="CG6529"/>
      <c r="CH6529"/>
      <c r="CI6529"/>
    </row>
    <row r="6530" spans="83:87" x14ac:dyDescent="0.2">
      <c r="CE6530"/>
      <c r="CF6530"/>
      <c r="CG6530"/>
      <c r="CH6530"/>
      <c r="CI6530"/>
    </row>
    <row r="6531" spans="83:87" x14ac:dyDescent="0.2">
      <c r="CE6531"/>
      <c r="CF6531"/>
      <c r="CG6531"/>
      <c r="CH6531"/>
      <c r="CI6531"/>
    </row>
    <row r="6532" spans="83:87" x14ac:dyDescent="0.2">
      <c r="CE6532"/>
      <c r="CF6532"/>
      <c r="CG6532"/>
      <c r="CH6532"/>
      <c r="CI6532"/>
    </row>
    <row r="6533" spans="83:87" x14ac:dyDescent="0.2">
      <c r="CE6533"/>
      <c r="CF6533"/>
      <c r="CG6533"/>
      <c r="CH6533"/>
      <c r="CI6533"/>
    </row>
    <row r="6534" spans="83:87" x14ac:dyDescent="0.2">
      <c r="CE6534"/>
      <c r="CF6534"/>
      <c r="CG6534"/>
      <c r="CH6534"/>
      <c r="CI6534"/>
    </row>
    <row r="6535" spans="83:87" x14ac:dyDescent="0.2">
      <c r="CE6535"/>
      <c r="CF6535"/>
      <c r="CG6535"/>
      <c r="CH6535"/>
      <c r="CI6535"/>
    </row>
    <row r="6536" spans="83:87" x14ac:dyDescent="0.2">
      <c r="CE6536"/>
      <c r="CF6536"/>
      <c r="CG6536"/>
      <c r="CH6536"/>
      <c r="CI6536"/>
    </row>
    <row r="6537" spans="83:87" x14ac:dyDescent="0.2">
      <c r="CE6537"/>
      <c r="CF6537"/>
      <c r="CG6537"/>
      <c r="CH6537"/>
      <c r="CI6537"/>
    </row>
    <row r="6538" spans="83:87" x14ac:dyDescent="0.2">
      <c r="CE6538"/>
      <c r="CF6538"/>
      <c r="CG6538"/>
      <c r="CH6538"/>
      <c r="CI6538"/>
    </row>
    <row r="6539" spans="83:87" x14ac:dyDescent="0.2">
      <c r="CE6539"/>
      <c r="CF6539"/>
      <c r="CG6539"/>
      <c r="CH6539"/>
      <c r="CI6539"/>
    </row>
    <row r="6540" spans="83:87" x14ac:dyDescent="0.2">
      <c r="CE6540"/>
      <c r="CF6540"/>
      <c r="CG6540"/>
      <c r="CH6540"/>
      <c r="CI6540"/>
    </row>
    <row r="6541" spans="83:87" x14ac:dyDescent="0.2">
      <c r="CE6541"/>
      <c r="CF6541"/>
      <c r="CG6541"/>
      <c r="CH6541"/>
      <c r="CI6541"/>
    </row>
    <row r="6542" spans="83:87" x14ac:dyDescent="0.2">
      <c r="CE6542"/>
      <c r="CF6542"/>
      <c r="CG6542"/>
      <c r="CH6542"/>
      <c r="CI6542"/>
    </row>
    <row r="6543" spans="83:87" x14ac:dyDescent="0.2">
      <c r="CE6543"/>
      <c r="CF6543"/>
      <c r="CG6543"/>
      <c r="CH6543"/>
      <c r="CI6543"/>
    </row>
    <row r="6544" spans="83:87" x14ac:dyDescent="0.2">
      <c r="CE6544"/>
      <c r="CF6544"/>
      <c r="CG6544"/>
      <c r="CH6544"/>
      <c r="CI6544"/>
    </row>
    <row r="6545" spans="83:87" x14ac:dyDescent="0.2">
      <c r="CE6545"/>
      <c r="CF6545"/>
      <c r="CG6545"/>
      <c r="CH6545"/>
      <c r="CI6545"/>
    </row>
    <row r="6546" spans="83:87" x14ac:dyDescent="0.2">
      <c r="CE6546"/>
      <c r="CF6546"/>
      <c r="CG6546"/>
      <c r="CH6546"/>
      <c r="CI6546"/>
    </row>
    <row r="6547" spans="83:87" x14ac:dyDescent="0.2">
      <c r="CE6547"/>
      <c r="CF6547"/>
      <c r="CG6547"/>
      <c r="CH6547"/>
      <c r="CI6547"/>
    </row>
    <row r="6548" spans="83:87" x14ac:dyDescent="0.2">
      <c r="CE6548"/>
      <c r="CF6548"/>
      <c r="CG6548"/>
      <c r="CH6548"/>
      <c r="CI6548"/>
    </row>
    <row r="6549" spans="83:87" x14ac:dyDescent="0.2">
      <c r="CE6549"/>
      <c r="CF6549"/>
      <c r="CG6549"/>
      <c r="CH6549"/>
      <c r="CI6549"/>
    </row>
    <row r="6550" spans="83:87" x14ac:dyDescent="0.2">
      <c r="CE6550"/>
      <c r="CF6550"/>
      <c r="CG6550"/>
      <c r="CH6550"/>
      <c r="CI6550"/>
    </row>
    <row r="6551" spans="83:87" x14ac:dyDescent="0.2">
      <c r="CE6551"/>
      <c r="CF6551"/>
      <c r="CG6551"/>
      <c r="CH6551"/>
      <c r="CI6551"/>
    </row>
    <row r="6552" spans="83:87" x14ac:dyDescent="0.2">
      <c r="CE6552"/>
      <c r="CF6552"/>
      <c r="CG6552"/>
      <c r="CH6552"/>
      <c r="CI6552"/>
    </row>
    <row r="6553" spans="83:87" x14ac:dyDescent="0.2">
      <c r="CE6553"/>
      <c r="CF6553"/>
      <c r="CG6553"/>
      <c r="CH6553"/>
      <c r="CI6553"/>
    </row>
    <row r="6554" spans="83:87" x14ac:dyDescent="0.2">
      <c r="CE6554"/>
      <c r="CF6554"/>
      <c r="CG6554"/>
      <c r="CH6554"/>
      <c r="CI6554"/>
    </row>
    <row r="6555" spans="83:87" x14ac:dyDescent="0.2">
      <c r="CE6555"/>
      <c r="CF6555"/>
      <c r="CG6555"/>
      <c r="CH6555"/>
      <c r="CI6555"/>
    </row>
    <row r="6556" spans="83:87" x14ac:dyDescent="0.2">
      <c r="CE6556"/>
      <c r="CF6556"/>
      <c r="CG6556"/>
      <c r="CH6556"/>
      <c r="CI6556"/>
    </row>
    <row r="6557" spans="83:87" x14ac:dyDescent="0.2">
      <c r="CE6557"/>
      <c r="CF6557"/>
      <c r="CG6557"/>
      <c r="CH6557"/>
      <c r="CI6557"/>
    </row>
    <row r="6558" spans="83:87" x14ac:dyDescent="0.2">
      <c r="CE6558"/>
      <c r="CF6558"/>
      <c r="CG6558"/>
      <c r="CH6558"/>
      <c r="CI6558"/>
    </row>
    <row r="6559" spans="83:87" x14ac:dyDescent="0.2">
      <c r="CE6559"/>
      <c r="CF6559"/>
      <c r="CG6559"/>
      <c r="CH6559"/>
      <c r="CI6559"/>
    </row>
    <row r="6560" spans="83:87" x14ac:dyDescent="0.2">
      <c r="CE6560"/>
      <c r="CF6560"/>
      <c r="CG6560"/>
      <c r="CH6560"/>
      <c r="CI6560"/>
    </row>
    <row r="6561" spans="83:87" x14ac:dyDescent="0.2">
      <c r="CE6561"/>
      <c r="CF6561"/>
      <c r="CG6561"/>
      <c r="CH6561"/>
      <c r="CI6561"/>
    </row>
    <row r="6562" spans="83:87" x14ac:dyDescent="0.2">
      <c r="CE6562"/>
      <c r="CF6562"/>
      <c r="CG6562"/>
      <c r="CH6562"/>
      <c r="CI6562"/>
    </row>
    <row r="6563" spans="83:87" x14ac:dyDescent="0.2">
      <c r="CE6563"/>
      <c r="CF6563"/>
      <c r="CG6563"/>
      <c r="CH6563"/>
      <c r="CI6563"/>
    </row>
    <row r="6564" spans="83:87" x14ac:dyDescent="0.2">
      <c r="CE6564"/>
      <c r="CF6564"/>
      <c r="CG6564"/>
      <c r="CH6564"/>
      <c r="CI6564"/>
    </row>
    <row r="6565" spans="83:87" x14ac:dyDescent="0.2">
      <c r="CE6565"/>
      <c r="CF6565"/>
      <c r="CG6565"/>
      <c r="CH6565"/>
      <c r="CI6565"/>
    </row>
    <row r="6566" spans="83:87" x14ac:dyDescent="0.2">
      <c r="CE6566"/>
      <c r="CF6566"/>
      <c r="CG6566"/>
      <c r="CH6566"/>
      <c r="CI6566"/>
    </row>
    <row r="6567" spans="83:87" x14ac:dyDescent="0.2">
      <c r="CE6567"/>
      <c r="CF6567"/>
      <c r="CG6567"/>
      <c r="CH6567"/>
      <c r="CI6567"/>
    </row>
    <row r="6568" spans="83:87" x14ac:dyDescent="0.2">
      <c r="CE6568"/>
      <c r="CF6568"/>
      <c r="CG6568"/>
      <c r="CH6568"/>
      <c r="CI6568"/>
    </row>
    <row r="6569" spans="83:87" x14ac:dyDescent="0.2">
      <c r="CE6569"/>
      <c r="CF6569"/>
      <c r="CG6569"/>
      <c r="CH6569"/>
      <c r="CI6569"/>
    </row>
    <row r="6570" spans="83:87" x14ac:dyDescent="0.2">
      <c r="CE6570"/>
      <c r="CF6570"/>
      <c r="CG6570"/>
      <c r="CH6570"/>
      <c r="CI6570"/>
    </row>
    <row r="6571" spans="83:87" x14ac:dyDescent="0.2">
      <c r="CE6571"/>
      <c r="CF6571"/>
      <c r="CG6571"/>
      <c r="CH6571"/>
      <c r="CI6571"/>
    </row>
    <row r="6572" spans="83:87" x14ac:dyDescent="0.2">
      <c r="CE6572"/>
      <c r="CF6572"/>
      <c r="CG6572"/>
      <c r="CH6572"/>
      <c r="CI6572"/>
    </row>
    <row r="6573" spans="83:87" x14ac:dyDescent="0.2">
      <c r="CE6573"/>
      <c r="CF6573"/>
      <c r="CG6573"/>
      <c r="CH6573"/>
      <c r="CI6573"/>
    </row>
    <row r="6574" spans="83:87" x14ac:dyDescent="0.2">
      <c r="CE6574"/>
      <c r="CF6574"/>
      <c r="CG6574"/>
      <c r="CH6574"/>
      <c r="CI6574"/>
    </row>
    <row r="6575" spans="83:87" x14ac:dyDescent="0.2">
      <c r="CE6575"/>
      <c r="CF6575"/>
      <c r="CG6575"/>
      <c r="CH6575"/>
      <c r="CI6575"/>
    </row>
    <row r="6576" spans="83:87" x14ac:dyDescent="0.2">
      <c r="CE6576"/>
      <c r="CF6576"/>
      <c r="CG6576"/>
      <c r="CH6576"/>
      <c r="CI6576"/>
    </row>
    <row r="6577" spans="83:87" x14ac:dyDescent="0.2">
      <c r="CE6577"/>
      <c r="CF6577"/>
      <c r="CG6577"/>
      <c r="CH6577"/>
      <c r="CI6577"/>
    </row>
    <row r="6578" spans="83:87" x14ac:dyDescent="0.2">
      <c r="CE6578"/>
      <c r="CF6578"/>
      <c r="CG6578"/>
      <c r="CH6578"/>
      <c r="CI6578"/>
    </row>
    <row r="6579" spans="83:87" x14ac:dyDescent="0.2">
      <c r="CE6579"/>
      <c r="CF6579"/>
      <c r="CG6579"/>
      <c r="CH6579"/>
      <c r="CI6579"/>
    </row>
    <row r="6580" spans="83:87" x14ac:dyDescent="0.2">
      <c r="CE6580"/>
      <c r="CF6580"/>
      <c r="CG6580"/>
      <c r="CH6580"/>
      <c r="CI6580"/>
    </row>
    <row r="6581" spans="83:87" x14ac:dyDescent="0.2">
      <c r="CE6581"/>
      <c r="CF6581"/>
      <c r="CG6581"/>
      <c r="CH6581"/>
      <c r="CI6581"/>
    </row>
    <row r="6582" spans="83:87" x14ac:dyDescent="0.2">
      <c r="CE6582"/>
      <c r="CF6582"/>
      <c r="CG6582"/>
      <c r="CH6582"/>
      <c r="CI6582"/>
    </row>
    <row r="6583" spans="83:87" x14ac:dyDescent="0.2">
      <c r="CE6583"/>
      <c r="CF6583"/>
      <c r="CG6583"/>
      <c r="CH6583"/>
      <c r="CI6583"/>
    </row>
    <row r="6584" spans="83:87" x14ac:dyDescent="0.2">
      <c r="CE6584"/>
      <c r="CF6584"/>
      <c r="CG6584"/>
      <c r="CH6584"/>
      <c r="CI6584"/>
    </row>
    <row r="6585" spans="83:87" x14ac:dyDescent="0.2">
      <c r="CE6585"/>
      <c r="CF6585"/>
      <c r="CG6585"/>
      <c r="CH6585"/>
      <c r="CI6585"/>
    </row>
    <row r="6586" spans="83:87" x14ac:dyDescent="0.2">
      <c r="CE6586"/>
      <c r="CF6586"/>
      <c r="CG6586"/>
      <c r="CH6586"/>
      <c r="CI6586"/>
    </row>
    <row r="6587" spans="83:87" x14ac:dyDescent="0.2">
      <c r="CE6587"/>
      <c r="CF6587"/>
      <c r="CG6587"/>
      <c r="CH6587"/>
      <c r="CI6587"/>
    </row>
    <row r="6588" spans="83:87" x14ac:dyDescent="0.2">
      <c r="CE6588"/>
      <c r="CF6588"/>
      <c r="CG6588"/>
      <c r="CH6588"/>
      <c r="CI6588"/>
    </row>
    <row r="6589" spans="83:87" x14ac:dyDescent="0.2">
      <c r="CE6589"/>
      <c r="CF6589"/>
      <c r="CG6589"/>
      <c r="CH6589"/>
      <c r="CI6589"/>
    </row>
    <row r="6590" spans="83:87" x14ac:dyDescent="0.2">
      <c r="CE6590"/>
      <c r="CF6590"/>
      <c r="CG6590"/>
      <c r="CH6590"/>
      <c r="CI6590"/>
    </row>
    <row r="6591" spans="83:87" x14ac:dyDescent="0.2">
      <c r="CE6591"/>
      <c r="CF6591"/>
      <c r="CG6591"/>
      <c r="CH6591"/>
      <c r="CI6591"/>
    </row>
    <row r="6592" spans="83:87" x14ac:dyDescent="0.2">
      <c r="CE6592"/>
      <c r="CF6592"/>
      <c r="CG6592"/>
      <c r="CH6592"/>
      <c r="CI6592"/>
    </row>
    <row r="6593" spans="83:87" x14ac:dyDescent="0.2">
      <c r="CE6593"/>
      <c r="CF6593"/>
      <c r="CG6593"/>
      <c r="CH6593"/>
      <c r="CI6593"/>
    </row>
    <row r="6594" spans="83:87" x14ac:dyDescent="0.2">
      <c r="CE6594"/>
      <c r="CF6594"/>
      <c r="CG6594"/>
      <c r="CH6594"/>
      <c r="CI6594"/>
    </row>
    <row r="6595" spans="83:87" x14ac:dyDescent="0.2">
      <c r="CE6595"/>
      <c r="CF6595"/>
      <c r="CG6595"/>
      <c r="CH6595"/>
      <c r="CI6595"/>
    </row>
    <row r="6596" spans="83:87" x14ac:dyDescent="0.2">
      <c r="CE6596"/>
      <c r="CF6596"/>
      <c r="CG6596"/>
      <c r="CH6596"/>
      <c r="CI6596"/>
    </row>
    <row r="6597" spans="83:87" x14ac:dyDescent="0.2">
      <c r="CE6597"/>
      <c r="CF6597"/>
      <c r="CG6597"/>
      <c r="CH6597"/>
      <c r="CI6597"/>
    </row>
    <row r="6598" spans="83:87" x14ac:dyDescent="0.2">
      <c r="CE6598"/>
      <c r="CF6598"/>
      <c r="CG6598"/>
      <c r="CH6598"/>
      <c r="CI6598"/>
    </row>
    <row r="6599" spans="83:87" x14ac:dyDescent="0.2">
      <c r="CE6599"/>
      <c r="CF6599"/>
      <c r="CG6599"/>
      <c r="CH6599"/>
      <c r="CI6599"/>
    </row>
    <row r="6600" spans="83:87" x14ac:dyDescent="0.2">
      <c r="CE6600"/>
      <c r="CF6600"/>
      <c r="CG6600"/>
      <c r="CH6600"/>
      <c r="CI6600"/>
    </row>
    <row r="6601" spans="83:87" x14ac:dyDescent="0.2">
      <c r="CE6601"/>
      <c r="CF6601"/>
      <c r="CG6601"/>
      <c r="CH6601"/>
      <c r="CI6601"/>
    </row>
    <row r="6602" spans="83:87" x14ac:dyDescent="0.2">
      <c r="CE6602"/>
      <c r="CF6602"/>
      <c r="CG6602"/>
      <c r="CH6602"/>
      <c r="CI6602"/>
    </row>
    <row r="6603" spans="83:87" x14ac:dyDescent="0.2">
      <c r="CE6603"/>
      <c r="CF6603"/>
      <c r="CG6603"/>
      <c r="CH6603"/>
      <c r="CI6603"/>
    </row>
    <row r="6604" spans="83:87" x14ac:dyDescent="0.2">
      <c r="CE6604"/>
      <c r="CF6604"/>
      <c r="CG6604"/>
      <c r="CH6604"/>
      <c r="CI6604"/>
    </row>
    <row r="6605" spans="83:87" x14ac:dyDescent="0.2">
      <c r="CE6605"/>
      <c r="CF6605"/>
      <c r="CG6605"/>
      <c r="CH6605"/>
      <c r="CI6605"/>
    </row>
    <row r="6606" spans="83:87" x14ac:dyDescent="0.2">
      <c r="CE6606"/>
      <c r="CF6606"/>
      <c r="CG6606"/>
      <c r="CH6606"/>
      <c r="CI6606"/>
    </row>
    <row r="6607" spans="83:87" x14ac:dyDescent="0.2">
      <c r="CE6607"/>
      <c r="CF6607"/>
      <c r="CG6607"/>
      <c r="CH6607"/>
      <c r="CI6607"/>
    </row>
    <row r="6608" spans="83:87" x14ac:dyDescent="0.2">
      <c r="CE6608"/>
      <c r="CF6608"/>
      <c r="CG6608"/>
      <c r="CH6608"/>
      <c r="CI6608"/>
    </row>
    <row r="6609" spans="83:87" x14ac:dyDescent="0.2">
      <c r="CE6609"/>
      <c r="CF6609"/>
      <c r="CG6609"/>
      <c r="CH6609"/>
      <c r="CI6609"/>
    </row>
    <row r="6610" spans="83:87" x14ac:dyDescent="0.2">
      <c r="CE6610"/>
      <c r="CF6610"/>
      <c r="CG6610"/>
      <c r="CH6610"/>
      <c r="CI6610"/>
    </row>
    <row r="6611" spans="83:87" x14ac:dyDescent="0.2">
      <c r="CE6611"/>
      <c r="CF6611"/>
      <c r="CG6611"/>
      <c r="CH6611"/>
      <c r="CI6611"/>
    </row>
    <row r="6612" spans="83:87" x14ac:dyDescent="0.2">
      <c r="CE6612"/>
      <c r="CF6612"/>
      <c r="CG6612"/>
      <c r="CH6612"/>
      <c r="CI6612"/>
    </row>
    <row r="6613" spans="83:87" x14ac:dyDescent="0.2">
      <c r="CE6613"/>
      <c r="CF6613"/>
      <c r="CG6613"/>
      <c r="CH6613"/>
      <c r="CI6613"/>
    </row>
    <row r="6614" spans="83:87" x14ac:dyDescent="0.2">
      <c r="CE6614"/>
      <c r="CF6614"/>
      <c r="CG6614"/>
      <c r="CH6614"/>
      <c r="CI6614"/>
    </row>
    <row r="6615" spans="83:87" x14ac:dyDescent="0.2">
      <c r="CE6615"/>
      <c r="CF6615"/>
      <c r="CG6615"/>
      <c r="CH6615"/>
      <c r="CI6615"/>
    </row>
    <row r="6616" spans="83:87" x14ac:dyDescent="0.2">
      <c r="CE6616"/>
      <c r="CF6616"/>
      <c r="CG6616"/>
      <c r="CH6616"/>
      <c r="CI6616"/>
    </row>
    <row r="6617" spans="83:87" x14ac:dyDescent="0.2">
      <c r="CE6617"/>
      <c r="CF6617"/>
      <c r="CG6617"/>
      <c r="CH6617"/>
      <c r="CI6617"/>
    </row>
    <row r="6618" spans="83:87" x14ac:dyDescent="0.2">
      <c r="CE6618"/>
      <c r="CF6618"/>
      <c r="CG6618"/>
      <c r="CH6618"/>
      <c r="CI6618"/>
    </row>
    <row r="6619" spans="83:87" x14ac:dyDescent="0.2">
      <c r="CE6619"/>
      <c r="CF6619"/>
      <c r="CG6619"/>
      <c r="CH6619"/>
      <c r="CI6619"/>
    </row>
    <row r="6620" spans="83:87" x14ac:dyDescent="0.2">
      <c r="CE6620"/>
      <c r="CF6620"/>
      <c r="CG6620"/>
      <c r="CH6620"/>
      <c r="CI6620"/>
    </row>
    <row r="6621" spans="83:87" x14ac:dyDescent="0.2">
      <c r="CE6621"/>
      <c r="CF6621"/>
      <c r="CG6621"/>
      <c r="CH6621"/>
      <c r="CI6621"/>
    </row>
    <row r="6622" spans="83:87" x14ac:dyDescent="0.2">
      <c r="CE6622"/>
      <c r="CF6622"/>
      <c r="CG6622"/>
      <c r="CH6622"/>
      <c r="CI6622"/>
    </row>
    <row r="6623" spans="83:87" x14ac:dyDescent="0.2">
      <c r="CE6623"/>
      <c r="CF6623"/>
      <c r="CG6623"/>
      <c r="CH6623"/>
      <c r="CI6623"/>
    </row>
    <row r="6624" spans="83:87" x14ac:dyDescent="0.2">
      <c r="CE6624"/>
      <c r="CF6624"/>
      <c r="CG6624"/>
      <c r="CH6624"/>
      <c r="CI6624"/>
    </row>
    <row r="6625" spans="83:87" x14ac:dyDescent="0.2">
      <c r="CE6625"/>
      <c r="CF6625"/>
      <c r="CG6625"/>
      <c r="CH6625"/>
      <c r="CI6625"/>
    </row>
    <row r="6626" spans="83:87" x14ac:dyDescent="0.2">
      <c r="CE6626"/>
      <c r="CF6626"/>
      <c r="CG6626"/>
      <c r="CH6626"/>
      <c r="CI6626"/>
    </row>
    <row r="6627" spans="83:87" x14ac:dyDescent="0.2">
      <c r="CE6627"/>
      <c r="CF6627"/>
      <c r="CG6627"/>
      <c r="CH6627"/>
      <c r="CI6627"/>
    </row>
    <row r="6628" spans="83:87" x14ac:dyDescent="0.2">
      <c r="CE6628"/>
      <c r="CF6628"/>
      <c r="CG6628"/>
      <c r="CH6628"/>
      <c r="CI6628"/>
    </row>
    <row r="6629" spans="83:87" x14ac:dyDescent="0.2">
      <c r="CE6629"/>
      <c r="CF6629"/>
      <c r="CG6629"/>
      <c r="CH6629"/>
      <c r="CI6629"/>
    </row>
    <row r="6630" spans="83:87" x14ac:dyDescent="0.2">
      <c r="CE6630"/>
      <c r="CF6630"/>
      <c r="CG6630"/>
      <c r="CH6630"/>
      <c r="CI6630"/>
    </row>
    <row r="6631" spans="83:87" x14ac:dyDescent="0.2">
      <c r="CE6631"/>
      <c r="CF6631"/>
      <c r="CG6631"/>
      <c r="CH6631"/>
      <c r="CI6631"/>
    </row>
    <row r="6632" spans="83:87" x14ac:dyDescent="0.2">
      <c r="CE6632"/>
      <c r="CF6632"/>
      <c r="CG6632"/>
      <c r="CH6632"/>
      <c r="CI6632"/>
    </row>
    <row r="6633" spans="83:87" x14ac:dyDescent="0.2">
      <c r="CE6633"/>
      <c r="CF6633"/>
      <c r="CG6633"/>
      <c r="CH6633"/>
      <c r="CI6633"/>
    </row>
    <row r="6634" spans="83:87" x14ac:dyDescent="0.2">
      <c r="CE6634"/>
      <c r="CF6634"/>
      <c r="CG6634"/>
      <c r="CH6634"/>
      <c r="CI6634"/>
    </row>
    <row r="6635" spans="83:87" x14ac:dyDescent="0.2">
      <c r="CE6635"/>
      <c r="CF6635"/>
      <c r="CG6635"/>
      <c r="CH6635"/>
      <c r="CI6635"/>
    </row>
    <row r="6636" spans="83:87" x14ac:dyDescent="0.2">
      <c r="CE6636"/>
      <c r="CF6636"/>
      <c r="CG6636"/>
      <c r="CH6636"/>
      <c r="CI6636"/>
    </row>
    <row r="6637" spans="83:87" x14ac:dyDescent="0.2">
      <c r="CE6637"/>
      <c r="CF6637"/>
      <c r="CG6637"/>
      <c r="CH6637"/>
      <c r="CI6637"/>
    </row>
    <row r="6638" spans="83:87" x14ac:dyDescent="0.2">
      <c r="CE6638"/>
      <c r="CF6638"/>
      <c r="CG6638"/>
      <c r="CH6638"/>
      <c r="CI6638"/>
    </row>
    <row r="6639" spans="83:87" x14ac:dyDescent="0.2">
      <c r="CE6639"/>
      <c r="CF6639"/>
      <c r="CG6639"/>
      <c r="CH6639"/>
      <c r="CI6639"/>
    </row>
    <row r="6640" spans="83:87" x14ac:dyDescent="0.2">
      <c r="CE6640"/>
      <c r="CF6640"/>
      <c r="CG6640"/>
      <c r="CH6640"/>
      <c r="CI6640"/>
    </row>
    <row r="6641" spans="83:87" x14ac:dyDescent="0.2">
      <c r="CE6641"/>
      <c r="CF6641"/>
      <c r="CG6641"/>
      <c r="CH6641"/>
      <c r="CI6641"/>
    </row>
    <row r="6642" spans="83:87" x14ac:dyDescent="0.2">
      <c r="CE6642"/>
      <c r="CF6642"/>
      <c r="CG6642"/>
      <c r="CH6642"/>
      <c r="CI6642"/>
    </row>
    <row r="6643" spans="83:87" x14ac:dyDescent="0.2">
      <c r="CE6643"/>
      <c r="CF6643"/>
      <c r="CG6643"/>
      <c r="CH6643"/>
      <c r="CI6643"/>
    </row>
    <row r="6644" spans="83:87" x14ac:dyDescent="0.2">
      <c r="CE6644"/>
      <c r="CF6644"/>
      <c r="CG6644"/>
      <c r="CH6644"/>
      <c r="CI6644"/>
    </row>
    <row r="6645" spans="83:87" x14ac:dyDescent="0.2">
      <c r="CE6645"/>
      <c r="CF6645"/>
      <c r="CG6645"/>
      <c r="CH6645"/>
      <c r="CI6645"/>
    </row>
    <row r="6646" spans="83:87" x14ac:dyDescent="0.2">
      <c r="CE6646"/>
      <c r="CF6646"/>
      <c r="CG6646"/>
      <c r="CH6646"/>
      <c r="CI6646"/>
    </row>
    <row r="6647" spans="83:87" x14ac:dyDescent="0.2">
      <c r="CE6647"/>
      <c r="CF6647"/>
      <c r="CG6647"/>
      <c r="CH6647"/>
      <c r="CI6647"/>
    </row>
    <row r="6648" spans="83:87" x14ac:dyDescent="0.2">
      <c r="CE6648"/>
      <c r="CF6648"/>
      <c r="CG6648"/>
      <c r="CH6648"/>
      <c r="CI6648"/>
    </row>
    <row r="6649" spans="83:87" x14ac:dyDescent="0.2">
      <c r="CE6649"/>
      <c r="CF6649"/>
      <c r="CG6649"/>
      <c r="CH6649"/>
      <c r="CI6649"/>
    </row>
    <row r="6650" spans="83:87" x14ac:dyDescent="0.2">
      <c r="CE6650"/>
      <c r="CF6650"/>
      <c r="CG6650"/>
      <c r="CH6650"/>
      <c r="CI6650"/>
    </row>
    <row r="6651" spans="83:87" x14ac:dyDescent="0.2">
      <c r="CE6651"/>
      <c r="CF6651"/>
      <c r="CG6651"/>
      <c r="CH6651"/>
      <c r="CI6651"/>
    </row>
    <row r="6652" spans="83:87" x14ac:dyDescent="0.2">
      <c r="CE6652"/>
      <c r="CF6652"/>
      <c r="CG6652"/>
      <c r="CH6652"/>
      <c r="CI6652"/>
    </row>
    <row r="6653" spans="83:87" x14ac:dyDescent="0.2">
      <c r="CE6653"/>
      <c r="CF6653"/>
      <c r="CG6653"/>
      <c r="CH6653"/>
      <c r="CI6653"/>
    </row>
    <row r="6654" spans="83:87" x14ac:dyDescent="0.2">
      <c r="CE6654"/>
      <c r="CF6654"/>
      <c r="CG6654"/>
      <c r="CH6654"/>
      <c r="CI6654"/>
    </row>
    <row r="6655" spans="83:87" x14ac:dyDescent="0.2">
      <c r="CE6655"/>
      <c r="CF6655"/>
      <c r="CG6655"/>
      <c r="CH6655"/>
      <c r="CI6655"/>
    </row>
    <row r="6656" spans="83:87" x14ac:dyDescent="0.2">
      <c r="CE6656"/>
      <c r="CF6656"/>
      <c r="CG6656"/>
      <c r="CH6656"/>
      <c r="CI6656"/>
    </row>
    <row r="6657" spans="83:87" x14ac:dyDescent="0.2">
      <c r="CE6657"/>
      <c r="CF6657"/>
      <c r="CG6657"/>
      <c r="CH6657"/>
      <c r="CI6657"/>
    </row>
    <row r="6658" spans="83:87" x14ac:dyDescent="0.2">
      <c r="CE6658"/>
      <c r="CF6658"/>
      <c r="CG6658"/>
      <c r="CH6658"/>
      <c r="CI6658"/>
    </row>
    <row r="6659" spans="83:87" x14ac:dyDescent="0.2">
      <c r="CE6659"/>
      <c r="CF6659"/>
      <c r="CG6659"/>
      <c r="CH6659"/>
      <c r="CI6659"/>
    </row>
    <row r="6660" spans="83:87" x14ac:dyDescent="0.2">
      <c r="CE6660"/>
      <c r="CF6660"/>
      <c r="CG6660"/>
      <c r="CH6660"/>
      <c r="CI6660"/>
    </row>
    <row r="6661" spans="83:87" x14ac:dyDescent="0.2">
      <c r="CE6661"/>
      <c r="CF6661"/>
      <c r="CG6661"/>
      <c r="CH6661"/>
      <c r="CI6661"/>
    </row>
    <row r="6662" spans="83:87" x14ac:dyDescent="0.2">
      <c r="CE6662"/>
      <c r="CF6662"/>
      <c r="CG6662"/>
      <c r="CH6662"/>
      <c r="CI6662"/>
    </row>
    <row r="6663" spans="83:87" x14ac:dyDescent="0.2">
      <c r="CE6663"/>
      <c r="CF6663"/>
      <c r="CG6663"/>
      <c r="CH6663"/>
      <c r="CI6663"/>
    </row>
    <row r="6664" spans="83:87" x14ac:dyDescent="0.2">
      <c r="CE6664"/>
      <c r="CF6664"/>
      <c r="CG6664"/>
      <c r="CH6664"/>
      <c r="CI6664"/>
    </row>
    <row r="6665" spans="83:87" x14ac:dyDescent="0.2">
      <c r="CE6665"/>
      <c r="CF6665"/>
      <c r="CG6665"/>
      <c r="CH6665"/>
      <c r="CI6665"/>
    </row>
    <row r="6666" spans="83:87" x14ac:dyDescent="0.2">
      <c r="CE6666"/>
      <c r="CF6666"/>
      <c r="CG6666"/>
      <c r="CH6666"/>
      <c r="CI6666"/>
    </row>
    <row r="6667" spans="83:87" x14ac:dyDescent="0.2">
      <c r="CE6667"/>
      <c r="CF6667"/>
      <c r="CG6667"/>
      <c r="CH6667"/>
      <c r="CI6667"/>
    </row>
    <row r="6668" spans="83:87" x14ac:dyDescent="0.2">
      <c r="CE6668"/>
      <c r="CF6668"/>
      <c r="CG6668"/>
      <c r="CH6668"/>
      <c r="CI6668"/>
    </row>
    <row r="6669" spans="83:87" x14ac:dyDescent="0.2">
      <c r="CE6669"/>
      <c r="CF6669"/>
      <c r="CG6669"/>
      <c r="CH6669"/>
      <c r="CI6669"/>
    </row>
    <row r="6670" spans="83:87" x14ac:dyDescent="0.2">
      <c r="CE6670"/>
      <c r="CF6670"/>
      <c r="CG6670"/>
      <c r="CH6670"/>
      <c r="CI6670"/>
    </row>
    <row r="6671" spans="83:87" x14ac:dyDescent="0.2">
      <c r="CE6671"/>
      <c r="CF6671"/>
      <c r="CG6671"/>
      <c r="CH6671"/>
      <c r="CI6671"/>
    </row>
    <row r="6672" spans="83:87" x14ac:dyDescent="0.2">
      <c r="CE6672"/>
      <c r="CF6672"/>
      <c r="CG6672"/>
      <c r="CH6672"/>
      <c r="CI6672"/>
    </row>
    <row r="6673" spans="83:87" x14ac:dyDescent="0.2">
      <c r="CE6673"/>
      <c r="CF6673"/>
      <c r="CG6673"/>
      <c r="CH6673"/>
      <c r="CI6673"/>
    </row>
    <row r="6674" spans="83:87" x14ac:dyDescent="0.2">
      <c r="CE6674"/>
      <c r="CF6674"/>
      <c r="CG6674"/>
      <c r="CH6674"/>
      <c r="CI6674"/>
    </row>
    <row r="6675" spans="83:87" x14ac:dyDescent="0.2">
      <c r="CE6675"/>
      <c r="CF6675"/>
      <c r="CG6675"/>
      <c r="CH6675"/>
      <c r="CI6675"/>
    </row>
    <row r="6676" spans="83:87" x14ac:dyDescent="0.2">
      <c r="CE6676"/>
      <c r="CF6676"/>
      <c r="CG6676"/>
      <c r="CH6676"/>
      <c r="CI6676"/>
    </row>
    <row r="6677" spans="83:87" x14ac:dyDescent="0.2">
      <c r="CE6677"/>
      <c r="CF6677"/>
      <c r="CG6677"/>
      <c r="CH6677"/>
      <c r="CI6677"/>
    </row>
    <row r="6678" spans="83:87" x14ac:dyDescent="0.2">
      <c r="CE6678"/>
      <c r="CF6678"/>
      <c r="CG6678"/>
      <c r="CH6678"/>
      <c r="CI6678"/>
    </row>
    <row r="6679" spans="83:87" x14ac:dyDescent="0.2">
      <c r="CE6679"/>
      <c r="CF6679"/>
      <c r="CG6679"/>
      <c r="CH6679"/>
      <c r="CI6679"/>
    </row>
    <row r="6680" spans="83:87" x14ac:dyDescent="0.2">
      <c r="CE6680"/>
      <c r="CF6680"/>
      <c r="CG6680"/>
      <c r="CH6680"/>
      <c r="CI6680"/>
    </row>
    <row r="6681" spans="83:87" x14ac:dyDescent="0.2">
      <c r="CE6681"/>
      <c r="CF6681"/>
      <c r="CG6681"/>
      <c r="CH6681"/>
      <c r="CI6681"/>
    </row>
    <row r="6682" spans="83:87" x14ac:dyDescent="0.2">
      <c r="CE6682"/>
      <c r="CF6682"/>
      <c r="CG6682"/>
      <c r="CH6682"/>
      <c r="CI6682"/>
    </row>
    <row r="6683" spans="83:87" x14ac:dyDescent="0.2">
      <c r="CE6683"/>
      <c r="CF6683"/>
      <c r="CG6683"/>
      <c r="CH6683"/>
      <c r="CI6683"/>
    </row>
    <row r="6684" spans="83:87" x14ac:dyDescent="0.2">
      <c r="CE6684"/>
      <c r="CF6684"/>
      <c r="CG6684"/>
      <c r="CH6684"/>
      <c r="CI6684"/>
    </row>
    <row r="6685" spans="83:87" x14ac:dyDescent="0.2">
      <c r="CE6685"/>
      <c r="CF6685"/>
      <c r="CG6685"/>
      <c r="CH6685"/>
      <c r="CI6685"/>
    </row>
    <row r="6686" spans="83:87" x14ac:dyDescent="0.2">
      <c r="CE6686"/>
      <c r="CF6686"/>
      <c r="CG6686"/>
      <c r="CH6686"/>
      <c r="CI6686"/>
    </row>
    <row r="6687" spans="83:87" x14ac:dyDescent="0.2">
      <c r="CE6687"/>
      <c r="CF6687"/>
      <c r="CG6687"/>
      <c r="CH6687"/>
      <c r="CI6687"/>
    </row>
    <row r="6688" spans="83:87" x14ac:dyDescent="0.2">
      <c r="CE6688"/>
      <c r="CF6688"/>
      <c r="CG6688"/>
      <c r="CH6688"/>
      <c r="CI6688"/>
    </row>
    <row r="6689" spans="83:87" x14ac:dyDescent="0.2">
      <c r="CE6689"/>
      <c r="CF6689"/>
      <c r="CG6689"/>
      <c r="CH6689"/>
      <c r="CI6689"/>
    </row>
    <row r="6690" spans="83:87" x14ac:dyDescent="0.2">
      <c r="CE6690"/>
      <c r="CF6690"/>
      <c r="CG6690"/>
      <c r="CH6690"/>
      <c r="CI6690"/>
    </row>
    <row r="6691" spans="83:87" x14ac:dyDescent="0.2">
      <c r="CE6691"/>
      <c r="CF6691"/>
      <c r="CG6691"/>
      <c r="CH6691"/>
      <c r="CI6691"/>
    </row>
    <row r="6692" spans="83:87" x14ac:dyDescent="0.2">
      <c r="CE6692"/>
      <c r="CF6692"/>
      <c r="CG6692"/>
      <c r="CH6692"/>
      <c r="CI6692"/>
    </row>
    <row r="6693" spans="83:87" x14ac:dyDescent="0.2">
      <c r="CE6693"/>
      <c r="CF6693"/>
      <c r="CG6693"/>
      <c r="CH6693"/>
      <c r="CI6693"/>
    </row>
    <row r="6694" spans="83:87" x14ac:dyDescent="0.2">
      <c r="CE6694"/>
      <c r="CF6694"/>
      <c r="CG6694"/>
      <c r="CH6694"/>
      <c r="CI6694"/>
    </row>
    <row r="6695" spans="83:87" x14ac:dyDescent="0.2">
      <c r="CE6695"/>
      <c r="CF6695"/>
      <c r="CG6695"/>
      <c r="CH6695"/>
      <c r="CI6695"/>
    </row>
    <row r="6696" spans="83:87" x14ac:dyDescent="0.2">
      <c r="CE6696"/>
      <c r="CF6696"/>
      <c r="CG6696"/>
      <c r="CH6696"/>
      <c r="CI6696"/>
    </row>
    <row r="6697" spans="83:87" x14ac:dyDescent="0.2">
      <c r="CE6697"/>
      <c r="CF6697"/>
      <c r="CG6697"/>
      <c r="CH6697"/>
      <c r="CI6697"/>
    </row>
    <row r="6698" spans="83:87" x14ac:dyDescent="0.2">
      <c r="CE6698"/>
      <c r="CF6698"/>
      <c r="CG6698"/>
      <c r="CH6698"/>
      <c r="CI6698"/>
    </row>
    <row r="6699" spans="83:87" x14ac:dyDescent="0.2">
      <c r="CE6699"/>
      <c r="CF6699"/>
      <c r="CG6699"/>
      <c r="CH6699"/>
      <c r="CI6699"/>
    </row>
    <row r="6700" spans="83:87" x14ac:dyDescent="0.2">
      <c r="CE6700"/>
      <c r="CF6700"/>
      <c r="CG6700"/>
      <c r="CH6700"/>
      <c r="CI6700"/>
    </row>
    <row r="6701" spans="83:87" x14ac:dyDescent="0.2">
      <c r="CE6701"/>
      <c r="CF6701"/>
      <c r="CG6701"/>
      <c r="CH6701"/>
      <c r="CI6701"/>
    </row>
    <row r="6702" spans="83:87" x14ac:dyDescent="0.2">
      <c r="CE6702"/>
      <c r="CF6702"/>
      <c r="CG6702"/>
      <c r="CH6702"/>
      <c r="CI6702"/>
    </row>
    <row r="6703" spans="83:87" x14ac:dyDescent="0.2">
      <c r="CE6703"/>
      <c r="CF6703"/>
      <c r="CG6703"/>
      <c r="CH6703"/>
      <c r="CI6703"/>
    </row>
    <row r="6704" spans="83:87" x14ac:dyDescent="0.2">
      <c r="CE6704"/>
      <c r="CF6704"/>
      <c r="CG6704"/>
      <c r="CH6704"/>
      <c r="CI6704"/>
    </row>
    <row r="6705" spans="83:87" x14ac:dyDescent="0.2">
      <c r="CE6705"/>
      <c r="CF6705"/>
      <c r="CG6705"/>
      <c r="CH6705"/>
      <c r="CI6705"/>
    </row>
    <row r="6706" spans="83:87" x14ac:dyDescent="0.2">
      <c r="CE6706"/>
      <c r="CF6706"/>
      <c r="CG6706"/>
      <c r="CH6706"/>
      <c r="CI6706"/>
    </row>
    <row r="6707" spans="83:87" x14ac:dyDescent="0.2">
      <c r="CE6707"/>
      <c r="CF6707"/>
      <c r="CG6707"/>
      <c r="CH6707"/>
      <c r="CI6707"/>
    </row>
    <row r="6708" spans="83:87" x14ac:dyDescent="0.2">
      <c r="CE6708"/>
      <c r="CF6708"/>
      <c r="CG6708"/>
      <c r="CH6708"/>
      <c r="CI6708"/>
    </row>
    <row r="6709" spans="83:87" x14ac:dyDescent="0.2">
      <c r="CE6709"/>
      <c r="CF6709"/>
      <c r="CG6709"/>
      <c r="CH6709"/>
      <c r="CI6709"/>
    </row>
    <row r="6710" spans="83:87" x14ac:dyDescent="0.2">
      <c r="CE6710"/>
      <c r="CF6710"/>
      <c r="CG6710"/>
      <c r="CH6710"/>
      <c r="CI6710"/>
    </row>
    <row r="6711" spans="83:87" x14ac:dyDescent="0.2">
      <c r="CE6711"/>
      <c r="CF6711"/>
      <c r="CG6711"/>
      <c r="CH6711"/>
      <c r="CI6711"/>
    </row>
    <row r="6712" spans="83:87" x14ac:dyDescent="0.2">
      <c r="CE6712"/>
      <c r="CF6712"/>
      <c r="CG6712"/>
      <c r="CH6712"/>
      <c r="CI6712"/>
    </row>
    <row r="6713" spans="83:87" x14ac:dyDescent="0.2">
      <c r="CE6713"/>
      <c r="CF6713"/>
      <c r="CG6713"/>
      <c r="CH6713"/>
      <c r="CI6713"/>
    </row>
    <row r="6714" spans="83:87" x14ac:dyDescent="0.2">
      <c r="CE6714"/>
      <c r="CF6714"/>
      <c r="CG6714"/>
      <c r="CH6714"/>
      <c r="CI6714"/>
    </row>
    <row r="6715" spans="83:87" x14ac:dyDescent="0.2">
      <c r="CE6715"/>
      <c r="CF6715"/>
      <c r="CG6715"/>
      <c r="CH6715"/>
      <c r="CI6715"/>
    </row>
    <row r="6716" spans="83:87" x14ac:dyDescent="0.2">
      <c r="CE6716"/>
      <c r="CF6716"/>
      <c r="CG6716"/>
      <c r="CH6716"/>
      <c r="CI6716"/>
    </row>
    <row r="6717" spans="83:87" x14ac:dyDescent="0.2">
      <c r="CE6717"/>
      <c r="CF6717"/>
      <c r="CG6717"/>
      <c r="CH6717"/>
      <c r="CI6717"/>
    </row>
    <row r="6718" spans="83:87" x14ac:dyDescent="0.2">
      <c r="CE6718"/>
      <c r="CF6718"/>
      <c r="CG6718"/>
      <c r="CH6718"/>
      <c r="CI6718"/>
    </row>
    <row r="6719" spans="83:87" x14ac:dyDescent="0.2">
      <c r="CE6719"/>
      <c r="CF6719"/>
      <c r="CG6719"/>
      <c r="CH6719"/>
      <c r="CI6719"/>
    </row>
    <row r="6720" spans="83:87" x14ac:dyDescent="0.2">
      <c r="CE6720"/>
      <c r="CF6720"/>
      <c r="CG6720"/>
      <c r="CH6720"/>
      <c r="CI6720"/>
    </row>
    <row r="6721" spans="83:87" x14ac:dyDescent="0.2">
      <c r="CE6721"/>
      <c r="CF6721"/>
      <c r="CG6721"/>
      <c r="CH6721"/>
      <c r="CI6721"/>
    </row>
    <row r="6722" spans="83:87" x14ac:dyDescent="0.2">
      <c r="CE6722"/>
      <c r="CF6722"/>
      <c r="CG6722"/>
      <c r="CH6722"/>
      <c r="CI6722"/>
    </row>
    <row r="6723" spans="83:87" x14ac:dyDescent="0.2">
      <c r="CE6723"/>
      <c r="CF6723"/>
      <c r="CG6723"/>
      <c r="CH6723"/>
      <c r="CI6723"/>
    </row>
    <row r="6724" spans="83:87" x14ac:dyDescent="0.2">
      <c r="CE6724"/>
      <c r="CF6724"/>
      <c r="CG6724"/>
      <c r="CH6724"/>
      <c r="CI6724"/>
    </row>
    <row r="6725" spans="83:87" x14ac:dyDescent="0.2">
      <c r="CE6725"/>
      <c r="CF6725"/>
      <c r="CG6725"/>
      <c r="CH6725"/>
      <c r="CI6725"/>
    </row>
    <row r="6726" spans="83:87" x14ac:dyDescent="0.2">
      <c r="CE6726"/>
      <c r="CF6726"/>
      <c r="CG6726"/>
      <c r="CH6726"/>
      <c r="CI6726"/>
    </row>
    <row r="6727" spans="83:87" x14ac:dyDescent="0.2">
      <c r="CE6727"/>
      <c r="CF6727"/>
      <c r="CG6727"/>
      <c r="CH6727"/>
      <c r="CI6727"/>
    </row>
    <row r="6728" spans="83:87" x14ac:dyDescent="0.2">
      <c r="CE6728"/>
      <c r="CF6728"/>
      <c r="CG6728"/>
      <c r="CH6728"/>
      <c r="CI6728"/>
    </row>
    <row r="6729" spans="83:87" x14ac:dyDescent="0.2">
      <c r="CE6729"/>
      <c r="CF6729"/>
      <c r="CG6729"/>
      <c r="CH6729"/>
      <c r="CI6729"/>
    </row>
    <row r="6730" spans="83:87" x14ac:dyDescent="0.2">
      <c r="CE6730"/>
      <c r="CF6730"/>
      <c r="CG6730"/>
      <c r="CH6730"/>
      <c r="CI6730"/>
    </row>
    <row r="6731" spans="83:87" x14ac:dyDescent="0.2">
      <c r="CE6731"/>
      <c r="CF6731"/>
      <c r="CG6731"/>
      <c r="CH6731"/>
      <c r="CI6731"/>
    </row>
    <row r="6732" spans="83:87" x14ac:dyDescent="0.2">
      <c r="CE6732"/>
      <c r="CF6732"/>
      <c r="CG6732"/>
      <c r="CH6732"/>
      <c r="CI6732"/>
    </row>
    <row r="6733" spans="83:87" x14ac:dyDescent="0.2">
      <c r="CE6733"/>
      <c r="CF6733"/>
      <c r="CG6733"/>
      <c r="CH6733"/>
      <c r="CI6733"/>
    </row>
    <row r="6734" spans="83:87" x14ac:dyDescent="0.2">
      <c r="CE6734"/>
      <c r="CF6734"/>
      <c r="CG6734"/>
      <c r="CH6734"/>
      <c r="CI6734"/>
    </row>
    <row r="6735" spans="83:87" x14ac:dyDescent="0.2">
      <c r="CE6735"/>
      <c r="CF6735"/>
      <c r="CG6735"/>
      <c r="CH6735"/>
      <c r="CI6735"/>
    </row>
    <row r="6736" spans="83:87" x14ac:dyDescent="0.2">
      <c r="CE6736"/>
      <c r="CF6736"/>
      <c r="CG6736"/>
      <c r="CH6736"/>
      <c r="CI6736"/>
    </row>
    <row r="6737" spans="83:87" x14ac:dyDescent="0.2">
      <c r="CE6737"/>
      <c r="CF6737"/>
      <c r="CG6737"/>
      <c r="CH6737"/>
      <c r="CI6737"/>
    </row>
    <row r="6738" spans="83:87" x14ac:dyDescent="0.2">
      <c r="CE6738"/>
      <c r="CF6738"/>
      <c r="CG6738"/>
      <c r="CH6738"/>
      <c r="CI6738"/>
    </row>
    <row r="6739" spans="83:87" x14ac:dyDescent="0.2">
      <c r="CE6739"/>
      <c r="CF6739"/>
      <c r="CG6739"/>
      <c r="CH6739"/>
      <c r="CI6739"/>
    </row>
    <row r="6740" spans="83:87" x14ac:dyDescent="0.2">
      <c r="CE6740"/>
      <c r="CF6740"/>
      <c r="CG6740"/>
      <c r="CH6740"/>
      <c r="CI6740"/>
    </row>
    <row r="6741" spans="83:87" x14ac:dyDescent="0.2">
      <c r="CE6741"/>
      <c r="CF6741"/>
      <c r="CG6741"/>
      <c r="CH6741"/>
      <c r="CI6741"/>
    </row>
    <row r="6742" spans="83:87" x14ac:dyDescent="0.2">
      <c r="CE6742"/>
      <c r="CF6742"/>
      <c r="CG6742"/>
      <c r="CH6742"/>
      <c r="CI6742"/>
    </row>
    <row r="6743" spans="83:87" x14ac:dyDescent="0.2">
      <c r="CE6743"/>
      <c r="CF6743"/>
      <c r="CG6743"/>
      <c r="CH6743"/>
      <c r="CI6743"/>
    </row>
    <row r="6744" spans="83:87" x14ac:dyDescent="0.2">
      <c r="CE6744"/>
      <c r="CF6744"/>
      <c r="CG6744"/>
      <c r="CH6744"/>
      <c r="CI6744"/>
    </row>
    <row r="6745" spans="83:87" x14ac:dyDescent="0.2">
      <c r="CE6745"/>
      <c r="CF6745"/>
      <c r="CG6745"/>
      <c r="CH6745"/>
      <c r="CI6745"/>
    </row>
    <row r="6746" spans="83:87" x14ac:dyDescent="0.2">
      <c r="CE6746"/>
      <c r="CF6746"/>
      <c r="CG6746"/>
      <c r="CH6746"/>
      <c r="CI6746"/>
    </row>
    <row r="6747" spans="83:87" x14ac:dyDescent="0.2">
      <c r="CE6747"/>
      <c r="CF6747"/>
      <c r="CG6747"/>
      <c r="CH6747"/>
      <c r="CI6747"/>
    </row>
    <row r="6748" spans="83:87" x14ac:dyDescent="0.2">
      <c r="CE6748"/>
      <c r="CF6748"/>
      <c r="CG6748"/>
      <c r="CH6748"/>
      <c r="CI6748"/>
    </row>
    <row r="6749" spans="83:87" x14ac:dyDescent="0.2">
      <c r="CE6749"/>
      <c r="CF6749"/>
      <c r="CG6749"/>
      <c r="CH6749"/>
      <c r="CI6749"/>
    </row>
    <row r="6750" spans="83:87" x14ac:dyDescent="0.2">
      <c r="CE6750"/>
      <c r="CF6750"/>
      <c r="CG6750"/>
      <c r="CH6750"/>
      <c r="CI6750"/>
    </row>
    <row r="6751" spans="83:87" x14ac:dyDescent="0.2">
      <c r="CE6751"/>
      <c r="CF6751"/>
      <c r="CG6751"/>
      <c r="CH6751"/>
      <c r="CI6751"/>
    </row>
    <row r="6752" spans="83:87" x14ac:dyDescent="0.2">
      <c r="CE6752"/>
      <c r="CF6752"/>
      <c r="CG6752"/>
      <c r="CH6752"/>
      <c r="CI6752"/>
    </row>
    <row r="6753" spans="83:87" x14ac:dyDescent="0.2">
      <c r="CE6753"/>
      <c r="CF6753"/>
      <c r="CG6753"/>
      <c r="CH6753"/>
      <c r="CI6753"/>
    </row>
    <row r="6754" spans="83:87" x14ac:dyDescent="0.2">
      <c r="CE6754"/>
      <c r="CF6754"/>
      <c r="CG6754"/>
      <c r="CH6754"/>
      <c r="CI6754"/>
    </row>
    <row r="6755" spans="83:87" x14ac:dyDescent="0.2">
      <c r="CE6755"/>
      <c r="CF6755"/>
      <c r="CG6755"/>
      <c r="CH6755"/>
      <c r="CI6755"/>
    </row>
    <row r="6756" spans="83:87" x14ac:dyDescent="0.2">
      <c r="CE6756"/>
      <c r="CF6756"/>
      <c r="CG6756"/>
      <c r="CH6756"/>
      <c r="CI6756"/>
    </row>
    <row r="6757" spans="83:87" x14ac:dyDescent="0.2">
      <c r="CE6757"/>
      <c r="CF6757"/>
      <c r="CG6757"/>
      <c r="CH6757"/>
      <c r="CI6757"/>
    </row>
    <row r="6758" spans="83:87" x14ac:dyDescent="0.2">
      <c r="CE6758"/>
      <c r="CF6758"/>
      <c r="CG6758"/>
      <c r="CH6758"/>
      <c r="CI6758"/>
    </row>
    <row r="6759" spans="83:87" x14ac:dyDescent="0.2">
      <c r="CE6759"/>
      <c r="CF6759"/>
      <c r="CG6759"/>
      <c r="CH6759"/>
      <c r="CI6759"/>
    </row>
    <row r="6760" spans="83:87" x14ac:dyDescent="0.2">
      <c r="CE6760"/>
      <c r="CF6760"/>
      <c r="CG6760"/>
      <c r="CH6760"/>
      <c r="CI6760"/>
    </row>
    <row r="6761" spans="83:87" x14ac:dyDescent="0.2">
      <c r="CE6761"/>
      <c r="CF6761"/>
      <c r="CG6761"/>
      <c r="CH6761"/>
      <c r="CI6761"/>
    </row>
    <row r="6762" spans="83:87" x14ac:dyDescent="0.2">
      <c r="CE6762"/>
      <c r="CF6762"/>
      <c r="CG6762"/>
      <c r="CH6762"/>
      <c r="CI6762"/>
    </row>
    <row r="6763" spans="83:87" x14ac:dyDescent="0.2">
      <c r="CE6763"/>
      <c r="CF6763"/>
      <c r="CG6763"/>
      <c r="CH6763"/>
      <c r="CI6763"/>
    </row>
    <row r="6764" spans="83:87" x14ac:dyDescent="0.2">
      <c r="CE6764"/>
      <c r="CF6764"/>
      <c r="CG6764"/>
      <c r="CH6764"/>
      <c r="CI6764"/>
    </row>
    <row r="6765" spans="83:87" x14ac:dyDescent="0.2">
      <c r="CE6765"/>
      <c r="CF6765"/>
      <c r="CG6765"/>
      <c r="CH6765"/>
      <c r="CI6765"/>
    </row>
    <row r="6766" spans="83:87" x14ac:dyDescent="0.2">
      <c r="CE6766"/>
      <c r="CF6766"/>
      <c r="CG6766"/>
      <c r="CH6766"/>
      <c r="CI6766"/>
    </row>
    <row r="6767" spans="83:87" x14ac:dyDescent="0.2">
      <c r="CE6767"/>
      <c r="CF6767"/>
      <c r="CG6767"/>
      <c r="CH6767"/>
      <c r="CI6767"/>
    </row>
    <row r="6768" spans="83:87" x14ac:dyDescent="0.2">
      <c r="CE6768"/>
      <c r="CF6768"/>
      <c r="CG6768"/>
      <c r="CH6768"/>
      <c r="CI6768"/>
    </row>
    <row r="6769" spans="83:87" x14ac:dyDescent="0.2">
      <c r="CE6769"/>
      <c r="CF6769"/>
      <c r="CG6769"/>
      <c r="CH6769"/>
      <c r="CI6769"/>
    </row>
    <row r="6770" spans="83:87" x14ac:dyDescent="0.2">
      <c r="CE6770"/>
      <c r="CF6770"/>
      <c r="CG6770"/>
      <c r="CH6770"/>
      <c r="CI6770"/>
    </row>
    <row r="6771" spans="83:87" x14ac:dyDescent="0.2">
      <c r="CE6771"/>
      <c r="CF6771"/>
      <c r="CG6771"/>
      <c r="CH6771"/>
      <c r="CI6771"/>
    </row>
    <row r="6772" spans="83:87" x14ac:dyDescent="0.2">
      <c r="CE6772"/>
      <c r="CF6772"/>
      <c r="CG6772"/>
      <c r="CH6772"/>
      <c r="CI6772"/>
    </row>
    <row r="6773" spans="83:87" x14ac:dyDescent="0.2">
      <c r="CE6773"/>
      <c r="CF6773"/>
      <c r="CG6773"/>
      <c r="CH6773"/>
      <c r="CI6773"/>
    </row>
    <row r="6774" spans="83:87" x14ac:dyDescent="0.2">
      <c r="CE6774"/>
      <c r="CF6774"/>
      <c r="CG6774"/>
      <c r="CH6774"/>
      <c r="CI6774"/>
    </row>
    <row r="6775" spans="83:87" x14ac:dyDescent="0.2">
      <c r="CE6775"/>
      <c r="CF6775"/>
      <c r="CG6775"/>
      <c r="CH6775"/>
      <c r="CI6775"/>
    </row>
    <row r="6776" spans="83:87" x14ac:dyDescent="0.2">
      <c r="CE6776"/>
      <c r="CF6776"/>
      <c r="CG6776"/>
      <c r="CH6776"/>
      <c r="CI6776"/>
    </row>
    <row r="6777" spans="83:87" x14ac:dyDescent="0.2">
      <c r="CE6777"/>
      <c r="CF6777"/>
      <c r="CG6777"/>
      <c r="CH6777"/>
      <c r="CI6777"/>
    </row>
    <row r="6778" spans="83:87" x14ac:dyDescent="0.2">
      <c r="CE6778"/>
      <c r="CF6778"/>
      <c r="CG6778"/>
      <c r="CH6778"/>
      <c r="CI6778"/>
    </row>
    <row r="6779" spans="83:87" x14ac:dyDescent="0.2">
      <c r="CE6779"/>
      <c r="CF6779"/>
      <c r="CG6779"/>
      <c r="CH6779"/>
      <c r="CI6779"/>
    </row>
    <row r="6780" spans="83:87" x14ac:dyDescent="0.2">
      <c r="CE6780"/>
      <c r="CF6780"/>
      <c r="CG6780"/>
      <c r="CH6780"/>
      <c r="CI6780"/>
    </row>
    <row r="6781" spans="83:87" x14ac:dyDescent="0.2">
      <c r="CE6781"/>
      <c r="CF6781"/>
      <c r="CG6781"/>
      <c r="CH6781"/>
      <c r="CI6781"/>
    </row>
    <row r="6782" spans="83:87" x14ac:dyDescent="0.2">
      <c r="CE6782"/>
      <c r="CF6782"/>
      <c r="CG6782"/>
      <c r="CH6782"/>
      <c r="CI6782"/>
    </row>
    <row r="6783" spans="83:87" x14ac:dyDescent="0.2">
      <c r="CE6783"/>
      <c r="CF6783"/>
      <c r="CG6783"/>
      <c r="CH6783"/>
      <c r="CI6783"/>
    </row>
    <row r="6784" spans="83:87" x14ac:dyDescent="0.2">
      <c r="CE6784"/>
      <c r="CF6784"/>
      <c r="CG6784"/>
      <c r="CH6784"/>
      <c r="CI6784"/>
    </row>
    <row r="6785" spans="83:87" x14ac:dyDescent="0.2">
      <c r="CE6785"/>
      <c r="CF6785"/>
      <c r="CG6785"/>
      <c r="CH6785"/>
      <c r="CI6785"/>
    </row>
    <row r="6786" spans="83:87" x14ac:dyDescent="0.2">
      <c r="CE6786"/>
      <c r="CF6786"/>
      <c r="CG6786"/>
      <c r="CH6786"/>
      <c r="CI6786"/>
    </row>
    <row r="6787" spans="83:87" x14ac:dyDescent="0.2">
      <c r="CE6787"/>
      <c r="CF6787"/>
      <c r="CG6787"/>
      <c r="CH6787"/>
      <c r="CI6787"/>
    </row>
    <row r="6788" spans="83:87" x14ac:dyDescent="0.2">
      <c r="CE6788"/>
      <c r="CF6788"/>
      <c r="CG6788"/>
      <c r="CH6788"/>
      <c r="CI6788"/>
    </row>
    <row r="6789" spans="83:87" x14ac:dyDescent="0.2">
      <c r="CE6789"/>
      <c r="CF6789"/>
      <c r="CG6789"/>
      <c r="CH6789"/>
      <c r="CI6789"/>
    </row>
    <row r="6790" spans="83:87" x14ac:dyDescent="0.2">
      <c r="CE6790"/>
      <c r="CF6790"/>
      <c r="CG6790"/>
      <c r="CH6790"/>
      <c r="CI6790"/>
    </row>
    <row r="6791" spans="83:87" x14ac:dyDescent="0.2">
      <c r="CE6791"/>
      <c r="CF6791"/>
      <c r="CG6791"/>
      <c r="CH6791"/>
      <c r="CI6791"/>
    </row>
    <row r="6792" spans="83:87" x14ac:dyDescent="0.2">
      <c r="CE6792"/>
      <c r="CF6792"/>
      <c r="CG6792"/>
      <c r="CH6792"/>
      <c r="CI6792"/>
    </row>
    <row r="6793" spans="83:87" x14ac:dyDescent="0.2">
      <c r="CE6793"/>
      <c r="CF6793"/>
      <c r="CG6793"/>
      <c r="CH6793"/>
      <c r="CI6793"/>
    </row>
    <row r="6794" spans="83:87" x14ac:dyDescent="0.2">
      <c r="CE6794"/>
      <c r="CF6794"/>
      <c r="CG6794"/>
      <c r="CH6794"/>
      <c r="CI6794"/>
    </row>
    <row r="6795" spans="83:87" x14ac:dyDescent="0.2">
      <c r="CE6795"/>
      <c r="CF6795"/>
      <c r="CG6795"/>
      <c r="CH6795"/>
      <c r="CI6795"/>
    </row>
    <row r="6796" spans="83:87" x14ac:dyDescent="0.2">
      <c r="CE6796"/>
      <c r="CF6796"/>
      <c r="CG6796"/>
      <c r="CH6796"/>
      <c r="CI6796"/>
    </row>
    <row r="6797" spans="83:87" x14ac:dyDescent="0.2">
      <c r="CE6797"/>
      <c r="CF6797"/>
      <c r="CG6797"/>
      <c r="CH6797"/>
      <c r="CI6797"/>
    </row>
    <row r="6798" spans="83:87" x14ac:dyDescent="0.2">
      <c r="CE6798"/>
      <c r="CF6798"/>
      <c r="CG6798"/>
      <c r="CH6798"/>
      <c r="CI6798"/>
    </row>
    <row r="6799" spans="83:87" x14ac:dyDescent="0.2">
      <c r="CE6799"/>
      <c r="CF6799"/>
      <c r="CG6799"/>
      <c r="CH6799"/>
      <c r="CI6799"/>
    </row>
    <row r="6800" spans="83:87" x14ac:dyDescent="0.2">
      <c r="CE6800"/>
      <c r="CF6800"/>
      <c r="CG6800"/>
      <c r="CH6800"/>
      <c r="CI6800"/>
    </row>
    <row r="6801" spans="83:87" x14ac:dyDescent="0.2">
      <c r="CE6801"/>
      <c r="CF6801"/>
      <c r="CG6801"/>
      <c r="CH6801"/>
      <c r="CI6801"/>
    </row>
    <row r="6802" spans="83:87" x14ac:dyDescent="0.2">
      <c r="CE6802"/>
      <c r="CF6802"/>
      <c r="CG6802"/>
      <c r="CH6802"/>
      <c r="CI6802"/>
    </row>
    <row r="6803" spans="83:87" x14ac:dyDescent="0.2">
      <c r="CE6803"/>
      <c r="CF6803"/>
      <c r="CG6803"/>
      <c r="CH6803"/>
      <c r="CI6803"/>
    </row>
    <row r="6804" spans="83:87" x14ac:dyDescent="0.2">
      <c r="CE6804"/>
      <c r="CF6804"/>
      <c r="CG6804"/>
      <c r="CH6804"/>
      <c r="CI6804"/>
    </row>
    <row r="6805" spans="83:87" x14ac:dyDescent="0.2">
      <c r="CE6805"/>
      <c r="CF6805"/>
      <c r="CG6805"/>
      <c r="CH6805"/>
      <c r="CI6805"/>
    </row>
    <row r="6806" spans="83:87" x14ac:dyDescent="0.2">
      <c r="CE6806"/>
      <c r="CF6806"/>
      <c r="CG6806"/>
      <c r="CH6806"/>
      <c r="CI6806"/>
    </row>
    <row r="6807" spans="83:87" x14ac:dyDescent="0.2">
      <c r="CE6807"/>
      <c r="CF6807"/>
      <c r="CG6807"/>
      <c r="CH6807"/>
      <c r="CI6807"/>
    </row>
    <row r="6808" spans="83:87" x14ac:dyDescent="0.2">
      <c r="CE6808"/>
      <c r="CF6808"/>
      <c r="CG6808"/>
      <c r="CH6808"/>
      <c r="CI6808"/>
    </row>
    <row r="6809" spans="83:87" x14ac:dyDescent="0.2">
      <c r="CE6809"/>
      <c r="CF6809"/>
      <c r="CG6809"/>
      <c r="CH6809"/>
      <c r="CI6809"/>
    </row>
    <row r="6810" spans="83:87" x14ac:dyDescent="0.2">
      <c r="CE6810"/>
      <c r="CF6810"/>
      <c r="CG6810"/>
      <c r="CH6810"/>
      <c r="CI6810"/>
    </row>
    <row r="6811" spans="83:87" x14ac:dyDescent="0.2">
      <c r="CE6811"/>
      <c r="CF6811"/>
      <c r="CG6811"/>
      <c r="CH6811"/>
      <c r="CI6811"/>
    </row>
    <row r="6812" spans="83:87" x14ac:dyDescent="0.2">
      <c r="CE6812"/>
      <c r="CF6812"/>
      <c r="CG6812"/>
      <c r="CH6812"/>
      <c r="CI6812"/>
    </row>
    <row r="6813" spans="83:87" x14ac:dyDescent="0.2">
      <c r="CE6813"/>
      <c r="CF6813"/>
      <c r="CG6813"/>
      <c r="CH6813"/>
      <c r="CI6813"/>
    </row>
    <row r="6814" spans="83:87" x14ac:dyDescent="0.2">
      <c r="CE6814"/>
      <c r="CF6814"/>
      <c r="CG6814"/>
      <c r="CH6814"/>
      <c r="CI6814"/>
    </row>
    <row r="6815" spans="83:87" x14ac:dyDescent="0.2">
      <c r="CE6815"/>
      <c r="CF6815"/>
      <c r="CG6815"/>
      <c r="CH6815"/>
      <c r="CI6815"/>
    </row>
    <row r="6816" spans="83:87" x14ac:dyDescent="0.2">
      <c r="CE6816"/>
      <c r="CF6816"/>
      <c r="CG6816"/>
      <c r="CH6816"/>
      <c r="CI6816"/>
    </row>
    <row r="6817" spans="83:87" x14ac:dyDescent="0.2">
      <c r="CE6817"/>
      <c r="CF6817"/>
      <c r="CG6817"/>
      <c r="CH6817"/>
      <c r="CI6817"/>
    </row>
    <row r="6818" spans="83:87" x14ac:dyDescent="0.2">
      <c r="CE6818"/>
      <c r="CF6818"/>
      <c r="CG6818"/>
      <c r="CH6818"/>
      <c r="CI6818"/>
    </row>
    <row r="6819" spans="83:87" x14ac:dyDescent="0.2">
      <c r="CE6819"/>
      <c r="CF6819"/>
      <c r="CG6819"/>
      <c r="CH6819"/>
      <c r="CI6819"/>
    </row>
    <row r="6820" spans="83:87" x14ac:dyDescent="0.2">
      <c r="CE6820"/>
      <c r="CF6820"/>
      <c r="CG6820"/>
      <c r="CH6820"/>
      <c r="CI6820"/>
    </row>
    <row r="6821" spans="83:87" x14ac:dyDescent="0.2">
      <c r="CE6821"/>
      <c r="CF6821"/>
      <c r="CG6821"/>
      <c r="CH6821"/>
      <c r="CI6821"/>
    </row>
    <row r="6822" spans="83:87" x14ac:dyDescent="0.2">
      <c r="CE6822"/>
      <c r="CF6822"/>
      <c r="CG6822"/>
      <c r="CH6822"/>
      <c r="CI6822"/>
    </row>
    <row r="6823" spans="83:87" x14ac:dyDescent="0.2">
      <c r="CE6823"/>
      <c r="CF6823"/>
      <c r="CG6823"/>
      <c r="CH6823"/>
      <c r="CI6823"/>
    </row>
    <row r="6824" spans="83:87" x14ac:dyDescent="0.2">
      <c r="CE6824"/>
      <c r="CF6824"/>
      <c r="CG6824"/>
      <c r="CH6824"/>
      <c r="CI6824"/>
    </row>
    <row r="6825" spans="83:87" x14ac:dyDescent="0.2">
      <c r="CE6825"/>
      <c r="CF6825"/>
      <c r="CG6825"/>
      <c r="CH6825"/>
      <c r="CI6825"/>
    </row>
    <row r="6826" spans="83:87" x14ac:dyDescent="0.2">
      <c r="CE6826"/>
      <c r="CF6826"/>
      <c r="CG6826"/>
      <c r="CH6826"/>
      <c r="CI6826"/>
    </row>
    <row r="6827" spans="83:87" x14ac:dyDescent="0.2">
      <c r="CE6827"/>
      <c r="CF6827"/>
      <c r="CG6827"/>
      <c r="CH6827"/>
      <c r="CI6827"/>
    </row>
    <row r="6828" spans="83:87" x14ac:dyDescent="0.2">
      <c r="CE6828"/>
      <c r="CF6828"/>
      <c r="CG6828"/>
      <c r="CH6828"/>
      <c r="CI6828"/>
    </row>
    <row r="6829" spans="83:87" x14ac:dyDescent="0.2">
      <c r="CE6829"/>
      <c r="CF6829"/>
      <c r="CG6829"/>
      <c r="CH6829"/>
      <c r="CI6829"/>
    </row>
    <row r="6830" spans="83:87" x14ac:dyDescent="0.2">
      <c r="CE6830"/>
      <c r="CF6830"/>
      <c r="CG6830"/>
      <c r="CH6830"/>
      <c r="CI6830"/>
    </row>
    <row r="6831" spans="83:87" x14ac:dyDescent="0.2">
      <c r="CE6831"/>
      <c r="CF6831"/>
      <c r="CG6831"/>
      <c r="CH6831"/>
      <c r="CI6831"/>
    </row>
    <row r="6832" spans="83:87" x14ac:dyDescent="0.2">
      <c r="CE6832"/>
      <c r="CF6832"/>
      <c r="CG6832"/>
      <c r="CH6832"/>
      <c r="CI6832"/>
    </row>
    <row r="6833" spans="83:87" x14ac:dyDescent="0.2">
      <c r="CE6833"/>
      <c r="CF6833"/>
      <c r="CG6833"/>
      <c r="CH6833"/>
      <c r="CI6833"/>
    </row>
    <row r="6834" spans="83:87" x14ac:dyDescent="0.2">
      <c r="CE6834"/>
      <c r="CF6834"/>
      <c r="CG6834"/>
      <c r="CH6834"/>
      <c r="CI6834"/>
    </row>
    <row r="6835" spans="83:87" x14ac:dyDescent="0.2">
      <c r="CE6835"/>
      <c r="CF6835"/>
      <c r="CG6835"/>
      <c r="CH6835"/>
      <c r="CI6835"/>
    </row>
    <row r="6836" spans="83:87" x14ac:dyDescent="0.2">
      <c r="CE6836"/>
      <c r="CF6836"/>
      <c r="CG6836"/>
      <c r="CH6836"/>
      <c r="CI6836"/>
    </row>
    <row r="6837" spans="83:87" x14ac:dyDescent="0.2">
      <c r="CE6837"/>
      <c r="CF6837"/>
      <c r="CG6837"/>
      <c r="CH6837"/>
      <c r="CI6837"/>
    </row>
    <row r="6838" spans="83:87" x14ac:dyDescent="0.2">
      <c r="CE6838"/>
      <c r="CF6838"/>
      <c r="CG6838"/>
      <c r="CH6838"/>
      <c r="CI6838"/>
    </row>
    <row r="6839" spans="83:87" x14ac:dyDescent="0.2">
      <c r="CE6839"/>
      <c r="CF6839"/>
      <c r="CG6839"/>
      <c r="CH6839"/>
      <c r="CI6839"/>
    </row>
    <row r="6840" spans="83:87" x14ac:dyDescent="0.2">
      <c r="CE6840"/>
      <c r="CF6840"/>
      <c r="CG6840"/>
      <c r="CH6840"/>
      <c r="CI6840"/>
    </row>
    <row r="6841" spans="83:87" x14ac:dyDescent="0.2">
      <c r="CE6841"/>
      <c r="CF6841"/>
      <c r="CG6841"/>
      <c r="CH6841"/>
      <c r="CI6841"/>
    </row>
    <row r="6842" spans="83:87" x14ac:dyDescent="0.2">
      <c r="CE6842"/>
      <c r="CF6842"/>
      <c r="CG6842"/>
      <c r="CH6842"/>
      <c r="CI6842"/>
    </row>
    <row r="6843" spans="83:87" x14ac:dyDescent="0.2">
      <c r="CE6843"/>
      <c r="CF6843"/>
      <c r="CG6843"/>
      <c r="CH6843"/>
      <c r="CI6843"/>
    </row>
    <row r="6844" spans="83:87" x14ac:dyDescent="0.2">
      <c r="CE6844"/>
      <c r="CF6844"/>
      <c r="CG6844"/>
      <c r="CH6844"/>
      <c r="CI6844"/>
    </row>
    <row r="6845" spans="83:87" x14ac:dyDescent="0.2">
      <c r="CE6845"/>
      <c r="CF6845"/>
      <c r="CG6845"/>
      <c r="CH6845"/>
      <c r="CI6845"/>
    </row>
    <row r="6846" spans="83:87" x14ac:dyDescent="0.2">
      <c r="CE6846"/>
      <c r="CF6846"/>
      <c r="CG6846"/>
      <c r="CH6846"/>
      <c r="CI6846"/>
    </row>
    <row r="6847" spans="83:87" x14ac:dyDescent="0.2">
      <c r="CE6847"/>
      <c r="CF6847"/>
      <c r="CG6847"/>
      <c r="CH6847"/>
      <c r="CI6847"/>
    </row>
    <row r="6848" spans="83:87" x14ac:dyDescent="0.2">
      <c r="CE6848"/>
      <c r="CF6848"/>
      <c r="CG6848"/>
      <c r="CH6848"/>
      <c r="CI6848"/>
    </row>
    <row r="6849" spans="83:87" x14ac:dyDescent="0.2">
      <c r="CE6849"/>
      <c r="CF6849"/>
      <c r="CG6849"/>
      <c r="CH6849"/>
      <c r="CI6849"/>
    </row>
    <row r="6850" spans="83:87" x14ac:dyDescent="0.2">
      <c r="CE6850"/>
      <c r="CF6850"/>
      <c r="CG6850"/>
      <c r="CH6850"/>
      <c r="CI6850"/>
    </row>
    <row r="6851" spans="83:87" x14ac:dyDescent="0.2">
      <c r="CE6851"/>
      <c r="CF6851"/>
      <c r="CG6851"/>
      <c r="CH6851"/>
      <c r="CI6851"/>
    </row>
    <row r="6852" spans="83:87" x14ac:dyDescent="0.2">
      <c r="CE6852"/>
      <c r="CF6852"/>
      <c r="CG6852"/>
      <c r="CH6852"/>
      <c r="CI6852"/>
    </row>
    <row r="6853" spans="83:87" x14ac:dyDescent="0.2">
      <c r="CE6853"/>
      <c r="CF6853"/>
      <c r="CG6853"/>
      <c r="CH6853"/>
      <c r="CI6853"/>
    </row>
    <row r="6854" spans="83:87" x14ac:dyDescent="0.2">
      <c r="CE6854"/>
      <c r="CF6854"/>
      <c r="CG6854"/>
      <c r="CH6854"/>
      <c r="CI6854"/>
    </row>
    <row r="6855" spans="83:87" x14ac:dyDescent="0.2">
      <c r="CE6855"/>
      <c r="CF6855"/>
      <c r="CG6855"/>
      <c r="CH6855"/>
      <c r="CI6855"/>
    </row>
    <row r="6856" spans="83:87" x14ac:dyDescent="0.2">
      <c r="CE6856"/>
      <c r="CF6856"/>
      <c r="CG6856"/>
      <c r="CH6856"/>
      <c r="CI6856"/>
    </row>
    <row r="6857" spans="83:87" x14ac:dyDescent="0.2">
      <c r="CE6857"/>
      <c r="CF6857"/>
      <c r="CG6857"/>
      <c r="CH6857"/>
      <c r="CI6857"/>
    </row>
    <row r="6858" spans="83:87" x14ac:dyDescent="0.2">
      <c r="CE6858"/>
      <c r="CF6858"/>
      <c r="CG6858"/>
      <c r="CH6858"/>
      <c r="CI6858"/>
    </row>
    <row r="6859" spans="83:87" x14ac:dyDescent="0.2">
      <c r="CE6859"/>
      <c r="CF6859"/>
      <c r="CG6859"/>
      <c r="CH6859"/>
      <c r="CI6859"/>
    </row>
    <row r="6860" spans="83:87" x14ac:dyDescent="0.2">
      <c r="CE6860"/>
      <c r="CF6860"/>
      <c r="CG6860"/>
      <c r="CH6860"/>
      <c r="CI6860"/>
    </row>
    <row r="6861" spans="83:87" x14ac:dyDescent="0.2">
      <c r="CE6861"/>
      <c r="CF6861"/>
      <c r="CG6861"/>
      <c r="CH6861"/>
      <c r="CI6861"/>
    </row>
    <row r="6862" spans="83:87" x14ac:dyDescent="0.2">
      <c r="CE6862"/>
      <c r="CF6862"/>
      <c r="CG6862"/>
      <c r="CH6862"/>
      <c r="CI6862"/>
    </row>
    <row r="6863" spans="83:87" x14ac:dyDescent="0.2">
      <c r="CE6863"/>
      <c r="CF6863"/>
      <c r="CG6863"/>
      <c r="CH6863"/>
      <c r="CI6863"/>
    </row>
    <row r="6864" spans="83:87" x14ac:dyDescent="0.2">
      <c r="CE6864"/>
      <c r="CF6864"/>
      <c r="CG6864"/>
      <c r="CH6864"/>
      <c r="CI6864"/>
    </row>
    <row r="6865" spans="83:87" x14ac:dyDescent="0.2">
      <c r="CE6865"/>
      <c r="CF6865"/>
      <c r="CG6865"/>
      <c r="CH6865"/>
      <c r="CI6865"/>
    </row>
    <row r="6866" spans="83:87" x14ac:dyDescent="0.2">
      <c r="CE6866"/>
      <c r="CF6866"/>
      <c r="CG6866"/>
      <c r="CH6866"/>
      <c r="CI6866"/>
    </row>
    <row r="6867" spans="83:87" x14ac:dyDescent="0.2">
      <c r="CE6867"/>
      <c r="CF6867"/>
      <c r="CG6867"/>
      <c r="CH6867"/>
      <c r="CI6867"/>
    </row>
    <row r="6868" spans="83:87" x14ac:dyDescent="0.2">
      <c r="CE6868"/>
      <c r="CF6868"/>
      <c r="CG6868"/>
      <c r="CH6868"/>
      <c r="CI6868"/>
    </row>
    <row r="6869" spans="83:87" x14ac:dyDescent="0.2">
      <c r="CE6869"/>
      <c r="CF6869"/>
      <c r="CG6869"/>
      <c r="CH6869"/>
      <c r="CI6869"/>
    </row>
    <row r="6870" spans="83:87" x14ac:dyDescent="0.2">
      <c r="CE6870"/>
      <c r="CF6870"/>
      <c r="CG6870"/>
      <c r="CH6870"/>
      <c r="CI6870"/>
    </row>
    <row r="6871" spans="83:87" x14ac:dyDescent="0.2">
      <c r="CE6871"/>
      <c r="CF6871"/>
      <c r="CG6871"/>
      <c r="CH6871"/>
      <c r="CI6871"/>
    </row>
    <row r="6872" spans="83:87" x14ac:dyDescent="0.2">
      <c r="CE6872"/>
      <c r="CF6872"/>
      <c r="CG6872"/>
      <c r="CH6872"/>
      <c r="CI6872"/>
    </row>
    <row r="6873" spans="83:87" x14ac:dyDescent="0.2">
      <c r="CE6873"/>
      <c r="CF6873"/>
      <c r="CG6873"/>
      <c r="CH6873"/>
      <c r="CI6873"/>
    </row>
    <row r="6874" spans="83:87" x14ac:dyDescent="0.2">
      <c r="CE6874"/>
      <c r="CF6874"/>
      <c r="CG6874"/>
      <c r="CH6874"/>
      <c r="CI6874"/>
    </row>
    <row r="6875" spans="83:87" x14ac:dyDescent="0.2">
      <c r="CE6875"/>
      <c r="CF6875"/>
      <c r="CG6875"/>
      <c r="CH6875"/>
      <c r="CI6875"/>
    </row>
    <row r="6876" spans="83:87" x14ac:dyDescent="0.2">
      <c r="CE6876"/>
      <c r="CF6876"/>
      <c r="CG6876"/>
      <c r="CH6876"/>
      <c r="CI6876"/>
    </row>
    <row r="6877" spans="83:87" x14ac:dyDescent="0.2">
      <c r="CE6877"/>
      <c r="CF6877"/>
      <c r="CG6877"/>
      <c r="CH6877"/>
      <c r="CI6877"/>
    </row>
    <row r="6878" spans="83:87" x14ac:dyDescent="0.2">
      <c r="CE6878"/>
      <c r="CF6878"/>
      <c r="CG6878"/>
      <c r="CH6878"/>
      <c r="CI6878"/>
    </row>
    <row r="6879" spans="83:87" x14ac:dyDescent="0.2">
      <c r="CE6879"/>
      <c r="CF6879"/>
      <c r="CG6879"/>
      <c r="CH6879"/>
      <c r="CI6879"/>
    </row>
    <row r="6880" spans="83:87" x14ac:dyDescent="0.2">
      <c r="CE6880"/>
      <c r="CF6880"/>
      <c r="CG6880"/>
      <c r="CH6880"/>
      <c r="CI6880"/>
    </row>
    <row r="6881" spans="83:87" x14ac:dyDescent="0.2">
      <c r="CE6881"/>
      <c r="CF6881"/>
      <c r="CG6881"/>
      <c r="CH6881"/>
      <c r="CI6881"/>
    </row>
    <row r="6882" spans="83:87" x14ac:dyDescent="0.2">
      <c r="CE6882"/>
      <c r="CF6882"/>
      <c r="CG6882"/>
      <c r="CH6882"/>
      <c r="CI6882"/>
    </row>
    <row r="6883" spans="83:87" x14ac:dyDescent="0.2">
      <c r="CE6883"/>
      <c r="CF6883"/>
      <c r="CG6883"/>
      <c r="CH6883"/>
      <c r="CI6883"/>
    </row>
    <row r="6884" spans="83:87" x14ac:dyDescent="0.2">
      <c r="CE6884"/>
      <c r="CF6884"/>
      <c r="CG6884"/>
      <c r="CH6884"/>
      <c r="CI6884"/>
    </row>
    <row r="6885" spans="83:87" x14ac:dyDescent="0.2">
      <c r="CE6885"/>
      <c r="CF6885"/>
      <c r="CG6885"/>
      <c r="CH6885"/>
      <c r="CI6885"/>
    </row>
    <row r="6886" spans="83:87" x14ac:dyDescent="0.2">
      <c r="CE6886"/>
      <c r="CF6886"/>
      <c r="CG6886"/>
      <c r="CH6886"/>
      <c r="CI6886"/>
    </row>
    <row r="6887" spans="83:87" x14ac:dyDescent="0.2">
      <c r="CE6887"/>
      <c r="CF6887"/>
      <c r="CG6887"/>
      <c r="CH6887"/>
      <c r="CI6887"/>
    </row>
    <row r="6888" spans="83:87" x14ac:dyDescent="0.2">
      <c r="CE6888"/>
      <c r="CF6888"/>
      <c r="CG6888"/>
      <c r="CH6888"/>
      <c r="CI6888"/>
    </row>
    <row r="6889" spans="83:87" x14ac:dyDescent="0.2">
      <c r="CE6889"/>
      <c r="CF6889"/>
      <c r="CG6889"/>
      <c r="CH6889"/>
      <c r="CI6889"/>
    </row>
    <row r="6890" spans="83:87" x14ac:dyDescent="0.2">
      <c r="CE6890"/>
      <c r="CF6890"/>
      <c r="CG6890"/>
      <c r="CH6890"/>
      <c r="CI6890"/>
    </row>
    <row r="6891" spans="83:87" x14ac:dyDescent="0.2">
      <c r="CE6891"/>
      <c r="CF6891"/>
      <c r="CG6891"/>
      <c r="CH6891"/>
      <c r="CI6891"/>
    </row>
    <row r="6892" spans="83:87" x14ac:dyDescent="0.2">
      <c r="CE6892"/>
      <c r="CF6892"/>
      <c r="CG6892"/>
      <c r="CH6892"/>
      <c r="CI6892"/>
    </row>
    <row r="6893" spans="83:87" x14ac:dyDescent="0.2">
      <c r="CE6893"/>
      <c r="CF6893"/>
      <c r="CG6893"/>
      <c r="CH6893"/>
      <c r="CI6893"/>
    </row>
    <row r="6894" spans="83:87" x14ac:dyDescent="0.2">
      <c r="CE6894"/>
      <c r="CF6894"/>
      <c r="CG6894"/>
      <c r="CH6894"/>
      <c r="CI6894"/>
    </row>
    <row r="6895" spans="83:87" x14ac:dyDescent="0.2">
      <c r="CE6895"/>
      <c r="CF6895"/>
      <c r="CG6895"/>
      <c r="CH6895"/>
      <c r="CI6895"/>
    </row>
    <row r="6896" spans="83:87" x14ac:dyDescent="0.2">
      <c r="CE6896"/>
      <c r="CF6896"/>
      <c r="CG6896"/>
      <c r="CH6896"/>
      <c r="CI6896"/>
    </row>
    <row r="6897" spans="83:87" x14ac:dyDescent="0.2">
      <c r="CE6897"/>
      <c r="CF6897"/>
      <c r="CG6897"/>
      <c r="CH6897"/>
      <c r="CI6897"/>
    </row>
    <row r="6898" spans="83:87" x14ac:dyDescent="0.2">
      <c r="CE6898"/>
      <c r="CF6898"/>
      <c r="CG6898"/>
      <c r="CH6898"/>
      <c r="CI6898"/>
    </row>
    <row r="6899" spans="83:87" x14ac:dyDescent="0.2">
      <c r="CE6899"/>
      <c r="CF6899"/>
      <c r="CG6899"/>
      <c r="CH6899"/>
      <c r="CI6899"/>
    </row>
    <row r="6900" spans="83:87" x14ac:dyDescent="0.2">
      <c r="CE6900"/>
      <c r="CF6900"/>
      <c r="CG6900"/>
      <c r="CH6900"/>
      <c r="CI6900"/>
    </row>
    <row r="6901" spans="83:87" x14ac:dyDescent="0.2">
      <c r="CE6901"/>
      <c r="CF6901"/>
      <c r="CG6901"/>
      <c r="CH6901"/>
      <c r="CI6901"/>
    </row>
    <row r="6902" spans="83:87" x14ac:dyDescent="0.2">
      <c r="CE6902"/>
      <c r="CF6902"/>
      <c r="CG6902"/>
      <c r="CH6902"/>
      <c r="CI6902"/>
    </row>
    <row r="6903" spans="83:87" x14ac:dyDescent="0.2">
      <c r="CE6903"/>
      <c r="CF6903"/>
      <c r="CG6903"/>
      <c r="CH6903"/>
      <c r="CI6903"/>
    </row>
    <row r="6904" spans="83:87" x14ac:dyDescent="0.2">
      <c r="CE6904"/>
      <c r="CF6904"/>
      <c r="CG6904"/>
      <c r="CH6904"/>
      <c r="CI6904"/>
    </row>
    <row r="6905" spans="83:87" x14ac:dyDescent="0.2">
      <c r="CE6905"/>
      <c r="CF6905"/>
      <c r="CG6905"/>
      <c r="CH6905"/>
      <c r="CI6905"/>
    </row>
    <row r="6906" spans="83:87" x14ac:dyDescent="0.2">
      <c r="CE6906"/>
      <c r="CF6906"/>
      <c r="CG6906"/>
      <c r="CH6906"/>
      <c r="CI6906"/>
    </row>
    <row r="6907" spans="83:87" x14ac:dyDescent="0.2">
      <c r="CE6907"/>
      <c r="CF6907"/>
      <c r="CG6907"/>
      <c r="CH6907"/>
      <c r="CI6907"/>
    </row>
    <row r="6908" spans="83:87" x14ac:dyDescent="0.2">
      <c r="CE6908"/>
      <c r="CF6908"/>
      <c r="CG6908"/>
      <c r="CH6908"/>
      <c r="CI6908"/>
    </row>
    <row r="6909" spans="83:87" x14ac:dyDescent="0.2">
      <c r="CE6909"/>
      <c r="CF6909"/>
      <c r="CG6909"/>
      <c r="CH6909"/>
      <c r="CI6909"/>
    </row>
    <row r="6910" spans="83:87" x14ac:dyDescent="0.2">
      <c r="CE6910"/>
      <c r="CF6910"/>
      <c r="CG6910"/>
      <c r="CH6910"/>
      <c r="CI6910"/>
    </row>
    <row r="6911" spans="83:87" x14ac:dyDescent="0.2">
      <c r="CE6911"/>
      <c r="CF6911"/>
      <c r="CG6911"/>
      <c r="CH6911"/>
      <c r="CI6911"/>
    </row>
    <row r="6912" spans="83:87" x14ac:dyDescent="0.2">
      <c r="CE6912"/>
      <c r="CF6912"/>
      <c r="CG6912"/>
      <c r="CH6912"/>
      <c r="CI6912"/>
    </row>
    <row r="6913" spans="83:87" x14ac:dyDescent="0.2">
      <c r="CE6913"/>
      <c r="CF6913"/>
      <c r="CG6913"/>
      <c r="CH6913"/>
      <c r="CI6913"/>
    </row>
    <row r="6914" spans="83:87" x14ac:dyDescent="0.2">
      <c r="CE6914"/>
      <c r="CF6914"/>
      <c r="CG6914"/>
      <c r="CH6914"/>
      <c r="CI6914"/>
    </row>
    <row r="6915" spans="83:87" x14ac:dyDescent="0.2">
      <c r="CE6915"/>
      <c r="CF6915"/>
      <c r="CG6915"/>
      <c r="CH6915"/>
      <c r="CI6915"/>
    </row>
    <row r="6916" spans="83:87" x14ac:dyDescent="0.2">
      <c r="CE6916"/>
      <c r="CF6916"/>
      <c r="CG6916"/>
      <c r="CH6916"/>
      <c r="CI6916"/>
    </row>
    <row r="6917" spans="83:87" x14ac:dyDescent="0.2">
      <c r="CE6917"/>
      <c r="CF6917"/>
      <c r="CG6917"/>
      <c r="CH6917"/>
      <c r="CI6917"/>
    </row>
    <row r="6918" spans="83:87" x14ac:dyDescent="0.2">
      <c r="CE6918"/>
      <c r="CF6918"/>
      <c r="CG6918"/>
      <c r="CH6918"/>
      <c r="CI6918"/>
    </row>
    <row r="6919" spans="83:87" x14ac:dyDescent="0.2">
      <c r="CE6919"/>
      <c r="CF6919"/>
      <c r="CG6919"/>
      <c r="CH6919"/>
      <c r="CI6919"/>
    </row>
    <row r="6920" spans="83:87" x14ac:dyDescent="0.2">
      <c r="CE6920"/>
      <c r="CF6920"/>
      <c r="CG6920"/>
      <c r="CH6920"/>
      <c r="CI6920"/>
    </row>
    <row r="6921" spans="83:87" x14ac:dyDescent="0.2">
      <c r="CE6921"/>
      <c r="CF6921"/>
      <c r="CG6921"/>
      <c r="CH6921"/>
      <c r="CI6921"/>
    </row>
    <row r="6922" spans="83:87" x14ac:dyDescent="0.2">
      <c r="CE6922"/>
      <c r="CF6922"/>
      <c r="CG6922"/>
      <c r="CH6922"/>
      <c r="CI6922"/>
    </row>
    <row r="6923" spans="83:87" x14ac:dyDescent="0.2">
      <c r="CE6923"/>
      <c r="CF6923"/>
      <c r="CG6923"/>
      <c r="CH6923"/>
      <c r="CI6923"/>
    </row>
    <row r="6924" spans="83:87" x14ac:dyDescent="0.2">
      <c r="CE6924"/>
      <c r="CF6924"/>
      <c r="CG6924"/>
      <c r="CH6924"/>
      <c r="CI6924"/>
    </row>
    <row r="6925" spans="83:87" x14ac:dyDescent="0.2">
      <c r="CE6925"/>
      <c r="CF6925"/>
      <c r="CG6925"/>
      <c r="CH6925"/>
      <c r="CI6925"/>
    </row>
    <row r="6926" spans="83:87" x14ac:dyDescent="0.2">
      <c r="CE6926"/>
      <c r="CF6926"/>
      <c r="CG6926"/>
      <c r="CH6926"/>
      <c r="CI6926"/>
    </row>
    <row r="6927" spans="83:87" x14ac:dyDescent="0.2">
      <c r="CE6927"/>
      <c r="CF6927"/>
      <c r="CG6927"/>
      <c r="CH6927"/>
      <c r="CI6927"/>
    </row>
    <row r="6928" spans="83:87" x14ac:dyDescent="0.2">
      <c r="CE6928"/>
      <c r="CF6928"/>
      <c r="CG6928"/>
      <c r="CH6928"/>
      <c r="CI6928"/>
    </row>
    <row r="6929" spans="83:87" x14ac:dyDescent="0.2">
      <c r="CE6929"/>
      <c r="CF6929"/>
      <c r="CG6929"/>
      <c r="CH6929"/>
      <c r="CI6929"/>
    </row>
    <row r="6930" spans="83:87" x14ac:dyDescent="0.2">
      <c r="CE6930"/>
      <c r="CF6930"/>
      <c r="CG6930"/>
      <c r="CH6930"/>
      <c r="CI6930"/>
    </row>
    <row r="6931" spans="83:87" x14ac:dyDescent="0.2">
      <c r="CE6931"/>
      <c r="CF6931"/>
      <c r="CG6931"/>
      <c r="CH6931"/>
      <c r="CI6931"/>
    </row>
    <row r="6932" spans="83:87" x14ac:dyDescent="0.2">
      <c r="CE6932"/>
      <c r="CF6932"/>
      <c r="CG6932"/>
      <c r="CH6932"/>
      <c r="CI6932"/>
    </row>
    <row r="6933" spans="83:87" x14ac:dyDescent="0.2">
      <c r="CE6933"/>
      <c r="CF6933"/>
      <c r="CG6933"/>
      <c r="CH6933"/>
      <c r="CI6933"/>
    </row>
    <row r="6934" spans="83:87" x14ac:dyDescent="0.2">
      <c r="CE6934"/>
      <c r="CF6934"/>
      <c r="CG6934"/>
      <c r="CH6934"/>
      <c r="CI6934"/>
    </row>
    <row r="6935" spans="83:87" x14ac:dyDescent="0.2">
      <c r="CE6935"/>
      <c r="CF6935"/>
      <c r="CG6935"/>
      <c r="CH6935"/>
      <c r="CI6935"/>
    </row>
    <row r="6936" spans="83:87" x14ac:dyDescent="0.2">
      <c r="CE6936"/>
      <c r="CF6936"/>
      <c r="CG6936"/>
      <c r="CH6936"/>
      <c r="CI6936"/>
    </row>
    <row r="6937" spans="83:87" x14ac:dyDescent="0.2">
      <c r="CE6937"/>
      <c r="CF6937"/>
      <c r="CG6937"/>
      <c r="CH6937"/>
      <c r="CI6937"/>
    </row>
    <row r="6938" spans="83:87" x14ac:dyDescent="0.2">
      <c r="CE6938"/>
      <c r="CF6938"/>
      <c r="CG6938"/>
      <c r="CH6938"/>
      <c r="CI6938"/>
    </row>
    <row r="6939" spans="83:87" x14ac:dyDescent="0.2">
      <c r="CE6939"/>
      <c r="CF6939"/>
      <c r="CG6939"/>
      <c r="CH6939"/>
      <c r="CI6939"/>
    </row>
    <row r="6940" spans="83:87" x14ac:dyDescent="0.2">
      <c r="CE6940"/>
      <c r="CF6940"/>
      <c r="CG6940"/>
      <c r="CH6940"/>
      <c r="CI6940"/>
    </row>
    <row r="6941" spans="83:87" x14ac:dyDescent="0.2">
      <c r="CE6941"/>
      <c r="CF6941"/>
      <c r="CG6941"/>
      <c r="CH6941"/>
      <c r="CI6941"/>
    </row>
    <row r="6942" spans="83:87" x14ac:dyDescent="0.2">
      <c r="CE6942"/>
      <c r="CF6942"/>
      <c r="CG6942"/>
      <c r="CH6942"/>
      <c r="CI6942"/>
    </row>
    <row r="6943" spans="83:87" x14ac:dyDescent="0.2">
      <c r="CE6943"/>
      <c r="CF6943"/>
      <c r="CG6943"/>
      <c r="CH6943"/>
      <c r="CI6943"/>
    </row>
    <row r="6944" spans="83:87" x14ac:dyDescent="0.2">
      <c r="CE6944"/>
      <c r="CF6944"/>
      <c r="CG6944"/>
      <c r="CH6944"/>
      <c r="CI6944"/>
    </row>
    <row r="6945" spans="83:87" x14ac:dyDescent="0.2">
      <c r="CE6945"/>
      <c r="CF6945"/>
      <c r="CG6945"/>
      <c r="CH6945"/>
      <c r="CI6945"/>
    </row>
    <row r="6946" spans="83:87" x14ac:dyDescent="0.2">
      <c r="CE6946"/>
      <c r="CF6946"/>
      <c r="CG6946"/>
      <c r="CH6946"/>
      <c r="CI6946"/>
    </row>
    <row r="6947" spans="83:87" x14ac:dyDescent="0.2">
      <c r="CE6947"/>
      <c r="CF6947"/>
      <c r="CG6947"/>
      <c r="CH6947"/>
      <c r="CI6947"/>
    </row>
    <row r="6948" spans="83:87" x14ac:dyDescent="0.2">
      <c r="CE6948"/>
      <c r="CF6948"/>
      <c r="CG6948"/>
      <c r="CH6948"/>
      <c r="CI6948"/>
    </row>
    <row r="6949" spans="83:87" x14ac:dyDescent="0.2">
      <c r="CE6949"/>
      <c r="CF6949"/>
      <c r="CG6949"/>
      <c r="CH6949"/>
      <c r="CI6949"/>
    </row>
    <row r="6950" spans="83:87" x14ac:dyDescent="0.2">
      <c r="CE6950"/>
      <c r="CF6950"/>
      <c r="CG6950"/>
      <c r="CH6950"/>
      <c r="CI6950"/>
    </row>
    <row r="6951" spans="83:87" x14ac:dyDescent="0.2">
      <c r="CE6951"/>
      <c r="CF6951"/>
      <c r="CG6951"/>
      <c r="CH6951"/>
      <c r="CI6951"/>
    </row>
    <row r="6952" spans="83:87" x14ac:dyDescent="0.2">
      <c r="CE6952"/>
      <c r="CF6952"/>
      <c r="CG6952"/>
      <c r="CH6952"/>
      <c r="CI6952"/>
    </row>
    <row r="6953" spans="83:87" x14ac:dyDescent="0.2">
      <c r="CE6953"/>
      <c r="CF6953"/>
      <c r="CG6953"/>
      <c r="CH6953"/>
      <c r="CI6953"/>
    </row>
    <row r="6954" spans="83:87" x14ac:dyDescent="0.2">
      <c r="CE6954"/>
      <c r="CF6954"/>
      <c r="CG6954"/>
      <c r="CH6954"/>
      <c r="CI6954"/>
    </row>
    <row r="6955" spans="83:87" x14ac:dyDescent="0.2">
      <c r="CE6955"/>
      <c r="CF6955"/>
      <c r="CG6955"/>
      <c r="CH6955"/>
      <c r="CI6955"/>
    </row>
    <row r="6956" spans="83:87" x14ac:dyDescent="0.2">
      <c r="CE6956"/>
      <c r="CF6956"/>
      <c r="CG6956"/>
      <c r="CH6956"/>
      <c r="CI6956"/>
    </row>
    <row r="6957" spans="83:87" x14ac:dyDescent="0.2">
      <c r="CE6957"/>
      <c r="CF6957"/>
      <c r="CG6957"/>
      <c r="CH6957"/>
      <c r="CI6957"/>
    </row>
    <row r="6958" spans="83:87" x14ac:dyDescent="0.2">
      <c r="CE6958"/>
      <c r="CF6958"/>
      <c r="CG6958"/>
      <c r="CH6958"/>
      <c r="CI6958"/>
    </row>
    <row r="6959" spans="83:87" x14ac:dyDescent="0.2">
      <c r="CE6959"/>
      <c r="CF6959"/>
      <c r="CG6959"/>
      <c r="CH6959"/>
      <c r="CI6959"/>
    </row>
    <row r="6960" spans="83:87" x14ac:dyDescent="0.2">
      <c r="CE6960"/>
      <c r="CF6960"/>
      <c r="CG6960"/>
      <c r="CH6960"/>
      <c r="CI6960"/>
    </row>
    <row r="6961" spans="83:87" x14ac:dyDescent="0.2">
      <c r="CE6961"/>
      <c r="CF6961"/>
      <c r="CG6961"/>
      <c r="CH6961"/>
      <c r="CI6961"/>
    </row>
    <row r="6962" spans="83:87" x14ac:dyDescent="0.2">
      <c r="CE6962"/>
      <c r="CF6962"/>
      <c r="CG6962"/>
      <c r="CH6962"/>
      <c r="CI6962"/>
    </row>
    <row r="6963" spans="83:87" x14ac:dyDescent="0.2">
      <c r="CE6963"/>
      <c r="CF6963"/>
      <c r="CG6963"/>
      <c r="CH6963"/>
      <c r="CI6963"/>
    </row>
    <row r="6964" spans="83:87" x14ac:dyDescent="0.2">
      <c r="CE6964"/>
      <c r="CF6964"/>
      <c r="CG6964"/>
      <c r="CH6964"/>
      <c r="CI6964"/>
    </row>
    <row r="6965" spans="83:87" x14ac:dyDescent="0.2">
      <c r="CE6965"/>
      <c r="CF6965"/>
      <c r="CG6965"/>
      <c r="CH6965"/>
      <c r="CI6965"/>
    </row>
    <row r="6966" spans="83:87" x14ac:dyDescent="0.2">
      <c r="CE6966"/>
      <c r="CF6966"/>
      <c r="CG6966"/>
      <c r="CH6966"/>
      <c r="CI6966"/>
    </row>
    <row r="6967" spans="83:87" x14ac:dyDescent="0.2">
      <c r="CE6967"/>
      <c r="CF6967"/>
      <c r="CG6967"/>
      <c r="CH6967"/>
      <c r="CI6967"/>
    </row>
    <row r="6968" spans="83:87" x14ac:dyDescent="0.2">
      <c r="CE6968"/>
      <c r="CF6968"/>
      <c r="CG6968"/>
      <c r="CH6968"/>
      <c r="CI6968"/>
    </row>
    <row r="6969" spans="83:87" x14ac:dyDescent="0.2">
      <c r="CE6969"/>
      <c r="CF6969"/>
      <c r="CG6969"/>
      <c r="CH6969"/>
      <c r="CI6969"/>
    </row>
    <row r="6970" spans="83:87" x14ac:dyDescent="0.2">
      <c r="CE6970"/>
      <c r="CF6970"/>
      <c r="CG6970"/>
      <c r="CH6970"/>
      <c r="CI6970"/>
    </row>
    <row r="6971" spans="83:87" x14ac:dyDescent="0.2">
      <c r="CE6971"/>
      <c r="CF6971"/>
      <c r="CG6971"/>
      <c r="CH6971"/>
      <c r="CI6971"/>
    </row>
    <row r="6972" spans="83:87" x14ac:dyDescent="0.2">
      <c r="CE6972"/>
      <c r="CF6972"/>
      <c r="CG6972"/>
      <c r="CH6972"/>
      <c r="CI6972"/>
    </row>
    <row r="6973" spans="83:87" x14ac:dyDescent="0.2">
      <c r="CE6973"/>
      <c r="CF6973"/>
      <c r="CG6973"/>
      <c r="CH6973"/>
      <c r="CI6973"/>
    </row>
    <row r="6974" spans="83:87" x14ac:dyDescent="0.2">
      <c r="CE6974"/>
      <c r="CF6974"/>
      <c r="CG6974"/>
      <c r="CH6974"/>
      <c r="CI6974"/>
    </row>
    <row r="6975" spans="83:87" x14ac:dyDescent="0.2">
      <c r="CE6975"/>
      <c r="CF6975"/>
      <c r="CG6975"/>
      <c r="CH6975"/>
      <c r="CI6975"/>
    </row>
    <row r="6976" spans="83:87" x14ac:dyDescent="0.2">
      <c r="CE6976"/>
      <c r="CF6976"/>
      <c r="CG6976"/>
      <c r="CH6976"/>
      <c r="CI6976"/>
    </row>
    <row r="6977" spans="83:87" x14ac:dyDescent="0.2">
      <c r="CE6977"/>
      <c r="CF6977"/>
      <c r="CG6977"/>
      <c r="CH6977"/>
      <c r="CI6977"/>
    </row>
    <row r="6978" spans="83:87" x14ac:dyDescent="0.2">
      <c r="CE6978"/>
      <c r="CF6978"/>
      <c r="CG6978"/>
      <c r="CH6978"/>
      <c r="CI6978"/>
    </row>
    <row r="6979" spans="83:87" x14ac:dyDescent="0.2">
      <c r="CE6979"/>
      <c r="CF6979"/>
      <c r="CG6979"/>
      <c r="CH6979"/>
      <c r="CI6979"/>
    </row>
    <row r="6980" spans="83:87" x14ac:dyDescent="0.2">
      <c r="CE6980"/>
      <c r="CF6980"/>
      <c r="CG6980"/>
      <c r="CH6980"/>
      <c r="CI6980"/>
    </row>
    <row r="6981" spans="83:87" x14ac:dyDescent="0.2">
      <c r="CE6981"/>
      <c r="CF6981"/>
      <c r="CG6981"/>
      <c r="CH6981"/>
      <c r="CI6981"/>
    </row>
    <row r="6982" spans="83:87" x14ac:dyDescent="0.2">
      <c r="CE6982"/>
      <c r="CF6982"/>
      <c r="CG6982"/>
      <c r="CH6982"/>
      <c r="CI6982"/>
    </row>
    <row r="6983" spans="83:87" x14ac:dyDescent="0.2">
      <c r="CE6983"/>
      <c r="CF6983"/>
      <c r="CG6983"/>
      <c r="CH6983"/>
      <c r="CI6983"/>
    </row>
    <row r="6984" spans="83:87" x14ac:dyDescent="0.2">
      <c r="CE6984"/>
      <c r="CF6984"/>
      <c r="CG6984"/>
      <c r="CH6984"/>
      <c r="CI6984"/>
    </row>
    <row r="6985" spans="83:87" x14ac:dyDescent="0.2">
      <c r="CE6985"/>
      <c r="CF6985"/>
      <c r="CG6985"/>
      <c r="CH6985"/>
      <c r="CI6985"/>
    </row>
    <row r="6986" spans="83:87" x14ac:dyDescent="0.2">
      <c r="CE6986"/>
      <c r="CF6986"/>
      <c r="CG6986"/>
      <c r="CH6986"/>
      <c r="CI6986"/>
    </row>
    <row r="6987" spans="83:87" x14ac:dyDescent="0.2">
      <c r="CE6987"/>
      <c r="CF6987"/>
      <c r="CG6987"/>
      <c r="CH6987"/>
      <c r="CI6987"/>
    </row>
    <row r="6988" spans="83:87" x14ac:dyDescent="0.2">
      <c r="CE6988"/>
      <c r="CF6988"/>
      <c r="CG6988"/>
      <c r="CH6988"/>
      <c r="CI6988"/>
    </row>
    <row r="6989" spans="83:87" x14ac:dyDescent="0.2">
      <c r="CE6989"/>
      <c r="CF6989"/>
      <c r="CG6989"/>
      <c r="CH6989"/>
      <c r="CI6989"/>
    </row>
    <row r="6990" spans="83:87" x14ac:dyDescent="0.2">
      <c r="CE6990"/>
      <c r="CF6990"/>
      <c r="CG6990"/>
      <c r="CH6990"/>
      <c r="CI6990"/>
    </row>
    <row r="6991" spans="83:87" x14ac:dyDescent="0.2">
      <c r="CE6991"/>
      <c r="CF6991"/>
      <c r="CG6991"/>
      <c r="CH6991"/>
      <c r="CI6991"/>
    </row>
    <row r="6992" spans="83:87" x14ac:dyDescent="0.2">
      <c r="CE6992"/>
      <c r="CF6992"/>
      <c r="CG6992"/>
      <c r="CH6992"/>
      <c r="CI6992"/>
    </row>
    <row r="6993" spans="83:87" x14ac:dyDescent="0.2">
      <c r="CE6993"/>
      <c r="CF6993"/>
      <c r="CG6993"/>
      <c r="CH6993"/>
      <c r="CI6993"/>
    </row>
    <row r="6994" spans="83:87" x14ac:dyDescent="0.2">
      <c r="CE6994"/>
      <c r="CF6994"/>
      <c r="CG6994"/>
      <c r="CH6994"/>
      <c r="CI6994"/>
    </row>
    <row r="6995" spans="83:87" x14ac:dyDescent="0.2">
      <c r="CE6995"/>
      <c r="CF6995"/>
      <c r="CG6995"/>
      <c r="CH6995"/>
      <c r="CI6995"/>
    </row>
    <row r="6996" spans="83:87" x14ac:dyDescent="0.2">
      <c r="CE6996"/>
      <c r="CF6996"/>
      <c r="CG6996"/>
      <c r="CH6996"/>
      <c r="CI6996"/>
    </row>
    <row r="6997" spans="83:87" x14ac:dyDescent="0.2">
      <c r="CE6997"/>
      <c r="CF6997"/>
      <c r="CG6997"/>
      <c r="CH6997"/>
      <c r="CI6997"/>
    </row>
    <row r="6998" spans="83:87" x14ac:dyDescent="0.2">
      <c r="CE6998"/>
      <c r="CF6998"/>
      <c r="CG6998"/>
      <c r="CH6998"/>
      <c r="CI6998"/>
    </row>
    <row r="6999" spans="83:87" x14ac:dyDescent="0.2">
      <c r="CE6999"/>
      <c r="CF6999"/>
      <c r="CG6999"/>
      <c r="CH6999"/>
      <c r="CI6999"/>
    </row>
    <row r="7000" spans="83:87" x14ac:dyDescent="0.2">
      <c r="CE7000"/>
      <c r="CF7000"/>
      <c r="CG7000"/>
      <c r="CH7000"/>
      <c r="CI7000"/>
    </row>
    <row r="7001" spans="83:87" x14ac:dyDescent="0.2">
      <c r="CE7001"/>
      <c r="CF7001"/>
      <c r="CG7001"/>
      <c r="CH7001"/>
      <c r="CI7001"/>
    </row>
    <row r="7002" spans="83:87" x14ac:dyDescent="0.2">
      <c r="CE7002"/>
      <c r="CF7002"/>
      <c r="CG7002"/>
      <c r="CH7002"/>
      <c r="CI7002"/>
    </row>
    <row r="7003" spans="83:87" x14ac:dyDescent="0.2">
      <c r="CE7003"/>
      <c r="CF7003"/>
      <c r="CG7003"/>
      <c r="CH7003"/>
      <c r="CI7003"/>
    </row>
    <row r="7004" spans="83:87" x14ac:dyDescent="0.2">
      <c r="CE7004"/>
      <c r="CF7004"/>
      <c r="CG7004"/>
      <c r="CH7004"/>
      <c r="CI7004"/>
    </row>
    <row r="7005" spans="83:87" x14ac:dyDescent="0.2">
      <c r="CE7005"/>
      <c r="CF7005"/>
      <c r="CG7005"/>
      <c r="CH7005"/>
      <c r="CI7005"/>
    </row>
    <row r="7006" spans="83:87" x14ac:dyDescent="0.2">
      <c r="CE7006"/>
      <c r="CF7006"/>
      <c r="CG7006"/>
      <c r="CH7006"/>
      <c r="CI7006"/>
    </row>
    <row r="7007" spans="83:87" x14ac:dyDescent="0.2">
      <c r="CE7007"/>
      <c r="CF7007"/>
      <c r="CG7007"/>
      <c r="CH7007"/>
      <c r="CI7007"/>
    </row>
    <row r="7008" spans="83:87" x14ac:dyDescent="0.2">
      <c r="CE7008"/>
      <c r="CF7008"/>
      <c r="CG7008"/>
      <c r="CH7008"/>
      <c r="CI7008"/>
    </row>
    <row r="7009" spans="83:87" x14ac:dyDescent="0.2">
      <c r="CE7009"/>
      <c r="CF7009"/>
      <c r="CG7009"/>
      <c r="CH7009"/>
      <c r="CI7009"/>
    </row>
    <row r="7010" spans="83:87" x14ac:dyDescent="0.2">
      <c r="CE7010"/>
      <c r="CF7010"/>
      <c r="CG7010"/>
      <c r="CH7010"/>
      <c r="CI7010"/>
    </row>
    <row r="7011" spans="83:87" x14ac:dyDescent="0.2">
      <c r="CE7011"/>
      <c r="CF7011"/>
      <c r="CG7011"/>
      <c r="CH7011"/>
      <c r="CI7011"/>
    </row>
    <row r="7012" spans="83:87" x14ac:dyDescent="0.2">
      <c r="CE7012"/>
      <c r="CF7012"/>
      <c r="CG7012"/>
      <c r="CH7012"/>
      <c r="CI7012"/>
    </row>
    <row r="7013" spans="83:87" x14ac:dyDescent="0.2">
      <c r="CE7013"/>
      <c r="CF7013"/>
      <c r="CG7013"/>
      <c r="CH7013"/>
      <c r="CI7013"/>
    </row>
    <row r="7014" spans="83:87" x14ac:dyDescent="0.2">
      <c r="CE7014"/>
      <c r="CF7014"/>
      <c r="CG7014"/>
      <c r="CH7014"/>
      <c r="CI7014"/>
    </row>
    <row r="7015" spans="83:87" x14ac:dyDescent="0.2">
      <c r="CE7015"/>
      <c r="CF7015"/>
      <c r="CG7015"/>
      <c r="CH7015"/>
      <c r="CI7015"/>
    </row>
    <row r="7016" spans="83:87" x14ac:dyDescent="0.2">
      <c r="CE7016"/>
      <c r="CF7016"/>
      <c r="CG7016"/>
      <c r="CH7016"/>
      <c r="CI7016"/>
    </row>
    <row r="7017" spans="83:87" x14ac:dyDescent="0.2">
      <c r="CE7017"/>
      <c r="CF7017"/>
      <c r="CG7017"/>
      <c r="CH7017"/>
      <c r="CI7017"/>
    </row>
    <row r="7018" spans="83:87" x14ac:dyDescent="0.2">
      <c r="CE7018"/>
      <c r="CF7018"/>
      <c r="CG7018"/>
      <c r="CH7018"/>
      <c r="CI7018"/>
    </row>
    <row r="7019" spans="83:87" x14ac:dyDescent="0.2">
      <c r="CE7019"/>
      <c r="CF7019"/>
      <c r="CG7019"/>
      <c r="CH7019"/>
      <c r="CI7019"/>
    </row>
    <row r="7020" spans="83:87" x14ac:dyDescent="0.2">
      <c r="CE7020"/>
      <c r="CF7020"/>
      <c r="CG7020"/>
      <c r="CH7020"/>
      <c r="CI7020"/>
    </row>
    <row r="7021" spans="83:87" x14ac:dyDescent="0.2">
      <c r="CE7021"/>
      <c r="CF7021"/>
      <c r="CG7021"/>
      <c r="CH7021"/>
      <c r="CI7021"/>
    </row>
    <row r="7022" spans="83:87" x14ac:dyDescent="0.2">
      <c r="CE7022"/>
      <c r="CF7022"/>
      <c r="CG7022"/>
      <c r="CH7022"/>
      <c r="CI7022"/>
    </row>
    <row r="7023" spans="83:87" x14ac:dyDescent="0.2">
      <c r="CE7023"/>
      <c r="CF7023"/>
      <c r="CG7023"/>
      <c r="CH7023"/>
      <c r="CI7023"/>
    </row>
    <row r="7024" spans="83:87" x14ac:dyDescent="0.2">
      <c r="CE7024"/>
      <c r="CF7024"/>
      <c r="CG7024"/>
      <c r="CH7024"/>
      <c r="CI7024"/>
    </row>
    <row r="7025" spans="83:87" x14ac:dyDescent="0.2">
      <c r="CE7025"/>
      <c r="CF7025"/>
      <c r="CG7025"/>
      <c r="CH7025"/>
      <c r="CI7025"/>
    </row>
    <row r="7026" spans="83:87" x14ac:dyDescent="0.2">
      <c r="CE7026"/>
      <c r="CF7026"/>
      <c r="CG7026"/>
      <c r="CH7026"/>
      <c r="CI7026"/>
    </row>
    <row r="7027" spans="83:87" x14ac:dyDescent="0.2">
      <c r="CE7027"/>
      <c r="CF7027"/>
      <c r="CG7027"/>
      <c r="CH7027"/>
      <c r="CI7027"/>
    </row>
    <row r="7028" spans="83:87" x14ac:dyDescent="0.2">
      <c r="CE7028"/>
      <c r="CF7028"/>
      <c r="CG7028"/>
      <c r="CH7028"/>
      <c r="CI7028"/>
    </row>
    <row r="7029" spans="83:87" x14ac:dyDescent="0.2">
      <c r="CE7029"/>
      <c r="CF7029"/>
      <c r="CG7029"/>
      <c r="CH7029"/>
      <c r="CI7029"/>
    </row>
    <row r="7030" spans="83:87" x14ac:dyDescent="0.2">
      <c r="CE7030"/>
      <c r="CF7030"/>
      <c r="CG7030"/>
      <c r="CH7030"/>
      <c r="CI7030"/>
    </row>
    <row r="7031" spans="83:87" x14ac:dyDescent="0.2">
      <c r="CE7031"/>
      <c r="CF7031"/>
      <c r="CG7031"/>
      <c r="CH7031"/>
      <c r="CI7031"/>
    </row>
    <row r="7032" spans="83:87" x14ac:dyDescent="0.2">
      <c r="CE7032"/>
      <c r="CF7032"/>
      <c r="CG7032"/>
      <c r="CH7032"/>
      <c r="CI7032"/>
    </row>
    <row r="7033" spans="83:87" x14ac:dyDescent="0.2">
      <c r="CE7033"/>
      <c r="CF7033"/>
      <c r="CG7033"/>
      <c r="CH7033"/>
      <c r="CI7033"/>
    </row>
    <row r="7034" spans="83:87" x14ac:dyDescent="0.2">
      <c r="CE7034"/>
      <c r="CF7034"/>
      <c r="CG7034"/>
      <c r="CH7034"/>
      <c r="CI7034"/>
    </row>
    <row r="7035" spans="83:87" x14ac:dyDescent="0.2">
      <c r="CE7035"/>
      <c r="CF7035"/>
      <c r="CG7035"/>
      <c r="CH7035"/>
      <c r="CI7035"/>
    </row>
    <row r="7036" spans="83:87" x14ac:dyDescent="0.2">
      <c r="CE7036"/>
      <c r="CF7036"/>
      <c r="CG7036"/>
      <c r="CH7036"/>
      <c r="CI7036"/>
    </row>
    <row r="7037" spans="83:87" x14ac:dyDescent="0.2">
      <c r="CE7037"/>
      <c r="CF7037"/>
      <c r="CG7037"/>
      <c r="CH7037"/>
      <c r="CI7037"/>
    </row>
    <row r="7038" spans="83:87" x14ac:dyDescent="0.2">
      <c r="CE7038"/>
      <c r="CF7038"/>
      <c r="CG7038"/>
      <c r="CH7038"/>
      <c r="CI7038"/>
    </row>
    <row r="7039" spans="83:87" x14ac:dyDescent="0.2">
      <c r="CE7039"/>
      <c r="CF7039"/>
      <c r="CG7039"/>
      <c r="CH7039"/>
      <c r="CI7039"/>
    </row>
    <row r="7040" spans="83:87" x14ac:dyDescent="0.2">
      <c r="CE7040"/>
      <c r="CF7040"/>
      <c r="CG7040"/>
      <c r="CH7040"/>
      <c r="CI7040"/>
    </row>
    <row r="7041" spans="83:87" x14ac:dyDescent="0.2">
      <c r="CE7041"/>
      <c r="CF7041"/>
      <c r="CG7041"/>
      <c r="CH7041"/>
      <c r="CI7041"/>
    </row>
    <row r="7042" spans="83:87" x14ac:dyDescent="0.2">
      <c r="CE7042"/>
      <c r="CF7042"/>
      <c r="CG7042"/>
      <c r="CH7042"/>
      <c r="CI7042"/>
    </row>
    <row r="7043" spans="83:87" x14ac:dyDescent="0.2">
      <c r="CE7043"/>
      <c r="CF7043"/>
      <c r="CG7043"/>
      <c r="CH7043"/>
      <c r="CI7043"/>
    </row>
    <row r="7044" spans="83:87" x14ac:dyDescent="0.2">
      <c r="CE7044"/>
      <c r="CF7044"/>
      <c r="CG7044"/>
      <c r="CH7044"/>
      <c r="CI7044"/>
    </row>
    <row r="7045" spans="83:87" x14ac:dyDescent="0.2">
      <c r="CE7045"/>
      <c r="CF7045"/>
      <c r="CG7045"/>
      <c r="CH7045"/>
      <c r="CI7045"/>
    </row>
    <row r="7046" spans="83:87" x14ac:dyDescent="0.2">
      <c r="CE7046"/>
      <c r="CF7046"/>
      <c r="CG7046"/>
      <c r="CH7046"/>
      <c r="CI7046"/>
    </row>
    <row r="7047" spans="83:87" x14ac:dyDescent="0.2">
      <c r="CE7047"/>
      <c r="CF7047"/>
      <c r="CG7047"/>
      <c r="CH7047"/>
      <c r="CI7047"/>
    </row>
    <row r="7048" spans="83:87" x14ac:dyDescent="0.2">
      <c r="CE7048"/>
      <c r="CF7048"/>
      <c r="CG7048"/>
      <c r="CH7048"/>
      <c r="CI7048"/>
    </row>
    <row r="7049" spans="83:87" x14ac:dyDescent="0.2">
      <c r="CE7049"/>
      <c r="CF7049"/>
      <c r="CG7049"/>
      <c r="CH7049"/>
      <c r="CI7049"/>
    </row>
    <row r="7050" spans="83:87" x14ac:dyDescent="0.2">
      <c r="CE7050"/>
      <c r="CF7050"/>
      <c r="CG7050"/>
      <c r="CH7050"/>
      <c r="CI7050"/>
    </row>
    <row r="7051" spans="83:87" x14ac:dyDescent="0.2">
      <c r="CE7051"/>
      <c r="CF7051"/>
      <c r="CG7051"/>
      <c r="CH7051"/>
      <c r="CI7051"/>
    </row>
    <row r="7052" spans="83:87" x14ac:dyDescent="0.2">
      <c r="CE7052"/>
      <c r="CF7052"/>
      <c r="CG7052"/>
      <c r="CH7052"/>
      <c r="CI7052"/>
    </row>
    <row r="7053" spans="83:87" x14ac:dyDescent="0.2">
      <c r="CE7053"/>
      <c r="CF7053"/>
      <c r="CG7053"/>
      <c r="CH7053"/>
      <c r="CI7053"/>
    </row>
    <row r="7054" spans="83:87" x14ac:dyDescent="0.2">
      <c r="CE7054"/>
      <c r="CF7054"/>
      <c r="CG7054"/>
      <c r="CH7054"/>
      <c r="CI7054"/>
    </row>
    <row r="7055" spans="83:87" x14ac:dyDescent="0.2">
      <c r="CE7055"/>
      <c r="CF7055"/>
      <c r="CG7055"/>
      <c r="CH7055"/>
      <c r="CI7055"/>
    </row>
    <row r="7056" spans="83:87" x14ac:dyDescent="0.2">
      <c r="CE7056"/>
      <c r="CF7056"/>
      <c r="CG7056"/>
      <c r="CH7056"/>
      <c r="CI7056"/>
    </row>
    <row r="7057" spans="83:87" x14ac:dyDescent="0.2">
      <c r="CE7057"/>
      <c r="CF7057"/>
      <c r="CG7057"/>
      <c r="CH7057"/>
      <c r="CI7057"/>
    </row>
    <row r="7058" spans="83:87" x14ac:dyDescent="0.2">
      <c r="CE7058"/>
      <c r="CF7058"/>
      <c r="CG7058"/>
      <c r="CH7058"/>
      <c r="CI7058"/>
    </row>
    <row r="7059" spans="83:87" x14ac:dyDescent="0.2">
      <c r="CE7059"/>
      <c r="CF7059"/>
      <c r="CG7059"/>
      <c r="CH7059"/>
      <c r="CI7059"/>
    </row>
    <row r="7060" spans="83:87" x14ac:dyDescent="0.2">
      <c r="CE7060"/>
      <c r="CF7060"/>
      <c r="CG7060"/>
      <c r="CH7060"/>
      <c r="CI7060"/>
    </row>
    <row r="7061" spans="83:87" x14ac:dyDescent="0.2">
      <c r="CE7061"/>
      <c r="CF7061"/>
      <c r="CG7061"/>
      <c r="CH7061"/>
      <c r="CI7061"/>
    </row>
    <row r="7062" spans="83:87" x14ac:dyDescent="0.2">
      <c r="CE7062"/>
      <c r="CF7062"/>
      <c r="CG7062"/>
      <c r="CH7062"/>
      <c r="CI7062"/>
    </row>
    <row r="7063" spans="83:87" x14ac:dyDescent="0.2">
      <c r="CE7063"/>
      <c r="CF7063"/>
      <c r="CG7063"/>
      <c r="CH7063"/>
      <c r="CI7063"/>
    </row>
    <row r="7064" spans="83:87" x14ac:dyDescent="0.2">
      <c r="CE7064"/>
      <c r="CF7064"/>
      <c r="CG7064"/>
      <c r="CH7064"/>
      <c r="CI7064"/>
    </row>
    <row r="7065" spans="83:87" x14ac:dyDescent="0.2">
      <c r="CE7065"/>
      <c r="CF7065"/>
      <c r="CG7065"/>
      <c r="CH7065"/>
      <c r="CI7065"/>
    </row>
    <row r="7066" spans="83:87" x14ac:dyDescent="0.2">
      <c r="CE7066"/>
      <c r="CF7066"/>
      <c r="CG7066"/>
      <c r="CH7066"/>
      <c r="CI7066"/>
    </row>
    <row r="7067" spans="83:87" x14ac:dyDescent="0.2">
      <c r="CE7067"/>
      <c r="CF7067"/>
      <c r="CG7067"/>
      <c r="CH7067"/>
      <c r="CI7067"/>
    </row>
    <row r="7068" spans="83:87" x14ac:dyDescent="0.2">
      <c r="CE7068"/>
      <c r="CF7068"/>
      <c r="CG7068"/>
      <c r="CH7068"/>
      <c r="CI7068"/>
    </row>
    <row r="7069" spans="83:87" x14ac:dyDescent="0.2">
      <c r="CE7069"/>
      <c r="CF7069"/>
      <c r="CG7069"/>
      <c r="CH7069"/>
      <c r="CI7069"/>
    </row>
    <row r="7070" spans="83:87" x14ac:dyDescent="0.2">
      <c r="CE7070"/>
      <c r="CF7070"/>
      <c r="CG7070"/>
      <c r="CH7070"/>
      <c r="CI7070"/>
    </row>
    <row r="7071" spans="83:87" x14ac:dyDescent="0.2">
      <c r="CE7071"/>
      <c r="CF7071"/>
      <c r="CG7071"/>
      <c r="CH7071"/>
      <c r="CI7071"/>
    </row>
    <row r="7072" spans="83:87" x14ac:dyDescent="0.2">
      <c r="CE7072"/>
      <c r="CF7072"/>
      <c r="CG7072"/>
      <c r="CH7072"/>
      <c r="CI7072"/>
    </row>
    <row r="7073" spans="83:87" x14ac:dyDescent="0.2">
      <c r="CE7073"/>
      <c r="CF7073"/>
      <c r="CG7073"/>
      <c r="CH7073"/>
      <c r="CI7073"/>
    </row>
    <row r="7074" spans="83:87" x14ac:dyDescent="0.2">
      <c r="CE7074"/>
      <c r="CF7074"/>
      <c r="CG7074"/>
      <c r="CH7074"/>
      <c r="CI7074"/>
    </row>
    <row r="7075" spans="83:87" x14ac:dyDescent="0.2">
      <c r="CE7075"/>
      <c r="CF7075"/>
      <c r="CG7075"/>
      <c r="CH7075"/>
      <c r="CI7075"/>
    </row>
    <row r="7076" spans="83:87" x14ac:dyDescent="0.2">
      <c r="CE7076"/>
      <c r="CF7076"/>
      <c r="CG7076"/>
      <c r="CH7076"/>
      <c r="CI7076"/>
    </row>
    <row r="7077" spans="83:87" x14ac:dyDescent="0.2">
      <c r="CE7077"/>
      <c r="CF7077"/>
      <c r="CG7077"/>
      <c r="CH7077"/>
      <c r="CI7077"/>
    </row>
    <row r="7078" spans="83:87" x14ac:dyDescent="0.2">
      <c r="CE7078"/>
      <c r="CF7078"/>
      <c r="CG7078"/>
      <c r="CH7078"/>
      <c r="CI7078"/>
    </row>
    <row r="7079" spans="83:87" x14ac:dyDescent="0.2">
      <c r="CE7079"/>
      <c r="CF7079"/>
      <c r="CG7079"/>
      <c r="CH7079"/>
      <c r="CI7079"/>
    </row>
    <row r="7080" spans="83:87" x14ac:dyDescent="0.2">
      <c r="CE7080"/>
      <c r="CF7080"/>
      <c r="CG7080"/>
      <c r="CH7080"/>
      <c r="CI7080"/>
    </row>
    <row r="7081" spans="83:87" x14ac:dyDescent="0.2">
      <c r="CE7081"/>
      <c r="CF7081"/>
      <c r="CG7081"/>
      <c r="CH7081"/>
      <c r="CI7081"/>
    </row>
    <row r="7082" spans="83:87" x14ac:dyDescent="0.2">
      <c r="CE7082"/>
      <c r="CF7082"/>
      <c r="CG7082"/>
      <c r="CH7082"/>
      <c r="CI7082"/>
    </row>
    <row r="7083" spans="83:87" x14ac:dyDescent="0.2">
      <c r="CE7083"/>
      <c r="CF7083"/>
      <c r="CG7083"/>
      <c r="CH7083"/>
      <c r="CI7083"/>
    </row>
    <row r="7084" spans="83:87" x14ac:dyDescent="0.2">
      <c r="CE7084"/>
      <c r="CF7084"/>
      <c r="CG7084"/>
      <c r="CH7084"/>
      <c r="CI7084"/>
    </row>
    <row r="7085" spans="83:87" x14ac:dyDescent="0.2">
      <c r="CE7085"/>
      <c r="CF7085"/>
      <c r="CG7085"/>
      <c r="CH7085"/>
      <c r="CI7085"/>
    </row>
    <row r="7086" spans="83:87" x14ac:dyDescent="0.2">
      <c r="CE7086"/>
      <c r="CF7086"/>
      <c r="CG7086"/>
      <c r="CH7086"/>
      <c r="CI7086"/>
    </row>
    <row r="7087" spans="83:87" x14ac:dyDescent="0.2">
      <c r="CE7087"/>
      <c r="CF7087"/>
      <c r="CG7087"/>
      <c r="CH7087"/>
      <c r="CI7087"/>
    </row>
    <row r="7088" spans="83:87" x14ac:dyDescent="0.2">
      <c r="CE7088"/>
      <c r="CF7088"/>
      <c r="CG7088"/>
      <c r="CH7088"/>
      <c r="CI7088"/>
    </row>
    <row r="7089" spans="83:87" x14ac:dyDescent="0.2">
      <c r="CE7089"/>
      <c r="CF7089"/>
      <c r="CG7089"/>
      <c r="CH7089"/>
      <c r="CI7089"/>
    </row>
    <row r="7090" spans="83:87" x14ac:dyDescent="0.2">
      <c r="CE7090"/>
      <c r="CF7090"/>
      <c r="CG7090"/>
      <c r="CH7090"/>
      <c r="CI7090"/>
    </row>
    <row r="7091" spans="83:87" x14ac:dyDescent="0.2">
      <c r="CE7091"/>
      <c r="CF7091"/>
      <c r="CG7091"/>
      <c r="CH7091"/>
      <c r="CI7091"/>
    </row>
    <row r="7092" spans="83:87" x14ac:dyDescent="0.2">
      <c r="CE7092"/>
      <c r="CF7092"/>
      <c r="CG7092"/>
      <c r="CH7092"/>
      <c r="CI7092"/>
    </row>
    <row r="7093" spans="83:87" x14ac:dyDescent="0.2">
      <c r="CE7093"/>
      <c r="CF7093"/>
      <c r="CG7093"/>
      <c r="CH7093"/>
      <c r="CI7093"/>
    </row>
    <row r="7094" spans="83:87" x14ac:dyDescent="0.2">
      <c r="CE7094"/>
      <c r="CF7094"/>
      <c r="CG7094"/>
      <c r="CH7094"/>
      <c r="CI7094"/>
    </row>
    <row r="7095" spans="83:87" x14ac:dyDescent="0.2">
      <c r="CE7095"/>
      <c r="CF7095"/>
      <c r="CG7095"/>
      <c r="CH7095"/>
      <c r="CI7095"/>
    </row>
    <row r="7096" spans="83:87" x14ac:dyDescent="0.2">
      <c r="CE7096"/>
      <c r="CF7096"/>
      <c r="CG7096"/>
      <c r="CH7096"/>
      <c r="CI7096"/>
    </row>
    <row r="7097" spans="83:87" x14ac:dyDescent="0.2">
      <c r="CE7097"/>
      <c r="CF7097"/>
      <c r="CG7097"/>
      <c r="CH7097"/>
      <c r="CI7097"/>
    </row>
    <row r="7098" spans="83:87" x14ac:dyDescent="0.2">
      <c r="CE7098"/>
      <c r="CF7098"/>
      <c r="CG7098"/>
      <c r="CH7098"/>
      <c r="CI7098"/>
    </row>
    <row r="7099" spans="83:87" x14ac:dyDescent="0.2">
      <c r="CE7099"/>
      <c r="CF7099"/>
      <c r="CG7099"/>
      <c r="CH7099"/>
      <c r="CI7099"/>
    </row>
    <row r="7100" spans="83:87" x14ac:dyDescent="0.2">
      <c r="CE7100"/>
      <c r="CF7100"/>
      <c r="CG7100"/>
      <c r="CH7100"/>
      <c r="CI7100"/>
    </row>
    <row r="7101" spans="83:87" x14ac:dyDescent="0.2">
      <c r="CE7101"/>
      <c r="CF7101"/>
      <c r="CG7101"/>
      <c r="CH7101"/>
      <c r="CI7101"/>
    </row>
    <row r="7102" spans="83:87" x14ac:dyDescent="0.2">
      <c r="CE7102"/>
      <c r="CF7102"/>
      <c r="CG7102"/>
      <c r="CH7102"/>
      <c r="CI7102"/>
    </row>
    <row r="7103" spans="83:87" x14ac:dyDescent="0.2">
      <c r="CE7103"/>
      <c r="CF7103"/>
      <c r="CG7103"/>
      <c r="CH7103"/>
      <c r="CI7103"/>
    </row>
    <row r="7104" spans="83:87" x14ac:dyDescent="0.2">
      <c r="CE7104"/>
      <c r="CF7104"/>
      <c r="CG7104"/>
      <c r="CH7104"/>
      <c r="CI7104"/>
    </row>
    <row r="7105" spans="83:87" x14ac:dyDescent="0.2">
      <c r="CE7105"/>
      <c r="CF7105"/>
      <c r="CG7105"/>
      <c r="CH7105"/>
      <c r="CI7105"/>
    </row>
    <row r="7106" spans="83:87" x14ac:dyDescent="0.2">
      <c r="CE7106"/>
      <c r="CF7106"/>
      <c r="CG7106"/>
      <c r="CH7106"/>
      <c r="CI7106"/>
    </row>
    <row r="7107" spans="83:87" x14ac:dyDescent="0.2">
      <c r="CE7107"/>
      <c r="CF7107"/>
      <c r="CG7107"/>
      <c r="CH7107"/>
      <c r="CI7107"/>
    </row>
    <row r="7108" spans="83:87" x14ac:dyDescent="0.2">
      <c r="CE7108"/>
      <c r="CF7108"/>
      <c r="CG7108"/>
      <c r="CH7108"/>
      <c r="CI7108"/>
    </row>
    <row r="7109" spans="83:87" x14ac:dyDescent="0.2">
      <c r="CE7109"/>
      <c r="CF7109"/>
      <c r="CG7109"/>
      <c r="CH7109"/>
      <c r="CI7109"/>
    </row>
    <row r="7110" spans="83:87" x14ac:dyDescent="0.2">
      <c r="CE7110"/>
      <c r="CF7110"/>
      <c r="CG7110"/>
      <c r="CH7110"/>
      <c r="CI7110"/>
    </row>
    <row r="7111" spans="83:87" x14ac:dyDescent="0.2">
      <c r="CE7111"/>
      <c r="CF7111"/>
      <c r="CG7111"/>
      <c r="CH7111"/>
      <c r="CI7111"/>
    </row>
    <row r="7112" spans="83:87" x14ac:dyDescent="0.2">
      <c r="CE7112"/>
      <c r="CF7112"/>
      <c r="CG7112"/>
      <c r="CH7112"/>
      <c r="CI7112"/>
    </row>
    <row r="7113" spans="83:87" x14ac:dyDescent="0.2">
      <c r="CE7113"/>
      <c r="CF7113"/>
      <c r="CG7113"/>
      <c r="CH7113"/>
      <c r="CI7113"/>
    </row>
    <row r="7114" spans="83:87" x14ac:dyDescent="0.2">
      <c r="CE7114"/>
      <c r="CF7114"/>
      <c r="CG7114"/>
      <c r="CH7114"/>
      <c r="CI7114"/>
    </row>
    <row r="7115" spans="83:87" x14ac:dyDescent="0.2">
      <c r="CE7115"/>
      <c r="CF7115"/>
      <c r="CG7115"/>
      <c r="CH7115"/>
      <c r="CI7115"/>
    </row>
    <row r="7116" spans="83:87" x14ac:dyDescent="0.2">
      <c r="CE7116"/>
      <c r="CF7116"/>
      <c r="CG7116"/>
      <c r="CH7116"/>
      <c r="CI7116"/>
    </row>
    <row r="7117" spans="83:87" x14ac:dyDescent="0.2">
      <c r="CE7117"/>
      <c r="CF7117"/>
      <c r="CG7117"/>
      <c r="CH7117"/>
      <c r="CI7117"/>
    </row>
    <row r="7118" spans="83:87" x14ac:dyDescent="0.2">
      <c r="CE7118"/>
      <c r="CF7118"/>
      <c r="CG7118"/>
      <c r="CH7118"/>
      <c r="CI7118"/>
    </row>
    <row r="7119" spans="83:87" x14ac:dyDescent="0.2">
      <c r="CE7119"/>
      <c r="CF7119"/>
      <c r="CG7119"/>
      <c r="CH7119"/>
      <c r="CI7119"/>
    </row>
    <row r="7120" spans="83:87" x14ac:dyDescent="0.2">
      <c r="CE7120"/>
      <c r="CF7120"/>
      <c r="CG7120"/>
      <c r="CH7120"/>
      <c r="CI7120"/>
    </row>
    <row r="7121" spans="83:87" x14ac:dyDescent="0.2">
      <c r="CE7121"/>
      <c r="CF7121"/>
      <c r="CG7121"/>
      <c r="CH7121"/>
      <c r="CI7121"/>
    </row>
    <row r="7122" spans="83:87" x14ac:dyDescent="0.2">
      <c r="CE7122"/>
      <c r="CF7122"/>
      <c r="CG7122"/>
      <c r="CH7122"/>
      <c r="CI7122"/>
    </row>
    <row r="7123" spans="83:87" x14ac:dyDescent="0.2">
      <c r="CE7123"/>
      <c r="CF7123"/>
      <c r="CG7123"/>
      <c r="CH7123"/>
      <c r="CI7123"/>
    </row>
    <row r="7124" spans="83:87" x14ac:dyDescent="0.2">
      <c r="CE7124"/>
      <c r="CF7124"/>
      <c r="CG7124"/>
      <c r="CH7124"/>
      <c r="CI7124"/>
    </row>
    <row r="7125" spans="83:87" x14ac:dyDescent="0.2">
      <c r="CE7125"/>
      <c r="CF7125"/>
      <c r="CG7125"/>
      <c r="CH7125"/>
      <c r="CI7125"/>
    </row>
    <row r="7126" spans="83:87" x14ac:dyDescent="0.2">
      <c r="CE7126"/>
      <c r="CF7126"/>
      <c r="CG7126"/>
      <c r="CH7126"/>
      <c r="CI7126"/>
    </row>
    <row r="7127" spans="83:87" x14ac:dyDescent="0.2">
      <c r="CE7127"/>
      <c r="CF7127"/>
      <c r="CG7127"/>
      <c r="CH7127"/>
      <c r="CI7127"/>
    </row>
    <row r="7128" spans="83:87" x14ac:dyDescent="0.2">
      <c r="CE7128"/>
      <c r="CF7128"/>
      <c r="CG7128"/>
      <c r="CH7128"/>
      <c r="CI7128"/>
    </row>
    <row r="7129" spans="83:87" x14ac:dyDescent="0.2">
      <c r="CE7129"/>
      <c r="CF7129"/>
      <c r="CG7129"/>
      <c r="CH7129"/>
      <c r="CI7129"/>
    </row>
    <row r="7130" spans="83:87" x14ac:dyDescent="0.2">
      <c r="CE7130"/>
      <c r="CF7130"/>
      <c r="CG7130"/>
      <c r="CH7130"/>
      <c r="CI7130"/>
    </row>
    <row r="7131" spans="83:87" x14ac:dyDescent="0.2">
      <c r="CE7131"/>
      <c r="CF7131"/>
      <c r="CG7131"/>
      <c r="CH7131"/>
      <c r="CI7131"/>
    </row>
    <row r="7132" spans="83:87" x14ac:dyDescent="0.2">
      <c r="CE7132"/>
      <c r="CF7132"/>
      <c r="CG7132"/>
      <c r="CH7132"/>
      <c r="CI7132"/>
    </row>
    <row r="7133" spans="83:87" x14ac:dyDescent="0.2">
      <c r="CE7133"/>
      <c r="CF7133"/>
      <c r="CG7133"/>
      <c r="CH7133"/>
      <c r="CI7133"/>
    </row>
    <row r="7134" spans="83:87" x14ac:dyDescent="0.2">
      <c r="CE7134"/>
      <c r="CF7134"/>
      <c r="CG7134"/>
      <c r="CH7134"/>
      <c r="CI7134"/>
    </row>
    <row r="7135" spans="83:87" x14ac:dyDescent="0.2">
      <c r="CE7135"/>
      <c r="CF7135"/>
      <c r="CG7135"/>
      <c r="CH7135"/>
      <c r="CI7135"/>
    </row>
    <row r="7136" spans="83:87" x14ac:dyDescent="0.2">
      <c r="CE7136"/>
      <c r="CF7136"/>
      <c r="CG7136"/>
      <c r="CH7136"/>
      <c r="CI7136"/>
    </row>
    <row r="7137" spans="83:87" x14ac:dyDescent="0.2">
      <c r="CE7137"/>
      <c r="CF7137"/>
      <c r="CG7137"/>
      <c r="CH7137"/>
      <c r="CI7137"/>
    </row>
    <row r="7138" spans="83:87" x14ac:dyDescent="0.2">
      <c r="CE7138"/>
      <c r="CF7138"/>
      <c r="CG7138"/>
      <c r="CH7138"/>
      <c r="CI7138"/>
    </row>
    <row r="7139" spans="83:87" x14ac:dyDescent="0.2">
      <c r="CE7139"/>
      <c r="CF7139"/>
      <c r="CG7139"/>
      <c r="CH7139"/>
      <c r="CI7139"/>
    </row>
    <row r="7140" spans="83:87" x14ac:dyDescent="0.2">
      <c r="CE7140"/>
      <c r="CF7140"/>
      <c r="CG7140"/>
      <c r="CH7140"/>
      <c r="CI7140"/>
    </row>
    <row r="7141" spans="83:87" x14ac:dyDescent="0.2">
      <c r="CE7141"/>
      <c r="CF7141"/>
      <c r="CG7141"/>
      <c r="CH7141"/>
      <c r="CI7141"/>
    </row>
    <row r="7142" spans="83:87" x14ac:dyDescent="0.2">
      <c r="CE7142"/>
      <c r="CF7142"/>
      <c r="CG7142"/>
      <c r="CH7142"/>
      <c r="CI7142"/>
    </row>
    <row r="7143" spans="83:87" x14ac:dyDescent="0.2">
      <c r="CE7143"/>
      <c r="CF7143"/>
      <c r="CG7143"/>
      <c r="CH7143"/>
      <c r="CI7143"/>
    </row>
    <row r="7144" spans="83:87" x14ac:dyDescent="0.2">
      <c r="CE7144"/>
      <c r="CF7144"/>
      <c r="CG7144"/>
      <c r="CH7144"/>
      <c r="CI7144"/>
    </row>
    <row r="7145" spans="83:87" x14ac:dyDescent="0.2">
      <c r="CE7145"/>
      <c r="CF7145"/>
      <c r="CG7145"/>
      <c r="CH7145"/>
      <c r="CI7145"/>
    </row>
    <row r="7146" spans="83:87" x14ac:dyDescent="0.2">
      <c r="CE7146"/>
      <c r="CF7146"/>
      <c r="CG7146"/>
      <c r="CH7146"/>
      <c r="CI7146"/>
    </row>
    <row r="7147" spans="83:87" x14ac:dyDescent="0.2">
      <c r="CE7147"/>
      <c r="CF7147"/>
      <c r="CG7147"/>
      <c r="CH7147"/>
      <c r="CI7147"/>
    </row>
    <row r="7148" spans="83:87" x14ac:dyDescent="0.2">
      <c r="CE7148"/>
      <c r="CF7148"/>
      <c r="CG7148"/>
      <c r="CH7148"/>
      <c r="CI7148"/>
    </row>
    <row r="7149" spans="83:87" x14ac:dyDescent="0.2">
      <c r="CE7149"/>
      <c r="CF7149"/>
      <c r="CG7149"/>
      <c r="CH7149"/>
      <c r="CI7149"/>
    </row>
    <row r="7150" spans="83:87" x14ac:dyDescent="0.2">
      <c r="CE7150"/>
      <c r="CF7150"/>
      <c r="CG7150"/>
      <c r="CH7150"/>
      <c r="CI7150"/>
    </row>
    <row r="7151" spans="83:87" x14ac:dyDescent="0.2">
      <c r="CE7151"/>
      <c r="CF7151"/>
      <c r="CG7151"/>
      <c r="CH7151"/>
      <c r="CI7151"/>
    </row>
    <row r="7152" spans="83:87" x14ac:dyDescent="0.2">
      <c r="CE7152"/>
      <c r="CF7152"/>
      <c r="CG7152"/>
      <c r="CH7152"/>
      <c r="CI7152"/>
    </row>
    <row r="7153" spans="83:87" x14ac:dyDescent="0.2">
      <c r="CE7153"/>
      <c r="CF7153"/>
      <c r="CG7153"/>
      <c r="CH7153"/>
      <c r="CI7153"/>
    </row>
    <row r="7154" spans="83:87" x14ac:dyDescent="0.2">
      <c r="CE7154"/>
      <c r="CF7154"/>
      <c r="CG7154"/>
      <c r="CH7154"/>
      <c r="CI7154"/>
    </row>
    <row r="7155" spans="83:87" x14ac:dyDescent="0.2">
      <c r="CE7155"/>
      <c r="CF7155"/>
      <c r="CG7155"/>
      <c r="CH7155"/>
      <c r="CI7155"/>
    </row>
    <row r="7156" spans="83:87" x14ac:dyDescent="0.2">
      <c r="CE7156"/>
      <c r="CF7156"/>
      <c r="CG7156"/>
      <c r="CH7156"/>
      <c r="CI7156"/>
    </row>
    <row r="7157" spans="83:87" x14ac:dyDescent="0.2">
      <c r="CE7157"/>
      <c r="CF7157"/>
      <c r="CG7157"/>
      <c r="CH7157"/>
      <c r="CI7157"/>
    </row>
    <row r="7158" spans="83:87" x14ac:dyDescent="0.2">
      <c r="CE7158"/>
      <c r="CF7158"/>
      <c r="CG7158"/>
      <c r="CH7158"/>
      <c r="CI7158"/>
    </row>
    <row r="7159" spans="83:87" x14ac:dyDescent="0.2">
      <c r="CE7159"/>
      <c r="CF7159"/>
      <c r="CG7159"/>
      <c r="CH7159"/>
      <c r="CI7159"/>
    </row>
    <row r="7160" spans="83:87" x14ac:dyDescent="0.2">
      <c r="CE7160"/>
      <c r="CF7160"/>
      <c r="CG7160"/>
      <c r="CH7160"/>
      <c r="CI7160"/>
    </row>
    <row r="7161" spans="83:87" x14ac:dyDescent="0.2">
      <c r="CE7161"/>
      <c r="CF7161"/>
      <c r="CG7161"/>
      <c r="CH7161"/>
      <c r="CI7161"/>
    </row>
    <row r="7162" spans="83:87" x14ac:dyDescent="0.2">
      <c r="CE7162"/>
      <c r="CF7162"/>
      <c r="CG7162"/>
      <c r="CH7162"/>
      <c r="CI7162"/>
    </row>
    <row r="7163" spans="83:87" x14ac:dyDescent="0.2">
      <c r="CE7163"/>
      <c r="CF7163"/>
      <c r="CG7163"/>
      <c r="CH7163"/>
      <c r="CI7163"/>
    </row>
    <row r="7164" spans="83:87" x14ac:dyDescent="0.2">
      <c r="CE7164"/>
      <c r="CF7164"/>
      <c r="CG7164"/>
      <c r="CH7164"/>
      <c r="CI7164"/>
    </row>
    <row r="7165" spans="83:87" x14ac:dyDescent="0.2">
      <c r="CE7165"/>
      <c r="CF7165"/>
      <c r="CG7165"/>
      <c r="CH7165"/>
      <c r="CI7165"/>
    </row>
    <row r="7166" spans="83:87" x14ac:dyDescent="0.2">
      <c r="CE7166"/>
      <c r="CF7166"/>
      <c r="CG7166"/>
      <c r="CH7166"/>
      <c r="CI7166"/>
    </row>
    <row r="7167" spans="83:87" x14ac:dyDescent="0.2">
      <c r="CE7167"/>
      <c r="CF7167"/>
      <c r="CG7167"/>
      <c r="CH7167"/>
      <c r="CI7167"/>
    </row>
    <row r="7168" spans="83:87" x14ac:dyDescent="0.2">
      <c r="CE7168"/>
      <c r="CF7168"/>
      <c r="CG7168"/>
      <c r="CH7168"/>
      <c r="CI7168"/>
    </row>
    <row r="7169" spans="83:87" x14ac:dyDescent="0.2">
      <c r="CE7169"/>
      <c r="CF7169"/>
      <c r="CG7169"/>
      <c r="CH7169"/>
      <c r="CI7169"/>
    </row>
    <row r="7170" spans="83:87" x14ac:dyDescent="0.2">
      <c r="CE7170"/>
      <c r="CF7170"/>
      <c r="CG7170"/>
      <c r="CH7170"/>
      <c r="CI7170"/>
    </row>
    <row r="7171" spans="83:87" x14ac:dyDescent="0.2">
      <c r="CE7171"/>
      <c r="CF7171"/>
      <c r="CG7171"/>
      <c r="CH7171"/>
      <c r="CI7171"/>
    </row>
    <row r="7172" spans="83:87" x14ac:dyDescent="0.2">
      <c r="CE7172"/>
      <c r="CF7172"/>
      <c r="CG7172"/>
      <c r="CH7172"/>
      <c r="CI7172"/>
    </row>
    <row r="7173" spans="83:87" x14ac:dyDescent="0.2">
      <c r="CE7173"/>
      <c r="CF7173"/>
      <c r="CG7173"/>
      <c r="CH7173"/>
      <c r="CI7173"/>
    </row>
    <row r="7174" spans="83:87" x14ac:dyDescent="0.2">
      <c r="CE7174"/>
      <c r="CF7174"/>
      <c r="CG7174"/>
      <c r="CH7174"/>
      <c r="CI7174"/>
    </row>
    <row r="7175" spans="83:87" x14ac:dyDescent="0.2">
      <c r="CE7175"/>
      <c r="CF7175"/>
      <c r="CG7175"/>
      <c r="CH7175"/>
      <c r="CI7175"/>
    </row>
    <row r="7176" spans="83:87" x14ac:dyDescent="0.2">
      <c r="CE7176"/>
      <c r="CF7176"/>
      <c r="CG7176"/>
      <c r="CH7176"/>
      <c r="CI7176"/>
    </row>
    <row r="7177" spans="83:87" x14ac:dyDescent="0.2">
      <c r="CE7177"/>
      <c r="CF7177"/>
      <c r="CG7177"/>
      <c r="CH7177"/>
      <c r="CI7177"/>
    </row>
    <row r="7178" spans="83:87" x14ac:dyDescent="0.2">
      <c r="CE7178"/>
      <c r="CF7178"/>
      <c r="CG7178"/>
      <c r="CH7178"/>
      <c r="CI7178"/>
    </row>
    <row r="7179" spans="83:87" x14ac:dyDescent="0.2">
      <c r="CE7179"/>
      <c r="CF7179"/>
      <c r="CG7179"/>
      <c r="CH7179"/>
      <c r="CI7179"/>
    </row>
    <row r="7180" spans="83:87" x14ac:dyDescent="0.2">
      <c r="CE7180"/>
      <c r="CF7180"/>
      <c r="CG7180"/>
      <c r="CH7180"/>
      <c r="CI7180"/>
    </row>
    <row r="7181" spans="83:87" x14ac:dyDescent="0.2">
      <c r="CE7181"/>
      <c r="CF7181"/>
      <c r="CG7181"/>
      <c r="CH7181"/>
      <c r="CI7181"/>
    </row>
    <row r="7182" spans="83:87" x14ac:dyDescent="0.2">
      <c r="CE7182"/>
      <c r="CF7182"/>
      <c r="CG7182"/>
      <c r="CH7182"/>
      <c r="CI7182"/>
    </row>
    <row r="7183" spans="83:87" x14ac:dyDescent="0.2">
      <c r="CE7183"/>
      <c r="CF7183"/>
      <c r="CG7183"/>
      <c r="CH7183"/>
      <c r="CI7183"/>
    </row>
    <row r="7184" spans="83:87" x14ac:dyDescent="0.2">
      <c r="CE7184"/>
      <c r="CF7184"/>
      <c r="CG7184"/>
      <c r="CH7184"/>
      <c r="CI7184"/>
    </row>
    <row r="7185" spans="83:87" x14ac:dyDescent="0.2">
      <c r="CE7185"/>
      <c r="CF7185"/>
      <c r="CG7185"/>
      <c r="CH7185"/>
      <c r="CI7185"/>
    </row>
    <row r="7186" spans="83:87" x14ac:dyDescent="0.2">
      <c r="CE7186"/>
      <c r="CF7186"/>
      <c r="CG7186"/>
      <c r="CH7186"/>
      <c r="CI7186"/>
    </row>
    <row r="7187" spans="83:87" x14ac:dyDescent="0.2">
      <c r="CE7187"/>
      <c r="CF7187"/>
      <c r="CG7187"/>
      <c r="CH7187"/>
      <c r="CI7187"/>
    </row>
    <row r="7188" spans="83:87" x14ac:dyDescent="0.2">
      <c r="CE7188"/>
      <c r="CF7188"/>
      <c r="CG7188"/>
      <c r="CH7188"/>
      <c r="CI7188"/>
    </row>
    <row r="7189" spans="83:87" x14ac:dyDescent="0.2">
      <c r="CE7189"/>
      <c r="CF7189"/>
      <c r="CG7189"/>
      <c r="CH7189"/>
      <c r="CI7189"/>
    </row>
    <row r="7190" spans="83:87" x14ac:dyDescent="0.2">
      <c r="CE7190"/>
      <c r="CF7190"/>
      <c r="CG7190"/>
      <c r="CH7190"/>
      <c r="CI7190"/>
    </row>
    <row r="7191" spans="83:87" x14ac:dyDescent="0.2">
      <c r="CE7191"/>
      <c r="CF7191"/>
      <c r="CG7191"/>
      <c r="CH7191"/>
      <c r="CI7191"/>
    </row>
    <row r="7192" spans="83:87" x14ac:dyDescent="0.2">
      <c r="CE7192"/>
      <c r="CF7192"/>
      <c r="CG7192"/>
      <c r="CH7192"/>
      <c r="CI7192"/>
    </row>
    <row r="7193" spans="83:87" x14ac:dyDescent="0.2">
      <c r="CE7193"/>
      <c r="CF7193"/>
      <c r="CG7193"/>
      <c r="CH7193"/>
      <c r="CI7193"/>
    </row>
    <row r="7194" spans="83:87" x14ac:dyDescent="0.2">
      <c r="CE7194"/>
      <c r="CF7194"/>
      <c r="CG7194"/>
      <c r="CH7194"/>
      <c r="CI7194"/>
    </row>
    <row r="7195" spans="83:87" x14ac:dyDescent="0.2">
      <c r="CE7195"/>
      <c r="CF7195"/>
      <c r="CG7195"/>
      <c r="CH7195"/>
      <c r="CI7195"/>
    </row>
    <row r="7196" spans="83:87" x14ac:dyDescent="0.2">
      <c r="CE7196"/>
      <c r="CF7196"/>
      <c r="CG7196"/>
      <c r="CH7196"/>
      <c r="CI7196"/>
    </row>
    <row r="7197" spans="83:87" x14ac:dyDescent="0.2">
      <c r="CE7197"/>
      <c r="CF7197"/>
      <c r="CG7197"/>
      <c r="CH7197"/>
      <c r="CI7197"/>
    </row>
    <row r="7198" spans="83:87" x14ac:dyDescent="0.2">
      <c r="CE7198"/>
      <c r="CF7198"/>
      <c r="CG7198"/>
      <c r="CH7198"/>
      <c r="CI7198"/>
    </row>
    <row r="7199" spans="83:87" x14ac:dyDescent="0.2">
      <c r="CE7199"/>
      <c r="CF7199"/>
      <c r="CG7199"/>
      <c r="CH7199"/>
      <c r="CI7199"/>
    </row>
    <row r="7200" spans="83:87" x14ac:dyDescent="0.2">
      <c r="CE7200"/>
      <c r="CF7200"/>
      <c r="CG7200"/>
      <c r="CH7200"/>
      <c r="CI7200"/>
    </row>
    <row r="7201" spans="83:87" x14ac:dyDescent="0.2">
      <c r="CE7201"/>
      <c r="CF7201"/>
      <c r="CG7201"/>
      <c r="CH7201"/>
      <c r="CI7201"/>
    </row>
    <row r="7202" spans="83:87" x14ac:dyDescent="0.2">
      <c r="CE7202"/>
      <c r="CF7202"/>
      <c r="CG7202"/>
      <c r="CH7202"/>
      <c r="CI7202"/>
    </row>
    <row r="7203" spans="83:87" x14ac:dyDescent="0.2">
      <c r="CE7203"/>
      <c r="CF7203"/>
      <c r="CG7203"/>
      <c r="CH7203"/>
      <c r="CI7203"/>
    </row>
    <row r="7204" spans="83:87" x14ac:dyDescent="0.2">
      <c r="CE7204"/>
      <c r="CF7204"/>
      <c r="CG7204"/>
      <c r="CH7204"/>
      <c r="CI7204"/>
    </row>
    <row r="7205" spans="83:87" x14ac:dyDescent="0.2">
      <c r="CE7205"/>
      <c r="CF7205"/>
      <c r="CG7205"/>
      <c r="CH7205"/>
      <c r="CI7205"/>
    </row>
    <row r="7206" spans="83:87" x14ac:dyDescent="0.2">
      <c r="CE7206"/>
      <c r="CF7206"/>
      <c r="CG7206"/>
      <c r="CH7206"/>
      <c r="CI7206"/>
    </row>
    <row r="7207" spans="83:87" x14ac:dyDescent="0.2">
      <c r="CE7207"/>
      <c r="CF7207"/>
      <c r="CG7207"/>
      <c r="CH7207"/>
      <c r="CI7207"/>
    </row>
    <row r="7208" spans="83:87" x14ac:dyDescent="0.2">
      <c r="CE7208"/>
      <c r="CF7208"/>
      <c r="CG7208"/>
      <c r="CH7208"/>
      <c r="CI7208"/>
    </row>
    <row r="7209" spans="83:87" x14ac:dyDescent="0.2">
      <c r="CE7209"/>
      <c r="CF7209"/>
      <c r="CG7209"/>
      <c r="CH7209"/>
      <c r="CI7209"/>
    </row>
    <row r="7210" spans="83:87" x14ac:dyDescent="0.2">
      <c r="CE7210"/>
      <c r="CF7210"/>
      <c r="CG7210"/>
      <c r="CH7210"/>
      <c r="CI7210"/>
    </row>
    <row r="7211" spans="83:87" x14ac:dyDescent="0.2">
      <c r="CE7211"/>
      <c r="CF7211"/>
      <c r="CG7211"/>
      <c r="CH7211"/>
      <c r="CI7211"/>
    </row>
    <row r="7212" spans="83:87" x14ac:dyDescent="0.2">
      <c r="CE7212"/>
      <c r="CF7212"/>
      <c r="CG7212"/>
      <c r="CH7212"/>
      <c r="CI7212"/>
    </row>
    <row r="7213" spans="83:87" x14ac:dyDescent="0.2">
      <c r="CE7213"/>
      <c r="CF7213"/>
      <c r="CG7213"/>
      <c r="CH7213"/>
      <c r="CI7213"/>
    </row>
    <row r="7214" spans="83:87" x14ac:dyDescent="0.2">
      <c r="CE7214"/>
      <c r="CF7214"/>
      <c r="CG7214"/>
      <c r="CH7214"/>
      <c r="CI7214"/>
    </row>
    <row r="7215" spans="83:87" x14ac:dyDescent="0.2">
      <c r="CE7215"/>
      <c r="CF7215"/>
      <c r="CG7215"/>
      <c r="CH7215"/>
      <c r="CI7215"/>
    </row>
    <row r="7216" spans="83:87" x14ac:dyDescent="0.2">
      <c r="CE7216"/>
      <c r="CF7216"/>
      <c r="CG7216"/>
      <c r="CH7216"/>
      <c r="CI7216"/>
    </row>
    <row r="7217" spans="83:87" x14ac:dyDescent="0.2">
      <c r="CE7217"/>
      <c r="CF7217"/>
      <c r="CG7217"/>
      <c r="CH7217"/>
      <c r="CI7217"/>
    </row>
    <row r="7218" spans="83:87" x14ac:dyDescent="0.2">
      <c r="CE7218"/>
      <c r="CF7218"/>
      <c r="CG7218"/>
      <c r="CH7218"/>
      <c r="CI7218"/>
    </row>
    <row r="7219" spans="83:87" x14ac:dyDescent="0.2">
      <c r="CE7219"/>
      <c r="CF7219"/>
      <c r="CG7219"/>
      <c r="CH7219"/>
      <c r="CI7219"/>
    </row>
    <row r="7220" spans="83:87" x14ac:dyDescent="0.2">
      <c r="CE7220"/>
      <c r="CF7220"/>
      <c r="CG7220"/>
      <c r="CH7220"/>
      <c r="CI7220"/>
    </row>
    <row r="7221" spans="83:87" x14ac:dyDescent="0.2">
      <c r="CE7221"/>
      <c r="CF7221"/>
      <c r="CG7221"/>
      <c r="CH7221"/>
      <c r="CI7221"/>
    </row>
    <row r="7222" spans="83:87" x14ac:dyDescent="0.2">
      <c r="CE7222"/>
      <c r="CF7222"/>
      <c r="CG7222"/>
      <c r="CH7222"/>
      <c r="CI7222"/>
    </row>
    <row r="7223" spans="83:87" x14ac:dyDescent="0.2">
      <c r="CE7223"/>
      <c r="CF7223"/>
      <c r="CG7223"/>
      <c r="CH7223"/>
      <c r="CI7223"/>
    </row>
    <row r="7224" spans="83:87" x14ac:dyDescent="0.2">
      <c r="CE7224"/>
      <c r="CF7224"/>
      <c r="CG7224"/>
      <c r="CH7224"/>
      <c r="CI7224"/>
    </row>
    <row r="7225" spans="83:87" x14ac:dyDescent="0.2">
      <c r="CE7225"/>
      <c r="CF7225"/>
      <c r="CG7225"/>
      <c r="CH7225"/>
      <c r="CI7225"/>
    </row>
    <row r="7226" spans="83:87" x14ac:dyDescent="0.2">
      <c r="CE7226"/>
      <c r="CF7226"/>
      <c r="CG7226"/>
      <c r="CH7226"/>
      <c r="CI7226"/>
    </row>
    <row r="7227" spans="83:87" x14ac:dyDescent="0.2">
      <c r="CE7227"/>
      <c r="CF7227"/>
      <c r="CG7227"/>
      <c r="CH7227"/>
      <c r="CI7227"/>
    </row>
    <row r="7228" spans="83:87" x14ac:dyDescent="0.2">
      <c r="CE7228"/>
      <c r="CF7228"/>
      <c r="CG7228"/>
      <c r="CH7228"/>
      <c r="CI7228"/>
    </row>
    <row r="7229" spans="83:87" x14ac:dyDescent="0.2">
      <c r="CE7229"/>
      <c r="CF7229"/>
      <c r="CG7229"/>
      <c r="CH7229"/>
      <c r="CI7229"/>
    </row>
    <row r="7230" spans="83:87" x14ac:dyDescent="0.2">
      <c r="CE7230"/>
      <c r="CF7230"/>
      <c r="CG7230"/>
      <c r="CH7230"/>
      <c r="CI7230"/>
    </row>
    <row r="7231" spans="83:87" x14ac:dyDescent="0.2">
      <c r="CE7231"/>
      <c r="CF7231"/>
      <c r="CG7231"/>
      <c r="CH7231"/>
      <c r="CI7231"/>
    </row>
    <row r="7232" spans="83:87" x14ac:dyDescent="0.2">
      <c r="CE7232"/>
      <c r="CF7232"/>
      <c r="CG7232"/>
      <c r="CH7232"/>
      <c r="CI7232"/>
    </row>
    <row r="7233" spans="83:87" x14ac:dyDescent="0.2">
      <c r="CE7233"/>
      <c r="CF7233"/>
      <c r="CG7233"/>
      <c r="CH7233"/>
      <c r="CI7233"/>
    </row>
    <row r="7234" spans="83:87" x14ac:dyDescent="0.2">
      <c r="CE7234"/>
      <c r="CF7234"/>
      <c r="CG7234"/>
      <c r="CH7234"/>
      <c r="CI7234"/>
    </row>
    <row r="7235" spans="83:87" x14ac:dyDescent="0.2">
      <c r="CE7235"/>
      <c r="CF7235"/>
      <c r="CG7235"/>
      <c r="CH7235"/>
      <c r="CI7235"/>
    </row>
    <row r="7236" spans="83:87" x14ac:dyDescent="0.2">
      <c r="CE7236"/>
      <c r="CF7236"/>
      <c r="CG7236"/>
      <c r="CH7236"/>
      <c r="CI7236"/>
    </row>
    <row r="7237" spans="83:87" x14ac:dyDescent="0.2">
      <c r="CE7237"/>
      <c r="CF7237"/>
      <c r="CG7237"/>
      <c r="CH7237"/>
      <c r="CI7237"/>
    </row>
    <row r="7238" spans="83:87" x14ac:dyDescent="0.2">
      <c r="CE7238"/>
      <c r="CF7238"/>
      <c r="CG7238"/>
      <c r="CH7238"/>
      <c r="CI7238"/>
    </row>
    <row r="7239" spans="83:87" x14ac:dyDescent="0.2">
      <c r="CE7239"/>
      <c r="CF7239"/>
      <c r="CG7239"/>
      <c r="CH7239"/>
      <c r="CI7239"/>
    </row>
    <row r="7240" spans="83:87" x14ac:dyDescent="0.2">
      <c r="CE7240"/>
      <c r="CF7240"/>
      <c r="CG7240"/>
      <c r="CH7240"/>
      <c r="CI7240"/>
    </row>
    <row r="7241" spans="83:87" x14ac:dyDescent="0.2">
      <c r="CE7241"/>
      <c r="CF7241"/>
      <c r="CG7241"/>
      <c r="CH7241"/>
      <c r="CI7241"/>
    </row>
    <row r="7242" spans="83:87" x14ac:dyDescent="0.2">
      <c r="CE7242"/>
      <c r="CF7242"/>
      <c r="CG7242"/>
      <c r="CH7242"/>
      <c r="CI7242"/>
    </row>
    <row r="7243" spans="83:87" x14ac:dyDescent="0.2">
      <c r="CE7243"/>
      <c r="CF7243"/>
      <c r="CG7243"/>
      <c r="CH7243"/>
      <c r="CI7243"/>
    </row>
    <row r="7244" spans="83:87" x14ac:dyDescent="0.2">
      <c r="CE7244"/>
      <c r="CF7244"/>
      <c r="CG7244"/>
      <c r="CH7244"/>
      <c r="CI7244"/>
    </row>
    <row r="7245" spans="83:87" x14ac:dyDescent="0.2">
      <c r="CE7245"/>
      <c r="CF7245"/>
      <c r="CG7245"/>
      <c r="CH7245"/>
      <c r="CI7245"/>
    </row>
    <row r="7246" spans="83:87" x14ac:dyDescent="0.2">
      <c r="CE7246"/>
      <c r="CF7246"/>
      <c r="CG7246"/>
      <c r="CH7246"/>
      <c r="CI7246"/>
    </row>
    <row r="7247" spans="83:87" x14ac:dyDescent="0.2">
      <c r="CE7247"/>
      <c r="CF7247"/>
      <c r="CG7247"/>
      <c r="CH7247"/>
      <c r="CI7247"/>
    </row>
    <row r="7248" spans="83:87" x14ac:dyDescent="0.2">
      <c r="CE7248"/>
      <c r="CF7248"/>
      <c r="CG7248"/>
      <c r="CH7248"/>
      <c r="CI7248"/>
    </row>
    <row r="7249" spans="83:87" x14ac:dyDescent="0.2">
      <c r="CE7249"/>
      <c r="CF7249"/>
      <c r="CG7249"/>
      <c r="CH7249"/>
      <c r="CI7249"/>
    </row>
    <row r="7250" spans="83:87" x14ac:dyDescent="0.2">
      <c r="CE7250"/>
      <c r="CF7250"/>
      <c r="CG7250"/>
      <c r="CH7250"/>
      <c r="CI7250"/>
    </row>
    <row r="7251" spans="83:87" x14ac:dyDescent="0.2">
      <c r="CE7251"/>
      <c r="CF7251"/>
      <c r="CG7251"/>
      <c r="CH7251"/>
      <c r="CI7251"/>
    </row>
    <row r="7252" spans="83:87" x14ac:dyDescent="0.2">
      <c r="CE7252"/>
      <c r="CF7252"/>
      <c r="CG7252"/>
      <c r="CH7252"/>
      <c r="CI7252"/>
    </row>
    <row r="7253" spans="83:87" x14ac:dyDescent="0.2">
      <c r="CE7253"/>
      <c r="CF7253"/>
      <c r="CG7253"/>
      <c r="CH7253"/>
      <c r="CI7253"/>
    </row>
    <row r="7254" spans="83:87" x14ac:dyDescent="0.2">
      <c r="CE7254"/>
      <c r="CF7254"/>
      <c r="CG7254"/>
      <c r="CH7254"/>
      <c r="CI7254"/>
    </row>
    <row r="7255" spans="83:87" x14ac:dyDescent="0.2">
      <c r="CE7255"/>
      <c r="CF7255"/>
      <c r="CG7255"/>
      <c r="CH7255"/>
      <c r="CI7255"/>
    </row>
    <row r="7256" spans="83:87" x14ac:dyDescent="0.2">
      <c r="CE7256"/>
      <c r="CF7256"/>
      <c r="CG7256"/>
      <c r="CH7256"/>
      <c r="CI7256"/>
    </row>
    <row r="7257" spans="83:87" x14ac:dyDescent="0.2">
      <c r="CE7257"/>
      <c r="CF7257"/>
      <c r="CG7257"/>
      <c r="CH7257"/>
      <c r="CI7257"/>
    </row>
    <row r="7258" spans="83:87" x14ac:dyDescent="0.2">
      <c r="CE7258"/>
      <c r="CF7258"/>
      <c r="CG7258"/>
      <c r="CH7258"/>
      <c r="CI7258"/>
    </row>
    <row r="7259" spans="83:87" x14ac:dyDescent="0.2">
      <c r="CE7259"/>
      <c r="CF7259"/>
      <c r="CG7259"/>
      <c r="CH7259"/>
      <c r="CI7259"/>
    </row>
    <row r="7260" spans="83:87" x14ac:dyDescent="0.2">
      <c r="CE7260"/>
      <c r="CF7260"/>
      <c r="CG7260"/>
      <c r="CH7260"/>
      <c r="CI7260"/>
    </row>
    <row r="7261" spans="83:87" x14ac:dyDescent="0.2">
      <c r="CE7261"/>
      <c r="CF7261"/>
      <c r="CG7261"/>
      <c r="CH7261"/>
      <c r="CI7261"/>
    </row>
    <row r="7262" spans="83:87" x14ac:dyDescent="0.2">
      <c r="CE7262"/>
      <c r="CF7262"/>
      <c r="CG7262"/>
      <c r="CH7262"/>
      <c r="CI7262"/>
    </row>
    <row r="7263" spans="83:87" x14ac:dyDescent="0.2">
      <c r="CE7263"/>
      <c r="CF7263"/>
      <c r="CG7263"/>
      <c r="CH7263"/>
      <c r="CI7263"/>
    </row>
    <row r="7264" spans="83:87" x14ac:dyDescent="0.2">
      <c r="CE7264"/>
      <c r="CF7264"/>
      <c r="CG7264"/>
      <c r="CH7264"/>
      <c r="CI7264"/>
    </row>
    <row r="7265" spans="83:87" x14ac:dyDescent="0.2">
      <c r="CE7265"/>
      <c r="CF7265"/>
      <c r="CG7265"/>
      <c r="CH7265"/>
      <c r="CI7265"/>
    </row>
    <row r="7266" spans="83:87" x14ac:dyDescent="0.2">
      <c r="CE7266"/>
      <c r="CF7266"/>
      <c r="CG7266"/>
      <c r="CH7266"/>
      <c r="CI7266"/>
    </row>
    <row r="7267" spans="83:87" x14ac:dyDescent="0.2">
      <c r="CE7267"/>
      <c r="CF7267"/>
      <c r="CG7267"/>
      <c r="CH7267"/>
      <c r="CI7267"/>
    </row>
    <row r="7268" spans="83:87" x14ac:dyDescent="0.2">
      <c r="CE7268"/>
      <c r="CF7268"/>
      <c r="CG7268"/>
      <c r="CH7268"/>
      <c r="CI7268"/>
    </row>
    <row r="7269" spans="83:87" x14ac:dyDescent="0.2">
      <c r="CE7269"/>
      <c r="CF7269"/>
      <c r="CG7269"/>
      <c r="CH7269"/>
      <c r="CI7269"/>
    </row>
    <row r="7270" spans="83:87" x14ac:dyDescent="0.2">
      <c r="CE7270"/>
      <c r="CF7270"/>
      <c r="CG7270"/>
      <c r="CH7270"/>
      <c r="CI7270"/>
    </row>
    <row r="7271" spans="83:87" x14ac:dyDescent="0.2">
      <c r="CE7271"/>
      <c r="CF7271"/>
      <c r="CG7271"/>
      <c r="CH7271"/>
      <c r="CI7271"/>
    </row>
    <row r="7272" spans="83:87" x14ac:dyDescent="0.2">
      <c r="CE7272"/>
      <c r="CF7272"/>
      <c r="CG7272"/>
      <c r="CH7272"/>
      <c r="CI7272"/>
    </row>
    <row r="7273" spans="83:87" x14ac:dyDescent="0.2">
      <c r="CE7273"/>
      <c r="CF7273"/>
      <c r="CG7273"/>
      <c r="CH7273"/>
      <c r="CI7273"/>
    </row>
    <row r="7274" spans="83:87" x14ac:dyDescent="0.2">
      <c r="CE7274"/>
      <c r="CF7274"/>
      <c r="CG7274"/>
      <c r="CH7274"/>
      <c r="CI7274"/>
    </row>
    <row r="7275" spans="83:87" x14ac:dyDescent="0.2">
      <c r="CE7275"/>
      <c r="CF7275"/>
      <c r="CG7275"/>
      <c r="CH7275"/>
      <c r="CI7275"/>
    </row>
    <row r="7276" spans="83:87" x14ac:dyDescent="0.2">
      <c r="CE7276"/>
      <c r="CF7276"/>
      <c r="CG7276"/>
      <c r="CH7276"/>
      <c r="CI7276"/>
    </row>
    <row r="7277" spans="83:87" x14ac:dyDescent="0.2">
      <c r="CE7277"/>
      <c r="CF7277"/>
      <c r="CG7277"/>
      <c r="CH7277"/>
      <c r="CI7277"/>
    </row>
    <row r="7278" spans="83:87" x14ac:dyDescent="0.2">
      <c r="CE7278"/>
      <c r="CF7278"/>
      <c r="CG7278"/>
      <c r="CH7278"/>
      <c r="CI7278"/>
    </row>
    <row r="7279" spans="83:87" x14ac:dyDescent="0.2">
      <c r="CE7279"/>
      <c r="CF7279"/>
      <c r="CG7279"/>
      <c r="CH7279"/>
      <c r="CI7279"/>
    </row>
    <row r="7280" spans="83:87" x14ac:dyDescent="0.2">
      <c r="CE7280"/>
      <c r="CF7280"/>
      <c r="CG7280"/>
      <c r="CH7280"/>
      <c r="CI7280"/>
    </row>
    <row r="7281" spans="83:87" x14ac:dyDescent="0.2">
      <c r="CE7281"/>
      <c r="CF7281"/>
      <c r="CG7281"/>
      <c r="CH7281"/>
      <c r="CI7281"/>
    </row>
    <row r="7282" spans="83:87" x14ac:dyDescent="0.2">
      <c r="CE7282"/>
      <c r="CF7282"/>
      <c r="CG7282"/>
      <c r="CH7282"/>
      <c r="CI7282"/>
    </row>
    <row r="7283" spans="83:87" x14ac:dyDescent="0.2">
      <c r="CE7283"/>
      <c r="CF7283"/>
      <c r="CG7283"/>
      <c r="CH7283"/>
      <c r="CI7283"/>
    </row>
    <row r="7284" spans="83:87" x14ac:dyDescent="0.2">
      <c r="CE7284"/>
      <c r="CF7284"/>
      <c r="CG7284"/>
      <c r="CH7284"/>
      <c r="CI7284"/>
    </row>
    <row r="7285" spans="83:87" x14ac:dyDescent="0.2">
      <c r="CE7285"/>
      <c r="CF7285"/>
      <c r="CG7285"/>
      <c r="CH7285"/>
      <c r="CI7285"/>
    </row>
    <row r="7286" spans="83:87" x14ac:dyDescent="0.2">
      <c r="CE7286"/>
      <c r="CF7286"/>
      <c r="CG7286"/>
      <c r="CH7286"/>
      <c r="CI7286"/>
    </row>
    <row r="7287" spans="83:87" x14ac:dyDescent="0.2">
      <c r="CE7287"/>
      <c r="CF7287"/>
      <c r="CG7287"/>
      <c r="CH7287"/>
      <c r="CI7287"/>
    </row>
    <row r="7288" spans="83:87" x14ac:dyDescent="0.2">
      <c r="CE7288"/>
      <c r="CF7288"/>
      <c r="CG7288"/>
      <c r="CH7288"/>
      <c r="CI7288"/>
    </row>
    <row r="7289" spans="83:87" x14ac:dyDescent="0.2">
      <c r="CE7289"/>
      <c r="CF7289"/>
      <c r="CG7289"/>
      <c r="CH7289"/>
      <c r="CI7289"/>
    </row>
    <row r="7290" spans="83:87" x14ac:dyDescent="0.2">
      <c r="CE7290"/>
      <c r="CF7290"/>
      <c r="CG7290"/>
      <c r="CH7290"/>
      <c r="CI7290"/>
    </row>
    <row r="7291" spans="83:87" x14ac:dyDescent="0.2">
      <c r="CE7291"/>
      <c r="CF7291"/>
      <c r="CG7291"/>
      <c r="CH7291"/>
      <c r="CI7291"/>
    </row>
    <row r="7292" spans="83:87" x14ac:dyDescent="0.2">
      <c r="CE7292"/>
      <c r="CF7292"/>
      <c r="CG7292"/>
      <c r="CH7292"/>
      <c r="CI7292"/>
    </row>
    <row r="7293" spans="83:87" x14ac:dyDescent="0.2">
      <c r="CE7293"/>
      <c r="CF7293"/>
      <c r="CG7293"/>
      <c r="CH7293"/>
      <c r="CI7293"/>
    </row>
    <row r="7294" spans="83:87" x14ac:dyDescent="0.2">
      <c r="CE7294"/>
      <c r="CF7294"/>
      <c r="CG7294"/>
      <c r="CH7294"/>
      <c r="CI7294"/>
    </row>
    <row r="7295" spans="83:87" x14ac:dyDescent="0.2">
      <c r="CE7295"/>
      <c r="CF7295"/>
      <c r="CG7295"/>
      <c r="CH7295"/>
      <c r="CI7295"/>
    </row>
    <row r="7296" spans="83:87" x14ac:dyDescent="0.2">
      <c r="CE7296"/>
      <c r="CF7296"/>
      <c r="CG7296"/>
      <c r="CH7296"/>
      <c r="CI7296"/>
    </row>
    <row r="7297" spans="83:87" x14ac:dyDescent="0.2">
      <c r="CE7297"/>
      <c r="CF7297"/>
      <c r="CG7297"/>
      <c r="CH7297"/>
      <c r="CI7297"/>
    </row>
    <row r="7298" spans="83:87" x14ac:dyDescent="0.2">
      <c r="CE7298"/>
      <c r="CF7298"/>
      <c r="CG7298"/>
      <c r="CH7298"/>
      <c r="CI7298"/>
    </row>
    <row r="7299" spans="83:87" x14ac:dyDescent="0.2">
      <c r="CE7299"/>
      <c r="CF7299"/>
      <c r="CG7299"/>
      <c r="CH7299"/>
      <c r="CI7299"/>
    </row>
    <row r="7300" spans="83:87" x14ac:dyDescent="0.2">
      <c r="CE7300"/>
      <c r="CF7300"/>
      <c r="CG7300"/>
      <c r="CH7300"/>
      <c r="CI7300"/>
    </row>
    <row r="7301" spans="83:87" x14ac:dyDescent="0.2">
      <c r="CE7301"/>
      <c r="CF7301"/>
      <c r="CG7301"/>
      <c r="CH7301"/>
      <c r="CI7301"/>
    </row>
    <row r="7302" spans="83:87" x14ac:dyDescent="0.2">
      <c r="CE7302"/>
      <c r="CF7302"/>
      <c r="CG7302"/>
      <c r="CH7302"/>
      <c r="CI7302"/>
    </row>
    <row r="7303" spans="83:87" x14ac:dyDescent="0.2">
      <c r="CE7303"/>
      <c r="CF7303"/>
      <c r="CG7303"/>
      <c r="CH7303"/>
      <c r="CI7303"/>
    </row>
    <row r="7304" spans="83:87" x14ac:dyDescent="0.2">
      <c r="CE7304"/>
      <c r="CF7304"/>
      <c r="CG7304"/>
      <c r="CH7304"/>
      <c r="CI7304"/>
    </row>
    <row r="7305" spans="83:87" x14ac:dyDescent="0.2">
      <c r="CE7305"/>
      <c r="CF7305"/>
      <c r="CG7305"/>
      <c r="CH7305"/>
      <c r="CI7305"/>
    </row>
    <row r="7306" spans="83:87" x14ac:dyDescent="0.2">
      <c r="CE7306"/>
      <c r="CF7306"/>
      <c r="CG7306"/>
      <c r="CH7306"/>
      <c r="CI7306"/>
    </row>
    <row r="7307" spans="83:87" x14ac:dyDescent="0.2">
      <c r="CE7307"/>
      <c r="CF7307"/>
      <c r="CG7307"/>
      <c r="CH7307"/>
      <c r="CI7307"/>
    </row>
    <row r="7308" spans="83:87" x14ac:dyDescent="0.2">
      <c r="CE7308"/>
      <c r="CF7308"/>
      <c r="CG7308"/>
      <c r="CH7308"/>
      <c r="CI7308"/>
    </row>
    <row r="7309" spans="83:87" x14ac:dyDescent="0.2">
      <c r="CE7309"/>
      <c r="CF7309"/>
      <c r="CG7309"/>
      <c r="CH7309"/>
      <c r="CI7309"/>
    </row>
    <row r="7310" spans="83:87" x14ac:dyDescent="0.2">
      <c r="CE7310"/>
      <c r="CF7310"/>
      <c r="CG7310"/>
      <c r="CH7310"/>
      <c r="CI7310"/>
    </row>
    <row r="7311" spans="83:87" x14ac:dyDescent="0.2">
      <c r="CE7311"/>
      <c r="CF7311"/>
      <c r="CG7311"/>
      <c r="CH7311"/>
      <c r="CI7311"/>
    </row>
    <row r="7312" spans="83:87" x14ac:dyDescent="0.2">
      <c r="CE7312"/>
      <c r="CF7312"/>
      <c r="CG7312"/>
      <c r="CH7312"/>
      <c r="CI7312"/>
    </row>
    <row r="7313" spans="83:87" x14ac:dyDescent="0.2">
      <c r="CE7313"/>
      <c r="CF7313"/>
      <c r="CG7313"/>
      <c r="CH7313"/>
      <c r="CI7313"/>
    </row>
    <row r="7314" spans="83:87" x14ac:dyDescent="0.2">
      <c r="CE7314"/>
      <c r="CF7314"/>
      <c r="CG7314"/>
      <c r="CH7314"/>
      <c r="CI7314"/>
    </row>
    <row r="7315" spans="83:87" x14ac:dyDescent="0.2">
      <c r="CE7315"/>
      <c r="CF7315"/>
      <c r="CG7315"/>
      <c r="CH7315"/>
      <c r="CI7315"/>
    </row>
    <row r="7316" spans="83:87" x14ac:dyDescent="0.2">
      <c r="CE7316"/>
      <c r="CF7316"/>
      <c r="CG7316"/>
      <c r="CH7316"/>
      <c r="CI7316"/>
    </row>
    <row r="7317" spans="83:87" x14ac:dyDescent="0.2">
      <c r="CE7317"/>
      <c r="CF7317"/>
      <c r="CG7317"/>
      <c r="CH7317"/>
      <c r="CI7317"/>
    </row>
    <row r="7318" spans="83:87" x14ac:dyDescent="0.2">
      <c r="CE7318"/>
      <c r="CF7318"/>
      <c r="CG7318"/>
      <c r="CH7318"/>
      <c r="CI7318"/>
    </row>
    <row r="7319" spans="83:87" x14ac:dyDescent="0.2">
      <c r="CE7319"/>
      <c r="CF7319"/>
      <c r="CG7319"/>
      <c r="CH7319"/>
      <c r="CI7319"/>
    </row>
    <row r="7320" spans="83:87" x14ac:dyDescent="0.2">
      <c r="CE7320"/>
      <c r="CF7320"/>
      <c r="CG7320"/>
      <c r="CH7320"/>
      <c r="CI7320"/>
    </row>
    <row r="7321" spans="83:87" x14ac:dyDescent="0.2">
      <c r="CE7321"/>
      <c r="CF7321"/>
      <c r="CG7321"/>
      <c r="CH7321"/>
      <c r="CI7321"/>
    </row>
    <row r="7322" spans="83:87" x14ac:dyDescent="0.2">
      <c r="CE7322"/>
      <c r="CF7322"/>
      <c r="CG7322"/>
      <c r="CH7322"/>
      <c r="CI7322"/>
    </row>
    <row r="7323" spans="83:87" x14ac:dyDescent="0.2">
      <c r="CE7323"/>
      <c r="CF7323"/>
      <c r="CG7323"/>
      <c r="CH7323"/>
      <c r="CI7323"/>
    </row>
    <row r="7324" spans="83:87" x14ac:dyDescent="0.2">
      <c r="CE7324"/>
      <c r="CF7324"/>
      <c r="CG7324"/>
      <c r="CH7324"/>
      <c r="CI7324"/>
    </row>
    <row r="7325" spans="83:87" x14ac:dyDescent="0.2">
      <c r="CE7325"/>
      <c r="CF7325"/>
      <c r="CG7325"/>
      <c r="CH7325"/>
      <c r="CI7325"/>
    </row>
    <row r="7326" spans="83:87" x14ac:dyDescent="0.2">
      <c r="CE7326"/>
      <c r="CF7326"/>
      <c r="CG7326"/>
      <c r="CH7326"/>
      <c r="CI7326"/>
    </row>
    <row r="7327" spans="83:87" x14ac:dyDescent="0.2">
      <c r="CE7327"/>
      <c r="CF7327"/>
      <c r="CG7327"/>
      <c r="CH7327"/>
      <c r="CI7327"/>
    </row>
    <row r="7328" spans="83:87" x14ac:dyDescent="0.2">
      <c r="CE7328"/>
      <c r="CF7328"/>
      <c r="CG7328"/>
      <c r="CH7328"/>
      <c r="CI7328"/>
    </row>
    <row r="7329" spans="83:87" x14ac:dyDescent="0.2">
      <c r="CE7329"/>
      <c r="CF7329"/>
      <c r="CG7329"/>
      <c r="CH7329"/>
      <c r="CI7329"/>
    </row>
    <row r="7330" spans="83:87" x14ac:dyDescent="0.2">
      <c r="CE7330"/>
      <c r="CF7330"/>
      <c r="CG7330"/>
      <c r="CH7330"/>
      <c r="CI7330"/>
    </row>
    <row r="7331" spans="83:87" x14ac:dyDescent="0.2">
      <c r="CE7331"/>
      <c r="CF7331"/>
      <c r="CG7331"/>
      <c r="CH7331"/>
      <c r="CI7331"/>
    </row>
    <row r="7332" spans="83:87" x14ac:dyDescent="0.2">
      <c r="CE7332"/>
      <c r="CF7332"/>
      <c r="CG7332"/>
      <c r="CH7332"/>
      <c r="CI7332"/>
    </row>
    <row r="7333" spans="83:87" x14ac:dyDescent="0.2">
      <c r="CE7333"/>
      <c r="CF7333"/>
      <c r="CG7333"/>
      <c r="CH7333"/>
      <c r="CI7333"/>
    </row>
    <row r="7334" spans="83:87" x14ac:dyDescent="0.2">
      <c r="CE7334"/>
      <c r="CF7334"/>
      <c r="CG7334"/>
      <c r="CH7334"/>
      <c r="CI7334"/>
    </row>
    <row r="7335" spans="83:87" x14ac:dyDescent="0.2">
      <c r="CE7335"/>
      <c r="CF7335"/>
      <c r="CG7335"/>
      <c r="CH7335"/>
      <c r="CI7335"/>
    </row>
    <row r="7336" spans="83:87" x14ac:dyDescent="0.2">
      <c r="CE7336"/>
      <c r="CF7336"/>
      <c r="CG7336"/>
      <c r="CH7336"/>
      <c r="CI7336"/>
    </row>
    <row r="7337" spans="83:87" x14ac:dyDescent="0.2">
      <c r="CE7337"/>
      <c r="CF7337"/>
      <c r="CG7337"/>
      <c r="CH7337"/>
      <c r="CI7337"/>
    </row>
    <row r="7338" spans="83:87" x14ac:dyDescent="0.2">
      <c r="CE7338"/>
      <c r="CF7338"/>
      <c r="CG7338"/>
      <c r="CH7338"/>
      <c r="CI7338"/>
    </row>
    <row r="7339" spans="83:87" x14ac:dyDescent="0.2">
      <c r="CE7339"/>
      <c r="CF7339"/>
      <c r="CG7339"/>
      <c r="CH7339"/>
      <c r="CI7339"/>
    </row>
    <row r="7340" spans="83:87" x14ac:dyDescent="0.2">
      <c r="CE7340"/>
      <c r="CF7340"/>
      <c r="CG7340"/>
      <c r="CH7340"/>
      <c r="CI7340"/>
    </row>
    <row r="7341" spans="83:87" x14ac:dyDescent="0.2">
      <c r="CE7341"/>
      <c r="CF7341"/>
      <c r="CG7341"/>
      <c r="CH7341"/>
      <c r="CI7341"/>
    </row>
    <row r="7342" spans="83:87" x14ac:dyDescent="0.2">
      <c r="CE7342"/>
      <c r="CF7342"/>
      <c r="CG7342"/>
      <c r="CH7342"/>
      <c r="CI7342"/>
    </row>
    <row r="7343" spans="83:87" x14ac:dyDescent="0.2">
      <c r="CE7343"/>
      <c r="CF7343"/>
      <c r="CG7343"/>
      <c r="CH7343"/>
      <c r="CI7343"/>
    </row>
    <row r="7344" spans="83:87" x14ac:dyDescent="0.2">
      <c r="CE7344"/>
      <c r="CF7344"/>
      <c r="CG7344"/>
      <c r="CH7344"/>
      <c r="CI7344"/>
    </row>
    <row r="7345" spans="83:87" x14ac:dyDescent="0.2">
      <c r="CE7345"/>
      <c r="CF7345"/>
      <c r="CG7345"/>
      <c r="CH7345"/>
      <c r="CI7345"/>
    </row>
    <row r="7346" spans="83:87" x14ac:dyDescent="0.2">
      <c r="CE7346"/>
      <c r="CF7346"/>
      <c r="CG7346"/>
      <c r="CH7346"/>
      <c r="CI7346"/>
    </row>
    <row r="7347" spans="83:87" x14ac:dyDescent="0.2">
      <c r="CE7347"/>
      <c r="CF7347"/>
      <c r="CG7347"/>
      <c r="CH7347"/>
      <c r="CI7347"/>
    </row>
    <row r="7348" spans="83:87" x14ac:dyDescent="0.2">
      <c r="CE7348"/>
      <c r="CF7348"/>
      <c r="CG7348"/>
      <c r="CH7348"/>
      <c r="CI7348"/>
    </row>
    <row r="7349" spans="83:87" x14ac:dyDescent="0.2">
      <c r="CE7349"/>
      <c r="CF7349"/>
      <c r="CG7349"/>
      <c r="CH7349"/>
      <c r="CI7349"/>
    </row>
    <row r="7350" spans="83:87" x14ac:dyDescent="0.2">
      <c r="CE7350"/>
      <c r="CF7350"/>
      <c r="CG7350"/>
      <c r="CH7350"/>
      <c r="CI7350"/>
    </row>
    <row r="7351" spans="83:87" x14ac:dyDescent="0.2">
      <c r="CE7351"/>
      <c r="CF7351"/>
      <c r="CG7351"/>
      <c r="CH7351"/>
      <c r="CI7351"/>
    </row>
    <row r="7352" spans="83:87" x14ac:dyDescent="0.2">
      <c r="CE7352"/>
      <c r="CF7352"/>
      <c r="CG7352"/>
      <c r="CH7352"/>
      <c r="CI7352"/>
    </row>
    <row r="7353" spans="83:87" x14ac:dyDescent="0.2">
      <c r="CE7353"/>
      <c r="CF7353"/>
      <c r="CG7353"/>
      <c r="CH7353"/>
      <c r="CI7353"/>
    </row>
    <row r="7354" spans="83:87" x14ac:dyDescent="0.2">
      <c r="CE7354"/>
      <c r="CF7354"/>
      <c r="CG7354"/>
      <c r="CH7354"/>
      <c r="CI7354"/>
    </row>
    <row r="7355" spans="83:87" x14ac:dyDescent="0.2">
      <c r="CE7355"/>
      <c r="CF7355"/>
      <c r="CG7355"/>
      <c r="CH7355"/>
      <c r="CI7355"/>
    </row>
    <row r="7356" spans="83:87" x14ac:dyDescent="0.2">
      <c r="CE7356"/>
      <c r="CF7356"/>
      <c r="CG7356"/>
      <c r="CH7356"/>
      <c r="CI7356"/>
    </row>
    <row r="7357" spans="83:87" x14ac:dyDescent="0.2">
      <c r="CE7357"/>
      <c r="CF7357"/>
      <c r="CG7357"/>
      <c r="CH7357"/>
      <c r="CI7357"/>
    </row>
    <row r="7358" spans="83:87" x14ac:dyDescent="0.2">
      <c r="CE7358"/>
      <c r="CF7358"/>
      <c r="CG7358"/>
      <c r="CH7358"/>
      <c r="CI7358"/>
    </row>
    <row r="7359" spans="83:87" x14ac:dyDescent="0.2">
      <c r="CE7359"/>
      <c r="CF7359"/>
      <c r="CG7359"/>
      <c r="CH7359"/>
      <c r="CI7359"/>
    </row>
    <row r="7360" spans="83:87" x14ac:dyDescent="0.2">
      <c r="CE7360"/>
      <c r="CF7360"/>
      <c r="CG7360"/>
      <c r="CH7360"/>
      <c r="CI7360"/>
    </row>
    <row r="7361" spans="83:87" x14ac:dyDescent="0.2">
      <c r="CE7361"/>
      <c r="CF7361"/>
      <c r="CG7361"/>
      <c r="CH7361"/>
      <c r="CI7361"/>
    </row>
    <row r="7362" spans="83:87" x14ac:dyDescent="0.2">
      <c r="CE7362"/>
      <c r="CF7362"/>
      <c r="CG7362"/>
      <c r="CH7362"/>
      <c r="CI7362"/>
    </row>
    <row r="7363" spans="83:87" x14ac:dyDescent="0.2">
      <c r="CE7363"/>
      <c r="CF7363"/>
      <c r="CG7363"/>
      <c r="CH7363"/>
      <c r="CI7363"/>
    </row>
    <row r="7364" spans="83:87" x14ac:dyDescent="0.2">
      <c r="CE7364"/>
      <c r="CF7364"/>
      <c r="CG7364"/>
      <c r="CH7364"/>
      <c r="CI7364"/>
    </row>
    <row r="7365" spans="83:87" x14ac:dyDescent="0.2">
      <c r="CE7365"/>
      <c r="CF7365"/>
      <c r="CG7365"/>
      <c r="CH7365"/>
      <c r="CI7365"/>
    </row>
    <row r="7366" spans="83:87" x14ac:dyDescent="0.2">
      <c r="CE7366"/>
      <c r="CF7366"/>
      <c r="CG7366"/>
      <c r="CH7366"/>
      <c r="CI7366"/>
    </row>
    <row r="7367" spans="83:87" x14ac:dyDescent="0.2">
      <c r="CE7367"/>
      <c r="CF7367"/>
      <c r="CG7367"/>
      <c r="CH7367"/>
      <c r="CI7367"/>
    </row>
    <row r="7368" spans="83:87" x14ac:dyDescent="0.2">
      <c r="CE7368"/>
      <c r="CF7368"/>
      <c r="CG7368"/>
      <c r="CH7368"/>
      <c r="CI7368"/>
    </row>
    <row r="7369" spans="83:87" x14ac:dyDescent="0.2">
      <c r="CE7369"/>
      <c r="CF7369"/>
      <c r="CG7369"/>
      <c r="CH7369"/>
      <c r="CI7369"/>
    </row>
    <row r="7370" spans="83:87" x14ac:dyDescent="0.2">
      <c r="CE7370"/>
      <c r="CF7370"/>
      <c r="CG7370"/>
      <c r="CH7370"/>
      <c r="CI7370"/>
    </row>
    <row r="7371" spans="83:87" x14ac:dyDescent="0.2">
      <c r="CE7371"/>
      <c r="CF7371"/>
      <c r="CG7371"/>
      <c r="CH7371"/>
      <c r="CI7371"/>
    </row>
    <row r="7372" spans="83:87" x14ac:dyDescent="0.2">
      <c r="CE7372"/>
      <c r="CF7372"/>
      <c r="CG7372"/>
      <c r="CH7372"/>
      <c r="CI7372"/>
    </row>
    <row r="7373" spans="83:87" x14ac:dyDescent="0.2">
      <c r="CE7373"/>
      <c r="CF7373"/>
      <c r="CG7373"/>
      <c r="CH7373"/>
      <c r="CI7373"/>
    </row>
    <row r="7374" spans="83:87" x14ac:dyDescent="0.2">
      <c r="CE7374"/>
      <c r="CF7374"/>
      <c r="CG7374"/>
      <c r="CH7374"/>
      <c r="CI7374"/>
    </row>
    <row r="7375" spans="83:87" x14ac:dyDescent="0.2">
      <c r="CE7375"/>
      <c r="CF7375"/>
      <c r="CG7375"/>
      <c r="CH7375"/>
      <c r="CI7375"/>
    </row>
    <row r="7376" spans="83:87" x14ac:dyDescent="0.2">
      <c r="CE7376"/>
      <c r="CF7376"/>
      <c r="CG7376"/>
      <c r="CH7376"/>
      <c r="CI7376"/>
    </row>
    <row r="7377" spans="83:87" x14ac:dyDescent="0.2">
      <c r="CE7377"/>
      <c r="CF7377"/>
      <c r="CG7377"/>
      <c r="CH7377"/>
      <c r="CI7377"/>
    </row>
    <row r="7378" spans="83:87" x14ac:dyDescent="0.2">
      <c r="CE7378"/>
      <c r="CF7378"/>
      <c r="CG7378"/>
      <c r="CH7378"/>
      <c r="CI7378"/>
    </row>
    <row r="7379" spans="83:87" x14ac:dyDescent="0.2">
      <c r="CE7379"/>
      <c r="CF7379"/>
      <c r="CG7379"/>
      <c r="CH7379"/>
      <c r="CI7379"/>
    </row>
    <row r="7380" spans="83:87" x14ac:dyDescent="0.2">
      <c r="CE7380"/>
      <c r="CF7380"/>
      <c r="CG7380"/>
      <c r="CH7380"/>
      <c r="CI7380"/>
    </row>
    <row r="7381" spans="83:87" x14ac:dyDescent="0.2">
      <c r="CE7381"/>
      <c r="CF7381"/>
      <c r="CG7381"/>
      <c r="CH7381"/>
      <c r="CI7381"/>
    </row>
    <row r="7382" spans="83:87" x14ac:dyDescent="0.2">
      <c r="CE7382"/>
      <c r="CF7382"/>
      <c r="CG7382"/>
      <c r="CH7382"/>
      <c r="CI7382"/>
    </row>
    <row r="7383" spans="83:87" x14ac:dyDescent="0.2">
      <c r="CE7383"/>
      <c r="CF7383"/>
      <c r="CG7383"/>
      <c r="CH7383"/>
      <c r="CI7383"/>
    </row>
    <row r="7384" spans="83:87" x14ac:dyDescent="0.2">
      <c r="CE7384"/>
      <c r="CF7384"/>
      <c r="CG7384"/>
      <c r="CH7384"/>
      <c r="CI7384"/>
    </row>
    <row r="7385" spans="83:87" x14ac:dyDescent="0.2">
      <c r="CE7385"/>
      <c r="CF7385"/>
      <c r="CG7385"/>
      <c r="CH7385"/>
      <c r="CI7385"/>
    </row>
    <row r="7386" spans="83:87" x14ac:dyDescent="0.2">
      <c r="CE7386"/>
      <c r="CF7386"/>
      <c r="CG7386"/>
      <c r="CH7386"/>
      <c r="CI7386"/>
    </row>
    <row r="7387" spans="83:87" x14ac:dyDescent="0.2">
      <c r="CE7387"/>
      <c r="CF7387"/>
      <c r="CG7387"/>
      <c r="CH7387"/>
      <c r="CI7387"/>
    </row>
    <row r="7388" spans="83:87" x14ac:dyDescent="0.2">
      <c r="CE7388"/>
      <c r="CF7388"/>
      <c r="CG7388"/>
      <c r="CH7388"/>
      <c r="CI7388"/>
    </row>
    <row r="7389" spans="83:87" x14ac:dyDescent="0.2">
      <c r="CE7389"/>
      <c r="CF7389"/>
      <c r="CG7389"/>
      <c r="CH7389"/>
      <c r="CI7389"/>
    </row>
    <row r="7390" spans="83:87" x14ac:dyDescent="0.2">
      <c r="CE7390"/>
      <c r="CF7390"/>
      <c r="CG7390"/>
      <c r="CH7390"/>
      <c r="CI7390"/>
    </row>
    <row r="7391" spans="83:87" x14ac:dyDescent="0.2">
      <c r="CE7391"/>
      <c r="CF7391"/>
      <c r="CG7391"/>
      <c r="CH7391"/>
      <c r="CI7391"/>
    </row>
    <row r="7392" spans="83:87" x14ac:dyDescent="0.2">
      <c r="CE7392"/>
      <c r="CF7392"/>
      <c r="CG7392"/>
      <c r="CH7392"/>
      <c r="CI7392"/>
    </row>
    <row r="7393" spans="83:87" x14ac:dyDescent="0.2">
      <c r="CE7393"/>
      <c r="CF7393"/>
      <c r="CG7393"/>
      <c r="CH7393"/>
      <c r="CI7393"/>
    </row>
    <row r="7394" spans="83:87" x14ac:dyDescent="0.2">
      <c r="CE7394"/>
      <c r="CF7394"/>
      <c r="CG7394"/>
      <c r="CH7394"/>
      <c r="CI7394"/>
    </row>
    <row r="7395" spans="83:87" x14ac:dyDescent="0.2">
      <c r="CE7395"/>
      <c r="CF7395"/>
      <c r="CG7395"/>
      <c r="CH7395"/>
      <c r="CI7395"/>
    </row>
    <row r="7396" spans="83:87" x14ac:dyDescent="0.2">
      <c r="CE7396"/>
      <c r="CF7396"/>
      <c r="CG7396"/>
      <c r="CH7396"/>
      <c r="CI7396"/>
    </row>
    <row r="7397" spans="83:87" x14ac:dyDescent="0.2">
      <c r="CE7397"/>
      <c r="CF7397"/>
      <c r="CG7397"/>
      <c r="CH7397"/>
      <c r="CI7397"/>
    </row>
    <row r="7398" spans="83:87" x14ac:dyDescent="0.2">
      <c r="CE7398"/>
      <c r="CF7398"/>
      <c r="CG7398"/>
      <c r="CH7398"/>
      <c r="CI7398"/>
    </row>
    <row r="7399" spans="83:87" x14ac:dyDescent="0.2">
      <c r="CE7399"/>
      <c r="CF7399"/>
      <c r="CG7399"/>
      <c r="CH7399"/>
      <c r="CI7399"/>
    </row>
    <row r="7400" spans="83:87" x14ac:dyDescent="0.2">
      <c r="CE7400"/>
      <c r="CF7400"/>
      <c r="CG7400"/>
      <c r="CH7400"/>
      <c r="CI7400"/>
    </row>
    <row r="7401" spans="83:87" x14ac:dyDescent="0.2">
      <c r="CE7401"/>
      <c r="CF7401"/>
      <c r="CG7401"/>
      <c r="CH7401"/>
      <c r="CI7401"/>
    </row>
    <row r="7402" spans="83:87" x14ac:dyDescent="0.2">
      <c r="CE7402"/>
      <c r="CF7402"/>
      <c r="CG7402"/>
      <c r="CH7402"/>
      <c r="CI7402"/>
    </row>
    <row r="7403" spans="83:87" x14ac:dyDescent="0.2">
      <c r="CE7403"/>
      <c r="CF7403"/>
      <c r="CG7403"/>
      <c r="CH7403"/>
      <c r="CI7403"/>
    </row>
    <row r="7404" spans="83:87" x14ac:dyDescent="0.2">
      <c r="CE7404"/>
      <c r="CF7404"/>
      <c r="CG7404"/>
      <c r="CH7404"/>
      <c r="CI7404"/>
    </row>
    <row r="7405" spans="83:87" x14ac:dyDescent="0.2">
      <c r="CE7405"/>
      <c r="CF7405"/>
      <c r="CG7405"/>
      <c r="CH7405"/>
      <c r="CI7405"/>
    </row>
    <row r="7406" spans="83:87" x14ac:dyDescent="0.2">
      <c r="CE7406"/>
      <c r="CF7406"/>
      <c r="CG7406"/>
      <c r="CH7406"/>
      <c r="CI7406"/>
    </row>
    <row r="7407" spans="83:87" x14ac:dyDescent="0.2">
      <c r="CE7407"/>
      <c r="CF7407"/>
      <c r="CG7407"/>
      <c r="CH7407"/>
      <c r="CI7407"/>
    </row>
    <row r="7408" spans="83:87" x14ac:dyDescent="0.2">
      <c r="CE7408"/>
      <c r="CF7408"/>
      <c r="CG7408"/>
      <c r="CH7408"/>
      <c r="CI7408"/>
    </row>
    <row r="7409" spans="83:87" x14ac:dyDescent="0.2">
      <c r="CE7409"/>
      <c r="CF7409"/>
      <c r="CG7409"/>
      <c r="CH7409"/>
      <c r="CI7409"/>
    </row>
    <row r="7410" spans="83:87" x14ac:dyDescent="0.2">
      <c r="CE7410"/>
      <c r="CF7410"/>
      <c r="CG7410"/>
      <c r="CH7410"/>
      <c r="CI7410"/>
    </row>
    <row r="7411" spans="83:87" x14ac:dyDescent="0.2">
      <c r="CE7411"/>
      <c r="CF7411"/>
      <c r="CG7411"/>
      <c r="CH7411"/>
      <c r="CI7411"/>
    </row>
    <row r="7412" spans="83:87" x14ac:dyDescent="0.2">
      <c r="CE7412"/>
      <c r="CF7412"/>
      <c r="CG7412"/>
      <c r="CH7412"/>
      <c r="CI7412"/>
    </row>
    <row r="7413" spans="83:87" x14ac:dyDescent="0.2">
      <c r="CE7413"/>
      <c r="CF7413"/>
      <c r="CG7413"/>
      <c r="CH7413"/>
      <c r="CI7413"/>
    </row>
    <row r="7414" spans="83:87" x14ac:dyDescent="0.2">
      <c r="CE7414"/>
      <c r="CF7414"/>
      <c r="CG7414"/>
      <c r="CH7414"/>
      <c r="CI7414"/>
    </row>
    <row r="7415" spans="83:87" x14ac:dyDescent="0.2">
      <c r="CE7415"/>
      <c r="CF7415"/>
      <c r="CG7415"/>
      <c r="CH7415"/>
      <c r="CI7415"/>
    </row>
    <row r="7416" spans="83:87" x14ac:dyDescent="0.2">
      <c r="CE7416"/>
      <c r="CF7416"/>
      <c r="CG7416"/>
      <c r="CH7416"/>
      <c r="CI7416"/>
    </row>
    <row r="7417" spans="83:87" x14ac:dyDescent="0.2">
      <c r="CE7417"/>
      <c r="CF7417"/>
      <c r="CG7417"/>
      <c r="CH7417"/>
      <c r="CI7417"/>
    </row>
    <row r="7418" spans="83:87" x14ac:dyDescent="0.2">
      <c r="CE7418"/>
      <c r="CF7418"/>
      <c r="CG7418"/>
      <c r="CH7418"/>
      <c r="CI7418"/>
    </row>
    <row r="7419" spans="83:87" x14ac:dyDescent="0.2">
      <c r="CE7419"/>
      <c r="CF7419"/>
      <c r="CG7419"/>
      <c r="CH7419"/>
      <c r="CI7419"/>
    </row>
    <row r="7420" spans="83:87" x14ac:dyDescent="0.2">
      <c r="CE7420"/>
      <c r="CF7420"/>
      <c r="CG7420"/>
      <c r="CH7420"/>
      <c r="CI7420"/>
    </row>
    <row r="7421" spans="83:87" x14ac:dyDescent="0.2">
      <c r="CE7421"/>
      <c r="CF7421"/>
      <c r="CG7421"/>
      <c r="CH7421"/>
      <c r="CI7421"/>
    </row>
    <row r="7422" spans="83:87" x14ac:dyDescent="0.2">
      <c r="CE7422"/>
      <c r="CF7422"/>
      <c r="CG7422"/>
      <c r="CH7422"/>
      <c r="CI7422"/>
    </row>
    <row r="7423" spans="83:87" x14ac:dyDescent="0.2">
      <c r="CE7423"/>
      <c r="CF7423"/>
      <c r="CG7423"/>
      <c r="CH7423"/>
      <c r="CI7423"/>
    </row>
    <row r="7424" spans="83:87" x14ac:dyDescent="0.2">
      <c r="CE7424"/>
      <c r="CF7424"/>
      <c r="CG7424"/>
      <c r="CH7424"/>
      <c r="CI7424"/>
    </row>
    <row r="7425" spans="83:87" x14ac:dyDescent="0.2">
      <c r="CE7425"/>
      <c r="CF7425"/>
      <c r="CG7425"/>
      <c r="CH7425"/>
      <c r="CI7425"/>
    </row>
    <row r="7426" spans="83:87" x14ac:dyDescent="0.2">
      <c r="CE7426"/>
      <c r="CF7426"/>
      <c r="CG7426"/>
      <c r="CH7426"/>
      <c r="CI7426"/>
    </row>
    <row r="7427" spans="83:87" x14ac:dyDescent="0.2">
      <c r="CE7427"/>
      <c r="CF7427"/>
      <c r="CG7427"/>
      <c r="CH7427"/>
      <c r="CI7427"/>
    </row>
    <row r="7428" spans="83:87" x14ac:dyDescent="0.2">
      <c r="CE7428"/>
      <c r="CF7428"/>
      <c r="CG7428"/>
      <c r="CH7428"/>
      <c r="CI7428"/>
    </row>
    <row r="7429" spans="83:87" x14ac:dyDescent="0.2">
      <c r="CE7429"/>
      <c r="CF7429"/>
      <c r="CG7429"/>
      <c r="CH7429"/>
      <c r="CI7429"/>
    </row>
    <row r="7430" spans="83:87" x14ac:dyDescent="0.2">
      <c r="CE7430"/>
      <c r="CF7430"/>
      <c r="CG7430"/>
      <c r="CH7430"/>
      <c r="CI7430"/>
    </row>
    <row r="7431" spans="83:87" x14ac:dyDescent="0.2">
      <c r="CE7431"/>
      <c r="CF7431"/>
      <c r="CG7431"/>
      <c r="CH7431"/>
      <c r="CI7431"/>
    </row>
    <row r="7432" spans="83:87" x14ac:dyDescent="0.2">
      <c r="CE7432"/>
      <c r="CF7432"/>
      <c r="CG7432"/>
      <c r="CH7432"/>
      <c r="CI7432"/>
    </row>
    <row r="7433" spans="83:87" x14ac:dyDescent="0.2">
      <c r="CE7433"/>
      <c r="CF7433"/>
      <c r="CG7433"/>
      <c r="CH7433"/>
      <c r="CI7433"/>
    </row>
    <row r="7434" spans="83:87" x14ac:dyDescent="0.2">
      <c r="CE7434"/>
      <c r="CF7434"/>
      <c r="CG7434"/>
      <c r="CH7434"/>
      <c r="CI7434"/>
    </row>
    <row r="7435" spans="83:87" x14ac:dyDescent="0.2">
      <c r="CE7435"/>
      <c r="CF7435"/>
      <c r="CG7435"/>
      <c r="CH7435"/>
      <c r="CI7435"/>
    </row>
    <row r="7436" spans="83:87" x14ac:dyDescent="0.2">
      <c r="CE7436"/>
      <c r="CF7436"/>
      <c r="CG7436"/>
      <c r="CH7436"/>
      <c r="CI7436"/>
    </row>
    <row r="7437" spans="83:87" x14ac:dyDescent="0.2">
      <c r="CE7437"/>
      <c r="CF7437"/>
      <c r="CG7437"/>
      <c r="CH7437"/>
      <c r="CI7437"/>
    </row>
    <row r="7438" spans="83:87" x14ac:dyDescent="0.2">
      <c r="CE7438"/>
      <c r="CF7438"/>
      <c r="CG7438"/>
      <c r="CH7438"/>
      <c r="CI7438"/>
    </row>
    <row r="7439" spans="83:87" x14ac:dyDescent="0.2">
      <c r="CE7439"/>
      <c r="CF7439"/>
      <c r="CG7439"/>
      <c r="CH7439"/>
      <c r="CI7439"/>
    </row>
    <row r="7440" spans="83:87" x14ac:dyDescent="0.2">
      <c r="CE7440"/>
      <c r="CF7440"/>
      <c r="CG7440"/>
      <c r="CH7440"/>
      <c r="CI7440"/>
    </row>
    <row r="7441" spans="83:87" x14ac:dyDescent="0.2">
      <c r="CE7441"/>
      <c r="CF7441"/>
      <c r="CG7441"/>
      <c r="CH7441"/>
      <c r="CI7441"/>
    </row>
    <row r="7442" spans="83:87" x14ac:dyDescent="0.2">
      <c r="CE7442"/>
      <c r="CF7442"/>
      <c r="CG7442"/>
      <c r="CH7442"/>
      <c r="CI7442"/>
    </row>
    <row r="7443" spans="83:87" x14ac:dyDescent="0.2">
      <c r="CE7443"/>
      <c r="CF7443"/>
      <c r="CG7443"/>
      <c r="CH7443"/>
      <c r="CI7443"/>
    </row>
    <row r="7444" spans="83:87" x14ac:dyDescent="0.2">
      <c r="CE7444"/>
      <c r="CF7444"/>
      <c r="CG7444"/>
      <c r="CH7444"/>
      <c r="CI7444"/>
    </row>
    <row r="7445" spans="83:87" x14ac:dyDescent="0.2">
      <c r="CE7445"/>
      <c r="CF7445"/>
      <c r="CG7445"/>
      <c r="CH7445"/>
      <c r="CI7445"/>
    </row>
    <row r="7446" spans="83:87" x14ac:dyDescent="0.2">
      <c r="CE7446"/>
      <c r="CF7446"/>
      <c r="CG7446"/>
      <c r="CH7446"/>
      <c r="CI7446"/>
    </row>
    <row r="7447" spans="83:87" x14ac:dyDescent="0.2">
      <c r="CE7447"/>
      <c r="CF7447"/>
      <c r="CG7447"/>
      <c r="CH7447"/>
      <c r="CI7447"/>
    </row>
    <row r="7448" spans="83:87" x14ac:dyDescent="0.2">
      <c r="CE7448"/>
      <c r="CF7448"/>
      <c r="CG7448"/>
      <c r="CH7448"/>
      <c r="CI7448"/>
    </row>
    <row r="7449" spans="83:87" x14ac:dyDescent="0.2">
      <c r="CE7449"/>
      <c r="CF7449"/>
      <c r="CG7449"/>
      <c r="CH7449"/>
      <c r="CI7449"/>
    </row>
    <row r="7450" spans="83:87" x14ac:dyDescent="0.2">
      <c r="CE7450"/>
      <c r="CF7450"/>
      <c r="CG7450"/>
      <c r="CH7450"/>
      <c r="CI7450"/>
    </row>
    <row r="7451" spans="83:87" x14ac:dyDescent="0.2">
      <c r="CE7451"/>
      <c r="CF7451"/>
      <c r="CG7451"/>
      <c r="CH7451"/>
      <c r="CI7451"/>
    </row>
    <row r="7452" spans="83:87" x14ac:dyDescent="0.2">
      <c r="CE7452"/>
      <c r="CF7452"/>
      <c r="CG7452"/>
      <c r="CH7452"/>
      <c r="CI7452"/>
    </row>
    <row r="7453" spans="83:87" x14ac:dyDescent="0.2">
      <c r="CE7453"/>
      <c r="CF7453"/>
      <c r="CG7453"/>
      <c r="CH7453"/>
      <c r="CI7453"/>
    </row>
    <row r="7454" spans="83:87" x14ac:dyDescent="0.2">
      <c r="CE7454"/>
      <c r="CF7454"/>
      <c r="CG7454"/>
      <c r="CH7454"/>
      <c r="CI7454"/>
    </row>
    <row r="7455" spans="83:87" x14ac:dyDescent="0.2">
      <c r="CE7455"/>
      <c r="CF7455"/>
      <c r="CG7455"/>
      <c r="CH7455"/>
      <c r="CI7455"/>
    </row>
    <row r="7456" spans="83:87" x14ac:dyDescent="0.2">
      <c r="CE7456"/>
      <c r="CF7456"/>
      <c r="CG7456"/>
      <c r="CH7456"/>
      <c r="CI7456"/>
    </row>
    <row r="7457" spans="83:87" x14ac:dyDescent="0.2">
      <c r="CE7457"/>
      <c r="CF7457"/>
      <c r="CG7457"/>
      <c r="CH7457"/>
      <c r="CI7457"/>
    </row>
    <row r="7458" spans="83:87" x14ac:dyDescent="0.2">
      <c r="CE7458"/>
      <c r="CF7458"/>
      <c r="CG7458"/>
      <c r="CH7458"/>
      <c r="CI7458"/>
    </row>
    <row r="7459" spans="83:87" x14ac:dyDescent="0.2">
      <c r="CE7459"/>
      <c r="CF7459"/>
      <c r="CG7459"/>
      <c r="CH7459"/>
      <c r="CI7459"/>
    </row>
    <row r="7460" spans="83:87" x14ac:dyDescent="0.2">
      <c r="CE7460"/>
      <c r="CF7460"/>
      <c r="CG7460"/>
      <c r="CH7460"/>
      <c r="CI7460"/>
    </row>
    <row r="7461" spans="83:87" x14ac:dyDescent="0.2">
      <c r="CE7461"/>
      <c r="CF7461"/>
      <c r="CG7461"/>
      <c r="CH7461"/>
      <c r="CI7461"/>
    </row>
    <row r="7462" spans="83:87" x14ac:dyDescent="0.2">
      <c r="CE7462"/>
      <c r="CF7462"/>
      <c r="CG7462"/>
      <c r="CH7462"/>
      <c r="CI7462"/>
    </row>
    <row r="7463" spans="83:87" x14ac:dyDescent="0.2">
      <c r="CE7463"/>
      <c r="CF7463"/>
      <c r="CG7463"/>
      <c r="CH7463"/>
      <c r="CI7463"/>
    </row>
    <row r="7464" spans="83:87" x14ac:dyDescent="0.2">
      <c r="CE7464"/>
      <c r="CF7464"/>
      <c r="CG7464"/>
      <c r="CH7464"/>
      <c r="CI7464"/>
    </row>
    <row r="7465" spans="83:87" x14ac:dyDescent="0.2">
      <c r="CE7465"/>
      <c r="CF7465"/>
      <c r="CG7465"/>
      <c r="CH7465"/>
      <c r="CI7465"/>
    </row>
    <row r="7466" spans="83:87" x14ac:dyDescent="0.2">
      <c r="CE7466"/>
      <c r="CF7466"/>
      <c r="CG7466"/>
      <c r="CH7466"/>
      <c r="CI7466"/>
    </row>
    <row r="7467" spans="83:87" x14ac:dyDescent="0.2">
      <c r="CE7467"/>
      <c r="CF7467"/>
      <c r="CG7467"/>
      <c r="CH7467"/>
      <c r="CI7467"/>
    </row>
    <row r="7468" spans="83:87" x14ac:dyDescent="0.2">
      <c r="CE7468"/>
      <c r="CF7468"/>
      <c r="CG7468"/>
      <c r="CH7468"/>
      <c r="CI7468"/>
    </row>
    <row r="7469" spans="83:87" x14ac:dyDescent="0.2">
      <c r="CE7469"/>
      <c r="CF7469"/>
      <c r="CG7469"/>
      <c r="CH7469"/>
      <c r="CI7469"/>
    </row>
    <row r="7470" spans="83:87" x14ac:dyDescent="0.2">
      <c r="CE7470"/>
      <c r="CF7470"/>
      <c r="CG7470"/>
      <c r="CH7470"/>
      <c r="CI7470"/>
    </row>
    <row r="7471" spans="83:87" x14ac:dyDescent="0.2">
      <c r="CE7471"/>
      <c r="CF7471"/>
      <c r="CG7471"/>
      <c r="CH7471"/>
      <c r="CI7471"/>
    </row>
    <row r="7472" spans="83:87" x14ac:dyDescent="0.2">
      <c r="CE7472"/>
      <c r="CF7472"/>
      <c r="CG7472"/>
      <c r="CH7472"/>
      <c r="CI7472"/>
    </row>
    <row r="7473" spans="83:87" x14ac:dyDescent="0.2">
      <c r="CE7473"/>
      <c r="CF7473"/>
      <c r="CG7473"/>
      <c r="CH7473"/>
      <c r="CI7473"/>
    </row>
    <row r="7474" spans="83:87" x14ac:dyDescent="0.2">
      <c r="CE7474"/>
      <c r="CF7474"/>
      <c r="CG7474"/>
      <c r="CH7474"/>
      <c r="CI7474"/>
    </row>
    <row r="7475" spans="83:87" x14ac:dyDescent="0.2">
      <c r="CE7475"/>
      <c r="CF7475"/>
      <c r="CG7475"/>
      <c r="CH7475"/>
      <c r="CI7475"/>
    </row>
    <row r="7476" spans="83:87" x14ac:dyDescent="0.2">
      <c r="CE7476"/>
      <c r="CF7476"/>
      <c r="CG7476"/>
      <c r="CH7476"/>
      <c r="CI7476"/>
    </row>
    <row r="7477" spans="83:87" x14ac:dyDescent="0.2">
      <c r="CE7477"/>
      <c r="CF7477"/>
      <c r="CG7477"/>
      <c r="CH7477"/>
      <c r="CI7477"/>
    </row>
    <row r="7478" spans="83:87" x14ac:dyDescent="0.2">
      <c r="CE7478"/>
      <c r="CF7478"/>
      <c r="CG7478"/>
      <c r="CH7478"/>
      <c r="CI7478"/>
    </row>
    <row r="7479" spans="83:87" x14ac:dyDescent="0.2">
      <c r="CE7479"/>
      <c r="CF7479"/>
      <c r="CG7479"/>
      <c r="CH7479"/>
      <c r="CI7479"/>
    </row>
    <row r="7480" spans="83:87" x14ac:dyDescent="0.2">
      <c r="CE7480"/>
      <c r="CF7480"/>
      <c r="CG7480"/>
      <c r="CH7480"/>
      <c r="CI7480"/>
    </row>
    <row r="7481" spans="83:87" x14ac:dyDescent="0.2">
      <c r="CE7481"/>
      <c r="CF7481"/>
      <c r="CG7481"/>
      <c r="CH7481"/>
      <c r="CI7481"/>
    </row>
    <row r="7482" spans="83:87" x14ac:dyDescent="0.2">
      <c r="CE7482"/>
      <c r="CF7482"/>
      <c r="CG7482"/>
      <c r="CH7482"/>
      <c r="CI7482"/>
    </row>
    <row r="7483" spans="83:87" x14ac:dyDescent="0.2">
      <c r="CE7483"/>
      <c r="CF7483"/>
      <c r="CG7483"/>
      <c r="CH7483"/>
      <c r="CI7483"/>
    </row>
    <row r="7484" spans="83:87" x14ac:dyDescent="0.2">
      <c r="CE7484"/>
      <c r="CF7484"/>
      <c r="CG7484"/>
      <c r="CH7484"/>
      <c r="CI7484"/>
    </row>
    <row r="7485" spans="83:87" x14ac:dyDescent="0.2">
      <c r="CE7485"/>
      <c r="CF7485"/>
      <c r="CG7485"/>
      <c r="CH7485"/>
      <c r="CI7485"/>
    </row>
    <row r="7486" spans="83:87" x14ac:dyDescent="0.2">
      <c r="CE7486"/>
      <c r="CF7486"/>
      <c r="CG7486"/>
      <c r="CH7486"/>
      <c r="CI7486"/>
    </row>
    <row r="7487" spans="83:87" x14ac:dyDescent="0.2">
      <c r="CE7487"/>
      <c r="CF7487"/>
      <c r="CG7487"/>
      <c r="CH7487"/>
      <c r="CI7487"/>
    </row>
    <row r="7488" spans="83:87" x14ac:dyDescent="0.2">
      <c r="CE7488"/>
      <c r="CF7488"/>
      <c r="CG7488"/>
      <c r="CH7488"/>
      <c r="CI7488"/>
    </row>
    <row r="7489" spans="83:87" x14ac:dyDescent="0.2">
      <c r="CE7489"/>
      <c r="CF7489"/>
      <c r="CG7489"/>
      <c r="CH7489"/>
      <c r="CI7489"/>
    </row>
    <row r="7490" spans="83:87" x14ac:dyDescent="0.2">
      <c r="CE7490"/>
      <c r="CF7490"/>
      <c r="CG7490"/>
      <c r="CH7490"/>
      <c r="CI7490"/>
    </row>
    <row r="7491" spans="83:87" x14ac:dyDescent="0.2">
      <c r="CE7491"/>
      <c r="CF7491"/>
      <c r="CG7491"/>
      <c r="CH7491"/>
      <c r="CI7491"/>
    </row>
    <row r="7492" spans="83:87" x14ac:dyDescent="0.2">
      <c r="CE7492"/>
      <c r="CF7492"/>
      <c r="CG7492"/>
      <c r="CH7492"/>
      <c r="CI7492"/>
    </row>
    <row r="7493" spans="83:87" x14ac:dyDescent="0.2">
      <c r="CE7493"/>
      <c r="CF7493"/>
      <c r="CG7493"/>
      <c r="CH7493"/>
      <c r="CI7493"/>
    </row>
    <row r="7494" spans="83:87" x14ac:dyDescent="0.2">
      <c r="CE7494"/>
      <c r="CF7494"/>
      <c r="CG7494"/>
      <c r="CH7494"/>
      <c r="CI7494"/>
    </row>
    <row r="7495" spans="83:87" x14ac:dyDescent="0.2">
      <c r="CE7495"/>
      <c r="CF7495"/>
      <c r="CG7495"/>
      <c r="CH7495"/>
      <c r="CI7495"/>
    </row>
    <row r="7496" spans="83:87" x14ac:dyDescent="0.2">
      <c r="CE7496"/>
      <c r="CF7496"/>
      <c r="CG7496"/>
      <c r="CH7496"/>
      <c r="CI7496"/>
    </row>
    <row r="7497" spans="83:87" x14ac:dyDescent="0.2">
      <c r="CE7497"/>
      <c r="CF7497"/>
      <c r="CG7497"/>
      <c r="CH7497"/>
      <c r="CI7497"/>
    </row>
    <row r="7498" spans="83:87" x14ac:dyDescent="0.2">
      <c r="CE7498"/>
      <c r="CF7498"/>
      <c r="CG7498"/>
      <c r="CH7498"/>
      <c r="CI7498"/>
    </row>
    <row r="7499" spans="83:87" x14ac:dyDescent="0.2">
      <c r="CE7499"/>
      <c r="CF7499"/>
      <c r="CG7499"/>
      <c r="CH7499"/>
      <c r="CI7499"/>
    </row>
    <row r="7500" spans="83:87" x14ac:dyDescent="0.2">
      <c r="CE7500"/>
      <c r="CF7500"/>
      <c r="CG7500"/>
      <c r="CH7500"/>
      <c r="CI7500"/>
    </row>
    <row r="7501" spans="83:87" x14ac:dyDescent="0.2">
      <c r="CE7501"/>
      <c r="CF7501"/>
      <c r="CG7501"/>
      <c r="CH7501"/>
      <c r="CI7501"/>
    </row>
    <row r="7502" spans="83:87" x14ac:dyDescent="0.2">
      <c r="CE7502"/>
      <c r="CF7502"/>
      <c r="CG7502"/>
      <c r="CH7502"/>
      <c r="CI7502"/>
    </row>
    <row r="7503" spans="83:87" x14ac:dyDescent="0.2">
      <c r="CE7503"/>
      <c r="CF7503"/>
      <c r="CG7503"/>
      <c r="CH7503"/>
      <c r="CI7503"/>
    </row>
    <row r="7504" spans="83:87" x14ac:dyDescent="0.2">
      <c r="CE7504"/>
      <c r="CF7504"/>
      <c r="CG7504"/>
      <c r="CH7504"/>
      <c r="CI7504"/>
    </row>
    <row r="7505" spans="83:87" x14ac:dyDescent="0.2">
      <c r="CE7505"/>
      <c r="CF7505"/>
      <c r="CG7505"/>
      <c r="CH7505"/>
      <c r="CI7505"/>
    </row>
    <row r="7506" spans="83:87" x14ac:dyDescent="0.2">
      <c r="CE7506"/>
      <c r="CF7506"/>
      <c r="CG7506"/>
      <c r="CH7506"/>
      <c r="CI7506"/>
    </row>
    <row r="7507" spans="83:87" x14ac:dyDescent="0.2">
      <c r="CE7507"/>
      <c r="CF7507"/>
      <c r="CG7507"/>
      <c r="CH7507"/>
      <c r="CI7507"/>
    </row>
    <row r="7508" spans="83:87" x14ac:dyDescent="0.2">
      <c r="CE7508"/>
      <c r="CF7508"/>
      <c r="CG7508"/>
      <c r="CH7508"/>
      <c r="CI7508"/>
    </row>
    <row r="7509" spans="83:87" x14ac:dyDescent="0.2">
      <c r="CE7509"/>
      <c r="CF7509"/>
      <c r="CG7509"/>
      <c r="CH7509"/>
      <c r="CI7509"/>
    </row>
    <row r="7510" spans="83:87" x14ac:dyDescent="0.2">
      <c r="CE7510"/>
      <c r="CF7510"/>
      <c r="CG7510"/>
      <c r="CH7510"/>
      <c r="CI7510"/>
    </row>
    <row r="7511" spans="83:87" x14ac:dyDescent="0.2">
      <c r="CE7511"/>
      <c r="CF7511"/>
      <c r="CG7511"/>
      <c r="CH7511"/>
      <c r="CI7511"/>
    </row>
    <row r="7512" spans="83:87" x14ac:dyDescent="0.2">
      <c r="CE7512"/>
      <c r="CF7512"/>
      <c r="CG7512"/>
      <c r="CH7512"/>
      <c r="CI7512"/>
    </row>
    <row r="7513" spans="83:87" x14ac:dyDescent="0.2">
      <c r="CE7513"/>
      <c r="CF7513"/>
      <c r="CG7513"/>
      <c r="CH7513"/>
      <c r="CI7513"/>
    </row>
    <row r="7514" spans="83:87" x14ac:dyDescent="0.2">
      <c r="CE7514"/>
      <c r="CF7514"/>
      <c r="CG7514"/>
      <c r="CH7514"/>
      <c r="CI7514"/>
    </row>
    <row r="7515" spans="83:87" x14ac:dyDescent="0.2">
      <c r="CE7515"/>
      <c r="CF7515"/>
      <c r="CG7515"/>
      <c r="CH7515"/>
      <c r="CI7515"/>
    </row>
    <row r="7516" spans="83:87" x14ac:dyDescent="0.2">
      <c r="CE7516"/>
      <c r="CF7516"/>
      <c r="CG7516"/>
      <c r="CH7516"/>
      <c r="CI7516"/>
    </row>
    <row r="7517" spans="83:87" x14ac:dyDescent="0.2">
      <c r="CE7517"/>
      <c r="CF7517"/>
      <c r="CG7517"/>
      <c r="CH7517"/>
      <c r="CI7517"/>
    </row>
    <row r="7518" spans="83:87" x14ac:dyDescent="0.2">
      <c r="CE7518"/>
      <c r="CF7518"/>
      <c r="CG7518"/>
      <c r="CH7518"/>
      <c r="CI7518"/>
    </row>
    <row r="7519" spans="83:87" x14ac:dyDescent="0.2">
      <c r="CE7519"/>
      <c r="CF7519"/>
      <c r="CG7519"/>
      <c r="CH7519"/>
      <c r="CI7519"/>
    </row>
    <row r="7520" spans="83:87" x14ac:dyDescent="0.2">
      <c r="CE7520"/>
      <c r="CF7520"/>
      <c r="CG7520"/>
      <c r="CH7520"/>
      <c r="CI7520"/>
    </row>
    <row r="7521" spans="83:87" x14ac:dyDescent="0.2">
      <c r="CE7521"/>
      <c r="CF7521"/>
      <c r="CG7521"/>
      <c r="CH7521"/>
      <c r="CI7521"/>
    </row>
    <row r="7522" spans="83:87" x14ac:dyDescent="0.2">
      <c r="CE7522"/>
      <c r="CF7522"/>
      <c r="CG7522"/>
      <c r="CH7522"/>
      <c r="CI7522"/>
    </row>
    <row r="7523" spans="83:87" x14ac:dyDescent="0.2">
      <c r="CE7523"/>
      <c r="CF7523"/>
      <c r="CG7523"/>
      <c r="CH7523"/>
      <c r="CI7523"/>
    </row>
    <row r="7524" spans="83:87" x14ac:dyDescent="0.2">
      <c r="CE7524"/>
      <c r="CF7524"/>
      <c r="CG7524"/>
      <c r="CH7524"/>
      <c r="CI7524"/>
    </row>
    <row r="7525" spans="83:87" x14ac:dyDescent="0.2">
      <c r="CE7525"/>
      <c r="CF7525"/>
      <c r="CG7525"/>
      <c r="CH7525"/>
      <c r="CI7525"/>
    </row>
    <row r="7526" spans="83:87" x14ac:dyDescent="0.2">
      <c r="CE7526"/>
      <c r="CF7526"/>
      <c r="CG7526"/>
      <c r="CH7526"/>
      <c r="CI7526"/>
    </row>
    <row r="7527" spans="83:87" x14ac:dyDescent="0.2">
      <c r="CE7527"/>
      <c r="CF7527"/>
      <c r="CG7527"/>
      <c r="CH7527"/>
      <c r="CI7527"/>
    </row>
    <row r="7528" spans="83:87" x14ac:dyDescent="0.2">
      <c r="CE7528"/>
      <c r="CF7528"/>
      <c r="CG7528"/>
      <c r="CH7528"/>
      <c r="CI7528"/>
    </row>
    <row r="7529" spans="83:87" x14ac:dyDescent="0.2">
      <c r="CE7529"/>
      <c r="CF7529"/>
      <c r="CG7529"/>
      <c r="CH7529"/>
      <c r="CI7529"/>
    </row>
    <row r="7530" spans="83:87" x14ac:dyDescent="0.2">
      <c r="CE7530"/>
      <c r="CF7530"/>
      <c r="CG7530"/>
      <c r="CH7530"/>
      <c r="CI7530"/>
    </row>
    <row r="7531" spans="83:87" x14ac:dyDescent="0.2">
      <c r="CE7531"/>
      <c r="CF7531"/>
      <c r="CG7531"/>
      <c r="CH7531"/>
      <c r="CI7531"/>
    </row>
    <row r="7532" spans="83:87" x14ac:dyDescent="0.2">
      <c r="CE7532"/>
      <c r="CF7532"/>
      <c r="CG7532"/>
      <c r="CH7532"/>
      <c r="CI7532"/>
    </row>
    <row r="7533" spans="83:87" x14ac:dyDescent="0.2">
      <c r="CE7533"/>
      <c r="CF7533"/>
      <c r="CG7533"/>
      <c r="CH7533"/>
      <c r="CI7533"/>
    </row>
    <row r="7534" spans="83:87" x14ac:dyDescent="0.2">
      <c r="CE7534"/>
      <c r="CF7534"/>
      <c r="CG7534"/>
      <c r="CH7534"/>
      <c r="CI7534"/>
    </row>
    <row r="7535" spans="83:87" x14ac:dyDescent="0.2">
      <c r="CE7535"/>
      <c r="CF7535"/>
      <c r="CG7535"/>
      <c r="CH7535"/>
      <c r="CI7535"/>
    </row>
    <row r="7536" spans="83:87" x14ac:dyDescent="0.2">
      <c r="CE7536"/>
      <c r="CF7536"/>
      <c r="CG7536"/>
      <c r="CH7536"/>
      <c r="CI7536"/>
    </row>
    <row r="7537" spans="83:87" x14ac:dyDescent="0.2">
      <c r="CE7537"/>
      <c r="CF7537"/>
      <c r="CG7537"/>
      <c r="CH7537"/>
      <c r="CI7537"/>
    </row>
    <row r="7538" spans="83:87" x14ac:dyDescent="0.2">
      <c r="CE7538"/>
      <c r="CF7538"/>
      <c r="CG7538"/>
      <c r="CH7538"/>
      <c r="CI7538"/>
    </row>
    <row r="7539" spans="83:87" x14ac:dyDescent="0.2">
      <c r="CE7539"/>
      <c r="CF7539"/>
      <c r="CG7539"/>
      <c r="CH7539"/>
      <c r="CI7539"/>
    </row>
    <row r="7540" spans="83:87" x14ac:dyDescent="0.2">
      <c r="CE7540"/>
      <c r="CF7540"/>
      <c r="CG7540"/>
      <c r="CH7540"/>
      <c r="CI7540"/>
    </row>
    <row r="7541" spans="83:87" x14ac:dyDescent="0.2">
      <c r="CE7541"/>
      <c r="CF7541"/>
      <c r="CG7541"/>
      <c r="CH7541"/>
      <c r="CI7541"/>
    </row>
    <row r="7542" spans="83:87" x14ac:dyDescent="0.2">
      <c r="CE7542"/>
      <c r="CF7542"/>
      <c r="CG7542"/>
      <c r="CH7542"/>
      <c r="CI7542"/>
    </row>
    <row r="7543" spans="83:87" x14ac:dyDescent="0.2">
      <c r="CE7543"/>
      <c r="CF7543"/>
      <c r="CG7543"/>
      <c r="CH7543"/>
      <c r="CI7543"/>
    </row>
    <row r="7544" spans="83:87" x14ac:dyDescent="0.2">
      <c r="CE7544"/>
      <c r="CF7544"/>
      <c r="CG7544"/>
      <c r="CH7544"/>
      <c r="CI7544"/>
    </row>
    <row r="7545" spans="83:87" x14ac:dyDescent="0.2">
      <c r="CE7545"/>
      <c r="CF7545"/>
      <c r="CG7545"/>
      <c r="CH7545"/>
      <c r="CI7545"/>
    </row>
    <row r="7546" spans="83:87" x14ac:dyDescent="0.2">
      <c r="CE7546"/>
      <c r="CF7546"/>
      <c r="CG7546"/>
      <c r="CH7546"/>
      <c r="CI7546"/>
    </row>
    <row r="7547" spans="83:87" x14ac:dyDescent="0.2">
      <c r="CE7547"/>
      <c r="CF7547"/>
      <c r="CG7547"/>
      <c r="CH7547"/>
      <c r="CI7547"/>
    </row>
    <row r="7548" spans="83:87" x14ac:dyDescent="0.2">
      <c r="CE7548"/>
      <c r="CF7548"/>
      <c r="CG7548"/>
      <c r="CH7548"/>
      <c r="CI7548"/>
    </row>
    <row r="7549" spans="83:87" x14ac:dyDescent="0.2">
      <c r="CE7549"/>
      <c r="CF7549"/>
      <c r="CG7549"/>
      <c r="CH7549"/>
      <c r="CI7549"/>
    </row>
    <row r="7550" spans="83:87" x14ac:dyDescent="0.2">
      <c r="CE7550"/>
      <c r="CF7550"/>
      <c r="CG7550"/>
      <c r="CH7550"/>
      <c r="CI7550"/>
    </row>
    <row r="7551" spans="83:87" x14ac:dyDescent="0.2">
      <c r="CE7551"/>
      <c r="CF7551"/>
      <c r="CG7551"/>
      <c r="CH7551"/>
      <c r="CI7551"/>
    </row>
    <row r="7552" spans="83:87" x14ac:dyDescent="0.2">
      <c r="CE7552"/>
      <c r="CF7552"/>
      <c r="CG7552"/>
      <c r="CH7552"/>
      <c r="CI7552"/>
    </row>
    <row r="7553" spans="83:87" x14ac:dyDescent="0.2">
      <c r="CE7553"/>
      <c r="CF7553"/>
      <c r="CG7553"/>
      <c r="CH7553"/>
      <c r="CI7553"/>
    </row>
    <row r="7554" spans="83:87" x14ac:dyDescent="0.2">
      <c r="CE7554"/>
      <c r="CF7554"/>
      <c r="CG7554"/>
      <c r="CH7554"/>
      <c r="CI7554"/>
    </row>
    <row r="7555" spans="83:87" x14ac:dyDescent="0.2">
      <c r="CE7555"/>
      <c r="CF7555"/>
      <c r="CG7555"/>
      <c r="CH7555"/>
      <c r="CI7555"/>
    </row>
    <row r="7556" spans="83:87" x14ac:dyDescent="0.2">
      <c r="CE7556"/>
      <c r="CF7556"/>
      <c r="CG7556"/>
      <c r="CH7556"/>
      <c r="CI7556"/>
    </row>
    <row r="7557" spans="83:87" x14ac:dyDescent="0.2">
      <c r="CE7557"/>
      <c r="CF7557"/>
      <c r="CG7557"/>
      <c r="CH7557"/>
      <c r="CI7557"/>
    </row>
    <row r="7558" spans="83:87" x14ac:dyDescent="0.2">
      <c r="CE7558"/>
      <c r="CF7558"/>
      <c r="CG7558"/>
      <c r="CH7558"/>
      <c r="CI7558"/>
    </row>
    <row r="7559" spans="83:87" x14ac:dyDescent="0.2">
      <c r="CE7559"/>
      <c r="CF7559"/>
      <c r="CG7559"/>
      <c r="CH7559"/>
      <c r="CI7559"/>
    </row>
    <row r="7560" spans="83:87" x14ac:dyDescent="0.2">
      <c r="CE7560"/>
      <c r="CF7560"/>
      <c r="CG7560"/>
      <c r="CH7560"/>
      <c r="CI7560"/>
    </row>
    <row r="7561" spans="83:87" x14ac:dyDescent="0.2">
      <c r="CE7561"/>
      <c r="CF7561"/>
      <c r="CG7561"/>
      <c r="CH7561"/>
      <c r="CI7561"/>
    </row>
    <row r="7562" spans="83:87" x14ac:dyDescent="0.2">
      <c r="CE7562"/>
      <c r="CF7562"/>
      <c r="CG7562"/>
      <c r="CH7562"/>
      <c r="CI7562"/>
    </row>
    <row r="7563" spans="83:87" x14ac:dyDescent="0.2">
      <c r="CE7563"/>
      <c r="CF7563"/>
      <c r="CG7563"/>
      <c r="CH7563"/>
      <c r="CI7563"/>
    </row>
    <row r="7564" spans="83:87" x14ac:dyDescent="0.2">
      <c r="CE7564"/>
      <c r="CF7564"/>
      <c r="CG7564"/>
      <c r="CH7564"/>
      <c r="CI7564"/>
    </row>
    <row r="7565" spans="83:87" x14ac:dyDescent="0.2">
      <c r="CE7565"/>
      <c r="CF7565"/>
      <c r="CG7565"/>
      <c r="CH7565"/>
      <c r="CI7565"/>
    </row>
    <row r="7566" spans="83:87" x14ac:dyDescent="0.2">
      <c r="CE7566"/>
      <c r="CF7566"/>
      <c r="CG7566"/>
      <c r="CH7566"/>
      <c r="CI7566"/>
    </row>
    <row r="7567" spans="83:87" x14ac:dyDescent="0.2">
      <c r="CE7567"/>
      <c r="CF7567"/>
      <c r="CG7567"/>
      <c r="CH7567"/>
      <c r="CI7567"/>
    </row>
    <row r="7568" spans="83:87" x14ac:dyDescent="0.2">
      <c r="CE7568"/>
      <c r="CF7568"/>
      <c r="CG7568"/>
      <c r="CH7568"/>
      <c r="CI7568"/>
    </row>
    <row r="7569" spans="83:87" x14ac:dyDescent="0.2">
      <c r="CE7569"/>
      <c r="CF7569"/>
      <c r="CG7569"/>
      <c r="CH7569"/>
      <c r="CI7569"/>
    </row>
    <row r="7570" spans="83:87" x14ac:dyDescent="0.2">
      <c r="CE7570"/>
      <c r="CF7570"/>
      <c r="CG7570"/>
      <c r="CH7570"/>
      <c r="CI7570"/>
    </row>
    <row r="7571" spans="83:87" x14ac:dyDescent="0.2">
      <c r="CE7571"/>
      <c r="CF7571"/>
      <c r="CG7571"/>
      <c r="CH7571"/>
      <c r="CI7571"/>
    </row>
    <row r="7572" spans="83:87" x14ac:dyDescent="0.2">
      <c r="CE7572"/>
      <c r="CF7572"/>
      <c r="CG7572"/>
      <c r="CH7572"/>
      <c r="CI7572"/>
    </row>
    <row r="7573" spans="83:87" x14ac:dyDescent="0.2">
      <c r="CE7573"/>
      <c r="CF7573"/>
      <c r="CG7573"/>
      <c r="CH7573"/>
      <c r="CI7573"/>
    </row>
    <row r="7574" spans="83:87" x14ac:dyDescent="0.2">
      <c r="CE7574"/>
      <c r="CF7574"/>
      <c r="CG7574"/>
      <c r="CH7574"/>
      <c r="CI7574"/>
    </row>
    <row r="7575" spans="83:87" x14ac:dyDescent="0.2">
      <c r="CE7575"/>
      <c r="CF7575"/>
      <c r="CG7575"/>
      <c r="CH7575"/>
      <c r="CI7575"/>
    </row>
    <row r="7576" spans="83:87" x14ac:dyDescent="0.2">
      <c r="CE7576"/>
      <c r="CF7576"/>
      <c r="CG7576"/>
      <c r="CH7576"/>
      <c r="CI7576"/>
    </row>
    <row r="7577" spans="83:87" x14ac:dyDescent="0.2">
      <c r="CE7577"/>
      <c r="CF7577"/>
      <c r="CG7577"/>
      <c r="CH7577"/>
      <c r="CI7577"/>
    </row>
    <row r="7578" spans="83:87" x14ac:dyDescent="0.2">
      <c r="CE7578"/>
      <c r="CF7578"/>
      <c r="CG7578"/>
      <c r="CH7578"/>
      <c r="CI7578"/>
    </row>
    <row r="7579" spans="83:87" x14ac:dyDescent="0.2">
      <c r="CE7579"/>
      <c r="CF7579"/>
      <c r="CG7579"/>
      <c r="CH7579"/>
      <c r="CI7579"/>
    </row>
    <row r="7580" spans="83:87" x14ac:dyDescent="0.2">
      <c r="CE7580"/>
      <c r="CF7580"/>
      <c r="CG7580"/>
      <c r="CH7580"/>
      <c r="CI7580"/>
    </row>
    <row r="7581" spans="83:87" x14ac:dyDescent="0.2">
      <c r="CE7581"/>
      <c r="CF7581"/>
      <c r="CG7581"/>
      <c r="CH7581"/>
      <c r="CI7581"/>
    </row>
    <row r="7582" spans="83:87" x14ac:dyDescent="0.2">
      <c r="CE7582"/>
      <c r="CF7582"/>
      <c r="CG7582"/>
      <c r="CH7582"/>
      <c r="CI7582"/>
    </row>
    <row r="7583" spans="83:87" x14ac:dyDescent="0.2">
      <c r="CE7583"/>
      <c r="CF7583"/>
      <c r="CG7583"/>
      <c r="CH7583"/>
      <c r="CI7583"/>
    </row>
    <row r="7584" spans="83:87" x14ac:dyDescent="0.2">
      <c r="CE7584"/>
      <c r="CF7584"/>
      <c r="CG7584"/>
      <c r="CH7584"/>
      <c r="CI7584"/>
    </row>
    <row r="7585" spans="83:87" x14ac:dyDescent="0.2">
      <c r="CE7585"/>
      <c r="CF7585"/>
      <c r="CG7585"/>
      <c r="CH7585"/>
      <c r="CI7585"/>
    </row>
    <row r="7586" spans="83:87" x14ac:dyDescent="0.2">
      <c r="CE7586"/>
      <c r="CF7586"/>
      <c r="CG7586"/>
      <c r="CH7586"/>
      <c r="CI7586"/>
    </row>
    <row r="7587" spans="83:87" x14ac:dyDescent="0.2">
      <c r="CE7587"/>
      <c r="CF7587"/>
      <c r="CG7587"/>
      <c r="CH7587"/>
      <c r="CI7587"/>
    </row>
    <row r="7588" spans="83:87" x14ac:dyDescent="0.2">
      <c r="CE7588"/>
      <c r="CF7588"/>
      <c r="CG7588"/>
      <c r="CH7588"/>
      <c r="CI7588"/>
    </row>
    <row r="7589" spans="83:87" x14ac:dyDescent="0.2">
      <c r="CE7589"/>
      <c r="CF7589"/>
      <c r="CG7589"/>
      <c r="CH7589"/>
      <c r="CI7589"/>
    </row>
    <row r="7590" spans="83:87" x14ac:dyDescent="0.2">
      <c r="CE7590"/>
      <c r="CF7590"/>
      <c r="CG7590"/>
      <c r="CH7590"/>
      <c r="CI7590"/>
    </row>
    <row r="7591" spans="83:87" x14ac:dyDescent="0.2">
      <c r="CE7591"/>
      <c r="CF7591"/>
      <c r="CG7591"/>
      <c r="CH7591"/>
      <c r="CI7591"/>
    </row>
    <row r="7592" spans="83:87" x14ac:dyDescent="0.2">
      <c r="CE7592"/>
      <c r="CF7592"/>
      <c r="CG7592"/>
      <c r="CH7592"/>
      <c r="CI7592"/>
    </row>
    <row r="7593" spans="83:87" x14ac:dyDescent="0.2">
      <c r="CE7593"/>
      <c r="CF7593"/>
      <c r="CG7593"/>
      <c r="CH7593"/>
      <c r="CI7593"/>
    </row>
    <row r="7594" spans="83:87" x14ac:dyDescent="0.2">
      <c r="CE7594"/>
      <c r="CF7594"/>
      <c r="CG7594"/>
      <c r="CH7594"/>
      <c r="CI7594"/>
    </row>
    <row r="7595" spans="83:87" x14ac:dyDescent="0.2">
      <c r="CE7595"/>
      <c r="CF7595"/>
      <c r="CG7595"/>
      <c r="CH7595"/>
      <c r="CI7595"/>
    </row>
    <row r="7596" spans="83:87" x14ac:dyDescent="0.2">
      <c r="CE7596"/>
      <c r="CF7596"/>
      <c r="CG7596"/>
      <c r="CH7596"/>
      <c r="CI7596"/>
    </row>
    <row r="7597" spans="83:87" x14ac:dyDescent="0.2">
      <c r="CE7597"/>
      <c r="CF7597"/>
      <c r="CG7597"/>
      <c r="CH7597"/>
      <c r="CI7597"/>
    </row>
    <row r="7598" spans="83:87" x14ac:dyDescent="0.2">
      <c r="CE7598"/>
      <c r="CF7598"/>
      <c r="CG7598"/>
      <c r="CH7598"/>
      <c r="CI7598"/>
    </row>
    <row r="7599" spans="83:87" x14ac:dyDescent="0.2">
      <c r="CE7599"/>
      <c r="CF7599"/>
      <c r="CG7599"/>
      <c r="CH7599"/>
      <c r="CI7599"/>
    </row>
    <row r="7600" spans="83:87" x14ac:dyDescent="0.2">
      <c r="CE7600"/>
      <c r="CF7600"/>
      <c r="CG7600"/>
      <c r="CH7600"/>
      <c r="CI7600"/>
    </row>
    <row r="7601" spans="83:87" x14ac:dyDescent="0.2">
      <c r="CE7601"/>
      <c r="CF7601"/>
      <c r="CG7601"/>
      <c r="CH7601"/>
      <c r="CI7601"/>
    </row>
    <row r="7602" spans="83:87" x14ac:dyDescent="0.2">
      <c r="CE7602"/>
      <c r="CF7602"/>
      <c r="CG7602"/>
      <c r="CH7602"/>
      <c r="CI7602"/>
    </row>
    <row r="7603" spans="83:87" x14ac:dyDescent="0.2">
      <c r="CE7603"/>
      <c r="CF7603"/>
      <c r="CG7603"/>
      <c r="CH7603"/>
      <c r="CI7603"/>
    </row>
    <row r="7604" spans="83:87" x14ac:dyDescent="0.2">
      <c r="CE7604"/>
      <c r="CF7604"/>
      <c r="CG7604"/>
      <c r="CH7604"/>
      <c r="CI7604"/>
    </row>
    <row r="7605" spans="83:87" x14ac:dyDescent="0.2">
      <c r="CE7605"/>
      <c r="CF7605"/>
      <c r="CG7605"/>
      <c r="CH7605"/>
      <c r="CI7605"/>
    </row>
    <row r="7606" spans="83:87" x14ac:dyDescent="0.2">
      <c r="CE7606"/>
      <c r="CF7606"/>
      <c r="CG7606"/>
      <c r="CH7606"/>
      <c r="CI7606"/>
    </row>
    <row r="7607" spans="83:87" x14ac:dyDescent="0.2">
      <c r="CE7607"/>
      <c r="CF7607"/>
      <c r="CG7607"/>
      <c r="CH7607"/>
      <c r="CI7607"/>
    </row>
    <row r="7608" spans="83:87" x14ac:dyDescent="0.2">
      <c r="CE7608"/>
      <c r="CF7608"/>
      <c r="CG7608"/>
      <c r="CH7608"/>
      <c r="CI7608"/>
    </row>
    <row r="7609" spans="83:87" x14ac:dyDescent="0.2">
      <c r="CE7609"/>
      <c r="CF7609"/>
      <c r="CG7609"/>
      <c r="CH7609"/>
      <c r="CI7609"/>
    </row>
    <row r="7610" spans="83:87" x14ac:dyDescent="0.2">
      <c r="CE7610"/>
      <c r="CF7610"/>
      <c r="CG7610"/>
      <c r="CH7610"/>
      <c r="CI7610"/>
    </row>
    <row r="7611" spans="83:87" x14ac:dyDescent="0.2">
      <c r="CE7611"/>
      <c r="CF7611"/>
      <c r="CG7611"/>
      <c r="CH7611"/>
      <c r="CI7611"/>
    </row>
    <row r="7612" spans="83:87" x14ac:dyDescent="0.2">
      <c r="CE7612"/>
      <c r="CF7612"/>
      <c r="CG7612"/>
      <c r="CH7612"/>
      <c r="CI7612"/>
    </row>
    <row r="7613" spans="83:87" x14ac:dyDescent="0.2">
      <c r="CE7613"/>
      <c r="CF7613"/>
      <c r="CG7613"/>
      <c r="CH7613"/>
      <c r="CI7613"/>
    </row>
    <row r="7614" spans="83:87" x14ac:dyDescent="0.2">
      <c r="CE7614"/>
      <c r="CF7614"/>
      <c r="CG7614"/>
      <c r="CH7614"/>
      <c r="CI7614"/>
    </row>
    <row r="7615" spans="83:87" x14ac:dyDescent="0.2">
      <c r="CE7615"/>
      <c r="CF7615"/>
      <c r="CG7615"/>
      <c r="CH7615"/>
      <c r="CI7615"/>
    </row>
    <row r="7616" spans="83:87" x14ac:dyDescent="0.2">
      <c r="CE7616"/>
      <c r="CF7616"/>
      <c r="CG7616"/>
      <c r="CH7616"/>
      <c r="CI7616"/>
    </row>
    <row r="7617" spans="83:87" x14ac:dyDescent="0.2">
      <c r="CE7617"/>
      <c r="CF7617"/>
      <c r="CG7617"/>
      <c r="CH7617"/>
      <c r="CI7617"/>
    </row>
    <row r="7618" spans="83:87" x14ac:dyDescent="0.2">
      <c r="CE7618"/>
      <c r="CF7618"/>
      <c r="CG7618"/>
      <c r="CH7618"/>
      <c r="CI7618"/>
    </row>
    <row r="7619" spans="83:87" x14ac:dyDescent="0.2">
      <c r="CE7619"/>
      <c r="CF7619"/>
      <c r="CG7619"/>
      <c r="CH7619"/>
      <c r="CI7619"/>
    </row>
    <row r="7620" spans="83:87" x14ac:dyDescent="0.2">
      <c r="CE7620"/>
      <c r="CF7620"/>
      <c r="CG7620"/>
      <c r="CH7620"/>
      <c r="CI7620"/>
    </row>
    <row r="7621" spans="83:87" x14ac:dyDescent="0.2">
      <c r="CE7621"/>
      <c r="CF7621"/>
      <c r="CG7621"/>
      <c r="CH7621"/>
      <c r="CI7621"/>
    </row>
    <row r="7622" spans="83:87" x14ac:dyDescent="0.2">
      <c r="CE7622"/>
      <c r="CF7622"/>
      <c r="CG7622"/>
      <c r="CH7622"/>
      <c r="CI7622"/>
    </row>
    <row r="7623" spans="83:87" x14ac:dyDescent="0.2">
      <c r="CE7623"/>
      <c r="CF7623"/>
      <c r="CG7623"/>
      <c r="CH7623"/>
      <c r="CI7623"/>
    </row>
    <row r="7624" spans="83:87" x14ac:dyDescent="0.2">
      <c r="CE7624"/>
      <c r="CF7624"/>
      <c r="CG7624"/>
      <c r="CH7624"/>
      <c r="CI7624"/>
    </row>
    <row r="7625" spans="83:87" x14ac:dyDescent="0.2">
      <c r="CE7625"/>
      <c r="CF7625"/>
      <c r="CG7625"/>
      <c r="CH7625"/>
      <c r="CI7625"/>
    </row>
    <row r="7626" spans="83:87" x14ac:dyDescent="0.2">
      <c r="CE7626"/>
      <c r="CF7626"/>
      <c r="CG7626"/>
      <c r="CH7626"/>
      <c r="CI7626"/>
    </row>
    <row r="7627" spans="83:87" x14ac:dyDescent="0.2">
      <c r="CE7627"/>
      <c r="CF7627"/>
      <c r="CG7627"/>
      <c r="CH7627"/>
      <c r="CI7627"/>
    </row>
    <row r="7628" spans="83:87" x14ac:dyDescent="0.2">
      <c r="CE7628"/>
      <c r="CF7628"/>
      <c r="CG7628"/>
      <c r="CH7628"/>
      <c r="CI7628"/>
    </row>
    <row r="7629" spans="83:87" x14ac:dyDescent="0.2">
      <c r="CE7629"/>
      <c r="CF7629"/>
      <c r="CG7629"/>
      <c r="CH7629"/>
      <c r="CI7629"/>
    </row>
    <row r="7630" spans="83:87" x14ac:dyDescent="0.2">
      <c r="CE7630"/>
      <c r="CF7630"/>
      <c r="CG7630"/>
      <c r="CH7630"/>
      <c r="CI7630"/>
    </row>
    <row r="7631" spans="83:87" x14ac:dyDescent="0.2">
      <c r="CE7631"/>
      <c r="CF7631"/>
      <c r="CG7631"/>
      <c r="CH7631"/>
      <c r="CI7631"/>
    </row>
    <row r="7632" spans="83:87" x14ac:dyDescent="0.2">
      <c r="CE7632"/>
      <c r="CF7632"/>
      <c r="CG7632"/>
      <c r="CH7632"/>
      <c r="CI7632"/>
    </row>
    <row r="7633" spans="83:87" x14ac:dyDescent="0.2">
      <c r="CE7633"/>
      <c r="CF7633"/>
      <c r="CG7633"/>
      <c r="CH7633"/>
      <c r="CI7633"/>
    </row>
    <row r="7634" spans="83:87" x14ac:dyDescent="0.2">
      <c r="CE7634"/>
      <c r="CF7634"/>
      <c r="CG7634"/>
      <c r="CH7634"/>
      <c r="CI7634"/>
    </row>
    <row r="7635" spans="83:87" x14ac:dyDescent="0.2">
      <c r="CE7635"/>
      <c r="CF7635"/>
      <c r="CG7635"/>
      <c r="CH7635"/>
      <c r="CI7635"/>
    </row>
    <row r="7636" spans="83:87" x14ac:dyDescent="0.2">
      <c r="CE7636"/>
      <c r="CF7636"/>
      <c r="CG7636"/>
      <c r="CH7636"/>
      <c r="CI7636"/>
    </row>
    <row r="7637" spans="83:87" x14ac:dyDescent="0.2">
      <c r="CE7637"/>
      <c r="CF7637"/>
      <c r="CG7637"/>
      <c r="CH7637"/>
      <c r="CI7637"/>
    </row>
    <row r="7638" spans="83:87" x14ac:dyDescent="0.2">
      <c r="CE7638"/>
      <c r="CF7638"/>
      <c r="CG7638"/>
      <c r="CH7638"/>
      <c r="CI7638"/>
    </row>
    <row r="7639" spans="83:87" x14ac:dyDescent="0.2">
      <c r="CE7639"/>
      <c r="CF7639"/>
      <c r="CG7639"/>
      <c r="CH7639"/>
      <c r="CI7639"/>
    </row>
    <row r="7640" spans="83:87" x14ac:dyDescent="0.2">
      <c r="CE7640"/>
      <c r="CF7640"/>
      <c r="CG7640"/>
      <c r="CH7640"/>
      <c r="CI7640"/>
    </row>
    <row r="7641" spans="83:87" x14ac:dyDescent="0.2">
      <c r="CE7641"/>
      <c r="CF7641"/>
      <c r="CG7641"/>
      <c r="CH7641"/>
      <c r="CI7641"/>
    </row>
    <row r="7642" spans="83:87" x14ac:dyDescent="0.2">
      <c r="CE7642"/>
      <c r="CF7642"/>
      <c r="CG7642"/>
      <c r="CH7642"/>
      <c r="CI7642"/>
    </row>
    <row r="7643" spans="83:87" x14ac:dyDescent="0.2">
      <c r="CE7643"/>
      <c r="CF7643"/>
      <c r="CG7643"/>
      <c r="CH7643"/>
      <c r="CI7643"/>
    </row>
    <row r="7644" spans="83:87" x14ac:dyDescent="0.2">
      <c r="CE7644"/>
      <c r="CF7644"/>
      <c r="CG7644"/>
      <c r="CH7644"/>
      <c r="CI7644"/>
    </row>
    <row r="7645" spans="83:87" x14ac:dyDescent="0.2">
      <c r="CE7645"/>
      <c r="CF7645"/>
      <c r="CG7645"/>
      <c r="CH7645"/>
      <c r="CI7645"/>
    </row>
    <row r="7646" spans="83:87" x14ac:dyDescent="0.2">
      <c r="CE7646"/>
      <c r="CF7646"/>
      <c r="CG7646"/>
      <c r="CH7646"/>
      <c r="CI7646"/>
    </row>
    <row r="7647" spans="83:87" x14ac:dyDescent="0.2">
      <c r="CE7647"/>
      <c r="CF7647"/>
      <c r="CG7647"/>
      <c r="CH7647"/>
      <c r="CI7647"/>
    </row>
    <row r="7648" spans="83:87" x14ac:dyDescent="0.2">
      <c r="CE7648"/>
      <c r="CF7648"/>
      <c r="CG7648"/>
      <c r="CH7648"/>
      <c r="CI7648"/>
    </row>
    <row r="7649" spans="83:87" x14ac:dyDescent="0.2">
      <c r="CE7649"/>
      <c r="CF7649"/>
      <c r="CG7649"/>
      <c r="CH7649"/>
      <c r="CI7649"/>
    </row>
    <row r="7650" spans="83:87" x14ac:dyDescent="0.2">
      <c r="CE7650"/>
      <c r="CF7650"/>
      <c r="CG7650"/>
      <c r="CH7650"/>
      <c r="CI7650"/>
    </row>
    <row r="7651" spans="83:87" x14ac:dyDescent="0.2">
      <c r="CE7651"/>
      <c r="CF7651"/>
      <c r="CG7651"/>
      <c r="CH7651"/>
      <c r="CI7651"/>
    </row>
    <row r="7652" spans="83:87" x14ac:dyDescent="0.2">
      <c r="CE7652"/>
      <c r="CF7652"/>
      <c r="CG7652"/>
      <c r="CH7652"/>
      <c r="CI7652"/>
    </row>
    <row r="7653" spans="83:87" x14ac:dyDescent="0.2">
      <c r="CE7653"/>
      <c r="CF7653"/>
      <c r="CG7653"/>
      <c r="CH7653"/>
      <c r="CI7653"/>
    </row>
    <row r="7654" spans="83:87" x14ac:dyDescent="0.2">
      <c r="CE7654"/>
      <c r="CF7654"/>
      <c r="CG7654"/>
      <c r="CH7654"/>
      <c r="CI7654"/>
    </row>
    <row r="7655" spans="83:87" x14ac:dyDescent="0.2">
      <c r="CE7655"/>
      <c r="CF7655"/>
      <c r="CG7655"/>
      <c r="CH7655"/>
      <c r="CI7655"/>
    </row>
    <row r="7656" spans="83:87" x14ac:dyDescent="0.2">
      <c r="CE7656"/>
      <c r="CF7656"/>
      <c r="CG7656"/>
      <c r="CH7656"/>
      <c r="CI7656"/>
    </row>
    <row r="7657" spans="83:87" x14ac:dyDescent="0.2">
      <c r="CE7657"/>
      <c r="CF7657"/>
      <c r="CG7657"/>
      <c r="CH7657"/>
      <c r="CI7657"/>
    </row>
    <row r="7658" spans="83:87" x14ac:dyDescent="0.2">
      <c r="CE7658"/>
      <c r="CF7658"/>
      <c r="CG7658"/>
      <c r="CH7658"/>
      <c r="CI7658"/>
    </row>
    <row r="7659" spans="83:87" x14ac:dyDescent="0.2">
      <c r="CE7659"/>
      <c r="CF7659"/>
      <c r="CG7659"/>
      <c r="CH7659"/>
      <c r="CI7659"/>
    </row>
    <row r="7660" spans="83:87" x14ac:dyDescent="0.2">
      <c r="CE7660"/>
      <c r="CF7660"/>
      <c r="CG7660"/>
      <c r="CH7660"/>
      <c r="CI7660"/>
    </row>
    <row r="7661" spans="83:87" x14ac:dyDescent="0.2">
      <c r="CE7661"/>
      <c r="CF7661"/>
      <c r="CG7661"/>
      <c r="CH7661"/>
      <c r="CI7661"/>
    </row>
    <row r="7662" spans="83:87" x14ac:dyDescent="0.2">
      <c r="CE7662"/>
      <c r="CF7662"/>
      <c r="CG7662"/>
      <c r="CH7662"/>
      <c r="CI7662"/>
    </row>
    <row r="7663" spans="83:87" x14ac:dyDescent="0.2">
      <c r="CE7663"/>
      <c r="CF7663"/>
      <c r="CG7663"/>
      <c r="CH7663"/>
      <c r="CI7663"/>
    </row>
    <row r="7664" spans="83:87" x14ac:dyDescent="0.2">
      <c r="CE7664"/>
      <c r="CF7664"/>
      <c r="CG7664"/>
      <c r="CH7664"/>
      <c r="CI7664"/>
    </row>
    <row r="7665" spans="83:87" x14ac:dyDescent="0.2">
      <c r="CE7665"/>
      <c r="CF7665"/>
      <c r="CG7665"/>
      <c r="CH7665"/>
      <c r="CI7665"/>
    </row>
    <row r="7666" spans="83:87" x14ac:dyDescent="0.2">
      <c r="CE7666"/>
      <c r="CF7666"/>
      <c r="CG7666"/>
      <c r="CH7666"/>
      <c r="CI7666"/>
    </row>
    <row r="7667" spans="83:87" x14ac:dyDescent="0.2">
      <c r="CE7667"/>
      <c r="CF7667"/>
      <c r="CG7667"/>
      <c r="CH7667"/>
      <c r="CI7667"/>
    </row>
    <row r="7668" spans="83:87" x14ac:dyDescent="0.2">
      <c r="CE7668"/>
      <c r="CF7668"/>
      <c r="CG7668"/>
      <c r="CH7668"/>
      <c r="CI7668"/>
    </row>
    <row r="7669" spans="83:87" x14ac:dyDescent="0.2">
      <c r="CE7669"/>
      <c r="CF7669"/>
      <c r="CG7669"/>
      <c r="CH7669"/>
      <c r="CI7669"/>
    </row>
    <row r="7670" spans="83:87" x14ac:dyDescent="0.2">
      <c r="CE7670"/>
      <c r="CF7670"/>
      <c r="CG7670"/>
      <c r="CH7670"/>
      <c r="CI7670"/>
    </row>
    <row r="7671" spans="83:87" x14ac:dyDescent="0.2">
      <c r="CE7671"/>
      <c r="CF7671"/>
      <c r="CG7671"/>
      <c r="CH7671"/>
      <c r="CI7671"/>
    </row>
    <row r="7672" spans="83:87" x14ac:dyDescent="0.2">
      <c r="CE7672"/>
      <c r="CF7672"/>
      <c r="CG7672"/>
      <c r="CH7672"/>
      <c r="CI7672"/>
    </row>
    <row r="7673" spans="83:87" x14ac:dyDescent="0.2">
      <c r="CE7673"/>
      <c r="CF7673"/>
      <c r="CG7673"/>
      <c r="CH7673"/>
      <c r="CI7673"/>
    </row>
    <row r="7674" spans="83:87" x14ac:dyDescent="0.2">
      <c r="CE7674"/>
      <c r="CF7674"/>
      <c r="CG7674"/>
      <c r="CH7674"/>
      <c r="CI7674"/>
    </row>
    <row r="7675" spans="83:87" x14ac:dyDescent="0.2">
      <c r="CE7675"/>
      <c r="CF7675"/>
      <c r="CG7675"/>
      <c r="CH7675"/>
      <c r="CI7675"/>
    </row>
    <row r="7676" spans="83:87" x14ac:dyDescent="0.2">
      <c r="CE7676"/>
      <c r="CF7676"/>
      <c r="CG7676"/>
      <c r="CH7676"/>
      <c r="CI7676"/>
    </row>
    <row r="7677" spans="83:87" x14ac:dyDescent="0.2">
      <c r="CE7677"/>
      <c r="CF7677"/>
      <c r="CG7677"/>
      <c r="CH7677"/>
      <c r="CI7677"/>
    </row>
    <row r="7678" spans="83:87" x14ac:dyDescent="0.2">
      <c r="CE7678"/>
      <c r="CF7678"/>
      <c r="CG7678"/>
      <c r="CH7678"/>
      <c r="CI7678"/>
    </row>
    <row r="7679" spans="83:87" x14ac:dyDescent="0.2">
      <c r="CE7679"/>
      <c r="CF7679"/>
      <c r="CG7679"/>
      <c r="CH7679"/>
      <c r="CI7679"/>
    </row>
    <row r="7680" spans="83:87" x14ac:dyDescent="0.2">
      <c r="CE7680"/>
      <c r="CF7680"/>
      <c r="CG7680"/>
      <c r="CH7680"/>
      <c r="CI7680"/>
    </row>
    <row r="7681" spans="83:87" x14ac:dyDescent="0.2">
      <c r="CE7681"/>
      <c r="CF7681"/>
      <c r="CG7681"/>
      <c r="CH7681"/>
      <c r="CI7681"/>
    </row>
    <row r="7682" spans="83:87" x14ac:dyDescent="0.2">
      <c r="CE7682"/>
      <c r="CF7682"/>
      <c r="CG7682"/>
      <c r="CH7682"/>
      <c r="CI7682"/>
    </row>
    <row r="7683" spans="83:87" x14ac:dyDescent="0.2">
      <c r="CE7683"/>
      <c r="CF7683"/>
      <c r="CG7683"/>
      <c r="CH7683"/>
      <c r="CI7683"/>
    </row>
    <row r="7684" spans="83:87" x14ac:dyDescent="0.2">
      <c r="CE7684"/>
      <c r="CF7684"/>
      <c r="CG7684"/>
      <c r="CH7684"/>
      <c r="CI7684"/>
    </row>
    <row r="7685" spans="83:87" x14ac:dyDescent="0.2">
      <c r="CE7685"/>
      <c r="CF7685"/>
      <c r="CG7685"/>
      <c r="CH7685"/>
      <c r="CI7685"/>
    </row>
    <row r="7686" spans="83:87" x14ac:dyDescent="0.2">
      <c r="CE7686"/>
      <c r="CF7686"/>
      <c r="CG7686"/>
      <c r="CH7686"/>
      <c r="CI7686"/>
    </row>
    <row r="7687" spans="83:87" x14ac:dyDescent="0.2">
      <c r="CE7687"/>
      <c r="CF7687"/>
      <c r="CG7687"/>
      <c r="CH7687"/>
      <c r="CI7687"/>
    </row>
    <row r="7688" spans="83:87" x14ac:dyDescent="0.2">
      <c r="CE7688"/>
      <c r="CF7688"/>
      <c r="CG7688"/>
      <c r="CH7688"/>
      <c r="CI7688"/>
    </row>
    <row r="7689" spans="83:87" x14ac:dyDescent="0.2">
      <c r="CE7689"/>
      <c r="CF7689"/>
      <c r="CG7689"/>
      <c r="CH7689"/>
      <c r="CI7689"/>
    </row>
    <row r="7690" spans="83:87" x14ac:dyDescent="0.2">
      <c r="CE7690"/>
      <c r="CF7690"/>
      <c r="CG7690"/>
      <c r="CH7690"/>
      <c r="CI7690"/>
    </row>
    <row r="7691" spans="83:87" x14ac:dyDescent="0.2">
      <c r="CE7691"/>
      <c r="CF7691"/>
      <c r="CG7691"/>
      <c r="CH7691"/>
      <c r="CI7691"/>
    </row>
    <row r="7692" spans="83:87" x14ac:dyDescent="0.2">
      <c r="CE7692"/>
      <c r="CF7692"/>
      <c r="CG7692"/>
      <c r="CH7692"/>
      <c r="CI7692"/>
    </row>
    <row r="7693" spans="83:87" x14ac:dyDescent="0.2">
      <c r="CE7693"/>
      <c r="CF7693"/>
      <c r="CG7693"/>
      <c r="CH7693"/>
      <c r="CI7693"/>
    </row>
    <row r="7694" spans="83:87" x14ac:dyDescent="0.2">
      <c r="CE7694"/>
      <c r="CF7694"/>
      <c r="CG7694"/>
      <c r="CH7694"/>
      <c r="CI7694"/>
    </row>
    <row r="7695" spans="83:87" x14ac:dyDescent="0.2">
      <c r="CE7695"/>
      <c r="CF7695"/>
      <c r="CG7695"/>
      <c r="CH7695"/>
      <c r="CI7695"/>
    </row>
    <row r="7696" spans="83:87" x14ac:dyDescent="0.2">
      <c r="CE7696"/>
      <c r="CF7696"/>
      <c r="CG7696"/>
      <c r="CH7696"/>
      <c r="CI7696"/>
    </row>
    <row r="7697" spans="83:87" x14ac:dyDescent="0.2">
      <c r="CE7697"/>
      <c r="CF7697"/>
      <c r="CG7697"/>
      <c r="CH7697"/>
      <c r="CI7697"/>
    </row>
    <row r="7698" spans="83:87" x14ac:dyDescent="0.2">
      <c r="CE7698"/>
      <c r="CF7698"/>
      <c r="CG7698"/>
      <c r="CH7698"/>
      <c r="CI7698"/>
    </row>
    <row r="7699" spans="83:87" x14ac:dyDescent="0.2">
      <c r="CE7699"/>
      <c r="CF7699"/>
      <c r="CG7699"/>
      <c r="CH7699"/>
      <c r="CI7699"/>
    </row>
    <row r="7700" spans="83:87" x14ac:dyDescent="0.2">
      <c r="CE7700"/>
      <c r="CF7700"/>
      <c r="CG7700"/>
      <c r="CH7700"/>
      <c r="CI7700"/>
    </row>
    <row r="7701" spans="83:87" x14ac:dyDescent="0.2">
      <c r="CE7701"/>
      <c r="CF7701"/>
      <c r="CG7701"/>
      <c r="CH7701"/>
      <c r="CI7701"/>
    </row>
    <row r="7702" spans="83:87" x14ac:dyDescent="0.2">
      <c r="CE7702"/>
      <c r="CF7702"/>
      <c r="CG7702"/>
      <c r="CH7702"/>
      <c r="CI7702"/>
    </row>
    <row r="7703" spans="83:87" x14ac:dyDescent="0.2">
      <c r="CE7703"/>
      <c r="CF7703"/>
      <c r="CG7703"/>
      <c r="CH7703"/>
      <c r="CI7703"/>
    </row>
    <row r="7704" spans="83:87" x14ac:dyDescent="0.2">
      <c r="CE7704"/>
      <c r="CF7704"/>
      <c r="CG7704"/>
      <c r="CH7704"/>
      <c r="CI7704"/>
    </row>
    <row r="7705" spans="83:87" x14ac:dyDescent="0.2">
      <c r="CE7705"/>
      <c r="CF7705"/>
      <c r="CG7705"/>
      <c r="CH7705"/>
      <c r="CI7705"/>
    </row>
    <row r="7706" spans="83:87" x14ac:dyDescent="0.2">
      <c r="CE7706"/>
      <c r="CF7706"/>
      <c r="CG7706"/>
      <c r="CH7706"/>
      <c r="CI7706"/>
    </row>
    <row r="7707" spans="83:87" x14ac:dyDescent="0.2">
      <c r="CE7707"/>
      <c r="CF7707"/>
      <c r="CG7707"/>
      <c r="CH7707"/>
      <c r="CI7707"/>
    </row>
    <row r="7708" spans="83:87" x14ac:dyDescent="0.2">
      <c r="CE7708"/>
      <c r="CF7708"/>
      <c r="CG7708"/>
      <c r="CH7708"/>
      <c r="CI7708"/>
    </row>
    <row r="7709" spans="83:87" x14ac:dyDescent="0.2">
      <c r="CE7709"/>
      <c r="CF7709"/>
      <c r="CG7709"/>
      <c r="CH7709"/>
      <c r="CI7709"/>
    </row>
    <row r="7710" spans="83:87" x14ac:dyDescent="0.2">
      <c r="CE7710"/>
      <c r="CF7710"/>
      <c r="CG7710"/>
      <c r="CH7710"/>
      <c r="CI7710"/>
    </row>
    <row r="7711" spans="83:87" x14ac:dyDescent="0.2">
      <c r="CE7711"/>
      <c r="CF7711"/>
      <c r="CG7711"/>
      <c r="CH7711"/>
      <c r="CI7711"/>
    </row>
    <row r="7712" spans="83:87" x14ac:dyDescent="0.2">
      <c r="CE7712"/>
      <c r="CF7712"/>
      <c r="CG7712"/>
      <c r="CH7712"/>
      <c r="CI7712"/>
    </row>
    <row r="7713" spans="83:87" x14ac:dyDescent="0.2">
      <c r="CE7713"/>
      <c r="CF7713"/>
      <c r="CG7713"/>
      <c r="CH7713"/>
      <c r="CI7713"/>
    </row>
    <row r="7714" spans="83:87" x14ac:dyDescent="0.2">
      <c r="CE7714"/>
      <c r="CF7714"/>
      <c r="CG7714"/>
      <c r="CH7714"/>
      <c r="CI7714"/>
    </row>
    <row r="7715" spans="83:87" x14ac:dyDescent="0.2">
      <c r="CE7715"/>
      <c r="CF7715"/>
      <c r="CG7715"/>
      <c r="CH7715"/>
      <c r="CI7715"/>
    </row>
    <row r="7716" spans="83:87" x14ac:dyDescent="0.2">
      <c r="CE7716"/>
      <c r="CF7716"/>
      <c r="CG7716"/>
      <c r="CH7716"/>
      <c r="CI7716"/>
    </row>
    <row r="7717" spans="83:87" x14ac:dyDescent="0.2">
      <c r="CE7717"/>
      <c r="CF7717"/>
      <c r="CG7717"/>
      <c r="CH7717"/>
      <c r="CI7717"/>
    </row>
    <row r="7718" spans="83:87" x14ac:dyDescent="0.2">
      <c r="CE7718"/>
      <c r="CF7718"/>
      <c r="CG7718"/>
      <c r="CH7718"/>
      <c r="CI7718"/>
    </row>
    <row r="7719" spans="83:87" x14ac:dyDescent="0.2">
      <c r="CE7719"/>
      <c r="CF7719"/>
      <c r="CG7719"/>
      <c r="CH7719"/>
      <c r="CI7719"/>
    </row>
    <row r="7720" spans="83:87" x14ac:dyDescent="0.2">
      <c r="CE7720"/>
      <c r="CF7720"/>
      <c r="CG7720"/>
      <c r="CH7720"/>
      <c r="CI7720"/>
    </row>
    <row r="7721" spans="83:87" x14ac:dyDescent="0.2">
      <c r="CE7721"/>
      <c r="CF7721"/>
      <c r="CG7721"/>
      <c r="CH7721"/>
      <c r="CI7721"/>
    </row>
    <row r="7722" spans="83:87" x14ac:dyDescent="0.2">
      <c r="CE7722"/>
      <c r="CF7722"/>
      <c r="CG7722"/>
      <c r="CH7722"/>
      <c r="CI7722"/>
    </row>
    <row r="7723" spans="83:87" x14ac:dyDescent="0.2">
      <c r="CE7723"/>
      <c r="CF7723"/>
      <c r="CG7723"/>
      <c r="CH7723"/>
      <c r="CI7723"/>
    </row>
    <row r="7724" spans="83:87" x14ac:dyDescent="0.2">
      <c r="CE7724"/>
      <c r="CF7724"/>
      <c r="CG7724"/>
      <c r="CH7724"/>
      <c r="CI7724"/>
    </row>
    <row r="7725" spans="83:87" x14ac:dyDescent="0.2">
      <c r="CE7725"/>
      <c r="CF7725"/>
      <c r="CG7725"/>
      <c r="CH7725"/>
      <c r="CI7725"/>
    </row>
    <row r="7726" spans="83:87" x14ac:dyDescent="0.2">
      <c r="CE7726"/>
      <c r="CF7726"/>
      <c r="CG7726"/>
      <c r="CH7726"/>
      <c r="CI7726"/>
    </row>
    <row r="7727" spans="83:87" x14ac:dyDescent="0.2">
      <c r="CE7727"/>
      <c r="CF7727"/>
      <c r="CG7727"/>
      <c r="CH7727"/>
      <c r="CI7727"/>
    </row>
    <row r="7728" spans="83:87" x14ac:dyDescent="0.2">
      <c r="CE7728"/>
      <c r="CF7728"/>
      <c r="CG7728"/>
      <c r="CH7728"/>
      <c r="CI7728"/>
    </row>
    <row r="7729" spans="83:87" x14ac:dyDescent="0.2">
      <c r="CE7729"/>
      <c r="CF7729"/>
      <c r="CG7729"/>
      <c r="CH7729"/>
      <c r="CI7729"/>
    </row>
    <row r="7730" spans="83:87" x14ac:dyDescent="0.2">
      <c r="CE7730"/>
      <c r="CF7730"/>
      <c r="CG7730"/>
      <c r="CH7730"/>
      <c r="CI7730"/>
    </row>
    <row r="7731" spans="83:87" x14ac:dyDescent="0.2">
      <c r="CE7731"/>
      <c r="CF7731"/>
      <c r="CG7731"/>
      <c r="CH7731"/>
      <c r="CI7731"/>
    </row>
    <row r="7732" spans="83:87" x14ac:dyDescent="0.2">
      <c r="CE7732"/>
      <c r="CF7732"/>
      <c r="CG7732"/>
      <c r="CH7732"/>
      <c r="CI7732"/>
    </row>
    <row r="7733" spans="83:87" x14ac:dyDescent="0.2">
      <c r="CE7733"/>
      <c r="CF7733"/>
      <c r="CG7733"/>
      <c r="CH7733"/>
      <c r="CI7733"/>
    </row>
    <row r="7734" spans="83:87" x14ac:dyDescent="0.2">
      <c r="CE7734"/>
      <c r="CF7734"/>
      <c r="CG7734"/>
      <c r="CH7734"/>
      <c r="CI7734"/>
    </row>
    <row r="7735" spans="83:87" x14ac:dyDescent="0.2">
      <c r="CE7735"/>
      <c r="CF7735"/>
      <c r="CG7735"/>
      <c r="CH7735"/>
      <c r="CI7735"/>
    </row>
    <row r="7736" spans="83:87" x14ac:dyDescent="0.2">
      <c r="CE7736"/>
      <c r="CF7736"/>
      <c r="CG7736"/>
      <c r="CH7736"/>
      <c r="CI7736"/>
    </row>
    <row r="7737" spans="83:87" x14ac:dyDescent="0.2">
      <c r="CE7737"/>
      <c r="CF7737"/>
      <c r="CG7737"/>
      <c r="CH7737"/>
      <c r="CI7737"/>
    </row>
    <row r="7738" spans="83:87" x14ac:dyDescent="0.2">
      <c r="CE7738"/>
      <c r="CF7738"/>
      <c r="CG7738"/>
      <c r="CH7738"/>
      <c r="CI7738"/>
    </row>
    <row r="7739" spans="83:87" x14ac:dyDescent="0.2">
      <c r="CE7739"/>
      <c r="CF7739"/>
      <c r="CG7739"/>
      <c r="CH7739"/>
      <c r="CI7739"/>
    </row>
    <row r="7740" spans="83:87" x14ac:dyDescent="0.2">
      <c r="CE7740"/>
      <c r="CF7740"/>
      <c r="CG7740"/>
      <c r="CH7740"/>
      <c r="CI7740"/>
    </row>
    <row r="7741" spans="83:87" x14ac:dyDescent="0.2">
      <c r="CE7741"/>
      <c r="CF7741"/>
      <c r="CG7741"/>
      <c r="CH7741"/>
      <c r="CI7741"/>
    </row>
    <row r="7742" spans="83:87" x14ac:dyDescent="0.2">
      <c r="CE7742"/>
      <c r="CF7742"/>
      <c r="CG7742"/>
      <c r="CH7742"/>
      <c r="CI7742"/>
    </row>
    <row r="7743" spans="83:87" x14ac:dyDescent="0.2">
      <c r="CE7743"/>
      <c r="CF7743"/>
      <c r="CG7743"/>
      <c r="CH7743"/>
      <c r="CI7743"/>
    </row>
    <row r="7744" spans="83:87" x14ac:dyDescent="0.2">
      <c r="CE7744"/>
      <c r="CF7744"/>
      <c r="CG7744"/>
      <c r="CH7744"/>
      <c r="CI7744"/>
    </row>
    <row r="7745" spans="83:87" x14ac:dyDescent="0.2">
      <c r="CE7745"/>
      <c r="CF7745"/>
      <c r="CG7745"/>
      <c r="CH7745"/>
      <c r="CI7745"/>
    </row>
    <row r="7746" spans="83:87" x14ac:dyDescent="0.2">
      <c r="CE7746"/>
      <c r="CF7746"/>
      <c r="CG7746"/>
      <c r="CH7746"/>
      <c r="CI7746"/>
    </row>
    <row r="7747" spans="83:87" x14ac:dyDescent="0.2">
      <c r="CE7747"/>
      <c r="CF7747"/>
      <c r="CG7747"/>
      <c r="CH7747"/>
      <c r="CI7747"/>
    </row>
    <row r="7748" spans="83:87" x14ac:dyDescent="0.2">
      <c r="CE7748"/>
      <c r="CF7748"/>
      <c r="CG7748"/>
      <c r="CH7748"/>
      <c r="CI7748"/>
    </row>
    <row r="7749" spans="83:87" x14ac:dyDescent="0.2">
      <c r="CE7749"/>
      <c r="CF7749"/>
      <c r="CG7749"/>
      <c r="CH7749"/>
      <c r="CI7749"/>
    </row>
    <row r="7750" spans="83:87" x14ac:dyDescent="0.2">
      <c r="CE7750"/>
      <c r="CF7750"/>
      <c r="CG7750"/>
      <c r="CH7750"/>
      <c r="CI7750"/>
    </row>
    <row r="7751" spans="83:87" x14ac:dyDescent="0.2">
      <c r="CE7751"/>
      <c r="CF7751"/>
      <c r="CG7751"/>
      <c r="CH7751"/>
      <c r="CI7751"/>
    </row>
    <row r="7752" spans="83:87" x14ac:dyDescent="0.2">
      <c r="CE7752"/>
      <c r="CF7752"/>
      <c r="CG7752"/>
      <c r="CH7752"/>
      <c r="CI7752"/>
    </row>
    <row r="7753" spans="83:87" x14ac:dyDescent="0.2">
      <c r="CE7753"/>
      <c r="CF7753"/>
      <c r="CG7753"/>
      <c r="CH7753"/>
      <c r="CI7753"/>
    </row>
    <row r="7754" spans="83:87" x14ac:dyDescent="0.2">
      <c r="CE7754"/>
      <c r="CF7754"/>
      <c r="CG7754"/>
      <c r="CH7754"/>
      <c r="CI7754"/>
    </row>
    <row r="7755" spans="83:87" x14ac:dyDescent="0.2">
      <c r="CE7755"/>
      <c r="CF7755"/>
      <c r="CG7755"/>
      <c r="CH7755"/>
      <c r="CI7755"/>
    </row>
    <row r="7756" spans="83:87" x14ac:dyDescent="0.2">
      <c r="CE7756"/>
      <c r="CF7756"/>
      <c r="CG7756"/>
      <c r="CH7756"/>
      <c r="CI7756"/>
    </row>
    <row r="7757" spans="83:87" x14ac:dyDescent="0.2">
      <c r="CE7757"/>
      <c r="CF7757"/>
      <c r="CG7757"/>
      <c r="CH7757"/>
      <c r="CI7757"/>
    </row>
    <row r="7758" spans="83:87" x14ac:dyDescent="0.2">
      <c r="CE7758"/>
      <c r="CF7758"/>
      <c r="CG7758"/>
      <c r="CH7758"/>
      <c r="CI7758"/>
    </row>
    <row r="7759" spans="83:87" x14ac:dyDescent="0.2">
      <c r="CE7759"/>
      <c r="CF7759"/>
      <c r="CG7759"/>
      <c r="CH7759"/>
      <c r="CI7759"/>
    </row>
    <row r="7760" spans="83:87" x14ac:dyDescent="0.2">
      <c r="CE7760"/>
      <c r="CF7760"/>
      <c r="CG7760"/>
      <c r="CH7760"/>
      <c r="CI7760"/>
    </row>
    <row r="7761" spans="83:87" x14ac:dyDescent="0.2">
      <c r="CE7761"/>
      <c r="CF7761"/>
      <c r="CG7761"/>
      <c r="CH7761"/>
      <c r="CI7761"/>
    </row>
    <row r="7762" spans="83:87" x14ac:dyDescent="0.2">
      <c r="CE7762"/>
      <c r="CF7762"/>
      <c r="CG7762"/>
      <c r="CH7762"/>
      <c r="CI7762"/>
    </row>
    <row r="7763" spans="83:87" x14ac:dyDescent="0.2">
      <c r="CE7763"/>
      <c r="CF7763"/>
      <c r="CG7763"/>
      <c r="CH7763"/>
      <c r="CI7763"/>
    </row>
    <row r="7764" spans="83:87" x14ac:dyDescent="0.2">
      <c r="CE7764"/>
      <c r="CF7764"/>
      <c r="CG7764"/>
      <c r="CH7764"/>
      <c r="CI7764"/>
    </row>
    <row r="7765" spans="83:87" x14ac:dyDescent="0.2">
      <c r="CE7765"/>
      <c r="CF7765"/>
      <c r="CG7765"/>
      <c r="CH7765"/>
      <c r="CI7765"/>
    </row>
    <row r="7766" spans="83:87" x14ac:dyDescent="0.2">
      <c r="CE7766"/>
      <c r="CF7766"/>
      <c r="CG7766"/>
      <c r="CH7766"/>
      <c r="CI7766"/>
    </row>
    <row r="7767" spans="83:87" x14ac:dyDescent="0.2">
      <c r="CE7767"/>
      <c r="CF7767"/>
      <c r="CG7767"/>
      <c r="CH7767"/>
      <c r="CI7767"/>
    </row>
    <row r="7768" spans="83:87" x14ac:dyDescent="0.2">
      <c r="CE7768"/>
      <c r="CF7768"/>
      <c r="CG7768"/>
      <c r="CH7768"/>
      <c r="CI7768"/>
    </row>
    <row r="7769" spans="83:87" x14ac:dyDescent="0.2">
      <c r="CE7769"/>
      <c r="CF7769"/>
      <c r="CG7769"/>
      <c r="CH7769"/>
      <c r="CI7769"/>
    </row>
    <row r="7770" spans="83:87" x14ac:dyDescent="0.2">
      <c r="CE7770"/>
      <c r="CF7770"/>
      <c r="CG7770"/>
      <c r="CH7770"/>
      <c r="CI7770"/>
    </row>
    <row r="7771" spans="83:87" x14ac:dyDescent="0.2">
      <c r="CE7771"/>
      <c r="CF7771"/>
      <c r="CG7771"/>
      <c r="CH7771"/>
      <c r="CI7771"/>
    </row>
    <row r="7772" spans="83:87" x14ac:dyDescent="0.2">
      <c r="CE7772"/>
      <c r="CF7772"/>
      <c r="CG7772"/>
      <c r="CH7772"/>
      <c r="CI7772"/>
    </row>
    <row r="7773" spans="83:87" x14ac:dyDescent="0.2">
      <c r="CE7773"/>
      <c r="CF7773"/>
      <c r="CG7773"/>
      <c r="CH7773"/>
      <c r="CI7773"/>
    </row>
    <row r="7774" spans="83:87" x14ac:dyDescent="0.2">
      <c r="CE7774"/>
      <c r="CF7774"/>
      <c r="CG7774"/>
      <c r="CH7774"/>
      <c r="CI7774"/>
    </row>
    <row r="7775" spans="83:87" x14ac:dyDescent="0.2">
      <c r="CE7775"/>
      <c r="CF7775"/>
      <c r="CG7775"/>
      <c r="CH7775"/>
      <c r="CI7775"/>
    </row>
    <row r="7776" spans="83:87" x14ac:dyDescent="0.2">
      <c r="CE7776"/>
      <c r="CF7776"/>
      <c r="CG7776"/>
      <c r="CH7776"/>
      <c r="CI7776"/>
    </row>
    <row r="7777" spans="83:87" x14ac:dyDescent="0.2">
      <c r="CE7777"/>
      <c r="CF7777"/>
      <c r="CG7777"/>
      <c r="CH7777"/>
      <c r="CI7777"/>
    </row>
    <row r="7778" spans="83:87" x14ac:dyDescent="0.2">
      <c r="CE7778"/>
      <c r="CF7778"/>
      <c r="CG7778"/>
      <c r="CH7778"/>
      <c r="CI7778"/>
    </row>
    <row r="7779" spans="83:87" x14ac:dyDescent="0.2">
      <c r="CE7779"/>
      <c r="CF7779"/>
      <c r="CG7779"/>
      <c r="CH7779"/>
      <c r="CI7779"/>
    </row>
    <row r="7780" spans="83:87" x14ac:dyDescent="0.2">
      <c r="CE7780"/>
      <c r="CF7780"/>
      <c r="CG7780"/>
      <c r="CH7780"/>
      <c r="CI7780"/>
    </row>
    <row r="7781" spans="83:87" x14ac:dyDescent="0.2">
      <c r="CE7781"/>
      <c r="CF7781"/>
      <c r="CG7781"/>
      <c r="CH7781"/>
      <c r="CI7781"/>
    </row>
    <row r="7782" spans="83:87" x14ac:dyDescent="0.2">
      <c r="CE7782"/>
      <c r="CF7782"/>
      <c r="CG7782"/>
      <c r="CH7782"/>
      <c r="CI7782"/>
    </row>
    <row r="7783" spans="83:87" x14ac:dyDescent="0.2">
      <c r="CE7783"/>
      <c r="CF7783"/>
      <c r="CG7783"/>
      <c r="CH7783"/>
      <c r="CI7783"/>
    </row>
    <row r="7784" spans="83:87" x14ac:dyDescent="0.2">
      <c r="CE7784"/>
      <c r="CF7784"/>
      <c r="CG7784"/>
      <c r="CH7784"/>
      <c r="CI7784"/>
    </row>
    <row r="7785" spans="83:87" x14ac:dyDescent="0.2">
      <c r="CE7785"/>
      <c r="CF7785"/>
      <c r="CG7785"/>
      <c r="CH7785"/>
      <c r="CI7785"/>
    </row>
    <row r="7786" spans="83:87" x14ac:dyDescent="0.2">
      <c r="CE7786"/>
      <c r="CF7786"/>
      <c r="CG7786"/>
      <c r="CH7786"/>
      <c r="CI7786"/>
    </row>
    <row r="7787" spans="83:87" x14ac:dyDescent="0.2">
      <c r="CE7787"/>
      <c r="CF7787"/>
      <c r="CG7787"/>
      <c r="CH7787"/>
      <c r="CI7787"/>
    </row>
    <row r="7788" spans="83:87" x14ac:dyDescent="0.2">
      <c r="CE7788"/>
      <c r="CF7788"/>
      <c r="CG7788"/>
      <c r="CH7788"/>
      <c r="CI7788"/>
    </row>
    <row r="7789" spans="83:87" x14ac:dyDescent="0.2">
      <c r="CE7789"/>
      <c r="CF7789"/>
      <c r="CG7789"/>
      <c r="CH7789"/>
      <c r="CI7789"/>
    </row>
    <row r="7790" spans="83:87" x14ac:dyDescent="0.2">
      <c r="CE7790"/>
      <c r="CF7790"/>
      <c r="CG7790"/>
      <c r="CH7790"/>
      <c r="CI7790"/>
    </row>
    <row r="7791" spans="83:87" x14ac:dyDescent="0.2">
      <c r="CE7791"/>
      <c r="CF7791"/>
      <c r="CG7791"/>
      <c r="CH7791"/>
      <c r="CI7791"/>
    </row>
    <row r="7792" spans="83:87" x14ac:dyDescent="0.2">
      <c r="CE7792"/>
      <c r="CF7792"/>
      <c r="CG7792"/>
      <c r="CH7792"/>
      <c r="CI7792"/>
    </row>
    <row r="7793" spans="83:87" x14ac:dyDescent="0.2">
      <c r="CE7793"/>
      <c r="CF7793"/>
      <c r="CG7793"/>
      <c r="CH7793"/>
      <c r="CI7793"/>
    </row>
    <row r="7794" spans="83:87" x14ac:dyDescent="0.2">
      <c r="CE7794"/>
      <c r="CF7794"/>
      <c r="CG7794"/>
      <c r="CH7794"/>
      <c r="CI7794"/>
    </row>
    <row r="7795" spans="83:87" x14ac:dyDescent="0.2">
      <c r="CE7795"/>
      <c r="CF7795"/>
      <c r="CG7795"/>
      <c r="CH7795"/>
      <c r="CI7795"/>
    </row>
    <row r="7796" spans="83:87" x14ac:dyDescent="0.2">
      <c r="CE7796"/>
      <c r="CF7796"/>
      <c r="CG7796"/>
      <c r="CH7796"/>
      <c r="CI7796"/>
    </row>
    <row r="7797" spans="83:87" x14ac:dyDescent="0.2">
      <c r="CE7797"/>
      <c r="CF7797"/>
      <c r="CG7797"/>
      <c r="CH7797"/>
      <c r="CI7797"/>
    </row>
    <row r="7798" spans="83:87" x14ac:dyDescent="0.2">
      <c r="CE7798"/>
      <c r="CF7798"/>
      <c r="CG7798"/>
      <c r="CH7798"/>
      <c r="CI7798"/>
    </row>
    <row r="7799" spans="83:87" x14ac:dyDescent="0.2">
      <c r="CE7799"/>
      <c r="CF7799"/>
      <c r="CG7799"/>
      <c r="CH7799"/>
      <c r="CI7799"/>
    </row>
    <row r="7800" spans="83:87" x14ac:dyDescent="0.2">
      <c r="CE7800"/>
      <c r="CF7800"/>
      <c r="CG7800"/>
      <c r="CH7800"/>
      <c r="CI7800"/>
    </row>
    <row r="7801" spans="83:87" x14ac:dyDescent="0.2">
      <c r="CE7801"/>
      <c r="CF7801"/>
      <c r="CG7801"/>
      <c r="CH7801"/>
      <c r="CI7801"/>
    </row>
    <row r="7802" spans="83:87" x14ac:dyDescent="0.2">
      <c r="CE7802"/>
      <c r="CF7802"/>
      <c r="CG7802"/>
      <c r="CH7802"/>
      <c r="CI7802"/>
    </row>
    <row r="7803" spans="83:87" x14ac:dyDescent="0.2">
      <c r="CE7803"/>
      <c r="CF7803"/>
      <c r="CG7803"/>
      <c r="CH7803"/>
      <c r="CI7803"/>
    </row>
    <row r="7804" spans="83:87" x14ac:dyDescent="0.2">
      <c r="CE7804"/>
      <c r="CF7804"/>
      <c r="CG7804"/>
      <c r="CH7804"/>
      <c r="CI7804"/>
    </row>
    <row r="7805" spans="83:87" x14ac:dyDescent="0.2">
      <c r="CE7805"/>
      <c r="CF7805"/>
      <c r="CG7805"/>
      <c r="CH7805"/>
      <c r="CI7805"/>
    </row>
    <row r="7806" spans="83:87" x14ac:dyDescent="0.2">
      <c r="CE7806"/>
      <c r="CF7806"/>
      <c r="CG7806"/>
      <c r="CH7806"/>
      <c r="CI7806"/>
    </row>
    <row r="7807" spans="83:87" x14ac:dyDescent="0.2">
      <c r="CE7807"/>
      <c r="CF7807"/>
      <c r="CG7807"/>
      <c r="CH7807"/>
      <c r="CI7807"/>
    </row>
    <row r="7808" spans="83:87" x14ac:dyDescent="0.2">
      <c r="CE7808"/>
      <c r="CF7808"/>
      <c r="CG7808"/>
      <c r="CH7808"/>
      <c r="CI7808"/>
    </row>
    <row r="7809" spans="83:87" x14ac:dyDescent="0.2">
      <c r="CE7809"/>
      <c r="CF7809"/>
      <c r="CG7809"/>
      <c r="CH7809"/>
      <c r="CI7809"/>
    </row>
    <row r="7810" spans="83:87" x14ac:dyDescent="0.2">
      <c r="CE7810"/>
      <c r="CF7810"/>
      <c r="CG7810"/>
      <c r="CH7810"/>
      <c r="CI7810"/>
    </row>
    <row r="7811" spans="83:87" x14ac:dyDescent="0.2">
      <c r="CE7811"/>
      <c r="CF7811"/>
      <c r="CG7811"/>
      <c r="CH7811"/>
      <c r="CI7811"/>
    </row>
    <row r="7812" spans="83:87" x14ac:dyDescent="0.2">
      <c r="CE7812"/>
      <c r="CF7812"/>
      <c r="CG7812"/>
      <c r="CH7812"/>
      <c r="CI7812"/>
    </row>
    <row r="7813" spans="83:87" x14ac:dyDescent="0.2">
      <c r="CE7813"/>
      <c r="CF7813"/>
      <c r="CG7813"/>
      <c r="CH7813"/>
      <c r="CI7813"/>
    </row>
    <row r="7814" spans="83:87" x14ac:dyDescent="0.2">
      <c r="CE7814"/>
      <c r="CF7814"/>
      <c r="CG7814"/>
      <c r="CH7814"/>
      <c r="CI7814"/>
    </row>
    <row r="7815" spans="83:87" x14ac:dyDescent="0.2">
      <c r="CE7815"/>
      <c r="CF7815"/>
      <c r="CG7815"/>
      <c r="CH7815"/>
      <c r="CI7815"/>
    </row>
    <row r="7816" spans="83:87" x14ac:dyDescent="0.2">
      <c r="CE7816"/>
      <c r="CF7816"/>
      <c r="CG7816"/>
      <c r="CH7816"/>
      <c r="CI7816"/>
    </row>
    <row r="7817" spans="83:87" x14ac:dyDescent="0.2">
      <c r="CE7817"/>
      <c r="CF7817"/>
      <c r="CG7817"/>
      <c r="CH7817"/>
      <c r="CI7817"/>
    </row>
    <row r="7818" spans="83:87" x14ac:dyDescent="0.2">
      <c r="CE7818"/>
      <c r="CF7818"/>
      <c r="CG7818"/>
      <c r="CH7818"/>
      <c r="CI7818"/>
    </row>
    <row r="7819" spans="83:87" x14ac:dyDescent="0.2">
      <c r="CE7819"/>
      <c r="CF7819"/>
      <c r="CG7819"/>
      <c r="CH7819"/>
      <c r="CI7819"/>
    </row>
    <row r="7820" spans="83:87" x14ac:dyDescent="0.2">
      <c r="CE7820"/>
      <c r="CF7820"/>
      <c r="CG7820"/>
      <c r="CH7820"/>
      <c r="CI7820"/>
    </row>
    <row r="7821" spans="83:87" x14ac:dyDescent="0.2">
      <c r="CE7821"/>
      <c r="CF7821"/>
      <c r="CG7821"/>
      <c r="CH7821"/>
      <c r="CI7821"/>
    </row>
    <row r="7822" spans="83:87" x14ac:dyDescent="0.2">
      <c r="CE7822"/>
      <c r="CF7822"/>
      <c r="CG7822"/>
      <c r="CH7822"/>
      <c r="CI7822"/>
    </row>
    <row r="7823" spans="83:87" x14ac:dyDescent="0.2">
      <c r="CE7823"/>
      <c r="CF7823"/>
      <c r="CG7823"/>
      <c r="CH7823"/>
      <c r="CI7823"/>
    </row>
    <row r="7824" spans="83:87" x14ac:dyDescent="0.2">
      <c r="CE7824"/>
      <c r="CF7824"/>
      <c r="CG7824"/>
      <c r="CH7824"/>
      <c r="CI7824"/>
    </row>
    <row r="7825" spans="83:87" x14ac:dyDescent="0.2">
      <c r="CE7825"/>
      <c r="CF7825"/>
      <c r="CG7825"/>
      <c r="CH7825"/>
      <c r="CI7825"/>
    </row>
    <row r="7826" spans="83:87" x14ac:dyDescent="0.2">
      <c r="CE7826"/>
      <c r="CF7826"/>
      <c r="CG7826"/>
      <c r="CH7826"/>
      <c r="CI7826"/>
    </row>
    <row r="7827" spans="83:87" x14ac:dyDescent="0.2">
      <c r="CE7827"/>
      <c r="CF7827"/>
      <c r="CG7827"/>
      <c r="CH7827"/>
      <c r="CI7827"/>
    </row>
    <row r="7828" spans="83:87" x14ac:dyDescent="0.2">
      <c r="CE7828"/>
      <c r="CF7828"/>
      <c r="CG7828"/>
      <c r="CH7828"/>
      <c r="CI7828"/>
    </row>
    <row r="7829" spans="83:87" x14ac:dyDescent="0.2">
      <c r="CE7829"/>
      <c r="CF7829"/>
      <c r="CG7829"/>
      <c r="CH7829"/>
      <c r="CI7829"/>
    </row>
    <row r="7830" spans="83:87" x14ac:dyDescent="0.2">
      <c r="CE7830"/>
      <c r="CF7830"/>
      <c r="CG7830"/>
      <c r="CH7830"/>
      <c r="CI7830"/>
    </row>
    <row r="7831" spans="83:87" x14ac:dyDescent="0.2">
      <c r="CE7831"/>
      <c r="CF7831"/>
      <c r="CG7831"/>
      <c r="CH7831"/>
      <c r="CI7831"/>
    </row>
    <row r="7832" spans="83:87" x14ac:dyDescent="0.2">
      <c r="CE7832"/>
      <c r="CF7832"/>
      <c r="CG7832"/>
      <c r="CH7832"/>
      <c r="CI7832"/>
    </row>
    <row r="7833" spans="83:87" x14ac:dyDescent="0.2">
      <c r="CE7833"/>
      <c r="CF7833"/>
      <c r="CG7833"/>
      <c r="CH7833"/>
      <c r="CI7833"/>
    </row>
    <row r="7834" spans="83:87" x14ac:dyDescent="0.2">
      <c r="CE7834"/>
      <c r="CF7834"/>
      <c r="CG7834"/>
      <c r="CH7834"/>
      <c r="CI7834"/>
    </row>
    <row r="7835" spans="83:87" x14ac:dyDescent="0.2">
      <c r="CE7835"/>
      <c r="CF7835"/>
      <c r="CG7835"/>
      <c r="CH7835"/>
      <c r="CI7835"/>
    </row>
    <row r="7836" spans="83:87" x14ac:dyDescent="0.2">
      <c r="CE7836"/>
      <c r="CF7836"/>
      <c r="CG7836"/>
      <c r="CH7836"/>
      <c r="CI7836"/>
    </row>
    <row r="7837" spans="83:87" x14ac:dyDescent="0.2">
      <c r="CE7837"/>
      <c r="CF7837"/>
      <c r="CG7837"/>
      <c r="CH7837"/>
      <c r="CI7837"/>
    </row>
    <row r="7838" spans="83:87" x14ac:dyDescent="0.2">
      <c r="CE7838"/>
      <c r="CF7838"/>
      <c r="CG7838"/>
      <c r="CH7838"/>
      <c r="CI7838"/>
    </row>
    <row r="7839" spans="83:87" x14ac:dyDescent="0.2">
      <c r="CE7839"/>
      <c r="CF7839"/>
      <c r="CG7839"/>
      <c r="CH7839"/>
      <c r="CI7839"/>
    </row>
    <row r="7840" spans="83:87" x14ac:dyDescent="0.2">
      <c r="CE7840"/>
      <c r="CF7840"/>
      <c r="CG7840"/>
      <c r="CH7840"/>
      <c r="CI7840"/>
    </row>
    <row r="7841" spans="83:87" x14ac:dyDescent="0.2">
      <c r="CE7841"/>
      <c r="CF7841"/>
      <c r="CG7841"/>
      <c r="CH7841"/>
      <c r="CI7841"/>
    </row>
    <row r="7842" spans="83:87" x14ac:dyDescent="0.2">
      <c r="CE7842"/>
      <c r="CF7842"/>
      <c r="CG7842"/>
      <c r="CH7842"/>
      <c r="CI7842"/>
    </row>
    <row r="7843" spans="83:87" x14ac:dyDescent="0.2">
      <c r="CE7843"/>
      <c r="CF7843"/>
      <c r="CG7843"/>
      <c r="CH7843"/>
      <c r="CI7843"/>
    </row>
    <row r="7844" spans="83:87" x14ac:dyDescent="0.2">
      <c r="CE7844"/>
      <c r="CF7844"/>
      <c r="CG7844"/>
      <c r="CH7844"/>
      <c r="CI7844"/>
    </row>
    <row r="7845" spans="83:87" x14ac:dyDescent="0.2">
      <c r="CE7845"/>
      <c r="CF7845"/>
      <c r="CG7845"/>
      <c r="CH7845"/>
      <c r="CI7845"/>
    </row>
    <row r="7846" spans="83:87" x14ac:dyDescent="0.2">
      <c r="CE7846"/>
      <c r="CF7846"/>
      <c r="CG7846"/>
      <c r="CH7846"/>
      <c r="CI7846"/>
    </row>
    <row r="7847" spans="83:87" x14ac:dyDescent="0.2">
      <c r="CE7847"/>
      <c r="CF7847"/>
      <c r="CG7847"/>
      <c r="CH7847"/>
      <c r="CI7847"/>
    </row>
    <row r="7848" spans="83:87" x14ac:dyDescent="0.2">
      <c r="CE7848"/>
      <c r="CF7848"/>
      <c r="CG7848"/>
      <c r="CH7848"/>
      <c r="CI7848"/>
    </row>
    <row r="7849" spans="83:87" x14ac:dyDescent="0.2">
      <c r="CE7849"/>
      <c r="CF7849"/>
      <c r="CG7849"/>
      <c r="CH7849"/>
      <c r="CI7849"/>
    </row>
    <row r="7850" spans="83:87" x14ac:dyDescent="0.2">
      <c r="CE7850"/>
      <c r="CF7850"/>
      <c r="CG7850"/>
      <c r="CH7850"/>
      <c r="CI7850"/>
    </row>
    <row r="7851" spans="83:87" x14ac:dyDescent="0.2">
      <c r="CE7851"/>
      <c r="CF7851"/>
      <c r="CG7851"/>
      <c r="CH7851"/>
      <c r="CI7851"/>
    </row>
    <row r="7852" spans="83:87" x14ac:dyDescent="0.2">
      <c r="CE7852"/>
      <c r="CF7852"/>
      <c r="CG7852"/>
      <c r="CH7852"/>
      <c r="CI7852"/>
    </row>
    <row r="7853" spans="83:87" x14ac:dyDescent="0.2">
      <c r="CE7853"/>
      <c r="CF7853"/>
      <c r="CG7853"/>
      <c r="CH7853"/>
      <c r="CI7853"/>
    </row>
    <row r="7854" spans="83:87" x14ac:dyDescent="0.2">
      <c r="CE7854"/>
      <c r="CF7854"/>
      <c r="CG7854"/>
      <c r="CH7854"/>
      <c r="CI7854"/>
    </row>
    <row r="7855" spans="83:87" x14ac:dyDescent="0.2">
      <c r="CE7855"/>
      <c r="CF7855"/>
      <c r="CG7855"/>
      <c r="CH7855"/>
      <c r="CI7855"/>
    </row>
    <row r="7856" spans="83:87" x14ac:dyDescent="0.2">
      <c r="CE7856"/>
      <c r="CF7856"/>
      <c r="CG7856"/>
      <c r="CH7856"/>
      <c r="CI7856"/>
    </row>
    <row r="7857" spans="83:87" x14ac:dyDescent="0.2">
      <c r="CE7857"/>
      <c r="CF7857"/>
      <c r="CG7857"/>
      <c r="CH7857"/>
      <c r="CI7857"/>
    </row>
    <row r="7858" spans="83:87" x14ac:dyDescent="0.2">
      <c r="CE7858"/>
      <c r="CF7858"/>
      <c r="CG7858"/>
      <c r="CH7858"/>
      <c r="CI7858"/>
    </row>
    <row r="7859" spans="83:87" x14ac:dyDescent="0.2">
      <c r="CE7859"/>
      <c r="CF7859"/>
      <c r="CG7859"/>
      <c r="CH7859"/>
      <c r="CI7859"/>
    </row>
    <row r="7860" spans="83:87" x14ac:dyDescent="0.2">
      <c r="CE7860"/>
      <c r="CF7860"/>
      <c r="CG7860"/>
      <c r="CH7860"/>
      <c r="CI7860"/>
    </row>
    <row r="7861" spans="83:87" x14ac:dyDescent="0.2">
      <c r="CE7861"/>
      <c r="CF7861"/>
      <c r="CG7861"/>
      <c r="CH7861"/>
      <c r="CI7861"/>
    </row>
    <row r="7862" spans="83:87" x14ac:dyDescent="0.2">
      <c r="CE7862"/>
      <c r="CF7862"/>
      <c r="CG7862"/>
      <c r="CH7862"/>
      <c r="CI7862"/>
    </row>
    <row r="7863" spans="83:87" x14ac:dyDescent="0.2">
      <c r="CE7863"/>
      <c r="CF7863"/>
      <c r="CG7863"/>
      <c r="CH7863"/>
      <c r="CI7863"/>
    </row>
    <row r="7864" spans="83:87" x14ac:dyDescent="0.2">
      <c r="CE7864"/>
      <c r="CF7864"/>
      <c r="CG7864"/>
      <c r="CH7864"/>
      <c r="CI7864"/>
    </row>
    <row r="7865" spans="83:87" x14ac:dyDescent="0.2">
      <c r="CE7865"/>
      <c r="CF7865"/>
      <c r="CG7865"/>
      <c r="CH7865"/>
      <c r="CI7865"/>
    </row>
    <row r="7866" spans="83:87" x14ac:dyDescent="0.2">
      <c r="CE7866"/>
      <c r="CF7866"/>
      <c r="CG7866"/>
      <c r="CH7866"/>
      <c r="CI7866"/>
    </row>
    <row r="7867" spans="83:87" x14ac:dyDescent="0.2">
      <c r="CE7867"/>
      <c r="CF7867"/>
      <c r="CG7867"/>
      <c r="CH7867"/>
      <c r="CI7867"/>
    </row>
    <row r="7868" spans="83:87" x14ac:dyDescent="0.2">
      <c r="CE7868"/>
      <c r="CF7868"/>
      <c r="CG7868"/>
      <c r="CH7868"/>
      <c r="CI7868"/>
    </row>
    <row r="7869" spans="83:87" x14ac:dyDescent="0.2">
      <c r="CE7869"/>
      <c r="CF7869"/>
      <c r="CG7869"/>
      <c r="CH7869"/>
      <c r="CI7869"/>
    </row>
    <row r="7870" spans="83:87" x14ac:dyDescent="0.2">
      <c r="CE7870"/>
      <c r="CF7870"/>
      <c r="CG7870"/>
      <c r="CH7870"/>
      <c r="CI7870"/>
    </row>
    <row r="7871" spans="83:87" x14ac:dyDescent="0.2">
      <c r="CE7871"/>
      <c r="CF7871"/>
      <c r="CG7871"/>
      <c r="CH7871"/>
      <c r="CI7871"/>
    </row>
    <row r="7872" spans="83:87" x14ac:dyDescent="0.2">
      <c r="CE7872"/>
      <c r="CF7872"/>
      <c r="CG7872"/>
      <c r="CH7872"/>
      <c r="CI7872"/>
    </row>
    <row r="7873" spans="83:87" x14ac:dyDescent="0.2">
      <c r="CE7873"/>
      <c r="CF7873"/>
      <c r="CG7873"/>
      <c r="CH7873"/>
      <c r="CI7873"/>
    </row>
    <row r="7874" spans="83:87" x14ac:dyDescent="0.2">
      <c r="CE7874"/>
      <c r="CF7874"/>
      <c r="CG7874"/>
      <c r="CH7874"/>
      <c r="CI7874"/>
    </row>
    <row r="7875" spans="83:87" x14ac:dyDescent="0.2">
      <c r="CE7875"/>
      <c r="CF7875"/>
      <c r="CG7875"/>
      <c r="CH7875"/>
      <c r="CI7875"/>
    </row>
    <row r="7876" spans="83:87" x14ac:dyDescent="0.2">
      <c r="CE7876"/>
      <c r="CF7876"/>
      <c r="CG7876"/>
      <c r="CH7876"/>
      <c r="CI7876"/>
    </row>
    <row r="7877" spans="83:87" x14ac:dyDescent="0.2">
      <c r="CE7877"/>
      <c r="CF7877"/>
      <c r="CG7877"/>
      <c r="CH7877"/>
      <c r="CI7877"/>
    </row>
    <row r="7878" spans="83:87" x14ac:dyDescent="0.2">
      <c r="CE7878"/>
      <c r="CF7878"/>
      <c r="CG7878"/>
      <c r="CH7878"/>
      <c r="CI7878"/>
    </row>
    <row r="7879" spans="83:87" x14ac:dyDescent="0.2">
      <c r="CE7879"/>
      <c r="CF7879"/>
      <c r="CG7879"/>
      <c r="CH7879"/>
      <c r="CI7879"/>
    </row>
    <row r="7880" spans="83:87" x14ac:dyDescent="0.2">
      <c r="CE7880"/>
      <c r="CF7880"/>
      <c r="CG7880"/>
      <c r="CH7880"/>
      <c r="CI7880"/>
    </row>
    <row r="7881" spans="83:87" x14ac:dyDescent="0.2">
      <c r="CE7881"/>
      <c r="CF7881"/>
      <c r="CG7881"/>
      <c r="CH7881"/>
      <c r="CI7881"/>
    </row>
    <row r="7882" spans="83:87" x14ac:dyDescent="0.2">
      <c r="CE7882"/>
      <c r="CF7882"/>
      <c r="CG7882"/>
      <c r="CH7882"/>
      <c r="CI7882"/>
    </row>
    <row r="7883" spans="83:87" x14ac:dyDescent="0.2">
      <c r="CE7883"/>
      <c r="CF7883"/>
      <c r="CG7883"/>
      <c r="CH7883"/>
      <c r="CI7883"/>
    </row>
    <row r="7884" spans="83:87" x14ac:dyDescent="0.2">
      <c r="CE7884"/>
      <c r="CF7884"/>
      <c r="CG7884"/>
      <c r="CH7884"/>
      <c r="CI7884"/>
    </row>
    <row r="7885" spans="83:87" x14ac:dyDescent="0.2">
      <c r="CE7885"/>
      <c r="CF7885"/>
      <c r="CG7885"/>
      <c r="CH7885"/>
      <c r="CI7885"/>
    </row>
    <row r="7886" spans="83:87" x14ac:dyDescent="0.2">
      <c r="CE7886"/>
      <c r="CF7886"/>
      <c r="CG7886"/>
      <c r="CH7886"/>
      <c r="CI7886"/>
    </row>
    <row r="7887" spans="83:87" x14ac:dyDescent="0.2">
      <c r="CE7887"/>
      <c r="CF7887"/>
      <c r="CG7887"/>
      <c r="CH7887"/>
      <c r="CI7887"/>
    </row>
    <row r="7888" spans="83:87" x14ac:dyDescent="0.2">
      <c r="CE7888"/>
      <c r="CF7888"/>
      <c r="CG7888"/>
      <c r="CH7888"/>
      <c r="CI7888"/>
    </row>
    <row r="7889" spans="83:87" x14ac:dyDescent="0.2">
      <c r="CE7889"/>
      <c r="CF7889"/>
      <c r="CG7889"/>
      <c r="CH7889"/>
      <c r="CI7889"/>
    </row>
    <row r="7890" spans="83:87" x14ac:dyDescent="0.2">
      <c r="CE7890"/>
      <c r="CF7890"/>
      <c r="CG7890"/>
      <c r="CH7890"/>
      <c r="CI7890"/>
    </row>
    <row r="7891" spans="83:87" x14ac:dyDescent="0.2">
      <c r="CE7891"/>
      <c r="CF7891"/>
      <c r="CG7891"/>
      <c r="CH7891"/>
      <c r="CI7891"/>
    </row>
    <row r="7892" spans="83:87" x14ac:dyDescent="0.2">
      <c r="CE7892"/>
      <c r="CF7892"/>
      <c r="CG7892"/>
      <c r="CH7892"/>
      <c r="CI7892"/>
    </row>
    <row r="7893" spans="83:87" x14ac:dyDescent="0.2">
      <c r="CE7893"/>
      <c r="CF7893"/>
      <c r="CG7893"/>
      <c r="CH7893"/>
      <c r="CI7893"/>
    </row>
    <row r="7894" spans="83:87" x14ac:dyDescent="0.2">
      <c r="CE7894"/>
      <c r="CF7894"/>
      <c r="CG7894"/>
      <c r="CH7894"/>
      <c r="CI7894"/>
    </row>
    <row r="7895" spans="83:87" x14ac:dyDescent="0.2">
      <c r="CE7895"/>
      <c r="CF7895"/>
      <c r="CG7895"/>
      <c r="CH7895"/>
      <c r="CI7895"/>
    </row>
    <row r="7896" spans="83:87" x14ac:dyDescent="0.2">
      <c r="CE7896"/>
      <c r="CF7896"/>
      <c r="CG7896"/>
      <c r="CH7896"/>
      <c r="CI7896"/>
    </row>
    <row r="7897" spans="83:87" x14ac:dyDescent="0.2">
      <c r="CE7897"/>
      <c r="CF7897"/>
      <c r="CG7897"/>
      <c r="CH7897"/>
      <c r="CI7897"/>
    </row>
    <row r="7898" spans="83:87" x14ac:dyDescent="0.2">
      <c r="CE7898"/>
      <c r="CF7898"/>
      <c r="CG7898"/>
      <c r="CH7898"/>
      <c r="CI7898"/>
    </row>
    <row r="7899" spans="83:87" x14ac:dyDescent="0.2">
      <c r="CE7899"/>
      <c r="CF7899"/>
      <c r="CG7899"/>
      <c r="CH7899"/>
      <c r="CI7899"/>
    </row>
    <row r="7900" spans="83:87" x14ac:dyDescent="0.2">
      <c r="CE7900"/>
      <c r="CF7900"/>
      <c r="CG7900"/>
      <c r="CH7900"/>
      <c r="CI7900"/>
    </row>
    <row r="7901" spans="83:87" x14ac:dyDescent="0.2">
      <c r="CE7901"/>
      <c r="CF7901"/>
      <c r="CG7901"/>
      <c r="CH7901"/>
      <c r="CI7901"/>
    </row>
    <row r="7902" spans="83:87" x14ac:dyDescent="0.2">
      <c r="CE7902"/>
      <c r="CF7902"/>
      <c r="CG7902"/>
      <c r="CH7902"/>
      <c r="CI7902"/>
    </row>
    <row r="7903" spans="83:87" x14ac:dyDescent="0.2">
      <c r="CE7903"/>
      <c r="CF7903"/>
      <c r="CG7903"/>
      <c r="CH7903"/>
      <c r="CI7903"/>
    </row>
    <row r="7904" spans="83:87" x14ac:dyDescent="0.2">
      <c r="CE7904"/>
      <c r="CF7904"/>
      <c r="CG7904"/>
      <c r="CH7904"/>
      <c r="CI7904"/>
    </row>
    <row r="7905" spans="83:87" x14ac:dyDescent="0.2">
      <c r="CE7905"/>
      <c r="CF7905"/>
      <c r="CG7905"/>
      <c r="CH7905"/>
      <c r="CI7905"/>
    </row>
    <row r="7906" spans="83:87" x14ac:dyDescent="0.2">
      <c r="CE7906"/>
      <c r="CF7906"/>
      <c r="CG7906"/>
      <c r="CH7906"/>
      <c r="CI7906"/>
    </row>
    <row r="7907" spans="83:87" x14ac:dyDescent="0.2">
      <c r="CE7907"/>
      <c r="CF7907"/>
      <c r="CG7907"/>
      <c r="CH7907"/>
      <c r="CI7907"/>
    </row>
    <row r="7908" spans="83:87" x14ac:dyDescent="0.2">
      <c r="CE7908"/>
      <c r="CF7908"/>
      <c r="CG7908"/>
      <c r="CH7908"/>
      <c r="CI7908"/>
    </row>
    <row r="7909" spans="83:87" x14ac:dyDescent="0.2">
      <c r="CE7909"/>
      <c r="CF7909"/>
      <c r="CG7909"/>
      <c r="CH7909"/>
      <c r="CI7909"/>
    </row>
    <row r="7910" spans="83:87" x14ac:dyDescent="0.2">
      <c r="CE7910"/>
      <c r="CF7910"/>
      <c r="CG7910"/>
      <c r="CH7910"/>
      <c r="CI7910"/>
    </row>
    <row r="7911" spans="83:87" x14ac:dyDescent="0.2">
      <c r="CE7911"/>
      <c r="CF7911"/>
      <c r="CG7911"/>
      <c r="CH7911"/>
      <c r="CI7911"/>
    </row>
    <row r="7912" spans="83:87" x14ac:dyDescent="0.2">
      <c r="CE7912"/>
      <c r="CF7912"/>
      <c r="CG7912"/>
      <c r="CH7912"/>
      <c r="CI7912"/>
    </row>
    <row r="7913" spans="83:87" x14ac:dyDescent="0.2">
      <c r="CE7913"/>
      <c r="CF7913"/>
      <c r="CG7913"/>
      <c r="CH7913"/>
      <c r="CI7913"/>
    </row>
    <row r="7914" spans="83:87" x14ac:dyDescent="0.2">
      <c r="CE7914"/>
      <c r="CF7914"/>
      <c r="CG7914"/>
      <c r="CH7914"/>
      <c r="CI7914"/>
    </row>
    <row r="7915" spans="83:87" x14ac:dyDescent="0.2">
      <c r="CE7915"/>
      <c r="CF7915"/>
      <c r="CG7915"/>
      <c r="CH7915"/>
      <c r="CI7915"/>
    </row>
    <row r="7916" spans="83:87" x14ac:dyDescent="0.2">
      <c r="CE7916"/>
      <c r="CF7916"/>
      <c r="CG7916"/>
      <c r="CH7916"/>
      <c r="CI7916"/>
    </row>
    <row r="7917" spans="83:87" x14ac:dyDescent="0.2">
      <c r="CE7917"/>
      <c r="CF7917"/>
      <c r="CG7917"/>
      <c r="CH7917"/>
      <c r="CI7917"/>
    </row>
    <row r="7918" spans="83:87" x14ac:dyDescent="0.2">
      <c r="CE7918"/>
      <c r="CF7918"/>
      <c r="CG7918"/>
      <c r="CH7918"/>
      <c r="CI7918"/>
    </row>
    <row r="7919" spans="83:87" x14ac:dyDescent="0.2">
      <c r="CE7919"/>
      <c r="CF7919"/>
      <c r="CG7919"/>
      <c r="CH7919"/>
      <c r="CI7919"/>
    </row>
    <row r="7920" spans="83:87" x14ac:dyDescent="0.2">
      <c r="CE7920"/>
      <c r="CF7920"/>
      <c r="CG7920"/>
      <c r="CH7920"/>
      <c r="CI7920"/>
    </row>
    <row r="7921" spans="83:87" x14ac:dyDescent="0.2">
      <c r="CE7921"/>
      <c r="CF7921"/>
      <c r="CG7921"/>
      <c r="CH7921"/>
      <c r="CI7921"/>
    </row>
    <row r="7922" spans="83:87" x14ac:dyDescent="0.2">
      <c r="CE7922"/>
      <c r="CF7922"/>
      <c r="CG7922"/>
      <c r="CH7922"/>
      <c r="CI7922"/>
    </row>
    <row r="7923" spans="83:87" x14ac:dyDescent="0.2">
      <c r="CE7923"/>
      <c r="CF7923"/>
      <c r="CG7923"/>
      <c r="CH7923"/>
      <c r="CI7923"/>
    </row>
    <row r="7924" spans="83:87" x14ac:dyDescent="0.2">
      <c r="CE7924"/>
      <c r="CF7924"/>
      <c r="CG7924"/>
      <c r="CH7924"/>
      <c r="CI7924"/>
    </row>
    <row r="7925" spans="83:87" x14ac:dyDescent="0.2">
      <c r="CE7925"/>
      <c r="CF7925"/>
      <c r="CG7925"/>
      <c r="CH7925"/>
      <c r="CI7925"/>
    </row>
    <row r="7926" spans="83:87" x14ac:dyDescent="0.2">
      <c r="CE7926"/>
      <c r="CF7926"/>
      <c r="CG7926"/>
      <c r="CH7926"/>
      <c r="CI7926"/>
    </row>
    <row r="7927" spans="83:87" x14ac:dyDescent="0.2">
      <c r="CE7927"/>
      <c r="CF7927"/>
      <c r="CG7927"/>
      <c r="CH7927"/>
      <c r="CI7927"/>
    </row>
    <row r="7928" spans="83:87" x14ac:dyDescent="0.2">
      <c r="CE7928"/>
      <c r="CF7928"/>
      <c r="CG7928"/>
      <c r="CH7928"/>
      <c r="CI7928"/>
    </row>
    <row r="7929" spans="83:87" x14ac:dyDescent="0.2">
      <c r="CE7929"/>
      <c r="CF7929"/>
      <c r="CG7929"/>
      <c r="CH7929"/>
      <c r="CI7929"/>
    </row>
    <row r="7930" spans="83:87" x14ac:dyDescent="0.2">
      <c r="CE7930"/>
      <c r="CF7930"/>
      <c r="CG7930"/>
      <c r="CH7930"/>
      <c r="CI7930"/>
    </row>
    <row r="7931" spans="83:87" x14ac:dyDescent="0.2">
      <c r="CE7931"/>
      <c r="CF7931"/>
      <c r="CG7931"/>
      <c r="CH7931"/>
      <c r="CI7931"/>
    </row>
    <row r="7932" spans="83:87" x14ac:dyDescent="0.2">
      <c r="CE7932"/>
      <c r="CF7932"/>
      <c r="CG7932"/>
      <c r="CH7932"/>
      <c r="CI7932"/>
    </row>
    <row r="7933" spans="83:87" x14ac:dyDescent="0.2">
      <c r="CE7933"/>
      <c r="CF7933"/>
      <c r="CG7933"/>
      <c r="CH7933"/>
      <c r="CI7933"/>
    </row>
    <row r="7934" spans="83:87" x14ac:dyDescent="0.2">
      <c r="CE7934"/>
      <c r="CF7934"/>
      <c r="CG7934"/>
      <c r="CH7934"/>
      <c r="CI7934"/>
    </row>
    <row r="7935" spans="83:87" x14ac:dyDescent="0.2">
      <c r="CE7935"/>
      <c r="CF7935"/>
      <c r="CG7935"/>
      <c r="CH7935"/>
      <c r="CI7935"/>
    </row>
    <row r="7936" spans="83:87" x14ac:dyDescent="0.2">
      <c r="CE7936"/>
      <c r="CF7936"/>
      <c r="CG7936"/>
      <c r="CH7936"/>
      <c r="CI7936"/>
    </row>
    <row r="7937" spans="83:87" x14ac:dyDescent="0.2">
      <c r="CE7937"/>
      <c r="CF7937"/>
      <c r="CG7937"/>
      <c r="CH7937"/>
      <c r="CI7937"/>
    </row>
    <row r="7938" spans="83:87" x14ac:dyDescent="0.2">
      <c r="CE7938"/>
      <c r="CF7938"/>
      <c r="CG7938"/>
      <c r="CH7938"/>
      <c r="CI7938"/>
    </row>
    <row r="7939" spans="83:87" x14ac:dyDescent="0.2">
      <c r="CE7939"/>
      <c r="CF7939"/>
      <c r="CG7939"/>
      <c r="CH7939"/>
      <c r="CI7939"/>
    </row>
    <row r="7940" spans="83:87" x14ac:dyDescent="0.2">
      <c r="CE7940"/>
      <c r="CF7940"/>
      <c r="CG7940"/>
      <c r="CH7940"/>
      <c r="CI7940"/>
    </row>
    <row r="7941" spans="83:87" x14ac:dyDescent="0.2">
      <c r="CE7941"/>
      <c r="CF7941"/>
      <c r="CG7941"/>
      <c r="CH7941"/>
      <c r="CI7941"/>
    </row>
    <row r="7942" spans="83:87" x14ac:dyDescent="0.2">
      <c r="CE7942"/>
      <c r="CF7942"/>
      <c r="CG7942"/>
      <c r="CH7942"/>
      <c r="CI7942"/>
    </row>
    <row r="7943" spans="83:87" x14ac:dyDescent="0.2">
      <c r="CE7943"/>
      <c r="CF7943"/>
      <c r="CG7943"/>
      <c r="CH7943"/>
      <c r="CI7943"/>
    </row>
    <row r="7944" spans="83:87" x14ac:dyDescent="0.2">
      <c r="CE7944"/>
      <c r="CF7944"/>
      <c r="CG7944"/>
      <c r="CH7944"/>
      <c r="CI7944"/>
    </row>
    <row r="7945" spans="83:87" x14ac:dyDescent="0.2">
      <c r="CE7945"/>
      <c r="CF7945"/>
      <c r="CG7945"/>
      <c r="CH7945"/>
      <c r="CI7945"/>
    </row>
    <row r="7946" spans="83:87" x14ac:dyDescent="0.2">
      <c r="CE7946"/>
      <c r="CF7946"/>
      <c r="CG7946"/>
      <c r="CH7946"/>
      <c r="CI7946"/>
    </row>
    <row r="7947" spans="83:87" x14ac:dyDescent="0.2">
      <c r="CE7947"/>
      <c r="CF7947"/>
      <c r="CG7947"/>
      <c r="CH7947"/>
      <c r="CI7947"/>
    </row>
    <row r="7948" spans="83:87" x14ac:dyDescent="0.2">
      <c r="CE7948"/>
      <c r="CF7948"/>
      <c r="CG7948"/>
      <c r="CH7948"/>
      <c r="CI7948"/>
    </row>
    <row r="7949" spans="83:87" x14ac:dyDescent="0.2">
      <c r="CE7949"/>
      <c r="CF7949"/>
      <c r="CG7949"/>
      <c r="CH7949"/>
      <c r="CI7949"/>
    </row>
    <row r="7950" spans="83:87" x14ac:dyDescent="0.2">
      <c r="CE7950"/>
      <c r="CF7950"/>
      <c r="CG7950"/>
      <c r="CH7950"/>
      <c r="CI7950"/>
    </row>
    <row r="7951" spans="83:87" x14ac:dyDescent="0.2">
      <c r="CE7951"/>
      <c r="CF7951"/>
      <c r="CG7951"/>
      <c r="CH7951"/>
      <c r="CI7951"/>
    </row>
    <row r="7952" spans="83:87" x14ac:dyDescent="0.2">
      <c r="CE7952"/>
      <c r="CF7952"/>
      <c r="CG7952"/>
      <c r="CH7952"/>
      <c r="CI7952"/>
    </row>
    <row r="7953" spans="83:87" x14ac:dyDescent="0.2">
      <c r="CE7953"/>
      <c r="CF7953"/>
      <c r="CG7953"/>
      <c r="CH7953"/>
      <c r="CI7953"/>
    </row>
    <row r="7954" spans="83:87" x14ac:dyDescent="0.2">
      <c r="CE7954"/>
      <c r="CF7954"/>
      <c r="CG7954"/>
      <c r="CH7954"/>
      <c r="CI7954"/>
    </row>
    <row r="7955" spans="83:87" x14ac:dyDescent="0.2">
      <c r="CE7955"/>
      <c r="CF7955"/>
      <c r="CG7955"/>
      <c r="CH7955"/>
      <c r="CI7955"/>
    </row>
    <row r="7956" spans="83:87" x14ac:dyDescent="0.2">
      <c r="CE7956"/>
      <c r="CF7956"/>
      <c r="CG7956"/>
      <c r="CH7956"/>
      <c r="CI7956"/>
    </row>
    <row r="7957" spans="83:87" x14ac:dyDescent="0.2">
      <c r="CE7957"/>
      <c r="CF7957"/>
      <c r="CG7957"/>
      <c r="CH7957"/>
      <c r="CI7957"/>
    </row>
    <row r="7958" spans="83:87" x14ac:dyDescent="0.2">
      <c r="CE7958"/>
      <c r="CF7958"/>
      <c r="CG7958"/>
      <c r="CH7958"/>
      <c r="CI7958"/>
    </row>
    <row r="7959" spans="83:87" x14ac:dyDescent="0.2">
      <c r="CE7959"/>
      <c r="CF7959"/>
      <c r="CG7959"/>
      <c r="CH7959"/>
      <c r="CI7959"/>
    </row>
    <row r="7960" spans="83:87" x14ac:dyDescent="0.2">
      <c r="CE7960"/>
      <c r="CF7960"/>
      <c r="CG7960"/>
      <c r="CH7960"/>
      <c r="CI7960"/>
    </row>
    <row r="7961" spans="83:87" x14ac:dyDescent="0.2">
      <c r="CE7961"/>
      <c r="CF7961"/>
      <c r="CG7961"/>
      <c r="CH7961"/>
      <c r="CI7961"/>
    </row>
    <row r="7962" spans="83:87" x14ac:dyDescent="0.2">
      <c r="CE7962"/>
      <c r="CF7962"/>
      <c r="CG7962"/>
      <c r="CH7962"/>
      <c r="CI7962"/>
    </row>
    <row r="7963" spans="83:87" x14ac:dyDescent="0.2">
      <c r="CE7963"/>
      <c r="CF7963"/>
      <c r="CG7963"/>
      <c r="CH7963"/>
      <c r="CI7963"/>
    </row>
    <row r="7964" spans="83:87" x14ac:dyDescent="0.2">
      <c r="CE7964"/>
      <c r="CF7964"/>
      <c r="CG7964"/>
      <c r="CH7964"/>
      <c r="CI7964"/>
    </row>
    <row r="7965" spans="83:87" x14ac:dyDescent="0.2">
      <c r="CE7965"/>
      <c r="CF7965"/>
      <c r="CG7965"/>
      <c r="CH7965"/>
      <c r="CI7965"/>
    </row>
    <row r="7966" spans="83:87" x14ac:dyDescent="0.2">
      <c r="CE7966"/>
      <c r="CF7966"/>
      <c r="CG7966"/>
      <c r="CH7966"/>
      <c r="CI7966"/>
    </row>
    <row r="7967" spans="83:87" x14ac:dyDescent="0.2">
      <c r="CE7967"/>
      <c r="CF7967"/>
      <c r="CG7967"/>
      <c r="CH7967"/>
      <c r="CI7967"/>
    </row>
    <row r="7968" spans="83:87" x14ac:dyDescent="0.2">
      <c r="CE7968"/>
      <c r="CF7968"/>
      <c r="CG7968"/>
      <c r="CH7968"/>
      <c r="CI7968"/>
    </row>
    <row r="7969" spans="83:87" x14ac:dyDescent="0.2">
      <c r="CE7969"/>
      <c r="CF7969"/>
      <c r="CG7969"/>
      <c r="CH7969"/>
      <c r="CI7969"/>
    </row>
    <row r="7970" spans="83:87" x14ac:dyDescent="0.2">
      <c r="CE7970"/>
      <c r="CF7970"/>
      <c r="CG7970"/>
      <c r="CH7970"/>
      <c r="CI7970"/>
    </row>
    <row r="7971" spans="83:87" x14ac:dyDescent="0.2">
      <c r="CE7971"/>
      <c r="CF7971"/>
      <c r="CG7971"/>
      <c r="CH7971"/>
      <c r="CI7971"/>
    </row>
    <row r="7972" spans="83:87" x14ac:dyDescent="0.2">
      <c r="CE7972"/>
      <c r="CF7972"/>
      <c r="CG7972"/>
      <c r="CH7972"/>
      <c r="CI7972"/>
    </row>
    <row r="7973" spans="83:87" x14ac:dyDescent="0.2">
      <c r="CE7973"/>
      <c r="CF7973"/>
      <c r="CG7973"/>
      <c r="CH7973"/>
      <c r="CI7973"/>
    </row>
    <row r="7974" spans="83:87" x14ac:dyDescent="0.2">
      <c r="CE7974"/>
      <c r="CF7974"/>
      <c r="CG7974"/>
      <c r="CH7974"/>
      <c r="CI7974"/>
    </row>
    <row r="7975" spans="83:87" x14ac:dyDescent="0.2">
      <c r="CE7975"/>
      <c r="CF7975"/>
      <c r="CG7975"/>
      <c r="CH7975"/>
      <c r="CI7975"/>
    </row>
    <row r="7976" spans="83:87" x14ac:dyDescent="0.2">
      <c r="CE7976"/>
      <c r="CF7976"/>
      <c r="CG7976"/>
      <c r="CH7976"/>
      <c r="CI7976"/>
    </row>
    <row r="7977" spans="83:87" x14ac:dyDescent="0.2">
      <c r="CE7977"/>
      <c r="CF7977"/>
      <c r="CG7977"/>
      <c r="CH7977"/>
      <c r="CI7977"/>
    </row>
    <row r="7978" spans="83:87" x14ac:dyDescent="0.2">
      <c r="CE7978"/>
      <c r="CF7978"/>
      <c r="CG7978"/>
      <c r="CH7978"/>
      <c r="CI7978"/>
    </row>
    <row r="7979" spans="83:87" x14ac:dyDescent="0.2">
      <c r="CE7979"/>
      <c r="CF7979"/>
      <c r="CG7979"/>
      <c r="CH7979"/>
      <c r="CI7979"/>
    </row>
    <row r="7980" spans="83:87" x14ac:dyDescent="0.2">
      <c r="CE7980"/>
      <c r="CF7980"/>
      <c r="CG7980"/>
      <c r="CH7980"/>
      <c r="CI7980"/>
    </row>
    <row r="7981" spans="83:87" x14ac:dyDescent="0.2">
      <c r="CE7981"/>
      <c r="CF7981"/>
      <c r="CG7981"/>
      <c r="CH7981"/>
      <c r="CI7981"/>
    </row>
    <row r="7982" spans="83:87" x14ac:dyDescent="0.2">
      <c r="CE7982"/>
      <c r="CF7982"/>
      <c r="CG7982"/>
      <c r="CH7982"/>
      <c r="CI7982"/>
    </row>
    <row r="7983" spans="83:87" x14ac:dyDescent="0.2">
      <c r="CE7983"/>
      <c r="CF7983"/>
      <c r="CG7983"/>
      <c r="CH7983"/>
      <c r="CI7983"/>
    </row>
    <row r="7984" spans="83:87" x14ac:dyDescent="0.2">
      <c r="CE7984"/>
      <c r="CF7984"/>
      <c r="CG7984"/>
      <c r="CH7984"/>
      <c r="CI7984"/>
    </row>
    <row r="7985" spans="83:87" x14ac:dyDescent="0.2">
      <c r="CE7985"/>
      <c r="CF7985"/>
      <c r="CG7985"/>
      <c r="CH7985"/>
      <c r="CI7985"/>
    </row>
    <row r="7986" spans="83:87" x14ac:dyDescent="0.2">
      <c r="CE7986"/>
      <c r="CF7986"/>
      <c r="CG7986"/>
      <c r="CH7986"/>
      <c r="CI7986"/>
    </row>
    <row r="7987" spans="83:87" x14ac:dyDescent="0.2">
      <c r="CE7987"/>
      <c r="CF7987"/>
      <c r="CG7987"/>
      <c r="CH7987"/>
      <c r="CI7987"/>
    </row>
    <row r="7988" spans="83:87" x14ac:dyDescent="0.2">
      <c r="CE7988"/>
      <c r="CF7988"/>
      <c r="CG7988"/>
      <c r="CH7988"/>
      <c r="CI7988"/>
    </row>
    <row r="7989" spans="83:87" x14ac:dyDescent="0.2">
      <c r="CE7989"/>
      <c r="CF7989"/>
      <c r="CG7989"/>
      <c r="CH7989"/>
      <c r="CI7989"/>
    </row>
    <row r="7990" spans="83:87" x14ac:dyDescent="0.2">
      <c r="CE7990"/>
      <c r="CF7990"/>
      <c r="CG7990"/>
      <c r="CH7990"/>
      <c r="CI7990"/>
    </row>
    <row r="7991" spans="83:87" x14ac:dyDescent="0.2">
      <c r="CE7991"/>
      <c r="CF7991"/>
      <c r="CG7991"/>
      <c r="CH7991"/>
      <c r="CI7991"/>
    </row>
    <row r="7992" spans="83:87" x14ac:dyDescent="0.2">
      <c r="CE7992"/>
      <c r="CF7992"/>
      <c r="CG7992"/>
      <c r="CH7992"/>
      <c r="CI7992"/>
    </row>
    <row r="7993" spans="83:87" x14ac:dyDescent="0.2">
      <c r="CE7993"/>
      <c r="CF7993"/>
      <c r="CG7993"/>
      <c r="CH7993"/>
      <c r="CI7993"/>
    </row>
    <row r="7994" spans="83:87" x14ac:dyDescent="0.2">
      <c r="CE7994"/>
      <c r="CF7994"/>
      <c r="CG7994"/>
      <c r="CH7994"/>
      <c r="CI7994"/>
    </row>
    <row r="7995" spans="83:87" x14ac:dyDescent="0.2">
      <c r="CE7995"/>
      <c r="CF7995"/>
      <c r="CG7995"/>
      <c r="CH7995"/>
      <c r="CI7995"/>
    </row>
    <row r="7996" spans="83:87" x14ac:dyDescent="0.2">
      <c r="CE7996"/>
      <c r="CF7996"/>
      <c r="CG7996"/>
      <c r="CH7996"/>
      <c r="CI7996"/>
    </row>
    <row r="7997" spans="83:87" x14ac:dyDescent="0.2">
      <c r="CE7997"/>
      <c r="CF7997"/>
      <c r="CG7997"/>
      <c r="CH7997"/>
      <c r="CI7997"/>
    </row>
    <row r="7998" spans="83:87" x14ac:dyDescent="0.2">
      <c r="CE7998"/>
      <c r="CF7998"/>
      <c r="CG7998"/>
      <c r="CH7998"/>
      <c r="CI7998"/>
    </row>
    <row r="7999" spans="83:87" x14ac:dyDescent="0.2">
      <c r="CE7999"/>
      <c r="CF7999"/>
      <c r="CG7999"/>
      <c r="CH7999"/>
      <c r="CI7999"/>
    </row>
    <row r="8000" spans="83:87" x14ac:dyDescent="0.2">
      <c r="CE8000"/>
      <c r="CF8000"/>
      <c r="CG8000"/>
      <c r="CH8000"/>
      <c r="CI8000"/>
    </row>
    <row r="8001" spans="83:87" x14ac:dyDescent="0.2">
      <c r="CE8001"/>
      <c r="CF8001"/>
      <c r="CG8001"/>
      <c r="CH8001"/>
      <c r="CI8001"/>
    </row>
    <row r="8002" spans="83:87" x14ac:dyDescent="0.2">
      <c r="CE8002"/>
      <c r="CF8002"/>
      <c r="CG8002"/>
      <c r="CH8002"/>
      <c r="CI8002"/>
    </row>
    <row r="8003" spans="83:87" x14ac:dyDescent="0.2">
      <c r="CE8003"/>
      <c r="CF8003"/>
      <c r="CG8003"/>
      <c r="CH8003"/>
      <c r="CI8003"/>
    </row>
    <row r="8004" spans="83:87" x14ac:dyDescent="0.2">
      <c r="CE8004"/>
      <c r="CF8004"/>
      <c r="CG8004"/>
      <c r="CH8004"/>
      <c r="CI8004"/>
    </row>
    <row r="8005" spans="83:87" x14ac:dyDescent="0.2">
      <c r="CE8005"/>
      <c r="CF8005"/>
      <c r="CG8005"/>
      <c r="CH8005"/>
      <c r="CI8005"/>
    </row>
    <row r="8006" spans="83:87" x14ac:dyDescent="0.2">
      <c r="CE8006"/>
      <c r="CF8006"/>
      <c r="CG8006"/>
      <c r="CH8006"/>
      <c r="CI8006"/>
    </row>
    <row r="8007" spans="83:87" x14ac:dyDescent="0.2">
      <c r="CE8007"/>
      <c r="CF8007"/>
      <c r="CG8007"/>
      <c r="CH8007"/>
      <c r="CI8007"/>
    </row>
    <row r="8008" spans="83:87" x14ac:dyDescent="0.2">
      <c r="CE8008"/>
      <c r="CF8008"/>
      <c r="CG8008"/>
      <c r="CH8008"/>
      <c r="CI8008"/>
    </row>
    <row r="8009" spans="83:87" x14ac:dyDescent="0.2">
      <c r="CE8009"/>
      <c r="CF8009"/>
      <c r="CG8009"/>
      <c r="CH8009"/>
      <c r="CI8009"/>
    </row>
    <row r="8010" spans="83:87" x14ac:dyDescent="0.2">
      <c r="CE8010"/>
      <c r="CF8010"/>
      <c r="CG8010"/>
      <c r="CH8010"/>
      <c r="CI8010"/>
    </row>
    <row r="8011" spans="83:87" x14ac:dyDescent="0.2">
      <c r="CE8011"/>
      <c r="CF8011"/>
      <c r="CG8011"/>
      <c r="CH8011"/>
      <c r="CI8011"/>
    </row>
    <row r="8012" spans="83:87" x14ac:dyDescent="0.2">
      <c r="CE8012"/>
      <c r="CF8012"/>
      <c r="CG8012"/>
      <c r="CH8012"/>
      <c r="CI8012"/>
    </row>
    <row r="8013" spans="83:87" x14ac:dyDescent="0.2">
      <c r="CE8013"/>
      <c r="CF8013"/>
      <c r="CG8013"/>
      <c r="CH8013"/>
      <c r="CI8013"/>
    </row>
    <row r="8014" spans="83:87" x14ac:dyDescent="0.2">
      <c r="CE8014"/>
      <c r="CF8014"/>
      <c r="CG8014"/>
      <c r="CH8014"/>
      <c r="CI8014"/>
    </row>
    <row r="8015" spans="83:87" x14ac:dyDescent="0.2">
      <c r="CE8015"/>
      <c r="CF8015"/>
      <c r="CG8015"/>
      <c r="CH8015"/>
      <c r="CI8015"/>
    </row>
    <row r="8016" spans="83:87" x14ac:dyDescent="0.2">
      <c r="CE8016"/>
      <c r="CF8016"/>
      <c r="CG8016"/>
      <c r="CH8016"/>
      <c r="CI8016"/>
    </row>
    <row r="8017" spans="83:87" x14ac:dyDescent="0.2">
      <c r="CE8017"/>
      <c r="CF8017"/>
      <c r="CG8017"/>
      <c r="CH8017"/>
      <c r="CI8017"/>
    </row>
    <row r="8018" spans="83:87" x14ac:dyDescent="0.2">
      <c r="CE8018"/>
      <c r="CF8018"/>
      <c r="CG8018"/>
      <c r="CH8018"/>
      <c r="CI8018"/>
    </row>
    <row r="8019" spans="83:87" x14ac:dyDescent="0.2">
      <c r="CE8019"/>
      <c r="CF8019"/>
      <c r="CG8019"/>
      <c r="CH8019"/>
      <c r="CI8019"/>
    </row>
    <row r="8020" spans="83:87" x14ac:dyDescent="0.2">
      <c r="CE8020"/>
      <c r="CF8020"/>
      <c r="CG8020"/>
      <c r="CH8020"/>
      <c r="CI8020"/>
    </row>
    <row r="8021" spans="83:87" x14ac:dyDescent="0.2">
      <c r="CE8021"/>
      <c r="CF8021"/>
      <c r="CG8021"/>
      <c r="CH8021"/>
      <c r="CI8021"/>
    </row>
    <row r="8022" spans="83:87" x14ac:dyDescent="0.2">
      <c r="CE8022"/>
      <c r="CF8022"/>
      <c r="CG8022"/>
      <c r="CH8022"/>
      <c r="CI8022"/>
    </row>
    <row r="8023" spans="83:87" x14ac:dyDescent="0.2">
      <c r="CE8023"/>
      <c r="CF8023"/>
      <c r="CG8023"/>
      <c r="CH8023"/>
      <c r="CI8023"/>
    </row>
    <row r="8024" spans="83:87" x14ac:dyDescent="0.2">
      <c r="CE8024"/>
      <c r="CF8024"/>
      <c r="CG8024"/>
      <c r="CH8024"/>
      <c r="CI8024"/>
    </row>
    <row r="8025" spans="83:87" x14ac:dyDescent="0.2">
      <c r="CE8025"/>
      <c r="CF8025"/>
      <c r="CG8025"/>
      <c r="CH8025"/>
      <c r="CI8025"/>
    </row>
    <row r="8026" spans="83:87" x14ac:dyDescent="0.2">
      <c r="CE8026"/>
      <c r="CF8026"/>
      <c r="CG8026"/>
      <c r="CH8026"/>
      <c r="CI8026"/>
    </row>
    <row r="8027" spans="83:87" x14ac:dyDescent="0.2">
      <c r="CE8027"/>
      <c r="CF8027"/>
      <c r="CG8027"/>
      <c r="CH8027"/>
      <c r="CI8027"/>
    </row>
    <row r="8028" spans="83:87" x14ac:dyDescent="0.2">
      <c r="CE8028"/>
      <c r="CF8028"/>
      <c r="CG8028"/>
      <c r="CH8028"/>
      <c r="CI8028"/>
    </row>
    <row r="8029" spans="83:87" x14ac:dyDescent="0.2">
      <c r="CE8029"/>
      <c r="CF8029"/>
      <c r="CG8029"/>
      <c r="CH8029"/>
      <c r="CI8029"/>
    </row>
    <row r="8030" spans="83:87" x14ac:dyDescent="0.2">
      <c r="CE8030"/>
      <c r="CF8030"/>
      <c r="CG8030"/>
      <c r="CH8030"/>
      <c r="CI8030"/>
    </row>
    <row r="8031" spans="83:87" x14ac:dyDescent="0.2">
      <c r="CE8031"/>
      <c r="CF8031"/>
      <c r="CG8031"/>
      <c r="CH8031"/>
      <c r="CI8031"/>
    </row>
    <row r="8032" spans="83:87" x14ac:dyDescent="0.2">
      <c r="CE8032"/>
      <c r="CF8032"/>
      <c r="CG8032"/>
      <c r="CH8032"/>
      <c r="CI8032"/>
    </row>
    <row r="8033" spans="83:87" x14ac:dyDescent="0.2">
      <c r="CE8033"/>
      <c r="CF8033"/>
      <c r="CG8033"/>
      <c r="CH8033"/>
      <c r="CI8033"/>
    </row>
    <row r="8034" spans="83:87" x14ac:dyDescent="0.2">
      <c r="CE8034"/>
      <c r="CF8034"/>
      <c r="CG8034"/>
      <c r="CH8034"/>
      <c r="CI8034"/>
    </row>
    <row r="8035" spans="83:87" x14ac:dyDescent="0.2">
      <c r="CE8035"/>
      <c r="CF8035"/>
      <c r="CG8035"/>
      <c r="CH8035"/>
      <c r="CI8035"/>
    </row>
    <row r="8036" spans="83:87" x14ac:dyDescent="0.2">
      <c r="CE8036"/>
      <c r="CF8036"/>
      <c r="CG8036"/>
      <c r="CH8036"/>
      <c r="CI8036"/>
    </row>
    <row r="8037" spans="83:87" x14ac:dyDescent="0.2">
      <c r="CE8037"/>
      <c r="CF8037"/>
      <c r="CG8037"/>
      <c r="CH8037"/>
      <c r="CI8037"/>
    </row>
    <row r="8038" spans="83:87" x14ac:dyDescent="0.2">
      <c r="CE8038"/>
      <c r="CF8038"/>
      <c r="CG8038"/>
      <c r="CH8038"/>
      <c r="CI8038"/>
    </row>
    <row r="8039" spans="83:87" x14ac:dyDescent="0.2">
      <c r="CE8039"/>
      <c r="CF8039"/>
      <c r="CG8039"/>
      <c r="CH8039"/>
      <c r="CI8039"/>
    </row>
    <row r="8040" spans="83:87" x14ac:dyDescent="0.2">
      <c r="CE8040"/>
      <c r="CF8040"/>
      <c r="CG8040"/>
      <c r="CH8040"/>
      <c r="CI8040"/>
    </row>
    <row r="8041" spans="83:87" x14ac:dyDescent="0.2">
      <c r="CE8041"/>
      <c r="CF8041"/>
      <c r="CG8041"/>
      <c r="CH8041"/>
      <c r="CI8041"/>
    </row>
    <row r="8042" spans="83:87" x14ac:dyDescent="0.2">
      <c r="CE8042"/>
      <c r="CF8042"/>
      <c r="CG8042"/>
      <c r="CH8042"/>
      <c r="CI8042"/>
    </row>
    <row r="8043" spans="83:87" x14ac:dyDescent="0.2">
      <c r="CE8043"/>
      <c r="CF8043"/>
      <c r="CG8043"/>
      <c r="CH8043"/>
      <c r="CI8043"/>
    </row>
    <row r="8044" spans="83:87" x14ac:dyDescent="0.2">
      <c r="CE8044"/>
      <c r="CF8044"/>
      <c r="CG8044"/>
      <c r="CH8044"/>
      <c r="CI8044"/>
    </row>
    <row r="8045" spans="83:87" x14ac:dyDescent="0.2">
      <c r="CE8045"/>
      <c r="CF8045"/>
      <c r="CG8045"/>
      <c r="CH8045"/>
      <c r="CI8045"/>
    </row>
    <row r="8046" spans="83:87" x14ac:dyDescent="0.2">
      <c r="CE8046"/>
      <c r="CF8046"/>
      <c r="CG8046"/>
      <c r="CH8046"/>
      <c r="CI8046"/>
    </row>
    <row r="8047" spans="83:87" x14ac:dyDescent="0.2">
      <c r="CE8047"/>
      <c r="CF8047"/>
      <c r="CG8047"/>
      <c r="CH8047"/>
      <c r="CI8047"/>
    </row>
    <row r="8048" spans="83:87" x14ac:dyDescent="0.2">
      <c r="CE8048"/>
      <c r="CF8048"/>
      <c r="CG8048"/>
      <c r="CH8048"/>
      <c r="CI8048"/>
    </row>
    <row r="8049" spans="83:87" x14ac:dyDescent="0.2">
      <c r="CE8049"/>
      <c r="CF8049"/>
      <c r="CG8049"/>
      <c r="CH8049"/>
      <c r="CI8049"/>
    </row>
    <row r="8050" spans="83:87" x14ac:dyDescent="0.2">
      <c r="CE8050"/>
      <c r="CF8050"/>
      <c r="CG8050"/>
      <c r="CH8050"/>
      <c r="CI8050"/>
    </row>
    <row r="8051" spans="83:87" x14ac:dyDescent="0.2">
      <c r="CE8051"/>
      <c r="CF8051"/>
      <c r="CG8051"/>
      <c r="CH8051"/>
      <c r="CI8051"/>
    </row>
    <row r="8052" spans="83:87" x14ac:dyDescent="0.2">
      <c r="CE8052"/>
      <c r="CF8052"/>
      <c r="CG8052"/>
      <c r="CH8052"/>
      <c r="CI8052"/>
    </row>
    <row r="8053" spans="83:87" x14ac:dyDescent="0.2">
      <c r="CE8053"/>
      <c r="CF8053"/>
      <c r="CG8053"/>
      <c r="CH8053"/>
      <c r="CI8053"/>
    </row>
    <row r="8054" spans="83:87" x14ac:dyDescent="0.2">
      <c r="CE8054"/>
      <c r="CF8054"/>
      <c r="CG8054"/>
      <c r="CH8054"/>
      <c r="CI8054"/>
    </row>
    <row r="8055" spans="83:87" x14ac:dyDescent="0.2">
      <c r="CE8055"/>
      <c r="CF8055"/>
      <c r="CG8055"/>
      <c r="CH8055"/>
      <c r="CI8055"/>
    </row>
    <row r="8056" spans="83:87" x14ac:dyDescent="0.2">
      <c r="CE8056"/>
      <c r="CF8056"/>
      <c r="CG8056"/>
      <c r="CH8056"/>
      <c r="CI8056"/>
    </row>
    <row r="8057" spans="83:87" x14ac:dyDescent="0.2">
      <c r="CE8057"/>
      <c r="CF8057"/>
      <c r="CG8057"/>
      <c r="CH8057"/>
      <c r="CI8057"/>
    </row>
    <row r="8058" spans="83:87" x14ac:dyDescent="0.2">
      <c r="CE8058"/>
      <c r="CF8058"/>
      <c r="CG8058"/>
      <c r="CH8058"/>
      <c r="CI8058"/>
    </row>
    <row r="8059" spans="83:87" x14ac:dyDescent="0.2">
      <c r="CE8059"/>
      <c r="CF8059"/>
      <c r="CG8059"/>
      <c r="CH8059"/>
      <c r="CI8059"/>
    </row>
    <row r="8060" spans="83:87" x14ac:dyDescent="0.2">
      <c r="CE8060"/>
      <c r="CF8060"/>
      <c r="CG8060"/>
      <c r="CH8060"/>
      <c r="CI8060"/>
    </row>
    <row r="8061" spans="83:87" x14ac:dyDescent="0.2">
      <c r="CE8061"/>
      <c r="CF8061"/>
      <c r="CG8061"/>
      <c r="CH8061"/>
      <c r="CI8061"/>
    </row>
    <row r="8062" spans="83:87" x14ac:dyDescent="0.2">
      <c r="CE8062"/>
      <c r="CF8062"/>
      <c r="CG8062"/>
      <c r="CH8062"/>
      <c r="CI8062"/>
    </row>
    <row r="8063" spans="83:87" x14ac:dyDescent="0.2">
      <c r="CE8063"/>
      <c r="CF8063"/>
      <c r="CG8063"/>
      <c r="CH8063"/>
      <c r="CI8063"/>
    </row>
    <row r="8064" spans="83:87" x14ac:dyDescent="0.2">
      <c r="CE8064"/>
      <c r="CF8064"/>
      <c r="CG8064"/>
      <c r="CH8064"/>
      <c r="CI8064"/>
    </row>
    <row r="8065" spans="83:87" x14ac:dyDescent="0.2">
      <c r="CE8065"/>
      <c r="CF8065"/>
      <c r="CG8065"/>
      <c r="CH8065"/>
      <c r="CI8065"/>
    </row>
    <row r="8066" spans="83:87" x14ac:dyDescent="0.2">
      <c r="CE8066"/>
      <c r="CF8066"/>
      <c r="CG8066"/>
      <c r="CH8066"/>
      <c r="CI8066"/>
    </row>
    <row r="8067" spans="83:87" x14ac:dyDescent="0.2">
      <c r="CE8067"/>
      <c r="CF8067"/>
      <c r="CG8067"/>
      <c r="CH8067"/>
      <c r="CI8067"/>
    </row>
    <row r="8068" spans="83:87" x14ac:dyDescent="0.2">
      <c r="CE8068"/>
      <c r="CF8068"/>
      <c r="CG8068"/>
      <c r="CH8068"/>
      <c r="CI8068"/>
    </row>
    <row r="8069" spans="83:87" x14ac:dyDescent="0.2">
      <c r="CE8069"/>
      <c r="CF8069"/>
      <c r="CG8069"/>
      <c r="CH8069"/>
      <c r="CI8069"/>
    </row>
    <row r="8070" spans="83:87" x14ac:dyDescent="0.2">
      <c r="CE8070"/>
      <c r="CF8070"/>
      <c r="CG8070"/>
      <c r="CH8070"/>
      <c r="CI8070"/>
    </row>
    <row r="8071" spans="83:87" x14ac:dyDescent="0.2">
      <c r="CE8071"/>
      <c r="CF8071"/>
      <c r="CG8071"/>
      <c r="CH8071"/>
      <c r="CI8071"/>
    </row>
    <row r="8072" spans="83:87" x14ac:dyDescent="0.2">
      <c r="CE8072"/>
      <c r="CF8072"/>
      <c r="CG8072"/>
      <c r="CH8072"/>
      <c r="CI8072"/>
    </row>
    <row r="8073" spans="83:87" x14ac:dyDescent="0.2">
      <c r="CE8073"/>
      <c r="CF8073"/>
      <c r="CG8073"/>
      <c r="CH8073"/>
      <c r="CI8073"/>
    </row>
    <row r="8074" spans="83:87" x14ac:dyDescent="0.2">
      <c r="CE8074"/>
      <c r="CF8074"/>
      <c r="CG8074"/>
      <c r="CH8074"/>
      <c r="CI8074"/>
    </row>
    <row r="8075" spans="83:87" x14ac:dyDescent="0.2">
      <c r="CE8075"/>
      <c r="CF8075"/>
      <c r="CG8075"/>
      <c r="CH8075"/>
      <c r="CI8075"/>
    </row>
    <row r="8076" spans="83:87" x14ac:dyDescent="0.2">
      <c r="CE8076"/>
      <c r="CF8076"/>
      <c r="CG8076"/>
      <c r="CH8076"/>
      <c r="CI8076"/>
    </row>
    <row r="8077" spans="83:87" x14ac:dyDescent="0.2">
      <c r="CE8077"/>
      <c r="CF8077"/>
      <c r="CG8077"/>
      <c r="CH8077"/>
      <c r="CI8077"/>
    </row>
    <row r="8078" spans="83:87" x14ac:dyDescent="0.2">
      <c r="CE8078"/>
      <c r="CF8078"/>
      <c r="CG8078"/>
      <c r="CH8078"/>
      <c r="CI8078"/>
    </row>
    <row r="8079" spans="83:87" x14ac:dyDescent="0.2">
      <c r="CE8079"/>
      <c r="CF8079"/>
      <c r="CG8079"/>
      <c r="CH8079"/>
      <c r="CI8079"/>
    </row>
    <row r="8080" spans="83:87" x14ac:dyDescent="0.2">
      <c r="CE8080"/>
      <c r="CF8080"/>
      <c r="CG8080"/>
      <c r="CH8080"/>
      <c r="CI8080"/>
    </row>
    <row r="8081" spans="83:87" x14ac:dyDescent="0.2">
      <c r="CE8081"/>
      <c r="CF8081"/>
      <c r="CG8081"/>
      <c r="CH8081"/>
      <c r="CI8081"/>
    </row>
    <row r="8082" spans="83:87" x14ac:dyDescent="0.2">
      <c r="CE8082"/>
      <c r="CF8082"/>
      <c r="CG8082"/>
      <c r="CH8082"/>
      <c r="CI8082"/>
    </row>
    <row r="8083" spans="83:87" x14ac:dyDescent="0.2">
      <c r="CE8083"/>
      <c r="CF8083"/>
      <c r="CG8083"/>
      <c r="CH8083"/>
      <c r="CI8083"/>
    </row>
    <row r="8084" spans="83:87" x14ac:dyDescent="0.2">
      <c r="CE8084"/>
      <c r="CF8084"/>
      <c r="CG8084"/>
      <c r="CH8084"/>
      <c r="CI8084"/>
    </row>
    <row r="8085" spans="83:87" x14ac:dyDescent="0.2">
      <c r="CE8085"/>
      <c r="CF8085"/>
      <c r="CG8085"/>
      <c r="CH8085"/>
      <c r="CI8085"/>
    </row>
    <row r="8086" spans="83:87" x14ac:dyDescent="0.2">
      <c r="CE8086"/>
      <c r="CF8086"/>
      <c r="CG8086"/>
      <c r="CH8086"/>
      <c r="CI8086"/>
    </row>
    <row r="8087" spans="83:87" x14ac:dyDescent="0.2">
      <c r="CE8087"/>
      <c r="CF8087"/>
      <c r="CG8087"/>
      <c r="CH8087"/>
      <c r="CI8087"/>
    </row>
    <row r="8088" spans="83:87" x14ac:dyDescent="0.2">
      <c r="CE8088"/>
      <c r="CF8088"/>
      <c r="CG8088"/>
      <c r="CH8088"/>
      <c r="CI8088"/>
    </row>
    <row r="8089" spans="83:87" x14ac:dyDescent="0.2">
      <c r="CE8089"/>
      <c r="CF8089"/>
      <c r="CG8089"/>
      <c r="CH8089"/>
      <c r="CI8089"/>
    </row>
    <row r="8090" spans="83:87" x14ac:dyDescent="0.2">
      <c r="CE8090"/>
      <c r="CF8090"/>
      <c r="CG8090"/>
      <c r="CH8090"/>
      <c r="CI8090"/>
    </row>
    <row r="8091" spans="83:87" x14ac:dyDescent="0.2">
      <c r="CE8091"/>
      <c r="CF8091"/>
      <c r="CG8091"/>
      <c r="CH8091"/>
      <c r="CI8091"/>
    </row>
    <row r="8092" spans="83:87" x14ac:dyDescent="0.2">
      <c r="CE8092"/>
      <c r="CF8092"/>
      <c r="CG8092"/>
      <c r="CH8092"/>
      <c r="CI8092"/>
    </row>
    <row r="8093" spans="83:87" x14ac:dyDescent="0.2">
      <c r="CE8093"/>
      <c r="CF8093"/>
      <c r="CG8093"/>
      <c r="CH8093"/>
      <c r="CI8093"/>
    </row>
    <row r="8094" spans="83:87" x14ac:dyDescent="0.2">
      <c r="CE8094"/>
      <c r="CF8094"/>
      <c r="CG8094"/>
      <c r="CH8094"/>
      <c r="CI8094"/>
    </row>
    <row r="8095" spans="83:87" x14ac:dyDescent="0.2">
      <c r="CE8095"/>
      <c r="CF8095"/>
      <c r="CG8095"/>
      <c r="CH8095"/>
      <c r="CI8095"/>
    </row>
    <row r="8096" spans="83:87" x14ac:dyDescent="0.2">
      <c r="CE8096"/>
      <c r="CF8096"/>
      <c r="CG8096"/>
      <c r="CH8096"/>
      <c r="CI8096"/>
    </row>
    <row r="8097" spans="83:87" x14ac:dyDescent="0.2">
      <c r="CE8097"/>
      <c r="CF8097"/>
      <c r="CG8097"/>
      <c r="CH8097"/>
      <c r="CI8097"/>
    </row>
    <row r="8098" spans="83:87" x14ac:dyDescent="0.2">
      <c r="CE8098"/>
      <c r="CF8098"/>
      <c r="CG8098"/>
      <c r="CH8098"/>
      <c r="CI8098"/>
    </row>
    <row r="8099" spans="83:87" x14ac:dyDescent="0.2">
      <c r="CE8099"/>
      <c r="CF8099"/>
      <c r="CG8099"/>
      <c r="CH8099"/>
      <c r="CI8099"/>
    </row>
    <row r="8100" spans="83:87" x14ac:dyDescent="0.2">
      <c r="CE8100"/>
      <c r="CF8100"/>
      <c r="CG8100"/>
      <c r="CH8100"/>
      <c r="CI8100"/>
    </row>
    <row r="8101" spans="83:87" x14ac:dyDescent="0.2">
      <c r="CE8101"/>
      <c r="CF8101"/>
      <c r="CG8101"/>
      <c r="CH8101"/>
      <c r="CI8101"/>
    </row>
    <row r="8102" spans="83:87" x14ac:dyDescent="0.2">
      <c r="CE8102"/>
      <c r="CF8102"/>
      <c r="CG8102"/>
      <c r="CH8102"/>
      <c r="CI8102"/>
    </row>
    <row r="8103" spans="83:87" x14ac:dyDescent="0.2">
      <c r="CE8103"/>
      <c r="CF8103"/>
      <c r="CG8103"/>
      <c r="CH8103"/>
      <c r="CI8103"/>
    </row>
    <row r="8104" spans="83:87" x14ac:dyDescent="0.2">
      <c r="CE8104"/>
      <c r="CF8104"/>
      <c r="CG8104"/>
      <c r="CH8104"/>
      <c r="CI8104"/>
    </row>
    <row r="8105" spans="83:87" x14ac:dyDescent="0.2">
      <c r="CE8105"/>
      <c r="CF8105"/>
      <c r="CG8105"/>
      <c r="CH8105"/>
      <c r="CI8105"/>
    </row>
    <row r="8106" spans="83:87" x14ac:dyDescent="0.2">
      <c r="CE8106"/>
      <c r="CF8106"/>
      <c r="CG8106"/>
      <c r="CH8106"/>
      <c r="CI8106"/>
    </row>
    <row r="8107" spans="83:87" x14ac:dyDescent="0.2">
      <c r="CE8107"/>
      <c r="CF8107"/>
      <c r="CG8107"/>
      <c r="CH8107"/>
      <c r="CI8107"/>
    </row>
    <row r="8108" spans="83:87" x14ac:dyDescent="0.2">
      <c r="CE8108"/>
      <c r="CF8108"/>
      <c r="CG8108"/>
      <c r="CH8108"/>
      <c r="CI8108"/>
    </row>
    <row r="8109" spans="83:87" x14ac:dyDescent="0.2">
      <c r="CE8109"/>
      <c r="CF8109"/>
      <c r="CG8109"/>
      <c r="CH8109"/>
      <c r="CI8109"/>
    </row>
    <row r="8110" spans="83:87" x14ac:dyDescent="0.2">
      <c r="CE8110"/>
      <c r="CF8110"/>
      <c r="CG8110"/>
      <c r="CH8110"/>
      <c r="CI8110"/>
    </row>
    <row r="8111" spans="83:87" x14ac:dyDescent="0.2">
      <c r="CE8111"/>
      <c r="CF8111"/>
      <c r="CG8111"/>
      <c r="CH8111"/>
      <c r="CI8111"/>
    </row>
    <row r="8112" spans="83:87" x14ac:dyDescent="0.2">
      <c r="CE8112"/>
      <c r="CF8112"/>
      <c r="CG8112"/>
      <c r="CH8112"/>
      <c r="CI8112"/>
    </row>
    <row r="8113" spans="83:87" x14ac:dyDescent="0.2">
      <c r="CE8113"/>
      <c r="CF8113"/>
      <c r="CG8113"/>
      <c r="CH8113"/>
      <c r="CI8113"/>
    </row>
    <row r="8114" spans="83:87" x14ac:dyDescent="0.2">
      <c r="CE8114"/>
      <c r="CF8114"/>
      <c r="CG8114"/>
      <c r="CH8114"/>
      <c r="CI8114"/>
    </row>
    <row r="8115" spans="83:87" x14ac:dyDescent="0.2">
      <c r="CE8115"/>
      <c r="CF8115"/>
      <c r="CG8115"/>
      <c r="CH8115"/>
      <c r="CI8115"/>
    </row>
    <row r="8116" spans="83:87" x14ac:dyDescent="0.2">
      <c r="CE8116"/>
      <c r="CF8116"/>
      <c r="CG8116"/>
      <c r="CH8116"/>
      <c r="CI8116"/>
    </row>
    <row r="8117" spans="83:87" x14ac:dyDescent="0.2">
      <c r="CE8117"/>
      <c r="CF8117"/>
      <c r="CG8117"/>
      <c r="CH8117"/>
      <c r="CI8117"/>
    </row>
    <row r="8118" spans="83:87" x14ac:dyDescent="0.2">
      <c r="CE8118"/>
      <c r="CF8118"/>
      <c r="CG8118"/>
      <c r="CH8118"/>
      <c r="CI8118"/>
    </row>
    <row r="8119" spans="83:87" x14ac:dyDescent="0.2">
      <c r="CE8119"/>
      <c r="CF8119"/>
      <c r="CG8119"/>
      <c r="CH8119"/>
      <c r="CI8119"/>
    </row>
    <row r="8120" spans="83:87" x14ac:dyDescent="0.2">
      <c r="CE8120"/>
      <c r="CF8120"/>
      <c r="CG8120"/>
      <c r="CH8120"/>
      <c r="CI8120"/>
    </row>
    <row r="8121" spans="83:87" x14ac:dyDescent="0.2">
      <c r="CE8121"/>
      <c r="CF8121"/>
      <c r="CG8121"/>
      <c r="CH8121"/>
      <c r="CI8121"/>
    </row>
    <row r="8122" spans="83:87" x14ac:dyDescent="0.2">
      <c r="CE8122"/>
      <c r="CF8122"/>
      <c r="CG8122"/>
      <c r="CH8122"/>
      <c r="CI8122"/>
    </row>
    <row r="8123" spans="83:87" x14ac:dyDescent="0.2">
      <c r="CE8123"/>
      <c r="CF8123"/>
      <c r="CG8123"/>
      <c r="CH8123"/>
      <c r="CI8123"/>
    </row>
    <row r="8124" spans="83:87" x14ac:dyDescent="0.2">
      <c r="CE8124"/>
      <c r="CF8124"/>
      <c r="CG8124"/>
      <c r="CH8124"/>
      <c r="CI8124"/>
    </row>
    <row r="8125" spans="83:87" x14ac:dyDescent="0.2">
      <c r="CE8125"/>
      <c r="CF8125"/>
      <c r="CG8125"/>
      <c r="CH8125"/>
      <c r="CI8125"/>
    </row>
    <row r="8126" spans="83:87" x14ac:dyDescent="0.2">
      <c r="CE8126"/>
      <c r="CF8126"/>
      <c r="CG8126"/>
      <c r="CH8126"/>
      <c r="CI8126"/>
    </row>
    <row r="8127" spans="83:87" x14ac:dyDescent="0.2">
      <c r="CE8127"/>
      <c r="CF8127"/>
      <c r="CG8127"/>
      <c r="CH8127"/>
      <c r="CI8127"/>
    </row>
    <row r="8128" spans="83:87" x14ac:dyDescent="0.2">
      <c r="CE8128"/>
      <c r="CF8128"/>
      <c r="CG8128"/>
      <c r="CH8128"/>
      <c r="CI8128"/>
    </row>
    <row r="8129" spans="83:87" x14ac:dyDescent="0.2">
      <c r="CE8129"/>
      <c r="CF8129"/>
      <c r="CG8129"/>
      <c r="CH8129"/>
      <c r="CI8129"/>
    </row>
    <row r="8130" spans="83:87" x14ac:dyDescent="0.2">
      <c r="CE8130"/>
      <c r="CF8130"/>
      <c r="CG8130"/>
      <c r="CH8130"/>
      <c r="CI8130"/>
    </row>
    <row r="8131" spans="83:87" x14ac:dyDescent="0.2">
      <c r="CE8131"/>
      <c r="CF8131"/>
      <c r="CG8131"/>
      <c r="CH8131"/>
      <c r="CI8131"/>
    </row>
    <row r="8132" spans="83:87" x14ac:dyDescent="0.2">
      <c r="CE8132"/>
      <c r="CF8132"/>
      <c r="CG8132"/>
      <c r="CH8132"/>
      <c r="CI8132"/>
    </row>
    <row r="8133" spans="83:87" x14ac:dyDescent="0.2">
      <c r="CE8133"/>
      <c r="CF8133"/>
      <c r="CG8133"/>
      <c r="CH8133"/>
      <c r="CI8133"/>
    </row>
    <row r="8134" spans="83:87" x14ac:dyDescent="0.2">
      <c r="CE8134"/>
      <c r="CF8134"/>
      <c r="CG8134"/>
      <c r="CH8134"/>
      <c r="CI8134"/>
    </row>
    <row r="8135" spans="83:87" x14ac:dyDescent="0.2">
      <c r="CE8135"/>
      <c r="CF8135"/>
      <c r="CG8135"/>
      <c r="CH8135"/>
      <c r="CI8135"/>
    </row>
    <row r="8136" spans="83:87" x14ac:dyDescent="0.2">
      <c r="CE8136"/>
      <c r="CF8136"/>
      <c r="CG8136"/>
      <c r="CH8136"/>
      <c r="CI8136"/>
    </row>
    <row r="8137" spans="83:87" x14ac:dyDescent="0.2">
      <c r="CE8137"/>
      <c r="CF8137"/>
      <c r="CG8137"/>
      <c r="CH8137"/>
      <c r="CI8137"/>
    </row>
    <row r="8138" spans="83:87" x14ac:dyDescent="0.2">
      <c r="CE8138"/>
      <c r="CF8138"/>
      <c r="CG8138"/>
      <c r="CH8138"/>
      <c r="CI8138"/>
    </row>
    <row r="8139" spans="83:87" x14ac:dyDescent="0.2">
      <c r="CE8139"/>
      <c r="CF8139"/>
      <c r="CG8139"/>
      <c r="CH8139"/>
      <c r="CI8139"/>
    </row>
    <row r="8140" spans="83:87" x14ac:dyDescent="0.2">
      <c r="CE8140"/>
      <c r="CF8140"/>
      <c r="CG8140"/>
      <c r="CH8140"/>
      <c r="CI8140"/>
    </row>
    <row r="8141" spans="83:87" x14ac:dyDescent="0.2">
      <c r="CE8141"/>
      <c r="CF8141"/>
      <c r="CG8141"/>
      <c r="CH8141"/>
      <c r="CI8141"/>
    </row>
    <row r="8142" spans="83:87" x14ac:dyDescent="0.2">
      <c r="CE8142"/>
      <c r="CF8142"/>
      <c r="CG8142"/>
      <c r="CH8142"/>
      <c r="CI8142"/>
    </row>
    <row r="8143" spans="83:87" x14ac:dyDescent="0.2">
      <c r="CE8143"/>
      <c r="CF8143"/>
      <c r="CG8143"/>
      <c r="CH8143"/>
      <c r="CI8143"/>
    </row>
    <row r="8144" spans="83:87" x14ac:dyDescent="0.2">
      <c r="CE8144"/>
      <c r="CF8144"/>
      <c r="CG8144"/>
      <c r="CH8144"/>
      <c r="CI8144"/>
    </row>
    <row r="8145" spans="83:87" x14ac:dyDescent="0.2">
      <c r="CE8145"/>
      <c r="CF8145"/>
      <c r="CG8145"/>
      <c r="CH8145"/>
      <c r="CI8145"/>
    </row>
    <row r="8146" spans="83:87" x14ac:dyDescent="0.2">
      <c r="CE8146"/>
      <c r="CF8146"/>
      <c r="CG8146"/>
      <c r="CH8146"/>
      <c r="CI8146"/>
    </row>
    <row r="8147" spans="83:87" x14ac:dyDescent="0.2">
      <c r="CE8147"/>
      <c r="CF8147"/>
      <c r="CG8147"/>
      <c r="CH8147"/>
      <c r="CI8147"/>
    </row>
    <row r="8148" spans="83:87" x14ac:dyDescent="0.2">
      <c r="CE8148"/>
      <c r="CF8148"/>
      <c r="CG8148"/>
      <c r="CH8148"/>
      <c r="CI8148"/>
    </row>
    <row r="8149" spans="83:87" x14ac:dyDescent="0.2">
      <c r="CE8149"/>
      <c r="CF8149"/>
      <c r="CG8149"/>
      <c r="CH8149"/>
      <c r="CI8149"/>
    </row>
    <row r="8150" spans="83:87" x14ac:dyDescent="0.2">
      <c r="CE8150"/>
      <c r="CF8150"/>
      <c r="CG8150"/>
      <c r="CH8150"/>
      <c r="CI8150"/>
    </row>
    <row r="8151" spans="83:87" x14ac:dyDescent="0.2">
      <c r="CE8151"/>
      <c r="CF8151"/>
      <c r="CG8151"/>
      <c r="CH8151"/>
      <c r="CI8151"/>
    </row>
    <row r="8152" spans="83:87" x14ac:dyDescent="0.2">
      <c r="CE8152"/>
      <c r="CF8152"/>
      <c r="CG8152"/>
      <c r="CH8152"/>
      <c r="CI8152"/>
    </row>
    <row r="8153" spans="83:87" x14ac:dyDescent="0.2">
      <c r="CE8153"/>
      <c r="CF8153"/>
      <c r="CG8153"/>
      <c r="CH8153"/>
      <c r="CI8153"/>
    </row>
    <row r="8154" spans="83:87" x14ac:dyDescent="0.2">
      <c r="CE8154"/>
      <c r="CF8154"/>
      <c r="CG8154"/>
      <c r="CH8154"/>
      <c r="CI8154"/>
    </row>
    <row r="8155" spans="83:87" x14ac:dyDescent="0.2">
      <c r="CE8155"/>
      <c r="CF8155"/>
      <c r="CG8155"/>
      <c r="CH8155"/>
      <c r="CI8155"/>
    </row>
    <row r="8156" spans="83:87" x14ac:dyDescent="0.2">
      <c r="CE8156"/>
      <c r="CF8156"/>
      <c r="CG8156"/>
      <c r="CH8156"/>
      <c r="CI8156"/>
    </row>
    <row r="8157" spans="83:87" x14ac:dyDescent="0.2">
      <c r="CE8157"/>
      <c r="CF8157"/>
      <c r="CG8157"/>
      <c r="CH8157"/>
      <c r="CI8157"/>
    </row>
    <row r="8158" spans="83:87" x14ac:dyDescent="0.2">
      <c r="CE8158"/>
      <c r="CF8158"/>
      <c r="CG8158"/>
      <c r="CH8158"/>
      <c r="CI8158"/>
    </row>
    <row r="8159" spans="83:87" x14ac:dyDescent="0.2">
      <c r="CE8159"/>
      <c r="CF8159"/>
      <c r="CG8159"/>
      <c r="CH8159"/>
      <c r="CI8159"/>
    </row>
    <row r="8160" spans="83:87" x14ac:dyDescent="0.2">
      <c r="CE8160"/>
      <c r="CF8160"/>
      <c r="CG8160"/>
      <c r="CH8160"/>
      <c r="CI8160"/>
    </row>
    <row r="8161" spans="83:87" x14ac:dyDescent="0.2">
      <c r="CE8161"/>
      <c r="CF8161"/>
      <c r="CG8161"/>
      <c r="CH8161"/>
      <c r="CI8161"/>
    </row>
    <row r="8162" spans="83:87" x14ac:dyDescent="0.2">
      <c r="CE8162"/>
      <c r="CF8162"/>
      <c r="CG8162"/>
      <c r="CH8162"/>
      <c r="CI8162"/>
    </row>
    <row r="8163" spans="83:87" x14ac:dyDescent="0.2">
      <c r="CE8163"/>
      <c r="CF8163"/>
      <c r="CG8163"/>
      <c r="CH8163"/>
      <c r="CI8163"/>
    </row>
    <row r="8164" spans="83:87" x14ac:dyDescent="0.2">
      <c r="CE8164"/>
      <c r="CF8164"/>
      <c r="CG8164"/>
      <c r="CH8164"/>
      <c r="CI8164"/>
    </row>
    <row r="8165" spans="83:87" x14ac:dyDescent="0.2">
      <c r="CE8165"/>
      <c r="CF8165"/>
      <c r="CG8165"/>
      <c r="CH8165"/>
      <c r="CI8165"/>
    </row>
    <row r="8166" spans="83:87" x14ac:dyDescent="0.2">
      <c r="CE8166"/>
      <c r="CF8166"/>
      <c r="CG8166"/>
      <c r="CH8166"/>
      <c r="CI8166"/>
    </row>
    <row r="8167" spans="83:87" x14ac:dyDescent="0.2">
      <c r="CE8167"/>
      <c r="CF8167"/>
      <c r="CG8167"/>
      <c r="CH8167"/>
      <c r="CI8167"/>
    </row>
    <row r="8168" spans="83:87" x14ac:dyDescent="0.2">
      <c r="CE8168"/>
      <c r="CF8168"/>
      <c r="CG8168"/>
      <c r="CH8168"/>
      <c r="CI8168"/>
    </row>
    <row r="8169" spans="83:87" x14ac:dyDescent="0.2">
      <c r="CE8169"/>
      <c r="CF8169"/>
      <c r="CG8169"/>
      <c r="CH8169"/>
      <c r="CI8169"/>
    </row>
    <row r="8170" spans="83:87" x14ac:dyDescent="0.2">
      <c r="CE8170"/>
      <c r="CF8170"/>
      <c r="CG8170"/>
      <c r="CH8170"/>
      <c r="CI8170"/>
    </row>
    <row r="8171" spans="83:87" x14ac:dyDescent="0.2">
      <c r="CE8171"/>
      <c r="CF8171"/>
      <c r="CG8171"/>
      <c r="CH8171"/>
      <c r="CI8171"/>
    </row>
    <row r="8172" spans="83:87" x14ac:dyDescent="0.2">
      <c r="CE8172"/>
      <c r="CF8172"/>
      <c r="CG8172"/>
      <c r="CH8172"/>
      <c r="CI8172"/>
    </row>
    <row r="8173" spans="83:87" x14ac:dyDescent="0.2">
      <c r="CE8173"/>
      <c r="CF8173"/>
      <c r="CG8173"/>
      <c r="CH8173"/>
      <c r="CI8173"/>
    </row>
    <row r="8174" spans="83:87" x14ac:dyDescent="0.2">
      <c r="CE8174"/>
      <c r="CF8174"/>
      <c r="CG8174"/>
      <c r="CH8174"/>
      <c r="CI8174"/>
    </row>
    <row r="8175" spans="83:87" x14ac:dyDescent="0.2">
      <c r="CE8175"/>
      <c r="CF8175"/>
      <c r="CG8175"/>
      <c r="CH8175"/>
      <c r="CI8175"/>
    </row>
    <row r="8176" spans="83:87" x14ac:dyDescent="0.2">
      <c r="CE8176"/>
      <c r="CF8176"/>
      <c r="CG8176"/>
      <c r="CH8176"/>
      <c r="CI8176"/>
    </row>
    <row r="8177" spans="83:87" x14ac:dyDescent="0.2">
      <c r="CE8177"/>
      <c r="CF8177"/>
      <c r="CG8177"/>
      <c r="CH8177"/>
      <c r="CI8177"/>
    </row>
    <row r="8178" spans="83:87" x14ac:dyDescent="0.2">
      <c r="CE8178"/>
      <c r="CF8178"/>
      <c r="CG8178"/>
      <c r="CH8178"/>
      <c r="CI8178"/>
    </row>
    <row r="8179" spans="83:87" x14ac:dyDescent="0.2">
      <c r="CE8179"/>
      <c r="CF8179"/>
      <c r="CG8179"/>
      <c r="CH8179"/>
      <c r="CI8179"/>
    </row>
    <row r="8180" spans="83:87" x14ac:dyDescent="0.2">
      <c r="CE8180"/>
      <c r="CF8180"/>
      <c r="CG8180"/>
      <c r="CH8180"/>
      <c r="CI8180"/>
    </row>
    <row r="8181" spans="83:87" x14ac:dyDescent="0.2">
      <c r="CE8181"/>
      <c r="CF8181"/>
      <c r="CG8181"/>
      <c r="CH8181"/>
      <c r="CI8181"/>
    </row>
    <row r="8182" spans="83:87" x14ac:dyDescent="0.2">
      <c r="CE8182"/>
      <c r="CF8182"/>
      <c r="CG8182"/>
      <c r="CH8182"/>
      <c r="CI8182"/>
    </row>
    <row r="8183" spans="83:87" x14ac:dyDescent="0.2">
      <c r="CE8183"/>
      <c r="CF8183"/>
      <c r="CG8183"/>
      <c r="CH8183"/>
      <c r="CI8183"/>
    </row>
    <row r="8184" spans="83:87" x14ac:dyDescent="0.2">
      <c r="CE8184"/>
      <c r="CF8184"/>
      <c r="CG8184"/>
      <c r="CH8184"/>
      <c r="CI8184"/>
    </row>
    <row r="8185" spans="83:87" x14ac:dyDescent="0.2">
      <c r="CE8185"/>
      <c r="CF8185"/>
      <c r="CG8185"/>
      <c r="CH8185"/>
      <c r="CI8185"/>
    </row>
    <row r="8186" spans="83:87" x14ac:dyDescent="0.2">
      <c r="CE8186"/>
      <c r="CF8186"/>
      <c r="CG8186"/>
      <c r="CH8186"/>
      <c r="CI8186"/>
    </row>
    <row r="8187" spans="83:87" x14ac:dyDescent="0.2">
      <c r="CE8187"/>
      <c r="CF8187"/>
      <c r="CG8187"/>
      <c r="CH8187"/>
      <c r="CI8187"/>
    </row>
    <row r="8188" spans="83:87" x14ac:dyDescent="0.2">
      <c r="CE8188"/>
      <c r="CF8188"/>
      <c r="CG8188"/>
      <c r="CH8188"/>
      <c r="CI8188"/>
    </row>
    <row r="8189" spans="83:87" x14ac:dyDescent="0.2">
      <c r="CE8189"/>
      <c r="CF8189"/>
      <c r="CG8189"/>
      <c r="CH8189"/>
      <c r="CI8189"/>
    </row>
    <row r="8190" spans="83:87" x14ac:dyDescent="0.2">
      <c r="CE8190"/>
      <c r="CF8190"/>
      <c r="CG8190"/>
      <c r="CH8190"/>
      <c r="CI8190"/>
    </row>
    <row r="8191" spans="83:87" x14ac:dyDescent="0.2">
      <c r="CE8191"/>
      <c r="CF8191"/>
      <c r="CG8191"/>
      <c r="CH8191"/>
      <c r="CI8191"/>
    </row>
    <row r="8192" spans="83:87" x14ac:dyDescent="0.2">
      <c r="CE8192"/>
      <c r="CF8192"/>
      <c r="CG8192"/>
      <c r="CH8192"/>
      <c r="CI8192"/>
    </row>
    <row r="8193" spans="83:87" x14ac:dyDescent="0.2">
      <c r="CE8193"/>
      <c r="CF8193"/>
      <c r="CG8193"/>
      <c r="CH8193"/>
      <c r="CI8193"/>
    </row>
    <row r="8194" spans="83:87" x14ac:dyDescent="0.2">
      <c r="CE8194"/>
      <c r="CF8194"/>
      <c r="CG8194"/>
      <c r="CH8194"/>
      <c r="CI8194"/>
    </row>
    <row r="8195" spans="83:87" x14ac:dyDescent="0.2">
      <c r="CE8195"/>
      <c r="CF8195"/>
      <c r="CG8195"/>
      <c r="CH8195"/>
      <c r="CI8195"/>
    </row>
    <row r="8196" spans="83:87" x14ac:dyDescent="0.2">
      <c r="CE8196"/>
      <c r="CF8196"/>
      <c r="CG8196"/>
      <c r="CH8196"/>
      <c r="CI8196"/>
    </row>
    <row r="8197" spans="83:87" x14ac:dyDescent="0.2">
      <c r="CE8197"/>
      <c r="CF8197"/>
      <c r="CG8197"/>
      <c r="CH8197"/>
      <c r="CI8197"/>
    </row>
    <row r="8198" spans="83:87" x14ac:dyDescent="0.2">
      <c r="CE8198"/>
      <c r="CF8198"/>
      <c r="CG8198"/>
      <c r="CH8198"/>
      <c r="CI8198"/>
    </row>
    <row r="8199" spans="83:87" x14ac:dyDescent="0.2">
      <c r="CE8199"/>
      <c r="CF8199"/>
      <c r="CG8199"/>
      <c r="CH8199"/>
      <c r="CI8199"/>
    </row>
    <row r="8200" spans="83:87" x14ac:dyDescent="0.2">
      <c r="CE8200"/>
      <c r="CF8200"/>
      <c r="CG8200"/>
      <c r="CH8200"/>
      <c r="CI8200"/>
    </row>
    <row r="8201" spans="83:87" x14ac:dyDescent="0.2">
      <c r="CE8201"/>
      <c r="CF8201"/>
      <c r="CG8201"/>
      <c r="CH8201"/>
      <c r="CI8201"/>
    </row>
    <row r="8202" spans="83:87" x14ac:dyDescent="0.2">
      <c r="CE8202"/>
      <c r="CF8202"/>
      <c r="CG8202"/>
      <c r="CH8202"/>
      <c r="CI8202"/>
    </row>
    <row r="8203" spans="83:87" x14ac:dyDescent="0.2">
      <c r="CE8203"/>
      <c r="CF8203"/>
      <c r="CG8203"/>
      <c r="CH8203"/>
      <c r="CI8203"/>
    </row>
    <row r="8204" spans="83:87" x14ac:dyDescent="0.2">
      <c r="CE8204"/>
      <c r="CF8204"/>
      <c r="CG8204"/>
      <c r="CH8204"/>
      <c r="CI8204"/>
    </row>
    <row r="8205" spans="83:87" x14ac:dyDescent="0.2">
      <c r="CE8205"/>
      <c r="CF8205"/>
      <c r="CG8205"/>
      <c r="CH8205"/>
      <c r="CI8205"/>
    </row>
    <row r="8206" spans="83:87" x14ac:dyDescent="0.2">
      <c r="CE8206"/>
      <c r="CF8206"/>
      <c r="CG8206"/>
      <c r="CH8206"/>
      <c r="CI8206"/>
    </row>
    <row r="8207" spans="83:87" x14ac:dyDescent="0.2">
      <c r="CE8207"/>
      <c r="CF8207"/>
      <c r="CG8207"/>
      <c r="CH8207"/>
      <c r="CI8207"/>
    </row>
    <row r="8208" spans="83:87" x14ac:dyDescent="0.2">
      <c r="CE8208"/>
      <c r="CF8208"/>
      <c r="CG8208"/>
      <c r="CH8208"/>
      <c r="CI8208"/>
    </row>
    <row r="8209" spans="83:87" x14ac:dyDescent="0.2">
      <c r="CE8209"/>
      <c r="CF8209"/>
      <c r="CG8209"/>
      <c r="CH8209"/>
      <c r="CI8209"/>
    </row>
    <row r="8210" spans="83:87" x14ac:dyDescent="0.2">
      <c r="CE8210"/>
      <c r="CF8210"/>
      <c r="CG8210"/>
      <c r="CH8210"/>
      <c r="CI8210"/>
    </row>
    <row r="8211" spans="83:87" x14ac:dyDescent="0.2">
      <c r="CE8211"/>
      <c r="CF8211"/>
      <c r="CG8211"/>
      <c r="CH8211"/>
      <c r="CI8211"/>
    </row>
    <row r="8212" spans="83:87" x14ac:dyDescent="0.2">
      <c r="CE8212"/>
      <c r="CF8212"/>
      <c r="CG8212"/>
      <c r="CH8212"/>
      <c r="CI8212"/>
    </row>
    <row r="8213" spans="83:87" x14ac:dyDescent="0.2">
      <c r="CE8213"/>
      <c r="CF8213"/>
      <c r="CG8213"/>
      <c r="CH8213"/>
      <c r="CI8213"/>
    </row>
    <row r="8214" spans="83:87" x14ac:dyDescent="0.2">
      <c r="CE8214"/>
      <c r="CF8214"/>
      <c r="CG8214"/>
      <c r="CH8214"/>
      <c r="CI8214"/>
    </row>
    <row r="8215" spans="83:87" x14ac:dyDescent="0.2">
      <c r="CE8215"/>
      <c r="CF8215"/>
      <c r="CG8215"/>
      <c r="CH8215"/>
      <c r="CI8215"/>
    </row>
    <row r="8216" spans="83:87" x14ac:dyDescent="0.2">
      <c r="CE8216"/>
      <c r="CF8216"/>
      <c r="CG8216"/>
      <c r="CH8216"/>
      <c r="CI8216"/>
    </row>
    <row r="8217" spans="83:87" x14ac:dyDescent="0.2">
      <c r="CE8217"/>
      <c r="CF8217"/>
      <c r="CG8217"/>
      <c r="CH8217"/>
      <c r="CI8217"/>
    </row>
    <row r="8218" spans="83:87" x14ac:dyDescent="0.2">
      <c r="CE8218"/>
      <c r="CF8218"/>
      <c r="CG8218"/>
      <c r="CH8218"/>
      <c r="CI8218"/>
    </row>
    <row r="8219" spans="83:87" x14ac:dyDescent="0.2">
      <c r="CE8219"/>
      <c r="CF8219"/>
      <c r="CG8219"/>
      <c r="CH8219"/>
      <c r="CI8219"/>
    </row>
    <row r="8220" spans="83:87" x14ac:dyDescent="0.2">
      <c r="CE8220"/>
      <c r="CF8220"/>
      <c r="CG8220"/>
      <c r="CH8220"/>
      <c r="CI8220"/>
    </row>
    <row r="8221" spans="83:87" x14ac:dyDescent="0.2">
      <c r="CE8221"/>
      <c r="CF8221"/>
      <c r="CG8221"/>
      <c r="CH8221"/>
      <c r="CI8221"/>
    </row>
    <row r="8222" spans="83:87" x14ac:dyDescent="0.2">
      <c r="CE8222"/>
      <c r="CF8222"/>
      <c r="CG8222"/>
      <c r="CH8222"/>
      <c r="CI8222"/>
    </row>
    <row r="8223" spans="83:87" x14ac:dyDescent="0.2">
      <c r="CE8223"/>
      <c r="CF8223"/>
      <c r="CG8223"/>
      <c r="CH8223"/>
      <c r="CI8223"/>
    </row>
    <row r="8224" spans="83:87" x14ac:dyDescent="0.2">
      <c r="CE8224"/>
      <c r="CF8224"/>
      <c r="CG8224"/>
      <c r="CH8224"/>
      <c r="CI8224"/>
    </row>
    <row r="8225" spans="83:87" x14ac:dyDescent="0.2">
      <c r="CE8225"/>
      <c r="CF8225"/>
      <c r="CG8225"/>
      <c r="CH8225"/>
      <c r="CI8225"/>
    </row>
    <row r="8226" spans="83:87" x14ac:dyDescent="0.2">
      <c r="CE8226"/>
      <c r="CF8226"/>
      <c r="CG8226"/>
      <c r="CH8226"/>
      <c r="CI8226"/>
    </row>
    <row r="8227" spans="83:87" x14ac:dyDescent="0.2">
      <c r="CE8227"/>
      <c r="CF8227"/>
      <c r="CG8227"/>
      <c r="CH8227"/>
      <c r="CI8227"/>
    </row>
    <row r="8228" spans="83:87" x14ac:dyDescent="0.2">
      <c r="CE8228"/>
      <c r="CF8228"/>
      <c r="CG8228"/>
      <c r="CH8228"/>
      <c r="CI8228"/>
    </row>
    <row r="8229" spans="83:87" x14ac:dyDescent="0.2">
      <c r="CE8229"/>
      <c r="CF8229"/>
      <c r="CG8229"/>
      <c r="CH8229"/>
      <c r="CI8229"/>
    </row>
    <row r="8230" spans="83:87" x14ac:dyDescent="0.2">
      <c r="CE8230"/>
      <c r="CF8230"/>
      <c r="CG8230"/>
      <c r="CH8230"/>
      <c r="CI8230"/>
    </row>
    <row r="8231" spans="83:87" x14ac:dyDescent="0.2">
      <c r="CE8231"/>
      <c r="CF8231"/>
      <c r="CG8231"/>
      <c r="CH8231"/>
      <c r="CI8231"/>
    </row>
    <row r="8232" spans="83:87" x14ac:dyDescent="0.2">
      <c r="CE8232"/>
      <c r="CF8232"/>
      <c r="CG8232"/>
      <c r="CH8232"/>
      <c r="CI8232"/>
    </row>
    <row r="8233" spans="83:87" x14ac:dyDescent="0.2">
      <c r="CE8233"/>
      <c r="CF8233"/>
      <c r="CG8233"/>
      <c r="CH8233"/>
      <c r="CI8233"/>
    </row>
    <row r="8234" spans="83:87" x14ac:dyDescent="0.2">
      <c r="CE8234"/>
      <c r="CF8234"/>
      <c r="CG8234"/>
      <c r="CH8234"/>
      <c r="CI8234"/>
    </row>
    <row r="8235" spans="83:87" x14ac:dyDescent="0.2">
      <c r="CE8235"/>
      <c r="CF8235"/>
      <c r="CG8235"/>
      <c r="CH8235"/>
      <c r="CI8235"/>
    </row>
    <row r="8236" spans="83:87" x14ac:dyDescent="0.2">
      <c r="CE8236"/>
      <c r="CF8236"/>
      <c r="CG8236"/>
      <c r="CH8236"/>
      <c r="CI8236"/>
    </row>
    <row r="8237" spans="83:87" x14ac:dyDescent="0.2">
      <c r="CE8237"/>
      <c r="CF8237"/>
      <c r="CG8237"/>
      <c r="CH8237"/>
      <c r="CI8237"/>
    </row>
    <row r="8238" spans="83:87" x14ac:dyDescent="0.2">
      <c r="CE8238"/>
      <c r="CF8238"/>
      <c r="CG8238"/>
      <c r="CH8238"/>
      <c r="CI8238"/>
    </row>
    <row r="8239" spans="83:87" x14ac:dyDescent="0.2">
      <c r="CE8239"/>
      <c r="CF8239"/>
      <c r="CG8239"/>
      <c r="CH8239"/>
      <c r="CI8239"/>
    </row>
    <row r="8240" spans="83:87" x14ac:dyDescent="0.2">
      <c r="CE8240"/>
      <c r="CF8240"/>
      <c r="CG8240"/>
      <c r="CH8240"/>
      <c r="CI8240"/>
    </row>
    <row r="8241" spans="83:87" x14ac:dyDescent="0.2">
      <c r="CE8241"/>
      <c r="CF8241"/>
      <c r="CG8241"/>
      <c r="CH8241"/>
      <c r="CI8241"/>
    </row>
    <row r="8242" spans="83:87" x14ac:dyDescent="0.2">
      <c r="CE8242"/>
      <c r="CF8242"/>
      <c r="CG8242"/>
      <c r="CH8242"/>
      <c r="CI8242"/>
    </row>
    <row r="8243" spans="83:87" x14ac:dyDescent="0.2">
      <c r="CE8243"/>
      <c r="CF8243"/>
      <c r="CG8243"/>
      <c r="CH8243"/>
      <c r="CI8243"/>
    </row>
    <row r="8244" spans="83:87" x14ac:dyDescent="0.2">
      <c r="CE8244"/>
      <c r="CF8244"/>
      <c r="CG8244"/>
      <c r="CH8244"/>
      <c r="CI8244"/>
    </row>
    <row r="8245" spans="83:87" x14ac:dyDescent="0.2">
      <c r="CE8245"/>
      <c r="CF8245"/>
      <c r="CG8245"/>
      <c r="CH8245"/>
      <c r="CI8245"/>
    </row>
    <row r="8246" spans="83:87" x14ac:dyDescent="0.2">
      <c r="CE8246"/>
      <c r="CF8246"/>
      <c r="CG8246"/>
      <c r="CH8246"/>
      <c r="CI8246"/>
    </row>
    <row r="8247" spans="83:87" x14ac:dyDescent="0.2">
      <c r="CE8247"/>
      <c r="CF8247"/>
      <c r="CG8247"/>
      <c r="CH8247"/>
      <c r="CI8247"/>
    </row>
    <row r="8248" spans="83:87" x14ac:dyDescent="0.2">
      <c r="CE8248"/>
      <c r="CF8248"/>
      <c r="CG8248"/>
      <c r="CH8248"/>
      <c r="CI8248"/>
    </row>
    <row r="8249" spans="83:87" x14ac:dyDescent="0.2">
      <c r="CE8249"/>
      <c r="CF8249"/>
      <c r="CG8249"/>
      <c r="CH8249"/>
      <c r="CI8249"/>
    </row>
    <row r="8250" spans="83:87" x14ac:dyDescent="0.2">
      <c r="CE8250"/>
      <c r="CF8250"/>
      <c r="CG8250"/>
      <c r="CH8250"/>
      <c r="CI8250"/>
    </row>
    <row r="8251" spans="83:87" x14ac:dyDescent="0.2">
      <c r="CE8251"/>
      <c r="CF8251"/>
      <c r="CG8251"/>
      <c r="CH8251"/>
      <c r="CI8251"/>
    </row>
    <row r="8252" spans="83:87" x14ac:dyDescent="0.2">
      <c r="CE8252"/>
      <c r="CF8252"/>
      <c r="CG8252"/>
      <c r="CH8252"/>
      <c r="CI8252"/>
    </row>
    <row r="8253" spans="83:87" x14ac:dyDescent="0.2">
      <c r="CE8253"/>
      <c r="CF8253"/>
      <c r="CG8253"/>
      <c r="CH8253"/>
      <c r="CI8253"/>
    </row>
    <row r="8254" spans="83:87" x14ac:dyDescent="0.2">
      <c r="CE8254"/>
      <c r="CF8254"/>
      <c r="CG8254"/>
      <c r="CH8254"/>
      <c r="CI8254"/>
    </row>
    <row r="8255" spans="83:87" x14ac:dyDescent="0.2">
      <c r="CE8255"/>
      <c r="CF8255"/>
      <c r="CG8255"/>
      <c r="CH8255"/>
      <c r="CI8255"/>
    </row>
    <row r="8256" spans="83:87" x14ac:dyDescent="0.2">
      <c r="CE8256"/>
      <c r="CF8256"/>
      <c r="CG8256"/>
      <c r="CH8256"/>
      <c r="CI8256"/>
    </row>
    <row r="8257" spans="83:87" x14ac:dyDescent="0.2">
      <c r="CE8257"/>
      <c r="CF8257"/>
      <c r="CG8257"/>
      <c r="CH8257"/>
      <c r="CI8257"/>
    </row>
    <row r="8258" spans="83:87" x14ac:dyDescent="0.2">
      <c r="CE8258"/>
      <c r="CF8258"/>
      <c r="CG8258"/>
      <c r="CH8258"/>
      <c r="CI8258"/>
    </row>
    <row r="8259" spans="83:87" x14ac:dyDescent="0.2">
      <c r="CE8259"/>
      <c r="CF8259"/>
      <c r="CG8259"/>
      <c r="CH8259"/>
      <c r="CI8259"/>
    </row>
    <row r="8260" spans="83:87" x14ac:dyDescent="0.2">
      <c r="CE8260"/>
      <c r="CF8260"/>
      <c r="CG8260"/>
      <c r="CH8260"/>
      <c r="CI8260"/>
    </row>
    <row r="8261" spans="83:87" x14ac:dyDescent="0.2">
      <c r="CE8261"/>
      <c r="CF8261"/>
      <c r="CG8261"/>
      <c r="CH8261"/>
      <c r="CI8261"/>
    </row>
    <row r="8262" spans="83:87" x14ac:dyDescent="0.2">
      <c r="CE8262"/>
      <c r="CF8262"/>
      <c r="CG8262"/>
      <c r="CH8262"/>
      <c r="CI8262"/>
    </row>
    <row r="8263" spans="83:87" x14ac:dyDescent="0.2">
      <c r="CE8263"/>
      <c r="CF8263"/>
      <c r="CG8263"/>
      <c r="CH8263"/>
      <c r="CI8263"/>
    </row>
    <row r="8264" spans="83:87" x14ac:dyDescent="0.2">
      <c r="CE8264"/>
      <c r="CF8264"/>
      <c r="CG8264"/>
      <c r="CH8264"/>
      <c r="CI8264"/>
    </row>
    <row r="8265" spans="83:87" x14ac:dyDescent="0.2">
      <c r="CE8265"/>
      <c r="CF8265"/>
      <c r="CG8265"/>
      <c r="CH8265"/>
      <c r="CI8265"/>
    </row>
    <row r="8266" spans="83:87" x14ac:dyDescent="0.2">
      <c r="CE8266"/>
      <c r="CF8266"/>
      <c r="CG8266"/>
      <c r="CH8266"/>
      <c r="CI8266"/>
    </row>
    <row r="8267" spans="83:87" x14ac:dyDescent="0.2">
      <c r="CE8267"/>
      <c r="CF8267"/>
      <c r="CG8267"/>
      <c r="CH8267"/>
      <c r="CI8267"/>
    </row>
    <row r="8268" spans="83:87" x14ac:dyDescent="0.2">
      <c r="CE8268"/>
      <c r="CF8268"/>
      <c r="CG8268"/>
      <c r="CH8268"/>
      <c r="CI8268"/>
    </row>
    <row r="8269" spans="83:87" x14ac:dyDescent="0.2">
      <c r="CE8269"/>
      <c r="CF8269"/>
      <c r="CG8269"/>
      <c r="CH8269"/>
      <c r="CI8269"/>
    </row>
    <row r="8270" spans="83:87" x14ac:dyDescent="0.2">
      <c r="CE8270"/>
      <c r="CF8270"/>
      <c r="CG8270"/>
      <c r="CH8270"/>
      <c r="CI8270"/>
    </row>
    <row r="8271" spans="83:87" x14ac:dyDescent="0.2">
      <c r="CE8271"/>
      <c r="CF8271"/>
      <c r="CG8271"/>
      <c r="CH8271"/>
      <c r="CI8271"/>
    </row>
    <row r="8272" spans="83:87" x14ac:dyDescent="0.2">
      <c r="CE8272"/>
      <c r="CF8272"/>
      <c r="CG8272"/>
      <c r="CH8272"/>
      <c r="CI8272"/>
    </row>
    <row r="8273" spans="83:87" x14ac:dyDescent="0.2">
      <c r="CE8273"/>
      <c r="CF8273"/>
      <c r="CG8273"/>
      <c r="CH8273"/>
      <c r="CI8273"/>
    </row>
    <row r="8274" spans="83:87" x14ac:dyDescent="0.2">
      <c r="CE8274"/>
      <c r="CF8274"/>
      <c r="CG8274"/>
      <c r="CH8274"/>
      <c r="CI8274"/>
    </row>
    <row r="8275" spans="83:87" x14ac:dyDescent="0.2">
      <c r="CE8275"/>
      <c r="CF8275"/>
      <c r="CG8275"/>
      <c r="CH8275"/>
      <c r="CI8275"/>
    </row>
    <row r="8276" spans="83:87" x14ac:dyDescent="0.2">
      <c r="CE8276"/>
      <c r="CF8276"/>
      <c r="CG8276"/>
      <c r="CH8276"/>
      <c r="CI8276"/>
    </row>
    <row r="8277" spans="83:87" x14ac:dyDescent="0.2">
      <c r="CE8277"/>
      <c r="CF8277"/>
      <c r="CG8277"/>
      <c r="CH8277"/>
      <c r="CI8277"/>
    </row>
    <row r="8278" spans="83:87" x14ac:dyDescent="0.2">
      <c r="CE8278"/>
      <c r="CF8278"/>
      <c r="CG8278"/>
      <c r="CH8278"/>
      <c r="CI8278"/>
    </row>
    <row r="8279" spans="83:87" x14ac:dyDescent="0.2">
      <c r="CE8279"/>
      <c r="CF8279"/>
      <c r="CG8279"/>
      <c r="CH8279"/>
      <c r="CI8279"/>
    </row>
    <row r="8280" spans="83:87" x14ac:dyDescent="0.2">
      <c r="CE8280"/>
      <c r="CF8280"/>
      <c r="CG8280"/>
      <c r="CH8280"/>
      <c r="CI8280"/>
    </row>
    <row r="8281" spans="83:87" x14ac:dyDescent="0.2">
      <c r="CE8281"/>
      <c r="CF8281"/>
      <c r="CG8281"/>
      <c r="CH8281"/>
      <c r="CI8281"/>
    </row>
    <row r="8282" spans="83:87" x14ac:dyDescent="0.2">
      <c r="CE8282"/>
      <c r="CF8282"/>
      <c r="CG8282"/>
      <c r="CH8282"/>
      <c r="CI8282"/>
    </row>
    <row r="8283" spans="83:87" x14ac:dyDescent="0.2">
      <c r="CE8283"/>
      <c r="CF8283"/>
      <c r="CG8283"/>
      <c r="CH8283"/>
      <c r="CI8283"/>
    </row>
    <row r="8284" spans="83:87" x14ac:dyDescent="0.2">
      <c r="CE8284"/>
      <c r="CF8284"/>
      <c r="CG8284"/>
      <c r="CH8284"/>
      <c r="CI8284"/>
    </row>
    <row r="8285" spans="83:87" x14ac:dyDescent="0.2">
      <c r="CE8285"/>
      <c r="CF8285"/>
      <c r="CG8285"/>
      <c r="CH8285"/>
      <c r="CI8285"/>
    </row>
    <row r="8286" spans="83:87" x14ac:dyDescent="0.2">
      <c r="CE8286"/>
      <c r="CF8286"/>
      <c r="CG8286"/>
      <c r="CH8286"/>
      <c r="CI8286"/>
    </row>
    <row r="8287" spans="83:87" x14ac:dyDescent="0.2">
      <c r="CE8287"/>
      <c r="CF8287"/>
      <c r="CG8287"/>
      <c r="CH8287"/>
      <c r="CI8287"/>
    </row>
    <row r="8288" spans="83:87" x14ac:dyDescent="0.2">
      <c r="CE8288"/>
      <c r="CF8288"/>
      <c r="CG8288"/>
      <c r="CH8288"/>
      <c r="CI8288"/>
    </row>
    <row r="8289" spans="83:87" x14ac:dyDescent="0.2">
      <c r="CE8289"/>
      <c r="CF8289"/>
      <c r="CG8289"/>
      <c r="CH8289"/>
      <c r="CI8289"/>
    </row>
    <row r="8290" spans="83:87" x14ac:dyDescent="0.2">
      <c r="CE8290"/>
      <c r="CF8290"/>
      <c r="CG8290"/>
      <c r="CH8290"/>
      <c r="CI8290"/>
    </row>
    <row r="8291" spans="83:87" x14ac:dyDescent="0.2">
      <c r="CE8291"/>
      <c r="CF8291"/>
      <c r="CG8291"/>
      <c r="CH8291"/>
      <c r="CI8291"/>
    </row>
    <row r="8292" spans="83:87" x14ac:dyDescent="0.2">
      <c r="CE8292"/>
      <c r="CF8292"/>
      <c r="CG8292"/>
      <c r="CH8292"/>
      <c r="CI8292"/>
    </row>
    <row r="8293" spans="83:87" x14ac:dyDescent="0.2">
      <c r="CE8293"/>
      <c r="CF8293"/>
      <c r="CG8293"/>
      <c r="CH8293"/>
      <c r="CI8293"/>
    </row>
    <row r="8294" spans="83:87" x14ac:dyDescent="0.2">
      <c r="CE8294"/>
      <c r="CF8294"/>
      <c r="CG8294"/>
      <c r="CH8294"/>
      <c r="CI8294"/>
    </row>
    <row r="8295" spans="83:87" x14ac:dyDescent="0.2">
      <c r="CE8295"/>
      <c r="CF8295"/>
      <c r="CG8295"/>
      <c r="CH8295"/>
      <c r="CI8295"/>
    </row>
    <row r="8296" spans="83:87" x14ac:dyDescent="0.2">
      <c r="CE8296"/>
      <c r="CF8296"/>
      <c r="CG8296"/>
      <c r="CH8296"/>
      <c r="CI8296"/>
    </row>
    <row r="8297" spans="83:87" x14ac:dyDescent="0.2">
      <c r="CE8297"/>
      <c r="CF8297"/>
      <c r="CG8297"/>
      <c r="CH8297"/>
      <c r="CI8297"/>
    </row>
    <row r="8298" spans="83:87" x14ac:dyDescent="0.2">
      <c r="CE8298"/>
      <c r="CF8298"/>
      <c r="CG8298"/>
      <c r="CH8298"/>
      <c r="CI8298"/>
    </row>
    <row r="8299" spans="83:87" x14ac:dyDescent="0.2">
      <c r="CE8299"/>
      <c r="CF8299"/>
      <c r="CG8299"/>
      <c r="CH8299"/>
      <c r="CI8299"/>
    </row>
    <row r="8300" spans="83:87" x14ac:dyDescent="0.2">
      <c r="CE8300"/>
      <c r="CF8300"/>
      <c r="CG8300"/>
      <c r="CH8300"/>
      <c r="CI8300"/>
    </row>
    <row r="8301" spans="83:87" x14ac:dyDescent="0.2">
      <c r="CE8301"/>
      <c r="CF8301"/>
      <c r="CG8301"/>
      <c r="CH8301"/>
      <c r="CI8301"/>
    </row>
    <row r="8302" spans="83:87" x14ac:dyDescent="0.2">
      <c r="CE8302"/>
      <c r="CF8302"/>
      <c r="CG8302"/>
      <c r="CH8302"/>
      <c r="CI8302"/>
    </row>
    <row r="8303" spans="83:87" x14ac:dyDescent="0.2">
      <c r="CE8303"/>
      <c r="CF8303"/>
      <c r="CG8303"/>
      <c r="CH8303"/>
      <c r="CI8303"/>
    </row>
    <row r="8304" spans="83:87" x14ac:dyDescent="0.2">
      <c r="CE8304"/>
      <c r="CF8304"/>
      <c r="CG8304"/>
      <c r="CH8304"/>
      <c r="CI8304"/>
    </row>
    <row r="8305" spans="83:87" x14ac:dyDescent="0.2">
      <c r="CE8305"/>
      <c r="CF8305"/>
      <c r="CG8305"/>
      <c r="CH8305"/>
      <c r="CI8305"/>
    </row>
    <row r="8306" spans="83:87" x14ac:dyDescent="0.2">
      <c r="CE8306"/>
      <c r="CF8306"/>
      <c r="CG8306"/>
      <c r="CH8306"/>
      <c r="CI8306"/>
    </row>
    <row r="8307" spans="83:87" x14ac:dyDescent="0.2">
      <c r="CE8307"/>
      <c r="CF8307"/>
      <c r="CG8307"/>
      <c r="CH8307"/>
      <c r="CI8307"/>
    </row>
    <row r="8308" spans="83:87" x14ac:dyDescent="0.2">
      <c r="CE8308"/>
      <c r="CF8308"/>
      <c r="CG8308"/>
      <c r="CH8308"/>
      <c r="CI8308"/>
    </row>
    <row r="8309" spans="83:87" x14ac:dyDescent="0.2">
      <c r="CE8309"/>
      <c r="CF8309"/>
      <c r="CG8309"/>
      <c r="CH8309"/>
      <c r="CI8309"/>
    </row>
    <row r="8310" spans="83:87" x14ac:dyDescent="0.2">
      <c r="CE8310"/>
      <c r="CF8310"/>
      <c r="CG8310"/>
      <c r="CH8310"/>
      <c r="CI8310"/>
    </row>
    <row r="8311" spans="83:87" x14ac:dyDescent="0.2">
      <c r="CE8311"/>
      <c r="CF8311"/>
      <c r="CG8311"/>
      <c r="CH8311"/>
      <c r="CI8311"/>
    </row>
    <row r="8312" spans="83:87" x14ac:dyDescent="0.2">
      <c r="CE8312"/>
      <c r="CF8312"/>
      <c r="CG8312"/>
      <c r="CH8312"/>
      <c r="CI8312"/>
    </row>
    <row r="8313" spans="83:87" x14ac:dyDescent="0.2">
      <c r="CE8313"/>
      <c r="CF8313"/>
      <c r="CG8313"/>
      <c r="CH8313"/>
      <c r="CI8313"/>
    </row>
    <row r="8314" spans="83:87" x14ac:dyDescent="0.2">
      <c r="CE8314"/>
      <c r="CF8314"/>
      <c r="CG8314"/>
      <c r="CH8314"/>
      <c r="CI8314"/>
    </row>
    <row r="8315" spans="83:87" x14ac:dyDescent="0.2">
      <c r="CE8315"/>
      <c r="CF8315"/>
      <c r="CG8315"/>
      <c r="CH8315"/>
      <c r="CI8315"/>
    </row>
    <row r="8316" spans="83:87" x14ac:dyDescent="0.2">
      <c r="CE8316"/>
      <c r="CF8316"/>
      <c r="CG8316"/>
      <c r="CH8316"/>
      <c r="CI8316"/>
    </row>
    <row r="8317" spans="83:87" x14ac:dyDescent="0.2">
      <c r="CE8317"/>
      <c r="CF8317"/>
      <c r="CG8317"/>
      <c r="CH8317"/>
      <c r="CI8317"/>
    </row>
    <row r="8318" spans="83:87" x14ac:dyDescent="0.2">
      <c r="CE8318"/>
      <c r="CF8318"/>
      <c r="CG8318"/>
      <c r="CH8318"/>
      <c r="CI8318"/>
    </row>
    <row r="8319" spans="83:87" x14ac:dyDescent="0.2">
      <c r="CE8319"/>
      <c r="CF8319"/>
      <c r="CG8319"/>
      <c r="CH8319"/>
      <c r="CI8319"/>
    </row>
    <row r="8320" spans="83:87" x14ac:dyDescent="0.2">
      <c r="CE8320"/>
      <c r="CF8320"/>
      <c r="CG8320"/>
      <c r="CH8320"/>
      <c r="CI8320"/>
    </row>
    <row r="8321" spans="83:87" x14ac:dyDescent="0.2">
      <c r="CE8321"/>
      <c r="CF8321"/>
      <c r="CG8321"/>
      <c r="CH8321"/>
      <c r="CI8321"/>
    </row>
    <row r="8322" spans="83:87" x14ac:dyDescent="0.2">
      <c r="CE8322"/>
      <c r="CF8322"/>
      <c r="CG8322"/>
      <c r="CH8322"/>
      <c r="CI8322"/>
    </row>
    <row r="8323" spans="83:87" x14ac:dyDescent="0.2">
      <c r="CE8323"/>
      <c r="CF8323"/>
      <c r="CG8323"/>
      <c r="CH8323"/>
      <c r="CI8323"/>
    </row>
    <row r="8324" spans="83:87" x14ac:dyDescent="0.2">
      <c r="CE8324"/>
      <c r="CF8324"/>
      <c r="CG8324"/>
      <c r="CH8324"/>
      <c r="CI8324"/>
    </row>
    <row r="8325" spans="83:87" x14ac:dyDescent="0.2">
      <c r="CE8325"/>
      <c r="CF8325"/>
      <c r="CG8325"/>
      <c r="CH8325"/>
      <c r="CI8325"/>
    </row>
    <row r="8326" spans="83:87" x14ac:dyDescent="0.2">
      <c r="CE8326"/>
      <c r="CF8326"/>
      <c r="CG8326"/>
      <c r="CH8326"/>
      <c r="CI8326"/>
    </row>
    <row r="8327" spans="83:87" x14ac:dyDescent="0.2">
      <c r="CE8327"/>
      <c r="CF8327"/>
      <c r="CG8327"/>
      <c r="CH8327"/>
      <c r="CI8327"/>
    </row>
    <row r="8328" spans="83:87" x14ac:dyDescent="0.2">
      <c r="CE8328"/>
      <c r="CF8328"/>
      <c r="CG8328"/>
      <c r="CH8328"/>
      <c r="CI8328"/>
    </row>
    <row r="8329" spans="83:87" x14ac:dyDescent="0.2">
      <c r="CE8329"/>
      <c r="CF8329"/>
      <c r="CG8329"/>
      <c r="CH8329"/>
      <c r="CI8329"/>
    </row>
    <row r="8330" spans="83:87" x14ac:dyDescent="0.2">
      <c r="CE8330"/>
      <c r="CF8330"/>
      <c r="CG8330"/>
      <c r="CH8330"/>
      <c r="CI8330"/>
    </row>
    <row r="8331" spans="83:87" x14ac:dyDescent="0.2">
      <c r="CE8331"/>
      <c r="CF8331"/>
      <c r="CG8331"/>
      <c r="CH8331"/>
      <c r="CI8331"/>
    </row>
    <row r="8332" spans="83:87" x14ac:dyDescent="0.2">
      <c r="CE8332"/>
      <c r="CF8332"/>
      <c r="CG8332"/>
      <c r="CH8332"/>
      <c r="CI8332"/>
    </row>
    <row r="8333" spans="83:87" x14ac:dyDescent="0.2">
      <c r="CE8333"/>
      <c r="CF8333"/>
      <c r="CG8333"/>
      <c r="CH8333"/>
      <c r="CI8333"/>
    </row>
    <row r="8334" spans="83:87" x14ac:dyDescent="0.2">
      <c r="CE8334"/>
      <c r="CF8334"/>
      <c r="CG8334"/>
      <c r="CH8334"/>
      <c r="CI8334"/>
    </row>
    <row r="8335" spans="83:87" x14ac:dyDescent="0.2">
      <c r="CE8335"/>
      <c r="CF8335"/>
      <c r="CG8335"/>
      <c r="CH8335"/>
      <c r="CI8335"/>
    </row>
    <row r="8336" spans="83:87" x14ac:dyDescent="0.2">
      <c r="CE8336"/>
      <c r="CF8336"/>
      <c r="CG8336"/>
      <c r="CH8336"/>
      <c r="CI8336"/>
    </row>
    <row r="8337" spans="83:87" x14ac:dyDescent="0.2">
      <c r="CE8337"/>
      <c r="CF8337"/>
      <c r="CG8337"/>
      <c r="CH8337"/>
      <c r="CI8337"/>
    </row>
    <row r="8338" spans="83:87" x14ac:dyDescent="0.2">
      <c r="CE8338"/>
      <c r="CF8338"/>
      <c r="CG8338"/>
      <c r="CH8338"/>
      <c r="CI8338"/>
    </row>
    <row r="8339" spans="83:87" x14ac:dyDescent="0.2">
      <c r="CE8339"/>
      <c r="CF8339"/>
      <c r="CG8339"/>
      <c r="CH8339"/>
      <c r="CI8339"/>
    </row>
    <row r="8340" spans="83:87" x14ac:dyDescent="0.2">
      <c r="CE8340"/>
      <c r="CF8340"/>
      <c r="CG8340"/>
      <c r="CH8340"/>
      <c r="CI8340"/>
    </row>
    <row r="8341" spans="83:87" x14ac:dyDescent="0.2">
      <c r="CE8341"/>
      <c r="CF8341"/>
      <c r="CG8341"/>
      <c r="CH8341"/>
      <c r="CI8341"/>
    </row>
    <row r="8342" spans="83:87" x14ac:dyDescent="0.2">
      <c r="CE8342"/>
      <c r="CF8342"/>
      <c r="CG8342"/>
      <c r="CH8342"/>
      <c r="CI8342"/>
    </row>
    <row r="8343" spans="83:87" x14ac:dyDescent="0.2">
      <c r="CE8343"/>
      <c r="CF8343"/>
      <c r="CG8343"/>
      <c r="CH8343"/>
      <c r="CI8343"/>
    </row>
    <row r="8344" spans="83:87" x14ac:dyDescent="0.2">
      <c r="CE8344"/>
      <c r="CF8344"/>
      <c r="CG8344"/>
      <c r="CH8344"/>
      <c r="CI8344"/>
    </row>
    <row r="8345" spans="83:87" x14ac:dyDescent="0.2">
      <c r="CE8345"/>
      <c r="CF8345"/>
      <c r="CG8345"/>
      <c r="CH8345"/>
      <c r="CI8345"/>
    </row>
    <row r="8346" spans="83:87" x14ac:dyDescent="0.2">
      <c r="CE8346"/>
      <c r="CF8346"/>
      <c r="CG8346"/>
      <c r="CH8346"/>
      <c r="CI8346"/>
    </row>
    <row r="8347" spans="83:87" x14ac:dyDescent="0.2">
      <c r="CE8347"/>
      <c r="CF8347"/>
      <c r="CG8347"/>
      <c r="CH8347"/>
      <c r="CI8347"/>
    </row>
    <row r="8348" spans="83:87" x14ac:dyDescent="0.2">
      <c r="CE8348"/>
      <c r="CF8348"/>
      <c r="CG8348"/>
      <c r="CH8348"/>
      <c r="CI8348"/>
    </row>
    <row r="8349" spans="83:87" x14ac:dyDescent="0.2">
      <c r="CE8349"/>
      <c r="CF8349"/>
      <c r="CG8349"/>
      <c r="CH8349"/>
      <c r="CI8349"/>
    </row>
    <row r="8350" spans="83:87" x14ac:dyDescent="0.2">
      <c r="CE8350"/>
      <c r="CF8350"/>
      <c r="CG8350"/>
      <c r="CH8350"/>
      <c r="CI8350"/>
    </row>
    <row r="8351" spans="83:87" x14ac:dyDescent="0.2">
      <c r="CE8351"/>
      <c r="CF8351"/>
      <c r="CG8351"/>
      <c r="CH8351"/>
      <c r="CI8351"/>
    </row>
    <row r="8352" spans="83:87" x14ac:dyDescent="0.2">
      <c r="CE8352"/>
      <c r="CF8352"/>
      <c r="CG8352"/>
      <c r="CH8352"/>
      <c r="CI8352"/>
    </row>
    <row r="8353" spans="83:87" x14ac:dyDescent="0.2">
      <c r="CE8353"/>
      <c r="CF8353"/>
      <c r="CG8353"/>
      <c r="CH8353"/>
      <c r="CI8353"/>
    </row>
    <row r="8354" spans="83:87" x14ac:dyDescent="0.2">
      <c r="CE8354"/>
      <c r="CF8354"/>
      <c r="CG8354"/>
      <c r="CH8354"/>
      <c r="CI8354"/>
    </row>
    <row r="8355" spans="83:87" x14ac:dyDescent="0.2">
      <c r="CE8355"/>
      <c r="CF8355"/>
      <c r="CG8355"/>
      <c r="CH8355"/>
      <c r="CI8355"/>
    </row>
    <row r="8356" spans="83:87" x14ac:dyDescent="0.2">
      <c r="CE8356"/>
      <c r="CF8356"/>
      <c r="CG8356"/>
      <c r="CH8356"/>
      <c r="CI8356"/>
    </row>
    <row r="8357" spans="83:87" x14ac:dyDescent="0.2">
      <c r="CE8357"/>
      <c r="CF8357"/>
      <c r="CG8357"/>
      <c r="CH8357"/>
      <c r="CI8357"/>
    </row>
    <row r="8358" spans="83:87" x14ac:dyDescent="0.2">
      <c r="CE8358"/>
      <c r="CF8358"/>
      <c r="CG8358"/>
      <c r="CH8358"/>
      <c r="CI8358"/>
    </row>
    <row r="8359" spans="83:87" x14ac:dyDescent="0.2">
      <c r="CE8359"/>
      <c r="CF8359"/>
      <c r="CG8359"/>
      <c r="CH8359"/>
      <c r="CI8359"/>
    </row>
    <row r="8360" spans="83:87" x14ac:dyDescent="0.2">
      <c r="CE8360"/>
      <c r="CF8360"/>
      <c r="CG8360"/>
      <c r="CH8360"/>
      <c r="CI8360"/>
    </row>
    <row r="8361" spans="83:87" x14ac:dyDescent="0.2">
      <c r="CE8361"/>
      <c r="CF8361"/>
      <c r="CG8361"/>
      <c r="CH8361"/>
      <c r="CI8361"/>
    </row>
    <row r="8362" spans="83:87" x14ac:dyDescent="0.2">
      <c r="CE8362"/>
      <c r="CF8362"/>
      <c r="CG8362"/>
      <c r="CH8362"/>
      <c r="CI8362"/>
    </row>
    <row r="8363" spans="83:87" x14ac:dyDescent="0.2">
      <c r="CE8363"/>
      <c r="CF8363"/>
      <c r="CG8363"/>
      <c r="CH8363"/>
      <c r="CI8363"/>
    </row>
    <row r="8364" spans="83:87" x14ac:dyDescent="0.2">
      <c r="CE8364"/>
      <c r="CF8364"/>
      <c r="CG8364"/>
      <c r="CH8364"/>
      <c r="CI8364"/>
    </row>
    <row r="8365" spans="83:87" x14ac:dyDescent="0.2">
      <c r="CE8365"/>
      <c r="CF8365"/>
      <c r="CG8365"/>
      <c r="CH8365"/>
      <c r="CI8365"/>
    </row>
    <row r="8366" spans="83:87" x14ac:dyDescent="0.2">
      <c r="CE8366"/>
      <c r="CF8366"/>
      <c r="CG8366"/>
      <c r="CH8366"/>
      <c r="CI8366"/>
    </row>
    <row r="8367" spans="83:87" x14ac:dyDescent="0.2">
      <c r="CE8367"/>
      <c r="CF8367"/>
      <c r="CG8367"/>
      <c r="CH8367"/>
      <c r="CI8367"/>
    </row>
    <row r="8368" spans="83:87" x14ac:dyDescent="0.2">
      <c r="CE8368"/>
      <c r="CF8368"/>
      <c r="CG8368"/>
      <c r="CH8368"/>
      <c r="CI8368"/>
    </row>
    <row r="8369" spans="83:87" x14ac:dyDescent="0.2">
      <c r="CE8369"/>
      <c r="CF8369"/>
      <c r="CG8369"/>
      <c r="CH8369"/>
      <c r="CI8369"/>
    </row>
    <row r="8370" spans="83:87" x14ac:dyDescent="0.2">
      <c r="CE8370"/>
      <c r="CF8370"/>
      <c r="CG8370"/>
      <c r="CH8370"/>
      <c r="CI8370"/>
    </row>
    <row r="8371" spans="83:87" x14ac:dyDescent="0.2">
      <c r="CE8371"/>
      <c r="CF8371"/>
      <c r="CG8371"/>
      <c r="CH8371"/>
      <c r="CI8371"/>
    </row>
    <row r="8372" spans="83:87" x14ac:dyDescent="0.2">
      <c r="CE8372"/>
      <c r="CF8372"/>
      <c r="CG8372"/>
      <c r="CH8372"/>
      <c r="CI8372"/>
    </row>
    <row r="8373" spans="83:87" x14ac:dyDescent="0.2">
      <c r="CE8373"/>
      <c r="CF8373"/>
      <c r="CG8373"/>
      <c r="CH8373"/>
      <c r="CI8373"/>
    </row>
    <row r="8374" spans="83:87" x14ac:dyDescent="0.2">
      <c r="CE8374"/>
      <c r="CF8374"/>
      <c r="CG8374"/>
      <c r="CH8374"/>
      <c r="CI8374"/>
    </row>
    <row r="8375" spans="83:87" x14ac:dyDescent="0.2">
      <c r="CE8375"/>
      <c r="CF8375"/>
      <c r="CG8375"/>
      <c r="CH8375"/>
      <c r="CI8375"/>
    </row>
    <row r="8376" spans="83:87" x14ac:dyDescent="0.2">
      <c r="CE8376"/>
      <c r="CF8376"/>
      <c r="CG8376"/>
      <c r="CH8376"/>
      <c r="CI8376"/>
    </row>
    <row r="8377" spans="83:87" x14ac:dyDescent="0.2">
      <c r="CE8377"/>
      <c r="CF8377"/>
      <c r="CG8377"/>
      <c r="CH8377"/>
      <c r="CI8377"/>
    </row>
    <row r="8378" spans="83:87" x14ac:dyDescent="0.2">
      <c r="CE8378"/>
      <c r="CF8378"/>
      <c r="CG8378"/>
      <c r="CH8378"/>
      <c r="CI8378"/>
    </row>
    <row r="8379" spans="83:87" x14ac:dyDescent="0.2">
      <c r="CE8379"/>
      <c r="CF8379"/>
      <c r="CG8379"/>
      <c r="CH8379"/>
      <c r="CI8379"/>
    </row>
    <row r="8380" spans="83:87" x14ac:dyDescent="0.2">
      <c r="CE8380"/>
      <c r="CF8380"/>
      <c r="CG8380"/>
      <c r="CH8380"/>
      <c r="CI8380"/>
    </row>
    <row r="8381" spans="83:87" x14ac:dyDescent="0.2">
      <c r="CE8381"/>
      <c r="CF8381"/>
      <c r="CG8381"/>
      <c r="CH8381"/>
      <c r="CI8381"/>
    </row>
    <row r="8382" spans="83:87" x14ac:dyDescent="0.2">
      <c r="CE8382"/>
      <c r="CF8382"/>
      <c r="CG8382"/>
      <c r="CH8382"/>
      <c r="CI8382"/>
    </row>
    <row r="8383" spans="83:87" x14ac:dyDescent="0.2">
      <c r="CE8383"/>
      <c r="CF8383"/>
      <c r="CG8383"/>
      <c r="CH8383"/>
      <c r="CI8383"/>
    </row>
    <row r="8384" spans="83:87" x14ac:dyDescent="0.2">
      <c r="CE8384"/>
      <c r="CF8384"/>
      <c r="CG8384"/>
      <c r="CH8384"/>
      <c r="CI8384"/>
    </row>
    <row r="8385" spans="83:87" x14ac:dyDescent="0.2">
      <c r="CE8385"/>
      <c r="CF8385"/>
      <c r="CG8385"/>
      <c r="CH8385"/>
      <c r="CI8385"/>
    </row>
    <row r="8386" spans="83:87" x14ac:dyDescent="0.2">
      <c r="CE8386"/>
      <c r="CF8386"/>
      <c r="CG8386"/>
      <c r="CH8386"/>
      <c r="CI8386"/>
    </row>
    <row r="8387" spans="83:87" x14ac:dyDescent="0.2">
      <c r="CE8387"/>
      <c r="CF8387"/>
      <c r="CG8387"/>
      <c r="CH8387"/>
      <c r="CI8387"/>
    </row>
    <row r="8388" spans="83:87" x14ac:dyDescent="0.2">
      <c r="CE8388"/>
      <c r="CF8388"/>
      <c r="CG8388"/>
      <c r="CH8388"/>
      <c r="CI8388"/>
    </row>
    <row r="8389" spans="83:87" x14ac:dyDescent="0.2">
      <c r="CE8389"/>
      <c r="CF8389"/>
      <c r="CG8389"/>
      <c r="CH8389"/>
      <c r="CI8389"/>
    </row>
    <row r="8390" spans="83:87" x14ac:dyDescent="0.2">
      <c r="CE8390"/>
      <c r="CF8390"/>
      <c r="CG8390"/>
      <c r="CH8390"/>
      <c r="CI8390"/>
    </row>
    <row r="8391" spans="83:87" x14ac:dyDescent="0.2">
      <c r="CE8391"/>
      <c r="CF8391"/>
      <c r="CG8391"/>
      <c r="CH8391"/>
      <c r="CI8391"/>
    </row>
    <row r="8392" spans="83:87" x14ac:dyDescent="0.2">
      <c r="CE8392"/>
      <c r="CF8392"/>
      <c r="CG8392"/>
      <c r="CH8392"/>
      <c r="CI8392"/>
    </row>
    <row r="8393" spans="83:87" x14ac:dyDescent="0.2">
      <c r="CE8393"/>
      <c r="CF8393"/>
      <c r="CG8393"/>
      <c r="CH8393"/>
      <c r="CI8393"/>
    </row>
    <row r="8394" spans="83:87" x14ac:dyDescent="0.2">
      <c r="CE8394"/>
      <c r="CF8394"/>
      <c r="CG8394"/>
      <c r="CH8394"/>
      <c r="CI8394"/>
    </row>
    <row r="8395" spans="83:87" x14ac:dyDescent="0.2">
      <c r="CE8395"/>
      <c r="CF8395"/>
      <c r="CG8395"/>
      <c r="CH8395"/>
      <c r="CI8395"/>
    </row>
    <row r="8396" spans="83:87" x14ac:dyDescent="0.2">
      <c r="CE8396"/>
      <c r="CF8396"/>
      <c r="CG8396"/>
      <c r="CH8396"/>
      <c r="CI8396"/>
    </row>
    <row r="8397" spans="83:87" x14ac:dyDescent="0.2">
      <c r="CE8397"/>
      <c r="CF8397"/>
      <c r="CG8397"/>
      <c r="CH8397"/>
      <c r="CI8397"/>
    </row>
    <row r="8398" spans="83:87" x14ac:dyDescent="0.2">
      <c r="CE8398"/>
      <c r="CF8398"/>
      <c r="CG8398"/>
      <c r="CH8398"/>
      <c r="CI8398"/>
    </row>
    <row r="8399" spans="83:87" x14ac:dyDescent="0.2">
      <c r="CE8399"/>
      <c r="CF8399"/>
      <c r="CG8399"/>
      <c r="CH8399"/>
      <c r="CI8399"/>
    </row>
    <row r="8400" spans="83:87" x14ac:dyDescent="0.2">
      <c r="CE8400"/>
      <c r="CF8400"/>
      <c r="CG8400"/>
      <c r="CH8400"/>
      <c r="CI8400"/>
    </row>
    <row r="8401" spans="83:87" x14ac:dyDescent="0.2">
      <c r="CE8401"/>
      <c r="CF8401"/>
      <c r="CG8401"/>
      <c r="CH8401"/>
      <c r="CI8401"/>
    </row>
    <row r="8402" spans="83:87" x14ac:dyDescent="0.2">
      <c r="CE8402"/>
      <c r="CF8402"/>
      <c r="CG8402"/>
      <c r="CH8402"/>
      <c r="CI8402"/>
    </row>
    <row r="8403" spans="83:87" x14ac:dyDescent="0.2">
      <c r="CE8403"/>
      <c r="CF8403"/>
      <c r="CG8403"/>
      <c r="CH8403"/>
      <c r="CI8403"/>
    </row>
    <row r="8404" spans="83:87" x14ac:dyDescent="0.2">
      <c r="CE8404"/>
      <c r="CF8404"/>
      <c r="CG8404"/>
      <c r="CH8404"/>
      <c r="CI8404"/>
    </row>
    <row r="8405" spans="83:87" x14ac:dyDescent="0.2">
      <c r="CE8405"/>
      <c r="CF8405"/>
      <c r="CG8405"/>
      <c r="CH8405"/>
      <c r="CI8405"/>
    </row>
    <row r="8406" spans="83:87" x14ac:dyDescent="0.2">
      <c r="CE8406"/>
      <c r="CF8406"/>
      <c r="CG8406"/>
      <c r="CH8406"/>
      <c r="CI8406"/>
    </row>
    <row r="8407" spans="83:87" x14ac:dyDescent="0.2">
      <c r="CE8407"/>
      <c r="CF8407"/>
      <c r="CG8407"/>
      <c r="CH8407"/>
      <c r="CI8407"/>
    </row>
    <row r="8408" spans="83:87" x14ac:dyDescent="0.2">
      <c r="CE8408"/>
      <c r="CF8408"/>
      <c r="CG8408"/>
      <c r="CH8408"/>
      <c r="CI8408"/>
    </row>
    <row r="8409" spans="83:87" x14ac:dyDescent="0.2">
      <c r="CE8409"/>
      <c r="CF8409"/>
      <c r="CG8409"/>
      <c r="CH8409"/>
      <c r="CI8409"/>
    </row>
    <row r="8410" spans="83:87" x14ac:dyDescent="0.2">
      <c r="CE8410"/>
      <c r="CF8410"/>
      <c r="CG8410"/>
      <c r="CH8410"/>
      <c r="CI8410"/>
    </row>
    <row r="8411" spans="83:87" x14ac:dyDescent="0.2">
      <c r="CE8411"/>
      <c r="CF8411"/>
      <c r="CG8411"/>
      <c r="CH8411"/>
      <c r="CI8411"/>
    </row>
    <row r="8412" spans="83:87" x14ac:dyDescent="0.2">
      <c r="CE8412"/>
      <c r="CF8412"/>
      <c r="CG8412"/>
      <c r="CH8412"/>
      <c r="CI8412"/>
    </row>
    <row r="8413" spans="83:87" x14ac:dyDescent="0.2">
      <c r="CE8413"/>
      <c r="CF8413"/>
      <c r="CG8413"/>
      <c r="CH8413"/>
      <c r="CI8413"/>
    </row>
    <row r="8414" spans="83:87" x14ac:dyDescent="0.2">
      <c r="CE8414"/>
      <c r="CF8414"/>
      <c r="CG8414"/>
      <c r="CH8414"/>
      <c r="CI8414"/>
    </row>
    <row r="8415" spans="83:87" x14ac:dyDescent="0.2">
      <c r="CE8415"/>
      <c r="CF8415"/>
      <c r="CG8415"/>
      <c r="CH8415"/>
      <c r="CI8415"/>
    </row>
    <row r="8416" spans="83:87" x14ac:dyDescent="0.2">
      <c r="CE8416"/>
      <c r="CF8416"/>
      <c r="CG8416"/>
      <c r="CH8416"/>
      <c r="CI8416"/>
    </row>
    <row r="8417" spans="83:87" x14ac:dyDescent="0.2">
      <c r="CE8417"/>
      <c r="CF8417"/>
      <c r="CG8417"/>
      <c r="CH8417"/>
      <c r="CI8417"/>
    </row>
    <row r="8418" spans="83:87" x14ac:dyDescent="0.2">
      <c r="CE8418"/>
      <c r="CF8418"/>
      <c r="CG8418"/>
      <c r="CH8418"/>
      <c r="CI8418"/>
    </row>
    <row r="8419" spans="83:87" x14ac:dyDescent="0.2">
      <c r="CE8419"/>
      <c r="CF8419"/>
      <c r="CG8419"/>
      <c r="CH8419"/>
      <c r="CI8419"/>
    </row>
    <row r="8420" spans="83:87" x14ac:dyDescent="0.2">
      <c r="CE8420"/>
      <c r="CF8420"/>
      <c r="CG8420"/>
      <c r="CH8420"/>
      <c r="CI8420"/>
    </row>
    <row r="8421" spans="83:87" x14ac:dyDescent="0.2">
      <c r="CE8421"/>
      <c r="CF8421"/>
      <c r="CG8421"/>
      <c r="CH8421"/>
      <c r="CI8421"/>
    </row>
    <row r="8422" spans="83:87" x14ac:dyDescent="0.2">
      <c r="CE8422"/>
      <c r="CF8422"/>
      <c r="CG8422"/>
      <c r="CH8422"/>
      <c r="CI8422"/>
    </row>
    <row r="8423" spans="83:87" x14ac:dyDescent="0.2">
      <c r="CE8423"/>
      <c r="CF8423"/>
      <c r="CG8423"/>
      <c r="CH8423"/>
      <c r="CI8423"/>
    </row>
    <row r="8424" spans="83:87" x14ac:dyDescent="0.2">
      <c r="CE8424"/>
      <c r="CF8424"/>
      <c r="CG8424"/>
      <c r="CH8424"/>
      <c r="CI8424"/>
    </row>
    <row r="8425" spans="83:87" x14ac:dyDescent="0.2">
      <c r="CE8425"/>
      <c r="CF8425"/>
      <c r="CG8425"/>
      <c r="CH8425"/>
      <c r="CI8425"/>
    </row>
    <row r="8426" spans="83:87" x14ac:dyDescent="0.2">
      <c r="CE8426"/>
      <c r="CF8426"/>
      <c r="CG8426"/>
      <c r="CH8426"/>
      <c r="CI8426"/>
    </row>
    <row r="8427" spans="83:87" x14ac:dyDescent="0.2">
      <c r="CE8427"/>
      <c r="CF8427"/>
      <c r="CG8427"/>
      <c r="CH8427"/>
      <c r="CI8427"/>
    </row>
    <row r="8428" spans="83:87" x14ac:dyDescent="0.2">
      <c r="CE8428"/>
      <c r="CF8428"/>
      <c r="CG8428"/>
      <c r="CH8428"/>
      <c r="CI8428"/>
    </row>
    <row r="8429" spans="83:87" x14ac:dyDescent="0.2">
      <c r="CE8429"/>
      <c r="CF8429"/>
      <c r="CG8429"/>
      <c r="CH8429"/>
      <c r="CI8429"/>
    </row>
    <row r="8430" spans="83:87" x14ac:dyDescent="0.2">
      <c r="CE8430"/>
      <c r="CF8430"/>
      <c r="CG8430"/>
      <c r="CH8430"/>
      <c r="CI8430"/>
    </row>
    <row r="8431" spans="83:87" x14ac:dyDescent="0.2">
      <c r="CE8431"/>
      <c r="CF8431"/>
      <c r="CG8431"/>
      <c r="CH8431"/>
      <c r="CI8431"/>
    </row>
    <row r="8432" spans="83:87" x14ac:dyDescent="0.2">
      <c r="CE8432"/>
      <c r="CF8432"/>
      <c r="CG8432"/>
      <c r="CH8432"/>
      <c r="CI8432"/>
    </row>
    <row r="8433" spans="83:87" x14ac:dyDescent="0.2">
      <c r="CE8433"/>
      <c r="CF8433"/>
      <c r="CG8433"/>
      <c r="CH8433"/>
      <c r="CI8433"/>
    </row>
    <row r="8434" spans="83:87" x14ac:dyDescent="0.2">
      <c r="CE8434"/>
      <c r="CF8434"/>
      <c r="CG8434"/>
      <c r="CH8434"/>
      <c r="CI8434"/>
    </row>
    <row r="8435" spans="83:87" x14ac:dyDescent="0.2">
      <c r="CE8435"/>
      <c r="CF8435"/>
      <c r="CG8435"/>
      <c r="CH8435"/>
      <c r="CI8435"/>
    </row>
    <row r="8436" spans="83:87" x14ac:dyDescent="0.2">
      <c r="CE8436"/>
      <c r="CF8436"/>
      <c r="CG8436"/>
      <c r="CH8436"/>
      <c r="CI8436"/>
    </row>
    <row r="8437" spans="83:87" x14ac:dyDescent="0.2">
      <c r="CE8437"/>
      <c r="CF8437"/>
      <c r="CG8437"/>
      <c r="CH8437"/>
      <c r="CI8437"/>
    </row>
    <row r="8438" spans="83:87" x14ac:dyDescent="0.2">
      <c r="CE8438"/>
      <c r="CF8438"/>
      <c r="CG8438"/>
      <c r="CH8438"/>
      <c r="CI8438"/>
    </row>
    <row r="8439" spans="83:87" x14ac:dyDescent="0.2">
      <c r="CE8439"/>
      <c r="CF8439"/>
      <c r="CG8439"/>
      <c r="CH8439"/>
      <c r="CI8439"/>
    </row>
    <row r="8440" spans="83:87" x14ac:dyDescent="0.2">
      <c r="CE8440"/>
      <c r="CF8440"/>
      <c r="CG8440"/>
      <c r="CH8440"/>
      <c r="CI8440"/>
    </row>
    <row r="8441" spans="83:87" x14ac:dyDescent="0.2">
      <c r="CE8441"/>
      <c r="CF8441"/>
      <c r="CG8441"/>
      <c r="CH8441"/>
      <c r="CI8441"/>
    </row>
    <row r="8442" spans="83:87" x14ac:dyDescent="0.2">
      <c r="CE8442"/>
      <c r="CF8442"/>
      <c r="CG8442"/>
      <c r="CH8442"/>
      <c r="CI8442"/>
    </row>
    <row r="8443" spans="83:87" x14ac:dyDescent="0.2">
      <c r="CE8443"/>
      <c r="CF8443"/>
      <c r="CG8443"/>
      <c r="CH8443"/>
      <c r="CI8443"/>
    </row>
    <row r="8444" spans="83:87" x14ac:dyDescent="0.2">
      <c r="CE8444"/>
      <c r="CF8444"/>
      <c r="CG8444"/>
      <c r="CH8444"/>
      <c r="CI8444"/>
    </row>
    <row r="8445" spans="83:87" x14ac:dyDescent="0.2">
      <c r="CE8445"/>
      <c r="CF8445"/>
      <c r="CG8445"/>
      <c r="CH8445"/>
      <c r="CI8445"/>
    </row>
    <row r="8446" spans="83:87" x14ac:dyDescent="0.2">
      <c r="CE8446"/>
      <c r="CF8446"/>
      <c r="CG8446"/>
      <c r="CH8446"/>
      <c r="CI8446"/>
    </row>
    <row r="8447" spans="83:87" x14ac:dyDescent="0.2">
      <c r="CE8447"/>
      <c r="CF8447"/>
      <c r="CG8447"/>
      <c r="CH8447"/>
      <c r="CI8447"/>
    </row>
    <row r="8448" spans="83:87" x14ac:dyDescent="0.2">
      <c r="CE8448"/>
      <c r="CF8448"/>
      <c r="CG8448"/>
      <c r="CH8448"/>
      <c r="CI8448"/>
    </row>
    <row r="8449" spans="83:87" x14ac:dyDescent="0.2">
      <c r="CE8449"/>
      <c r="CF8449"/>
      <c r="CG8449"/>
      <c r="CH8449"/>
      <c r="CI8449"/>
    </row>
    <row r="8450" spans="83:87" x14ac:dyDescent="0.2">
      <c r="CE8450"/>
      <c r="CF8450"/>
      <c r="CG8450"/>
      <c r="CH8450"/>
      <c r="CI8450"/>
    </row>
    <row r="8451" spans="83:87" x14ac:dyDescent="0.2">
      <c r="CE8451"/>
      <c r="CF8451"/>
      <c r="CG8451"/>
      <c r="CH8451"/>
      <c r="CI8451"/>
    </row>
    <row r="8452" spans="83:87" x14ac:dyDescent="0.2">
      <c r="CE8452"/>
      <c r="CF8452"/>
      <c r="CG8452"/>
      <c r="CH8452"/>
      <c r="CI8452"/>
    </row>
    <row r="8453" spans="83:87" x14ac:dyDescent="0.2">
      <c r="CE8453"/>
      <c r="CF8453"/>
      <c r="CG8453"/>
      <c r="CH8453"/>
      <c r="CI8453"/>
    </row>
    <row r="8454" spans="83:87" x14ac:dyDescent="0.2">
      <c r="CE8454"/>
      <c r="CF8454"/>
      <c r="CG8454"/>
      <c r="CH8454"/>
      <c r="CI8454"/>
    </row>
    <row r="8455" spans="83:87" x14ac:dyDescent="0.2">
      <c r="CE8455"/>
      <c r="CF8455"/>
      <c r="CG8455"/>
      <c r="CH8455"/>
      <c r="CI8455"/>
    </row>
    <row r="8456" spans="83:87" x14ac:dyDescent="0.2">
      <c r="CE8456"/>
      <c r="CF8456"/>
      <c r="CG8456"/>
      <c r="CH8456"/>
      <c r="CI8456"/>
    </row>
    <row r="8457" spans="83:87" x14ac:dyDescent="0.2">
      <c r="CE8457"/>
      <c r="CF8457"/>
      <c r="CG8457"/>
      <c r="CH8457"/>
      <c r="CI8457"/>
    </row>
    <row r="8458" spans="83:87" x14ac:dyDescent="0.2">
      <c r="CE8458"/>
      <c r="CF8458"/>
      <c r="CG8458"/>
      <c r="CH8458"/>
      <c r="CI8458"/>
    </row>
    <row r="8459" spans="83:87" x14ac:dyDescent="0.2">
      <c r="CE8459"/>
      <c r="CF8459"/>
      <c r="CG8459"/>
      <c r="CH8459"/>
      <c r="CI8459"/>
    </row>
    <row r="8460" spans="83:87" x14ac:dyDescent="0.2">
      <c r="CE8460"/>
      <c r="CF8460"/>
      <c r="CG8460"/>
      <c r="CH8460"/>
      <c r="CI8460"/>
    </row>
    <row r="8461" spans="83:87" x14ac:dyDescent="0.2">
      <c r="CE8461"/>
      <c r="CF8461"/>
      <c r="CG8461"/>
      <c r="CH8461"/>
      <c r="CI8461"/>
    </row>
    <row r="8462" spans="83:87" x14ac:dyDescent="0.2">
      <c r="CE8462"/>
      <c r="CF8462"/>
      <c r="CG8462"/>
      <c r="CH8462"/>
      <c r="CI8462"/>
    </row>
    <row r="8463" spans="83:87" x14ac:dyDescent="0.2">
      <c r="CE8463"/>
      <c r="CF8463"/>
      <c r="CG8463"/>
      <c r="CH8463"/>
      <c r="CI8463"/>
    </row>
    <row r="8464" spans="83:87" x14ac:dyDescent="0.2">
      <c r="CE8464"/>
      <c r="CF8464"/>
      <c r="CG8464"/>
      <c r="CH8464"/>
      <c r="CI8464"/>
    </row>
    <row r="8465" spans="83:87" x14ac:dyDescent="0.2">
      <c r="CE8465"/>
      <c r="CF8465"/>
      <c r="CG8465"/>
      <c r="CH8465"/>
      <c r="CI8465"/>
    </row>
    <row r="8466" spans="83:87" x14ac:dyDescent="0.2">
      <c r="CE8466"/>
      <c r="CF8466"/>
      <c r="CG8466"/>
      <c r="CH8466"/>
      <c r="CI8466"/>
    </row>
    <row r="8467" spans="83:87" x14ac:dyDescent="0.2">
      <c r="CE8467"/>
      <c r="CF8467"/>
      <c r="CG8467"/>
      <c r="CH8467"/>
      <c r="CI8467"/>
    </row>
    <row r="8468" spans="83:87" x14ac:dyDescent="0.2">
      <c r="CE8468"/>
      <c r="CF8468"/>
      <c r="CG8468"/>
      <c r="CH8468"/>
      <c r="CI8468"/>
    </row>
    <row r="8469" spans="83:87" x14ac:dyDescent="0.2">
      <c r="CE8469"/>
      <c r="CF8469"/>
      <c r="CG8469"/>
      <c r="CH8469"/>
      <c r="CI8469"/>
    </row>
    <row r="8470" spans="83:87" x14ac:dyDescent="0.2">
      <c r="CE8470"/>
      <c r="CF8470"/>
      <c r="CG8470"/>
      <c r="CH8470"/>
      <c r="CI8470"/>
    </row>
    <row r="8471" spans="83:87" x14ac:dyDescent="0.2">
      <c r="CE8471"/>
      <c r="CF8471"/>
      <c r="CG8471"/>
      <c r="CH8471"/>
      <c r="CI8471"/>
    </row>
    <row r="8472" spans="83:87" x14ac:dyDescent="0.2">
      <c r="CE8472"/>
      <c r="CF8472"/>
      <c r="CG8472"/>
      <c r="CH8472"/>
      <c r="CI8472"/>
    </row>
    <row r="8473" spans="83:87" x14ac:dyDescent="0.2">
      <c r="CE8473"/>
      <c r="CF8473"/>
      <c r="CG8473"/>
      <c r="CH8473"/>
      <c r="CI8473"/>
    </row>
    <row r="8474" spans="83:87" x14ac:dyDescent="0.2">
      <c r="CE8474"/>
      <c r="CF8474"/>
      <c r="CG8474"/>
      <c r="CH8474"/>
      <c r="CI8474"/>
    </row>
    <row r="8475" spans="83:87" x14ac:dyDescent="0.2">
      <c r="CE8475"/>
      <c r="CF8475"/>
      <c r="CG8475"/>
      <c r="CH8475"/>
      <c r="CI8475"/>
    </row>
    <row r="8476" spans="83:87" x14ac:dyDescent="0.2">
      <c r="CE8476"/>
      <c r="CF8476"/>
      <c r="CG8476"/>
      <c r="CH8476"/>
      <c r="CI8476"/>
    </row>
    <row r="8477" spans="83:87" x14ac:dyDescent="0.2">
      <c r="CE8477"/>
      <c r="CF8477"/>
      <c r="CG8477"/>
      <c r="CH8477"/>
      <c r="CI8477"/>
    </row>
    <row r="8478" spans="83:87" x14ac:dyDescent="0.2">
      <c r="CE8478"/>
      <c r="CF8478"/>
      <c r="CG8478"/>
      <c r="CH8478"/>
      <c r="CI8478"/>
    </row>
    <row r="8479" spans="83:87" x14ac:dyDescent="0.2">
      <c r="CE8479"/>
      <c r="CF8479"/>
      <c r="CG8479"/>
      <c r="CH8479"/>
      <c r="CI8479"/>
    </row>
    <row r="8480" spans="83:87" x14ac:dyDescent="0.2">
      <c r="CE8480"/>
      <c r="CF8480"/>
      <c r="CG8480"/>
      <c r="CH8480"/>
      <c r="CI8480"/>
    </row>
    <row r="8481" spans="83:87" x14ac:dyDescent="0.2">
      <c r="CE8481"/>
      <c r="CF8481"/>
      <c r="CG8481"/>
      <c r="CH8481"/>
      <c r="CI8481"/>
    </row>
    <row r="8482" spans="83:87" x14ac:dyDescent="0.2">
      <c r="CE8482"/>
      <c r="CF8482"/>
      <c r="CG8482"/>
      <c r="CH8482"/>
      <c r="CI8482"/>
    </row>
    <row r="8483" spans="83:87" x14ac:dyDescent="0.2">
      <c r="CE8483"/>
      <c r="CF8483"/>
      <c r="CG8483"/>
      <c r="CH8483"/>
      <c r="CI8483"/>
    </row>
    <row r="8484" spans="83:87" x14ac:dyDescent="0.2">
      <c r="CE8484"/>
      <c r="CF8484"/>
      <c r="CG8484"/>
      <c r="CH8484"/>
      <c r="CI8484"/>
    </row>
    <row r="8485" spans="83:87" x14ac:dyDescent="0.2">
      <c r="CE8485"/>
      <c r="CF8485"/>
      <c r="CG8485"/>
      <c r="CH8485"/>
      <c r="CI8485"/>
    </row>
    <row r="8486" spans="83:87" x14ac:dyDescent="0.2">
      <c r="CE8486"/>
      <c r="CF8486"/>
      <c r="CG8486"/>
      <c r="CH8486"/>
      <c r="CI8486"/>
    </row>
    <row r="8487" spans="83:87" x14ac:dyDescent="0.2">
      <c r="CE8487"/>
      <c r="CF8487"/>
      <c r="CG8487"/>
      <c r="CH8487"/>
      <c r="CI8487"/>
    </row>
    <row r="8488" spans="83:87" x14ac:dyDescent="0.2">
      <c r="CE8488"/>
      <c r="CF8488"/>
      <c r="CG8488"/>
      <c r="CH8488"/>
      <c r="CI8488"/>
    </row>
    <row r="8489" spans="83:87" x14ac:dyDescent="0.2">
      <c r="CE8489"/>
      <c r="CF8489"/>
      <c r="CG8489"/>
      <c r="CH8489"/>
      <c r="CI8489"/>
    </row>
    <row r="8490" spans="83:87" x14ac:dyDescent="0.2">
      <c r="CE8490"/>
      <c r="CF8490"/>
      <c r="CG8490"/>
      <c r="CH8490"/>
      <c r="CI8490"/>
    </row>
    <row r="8491" spans="83:87" x14ac:dyDescent="0.2">
      <c r="CE8491"/>
      <c r="CF8491"/>
      <c r="CG8491"/>
      <c r="CH8491"/>
      <c r="CI8491"/>
    </row>
    <row r="8492" spans="83:87" x14ac:dyDescent="0.2">
      <c r="CE8492"/>
      <c r="CF8492"/>
      <c r="CG8492"/>
      <c r="CH8492"/>
      <c r="CI8492"/>
    </row>
    <row r="8493" spans="83:87" x14ac:dyDescent="0.2">
      <c r="CE8493"/>
      <c r="CF8493"/>
      <c r="CG8493"/>
      <c r="CH8493"/>
      <c r="CI8493"/>
    </row>
    <row r="8494" spans="83:87" x14ac:dyDescent="0.2">
      <c r="CE8494"/>
      <c r="CF8494"/>
      <c r="CG8494"/>
      <c r="CH8494"/>
      <c r="CI8494"/>
    </row>
    <row r="8495" spans="83:87" x14ac:dyDescent="0.2">
      <c r="CE8495"/>
      <c r="CF8495"/>
      <c r="CG8495"/>
      <c r="CH8495"/>
      <c r="CI8495"/>
    </row>
    <row r="8496" spans="83:87" x14ac:dyDescent="0.2">
      <c r="CE8496"/>
      <c r="CF8496"/>
      <c r="CG8496"/>
      <c r="CH8496"/>
      <c r="CI8496"/>
    </row>
    <row r="8497" spans="83:87" x14ac:dyDescent="0.2">
      <c r="CE8497"/>
      <c r="CF8497"/>
      <c r="CG8497"/>
      <c r="CH8497"/>
      <c r="CI8497"/>
    </row>
    <row r="8498" spans="83:87" x14ac:dyDescent="0.2">
      <c r="CE8498"/>
      <c r="CF8498"/>
      <c r="CG8498"/>
      <c r="CH8498"/>
      <c r="CI8498"/>
    </row>
    <row r="8499" spans="83:87" x14ac:dyDescent="0.2">
      <c r="CE8499"/>
      <c r="CF8499"/>
      <c r="CG8499"/>
      <c r="CH8499"/>
      <c r="CI8499"/>
    </row>
    <row r="8500" spans="83:87" x14ac:dyDescent="0.2">
      <c r="CE8500"/>
      <c r="CF8500"/>
      <c r="CG8500"/>
      <c r="CH8500"/>
      <c r="CI8500"/>
    </row>
    <row r="8501" spans="83:87" x14ac:dyDescent="0.2">
      <c r="CE8501"/>
      <c r="CF8501"/>
      <c r="CG8501"/>
      <c r="CH8501"/>
      <c r="CI8501"/>
    </row>
    <row r="8502" spans="83:87" x14ac:dyDescent="0.2">
      <c r="CE8502"/>
      <c r="CF8502"/>
      <c r="CG8502"/>
      <c r="CH8502"/>
      <c r="CI8502"/>
    </row>
    <row r="8503" spans="83:87" x14ac:dyDescent="0.2">
      <c r="CE8503"/>
      <c r="CF8503"/>
      <c r="CG8503"/>
      <c r="CH8503"/>
      <c r="CI8503"/>
    </row>
    <row r="8504" spans="83:87" x14ac:dyDescent="0.2">
      <c r="CE8504"/>
      <c r="CF8504"/>
      <c r="CG8504"/>
      <c r="CH8504"/>
      <c r="CI8504"/>
    </row>
    <row r="8505" spans="83:87" x14ac:dyDescent="0.2">
      <c r="CE8505"/>
      <c r="CF8505"/>
      <c r="CG8505"/>
      <c r="CH8505"/>
      <c r="CI8505"/>
    </row>
    <row r="8506" spans="83:87" x14ac:dyDescent="0.2">
      <c r="CE8506"/>
      <c r="CF8506"/>
      <c r="CG8506"/>
      <c r="CH8506"/>
      <c r="CI8506"/>
    </row>
    <row r="8507" spans="83:87" x14ac:dyDescent="0.2">
      <c r="CE8507"/>
      <c r="CF8507"/>
      <c r="CG8507"/>
      <c r="CH8507"/>
      <c r="CI8507"/>
    </row>
    <row r="8508" spans="83:87" x14ac:dyDescent="0.2">
      <c r="CE8508"/>
      <c r="CF8508"/>
      <c r="CG8508"/>
      <c r="CH8508"/>
      <c r="CI8508"/>
    </row>
    <row r="8509" spans="83:87" x14ac:dyDescent="0.2">
      <c r="CE8509"/>
      <c r="CF8509"/>
      <c r="CG8509"/>
      <c r="CH8509"/>
      <c r="CI8509"/>
    </row>
    <row r="8510" spans="83:87" x14ac:dyDescent="0.2">
      <c r="CE8510"/>
      <c r="CF8510"/>
      <c r="CG8510"/>
      <c r="CH8510"/>
      <c r="CI8510"/>
    </row>
    <row r="8511" spans="83:87" x14ac:dyDescent="0.2">
      <c r="CE8511"/>
      <c r="CF8511"/>
      <c r="CG8511"/>
      <c r="CH8511"/>
      <c r="CI8511"/>
    </row>
    <row r="8512" spans="83:87" x14ac:dyDescent="0.2">
      <c r="CE8512"/>
      <c r="CF8512"/>
      <c r="CG8512"/>
      <c r="CH8512"/>
      <c r="CI8512"/>
    </row>
    <row r="8513" spans="83:87" x14ac:dyDescent="0.2">
      <c r="CE8513"/>
      <c r="CF8513"/>
      <c r="CG8513"/>
      <c r="CH8513"/>
      <c r="CI8513"/>
    </row>
    <row r="8514" spans="83:87" x14ac:dyDescent="0.2">
      <c r="CE8514"/>
      <c r="CF8514"/>
      <c r="CG8514"/>
      <c r="CH8514"/>
      <c r="CI8514"/>
    </row>
    <row r="8515" spans="83:87" x14ac:dyDescent="0.2">
      <c r="CE8515"/>
      <c r="CF8515"/>
      <c r="CG8515"/>
      <c r="CH8515"/>
      <c r="CI8515"/>
    </row>
    <row r="8516" spans="83:87" x14ac:dyDescent="0.2">
      <c r="CE8516"/>
      <c r="CF8516"/>
      <c r="CG8516"/>
      <c r="CH8516"/>
      <c r="CI8516"/>
    </row>
    <row r="8517" spans="83:87" x14ac:dyDescent="0.2">
      <c r="CE8517"/>
      <c r="CF8517"/>
      <c r="CG8517"/>
      <c r="CH8517"/>
      <c r="CI8517"/>
    </row>
    <row r="8518" spans="83:87" x14ac:dyDescent="0.2">
      <c r="CE8518"/>
      <c r="CF8518"/>
      <c r="CG8518"/>
      <c r="CH8518"/>
      <c r="CI8518"/>
    </row>
    <row r="8519" spans="83:87" x14ac:dyDescent="0.2">
      <c r="CE8519"/>
      <c r="CF8519"/>
      <c r="CG8519"/>
      <c r="CH8519"/>
      <c r="CI8519"/>
    </row>
    <row r="8520" spans="83:87" x14ac:dyDescent="0.2">
      <c r="CE8520"/>
      <c r="CF8520"/>
      <c r="CG8520"/>
      <c r="CH8520"/>
      <c r="CI8520"/>
    </row>
    <row r="8521" spans="83:87" x14ac:dyDescent="0.2">
      <c r="CE8521"/>
      <c r="CF8521"/>
      <c r="CG8521"/>
      <c r="CH8521"/>
      <c r="CI8521"/>
    </row>
    <row r="8522" spans="83:87" x14ac:dyDescent="0.2">
      <c r="CE8522"/>
      <c r="CF8522"/>
      <c r="CG8522"/>
      <c r="CH8522"/>
      <c r="CI8522"/>
    </row>
    <row r="8523" spans="83:87" x14ac:dyDescent="0.2">
      <c r="CE8523"/>
      <c r="CF8523"/>
      <c r="CG8523"/>
      <c r="CH8523"/>
      <c r="CI8523"/>
    </row>
    <row r="8524" spans="83:87" x14ac:dyDescent="0.2">
      <c r="CE8524"/>
      <c r="CF8524"/>
      <c r="CG8524"/>
      <c r="CH8524"/>
      <c r="CI8524"/>
    </row>
    <row r="8525" spans="83:87" x14ac:dyDescent="0.2">
      <c r="CE8525"/>
      <c r="CF8525"/>
      <c r="CG8525"/>
      <c r="CH8525"/>
      <c r="CI8525"/>
    </row>
    <row r="8526" spans="83:87" x14ac:dyDescent="0.2">
      <c r="CE8526"/>
      <c r="CF8526"/>
      <c r="CG8526"/>
      <c r="CH8526"/>
      <c r="CI8526"/>
    </row>
    <row r="8527" spans="83:87" x14ac:dyDescent="0.2">
      <c r="CE8527"/>
      <c r="CF8527"/>
      <c r="CG8527"/>
      <c r="CH8527"/>
      <c r="CI8527"/>
    </row>
    <row r="8528" spans="83:87" x14ac:dyDescent="0.2">
      <c r="CE8528"/>
      <c r="CF8528"/>
      <c r="CG8528"/>
      <c r="CH8528"/>
      <c r="CI8528"/>
    </row>
    <row r="8529" spans="83:87" x14ac:dyDescent="0.2">
      <c r="CE8529"/>
      <c r="CF8529"/>
      <c r="CG8529"/>
      <c r="CH8529"/>
      <c r="CI8529"/>
    </row>
    <row r="8530" spans="83:87" x14ac:dyDescent="0.2">
      <c r="CE8530"/>
      <c r="CF8530"/>
      <c r="CG8530"/>
      <c r="CH8530"/>
      <c r="CI8530"/>
    </row>
    <row r="8531" spans="83:87" x14ac:dyDescent="0.2">
      <c r="CE8531"/>
      <c r="CF8531"/>
      <c r="CG8531"/>
      <c r="CH8531"/>
      <c r="CI8531"/>
    </row>
    <row r="8532" spans="83:87" x14ac:dyDescent="0.2">
      <c r="CE8532"/>
      <c r="CF8532"/>
      <c r="CG8532"/>
      <c r="CH8532"/>
      <c r="CI8532"/>
    </row>
    <row r="8533" spans="83:87" x14ac:dyDescent="0.2">
      <c r="CE8533"/>
      <c r="CF8533"/>
      <c r="CG8533"/>
      <c r="CH8533"/>
      <c r="CI8533"/>
    </row>
    <row r="8534" spans="83:87" x14ac:dyDescent="0.2">
      <c r="CE8534"/>
      <c r="CF8534"/>
      <c r="CG8534"/>
      <c r="CH8534"/>
      <c r="CI8534"/>
    </row>
    <row r="8535" spans="83:87" x14ac:dyDescent="0.2">
      <c r="CE8535"/>
      <c r="CF8535"/>
      <c r="CG8535"/>
      <c r="CH8535"/>
      <c r="CI8535"/>
    </row>
    <row r="8536" spans="83:87" x14ac:dyDescent="0.2">
      <c r="CE8536"/>
      <c r="CF8536"/>
      <c r="CG8536"/>
      <c r="CH8536"/>
      <c r="CI8536"/>
    </row>
    <row r="8537" spans="83:87" x14ac:dyDescent="0.2">
      <c r="CE8537"/>
      <c r="CF8537"/>
      <c r="CG8537"/>
      <c r="CH8537"/>
      <c r="CI8537"/>
    </row>
    <row r="8538" spans="83:87" x14ac:dyDescent="0.2">
      <c r="CE8538"/>
      <c r="CF8538"/>
      <c r="CG8538"/>
      <c r="CH8538"/>
      <c r="CI8538"/>
    </row>
    <row r="8539" spans="83:87" x14ac:dyDescent="0.2">
      <c r="CE8539"/>
      <c r="CF8539"/>
      <c r="CG8539"/>
      <c r="CH8539"/>
      <c r="CI8539"/>
    </row>
    <row r="8540" spans="83:87" x14ac:dyDescent="0.2">
      <c r="CE8540"/>
      <c r="CF8540"/>
      <c r="CG8540"/>
      <c r="CH8540"/>
      <c r="CI8540"/>
    </row>
    <row r="8541" spans="83:87" x14ac:dyDescent="0.2">
      <c r="CE8541"/>
      <c r="CF8541"/>
      <c r="CG8541"/>
      <c r="CH8541"/>
      <c r="CI8541"/>
    </row>
    <row r="8542" spans="83:87" x14ac:dyDescent="0.2">
      <c r="CE8542"/>
      <c r="CF8542"/>
      <c r="CG8542"/>
      <c r="CH8542"/>
      <c r="CI8542"/>
    </row>
    <row r="8543" spans="83:87" x14ac:dyDescent="0.2">
      <c r="CE8543"/>
      <c r="CF8543"/>
      <c r="CG8543"/>
      <c r="CH8543"/>
      <c r="CI8543"/>
    </row>
    <row r="8544" spans="83:87" x14ac:dyDescent="0.2">
      <c r="CE8544"/>
      <c r="CF8544"/>
      <c r="CG8544"/>
      <c r="CH8544"/>
      <c r="CI8544"/>
    </row>
    <row r="8545" spans="83:87" x14ac:dyDescent="0.2">
      <c r="CE8545"/>
      <c r="CF8545"/>
      <c r="CG8545"/>
      <c r="CH8545"/>
      <c r="CI8545"/>
    </row>
    <row r="8546" spans="83:87" x14ac:dyDescent="0.2">
      <c r="CE8546"/>
      <c r="CF8546"/>
      <c r="CG8546"/>
      <c r="CH8546"/>
      <c r="CI8546"/>
    </row>
    <row r="8547" spans="83:87" x14ac:dyDescent="0.2">
      <c r="CE8547"/>
      <c r="CF8547"/>
      <c r="CG8547"/>
      <c r="CH8547"/>
      <c r="CI8547"/>
    </row>
    <row r="8548" spans="83:87" x14ac:dyDescent="0.2">
      <c r="CE8548"/>
      <c r="CF8548"/>
      <c r="CG8548"/>
      <c r="CH8548"/>
      <c r="CI8548"/>
    </row>
    <row r="8549" spans="83:87" x14ac:dyDescent="0.2">
      <c r="CE8549"/>
      <c r="CF8549"/>
      <c r="CG8549"/>
      <c r="CH8549"/>
      <c r="CI8549"/>
    </row>
    <row r="8550" spans="83:87" x14ac:dyDescent="0.2">
      <c r="CE8550"/>
      <c r="CF8550"/>
      <c r="CG8550"/>
      <c r="CH8550"/>
      <c r="CI8550"/>
    </row>
    <row r="8551" spans="83:87" x14ac:dyDescent="0.2">
      <c r="CE8551"/>
      <c r="CF8551"/>
      <c r="CG8551"/>
      <c r="CH8551"/>
      <c r="CI8551"/>
    </row>
    <row r="8552" spans="83:87" x14ac:dyDescent="0.2">
      <c r="CE8552"/>
      <c r="CF8552"/>
      <c r="CG8552"/>
      <c r="CH8552"/>
      <c r="CI8552"/>
    </row>
    <row r="8553" spans="83:87" x14ac:dyDescent="0.2">
      <c r="CE8553"/>
      <c r="CF8553"/>
      <c r="CG8553"/>
      <c r="CH8553"/>
      <c r="CI8553"/>
    </row>
    <row r="8554" spans="83:87" x14ac:dyDescent="0.2">
      <c r="CE8554"/>
      <c r="CF8554"/>
      <c r="CG8554"/>
      <c r="CH8554"/>
      <c r="CI8554"/>
    </row>
    <row r="8555" spans="83:87" x14ac:dyDescent="0.2">
      <c r="CE8555"/>
      <c r="CF8555"/>
      <c r="CG8555"/>
      <c r="CH8555"/>
      <c r="CI8555"/>
    </row>
    <row r="8556" spans="83:87" x14ac:dyDescent="0.2">
      <c r="CE8556"/>
      <c r="CF8556"/>
      <c r="CG8556"/>
      <c r="CH8556"/>
      <c r="CI8556"/>
    </row>
    <row r="8557" spans="83:87" x14ac:dyDescent="0.2">
      <c r="CE8557"/>
      <c r="CF8557"/>
      <c r="CG8557"/>
      <c r="CH8557"/>
      <c r="CI8557"/>
    </row>
    <row r="8558" spans="83:87" x14ac:dyDescent="0.2">
      <c r="CE8558"/>
      <c r="CF8558"/>
      <c r="CG8558"/>
      <c r="CH8558"/>
      <c r="CI8558"/>
    </row>
    <row r="8559" spans="83:87" x14ac:dyDescent="0.2">
      <c r="CE8559"/>
      <c r="CF8559"/>
      <c r="CG8559"/>
      <c r="CH8559"/>
      <c r="CI8559"/>
    </row>
    <row r="8560" spans="83:87" x14ac:dyDescent="0.2">
      <c r="CE8560"/>
      <c r="CF8560"/>
      <c r="CG8560"/>
      <c r="CH8560"/>
      <c r="CI8560"/>
    </row>
    <row r="8561" spans="83:87" x14ac:dyDescent="0.2">
      <c r="CE8561"/>
      <c r="CF8561"/>
      <c r="CG8561"/>
      <c r="CH8561"/>
      <c r="CI8561"/>
    </row>
    <row r="8562" spans="83:87" x14ac:dyDescent="0.2">
      <c r="CE8562"/>
      <c r="CF8562"/>
      <c r="CG8562"/>
      <c r="CH8562"/>
      <c r="CI8562"/>
    </row>
    <row r="8563" spans="83:87" x14ac:dyDescent="0.2">
      <c r="CE8563"/>
      <c r="CF8563"/>
      <c r="CG8563"/>
      <c r="CH8563"/>
      <c r="CI8563"/>
    </row>
    <row r="8564" spans="83:87" x14ac:dyDescent="0.2">
      <c r="CE8564"/>
      <c r="CF8564"/>
      <c r="CG8564"/>
      <c r="CH8564"/>
      <c r="CI8564"/>
    </row>
    <row r="8565" spans="83:87" x14ac:dyDescent="0.2">
      <c r="CE8565"/>
      <c r="CF8565"/>
      <c r="CG8565"/>
      <c r="CH8565"/>
      <c r="CI8565"/>
    </row>
    <row r="8566" spans="83:87" x14ac:dyDescent="0.2">
      <c r="CE8566"/>
      <c r="CF8566"/>
      <c r="CG8566"/>
      <c r="CH8566"/>
      <c r="CI8566"/>
    </row>
    <row r="8567" spans="83:87" x14ac:dyDescent="0.2">
      <c r="CE8567"/>
      <c r="CF8567"/>
      <c r="CG8567"/>
      <c r="CH8567"/>
      <c r="CI8567"/>
    </row>
    <row r="8568" spans="83:87" x14ac:dyDescent="0.2">
      <c r="CE8568"/>
      <c r="CF8568"/>
      <c r="CG8568"/>
      <c r="CH8568"/>
      <c r="CI8568"/>
    </row>
    <row r="8569" spans="83:87" x14ac:dyDescent="0.2">
      <c r="CE8569"/>
      <c r="CF8569"/>
      <c r="CG8569"/>
      <c r="CH8569"/>
      <c r="CI8569"/>
    </row>
    <row r="8570" spans="83:87" x14ac:dyDescent="0.2">
      <c r="CE8570"/>
      <c r="CF8570"/>
      <c r="CG8570"/>
      <c r="CH8570"/>
      <c r="CI8570"/>
    </row>
    <row r="8571" spans="83:87" x14ac:dyDescent="0.2">
      <c r="CE8571"/>
      <c r="CF8571"/>
      <c r="CG8571"/>
      <c r="CH8571"/>
      <c r="CI8571"/>
    </row>
    <row r="8572" spans="83:87" x14ac:dyDescent="0.2">
      <c r="CE8572"/>
      <c r="CF8572"/>
      <c r="CG8572"/>
      <c r="CH8572"/>
      <c r="CI8572"/>
    </row>
    <row r="8573" spans="83:87" x14ac:dyDescent="0.2">
      <c r="CE8573"/>
      <c r="CF8573"/>
      <c r="CG8573"/>
      <c r="CH8573"/>
      <c r="CI8573"/>
    </row>
    <row r="8574" spans="83:87" x14ac:dyDescent="0.2">
      <c r="CE8574"/>
      <c r="CF8574"/>
      <c r="CG8574"/>
      <c r="CH8574"/>
      <c r="CI8574"/>
    </row>
    <row r="8575" spans="83:87" x14ac:dyDescent="0.2">
      <c r="CE8575"/>
      <c r="CF8575"/>
      <c r="CG8575"/>
      <c r="CH8575"/>
      <c r="CI8575"/>
    </row>
    <row r="8576" spans="83:87" x14ac:dyDescent="0.2">
      <c r="CE8576"/>
      <c r="CF8576"/>
      <c r="CG8576"/>
      <c r="CH8576"/>
      <c r="CI8576"/>
    </row>
    <row r="8577" spans="83:87" x14ac:dyDescent="0.2">
      <c r="CE8577"/>
      <c r="CF8577"/>
      <c r="CG8577"/>
      <c r="CH8577"/>
      <c r="CI8577"/>
    </row>
    <row r="8578" spans="83:87" x14ac:dyDescent="0.2">
      <c r="CE8578"/>
      <c r="CF8578"/>
      <c r="CG8578"/>
      <c r="CH8578"/>
      <c r="CI8578"/>
    </row>
    <row r="8579" spans="83:87" x14ac:dyDescent="0.2">
      <c r="CE8579"/>
      <c r="CF8579"/>
      <c r="CG8579"/>
      <c r="CH8579"/>
      <c r="CI8579"/>
    </row>
    <row r="8580" spans="83:87" x14ac:dyDescent="0.2">
      <c r="CE8580"/>
      <c r="CF8580"/>
      <c r="CG8580"/>
      <c r="CH8580"/>
      <c r="CI8580"/>
    </row>
    <row r="8581" spans="83:87" x14ac:dyDescent="0.2">
      <c r="CE8581"/>
      <c r="CF8581"/>
      <c r="CG8581"/>
      <c r="CH8581"/>
      <c r="CI8581"/>
    </row>
    <row r="8582" spans="83:87" x14ac:dyDescent="0.2">
      <c r="CE8582"/>
      <c r="CF8582"/>
      <c r="CG8582"/>
      <c r="CH8582"/>
      <c r="CI8582"/>
    </row>
    <row r="8583" spans="83:87" x14ac:dyDescent="0.2">
      <c r="CE8583"/>
      <c r="CF8583"/>
      <c r="CG8583"/>
      <c r="CH8583"/>
      <c r="CI8583"/>
    </row>
    <row r="8584" spans="83:87" x14ac:dyDescent="0.2">
      <c r="CE8584"/>
      <c r="CF8584"/>
      <c r="CG8584"/>
      <c r="CH8584"/>
      <c r="CI8584"/>
    </row>
    <row r="8585" spans="83:87" x14ac:dyDescent="0.2">
      <c r="CE8585"/>
      <c r="CF8585"/>
      <c r="CG8585"/>
      <c r="CH8585"/>
      <c r="CI8585"/>
    </row>
    <row r="8586" spans="83:87" x14ac:dyDescent="0.2">
      <c r="CE8586"/>
      <c r="CF8586"/>
      <c r="CG8586"/>
      <c r="CH8586"/>
      <c r="CI8586"/>
    </row>
    <row r="8587" spans="83:87" x14ac:dyDescent="0.2">
      <c r="CE8587"/>
      <c r="CF8587"/>
      <c r="CG8587"/>
      <c r="CH8587"/>
      <c r="CI8587"/>
    </row>
    <row r="8588" spans="83:87" x14ac:dyDescent="0.2">
      <c r="CE8588"/>
      <c r="CF8588"/>
      <c r="CG8588"/>
      <c r="CH8588"/>
      <c r="CI8588"/>
    </row>
    <row r="8589" spans="83:87" x14ac:dyDescent="0.2">
      <c r="CE8589"/>
      <c r="CF8589"/>
      <c r="CG8589"/>
      <c r="CH8589"/>
      <c r="CI8589"/>
    </row>
    <row r="8590" spans="83:87" x14ac:dyDescent="0.2">
      <c r="CE8590"/>
      <c r="CF8590"/>
      <c r="CG8590"/>
      <c r="CH8590"/>
      <c r="CI8590"/>
    </row>
    <row r="8591" spans="83:87" x14ac:dyDescent="0.2">
      <c r="CE8591"/>
      <c r="CF8591"/>
      <c r="CG8591"/>
      <c r="CH8591"/>
      <c r="CI8591"/>
    </row>
    <row r="8592" spans="83:87" x14ac:dyDescent="0.2">
      <c r="CE8592"/>
      <c r="CF8592"/>
      <c r="CG8592"/>
      <c r="CH8592"/>
      <c r="CI8592"/>
    </row>
    <row r="8593" spans="83:87" x14ac:dyDescent="0.2">
      <c r="CE8593"/>
      <c r="CF8593"/>
      <c r="CG8593"/>
      <c r="CH8593"/>
      <c r="CI8593"/>
    </row>
    <row r="8594" spans="83:87" x14ac:dyDescent="0.2">
      <c r="CE8594"/>
      <c r="CF8594"/>
      <c r="CG8594"/>
      <c r="CH8594"/>
      <c r="CI8594"/>
    </row>
    <row r="8595" spans="83:87" x14ac:dyDescent="0.2">
      <c r="CE8595"/>
      <c r="CF8595"/>
      <c r="CG8595"/>
      <c r="CH8595"/>
      <c r="CI8595"/>
    </row>
    <row r="8596" spans="83:87" x14ac:dyDescent="0.2">
      <c r="CE8596"/>
      <c r="CF8596"/>
      <c r="CG8596"/>
      <c r="CH8596"/>
      <c r="CI8596"/>
    </row>
    <row r="8597" spans="83:87" x14ac:dyDescent="0.2">
      <c r="CE8597"/>
      <c r="CF8597"/>
      <c r="CG8597"/>
      <c r="CH8597"/>
      <c r="CI8597"/>
    </row>
    <row r="8598" spans="83:87" x14ac:dyDescent="0.2">
      <c r="CE8598"/>
      <c r="CF8598"/>
      <c r="CG8598"/>
      <c r="CH8598"/>
      <c r="CI8598"/>
    </row>
    <row r="8599" spans="83:87" x14ac:dyDescent="0.2">
      <c r="CE8599"/>
      <c r="CF8599"/>
      <c r="CG8599"/>
      <c r="CH8599"/>
      <c r="CI8599"/>
    </row>
    <row r="8600" spans="83:87" x14ac:dyDescent="0.2">
      <c r="CE8600"/>
      <c r="CF8600"/>
      <c r="CG8600"/>
      <c r="CH8600"/>
      <c r="CI8600"/>
    </row>
    <row r="8601" spans="83:87" x14ac:dyDescent="0.2">
      <c r="CE8601"/>
      <c r="CF8601"/>
      <c r="CG8601"/>
      <c r="CH8601"/>
      <c r="CI8601"/>
    </row>
    <row r="8602" spans="83:87" x14ac:dyDescent="0.2">
      <c r="CE8602"/>
      <c r="CF8602"/>
      <c r="CG8602"/>
      <c r="CH8602"/>
      <c r="CI8602"/>
    </row>
    <row r="8603" spans="83:87" x14ac:dyDescent="0.2">
      <c r="CE8603"/>
      <c r="CF8603"/>
      <c r="CG8603"/>
      <c r="CH8603"/>
      <c r="CI8603"/>
    </row>
    <row r="8604" spans="83:87" x14ac:dyDescent="0.2">
      <c r="CE8604"/>
      <c r="CF8604"/>
      <c r="CG8604"/>
      <c r="CH8604"/>
      <c r="CI8604"/>
    </row>
    <row r="8605" spans="83:87" x14ac:dyDescent="0.2">
      <c r="CE8605"/>
      <c r="CF8605"/>
      <c r="CG8605"/>
      <c r="CH8605"/>
      <c r="CI8605"/>
    </row>
    <row r="8606" spans="83:87" x14ac:dyDescent="0.2">
      <c r="CE8606"/>
      <c r="CF8606"/>
      <c r="CG8606"/>
      <c r="CH8606"/>
      <c r="CI8606"/>
    </row>
    <row r="8607" spans="83:87" x14ac:dyDescent="0.2">
      <c r="CE8607"/>
      <c r="CF8607"/>
      <c r="CG8607"/>
      <c r="CH8607"/>
      <c r="CI8607"/>
    </row>
    <row r="8608" spans="83:87" x14ac:dyDescent="0.2">
      <c r="CE8608"/>
      <c r="CF8608"/>
      <c r="CG8608"/>
      <c r="CH8608"/>
      <c r="CI8608"/>
    </row>
    <row r="8609" spans="83:87" x14ac:dyDescent="0.2">
      <c r="CE8609"/>
      <c r="CF8609"/>
      <c r="CG8609"/>
      <c r="CH8609"/>
      <c r="CI8609"/>
    </row>
    <row r="8610" spans="83:87" x14ac:dyDescent="0.2">
      <c r="CE8610"/>
      <c r="CF8610"/>
      <c r="CG8610"/>
      <c r="CH8610"/>
      <c r="CI8610"/>
    </row>
    <row r="8611" spans="83:87" x14ac:dyDescent="0.2">
      <c r="CE8611"/>
      <c r="CF8611"/>
      <c r="CG8611"/>
      <c r="CH8611"/>
      <c r="CI8611"/>
    </row>
    <row r="8612" spans="83:87" x14ac:dyDescent="0.2">
      <c r="CE8612"/>
      <c r="CF8612"/>
      <c r="CG8612"/>
      <c r="CH8612"/>
      <c r="CI8612"/>
    </row>
    <row r="8613" spans="83:87" x14ac:dyDescent="0.2">
      <c r="CE8613"/>
      <c r="CF8613"/>
      <c r="CG8613"/>
      <c r="CH8613"/>
      <c r="CI8613"/>
    </row>
    <row r="8614" spans="83:87" x14ac:dyDescent="0.2">
      <c r="CE8614"/>
      <c r="CF8614"/>
      <c r="CG8614"/>
      <c r="CH8614"/>
      <c r="CI8614"/>
    </row>
    <row r="8615" spans="83:87" x14ac:dyDescent="0.2">
      <c r="CE8615"/>
      <c r="CF8615"/>
      <c r="CG8615"/>
      <c r="CH8615"/>
      <c r="CI8615"/>
    </row>
    <row r="8616" spans="83:87" x14ac:dyDescent="0.2">
      <c r="CE8616"/>
      <c r="CF8616"/>
      <c r="CG8616"/>
      <c r="CH8616"/>
      <c r="CI8616"/>
    </row>
    <row r="8617" spans="83:87" x14ac:dyDescent="0.2">
      <c r="CE8617"/>
      <c r="CF8617"/>
      <c r="CG8617"/>
      <c r="CH8617"/>
      <c r="CI8617"/>
    </row>
    <row r="8618" spans="83:87" x14ac:dyDescent="0.2">
      <c r="CE8618"/>
      <c r="CF8618"/>
      <c r="CG8618"/>
      <c r="CH8618"/>
      <c r="CI8618"/>
    </row>
    <row r="8619" spans="83:87" x14ac:dyDescent="0.2">
      <c r="CE8619"/>
      <c r="CF8619"/>
      <c r="CG8619"/>
      <c r="CH8619"/>
      <c r="CI8619"/>
    </row>
    <row r="8620" spans="83:87" x14ac:dyDescent="0.2">
      <c r="CE8620"/>
      <c r="CF8620"/>
      <c r="CG8620"/>
      <c r="CH8620"/>
      <c r="CI8620"/>
    </row>
    <row r="8621" spans="83:87" x14ac:dyDescent="0.2">
      <c r="CE8621"/>
      <c r="CF8621"/>
      <c r="CG8621"/>
      <c r="CH8621"/>
      <c r="CI8621"/>
    </row>
    <row r="8622" spans="83:87" x14ac:dyDescent="0.2">
      <c r="CE8622"/>
      <c r="CF8622"/>
      <c r="CG8622"/>
      <c r="CH8622"/>
      <c r="CI8622"/>
    </row>
    <row r="8623" spans="83:87" x14ac:dyDescent="0.2">
      <c r="CE8623"/>
      <c r="CF8623"/>
      <c r="CG8623"/>
      <c r="CH8623"/>
      <c r="CI8623"/>
    </row>
    <row r="8624" spans="83:87" x14ac:dyDescent="0.2">
      <c r="CE8624"/>
      <c r="CF8624"/>
      <c r="CG8624"/>
      <c r="CH8624"/>
      <c r="CI8624"/>
    </row>
    <row r="8625" spans="83:87" x14ac:dyDescent="0.2">
      <c r="CE8625"/>
      <c r="CF8625"/>
      <c r="CG8625"/>
      <c r="CH8625"/>
      <c r="CI8625"/>
    </row>
    <row r="8626" spans="83:87" x14ac:dyDescent="0.2">
      <c r="CE8626"/>
      <c r="CF8626"/>
      <c r="CG8626"/>
      <c r="CH8626"/>
      <c r="CI8626"/>
    </row>
    <row r="8627" spans="83:87" x14ac:dyDescent="0.2">
      <c r="CE8627"/>
      <c r="CF8627"/>
      <c r="CG8627"/>
      <c r="CH8627"/>
      <c r="CI8627"/>
    </row>
    <row r="8628" spans="83:87" x14ac:dyDescent="0.2">
      <c r="CE8628"/>
      <c r="CF8628"/>
      <c r="CG8628"/>
      <c r="CH8628"/>
      <c r="CI8628"/>
    </row>
    <row r="8629" spans="83:87" x14ac:dyDescent="0.2">
      <c r="CE8629"/>
      <c r="CF8629"/>
      <c r="CG8629"/>
      <c r="CH8629"/>
      <c r="CI8629"/>
    </row>
    <row r="8630" spans="83:87" x14ac:dyDescent="0.2">
      <c r="CE8630"/>
      <c r="CF8630"/>
      <c r="CG8630"/>
      <c r="CH8630"/>
      <c r="CI8630"/>
    </row>
    <row r="8631" spans="83:87" x14ac:dyDescent="0.2">
      <c r="CE8631"/>
      <c r="CF8631"/>
      <c r="CG8631"/>
      <c r="CH8631"/>
      <c r="CI8631"/>
    </row>
    <row r="8632" spans="83:87" x14ac:dyDescent="0.2">
      <c r="CE8632"/>
      <c r="CF8632"/>
      <c r="CG8632"/>
      <c r="CH8632"/>
      <c r="CI8632"/>
    </row>
    <row r="8633" spans="83:87" x14ac:dyDescent="0.2">
      <c r="CE8633"/>
      <c r="CF8633"/>
      <c r="CG8633"/>
      <c r="CH8633"/>
      <c r="CI8633"/>
    </row>
    <row r="8634" spans="83:87" x14ac:dyDescent="0.2">
      <c r="CE8634"/>
      <c r="CF8634"/>
      <c r="CG8634"/>
      <c r="CH8634"/>
      <c r="CI8634"/>
    </row>
    <row r="8635" spans="83:87" x14ac:dyDescent="0.2">
      <c r="CE8635"/>
      <c r="CF8635"/>
      <c r="CG8635"/>
      <c r="CH8635"/>
      <c r="CI8635"/>
    </row>
    <row r="8636" spans="83:87" x14ac:dyDescent="0.2">
      <c r="CE8636"/>
      <c r="CF8636"/>
      <c r="CG8636"/>
      <c r="CH8636"/>
      <c r="CI8636"/>
    </row>
    <row r="8637" spans="83:87" x14ac:dyDescent="0.2">
      <c r="CE8637"/>
      <c r="CF8637"/>
      <c r="CG8637"/>
      <c r="CH8637"/>
      <c r="CI8637"/>
    </row>
    <row r="8638" spans="83:87" x14ac:dyDescent="0.2">
      <c r="CE8638"/>
      <c r="CF8638"/>
      <c r="CG8638"/>
      <c r="CH8638"/>
      <c r="CI8638"/>
    </row>
    <row r="8639" spans="83:87" x14ac:dyDescent="0.2">
      <c r="CE8639"/>
      <c r="CF8639"/>
      <c r="CG8639"/>
      <c r="CH8639"/>
      <c r="CI8639"/>
    </row>
    <row r="8640" spans="83:87" x14ac:dyDescent="0.2">
      <c r="CE8640"/>
      <c r="CF8640"/>
      <c r="CG8640"/>
      <c r="CH8640"/>
      <c r="CI8640"/>
    </row>
    <row r="8641" spans="83:87" x14ac:dyDescent="0.2">
      <c r="CE8641"/>
      <c r="CF8641"/>
      <c r="CG8641"/>
      <c r="CH8641"/>
      <c r="CI8641"/>
    </row>
    <row r="8642" spans="83:87" x14ac:dyDescent="0.2">
      <c r="CE8642"/>
      <c r="CF8642"/>
      <c r="CG8642"/>
      <c r="CH8642"/>
      <c r="CI8642"/>
    </row>
    <row r="8643" spans="83:87" x14ac:dyDescent="0.2">
      <c r="CE8643"/>
      <c r="CF8643"/>
      <c r="CG8643"/>
      <c r="CH8643"/>
      <c r="CI8643"/>
    </row>
    <row r="8644" spans="83:87" x14ac:dyDescent="0.2">
      <c r="CE8644"/>
      <c r="CF8644"/>
      <c r="CG8644"/>
      <c r="CH8644"/>
      <c r="CI8644"/>
    </row>
    <row r="8645" spans="83:87" x14ac:dyDescent="0.2">
      <c r="CE8645"/>
      <c r="CF8645"/>
      <c r="CG8645"/>
      <c r="CH8645"/>
      <c r="CI8645"/>
    </row>
    <row r="8646" spans="83:87" x14ac:dyDescent="0.2">
      <c r="CE8646"/>
      <c r="CF8646"/>
      <c r="CG8646"/>
      <c r="CH8646"/>
      <c r="CI8646"/>
    </row>
    <row r="8647" spans="83:87" x14ac:dyDescent="0.2">
      <c r="CE8647"/>
      <c r="CF8647"/>
      <c r="CG8647"/>
      <c r="CH8647"/>
      <c r="CI8647"/>
    </row>
    <row r="8648" spans="83:87" x14ac:dyDescent="0.2">
      <c r="CE8648"/>
      <c r="CF8648"/>
      <c r="CG8648"/>
      <c r="CH8648"/>
      <c r="CI8648"/>
    </row>
    <row r="8649" spans="83:87" x14ac:dyDescent="0.2">
      <c r="CE8649"/>
      <c r="CF8649"/>
      <c r="CG8649"/>
      <c r="CH8649"/>
      <c r="CI8649"/>
    </row>
    <row r="8650" spans="83:87" x14ac:dyDescent="0.2">
      <c r="CE8650"/>
      <c r="CF8650"/>
      <c r="CG8650"/>
      <c r="CH8650"/>
      <c r="CI8650"/>
    </row>
    <row r="8651" spans="83:87" x14ac:dyDescent="0.2">
      <c r="CE8651"/>
      <c r="CF8651"/>
      <c r="CG8651"/>
      <c r="CH8651"/>
      <c r="CI8651"/>
    </row>
    <row r="8652" spans="83:87" x14ac:dyDescent="0.2">
      <c r="CE8652"/>
      <c r="CF8652"/>
      <c r="CG8652"/>
      <c r="CH8652"/>
      <c r="CI8652"/>
    </row>
    <row r="8653" spans="83:87" x14ac:dyDescent="0.2">
      <c r="CE8653"/>
      <c r="CF8653"/>
      <c r="CG8653"/>
      <c r="CH8653"/>
      <c r="CI8653"/>
    </row>
    <row r="8654" spans="83:87" x14ac:dyDescent="0.2">
      <c r="CE8654"/>
      <c r="CF8654"/>
      <c r="CG8654"/>
      <c r="CH8654"/>
      <c r="CI8654"/>
    </row>
    <row r="8655" spans="83:87" x14ac:dyDescent="0.2">
      <c r="CE8655"/>
      <c r="CF8655"/>
      <c r="CG8655"/>
      <c r="CH8655"/>
      <c r="CI8655"/>
    </row>
    <row r="8656" spans="83:87" x14ac:dyDescent="0.2">
      <c r="CE8656"/>
      <c r="CF8656"/>
      <c r="CG8656"/>
      <c r="CH8656"/>
      <c r="CI8656"/>
    </row>
    <row r="8657" spans="83:87" x14ac:dyDescent="0.2">
      <c r="CE8657"/>
      <c r="CF8657"/>
      <c r="CG8657"/>
      <c r="CH8657"/>
      <c r="CI8657"/>
    </row>
    <row r="8658" spans="83:87" x14ac:dyDescent="0.2">
      <c r="CE8658"/>
      <c r="CF8658"/>
      <c r="CG8658"/>
      <c r="CH8658"/>
      <c r="CI8658"/>
    </row>
    <row r="8659" spans="83:87" x14ac:dyDescent="0.2">
      <c r="CE8659"/>
      <c r="CF8659"/>
      <c r="CG8659"/>
      <c r="CH8659"/>
      <c r="CI8659"/>
    </row>
    <row r="8660" spans="83:87" x14ac:dyDescent="0.2">
      <c r="CE8660"/>
      <c r="CF8660"/>
      <c r="CG8660"/>
      <c r="CH8660"/>
      <c r="CI8660"/>
    </row>
    <row r="8661" spans="83:87" x14ac:dyDescent="0.2">
      <c r="CE8661"/>
      <c r="CF8661"/>
      <c r="CG8661"/>
      <c r="CH8661"/>
      <c r="CI8661"/>
    </row>
    <row r="8662" spans="83:87" x14ac:dyDescent="0.2">
      <c r="CE8662"/>
      <c r="CF8662"/>
      <c r="CG8662"/>
      <c r="CH8662"/>
      <c r="CI8662"/>
    </row>
    <row r="8663" spans="83:87" x14ac:dyDescent="0.2">
      <c r="CE8663"/>
      <c r="CF8663"/>
      <c r="CG8663"/>
      <c r="CH8663"/>
      <c r="CI8663"/>
    </row>
    <row r="8664" spans="83:87" x14ac:dyDescent="0.2">
      <c r="CE8664"/>
      <c r="CF8664"/>
      <c r="CG8664"/>
      <c r="CH8664"/>
      <c r="CI8664"/>
    </row>
    <row r="8665" spans="83:87" x14ac:dyDescent="0.2">
      <c r="CE8665"/>
      <c r="CF8665"/>
      <c r="CG8665"/>
      <c r="CH8665"/>
      <c r="CI8665"/>
    </row>
    <row r="8666" spans="83:87" x14ac:dyDescent="0.2">
      <c r="CE8666"/>
      <c r="CF8666"/>
      <c r="CG8666"/>
      <c r="CH8666"/>
      <c r="CI8666"/>
    </row>
    <row r="8667" spans="83:87" x14ac:dyDescent="0.2">
      <c r="CE8667"/>
      <c r="CF8667"/>
      <c r="CG8667"/>
      <c r="CH8667"/>
      <c r="CI8667"/>
    </row>
    <row r="8668" spans="83:87" x14ac:dyDescent="0.2">
      <c r="CE8668"/>
      <c r="CF8668"/>
      <c r="CG8668"/>
      <c r="CH8668"/>
      <c r="CI8668"/>
    </row>
    <row r="8669" spans="83:87" x14ac:dyDescent="0.2">
      <c r="CE8669"/>
      <c r="CF8669"/>
      <c r="CG8669"/>
      <c r="CH8669"/>
      <c r="CI8669"/>
    </row>
    <row r="8670" spans="83:87" x14ac:dyDescent="0.2">
      <c r="CE8670"/>
      <c r="CF8670"/>
      <c r="CG8670"/>
      <c r="CH8670"/>
      <c r="CI8670"/>
    </row>
    <row r="8671" spans="83:87" x14ac:dyDescent="0.2">
      <c r="CE8671"/>
      <c r="CF8671"/>
      <c r="CG8671"/>
      <c r="CH8671"/>
      <c r="CI8671"/>
    </row>
    <row r="8672" spans="83:87" x14ac:dyDescent="0.2">
      <c r="CE8672"/>
      <c r="CF8672"/>
      <c r="CG8672"/>
      <c r="CH8672"/>
      <c r="CI8672"/>
    </row>
    <row r="8673" spans="83:87" x14ac:dyDescent="0.2">
      <c r="CE8673"/>
      <c r="CF8673"/>
      <c r="CG8673"/>
      <c r="CH8673"/>
      <c r="CI8673"/>
    </row>
    <row r="8674" spans="83:87" x14ac:dyDescent="0.2">
      <c r="CE8674"/>
      <c r="CF8674"/>
      <c r="CG8674"/>
      <c r="CH8674"/>
      <c r="CI8674"/>
    </row>
    <row r="8675" spans="83:87" x14ac:dyDescent="0.2">
      <c r="CE8675"/>
      <c r="CF8675"/>
      <c r="CG8675"/>
      <c r="CH8675"/>
      <c r="CI8675"/>
    </row>
    <row r="8676" spans="83:87" x14ac:dyDescent="0.2">
      <c r="CE8676"/>
      <c r="CF8676"/>
      <c r="CG8676"/>
      <c r="CH8676"/>
      <c r="CI8676"/>
    </row>
    <row r="8677" spans="83:87" x14ac:dyDescent="0.2">
      <c r="CE8677"/>
      <c r="CF8677"/>
      <c r="CG8677"/>
      <c r="CH8677"/>
      <c r="CI8677"/>
    </row>
    <row r="8678" spans="83:87" x14ac:dyDescent="0.2">
      <c r="CE8678"/>
      <c r="CF8678"/>
      <c r="CG8678"/>
      <c r="CH8678"/>
      <c r="CI8678"/>
    </row>
    <row r="8679" spans="83:87" x14ac:dyDescent="0.2">
      <c r="CE8679"/>
      <c r="CF8679"/>
      <c r="CG8679"/>
      <c r="CH8679"/>
      <c r="CI8679"/>
    </row>
    <row r="8680" spans="83:87" x14ac:dyDescent="0.2">
      <c r="CE8680"/>
      <c r="CF8680"/>
      <c r="CG8680"/>
      <c r="CH8680"/>
      <c r="CI8680"/>
    </row>
    <row r="8681" spans="83:87" x14ac:dyDescent="0.2">
      <c r="CE8681"/>
      <c r="CF8681"/>
      <c r="CG8681"/>
      <c r="CH8681"/>
      <c r="CI8681"/>
    </row>
    <row r="8682" spans="83:87" x14ac:dyDescent="0.2">
      <c r="CE8682"/>
      <c r="CF8682"/>
      <c r="CG8682"/>
      <c r="CH8682"/>
      <c r="CI8682"/>
    </row>
    <row r="8683" spans="83:87" x14ac:dyDescent="0.2">
      <c r="CE8683"/>
      <c r="CF8683"/>
      <c r="CG8683"/>
      <c r="CH8683"/>
      <c r="CI8683"/>
    </row>
    <row r="8684" spans="83:87" x14ac:dyDescent="0.2">
      <c r="CE8684"/>
      <c r="CF8684"/>
      <c r="CG8684"/>
      <c r="CH8684"/>
      <c r="CI8684"/>
    </row>
    <row r="8685" spans="83:87" x14ac:dyDescent="0.2">
      <c r="CE8685"/>
      <c r="CF8685"/>
      <c r="CG8685"/>
      <c r="CH8685"/>
      <c r="CI8685"/>
    </row>
    <row r="8686" spans="83:87" x14ac:dyDescent="0.2">
      <c r="CE8686"/>
      <c r="CF8686"/>
      <c r="CG8686"/>
      <c r="CH8686"/>
      <c r="CI8686"/>
    </row>
    <row r="8687" spans="83:87" x14ac:dyDescent="0.2">
      <c r="CE8687"/>
      <c r="CF8687"/>
      <c r="CG8687"/>
      <c r="CH8687"/>
      <c r="CI8687"/>
    </row>
    <row r="8688" spans="83:87" x14ac:dyDescent="0.2">
      <c r="CE8688"/>
      <c r="CF8688"/>
      <c r="CG8688"/>
      <c r="CH8688"/>
      <c r="CI8688"/>
    </row>
    <row r="8689" spans="83:87" x14ac:dyDescent="0.2">
      <c r="CE8689"/>
      <c r="CF8689"/>
      <c r="CG8689"/>
      <c r="CH8689"/>
      <c r="CI8689"/>
    </row>
    <row r="8690" spans="83:87" x14ac:dyDescent="0.2">
      <c r="CE8690"/>
      <c r="CF8690"/>
      <c r="CG8690"/>
      <c r="CH8690"/>
      <c r="CI8690"/>
    </row>
    <row r="8691" spans="83:87" x14ac:dyDescent="0.2">
      <c r="CE8691"/>
      <c r="CF8691"/>
      <c r="CG8691"/>
      <c r="CH8691"/>
      <c r="CI8691"/>
    </row>
    <row r="8692" spans="83:87" x14ac:dyDescent="0.2">
      <c r="CE8692"/>
      <c r="CF8692"/>
      <c r="CG8692"/>
      <c r="CH8692"/>
      <c r="CI8692"/>
    </row>
    <row r="8693" spans="83:87" x14ac:dyDescent="0.2">
      <c r="CE8693"/>
      <c r="CF8693"/>
      <c r="CG8693"/>
      <c r="CH8693"/>
      <c r="CI8693"/>
    </row>
    <row r="8694" spans="83:87" x14ac:dyDescent="0.2">
      <c r="CE8694"/>
      <c r="CF8694"/>
      <c r="CG8694"/>
      <c r="CH8694"/>
      <c r="CI8694"/>
    </row>
    <row r="8695" spans="83:87" x14ac:dyDescent="0.2">
      <c r="CE8695"/>
      <c r="CF8695"/>
      <c r="CG8695"/>
      <c r="CH8695"/>
      <c r="CI8695"/>
    </row>
    <row r="8696" spans="83:87" x14ac:dyDescent="0.2">
      <c r="CE8696"/>
      <c r="CF8696"/>
      <c r="CG8696"/>
      <c r="CH8696"/>
      <c r="CI8696"/>
    </row>
    <row r="8697" spans="83:87" x14ac:dyDescent="0.2">
      <c r="CE8697"/>
      <c r="CF8697"/>
      <c r="CG8697"/>
      <c r="CH8697"/>
      <c r="CI8697"/>
    </row>
    <row r="8698" spans="83:87" x14ac:dyDescent="0.2">
      <c r="CE8698"/>
      <c r="CF8698"/>
      <c r="CG8698"/>
      <c r="CH8698"/>
      <c r="CI8698"/>
    </row>
    <row r="8699" spans="83:87" x14ac:dyDescent="0.2">
      <c r="CE8699"/>
      <c r="CF8699"/>
      <c r="CG8699"/>
      <c r="CH8699"/>
      <c r="CI8699"/>
    </row>
    <row r="8700" spans="83:87" x14ac:dyDescent="0.2">
      <c r="CE8700"/>
      <c r="CF8700"/>
      <c r="CG8700"/>
      <c r="CH8700"/>
      <c r="CI8700"/>
    </row>
    <row r="8701" spans="83:87" x14ac:dyDescent="0.2">
      <c r="CE8701"/>
      <c r="CF8701"/>
      <c r="CG8701"/>
      <c r="CH8701"/>
      <c r="CI8701"/>
    </row>
    <row r="8702" spans="83:87" x14ac:dyDescent="0.2">
      <c r="CE8702"/>
      <c r="CF8702"/>
      <c r="CG8702"/>
      <c r="CH8702"/>
      <c r="CI8702"/>
    </row>
    <row r="8703" spans="83:87" x14ac:dyDescent="0.2">
      <c r="CE8703"/>
      <c r="CF8703"/>
      <c r="CG8703"/>
      <c r="CH8703"/>
      <c r="CI8703"/>
    </row>
    <row r="8704" spans="83:87" x14ac:dyDescent="0.2">
      <c r="CE8704"/>
      <c r="CF8704"/>
      <c r="CG8704"/>
      <c r="CH8704"/>
      <c r="CI8704"/>
    </row>
    <row r="8705" spans="83:87" x14ac:dyDescent="0.2">
      <c r="CE8705"/>
      <c r="CF8705"/>
      <c r="CG8705"/>
      <c r="CH8705"/>
      <c r="CI8705"/>
    </row>
    <row r="8706" spans="83:87" x14ac:dyDescent="0.2">
      <c r="CE8706"/>
      <c r="CF8706"/>
      <c r="CG8706"/>
      <c r="CH8706"/>
      <c r="CI8706"/>
    </row>
    <row r="8707" spans="83:87" x14ac:dyDescent="0.2">
      <c r="CE8707"/>
      <c r="CF8707"/>
      <c r="CG8707"/>
      <c r="CH8707"/>
      <c r="CI8707"/>
    </row>
    <row r="8708" spans="83:87" x14ac:dyDescent="0.2">
      <c r="CE8708"/>
      <c r="CF8708"/>
      <c r="CG8708"/>
      <c r="CH8708"/>
      <c r="CI8708"/>
    </row>
    <row r="8709" spans="83:87" x14ac:dyDescent="0.2">
      <c r="CE8709"/>
      <c r="CF8709"/>
      <c r="CG8709"/>
      <c r="CH8709"/>
      <c r="CI8709"/>
    </row>
    <row r="8710" spans="83:87" x14ac:dyDescent="0.2">
      <c r="CE8710"/>
      <c r="CF8710"/>
      <c r="CG8710"/>
      <c r="CH8710"/>
      <c r="CI8710"/>
    </row>
    <row r="8711" spans="83:87" x14ac:dyDescent="0.2">
      <c r="CE8711"/>
      <c r="CF8711"/>
      <c r="CG8711"/>
      <c r="CH8711"/>
      <c r="CI8711"/>
    </row>
    <row r="8712" spans="83:87" x14ac:dyDescent="0.2">
      <c r="CE8712"/>
      <c r="CF8712"/>
      <c r="CG8712"/>
      <c r="CH8712"/>
      <c r="CI8712"/>
    </row>
    <row r="8713" spans="83:87" x14ac:dyDescent="0.2">
      <c r="CE8713"/>
      <c r="CF8713"/>
      <c r="CG8713"/>
      <c r="CH8713"/>
      <c r="CI8713"/>
    </row>
    <row r="8714" spans="83:87" x14ac:dyDescent="0.2">
      <c r="CE8714"/>
      <c r="CF8714"/>
      <c r="CG8714"/>
      <c r="CH8714"/>
      <c r="CI8714"/>
    </row>
    <row r="8715" spans="83:87" x14ac:dyDescent="0.2">
      <c r="CE8715"/>
      <c r="CF8715"/>
      <c r="CG8715"/>
      <c r="CH8715"/>
      <c r="CI8715"/>
    </row>
    <row r="8716" spans="83:87" x14ac:dyDescent="0.2">
      <c r="CE8716"/>
      <c r="CF8716"/>
      <c r="CG8716"/>
      <c r="CH8716"/>
      <c r="CI8716"/>
    </row>
    <row r="8717" spans="83:87" x14ac:dyDescent="0.2">
      <c r="CE8717"/>
      <c r="CF8717"/>
      <c r="CG8717"/>
      <c r="CH8717"/>
      <c r="CI8717"/>
    </row>
    <row r="8718" spans="83:87" x14ac:dyDescent="0.2">
      <c r="CE8718"/>
      <c r="CF8718"/>
      <c r="CG8718"/>
      <c r="CH8718"/>
      <c r="CI8718"/>
    </row>
    <row r="8719" spans="83:87" x14ac:dyDescent="0.2">
      <c r="CE8719"/>
      <c r="CF8719"/>
      <c r="CG8719"/>
      <c r="CH8719"/>
      <c r="CI8719"/>
    </row>
    <row r="8720" spans="83:87" x14ac:dyDescent="0.2">
      <c r="CE8720"/>
      <c r="CF8720"/>
      <c r="CG8720"/>
      <c r="CH8720"/>
      <c r="CI8720"/>
    </row>
    <row r="8721" spans="83:87" x14ac:dyDescent="0.2">
      <c r="CE8721"/>
      <c r="CF8721"/>
      <c r="CG8721"/>
      <c r="CH8721"/>
      <c r="CI8721"/>
    </row>
    <row r="8722" spans="83:87" x14ac:dyDescent="0.2">
      <c r="CE8722"/>
      <c r="CF8722"/>
      <c r="CG8722"/>
      <c r="CH8722"/>
      <c r="CI8722"/>
    </row>
    <row r="8723" spans="83:87" x14ac:dyDescent="0.2">
      <c r="CE8723"/>
      <c r="CF8723"/>
      <c r="CG8723"/>
      <c r="CH8723"/>
      <c r="CI8723"/>
    </row>
    <row r="8724" spans="83:87" x14ac:dyDescent="0.2">
      <c r="CE8724"/>
      <c r="CF8724"/>
      <c r="CG8724"/>
      <c r="CH8724"/>
      <c r="CI8724"/>
    </row>
    <row r="8725" spans="83:87" x14ac:dyDescent="0.2">
      <c r="CE8725"/>
      <c r="CF8725"/>
      <c r="CG8725"/>
      <c r="CH8725"/>
      <c r="CI8725"/>
    </row>
    <row r="8726" spans="83:87" x14ac:dyDescent="0.2">
      <c r="CE8726"/>
      <c r="CF8726"/>
      <c r="CG8726"/>
      <c r="CH8726"/>
      <c r="CI8726"/>
    </row>
    <row r="8727" spans="83:87" x14ac:dyDescent="0.2">
      <c r="CE8727"/>
      <c r="CF8727"/>
      <c r="CG8727"/>
      <c r="CH8727"/>
      <c r="CI8727"/>
    </row>
    <row r="8728" spans="83:87" x14ac:dyDescent="0.2">
      <c r="CE8728"/>
      <c r="CF8728"/>
      <c r="CG8728"/>
      <c r="CH8728"/>
      <c r="CI8728"/>
    </row>
    <row r="8729" spans="83:87" x14ac:dyDescent="0.2">
      <c r="CE8729"/>
      <c r="CF8729"/>
      <c r="CG8729"/>
      <c r="CH8729"/>
      <c r="CI8729"/>
    </row>
    <row r="8730" spans="83:87" x14ac:dyDescent="0.2">
      <c r="CE8730"/>
      <c r="CF8730"/>
      <c r="CG8730"/>
      <c r="CH8730"/>
      <c r="CI8730"/>
    </row>
    <row r="8731" spans="83:87" x14ac:dyDescent="0.2">
      <c r="CE8731"/>
      <c r="CF8731"/>
      <c r="CG8731"/>
      <c r="CH8731"/>
      <c r="CI8731"/>
    </row>
    <row r="8732" spans="83:87" x14ac:dyDescent="0.2">
      <c r="CE8732"/>
      <c r="CF8732"/>
      <c r="CG8732"/>
      <c r="CH8732"/>
      <c r="CI8732"/>
    </row>
    <row r="8733" spans="83:87" x14ac:dyDescent="0.2">
      <c r="CE8733"/>
      <c r="CF8733"/>
      <c r="CG8733"/>
      <c r="CH8733"/>
      <c r="CI8733"/>
    </row>
    <row r="8734" spans="83:87" x14ac:dyDescent="0.2">
      <c r="CE8734"/>
      <c r="CF8734"/>
      <c r="CG8734"/>
      <c r="CH8734"/>
      <c r="CI8734"/>
    </row>
    <row r="8735" spans="83:87" x14ac:dyDescent="0.2">
      <c r="CE8735"/>
      <c r="CF8735"/>
      <c r="CG8735"/>
      <c r="CH8735"/>
      <c r="CI8735"/>
    </row>
    <row r="8736" spans="83:87" x14ac:dyDescent="0.2">
      <c r="CE8736"/>
      <c r="CF8736"/>
      <c r="CG8736"/>
      <c r="CH8736"/>
      <c r="CI8736"/>
    </row>
    <row r="8737" spans="83:87" x14ac:dyDescent="0.2">
      <c r="CE8737"/>
      <c r="CF8737"/>
      <c r="CG8737"/>
      <c r="CH8737"/>
      <c r="CI8737"/>
    </row>
    <row r="8738" spans="83:87" x14ac:dyDescent="0.2">
      <c r="CE8738"/>
      <c r="CF8738"/>
      <c r="CG8738"/>
      <c r="CH8738"/>
      <c r="CI8738"/>
    </row>
    <row r="8739" spans="83:87" x14ac:dyDescent="0.2">
      <c r="CE8739"/>
      <c r="CF8739"/>
      <c r="CG8739"/>
      <c r="CH8739"/>
      <c r="CI8739"/>
    </row>
    <row r="8740" spans="83:87" x14ac:dyDescent="0.2">
      <c r="CE8740"/>
      <c r="CF8740"/>
      <c r="CG8740"/>
      <c r="CH8740"/>
      <c r="CI8740"/>
    </row>
    <row r="8741" spans="83:87" x14ac:dyDescent="0.2">
      <c r="CE8741"/>
      <c r="CF8741"/>
      <c r="CG8741"/>
      <c r="CH8741"/>
      <c r="CI8741"/>
    </row>
    <row r="8742" spans="83:87" x14ac:dyDescent="0.2">
      <c r="CE8742"/>
      <c r="CF8742"/>
      <c r="CG8742"/>
      <c r="CH8742"/>
      <c r="CI8742"/>
    </row>
    <row r="8743" spans="83:87" x14ac:dyDescent="0.2">
      <c r="CE8743"/>
      <c r="CF8743"/>
      <c r="CG8743"/>
      <c r="CH8743"/>
      <c r="CI8743"/>
    </row>
    <row r="8744" spans="83:87" x14ac:dyDescent="0.2">
      <c r="CE8744"/>
      <c r="CF8744"/>
      <c r="CG8744"/>
      <c r="CH8744"/>
      <c r="CI8744"/>
    </row>
    <row r="8745" spans="83:87" x14ac:dyDescent="0.2">
      <c r="CE8745"/>
      <c r="CF8745"/>
      <c r="CG8745"/>
      <c r="CH8745"/>
      <c r="CI8745"/>
    </row>
    <row r="8746" spans="83:87" x14ac:dyDescent="0.2">
      <c r="CE8746"/>
      <c r="CF8746"/>
      <c r="CG8746"/>
      <c r="CH8746"/>
      <c r="CI8746"/>
    </row>
    <row r="8747" spans="83:87" x14ac:dyDescent="0.2">
      <c r="CE8747"/>
      <c r="CF8747"/>
      <c r="CG8747"/>
      <c r="CH8747"/>
      <c r="CI8747"/>
    </row>
    <row r="8748" spans="83:87" x14ac:dyDescent="0.2">
      <c r="CE8748"/>
      <c r="CF8748"/>
      <c r="CG8748"/>
      <c r="CH8748"/>
      <c r="CI8748"/>
    </row>
    <row r="8749" spans="83:87" x14ac:dyDescent="0.2">
      <c r="CE8749"/>
      <c r="CF8749"/>
      <c r="CG8749"/>
      <c r="CH8749"/>
      <c r="CI8749"/>
    </row>
    <row r="8750" spans="83:87" x14ac:dyDescent="0.2">
      <c r="CE8750"/>
      <c r="CF8750"/>
      <c r="CG8750"/>
      <c r="CH8750"/>
      <c r="CI8750"/>
    </row>
    <row r="8751" spans="83:87" x14ac:dyDescent="0.2">
      <c r="CE8751"/>
      <c r="CF8751"/>
      <c r="CG8751"/>
      <c r="CH8751"/>
      <c r="CI8751"/>
    </row>
    <row r="8752" spans="83:87" x14ac:dyDescent="0.2">
      <c r="CE8752"/>
      <c r="CF8752"/>
      <c r="CG8752"/>
      <c r="CH8752"/>
      <c r="CI8752"/>
    </row>
    <row r="8753" spans="83:87" x14ac:dyDescent="0.2">
      <c r="CE8753"/>
      <c r="CF8753"/>
      <c r="CG8753"/>
      <c r="CH8753"/>
      <c r="CI8753"/>
    </row>
    <row r="8754" spans="83:87" x14ac:dyDescent="0.2">
      <c r="CE8754"/>
      <c r="CF8754"/>
      <c r="CG8754"/>
      <c r="CH8754"/>
      <c r="CI8754"/>
    </row>
    <row r="8755" spans="83:87" x14ac:dyDescent="0.2">
      <c r="CE8755"/>
      <c r="CF8755"/>
      <c r="CG8755"/>
      <c r="CH8755"/>
      <c r="CI8755"/>
    </row>
    <row r="8756" spans="83:87" x14ac:dyDescent="0.2">
      <c r="CE8756"/>
      <c r="CF8756"/>
      <c r="CG8756"/>
      <c r="CH8756"/>
      <c r="CI8756"/>
    </row>
    <row r="8757" spans="83:87" x14ac:dyDescent="0.2">
      <c r="CE8757"/>
      <c r="CF8757"/>
      <c r="CG8757"/>
      <c r="CH8757"/>
      <c r="CI8757"/>
    </row>
    <row r="8758" spans="83:87" x14ac:dyDescent="0.2">
      <c r="CE8758"/>
      <c r="CF8758"/>
      <c r="CG8758"/>
      <c r="CH8758"/>
      <c r="CI8758"/>
    </row>
    <row r="8759" spans="83:87" x14ac:dyDescent="0.2">
      <c r="CE8759"/>
      <c r="CF8759"/>
      <c r="CG8759"/>
      <c r="CH8759"/>
      <c r="CI8759"/>
    </row>
    <row r="8760" spans="83:87" x14ac:dyDescent="0.2">
      <c r="CE8760"/>
      <c r="CF8760"/>
      <c r="CG8760"/>
      <c r="CH8760"/>
      <c r="CI8760"/>
    </row>
    <row r="8761" spans="83:87" x14ac:dyDescent="0.2">
      <c r="CE8761"/>
      <c r="CF8761"/>
      <c r="CG8761"/>
      <c r="CH8761"/>
      <c r="CI8761"/>
    </row>
    <row r="8762" spans="83:87" x14ac:dyDescent="0.2">
      <c r="CE8762"/>
      <c r="CF8762"/>
      <c r="CG8762"/>
      <c r="CH8762"/>
      <c r="CI8762"/>
    </row>
    <row r="8763" spans="83:87" x14ac:dyDescent="0.2">
      <c r="CE8763"/>
      <c r="CF8763"/>
      <c r="CG8763"/>
      <c r="CH8763"/>
      <c r="CI8763"/>
    </row>
    <row r="8764" spans="83:87" x14ac:dyDescent="0.2">
      <c r="CE8764"/>
      <c r="CF8764"/>
      <c r="CG8764"/>
      <c r="CH8764"/>
      <c r="CI8764"/>
    </row>
    <row r="8765" spans="83:87" x14ac:dyDescent="0.2">
      <c r="CE8765"/>
      <c r="CF8765"/>
      <c r="CG8765"/>
      <c r="CH8765"/>
      <c r="CI8765"/>
    </row>
    <row r="8766" spans="83:87" x14ac:dyDescent="0.2">
      <c r="CE8766"/>
      <c r="CF8766"/>
      <c r="CG8766"/>
      <c r="CH8766"/>
      <c r="CI8766"/>
    </row>
    <row r="8767" spans="83:87" x14ac:dyDescent="0.2">
      <c r="CE8767"/>
      <c r="CF8767"/>
      <c r="CG8767"/>
      <c r="CH8767"/>
      <c r="CI8767"/>
    </row>
    <row r="8768" spans="83:87" x14ac:dyDescent="0.2">
      <c r="CE8768"/>
      <c r="CF8768"/>
      <c r="CG8768"/>
      <c r="CH8768"/>
      <c r="CI8768"/>
    </row>
    <row r="8769" spans="83:87" x14ac:dyDescent="0.2">
      <c r="CE8769"/>
      <c r="CF8769"/>
      <c r="CG8769"/>
      <c r="CH8769"/>
      <c r="CI8769"/>
    </row>
    <row r="8770" spans="83:87" x14ac:dyDescent="0.2">
      <c r="CE8770"/>
      <c r="CF8770"/>
      <c r="CG8770"/>
      <c r="CH8770"/>
      <c r="CI8770"/>
    </row>
    <row r="8771" spans="83:87" x14ac:dyDescent="0.2">
      <c r="CE8771"/>
      <c r="CF8771"/>
      <c r="CG8771"/>
      <c r="CH8771"/>
      <c r="CI8771"/>
    </row>
    <row r="8772" spans="83:87" x14ac:dyDescent="0.2">
      <c r="CE8772"/>
      <c r="CF8772"/>
      <c r="CG8772"/>
      <c r="CH8772"/>
      <c r="CI8772"/>
    </row>
    <row r="8773" spans="83:87" x14ac:dyDescent="0.2">
      <c r="CE8773"/>
      <c r="CF8773"/>
      <c r="CG8773"/>
      <c r="CH8773"/>
      <c r="CI8773"/>
    </row>
    <row r="8774" spans="83:87" x14ac:dyDescent="0.2">
      <c r="CE8774"/>
      <c r="CF8774"/>
      <c r="CG8774"/>
      <c r="CH8774"/>
      <c r="CI8774"/>
    </row>
    <row r="8775" spans="83:87" x14ac:dyDescent="0.2">
      <c r="CE8775"/>
      <c r="CF8775"/>
      <c r="CG8775"/>
      <c r="CH8775"/>
      <c r="CI8775"/>
    </row>
    <row r="8776" spans="83:87" x14ac:dyDescent="0.2">
      <c r="CE8776"/>
      <c r="CF8776"/>
      <c r="CG8776"/>
      <c r="CH8776"/>
      <c r="CI8776"/>
    </row>
    <row r="8777" spans="83:87" x14ac:dyDescent="0.2">
      <c r="CE8777"/>
      <c r="CF8777"/>
      <c r="CG8777"/>
      <c r="CH8777"/>
      <c r="CI8777"/>
    </row>
    <row r="8778" spans="83:87" x14ac:dyDescent="0.2">
      <c r="CE8778"/>
      <c r="CF8778"/>
      <c r="CG8778"/>
      <c r="CH8778"/>
      <c r="CI8778"/>
    </row>
    <row r="8779" spans="83:87" x14ac:dyDescent="0.2">
      <c r="CE8779"/>
      <c r="CF8779"/>
      <c r="CG8779"/>
      <c r="CH8779"/>
      <c r="CI8779"/>
    </row>
    <row r="8780" spans="83:87" x14ac:dyDescent="0.2">
      <c r="CE8780"/>
      <c r="CF8780"/>
      <c r="CG8780"/>
      <c r="CH8780"/>
      <c r="CI8780"/>
    </row>
    <row r="8781" spans="83:87" x14ac:dyDescent="0.2">
      <c r="CE8781"/>
      <c r="CF8781"/>
      <c r="CG8781"/>
      <c r="CH8781"/>
      <c r="CI8781"/>
    </row>
    <row r="8782" spans="83:87" x14ac:dyDescent="0.2">
      <c r="CE8782"/>
      <c r="CF8782"/>
      <c r="CG8782"/>
      <c r="CH8782"/>
      <c r="CI8782"/>
    </row>
    <row r="8783" spans="83:87" x14ac:dyDescent="0.2">
      <c r="CE8783"/>
      <c r="CF8783"/>
      <c r="CG8783"/>
      <c r="CH8783"/>
      <c r="CI8783"/>
    </row>
    <row r="8784" spans="83:87" x14ac:dyDescent="0.2">
      <c r="CE8784"/>
      <c r="CF8784"/>
      <c r="CG8784"/>
      <c r="CH8784"/>
      <c r="CI8784"/>
    </row>
    <row r="8785" spans="83:87" x14ac:dyDescent="0.2">
      <c r="CE8785"/>
      <c r="CF8785"/>
      <c r="CG8785"/>
      <c r="CH8785"/>
      <c r="CI8785"/>
    </row>
    <row r="8786" spans="83:87" x14ac:dyDescent="0.2">
      <c r="CE8786"/>
      <c r="CF8786"/>
      <c r="CG8786"/>
      <c r="CH8786"/>
      <c r="CI8786"/>
    </row>
    <row r="8787" spans="83:87" x14ac:dyDescent="0.2">
      <c r="CE8787"/>
      <c r="CF8787"/>
      <c r="CG8787"/>
      <c r="CH8787"/>
      <c r="CI8787"/>
    </row>
    <row r="8788" spans="83:87" x14ac:dyDescent="0.2">
      <c r="CE8788"/>
      <c r="CF8788"/>
      <c r="CG8788"/>
      <c r="CH8788"/>
      <c r="CI8788"/>
    </row>
    <row r="8789" spans="83:87" x14ac:dyDescent="0.2">
      <c r="CE8789"/>
      <c r="CF8789"/>
      <c r="CG8789"/>
      <c r="CH8789"/>
      <c r="CI8789"/>
    </row>
    <row r="8790" spans="83:87" x14ac:dyDescent="0.2">
      <c r="CE8790"/>
      <c r="CF8790"/>
      <c r="CG8790"/>
      <c r="CH8790"/>
      <c r="CI8790"/>
    </row>
    <row r="8791" spans="83:87" x14ac:dyDescent="0.2">
      <c r="CE8791"/>
      <c r="CF8791"/>
      <c r="CG8791"/>
      <c r="CH8791"/>
      <c r="CI8791"/>
    </row>
    <row r="8792" spans="83:87" x14ac:dyDescent="0.2">
      <c r="CE8792"/>
      <c r="CF8792"/>
      <c r="CG8792"/>
      <c r="CH8792"/>
      <c r="CI8792"/>
    </row>
    <row r="8793" spans="83:87" x14ac:dyDescent="0.2">
      <c r="CE8793"/>
      <c r="CF8793"/>
      <c r="CG8793"/>
      <c r="CH8793"/>
      <c r="CI8793"/>
    </row>
    <row r="8794" spans="83:87" x14ac:dyDescent="0.2">
      <c r="CE8794"/>
      <c r="CF8794"/>
      <c r="CG8794"/>
      <c r="CH8794"/>
      <c r="CI8794"/>
    </row>
    <row r="8795" spans="83:87" x14ac:dyDescent="0.2">
      <c r="CE8795"/>
      <c r="CF8795"/>
      <c r="CG8795"/>
      <c r="CH8795"/>
      <c r="CI8795"/>
    </row>
    <row r="8796" spans="83:87" x14ac:dyDescent="0.2">
      <c r="CE8796"/>
      <c r="CF8796"/>
      <c r="CG8796"/>
      <c r="CH8796"/>
      <c r="CI8796"/>
    </row>
    <row r="8797" spans="83:87" x14ac:dyDescent="0.2">
      <c r="CE8797"/>
      <c r="CF8797"/>
      <c r="CG8797"/>
      <c r="CH8797"/>
      <c r="CI8797"/>
    </row>
    <row r="8798" spans="83:87" x14ac:dyDescent="0.2">
      <c r="CE8798"/>
      <c r="CF8798"/>
      <c r="CG8798"/>
      <c r="CH8798"/>
      <c r="CI8798"/>
    </row>
    <row r="8799" spans="83:87" x14ac:dyDescent="0.2">
      <c r="CE8799"/>
      <c r="CF8799"/>
      <c r="CG8799"/>
      <c r="CH8799"/>
      <c r="CI8799"/>
    </row>
    <row r="8800" spans="83:87" x14ac:dyDescent="0.2">
      <c r="CE8800"/>
      <c r="CF8800"/>
      <c r="CG8800"/>
      <c r="CH8800"/>
      <c r="CI8800"/>
    </row>
    <row r="8801" spans="83:87" x14ac:dyDescent="0.2">
      <c r="CE8801"/>
      <c r="CF8801"/>
      <c r="CG8801"/>
      <c r="CH8801"/>
      <c r="CI8801"/>
    </row>
    <row r="8802" spans="83:87" x14ac:dyDescent="0.2">
      <c r="CE8802"/>
      <c r="CF8802"/>
      <c r="CG8802"/>
      <c r="CH8802"/>
      <c r="CI8802"/>
    </row>
    <row r="8803" spans="83:87" x14ac:dyDescent="0.2">
      <c r="CE8803"/>
      <c r="CF8803"/>
      <c r="CG8803"/>
      <c r="CH8803"/>
      <c r="CI8803"/>
    </row>
    <row r="8804" spans="83:87" x14ac:dyDescent="0.2">
      <c r="CE8804"/>
      <c r="CF8804"/>
      <c r="CG8804"/>
      <c r="CH8804"/>
      <c r="CI8804"/>
    </row>
    <row r="8805" spans="83:87" x14ac:dyDescent="0.2">
      <c r="CE8805"/>
      <c r="CF8805"/>
      <c r="CG8805"/>
      <c r="CH8805"/>
      <c r="CI8805"/>
    </row>
    <row r="8806" spans="83:87" x14ac:dyDescent="0.2">
      <c r="CE8806"/>
      <c r="CF8806"/>
      <c r="CG8806"/>
      <c r="CH8806"/>
      <c r="CI8806"/>
    </row>
    <row r="8807" spans="83:87" x14ac:dyDescent="0.2">
      <c r="CE8807"/>
      <c r="CF8807"/>
      <c r="CG8807"/>
      <c r="CH8807"/>
      <c r="CI8807"/>
    </row>
    <row r="8808" spans="83:87" x14ac:dyDescent="0.2">
      <c r="CE8808"/>
      <c r="CF8808"/>
      <c r="CG8808"/>
      <c r="CH8808"/>
      <c r="CI8808"/>
    </row>
    <row r="8809" spans="83:87" x14ac:dyDescent="0.2">
      <c r="CE8809"/>
      <c r="CF8809"/>
      <c r="CG8809"/>
      <c r="CH8809"/>
      <c r="CI8809"/>
    </row>
    <row r="8810" spans="83:87" x14ac:dyDescent="0.2">
      <c r="CE8810"/>
      <c r="CF8810"/>
      <c r="CG8810"/>
      <c r="CH8810"/>
      <c r="CI8810"/>
    </row>
    <row r="8811" spans="83:87" x14ac:dyDescent="0.2">
      <c r="CE8811"/>
      <c r="CF8811"/>
      <c r="CG8811"/>
      <c r="CH8811"/>
      <c r="CI8811"/>
    </row>
    <row r="8812" spans="83:87" x14ac:dyDescent="0.2">
      <c r="CE8812"/>
      <c r="CF8812"/>
      <c r="CG8812"/>
      <c r="CH8812"/>
      <c r="CI8812"/>
    </row>
    <row r="8813" spans="83:87" x14ac:dyDescent="0.2">
      <c r="CE8813"/>
      <c r="CF8813"/>
      <c r="CG8813"/>
      <c r="CH8813"/>
      <c r="CI8813"/>
    </row>
    <row r="8814" spans="83:87" x14ac:dyDescent="0.2">
      <c r="CE8814"/>
      <c r="CF8814"/>
      <c r="CG8814"/>
      <c r="CH8814"/>
      <c r="CI8814"/>
    </row>
    <row r="8815" spans="83:87" x14ac:dyDescent="0.2">
      <c r="CE8815"/>
      <c r="CF8815"/>
      <c r="CG8815"/>
      <c r="CH8815"/>
      <c r="CI8815"/>
    </row>
    <row r="8816" spans="83:87" x14ac:dyDescent="0.2">
      <c r="CE8816"/>
      <c r="CF8816"/>
      <c r="CG8816"/>
      <c r="CH8816"/>
      <c r="CI8816"/>
    </row>
    <row r="8817" spans="83:87" x14ac:dyDescent="0.2">
      <c r="CE8817"/>
      <c r="CF8817"/>
      <c r="CG8817"/>
      <c r="CH8817"/>
      <c r="CI8817"/>
    </row>
    <row r="8818" spans="83:87" x14ac:dyDescent="0.2">
      <c r="CE8818"/>
      <c r="CF8818"/>
      <c r="CG8818"/>
      <c r="CH8818"/>
      <c r="CI8818"/>
    </row>
    <row r="8819" spans="83:87" x14ac:dyDescent="0.2">
      <c r="CE8819"/>
      <c r="CF8819"/>
      <c r="CG8819"/>
      <c r="CH8819"/>
      <c r="CI8819"/>
    </row>
    <row r="8820" spans="83:87" x14ac:dyDescent="0.2">
      <c r="CE8820"/>
      <c r="CF8820"/>
      <c r="CG8820"/>
      <c r="CH8820"/>
      <c r="CI8820"/>
    </row>
    <row r="8821" spans="83:87" x14ac:dyDescent="0.2">
      <c r="CE8821"/>
      <c r="CF8821"/>
      <c r="CG8821"/>
      <c r="CH8821"/>
      <c r="CI8821"/>
    </row>
    <row r="8822" spans="83:87" x14ac:dyDescent="0.2">
      <c r="CE8822"/>
      <c r="CF8822"/>
      <c r="CG8822"/>
      <c r="CH8822"/>
      <c r="CI8822"/>
    </row>
    <row r="8823" spans="83:87" x14ac:dyDescent="0.2">
      <c r="CE8823"/>
      <c r="CF8823"/>
      <c r="CG8823"/>
      <c r="CH8823"/>
      <c r="CI8823"/>
    </row>
    <row r="8824" spans="83:87" x14ac:dyDescent="0.2">
      <c r="CE8824"/>
      <c r="CF8824"/>
      <c r="CG8824"/>
      <c r="CH8824"/>
      <c r="CI8824"/>
    </row>
    <row r="8825" spans="83:87" x14ac:dyDescent="0.2">
      <c r="CE8825"/>
      <c r="CF8825"/>
      <c r="CG8825"/>
      <c r="CH8825"/>
      <c r="CI8825"/>
    </row>
    <row r="8826" spans="83:87" x14ac:dyDescent="0.2">
      <c r="CE8826"/>
      <c r="CF8826"/>
      <c r="CG8826"/>
      <c r="CH8826"/>
      <c r="CI8826"/>
    </row>
    <row r="8827" spans="83:87" x14ac:dyDescent="0.2">
      <c r="CE8827"/>
      <c r="CF8827"/>
      <c r="CG8827"/>
      <c r="CH8827"/>
      <c r="CI8827"/>
    </row>
    <row r="8828" spans="83:87" x14ac:dyDescent="0.2">
      <c r="CE8828"/>
      <c r="CF8828"/>
      <c r="CG8828"/>
      <c r="CH8828"/>
      <c r="CI8828"/>
    </row>
    <row r="8829" spans="83:87" x14ac:dyDescent="0.2">
      <c r="CE8829"/>
      <c r="CF8829"/>
      <c r="CG8829"/>
      <c r="CH8829"/>
      <c r="CI8829"/>
    </row>
    <row r="8830" spans="83:87" x14ac:dyDescent="0.2">
      <c r="CE8830"/>
      <c r="CF8830"/>
      <c r="CG8830"/>
      <c r="CH8830"/>
      <c r="CI8830"/>
    </row>
    <row r="8831" spans="83:87" x14ac:dyDescent="0.2">
      <c r="CE8831"/>
      <c r="CF8831"/>
      <c r="CG8831"/>
      <c r="CH8831"/>
      <c r="CI8831"/>
    </row>
    <row r="8832" spans="83:87" x14ac:dyDescent="0.2">
      <c r="CE8832"/>
      <c r="CF8832"/>
      <c r="CG8832"/>
      <c r="CH8832"/>
      <c r="CI8832"/>
    </row>
    <row r="8833" spans="83:87" x14ac:dyDescent="0.2">
      <c r="CE8833"/>
      <c r="CF8833"/>
      <c r="CG8833"/>
      <c r="CH8833"/>
      <c r="CI8833"/>
    </row>
    <row r="8834" spans="83:87" x14ac:dyDescent="0.2">
      <c r="CE8834"/>
      <c r="CF8834"/>
      <c r="CG8834"/>
      <c r="CH8834"/>
      <c r="CI8834"/>
    </row>
    <row r="8835" spans="83:87" x14ac:dyDescent="0.2">
      <c r="CE8835"/>
      <c r="CF8835"/>
      <c r="CG8835"/>
      <c r="CH8835"/>
      <c r="CI8835"/>
    </row>
    <row r="8836" spans="83:87" x14ac:dyDescent="0.2">
      <c r="CE8836"/>
      <c r="CF8836"/>
      <c r="CG8836"/>
      <c r="CH8836"/>
      <c r="CI8836"/>
    </row>
    <row r="8837" spans="83:87" x14ac:dyDescent="0.2">
      <c r="CE8837"/>
      <c r="CF8837"/>
      <c r="CG8837"/>
      <c r="CH8837"/>
      <c r="CI8837"/>
    </row>
    <row r="8838" spans="83:87" x14ac:dyDescent="0.2">
      <c r="CE8838"/>
      <c r="CF8838"/>
      <c r="CG8838"/>
      <c r="CH8838"/>
      <c r="CI8838"/>
    </row>
    <row r="8839" spans="83:87" x14ac:dyDescent="0.2">
      <c r="CE8839"/>
      <c r="CF8839"/>
      <c r="CG8839"/>
      <c r="CH8839"/>
      <c r="CI8839"/>
    </row>
    <row r="8840" spans="83:87" x14ac:dyDescent="0.2">
      <c r="CE8840"/>
      <c r="CF8840"/>
      <c r="CG8840"/>
      <c r="CH8840"/>
      <c r="CI8840"/>
    </row>
    <row r="8841" spans="83:87" x14ac:dyDescent="0.2">
      <c r="CE8841"/>
      <c r="CF8841"/>
      <c r="CG8841"/>
      <c r="CH8841"/>
      <c r="CI8841"/>
    </row>
    <row r="8842" spans="83:87" x14ac:dyDescent="0.2">
      <c r="CE8842"/>
      <c r="CF8842"/>
      <c r="CG8842"/>
      <c r="CH8842"/>
      <c r="CI8842"/>
    </row>
    <row r="8843" spans="83:87" x14ac:dyDescent="0.2">
      <c r="CE8843"/>
      <c r="CF8843"/>
      <c r="CG8843"/>
      <c r="CH8843"/>
      <c r="CI8843"/>
    </row>
    <row r="8844" spans="83:87" x14ac:dyDescent="0.2">
      <c r="CE8844"/>
      <c r="CF8844"/>
      <c r="CG8844"/>
      <c r="CH8844"/>
      <c r="CI8844"/>
    </row>
    <row r="8845" spans="83:87" x14ac:dyDescent="0.2">
      <c r="CE8845"/>
      <c r="CF8845"/>
      <c r="CG8845"/>
      <c r="CH8845"/>
      <c r="CI8845"/>
    </row>
    <row r="8846" spans="83:87" x14ac:dyDescent="0.2">
      <c r="CE8846"/>
      <c r="CF8846"/>
      <c r="CG8846"/>
      <c r="CH8846"/>
      <c r="CI8846"/>
    </row>
    <row r="8847" spans="83:87" x14ac:dyDescent="0.2">
      <c r="CE8847"/>
      <c r="CF8847"/>
      <c r="CG8847"/>
      <c r="CH8847"/>
      <c r="CI8847"/>
    </row>
    <row r="8848" spans="83:87" x14ac:dyDescent="0.2">
      <c r="CE8848"/>
      <c r="CF8848"/>
      <c r="CG8848"/>
      <c r="CH8848"/>
      <c r="CI8848"/>
    </row>
    <row r="8849" spans="83:87" x14ac:dyDescent="0.2">
      <c r="CE8849"/>
      <c r="CF8849"/>
      <c r="CG8849"/>
      <c r="CH8849"/>
      <c r="CI8849"/>
    </row>
    <row r="8850" spans="83:87" x14ac:dyDescent="0.2">
      <c r="CE8850"/>
      <c r="CF8850"/>
      <c r="CG8850"/>
      <c r="CH8850"/>
      <c r="CI8850"/>
    </row>
    <row r="8851" spans="83:87" x14ac:dyDescent="0.2">
      <c r="CE8851"/>
      <c r="CF8851"/>
      <c r="CG8851"/>
      <c r="CH8851"/>
      <c r="CI8851"/>
    </row>
    <row r="8852" spans="83:87" x14ac:dyDescent="0.2">
      <c r="CE8852"/>
      <c r="CF8852"/>
      <c r="CG8852"/>
      <c r="CH8852"/>
      <c r="CI8852"/>
    </row>
    <row r="8853" spans="83:87" x14ac:dyDescent="0.2">
      <c r="CE8853"/>
      <c r="CF8853"/>
      <c r="CG8853"/>
      <c r="CH8853"/>
      <c r="CI8853"/>
    </row>
    <row r="8854" spans="83:87" x14ac:dyDescent="0.2">
      <c r="CE8854"/>
      <c r="CF8854"/>
      <c r="CG8854"/>
      <c r="CH8854"/>
      <c r="CI8854"/>
    </row>
    <row r="8855" spans="83:87" x14ac:dyDescent="0.2">
      <c r="CE8855"/>
      <c r="CF8855"/>
      <c r="CG8855"/>
      <c r="CH8855"/>
      <c r="CI8855"/>
    </row>
    <row r="8856" spans="83:87" x14ac:dyDescent="0.2">
      <c r="CE8856"/>
      <c r="CF8856"/>
      <c r="CG8856"/>
      <c r="CH8856"/>
      <c r="CI8856"/>
    </row>
    <row r="8857" spans="83:87" x14ac:dyDescent="0.2">
      <c r="CE8857"/>
      <c r="CF8857"/>
      <c r="CG8857"/>
      <c r="CH8857"/>
      <c r="CI8857"/>
    </row>
    <row r="8858" spans="83:87" x14ac:dyDescent="0.2">
      <c r="CE8858"/>
      <c r="CF8858"/>
      <c r="CG8858"/>
      <c r="CH8858"/>
      <c r="CI8858"/>
    </row>
    <row r="8859" spans="83:87" x14ac:dyDescent="0.2">
      <c r="CE8859"/>
      <c r="CF8859"/>
      <c r="CG8859"/>
      <c r="CH8859"/>
      <c r="CI8859"/>
    </row>
    <row r="8860" spans="83:87" x14ac:dyDescent="0.2">
      <c r="CE8860"/>
      <c r="CF8860"/>
      <c r="CG8860"/>
      <c r="CH8860"/>
      <c r="CI8860"/>
    </row>
    <row r="8861" spans="83:87" x14ac:dyDescent="0.2">
      <c r="CE8861"/>
      <c r="CF8861"/>
      <c r="CG8861"/>
      <c r="CH8861"/>
      <c r="CI8861"/>
    </row>
    <row r="8862" spans="83:87" x14ac:dyDescent="0.2">
      <c r="CE8862"/>
      <c r="CF8862"/>
      <c r="CG8862"/>
      <c r="CH8862"/>
      <c r="CI8862"/>
    </row>
    <row r="8863" spans="83:87" x14ac:dyDescent="0.2">
      <c r="CE8863"/>
      <c r="CF8863"/>
      <c r="CG8863"/>
      <c r="CH8863"/>
      <c r="CI8863"/>
    </row>
    <row r="8864" spans="83:87" x14ac:dyDescent="0.2">
      <c r="CE8864"/>
      <c r="CF8864"/>
      <c r="CG8864"/>
      <c r="CH8864"/>
      <c r="CI8864"/>
    </row>
    <row r="8865" spans="83:87" x14ac:dyDescent="0.2">
      <c r="CE8865"/>
      <c r="CF8865"/>
      <c r="CG8865"/>
      <c r="CH8865"/>
      <c r="CI8865"/>
    </row>
    <row r="8866" spans="83:87" x14ac:dyDescent="0.2">
      <c r="CE8866"/>
      <c r="CF8866"/>
      <c r="CG8866"/>
      <c r="CH8866"/>
      <c r="CI8866"/>
    </row>
    <row r="8867" spans="83:87" x14ac:dyDescent="0.2">
      <c r="CE8867"/>
      <c r="CF8867"/>
      <c r="CG8867"/>
      <c r="CH8867"/>
      <c r="CI8867"/>
    </row>
    <row r="8868" spans="83:87" x14ac:dyDescent="0.2">
      <c r="CE8868"/>
      <c r="CF8868"/>
      <c r="CG8868"/>
      <c r="CH8868"/>
      <c r="CI8868"/>
    </row>
    <row r="8869" spans="83:87" x14ac:dyDescent="0.2">
      <c r="CE8869"/>
      <c r="CF8869"/>
      <c r="CG8869"/>
      <c r="CH8869"/>
      <c r="CI8869"/>
    </row>
    <row r="8870" spans="83:87" x14ac:dyDescent="0.2">
      <c r="CE8870"/>
      <c r="CF8870"/>
      <c r="CG8870"/>
      <c r="CH8870"/>
      <c r="CI8870"/>
    </row>
    <row r="8871" spans="83:87" x14ac:dyDescent="0.2">
      <c r="CE8871"/>
      <c r="CF8871"/>
      <c r="CG8871"/>
      <c r="CH8871"/>
      <c r="CI8871"/>
    </row>
    <row r="8872" spans="83:87" x14ac:dyDescent="0.2">
      <c r="CE8872"/>
      <c r="CF8872"/>
      <c r="CG8872"/>
      <c r="CH8872"/>
      <c r="CI8872"/>
    </row>
    <row r="8873" spans="83:87" x14ac:dyDescent="0.2">
      <c r="CE8873"/>
      <c r="CF8873"/>
      <c r="CG8873"/>
      <c r="CH8873"/>
      <c r="CI8873"/>
    </row>
    <row r="8874" spans="83:87" x14ac:dyDescent="0.2">
      <c r="CE8874"/>
      <c r="CF8874"/>
      <c r="CG8874"/>
      <c r="CH8874"/>
      <c r="CI8874"/>
    </row>
    <row r="8875" spans="83:87" x14ac:dyDescent="0.2">
      <c r="CE8875"/>
      <c r="CF8875"/>
      <c r="CG8875"/>
      <c r="CH8875"/>
      <c r="CI8875"/>
    </row>
    <row r="8876" spans="83:87" x14ac:dyDescent="0.2">
      <c r="CE8876"/>
      <c r="CF8876"/>
      <c r="CG8876"/>
      <c r="CH8876"/>
      <c r="CI8876"/>
    </row>
    <row r="8877" spans="83:87" x14ac:dyDescent="0.2">
      <c r="CE8877"/>
      <c r="CF8877"/>
      <c r="CG8877"/>
      <c r="CH8877"/>
      <c r="CI8877"/>
    </row>
    <row r="8878" spans="83:87" x14ac:dyDescent="0.2">
      <c r="CE8878"/>
      <c r="CF8878"/>
      <c r="CG8878"/>
      <c r="CH8878"/>
      <c r="CI8878"/>
    </row>
    <row r="8879" spans="83:87" x14ac:dyDescent="0.2">
      <c r="CE8879"/>
      <c r="CF8879"/>
      <c r="CG8879"/>
      <c r="CH8879"/>
      <c r="CI8879"/>
    </row>
    <row r="8880" spans="83:87" x14ac:dyDescent="0.2">
      <c r="CE8880"/>
      <c r="CF8880"/>
      <c r="CG8880"/>
      <c r="CH8880"/>
      <c r="CI8880"/>
    </row>
    <row r="8881" spans="83:87" x14ac:dyDescent="0.2">
      <c r="CE8881"/>
      <c r="CF8881"/>
      <c r="CG8881"/>
      <c r="CH8881"/>
      <c r="CI8881"/>
    </row>
    <row r="8882" spans="83:87" x14ac:dyDescent="0.2">
      <c r="CE8882"/>
      <c r="CF8882"/>
      <c r="CG8882"/>
      <c r="CH8882"/>
      <c r="CI8882"/>
    </row>
    <row r="8883" spans="83:87" x14ac:dyDescent="0.2">
      <c r="CE8883"/>
      <c r="CF8883"/>
      <c r="CG8883"/>
      <c r="CH8883"/>
      <c r="CI8883"/>
    </row>
    <row r="8884" spans="83:87" x14ac:dyDescent="0.2">
      <c r="CE8884"/>
      <c r="CF8884"/>
      <c r="CG8884"/>
      <c r="CH8884"/>
      <c r="CI8884"/>
    </row>
    <row r="8885" spans="83:87" x14ac:dyDescent="0.2">
      <c r="CE8885"/>
      <c r="CF8885"/>
      <c r="CG8885"/>
      <c r="CH8885"/>
      <c r="CI8885"/>
    </row>
    <row r="8886" spans="83:87" x14ac:dyDescent="0.2">
      <c r="CE8886"/>
      <c r="CF8886"/>
      <c r="CG8886"/>
      <c r="CH8886"/>
      <c r="CI8886"/>
    </row>
    <row r="8887" spans="83:87" x14ac:dyDescent="0.2">
      <c r="CE8887"/>
      <c r="CF8887"/>
      <c r="CG8887"/>
      <c r="CH8887"/>
      <c r="CI8887"/>
    </row>
    <row r="8888" spans="83:87" x14ac:dyDescent="0.2">
      <c r="CE8888"/>
      <c r="CF8888"/>
      <c r="CG8888"/>
      <c r="CH8888"/>
      <c r="CI8888"/>
    </row>
    <row r="8889" spans="83:87" x14ac:dyDescent="0.2">
      <c r="CE8889"/>
      <c r="CF8889"/>
      <c r="CG8889"/>
      <c r="CH8889"/>
      <c r="CI8889"/>
    </row>
    <row r="8890" spans="83:87" x14ac:dyDescent="0.2">
      <c r="CE8890"/>
      <c r="CF8890"/>
      <c r="CG8890"/>
      <c r="CH8890"/>
      <c r="CI8890"/>
    </row>
    <row r="8891" spans="83:87" x14ac:dyDescent="0.2">
      <c r="CE8891"/>
      <c r="CF8891"/>
      <c r="CG8891"/>
      <c r="CH8891"/>
      <c r="CI8891"/>
    </row>
    <row r="8892" spans="83:87" x14ac:dyDescent="0.2">
      <c r="CE8892"/>
      <c r="CF8892"/>
      <c r="CG8892"/>
      <c r="CH8892"/>
      <c r="CI8892"/>
    </row>
    <row r="8893" spans="83:87" x14ac:dyDescent="0.2">
      <c r="CE8893"/>
      <c r="CF8893"/>
      <c r="CG8893"/>
      <c r="CH8893"/>
      <c r="CI8893"/>
    </row>
    <row r="8894" spans="83:87" x14ac:dyDescent="0.2">
      <c r="CE8894"/>
      <c r="CF8894"/>
      <c r="CG8894"/>
      <c r="CH8894"/>
      <c r="CI8894"/>
    </row>
    <row r="8895" spans="83:87" x14ac:dyDescent="0.2">
      <c r="CE8895"/>
      <c r="CF8895"/>
      <c r="CG8895"/>
      <c r="CH8895"/>
      <c r="CI8895"/>
    </row>
    <row r="8896" spans="83:87" x14ac:dyDescent="0.2">
      <c r="CE8896"/>
      <c r="CF8896"/>
      <c r="CG8896"/>
      <c r="CH8896"/>
      <c r="CI8896"/>
    </row>
    <row r="8897" spans="83:87" x14ac:dyDescent="0.2">
      <c r="CE8897"/>
      <c r="CF8897"/>
      <c r="CG8897"/>
      <c r="CH8897"/>
      <c r="CI8897"/>
    </row>
    <row r="8898" spans="83:87" x14ac:dyDescent="0.2">
      <c r="CE8898"/>
      <c r="CF8898"/>
      <c r="CG8898"/>
      <c r="CH8898"/>
      <c r="CI8898"/>
    </row>
    <row r="8899" spans="83:87" x14ac:dyDescent="0.2">
      <c r="CE8899"/>
      <c r="CF8899"/>
      <c r="CG8899"/>
      <c r="CH8899"/>
      <c r="CI8899"/>
    </row>
    <row r="8900" spans="83:87" x14ac:dyDescent="0.2">
      <c r="CE8900"/>
      <c r="CF8900"/>
      <c r="CG8900"/>
      <c r="CH8900"/>
      <c r="CI8900"/>
    </row>
    <row r="8901" spans="83:87" x14ac:dyDescent="0.2">
      <c r="CE8901"/>
      <c r="CF8901"/>
      <c r="CG8901"/>
      <c r="CH8901"/>
      <c r="CI8901"/>
    </row>
    <row r="8902" spans="83:87" x14ac:dyDescent="0.2">
      <c r="CE8902"/>
      <c r="CF8902"/>
      <c r="CG8902"/>
      <c r="CH8902"/>
      <c r="CI8902"/>
    </row>
    <row r="8903" spans="83:87" x14ac:dyDescent="0.2">
      <c r="CE8903"/>
      <c r="CF8903"/>
      <c r="CG8903"/>
      <c r="CH8903"/>
      <c r="CI8903"/>
    </row>
    <row r="8904" spans="83:87" x14ac:dyDescent="0.2">
      <c r="CE8904"/>
      <c r="CF8904"/>
      <c r="CG8904"/>
      <c r="CH8904"/>
      <c r="CI8904"/>
    </row>
    <row r="8905" spans="83:87" x14ac:dyDescent="0.2">
      <c r="CE8905"/>
      <c r="CF8905"/>
      <c r="CG8905"/>
      <c r="CH8905"/>
      <c r="CI8905"/>
    </row>
    <row r="8906" spans="83:87" x14ac:dyDescent="0.2">
      <c r="CE8906"/>
      <c r="CF8906"/>
      <c r="CG8906"/>
      <c r="CH8906"/>
      <c r="CI8906"/>
    </row>
    <row r="8907" spans="83:87" x14ac:dyDescent="0.2">
      <c r="CE8907"/>
      <c r="CF8907"/>
      <c r="CG8907"/>
      <c r="CH8907"/>
      <c r="CI8907"/>
    </row>
    <row r="8908" spans="83:87" x14ac:dyDescent="0.2">
      <c r="CE8908"/>
      <c r="CF8908"/>
      <c r="CG8908"/>
      <c r="CH8908"/>
      <c r="CI8908"/>
    </row>
    <row r="8909" spans="83:87" x14ac:dyDescent="0.2">
      <c r="CE8909"/>
      <c r="CF8909"/>
      <c r="CG8909"/>
      <c r="CH8909"/>
      <c r="CI8909"/>
    </row>
    <row r="8910" spans="83:87" x14ac:dyDescent="0.2">
      <c r="CE8910"/>
      <c r="CF8910"/>
      <c r="CG8910"/>
      <c r="CH8910"/>
      <c r="CI8910"/>
    </row>
    <row r="8911" spans="83:87" x14ac:dyDescent="0.2">
      <c r="CE8911"/>
      <c r="CF8911"/>
      <c r="CG8911"/>
      <c r="CH8911"/>
      <c r="CI8911"/>
    </row>
    <row r="8912" spans="83:87" x14ac:dyDescent="0.2">
      <c r="CE8912"/>
      <c r="CF8912"/>
      <c r="CG8912"/>
      <c r="CH8912"/>
      <c r="CI8912"/>
    </row>
    <row r="8913" spans="83:87" x14ac:dyDescent="0.2">
      <c r="CE8913"/>
      <c r="CF8913"/>
      <c r="CG8913"/>
      <c r="CH8913"/>
      <c r="CI8913"/>
    </row>
    <row r="8914" spans="83:87" x14ac:dyDescent="0.2">
      <c r="CE8914"/>
      <c r="CF8914"/>
      <c r="CG8914"/>
      <c r="CH8914"/>
      <c r="CI8914"/>
    </row>
    <row r="8915" spans="83:87" x14ac:dyDescent="0.2">
      <c r="CE8915"/>
      <c r="CF8915"/>
      <c r="CG8915"/>
      <c r="CH8915"/>
      <c r="CI8915"/>
    </row>
    <row r="8916" spans="83:87" x14ac:dyDescent="0.2">
      <c r="CE8916"/>
      <c r="CF8916"/>
      <c r="CG8916"/>
      <c r="CH8916"/>
      <c r="CI8916"/>
    </row>
    <row r="8917" spans="83:87" x14ac:dyDescent="0.2">
      <c r="CE8917"/>
      <c r="CF8917"/>
      <c r="CG8917"/>
      <c r="CH8917"/>
      <c r="CI8917"/>
    </row>
    <row r="8918" spans="83:87" x14ac:dyDescent="0.2">
      <c r="CE8918"/>
      <c r="CF8918"/>
      <c r="CG8918"/>
      <c r="CH8918"/>
      <c r="CI8918"/>
    </row>
    <row r="8919" spans="83:87" x14ac:dyDescent="0.2">
      <c r="CE8919"/>
      <c r="CF8919"/>
      <c r="CG8919"/>
      <c r="CH8919"/>
      <c r="CI8919"/>
    </row>
    <row r="8920" spans="83:87" x14ac:dyDescent="0.2">
      <c r="CE8920"/>
      <c r="CF8920"/>
      <c r="CG8920"/>
      <c r="CH8920"/>
      <c r="CI8920"/>
    </row>
    <row r="8921" spans="83:87" x14ac:dyDescent="0.2">
      <c r="CE8921"/>
      <c r="CF8921"/>
      <c r="CG8921"/>
      <c r="CH8921"/>
      <c r="CI8921"/>
    </row>
    <row r="8922" spans="83:87" x14ac:dyDescent="0.2">
      <c r="CE8922"/>
      <c r="CF8922"/>
      <c r="CG8922"/>
      <c r="CH8922"/>
      <c r="CI8922"/>
    </row>
    <row r="8923" spans="83:87" x14ac:dyDescent="0.2">
      <c r="CE8923"/>
      <c r="CF8923"/>
      <c r="CG8923"/>
      <c r="CH8923"/>
      <c r="CI8923"/>
    </row>
    <row r="8924" spans="83:87" x14ac:dyDescent="0.2">
      <c r="CE8924"/>
      <c r="CF8924"/>
      <c r="CG8924"/>
      <c r="CH8924"/>
      <c r="CI8924"/>
    </row>
    <row r="8925" spans="83:87" x14ac:dyDescent="0.2">
      <c r="CE8925"/>
      <c r="CF8925"/>
      <c r="CG8925"/>
      <c r="CH8925"/>
      <c r="CI8925"/>
    </row>
    <row r="8926" spans="83:87" x14ac:dyDescent="0.2">
      <c r="CE8926"/>
      <c r="CF8926"/>
      <c r="CG8926"/>
      <c r="CH8926"/>
      <c r="CI8926"/>
    </row>
    <row r="8927" spans="83:87" x14ac:dyDescent="0.2">
      <c r="CE8927"/>
      <c r="CF8927"/>
      <c r="CG8927"/>
      <c r="CH8927"/>
      <c r="CI8927"/>
    </row>
    <row r="8928" spans="83:87" x14ac:dyDescent="0.2">
      <c r="CE8928"/>
      <c r="CF8928"/>
      <c r="CG8928"/>
      <c r="CH8928"/>
      <c r="CI8928"/>
    </row>
    <row r="8929" spans="83:87" x14ac:dyDescent="0.2">
      <c r="CE8929"/>
      <c r="CF8929"/>
      <c r="CG8929"/>
      <c r="CH8929"/>
      <c r="CI8929"/>
    </row>
    <row r="8930" spans="83:87" x14ac:dyDescent="0.2">
      <c r="CE8930"/>
      <c r="CF8930"/>
      <c r="CG8930"/>
      <c r="CH8930"/>
      <c r="CI8930"/>
    </row>
    <row r="8931" spans="83:87" x14ac:dyDescent="0.2">
      <c r="CE8931"/>
      <c r="CF8931"/>
      <c r="CG8931"/>
      <c r="CH8931"/>
      <c r="CI8931"/>
    </row>
    <row r="8932" spans="83:87" x14ac:dyDescent="0.2">
      <c r="CE8932"/>
      <c r="CF8932"/>
      <c r="CG8932"/>
      <c r="CH8932"/>
      <c r="CI8932"/>
    </row>
    <row r="8933" spans="83:87" x14ac:dyDescent="0.2">
      <c r="CE8933"/>
      <c r="CF8933"/>
      <c r="CG8933"/>
      <c r="CH8933"/>
      <c r="CI8933"/>
    </row>
    <row r="8934" spans="83:87" x14ac:dyDescent="0.2">
      <c r="CE8934"/>
      <c r="CF8934"/>
      <c r="CG8934"/>
      <c r="CH8934"/>
      <c r="CI8934"/>
    </row>
    <row r="8935" spans="83:87" x14ac:dyDescent="0.2">
      <c r="CE8935"/>
      <c r="CF8935"/>
      <c r="CG8935"/>
      <c r="CH8935"/>
      <c r="CI8935"/>
    </row>
    <row r="8936" spans="83:87" x14ac:dyDescent="0.2">
      <c r="CE8936"/>
      <c r="CF8936"/>
      <c r="CG8936"/>
      <c r="CH8936"/>
      <c r="CI8936"/>
    </row>
    <row r="8937" spans="83:87" x14ac:dyDescent="0.2">
      <c r="CE8937"/>
      <c r="CF8937"/>
      <c r="CG8937"/>
      <c r="CH8937"/>
      <c r="CI8937"/>
    </row>
    <row r="8938" spans="83:87" x14ac:dyDescent="0.2">
      <c r="CE8938"/>
      <c r="CF8938"/>
      <c r="CG8938"/>
      <c r="CH8938"/>
      <c r="CI8938"/>
    </row>
    <row r="8939" spans="83:87" x14ac:dyDescent="0.2">
      <c r="CE8939"/>
      <c r="CF8939"/>
      <c r="CG8939"/>
      <c r="CH8939"/>
      <c r="CI8939"/>
    </row>
    <row r="8940" spans="83:87" x14ac:dyDescent="0.2">
      <c r="CE8940"/>
      <c r="CF8940"/>
      <c r="CG8940"/>
      <c r="CH8940"/>
      <c r="CI8940"/>
    </row>
    <row r="8941" spans="83:87" x14ac:dyDescent="0.2">
      <c r="CE8941"/>
      <c r="CF8941"/>
      <c r="CG8941"/>
      <c r="CH8941"/>
      <c r="CI8941"/>
    </row>
    <row r="8942" spans="83:87" x14ac:dyDescent="0.2">
      <c r="CE8942"/>
      <c r="CF8942"/>
      <c r="CG8942"/>
      <c r="CH8942"/>
      <c r="CI8942"/>
    </row>
    <row r="8943" spans="83:87" x14ac:dyDescent="0.2">
      <c r="CE8943"/>
      <c r="CF8943"/>
      <c r="CG8943"/>
      <c r="CH8943"/>
      <c r="CI8943"/>
    </row>
    <row r="8944" spans="83:87" x14ac:dyDescent="0.2">
      <c r="CE8944"/>
      <c r="CF8944"/>
      <c r="CG8944"/>
      <c r="CH8944"/>
      <c r="CI8944"/>
    </row>
    <row r="8945" spans="83:87" x14ac:dyDescent="0.2">
      <c r="CE8945"/>
      <c r="CF8945"/>
      <c r="CG8945"/>
      <c r="CH8945"/>
      <c r="CI8945"/>
    </row>
    <row r="8946" spans="83:87" x14ac:dyDescent="0.2">
      <c r="CE8946"/>
      <c r="CF8946"/>
      <c r="CG8946"/>
      <c r="CH8946"/>
      <c r="CI8946"/>
    </row>
    <row r="8947" spans="83:87" x14ac:dyDescent="0.2">
      <c r="CE8947"/>
      <c r="CF8947"/>
      <c r="CG8947"/>
      <c r="CH8947"/>
      <c r="CI8947"/>
    </row>
    <row r="8948" spans="83:87" x14ac:dyDescent="0.2">
      <c r="CE8948"/>
      <c r="CF8948"/>
      <c r="CG8948"/>
      <c r="CH8948"/>
      <c r="CI8948"/>
    </row>
    <row r="8949" spans="83:87" x14ac:dyDescent="0.2">
      <c r="CE8949"/>
      <c r="CF8949"/>
      <c r="CG8949"/>
      <c r="CH8949"/>
      <c r="CI8949"/>
    </row>
    <row r="8950" spans="83:87" x14ac:dyDescent="0.2">
      <c r="CE8950"/>
      <c r="CF8950"/>
      <c r="CG8950"/>
      <c r="CH8950"/>
      <c r="CI8950"/>
    </row>
    <row r="8951" spans="83:87" x14ac:dyDescent="0.2">
      <c r="CE8951"/>
      <c r="CF8951"/>
      <c r="CG8951"/>
      <c r="CH8951"/>
      <c r="CI8951"/>
    </row>
    <row r="8952" spans="83:87" x14ac:dyDescent="0.2">
      <c r="CE8952"/>
      <c r="CF8952"/>
      <c r="CG8952"/>
      <c r="CH8952"/>
      <c r="CI8952"/>
    </row>
    <row r="8953" spans="83:87" x14ac:dyDescent="0.2">
      <c r="CE8953"/>
      <c r="CF8953"/>
      <c r="CG8953"/>
      <c r="CH8953"/>
      <c r="CI8953"/>
    </row>
    <row r="8954" spans="83:87" x14ac:dyDescent="0.2">
      <c r="CE8954"/>
      <c r="CF8954"/>
      <c r="CG8954"/>
      <c r="CH8954"/>
      <c r="CI8954"/>
    </row>
    <row r="8955" spans="83:87" x14ac:dyDescent="0.2">
      <c r="CE8955"/>
      <c r="CF8955"/>
      <c r="CG8955"/>
      <c r="CH8955"/>
      <c r="CI8955"/>
    </row>
    <row r="8956" spans="83:87" x14ac:dyDescent="0.2">
      <c r="CE8956"/>
      <c r="CF8956"/>
      <c r="CG8956"/>
      <c r="CH8956"/>
      <c r="CI8956"/>
    </row>
    <row r="8957" spans="83:87" x14ac:dyDescent="0.2">
      <c r="CE8957"/>
      <c r="CF8957"/>
      <c r="CG8957"/>
      <c r="CH8957"/>
      <c r="CI8957"/>
    </row>
    <row r="8958" spans="83:87" x14ac:dyDescent="0.2">
      <c r="CE8958"/>
      <c r="CF8958"/>
      <c r="CG8958"/>
      <c r="CH8958"/>
      <c r="CI8958"/>
    </row>
    <row r="8959" spans="83:87" x14ac:dyDescent="0.2">
      <c r="CE8959"/>
      <c r="CF8959"/>
      <c r="CG8959"/>
      <c r="CH8959"/>
      <c r="CI8959"/>
    </row>
    <row r="8960" spans="83:87" x14ac:dyDescent="0.2">
      <c r="CE8960"/>
      <c r="CF8960"/>
      <c r="CG8960"/>
      <c r="CH8960"/>
      <c r="CI8960"/>
    </row>
    <row r="8961" spans="83:87" x14ac:dyDescent="0.2">
      <c r="CE8961"/>
      <c r="CF8961"/>
      <c r="CG8961"/>
      <c r="CH8961"/>
      <c r="CI8961"/>
    </row>
    <row r="8962" spans="83:87" x14ac:dyDescent="0.2">
      <c r="CE8962"/>
      <c r="CF8962"/>
      <c r="CG8962"/>
      <c r="CH8962"/>
      <c r="CI8962"/>
    </row>
    <row r="8963" spans="83:87" x14ac:dyDescent="0.2">
      <c r="CE8963"/>
      <c r="CF8963"/>
      <c r="CG8963"/>
      <c r="CH8963"/>
      <c r="CI8963"/>
    </row>
    <row r="8964" spans="83:87" x14ac:dyDescent="0.2">
      <c r="CE8964"/>
      <c r="CF8964"/>
      <c r="CG8964"/>
      <c r="CH8964"/>
      <c r="CI8964"/>
    </row>
    <row r="8965" spans="83:87" x14ac:dyDescent="0.2">
      <c r="CE8965"/>
      <c r="CF8965"/>
      <c r="CG8965"/>
      <c r="CH8965"/>
      <c r="CI8965"/>
    </row>
    <row r="8966" spans="83:87" x14ac:dyDescent="0.2">
      <c r="CE8966"/>
      <c r="CF8966"/>
      <c r="CG8966"/>
      <c r="CH8966"/>
      <c r="CI8966"/>
    </row>
    <row r="8967" spans="83:87" x14ac:dyDescent="0.2">
      <c r="CE8967"/>
      <c r="CF8967"/>
      <c r="CG8967"/>
      <c r="CH8967"/>
      <c r="CI8967"/>
    </row>
    <row r="8968" spans="83:87" x14ac:dyDescent="0.2">
      <c r="CE8968"/>
      <c r="CF8968"/>
      <c r="CG8968"/>
      <c r="CH8968"/>
      <c r="CI8968"/>
    </row>
    <row r="8969" spans="83:87" x14ac:dyDescent="0.2">
      <c r="CE8969"/>
      <c r="CF8969"/>
      <c r="CG8969"/>
      <c r="CH8969"/>
      <c r="CI8969"/>
    </row>
    <row r="8970" spans="83:87" x14ac:dyDescent="0.2">
      <c r="CE8970"/>
      <c r="CF8970"/>
      <c r="CG8970"/>
      <c r="CH8970"/>
      <c r="CI8970"/>
    </row>
    <row r="8971" spans="83:87" x14ac:dyDescent="0.2">
      <c r="CE8971"/>
      <c r="CF8971"/>
      <c r="CG8971"/>
      <c r="CH8971"/>
      <c r="CI8971"/>
    </row>
    <row r="8972" spans="83:87" x14ac:dyDescent="0.2">
      <c r="CE8972"/>
      <c r="CF8972"/>
      <c r="CG8972"/>
      <c r="CH8972"/>
      <c r="CI8972"/>
    </row>
    <row r="8973" spans="83:87" x14ac:dyDescent="0.2">
      <c r="CE8973"/>
      <c r="CF8973"/>
      <c r="CG8973"/>
      <c r="CH8973"/>
      <c r="CI8973"/>
    </row>
    <row r="8974" spans="83:87" x14ac:dyDescent="0.2">
      <c r="CE8974"/>
      <c r="CF8974"/>
      <c r="CG8974"/>
      <c r="CH8974"/>
      <c r="CI8974"/>
    </row>
    <row r="8975" spans="83:87" x14ac:dyDescent="0.2">
      <c r="CE8975"/>
      <c r="CF8975"/>
      <c r="CG8975"/>
      <c r="CH8975"/>
      <c r="CI8975"/>
    </row>
    <row r="8976" spans="83:87" x14ac:dyDescent="0.2">
      <c r="CE8976"/>
      <c r="CF8976"/>
      <c r="CG8976"/>
      <c r="CH8976"/>
      <c r="CI8976"/>
    </row>
    <row r="8977" spans="83:87" x14ac:dyDescent="0.2">
      <c r="CE8977"/>
      <c r="CF8977"/>
      <c r="CG8977"/>
      <c r="CH8977"/>
      <c r="CI8977"/>
    </row>
    <row r="8978" spans="83:87" x14ac:dyDescent="0.2">
      <c r="CE8978"/>
      <c r="CF8978"/>
      <c r="CG8978"/>
      <c r="CH8978"/>
      <c r="CI8978"/>
    </row>
    <row r="8979" spans="83:87" x14ac:dyDescent="0.2">
      <c r="CE8979"/>
      <c r="CF8979"/>
      <c r="CG8979"/>
      <c r="CH8979"/>
      <c r="CI8979"/>
    </row>
    <row r="8980" spans="83:87" x14ac:dyDescent="0.2">
      <c r="CE8980"/>
      <c r="CF8980"/>
      <c r="CG8980"/>
      <c r="CH8980"/>
      <c r="CI8980"/>
    </row>
    <row r="8981" spans="83:87" x14ac:dyDescent="0.2">
      <c r="CE8981"/>
      <c r="CF8981"/>
      <c r="CG8981"/>
      <c r="CH8981"/>
      <c r="CI8981"/>
    </row>
    <row r="8982" spans="83:87" x14ac:dyDescent="0.2">
      <c r="CE8982"/>
      <c r="CF8982"/>
      <c r="CG8982"/>
      <c r="CH8982"/>
      <c r="CI8982"/>
    </row>
    <row r="8983" spans="83:87" x14ac:dyDescent="0.2">
      <c r="CE8983"/>
      <c r="CF8983"/>
      <c r="CG8983"/>
      <c r="CH8983"/>
      <c r="CI8983"/>
    </row>
    <row r="8984" spans="83:87" x14ac:dyDescent="0.2">
      <c r="CE8984"/>
      <c r="CF8984"/>
      <c r="CG8984"/>
      <c r="CH8984"/>
      <c r="CI8984"/>
    </row>
    <row r="8985" spans="83:87" x14ac:dyDescent="0.2">
      <c r="CE8985"/>
      <c r="CF8985"/>
      <c r="CG8985"/>
      <c r="CH8985"/>
      <c r="CI8985"/>
    </row>
    <row r="8986" spans="83:87" x14ac:dyDescent="0.2">
      <c r="CE8986"/>
      <c r="CF8986"/>
      <c r="CG8986"/>
      <c r="CH8986"/>
      <c r="CI8986"/>
    </row>
    <row r="8987" spans="83:87" x14ac:dyDescent="0.2">
      <c r="CE8987"/>
      <c r="CF8987"/>
      <c r="CG8987"/>
      <c r="CH8987"/>
      <c r="CI8987"/>
    </row>
    <row r="8988" spans="83:87" x14ac:dyDescent="0.2">
      <c r="CE8988"/>
      <c r="CF8988"/>
      <c r="CG8988"/>
      <c r="CH8988"/>
      <c r="CI8988"/>
    </row>
    <row r="8989" spans="83:87" x14ac:dyDescent="0.2">
      <c r="CE8989"/>
      <c r="CF8989"/>
      <c r="CG8989"/>
      <c r="CH8989"/>
      <c r="CI8989"/>
    </row>
    <row r="8990" spans="83:87" x14ac:dyDescent="0.2">
      <c r="CE8990"/>
      <c r="CF8990"/>
      <c r="CG8990"/>
      <c r="CH8990"/>
      <c r="CI8990"/>
    </row>
    <row r="8991" spans="83:87" x14ac:dyDescent="0.2">
      <c r="CE8991"/>
      <c r="CF8991"/>
      <c r="CG8991"/>
      <c r="CH8991"/>
      <c r="CI8991"/>
    </row>
    <row r="8992" spans="83:87" x14ac:dyDescent="0.2">
      <c r="CE8992"/>
      <c r="CF8992"/>
      <c r="CG8992"/>
      <c r="CH8992"/>
      <c r="CI8992"/>
    </row>
    <row r="8993" spans="83:87" x14ac:dyDescent="0.2">
      <c r="CE8993"/>
      <c r="CF8993"/>
      <c r="CG8993"/>
      <c r="CH8993"/>
      <c r="CI8993"/>
    </row>
    <row r="8994" spans="83:87" x14ac:dyDescent="0.2">
      <c r="CE8994"/>
      <c r="CF8994"/>
      <c r="CG8994"/>
      <c r="CH8994"/>
      <c r="CI8994"/>
    </row>
    <row r="8995" spans="83:87" x14ac:dyDescent="0.2">
      <c r="CE8995"/>
      <c r="CF8995"/>
      <c r="CG8995"/>
      <c r="CH8995"/>
      <c r="CI8995"/>
    </row>
    <row r="8996" spans="83:87" x14ac:dyDescent="0.2">
      <c r="CE8996"/>
      <c r="CF8996"/>
      <c r="CG8996"/>
      <c r="CH8996"/>
      <c r="CI8996"/>
    </row>
    <row r="8997" spans="83:87" x14ac:dyDescent="0.2">
      <c r="CE8997"/>
      <c r="CF8997"/>
      <c r="CG8997"/>
      <c r="CH8997"/>
      <c r="CI8997"/>
    </row>
    <row r="8998" spans="83:87" x14ac:dyDescent="0.2">
      <c r="CE8998"/>
      <c r="CF8998"/>
      <c r="CG8998"/>
      <c r="CH8998"/>
      <c r="CI8998"/>
    </row>
    <row r="8999" spans="83:87" x14ac:dyDescent="0.2">
      <c r="CE8999"/>
      <c r="CF8999"/>
      <c r="CG8999"/>
      <c r="CH8999"/>
      <c r="CI8999"/>
    </row>
    <row r="9000" spans="83:87" x14ac:dyDescent="0.2">
      <c r="CE9000"/>
      <c r="CF9000"/>
      <c r="CG9000"/>
      <c r="CH9000"/>
      <c r="CI9000"/>
    </row>
    <row r="9001" spans="83:87" x14ac:dyDescent="0.2">
      <c r="CE9001"/>
      <c r="CF9001"/>
      <c r="CG9001"/>
      <c r="CH9001"/>
      <c r="CI9001"/>
    </row>
    <row r="9002" spans="83:87" x14ac:dyDescent="0.2">
      <c r="CE9002"/>
      <c r="CF9002"/>
      <c r="CG9002"/>
      <c r="CH9002"/>
      <c r="CI9002"/>
    </row>
    <row r="9003" spans="83:87" x14ac:dyDescent="0.2">
      <c r="CE9003"/>
      <c r="CF9003"/>
      <c r="CG9003"/>
      <c r="CH9003"/>
      <c r="CI9003"/>
    </row>
    <row r="9004" spans="83:87" x14ac:dyDescent="0.2">
      <c r="CE9004"/>
      <c r="CF9004"/>
      <c r="CG9004"/>
      <c r="CH9004"/>
      <c r="CI9004"/>
    </row>
    <row r="9005" spans="83:87" x14ac:dyDescent="0.2">
      <c r="CE9005"/>
      <c r="CF9005"/>
      <c r="CG9005"/>
      <c r="CH9005"/>
      <c r="CI9005"/>
    </row>
    <row r="9006" spans="83:87" x14ac:dyDescent="0.2">
      <c r="CE9006"/>
      <c r="CF9006"/>
      <c r="CG9006"/>
      <c r="CH9006"/>
      <c r="CI9006"/>
    </row>
    <row r="9007" spans="83:87" x14ac:dyDescent="0.2">
      <c r="CE9007"/>
      <c r="CF9007"/>
      <c r="CG9007"/>
      <c r="CH9007"/>
      <c r="CI9007"/>
    </row>
    <row r="9008" spans="83:87" x14ac:dyDescent="0.2">
      <c r="CE9008"/>
      <c r="CF9008"/>
      <c r="CG9008"/>
      <c r="CH9008"/>
      <c r="CI9008"/>
    </row>
    <row r="9009" spans="83:87" x14ac:dyDescent="0.2">
      <c r="CE9009"/>
      <c r="CF9009"/>
      <c r="CG9009"/>
      <c r="CH9009"/>
      <c r="CI9009"/>
    </row>
    <row r="9010" spans="83:87" x14ac:dyDescent="0.2">
      <c r="CE9010"/>
      <c r="CF9010"/>
      <c r="CG9010"/>
      <c r="CH9010"/>
      <c r="CI9010"/>
    </row>
    <row r="9011" spans="83:87" x14ac:dyDescent="0.2">
      <c r="CE9011"/>
      <c r="CF9011"/>
      <c r="CG9011"/>
      <c r="CH9011"/>
      <c r="CI9011"/>
    </row>
    <row r="9012" spans="83:87" x14ac:dyDescent="0.2">
      <c r="CE9012"/>
      <c r="CF9012"/>
      <c r="CG9012"/>
      <c r="CH9012"/>
      <c r="CI9012"/>
    </row>
    <row r="9013" spans="83:87" x14ac:dyDescent="0.2">
      <c r="CE9013"/>
      <c r="CF9013"/>
      <c r="CG9013"/>
      <c r="CH9013"/>
      <c r="CI9013"/>
    </row>
    <row r="9014" spans="83:87" x14ac:dyDescent="0.2">
      <c r="CE9014"/>
      <c r="CF9014"/>
      <c r="CG9014"/>
      <c r="CH9014"/>
      <c r="CI9014"/>
    </row>
    <row r="9015" spans="83:87" x14ac:dyDescent="0.2">
      <c r="CE9015"/>
      <c r="CF9015"/>
      <c r="CG9015"/>
      <c r="CH9015"/>
      <c r="CI9015"/>
    </row>
    <row r="9016" spans="83:87" x14ac:dyDescent="0.2">
      <c r="CE9016"/>
      <c r="CF9016"/>
      <c r="CG9016"/>
      <c r="CH9016"/>
      <c r="CI9016"/>
    </row>
    <row r="9017" spans="83:87" x14ac:dyDescent="0.2">
      <c r="CE9017"/>
      <c r="CF9017"/>
      <c r="CG9017"/>
      <c r="CH9017"/>
      <c r="CI9017"/>
    </row>
    <row r="9018" spans="83:87" x14ac:dyDescent="0.2">
      <c r="CE9018"/>
      <c r="CF9018"/>
      <c r="CG9018"/>
      <c r="CH9018"/>
      <c r="CI9018"/>
    </row>
    <row r="9019" spans="83:87" x14ac:dyDescent="0.2">
      <c r="CE9019"/>
      <c r="CF9019"/>
      <c r="CG9019"/>
      <c r="CH9019"/>
      <c r="CI9019"/>
    </row>
    <row r="9020" spans="83:87" x14ac:dyDescent="0.2">
      <c r="CE9020"/>
      <c r="CF9020"/>
      <c r="CG9020"/>
      <c r="CH9020"/>
      <c r="CI9020"/>
    </row>
    <row r="9021" spans="83:87" x14ac:dyDescent="0.2">
      <c r="CE9021"/>
      <c r="CF9021"/>
      <c r="CG9021"/>
      <c r="CH9021"/>
      <c r="CI9021"/>
    </row>
    <row r="9022" spans="83:87" x14ac:dyDescent="0.2">
      <c r="CE9022"/>
      <c r="CF9022"/>
      <c r="CG9022"/>
      <c r="CH9022"/>
      <c r="CI9022"/>
    </row>
    <row r="9023" spans="83:87" x14ac:dyDescent="0.2">
      <c r="CE9023"/>
      <c r="CF9023"/>
      <c r="CG9023"/>
      <c r="CH9023"/>
      <c r="CI9023"/>
    </row>
    <row r="9024" spans="83:87" x14ac:dyDescent="0.2">
      <c r="CE9024"/>
      <c r="CF9024"/>
      <c r="CG9024"/>
      <c r="CH9024"/>
      <c r="CI9024"/>
    </row>
    <row r="9025" spans="83:87" x14ac:dyDescent="0.2">
      <c r="CE9025"/>
      <c r="CF9025"/>
      <c r="CG9025"/>
      <c r="CH9025"/>
      <c r="CI9025"/>
    </row>
    <row r="9026" spans="83:87" x14ac:dyDescent="0.2">
      <c r="CE9026"/>
      <c r="CF9026"/>
      <c r="CG9026"/>
      <c r="CH9026"/>
      <c r="CI9026"/>
    </row>
    <row r="9027" spans="83:87" x14ac:dyDescent="0.2">
      <c r="CE9027"/>
      <c r="CF9027"/>
      <c r="CG9027"/>
      <c r="CH9027"/>
      <c r="CI9027"/>
    </row>
    <row r="9028" spans="83:87" x14ac:dyDescent="0.2">
      <c r="CE9028"/>
      <c r="CF9028"/>
      <c r="CG9028"/>
      <c r="CH9028"/>
      <c r="CI9028"/>
    </row>
    <row r="9029" spans="83:87" x14ac:dyDescent="0.2">
      <c r="CE9029"/>
      <c r="CF9029"/>
      <c r="CG9029"/>
      <c r="CH9029"/>
      <c r="CI9029"/>
    </row>
    <row r="9030" spans="83:87" x14ac:dyDescent="0.2">
      <c r="CE9030"/>
      <c r="CF9030"/>
      <c r="CG9030"/>
      <c r="CH9030"/>
      <c r="CI9030"/>
    </row>
    <row r="9031" spans="83:87" x14ac:dyDescent="0.2">
      <c r="CE9031"/>
      <c r="CF9031"/>
      <c r="CG9031"/>
      <c r="CH9031"/>
      <c r="CI9031"/>
    </row>
    <row r="9032" spans="83:87" x14ac:dyDescent="0.2">
      <c r="CE9032"/>
      <c r="CF9032"/>
      <c r="CG9032"/>
      <c r="CH9032"/>
      <c r="CI9032"/>
    </row>
    <row r="9033" spans="83:87" x14ac:dyDescent="0.2">
      <c r="CE9033"/>
      <c r="CF9033"/>
      <c r="CG9033"/>
      <c r="CH9033"/>
      <c r="CI9033"/>
    </row>
    <row r="9034" spans="83:87" x14ac:dyDescent="0.2">
      <c r="CE9034"/>
      <c r="CF9034"/>
      <c r="CG9034"/>
      <c r="CH9034"/>
      <c r="CI9034"/>
    </row>
    <row r="9035" spans="83:87" x14ac:dyDescent="0.2">
      <c r="CE9035"/>
      <c r="CF9035"/>
      <c r="CG9035"/>
      <c r="CH9035"/>
      <c r="CI9035"/>
    </row>
    <row r="9036" spans="83:87" x14ac:dyDescent="0.2">
      <c r="CE9036"/>
      <c r="CF9036"/>
      <c r="CG9036"/>
      <c r="CH9036"/>
      <c r="CI9036"/>
    </row>
    <row r="9037" spans="83:87" x14ac:dyDescent="0.2">
      <c r="CE9037"/>
      <c r="CF9037"/>
      <c r="CG9037"/>
      <c r="CH9037"/>
      <c r="CI9037"/>
    </row>
    <row r="9038" spans="83:87" x14ac:dyDescent="0.2">
      <c r="CE9038"/>
      <c r="CF9038"/>
      <c r="CG9038"/>
      <c r="CH9038"/>
      <c r="CI9038"/>
    </row>
    <row r="9039" spans="83:87" x14ac:dyDescent="0.2">
      <c r="CE9039"/>
      <c r="CF9039"/>
      <c r="CG9039"/>
      <c r="CH9039"/>
      <c r="CI9039"/>
    </row>
    <row r="9040" spans="83:87" x14ac:dyDescent="0.2">
      <c r="CE9040"/>
      <c r="CF9040"/>
      <c r="CG9040"/>
      <c r="CH9040"/>
      <c r="CI9040"/>
    </row>
    <row r="9041" spans="83:87" x14ac:dyDescent="0.2">
      <c r="CE9041"/>
      <c r="CF9041"/>
      <c r="CG9041"/>
      <c r="CH9041"/>
      <c r="CI9041"/>
    </row>
    <row r="9042" spans="83:87" x14ac:dyDescent="0.2">
      <c r="CE9042"/>
      <c r="CF9042"/>
      <c r="CG9042"/>
      <c r="CH9042"/>
      <c r="CI9042"/>
    </row>
    <row r="9043" spans="83:87" x14ac:dyDescent="0.2">
      <c r="CE9043"/>
      <c r="CF9043"/>
      <c r="CG9043"/>
      <c r="CH9043"/>
      <c r="CI9043"/>
    </row>
    <row r="9044" spans="83:87" x14ac:dyDescent="0.2">
      <c r="CE9044"/>
      <c r="CF9044"/>
      <c r="CG9044"/>
      <c r="CH9044"/>
      <c r="CI9044"/>
    </row>
    <row r="9045" spans="83:87" x14ac:dyDescent="0.2">
      <c r="CE9045"/>
      <c r="CF9045"/>
      <c r="CG9045"/>
      <c r="CH9045"/>
      <c r="CI9045"/>
    </row>
    <row r="9046" spans="83:87" x14ac:dyDescent="0.2">
      <c r="CE9046"/>
      <c r="CF9046"/>
      <c r="CG9046"/>
      <c r="CH9046"/>
      <c r="CI9046"/>
    </row>
    <row r="9047" spans="83:87" x14ac:dyDescent="0.2">
      <c r="CE9047"/>
      <c r="CF9047"/>
      <c r="CG9047"/>
      <c r="CH9047"/>
      <c r="CI9047"/>
    </row>
    <row r="9048" spans="83:87" x14ac:dyDescent="0.2">
      <c r="CE9048"/>
      <c r="CF9048"/>
      <c r="CG9048"/>
      <c r="CH9048"/>
      <c r="CI9048"/>
    </row>
    <row r="9049" spans="83:87" x14ac:dyDescent="0.2">
      <c r="CE9049"/>
      <c r="CF9049"/>
      <c r="CG9049"/>
      <c r="CH9049"/>
      <c r="CI9049"/>
    </row>
    <row r="9050" spans="83:87" x14ac:dyDescent="0.2">
      <c r="CE9050"/>
      <c r="CF9050"/>
      <c r="CG9050"/>
      <c r="CH9050"/>
      <c r="CI9050"/>
    </row>
    <row r="9051" spans="83:87" x14ac:dyDescent="0.2">
      <c r="CE9051"/>
      <c r="CF9051"/>
      <c r="CG9051"/>
      <c r="CH9051"/>
      <c r="CI9051"/>
    </row>
    <row r="9052" spans="83:87" x14ac:dyDescent="0.2">
      <c r="CE9052"/>
      <c r="CF9052"/>
      <c r="CG9052"/>
      <c r="CH9052"/>
      <c r="CI9052"/>
    </row>
    <row r="9053" spans="83:87" x14ac:dyDescent="0.2">
      <c r="CE9053"/>
      <c r="CF9053"/>
      <c r="CG9053"/>
      <c r="CH9053"/>
      <c r="CI9053"/>
    </row>
    <row r="9054" spans="83:87" x14ac:dyDescent="0.2">
      <c r="CE9054"/>
      <c r="CF9054"/>
      <c r="CG9054"/>
      <c r="CH9054"/>
      <c r="CI9054"/>
    </row>
    <row r="9055" spans="83:87" x14ac:dyDescent="0.2">
      <c r="CE9055"/>
      <c r="CF9055"/>
      <c r="CG9055"/>
      <c r="CH9055"/>
      <c r="CI9055"/>
    </row>
    <row r="9056" spans="83:87" x14ac:dyDescent="0.2">
      <c r="CE9056"/>
      <c r="CF9056"/>
      <c r="CG9056"/>
      <c r="CH9056"/>
      <c r="CI9056"/>
    </row>
    <row r="9057" spans="83:87" x14ac:dyDescent="0.2">
      <c r="CE9057"/>
      <c r="CF9057"/>
      <c r="CG9057"/>
      <c r="CH9057"/>
      <c r="CI9057"/>
    </row>
    <row r="9058" spans="83:87" x14ac:dyDescent="0.2">
      <c r="CE9058"/>
      <c r="CF9058"/>
      <c r="CG9058"/>
      <c r="CH9058"/>
      <c r="CI9058"/>
    </row>
    <row r="9059" spans="83:87" x14ac:dyDescent="0.2">
      <c r="CE9059"/>
      <c r="CF9059"/>
      <c r="CG9059"/>
      <c r="CH9059"/>
      <c r="CI9059"/>
    </row>
    <row r="9060" spans="83:87" x14ac:dyDescent="0.2">
      <c r="CE9060"/>
      <c r="CF9060"/>
      <c r="CG9060"/>
      <c r="CH9060"/>
      <c r="CI9060"/>
    </row>
    <row r="9061" spans="83:87" x14ac:dyDescent="0.2">
      <c r="CE9061"/>
      <c r="CF9061"/>
      <c r="CG9061"/>
      <c r="CH9061"/>
      <c r="CI9061"/>
    </row>
    <row r="9062" spans="83:87" x14ac:dyDescent="0.2">
      <c r="CE9062"/>
      <c r="CF9062"/>
      <c r="CG9062"/>
      <c r="CH9062"/>
      <c r="CI9062"/>
    </row>
    <row r="9063" spans="83:87" x14ac:dyDescent="0.2">
      <c r="CE9063"/>
      <c r="CF9063"/>
      <c r="CG9063"/>
      <c r="CH9063"/>
      <c r="CI9063"/>
    </row>
    <row r="9064" spans="83:87" x14ac:dyDescent="0.2">
      <c r="CE9064"/>
      <c r="CF9064"/>
      <c r="CG9064"/>
      <c r="CH9064"/>
      <c r="CI9064"/>
    </row>
    <row r="9065" spans="83:87" x14ac:dyDescent="0.2">
      <c r="CE9065"/>
      <c r="CF9065"/>
      <c r="CG9065"/>
      <c r="CH9065"/>
      <c r="CI9065"/>
    </row>
    <row r="9066" spans="83:87" x14ac:dyDescent="0.2">
      <c r="CE9066"/>
      <c r="CF9066"/>
      <c r="CG9066"/>
      <c r="CH9066"/>
      <c r="CI9066"/>
    </row>
    <row r="9067" spans="83:87" x14ac:dyDescent="0.2">
      <c r="CE9067"/>
      <c r="CF9067"/>
      <c r="CG9067"/>
      <c r="CH9067"/>
      <c r="CI9067"/>
    </row>
    <row r="9068" spans="83:87" x14ac:dyDescent="0.2">
      <c r="CE9068"/>
      <c r="CF9068"/>
      <c r="CG9068"/>
      <c r="CH9068"/>
      <c r="CI9068"/>
    </row>
    <row r="9069" spans="83:87" x14ac:dyDescent="0.2">
      <c r="CE9069"/>
      <c r="CF9069"/>
      <c r="CG9069"/>
      <c r="CH9069"/>
      <c r="CI9069"/>
    </row>
    <row r="9070" spans="83:87" x14ac:dyDescent="0.2">
      <c r="CE9070"/>
      <c r="CF9070"/>
      <c r="CG9070"/>
      <c r="CH9070"/>
      <c r="CI9070"/>
    </row>
    <row r="9071" spans="83:87" x14ac:dyDescent="0.2">
      <c r="CE9071"/>
      <c r="CF9071"/>
      <c r="CG9071"/>
      <c r="CH9071"/>
      <c r="CI9071"/>
    </row>
    <row r="9072" spans="83:87" x14ac:dyDescent="0.2">
      <c r="CE9072"/>
      <c r="CF9072"/>
      <c r="CG9072"/>
      <c r="CH9072"/>
      <c r="CI9072"/>
    </row>
    <row r="9073" spans="83:87" x14ac:dyDescent="0.2">
      <c r="CE9073"/>
      <c r="CF9073"/>
      <c r="CG9073"/>
      <c r="CH9073"/>
      <c r="CI9073"/>
    </row>
    <row r="9074" spans="83:87" x14ac:dyDescent="0.2">
      <c r="CE9074"/>
      <c r="CF9074"/>
      <c r="CG9074"/>
      <c r="CH9074"/>
      <c r="CI9074"/>
    </row>
    <row r="9075" spans="83:87" x14ac:dyDescent="0.2">
      <c r="CE9075"/>
      <c r="CF9075"/>
      <c r="CG9075"/>
      <c r="CH9075"/>
      <c r="CI9075"/>
    </row>
    <row r="9076" spans="83:87" x14ac:dyDescent="0.2">
      <c r="CE9076"/>
      <c r="CF9076"/>
      <c r="CG9076"/>
      <c r="CH9076"/>
      <c r="CI9076"/>
    </row>
    <row r="9077" spans="83:87" x14ac:dyDescent="0.2">
      <c r="CE9077"/>
      <c r="CF9077"/>
      <c r="CG9077"/>
      <c r="CH9077"/>
      <c r="CI9077"/>
    </row>
    <row r="9078" spans="83:87" x14ac:dyDescent="0.2">
      <c r="CE9078"/>
      <c r="CF9078"/>
      <c r="CG9078"/>
      <c r="CH9078"/>
      <c r="CI9078"/>
    </row>
    <row r="9079" spans="83:87" x14ac:dyDescent="0.2">
      <c r="CE9079"/>
      <c r="CF9079"/>
      <c r="CG9079"/>
      <c r="CH9079"/>
      <c r="CI9079"/>
    </row>
    <row r="9080" spans="83:87" x14ac:dyDescent="0.2">
      <c r="CE9080"/>
      <c r="CF9080"/>
      <c r="CG9080"/>
      <c r="CH9080"/>
      <c r="CI9080"/>
    </row>
    <row r="9081" spans="83:87" x14ac:dyDescent="0.2">
      <c r="CE9081"/>
      <c r="CF9081"/>
      <c r="CG9081"/>
      <c r="CH9081"/>
      <c r="CI9081"/>
    </row>
    <row r="9082" spans="83:87" x14ac:dyDescent="0.2">
      <c r="CE9082"/>
      <c r="CF9082"/>
      <c r="CG9082"/>
      <c r="CH9082"/>
      <c r="CI9082"/>
    </row>
    <row r="9083" spans="83:87" x14ac:dyDescent="0.2">
      <c r="CE9083"/>
      <c r="CF9083"/>
      <c r="CG9083"/>
      <c r="CH9083"/>
      <c r="CI9083"/>
    </row>
    <row r="9084" spans="83:87" x14ac:dyDescent="0.2">
      <c r="CE9084"/>
      <c r="CF9084"/>
      <c r="CG9084"/>
      <c r="CH9084"/>
      <c r="CI9084"/>
    </row>
    <row r="9085" spans="83:87" x14ac:dyDescent="0.2">
      <c r="CE9085"/>
      <c r="CF9085"/>
      <c r="CG9085"/>
      <c r="CH9085"/>
      <c r="CI9085"/>
    </row>
    <row r="9086" spans="83:87" x14ac:dyDescent="0.2">
      <c r="CE9086"/>
      <c r="CF9086"/>
      <c r="CG9086"/>
      <c r="CH9086"/>
      <c r="CI9086"/>
    </row>
    <row r="9087" spans="83:87" x14ac:dyDescent="0.2">
      <c r="CE9087"/>
      <c r="CF9087"/>
      <c r="CG9087"/>
      <c r="CH9087"/>
      <c r="CI9087"/>
    </row>
    <row r="9088" spans="83:87" x14ac:dyDescent="0.2">
      <c r="CE9088"/>
      <c r="CF9088"/>
      <c r="CG9088"/>
      <c r="CH9088"/>
      <c r="CI9088"/>
    </row>
    <row r="9089" spans="83:87" x14ac:dyDescent="0.2">
      <c r="CE9089"/>
      <c r="CF9089"/>
      <c r="CG9089"/>
      <c r="CH9089"/>
      <c r="CI9089"/>
    </row>
    <row r="9090" spans="83:87" x14ac:dyDescent="0.2">
      <c r="CE9090"/>
      <c r="CF9090"/>
      <c r="CG9090"/>
      <c r="CH9090"/>
      <c r="CI9090"/>
    </row>
    <row r="9091" spans="83:87" x14ac:dyDescent="0.2">
      <c r="CE9091"/>
      <c r="CF9091"/>
      <c r="CG9091"/>
      <c r="CH9091"/>
      <c r="CI9091"/>
    </row>
    <row r="9092" spans="83:87" x14ac:dyDescent="0.2">
      <c r="CE9092"/>
      <c r="CF9092"/>
      <c r="CG9092"/>
      <c r="CH9092"/>
      <c r="CI9092"/>
    </row>
    <row r="9093" spans="83:87" x14ac:dyDescent="0.2">
      <c r="CE9093"/>
      <c r="CF9093"/>
      <c r="CG9093"/>
      <c r="CH9093"/>
      <c r="CI9093"/>
    </row>
    <row r="9094" spans="83:87" x14ac:dyDescent="0.2">
      <c r="CE9094"/>
      <c r="CF9094"/>
      <c r="CG9094"/>
      <c r="CH9094"/>
      <c r="CI9094"/>
    </row>
    <row r="9095" spans="83:87" x14ac:dyDescent="0.2">
      <c r="CE9095"/>
      <c r="CF9095"/>
      <c r="CG9095"/>
      <c r="CH9095"/>
      <c r="CI9095"/>
    </row>
    <row r="9096" spans="83:87" x14ac:dyDescent="0.2">
      <c r="CE9096"/>
      <c r="CF9096"/>
      <c r="CG9096"/>
      <c r="CH9096"/>
      <c r="CI9096"/>
    </row>
    <row r="9097" spans="83:87" x14ac:dyDescent="0.2">
      <c r="CE9097"/>
      <c r="CF9097"/>
      <c r="CG9097"/>
      <c r="CH9097"/>
      <c r="CI9097"/>
    </row>
    <row r="9098" spans="83:87" x14ac:dyDescent="0.2">
      <c r="CE9098"/>
      <c r="CF9098"/>
      <c r="CG9098"/>
      <c r="CH9098"/>
      <c r="CI9098"/>
    </row>
    <row r="9099" spans="83:87" x14ac:dyDescent="0.2">
      <c r="CE9099"/>
      <c r="CF9099"/>
      <c r="CG9099"/>
      <c r="CH9099"/>
      <c r="CI9099"/>
    </row>
    <row r="9100" spans="83:87" x14ac:dyDescent="0.2">
      <c r="CE9100"/>
      <c r="CF9100"/>
      <c r="CG9100"/>
      <c r="CH9100"/>
      <c r="CI9100"/>
    </row>
    <row r="9101" spans="83:87" x14ac:dyDescent="0.2">
      <c r="CE9101"/>
      <c r="CF9101"/>
      <c r="CG9101"/>
      <c r="CH9101"/>
      <c r="CI9101"/>
    </row>
    <row r="9102" spans="83:87" x14ac:dyDescent="0.2">
      <c r="CE9102"/>
      <c r="CF9102"/>
      <c r="CG9102"/>
      <c r="CH9102"/>
      <c r="CI9102"/>
    </row>
    <row r="9103" spans="83:87" x14ac:dyDescent="0.2">
      <c r="CE9103"/>
      <c r="CF9103"/>
      <c r="CG9103"/>
      <c r="CH9103"/>
      <c r="CI9103"/>
    </row>
    <row r="9104" spans="83:87" x14ac:dyDescent="0.2">
      <c r="CE9104"/>
      <c r="CF9104"/>
      <c r="CG9104"/>
      <c r="CH9104"/>
      <c r="CI9104"/>
    </row>
    <row r="9105" spans="83:87" x14ac:dyDescent="0.2">
      <c r="CE9105"/>
      <c r="CF9105"/>
      <c r="CG9105"/>
      <c r="CH9105"/>
      <c r="CI9105"/>
    </row>
    <row r="9106" spans="83:87" x14ac:dyDescent="0.2">
      <c r="CE9106"/>
      <c r="CF9106"/>
      <c r="CG9106"/>
      <c r="CH9106"/>
      <c r="CI9106"/>
    </row>
    <row r="9107" spans="83:87" x14ac:dyDescent="0.2">
      <c r="CE9107"/>
      <c r="CF9107"/>
      <c r="CG9107"/>
      <c r="CH9107"/>
      <c r="CI9107"/>
    </row>
    <row r="9108" spans="83:87" x14ac:dyDescent="0.2">
      <c r="CE9108"/>
      <c r="CF9108"/>
      <c r="CG9108"/>
      <c r="CH9108"/>
      <c r="CI9108"/>
    </row>
    <row r="9109" spans="83:87" x14ac:dyDescent="0.2">
      <c r="CE9109"/>
      <c r="CF9109"/>
      <c r="CG9109"/>
      <c r="CH9109"/>
      <c r="CI9109"/>
    </row>
    <row r="9110" spans="83:87" x14ac:dyDescent="0.2">
      <c r="CE9110"/>
      <c r="CF9110"/>
      <c r="CG9110"/>
      <c r="CH9110"/>
      <c r="CI9110"/>
    </row>
    <row r="9111" spans="83:87" x14ac:dyDescent="0.2">
      <c r="CE9111"/>
      <c r="CF9111"/>
      <c r="CG9111"/>
      <c r="CH9111"/>
      <c r="CI9111"/>
    </row>
    <row r="9112" spans="83:87" x14ac:dyDescent="0.2">
      <c r="CE9112"/>
      <c r="CF9112"/>
      <c r="CG9112"/>
      <c r="CH9112"/>
      <c r="CI9112"/>
    </row>
    <row r="9113" spans="83:87" x14ac:dyDescent="0.2">
      <c r="CE9113"/>
      <c r="CF9113"/>
      <c r="CG9113"/>
      <c r="CH9113"/>
      <c r="CI9113"/>
    </row>
    <row r="9114" spans="83:87" x14ac:dyDescent="0.2">
      <c r="CE9114"/>
      <c r="CF9114"/>
      <c r="CG9114"/>
      <c r="CH9114"/>
      <c r="CI9114"/>
    </row>
    <row r="9115" spans="83:87" x14ac:dyDescent="0.2">
      <c r="CE9115"/>
      <c r="CF9115"/>
      <c r="CG9115"/>
      <c r="CH9115"/>
      <c r="CI9115"/>
    </row>
    <row r="9116" spans="83:87" x14ac:dyDescent="0.2">
      <c r="CE9116"/>
      <c r="CF9116"/>
      <c r="CG9116"/>
      <c r="CH9116"/>
      <c r="CI9116"/>
    </row>
    <row r="9117" spans="83:87" x14ac:dyDescent="0.2">
      <c r="CE9117"/>
      <c r="CF9117"/>
      <c r="CG9117"/>
      <c r="CH9117"/>
      <c r="CI9117"/>
    </row>
    <row r="9118" spans="83:87" x14ac:dyDescent="0.2">
      <c r="CE9118"/>
      <c r="CF9118"/>
      <c r="CG9118"/>
      <c r="CH9118"/>
      <c r="CI9118"/>
    </row>
    <row r="9119" spans="83:87" x14ac:dyDescent="0.2">
      <c r="CE9119"/>
      <c r="CF9119"/>
      <c r="CG9119"/>
      <c r="CH9119"/>
      <c r="CI9119"/>
    </row>
    <row r="9120" spans="83:87" x14ac:dyDescent="0.2">
      <c r="CE9120"/>
      <c r="CF9120"/>
      <c r="CG9120"/>
      <c r="CH9120"/>
      <c r="CI9120"/>
    </row>
    <row r="9121" spans="83:87" x14ac:dyDescent="0.2">
      <c r="CE9121"/>
      <c r="CF9121"/>
      <c r="CG9121"/>
      <c r="CH9121"/>
      <c r="CI9121"/>
    </row>
    <row r="9122" spans="83:87" x14ac:dyDescent="0.2">
      <c r="CE9122"/>
      <c r="CF9122"/>
      <c r="CG9122"/>
      <c r="CH9122"/>
      <c r="CI9122"/>
    </row>
    <row r="9123" spans="83:87" x14ac:dyDescent="0.2">
      <c r="CE9123"/>
      <c r="CF9123"/>
      <c r="CG9123"/>
      <c r="CH9123"/>
      <c r="CI9123"/>
    </row>
    <row r="9124" spans="83:87" x14ac:dyDescent="0.2">
      <c r="CE9124"/>
      <c r="CF9124"/>
      <c r="CG9124"/>
      <c r="CH9124"/>
      <c r="CI9124"/>
    </row>
    <row r="9125" spans="83:87" x14ac:dyDescent="0.2">
      <c r="CE9125"/>
      <c r="CF9125"/>
      <c r="CG9125"/>
      <c r="CH9125"/>
      <c r="CI9125"/>
    </row>
    <row r="9126" spans="83:87" x14ac:dyDescent="0.2">
      <c r="CE9126"/>
      <c r="CF9126"/>
      <c r="CG9126"/>
      <c r="CH9126"/>
      <c r="CI9126"/>
    </row>
    <row r="9127" spans="83:87" x14ac:dyDescent="0.2">
      <c r="CE9127"/>
      <c r="CF9127"/>
      <c r="CG9127"/>
      <c r="CH9127"/>
      <c r="CI9127"/>
    </row>
    <row r="9128" spans="83:87" x14ac:dyDescent="0.2">
      <c r="CE9128"/>
      <c r="CF9128"/>
      <c r="CG9128"/>
      <c r="CH9128"/>
      <c r="CI9128"/>
    </row>
    <row r="9129" spans="83:87" x14ac:dyDescent="0.2">
      <c r="CE9129"/>
      <c r="CF9129"/>
      <c r="CG9129"/>
      <c r="CH9129"/>
      <c r="CI9129"/>
    </row>
    <row r="9130" spans="83:87" x14ac:dyDescent="0.2">
      <c r="CE9130"/>
      <c r="CF9130"/>
      <c r="CG9130"/>
      <c r="CH9130"/>
      <c r="CI9130"/>
    </row>
    <row r="9131" spans="83:87" x14ac:dyDescent="0.2">
      <c r="CE9131"/>
      <c r="CF9131"/>
      <c r="CG9131"/>
      <c r="CH9131"/>
      <c r="CI9131"/>
    </row>
    <row r="9132" spans="83:87" x14ac:dyDescent="0.2">
      <c r="CE9132"/>
      <c r="CF9132"/>
      <c r="CG9132"/>
      <c r="CH9132"/>
      <c r="CI9132"/>
    </row>
    <row r="9133" spans="83:87" x14ac:dyDescent="0.2">
      <c r="CE9133"/>
      <c r="CF9133"/>
      <c r="CG9133"/>
      <c r="CH9133"/>
      <c r="CI9133"/>
    </row>
    <row r="9134" spans="83:87" x14ac:dyDescent="0.2">
      <c r="CE9134"/>
      <c r="CF9134"/>
      <c r="CG9134"/>
      <c r="CH9134"/>
      <c r="CI9134"/>
    </row>
    <row r="9135" spans="83:87" x14ac:dyDescent="0.2">
      <c r="CE9135"/>
      <c r="CF9135"/>
      <c r="CG9135"/>
      <c r="CH9135"/>
      <c r="CI9135"/>
    </row>
    <row r="9136" spans="83:87" x14ac:dyDescent="0.2">
      <c r="CE9136"/>
      <c r="CF9136"/>
      <c r="CG9136"/>
      <c r="CH9136"/>
      <c r="CI9136"/>
    </row>
    <row r="9137" spans="83:87" x14ac:dyDescent="0.2">
      <c r="CE9137"/>
      <c r="CF9137"/>
      <c r="CG9137"/>
      <c r="CH9137"/>
      <c r="CI9137"/>
    </row>
    <row r="9138" spans="83:87" x14ac:dyDescent="0.2">
      <c r="CE9138"/>
      <c r="CF9138"/>
      <c r="CG9138"/>
      <c r="CH9138"/>
      <c r="CI9138"/>
    </row>
    <row r="9139" spans="83:87" x14ac:dyDescent="0.2">
      <c r="CE9139"/>
      <c r="CF9139"/>
      <c r="CG9139"/>
      <c r="CH9139"/>
      <c r="CI9139"/>
    </row>
    <row r="9140" spans="83:87" x14ac:dyDescent="0.2">
      <c r="CE9140"/>
      <c r="CF9140"/>
      <c r="CG9140"/>
      <c r="CH9140"/>
      <c r="CI9140"/>
    </row>
    <row r="9141" spans="83:87" x14ac:dyDescent="0.2">
      <c r="CE9141"/>
      <c r="CF9141"/>
      <c r="CG9141"/>
      <c r="CH9141"/>
      <c r="CI9141"/>
    </row>
    <row r="9142" spans="83:87" x14ac:dyDescent="0.2">
      <c r="CE9142"/>
      <c r="CF9142"/>
      <c r="CG9142"/>
      <c r="CH9142"/>
      <c r="CI9142"/>
    </row>
    <row r="9143" spans="83:87" x14ac:dyDescent="0.2">
      <c r="CE9143"/>
      <c r="CF9143"/>
      <c r="CG9143"/>
      <c r="CH9143"/>
      <c r="CI9143"/>
    </row>
    <row r="9144" spans="83:87" x14ac:dyDescent="0.2">
      <c r="CE9144"/>
      <c r="CF9144"/>
      <c r="CG9144"/>
      <c r="CH9144"/>
      <c r="CI9144"/>
    </row>
    <row r="9145" spans="83:87" x14ac:dyDescent="0.2">
      <c r="CE9145"/>
      <c r="CF9145"/>
      <c r="CG9145"/>
      <c r="CH9145"/>
      <c r="CI9145"/>
    </row>
    <row r="9146" spans="83:87" x14ac:dyDescent="0.2">
      <c r="CE9146"/>
      <c r="CF9146"/>
      <c r="CG9146"/>
      <c r="CH9146"/>
      <c r="CI9146"/>
    </row>
    <row r="9147" spans="83:87" x14ac:dyDescent="0.2">
      <c r="CE9147"/>
      <c r="CF9147"/>
      <c r="CG9147"/>
      <c r="CH9147"/>
      <c r="CI9147"/>
    </row>
    <row r="9148" spans="83:87" x14ac:dyDescent="0.2">
      <c r="CE9148"/>
      <c r="CF9148"/>
      <c r="CG9148"/>
      <c r="CH9148"/>
      <c r="CI9148"/>
    </row>
    <row r="9149" spans="83:87" x14ac:dyDescent="0.2">
      <c r="CE9149"/>
      <c r="CF9149"/>
      <c r="CG9149"/>
      <c r="CH9149"/>
      <c r="CI9149"/>
    </row>
    <row r="9150" spans="83:87" x14ac:dyDescent="0.2">
      <c r="CE9150"/>
      <c r="CF9150"/>
      <c r="CG9150"/>
      <c r="CH9150"/>
      <c r="CI9150"/>
    </row>
    <row r="9151" spans="83:87" x14ac:dyDescent="0.2">
      <c r="CE9151"/>
      <c r="CF9151"/>
      <c r="CG9151"/>
      <c r="CH9151"/>
      <c r="CI9151"/>
    </row>
    <row r="9152" spans="83:87" x14ac:dyDescent="0.2">
      <c r="CE9152"/>
      <c r="CF9152"/>
      <c r="CG9152"/>
      <c r="CH9152"/>
      <c r="CI9152"/>
    </row>
    <row r="9153" spans="83:87" x14ac:dyDescent="0.2">
      <c r="CE9153"/>
      <c r="CF9153"/>
      <c r="CG9153"/>
      <c r="CH9153"/>
      <c r="CI9153"/>
    </row>
    <row r="9154" spans="83:87" x14ac:dyDescent="0.2">
      <c r="CE9154"/>
      <c r="CF9154"/>
      <c r="CG9154"/>
      <c r="CH9154"/>
      <c r="CI9154"/>
    </row>
    <row r="9155" spans="83:87" x14ac:dyDescent="0.2">
      <c r="CE9155"/>
      <c r="CF9155"/>
      <c r="CG9155"/>
      <c r="CH9155"/>
      <c r="CI9155"/>
    </row>
    <row r="9156" spans="83:87" x14ac:dyDescent="0.2">
      <c r="CE9156"/>
      <c r="CF9156"/>
      <c r="CG9156"/>
      <c r="CH9156"/>
      <c r="CI9156"/>
    </row>
    <row r="9157" spans="83:87" x14ac:dyDescent="0.2">
      <c r="CE9157"/>
      <c r="CF9157"/>
      <c r="CG9157"/>
      <c r="CH9157"/>
      <c r="CI9157"/>
    </row>
    <row r="9158" spans="83:87" x14ac:dyDescent="0.2">
      <c r="CE9158"/>
      <c r="CF9158"/>
      <c r="CG9158"/>
      <c r="CH9158"/>
      <c r="CI9158"/>
    </row>
    <row r="9159" spans="83:87" x14ac:dyDescent="0.2">
      <c r="CE9159"/>
      <c r="CF9159"/>
      <c r="CG9159"/>
      <c r="CH9159"/>
      <c r="CI9159"/>
    </row>
    <row r="9160" spans="83:87" x14ac:dyDescent="0.2">
      <c r="CE9160"/>
      <c r="CF9160"/>
      <c r="CG9160"/>
      <c r="CH9160"/>
      <c r="CI9160"/>
    </row>
    <row r="9161" spans="83:87" x14ac:dyDescent="0.2">
      <c r="CE9161"/>
      <c r="CF9161"/>
      <c r="CG9161"/>
      <c r="CH9161"/>
      <c r="CI9161"/>
    </row>
    <row r="9162" spans="83:87" x14ac:dyDescent="0.2">
      <c r="CE9162"/>
      <c r="CF9162"/>
      <c r="CG9162"/>
      <c r="CH9162"/>
      <c r="CI9162"/>
    </row>
    <row r="9163" spans="83:87" x14ac:dyDescent="0.2">
      <c r="CE9163"/>
      <c r="CF9163"/>
      <c r="CG9163"/>
      <c r="CH9163"/>
      <c r="CI9163"/>
    </row>
    <row r="9164" spans="83:87" x14ac:dyDescent="0.2">
      <c r="CE9164"/>
      <c r="CF9164"/>
      <c r="CG9164"/>
      <c r="CH9164"/>
      <c r="CI9164"/>
    </row>
    <row r="9165" spans="83:87" x14ac:dyDescent="0.2">
      <c r="CE9165"/>
      <c r="CF9165"/>
      <c r="CG9165"/>
      <c r="CH9165"/>
      <c r="CI9165"/>
    </row>
    <row r="9166" spans="83:87" x14ac:dyDescent="0.2">
      <c r="CE9166"/>
      <c r="CF9166"/>
      <c r="CG9166"/>
      <c r="CH9166"/>
      <c r="CI9166"/>
    </row>
    <row r="9167" spans="83:87" x14ac:dyDescent="0.2">
      <c r="CE9167"/>
      <c r="CF9167"/>
      <c r="CG9167"/>
      <c r="CH9167"/>
      <c r="CI9167"/>
    </row>
    <row r="9168" spans="83:87" x14ac:dyDescent="0.2">
      <c r="CE9168"/>
      <c r="CF9168"/>
      <c r="CG9168"/>
      <c r="CH9168"/>
      <c r="CI9168"/>
    </row>
    <row r="9169" spans="83:87" x14ac:dyDescent="0.2">
      <c r="CE9169"/>
      <c r="CF9169"/>
      <c r="CG9169"/>
      <c r="CH9169"/>
      <c r="CI9169"/>
    </row>
    <row r="9170" spans="83:87" x14ac:dyDescent="0.2">
      <c r="CE9170"/>
      <c r="CF9170"/>
      <c r="CG9170"/>
      <c r="CH9170"/>
      <c r="CI9170"/>
    </row>
    <row r="9171" spans="83:87" x14ac:dyDescent="0.2">
      <c r="CE9171"/>
      <c r="CF9171"/>
      <c r="CG9171"/>
      <c r="CH9171"/>
      <c r="CI9171"/>
    </row>
    <row r="9172" spans="83:87" x14ac:dyDescent="0.2">
      <c r="CE9172"/>
      <c r="CF9172"/>
      <c r="CG9172"/>
      <c r="CH9172"/>
      <c r="CI9172"/>
    </row>
    <row r="9173" spans="83:87" x14ac:dyDescent="0.2">
      <c r="CE9173"/>
      <c r="CF9173"/>
      <c r="CG9173"/>
      <c r="CH9173"/>
      <c r="CI9173"/>
    </row>
    <row r="9174" spans="83:87" x14ac:dyDescent="0.2">
      <c r="CE9174"/>
      <c r="CF9174"/>
      <c r="CG9174"/>
      <c r="CH9174"/>
      <c r="CI9174"/>
    </row>
    <row r="9175" spans="83:87" x14ac:dyDescent="0.2">
      <c r="CE9175"/>
      <c r="CF9175"/>
      <c r="CG9175"/>
      <c r="CH9175"/>
      <c r="CI9175"/>
    </row>
    <row r="9176" spans="83:87" x14ac:dyDescent="0.2">
      <c r="CE9176"/>
      <c r="CF9176"/>
      <c r="CG9176"/>
      <c r="CH9176"/>
      <c r="CI9176"/>
    </row>
    <row r="9177" spans="83:87" x14ac:dyDescent="0.2">
      <c r="CE9177"/>
      <c r="CF9177"/>
      <c r="CG9177"/>
      <c r="CH9177"/>
      <c r="CI9177"/>
    </row>
    <row r="9178" spans="83:87" x14ac:dyDescent="0.2">
      <c r="CE9178"/>
      <c r="CF9178"/>
      <c r="CG9178"/>
      <c r="CH9178"/>
      <c r="CI9178"/>
    </row>
    <row r="9179" spans="83:87" x14ac:dyDescent="0.2">
      <c r="CE9179"/>
      <c r="CF9179"/>
      <c r="CG9179"/>
      <c r="CH9179"/>
      <c r="CI9179"/>
    </row>
    <row r="9180" spans="83:87" x14ac:dyDescent="0.2">
      <c r="CE9180"/>
      <c r="CF9180"/>
      <c r="CG9180"/>
      <c r="CH9180"/>
      <c r="CI9180"/>
    </row>
    <row r="9181" spans="83:87" x14ac:dyDescent="0.2">
      <c r="CE9181"/>
      <c r="CF9181"/>
      <c r="CG9181"/>
      <c r="CH9181"/>
      <c r="CI9181"/>
    </row>
    <row r="9182" spans="83:87" x14ac:dyDescent="0.2">
      <c r="CE9182"/>
      <c r="CF9182"/>
      <c r="CG9182"/>
      <c r="CH9182"/>
      <c r="CI9182"/>
    </row>
    <row r="9183" spans="83:87" x14ac:dyDescent="0.2">
      <c r="CE9183"/>
      <c r="CF9183"/>
      <c r="CG9183"/>
      <c r="CH9183"/>
      <c r="CI9183"/>
    </row>
    <row r="9184" spans="83:87" x14ac:dyDescent="0.2">
      <c r="CE9184"/>
      <c r="CF9184"/>
      <c r="CG9184"/>
      <c r="CH9184"/>
      <c r="CI9184"/>
    </row>
    <row r="9185" spans="83:87" x14ac:dyDescent="0.2">
      <c r="CE9185"/>
      <c r="CF9185"/>
      <c r="CG9185"/>
      <c r="CH9185"/>
      <c r="CI9185"/>
    </row>
    <row r="9186" spans="83:87" x14ac:dyDescent="0.2">
      <c r="CE9186"/>
      <c r="CF9186"/>
      <c r="CG9186"/>
      <c r="CH9186"/>
      <c r="CI9186"/>
    </row>
    <row r="9187" spans="83:87" x14ac:dyDescent="0.2">
      <c r="CE9187"/>
      <c r="CF9187"/>
      <c r="CG9187"/>
      <c r="CH9187"/>
      <c r="CI9187"/>
    </row>
    <row r="9188" spans="83:87" x14ac:dyDescent="0.2">
      <c r="CE9188"/>
      <c r="CF9188"/>
      <c r="CG9188"/>
      <c r="CH9188"/>
      <c r="CI9188"/>
    </row>
    <row r="9189" spans="83:87" x14ac:dyDescent="0.2">
      <c r="CE9189"/>
      <c r="CF9189"/>
      <c r="CG9189"/>
      <c r="CH9189"/>
      <c r="CI9189"/>
    </row>
    <row r="9190" spans="83:87" x14ac:dyDescent="0.2">
      <c r="CE9190"/>
      <c r="CF9190"/>
      <c r="CG9190"/>
      <c r="CH9190"/>
      <c r="CI9190"/>
    </row>
    <row r="9191" spans="83:87" x14ac:dyDescent="0.2">
      <c r="CE9191"/>
      <c r="CF9191"/>
      <c r="CG9191"/>
      <c r="CH9191"/>
      <c r="CI9191"/>
    </row>
    <row r="9192" spans="83:87" x14ac:dyDescent="0.2">
      <c r="CE9192"/>
      <c r="CF9192"/>
      <c r="CG9192"/>
      <c r="CH9192"/>
      <c r="CI9192"/>
    </row>
    <row r="9193" spans="83:87" x14ac:dyDescent="0.2">
      <c r="CE9193"/>
      <c r="CF9193"/>
      <c r="CG9193"/>
      <c r="CH9193"/>
      <c r="CI9193"/>
    </row>
    <row r="9194" spans="83:87" x14ac:dyDescent="0.2">
      <c r="CE9194"/>
      <c r="CF9194"/>
      <c r="CG9194"/>
      <c r="CH9194"/>
      <c r="CI9194"/>
    </row>
    <row r="9195" spans="83:87" x14ac:dyDescent="0.2">
      <c r="CE9195"/>
      <c r="CF9195"/>
      <c r="CG9195"/>
      <c r="CH9195"/>
      <c r="CI9195"/>
    </row>
    <row r="9196" spans="83:87" x14ac:dyDescent="0.2">
      <c r="CE9196"/>
      <c r="CF9196"/>
      <c r="CG9196"/>
      <c r="CH9196"/>
      <c r="CI9196"/>
    </row>
    <row r="9197" spans="83:87" x14ac:dyDescent="0.2">
      <c r="CE9197"/>
      <c r="CF9197"/>
      <c r="CG9197"/>
      <c r="CH9197"/>
      <c r="CI9197"/>
    </row>
    <row r="9198" spans="83:87" x14ac:dyDescent="0.2">
      <c r="CE9198"/>
      <c r="CF9198"/>
      <c r="CG9198"/>
      <c r="CH9198"/>
      <c r="CI9198"/>
    </row>
    <row r="9199" spans="83:87" x14ac:dyDescent="0.2">
      <c r="CE9199"/>
      <c r="CF9199"/>
      <c r="CG9199"/>
      <c r="CH9199"/>
      <c r="CI9199"/>
    </row>
    <row r="9200" spans="83:87" x14ac:dyDescent="0.2">
      <c r="CE9200"/>
      <c r="CF9200"/>
      <c r="CG9200"/>
      <c r="CH9200"/>
      <c r="CI9200"/>
    </row>
    <row r="9201" spans="83:87" x14ac:dyDescent="0.2">
      <c r="CE9201"/>
      <c r="CF9201"/>
      <c r="CG9201"/>
      <c r="CH9201"/>
      <c r="CI9201"/>
    </row>
    <row r="9202" spans="83:87" x14ac:dyDescent="0.2">
      <c r="CE9202"/>
      <c r="CF9202"/>
      <c r="CG9202"/>
      <c r="CH9202"/>
      <c r="CI9202"/>
    </row>
    <row r="9203" spans="83:87" x14ac:dyDescent="0.2">
      <c r="CE9203"/>
      <c r="CF9203"/>
      <c r="CG9203"/>
      <c r="CH9203"/>
      <c r="CI9203"/>
    </row>
    <row r="9204" spans="83:87" x14ac:dyDescent="0.2">
      <c r="CE9204"/>
      <c r="CF9204"/>
      <c r="CG9204"/>
      <c r="CH9204"/>
      <c r="CI9204"/>
    </row>
    <row r="9205" spans="83:87" x14ac:dyDescent="0.2">
      <c r="CE9205"/>
      <c r="CF9205"/>
      <c r="CG9205"/>
      <c r="CH9205"/>
      <c r="CI9205"/>
    </row>
    <row r="9206" spans="83:87" x14ac:dyDescent="0.2">
      <c r="CE9206"/>
      <c r="CF9206"/>
      <c r="CG9206"/>
      <c r="CH9206"/>
      <c r="CI9206"/>
    </row>
    <row r="9207" spans="83:87" x14ac:dyDescent="0.2">
      <c r="CE9207"/>
      <c r="CF9207"/>
      <c r="CG9207"/>
      <c r="CH9207"/>
      <c r="CI9207"/>
    </row>
    <row r="9208" spans="83:87" x14ac:dyDescent="0.2">
      <c r="CE9208"/>
      <c r="CF9208"/>
      <c r="CG9208"/>
      <c r="CH9208"/>
      <c r="CI9208"/>
    </row>
    <row r="9209" spans="83:87" x14ac:dyDescent="0.2">
      <c r="CE9209"/>
      <c r="CF9209"/>
      <c r="CG9209"/>
      <c r="CH9209"/>
      <c r="CI9209"/>
    </row>
    <row r="9210" spans="83:87" x14ac:dyDescent="0.2">
      <c r="CE9210"/>
      <c r="CF9210"/>
      <c r="CG9210"/>
      <c r="CH9210"/>
      <c r="CI9210"/>
    </row>
    <row r="9211" spans="83:87" x14ac:dyDescent="0.2">
      <c r="CE9211"/>
      <c r="CF9211"/>
      <c r="CG9211"/>
      <c r="CH9211"/>
      <c r="CI9211"/>
    </row>
    <row r="9212" spans="83:87" x14ac:dyDescent="0.2">
      <c r="CE9212"/>
      <c r="CF9212"/>
      <c r="CG9212"/>
      <c r="CH9212"/>
      <c r="CI9212"/>
    </row>
    <row r="9213" spans="83:87" x14ac:dyDescent="0.2">
      <c r="CE9213"/>
      <c r="CF9213"/>
      <c r="CG9213"/>
      <c r="CH9213"/>
      <c r="CI9213"/>
    </row>
    <row r="9214" spans="83:87" x14ac:dyDescent="0.2">
      <c r="CE9214"/>
      <c r="CF9214"/>
      <c r="CG9214"/>
      <c r="CH9214"/>
      <c r="CI9214"/>
    </row>
    <row r="9215" spans="83:87" x14ac:dyDescent="0.2">
      <c r="CE9215"/>
      <c r="CF9215"/>
      <c r="CG9215"/>
      <c r="CH9215"/>
      <c r="CI9215"/>
    </row>
    <row r="9216" spans="83:87" x14ac:dyDescent="0.2">
      <c r="CE9216"/>
      <c r="CF9216"/>
      <c r="CG9216"/>
      <c r="CH9216"/>
      <c r="CI9216"/>
    </row>
    <row r="9217" spans="83:87" x14ac:dyDescent="0.2">
      <c r="CE9217"/>
      <c r="CF9217"/>
      <c r="CG9217"/>
      <c r="CH9217"/>
      <c r="CI9217"/>
    </row>
    <row r="9218" spans="83:87" x14ac:dyDescent="0.2">
      <c r="CE9218"/>
      <c r="CF9218"/>
      <c r="CG9218"/>
      <c r="CH9218"/>
      <c r="CI9218"/>
    </row>
    <row r="9219" spans="83:87" x14ac:dyDescent="0.2">
      <c r="CE9219"/>
      <c r="CF9219"/>
      <c r="CG9219"/>
      <c r="CH9219"/>
      <c r="CI9219"/>
    </row>
    <row r="9220" spans="83:87" x14ac:dyDescent="0.2">
      <c r="CE9220"/>
      <c r="CF9220"/>
      <c r="CG9220"/>
      <c r="CH9220"/>
      <c r="CI9220"/>
    </row>
    <row r="9221" spans="83:87" x14ac:dyDescent="0.2">
      <c r="CE9221"/>
      <c r="CF9221"/>
      <c r="CG9221"/>
      <c r="CH9221"/>
      <c r="CI9221"/>
    </row>
    <row r="9222" spans="83:87" x14ac:dyDescent="0.2">
      <c r="CE9222"/>
      <c r="CF9222"/>
      <c r="CG9222"/>
      <c r="CH9222"/>
      <c r="CI9222"/>
    </row>
    <row r="9223" spans="83:87" x14ac:dyDescent="0.2">
      <c r="CE9223"/>
      <c r="CF9223"/>
      <c r="CG9223"/>
      <c r="CH9223"/>
      <c r="CI9223"/>
    </row>
    <row r="9224" spans="83:87" x14ac:dyDescent="0.2">
      <c r="CE9224"/>
      <c r="CF9224"/>
      <c r="CG9224"/>
      <c r="CH9224"/>
      <c r="CI9224"/>
    </row>
    <row r="9225" spans="83:87" x14ac:dyDescent="0.2">
      <c r="CE9225"/>
      <c r="CF9225"/>
      <c r="CG9225"/>
      <c r="CH9225"/>
      <c r="CI9225"/>
    </row>
    <row r="9226" spans="83:87" x14ac:dyDescent="0.2">
      <c r="CE9226"/>
      <c r="CF9226"/>
      <c r="CG9226"/>
      <c r="CH9226"/>
      <c r="CI9226"/>
    </row>
    <row r="9227" spans="83:87" x14ac:dyDescent="0.2">
      <c r="CE9227"/>
      <c r="CF9227"/>
      <c r="CG9227"/>
      <c r="CH9227"/>
      <c r="CI9227"/>
    </row>
    <row r="9228" spans="83:87" x14ac:dyDescent="0.2">
      <c r="CE9228"/>
      <c r="CF9228"/>
      <c r="CG9228"/>
      <c r="CH9228"/>
      <c r="CI9228"/>
    </row>
    <row r="9229" spans="83:87" x14ac:dyDescent="0.2">
      <c r="CE9229"/>
      <c r="CF9229"/>
      <c r="CG9229"/>
      <c r="CH9229"/>
      <c r="CI9229"/>
    </row>
    <row r="9230" spans="83:87" x14ac:dyDescent="0.2">
      <c r="CE9230"/>
      <c r="CF9230"/>
      <c r="CG9230"/>
      <c r="CH9230"/>
      <c r="CI9230"/>
    </row>
    <row r="9231" spans="83:87" x14ac:dyDescent="0.2">
      <c r="CE9231"/>
      <c r="CF9231"/>
      <c r="CG9231"/>
      <c r="CH9231"/>
      <c r="CI9231"/>
    </row>
    <row r="9232" spans="83:87" x14ac:dyDescent="0.2">
      <c r="CE9232"/>
      <c r="CF9232"/>
      <c r="CG9232"/>
      <c r="CH9232"/>
      <c r="CI9232"/>
    </row>
    <row r="9233" spans="83:87" x14ac:dyDescent="0.2">
      <c r="CE9233"/>
      <c r="CF9233"/>
      <c r="CG9233"/>
      <c r="CH9233"/>
      <c r="CI9233"/>
    </row>
    <row r="9234" spans="83:87" x14ac:dyDescent="0.2">
      <c r="CE9234"/>
      <c r="CF9234"/>
      <c r="CG9234"/>
      <c r="CH9234"/>
      <c r="CI9234"/>
    </row>
    <row r="9235" spans="83:87" x14ac:dyDescent="0.2">
      <c r="CE9235"/>
      <c r="CF9235"/>
      <c r="CG9235"/>
      <c r="CH9235"/>
      <c r="CI9235"/>
    </row>
    <row r="9236" spans="83:87" x14ac:dyDescent="0.2">
      <c r="CE9236"/>
      <c r="CF9236"/>
      <c r="CG9236"/>
      <c r="CH9236"/>
      <c r="CI9236"/>
    </row>
    <row r="9237" spans="83:87" x14ac:dyDescent="0.2">
      <c r="CE9237"/>
      <c r="CF9237"/>
      <c r="CG9237"/>
      <c r="CH9237"/>
      <c r="CI9237"/>
    </row>
    <row r="9238" spans="83:87" x14ac:dyDescent="0.2">
      <c r="CE9238"/>
      <c r="CF9238"/>
      <c r="CG9238"/>
      <c r="CH9238"/>
      <c r="CI9238"/>
    </row>
    <row r="9239" spans="83:87" x14ac:dyDescent="0.2">
      <c r="CE9239"/>
      <c r="CF9239"/>
      <c r="CG9239"/>
      <c r="CH9239"/>
      <c r="CI9239"/>
    </row>
    <row r="9240" spans="83:87" x14ac:dyDescent="0.2">
      <c r="CE9240"/>
      <c r="CF9240"/>
      <c r="CG9240"/>
      <c r="CH9240"/>
      <c r="CI9240"/>
    </row>
    <row r="9241" spans="83:87" x14ac:dyDescent="0.2">
      <c r="CE9241"/>
      <c r="CF9241"/>
      <c r="CG9241"/>
      <c r="CH9241"/>
      <c r="CI9241"/>
    </row>
    <row r="9242" spans="83:87" x14ac:dyDescent="0.2">
      <c r="CE9242"/>
      <c r="CF9242"/>
      <c r="CG9242"/>
      <c r="CH9242"/>
      <c r="CI9242"/>
    </row>
    <row r="9243" spans="83:87" x14ac:dyDescent="0.2">
      <c r="CE9243"/>
      <c r="CF9243"/>
      <c r="CG9243"/>
      <c r="CH9243"/>
      <c r="CI9243"/>
    </row>
    <row r="9244" spans="83:87" x14ac:dyDescent="0.2">
      <c r="CE9244"/>
      <c r="CF9244"/>
      <c r="CG9244"/>
      <c r="CH9244"/>
      <c r="CI9244"/>
    </row>
    <row r="9245" spans="83:87" x14ac:dyDescent="0.2">
      <c r="CE9245"/>
      <c r="CF9245"/>
      <c r="CG9245"/>
      <c r="CH9245"/>
      <c r="CI9245"/>
    </row>
    <row r="9246" spans="83:87" x14ac:dyDescent="0.2">
      <c r="CE9246"/>
      <c r="CF9246"/>
      <c r="CG9246"/>
      <c r="CH9246"/>
      <c r="CI9246"/>
    </row>
    <row r="9247" spans="83:87" x14ac:dyDescent="0.2">
      <c r="CE9247"/>
      <c r="CF9247"/>
      <c r="CG9247"/>
      <c r="CH9247"/>
      <c r="CI9247"/>
    </row>
    <row r="9248" spans="83:87" x14ac:dyDescent="0.2">
      <c r="CE9248"/>
      <c r="CF9248"/>
      <c r="CG9248"/>
      <c r="CH9248"/>
      <c r="CI9248"/>
    </row>
    <row r="9249" spans="83:87" x14ac:dyDescent="0.2">
      <c r="CE9249"/>
      <c r="CF9249"/>
      <c r="CG9249"/>
      <c r="CH9249"/>
      <c r="CI9249"/>
    </row>
    <row r="9250" spans="83:87" x14ac:dyDescent="0.2">
      <c r="CE9250"/>
      <c r="CF9250"/>
      <c r="CG9250"/>
      <c r="CH9250"/>
      <c r="CI9250"/>
    </row>
    <row r="9251" spans="83:87" x14ac:dyDescent="0.2">
      <c r="CE9251"/>
      <c r="CF9251"/>
      <c r="CG9251"/>
      <c r="CH9251"/>
      <c r="CI9251"/>
    </row>
    <row r="9252" spans="83:87" x14ac:dyDescent="0.2">
      <c r="CE9252"/>
      <c r="CF9252"/>
      <c r="CG9252"/>
      <c r="CH9252"/>
      <c r="CI9252"/>
    </row>
    <row r="9253" spans="83:87" x14ac:dyDescent="0.2">
      <c r="CE9253"/>
      <c r="CF9253"/>
      <c r="CG9253"/>
      <c r="CH9253"/>
      <c r="CI9253"/>
    </row>
    <row r="9254" spans="83:87" x14ac:dyDescent="0.2">
      <c r="CE9254"/>
      <c r="CF9254"/>
      <c r="CG9254"/>
      <c r="CH9254"/>
      <c r="CI9254"/>
    </row>
    <row r="9255" spans="83:87" x14ac:dyDescent="0.2">
      <c r="CE9255"/>
      <c r="CF9255"/>
      <c r="CG9255"/>
      <c r="CH9255"/>
      <c r="CI9255"/>
    </row>
    <row r="9256" spans="83:87" x14ac:dyDescent="0.2">
      <c r="CE9256"/>
      <c r="CF9256"/>
      <c r="CG9256"/>
      <c r="CH9256"/>
      <c r="CI9256"/>
    </row>
    <row r="9257" spans="83:87" x14ac:dyDescent="0.2">
      <c r="CE9257"/>
      <c r="CF9257"/>
      <c r="CG9257"/>
      <c r="CH9257"/>
      <c r="CI9257"/>
    </row>
    <row r="9258" spans="83:87" x14ac:dyDescent="0.2">
      <c r="CE9258"/>
      <c r="CF9258"/>
      <c r="CG9258"/>
      <c r="CH9258"/>
      <c r="CI9258"/>
    </row>
    <row r="9259" spans="83:87" x14ac:dyDescent="0.2">
      <c r="CE9259"/>
      <c r="CF9259"/>
      <c r="CG9259"/>
      <c r="CH9259"/>
      <c r="CI9259"/>
    </row>
    <row r="9260" spans="83:87" x14ac:dyDescent="0.2">
      <c r="CE9260"/>
      <c r="CF9260"/>
      <c r="CG9260"/>
      <c r="CH9260"/>
      <c r="CI9260"/>
    </row>
    <row r="9261" spans="83:87" x14ac:dyDescent="0.2">
      <c r="CE9261"/>
      <c r="CF9261"/>
      <c r="CG9261"/>
      <c r="CH9261"/>
      <c r="CI9261"/>
    </row>
    <row r="9262" spans="83:87" x14ac:dyDescent="0.2">
      <c r="CE9262"/>
      <c r="CF9262"/>
      <c r="CG9262"/>
      <c r="CH9262"/>
      <c r="CI9262"/>
    </row>
    <row r="9263" spans="83:87" x14ac:dyDescent="0.2">
      <c r="CE9263"/>
      <c r="CF9263"/>
      <c r="CG9263"/>
      <c r="CH9263"/>
      <c r="CI9263"/>
    </row>
    <row r="9264" spans="83:87" x14ac:dyDescent="0.2">
      <c r="CE9264"/>
      <c r="CF9264"/>
      <c r="CG9264"/>
      <c r="CH9264"/>
      <c r="CI9264"/>
    </row>
    <row r="9265" spans="83:87" x14ac:dyDescent="0.2">
      <c r="CE9265"/>
      <c r="CF9265"/>
      <c r="CG9265"/>
      <c r="CH9265"/>
      <c r="CI9265"/>
    </row>
    <row r="9266" spans="83:87" x14ac:dyDescent="0.2">
      <c r="CE9266"/>
      <c r="CF9266"/>
      <c r="CG9266"/>
      <c r="CH9266"/>
      <c r="CI9266"/>
    </row>
    <row r="9267" spans="83:87" x14ac:dyDescent="0.2">
      <c r="CE9267"/>
      <c r="CF9267"/>
      <c r="CG9267"/>
      <c r="CH9267"/>
      <c r="CI9267"/>
    </row>
    <row r="9268" spans="83:87" x14ac:dyDescent="0.2">
      <c r="CE9268"/>
      <c r="CF9268"/>
      <c r="CG9268"/>
      <c r="CH9268"/>
      <c r="CI9268"/>
    </row>
    <row r="9269" spans="83:87" x14ac:dyDescent="0.2">
      <c r="CE9269"/>
      <c r="CF9269"/>
      <c r="CG9269"/>
      <c r="CH9269"/>
      <c r="CI9269"/>
    </row>
    <row r="9270" spans="83:87" x14ac:dyDescent="0.2">
      <c r="CE9270"/>
      <c r="CF9270"/>
      <c r="CG9270"/>
      <c r="CH9270"/>
      <c r="CI9270"/>
    </row>
    <row r="9271" spans="83:87" x14ac:dyDescent="0.2">
      <c r="CE9271"/>
      <c r="CF9271"/>
      <c r="CG9271"/>
      <c r="CH9271"/>
      <c r="CI9271"/>
    </row>
    <row r="9272" spans="83:87" x14ac:dyDescent="0.2">
      <c r="CE9272"/>
      <c r="CF9272"/>
      <c r="CG9272"/>
      <c r="CH9272"/>
      <c r="CI9272"/>
    </row>
    <row r="9273" spans="83:87" x14ac:dyDescent="0.2">
      <c r="CE9273"/>
      <c r="CF9273"/>
      <c r="CG9273"/>
      <c r="CH9273"/>
      <c r="CI9273"/>
    </row>
    <row r="9274" spans="83:87" x14ac:dyDescent="0.2">
      <c r="CE9274"/>
      <c r="CF9274"/>
      <c r="CG9274"/>
      <c r="CH9274"/>
      <c r="CI9274"/>
    </row>
    <row r="9275" spans="83:87" x14ac:dyDescent="0.2">
      <c r="CE9275"/>
      <c r="CF9275"/>
      <c r="CG9275"/>
      <c r="CH9275"/>
      <c r="CI9275"/>
    </row>
    <row r="9276" spans="83:87" x14ac:dyDescent="0.2">
      <c r="CE9276"/>
      <c r="CF9276"/>
      <c r="CG9276"/>
      <c r="CH9276"/>
      <c r="CI9276"/>
    </row>
    <row r="9277" spans="83:87" x14ac:dyDescent="0.2">
      <c r="CE9277"/>
      <c r="CF9277"/>
      <c r="CG9277"/>
      <c r="CH9277"/>
      <c r="CI9277"/>
    </row>
    <row r="9278" spans="83:87" x14ac:dyDescent="0.2">
      <c r="CE9278"/>
      <c r="CF9278"/>
      <c r="CG9278"/>
      <c r="CH9278"/>
      <c r="CI9278"/>
    </row>
    <row r="9279" spans="83:87" x14ac:dyDescent="0.2">
      <c r="CE9279"/>
      <c r="CF9279"/>
      <c r="CG9279"/>
      <c r="CH9279"/>
      <c r="CI9279"/>
    </row>
    <row r="9280" spans="83:87" x14ac:dyDescent="0.2">
      <c r="CE9280"/>
      <c r="CF9280"/>
      <c r="CG9280"/>
      <c r="CH9280"/>
      <c r="CI9280"/>
    </row>
    <row r="9281" spans="83:87" x14ac:dyDescent="0.2">
      <c r="CE9281"/>
      <c r="CF9281"/>
      <c r="CG9281"/>
      <c r="CH9281"/>
      <c r="CI9281"/>
    </row>
    <row r="9282" spans="83:87" x14ac:dyDescent="0.2">
      <c r="CE9282"/>
      <c r="CF9282"/>
      <c r="CG9282"/>
      <c r="CH9282"/>
      <c r="CI9282"/>
    </row>
    <row r="9283" spans="83:87" x14ac:dyDescent="0.2">
      <c r="CE9283"/>
      <c r="CF9283"/>
      <c r="CG9283"/>
      <c r="CH9283"/>
      <c r="CI9283"/>
    </row>
    <row r="9284" spans="83:87" x14ac:dyDescent="0.2">
      <c r="CE9284"/>
      <c r="CF9284"/>
      <c r="CG9284"/>
      <c r="CH9284"/>
      <c r="CI9284"/>
    </row>
    <row r="9285" spans="83:87" x14ac:dyDescent="0.2">
      <c r="CE9285"/>
      <c r="CF9285"/>
      <c r="CG9285"/>
      <c r="CH9285"/>
      <c r="CI9285"/>
    </row>
    <row r="9286" spans="83:87" x14ac:dyDescent="0.2">
      <c r="CE9286"/>
      <c r="CF9286"/>
      <c r="CG9286"/>
      <c r="CH9286"/>
      <c r="CI9286"/>
    </row>
    <row r="9287" spans="83:87" x14ac:dyDescent="0.2">
      <c r="CE9287"/>
      <c r="CF9287"/>
      <c r="CG9287"/>
      <c r="CH9287"/>
      <c r="CI9287"/>
    </row>
    <row r="9288" spans="83:87" x14ac:dyDescent="0.2">
      <c r="CE9288"/>
      <c r="CF9288"/>
      <c r="CG9288"/>
      <c r="CH9288"/>
      <c r="CI9288"/>
    </row>
    <row r="9289" spans="83:87" x14ac:dyDescent="0.2">
      <c r="CE9289"/>
      <c r="CF9289"/>
      <c r="CG9289"/>
      <c r="CH9289"/>
      <c r="CI9289"/>
    </row>
    <row r="9290" spans="83:87" x14ac:dyDescent="0.2">
      <c r="CE9290"/>
      <c r="CF9290"/>
      <c r="CG9290"/>
      <c r="CH9290"/>
      <c r="CI9290"/>
    </row>
    <row r="9291" spans="83:87" x14ac:dyDescent="0.2">
      <c r="CE9291"/>
      <c r="CF9291"/>
      <c r="CG9291"/>
      <c r="CH9291"/>
      <c r="CI9291"/>
    </row>
    <row r="9292" spans="83:87" x14ac:dyDescent="0.2">
      <c r="CE9292"/>
      <c r="CF9292"/>
      <c r="CG9292"/>
      <c r="CH9292"/>
      <c r="CI9292"/>
    </row>
    <row r="9293" spans="83:87" x14ac:dyDescent="0.2">
      <c r="CE9293"/>
      <c r="CF9293"/>
      <c r="CG9293"/>
      <c r="CH9293"/>
      <c r="CI9293"/>
    </row>
    <row r="9294" spans="83:87" x14ac:dyDescent="0.2">
      <c r="CE9294"/>
      <c r="CF9294"/>
      <c r="CG9294"/>
      <c r="CH9294"/>
      <c r="CI9294"/>
    </row>
    <row r="9295" spans="83:87" x14ac:dyDescent="0.2">
      <c r="CE9295"/>
      <c r="CF9295"/>
      <c r="CG9295"/>
      <c r="CH9295"/>
      <c r="CI9295"/>
    </row>
    <row r="9296" spans="83:87" x14ac:dyDescent="0.2">
      <c r="CE9296"/>
      <c r="CF9296"/>
      <c r="CG9296"/>
      <c r="CH9296"/>
      <c r="CI9296"/>
    </row>
    <row r="9297" spans="83:87" x14ac:dyDescent="0.2">
      <c r="CE9297"/>
      <c r="CF9297"/>
      <c r="CG9297"/>
      <c r="CH9297"/>
      <c r="CI9297"/>
    </row>
    <row r="9298" spans="83:87" x14ac:dyDescent="0.2">
      <c r="CE9298"/>
      <c r="CF9298"/>
      <c r="CG9298"/>
      <c r="CH9298"/>
      <c r="CI9298"/>
    </row>
    <row r="9299" spans="83:87" x14ac:dyDescent="0.2">
      <c r="CE9299"/>
      <c r="CF9299"/>
      <c r="CG9299"/>
      <c r="CH9299"/>
      <c r="CI9299"/>
    </row>
    <row r="9300" spans="83:87" x14ac:dyDescent="0.2">
      <c r="CE9300"/>
      <c r="CF9300"/>
      <c r="CG9300"/>
      <c r="CH9300"/>
      <c r="CI9300"/>
    </row>
    <row r="9301" spans="83:87" x14ac:dyDescent="0.2">
      <c r="CE9301"/>
      <c r="CF9301"/>
      <c r="CG9301"/>
      <c r="CH9301"/>
      <c r="CI9301"/>
    </row>
    <row r="9302" spans="83:87" x14ac:dyDescent="0.2">
      <c r="CE9302"/>
      <c r="CF9302"/>
      <c r="CG9302"/>
      <c r="CH9302"/>
      <c r="CI9302"/>
    </row>
    <row r="9303" spans="83:87" x14ac:dyDescent="0.2">
      <c r="CE9303"/>
      <c r="CF9303"/>
      <c r="CG9303"/>
      <c r="CH9303"/>
      <c r="CI9303"/>
    </row>
    <row r="9304" spans="83:87" x14ac:dyDescent="0.2">
      <c r="CE9304"/>
      <c r="CF9304"/>
      <c r="CG9304"/>
      <c r="CH9304"/>
      <c r="CI9304"/>
    </row>
    <row r="9305" spans="83:87" x14ac:dyDescent="0.2">
      <c r="CE9305"/>
      <c r="CF9305"/>
      <c r="CG9305"/>
      <c r="CH9305"/>
      <c r="CI9305"/>
    </row>
    <row r="9306" spans="83:87" x14ac:dyDescent="0.2">
      <c r="CE9306"/>
      <c r="CF9306"/>
      <c r="CG9306"/>
      <c r="CH9306"/>
      <c r="CI9306"/>
    </row>
    <row r="9307" spans="83:87" x14ac:dyDescent="0.2">
      <c r="CE9307"/>
      <c r="CF9307"/>
      <c r="CG9307"/>
      <c r="CH9307"/>
      <c r="CI9307"/>
    </row>
    <row r="9308" spans="83:87" x14ac:dyDescent="0.2">
      <c r="CE9308"/>
      <c r="CF9308"/>
      <c r="CG9308"/>
      <c r="CH9308"/>
      <c r="CI9308"/>
    </row>
    <row r="9309" spans="83:87" x14ac:dyDescent="0.2">
      <c r="CE9309"/>
      <c r="CF9309"/>
      <c r="CG9309"/>
      <c r="CH9309"/>
      <c r="CI9309"/>
    </row>
    <row r="9310" spans="83:87" x14ac:dyDescent="0.2">
      <c r="CE9310"/>
      <c r="CF9310"/>
      <c r="CG9310"/>
      <c r="CH9310"/>
      <c r="CI9310"/>
    </row>
    <row r="9311" spans="83:87" x14ac:dyDescent="0.2">
      <c r="CE9311"/>
      <c r="CF9311"/>
      <c r="CG9311"/>
      <c r="CH9311"/>
      <c r="CI9311"/>
    </row>
    <row r="9312" spans="83:87" x14ac:dyDescent="0.2">
      <c r="CE9312"/>
      <c r="CF9312"/>
      <c r="CG9312"/>
      <c r="CH9312"/>
      <c r="CI9312"/>
    </row>
    <row r="9313" spans="83:87" x14ac:dyDescent="0.2">
      <c r="CE9313"/>
      <c r="CF9313"/>
      <c r="CG9313"/>
      <c r="CH9313"/>
      <c r="CI9313"/>
    </row>
    <row r="9314" spans="83:87" x14ac:dyDescent="0.2">
      <c r="CE9314"/>
      <c r="CF9314"/>
      <c r="CG9314"/>
      <c r="CH9314"/>
      <c r="CI9314"/>
    </row>
    <row r="9315" spans="83:87" x14ac:dyDescent="0.2">
      <c r="CE9315"/>
      <c r="CF9315"/>
      <c r="CG9315"/>
      <c r="CH9315"/>
      <c r="CI9315"/>
    </row>
    <row r="9316" spans="83:87" x14ac:dyDescent="0.2">
      <c r="CE9316"/>
      <c r="CF9316"/>
      <c r="CG9316"/>
      <c r="CH9316"/>
      <c r="CI9316"/>
    </row>
    <row r="9317" spans="83:87" x14ac:dyDescent="0.2">
      <c r="CE9317"/>
      <c r="CF9317"/>
      <c r="CG9317"/>
      <c r="CH9317"/>
      <c r="CI9317"/>
    </row>
    <row r="9318" spans="83:87" x14ac:dyDescent="0.2">
      <c r="CE9318"/>
      <c r="CF9318"/>
      <c r="CG9318"/>
      <c r="CH9318"/>
      <c r="CI9318"/>
    </row>
    <row r="9319" spans="83:87" x14ac:dyDescent="0.2">
      <c r="CE9319"/>
      <c r="CF9319"/>
      <c r="CG9319"/>
      <c r="CH9319"/>
      <c r="CI9319"/>
    </row>
    <row r="9320" spans="83:87" x14ac:dyDescent="0.2">
      <c r="CE9320"/>
      <c r="CF9320"/>
      <c r="CG9320"/>
      <c r="CH9320"/>
      <c r="CI9320"/>
    </row>
    <row r="9321" spans="83:87" x14ac:dyDescent="0.2">
      <c r="CE9321"/>
      <c r="CF9321"/>
      <c r="CG9321"/>
      <c r="CH9321"/>
      <c r="CI9321"/>
    </row>
    <row r="9322" spans="83:87" x14ac:dyDescent="0.2">
      <c r="CE9322"/>
      <c r="CF9322"/>
      <c r="CG9322"/>
      <c r="CH9322"/>
      <c r="CI9322"/>
    </row>
    <row r="9323" spans="83:87" x14ac:dyDescent="0.2">
      <c r="CE9323"/>
      <c r="CF9323"/>
      <c r="CG9323"/>
      <c r="CH9323"/>
      <c r="CI9323"/>
    </row>
    <row r="9324" spans="83:87" x14ac:dyDescent="0.2">
      <c r="CE9324"/>
      <c r="CF9324"/>
      <c r="CG9324"/>
      <c r="CH9324"/>
      <c r="CI9324"/>
    </row>
    <row r="9325" spans="83:87" x14ac:dyDescent="0.2">
      <c r="CE9325"/>
      <c r="CF9325"/>
      <c r="CG9325"/>
      <c r="CH9325"/>
      <c r="CI9325"/>
    </row>
    <row r="9326" spans="83:87" x14ac:dyDescent="0.2">
      <c r="CE9326"/>
      <c r="CF9326"/>
      <c r="CG9326"/>
      <c r="CH9326"/>
      <c r="CI9326"/>
    </row>
    <row r="9327" spans="83:87" x14ac:dyDescent="0.2">
      <c r="CE9327"/>
      <c r="CF9327"/>
      <c r="CG9327"/>
      <c r="CH9327"/>
      <c r="CI9327"/>
    </row>
    <row r="9328" spans="83:87" x14ac:dyDescent="0.2">
      <c r="CE9328"/>
      <c r="CF9328"/>
      <c r="CG9328"/>
      <c r="CH9328"/>
      <c r="CI9328"/>
    </row>
    <row r="9329" spans="83:87" x14ac:dyDescent="0.2">
      <c r="CE9329"/>
      <c r="CF9329"/>
      <c r="CG9329"/>
      <c r="CH9329"/>
      <c r="CI9329"/>
    </row>
    <row r="9330" spans="83:87" x14ac:dyDescent="0.2">
      <c r="CE9330"/>
      <c r="CF9330"/>
      <c r="CG9330"/>
      <c r="CH9330"/>
      <c r="CI9330"/>
    </row>
    <row r="9331" spans="83:87" x14ac:dyDescent="0.2">
      <c r="CE9331"/>
      <c r="CF9331"/>
      <c r="CG9331"/>
      <c r="CH9331"/>
      <c r="CI9331"/>
    </row>
    <row r="9332" spans="83:87" x14ac:dyDescent="0.2">
      <c r="CE9332"/>
      <c r="CF9332"/>
      <c r="CG9332"/>
      <c r="CH9332"/>
      <c r="CI9332"/>
    </row>
    <row r="9333" spans="83:87" x14ac:dyDescent="0.2">
      <c r="CE9333"/>
      <c r="CF9333"/>
      <c r="CG9333"/>
      <c r="CH9333"/>
      <c r="CI9333"/>
    </row>
    <row r="9334" spans="83:87" x14ac:dyDescent="0.2">
      <c r="CE9334"/>
      <c r="CF9334"/>
      <c r="CG9334"/>
      <c r="CH9334"/>
      <c r="CI9334"/>
    </row>
    <row r="9335" spans="83:87" x14ac:dyDescent="0.2">
      <c r="CE9335"/>
      <c r="CF9335"/>
      <c r="CG9335"/>
      <c r="CH9335"/>
      <c r="CI9335"/>
    </row>
    <row r="9336" spans="83:87" x14ac:dyDescent="0.2">
      <c r="CE9336"/>
      <c r="CF9336"/>
      <c r="CG9336"/>
      <c r="CH9336"/>
      <c r="CI9336"/>
    </row>
    <row r="9337" spans="83:87" x14ac:dyDescent="0.2">
      <c r="CE9337"/>
      <c r="CF9337"/>
      <c r="CG9337"/>
      <c r="CH9337"/>
      <c r="CI9337"/>
    </row>
    <row r="9338" spans="83:87" x14ac:dyDescent="0.2">
      <c r="CE9338"/>
      <c r="CF9338"/>
      <c r="CG9338"/>
      <c r="CH9338"/>
      <c r="CI9338"/>
    </row>
    <row r="9339" spans="83:87" x14ac:dyDescent="0.2">
      <c r="CE9339"/>
      <c r="CF9339"/>
      <c r="CG9339"/>
      <c r="CH9339"/>
      <c r="CI9339"/>
    </row>
    <row r="9340" spans="83:87" x14ac:dyDescent="0.2">
      <c r="CE9340"/>
      <c r="CF9340"/>
      <c r="CG9340"/>
      <c r="CH9340"/>
      <c r="CI9340"/>
    </row>
    <row r="9341" spans="83:87" x14ac:dyDescent="0.2">
      <c r="CE9341"/>
      <c r="CF9341"/>
      <c r="CG9341"/>
      <c r="CH9341"/>
      <c r="CI9341"/>
    </row>
    <row r="9342" spans="83:87" x14ac:dyDescent="0.2">
      <c r="CE9342"/>
      <c r="CF9342"/>
      <c r="CG9342"/>
      <c r="CH9342"/>
      <c r="CI9342"/>
    </row>
    <row r="9343" spans="83:87" x14ac:dyDescent="0.2">
      <c r="CE9343"/>
      <c r="CF9343"/>
      <c r="CG9343"/>
      <c r="CH9343"/>
      <c r="CI9343"/>
    </row>
    <row r="9344" spans="83:87" x14ac:dyDescent="0.2">
      <c r="CE9344"/>
      <c r="CF9344"/>
      <c r="CG9344"/>
      <c r="CH9344"/>
      <c r="CI9344"/>
    </row>
    <row r="9345" spans="83:87" x14ac:dyDescent="0.2">
      <c r="CE9345"/>
      <c r="CF9345"/>
      <c r="CG9345"/>
      <c r="CH9345"/>
      <c r="CI9345"/>
    </row>
    <row r="9346" spans="83:87" x14ac:dyDescent="0.2">
      <c r="CE9346"/>
      <c r="CF9346"/>
      <c r="CG9346"/>
      <c r="CH9346"/>
      <c r="CI9346"/>
    </row>
    <row r="9347" spans="83:87" x14ac:dyDescent="0.2">
      <c r="CE9347"/>
      <c r="CF9347"/>
      <c r="CG9347"/>
      <c r="CH9347"/>
      <c r="CI9347"/>
    </row>
    <row r="9348" spans="83:87" x14ac:dyDescent="0.2">
      <c r="CE9348"/>
      <c r="CF9348"/>
      <c r="CG9348"/>
      <c r="CH9348"/>
      <c r="CI9348"/>
    </row>
    <row r="9349" spans="83:87" x14ac:dyDescent="0.2">
      <c r="CE9349"/>
      <c r="CF9349"/>
      <c r="CG9349"/>
      <c r="CH9349"/>
      <c r="CI9349"/>
    </row>
    <row r="9350" spans="83:87" x14ac:dyDescent="0.2">
      <c r="CE9350"/>
      <c r="CF9350"/>
      <c r="CG9350"/>
      <c r="CH9350"/>
      <c r="CI9350"/>
    </row>
    <row r="9351" spans="83:87" x14ac:dyDescent="0.2">
      <c r="CE9351"/>
      <c r="CF9351"/>
      <c r="CG9351"/>
      <c r="CH9351"/>
      <c r="CI9351"/>
    </row>
    <row r="9352" spans="83:87" x14ac:dyDescent="0.2">
      <c r="CE9352"/>
      <c r="CF9352"/>
      <c r="CG9352"/>
      <c r="CH9352"/>
      <c r="CI9352"/>
    </row>
    <row r="9353" spans="83:87" x14ac:dyDescent="0.2">
      <c r="CE9353"/>
      <c r="CF9353"/>
      <c r="CG9353"/>
      <c r="CH9353"/>
      <c r="CI9353"/>
    </row>
    <row r="9354" spans="83:87" x14ac:dyDescent="0.2">
      <c r="CE9354"/>
      <c r="CF9354"/>
      <c r="CG9354"/>
      <c r="CH9354"/>
      <c r="CI9354"/>
    </row>
    <row r="9355" spans="83:87" x14ac:dyDescent="0.2">
      <c r="CE9355"/>
      <c r="CF9355"/>
      <c r="CG9355"/>
      <c r="CH9355"/>
      <c r="CI9355"/>
    </row>
    <row r="9356" spans="83:87" x14ac:dyDescent="0.2">
      <c r="CE9356"/>
      <c r="CF9356"/>
      <c r="CG9356"/>
      <c r="CH9356"/>
      <c r="CI9356"/>
    </row>
    <row r="9357" spans="83:87" x14ac:dyDescent="0.2">
      <c r="CE9357"/>
      <c r="CF9357"/>
      <c r="CG9357"/>
      <c r="CH9357"/>
      <c r="CI9357"/>
    </row>
    <row r="9358" spans="83:87" x14ac:dyDescent="0.2">
      <c r="CE9358"/>
      <c r="CF9358"/>
      <c r="CG9358"/>
      <c r="CH9358"/>
      <c r="CI9358"/>
    </row>
    <row r="9359" spans="83:87" x14ac:dyDescent="0.2">
      <c r="CE9359"/>
      <c r="CF9359"/>
      <c r="CG9359"/>
      <c r="CH9359"/>
      <c r="CI9359"/>
    </row>
    <row r="9360" spans="83:87" x14ac:dyDescent="0.2">
      <c r="CE9360"/>
      <c r="CF9360"/>
      <c r="CG9360"/>
      <c r="CH9360"/>
      <c r="CI9360"/>
    </row>
    <row r="9361" spans="83:87" x14ac:dyDescent="0.2">
      <c r="CE9361"/>
      <c r="CF9361"/>
      <c r="CG9361"/>
      <c r="CH9361"/>
      <c r="CI9361"/>
    </row>
    <row r="9362" spans="83:87" x14ac:dyDescent="0.2">
      <c r="CE9362"/>
      <c r="CF9362"/>
      <c r="CG9362"/>
      <c r="CH9362"/>
      <c r="CI9362"/>
    </row>
    <row r="9363" spans="83:87" x14ac:dyDescent="0.2">
      <c r="CE9363"/>
      <c r="CF9363"/>
      <c r="CG9363"/>
      <c r="CH9363"/>
      <c r="CI9363"/>
    </row>
    <row r="9364" spans="83:87" x14ac:dyDescent="0.2">
      <c r="CE9364"/>
      <c r="CF9364"/>
      <c r="CG9364"/>
      <c r="CH9364"/>
      <c r="CI9364"/>
    </row>
    <row r="9365" spans="83:87" x14ac:dyDescent="0.2">
      <c r="CE9365"/>
      <c r="CF9365"/>
      <c r="CG9365"/>
      <c r="CH9365"/>
      <c r="CI9365"/>
    </row>
    <row r="9366" spans="83:87" x14ac:dyDescent="0.2">
      <c r="CE9366"/>
      <c r="CF9366"/>
      <c r="CG9366"/>
      <c r="CH9366"/>
      <c r="CI9366"/>
    </row>
    <row r="9367" spans="83:87" x14ac:dyDescent="0.2">
      <c r="CE9367"/>
      <c r="CF9367"/>
      <c r="CG9367"/>
      <c r="CH9367"/>
      <c r="CI9367"/>
    </row>
    <row r="9368" spans="83:87" x14ac:dyDescent="0.2">
      <c r="CE9368"/>
      <c r="CF9368"/>
      <c r="CG9368"/>
      <c r="CH9368"/>
      <c r="CI9368"/>
    </row>
    <row r="9369" spans="83:87" x14ac:dyDescent="0.2">
      <c r="CE9369"/>
      <c r="CF9369"/>
      <c r="CG9369"/>
      <c r="CH9369"/>
      <c r="CI9369"/>
    </row>
    <row r="9370" spans="83:87" x14ac:dyDescent="0.2">
      <c r="CE9370"/>
      <c r="CF9370"/>
      <c r="CG9370"/>
      <c r="CH9370"/>
      <c r="CI9370"/>
    </row>
    <row r="9371" spans="83:87" x14ac:dyDescent="0.2">
      <c r="CE9371"/>
      <c r="CF9371"/>
      <c r="CG9371"/>
      <c r="CH9371"/>
      <c r="CI9371"/>
    </row>
    <row r="9372" spans="83:87" x14ac:dyDescent="0.2">
      <c r="CE9372"/>
      <c r="CF9372"/>
      <c r="CG9372"/>
      <c r="CH9372"/>
      <c r="CI9372"/>
    </row>
    <row r="9373" spans="83:87" x14ac:dyDescent="0.2">
      <c r="CE9373"/>
      <c r="CF9373"/>
      <c r="CG9373"/>
      <c r="CH9373"/>
      <c r="CI9373"/>
    </row>
    <row r="9374" spans="83:87" x14ac:dyDescent="0.2">
      <c r="CE9374"/>
      <c r="CF9374"/>
      <c r="CG9374"/>
      <c r="CH9374"/>
      <c r="CI9374"/>
    </row>
    <row r="9375" spans="83:87" x14ac:dyDescent="0.2">
      <c r="CE9375"/>
      <c r="CF9375"/>
      <c r="CG9375"/>
      <c r="CH9375"/>
      <c r="CI9375"/>
    </row>
    <row r="9376" spans="83:87" x14ac:dyDescent="0.2">
      <c r="CE9376"/>
      <c r="CF9376"/>
      <c r="CG9376"/>
      <c r="CH9376"/>
      <c r="CI9376"/>
    </row>
    <row r="9377" spans="83:87" x14ac:dyDescent="0.2">
      <c r="CE9377"/>
      <c r="CF9377"/>
      <c r="CG9377"/>
      <c r="CH9377"/>
      <c r="CI9377"/>
    </row>
    <row r="9378" spans="83:87" x14ac:dyDescent="0.2">
      <c r="CE9378"/>
      <c r="CF9378"/>
      <c r="CG9378"/>
      <c r="CH9378"/>
      <c r="CI9378"/>
    </row>
    <row r="9379" spans="83:87" x14ac:dyDescent="0.2">
      <c r="CE9379"/>
      <c r="CF9379"/>
      <c r="CG9379"/>
      <c r="CH9379"/>
      <c r="CI9379"/>
    </row>
    <row r="9380" spans="83:87" x14ac:dyDescent="0.2">
      <c r="CE9380"/>
      <c r="CF9380"/>
      <c r="CG9380"/>
      <c r="CH9380"/>
      <c r="CI9380"/>
    </row>
    <row r="9381" spans="83:87" x14ac:dyDescent="0.2">
      <c r="CE9381"/>
      <c r="CF9381"/>
      <c r="CG9381"/>
      <c r="CH9381"/>
      <c r="CI9381"/>
    </row>
    <row r="9382" spans="83:87" x14ac:dyDescent="0.2">
      <c r="CE9382"/>
      <c r="CF9382"/>
      <c r="CG9382"/>
      <c r="CH9382"/>
      <c r="CI9382"/>
    </row>
    <row r="9383" spans="83:87" x14ac:dyDescent="0.2">
      <c r="CE9383"/>
      <c r="CF9383"/>
      <c r="CG9383"/>
      <c r="CH9383"/>
      <c r="CI9383"/>
    </row>
    <row r="9384" spans="83:87" x14ac:dyDescent="0.2">
      <c r="CE9384"/>
      <c r="CF9384"/>
      <c r="CG9384"/>
      <c r="CH9384"/>
      <c r="CI9384"/>
    </row>
    <row r="9385" spans="83:87" x14ac:dyDescent="0.2">
      <c r="CE9385"/>
      <c r="CF9385"/>
      <c r="CG9385"/>
      <c r="CH9385"/>
      <c r="CI9385"/>
    </row>
    <row r="9386" spans="83:87" x14ac:dyDescent="0.2">
      <c r="CE9386"/>
      <c r="CF9386"/>
      <c r="CG9386"/>
      <c r="CH9386"/>
      <c r="CI9386"/>
    </row>
    <row r="9387" spans="83:87" x14ac:dyDescent="0.2">
      <c r="CE9387"/>
      <c r="CF9387"/>
      <c r="CG9387"/>
      <c r="CH9387"/>
      <c r="CI9387"/>
    </row>
    <row r="9388" spans="83:87" x14ac:dyDescent="0.2">
      <c r="CE9388"/>
      <c r="CF9388"/>
      <c r="CG9388"/>
      <c r="CH9388"/>
      <c r="CI9388"/>
    </row>
    <row r="9389" spans="83:87" x14ac:dyDescent="0.2">
      <c r="CE9389"/>
      <c r="CF9389"/>
      <c r="CG9389"/>
      <c r="CH9389"/>
      <c r="CI9389"/>
    </row>
    <row r="9390" spans="83:87" x14ac:dyDescent="0.2">
      <c r="CE9390"/>
      <c r="CF9390"/>
      <c r="CG9390"/>
      <c r="CH9390"/>
      <c r="CI9390"/>
    </row>
    <row r="9391" spans="83:87" x14ac:dyDescent="0.2">
      <c r="CE9391"/>
      <c r="CF9391"/>
      <c r="CG9391"/>
      <c r="CH9391"/>
      <c r="CI9391"/>
    </row>
    <row r="9392" spans="83:87" x14ac:dyDescent="0.2">
      <c r="CE9392"/>
      <c r="CF9392"/>
      <c r="CG9392"/>
      <c r="CH9392"/>
      <c r="CI9392"/>
    </row>
    <row r="9393" spans="83:87" x14ac:dyDescent="0.2">
      <c r="CE9393"/>
      <c r="CF9393"/>
      <c r="CG9393"/>
      <c r="CH9393"/>
      <c r="CI9393"/>
    </row>
    <row r="9394" spans="83:87" x14ac:dyDescent="0.2">
      <c r="CE9394"/>
      <c r="CF9394"/>
      <c r="CG9394"/>
      <c r="CH9394"/>
      <c r="CI9394"/>
    </row>
    <row r="9395" spans="83:87" x14ac:dyDescent="0.2">
      <c r="CE9395"/>
      <c r="CF9395"/>
      <c r="CG9395"/>
      <c r="CH9395"/>
      <c r="CI9395"/>
    </row>
    <row r="9396" spans="83:87" x14ac:dyDescent="0.2">
      <c r="CE9396"/>
      <c r="CF9396"/>
      <c r="CG9396"/>
      <c r="CH9396"/>
      <c r="CI9396"/>
    </row>
    <row r="9397" spans="83:87" x14ac:dyDescent="0.2">
      <c r="CE9397"/>
      <c r="CF9397"/>
      <c r="CG9397"/>
      <c r="CH9397"/>
      <c r="CI9397"/>
    </row>
    <row r="9398" spans="83:87" x14ac:dyDescent="0.2">
      <c r="CE9398"/>
      <c r="CF9398"/>
      <c r="CG9398"/>
      <c r="CH9398"/>
      <c r="CI9398"/>
    </row>
    <row r="9399" spans="83:87" x14ac:dyDescent="0.2">
      <c r="CE9399"/>
      <c r="CF9399"/>
      <c r="CG9399"/>
      <c r="CH9399"/>
      <c r="CI9399"/>
    </row>
    <row r="9400" spans="83:87" x14ac:dyDescent="0.2">
      <c r="CE9400"/>
      <c r="CF9400"/>
      <c r="CG9400"/>
      <c r="CH9400"/>
      <c r="CI9400"/>
    </row>
    <row r="9401" spans="83:87" x14ac:dyDescent="0.2">
      <c r="CE9401"/>
      <c r="CF9401"/>
      <c r="CG9401"/>
      <c r="CH9401"/>
      <c r="CI9401"/>
    </row>
    <row r="9402" spans="83:87" x14ac:dyDescent="0.2">
      <c r="CE9402"/>
      <c r="CF9402"/>
      <c r="CG9402"/>
      <c r="CH9402"/>
      <c r="CI9402"/>
    </row>
    <row r="9403" spans="83:87" x14ac:dyDescent="0.2">
      <c r="CE9403"/>
      <c r="CF9403"/>
      <c r="CG9403"/>
      <c r="CH9403"/>
      <c r="CI9403"/>
    </row>
    <row r="9404" spans="83:87" x14ac:dyDescent="0.2">
      <c r="CE9404"/>
      <c r="CF9404"/>
      <c r="CG9404"/>
      <c r="CH9404"/>
      <c r="CI9404"/>
    </row>
    <row r="9405" spans="83:87" x14ac:dyDescent="0.2">
      <c r="CE9405"/>
      <c r="CF9405"/>
      <c r="CG9405"/>
      <c r="CH9405"/>
      <c r="CI9405"/>
    </row>
    <row r="9406" spans="83:87" x14ac:dyDescent="0.2">
      <c r="CE9406"/>
      <c r="CF9406"/>
      <c r="CG9406"/>
      <c r="CH9406"/>
      <c r="CI9406"/>
    </row>
    <row r="9407" spans="83:87" x14ac:dyDescent="0.2">
      <c r="CE9407"/>
      <c r="CF9407"/>
      <c r="CG9407"/>
      <c r="CH9407"/>
      <c r="CI9407"/>
    </row>
    <row r="9408" spans="83:87" x14ac:dyDescent="0.2">
      <c r="CE9408"/>
      <c r="CF9408"/>
      <c r="CG9408"/>
      <c r="CH9408"/>
      <c r="CI9408"/>
    </row>
    <row r="9409" spans="83:87" x14ac:dyDescent="0.2">
      <c r="CE9409"/>
      <c r="CF9409"/>
      <c r="CG9409"/>
      <c r="CH9409"/>
      <c r="CI9409"/>
    </row>
    <row r="9410" spans="83:87" x14ac:dyDescent="0.2">
      <c r="CE9410"/>
      <c r="CF9410"/>
      <c r="CG9410"/>
      <c r="CH9410"/>
      <c r="CI9410"/>
    </row>
    <row r="9411" spans="83:87" x14ac:dyDescent="0.2">
      <c r="CE9411"/>
      <c r="CF9411"/>
      <c r="CG9411"/>
      <c r="CH9411"/>
      <c r="CI9411"/>
    </row>
    <row r="9412" spans="83:87" x14ac:dyDescent="0.2">
      <c r="CE9412"/>
      <c r="CF9412"/>
      <c r="CG9412"/>
      <c r="CH9412"/>
      <c r="CI9412"/>
    </row>
    <row r="9413" spans="83:87" x14ac:dyDescent="0.2">
      <c r="CE9413"/>
      <c r="CF9413"/>
      <c r="CG9413"/>
      <c r="CH9413"/>
      <c r="CI9413"/>
    </row>
    <row r="9414" spans="83:87" x14ac:dyDescent="0.2">
      <c r="CE9414"/>
      <c r="CF9414"/>
      <c r="CG9414"/>
      <c r="CH9414"/>
      <c r="CI9414"/>
    </row>
    <row r="9415" spans="83:87" x14ac:dyDescent="0.2">
      <c r="CE9415"/>
      <c r="CF9415"/>
      <c r="CG9415"/>
      <c r="CH9415"/>
      <c r="CI9415"/>
    </row>
    <row r="9416" spans="83:87" x14ac:dyDescent="0.2">
      <c r="CE9416"/>
      <c r="CF9416"/>
      <c r="CG9416"/>
      <c r="CH9416"/>
      <c r="CI9416"/>
    </row>
    <row r="9417" spans="83:87" x14ac:dyDescent="0.2">
      <c r="CE9417"/>
      <c r="CF9417"/>
      <c r="CG9417"/>
      <c r="CH9417"/>
      <c r="CI9417"/>
    </row>
    <row r="9418" spans="83:87" x14ac:dyDescent="0.2">
      <c r="CE9418"/>
      <c r="CF9418"/>
      <c r="CG9418"/>
      <c r="CH9418"/>
      <c r="CI9418"/>
    </row>
    <row r="9419" spans="83:87" x14ac:dyDescent="0.2">
      <c r="CE9419"/>
      <c r="CF9419"/>
      <c r="CG9419"/>
      <c r="CH9419"/>
      <c r="CI9419"/>
    </row>
    <row r="9420" spans="83:87" x14ac:dyDescent="0.2">
      <c r="CE9420"/>
      <c r="CF9420"/>
      <c r="CG9420"/>
      <c r="CH9420"/>
      <c r="CI9420"/>
    </row>
    <row r="9421" spans="83:87" x14ac:dyDescent="0.2">
      <c r="CE9421"/>
      <c r="CF9421"/>
      <c r="CG9421"/>
      <c r="CH9421"/>
      <c r="CI9421"/>
    </row>
    <row r="9422" spans="83:87" x14ac:dyDescent="0.2">
      <c r="CE9422"/>
      <c r="CF9422"/>
      <c r="CG9422"/>
      <c r="CH9422"/>
      <c r="CI9422"/>
    </row>
    <row r="9423" spans="83:87" x14ac:dyDescent="0.2">
      <c r="CE9423"/>
      <c r="CF9423"/>
      <c r="CG9423"/>
      <c r="CH9423"/>
      <c r="CI9423"/>
    </row>
    <row r="9424" spans="83:87" x14ac:dyDescent="0.2">
      <c r="CE9424"/>
      <c r="CF9424"/>
      <c r="CG9424"/>
      <c r="CH9424"/>
      <c r="CI9424"/>
    </row>
    <row r="9425" spans="83:87" x14ac:dyDescent="0.2">
      <c r="CE9425"/>
      <c r="CF9425"/>
      <c r="CG9425"/>
      <c r="CH9425"/>
      <c r="CI9425"/>
    </row>
    <row r="9426" spans="83:87" x14ac:dyDescent="0.2">
      <c r="CE9426"/>
      <c r="CF9426"/>
      <c r="CG9426"/>
      <c r="CH9426"/>
      <c r="CI9426"/>
    </row>
    <row r="9427" spans="83:87" x14ac:dyDescent="0.2">
      <c r="CE9427"/>
      <c r="CF9427"/>
      <c r="CG9427"/>
      <c r="CH9427"/>
      <c r="CI9427"/>
    </row>
    <row r="9428" spans="83:87" x14ac:dyDescent="0.2">
      <c r="CE9428"/>
      <c r="CF9428"/>
      <c r="CG9428"/>
      <c r="CH9428"/>
      <c r="CI9428"/>
    </row>
    <row r="9429" spans="83:87" x14ac:dyDescent="0.2">
      <c r="CE9429"/>
      <c r="CF9429"/>
      <c r="CG9429"/>
      <c r="CH9429"/>
      <c r="CI9429"/>
    </row>
    <row r="9430" spans="83:87" x14ac:dyDescent="0.2">
      <c r="CE9430"/>
      <c r="CF9430"/>
      <c r="CG9430"/>
      <c r="CH9430"/>
      <c r="CI9430"/>
    </row>
    <row r="9431" spans="83:87" x14ac:dyDescent="0.2">
      <c r="CE9431"/>
      <c r="CF9431"/>
      <c r="CG9431"/>
      <c r="CH9431"/>
      <c r="CI9431"/>
    </row>
    <row r="9432" spans="83:87" x14ac:dyDescent="0.2">
      <c r="CE9432"/>
      <c r="CF9432"/>
      <c r="CG9432"/>
      <c r="CH9432"/>
      <c r="CI9432"/>
    </row>
    <row r="9433" spans="83:87" x14ac:dyDescent="0.2">
      <c r="CE9433"/>
      <c r="CF9433"/>
      <c r="CG9433"/>
      <c r="CH9433"/>
      <c r="CI9433"/>
    </row>
    <row r="9434" spans="83:87" x14ac:dyDescent="0.2">
      <c r="CE9434"/>
      <c r="CF9434"/>
      <c r="CG9434"/>
      <c r="CH9434"/>
      <c r="CI9434"/>
    </row>
    <row r="9435" spans="83:87" x14ac:dyDescent="0.2">
      <c r="CE9435"/>
      <c r="CF9435"/>
      <c r="CG9435"/>
      <c r="CH9435"/>
      <c r="CI9435"/>
    </row>
    <row r="9436" spans="83:87" x14ac:dyDescent="0.2">
      <c r="CE9436"/>
      <c r="CF9436"/>
      <c r="CG9436"/>
      <c r="CH9436"/>
      <c r="CI9436"/>
    </row>
    <row r="9437" spans="83:87" x14ac:dyDescent="0.2">
      <c r="CE9437"/>
      <c r="CF9437"/>
      <c r="CG9437"/>
      <c r="CH9437"/>
      <c r="CI9437"/>
    </row>
    <row r="9438" spans="83:87" x14ac:dyDescent="0.2">
      <c r="CE9438"/>
      <c r="CF9438"/>
      <c r="CG9438"/>
      <c r="CH9438"/>
      <c r="CI9438"/>
    </row>
    <row r="9439" spans="83:87" x14ac:dyDescent="0.2">
      <c r="CE9439"/>
      <c r="CF9439"/>
      <c r="CG9439"/>
      <c r="CH9439"/>
      <c r="CI9439"/>
    </row>
    <row r="9440" spans="83:87" x14ac:dyDescent="0.2">
      <c r="CE9440"/>
      <c r="CF9440"/>
      <c r="CG9440"/>
      <c r="CH9440"/>
      <c r="CI9440"/>
    </row>
    <row r="9441" spans="83:87" x14ac:dyDescent="0.2">
      <c r="CE9441"/>
      <c r="CF9441"/>
      <c r="CG9441"/>
      <c r="CH9441"/>
      <c r="CI9441"/>
    </row>
    <row r="9442" spans="83:87" x14ac:dyDescent="0.2">
      <c r="CE9442"/>
      <c r="CF9442"/>
      <c r="CG9442"/>
      <c r="CH9442"/>
      <c r="CI9442"/>
    </row>
    <row r="9443" spans="83:87" x14ac:dyDescent="0.2">
      <c r="CE9443"/>
      <c r="CF9443"/>
      <c r="CG9443"/>
      <c r="CH9443"/>
      <c r="CI9443"/>
    </row>
    <row r="9444" spans="83:87" x14ac:dyDescent="0.2">
      <c r="CE9444"/>
      <c r="CF9444"/>
      <c r="CG9444"/>
      <c r="CH9444"/>
      <c r="CI9444"/>
    </row>
    <row r="9445" spans="83:87" x14ac:dyDescent="0.2">
      <c r="CE9445"/>
      <c r="CF9445"/>
      <c r="CG9445"/>
      <c r="CH9445"/>
      <c r="CI9445"/>
    </row>
    <row r="9446" spans="83:87" x14ac:dyDescent="0.2">
      <c r="CE9446"/>
      <c r="CF9446"/>
      <c r="CG9446"/>
      <c r="CH9446"/>
      <c r="CI9446"/>
    </row>
    <row r="9447" spans="83:87" x14ac:dyDescent="0.2">
      <c r="CE9447"/>
      <c r="CF9447"/>
      <c r="CG9447"/>
      <c r="CH9447"/>
      <c r="CI9447"/>
    </row>
    <row r="9448" spans="83:87" x14ac:dyDescent="0.2">
      <c r="CE9448"/>
      <c r="CF9448"/>
      <c r="CG9448"/>
      <c r="CH9448"/>
      <c r="CI9448"/>
    </row>
    <row r="9449" spans="83:87" x14ac:dyDescent="0.2">
      <c r="CE9449"/>
      <c r="CF9449"/>
      <c r="CG9449"/>
      <c r="CH9449"/>
      <c r="CI9449"/>
    </row>
    <row r="9450" spans="83:87" x14ac:dyDescent="0.2">
      <c r="CE9450"/>
      <c r="CF9450"/>
      <c r="CG9450"/>
      <c r="CH9450"/>
      <c r="CI9450"/>
    </row>
    <row r="9451" spans="83:87" x14ac:dyDescent="0.2">
      <c r="CE9451"/>
      <c r="CF9451"/>
      <c r="CG9451"/>
      <c r="CH9451"/>
      <c r="CI9451"/>
    </row>
    <row r="9452" spans="83:87" x14ac:dyDescent="0.2">
      <c r="CE9452"/>
      <c r="CF9452"/>
      <c r="CG9452"/>
      <c r="CH9452"/>
      <c r="CI9452"/>
    </row>
    <row r="9453" spans="83:87" x14ac:dyDescent="0.2">
      <c r="CE9453"/>
      <c r="CF9453"/>
      <c r="CG9453"/>
      <c r="CH9453"/>
      <c r="CI9453"/>
    </row>
    <row r="9454" spans="83:87" x14ac:dyDescent="0.2">
      <c r="CE9454"/>
      <c r="CF9454"/>
      <c r="CG9454"/>
      <c r="CH9454"/>
      <c r="CI9454"/>
    </row>
    <row r="9455" spans="83:87" x14ac:dyDescent="0.2">
      <c r="CE9455"/>
      <c r="CF9455"/>
      <c r="CG9455"/>
      <c r="CH9455"/>
      <c r="CI9455"/>
    </row>
    <row r="9456" spans="83:87" x14ac:dyDescent="0.2">
      <c r="CE9456"/>
      <c r="CF9456"/>
      <c r="CG9456"/>
      <c r="CH9456"/>
      <c r="CI9456"/>
    </row>
    <row r="9457" spans="83:87" x14ac:dyDescent="0.2">
      <c r="CE9457"/>
      <c r="CF9457"/>
      <c r="CG9457"/>
      <c r="CH9457"/>
      <c r="CI9457"/>
    </row>
    <row r="9458" spans="83:87" x14ac:dyDescent="0.2">
      <c r="CE9458"/>
      <c r="CF9458"/>
      <c r="CG9458"/>
      <c r="CH9458"/>
      <c r="CI9458"/>
    </row>
    <row r="9459" spans="83:87" x14ac:dyDescent="0.2">
      <c r="CE9459"/>
      <c r="CF9459"/>
      <c r="CG9459"/>
      <c r="CH9459"/>
      <c r="CI9459"/>
    </row>
    <row r="9460" spans="83:87" x14ac:dyDescent="0.2">
      <c r="CE9460"/>
      <c r="CF9460"/>
      <c r="CG9460"/>
      <c r="CH9460"/>
      <c r="CI9460"/>
    </row>
    <row r="9461" spans="83:87" x14ac:dyDescent="0.2">
      <c r="CE9461"/>
      <c r="CF9461"/>
      <c r="CG9461"/>
      <c r="CH9461"/>
      <c r="CI9461"/>
    </row>
    <row r="9462" spans="83:87" x14ac:dyDescent="0.2">
      <c r="CE9462"/>
      <c r="CF9462"/>
      <c r="CG9462"/>
      <c r="CH9462"/>
      <c r="CI9462"/>
    </row>
    <row r="9463" spans="83:87" x14ac:dyDescent="0.2">
      <c r="CE9463"/>
      <c r="CF9463"/>
      <c r="CG9463"/>
      <c r="CH9463"/>
      <c r="CI9463"/>
    </row>
    <row r="9464" spans="83:87" x14ac:dyDescent="0.2">
      <c r="CE9464"/>
      <c r="CF9464"/>
      <c r="CG9464"/>
      <c r="CH9464"/>
      <c r="CI9464"/>
    </row>
    <row r="9465" spans="83:87" x14ac:dyDescent="0.2">
      <c r="CE9465"/>
      <c r="CF9465"/>
      <c r="CG9465"/>
      <c r="CH9465"/>
      <c r="CI9465"/>
    </row>
    <row r="9466" spans="83:87" x14ac:dyDescent="0.2">
      <c r="CE9466"/>
      <c r="CF9466"/>
      <c r="CG9466"/>
      <c r="CH9466"/>
      <c r="CI9466"/>
    </row>
    <row r="9467" spans="83:87" x14ac:dyDescent="0.2">
      <c r="CE9467"/>
      <c r="CF9467"/>
      <c r="CG9467"/>
      <c r="CH9467"/>
      <c r="CI9467"/>
    </row>
    <row r="9468" spans="83:87" x14ac:dyDescent="0.2">
      <c r="CE9468"/>
      <c r="CF9468"/>
      <c r="CG9468"/>
      <c r="CH9468"/>
      <c r="CI9468"/>
    </row>
    <row r="9469" spans="83:87" x14ac:dyDescent="0.2">
      <c r="CE9469"/>
      <c r="CF9469"/>
      <c r="CG9469"/>
      <c r="CH9469"/>
      <c r="CI9469"/>
    </row>
    <row r="9470" spans="83:87" x14ac:dyDescent="0.2">
      <c r="CE9470"/>
      <c r="CF9470"/>
      <c r="CG9470"/>
      <c r="CH9470"/>
      <c r="CI9470"/>
    </row>
    <row r="9471" spans="83:87" x14ac:dyDescent="0.2">
      <c r="CE9471"/>
      <c r="CF9471"/>
      <c r="CG9471"/>
      <c r="CH9471"/>
      <c r="CI9471"/>
    </row>
    <row r="9472" spans="83:87" x14ac:dyDescent="0.2">
      <c r="CE9472"/>
      <c r="CF9472"/>
      <c r="CG9472"/>
      <c r="CH9472"/>
      <c r="CI9472"/>
    </row>
    <row r="9473" spans="83:87" x14ac:dyDescent="0.2">
      <c r="CE9473"/>
      <c r="CF9473"/>
      <c r="CG9473"/>
      <c r="CH9473"/>
      <c r="CI9473"/>
    </row>
    <row r="9474" spans="83:87" x14ac:dyDescent="0.2">
      <c r="CE9474"/>
      <c r="CF9474"/>
      <c r="CG9474"/>
      <c r="CH9474"/>
      <c r="CI9474"/>
    </row>
    <row r="9475" spans="83:87" x14ac:dyDescent="0.2">
      <c r="CE9475"/>
      <c r="CF9475"/>
      <c r="CG9475"/>
      <c r="CH9475"/>
      <c r="CI9475"/>
    </row>
    <row r="9476" spans="83:87" x14ac:dyDescent="0.2">
      <c r="CE9476"/>
      <c r="CF9476"/>
      <c r="CG9476"/>
      <c r="CH9476"/>
      <c r="CI9476"/>
    </row>
    <row r="9477" spans="83:87" x14ac:dyDescent="0.2">
      <c r="CE9477"/>
      <c r="CF9477"/>
      <c r="CG9477"/>
      <c r="CH9477"/>
      <c r="CI9477"/>
    </row>
    <row r="9478" spans="83:87" x14ac:dyDescent="0.2">
      <c r="CE9478"/>
      <c r="CF9478"/>
      <c r="CG9478"/>
      <c r="CH9478"/>
      <c r="CI9478"/>
    </row>
    <row r="9479" spans="83:87" x14ac:dyDescent="0.2">
      <c r="CE9479"/>
      <c r="CF9479"/>
      <c r="CG9479"/>
      <c r="CH9479"/>
      <c r="CI9479"/>
    </row>
    <row r="9480" spans="83:87" x14ac:dyDescent="0.2">
      <c r="CE9480"/>
      <c r="CF9480"/>
      <c r="CG9480"/>
      <c r="CH9480"/>
      <c r="CI9480"/>
    </row>
    <row r="9481" spans="83:87" x14ac:dyDescent="0.2">
      <c r="CE9481"/>
      <c r="CF9481"/>
      <c r="CG9481"/>
      <c r="CH9481"/>
      <c r="CI9481"/>
    </row>
    <row r="9482" spans="83:87" x14ac:dyDescent="0.2">
      <c r="CE9482"/>
      <c r="CF9482"/>
      <c r="CG9482"/>
      <c r="CH9482"/>
      <c r="CI9482"/>
    </row>
    <row r="9483" spans="83:87" x14ac:dyDescent="0.2">
      <c r="CE9483"/>
      <c r="CF9483"/>
      <c r="CG9483"/>
      <c r="CH9483"/>
      <c r="CI9483"/>
    </row>
    <row r="9484" spans="83:87" x14ac:dyDescent="0.2">
      <c r="CE9484"/>
      <c r="CF9484"/>
      <c r="CG9484"/>
      <c r="CH9484"/>
      <c r="CI9484"/>
    </row>
    <row r="9485" spans="83:87" x14ac:dyDescent="0.2">
      <c r="CE9485"/>
      <c r="CF9485"/>
      <c r="CG9485"/>
      <c r="CH9485"/>
      <c r="CI9485"/>
    </row>
    <row r="9486" spans="83:87" x14ac:dyDescent="0.2">
      <c r="CE9486"/>
      <c r="CF9486"/>
      <c r="CG9486"/>
      <c r="CH9486"/>
      <c r="CI9486"/>
    </row>
    <row r="9487" spans="83:87" x14ac:dyDescent="0.2">
      <c r="CE9487"/>
      <c r="CF9487"/>
      <c r="CG9487"/>
      <c r="CH9487"/>
      <c r="CI9487"/>
    </row>
    <row r="9488" spans="83:87" x14ac:dyDescent="0.2">
      <c r="CE9488"/>
      <c r="CF9488"/>
      <c r="CG9488"/>
      <c r="CH9488"/>
      <c r="CI9488"/>
    </row>
    <row r="9489" spans="83:87" x14ac:dyDescent="0.2">
      <c r="CE9489"/>
      <c r="CF9489"/>
      <c r="CG9489"/>
      <c r="CH9489"/>
      <c r="CI9489"/>
    </row>
    <row r="9490" spans="83:87" x14ac:dyDescent="0.2">
      <c r="CE9490"/>
      <c r="CF9490"/>
      <c r="CG9490"/>
      <c r="CH9490"/>
      <c r="CI9490"/>
    </row>
    <row r="9491" spans="83:87" x14ac:dyDescent="0.2">
      <c r="CE9491"/>
      <c r="CF9491"/>
      <c r="CG9491"/>
      <c r="CH9491"/>
      <c r="CI9491"/>
    </row>
    <row r="9492" spans="83:87" x14ac:dyDescent="0.2">
      <c r="CE9492"/>
      <c r="CF9492"/>
      <c r="CG9492"/>
      <c r="CH9492"/>
      <c r="CI9492"/>
    </row>
    <row r="9493" spans="83:87" x14ac:dyDescent="0.2">
      <c r="CE9493"/>
      <c r="CF9493"/>
      <c r="CG9493"/>
      <c r="CH9493"/>
      <c r="CI9493"/>
    </row>
    <row r="9494" spans="83:87" x14ac:dyDescent="0.2">
      <c r="CE9494"/>
      <c r="CF9494"/>
      <c r="CG9494"/>
      <c r="CH9494"/>
      <c r="CI9494"/>
    </row>
    <row r="9495" spans="83:87" x14ac:dyDescent="0.2">
      <c r="CE9495"/>
      <c r="CF9495"/>
      <c r="CG9495"/>
      <c r="CH9495"/>
      <c r="CI9495"/>
    </row>
    <row r="9496" spans="83:87" x14ac:dyDescent="0.2">
      <c r="CE9496"/>
      <c r="CF9496"/>
      <c r="CG9496"/>
      <c r="CH9496"/>
      <c r="CI9496"/>
    </row>
    <row r="9497" spans="83:87" x14ac:dyDescent="0.2">
      <c r="CE9497"/>
      <c r="CF9497"/>
      <c r="CG9497"/>
      <c r="CH9497"/>
      <c r="CI9497"/>
    </row>
    <row r="9498" spans="83:87" x14ac:dyDescent="0.2">
      <c r="CE9498"/>
      <c r="CF9498"/>
      <c r="CG9498"/>
      <c r="CH9498"/>
      <c r="CI9498"/>
    </row>
    <row r="9499" spans="83:87" x14ac:dyDescent="0.2">
      <c r="CE9499"/>
      <c r="CF9499"/>
      <c r="CG9499"/>
      <c r="CH9499"/>
      <c r="CI9499"/>
    </row>
    <row r="9500" spans="83:87" x14ac:dyDescent="0.2">
      <c r="CE9500"/>
      <c r="CF9500"/>
      <c r="CG9500"/>
      <c r="CH9500"/>
      <c r="CI9500"/>
    </row>
    <row r="9501" spans="83:87" x14ac:dyDescent="0.2">
      <c r="CE9501"/>
      <c r="CF9501"/>
      <c r="CG9501"/>
      <c r="CH9501"/>
      <c r="CI9501"/>
    </row>
    <row r="9502" spans="83:87" x14ac:dyDescent="0.2">
      <c r="CE9502"/>
      <c r="CF9502"/>
      <c r="CG9502"/>
      <c r="CH9502"/>
      <c r="CI9502"/>
    </row>
    <row r="9503" spans="83:87" x14ac:dyDescent="0.2">
      <c r="CE9503"/>
      <c r="CF9503"/>
      <c r="CG9503"/>
      <c r="CH9503"/>
      <c r="CI9503"/>
    </row>
    <row r="9504" spans="83:87" x14ac:dyDescent="0.2">
      <c r="CE9504"/>
      <c r="CF9504"/>
      <c r="CG9504"/>
      <c r="CH9504"/>
      <c r="CI9504"/>
    </row>
    <row r="9505" spans="83:87" x14ac:dyDescent="0.2">
      <c r="CE9505"/>
      <c r="CF9505"/>
      <c r="CG9505"/>
      <c r="CH9505"/>
      <c r="CI9505"/>
    </row>
    <row r="9506" spans="83:87" x14ac:dyDescent="0.2">
      <c r="CE9506"/>
      <c r="CF9506"/>
      <c r="CG9506"/>
      <c r="CH9506"/>
      <c r="CI9506"/>
    </row>
    <row r="9507" spans="83:87" x14ac:dyDescent="0.2">
      <c r="CE9507"/>
      <c r="CF9507"/>
      <c r="CG9507"/>
      <c r="CH9507"/>
      <c r="CI9507"/>
    </row>
    <row r="9508" spans="83:87" x14ac:dyDescent="0.2">
      <c r="CE9508"/>
      <c r="CF9508"/>
      <c r="CG9508"/>
      <c r="CH9508"/>
      <c r="CI9508"/>
    </row>
    <row r="9509" spans="83:87" x14ac:dyDescent="0.2">
      <c r="CE9509"/>
      <c r="CF9509"/>
      <c r="CG9509"/>
      <c r="CH9509"/>
      <c r="CI9509"/>
    </row>
    <row r="9510" spans="83:87" x14ac:dyDescent="0.2">
      <c r="CE9510"/>
      <c r="CF9510"/>
      <c r="CG9510"/>
      <c r="CH9510"/>
      <c r="CI9510"/>
    </row>
    <row r="9511" spans="83:87" x14ac:dyDescent="0.2">
      <c r="CE9511"/>
      <c r="CF9511"/>
      <c r="CG9511"/>
      <c r="CH9511"/>
      <c r="CI9511"/>
    </row>
    <row r="9512" spans="83:87" x14ac:dyDescent="0.2">
      <c r="CE9512"/>
      <c r="CF9512"/>
      <c r="CG9512"/>
      <c r="CH9512"/>
      <c r="CI9512"/>
    </row>
    <row r="9513" spans="83:87" x14ac:dyDescent="0.2">
      <c r="CE9513"/>
      <c r="CF9513"/>
      <c r="CG9513"/>
      <c r="CH9513"/>
      <c r="CI9513"/>
    </row>
    <row r="9514" spans="83:87" x14ac:dyDescent="0.2">
      <c r="CE9514"/>
      <c r="CF9514"/>
      <c r="CG9514"/>
      <c r="CH9514"/>
      <c r="CI9514"/>
    </row>
    <row r="9515" spans="83:87" x14ac:dyDescent="0.2">
      <c r="CE9515"/>
      <c r="CF9515"/>
      <c r="CG9515"/>
      <c r="CH9515"/>
      <c r="CI9515"/>
    </row>
    <row r="9516" spans="83:87" x14ac:dyDescent="0.2">
      <c r="CE9516"/>
      <c r="CF9516"/>
      <c r="CG9516"/>
      <c r="CH9516"/>
      <c r="CI9516"/>
    </row>
    <row r="9517" spans="83:87" x14ac:dyDescent="0.2">
      <c r="CE9517"/>
      <c r="CF9517"/>
      <c r="CG9517"/>
      <c r="CH9517"/>
      <c r="CI9517"/>
    </row>
    <row r="9518" spans="83:87" x14ac:dyDescent="0.2">
      <c r="CE9518"/>
      <c r="CF9518"/>
      <c r="CG9518"/>
      <c r="CH9518"/>
      <c r="CI9518"/>
    </row>
    <row r="9519" spans="83:87" x14ac:dyDescent="0.2">
      <c r="CE9519"/>
      <c r="CF9519"/>
      <c r="CG9519"/>
      <c r="CH9519"/>
      <c r="CI9519"/>
    </row>
    <row r="9520" spans="83:87" x14ac:dyDescent="0.2">
      <c r="CE9520"/>
      <c r="CF9520"/>
      <c r="CG9520"/>
      <c r="CH9520"/>
      <c r="CI9520"/>
    </row>
    <row r="9521" spans="83:87" x14ac:dyDescent="0.2">
      <c r="CE9521"/>
      <c r="CF9521"/>
      <c r="CG9521"/>
      <c r="CH9521"/>
      <c r="CI9521"/>
    </row>
    <row r="9522" spans="83:87" x14ac:dyDescent="0.2">
      <c r="CE9522"/>
      <c r="CF9522"/>
      <c r="CG9522"/>
      <c r="CH9522"/>
      <c r="CI9522"/>
    </row>
    <row r="9523" spans="83:87" x14ac:dyDescent="0.2">
      <c r="CE9523"/>
      <c r="CF9523"/>
      <c r="CG9523"/>
      <c r="CH9523"/>
      <c r="CI9523"/>
    </row>
    <row r="9524" spans="83:87" x14ac:dyDescent="0.2">
      <c r="CE9524"/>
      <c r="CF9524"/>
      <c r="CG9524"/>
      <c r="CH9524"/>
      <c r="CI9524"/>
    </row>
    <row r="9525" spans="83:87" x14ac:dyDescent="0.2">
      <c r="CE9525"/>
      <c r="CF9525"/>
      <c r="CG9525"/>
      <c r="CH9525"/>
      <c r="CI9525"/>
    </row>
    <row r="9526" spans="83:87" x14ac:dyDescent="0.2">
      <c r="CE9526"/>
      <c r="CF9526"/>
      <c r="CG9526"/>
      <c r="CH9526"/>
      <c r="CI9526"/>
    </row>
    <row r="9527" spans="83:87" x14ac:dyDescent="0.2">
      <c r="CE9527"/>
      <c r="CF9527"/>
      <c r="CG9527"/>
      <c r="CH9527"/>
      <c r="CI9527"/>
    </row>
    <row r="9528" spans="83:87" x14ac:dyDescent="0.2">
      <c r="CE9528"/>
      <c r="CF9528"/>
      <c r="CG9528"/>
      <c r="CH9528"/>
      <c r="CI9528"/>
    </row>
    <row r="9529" spans="83:87" x14ac:dyDescent="0.2">
      <c r="CE9529"/>
      <c r="CF9529"/>
      <c r="CG9529"/>
      <c r="CH9529"/>
      <c r="CI9529"/>
    </row>
    <row r="9530" spans="83:87" x14ac:dyDescent="0.2">
      <c r="CE9530"/>
      <c r="CF9530"/>
      <c r="CG9530"/>
      <c r="CH9530"/>
      <c r="CI9530"/>
    </row>
    <row r="9531" spans="83:87" x14ac:dyDescent="0.2">
      <c r="CE9531"/>
      <c r="CF9531"/>
      <c r="CG9531"/>
      <c r="CH9531"/>
      <c r="CI9531"/>
    </row>
    <row r="9532" spans="83:87" x14ac:dyDescent="0.2">
      <c r="CE9532"/>
      <c r="CF9532"/>
      <c r="CG9532"/>
      <c r="CH9532"/>
      <c r="CI9532"/>
    </row>
    <row r="9533" spans="83:87" x14ac:dyDescent="0.2">
      <c r="CE9533"/>
      <c r="CF9533"/>
      <c r="CG9533"/>
      <c r="CH9533"/>
      <c r="CI9533"/>
    </row>
    <row r="9534" spans="83:87" x14ac:dyDescent="0.2">
      <c r="CE9534"/>
      <c r="CF9534"/>
      <c r="CG9534"/>
      <c r="CH9534"/>
      <c r="CI9534"/>
    </row>
    <row r="9535" spans="83:87" x14ac:dyDescent="0.2">
      <c r="CE9535"/>
      <c r="CF9535"/>
      <c r="CG9535"/>
      <c r="CH9535"/>
      <c r="CI9535"/>
    </row>
    <row r="9536" spans="83:87" x14ac:dyDescent="0.2">
      <c r="CE9536"/>
      <c r="CF9536"/>
      <c r="CG9536"/>
      <c r="CH9536"/>
      <c r="CI9536"/>
    </row>
    <row r="9537" spans="83:87" x14ac:dyDescent="0.2">
      <c r="CE9537"/>
      <c r="CF9537"/>
      <c r="CG9537"/>
      <c r="CH9537"/>
      <c r="CI9537"/>
    </row>
    <row r="9538" spans="83:87" x14ac:dyDescent="0.2">
      <c r="CE9538"/>
      <c r="CF9538"/>
      <c r="CG9538"/>
      <c r="CH9538"/>
      <c r="CI9538"/>
    </row>
    <row r="9539" spans="83:87" x14ac:dyDescent="0.2">
      <c r="CE9539"/>
      <c r="CF9539"/>
      <c r="CG9539"/>
      <c r="CH9539"/>
      <c r="CI9539"/>
    </row>
    <row r="9540" spans="83:87" x14ac:dyDescent="0.2">
      <c r="CE9540"/>
      <c r="CF9540"/>
      <c r="CG9540"/>
      <c r="CH9540"/>
      <c r="CI9540"/>
    </row>
    <row r="9541" spans="83:87" x14ac:dyDescent="0.2">
      <c r="CE9541"/>
      <c r="CF9541"/>
      <c r="CG9541"/>
      <c r="CH9541"/>
      <c r="CI9541"/>
    </row>
    <row r="9542" spans="83:87" x14ac:dyDescent="0.2">
      <c r="CE9542"/>
      <c r="CF9542"/>
      <c r="CG9542"/>
      <c r="CH9542"/>
      <c r="CI9542"/>
    </row>
    <row r="9543" spans="83:87" x14ac:dyDescent="0.2">
      <c r="CE9543"/>
      <c r="CF9543"/>
      <c r="CG9543"/>
      <c r="CH9543"/>
      <c r="CI9543"/>
    </row>
    <row r="9544" spans="83:87" x14ac:dyDescent="0.2">
      <c r="CE9544"/>
      <c r="CF9544"/>
      <c r="CG9544"/>
      <c r="CH9544"/>
      <c r="CI9544"/>
    </row>
    <row r="9545" spans="83:87" x14ac:dyDescent="0.2">
      <c r="CE9545"/>
      <c r="CF9545"/>
      <c r="CG9545"/>
      <c r="CH9545"/>
      <c r="CI9545"/>
    </row>
    <row r="9546" spans="83:87" x14ac:dyDescent="0.2">
      <c r="CE9546"/>
      <c r="CF9546"/>
      <c r="CG9546"/>
      <c r="CH9546"/>
      <c r="CI9546"/>
    </row>
    <row r="9547" spans="83:87" x14ac:dyDescent="0.2">
      <c r="CE9547"/>
      <c r="CF9547"/>
      <c r="CG9547"/>
      <c r="CH9547"/>
      <c r="CI9547"/>
    </row>
    <row r="9548" spans="83:87" x14ac:dyDescent="0.2">
      <c r="CE9548"/>
      <c r="CF9548"/>
      <c r="CG9548"/>
      <c r="CH9548"/>
      <c r="CI9548"/>
    </row>
    <row r="9549" spans="83:87" x14ac:dyDescent="0.2">
      <c r="CE9549"/>
      <c r="CF9549"/>
      <c r="CG9549"/>
      <c r="CH9549"/>
      <c r="CI9549"/>
    </row>
    <row r="9550" spans="83:87" x14ac:dyDescent="0.2">
      <c r="CE9550"/>
      <c r="CF9550"/>
      <c r="CG9550"/>
      <c r="CH9550"/>
      <c r="CI9550"/>
    </row>
    <row r="9551" spans="83:87" x14ac:dyDescent="0.2">
      <c r="CE9551"/>
      <c r="CF9551"/>
      <c r="CG9551"/>
      <c r="CH9551"/>
      <c r="CI9551"/>
    </row>
    <row r="9552" spans="83:87" x14ac:dyDescent="0.2">
      <c r="CE9552"/>
      <c r="CF9552"/>
      <c r="CG9552"/>
      <c r="CH9552"/>
      <c r="CI9552"/>
    </row>
    <row r="9553" spans="83:87" x14ac:dyDescent="0.2">
      <c r="CE9553"/>
      <c r="CF9553"/>
      <c r="CG9553"/>
      <c r="CH9553"/>
      <c r="CI9553"/>
    </row>
    <row r="9554" spans="83:87" x14ac:dyDescent="0.2">
      <c r="CE9554"/>
      <c r="CF9554"/>
      <c r="CG9554"/>
      <c r="CH9554"/>
      <c r="CI9554"/>
    </row>
    <row r="9555" spans="83:87" x14ac:dyDescent="0.2">
      <c r="CE9555"/>
      <c r="CF9555"/>
      <c r="CG9555"/>
      <c r="CH9555"/>
      <c r="CI9555"/>
    </row>
    <row r="9556" spans="83:87" x14ac:dyDescent="0.2">
      <c r="CE9556"/>
      <c r="CF9556"/>
      <c r="CG9556"/>
      <c r="CH9556"/>
      <c r="CI9556"/>
    </row>
    <row r="9557" spans="83:87" x14ac:dyDescent="0.2">
      <c r="CE9557"/>
      <c r="CF9557"/>
      <c r="CG9557"/>
      <c r="CH9557"/>
      <c r="CI9557"/>
    </row>
    <row r="9558" spans="83:87" x14ac:dyDescent="0.2">
      <c r="CE9558"/>
      <c r="CF9558"/>
      <c r="CG9558"/>
      <c r="CH9558"/>
      <c r="CI9558"/>
    </row>
    <row r="9559" spans="83:87" x14ac:dyDescent="0.2">
      <c r="CE9559"/>
      <c r="CF9559"/>
      <c r="CG9559"/>
      <c r="CH9559"/>
      <c r="CI9559"/>
    </row>
    <row r="9560" spans="83:87" x14ac:dyDescent="0.2">
      <c r="CE9560"/>
      <c r="CF9560"/>
      <c r="CG9560"/>
      <c r="CH9560"/>
      <c r="CI9560"/>
    </row>
    <row r="9561" spans="83:87" x14ac:dyDescent="0.2">
      <c r="CE9561"/>
      <c r="CF9561"/>
      <c r="CG9561"/>
      <c r="CH9561"/>
      <c r="CI9561"/>
    </row>
    <row r="9562" spans="83:87" x14ac:dyDescent="0.2">
      <c r="CE9562"/>
      <c r="CF9562"/>
      <c r="CG9562"/>
      <c r="CH9562"/>
      <c r="CI9562"/>
    </row>
    <row r="9563" spans="83:87" x14ac:dyDescent="0.2">
      <c r="CE9563"/>
      <c r="CF9563"/>
      <c r="CG9563"/>
      <c r="CH9563"/>
      <c r="CI9563"/>
    </row>
    <row r="9564" spans="83:87" x14ac:dyDescent="0.2">
      <c r="CE9564"/>
      <c r="CF9564"/>
      <c r="CG9564"/>
      <c r="CH9564"/>
      <c r="CI9564"/>
    </row>
    <row r="9565" spans="83:87" x14ac:dyDescent="0.2">
      <c r="CE9565"/>
      <c r="CF9565"/>
      <c r="CG9565"/>
      <c r="CH9565"/>
      <c r="CI9565"/>
    </row>
    <row r="9566" spans="83:87" x14ac:dyDescent="0.2">
      <c r="CE9566"/>
      <c r="CF9566"/>
      <c r="CG9566"/>
      <c r="CH9566"/>
      <c r="CI9566"/>
    </row>
    <row r="9567" spans="83:87" x14ac:dyDescent="0.2">
      <c r="CE9567"/>
      <c r="CF9567"/>
      <c r="CG9567"/>
      <c r="CH9567"/>
      <c r="CI9567"/>
    </row>
    <row r="9568" spans="83:87" x14ac:dyDescent="0.2">
      <c r="CE9568"/>
      <c r="CF9568"/>
      <c r="CG9568"/>
      <c r="CH9568"/>
      <c r="CI9568"/>
    </row>
    <row r="9569" spans="83:87" x14ac:dyDescent="0.2">
      <c r="CE9569"/>
      <c r="CF9569"/>
      <c r="CG9569"/>
      <c r="CH9569"/>
      <c r="CI9569"/>
    </row>
    <row r="9570" spans="83:87" x14ac:dyDescent="0.2">
      <c r="CE9570"/>
      <c r="CF9570"/>
      <c r="CG9570"/>
      <c r="CH9570"/>
      <c r="CI9570"/>
    </row>
    <row r="9571" spans="83:87" x14ac:dyDescent="0.2">
      <c r="CE9571"/>
      <c r="CF9571"/>
      <c r="CG9571"/>
      <c r="CH9571"/>
      <c r="CI9571"/>
    </row>
    <row r="9572" spans="83:87" x14ac:dyDescent="0.2">
      <c r="CE9572"/>
      <c r="CF9572"/>
      <c r="CG9572"/>
      <c r="CH9572"/>
      <c r="CI9572"/>
    </row>
    <row r="9573" spans="83:87" x14ac:dyDescent="0.2">
      <c r="CE9573"/>
      <c r="CF9573"/>
      <c r="CG9573"/>
      <c r="CH9573"/>
      <c r="CI9573"/>
    </row>
    <row r="9574" spans="83:87" x14ac:dyDescent="0.2">
      <c r="CE9574"/>
      <c r="CF9574"/>
      <c r="CG9574"/>
      <c r="CH9574"/>
      <c r="CI9574"/>
    </row>
    <row r="9575" spans="83:87" x14ac:dyDescent="0.2">
      <c r="CE9575"/>
      <c r="CF9575"/>
      <c r="CG9575"/>
      <c r="CH9575"/>
      <c r="CI9575"/>
    </row>
    <row r="9576" spans="83:87" x14ac:dyDescent="0.2">
      <c r="CE9576"/>
      <c r="CF9576"/>
      <c r="CG9576"/>
      <c r="CH9576"/>
      <c r="CI9576"/>
    </row>
    <row r="9577" spans="83:87" x14ac:dyDescent="0.2">
      <c r="CE9577"/>
      <c r="CF9577"/>
      <c r="CG9577"/>
      <c r="CH9577"/>
      <c r="CI9577"/>
    </row>
    <row r="9578" spans="83:87" x14ac:dyDescent="0.2">
      <c r="CE9578"/>
      <c r="CF9578"/>
      <c r="CG9578"/>
      <c r="CH9578"/>
      <c r="CI9578"/>
    </row>
    <row r="9579" spans="83:87" x14ac:dyDescent="0.2">
      <c r="CE9579"/>
      <c r="CF9579"/>
      <c r="CG9579"/>
      <c r="CH9579"/>
      <c r="CI9579"/>
    </row>
    <row r="9580" spans="83:87" x14ac:dyDescent="0.2">
      <c r="CE9580"/>
      <c r="CF9580"/>
      <c r="CG9580"/>
      <c r="CH9580"/>
      <c r="CI9580"/>
    </row>
    <row r="9581" spans="83:87" x14ac:dyDescent="0.2">
      <c r="CE9581"/>
      <c r="CF9581"/>
      <c r="CG9581"/>
      <c r="CH9581"/>
      <c r="CI9581"/>
    </row>
    <row r="9582" spans="83:87" x14ac:dyDescent="0.2">
      <c r="CE9582"/>
      <c r="CF9582"/>
      <c r="CG9582"/>
      <c r="CH9582"/>
      <c r="CI9582"/>
    </row>
    <row r="9583" spans="83:87" x14ac:dyDescent="0.2">
      <c r="CE9583"/>
      <c r="CF9583"/>
      <c r="CG9583"/>
      <c r="CH9583"/>
      <c r="CI9583"/>
    </row>
    <row r="9584" spans="83:87" x14ac:dyDescent="0.2">
      <c r="CE9584"/>
      <c r="CF9584"/>
      <c r="CG9584"/>
      <c r="CH9584"/>
      <c r="CI9584"/>
    </row>
    <row r="9585" spans="83:87" x14ac:dyDescent="0.2">
      <c r="CE9585"/>
      <c r="CF9585"/>
      <c r="CG9585"/>
      <c r="CH9585"/>
      <c r="CI9585"/>
    </row>
    <row r="9586" spans="83:87" x14ac:dyDescent="0.2">
      <c r="CE9586"/>
      <c r="CF9586"/>
      <c r="CG9586"/>
      <c r="CH9586"/>
      <c r="CI9586"/>
    </row>
    <row r="9587" spans="83:87" x14ac:dyDescent="0.2">
      <c r="CE9587"/>
      <c r="CF9587"/>
      <c r="CG9587"/>
      <c r="CH9587"/>
      <c r="CI9587"/>
    </row>
    <row r="9588" spans="83:87" x14ac:dyDescent="0.2">
      <c r="CE9588"/>
      <c r="CF9588"/>
      <c r="CG9588"/>
      <c r="CH9588"/>
      <c r="CI9588"/>
    </row>
    <row r="9589" spans="83:87" x14ac:dyDescent="0.2">
      <c r="CE9589"/>
      <c r="CF9589"/>
      <c r="CG9589"/>
      <c r="CH9589"/>
      <c r="CI9589"/>
    </row>
    <row r="9590" spans="83:87" x14ac:dyDescent="0.2">
      <c r="CE9590"/>
      <c r="CF9590"/>
      <c r="CG9590"/>
      <c r="CH9590"/>
      <c r="CI9590"/>
    </row>
    <row r="9591" spans="83:87" x14ac:dyDescent="0.2">
      <c r="CE9591"/>
      <c r="CF9591"/>
      <c r="CG9591"/>
      <c r="CH9591"/>
      <c r="CI9591"/>
    </row>
    <row r="9592" spans="83:87" x14ac:dyDescent="0.2">
      <c r="CE9592"/>
      <c r="CF9592"/>
      <c r="CG9592"/>
      <c r="CH9592"/>
      <c r="CI9592"/>
    </row>
    <row r="9593" spans="83:87" x14ac:dyDescent="0.2">
      <c r="CE9593"/>
      <c r="CF9593"/>
      <c r="CG9593"/>
      <c r="CH9593"/>
      <c r="CI9593"/>
    </row>
    <row r="9594" spans="83:87" x14ac:dyDescent="0.2">
      <c r="CE9594"/>
      <c r="CF9594"/>
      <c r="CG9594"/>
      <c r="CH9594"/>
      <c r="CI9594"/>
    </row>
    <row r="9595" spans="83:87" x14ac:dyDescent="0.2">
      <c r="CE9595"/>
      <c r="CF9595"/>
      <c r="CG9595"/>
      <c r="CH9595"/>
      <c r="CI9595"/>
    </row>
    <row r="9596" spans="83:87" x14ac:dyDescent="0.2">
      <c r="CE9596"/>
      <c r="CF9596"/>
      <c r="CG9596"/>
      <c r="CH9596"/>
      <c r="CI9596"/>
    </row>
    <row r="9597" spans="83:87" x14ac:dyDescent="0.2">
      <c r="CE9597"/>
      <c r="CF9597"/>
      <c r="CG9597"/>
      <c r="CH9597"/>
      <c r="CI9597"/>
    </row>
    <row r="9598" spans="83:87" x14ac:dyDescent="0.2">
      <c r="CE9598"/>
      <c r="CF9598"/>
      <c r="CG9598"/>
      <c r="CH9598"/>
      <c r="CI9598"/>
    </row>
    <row r="9599" spans="83:87" x14ac:dyDescent="0.2">
      <c r="CE9599"/>
      <c r="CF9599"/>
      <c r="CG9599"/>
      <c r="CH9599"/>
      <c r="CI9599"/>
    </row>
    <row r="9600" spans="83:87" x14ac:dyDescent="0.2">
      <c r="CE9600"/>
      <c r="CF9600"/>
      <c r="CG9600"/>
      <c r="CH9600"/>
      <c r="CI9600"/>
    </row>
    <row r="9601" spans="83:87" x14ac:dyDescent="0.2">
      <c r="CE9601"/>
      <c r="CF9601"/>
      <c r="CG9601"/>
      <c r="CH9601"/>
      <c r="CI9601"/>
    </row>
    <row r="9602" spans="83:87" x14ac:dyDescent="0.2">
      <c r="CE9602"/>
      <c r="CF9602"/>
      <c r="CG9602"/>
      <c r="CH9602"/>
      <c r="CI9602"/>
    </row>
    <row r="9603" spans="83:87" x14ac:dyDescent="0.2">
      <c r="CE9603"/>
      <c r="CF9603"/>
      <c r="CG9603"/>
      <c r="CH9603"/>
      <c r="CI9603"/>
    </row>
    <row r="9604" spans="83:87" x14ac:dyDescent="0.2">
      <c r="CE9604"/>
      <c r="CF9604"/>
      <c r="CG9604"/>
      <c r="CH9604"/>
      <c r="CI9604"/>
    </row>
    <row r="9605" spans="83:87" x14ac:dyDescent="0.2">
      <c r="CE9605"/>
      <c r="CF9605"/>
      <c r="CG9605"/>
      <c r="CH9605"/>
      <c r="CI9605"/>
    </row>
    <row r="9606" spans="83:87" x14ac:dyDescent="0.2">
      <c r="CE9606"/>
      <c r="CF9606"/>
      <c r="CG9606"/>
      <c r="CH9606"/>
      <c r="CI9606"/>
    </row>
    <row r="9607" spans="83:87" x14ac:dyDescent="0.2">
      <c r="CE9607"/>
      <c r="CF9607"/>
      <c r="CG9607"/>
      <c r="CH9607"/>
      <c r="CI9607"/>
    </row>
    <row r="9608" spans="83:87" x14ac:dyDescent="0.2">
      <c r="CE9608"/>
      <c r="CF9608"/>
      <c r="CG9608"/>
      <c r="CH9608"/>
      <c r="CI9608"/>
    </row>
    <row r="9609" spans="83:87" x14ac:dyDescent="0.2">
      <c r="CE9609"/>
      <c r="CF9609"/>
      <c r="CG9609"/>
      <c r="CH9609"/>
      <c r="CI9609"/>
    </row>
    <row r="9610" spans="83:87" x14ac:dyDescent="0.2">
      <c r="CE9610"/>
      <c r="CF9610"/>
      <c r="CG9610"/>
      <c r="CH9610"/>
      <c r="CI9610"/>
    </row>
    <row r="9611" spans="83:87" x14ac:dyDescent="0.2">
      <c r="CE9611"/>
      <c r="CF9611"/>
      <c r="CG9611"/>
      <c r="CH9611"/>
      <c r="CI9611"/>
    </row>
    <row r="9612" spans="83:87" x14ac:dyDescent="0.2">
      <c r="CE9612"/>
      <c r="CF9612"/>
      <c r="CG9612"/>
      <c r="CH9612"/>
      <c r="CI9612"/>
    </row>
    <row r="9613" spans="83:87" x14ac:dyDescent="0.2">
      <c r="CE9613"/>
      <c r="CF9613"/>
      <c r="CG9613"/>
      <c r="CH9613"/>
      <c r="CI9613"/>
    </row>
    <row r="9614" spans="83:87" x14ac:dyDescent="0.2">
      <c r="CE9614"/>
      <c r="CF9614"/>
      <c r="CG9614"/>
      <c r="CH9614"/>
      <c r="CI9614"/>
    </row>
    <row r="9615" spans="83:87" x14ac:dyDescent="0.2">
      <c r="CE9615"/>
      <c r="CF9615"/>
      <c r="CG9615"/>
      <c r="CH9615"/>
      <c r="CI9615"/>
    </row>
    <row r="9616" spans="83:87" x14ac:dyDescent="0.2">
      <c r="CE9616"/>
      <c r="CF9616"/>
      <c r="CG9616"/>
      <c r="CH9616"/>
      <c r="CI9616"/>
    </row>
    <row r="9617" spans="83:87" x14ac:dyDescent="0.2">
      <c r="CE9617"/>
      <c r="CF9617"/>
      <c r="CG9617"/>
      <c r="CH9617"/>
      <c r="CI9617"/>
    </row>
    <row r="9618" spans="83:87" x14ac:dyDescent="0.2">
      <c r="CE9618"/>
      <c r="CF9618"/>
      <c r="CG9618"/>
      <c r="CH9618"/>
      <c r="CI9618"/>
    </row>
    <row r="9619" spans="83:87" x14ac:dyDescent="0.2">
      <c r="CE9619"/>
      <c r="CF9619"/>
      <c r="CG9619"/>
      <c r="CH9619"/>
      <c r="CI9619"/>
    </row>
    <row r="9620" spans="83:87" x14ac:dyDescent="0.2">
      <c r="CE9620"/>
      <c r="CF9620"/>
      <c r="CG9620"/>
      <c r="CH9620"/>
      <c r="CI9620"/>
    </row>
    <row r="9621" spans="83:87" x14ac:dyDescent="0.2">
      <c r="CE9621"/>
      <c r="CF9621"/>
      <c r="CG9621"/>
      <c r="CH9621"/>
      <c r="CI9621"/>
    </row>
    <row r="9622" spans="83:87" x14ac:dyDescent="0.2">
      <c r="CE9622"/>
      <c r="CF9622"/>
      <c r="CG9622"/>
      <c r="CH9622"/>
      <c r="CI9622"/>
    </row>
    <row r="9623" spans="83:87" x14ac:dyDescent="0.2">
      <c r="CE9623"/>
      <c r="CF9623"/>
      <c r="CG9623"/>
      <c r="CH9623"/>
      <c r="CI9623"/>
    </row>
    <row r="9624" spans="83:87" x14ac:dyDescent="0.2">
      <c r="CE9624"/>
      <c r="CF9624"/>
      <c r="CG9624"/>
      <c r="CH9624"/>
      <c r="CI9624"/>
    </row>
    <row r="9625" spans="83:87" x14ac:dyDescent="0.2">
      <c r="CE9625"/>
      <c r="CF9625"/>
      <c r="CG9625"/>
      <c r="CH9625"/>
      <c r="CI9625"/>
    </row>
    <row r="9626" spans="83:87" x14ac:dyDescent="0.2">
      <c r="CE9626"/>
      <c r="CF9626"/>
      <c r="CG9626"/>
      <c r="CH9626"/>
      <c r="CI9626"/>
    </row>
    <row r="9627" spans="83:87" x14ac:dyDescent="0.2">
      <c r="CE9627"/>
      <c r="CF9627"/>
      <c r="CG9627"/>
      <c r="CH9627"/>
      <c r="CI9627"/>
    </row>
    <row r="9628" spans="83:87" x14ac:dyDescent="0.2">
      <c r="CE9628"/>
      <c r="CF9628"/>
      <c r="CG9628"/>
      <c r="CH9628"/>
      <c r="CI9628"/>
    </row>
    <row r="9629" spans="83:87" x14ac:dyDescent="0.2">
      <c r="CE9629"/>
      <c r="CF9629"/>
      <c r="CG9629"/>
      <c r="CH9629"/>
      <c r="CI9629"/>
    </row>
    <row r="9630" spans="83:87" x14ac:dyDescent="0.2">
      <c r="CE9630"/>
      <c r="CF9630"/>
      <c r="CG9630"/>
      <c r="CH9630"/>
      <c r="CI9630"/>
    </row>
    <row r="9631" spans="83:87" x14ac:dyDescent="0.2">
      <c r="CE9631"/>
      <c r="CF9631"/>
      <c r="CG9631"/>
      <c r="CH9631"/>
      <c r="CI9631"/>
    </row>
    <row r="9632" spans="83:87" x14ac:dyDescent="0.2">
      <c r="CE9632"/>
      <c r="CF9632"/>
      <c r="CG9632"/>
      <c r="CH9632"/>
      <c r="CI9632"/>
    </row>
    <row r="9633" spans="83:87" x14ac:dyDescent="0.2">
      <c r="CE9633"/>
      <c r="CF9633"/>
      <c r="CG9633"/>
      <c r="CH9633"/>
      <c r="CI9633"/>
    </row>
    <row r="9634" spans="83:87" x14ac:dyDescent="0.2">
      <c r="CE9634"/>
      <c r="CF9634"/>
      <c r="CG9634"/>
      <c r="CH9634"/>
      <c r="CI9634"/>
    </row>
    <row r="9635" spans="83:87" x14ac:dyDescent="0.2">
      <c r="CE9635"/>
      <c r="CF9635"/>
      <c r="CG9635"/>
      <c r="CH9635"/>
      <c r="CI9635"/>
    </row>
    <row r="9636" spans="83:87" x14ac:dyDescent="0.2">
      <c r="CE9636"/>
      <c r="CF9636"/>
      <c r="CG9636"/>
      <c r="CH9636"/>
      <c r="CI9636"/>
    </row>
    <row r="9637" spans="83:87" x14ac:dyDescent="0.2">
      <c r="CE9637"/>
      <c r="CF9637"/>
      <c r="CG9637"/>
      <c r="CH9637"/>
      <c r="CI9637"/>
    </row>
    <row r="9638" spans="83:87" x14ac:dyDescent="0.2">
      <c r="CE9638"/>
      <c r="CF9638"/>
      <c r="CG9638"/>
      <c r="CH9638"/>
      <c r="CI9638"/>
    </row>
    <row r="9639" spans="83:87" x14ac:dyDescent="0.2">
      <c r="CE9639"/>
      <c r="CF9639"/>
      <c r="CG9639"/>
      <c r="CH9639"/>
      <c r="CI9639"/>
    </row>
    <row r="9640" spans="83:87" x14ac:dyDescent="0.2">
      <c r="CE9640"/>
      <c r="CF9640"/>
      <c r="CG9640"/>
      <c r="CH9640"/>
      <c r="CI9640"/>
    </row>
    <row r="9641" spans="83:87" x14ac:dyDescent="0.2">
      <c r="CE9641"/>
      <c r="CF9641"/>
      <c r="CG9641"/>
      <c r="CH9641"/>
      <c r="CI9641"/>
    </row>
    <row r="9642" spans="83:87" x14ac:dyDescent="0.2">
      <c r="CE9642"/>
      <c r="CF9642"/>
      <c r="CG9642"/>
      <c r="CH9642"/>
      <c r="CI9642"/>
    </row>
    <row r="9643" spans="83:87" x14ac:dyDescent="0.2">
      <c r="CE9643"/>
      <c r="CF9643"/>
      <c r="CG9643"/>
      <c r="CH9643"/>
      <c r="CI9643"/>
    </row>
    <row r="9644" spans="83:87" x14ac:dyDescent="0.2">
      <c r="CE9644"/>
      <c r="CF9644"/>
      <c r="CG9644"/>
      <c r="CH9644"/>
      <c r="CI9644"/>
    </row>
    <row r="9645" spans="83:87" x14ac:dyDescent="0.2">
      <c r="CE9645"/>
      <c r="CF9645"/>
      <c r="CG9645"/>
      <c r="CH9645"/>
      <c r="CI9645"/>
    </row>
    <row r="9646" spans="83:87" x14ac:dyDescent="0.2">
      <c r="CE9646"/>
      <c r="CF9646"/>
      <c r="CG9646"/>
      <c r="CH9646"/>
      <c r="CI9646"/>
    </row>
    <row r="9647" spans="83:87" x14ac:dyDescent="0.2">
      <c r="CE9647"/>
      <c r="CF9647"/>
      <c r="CG9647"/>
      <c r="CH9647"/>
      <c r="CI9647"/>
    </row>
    <row r="9648" spans="83:87" x14ac:dyDescent="0.2">
      <c r="CE9648"/>
      <c r="CF9648"/>
      <c r="CG9648"/>
      <c r="CH9648"/>
      <c r="CI9648"/>
    </row>
    <row r="9649" spans="83:87" x14ac:dyDescent="0.2">
      <c r="CE9649"/>
      <c r="CF9649"/>
      <c r="CG9649"/>
      <c r="CH9649"/>
      <c r="CI9649"/>
    </row>
    <row r="9650" spans="83:87" x14ac:dyDescent="0.2">
      <c r="CE9650"/>
      <c r="CF9650"/>
      <c r="CG9650"/>
      <c r="CH9650"/>
      <c r="CI9650"/>
    </row>
    <row r="9651" spans="83:87" x14ac:dyDescent="0.2">
      <c r="CE9651"/>
      <c r="CF9651"/>
      <c r="CG9651"/>
      <c r="CH9651"/>
      <c r="CI9651"/>
    </row>
    <row r="9652" spans="83:87" x14ac:dyDescent="0.2">
      <c r="CE9652"/>
      <c r="CF9652"/>
      <c r="CG9652"/>
      <c r="CH9652"/>
      <c r="CI9652"/>
    </row>
    <row r="9653" spans="83:87" x14ac:dyDescent="0.2">
      <c r="CE9653"/>
      <c r="CF9653"/>
      <c r="CG9653"/>
      <c r="CH9653"/>
      <c r="CI9653"/>
    </row>
    <row r="9654" spans="83:87" x14ac:dyDescent="0.2">
      <c r="CE9654"/>
      <c r="CF9654"/>
      <c r="CG9654"/>
      <c r="CH9654"/>
      <c r="CI9654"/>
    </row>
    <row r="9655" spans="83:87" x14ac:dyDescent="0.2">
      <c r="CE9655"/>
      <c r="CF9655"/>
      <c r="CG9655"/>
      <c r="CH9655"/>
      <c r="CI9655"/>
    </row>
    <row r="9656" spans="83:87" x14ac:dyDescent="0.2">
      <c r="CE9656"/>
      <c r="CF9656"/>
      <c r="CG9656"/>
      <c r="CH9656"/>
      <c r="CI9656"/>
    </row>
    <row r="9657" spans="83:87" x14ac:dyDescent="0.2">
      <c r="CE9657"/>
      <c r="CF9657"/>
      <c r="CG9657"/>
      <c r="CH9657"/>
      <c r="CI9657"/>
    </row>
    <row r="9658" spans="83:87" x14ac:dyDescent="0.2">
      <c r="CE9658"/>
      <c r="CF9658"/>
      <c r="CG9658"/>
      <c r="CH9658"/>
      <c r="CI9658"/>
    </row>
    <row r="9659" spans="83:87" x14ac:dyDescent="0.2">
      <c r="CE9659"/>
      <c r="CF9659"/>
      <c r="CG9659"/>
      <c r="CH9659"/>
      <c r="CI9659"/>
    </row>
    <row r="9660" spans="83:87" x14ac:dyDescent="0.2">
      <c r="CE9660"/>
      <c r="CF9660"/>
      <c r="CG9660"/>
      <c r="CH9660"/>
      <c r="CI9660"/>
    </row>
    <row r="9661" spans="83:87" x14ac:dyDescent="0.2">
      <c r="CE9661"/>
      <c r="CF9661"/>
      <c r="CG9661"/>
      <c r="CH9661"/>
      <c r="CI9661"/>
    </row>
    <row r="9662" spans="83:87" x14ac:dyDescent="0.2">
      <c r="CE9662"/>
      <c r="CF9662"/>
      <c r="CG9662"/>
      <c r="CH9662"/>
      <c r="CI9662"/>
    </row>
    <row r="9663" spans="83:87" x14ac:dyDescent="0.2">
      <c r="CE9663"/>
      <c r="CF9663"/>
      <c r="CG9663"/>
      <c r="CH9663"/>
      <c r="CI9663"/>
    </row>
    <row r="9664" spans="83:87" x14ac:dyDescent="0.2">
      <c r="CE9664"/>
      <c r="CF9664"/>
      <c r="CG9664"/>
      <c r="CH9664"/>
      <c r="CI9664"/>
    </row>
    <row r="9665" spans="83:87" x14ac:dyDescent="0.2">
      <c r="CE9665"/>
      <c r="CF9665"/>
      <c r="CG9665"/>
      <c r="CH9665"/>
      <c r="CI9665"/>
    </row>
    <row r="9666" spans="83:87" x14ac:dyDescent="0.2">
      <c r="CE9666"/>
      <c r="CF9666"/>
      <c r="CG9666"/>
      <c r="CH9666"/>
      <c r="CI9666"/>
    </row>
    <row r="9667" spans="83:87" x14ac:dyDescent="0.2">
      <c r="CE9667"/>
      <c r="CF9667"/>
      <c r="CG9667"/>
      <c r="CH9667"/>
      <c r="CI9667"/>
    </row>
    <row r="9668" spans="83:87" x14ac:dyDescent="0.2">
      <c r="CE9668"/>
      <c r="CF9668"/>
      <c r="CG9668"/>
      <c r="CH9668"/>
      <c r="CI9668"/>
    </row>
    <row r="9669" spans="83:87" x14ac:dyDescent="0.2">
      <c r="CE9669"/>
      <c r="CF9669"/>
      <c r="CG9669"/>
      <c r="CH9669"/>
      <c r="CI9669"/>
    </row>
    <row r="9670" spans="83:87" x14ac:dyDescent="0.2">
      <c r="CE9670"/>
      <c r="CF9670"/>
      <c r="CG9670"/>
      <c r="CH9670"/>
      <c r="CI9670"/>
    </row>
    <row r="9671" spans="83:87" x14ac:dyDescent="0.2">
      <c r="CE9671"/>
      <c r="CF9671"/>
      <c r="CG9671"/>
      <c r="CH9671"/>
      <c r="CI9671"/>
    </row>
    <row r="9672" spans="83:87" x14ac:dyDescent="0.2">
      <c r="CE9672"/>
      <c r="CF9672"/>
      <c r="CG9672"/>
      <c r="CH9672"/>
      <c r="CI9672"/>
    </row>
    <row r="9673" spans="83:87" x14ac:dyDescent="0.2">
      <c r="CE9673"/>
      <c r="CF9673"/>
      <c r="CG9673"/>
      <c r="CH9673"/>
      <c r="CI9673"/>
    </row>
    <row r="9674" spans="83:87" x14ac:dyDescent="0.2">
      <c r="CE9674"/>
      <c r="CF9674"/>
      <c r="CG9674"/>
      <c r="CH9674"/>
      <c r="CI9674"/>
    </row>
    <row r="9675" spans="83:87" x14ac:dyDescent="0.2">
      <c r="CE9675"/>
      <c r="CF9675"/>
      <c r="CG9675"/>
      <c r="CH9675"/>
      <c r="CI9675"/>
    </row>
    <row r="9676" spans="83:87" x14ac:dyDescent="0.2">
      <c r="CE9676"/>
      <c r="CF9676"/>
      <c r="CG9676"/>
      <c r="CH9676"/>
      <c r="CI9676"/>
    </row>
    <row r="9677" spans="83:87" x14ac:dyDescent="0.2">
      <c r="CE9677"/>
      <c r="CF9677"/>
      <c r="CG9677"/>
      <c r="CH9677"/>
      <c r="CI9677"/>
    </row>
    <row r="9678" spans="83:87" x14ac:dyDescent="0.2">
      <c r="CE9678"/>
      <c r="CF9678"/>
      <c r="CG9678"/>
      <c r="CH9678"/>
      <c r="CI9678"/>
    </row>
    <row r="9679" spans="83:87" x14ac:dyDescent="0.2">
      <c r="CE9679"/>
      <c r="CF9679"/>
      <c r="CG9679"/>
      <c r="CH9679"/>
      <c r="CI9679"/>
    </row>
    <row r="9680" spans="83:87" x14ac:dyDescent="0.2">
      <c r="CE9680"/>
      <c r="CF9680"/>
      <c r="CG9680"/>
      <c r="CH9680"/>
      <c r="CI9680"/>
    </row>
    <row r="9681" spans="83:87" x14ac:dyDescent="0.2">
      <c r="CE9681"/>
      <c r="CF9681"/>
      <c r="CG9681"/>
      <c r="CH9681"/>
      <c r="CI9681"/>
    </row>
    <row r="9682" spans="83:87" x14ac:dyDescent="0.2">
      <c r="CE9682"/>
      <c r="CF9682"/>
      <c r="CG9682"/>
      <c r="CH9682"/>
      <c r="CI9682"/>
    </row>
    <row r="9683" spans="83:87" x14ac:dyDescent="0.2">
      <c r="CE9683"/>
      <c r="CF9683"/>
      <c r="CG9683"/>
      <c r="CH9683"/>
      <c r="CI9683"/>
    </row>
    <row r="9684" spans="83:87" x14ac:dyDescent="0.2">
      <c r="CE9684"/>
      <c r="CF9684"/>
      <c r="CG9684"/>
      <c r="CH9684"/>
      <c r="CI9684"/>
    </row>
    <row r="9685" spans="83:87" x14ac:dyDescent="0.2">
      <c r="CE9685"/>
      <c r="CF9685"/>
      <c r="CG9685"/>
      <c r="CH9685"/>
      <c r="CI9685"/>
    </row>
    <row r="9686" spans="83:87" x14ac:dyDescent="0.2">
      <c r="CE9686"/>
      <c r="CF9686"/>
      <c r="CG9686"/>
      <c r="CH9686"/>
      <c r="CI9686"/>
    </row>
    <row r="9687" spans="83:87" x14ac:dyDescent="0.2">
      <c r="CE9687"/>
      <c r="CF9687"/>
      <c r="CG9687"/>
      <c r="CH9687"/>
      <c r="CI9687"/>
    </row>
    <row r="9688" spans="83:87" x14ac:dyDescent="0.2">
      <c r="CE9688"/>
      <c r="CF9688"/>
      <c r="CG9688"/>
      <c r="CH9688"/>
      <c r="CI9688"/>
    </row>
    <row r="9689" spans="83:87" x14ac:dyDescent="0.2">
      <c r="CE9689"/>
      <c r="CF9689"/>
      <c r="CG9689"/>
      <c r="CH9689"/>
      <c r="CI9689"/>
    </row>
    <row r="9690" spans="83:87" x14ac:dyDescent="0.2">
      <c r="CE9690"/>
      <c r="CF9690"/>
      <c r="CG9690"/>
      <c r="CH9690"/>
      <c r="CI9690"/>
    </row>
    <row r="9691" spans="83:87" x14ac:dyDescent="0.2">
      <c r="CE9691"/>
      <c r="CF9691"/>
      <c r="CG9691"/>
      <c r="CH9691"/>
      <c r="CI9691"/>
    </row>
    <row r="9692" spans="83:87" x14ac:dyDescent="0.2">
      <c r="CE9692"/>
      <c r="CF9692"/>
      <c r="CG9692"/>
      <c r="CH9692"/>
      <c r="CI9692"/>
    </row>
    <row r="9693" spans="83:87" x14ac:dyDescent="0.2">
      <c r="CE9693"/>
      <c r="CF9693"/>
      <c r="CG9693"/>
      <c r="CH9693"/>
      <c r="CI9693"/>
    </row>
    <row r="9694" spans="83:87" x14ac:dyDescent="0.2">
      <c r="CE9694"/>
      <c r="CF9694"/>
      <c r="CG9694"/>
      <c r="CH9694"/>
      <c r="CI9694"/>
    </row>
    <row r="9695" spans="83:87" x14ac:dyDescent="0.2">
      <c r="CE9695"/>
      <c r="CF9695"/>
      <c r="CG9695"/>
      <c r="CH9695"/>
      <c r="CI9695"/>
    </row>
    <row r="9696" spans="83:87" x14ac:dyDescent="0.2">
      <c r="CE9696"/>
      <c r="CF9696"/>
      <c r="CG9696"/>
      <c r="CH9696"/>
      <c r="CI9696"/>
    </row>
    <row r="9697" spans="83:87" x14ac:dyDescent="0.2">
      <c r="CE9697"/>
      <c r="CF9697"/>
      <c r="CG9697"/>
      <c r="CH9697"/>
      <c r="CI9697"/>
    </row>
    <row r="9698" spans="83:87" x14ac:dyDescent="0.2">
      <c r="CE9698"/>
      <c r="CF9698"/>
      <c r="CG9698"/>
      <c r="CH9698"/>
      <c r="CI9698"/>
    </row>
    <row r="9699" spans="83:87" x14ac:dyDescent="0.2">
      <c r="CE9699"/>
      <c r="CF9699"/>
      <c r="CG9699"/>
      <c r="CH9699"/>
      <c r="CI9699"/>
    </row>
    <row r="9700" spans="83:87" x14ac:dyDescent="0.2">
      <c r="CE9700"/>
      <c r="CF9700"/>
      <c r="CG9700"/>
      <c r="CH9700"/>
      <c r="CI9700"/>
    </row>
    <row r="9701" spans="83:87" x14ac:dyDescent="0.2">
      <c r="CE9701"/>
      <c r="CF9701"/>
      <c r="CG9701"/>
      <c r="CH9701"/>
      <c r="CI9701"/>
    </row>
    <row r="9702" spans="83:87" x14ac:dyDescent="0.2">
      <c r="CE9702"/>
      <c r="CF9702"/>
      <c r="CG9702"/>
      <c r="CH9702"/>
      <c r="CI9702"/>
    </row>
    <row r="9703" spans="83:87" x14ac:dyDescent="0.2">
      <c r="CE9703"/>
      <c r="CF9703"/>
      <c r="CG9703"/>
      <c r="CH9703"/>
      <c r="CI9703"/>
    </row>
    <row r="9704" spans="83:87" x14ac:dyDescent="0.2">
      <c r="CE9704"/>
      <c r="CF9704"/>
      <c r="CG9704"/>
      <c r="CH9704"/>
      <c r="CI9704"/>
    </row>
    <row r="9705" spans="83:87" x14ac:dyDescent="0.2">
      <c r="CE9705"/>
      <c r="CF9705"/>
      <c r="CG9705"/>
      <c r="CH9705"/>
      <c r="CI9705"/>
    </row>
    <row r="9706" spans="83:87" x14ac:dyDescent="0.2">
      <c r="CE9706"/>
      <c r="CF9706"/>
      <c r="CG9706"/>
      <c r="CH9706"/>
      <c r="CI9706"/>
    </row>
    <row r="9707" spans="83:87" x14ac:dyDescent="0.2">
      <c r="CE9707"/>
      <c r="CF9707"/>
      <c r="CG9707"/>
      <c r="CH9707"/>
      <c r="CI9707"/>
    </row>
    <row r="9708" spans="83:87" x14ac:dyDescent="0.2">
      <c r="CE9708"/>
      <c r="CF9708"/>
      <c r="CG9708"/>
      <c r="CH9708"/>
      <c r="CI9708"/>
    </row>
    <row r="9709" spans="83:87" x14ac:dyDescent="0.2">
      <c r="CE9709"/>
      <c r="CF9709"/>
      <c r="CG9709"/>
      <c r="CH9709"/>
      <c r="CI9709"/>
    </row>
    <row r="9710" spans="83:87" x14ac:dyDescent="0.2">
      <c r="CE9710"/>
      <c r="CF9710"/>
      <c r="CG9710"/>
      <c r="CH9710"/>
      <c r="CI9710"/>
    </row>
    <row r="9711" spans="83:87" x14ac:dyDescent="0.2">
      <c r="CE9711"/>
      <c r="CF9711"/>
      <c r="CG9711"/>
      <c r="CH9711"/>
      <c r="CI9711"/>
    </row>
    <row r="9712" spans="83:87" x14ac:dyDescent="0.2">
      <c r="CE9712"/>
      <c r="CF9712"/>
      <c r="CG9712"/>
      <c r="CH9712"/>
      <c r="CI9712"/>
    </row>
    <row r="9713" spans="83:87" x14ac:dyDescent="0.2">
      <c r="CE9713"/>
      <c r="CF9713"/>
      <c r="CG9713"/>
      <c r="CH9713"/>
      <c r="CI9713"/>
    </row>
    <row r="9714" spans="83:87" x14ac:dyDescent="0.2">
      <c r="CE9714"/>
      <c r="CF9714"/>
      <c r="CG9714"/>
      <c r="CH9714"/>
      <c r="CI9714"/>
    </row>
    <row r="9715" spans="83:87" x14ac:dyDescent="0.2">
      <c r="CE9715"/>
      <c r="CF9715"/>
      <c r="CG9715"/>
      <c r="CH9715"/>
      <c r="CI9715"/>
    </row>
    <row r="9716" spans="83:87" x14ac:dyDescent="0.2">
      <c r="CE9716"/>
      <c r="CF9716"/>
      <c r="CG9716"/>
      <c r="CH9716"/>
      <c r="CI9716"/>
    </row>
    <row r="9717" spans="83:87" x14ac:dyDescent="0.2">
      <c r="CE9717"/>
      <c r="CF9717"/>
      <c r="CG9717"/>
      <c r="CH9717"/>
      <c r="CI9717"/>
    </row>
    <row r="9718" spans="83:87" x14ac:dyDescent="0.2">
      <c r="CE9718"/>
      <c r="CF9718"/>
      <c r="CG9718"/>
      <c r="CH9718"/>
      <c r="CI9718"/>
    </row>
  </sheetData>
  <sheetProtection formatCells="0" formatColumns="0" formatRows="0" insertColumns="0" insertRows="0" insertHyperlinks="0" deleteColumns="0" deleteRows="0" sort="0" autoFilter="0" pivotTables="0"/>
  <phoneticPr fontId="15" type="noConversion"/>
  <dataValidations count="19">
    <dataValidation type="list" allowBlank="1" showInputMessage="1" showErrorMessage="1" errorTitle="Vælg fra listen" error="Vælg et observationssæt fra listen (baseret på overskrifterne i datatabellen)" promptTitle="Vælg et observationssæt" prompt="Vælg et observationssæt fra listen i drop-down menuen (baseret på overskrifterne i data arket)." sqref="B5" xr:uid="{2C601342-4564-4D84-8007-813212F25AB7}">
      <formula1>DataTitel_liste</formula1>
    </dataValidation>
    <dataValidation allowBlank="1" showInputMessage="1" showErrorMessage="1" promptTitle="Antal observationer" prompt="Antal observationer i det valgte observationssæt." sqref="B30" xr:uid="{248A2953-F291-4F2C-B66C-46EBC4E82B1C}"/>
    <dataValidation allowBlank="1" showInputMessage="1" showErrorMessage="1" promptTitle="Gennemsnit" prompt="Gennemsnit i det valgte observationssæt. _x000a_Forudsætter at data typen er interval." sqref="B31" xr:uid="{D60ED3C7-1A85-48EE-A7A8-7B930CAF7A0E}"/>
    <dataValidation allowBlank="1" showInputMessage="1" showErrorMessage="1" promptTitle="Standardafvigelse" prompt="Standardafvigelse i det valgte observationssæt. _x000a_Forudsætter at data typen er interval." sqref="B32" xr:uid="{07831D72-C382-4062-A739-0D237B91EF19}"/>
    <dataValidation allowBlank="1" showInputMessage="1" showErrorMessage="1" promptTitle="Andel" prompt="Andel i det valgte observationssæt. _x000a_Forudsætter at data typen er nominal, hvor succes er TRUE og øvrige værdier er FALSE. Lokal variant af TRUE/FALSE anvendes, hvis Excel sproget ikke er engelsk, fx (SAND/FALSK)." sqref="B34" xr:uid="{B05798C3-BE52-4035-904A-CCB8D8322F4A}"/>
    <dataValidation allowBlank="1" showInputMessage="1" showErrorMessage="1" promptTitle="Intensitet" prompt="Intensitet i det valgte observationssæt. _x000a_Forudsætter at data typen er antal successer observeret indenfor lige store tidsintervaller." sqref="B35" xr:uid="{9425AC8D-29A9-4746-966B-CF85538CDD40}"/>
    <dataValidation allowBlank="1" showInputMessage="1" showErrorMessage="1" promptTitle="Median" prompt="Median i det valgte observationssæt. _x000a_Forudsætter at data typen er ordinal eller interval." sqref="B38" xr:uid="{6DAD40A4-E29B-410B-B31B-940177480BFF}"/>
    <dataValidation allowBlank="1" showInputMessage="1" showErrorMessage="1" promptTitle="Typetal" prompt="Typetal i det valgte observationssæt. _x000a_Forudsætter at data typen er tal, hvor mindst 2 er ens." sqref="B41" xr:uid="{0C75FAA2-EB30-4760-B092-268212161ED4}"/>
    <dataValidation allowBlank="1" showInputMessage="1" showErrorMessage="1" promptTitle="Variationsbredde" prompt="Variationsbredde i det valgte observationssæt. _x000a_Forudsætter at data typen er ordinal eller interval." sqref="B42" xr:uid="{437F9502-3E02-41E4-AB05-701E5225BC72}"/>
    <dataValidation allowBlank="1" showInputMessage="1" showErrorMessage="1" promptTitle="Interkvartilbredde" prompt="Interkvartilbredde i det valgte observationssæt. _x000a_Forudsætter at data typen er ordinal eller interval." sqref="B43" xr:uid="{98B282D7-AD43-4712-8906-4640486C0114}"/>
    <dataValidation allowBlank="1" showInputMessage="1" showErrorMessage="1" promptTitle="Afrundet simpel brøk" prompt="Afrundet simpel brøk i det valgte observationssæt. _x000a_Forudsætter at data typen er nominal, hvor succes er TRUE og øvrige værdier er FALSE. Lokal variant af TRUE/FALSE anvendes, hvis Excel sproget ikke er engelsk, fx (SAND/FALSK)." sqref="B44" xr:uid="{AA822D92-CE89-4889-8DCB-824AA4DD9325}"/>
    <dataValidation allowBlank="1" showInputMessage="1" showErrorMessage="1" promptTitle="Uforkortet simpel brøk" prompt="Uforkortet simpel brøk i det valgte observationssæt. _x000a_Forudsætter at data typen er nominal, hvor succes er TRUE og øvrige værdier er FALSE. Lokal variant af TRUE/FALSE anvendes, hvis Excel sproget ikke er engelsk, fx (SAND/FALSK)." sqref="B45" xr:uid="{F18A4F5D-DFA0-4745-B7BC-0F2B29D93336}"/>
    <dataValidation allowBlank="1" showInputMessage="1" showErrorMessage="1" promptTitle="Varians" prompt="Varians i det valgte observationssæt. _x000a_Forudsætter at data typen er interval." sqref="B33" xr:uid="{5BFD0F85-B8AD-417D-AE8B-713B24BD4DA9}"/>
    <dataValidation allowBlank="1" showInputMessage="1" showErrorMessage="1" promptTitle="Skævhed" prompt="Skævhed i det valgte observationssæt._x000a_Forudsætter at data typen er interval." sqref="B46" xr:uid="{2838B55D-E9B8-4478-83F8-412B9B187555}"/>
    <dataValidation allowBlank="1" showInputMessage="1" showErrorMessage="1" promptTitle="Minimum" prompt="Minimum for det valgte observationssæt._x000a_Forudsætter at data typen er interval." sqref="B36" xr:uid="{E8BDF522-0B1C-4F42-943F-273E0DB25020}"/>
    <dataValidation allowBlank="1" showInputMessage="1" showErrorMessage="1" promptTitle="Maksimum" prompt="Maksimum i det valgte observationssæt._x000a_Forudsætter at data typen er interval." sqref="B40" xr:uid="{59D171F7-7B43-400B-AA94-13A6505754CB}"/>
    <dataValidation allowBlank="1" showInputMessage="1" showErrorMessage="1" promptTitle="Nedre kvartil" prompt="Nedre kvartil i observationssættet._x000a_Forudsætter at data typen er ordinal eller interval." sqref="B37" xr:uid="{DBB1C6D2-906A-4BE3-A999-3D8DD2A6B008}"/>
    <dataValidation allowBlank="1" showInputMessage="1" showErrorMessage="1" promptTitle="Øvre kvartil" prompt="Øvre kvartil i det valgte observationssæt._x000a_Forudsætter at data typen er ordinal eller interval." sqref="B39" xr:uid="{BB05FD2E-1FBE-4A2C-BD70-CB4C2A79F9F7}"/>
    <dataValidation allowBlank="1" showInputMessage="1" showErrorMessage="1" promptTitle="Kurtosis" prompt="Kurtosis i det valgte observationssæt._x000a_Forudsætter at data typen er interval." sqref="B47" xr:uid="{06E63793-7A2D-4BA7-95C7-433AF31CF3C6}"/>
  </dataValidations>
  <hyperlinks>
    <hyperlink ref="B1" location="V_Manual_Beskrivende_Statistik" display="Gå til Manual i brug af Beskrivende Statistik arket                                     " xr:uid="{2CCA6D64-383A-43DF-87BC-180AF5C98DDB}"/>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81" r:id="rId4" name="Histogram intervalspinner">
              <controlPr defaultSize="0" print="0" autoPict="0">
                <anchor>
                  <from>
                    <xdr:col>7</xdr:col>
                    <xdr:colOff>828675</xdr:colOff>
                    <xdr:row>8</xdr:row>
                    <xdr:rowOff>152400</xdr:rowOff>
                  </from>
                  <to>
                    <xdr:col>7</xdr:col>
                    <xdr:colOff>1133475</xdr:colOff>
                    <xdr:row>11</xdr:row>
                    <xdr:rowOff>114300</xdr:rowOff>
                  </to>
                </anchor>
              </controlPr>
            </control>
          </mc:Choice>
        </mc:AlternateContent>
        <mc:AlternateContent xmlns:mc="http://schemas.openxmlformats.org/markup-compatibility/2006">
          <mc:Choice Requires="x14">
            <control shapeId="2082" r:id="rId5" name="Spinner 34">
              <controlPr defaultSize="0" print="0" autoPict="0">
                <anchor>
                  <from>
                    <xdr:col>11</xdr:col>
                    <xdr:colOff>504825</xdr:colOff>
                    <xdr:row>25</xdr:row>
                    <xdr:rowOff>66675</xdr:rowOff>
                  </from>
                  <to>
                    <xdr:col>11</xdr:col>
                    <xdr:colOff>819150</xdr:colOff>
                    <xdr:row>28</xdr:row>
                    <xdr:rowOff>28575</xdr:rowOff>
                  </to>
                </anchor>
              </controlPr>
            </control>
          </mc:Choice>
        </mc:AlternateContent>
        <mc:AlternateContent xmlns:mc="http://schemas.openxmlformats.org/markup-compatibility/2006">
          <mc:Choice Requires="x14">
            <control shapeId="2156" r:id="rId6" name="Spinner 108">
              <controlPr defaultSize="0" print="0" autoPict="0">
                <anchor>
                  <from>
                    <xdr:col>1</xdr:col>
                    <xdr:colOff>66675</xdr:colOff>
                    <xdr:row>9</xdr:row>
                    <xdr:rowOff>85725</xdr:rowOff>
                  </from>
                  <to>
                    <xdr:col>1</xdr:col>
                    <xdr:colOff>228600</xdr:colOff>
                    <xdr:row>10</xdr:row>
                    <xdr:rowOff>171450</xdr:rowOff>
                  </to>
                </anchor>
              </controlPr>
            </control>
          </mc:Choice>
        </mc:AlternateContent>
        <mc:AlternateContent xmlns:mc="http://schemas.openxmlformats.org/markup-compatibility/2006">
          <mc:Choice Requires="x14">
            <control shapeId="2157" r:id="rId7" name="Spinner 109">
              <controlPr defaultSize="0" print="0" autoPict="0">
                <anchor>
                  <from>
                    <xdr:col>1</xdr:col>
                    <xdr:colOff>2809875</xdr:colOff>
                    <xdr:row>18</xdr:row>
                    <xdr:rowOff>47625</xdr:rowOff>
                  </from>
                  <to>
                    <xdr:col>1</xdr:col>
                    <xdr:colOff>2981325</xdr:colOff>
                    <xdr:row>19</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1D040-3D04-489D-B764-A336F025847F}">
  <sheetPr codeName="Sheet8">
    <tabColor theme="5"/>
  </sheetPr>
  <dimension ref="A1:AX255"/>
  <sheetViews>
    <sheetView showGridLines="0" zoomScaleNormal="100" workbookViewId="0"/>
  </sheetViews>
  <sheetFormatPr defaultColWidth="9" defaultRowHeight="14.25" x14ac:dyDescent="0.2"/>
  <cols>
    <col min="1" max="2" width="36.75" style="42" customWidth="1"/>
    <col min="3" max="3" width="4.75" style="42" customWidth="1"/>
    <col min="4" max="5" width="36.75" style="42" customWidth="1"/>
    <col min="6" max="6" width="4.75" style="42" customWidth="1"/>
    <col min="7" max="8" width="36.75" style="42" customWidth="1"/>
    <col min="9" max="9" width="9" style="42"/>
    <col min="10" max="10" width="18.625" style="42" customWidth="1"/>
    <col min="11" max="16" width="9" style="42"/>
    <col min="17" max="17" width="44.875" style="42" customWidth="1"/>
    <col min="18" max="18" width="16.75" style="42" customWidth="1"/>
    <col min="19" max="19" width="12.75" style="42" customWidth="1"/>
    <col min="20" max="20" width="15.75" style="42" customWidth="1"/>
    <col min="21" max="21" width="15.875" style="42" bestFit="1" customWidth="1"/>
    <col min="22" max="22" width="20.875" style="42" bestFit="1" customWidth="1"/>
    <col min="23" max="23" width="14.125" style="42" bestFit="1" customWidth="1"/>
    <col min="24" max="24" width="9" style="42"/>
    <col min="25" max="25" width="44.875" style="42" customWidth="1"/>
    <col min="26" max="26" width="16.75" style="42" customWidth="1"/>
    <col min="27" max="27" width="12.75" style="42" customWidth="1"/>
    <col min="28" max="28" width="15.75" style="42" customWidth="1"/>
    <col min="29" max="29" width="15.875" style="42" bestFit="1" customWidth="1"/>
    <col min="30" max="30" width="20.875" style="42" bestFit="1" customWidth="1"/>
    <col min="31" max="31" width="14.125" style="42" bestFit="1" customWidth="1"/>
    <col min="32" max="33" width="9" style="42"/>
    <col min="34" max="34" width="36.125" style="42" customWidth="1"/>
    <col min="35" max="35" width="16.125" style="42" bestFit="1" customWidth="1"/>
    <col min="36" max="36" width="6.625" style="42" bestFit="1" customWidth="1"/>
    <col min="37" max="41" width="14.5" style="54" customWidth="1"/>
    <col min="42" max="42" width="9" style="54" customWidth="1"/>
    <col min="43" max="46" width="16.25" style="54" customWidth="1"/>
    <col min="47" max="50" width="9" style="54" customWidth="1"/>
    <col min="51" max="16384" width="9" style="42"/>
  </cols>
  <sheetData>
    <row r="1" spans="1:50" s="44" customFormat="1" ht="18.75" x14ac:dyDescent="0.2">
      <c r="A1" s="76" t="s">
        <v>335</v>
      </c>
      <c r="B1" s="77" t="s">
        <v>339</v>
      </c>
      <c r="C1" s="42"/>
      <c r="D1" s="42"/>
      <c r="G1" s="42"/>
      <c r="AK1" s="53"/>
      <c r="AL1" s="53"/>
      <c r="AM1" s="53"/>
      <c r="AN1" s="53"/>
      <c r="AO1" s="53"/>
      <c r="AP1" s="53"/>
      <c r="AQ1" s="53"/>
      <c r="AR1" s="53"/>
      <c r="AS1" s="53"/>
      <c r="AT1" s="53"/>
      <c r="AU1" s="53"/>
      <c r="AV1" s="53"/>
      <c r="AW1" s="53"/>
      <c r="AX1" s="53"/>
    </row>
    <row r="2" spans="1:50" x14ac:dyDescent="0.2">
      <c r="A2" s="45" t="s">
        <v>403</v>
      </c>
    </row>
    <row r="4" spans="1:50" x14ac:dyDescent="0.2">
      <c r="A4" s="3" t="s">
        <v>337</v>
      </c>
      <c r="D4" s="3" t="s">
        <v>338</v>
      </c>
      <c r="E4"/>
      <c r="G4" s="3" t="s">
        <v>461</v>
      </c>
      <c r="H4"/>
      <c r="AP4" s="65" t="s">
        <v>1156</v>
      </c>
    </row>
    <row r="5" spans="1:50" x14ac:dyDescent="0.2">
      <c r="A5" s="57" t="s">
        <v>0</v>
      </c>
      <c r="B5" s="74">
        <v>50</v>
      </c>
      <c r="D5" s="57" t="s">
        <v>343</v>
      </c>
      <c r="E5" s="88">
        <v>6</v>
      </c>
      <c r="G5" s="57" t="s">
        <v>3</v>
      </c>
      <c r="H5" s="74">
        <v>2</v>
      </c>
      <c r="Q5" s="90" t="s">
        <v>1110</v>
      </c>
      <c r="R5" s="186" t="s">
        <v>1119</v>
      </c>
      <c r="S5" s="186" t="s">
        <v>17</v>
      </c>
      <c r="T5" s="186" t="s">
        <v>1120</v>
      </c>
      <c r="U5" s="186" t="s">
        <v>1126</v>
      </c>
      <c r="V5" s="186" t="s">
        <v>1127</v>
      </c>
      <c r="W5" s="186" t="s">
        <v>1128</v>
      </c>
      <c r="Y5" s="90" t="s">
        <v>1129</v>
      </c>
      <c r="Z5" s="186" t="s">
        <v>1140</v>
      </c>
      <c r="AA5" s="186" t="s">
        <v>17</v>
      </c>
      <c r="AB5" s="186" t="s">
        <v>1145</v>
      </c>
      <c r="AC5" s="186" t="s">
        <v>1141</v>
      </c>
      <c r="AD5" s="186" t="s">
        <v>1144</v>
      </c>
      <c r="AE5" s="186" t="s">
        <v>1143</v>
      </c>
      <c r="AF5" s="186" t="s">
        <v>1142</v>
      </c>
      <c r="AH5" s="90" t="s">
        <v>1148</v>
      </c>
      <c r="AI5" s="186" t="s">
        <v>1157</v>
      </c>
      <c r="AJ5" s="186" t="s">
        <v>17</v>
      </c>
      <c r="AK5" s="186" t="s">
        <v>1163</v>
      </c>
      <c r="AL5" s="186" t="s">
        <v>1158</v>
      </c>
      <c r="AM5" s="186" t="s">
        <v>1159</v>
      </c>
      <c r="AN5" s="186" t="s">
        <v>1160</v>
      </c>
      <c r="AO5" s="186" t="s">
        <v>1161</v>
      </c>
      <c r="AP5" s="119" t="s">
        <v>1152</v>
      </c>
      <c r="AQ5" s="119" t="s">
        <v>1153</v>
      </c>
      <c r="AR5" s="119" t="s">
        <v>1155</v>
      </c>
      <c r="AS5" s="119" t="s">
        <v>1154</v>
      </c>
    </row>
    <row r="6" spans="1:50" x14ac:dyDescent="0.2">
      <c r="A6" s="57" t="s">
        <v>1</v>
      </c>
      <c r="B6" s="74">
        <v>20</v>
      </c>
      <c r="D6" s="57" t="s">
        <v>335</v>
      </c>
      <c r="E6" s="75">
        <v>0.8</v>
      </c>
      <c r="G6" s="57" t="s">
        <v>113</v>
      </c>
      <c r="H6" s="88"/>
      <c r="Q6" s="98" t="str">
        <f>IFERROR("Normalfordeling
(Gennemsnit = "&amp;Q32&amp;" ; Standardafvigelse = "&amp;Q34&amp;")
P(observation &lt; "&amp;Q36&amp;") = "&amp;Q38&amp;"
P(observation &gt; "&amp;Q36&amp;") = "&amp;Q40,"Normalfordeling kan ikke vises")</f>
        <v>Normalfordeling
(Gennemsnit = 50 ; Standardafvigelse = 20)
P(observation &lt; 66.83) = 80%
P(observation &gt; 66.83) = 20%</v>
      </c>
      <c r="R6" cm="1">
        <f t="array" ref="R6:R255">_xlfn.SEQUENCE(Q22)</f>
        <v>1</v>
      </c>
      <c r="S6" cm="1">
        <f t="array" ref="S6:S255">(_xlfn.ANCHORARRAY(R6)-1)/(Q22-1)*(Q26-Q28)+Q28</f>
        <v>-11.804646123356264</v>
      </c>
      <c r="T6" cm="1">
        <f t="array" ref="T6:T255">_xlfn.NORM.DIST((_xlfn.ANCHORARRAY(S6)-Q14)/Q16,0,1,FALSE)</f>
        <v>3.3670900770639959E-3</v>
      </c>
      <c r="U6" cm="1">
        <f t="array" ref="U6:U255">IF(_xlfn.ANCHORARRAY(S6)&lt;Q18,_xlfn.ANCHORARRAY(T6),NA())</f>
        <v>3.3670900770639959E-3</v>
      </c>
      <c r="V6" t="e" cm="1">
        <f t="array" ref="V6:V255">IF(_xlfn.ANCHORARRAY(S6)&gt;Q18,_xlfn.ANCHORARRAY(T6),NA())</f>
        <v>#N/A</v>
      </c>
      <c r="W6" cm="1">
        <f t="array" ref="W6:W255">_xlfn.LET(_xlpm.a,ROUND(_xlfn.ANCHORARRAY(S6),Q30),IF(_xlfn.ANCHORARRAY(R6)=Q22,_xlpm.a,IF(MOD(_xlfn.ANCHORARRAY(R6)-1,Q24)=0,_xlpm.a,"")))</f>
        <v>-11.8</v>
      </c>
      <c r="Y6" s="98" t="str">
        <f>IFERROR("Binomialfordeling
(Antal forsøg = "&amp;Y14&amp;" ; Sandsynlighed = "&amp;Y32&amp;")
P(antal successer &lt; "&amp;Y18&amp;") = "&amp;Y34&amp;"
P(antal successer = "&amp;Y18&amp;") = "&amp;Y36&amp;"
P(antal successer &gt; "&amp;Y18&amp;") = "&amp;Y38,"Binomialfordeling kan ikke vises")</f>
        <v>Binomialfordeling
(Antal forsøg = 6 ; Sandsynlighed = 80%)
P(antal successer &lt; 4) = 9.888%
P(antal successer = 4) = 24.576%
P(antal successer &gt; 4) = 65.536%</v>
      </c>
      <c r="Z6" cm="1">
        <f t="array" ref="Z6:Z255">_xlfn.SEQUENCE(Y22)</f>
        <v>1</v>
      </c>
      <c r="AA6" t="e" cm="1">
        <f t="array" ref="AA6:AA255">IF(MOD(_xlfn.ANCHORARRAY(Z6)-1,Y24)=0,NA(),IF(_xlfn.ANCHORARRAY(Z6)&gt;(Y24*(Y14+1)),NA(),ROUNDDOWN((_xlfn.ANCHORARRAY(Z6)-1)/Y24,0)))</f>
        <v>#N/A</v>
      </c>
      <c r="AB6" t="e" cm="1">
        <f t="array" ref="AB6:AB255">_xlfn.BINOM.DIST(_xlfn.ANCHORARRAY(AA6),Y14,Y16,FALSE)</f>
        <v>#N/A</v>
      </c>
      <c r="AC6" t="e" cm="1">
        <f t="array" ref="AC6:AC255">IF(_xlfn.ANCHORARRAY(AA6)&lt;Y18,_xlfn.ANCHORARRAY(AB6),NA())</f>
        <v>#N/A</v>
      </c>
      <c r="AD6" t="e" cm="1">
        <f t="array" ref="AD6:AD255">IF(_xlfn.ANCHORARRAY(AA6)=Y18,_xlfn.ANCHORARRAY(AB6),NA())</f>
        <v>#N/A</v>
      </c>
      <c r="AE6" t="e" cm="1">
        <f t="array" ref="AE6:AE255">IF(_xlfn.ANCHORARRAY(AA6)&gt;Y18,_xlfn.ANCHORARRAY(AB6),NA())</f>
        <v>#N/A</v>
      </c>
      <c r="AF6" t="str" cm="1">
        <f t="array" ref="AF6:AF255">IF(MOD(_xlfn.ANCHORARRAY(Z6)-1,Y24)=ROUND(Y24/2,0),_xlfn.IFNA(_xlfn.ANCHORARRAY(AA6),""),"")</f>
        <v/>
      </c>
      <c r="AH6" s="98" t="str">
        <f>IFERROR("Poissonfordeling
(Intensitet = "&amp;AH14&amp;")
P(antal hændelser &lt; "&amp;AH18&amp;") = "&amp;AH32&amp;"
P(antal hændelser = "&amp;AH18&amp;") = "&amp;AH34&amp;"
P(antal hændelser &gt; "&amp;AH18&amp;") = "&amp;AH36,"Poissonfordeling kan ikke vises")</f>
        <v>Poissonfordeling
(Intensitet = 2)
P(antal hændelser &lt; 1) = 13.534%
P(antal hændelser = 1) = 27.067%
P(antal hændelser &gt; 1) = 59.399%</v>
      </c>
      <c r="AI6" cm="1">
        <f t="array" ref="AI6:AI255">_xlfn.SEQUENCE(AH22)</f>
        <v>1</v>
      </c>
      <c r="AJ6" t="e" cm="1">
        <f t="array" ref="AJ6:AJ255">IF(MOD(_xlfn.ANCHORARRAY(AI6)-1,AH24)=0,NA(),IF(_xlfn.ANCHORARRAY(AI6)&gt;(AH24*(AH16+1)),NA(),ROUNDDOWN((_xlfn.ANCHORARRAY(AI6)-1)/AH24,0)))</f>
        <v>#N/A</v>
      </c>
      <c r="AK6" t="e" cm="1">
        <f t="array" ref="AK6:AK255">_xlfn.POISSON.DIST(_xlfn.ANCHORARRAY(AJ6),AH14,FALSE)</f>
        <v>#N/A</v>
      </c>
      <c r="AL6" t="e" cm="1">
        <f t="array" ref="AL6:AL255">IF(_xlfn.ANCHORARRAY(AJ6)&lt;AH18,_xlfn.ANCHORARRAY(AK6),NA())</f>
        <v>#N/A</v>
      </c>
      <c r="AM6" t="e" cm="1">
        <f t="array" ref="AM6:AM255">IF(_xlfn.ANCHORARRAY(AJ6)=AH18,_xlfn.ANCHORARRAY(AK6),NA())</f>
        <v>#N/A</v>
      </c>
      <c r="AN6" t="e" cm="1">
        <f t="array" ref="AN6:AN255">IF(_xlfn.ANCHORARRAY(AJ6)&gt;AH18,_xlfn.ANCHORARRAY(AK6),NA())</f>
        <v>#N/A</v>
      </c>
      <c r="AO6" t="str" cm="1">
        <f t="array" ref="AO6:AO255">IF(MOD(_xlfn.ANCHORARRAY(AI6)-1,AH24)=ROUNDDOWN(AH24/2,0),_xlfn.IFNA(_xlfn.ANCHORARRAY(AJ6),""),"")</f>
        <v/>
      </c>
      <c r="AP6" s="201">
        <f>ROUNDUP(50+1.5*$AH$14,0)</f>
        <v>53</v>
      </c>
      <c r="AQ6" s="160" t="b">
        <f>_xlfn.POISSON.DIST(AP6,$AH$14,TRUE)&gt;$AH$20</f>
        <v>1</v>
      </c>
      <c r="AR6" s="135">
        <v>0</v>
      </c>
      <c r="AS6" s="202">
        <f>AP6</f>
        <v>53</v>
      </c>
    </row>
    <row r="7" spans="1:50" x14ac:dyDescent="0.2">
      <c r="A7" s="57" t="s">
        <v>113</v>
      </c>
      <c r="B7" s="74"/>
      <c r="D7" s="57" t="s">
        <v>113</v>
      </c>
      <c r="E7" s="88">
        <v>4</v>
      </c>
      <c r="G7" s="57" t="s">
        <v>336</v>
      </c>
      <c r="H7" s="75">
        <v>0.2</v>
      </c>
      <c r="Q7" s="90" t="s">
        <v>1111</v>
      </c>
      <c r="R7" s="42">
        <v>2</v>
      </c>
      <c r="S7" s="42">
        <v>-11.308223262927699</v>
      </c>
      <c r="T7" s="42">
        <v>3.634399675604996E-3</v>
      </c>
      <c r="U7" s="42">
        <v>3.634399675604996E-3</v>
      </c>
      <c r="V7" s="42" t="e">
        <v>#N/A</v>
      </c>
      <c r="W7" s="42" t="str">
        <v/>
      </c>
      <c r="Y7" s="90" t="s">
        <v>1130</v>
      </c>
      <c r="Z7" s="42">
        <v>2</v>
      </c>
      <c r="AA7" s="42">
        <v>0</v>
      </c>
      <c r="AB7" s="42">
        <v>6.3999999999999956E-5</v>
      </c>
      <c r="AC7" s="42">
        <v>6.3999999999999956E-5</v>
      </c>
      <c r="AD7" s="42" t="e">
        <v>#N/A</v>
      </c>
      <c r="AE7" s="42" t="e">
        <v>#N/A</v>
      </c>
      <c r="AF7" s="42" t="str">
        <v/>
      </c>
      <c r="AH7" s="90" t="s">
        <v>1149</v>
      </c>
      <c r="AI7" s="42">
        <v>2</v>
      </c>
      <c r="AJ7" s="42">
        <v>0</v>
      </c>
      <c r="AK7" s="42">
        <v>0.1353352832366127</v>
      </c>
      <c r="AL7" s="42">
        <v>0.1353352832366127</v>
      </c>
      <c r="AM7" s="42" t="e">
        <v>#N/A</v>
      </c>
      <c r="AN7" s="42" t="e">
        <v>#N/A</v>
      </c>
      <c r="AO7" s="42" t="str">
        <v/>
      </c>
      <c r="AP7" s="96">
        <f t="shared" ref="AP7:AP34" si="0">IF(AQ6,ROUNDUP(AR6+(AP6-AR6)/2,0),ROUNDUP(AP6+(AS6-AP6)/2,0))</f>
        <v>27</v>
      </c>
      <c r="AQ7" s="160" t="b">
        <f t="shared" ref="AQ7:AQ34" si="1">_xlfn.POISSON.DIST(AP7,$AH$14,TRUE)&gt;$AH$20</f>
        <v>1</v>
      </c>
      <c r="AR7" s="98">
        <f t="shared" ref="AR7:AR34" si="2">IF(AQ7,AR6,AP7)</f>
        <v>0</v>
      </c>
      <c r="AS7" s="197">
        <f t="shared" ref="AS7:AS33" si="3">IF(AQ7,AP7,AS6)</f>
        <v>27</v>
      </c>
    </row>
    <row r="8" spans="1:50" x14ac:dyDescent="0.2">
      <c r="A8" s="57" t="s">
        <v>336</v>
      </c>
      <c r="B8" s="75">
        <v>0.8</v>
      </c>
      <c r="D8" s="57" t="s">
        <v>336</v>
      </c>
      <c r="E8" s="75"/>
      <c r="Q8" s="98" t="str">
        <f>Q38&amp;"
mindre end
"&amp;Q36</f>
        <v>80%
mindre end
66.83</v>
      </c>
      <c r="R8" s="42">
        <v>3</v>
      </c>
      <c r="S8" s="42">
        <v>-10.811800402499134</v>
      </c>
      <c r="T8" s="42">
        <v>3.9205145601637383E-3</v>
      </c>
      <c r="U8" s="42">
        <v>3.9205145601637383E-3</v>
      </c>
      <c r="V8" s="42" t="e">
        <v>#N/A</v>
      </c>
      <c r="W8" s="42" t="str">
        <v/>
      </c>
      <c r="Y8" s="98" t="str">
        <f>Y34&amp;"
mindre end
"&amp;Y18</f>
        <v>9.888%
mindre end
4</v>
      </c>
      <c r="Z8" s="42">
        <v>3</v>
      </c>
      <c r="AA8" s="42">
        <v>0</v>
      </c>
      <c r="AB8" s="42">
        <v>6.3999999999999956E-5</v>
      </c>
      <c r="AC8" s="42">
        <v>6.3999999999999956E-5</v>
      </c>
      <c r="AD8" s="42" t="e">
        <v>#N/A</v>
      </c>
      <c r="AE8" s="42" t="e">
        <v>#N/A</v>
      </c>
      <c r="AF8" s="42" t="str">
        <v/>
      </c>
      <c r="AH8" s="98" t="str">
        <f>AH32&amp;"
mindre end
"&amp;AH18</f>
        <v>13.534%
mindre end
1</v>
      </c>
      <c r="AI8" s="42">
        <v>3</v>
      </c>
      <c r="AJ8" s="42">
        <v>0</v>
      </c>
      <c r="AK8" s="42">
        <v>0.1353352832366127</v>
      </c>
      <c r="AL8" s="42">
        <v>0.1353352832366127</v>
      </c>
      <c r="AM8" s="42" t="e">
        <v>#N/A</v>
      </c>
      <c r="AN8" s="42" t="e">
        <v>#N/A</v>
      </c>
      <c r="AO8" s="42" t="str">
        <v/>
      </c>
      <c r="AP8" s="96">
        <f t="shared" si="0"/>
        <v>14</v>
      </c>
      <c r="AQ8" s="160" t="b">
        <f t="shared" si="1"/>
        <v>1</v>
      </c>
      <c r="AR8" s="98">
        <f t="shared" si="2"/>
        <v>0</v>
      </c>
      <c r="AS8" s="197">
        <f t="shared" si="3"/>
        <v>14</v>
      </c>
    </row>
    <row r="9" spans="1:50" x14ac:dyDescent="0.2">
      <c r="Q9" s="90" t="s">
        <v>1112</v>
      </c>
      <c r="R9" s="42">
        <v>4</v>
      </c>
      <c r="S9" s="42">
        <v>-10.315377542070571</v>
      </c>
      <c r="T9" s="42">
        <v>4.2265488515956821E-3</v>
      </c>
      <c r="U9" s="42">
        <v>4.2265488515956821E-3</v>
      </c>
      <c r="V9" s="42" t="e">
        <v>#N/A</v>
      </c>
      <c r="W9" s="42" t="str">
        <v/>
      </c>
      <c r="Y9" s="90" t="s">
        <v>1131</v>
      </c>
      <c r="Z9" s="42">
        <v>4</v>
      </c>
      <c r="AA9" s="42">
        <v>0</v>
      </c>
      <c r="AB9" s="42">
        <v>6.3999999999999956E-5</v>
      </c>
      <c r="AC9" s="42">
        <v>6.3999999999999956E-5</v>
      </c>
      <c r="AD9" s="42" t="e">
        <v>#N/A</v>
      </c>
      <c r="AE9" s="42" t="e">
        <v>#N/A</v>
      </c>
      <c r="AF9" s="42" t="str">
        <v/>
      </c>
      <c r="AH9" s="90" t="s">
        <v>1150</v>
      </c>
      <c r="AI9" s="42">
        <v>4</v>
      </c>
      <c r="AJ9" s="42">
        <v>0</v>
      </c>
      <c r="AK9" s="42">
        <v>0.1353352832366127</v>
      </c>
      <c r="AL9" s="42">
        <v>0.1353352832366127</v>
      </c>
      <c r="AM9" s="42" t="e">
        <v>#N/A</v>
      </c>
      <c r="AN9" s="42" t="e">
        <v>#N/A</v>
      </c>
      <c r="AO9" s="42" t="str">
        <v/>
      </c>
      <c r="AP9" s="96">
        <f t="shared" si="0"/>
        <v>7</v>
      </c>
      <c r="AQ9" s="160" t="b">
        <f t="shared" si="1"/>
        <v>1</v>
      </c>
      <c r="AR9" s="98">
        <f t="shared" si="2"/>
        <v>0</v>
      </c>
      <c r="AS9" s="197">
        <f t="shared" si="3"/>
        <v>7</v>
      </c>
    </row>
    <row r="10" spans="1:50" x14ac:dyDescent="0.2">
      <c r="Q10" s="98" t="str">
        <f>Q40&amp;"
større end
"&amp;Q36</f>
        <v>20%
større end
66.83</v>
      </c>
      <c r="R10" s="42">
        <v>5</v>
      </c>
      <c r="S10" s="42">
        <v>-9.8189546816420066</v>
      </c>
      <c r="T10" s="42">
        <v>4.5536657674760525E-3</v>
      </c>
      <c r="U10" s="42">
        <v>4.5536657674760525E-3</v>
      </c>
      <c r="V10" s="42" t="e">
        <v>#N/A</v>
      </c>
      <c r="W10" s="42" t="str">
        <v/>
      </c>
      <c r="Y10" s="98" t="str">
        <f>Y36&amp;"
lig med
"&amp;Y18</f>
        <v>24.576%
lig med
4</v>
      </c>
      <c r="Z10" s="42">
        <v>5</v>
      </c>
      <c r="AA10" s="42">
        <v>0</v>
      </c>
      <c r="AB10" s="42">
        <v>6.3999999999999956E-5</v>
      </c>
      <c r="AC10" s="42">
        <v>6.3999999999999956E-5</v>
      </c>
      <c r="AD10" s="42" t="e">
        <v>#N/A</v>
      </c>
      <c r="AE10" s="42" t="e">
        <v>#N/A</v>
      </c>
      <c r="AF10" s="42" t="str">
        <v/>
      </c>
      <c r="AH10" s="98" t="str">
        <f>AH34&amp;"
lig med
"&amp;AH18</f>
        <v>27.067%
lig med
1</v>
      </c>
      <c r="AI10" s="42">
        <v>5</v>
      </c>
      <c r="AJ10" s="42">
        <v>0</v>
      </c>
      <c r="AK10" s="42">
        <v>0.1353352832366127</v>
      </c>
      <c r="AL10" s="42">
        <v>0.1353352832366127</v>
      </c>
      <c r="AM10" s="42" t="e">
        <v>#N/A</v>
      </c>
      <c r="AN10" s="42" t="e">
        <v>#N/A</v>
      </c>
      <c r="AO10" s="42" t="str">
        <v/>
      </c>
      <c r="AP10" s="96">
        <f t="shared" si="0"/>
        <v>4</v>
      </c>
      <c r="AQ10" s="160" t="b">
        <f t="shared" si="1"/>
        <v>1</v>
      </c>
      <c r="AR10" s="98">
        <f t="shared" si="2"/>
        <v>0</v>
      </c>
      <c r="AS10" s="197">
        <f t="shared" si="3"/>
        <v>4</v>
      </c>
    </row>
    <row r="11" spans="1:50" x14ac:dyDescent="0.2">
      <c r="Q11" s="90" t="s">
        <v>1113</v>
      </c>
      <c r="R11" s="42">
        <v>6</v>
      </c>
      <c r="S11" s="42">
        <v>-9.3225318212134418</v>
      </c>
      <c r="T11" s="42">
        <v>4.9030784780939377E-3</v>
      </c>
      <c r="U11" s="42">
        <v>4.9030784780939377E-3</v>
      </c>
      <c r="V11" s="42" t="e">
        <v>#N/A</v>
      </c>
      <c r="W11" s="42" t="str">
        <v/>
      </c>
      <c r="Y11" s="90" t="s">
        <v>1132</v>
      </c>
      <c r="Z11" s="42">
        <v>6</v>
      </c>
      <c r="AA11" s="42">
        <v>0</v>
      </c>
      <c r="AB11" s="42">
        <v>6.3999999999999956E-5</v>
      </c>
      <c r="AC11" s="42">
        <v>6.3999999999999956E-5</v>
      </c>
      <c r="AD11" s="42" t="e">
        <v>#N/A</v>
      </c>
      <c r="AE11" s="42" t="e">
        <v>#N/A</v>
      </c>
      <c r="AF11" s="42" t="str">
        <v/>
      </c>
      <c r="AH11" s="90" t="s">
        <v>1151</v>
      </c>
      <c r="AI11" s="42">
        <v>6</v>
      </c>
      <c r="AJ11" s="42">
        <v>0</v>
      </c>
      <c r="AK11" s="42">
        <v>0.1353352832366127</v>
      </c>
      <c r="AL11" s="42">
        <v>0.1353352832366127</v>
      </c>
      <c r="AM11" s="42" t="e">
        <v>#N/A</v>
      </c>
      <c r="AN11" s="42" t="e">
        <v>#N/A</v>
      </c>
      <c r="AO11" s="42" t="str">
        <v/>
      </c>
      <c r="AP11" s="96">
        <f t="shared" si="0"/>
        <v>2</v>
      </c>
      <c r="AQ11" s="160" t="b">
        <f t="shared" si="1"/>
        <v>1</v>
      </c>
      <c r="AR11" s="98">
        <f t="shared" si="2"/>
        <v>0</v>
      </c>
      <c r="AS11" s="197">
        <f t="shared" si="3"/>
        <v>2</v>
      </c>
    </row>
    <row r="12" spans="1:50" x14ac:dyDescent="0.2">
      <c r="Q12" s="98" t="str">
        <f>"Normalfordeling ("&amp;Q32&amp;" ; "&amp;Q34&amp;")"</f>
        <v>Normalfordeling (50 ; 20)</v>
      </c>
      <c r="R12" s="42">
        <v>7</v>
      </c>
      <c r="S12" s="42">
        <v>-8.8261089607848771</v>
      </c>
      <c r="T12" s="42">
        <v>5.2760508692726331E-3</v>
      </c>
      <c r="U12" s="42">
        <v>5.2760508692726331E-3</v>
      </c>
      <c r="V12" s="42" t="e">
        <v>#N/A</v>
      </c>
      <c r="W12" s="42" t="str">
        <v/>
      </c>
      <c r="Y12" s="98" t="str">
        <f>Y38&amp;"
større end
"&amp;Y18</f>
        <v>65.536%
større end
4</v>
      </c>
      <c r="Z12" s="42">
        <v>7</v>
      </c>
      <c r="AA12" s="42">
        <v>0</v>
      </c>
      <c r="AB12" s="42">
        <v>6.3999999999999956E-5</v>
      </c>
      <c r="AC12" s="42">
        <v>6.3999999999999956E-5</v>
      </c>
      <c r="AD12" s="42" t="e">
        <v>#N/A</v>
      </c>
      <c r="AE12" s="42" t="e">
        <v>#N/A</v>
      </c>
      <c r="AF12" s="42" t="str">
        <v/>
      </c>
      <c r="AH12" s="98" t="str">
        <f>AH36&amp;"
større end
"&amp;AH18</f>
        <v>59.399%
større end
1</v>
      </c>
      <c r="AI12" s="42">
        <v>7</v>
      </c>
      <c r="AJ12" s="42">
        <v>0</v>
      </c>
      <c r="AK12" s="42">
        <v>0.1353352832366127</v>
      </c>
      <c r="AL12" s="42">
        <v>0.1353352832366127</v>
      </c>
      <c r="AM12" s="42" t="e">
        <v>#N/A</v>
      </c>
      <c r="AN12" s="42" t="e">
        <v>#N/A</v>
      </c>
      <c r="AO12" s="42" t="str">
        <v/>
      </c>
      <c r="AP12" s="96">
        <f t="shared" si="0"/>
        <v>1</v>
      </c>
      <c r="AQ12" s="160" t="b">
        <f t="shared" si="1"/>
        <v>1</v>
      </c>
      <c r="AR12" s="98">
        <f t="shared" si="2"/>
        <v>0</v>
      </c>
      <c r="AS12" s="197">
        <f t="shared" si="3"/>
        <v>1</v>
      </c>
    </row>
    <row r="13" spans="1:50" x14ac:dyDescent="0.2">
      <c r="Q13" s="57" t="s">
        <v>0</v>
      </c>
      <c r="R13" s="42">
        <v>8</v>
      </c>
      <c r="S13" s="42">
        <v>-8.3296861003563123</v>
      </c>
      <c r="T13" s="42">
        <v>5.6738982018815585E-3</v>
      </c>
      <c r="U13" s="42">
        <v>5.6738982018815585E-3</v>
      </c>
      <c r="V13" s="42" t="e">
        <v>#N/A</v>
      </c>
      <c r="W13" s="42" t="str">
        <v/>
      </c>
      <c r="Y13" s="57" t="s">
        <v>343</v>
      </c>
      <c r="Z13" s="42">
        <v>8</v>
      </c>
      <c r="AA13" s="42">
        <v>0</v>
      </c>
      <c r="AB13" s="42">
        <v>6.3999999999999956E-5</v>
      </c>
      <c r="AC13" s="42">
        <v>6.3999999999999956E-5</v>
      </c>
      <c r="AD13" s="42" t="e">
        <v>#N/A</v>
      </c>
      <c r="AE13" s="42" t="e">
        <v>#N/A</v>
      </c>
      <c r="AF13" s="42" t="str">
        <v/>
      </c>
      <c r="AH13" s="57" t="s">
        <v>3</v>
      </c>
      <c r="AI13" s="42">
        <v>8</v>
      </c>
      <c r="AJ13" s="42">
        <v>0</v>
      </c>
      <c r="AK13" s="42">
        <v>0.1353352832366127</v>
      </c>
      <c r="AL13" s="42">
        <v>0.1353352832366127</v>
      </c>
      <c r="AM13" s="42" t="e">
        <v>#N/A</v>
      </c>
      <c r="AN13" s="42" t="e">
        <v>#N/A</v>
      </c>
      <c r="AO13" s="42" t="str">
        <v/>
      </c>
      <c r="AP13" s="96">
        <f t="shared" si="0"/>
        <v>1</v>
      </c>
      <c r="AQ13" s="160" t="b">
        <f t="shared" si="1"/>
        <v>1</v>
      </c>
      <c r="AR13" s="98">
        <f t="shared" si="2"/>
        <v>0</v>
      </c>
      <c r="AS13" s="197">
        <f t="shared" si="3"/>
        <v>1</v>
      </c>
    </row>
    <row r="14" spans="1:50" x14ac:dyDescent="0.2">
      <c r="Q14" s="98">
        <f>B5</f>
        <v>50</v>
      </c>
      <c r="R14" s="42">
        <v>9</v>
      </c>
      <c r="S14" s="42">
        <v>-7.8332632399277493</v>
      </c>
      <c r="T14" s="42">
        <v>6.0979876575868825E-3</v>
      </c>
      <c r="U14" s="42">
        <v>6.0979876575868825E-3</v>
      </c>
      <c r="V14" s="42" t="e">
        <v>#N/A</v>
      </c>
      <c r="W14" s="42" t="str">
        <v/>
      </c>
      <c r="Y14" s="188">
        <f>E5</f>
        <v>6</v>
      </c>
      <c r="Z14" s="42">
        <v>9</v>
      </c>
      <c r="AA14" s="42">
        <v>0</v>
      </c>
      <c r="AB14" s="42">
        <v>6.3999999999999956E-5</v>
      </c>
      <c r="AC14" s="42">
        <v>6.3999999999999956E-5</v>
      </c>
      <c r="AD14" s="42" t="e">
        <v>#N/A</v>
      </c>
      <c r="AE14" s="42" t="e">
        <v>#N/A</v>
      </c>
      <c r="AF14" s="42" t="str">
        <v/>
      </c>
      <c r="AH14" s="188">
        <f>H5</f>
        <v>2</v>
      </c>
      <c r="AI14" s="42">
        <v>9</v>
      </c>
      <c r="AJ14" s="42">
        <v>0</v>
      </c>
      <c r="AK14" s="42">
        <v>0.1353352832366127</v>
      </c>
      <c r="AL14" s="42">
        <v>0.1353352832366127</v>
      </c>
      <c r="AM14" s="42" t="e">
        <v>#N/A</v>
      </c>
      <c r="AN14" s="42" t="e">
        <v>#N/A</v>
      </c>
      <c r="AO14" s="42" t="str">
        <v/>
      </c>
      <c r="AP14" s="96">
        <f t="shared" si="0"/>
        <v>1</v>
      </c>
      <c r="AQ14" s="160" t="b">
        <f t="shared" si="1"/>
        <v>1</v>
      </c>
      <c r="AR14" s="98">
        <f t="shared" si="2"/>
        <v>0</v>
      </c>
      <c r="AS14" s="197">
        <f t="shared" si="3"/>
        <v>1</v>
      </c>
    </row>
    <row r="15" spans="1:50" x14ac:dyDescent="0.2">
      <c r="Q15" s="57" t="s">
        <v>1</v>
      </c>
      <c r="R15" s="42">
        <v>10</v>
      </c>
      <c r="S15" s="42">
        <v>-7.3368403794991846</v>
      </c>
      <c r="T15" s="42">
        <v>6.5497387600978859E-3</v>
      </c>
      <c r="U15" s="42">
        <v>6.5497387600978859E-3</v>
      </c>
      <c r="V15" s="42" t="e">
        <v>#N/A</v>
      </c>
      <c r="W15" s="42" t="str">
        <v/>
      </c>
      <c r="Y15" s="57" t="s">
        <v>335</v>
      </c>
      <c r="Z15" s="42">
        <v>10</v>
      </c>
      <c r="AA15" s="42">
        <v>0</v>
      </c>
      <c r="AB15" s="42">
        <v>6.3999999999999956E-5</v>
      </c>
      <c r="AC15" s="42">
        <v>6.3999999999999956E-5</v>
      </c>
      <c r="AD15" s="42" t="e">
        <v>#N/A</v>
      </c>
      <c r="AE15" s="42" t="e">
        <v>#N/A</v>
      </c>
      <c r="AF15" s="42" t="str">
        <v/>
      </c>
      <c r="AH15" s="57" t="s">
        <v>1162</v>
      </c>
      <c r="AI15" s="42">
        <v>10</v>
      </c>
      <c r="AJ15" s="42">
        <v>0</v>
      </c>
      <c r="AK15" s="42">
        <v>0.1353352832366127</v>
      </c>
      <c r="AL15" s="42">
        <v>0.1353352832366127</v>
      </c>
      <c r="AM15" s="42" t="e">
        <v>#N/A</v>
      </c>
      <c r="AN15" s="42" t="e">
        <v>#N/A</v>
      </c>
      <c r="AO15" s="42" t="str">
        <v/>
      </c>
      <c r="AP15" s="96">
        <f t="shared" si="0"/>
        <v>1</v>
      </c>
      <c r="AQ15" s="160" t="b">
        <f t="shared" si="1"/>
        <v>1</v>
      </c>
      <c r="AR15" s="98">
        <f t="shared" si="2"/>
        <v>0</v>
      </c>
      <c r="AS15" s="197">
        <f t="shared" si="3"/>
        <v>1</v>
      </c>
    </row>
    <row r="16" spans="1:50" x14ac:dyDescent="0.2">
      <c r="Q16" s="98">
        <f>B6</f>
        <v>20</v>
      </c>
      <c r="R16" s="42">
        <v>11</v>
      </c>
      <c r="S16" s="42">
        <v>-6.8404175190706198</v>
      </c>
      <c r="T16" s="42">
        <v>7.0306236609098431E-3</v>
      </c>
      <c r="U16" s="42">
        <v>7.0306236609098431E-3</v>
      </c>
      <c r="V16" s="42" t="e">
        <v>#N/A</v>
      </c>
      <c r="W16" s="42" t="str">
        <v/>
      </c>
      <c r="Y16" s="195">
        <f>E6</f>
        <v>0.8</v>
      </c>
      <c r="Z16" s="42">
        <v>11</v>
      </c>
      <c r="AA16" s="42">
        <v>0</v>
      </c>
      <c r="AB16" s="42">
        <v>6.3999999999999956E-5</v>
      </c>
      <c r="AC16" s="42">
        <v>6.3999999999999956E-5</v>
      </c>
      <c r="AD16" s="42" t="e">
        <v>#N/A</v>
      </c>
      <c r="AE16" s="42" t="e">
        <v>#N/A</v>
      </c>
      <c r="AF16" s="42" t="str">
        <v/>
      </c>
      <c r="AH16" s="188">
        <f>MAX(ROUNDUP(8+1.5*AH14,0),AH18)</f>
        <v>11</v>
      </c>
      <c r="AI16" s="42">
        <v>11</v>
      </c>
      <c r="AJ16" s="42">
        <v>0</v>
      </c>
      <c r="AK16" s="42">
        <v>0.1353352832366127</v>
      </c>
      <c r="AL16" s="42">
        <v>0.1353352832366127</v>
      </c>
      <c r="AM16" s="42" t="e">
        <v>#N/A</v>
      </c>
      <c r="AN16" s="42" t="e">
        <v>#N/A</v>
      </c>
      <c r="AO16" s="42">
        <v>0</v>
      </c>
      <c r="AP16" s="96">
        <f t="shared" si="0"/>
        <v>1</v>
      </c>
      <c r="AQ16" s="160" t="b">
        <f t="shared" si="1"/>
        <v>1</v>
      </c>
      <c r="AR16" s="98">
        <f t="shared" si="2"/>
        <v>0</v>
      </c>
      <c r="AS16" s="197">
        <f t="shared" si="3"/>
        <v>1</v>
      </c>
    </row>
    <row r="17" spans="1:45" x14ac:dyDescent="0.2">
      <c r="Q17" s="57" t="s">
        <v>113</v>
      </c>
      <c r="R17" s="42">
        <v>12</v>
      </c>
      <c r="S17" s="42">
        <v>-6.3439946586420559</v>
      </c>
      <c r="T17" s="42">
        <v>7.5421672783237822E-3</v>
      </c>
      <c r="U17" s="42">
        <v>7.5421672783237822E-3</v>
      </c>
      <c r="V17" s="42" t="e">
        <v>#N/A</v>
      </c>
      <c r="W17" s="42" t="str">
        <v/>
      </c>
      <c r="Y17" s="57" t="s">
        <v>113</v>
      </c>
      <c r="Z17" s="42">
        <v>12</v>
      </c>
      <c r="AA17" s="42">
        <v>0</v>
      </c>
      <c r="AB17" s="42">
        <v>6.3999999999999956E-5</v>
      </c>
      <c r="AC17" s="42">
        <v>6.3999999999999956E-5</v>
      </c>
      <c r="AD17" s="42" t="e">
        <v>#N/A</v>
      </c>
      <c r="AE17" s="42" t="e">
        <v>#N/A</v>
      </c>
      <c r="AF17" s="42" t="str">
        <v/>
      </c>
      <c r="AH17" s="57" t="s">
        <v>113</v>
      </c>
      <c r="AI17" s="42">
        <v>12</v>
      </c>
      <c r="AJ17" s="42">
        <v>0</v>
      </c>
      <c r="AK17" s="54">
        <v>0.1353352832366127</v>
      </c>
      <c r="AL17" s="54">
        <v>0.1353352832366127</v>
      </c>
      <c r="AM17" s="54" t="e">
        <v>#N/A</v>
      </c>
      <c r="AN17" s="54" t="e">
        <v>#N/A</v>
      </c>
      <c r="AO17" s="54" t="str">
        <v/>
      </c>
      <c r="AP17" s="96">
        <f t="shared" si="0"/>
        <v>1</v>
      </c>
      <c r="AQ17" s="160" t="b">
        <f t="shared" si="1"/>
        <v>1</v>
      </c>
      <c r="AR17" s="98">
        <f t="shared" si="2"/>
        <v>0</v>
      </c>
      <c r="AS17" s="197">
        <f t="shared" si="3"/>
        <v>1</v>
      </c>
    </row>
    <row r="18" spans="1:45" x14ac:dyDescent="0.2">
      <c r="Q18" s="96">
        <f>IF(ISBLANK(B8),B7,IF(ISBLANK(B7),_xlfn.NORM.INV(B8,Q14,Q16),NA()))</f>
        <v>66.832424671458298</v>
      </c>
      <c r="R18" s="42">
        <v>13</v>
      </c>
      <c r="S18" s="42">
        <v>-5.8475717982134912</v>
      </c>
      <c r="T18" s="42">
        <v>8.085947278345074E-3</v>
      </c>
      <c r="U18" s="42">
        <v>8.085947278345074E-3</v>
      </c>
      <c r="V18" s="42" t="e">
        <v>#N/A</v>
      </c>
      <c r="W18" s="42" t="str">
        <v/>
      </c>
      <c r="Y18" s="96">
        <f>IF(ISBLANK(E8),E7,IF(ISBLANK(E7),_xlfn.BINOM.INV(E5,E6,E8),NA()))</f>
        <v>4</v>
      </c>
      <c r="Z18" s="42">
        <v>13</v>
      </c>
      <c r="AA18" s="42">
        <v>0</v>
      </c>
      <c r="AB18" s="42">
        <v>6.3999999999999956E-5</v>
      </c>
      <c r="AC18" s="42">
        <v>6.3999999999999956E-5</v>
      </c>
      <c r="AD18" s="42" t="e">
        <v>#N/A</v>
      </c>
      <c r="AE18" s="42" t="e">
        <v>#N/A</v>
      </c>
      <c r="AF18" s="42" t="str">
        <v/>
      </c>
      <c r="AH18" s="196">
        <f>IF(ISBLANK(H7),H6,IF(ISBLANK(H6),AS34,NA()))</f>
        <v>1</v>
      </c>
      <c r="AI18" s="42">
        <v>13</v>
      </c>
      <c r="AJ18" s="42">
        <v>0</v>
      </c>
      <c r="AK18" s="54">
        <v>0.1353352832366127</v>
      </c>
      <c r="AL18" s="54">
        <v>0.1353352832366127</v>
      </c>
      <c r="AM18" s="54" t="e">
        <v>#N/A</v>
      </c>
      <c r="AN18" s="54" t="e">
        <v>#N/A</v>
      </c>
      <c r="AO18" s="54" t="str">
        <v/>
      </c>
      <c r="AP18" s="96">
        <f t="shared" si="0"/>
        <v>1</v>
      </c>
      <c r="AQ18" s="160" t="b">
        <f t="shared" si="1"/>
        <v>1</v>
      </c>
      <c r="AR18" s="98">
        <f t="shared" si="2"/>
        <v>0</v>
      </c>
      <c r="AS18" s="197">
        <f t="shared" si="3"/>
        <v>1</v>
      </c>
    </row>
    <row r="19" spans="1:45" x14ac:dyDescent="0.2">
      <c r="Q19" s="57" t="s">
        <v>336</v>
      </c>
      <c r="R19" s="42">
        <v>14</v>
      </c>
      <c r="S19" s="42">
        <v>-5.3511489377849273</v>
      </c>
      <c r="T19" s="42">
        <v>8.6635938859280798E-3</v>
      </c>
      <c r="U19" s="42">
        <v>8.6635938859280798E-3</v>
      </c>
      <c r="V19" s="42" t="e">
        <v>#N/A</v>
      </c>
      <c r="W19" s="42" t="str">
        <v/>
      </c>
      <c r="Y19" s="57" t="s">
        <v>336</v>
      </c>
      <c r="Z19" s="42">
        <v>14</v>
      </c>
      <c r="AA19" s="42">
        <v>0</v>
      </c>
      <c r="AB19" s="42">
        <v>6.3999999999999956E-5</v>
      </c>
      <c r="AC19" s="42">
        <v>6.3999999999999956E-5</v>
      </c>
      <c r="AD19" s="42" t="e">
        <v>#N/A</v>
      </c>
      <c r="AE19" s="42" t="e">
        <v>#N/A</v>
      </c>
      <c r="AF19" s="42" t="str">
        <v/>
      </c>
      <c r="AH19" s="57" t="s">
        <v>336</v>
      </c>
      <c r="AI19" s="42">
        <v>14</v>
      </c>
      <c r="AJ19" s="42">
        <v>0</v>
      </c>
      <c r="AK19" s="54">
        <v>0.1353352832366127</v>
      </c>
      <c r="AL19" s="54">
        <v>0.1353352832366127</v>
      </c>
      <c r="AM19" s="54" t="e">
        <v>#N/A</v>
      </c>
      <c r="AN19" s="54" t="e">
        <v>#N/A</v>
      </c>
      <c r="AO19" s="54" t="str">
        <v/>
      </c>
      <c r="AP19" s="96">
        <f t="shared" si="0"/>
        <v>1</v>
      </c>
      <c r="AQ19" s="160" t="b">
        <f t="shared" si="1"/>
        <v>1</v>
      </c>
      <c r="AR19" s="98">
        <f t="shared" si="2"/>
        <v>0</v>
      </c>
      <c r="AS19" s="197">
        <f t="shared" si="3"/>
        <v>1</v>
      </c>
    </row>
    <row r="20" spans="1:45" x14ac:dyDescent="0.2">
      <c r="Q20" s="193">
        <f>IF(ISBLANK(B8),_xlfn.NORM.DIST(B7,B5,B6,TRUE),IF(ISBLANK(B7),B8,NA()))</f>
        <v>0.8</v>
      </c>
      <c r="R20" s="42">
        <v>15</v>
      </c>
      <c r="S20" s="42">
        <v>-4.8547260773563625</v>
      </c>
      <c r="T20" s="42">
        <v>9.2767895149492557E-3</v>
      </c>
      <c r="U20" s="42">
        <v>9.2767895149492557E-3</v>
      </c>
      <c r="V20" s="42" t="e">
        <v>#N/A</v>
      </c>
      <c r="W20" s="42" t="str">
        <v/>
      </c>
      <c r="Y20" s="136">
        <f>IF(ISBLANK(E8),_xlfn.BINOM.DIST(E7,E5,E6,TRUE),IF(ISBLANK(E7),E8,NA()))</f>
        <v>0.34463999999999995</v>
      </c>
      <c r="Z20" s="42">
        <v>15</v>
      </c>
      <c r="AA20" s="42">
        <v>0</v>
      </c>
      <c r="AB20" s="42">
        <v>6.3999999999999956E-5</v>
      </c>
      <c r="AC20" s="42">
        <v>6.3999999999999956E-5</v>
      </c>
      <c r="AD20" s="42" t="e">
        <v>#N/A</v>
      </c>
      <c r="AE20" s="42" t="e">
        <v>#N/A</v>
      </c>
      <c r="AF20" s="42" t="str">
        <v/>
      </c>
      <c r="AH20" s="136">
        <f>IF(ISBLANK(H7),_xlfn.POISSON.DIST(H6,H5,TRUE),IF(ISBLANK(H6),H7,NA()))</f>
        <v>0.2</v>
      </c>
      <c r="AI20" s="42">
        <v>15</v>
      </c>
      <c r="AJ20" s="42">
        <v>0</v>
      </c>
      <c r="AK20" s="54">
        <v>0.1353352832366127</v>
      </c>
      <c r="AL20" s="54">
        <v>0.1353352832366127</v>
      </c>
      <c r="AM20" s="54" t="e">
        <v>#N/A</v>
      </c>
      <c r="AN20" s="54" t="e">
        <v>#N/A</v>
      </c>
      <c r="AO20" s="54" t="str">
        <v/>
      </c>
      <c r="AP20" s="96">
        <f t="shared" si="0"/>
        <v>1</v>
      </c>
      <c r="AQ20" s="160" t="b">
        <f t="shared" si="1"/>
        <v>1</v>
      </c>
      <c r="AR20" s="98">
        <f t="shared" si="2"/>
        <v>0</v>
      </c>
      <c r="AS20" s="197">
        <f t="shared" si="3"/>
        <v>1</v>
      </c>
    </row>
    <row r="21" spans="1:45" x14ac:dyDescent="0.2">
      <c r="Q21" s="90" t="s">
        <v>1039</v>
      </c>
      <c r="R21" s="42">
        <v>16</v>
      </c>
      <c r="S21" s="42">
        <v>-4.3583032169277987</v>
      </c>
      <c r="T21" s="42">
        <v>9.9272682052590783E-3</v>
      </c>
      <c r="U21" s="42">
        <v>9.9272682052590783E-3</v>
      </c>
      <c r="V21" s="42" t="e">
        <v>#N/A</v>
      </c>
      <c r="W21" s="42" t="str">
        <v/>
      </c>
      <c r="Y21" s="90" t="s">
        <v>1039</v>
      </c>
      <c r="Z21" s="42">
        <v>16</v>
      </c>
      <c r="AA21" s="42">
        <v>0</v>
      </c>
      <c r="AB21" s="42">
        <v>6.3999999999999956E-5</v>
      </c>
      <c r="AC21" s="42">
        <v>6.3999999999999956E-5</v>
      </c>
      <c r="AD21" s="42" t="e">
        <v>#N/A</v>
      </c>
      <c r="AE21" s="42" t="e">
        <v>#N/A</v>
      </c>
      <c r="AF21" s="42" t="str">
        <v/>
      </c>
      <c r="AH21" s="90" t="s">
        <v>1039</v>
      </c>
      <c r="AI21" s="42">
        <v>16</v>
      </c>
      <c r="AJ21" s="42">
        <v>0</v>
      </c>
      <c r="AK21" s="54">
        <v>0.1353352832366127</v>
      </c>
      <c r="AL21" s="54">
        <v>0.1353352832366127</v>
      </c>
      <c r="AM21" s="54" t="e">
        <v>#N/A</v>
      </c>
      <c r="AN21" s="54" t="e">
        <v>#N/A</v>
      </c>
      <c r="AO21" s="54" t="str">
        <v/>
      </c>
      <c r="AP21" s="96">
        <f t="shared" si="0"/>
        <v>1</v>
      </c>
      <c r="AQ21" s="160" t="b">
        <f t="shared" si="1"/>
        <v>1</v>
      </c>
      <c r="AR21" s="98">
        <f t="shared" si="2"/>
        <v>0</v>
      </c>
      <c r="AS21" s="197">
        <f t="shared" si="3"/>
        <v>1</v>
      </c>
    </row>
    <row r="22" spans="1:45" x14ac:dyDescent="0.2">
      <c r="Q22" s="98">
        <v>250</v>
      </c>
      <c r="R22" s="42">
        <v>17</v>
      </c>
      <c r="S22" s="42">
        <v>-3.8618803564992348</v>
      </c>
      <c r="T22" s="42">
        <v>1.0616814855188389E-2</v>
      </c>
      <c r="U22" s="42">
        <v>1.0616814855188389E-2</v>
      </c>
      <c r="V22" s="42" t="e">
        <v>#N/A</v>
      </c>
      <c r="W22" s="42" t="str">
        <v/>
      </c>
      <c r="Y22" s="98">
        <f>MIN(ROUNDUP(Y14/30,0)*250,2500)</f>
        <v>250</v>
      </c>
      <c r="Z22" s="42">
        <v>17</v>
      </c>
      <c r="AA22" s="42">
        <v>0</v>
      </c>
      <c r="AB22" s="42">
        <v>6.3999999999999956E-5</v>
      </c>
      <c r="AC22" s="42">
        <v>6.3999999999999956E-5</v>
      </c>
      <c r="AD22" s="42" t="e">
        <v>#N/A</v>
      </c>
      <c r="AE22" s="42" t="e">
        <v>#N/A</v>
      </c>
      <c r="AF22" s="42" t="str">
        <v/>
      </c>
      <c r="AH22" s="98">
        <f>MIN(ROUNDUP(AH16/30,0)*250,2500)</f>
        <v>250</v>
      </c>
      <c r="AI22" s="42">
        <v>17</v>
      </c>
      <c r="AJ22" s="42">
        <v>0</v>
      </c>
      <c r="AK22" s="54">
        <v>0.1353352832366127</v>
      </c>
      <c r="AL22" s="54">
        <v>0.1353352832366127</v>
      </c>
      <c r="AM22" s="54" t="e">
        <v>#N/A</v>
      </c>
      <c r="AN22" s="54" t="e">
        <v>#N/A</v>
      </c>
      <c r="AO22" s="54" t="str">
        <v/>
      </c>
      <c r="AP22" s="96">
        <f t="shared" si="0"/>
        <v>1</v>
      </c>
      <c r="AQ22" s="160" t="b">
        <f t="shared" si="1"/>
        <v>1</v>
      </c>
      <c r="AR22" s="98">
        <f t="shared" si="2"/>
        <v>0</v>
      </c>
      <c r="AS22" s="197">
        <f t="shared" si="3"/>
        <v>1</v>
      </c>
    </row>
    <row r="23" spans="1:45" x14ac:dyDescent="0.2">
      <c r="Q23" s="90" t="s">
        <v>1121</v>
      </c>
      <c r="R23" s="42">
        <v>18</v>
      </c>
      <c r="S23" s="42">
        <v>-3.36545749607067</v>
      </c>
      <c r="T23" s="42">
        <v>1.1347264237970188E-2</v>
      </c>
      <c r="U23" s="42">
        <v>1.1347264237970188E-2</v>
      </c>
      <c r="V23" s="42" t="e">
        <v>#N/A</v>
      </c>
      <c r="W23" s="42" t="str">
        <v/>
      </c>
      <c r="Y23" s="90" t="s">
        <v>1121</v>
      </c>
      <c r="Z23" s="42">
        <v>18</v>
      </c>
      <c r="AA23" s="42">
        <v>0</v>
      </c>
      <c r="AB23" s="42">
        <v>6.3999999999999956E-5</v>
      </c>
      <c r="AC23" s="42">
        <v>6.3999999999999956E-5</v>
      </c>
      <c r="AD23" s="42" t="e">
        <v>#N/A</v>
      </c>
      <c r="AE23" s="42" t="e">
        <v>#N/A</v>
      </c>
      <c r="AF23" s="42" t="str">
        <v/>
      </c>
      <c r="AH23" s="90" t="s">
        <v>1121</v>
      </c>
      <c r="AI23" s="42">
        <v>18</v>
      </c>
      <c r="AJ23" s="42">
        <v>0</v>
      </c>
      <c r="AK23" s="54">
        <v>0.1353352832366127</v>
      </c>
      <c r="AL23" s="54">
        <v>0.1353352832366127</v>
      </c>
      <c r="AM23" s="54" t="e">
        <v>#N/A</v>
      </c>
      <c r="AN23" s="54" t="e">
        <v>#N/A</v>
      </c>
      <c r="AO23" s="54" t="str">
        <v/>
      </c>
      <c r="AP23" s="96">
        <f t="shared" si="0"/>
        <v>1</v>
      </c>
      <c r="AQ23" s="160" t="b">
        <f t="shared" si="1"/>
        <v>1</v>
      </c>
      <c r="AR23" s="98">
        <f t="shared" si="2"/>
        <v>0</v>
      </c>
      <c r="AS23" s="197">
        <f t="shared" si="3"/>
        <v>1</v>
      </c>
    </row>
    <row r="24" spans="1:45" x14ac:dyDescent="0.2">
      <c r="Q24" s="96">
        <v>25</v>
      </c>
      <c r="R24" s="42">
        <v>19</v>
      </c>
      <c r="S24" s="42">
        <v>-2.8690346356421053</v>
      </c>
      <c r="T24" s="42">
        <v>1.212049979068994E-2</v>
      </c>
      <c r="U24" s="42">
        <v>1.212049979068994E-2</v>
      </c>
      <c r="V24" s="42" t="e">
        <v>#N/A</v>
      </c>
      <c r="W24" s="42" t="str">
        <v/>
      </c>
      <c r="Y24" s="96">
        <f>ROUNDDOWN(Y22/(Y14+1),0)</f>
        <v>35</v>
      </c>
      <c r="Z24" s="42">
        <v>19</v>
      </c>
      <c r="AA24" s="42">
        <v>0</v>
      </c>
      <c r="AB24" s="42">
        <v>6.3999999999999956E-5</v>
      </c>
      <c r="AC24" s="42">
        <v>6.3999999999999956E-5</v>
      </c>
      <c r="AD24" s="42" t="e">
        <v>#N/A</v>
      </c>
      <c r="AE24" s="42" t="e">
        <v>#N/A</v>
      </c>
      <c r="AF24" s="42">
        <v>0</v>
      </c>
      <c r="AH24" s="96">
        <f>ROUNDDOWN(AH22/(AH16+1),0)</f>
        <v>20</v>
      </c>
      <c r="AI24" s="42">
        <v>19</v>
      </c>
      <c r="AJ24" s="42">
        <v>0</v>
      </c>
      <c r="AK24" s="54">
        <v>0.1353352832366127</v>
      </c>
      <c r="AL24" s="54">
        <v>0.1353352832366127</v>
      </c>
      <c r="AM24" s="54" t="e">
        <v>#N/A</v>
      </c>
      <c r="AN24" s="54" t="e">
        <v>#N/A</v>
      </c>
      <c r="AO24" s="54" t="str">
        <v/>
      </c>
      <c r="AP24" s="96">
        <f t="shared" si="0"/>
        <v>1</v>
      </c>
      <c r="AQ24" s="160" t="b">
        <f t="shared" si="1"/>
        <v>1</v>
      </c>
      <c r="AR24" s="98">
        <f t="shared" si="2"/>
        <v>0</v>
      </c>
      <c r="AS24" s="197">
        <f t="shared" si="3"/>
        <v>1</v>
      </c>
    </row>
    <row r="25" spans="1:45" x14ac:dyDescent="0.2">
      <c r="Q25" s="90" t="s">
        <v>1040</v>
      </c>
      <c r="R25" s="42">
        <v>20</v>
      </c>
      <c r="S25" s="42">
        <v>-2.3726117752135405</v>
      </c>
      <c r="T25" s="42">
        <v>1.2938452164596234E-2</v>
      </c>
      <c r="U25" s="42">
        <v>1.2938452164596234E-2</v>
      </c>
      <c r="V25" s="42" t="e">
        <v>#N/A</v>
      </c>
      <c r="W25" s="42" t="str">
        <v/>
      </c>
      <c r="Y25" s="57" t="s">
        <v>1137</v>
      </c>
      <c r="Z25" s="42">
        <v>20</v>
      </c>
      <c r="AA25" s="42">
        <v>0</v>
      </c>
      <c r="AB25" s="42">
        <v>6.3999999999999956E-5</v>
      </c>
      <c r="AC25" s="42">
        <v>6.3999999999999956E-5</v>
      </c>
      <c r="AD25" s="42" t="e">
        <v>#N/A</v>
      </c>
      <c r="AE25" s="42" t="e">
        <v>#N/A</v>
      </c>
      <c r="AF25" s="42" t="str">
        <v/>
      </c>
      <c r="AH25" s="57" t="s">
        <v>1137</v>
      </c>
      <c r="AI25" s="42">
        <v>20</v>
      </c>
      <c r="AJ25" s="42">
        <v>0</v>
      </c>
      <c r="AK25" s="54">
        <v>0.1353352832366127</v>
      </c>
      <c r="AL25" s="54">
        <v>0.1353352832366127</v>
      </c>
      <c r="AM25" s="54" t="e">
        <v>#N/A</v>
      </c>
      <c r="AN25" s="54" t="e">
        <v>#N/A</v>
      </c>
      <c r="AO25" s="54" t="str">
        <v/>
      </c>
      <c r="AP25" s="96">
        <f t="shared" si="0"/>
        <v>1</v>
      </c>
      <c r="AQ25" s="160" t="b">
        <f t="shared" si="1"/>
        <v>1</v>
      </c>
      <c r="AR25" s="98">
        <f t="shared" si="2"/>
        <v>0</v>
      </c>
      <c r="AS25" s="197">
        <f t="shared" si="3"/>
        <v>1</v>
      </c>
    </row>
    <row r="26" spans="1:45" x14ac:dyDescent="0.2">
      <c r="Q26" s="98">
        <f>_xlfn.NORM.INV(0.999,Q14,Q16)</f>
        <v>111.80464612335626</v>
      </c>
      <c r="R26" s="42">
        <v>21</v>
      </c>
      <c r="S26" s="42">
        <v>-1.8761889147849757</v>
      </c>
      <c r="T26" s="42">
        <v>1.3803097525895824E-2</v>
      </c>
      <c r="U26" s="42">
        <v>1.3803097525895824E-2</v>
      </c>
      <c r="V26" s="42" t="e">
        <v>#N/A</v>
      </c>
      <c r="W26" s="42" t="str">
        <v/>
      </c>
      <c r="Y26" s="98">
        <f>_xlfn.BINOM.DIST(Y18,E5,E6,TRUE)-_xlfn.BINOM.DIST(Y18,E5,E6,FALSE)</f>
        <v>9.8879999999999968E-2</v>
      </c>
      <c r="Z26" s="42">
        <v>21</v>
      </c>
      <c r="AA26" s="42">
        <v>0</v>
      </c>
      <c r="AB26" s="42">
        <v>6.3999999999999956E-5</v>
      </c>
      <c r="AC26" s="42">
        <v>6.3999999999999956E-5</v>
      </c>
      <c r="AD26" s="42" t="e">
        <v>#N/A</v>
      </c>
      <c r="AE26" s="42" t="e">
        <v>#N/A</v>
      </c>
      <c r="AF26" s="42" t="str">
        <v/>
      </c>
      <c r="AH26" s="199">
        <f>_xlfn.POISSON.DIST(AH18,AH14,TRUE)-_xlfn.POISSON.DIST(AH18,AH14,FALSE)</f>
        <v>0.13533528323661276</v>
      </c>
      <c r="AI26" s="42">
        <v>21</v>
      </c>
      <c r="AJ26" s="42" t="e">
        <v>#N/A</v>
      </c>
      <c r="AK26" s="54" t="e">
        <v>#N/A</v>
      </c>
      <c r="AL26" s="54" t="e">
        <v>#N/A</v>
      </c>
      <c r="AM26" s="54" t="e">
        <v>#N/A</v>
      </c>
      <c r="AN26" s="54" t="e">
        <v>#N/A</v>
      </c>
      <c r="AO26" s="54" t="str">
        <v/>
      </c>
      <c r="AP26" s="96">
        <f t="shared" si="0"/>
        <v>1</v>
      </c>
      <c r="AQ26" s="160" t="b">
        <f t="shared" si="1"/>
        <v>1</v>
      </c>
      <c r="AR26" s="98">
        <f t="shared" si="2"/>
        <v>0</v>
      </c>
      <c r="AS26" s="197">
        <f t="shared" si="3"/>
        <v>1</v>
      </c>
    </row>
    <row r="27" spans="1:45" x14ac:dyDescent="0.2">
      <c r="Q27" s="90" t="s">
        <v>1114</v>
      </c>
      <c r="R27" s="42">
        <v>22</v>
      </c>
      <c r="S27" s="42">
        <v>-1.3797660543564128</v>
      </c>
      <c r="T27" s="42">
        <v>1.4716455596524172E-2</v>
      </c>
      <c r="U27" s="42">
        <v>1.4716455596524172E-2</v>
      </c>
      <c r="V27" s="42" t="e">
        <v>#N/A</v>
      </c>
      <c r="W27" s="42" t="str">
        <v/>
      </c>
      <c r="Y27" s="57" t="s">
        <v>1138</v>
      </c>
      <c r="Z27" s="42">
        <v>22</v>
      </c>
      <c r="AA27" s="42">
        <v>0</v>
      </c>
      <c r="AB27" s="42">
        <v>6.3999999999999956E-5</v>
      </c>
      <c r="AC27" s="42">
        <v>6.3999999999999956E-5</v>
      </c>
      <c r="AD27" s="42" t="e">
        <v>#N/A</v>
      </c>
      <c r="AE27" s="42" t="e">
        <v>#N/A</v>
      </c>
      <c r="AF27" s="42" t="str">
        <v/>
      </c>
      <c r="AH27" s="57" t="s">
        <v>1138</v>
      </c>
      <c r="AI27" s="42">
        <v>22</v>
      </c>
      <c r="AJ27" s="42">
        <v>1</v>
      </c>
      <c r="AK27" s="54">
        <v>0.27067056647322535</v>
      </c>
      <c r="AL27" s="54" t="e">
        <v>#N/A</v>
      </c>
      <c r="AM27" s="54">
        <v>0.27067056647322535</v>
      </c>
      <c r="AN27" s="54" t="e">
        <v>#N/A</v>
      </c>
      <c r="AO27" s="54" t="str">
        <v/>
      </c>
      <c r="AP27" s="96">
        <f t="shared" si="0"/>
        <v>1</v>
      </c>
      <c r="AQ27" s="160" t="b">
        <f t="shared" si="1"/>
        <v>1</v>
      </c>
      <c r="AR27" s="98">
        <f t="shared" si="2"/>
        <v>0</v>
      </c>
      <c r="AS27" s="197">
        <f t="shared" si="3"/>
        <v>1</v>
      </c>
    </row>
    <row r="28" spans="1:45" x14ac:dyDescent="0.2">
      <c r="Q28" s="98">
        <f>_xlfn.NORM.INV(0.001,Q14,Q16)</f>
        <v>-11.804646123356264</v>
      </c>
      <c r="R28" s="42">
        <v>23</v>
      </c>
      <c r="S28" s="42">
        <v>-0.88334319392784799</v>
      </c>
      <c r="T28" s="42">
        <v>1.5680587424828297E-2</v>
      </c>
      <c r="U28" s="42">
        <v>1.5680587424828297E-2</v>
      </c>
      <c r="V28" s="42" t="e">
        <v>#N/A</v>
      </c>
      <c r="W28" s="42" t="str">
        <v/>
      </c>
      <c r="Y28" s="98">
        <f>_xlfn.BINOM.DIST(Y18,E5,E6,FALSE)</f>
        <v>0.24575999999999998</v>
      </c>
      <c r="Z28" s="42">
        <v>23</v>
      </c>
      <c r="AA28" s="42">
        <v>0</v>
      </c>
      <c r="AB28" s="42">
        <v>6.3999999999999956E-5</v>
      </c>
      <c r="AC28" s="42">
        <v>6.3999999999999956E-5</v>
      </c>
      <c r="AD28" s="42" t="e">
        <v>#N/A</v>
      </c>
      <c r="AE28" s="42" t="e">
        <v>#N/A</v>
      </c>
      <c r="AF28" s="42" t="str">
        <v/>
      </c>
      <c r="AH28" s="98">
        <f>_xlfn.POISSON.DIST(AH18,AH14,FALSE)</f>
        <v>0.27067056647322535</v>
      </c>
      <c r="AI28" s="42">
        <v>23</v>
      </c>
      <c r="AJ28" s="42">
        <v>1</v>
      </c>
      <c r="AK28" s="54">
        <v>0.27067056647322535</v>
      </c>
      <c r="AL28" s="54" t="e">
        <v>#N/A</v>
      </c>
      <c r="AM28" s="54">
        <v>0.27067056647322535</v>
      </c>
      <c r="AN28" s="54" t="e">
        <v>#N/A</v>
      </c>
      <c r="AO28" s="54" t="str">
        <v/>
      </c>
      <c r="AP28" s="96">
        <f t="shared" si="0"/>
        <v>1</v>
      </c>
      <c r="AQ28" s="160" t="b">
        <f t="shared" si="1"/>
        <v>1</v>
      </c>
      <c r="AR28" s="98">
        <f t="shared" si="2"/>
        <v>0</v>
      </c>
      <c r="AS28" s="197">
        <f t="shared" si="3"/>
        <v>1</v>
      </c>
    </row>
    <row r="29" spans="1:45" x14ac:dyDescent="0.2">
      <c r="A29" s="3" t="s">
        <v>1107</v>
      </c>
      <c r="B29"/>
      <c r="D29" s="3" t="s">
        <v>1108</v>
      </c>
      <c r="E29"/>
      <c r="G29" s="3" t="s">
        <v>1109</v>
      </c>
      <c r="H29"/>
      <c r="Q29" s="57" t="s">
        <v>1115</v>
      </c>
      <c r="R29" s="42">
        <v>24</v>
      </c>
      <c r="S29" s="42">
        <v>-0.38692033349928323</v>
      </c>
      <c r="T29" s="42">
        <v>1.6697592876625731E-2</v>
      </c>
      <c r="U29" s="42">
        <v>1.6697592876625731E-2</v>
      </c>
      <c r="V29" s="42" t="e">
        <v>#N/A</v>
      </c>
      <c r="W29" s="42" t="str">
        <v/>
      </c>
      <c r="Y29" s="57" t="s">
        <v>1139</v>
      </c>
      <c r="Z29" s="42">
        <v>24</v>
      </c>
      <c r="AA29" s="42">
        <v>0</v>
      </c>
      <c r="AB29" s="42">
        <v>6.3999999999999956E-5</v>
      </c>
      <c r="AC29" s="42">
        <v>6.3999999999999956E-5</v>
      </c>
      <c r="AD29" s="42" t="e">
        <v>#N/A</v>
      </c>
      <c r="AE29" s="42" t="e">
        <v>#N/A</v>
      </c>
      <c r="AF29" s="42" t="str">
        <v/>
      </c>
      <c r="AH29" s="57" t="s">
        <v>1139</v>
      </c>
      <c r="AI29" s="42">
        <v>24</v>
      </c>
      <c r="AJ29" s="42">
        <v>1</v>
      </c>
      <c r="AK29" s="54">
        <v>0.27067056647322535</v>
      </c>
      <c r="AL29" s="54" t="e">
        <v>#N/A</v>
      </c>
      <c r="AM29" s="54">
        <v>0.27067056647322535</v>
      </c>
      <c r="AN29" s="54" t="e">
        <v>#N/A</v>
      </c>
      <c r="AO29" s="54" t="str">
        <v/>
      </c>
      <c r="AP29" s="96">
        <f t="shared" si="0"/>
        <v>1</v>
      </c>
      <c r="AQ29" s="160" t="b">
        <f t="shared" si="1"/>
        <v>1</v>
      </c>
      <c r="AR29" s="98">
        <f t="shared" si="2"/>
        <v>0</v>
      </c>
      <c r="AS29" s="197">
        <f t="shared" si="3"/>
        <v>1</v>
      </c>
    </row>
    <row r="30" spans="1:45" x14ac:dyDescent="0.2">
      <c r="A30" s="57" t="s">
        <v>0</v>
      </c>
      <c r="B30" s="123">
        <f>B5</f>
        <v>50</v>
      </c>
      <c r="D30" s="57" t="s">
        <v>343</v>
      </c>
      <c r="E30" s="124">
        <f>E5</f>
        <v>6</v>
      </c>
      <c r="G30" s="57" t="s">
        <v>3</v>
      </c>
      <c r="H30" s="126">
        <f>H5</f>
        <v>2</v>
      </c>
      <c r="Q30" s="98" cm="1">
        <f t="array" ref="Q30">MAX(0,MIN(3,5-MAX(LEN(ROUND(ABS(Q14),0)),LEN(ROUND(ABS(Q16),0)),LEN(ROUND(ABS(_xlfn.ANCHORARRAY(S6)),0)))))</f>
        <v>2</v>
      </c>
      <c r="R30" s="42">
        <v>25</v>
      </c>
      <c r="S30" s="42">
        <v>0.10950252692928153</v>
      </c>
      <c r="T30" s="42">
        <v>1.7769607837714165E-2</v>
      </c>
      <c r="U30" s="42">
        <v>1.7769607837714165E-2</v>
      </c>
      <c r="V30" s="42" t="e">
        <v>#N/A</v>
      </c>
      <c r="W30" s="42" t="str">
        <v/>
      </c>
      <c r="Y30" s="98">
        <f>1-_xlfn.BINOM.DIST(Y18,E5,E6,TRUE)</f>
        <v>0.65536000000000005</v>
      </c>
      <c r="Z30" s="42">
        <v>25</v>
      </c>
      <c r="AA30" s="42">
        <v>0</v>
      </c>
      <c r="AB30" s="42">
        <v>6.3999999999999956E-5</v>
      </c>
      <c r="AC30" s="42">
        <v>6.3999999999999956E-5</v>
      </c>
      <c r="AD30" s="42" t="e">
        <v>#N/A</v>
      </c>
      <c r="AE30" s="42" t="e">
        <v>#N/A</v>
      </c>
      <c r="AF30" s="42" t="str">
        <v/>
      </c>
      <c r="AH30" s="200">
        <f>1-_xlfn.POISSON.DIST(AH18,AH14,TRUE)</f>
        <v>0.59399415029016189</v>
      </c>
      <c r="AI30" s="42">
        <v>25</v>
      </c>
      <c r="AJ30" s="42">
        <v>1</v>
      </c>
      <c r="AK30" s="54">
        <v>0.27067056647322535</v>
      </c>
      <c r="AL30" s="54" t="e">
        <v>#N/A</v>
      </c>
      <c r="AM30" s="54">
        <v>0.27067056647322535</v>
      </c>
      <c r="AN30" s="54" t="e">
        <v>#N/A</v>
      </c>
      <c r="AO30" s="54" t="str">
        <v/>
      </c>
      <c r="AP30" s="96">
        <f t="shared" si="0"/>
        <v>1</v>
      </c>
      <c r="AQ30" s="160" t="b">
        <f t="shared" si="1"/>
        <v>1</v>
      </c>
      <c r="AR30" s="98">
        <f t="shared" si="2"/>
        <v>0</v>
      </c>
      <c r="AS30" s="197">
        <f t="shared" si="3"/>
        <v>1</v>
      </c>
    </row>
    <row r="31" spans="1:45" x14ac:dyDescent="0.2">
      <c r="A31" s="57" t="s">
        <v>1</v>
      </c>
      <c r="B31" s="123">
        <f>B6</f>
        <v>20</v>
      </c>
      <c r="D31" s="57" t="s">
        <v>335</v>
      </c>
      <c r="E31" s="122">
        <f>E6</f>
        <v>0.8</v>
      </c>
      <c r="G31" s="57" t="s">
        <v>113</v>
      </c>
      <c r="H31" s="124">
        <f>AH18</f>
        <v>1</v>
      </c>
      <c r="Q31" s="57" t="s">
        <v>996</v>
      </c>
      <c r="R31" s="42">
        <v>26</v>
      </c>
      <c r="S31" s="42">
        <v>0.60592538735784451</v>
      </c>
      <c r="T31" s="42">
        <v>1.8898801119602578E-2</v>
      </c>
      <c r="U31" s="42">
        <v>1.8898801119602578E-2</v>
      </c>
      <c r="V31" s="42" t="e">
        <v>#N/A</v>
      </c>
      <c r="W31" s="42">
        <v>0.61</v>
      </c>
      <c r="Y31" s="57" t="s">
        <v>1133</v>
      </c>
      <c r="Z31" s="42">
        <v>26</v>
      </c>
      <c r="AA31" s="42">
        <v>0</v>
      </c>
      <c r="AB31" s="42">
        <v>6.3999999999999956E-5</v>
      </c>
      <c r="AC31" s="42">
        <v>6.3999999999999956E-5</v>
      </c>
      <c r="AD31" s="42" t="e">
        <v>#N/A</v>
      </c>
      <c r="AE31" s="42" t="e">
        <v>#N/A</v>
      </c>
      <c r="AF31" s="42" t="str">
        <v/>
      </c>
      <c r="AH31" s="57" t="s">
        <v>1134</v>
      </c>
      <c r="AI31" s="42">
        <v>26</v>
      </c>
      <c r="AJ31" s="42">
        <v>1</v>
      </c>
      <c r="AK31" s="54">
        <v>0.27067056647322535</v>
      </c>
      <c r="AL31" s="54" t="e">
        <v>#N/A</v>
      </c>
      <c r="AM31" s="54">
        <v>0.27067056647322535</v>
      </c>
      <c r="AN31" s="54" t="e">
        <v>#N/A</v>
      </c>
      <c r="AO31" s="54" t="str">
        <v/>
      </c>
      <c r="AP31" s="96">
        <f t="shared" si="0"/>
        <v>1</v>
      </c>
      <c r="AQ31" s="160" t="b">
        <f t="shared" si="1"/>
        <v>1</v>
      </c>
      <c r="AR31" s="98">
        <f t="shared" si="2"/>
        <v>0</v>
      </c>
      <c r="AS31" s="197">
        <f t="shared" si="3"/>
        <v>1</v>
      </c>
    </row>
    <row r="32" spans="1:45" x14ac:dyDescent="0.2">
      <c r="A32" s="72" t="s">
        <v>462</v>
      </c>
      <c r="B32" s="126">
        <f>Q18</f>
        <v>66.832424671458298</v>
      </c>
      <c r="D32" s="57" t="s">
        <v>113</v>
      </c>
      <c r="E32" s="124">
        <f>Y18</f>
        <v>4</v>
      </c>
      <c r="G32" s="72" t="s">
        <v>400</v>
      </c>
      <c r="H32" s="125">
        <f>Y26</f>
        <v>9.8879999999999968E-2</v>
      </c>
      <c r="Q32" s="98">
        <f>ROUND(Q14,Q30)</f>
        <v>50</v>
      </c>
      <c r="R32" s="42">
        <v>27</v>
      </c>
      <c r="S32" s="42">
        <v>1.1023482477864093</v>
      </c>
      <c r="T32" s="42">
        <v>2.008737106101895E-2</v>
      </c>
      <c r="U32" s="42">
        <v>2.008737106101895E-2</v>
      </c>
      <c r="V32" s="42" t="e">
        <v>#N/A</v>
      </c>
      <c r="W32" s="42" t="str">
        <v/>
      </c>
      <c r="Y32" s="194" t="str">
        <f>ROUND(Y16,5)*100&amp;"%"</f>
        <v>80%</v>
      </c>
      <c r="Z32" s="42">
        <v>27</v>
      </c>
      <c r="AA32" s="42">
        <v>0</v>
      </c>
      <c r="AB32" s="42">
        <v>6.3999999999999956E-5</v>
      </c>
      <c r="AC32" s="42">
        <v>6.3999999999999956E-5</v>
      </c>
      <c r="AD32" s="42" t="e">
        <v>#N/A</v>
      </c>
      <c r="AE32" s="42" t="e">
        <v>#N/A</v>
      </c>
      <c r="AF32" s="42" t="str">
        <v/>
      </c>
      <c r="AH32" s="194" t="str">
        <f>ROUND(AH26,5)*100&amp;"%"</f>
        <v>13.534%</v>
      </c>
      <c r="AI32" s="42">
        <v>27</v>
      </c>
      <c r="AJ32" s="42">
        <v>1</v>
      </c>
      <c r="AK32" s="54">
        <v>0.27067056647322535</v>
      </c>
      <c r="AL32" s="54" t="e">
        <v>#N/A</v>
      </c>
      <c r="AM32" s="54">
        <v>0.27067056647322535</v>
      </c>
      <c r="AN32" s="54" t="e">
        <v>#N/A</v>
      </c>
      <c r="AO32" s="54" t="str">
        <v/>
      </c>
      <c r="AP32" s="96">
        <f t="shared" si="0"/>
        <v>1</v>
      </c>
      <c r="AQ32" s="160" t="b">
        <f t="shared" si="1"/>
        <v>1</v>
      </c>
      <c r="AR32" s="98">
        <f t="shared" si="2"/>
        <v>0</v>
      </c>
      <c r="AS32" s="197">
        <f t="shared" si="3"/>
        <v>1</v>
      </c>
    </row>
    <row r="33" spans="1:45" x14ac:dyDescent="0.2">
      <c r="A33" s="72" t="s">
        <v>400</v>
      </c>
      <c r="B33" s="122">
        <f>Q20</f>
        <v>0.8</v>
      </c>
      <c r="D33" s="72" t="s">
        <v>400</v>
      </c>
      <c r="E33" s="125">
        <f>Y26</f>
        <v>9.8879999999999968E-2</v>
      </c>
      <c r="G33" s="72" t="s">
        <v>402</v>
      </c>
      <c r="H33" s="125">
        <f>Y28</f>
        <v>0.24575999999999998</v>
      </c>
      <c r="Q33" s="57" t="s">
        <v>997</v>
      </c>
      <c r="R33" s="42">
        <v>28</v>
      </c>
      <c r="S33" s="42">
        <v>1.598771108214974</v>
      </c>
      <c r="T33" s="42">
        <v>2.1337541818621984E-2</v>
      </c>
      <c r="U33" s="42">
        <v>2.1337541818621984E-2</v>
      </c>
      <c r="V33" s="42" t="e">
        <v>#N/A</v>
      </c>
      <c r="W33" s="42" t="str">
        <v/>
      </c>
      <c r="Y33" s="57" t="s">
        <v>1134</v>
      </c>
      <c r="Z33" s="42">
        <v>28</v>
      </c>
      <c r="AA33" s="42">
        <v>0</v>
      </c>
      <c r="AB33" s="42">
        <v>6.3999999999999956E-5</v>
      </c>
      <c r="AC33" s="42">
        <v>6.3999999999999956E-5</v>
      </c>
      <c r="AD33" s="42" t="e">
        <v>#N/A</v>
      </c>
      <c r="AE33" s="42" t="e">
        <v>#N/A</v>
      </c>
      <c r="AF33" s="42" t="str">
        <v/>
      </c>
      <c r="AH33" s="57" t="s">
        <v>1135</v>
      </c>
      <c r="AI33" s="42">
        <v>28</v>
      </c>
      <c r="AJ33" s="42">
        <v>1</v>
      </c>
      <c r="AK33" s="54">
        <v>0.27067056647322535</v>
      </c>
      <c r="AL33" s="54" t="e">
        <v>#N/A</v>
      </c>
      <c r="AM33" s="54">
        <v>0.27067056647322535</v>
      </c>
      <c r="AN33" s="54" t="e">
        <v>#N/A</v>
      </c>
      <c r="AO33" s="54" t="str">
        <v/>
      </c>
      <c r="AP33" s="96">
        <f t="shared" si="0"/>
        <v>1</v>
      </c>
      <c r="AQ33" s="160" t="b">
        <f t="shared" si="1"/>
        <v>1</v>
      </c>
      <c r="AR33" s="98">
        <f t="shared" si="2"/>
        <v>0</v>
      </c>
      <c r="AS33" s="197">
        <f t="shared" si="3"/>
        <v>1</v>
      </c>
    </row>
    <row r="34" spans="1:45" x14ac:dyDescent="0.2">
      <c r="A34" s="72" t="s">
        <v>401</v>
      </c>
      <c r="B34" s="122">
        <f>1-B33</f>
        <v>0.19999999999999996</v>
      </c>
      <c r="D34" s="72" t="s">
        <v>402</v>
      </c>
      <c r="E34" s="125">
        <f>Y28</f>
        <v>0.24575999999999998</v>
      </c>
      <c r="G34" s="72" t="s">
        <v>401</v>
      </c>
      <c r="H34" s="125">
        <f>Y30</f>
        <v>0.65536000000000005</v>
      </c>
      <c r="Q34" s="172">
        <f>ROUND(Q16,Q30)</f>
        <v>20</v>
      </c>
      <c r="R34" s="42">
        <v>29</v>
      </c>
      <c r="S34" s="42">
        <v>2.0951939686435388</v>
      </c>
      <c r="T34" s="42">
        <v>2.265155934130612E-2</v>
      </c>
      <c r="U34" s="42">
        <v>2.265155934130612E-2</v>
      </c>
      <c r="V34" s="42" t="e">
        <v>#N/A</v>
      </c>
      <c r="W34" s="42" t="str">
        <v/>
      </c>
      <c r="Y34" s="194" t="str">
        <f>ROUND(Y26,5)*100&amp;"%"</f>
        <v>9.888%</v>
      </c>
      <c r="Z34" s="42">
        <v>29</v>
      </c>
      <c r="AA34" s="42">
        <v>0</v>
      </c>
      <c r="AB34" s="42">
        <v>6.3999999999999956E-5</v>
      </c>
      <c r="AC34" s="42">
        <v>6.3999999999999956E-5</v>
      </c>
      <c r="AD34" s="42" t="e">
        <v>#N/A</v>
      </c>
      <c r="AE34" s="42" t="e">
        <v>#N/A</v>
      </c>
      <c r="AF34" s="42" t="str">
        <v/>
      </c>
      <c r="AH34" s="194" t="str">
        <f>ROUND(AH28,5)*100&amp;"%"</f>
        <v>27.067%</v>
      </c>
      <c r="AI34" s="42">
        <v>29</v>
      </c>
      <c r="AJ34" s="42">
        <v>1</v>
      </c>
      <c r="AK34" s="54">
        <v>0.27067056647322535</v>
      </c>
      <c r="AL34" s="54" t="e">
        <v>#N/A</v>
      </c>
      <c r="AM34" s="54">
        <v>0.27067056647322535</v>
      </c>
      <c r="AN34" s="54" t="e">
        <v>#N/A</v>
      </c>
      <c r="AO34" s="54" t="str">
        <v/>
      </c>
      <c r="AP34" s="96">
        <f t="shared" si="0"/>
        <v>1</v>
      </c>
      <c r="AQ34" s="160" t="b">
        <f t="shared" si="1"/>
        <v>1</v>
      </c>
      <c r="AR34" s="98">
        <f t="shared" si="2"/>
        <v>0</v>
      </c>
      <c r="AS34" s="198">
        <f>IF(_xlfn.POISSON.DIST(AR34,$AH$14,TRUE)&gt;$AH$20,AR34,IF(AQ34,AP34,AS33))</f>
        <v>1</v>
      </c>
    </row>
    <row r="35" spans="1:45" x14ac:dyDescent="0.2">
      <c r="D35" s="72" t="s">
        <v>401</v>
      </c>
      <c r="E35" s="125">
        <f>Y30</f>
        <v>0.65536000000000005</v>
      </c>
      <c r="Q35" s="57" t="s">
        <v>1116</v>
      </c>
      <c r="R35" s="42">
        <v>30</v>
      </c>
      <c r="S35" s="42">
        <v>2.5916168290721036</v>
      </c>
      <c r="T35" s="42">
        <v>2.403168702354121E-2</v>
      </c>
      <c r="U35" s="42">
        <v>2.403168702354121E-2</v>
      </c>
      <c r="V35" s="42" t="e">
        <v>#N/A</v>
      </c>
      <c r="W35" s="42" t="str">
        <v/>
      </c>
      <c r="Y35" s="57" t="s">
        <v>1135</v>
      </c>
      <c r="Z35" s="42">
        <v>30</v>
      </c>
      <c r="AA35" s="42">
        <v>0</v>
      </c>
      <c r="AB35" s="42">
        <v>6.3999999999999956E-5</v>
      </c>
      <c r="AC35" s="42">
        <v>6.3999999999999956E-5</v>
      </c>
      <c r="AD35" s="42" t="e">
        <v>#N/A</v>
      </c>
      <c r="AE35" s="42" t="e">
        <v>#N/A</v>
      </c>
      <c r="AF35" s="42" t="str">
        <v/>
      </c>
      <c r="AH35" s="57" t="s">
        <v>1136</v>
      </c>
      <c r="AI35" s="42">
        <v>30</v>
      </c>
      <c r="AJ35" s="42">
        <v>1</v>
      </c>
      <c r="AK35" s="54">
        <v>0.27067056647322535</v>
      </c>
      <c r="AL35" s="54" t="e">
        <v>#N/A</v>
      </c>
      <c r="AM35" s="54">
        <v>0.27067056647322535</v>
      </c>
      <c r="AN35" s="54" t="e">
        <v>#N/A</v>
      </c>
      <c r="AO35" s="54" t="str">
        <v/>
      </c>
    </row>
    <row r="36" spans="1:45" x14ac:dyDescent="0.2">
      <c r="Q36" s="172">
        <f>ROUND(Q18,Q30)</f>
        <v>66.83</v>
      </c>
      <c r="R36" s="42">
        <v>31</v>
      </c>
      <c r="S36" s="42">
        <v>3.0880396895006665</v>
      </c>
      <c r="T36" s="42">
        <v>2.5480201034328312E-2</v>
      </c>
      <c r="U36" s="42">
        <v>2.5480201034328312E-2</v>
      </c>
      <c r="V36" s="42" t="e">
        <v>#N/A</v>
      </c>
      <c r="W36" s="42" t="str">
        <v/>
      </c>
      <c r="Y36" s="194" t="str">
        <f>ROUND(Y28,5)*100&amp;"%"</f>
        <v>24.576%</v>
      </c>
      <c r="Z36" s="42">
        <v>31</v>
      </c>
      <c r="AA36" s="42">
        <v>0</v>
      </c>
      <c r="AB36" s="42">
        <v>6.3999999999999956E-5</v>
      </c>
      <c r="AC36" s="42">
        <v>6.3999999999999956E-5</v>
      </c>
      <c r="AD36" s="42" t="e">
        <v>#N/A</v>
      </c>
      <c r="AE36" s="42" t="e">
        <v>#N/A</v>
      </c>
      <c r="AF36" s="42" t="str">
        <v/>
      </c>
      <c r="AH36" s="194" t="str">
        <f>ROUND(AH30,5)*100&amp;"%"</f>
        <v>59.399%</v>
      </c>
      <c r="AI36" s="42">
        <v>31</v>
      </c>
      <c r="AJ36" s="42">
        <v>1</v>
      </c>
      <c r="AK36" s="54">
        <v>0.27067056647322535</v>
      </c>
      <c r="AL36" s="54" t="e">
        <v>#N/A</v>
      </c>
      <c r="AM36" s="54">
        <v>0.27067056647322535</v>
      </c>
      <c r="AN36" s="54" t="e">
        <v>#N/A</v>
      </c>
      <c r="AO36" s="54">
        <v>1</v>
      </c>
    </row>
    <row r="37" spans="1:45" x14ac:dyDescent="0.2">
      <c r="Q37" s="57" t="s">
        <v>1117</v>
      </c>
      <c r="R37" s="42">
        <v>32</v>
      </c>
      <c r="S37" s="42">
        <v>3.5844625499292313</v>
      </c>
      <c r="T37" s="42">
        <v>2.6999385319583014E-2</v>
      </c>
      <c r="U37" s="42">
        <v>2.6999385319583014E-2</v>
      </c>
      <c r="V37" s="42" t="e">
        <v>#N/A</v>
      </c>
      <c r="W37" s="42" t="str">
        <v/>
      </c>
      <c r="Y37" s="57" t="s">
        <v>1136</v>
      </c>
      <c r="Z37" s="42">
        <v>32</v>
      </c>
      <c r="AA37" s="42">
        <v>0</v>
      </c>
      <c r="AB37" s="42">
        <v>6.3999999999999956E-5</v>
      </c>
      <c r="AC37" s="42">
        <v>6.3999999999999956E-5</v>
      </c>
      <c r="AD37" s="42" t="e">
        <v>#N/A</v>
      </c>
      <c r="AE37" s="42" t="e">
        <v>#N/A</v>
      </c>
      <c r="AF37" s="42" t="str">
        <v/>
      </c>
      <c r="AH37" s="57" t="s">
        <v>1122</v>
      </c>
      <c r="AI37" s="42">
        <v>32</v>
      </c>
      <c r="AJ37" s="42">
        <v>1</v>
      </c>
      <c r="AK37" s="54">
        <v>0.27067056647322535</v>
      </c>
      <c r="AL37" s="54" t="e">
        <v>#N/A</v>
      </c>
      <c r="AM37" s="54">
        <v>0.27067056647322535</v>
      </c>
      <c r="AN37" s="54" t="e">
        <v>#N/A</v>
      </c>
      <c r="AO37" s="54" t="str">
        <v/>
      </c>
    </row>
    <row r="38" spans="1:45" x14ac:dyDescent="0.2">
      <c r="Q38" s="194" t="str">
        <f>ROUND(Q20,Q30+2)*100&amp;"%"</f>
        <v>80%</v>
      </c>
      <c r="R38" s="42">
        <v>33</v>
      </c>
      <c r="S38" s="42">
        <v>4.0808854103577943</v>
      </c>
      <c r="T38" s="42">
        <v>2.8591526277073009E-2</v>
      </c>
      <c r="U38" s="42">
        <v>2.8591526277073009E-2</v>
      </c>
      <c r="V38" s="42" t="e">
        <v>#N/A</v>
      </c>
      <c r="W38" s="42" t="str">
        <v/>
      </c>
      <c r="Y38" s="194" t="str">
        <f>ROUND(Y30,5)*100&amp;"%"</f>
        <v>65.536%</v>
      </c>
      <c r="Z38" s="42">
        <v>33</v>
      </c>
      <c r="AA38" s="42">
        <v>0</v>
      </c>
      <c r="AB38" s="42">
        <v>6.3999999999999956E-5</v>
      </c>
      <c r="AC38" s="42">
        <v>6.3999999999999956E-5</v>
      </c>
      <c r="AD38" s="42" t="e">
        <v>#N/A</v>
      </c>
      <c r="AE38" s="42" t="e">
        <v>#N/A</v>
      </c>
      <c r="AF38" s="42" t="str">
        <v/>
      </c>
      <c r="AH38" s="98">
        <f>ROUND((AH18-1)/2,0)*AH24+ROUND(0.5*(AH24+1),0)</f>
        <v>11</v>
      </c>
      <c r="AI38" s="42">
        <v>33</v>
      </c>
      <c r="AJ38" s="42">
        <v>1</v>
      </c>
      <c r="AK38" s="54">
        <v>0.27067056647322535</v>
      </c>
      <c r="AL38" s="54" t="e">
        <v>#N/A</v>
      </c>
      <c r="AM38" s="54">
        <v>0.27067056647322535</v>
      </c>
      <c r="AN38" s="54" t="e">
        <v>#N/A</v>
      </c>
      <c r="AO38" s="54" t="str">
        <v/>
      </c>
    </row>
    <row r="39" spans="1:45" x14ac:dyDescent="0.2">
      <c r="Q39" s="57" t="s">
        <v>1118</v>
      </c>
      <c r="R39" s="42">
        <v>34</v>
      </c>
      <c r="S39" s="42">
        <v>4.5773082707863608</v>
      </c>
      <c r="T39" s="42">
        <v>3.0258907104437256E-2</v>
      </c>
      <c r="U39" s="42">
        <v>3.0258907104437256E-2</v>
      </c>
      <c r="V39" s="42" t="e">
        <v>#N/A</v>
      </c>
      <c r="W39" s="42" t="str">
        <v/>
      </c>
      <c r="Y39" s="57" t="s">
        <v>1122</v>
      </c>
      <c r="Z39" s="42">
        <v>34</v>
      </c>
      <c r="AA39" s="42">
        <v>0</v>
      </c>
      <c r="AB39" s="42">
        <v>6.3999999999999956E-5</v>
      </c>
      <c r="AC39" s="42">
        <v>6.3999999999999956E-5</v>
      </c>
      <c r="AD39" s="42" t="e">
        <v>#N/A</v>
      </c>
      <c r="AE39" s="42" t="e">
        <v>#N/A</v>
      </c>
      <c r="AF39" s="42" t="str">
        <v/>
      </c>
      <c r="AH39" s="57" t="s">
        <v>1123</v>
      </c>
      <c r="AI39" s="42">
        <v>34</v>
      </c>
      <c r="AJ39" s="42">
        <v>1</v>
      </c>
      <c r="AK39" s="54">
        <v>0.27067056647322535</v>
      </c>
      <c r="AL39" s="54" t="e">
        <v>#N/A</v>
      </c>
      <c r="AM39" s="54">
        <v>0.27067056647322535</v>
      </c>
      <c r="AN39" s="54" t="e">
        <v>#N/A</v>
      </c>
      <c r="AO39" s="54" t="str">
        <v/>
      </c>
    </row>
    <row r="40" spans="1:45" x14ac:dyDescent="0.2">
      <c r="Q40" s="194" t="str">
        <f>ROUND(1-Q20,Q30+2)*100&amp;"%"</f>
        <v>20%</v>
      </c>
      <c r="R40" s="42">
        <v>35</v>
      </c>
      <c r="S40" s="42">
        <v>5.0737311312149238</v>
      </c>
      <c r="T40" s="42">
        <v>3.2003801822296514E-2</v>
      </c>
      <c r="U40" s="42">
        <v>3.2003801822296514E-2</v>
      </c>
      <c r="V40" s="42" t="e">
        <v>#N/A</v>
      </c>
      <c r="W40" s="42" t="str">
        <v/>
      </c>
      <c r="Y40" s="98">
        <f>ROUND((Y18-1)/2,0)*Y24+ROUND(0.5*(Y24+1),0)</f>
        <v>88</v>
      </c>
      <c r="Z40" s="42">
        <v>35</v>
      </c>
      <c r="AA40" s="42">
        <v>0</v>
      </c>
      <c r="AB40" s="42">
        <v>6.3999999999999956E-5</v>
      </c>
      <c r="AC40" s="42">
        <v>6.3999999999999956E-5</v>
      </c>
      <c r="AD40" s="42" t="e">
        <v>#N/A</v>
      </c>
      <c r="AE40" s="42" t="e">
        <v>#N/A</v>
      </c>
      <c r="AF40" s="42" t="str">
        <v/>
      </c>
      <c r="AH40" s="98">
        <f>AH18*AH24+ROUND(0.5*(AH24+1),0)</f>
        <v>31</v>
      </c>
      <c r="AI40" s="42">
        <v>35</v>
      </c>
      <c r="AJ40" s="42">
        <v>1</v>
      </c>
      <c r="AK40" s="54">
        <v>0.27067056647322535</v>
      </c>
      <c r="AL40" s="54" t="e">
        <v>#N/A</v>
      </c>
      <c r="AM40" s="54">
        <v>0.27067056647322535</v>
      </c>
      <c r="AN40" s="54" t="e">
        <v>#N/A</v>
      </c>
      <c r="AO40" s="54" t="str">
        <v/>
      </c>
    </row>
    <row r="41" spans="1:45" x14ac:dyDescent="0.2">
      <c r="Q41" s="57" t="s">
        <v>1122</v>
      </c>
      <c r="R41" s="42">
        <v>36</v>
      </c>
      <c r="S41" s="42">
        <v>5.5701539916434903</v>
      </c>
      <c r="T41" s="42">
        <v>3.382846897602549E-2</v>
      </c>
      <c r="U41" s="42">
        <v>3.382846897602549E-2</v>
      </c>
      <c r="V41" s="42" t="e">
        <v>#N/A</v>
      </c>
      <c r="W41" s="42" t="str">
        <v/>
      </c>
      <c r="Y41" s="57" t="s">
        <v>1123</v>
      </c>
      <c r="Z41" s="42">
        <v>36</v>
      </c>
      <c r="AA41" s="42" t="e">
        <v>#N/A</v>
      </c>
      <c r="AB41" s="42" t="e">
        <v>#N/A</v>
      </c>
      <c r="AC41" s="42" t="e">
        <v>#N/A</v>
      </c>
      <c r="AD41" s="42" t="e">
        <v>#N/A</v>
      </c>
      <c r="AE41" s="42" t="e">
        <v>#N/A</v>
      </c>
      <c r="AF41" s="42" t="str">
        <v/>
      </c>
      <c r="AH41" s="57" t="s">
        <v>1146</v>
      </c>
      <c r="AI41" s="42">
        <v>36</v>
      </c>
      <c r="AJ41" s="42">
        <v>1</v>
      </c>
      <c r="AK41" s="54">
        <v>0.27067056647322535</v>
      </c>
      <c r="AL41" s="54" t="e">
        <v>#N/A</v>
      </c>
      <c r="AM41" s="54">
        <v>0.27067056647322535</v>
      </c>
      <c r="AN41" s="54" t="e">
        <v>#N/A</v>
      </c>
      <c r="AO41" s="54" t="str">
        <v/>
      </c>
    </row>
    <row r="42" spans="1:45" x14ac:dyDescent="0.2">
      <c r="Q42" s="98" cm="1">
        <f t="array" ref="Q42">MAX(1,ROUND((Q22-SUM(--ISNA(_xlfn.ANCHORARRAY(U6))))/2,0))</f>
        <v>80</v>
      </c>
      <c r="R42" s="42">
        <v>37</v>
      </c>
      <c r="S42" s="42">
        <v>6.0665768520720533</v>
      </c>
      <c r="T42" s="42">
        <v>3.573514502139017E-2</v>
      </c>
      <c r="U42" s="42">
        <v>3.573514502139017E-2</v>
      </c>
      <c r="V42" s="42" t="e">
        <v>#N/A</v>
      </c>
      <c r="W42" s="42" t="str">
        <v/>
      </c>
      <c r="Y42" s="98">
        <f>Y18*Y24+ROUND(0.5*(Y24+1),0)</f>
        <v>158</v>
      </c>
      <c r="Z42" s="42">
        <v>37</v>
      </c>
      <c r="AA42" s="42">
        <v>1</v>
      </c>
      <c r="AB42" s="42">
        <v>1.5359999999999961E-3</v>
      </c>
      <c r="AC42" s="42">
        <v>1.5359999999999961E-3</v>
      </c>
      <c r="AD42" s="42" t="e">
        <v>#N/A</v>
      </c>
      <c r="AE42" s="42" t="e">
        <v>#N/A</v>
      </c>
      <c r="AF42" s="42" t="str">
        <v/>
      </c>
      <c r="AH42" s="98">
        <f>ROUND(AH16-(AH16-AH18)/2,0)*AH24+ROUND(0.5*(AH24+1),0)</f>
        <v>131</v>
      </c>
      <c r="AI42" s="42">
        <v>37</v>
      </c>
      <c r="AJ42" s="42">
        <v>1</v>
      </c>
      <c r="AK42" s="54">
        <v>0.27067056647322535</v>
      </c>
      <c r="AL42" s="54" t="e">
        <v>#N/A</v>
      </c>
      <c r="AM42" s="54">
        <v>0.27067056647322535</v>
      </c>
      <c r="AN42" s="54" t="e">
        <v>#N/A</v>
      </c>
      <c r="AO42" s="54" t="str">
        <v/>
      </c>
    </row>
    <row r="43" spans="1:45" x14ac:dyDescent="0.2">
      <c r="Q43" s="57" t="s">
        <v>1123</v>
      </c>
      <c r="R43" s="42">
        <v>38</v>
      </c>
      <c r="S43" s="42">
        <v>6.5629997125006163</v>
      </c>
      <c r="T43" s="42">
        <v>3.7726037400958284E-2</v>
      </c>
      <c r="U43" s="42">
        <v>3.7726037400958284E-2</v>
      </c>
      <c r="V43" s="42" t="e">
        <v>#N/A</v>
      </c>
      <c r="W43" s="42" t="str">
        <v/>
      </c>
      <c r="Y43" s="57" t="s">
        <v>1146</v>
      </c>
      <c r="Z43" s="42">
        <v>38</v>
      </c>
      <c r="AA43" s="42">
        <v>1</v>
      </c>
      <c r="AB43" s="42">
        <v>1.5359999999999961E-3</v>
      </c>
      <c r="AC43" s="42">
        <v>1.5359999999999961E-3</v>
      </c>
      <c r="AD43" s="42" t="e">
        <v>#N/A</v>
      </c>
      <c r="AE43" s="42" t="e">
        <v>#N/A</v>
      </c>
      <c r="AF43" s="42" t="str">
        <v/>
      </c>
      <c r="AH43" s="57" t="s">
        <v>1124</v>
      </c>
      <c r="AI43" s="42">
        <v>38</v>
      </c>
      <c r="AJ43" s="42">
        <v>1</v>
      </c>
      <c r="AK43" s="54">
        <v>0.27067056647322535</v>
      </c>
      <c r="AL43" s="54" t="e">
        <v>#N/A</v>
      </c>
      <c r="AM43" s="54">
        <v>0.27067056647322535</v>
      </c>
      <c r="AN43" s="54" t="e">
        <v>#N/A</v>
      </c>
      <c r="AO43" s="54" t="str">
        <v/>
      </c>
    </row>
    <row r="44" spans="1:45" x14ac:dyDescent="0.2">
      <c r="Q44" s="98" cm="1">
        <f t="array" ref="Q44">ROUND(Q22-SUM(--ISNA(_xlfn.ANCHORARRAY(U6)))/2,0)</f>
        <v>205</v>
      </c>
      <c r="R44" s="42">
        <v>39</v>
      </c>
      <c r="S44" s="42">
        <v>7.0594225729291828</v>
      </c>
      <c r="T44" s="42">
        <v>3.9803317319956046E-2</v>
      </c>
      <c r="U44" s="42">
        <v>3.9803317319956046E-2</v>
      </c>
      <c r="V44" s="42" t="e">
        <v>#N/A</v>
      </c>
      <c r="W44" s="42" t="str">
        <v/>
      </c>
      <c r="Y44" s="98">
        <f>ROUND(Y14-(Y14-Y18)/2,0)*Y24+ROUND(0.5*(Y24+1),0)</f>
        <v>193</v>
      </c>
      <c r="Z44" s="42">
        <v>39</v>
      </c>
      <c r="AA44" s="42">
        <v>1</v>
      </c>
      <c r="AB44" s="42">
        <v>1.5359999999999961E-3</v>
      </c>
      <c r="AC44" s="42">
        <v>1.5359999999999961E-3</v>
      </c>
      <c r="AD44" s="42" t="e">
        <v>#N/A</v>
      </c>
      <c r="AE44" s="42" t="e">
        <v>#N/A</v>
      </c>
      <c r="AF44" s="42" t="str">
        <v/>
      </c>
      <c r="AH44" s="98" cm="1">
        <f t="array" ref="AH44">INDEX(_xlfn.ANCHORARRAY(AK6),AH38)</f>
        <v>0.1353352832366127</v>
      </c>
      <c r="AI44" s="42">
        <v>39</v>
      </c>
      <c r="AJ44" s="42">
        <v>1</v>
      </c>
      <c r="AK44" s="54">
        <v>0.27067056647322535</v>
      </c>
      <c r="AL44" s="54" t="e">
        <v>#N/A</v>
      </c>
      <c r="AM44" s="54">
        <v>0.27067056647322535</v>
      </c>
      <c r="AN44" s="54" t="e">
        <v>#N/A</v>
      </c>
      <c r="AO44" s="54" t="str">
        <v/>
      </c>
    </row>
    <row r="45" spans="1:45" x14ac:dyDescent="0.2">
      <c r="Q45" s="57" t="s">
        <v>1124</v>
      </c>
      <c r="R45" s="42">
        <v>40</v>
      </c>
      <c r="S45" s="42">
        <v>7.5558454333577458</v>
      </c>
      <c r="T45" s="42">
        <v>4.1969112232068333E-2</v>
      </c>
      <c r="U45" s="42">
        <v>4.1969112232068333E-2</v>
      </c>
      <c r="V45" s="42" t="e">
        <v>#N/A</v>
      </c>
      <c r="W45" s="42" t="str">
        <v/>
      </c>
      <c r="Y45" s="57" t="s">
        <v>1124</v>
      </c>
      <c r="Z45" s="42">
        <v>40</v>
      </c>
      <c r="AA45" s="42">
        <v>1</v>
      </c>
      <c r="AB45" s="42">
        <v>1.5359999999999961E-3</v>
      </c>
      <c r="AC45" s="42">
        <v>1.5359999999999961E-3</v>
      </c>
      <c r="AD45" s="42" t="e">
        <v>#N/A</v>
      </c>
      <c r="AE45" s="42" t="e">
        <v>#N/A</v>
      </c>
      <c r="AF45" s="42" t="str">
        <v/>
      </c>
      <c r="AH45" s="57" t="s">
        <v>1125</v>
      </c>
      <c r="AI45" s="42">
        <v>40</v>
      </c>
      <c r="AJ45" s="42">
        <v>1</v>
      </c>
      <c r="AK45" s="54">
        <v>0.27067056647322535</v>
      </c>
      <c r="AL45" s="54" t="e">
        <v>#N/A</v>
      </c>
      <c r="AM45" s="54">
        <v>0.27067056647322535</v>
      </c>
      <c r="AN45" s="54" t="e">
        <v>#N/A</v>
      </c>
      <c r="AO45" s="54" t="str">
        <v/>
      </c>
    </row>
    <row r="46" spans="1:45" x14ac:dyDescent="0.2">
      <c r="Q46" s="98" cm="1">
        <f t="array" ref="Q46">INDEX(_xlfn.ANCHORARRAY(T6),Q42)</f>
        <v>0.21083745345327712</v>
      </c>
      <c r="R46" s="42">
        <v>41</v>
      </c>
      <c r="S46" s="42">
        <v>8.0522682937863124</v>
      </c>
      <c r="T46" s="42">
        <v>4.4225498047551264E-2</v>
      </c>
      <c r="U46" s="42">
        <v>4.4225498047551264E-2</v>
      </c>
      <c r="V46" s="42" t="e">
        <v>#N/A</v>
      </c>
      <c r="W46" s="42" t="str">
        <v/>
      </c>
      <c r="Y46" s="98" cm="1">
        <f t="array" ref="Y46">INDEX(_xlfn.ANCHORARRAY(AB6),Y40)</f>
        <v>1.535999999999999E-2</v>
      </c>
      <c r="Z46" s="42">
        <v>41</v>
      </c>
      <c r="AA46" s="42">
        <v>1</v>
      </c>
      <c r="AB46" s="42">
        <v>1.5359999999999961E-3</v>
      </c>
      <c r="AC46" s="42">
        <v>1.5359999999999961E-3</v>
      </c>
      <c r="AD46" s="42" t="e">
        <v>#N/A</v>
      </c>
      <c r="AE46" s="42" t="e">
        <v>#N/A</v>
      </c>
      <c r="AF46" s="42" t="str">
        <v/>
      </c>
      <c r="AH46" s="98" cm="1">
        <f t="array" ref="AH46">INDEX(_xlfn.ANCHORARRAY(AK6),AH40)</f>
        <v>0.27067056647322535</v>
      </c>
      <c r="AI46" s="42">
        <v>41</v>
      </c>
      <c r="AJ46" s="42" t="e">
        <v>#N/A</v>
      </c>
      <c r="AK46" s="54" t="e">
        <v>#N/A</v>
      </c>
      <c r="AL46" s="54" t="e">
        <v>#N/A</v>
      </c>
      <c r="AM46" s="54" t="e">
        <v>#N/A</v>
      </c>
      <c r="AN46" s="54" t="e">
        <v>#N/A</v>
      </c>
      <c r="AO46" s="54" t="str">
        <v/>
      </c>
    </row>
    <row r="47" spans="1:45" x14ac:dyDescent="0.2">
      <c r="Q47" s="57" t="s">
        <v>1125</v>
      </c>
      <c r="R47" s="42">
        <v>42</v>
      </c>
      <c r="S47" s="42">
        <v>8.5486911542148754</v>
      </c>
      <c r="T47" s="42">
        <v>4.6574491077940997E-2</v>
      </c>
      <c r="U47" s="42">
        <v>4.6574491077940997E-2</v>
      </c>
      <c r="V47" s="42" t="e">
        <v>#N/A</v>
      </c>
      <c r="W47" s="42" t="str">
        <v/>
      </c>
      <c r="Y47" s="57" t="s">
        <v>1125</v>
      </c>
      <c r="Z47" s="42">
        <v>42</v>
      </c>
      <c r="AA47" s="42">
        <v>1</v>
      </c>
      <c r="AB47" s="42">
        <v>1.5359999999999961E-3</v>
      </c>
      <c r="AC47" s="42">
        <v>1.5359999999999961E-3</v>
      </c>
      <c r="AD47" s="42" t="e">
        <v>#N/A</v>
      </c>
      <c r="AE47" s="42" t="e">
        <v>#N/A</v>
      </c>
      <c r="AF47" s="42" t="str">
        <v/>
      </c>
      <c r="AH47" s="57" t="s">
        <v>1147</v>
      </c>
      <c r="AI47" s="42">
        <v>42</v>
      </c>
      <c r="AJ47" s="42">
        <v>2</v>
      </c>
      <c r="AK47" s="54">
        <v>0.27067056647322546</v>
      </c>
      <c r="AL47" s="54" t="e">
        <v>#N/A</v>
      </c>
      <c r="AM47" s="54" t="e">
        <v>#N/A</v>
      </c>
      <c r="AN47" s="54">
        <v>0.27067056647322546</v>
      </c>
      <c r="AO47" s="54" t="str">
        <v/>
      </c>
    </row>
    <row r="48" spans="1:45" x14ac:dyDescent="0.2">
      <c r="Q48" s="98" cm="1">
        <f t="array" ref="Q48">INDEX(_xlfn.ANCHORARRAY(T6),Q44)</f>
        <v>5.6934304438421797E-2</v>
      </c>
      <c r="R48" s="42">
        <v>43</v>
      </c>
      <c r="S48" s="42">
        <v>9.0451140146434383</v>
      </c>
      <c r="T48" s="42">
        <v>4.9018039733589557E-2</v>
      </c>
      <c r="U48" s="42">
        <v>4.9018039733589557E-2</v>
      </c>
      <c r="V48" s="42" t="e">
        <v>#N/A</v>
      </c>
      <c r="W48" s="42" t="str">
        <v/>
      </c>
      <c r="Y48" s="98" cm="1">
        <f t="array" ref="Y48">INDEX(_xlfn.ANCHORARRAY(AB6),Y42)</f>
        <v>0.24575999999999998</v>
      </c>
      <c r="Z48" s="42">
        <v>43</v>
      </c>
      <c r="AA48" s="42">
        <v>1</v>
      </c>
      <c r="AB48" s="42">
        <v>1.5359999999999961E-3</v>
      </c>
      <c r="AC48" s="42">
        <v>1.5359999999999961E-3</v>
      </c>
      <c r="AD48" s="42" t="e">
        <v>#N/A</v>
      </c>
      <c r="AE48" s="42" t="e">
        <v>#N/A</v>
      </c>
      <c r="AF48" s="42" t="str">
        <v/>
      </c>
      <c r="AH48" s="98" cm="1">
        <f t="array" ref="AH48">INDEX(_xlfn.ANCHORARRAY(AK6),AH42)</f>
        <v>1.2029802954365572E-2</v>
      </c>
      <c r="AI48" s="42">
        <v>43</v>
      </c>
      <c r="AJ48" s="42">
        <v>2</v>
      </c>
      <c r="AK48" s="54">
        <v>0.27067056647322546</v>
      </c>
      <c r="AL48" s="54" t="e">
        <v>#N/A</v>
      </c>
      <c r="AM48" s="54" t="e">
        <v>#N/A</v>
      </c>
      <c r="AN48" s="54">
        <v>0.27067056647322546</v>
      </c>
      <c r="AO48" s="54" t="str">
        <v/>
      </c>
    </row>
    <row r="49" spans="18:41" x14ac:dyDescent="0.2">
      <c r="R49" s="42">
        <v>44</v>
      </c>
      <c r="S49" s="42">
        <v>9.5415368750720049</v>
      </c>
      <c r="T49" s="42">
        <v>5.1558015992230706E-2</v>
      </c>
      <c r="U49" s="42">
        <v>5.1558015992230706E-2</v>
      </c>
      <c r="V49" s="42" t="e">
        <v>#N/A</v>
      </c>
      <c r="W49" s="42" t="str">
        <v/>
      </c>
      <c r="Y49" s="57" t="s">
        <v>1147</v>
      </c>
      <c r="Z49" s="42">
        <v>44</v>
      </c>
      <c r="AA49" s="42">
        <v>1</v>
      </c>
      <c r="AB49" s="42">
        <v>1.5359999999999961E-3</v>
      </c>
      <c r="AC49" s="42">
        <v>1.5359999999999961E-3</v>
      </c>
      <c r="AD49" s="42" t="e">
        <v>#N/A</v>
      </c>
      <c r="AE49" s="42" t="e">
        <v>#N/A</v>
      </c>
      <c r="AF49" s="42" t="str">
        <v/>
      </c>
      <c r="AI49" s="42">
        <v>44</v>
      </c>
      <c r="AJ49" s="42">
        <v>2</v>
      </c>
      <c r="AK49" s="54">
        <v>0.27067056647322546</v>
      </c>
      <c r="AL49" s="54" t="e">
        <v>#N/A</v>
      </c>
      <c r="AM49" s="54" t="e">
        <v>#N/A</v>
      </c>
      <c r="AN49" s="54">
        <v>0.27067056647322546</v>
      </c>
      <c r="AO49" s="54" t="str">
        <v/>
      </c>
    </row>
    <row r="50" spans="18:41" x14ac:dyDescent="0.2">
      <c r="R50" s="42">
        <v>45</v>
      </c>
      <c r="S50" s="42">
        <v>10.037959735500568</v>
      </c>
      <c r="T50" s="42">
        <v>5.4196206658762222E-2</v>
      </c>
      <c r="U50" s="42">
        <v>5.4196206658762222E-2</v>
      </c>
      <c r="V50" s="42" t="e">
        <v>#N/A</v>
      </c>
      <c r="W50" s="42" t="str">
        <v/>
      </c>
      <c r="Y50" s="98" cm="1">
        <f t="array" ref="Y50">INDEX(_xlfn.ANCHORARRAY(AB6),Y44)</f>
        <v>0.39321600000000007</v>
      </c>
      <c r="Z50" s="42">
        <v>45</v>
      </c>
      <c r="AA50" s="42">
        <v>1</v>
      </c>
      <c r="AB50" s="42">
        <v>1.5359999999999961E-3</v>
      </c>
      <c r="AC50" s="42">
        <v>1.5359999999999961E-3</v>
      </c>
      <c r="AD50" s="42" t="e">
        <v>#N/A</v>
      </c>
      <c r="AE50" s="42" t="e">
        <v>#N/A</v>
      </c>
      <c r="AF50" s="42" t="str">
        <v/>
      </c>
      <c r="AI50" s="42">
        <v>45</v>
      </c>
      <c r="AJ50" s="42">
        <v>2</v>
      </c>
      <c r="AK50" s="54">
        <v>0.27067056647322546</v>
      </c>
      <c r="AL50" s="54" t="e">
        <v>#N/A</v>
      </c>
      <c r="AM50" s="54" t="e">
        <v>#N/A</v>
      </c>
      <c r="AN50" s="54">
        <v>0.27067056647322546</v>
      </c>
      <c r="AO50" s="54" t="str">
        <v/>
      </c>
    </row>
    <row r="51" spans="18:41" x14ac:dyDescent="0.2">
      <c r="R51" s="42">
        <v>46</v>
      </c>
      <c r="S51" s="42">
        <v>10.534382595929131</v>
      </c>
      <c r="T51" s="42">
        <v>5.6934304438421797E-2</v>
      </c>
      <c r="U51" s="42">
        <v>5.6934304438421797E-2</v>
      </c>
      <c r="V51" s="42" t="e">
        <v>#N/A</v>
      </c>
      <c r="W51" s="42" t="str">
        <v/>
      </c>
      <c r="Z51" s="42">
        <v>46</v>
      </c>
      <c r="AA51" s="42">
        <v>1</v>
      </c>
      <c r="AB51" s="42">
        <v>1.5359999999999961E-3</v>
      </c>
      <c r="AC51" s="42">
        <v>1.5359999999999961E-3</v>
      </c>
      <c r="AD51" s="42" t="e">
        <v>#N/A</v>
      </c>
      <c r="AE51" s="42" t="e">
        <v>#N/A</v>
      </c>
      <c r="AF51" s="42" t="str">
        <v/>
      </c>
      <c r="AI51" s="42">
        <v>46</v>
      </c>
      <c r="AJ51" s="42">
        <v>2</v>
      </c>
      <c r="AK51" s="54">
        <v>0.27067056647322546</v>
      </c>
      <c r="AL51" s="54" t="e">
        <v>#N/A</v>
      </c>
      <c r="AM51" s="54" t="e">
        <v>#N/A</v>
      </c>
      <c r="AN51" s="54">
        <v>0.27067056647322546</v>
      </c>
      <c r="AO51" s="54" t="str">
        <v/>
      </c>
    </row>
    <row r="52" spans="18:41" x14ac:dyDescent="0.2">
      <c r="R52" s="42">
        <v>47</v>
      </c>
      <c r="S52" s="42">
        <v>11.030805456357697</v>
      </c>
      <c r="T52" s="42">
        <v>5.9773898847512365E-2</v>
      </c>
      <c r="U52" s="42">
        <v>5.9773898847512365E-2</v>
      </c>
      <c r="V52" s="42" t="e">
        <v>#N/A</v>
      </c>
      <c r="W52" s="42" t="str">
        <v/>
      </c>
      <c r="Z52" s="42">
        <v>47</v>
      </c>
      <c r="AA52" s="42">
        <v>1</v>
      </c>
      <c r="AB52" s="42">
        <v>1.5359999999999961E-3</v>
      </c>
      <c r="AC52" s="42">
        <v>1.5359999999999961E-3</v>
      </c>
      <c r="AD52" s="42" t="e">
        <v>#N/A</v>
      </c>
      <c r="AE52" s="42" t="e">
        <v>#N/A</v>
      </c>
      <c r="AF52" s="42" t="str">
        <v/>
      </c>
      <c r="AI52" s="42">
        <v>47</v>
      </c>
      <c r="AJ52" s="42">
        <v>2</v>
      </c>
      <c r="AK52" s="54">
        <v>0.27067056647322546</v>
      </c>
      <c r="AL52" s="54" t="e">
        <v>#N/A</v>
      </c>
      <c r="AM52" s="54" t="e">
        <v>#N/A</v>
      </c>
      <c r="AN52" s="54">
        <v>0.27067056647322546</v>
      </c>
      <c r="AO52" s="54" t="str">
        <v/>
      </c>
    </row>
    <row r="53" spans="18:41" x14ac:dyDescent="0.2">
      <c r="R53" s="42">
        <v>48</v>
      </c>
      <c r="S53" s="42">
        <v>11.52722831678626</v>
      </c>
      <c r="T53" s="42">
        <v>6.2716466987796121E-2</v>
      </c>
      <c r="U53" s="42">
        <v>6.2716466987796121E-2</v>
      </c>
      <c r="V53" s="42" t="e">
        <v>#N/A</v>
      </c>
      <c r="W53" s="42" t="str">
        <v/>
      </c>
      <c r="Z53" s="42">
        <v>48</v>
      </c>
      <c r="AA53" s="42">
        <v>1</v>
      </c>
      <c r="AB53" s="42">
        <v>1.5359999999999961E-3</v>
      </c>
      <c r="AC53" s="42">
        <v>1.5359999999999961E-3</v>
      </c>
      <c r="AD53" s="42" t="e">
        <v>#N/A</v>
      </c>
      <c r="AE53" s="42" t="e">
        <v>#N/A</v>
      </c>
      <c r="AF53" s="42" t="str">
        <v/>
      </c>
      <c r="AI53" s="42">
        <v>48</v>
      </c>
      <c r="AJ53" s="42">
        <v>2</v>
      </c>
      <c r="AK53" s="54">
        <v>0.27067056647322546</v>
      </c>
      <c r="AL53" s="54" t="e">
        <v>#N/A</v>
      </c>
      <c r="AM53" s="54" t="e">
        <v>#N/A</v>
      </c>
      <c r="AN53" s="54">
        <v>0.27067056647322546</v>
      </c>
      <c r="AO53" s="54" t="str">
        <v/>
      </c>
    </row>
    <row r="54" spans="18:41" x14ac:dyDescent="0.2">
      <c r="R54" s="42">
        <v>49</v>
      </c>
      <c r="S54" s="42">
        <v>12.023651177214827</v>
      </c>
      <c r="T54" s="42">
        <v>6.5763364212604189E-2</v>
      </c>
      <c r="U54" s="42">
        <v>6.5763364212604189E-2</v>
      </c>
      <c r="V54" s="42" t="e">
        <v>#N/A</v>
      </c>
      <c r="W54" s="42" t="str">
        <v/>
      </c>
      <c r="Z54" s="42">
        <v>49</v>
      </c>
      <c r="AA54" s="42">
        <v>1</v>
      </c>
      <c r="AB54" s="42">
        <v>1.5359999999999961E-3</v>
      </c>
      <c r="AC54" s="42">
        <v>1.5359999999999961E-3</v>
      </c>
      <c r="AD54" s="42" t="e">
        <v>#N/A</v>
      </c>
      <c r="AE54" s="42" t="e">
        <v>#N/A</v>
      </c>
      <c r="AF54" s="42" t="str">
        <v/>
      </c>
      <c r="AI54" s="42">
        <v>49</v>
      </c>
      <c r="AJ54" s="42">
        <v>2</v>
      </c>
      <c r="AK54" s="54">
        <v>0.27067056647322546</v>
      </c>
      <c r="AL54" s="54" t="e">
        <v>#N/A</v>
      </c>
      <c r="AM54" s="54" t="e">
        <v>#N/A</v>
      </c>
      <c r="AN54" s="54">
        <v>0.27067056647322546</v>
      </c>
      <c r="AO54" s="54" t="str">
        <v/>
      </c>
    </row>
    <row r="55" spans="18:41" x14ac:dyDescent="0.2">
      <c r="R55" s="42">
        <v>50</v>
      </c>
      <c r="S55" s="42">
        <v>12.52007403764339</v>
      </c>
      <c r="T55" s="42">
        <v>6.8915814714596207E-2</v>
      </c>
      <c r="U55" s="42">
        <v>6.8915814714596207E-2</v>
      </c>
      <c r="V55" s="42" t="e">
        <v>#N/A</v>
      </c>
      <c r="W55" s="42" t="str">
        <v/>
      </c>
      <c r="Z55" s="42">
        <v>50</v>
      </c>
      <c r="AA55" s="42">
        <v>1</v>
      </c>
      <c r="AB55" s="42">
        <v>1.5359999999999961E-3</v>
      </c>
      <c r="AC55" s="42">
        <v>1.5359999999999961E-3</v>
      </c>
      <c r="AD55" s="42" t="e">
        <v>#N/A</v>
      </c>
      <c r="AE55" s="42" t="e">
        <v>#N/A</v>
      </c>
      <c r="AF55" s="42" t="str">
        <v/>
      </c>
      <c r="AI55" s="42">
        <v>50</v>
      </c>
      <c r="AJ55" s="42">
        <v>2</v>
      </c>
      <c r="AK55" s="54">
        <v>0.27067056647322546</v>
      </c>
      <c r="AL55" s="54" t="e">
        <v>#N/A</v>
      </c>
      <c r="AM55" s="54" t="e">
        <v>#N/A</v>
      </c>
      <c r="AN55" s="54">
        <v>0.27067056647322546</v>
      </c>
      <c r="AO55" s="54" t="str">
        <v/>
      </c>
    </row>
    <row r="56" spans="18:41" x14ac:dyDescent="0.2">
      <c r="R56" s="42">
        <v>51</v>
      </c>
      <c r="S56" s="42">
        <v>13.016496898071953</v>
      </c>
      <c r="T56" s="42">
        <v>7.2174902066932223E-2</v>
      </c>
      <c r="U56" s="42">
        <v>7.2174902066932223E-2</v>
      </c>
      <c r="V56" s="42" t="e">
        <v>#N/A</v>
      </c>
      <c r="W56" s="42">
        <v>13.02</v>
      </c>
      <c r="Z56" s="42">
        <v>51</v>
      </c>
      <c r="AA56" s="42">
        <v>1</v>
      </c>
      <c r="AB56" s="42">
        <v>1.5359999999999961E-3</v>
      </c>
      <c r="AC56" s="42">
        <v>1.5359999999999961E-3</v>
      </c>
      <c r="AD56" s="42" t="e">
        <v>#N/A</v>
      </c>
      <c r="AE56" s="42" t="e">
        <v>#N/A</v>
      </c>
      <c r="AF56" s="42" t="str">
        <v/>
      </c>
      <c r="AI56" s="42">
        <v>51</v>
      </c>
      <c r="AJ56" s="42">
        <v>2</v>
      </c>
      <c r="AK56" s="54">
        <v>0.27067056647322546</v>
      </c>
      <c r="AL56" s="54" t="e">
        <v>#N/A</v>
      </c>
      <c r="AM56" s="54" t="e">
        <v>#N/A</v>
      </c>
      <c r="AN56" s="54">
        <v>0.27067056647322546</v>
      </c>
      <c r="AO56" s="54">
        <v>2</v>
      </c>
    </row>
    <row r="57" spans="18:41" x14ac:dyDescent="0.2">
      <c r="R57" s="42">
        <v>52</v>
      </c>
      <c r="S57" s="42">
        <v>13.512919758500519</v>
      </c>
      <c r="T57" s="42">
        <v>7.5541559751377427E-2</v>
      </c>
      <c r="U57" s="42">
        <v>7.5541559751377427E-2</v>
      </c>
      <c r="V57" s="42" t="e">
        <v>#N/A</v>
      </c>
      <c r="W57" s="42" t="str">
        <v/>
      </c>
      <c r="Z57" s="42">
        <v>52</v>
      </c>
      <c r="AA57" s="42">
        <v>1</v>
      </c>
      <c r="AB57" s="42">
        <v>1.5359999999999961E-3</v>
      </c>
      <c r="AC57" s="42">
        <v>1.5359999999999961E-3</v>
      </c>
      <c r="AD57" s="42" t="e">
        <v>#N/A</v>
      </c>
      <c r="AE57" s="42" t="e">
        <v>#N/A</v>
      </c>
      <c r="AF57" s="42" t="str">
        <v/>
      </c>
      <c r="AI57" s="42">
        <v>52</v>
      </c>
      <c r="AJ57" s="42">
        <v>2</v>
      </c>
      <c r="AK57" s="54">
        <v>0.27067056647322546</v>
      </c>
      <c r="AL57" s="54" t="e">
        <v>#N/A</v>
      </c>
      <c r="AM57" s="54" t="e">
        <v>#N/A</v>
      </c>
      <c r="AN57" s="54">
        <v>0.27067056647322546</v>
      </c>
      <c r="AO57" s="54" t="str">
        <v/>
      </c>
    </row>
    <row r="58" spans="18:41" x14ac:dyDescent="0.2">
      <c r="R58" s="42">
        <v>53</v>
      </c>
      <c r="S58" s="42">
        <v>14.009342618929082</v>
      </c>
      <c r="T58" s="42">
        <v>7.9016561708534841E-2</v>
      </c>
      <c r="U58" s="42">
        <v>7.9016561708534841E-2</v>
      </c>
      <c r="V58" s="42" t="e">
        <v>#N/A</v>
      </c>
      <c r="W58" s="42" t="str">
        <v/>
      </c>
      <c r="Z58" s="42">
        <v>53</v>
      </c>
      <c r="AA58" s="42">
        <v>1</v>
      </c>
      <c r="AB58" s="42">
        <v>1.5359999999999961E-3</v>
      </c>
      <c r="AC58" s="42">
        <v>1.5359999999999961E-3</v>
      </c>
      <c r="AD58" s="42" t="e">
        <v>#N/A</v>
      </c>
      <c r="AE58" s="42" t="e">
        <v>#N/A</v>
      </c>
      <c r="AF58" s="42" t="str">
        <v/>
      </c>
      <c r="AI58" s="42">
        <v>53</v>
      </c>
      <c r="AJ58" s="42">
        <v>2</v>
      </c>
      <c r="AK58" s="54">
        <v>0.27067056647322546</v>
      </c>
      <c r="AL58" s="54" t="e">
        <v>#N/A</v>
      </c>
      <c r="AM58" s="54" t="e">
        <v>#N/A</v>
      </c>
      <c r="AN58" s="54">
        <v>0.27067056647322546</v>
      </c>
      <c r="AO58" s="54" t="str">
        <v/>
      </c>
    </row>
    <row r="59" spans="18:41" x14ac:dyDescent="0.2">
      <c r="R59" s="42">
        <v>54</v>
      </c>
      <c r="S59" s="42">
        <v>14.505765479357649</v>
      </c>
      <c r="T59" s="42">
        <v>8.2600512946980065E-2</v>
      </c>
      <c r="U59" s="42">
        <v>8.2600512946980065E-2</v>
      </c>
      <c r="V59" s="42" t="e">
        <v>#N/A</v>
      </c>
      <c r="W59" s="42" t="str">
        <v/>
      </c>
      <c r="Z59" s="42">
        <v>54</v>
      </c>
      <c r="AA59" s="42">
        <v>1</v>
      </c>
      <c r="AB59" s="42">
        <v>1.5359999999999961E-3</v>
      </c>
      <c r="AC59" s="42">
        <v>1.5359999999999961E-3</v>
      </c>
      <c r="AD59" s="42" t="e">
        <v>#N/A</v>
      </c>
      <c r="AE59" s="42" t="e">
        <v>#N/A</v>
      </c>
      <c r="AF59" s="42">
        <v>1</v>
      </c>
      <c r="AI59" s="42">
        <v>54</v>
      </c>
      <c r="AJ59" s="42">
        <v>2</v>
      </c>
      <c r="AK59" s="54">
        <v>0.27067056647322546</v>
      </c>
      <c r="AL59" s="54" t="e">
        <v>#N/A</v>
      </c>
      <c r="AM59" s="54" t="e">
        <v>#N/A</v>
      </c>
      <c r="AN59" s="54">
        <v>0.27067056647322546</v>
      </c>
      <c r="AO59" s="54" t="str">
        <v/>
      </c>
    </row>
    <row r="60" spans="18:41" x14ac:dyDescent="0.2">
      <c r="R60" s="42">
        <v>55</v>
      </c>
      <c r="S60" s="42">
        <v>15.002188339786212</v>
      </c>
      <c r="T60" s="42">
        <v>8.6293840249536694E-2</v>
      </c>
      <c r="U60" s="42">
        <v>8.6293840249536694E-2</v>
      </c>
      <c r="V60" s="42" t="e">
        <v>#N/A</v>
      </c>
      <c r="W60" s="42" t="str">
        <v/>
      </c>
      <c r="Z60" s="42">
        <v>55</v>
      </c>
      <c r="AA60" s="42">
        <v>1</v>
      </c>
      <c r="AB60" s="42">
        <v>1.5359999999999961E-3</v>
      </c>
      <c r="AC60" s="42">
        <v>1.5359999999999961E-3</v>
      </c>
      <c r="AD60" s="42" t="e">
        <v>#N/A</v>
      </c>
      <c r="AE60" s="42" t="e">
        <v>#N/A</v>
      </c>
      <c r="AF60" s="42" t="str">
        <v/>
      </c>
      <c r="AI60" s="42">
        <v>55</v>
      </c>
      <c r="AJ60" s="42">
        <v>2</v>
      </c>
      <c r="AK60" s="54">
        <v>0.27067056647322546</v>
      </c>
      <c r="AL60" s="54" t="e">
        <v>#N/A</v>
      </c>
      <c r="AM60" s="54" t="e">
        <v>#N/A</v>
      </c>
      <c r="AN60" s="54">
        <v>0.27067056647322546</v>
      </c>
      <c r="AO60" s="54" t="str">
        <v/>
      </c>
    </row>
    <row r="61" spans="18:41" x14ac:dyDescent="0.2">
      <c r="R61" s="42">
        <v>56</v>
      </c>
      <c r="S61" s="42">
        <v>15.498611200214775</v>
      </c>
      <c r="T61" s="42">
        <v>9.0096783016275647E-2</v>
      </c>
      <c r="U61" s="42">
        <v>9.0096783016275647E-2</v>
      </c>
      <c r="V61" s="42" t="e">
        <v>#N/A</v>
      </c>
      <c r="W61" s="42" t="str">
        <v/>
      </c>
      <c r="Z61" s="42">
        <v>56</v>
      </c>
      <c r="AA61" s="42">
        <v>1</v>
      </c>
      <c r="AB61" s="42">
        <v>1.5359999999999961E-3</v>
      </c>
      <c r="AC61" s="42">
        <v>1.5359999999999961E-3</v>
      </c>
      <c r="AD61" s="42" t="e">
        <v>#N/A</v>
      </c>
      <c r="AE61" s="42" t="e">
        <v>#N/A</v>
      </c>
      <c r="AF61" s="42" t="str">
        <v/>
      </c>
      <c r="AI61" s="42">
        <v>56</v>
      </c>
      <c r="AJ61" s="42">
        <v>2</v>
      </c>
      <c r="AK61" s="54">
        <v>0.27067056647322546</v>
      </c>
      <c r="AL61" s="54" t="e">
        <v>#N/A</v>
      </c>
      <c r="AM61" s="54" t="e">
        <v>#N/A</v>
      </c>
      <c r="AN61" s="54">
        <v>0.27067056647322546</v>
      </c>
      <c r="AO61" s="54" t="str">
        <v/>
      </c>
    </row>
    <row r="62" spans="18:41" x14ac:dyDescent="0.2">
      <c r="R62" s="42">
        <v>57</v>
      </c>
      <c r="S62" s="42">
        <v>15.995034060643341</v>
      </c>
      <c r="T62" s="42">
        <v>9.4009384285025158E-2</v>
      </c>
      <c r="U62" s="42">
        <v>9.4009384285025158E-2</v>
      </c>
      <c r="V62" s="42" t="e">
        <v>#N/A</v>
      </c>
      <c r="W62" s="42" t="str">
        <v/>
      </c>
      <c r="Z62" s="42">
        <v>57</v>
      </c>
      <c r="AA62" s="42">
        <v>1</v>
      </c>
      <c r="AB62" s="42">
        <v>1.5359999999999961E-3</v>
      </c>
      <c r="AC62" s="42">
        <v>1.5359999999999961E-3</v>
      </c>
      <c r="AD62" s="42" t="e">
        <v>#N/A</v>
      </c>
      <c r="AE62" s="42" t="e">
        <v>#N/A</v>
      </c>
      <c r="AF62" s="42" t="str">
        <v/>
      </c>
      <c r="AI62" s="42">
        <v>57</v>
      </c>
      <c r="AJ62" s="42">
        <v>2</v>
      </c>
      <c r="AK62" s="54">
        <v>0.27067056647322546</v>
      </c>
      <c r="AL62" s="54" t="e">
        <v>#N/A</v>
      </c>
      <c r="AM62" s="54" t="e">
        <v>#N/A</v>
      </c>
      <c r="AN62" s="54">
        <v>0.27067056647322546</v>
      </c>
      <c r="AO62" s="54" t="str">
        <v/>
      </c>
    </row>
    <row r="63" spans="18:41" x14ac:dyDescent="0.2">
      <c r="R63" s="42">
        <v>58</v>
      </c>
      <c r="S63" s="42">
        <v>16.491456921071904</v>
      </c>
      <c r="T63" s="42">
        <v>9.8031481971232889E-2</v>
      </c>
      <c r="U63" s="42">
        <v>9.8031481971232889E-2</v>
      </c>
      <c r="V63" s="42" t="e">
        <v>#N/A</v>
      </c>
      <c r="W63" s="42" t="str">
        <v/>
      </c>
      <c r="Z63" s="42">
        <v>58</v>
      </c>
      <c r="AA63" s="42">
        <v>1</v>
      </c>
      <c r="AB63" s="42">
        <v>1.5359999999999961E-3</v>
      </c>
      <c r="AC63" s="42">
        <v>1.5359999999999961E-3</v>
      </c>
      <c r="AD63" s="42" t="e">
        <v>#N/A</v>
      </c>
      <c r="AE63" s="42" t="e">
        <v>#N/A</v>
      </c>
      <c r="AF63" s="42" t="str">
        <v/>
      </c>
      <c r="AI63" s="42">
        <v>58</v>
      </c>
      <c r="AJ63" s="42">
        <v>2</v>
      </c>
      <c r="AK63" s="54">
        <v>0.27067056647322546</v>
      </c>
      <c r="AL63" s="54" t="e">
        <v>#N/A</v>
      </c>
      <c r="AM63" s="54" t="e">
        <v>#N/A</v>
      </c>
      <c r="AN63" s="54">
        <v>0.27067056647322546</v>
      </c>
      <c r="AO63" s="54" t="str">
        <v/>
      </c>
    </row>
    <row r="64" spans="18:41" x14ac:dyDescent="0.2">
      <c r="R64" s="42">
        <v>59</v>
      </c>
      <c r="S64" s="42">
        <v>16.987879781500471</v>
      </c>
      <c r="T64" s="42">
        <v>0.10216270036991239</v>
      </c>
      <c r="U64" s="42">
        <v>0.10216270036991239</v>
      </c>
      <c r="V64" s="42" t="e">
        <v>#N/A</v>
      </c>
      <c r="W64" s="42" t="str">
        <v/>
      </c>
      <c r="Z64" s="42">
        <v>59</v>
      </c>
      <c r="AA64" s="42">
        <v>1</v>
      </c>
      <c r="AB64" s="42">
        <v>1.5359999999999961E-3</v>
      </c>
      <c r="AC64" s="42">
        <v>1.5359999999999961E-3</v>
      </c>
      <c r="AD64" s="42" t="e">
        <v>#N/A</v>
      </c>
      <c r="AE64" s="42" t="e">
        <v>#N/A</v>
      </c>
      <c r="AF64" s="42" t="str">
        <v/>
      </c>
      <c r="AI64" s="42">
        <v>59</v>
      </c>
      <c r="AJ64" s="42">
        <v>2</v>
      </c>
      <c r="AK64" s="54">
        <v>0.27067056647322546</v>
      </c>
      <c r="AL64" s="54" t="e">
        <v>#N/A</v>
      </c>
      <c r="AM64" s="54" t="e">
        <v>#N/A</v>
      </c>
      <c r="AN64" s="54">
        <v>0.27067056647322546</v>
      </c>
      <c r="AO64" s="54" t="str">
        <v/>
      </c>
    </row>
    <row r="65" spans="18:41" x14ac:dyDescent="0.2">
      <c r="R65" s="42">
        <v>60</v>
      </c>
      <c r="S65" s="42">
        <v>17.484302641929034</v>
      </c>
      <c r="T65" s="42">
        <v>0.10640244196312039</v>
      </c>
      <c r="U65" s="42">
        <v>0.10640244196312039</v>
      </c>
      <c r="V65" s="42" t="e">
        <v>#N/A</v>
      </c>
      <c r="W65" s="42" t="str">
        <v/>
      </c>
      <c r="Z65" s="42">
        <v>60</v>
      </c>
      <c r="AA65" s="42">
        <v>1</v>
      </c>
      <c r="AB65" s="42">
        <v>1.5359999999999961E-3</v>
      </c>
      <c r="AC65" s="42">
        <v>1.5359999999999961E-3</v>
      </c>
      <c r="AD65" s="42" t="e">
        <v>#N/A</v>
      </c>
      <c r="AE65" s="42" t="e">
        <v>#N/A</v>
      </c>
      <c r="AF65" s="42" t="str">
        <v/>
      </c>
      <c r="AI65" s="42">
        <v>60</v>
      </c>
      <c r="AJ65" s="42">
        <v>2</v>
      </c>
      <c r="AK65" s="54">
        <v>0.27067056647322546</v>
      </c>
      <c r="AL65" s="54" t="e">
        <v>#N/A</v>
      </c>
      <c r="AM65" s="54" t="e">
        <v>#N/A</v>
      </c>
      <c r="AN65" s="54">
        <v>0.27067056647322546</v>
      </c>
      <c r="AO65" s="54" t="str">
        <v/>
      </c>
    </row>
    <row r="66" spans="18:41" x14ac:dyDescent="0.2">
      <c r="R66" s="42">
        <v>61</v>
      </c>
      <c r="S66" s="42">
        <v>17.980725502357597</v>
      </c>
      <c r="T66" s="42">
        <v>0.11074987957693934</v>
      </c>
      <c r="U66" s="42">
        <v>0.11074987957693934</v>
      </c>
      <c r="V66" s="42" t="e">
        <v>#N/A</v>
      </c>
      <c r="W66" s="42" t="str">
        <v/>
      </c>
      <c r="Z66" s="42">
        <v>61</v>
      </c>
      <c r="AA66" s="42">
        <v>1</v>
      </c>
      <c r="AB66" s="42">
        <v>1.5359999999999961E-3</v>
      </c>
      <c r="AC66" s="42">
        <v>1.5359999999999961E-3</v>
      </c>
      <c r="AD66" s="42" t="e">
        <v>#N/A</v>
      </c>
      <c r="AE66" s="42" t="e">
        <v>#N/A</v>
      </c>
      <c r="AF66" s="42" t="str">
        <v/>
      </c>
      <c r="AI66" s="42">
        <v>61</v>
      </c>
      <c r="AJ66" s="42" t="e">
        <v>#N/A</v>
      </c>
      <c r="AK66" s="54" t="e">
        <v>#N/A</v>
      </c>
      <c r="AL66" s="54" t="e">
        <v>#N/A</v>
      </c>
      <c r="AM66" s="54" t="e">
        <v>#N/A</v>
      </c>
      <c r="AN66" s="54" t="e">
        <v>#N/A</v>
      </c>
      <c r="AO66" s="54" t="str">
        <v/>
      </c>
    </row>
    <row r="67" spans="18:41" x14ac:dyDescent="0.2">
      <c r="R67" s="42">
        <v>62</v>
      </c>
      <c r="S67" s="42">
        <v>18.477148362786163</v>
      </c>
      <c r="T67" s="42">
        <v>0.11520394893226815</v>
      </c>
      <c r="U67" s="42">
        <v>0.11520394893226815</v>
      </c>
      <c r="V67" s="42" t="e">
        <v>#N/A</v>
      </c>
      <c r="W67" s="42" t="str">
        <v/>
      </c>
      <c r="Z67" s="42">
        <v>62</v>
      </c>
      <c r="AA67" s="42">
        <v>1</v>
      </c>
      <c r="AB67" s="42">
        <v>1.5359999999999961E-3</v>
      </c>
      <c r="AC67" s="42">
        <v>1.5359999999999961E-3</v>
      </c>
      <c r="AD67" s="42" t="e">
        <v>#N/A</v>
      </c>
      <c r="AE67" s="42" t="e">
        <v>#N/A</v>
      </c>
      <c r="AF67" s="42" t="str">
        <v/>
      </c>
      <c r="AI67" s="42">
        <v>62</v>
      </c>
      <c r="AJ67" s="42">
        <v>3</v>
      </c>
      <c r="AK67" s="54">
        <v>0.18044704431548364</v>
      </c>
      <c r="AL67" s="54" t="e">
        <v>#N/A</v>
      </c>
      <c r="AM67" s="54" t="e">
        <v>#N/A</v>
      </c>
      <c r="AN67" s="54">
        <v>0.18044704431548364</v>
      </c>
      <c r="AO67" s="54" t="str">
        <v/>
      </c>
    </row>
    <row r="68" spans="18:41" x14ac:dyDescent="0.2">
      <c r="R68" s="42">
        <v>63</v>
      </c>
      <c r="S68" s="42">
        <v>18.973571223214726</v>
      </c>
      <c r="T68" s="42">
        <v>0.1197633416338435</v>
      </c>
      <c r="U68" s="42">
        <v>0.1197633416338435</v>
      </c>
      <c r="V68" s="42" t="e">
        <v>#N/A</v>
      </c>
      <c r="W68" s="42" t="str">
        <v/>
      </c>
      <c r="Z68" s="42">
        <v>63</v>
      </c>
      <c r="AA68" s="42">
        <v>1</v>
      </c>
      <c r="AB68" s="42">
        <v>1.5359999999999961E-3</v>
      </c>
      <c r="AC68" s="42">
        <v>1.5359999999999961E-3</v>
      </c>
      <c r="AD68" s="42" t="e">
        <v>#N/A</v>
      </c>
      <c r="AE68" s="42" t="e">
        <v>#N/A</v>
      </c>
      <c r="AF68" s="42" t="str">
        <v/>
      </c>
      <c r="AI68" s="42">
        <v>63</v>
      </c>
      <c r="AJ68" s="42">
        <v>3</v>
      </c>
      <c r="AK68" s="54">
        <v>0.18044704431548364</v>
      </c>
      <c r="AL68" s="54" t="e">
        <v>#N/A</v>
      </c>
      <c r="AM68" s="54" t="e">
        <v>#N/A</v>
      </c>
      <c r="AN68" s="54">
        <v>0.18044704431548364</v>
      </c>
      <c r="AO68" s="54" t="str">
        <v/>
      </c>
    </row>
    <row r="69" spans="18:41" x14ac:dyDescent="0.2">
      <c r="R69" s="42">
        <v>64</v>
      </c>
      <c r="S69" s="42">
        <v>19.469994083643289</v>
      </c>
      <c r="T69" s="42">
        <v>0.12442649864181629</v>
      </c>
      <c r="U69" s="42">
        <v>0.12442649864181629</v>
      </c>
      <c r="V69" s="42" t="e">
        <v>#N/A</v>
      </c>
      <c r="W69" s="42" t="str">
        <v/>
      </c>
      <c r="Z69" s="42">
        <v>64</v>
      </c>
      <c r="AA69" s="42">
        <v>1</v>
      </c>
      <c r="AB69" s="42">
        <v>1.5359999999999961E-3</v>
      </c>
      <c r="AC69" s="42">
        <v>1.5359999999999961E-3</v>
      </c>
      <c r="AD69" s="42" t="e">
        <v>#N/A</v>
      </c>
      <c r="AE69" s="42" t="e">
        <v>#N/A</v>
      </c>
      <c r="AF69" s="42" t="str">
        <v/>
      </c>
      <c r="AI69" s="42">
        <v>64</v>
      </c>
      <c r="AJ69" s="42">
        <v>3</v>
      </c>
      <c r="AK69" s="54">
        <v>0.18044704431548364</v>
      </c>
      <c r="AL69" s="54" t="e">
        <v>#N/A</v>
      </c>
      <c r="AM69" s="54" t="e">
        <v>#N/A</v>
      </c>
      <c r="AN69" s="54">
        <v>0.18044704431548364</v>
      </c>
      <c r="AO69" s="54" t="str">
        <v/>
      </c>
    </row>
    <row r="70" spans="18:41" x14ac:dyDescent="0.2">
      <c r="R70" s="42">
        <v>65</v>
      </c>
      <c r="S70" s="42">
        <v>19.966416944071852</v>
      </c>
      <c r="T70" s="42">
        <v>0.12919160426988183</v>
      </c>
      <c r="U70" s="42">
        <v>0.12919160426988183</v>
      </c>
      <c r="V70" s="42" t="e">
        <v>#N/A</v>
      </c>
      <c r="W70" s="42" t="str">
        <v/>
      </c>
      <c r="Z70" s="42">
        <v>65</v>
      </c>
      <c r="AA70" s="42">
        <v>1</v>
      </c>
      <c r="AB70" s="42">
        <v>1.5359999999999961E-3</v>
      </c>
      <c r="AC70" s="42">
        <v>1.5359999999999961E-3</v>
      </c>
      <c r="AD70" s="42" t="e">
        <v>#N/A</v>
      </c>
      <c r="AE70" s="42" t="e">
        <v>#N/A</v>
      </c>
      <c r="AF70" s="42" t="str">
        <v/>
      </c>
      <c r="AI70" s="42">
        <v>65</v>
      </c>
      <c r="AJ70" s="42">
        <v>3</v>
      </c>
      <c r="AK70" s="54">
        <v>0.18044704431548364</v>
      </c>
      <c r="AL70" s="54" t="e">
        <v>#N/A</v>
      </c>
      <c r="AM70" s="54" t="e">
        <v>#N/A</v>
      </c>
      <c r="AN70" s="54">
        <v>0.18044704431548364</v>
      </c>
      <c r="AO70" s="54" t="str">
        <v/>
      </c>
    </row>
    <row r="71" spans="18:41" x14ac:dyDescent="0.2">
      <c r="R71" s="42">
        <v>66</v>
      </c>
      <c r="S71" s="42">
        <v>20.462839804500426</v>
      </c>
      <c r="T71" s="42">
        <v>0.13405658075340429</v>
      </c>
      <c r="U71" s="42">
        <v>0.13405658075340429</v>
      </c>
      <c r="V71" s="42" t="e">
        <v>#N/A</v>
      </c>
      <c r="W71" s="42" t="str">
        <v/>
      </c>
      <c r="Z71" s="42">
        <v>66</v>
      </c>
      <c r="AA71" s="42">
        <v>1</v>
      </c>
      <c r="AB71" s="42">
        <v>1.5359999999999961E-3</v>
      </c>
      <c r="AC71" s="42">
        <v>1.5359999999999961E-3</v>
      </c>
      <c r="AD71" s="42" t="e">
        <v>#N/A</v>
      </c>
      <c r="AE71" s="42" t="e">
        <v>#N/A</v>
      </c>
      <c r="AF71" s="42" t="str">
        <v/>
      </c>
      <c r="AI71" s="42">
        <v>66</v>
      </c>
      <c r="AJ71" s="42">
        <v>3</v>
      </c>
      <c r="AK71" s="54">
        <v>0.18044704431548364</v>
      </c>
      <c r="AL71" s="54" t="e">
        <v>#N/A</v>
      </c>
      <c r="AM71" s="54" t="e">
        <v>#N/A</v>
      </c>
      <c r="AN71" s="54">
        <v>0.18044704431548364</v>
      </c>
      <c r="AO71" s="54" t="str">
        <v/>
      </c>
    </row>
    <row r="72" spans="18:41" x14ac:dyDescent="0.2">
      <c r="R72" s="42">
        <v>67</v>
      </c>
      <c r="S72" s="42">
        <v>20.959262664928985</v>
      </c>
      <c r="T72" s="42">
        <v>0.13901908343017472</v>
      </c>
      <c r="U72" s="42">
        <v>0.13901908343017472</v>
      </c>
      <c r="V72" s="42" t="e">
        <v>#N/A</v>
      </c>
      <c r="W72" s="42" t="str">
        <v/>
      </c>
      <c r="Z72" s="42">
        <v>67</v>
      </c>
      <c r="AA72" s="42">
        <v>1</v>
      </c>
      <c r="AB72" s="42">
        <v>1.5359999999999961E-3</v>
      </c>
      <c r="AC72" s="42">
        <v>1.5359999999999961E-3</v>
      </c>
      <c r="AD72" s="42" t="e">
        <v>#N/A</v>
      </c>
      <c r="AE72" s="42" t="e">
        <v>#N/A</v>
      </c>
      <c r="AF72" s="42" t="str">
        <v/>
      </c>
      <c r="AI72" s="42">
        <v>67</v>
      </c>
      <c r="AJ72" s="42">
        <v>3</v>
      </c>
      <c r="AK72" s="54">
        <v>0.18044704431548364</v>
      </c>
      <c r="AL72" s="54" t="e">
        <v>#N/A</v>
      </c>
      <c r="AM72" s="54" t="e">
        <v>#N/A</v>
      </c>
      <c r="AN72" s="54">
        <v>0.18044704431548364</v>
      </c>
      <c r="AO72" s="54" t="str">
        <v/>
      </c>
    </row>
    <row r="73" spans="18:41" x14ac:dyDescent="0.2">
      <c r="R73" s="42">
        <v>68</v>
      </c>
      <c r="S73" s="42">
        <v>21.455685525357552</v>
      </c>
      <c r="T73" s="42">
        <v>0.14407649657540025</v>
      </c>
      <c r="U73" s="42">
        <v>0.14407649657540025</v>
      </c>
      <c r="V73" s="42" t="e">
        <v>#N/A</v>
      </c>
      <c r="W73" s="42" t="str">
        <v/>
      </c>
      <c r="Z73" s="42">
        <v>68</v>
      </c>
      <c r="AA73" s="42">
        <v>1</v>
      </c>
      <c r="AB73" s="42">
        <v>1.5359999999999961E-3</v>
      </c>
      <c r="AC73" s="42">
        <v>1.5359999999999961E-3</v>
      </c>
      <c r="AD73" s="42" t="e">
        <v>#N/A</v>
      </c>
      <c r="AE73" s="42" t="e">
        <v>#N/A</v>
      </c>
      <c r="AF73" s="42" t="str">
        <v/>
      </c>
      <c r="AI73" s="42">
        <v>68</v>
      </c>
      <c r="AJ73" s="42">
        <v>3</v>
      </c>
      <c r="AK73" s="54">
        <v>0.18044704431548364</v>
      </c>
      <c r="AL73" s="54" t="e">
        <v>#N/A</v>
      </c>
      <c r="AM73" s="54" t="e">
        <v>#N/A</v>
      </c>
      <c r="AN73" s="54">
        <v>0.18044704431548364</v>
      </c>
      <c r="AO73" s="54" t="str">
        <v/>
      </c>
    </row>
    <row r="74" spans="18:41" x14ac:dyDescent="0.2">
      <c r="R74" s="42">
        <v>69</v>
      </c>
      <c r="S74" s="42">
        <v>21.952108385786111</v>
      </c>
      <c r="T74" s="42">
        <v>0.1492259299312233</v>
      </c>
      <c r="U74" s="42">
        <v>0.1492259299312233</v>
      </c>
      <c r="V74" s="42" t="e">
        <v>#N/A</v>
      </c>
      <c r="W74" s="42" t="str">
        <v/>
      </c>
      <c r="Z74" s="42">
        <v>69</v>
      </c>
      <c r="AA74" s="42">
        <v>1</v>
      </c>
      <c r="AB74" s="42">
        <v>1.5359999999999961E-3</v>
      </c>
      <c r="AC74" s="42">
        <v>1.5359999999999961E-3</v>
      </c>
      <c r="AD74" s="42" t="e">
        <v>#N/A</v>
      </c>
      <c r="AE74" s="42" t="e">
        <v>#N/A</v>
      </c>
      <c r="AF74" s="42" t="str">
        <v/>
      </c>
      <c r="AI74" s="42">
        <v>69</v>
      </c>
      <c r="AJ74" s="42">
        <v>3</v>
      </c>
      <c r="AK74" s="54">
        <v>0.18044704431548364</v>
      </c>
      <c r="AL74" s="54" t="e">
        <v>#N/A</v>
      </c>
      <c r="AM74" s="54" t="e">
        <v>#N/A</v>
      </c>
      <c r="AN74" s="54">
        <v>0.18044704431548364</v>
      </c>
      <c r="AO74" s="54" t="str">
        <v/>
      </c>
    </row>
    <row r="75" spans="18:41" x14ac:dyDescent="0.2">
      <c r="R75" s="42">
        <v>70</v>
      </c>
      <c r="S75" s="42">
        <v>22.448531246214678</v>
      </c>
      <c r="T75" s="42">
        <v>0.15446421596953333</v>
      </c>
      <c r="U75" s="42">
        <v>0.15446421596953333</v>
      </c>
      <c r="V75" s="42" t="e">
        <v>#N/A</v>
      </c>
      <c r="W75" s="42" t="str">
        <v/>
      </c>
      <c r="Z75" s="42">
        <v>70</v>
      </c>
      <c r="AA75" s="42">
        <v>1</v>
      </c>
      <c r="AB75" s="42">
        <v>1.5359999999999961E-3</v>
      </c>
      <c r="AC75" s="42">
        <v>1.5359999999999961E-3</v>
      </c>
      <c r="AD75" s="42" t="e">
        <v>#N/A</v>
      </c>
      <c r="AE75" s="42" t="e">
        <v>#N/A</v>
      </c>
      <c r="AF75" s="42" t="str">
        <v/>
      </c>
      <c r="AI75" s="42">
        <v>70</v>
      </c>
      <c r="AJ75" s="42">
        <v>3</v>
      </c>
      <c r="AK75" s="54">
        <v>0.18044704431548364</v>
      </c>
      <c r="AL75" s="54" t="e">
        <v>#N/A</v>
      </c>
      <c r="AM75" s="54" t="e">
        <v>#N/A</v>
      </c>
      <c r="AN75" s="54">
        <v>0.18044704431548364</v>
      </c>
      <c r="AO75" s="54" t="str">
        <v/>
      </c>
    </row>
    <row r="76" spans="18:41" x14ac:dyDescent="0.2">
      <c r="R76" s="42">
        <v>71</v>
      </c>
      <c r="S76" s="42">
        <v>22.944954106643245</v>
      </c>
      <c r="T76" s="42">
        <v>0.15978790792502925</v>
      </c>
      <c r="U76" s="42">
        <v>0.15978790792502925</v>
      </c>
      <c r="V76" s="42" t="e">
        <v>#N/A</v>
      </c>
      <c r="W76" s="42" t="str">
        <v/>
      </c>
      <c r="Z76" s="42">
        <v>71</v>
      </c>
      <c r="AA76" s="42" t="e">
        <v>#N/A</v>
      </c>
      <c r="AB76" s="42" t="e">
        <v>#N/A</v>
      </c>
      <c r="AC76" s="42" t="e">
        <v>#N/A</v>
      </c>
      <c r="AD76" s="42" t="e">
        <v>#N/A</v>
      </c>
      <c r="AE76" s="42" t="e">
        <v>#N/A</v>
      </c>
      <c r="AF76" s="42" t="str">
        <v/>
      </c>
      <c r="AI76" s="42">
        <v>71</v>
      </c>
      <c r="AJ76" s="42">
        <v>3</v>
      </c>
      <c r="AK76" s="54">
        <v>0.18044704431548364</v>
      </c>
      <c r="AL76" s="54" t="e">
        <v>#N/A</v>
      </c>
      <c r="AM76" s="54" t="e">
        <v>#N/A</v>
      </c>
      <c r="AN76" s="54">
        <v>0.18044704431548364</v>
      </c>
      <c r="AO76" s="54">
        <v>3</v>
      </c>
    </row>
    <row r="77" spans="18:41" x14ac:dyDescent="0.2">
      <c r="R77" s="42">
        <v>72</v>
      </c>
      <c r="S77" s="42">
        <v>23.441376967071804</v>
      </c>
      <c r="T77" s="42">
        <v>0.16519327863345165</v>
      </c>
      <c r="U77" s="42">
        <v>0.16519327863345165</v>
      </c>
      <c r="V77" s="42" t="e">
        <v>#N/A</v>
      </c>
      <c r="W77" s="42" t="str">
        <v/>
      </c>
      <c r="Z77" s="42">
        <v>72</v>
      </c>
      <c r="AA77" s="42">
        <v>2</v>
      </c>
      <c r="AB77" s="42">
        <v>1.535999999999999E-2</v>
      </c>
      <c r="AC77" s="42">
        <v>1.535999999999999E-2</v>
      </c>
      <c r="AD77" s="42" t="e">
        <v>#N/A</v>
      </c>
      <c r="AE77" s="42" t="e">
        <v>#N/A</v>
      </c>
      <c r="AF77" s="42" t="str">
        <v/>
      </c>
      <c r="AI77" s="42">
        <v>72</v>
      </c>
      <c r="AJ77" s="42">
        <v>3</v>
      </c>
      <c r="AK77" s="54">
        <v>0.18044704431548364</v>
      </c>
      <c r="AL77" s="54" t="e">
        <v>#N/A</v>
      </c>
      <c r="AM77" s="54" t="e">
        <v>#N/A</v>
      </c>
      <c r="AN77" s="54">
        <v>0.18044704431548364</v>
      </c>
      <c r="AO77" s="54" t="str">
        <v/>
      </c>
    </row>
    <row r="78" spans="18:41" x14ac:dyDescent="0.2">
      <c r="R78" s="42">
        <v>73</v>
      </c>
      <c r="S78" s="42">
        <v>23.93779982750037</v>
      </c>
      <c r="T78" s="42">
        <v>0.17067632020760465</v>
      </c>
      <c r="U78" s="42">
        <v>0.17067632020760465</v>
      </c>
      <c r="V78" s="42" t="e">
        <v>#N/A</v>
      </c>
      <c r="W78" s="42" t="str">
        <v/>
      </c>
      <c r="Z78" s="42">
        <v>73</v>
      </c>
      <c r="AA78" s="42">
        <v>2</v>
      </c>
      <c r="AB78" s="42">
        <v>1.535999999999999E-2</v>
      </c>
      <c r="AC78" s="42">
        <v>1.535999999999999E-2</v>
      </c>
      <c r="AD78" s="42" t="e">
        <v>#N/A</v>
      </c>
      <c r="AE78" s="42" t="e">
        <v>#N/A</v>
      </c>
      <c r="AF78" s="42" t="str">
        <v/>
      </c>
      <c r="AI78" s="42">
        <v>73</v>
      </c>
      <c r="AJ78" s="42">
        <v>3</v>
      </c>
      <c r="AK78" s="54">
        <v>0.18044704431548364</v>
      </c>
      <c r="AL78" s="54" t="e">
        <v>#N/A</v>
      </c>
      <c r="AM78" s="54" t="e">
        <v>#N/A</v>
      </c>
      <c r="AN78" s="54">
        <v>0.18044704431548364</v>
      </c>
      <c r="AO78" s="54" t="str">
        <v/>
      </c>
    </row>
    <row r="79" spans="18:41" x14ac:dyDescent="0.2">
      <c r="R79" s="42">
        <v>74</v>
      </c>
      <c r="S79" s="42">
        <v>24.43422268792893</v>
      </c>
      <c r="T79" s="42">
        <v>0.17623274458125046</v>
      </c>
      <c r="U79" s="42">
        <v>0.17623274458125046</v>
      </c>
      <c r="V79" s="42" t="e">
        <v>#N/A</v>
      </c>
      <c r="W79" s="42" t="str">
        <v/>
      </c>
      <c r="Z79" s="42">
        <v>74</v>
      </c>
      <c r="AA79" s="42">
        <v>2</v>
      </c>
      <c r="AB79" s="42">
        <v>1.535999999999999E-2</v>
      </c>
      <c r="AC79" s="42">
        <v>1.535999999999999E-2</v>
      </c>
      <c r="AD79" s="42" t="e">
        <v>#N/A</v>
      </c>
      <c r="AE79" s="42" t="e">
        <v>#N/A</v>
      </c>
      <c r="AF79" s="42" t="str">
        <v/>
      </c>
      <c r="AI79" s="42">
        <v>74</v>
      </c>
      <c r="AJ79" s="42">
        <v>3</v>
      </c>
      <c r="AK79" s="54">
        <v>0.18044704431548364</v>
      </c>
      <c r="AL79" s="54" t="e">
        <v>#N/A</v>
      </c>
      <c r="AM79" s="54" t="e">
        <v>#N/A</v>
      </c>
      <c r="AN79" s="54">
        <v>0.18044704431548364</v>
      </c>
      <c r="AO79" s="54" t="str">
        <v/>
      </c>
    </row>
    <row r="80" spans="18:41" x14ac:dyDescent="0.2">
      <c r="R80" s="42">
        <v>75</v>
      </c>
      <c r="S80" s="42">
        <v>24.930645548357496</v>
      </c>
      <c r="T80" s="42">
        <v>0.18185798494818542</v>
      </c>
      <c r="U80" s="42">
        <v>0.18185798494818542</v>
      </c>
      <c r="V80" s="42" t="e">
        <v>#N/A</v>
      </c>
      <c r="W80" s="42" t="str">
        <v/>
      </c>
      <c r="Z80" s="42">
        <v>75</v>
      </c>
      <c r="AA80" s="42">
        <v>2</v>
      </c>
      <c r="AB80" s="42">
        <v>1.535999999999999E-2</v>
      </c>
      <c r="AC80" s="42">
        <v>1.535999999999999E-2</v>
      </c>
      <c r="AD80" s="42" t="e">
        <v>#N/A</v>
      </c>
      <c r="AE80" s="42" t="e">
        <v>#N/A</v>
      </c>
      <c r="AF80" s="42" t="str">
        <v/>
      </c>
      <c r="AI80" s="42">
        <v>75</v>
      </c>
      <c r="AJ80" s="42">
        <v>3</v>
      </c>
      <c r="AK80" s="54">
        <v>0.18044704431548364</v>
      </c>
      <c r="AL80" s="54" t="e">
        <v>#N/A</v>
      </c>
      <c r="AM80" s="54" t="e">
        <v>#N/A</v>
      </c>
      <c r="AN80" s="54">
        <v>0.18044704431548364</v>
      </c>
      <c r="AO80" s="54" t="str">
        <v/>
      </c>
    </row>
    <row r="81" spans="18:41" x14ac:dyDescent="0.2">
      <c r="R81" s="42">
        <v>76</v>
      </c>
      <c r="S81" s="42">
        <v>25.42706840878607</v>
      </c>
      <c r="T81" s="42">
        <v>0.18754719812079304</v>
      </c>
      <c r="U81" s="42">
        <v>0.18754719812079304</v>
      </c>
      <c r="V81" s="42" t="e">
        <v>#N/A</v>
      </c>
      <c r="W81" s="42">
        <v>25.43</v>
      </c>
      <c r="Z81" s="42">
        <v>76</v>
      </c>
      <c r="AA81" s="42">
        <v>2</v>
      </c>
      <c r="AB81" s="42">
        <v>1.535999999999999E-2</v>
      </c>
      <c r="AC81" s="42">
        <v>1.535999999999999E-2</v>
      </c>
      <c r="AD81" s="42" t="e">
        <v>#N/A</v>
      </c>
      <c r="AE81" s="42" t="e">
        <v>#N/A</v>
      </c>
      <c r="AF81" s="42" t="str">
        <v/>
      </c>
      <c r="AI81" s="42">
        <v>76</v>
      </c>
      <c r="AJ81" s="42">
        <v>3</v>
      </c>
      <c r="AK81" s="54">
        <v>0.18044704431548364</v>
      </c>
      <c r="AL81" s="54" t="e">
        <v>#N/A</v>
      </c>
      <c r="AM81" s="54" t="e">
        <v>#N/A</v>
      </c>
      <c r="AN81" s="54">
        <v>0.18044704431548364</v>
      </c>
      <c r="AO81" s="54" t="str">
        <v/>
      </c>
    </row>
    <row r="82" spans="18:41" x14ac:dyDescent="0.2">
      <c r="R82" s="42">
        <v>77</v>
      </c>
      <c r="S82" s="42">
        <v>25.92349126921463</v>
      </c>
      <c r="T82" s="42">
        <v>0.19329526782914905</v>
      </c>
      <c r="U82" s="42">
        <v>0.19329526782914905</v>
      </c>
      <c r="V82" s="42" t="e">
        <v>#N/A</v>
      </c>
      <c r="W82" s="42" t="str">
        <v/>
      </c>
      <c r="Z82" s="42">
        <v>77</v>
      </c>
      <c r="AA82" s="42">
        <v>2</v>
      </c>
      <c r="AB82" s="42">
        <v>1.535999999999999E-2</v>
      </c>
      <c r="AC82" s="42">
        <v>1.535999999999999E-2</v>
      </c>
      <c r="AD82" s="42" t="e">
        <v>#N/A</v>
      </c>
      <c r="AE82" s="42" t="e">
        <v>#N/A</v>
      </c>
      <c r="AF82" s="42" t="str">
        <v/>
      </c>
      <c r="AI82" s="42">
        <v>77</v>
      </c>
      <c r="AJ82" s="42">
        <v>3</v>
      </c>
      <c r="AK82" s="54">
        <v>0.18044704431548364</v>
      </c>
      <c r="AL82" s="54" t="e">
        <v>#N/A</v>
      </c>
      <c r="AM82" s="54" t="e">
        <v>#N/A</v>
      </c>
      <c r="AN82" s="54">
        <v>0.18044704431548364</v>
      </c>
      <c r="AO82" s="54" t="str">
        <v/>
      </c>
    </row>
    <row r="83" spans="18:41" x14ac:dyDescent="0.2">
      <c r="R83" s="42">
        <v>78</v>
      </c>
      <c r="S83" s="42">
        <v>26.419914129643196</v>
      </c>
      <c r="T83" s="42">
        <v>0.199096808978308</v>
      </c>
      <c r="U83" s="42">
        <v>0.199096808978308</v>
      </c>
      <c r="V83" s="42" t="e">
        <v>#N/A</v>
      </c>
      <c r="W83" s="42" t="str">
        <v/>
      </c>
      <c r="Z83" s="42">
        <v>78</v>
      </c>
      <c r="AA83" s="42">
        <v>2</v>
      </c>
      <c r="AB83" s="42">
        <v>1.535999999999999E-2</v>
      </c>
      <c r="AC83" s="42">
        <v>1.535999999999999E-2</v>
      </c>
      <c r="AD83" s="42" t="e">
        <v>#N/A</v>
      </c>
      <c r="AE83" s="42" t="e">
        <v>#N/A</v>
      </c>
      <c r="AF83" s="42" t="str">
        <v/>
      </c>
      <c r="AI83" s="42">
        <v>78</v>
      </c>
      <c r="AJ83" s="42">
        <v>3</v>
      </c>
      <c r="AK83" s="54">
        <v>0.18044704431548364</v>
      </c>
      <c r="AL83" s="54" t="e">
        <v>#N/A</v>
      </c>
      <c r="AM83" s="54" t="e">
        <v>#N/A</v>
      </c>
      <c r="AN83" s="54">
        <v>0.18044704431548364</v>
      </c>
      <c r="AO83" s="54" t="str">
        <v/>
      </c>
    </row>
    <row r="84" spans="18:41" x14ac:dyDescent="0.2">
      <c r="R84" s="42">
        <v>79</v>
      </c>
      <c r="S84" s="42">
        <v>26.916336990071756</v>
      </c>
      <c r="T84" s="42">
        <v>0.20494617287776634</v>
      </c>
      <c r="U84" s="42">
        <v>0.20494617287776634</v>
      </c>
      <c r="V84" s="42" t="e">
        <v>#N/A</v>
      </c>
      <c r="W84" s="42" t="str">
        <v/>
      </c>
      <c r="Z84" s="42">
        <v>79</v>
      </c>
      <c r="AA84" s="42">
        <v>2</v>
      </c>
      <c r="AB84" s="42">
        <v>1.535999999999999E-2</v>
      </c>
      <c r="AC84" s="42">
        <v>1.535999999999999E-2</v>
      </c>
      <c r="AD84" s="42" t="e">
        <v>#N/A</v>
      </c>
      <c r="AE84" s="42" t="e">
        <v>#N/A</v>
      </c>
      <c r="AF84" s="42" t="str">
        <v/>
      </c>
      <c r="AI84" s="42">
        <v>79</v>
      </c>
      <c r="AJ84" s="42">
        <v>3</v>
      </c>
      <c r="AK84" s="54">
        <v>0.18044704431548364</v>
      </c>
      <c r="AL84" s="54" t="e">
        <v>#N/A</v>
      </c>
      <c r="AM84" s="54" t="e">
        <v>#N/A</v>
      </c>
      <c r="AN84" s="54">
        <v>0.18044704431548364</v>
      </c>
      <c r="AO84" s="54" t="str">
        <v/>
      </c>
    </row>
    <row r="85" spans="18:41" x14ac:dyDescent="0.2">
      <c r="R85" s="42">
        <v>80</v>
      </c>
      <c r="S85" s="42">
        <v>27.412759850500322</v>
      </c>
      <c r="T85" s="42">
        <v>0.21083745345327712</v>
      </c>
      <c r="U85" s="42">
        <v>0.21083745345327712</v>
      </c>
      <c r="V85" s="42" t="e">
        <v>#N/A</v>
      </c>
      <c r="W85" s="42" t="str">
        <v/>
      </c>
      <c r="Z85" s="42">
        <v>80</v>
      </c>
      <c r="AA85" s="42">
        <v>2</v>
      </c>
      <c r="AB85" s="42">
        <v>1.535999999999999E-2</v>
      </c>
      <c r="AC85" s="42">
        <v>1.535999999999999E-2</v>
      </c>
      <c r="AD85" s="42" t="e">
        <v>#N/A</v>
      </c>
      <c r="AE85" s="42" t="e">
        <v>#N/A</v>
      </c>
      <c r="AF85" s="42" t="str">
        <v/>
      </c>
      <c r="AI85" s="42">
        <v>80</v>
      </c>
      <c r="AJ85" s="42">
        <v>3</v>
      </c>
      <c r="AK85" s="54">
        <v>0.18044704431548364</v>
      </c>
      <c r="AL85" s="54" t="e">
        <v>#N/A</v>
      </c>
      <c r="AM85" s="54" t="e">
        <v>#N/A</v>
      </c>
      <c r="AN85" s="54">
        <v>0.18044704431548364</v>
      </c>
      <c r="AO85" s="54" t="str">
        <v/>
      </c>
    </row>
    <row r="86" spans="18:41" x14ac:dyDescent="0.2">
      <c r="R86" s="42">
        <v>81</v>
      </c>
      <c r="S86" s="42">
        <v>27.909182710928889</v>
      </c>
      <c r="T86" s="42">
        <v>0.21676449444720089</v>
      </c>
      <c r="U86" s="42">
        <v>0.21676449444720089</v>
      </c>
      <c r="V86" s="42" t="e">
        <v>#N/A</v>
      </c>
      <c r="W86" s="42" t="str">
        <v/>
      </c>
      <c r="Z86" s="42">
        <v>81</v>
      </c>
      <c r="AA86" s="42">
        <v>2</v>
      </c>
      <c r="AB86" s="42">
        <v>1.535999999999999E-2</v>
      </c>
      <c r="AC86" s="42">
        <v>1.535999999999999E-2</v>
      </c>
      <c r="AD86" s="42" t="e">
        <v>#N/A</v>
      </c>
      <c r="AE86" s="42" t="e">
        <v>#N/A</v>
      </c>
      <c r="AF86" s="42" t="str">
        <v/>
      </c>
      <c r="AI86" s="42">
        <v>81</v>
      </c>
      <c r="AJ86" s="42" t="e">
        <v>#N/A</v>
      </c>
      <c r="AK86" s="54" t="e">
        <v>#N/A</v>
      </c>
      <c r="AL86" s="54" t="e">
        <v>#N/A</v>
      </c>
      <c r="AM86" s="54" t="e">
        <v>#N/A</v>
      </c>
      <c r="AN86" s="54" t="e">
        <v>#N/A</v>
      </c>
      <c r="AO86" s="54" t="str">
        <v/>
      </c>
    </row>
    <row r="87" spans="18:41" x14ac:dyDescent="0.2">
      <c r="R87" s="42">
        <v>82</v>
      </c>
      <c r="S87" s="42">
        <v>28.405605571357448</v>
      </c>
      <c r="T87" s="42">
        <v>0.22272089760943917</v>
      </c>
      <c r="U87" s="42">
        <v>0.22272089760943917</v>
      </c>
      <c r="V87" s="42" t="e">
        <v>#N/A</v>
      </c>
      <c r="W87" s="42" t="str">
        <v/>
      </c>
      <c r="Z87" s="42">
        <v>82</v>
      </c>
      <c r="AA87" s="42">
        <v>2</v>
      </c>
      <c r="AB87" s="42">
        <v>1.535999999999999E-2</v>
      </c>
      <c r="AC87" s="42">
        <v>1.535999999999999E-2</v>
      </c>
      <c r="AD87" s="42" t="e">
        <v>#N/A</v>
      </c>
      <c r="AE87" s="42" t="e">
        <v>#N/A</v>
      </c>
      <c r="AF87" s="42" t="str">
        <v/>
      </c>
      <c r="AI87" s="42">
        <v>82</v>
      </c>
      <c r="AJ87" s="42">
        <v>4</v>
      </c>
      <c r="AK87" s="54">
        <v>9.022352215774182E-2</v>
      </c>
      <c r="AL87" s="54" t="e">
        <v>#N/A</v>
      </c>
      <c r="AM87" s="54" t="e">
        <v>#N/A</v>
      </c>
      <c r="AN87" s="54">
        <v>9.022352215774182E-2</v>
      </c>
      <c r="AO87" s="54" t="str">
        <v/>
      </c>
    </row>
    <row r="88" spans="18:41" x14ac:dyDescent="0.2">
      <c r="R88" s="42">
        <v>83</v>
      </c>
      <c r="S88" s="42">
        <v>28.902028431786015</v>
      </c>
      <c r="T88" s="42">
        <v>0.2287000318767278</v>
      </c>
      <c r="U88" s="42">
        <v>0.2287000318767278</v>
      </c>
      <c r="V88" s="42" t="e">
        <v>#N/A</v>
      </c>
      <c r="W88" s="42" t="str">
        <v/>
      </c>
      <c r="Z88" s="42">
        <v>83</v>
      </c>
      <c r="AA88" s="42">
        <v>2</v>
      </c>
      <c r="AB88" s="42">
        <v>1.535999999999999E-2</v>
      </c>
      <c r="AC88" s="42">
        <v>1.535999999999999E-2</v>
      </c>
      <c r="AD88" s="42" t="e">
        <v>#N/A</v>
      </c>
      <c r="AE88" s="42" t="e">
        <v>#N/A</v>
      </c>
      <c r="AF88" s="42" t="str">
        <v/>
      </c>
      <c r="AI88" s="42">
        <v>83</v>
      </c>
      <c r="AJ88" s="42">
        <v>4</v>
      </c>
      <c r="AK88" s="54">
        <v>9.022352215774182E-2</v>
      </c>
      <c r="AL88" s="54" t="e">
        <v>#N/A</v>
      </c>
      <c r="AM88" s="54" t="e">
        <v>#N/A</v>
      </c>
      <c r="AN88" s="54">
        <v>9.022352215774182E-2</v>
      </c>
      <c r="AO88" s="54" t="str">
        <v/>
      </c>
    </row>
    <row r="89" spans="18:41" x14ac:dyDescent="0.2">
      <c r="R89" s="42">
        <v>84</v>
      </c>
      <c r="S89" s="42">
        <v>29.398451292214574</v>
      </c>
      <c r="T89" s="42">
        <v>0.23469504353367848</v>
      </c>
      <c r="U89" s="42">
        <v>0.23469504353367848</v>
      </c>
      <c r="V89" s="42" t="e">
        <v>#N/A</v>
      </c>
      <c r="W89" s="42" t="str">
        <v/>
      </c>
      <c r="Z89" s="42">
        <v>84</v>
      </c>
      <c r="AA89" s="42">
        <v>2</v>
      </c>
      <c r="AB89" s="42">
        <v>1.535999999999999E-2</v>
      </c>
      <c r="AC89" s="42">
        <v>1.535999999999999E-2</v>
      </c>
      <c r="AD89" s="42" t="e">
        <v>#N/A</v>
      </c>
      <c r="AE89" s="42" t="e">
        <v>#N/A</v>
      </c>
      <c r="AF89" s="42" t="str">
        <v/>
      </c>
      <c r="AI89" s="42">
        <v>84</v>
      </c>
      <c r="AJ89" s="42">
        <v>4</v>
      </c>
      <c r="AK89" s="54">
        <v>9.022352215774182E-2</v>
      </c>
      <c r="AL89" s="54" t="e">
        <v>#N/A</v>
      </c>
      <c r="AM89" s="54" t="e">
        <v>#N/A</v>
      </c>
      <c r="AN89" s="54">
        <v>9.022352215774182E-2</v>
      </c>
      <c r="AO89" s="54" t="str">
        <v/>
      </c>
    </row>
    <row r="90" spans="18:41" x14ac:dyDescent="0.2">
      <c r="R90" s="42">
        <v>85</v>
      </c>
      <c r="S90" s="42">
        <v>29.894874152643141</v>
      </c>
      <c r="T90" s="42">
        <v>0.24069886734449414</v>
      </c>
      <c r="U90" s="42">
        <v>0.24069886734449414</v>
      </c>
      <c r="V90" s="42" t="e">
        <v>#N/A</v>
      </c>
      <c r="W90" s="42" t="str">
        <v/>
      </c>
      <c r="Z90" s="42">
        <v>85</v>
      </c>
      <c r="AA90" s="42">
        <v>2</v>
      </c>
      <c r="AB90" s="42">
        <v>1.535999999999999E-2</v>
      </c>
      <c r="AC90" s="42">
        <v>1.535999999999999E-2</v>
      </c>
      <c r="AD90" s="42" t="e">
        <v>#N/A</v>
      </c>
      <c r="AE90" s="42" t="e">
        <v>#N/A</v>
      </c>
      <c r="AF90" s="42" t="str">
        <v/>
      </c>
      <c r="AI90" s="42">
        <v>85</v>
      </c>
      <c r="AJ90" s="42">
        <v>4</v>
      </c>
      <c r="AK90" s="54">
        <v>9.022352215774182E-2</v>
      </c>
      <c r="AL90" s="54" t="e">
        <v>#N/A</v>
      </c>
      <c r="AM90" s="54" t="e">
        <v>#N/A</v>
      </c>
      <c r="AN90" s="54">
        <v>9.022352215774182E-2</v>
      </c>
      <c r="AO90" s="54" t="str">
        <v/>
      </c>
    </row>
    <row r="91" spans="18:41" x14ac:dyDescent="0.2">
      <c r="R91" s="42">
        <v>86</v>
      </c>
      <c r="S91" s="42">
        <v>30.391297013071714</v>
      </c>
      <c r="T91" s="42">
        <v>0.24670423863973287</v>
      </c>
      <c r="U91" s="42">
        <v>0.24670423863973287</v>
      </c>
      <c r="V91" s="42" t="e">
        <v>#N/A</v>
      </c>
      <c r="W91" s="42" t="str">
        <v/>
      </c>
      <c r="Z91" s="42">
        <v>86</v>
      </c>
      <c r="AA91" s="42">
        <v>2</v>
      </c>
      <c r="AB91" s="42">
        <v>1.535999999999999E-2</v>
      </c>
      <c r="AC91" s="42">
        <v>1.535999999999999E-2</v>
      </c>
      <c r="AD91" s="42" t="e">
        <v>#N/A</v>
      </c>
      <c r="AE91" s="42" t="e">
        <v>#N/A</v>
      </c>
      <c r="AF91" s="42" t="str">
        <v/>
      </c>
      <c r="AI91" s="42">
        <v>86</v>
      </c>
      <c r="AJ91" s="42">
        <v>4</v>
      </c>
      <c r="AK91" s="54">
        <v>9.022352215774182E-2</v>
      </c>
      <c r="AL91" s="54" t="e">
        <v>#N/A</v>
      </c>
      <c r="AM91" s="54" t="e">
        <v>#N/A</v>
      </c>
      <c r="AN91" s="54">
        <v>9.022352215774182E-2</v>
      </c>
      <c r="AO91" s="54" t="str">
        <v/>
      </c>
    </row>
    <row r="92" spans="18:41" x14ac:dyDescent="0.2">
      <c r="R92" s="42">
        <v>87</v>
      </c>
      <c r="S92" s="42">
        <v>30.887719873500274</v>
      </c>
      <c r="T92" s="42">
        <v>0.25270370633791855</v>
      </c>
      <c r="U92" s="42">
        <v>0.25270370633791855</v>
      </c>
      <c r="V92" s="42" t="e">
        <v>#N/A</v>
      </c>
      <c r="W92" s="42" t="str">
        <v/>
      </c>
      <c r="Z92" s="42">
        <v>87</v>
      </c>
      <c r="AA92" s="42">
        <v>2</v>
      </c>
      <c r="AB92" s="42">
        <v>1.535999999999999E-2</v>
      </c>
      <c r="AC92" s="42">
        <v>1.535999999999999E-2</v>
      </c>
      <c r="AD92" s="42" t="e">
        <v>#N/A</v>
      </c>
      <c r="AE92" s="42" t="e">
        <v>#N/A</v>
      </c>
      <c r="AF92" s="42" t="str">
        <v/>
      </c>
      <c r="AI92" s="42">
        <v>87</v>
      </c>
      <c r="AJ92" s="42">
        <v>4</v>
      </c>
      <c r="AK92" s="54">
        <v>9.022352215774182E-2</v>
      </c>
      <c r="AL92" s="54" t="e">
        <v>#N/A</v>
      </c>
      <c r="AM92" s="54" t="e">
        <v>#N/A</v>
      </c>
      <c r="AN92" s="54">
        <v>9.022352215774182E-2</v>
      </c>
      <c r="AO92" s="54" t="str">
        <v/>
      </c>
    </row>
    <row r="93" spans="18:41" x14ac:dyDescent="0.2">
      <c r="R93" s="42">
        <v>88</v>
      </c>
      <c r="S93" s="42">
        <v>31.38414273392884</v>
      </c>
      <c r="T93" s="42">
        <v>0.25868964687719065</v>
      </c>
      <c r="U93" s="42">
        <v>0.25868964687719065</v>
      </c>
      <c r="V93" s="42" t="e">
        <v>#N/A</v>
      </c>
      <c r="W93" s="42" t="str">
        <v/>
      </c>
      <c r="Z93" s="42">
        <v>88</v>
      </c>
      <c r="AA93" s="42">
        <v>2</v>
      </c>
      <c r="AB93" s="42">
        <v>1.535999999999999E-2</v>
      </c>
      <c r="AC93" s="42">
        <v>1.535999999999999E-2</v>
      </c>
      <c r="AD93" s="42" t="e">
        <v>#N/A</v>
      </c>
      <c r="AE93" s="42" t="e">
        <v>#N/A</v>
      </c>
      <c r="AF93" s="42" t="str">
        <v/>
      </c>
      <c r="AI93" s="42">
        <v>88</v>
      </c>
      <c r="AJ93" s="42">
        <v>4</v>
      </c>
      <c r="AK93" s="54">
        <v>9.022352215774182E-2</v>
      </c>
      <c r="AL93" s="54" t="e">
        <v>#N/A</v>
      </c>
      <c r="AM93" s="54" t="e">
        <v>#N/A</v>
      </c>
      <c r="AN93" s="54">
        <v>9.022352215774182E-2</v>
      </c>
      <c r="AO93" s="54" t="str">
        <v/>
      </c>
    </row>
    <row r="94" spans="18:41" x14ac:dyDescent="0.2">
      <c r="R94" s="42">
        <v>89</v>
      </c>
      <c r="S94" s="42">
        <v>31.8805655943574</v>
      </c>
      <c r="T94" s="42">
        <v>0.26465427902758482</v>
      </c>
      <c r="U94" s="42">
        <v>0.26465427902758482</v>
      </c>
      <c r="V94" s="42" t="e">
        <v>#N/A</v>
      </c>
      <c r="W94" s="42" t="str">
        <v/>
      </c>
      <c r="Z94" s="42">
        <v>89</v>
      </c>
      <c r="AA94" s="42">
        <v>2</v>
      </c>
      <c r="AB94" s="42">
        <v>1.535999999999999E-2</v>
      </c>
      <c r="AC94" s="42">
        <v>1.535999999999999E-2</v>
      </c>
      <c r="AD94" s="42" t="e">
        <v>#N/A</v>
      </c>
      <c r="AE94" s="42" t="e">
        <v>#N/A</v>
      </c>
      <c r="AF94" s="42">
        <v>2</v>
      </c>
      <c r="AI94" s="42">
        <v>89</v>
      </c>
      <c r="AJ94" s="42">
        <v>4</v>
      </c>
      <c r="AK94" s="54">
        <v>9.022352215774182E-2</v>
      </c>
      <c r="AL94" s="54" t="e">
        <v>#N/A</v>
      </c>
      <c r="AM94" s="54" t="e">
        <v>#N/A</v>
      </c>
      <c r="AN94" s="54">
        <v>9.022352215774182E-2</v>
      </c>
      <c r="AO94" s="54" t="str">
        <v/>
      </c>
    </row>
    <row r="95" spans="18:41" x14ac:dyDescent="0.2">
      <c r="R95" s="42">
        <v>90</v>
      </c>
      <c r="S95" s="42">
        <v>32.376988454785966</v>
      </c>
      <c r="T95" s="42">
        <v>0.27058967954997648</v>
      </c>
      <c r="U95" s="42">
        <v>0.27058967954997648</v>
      </c>
      <c r="V95" s="42" t="e">
        <v>#N/A</v>
      </c>
      <c r="W95" s="42" t="str">
        <v/>
      </c>
      <c r="Z95" s="42">
        <v>90</v>
      </c>
      <c r="AA95" s="42">
        <v>2</v>
      </c>
      <c r="AB95" s="42">
        <v>1.535999999999999E-2</v>
      </c>
      <c r="AC95" s="42">
        <v>1.535999999999999E-2</v>
      </c>
      <c r="AD95" s="42" t="e">
        <v>#N/A</v>
      </c>
      <c r="AE95" s="42" t="e">
        <v>#N/A</v>
      </c>
      <c r="AF95" s="42" t="str">
        <v/>
      </c>
      <c r="AI95" s="42">
        <v>90</v>
      </c>
      <c r="AJ95" s="42">
        <v>4</v>
      </c>
      <c r="AK95" s="54">
        <v>9.022352215774182E-2</v>
      </c>
      <c r="AL95" s="54" t="e">
        <v>#N/A</v>
      </c>
      <c r="AM95" s="54" t="e">
        <v>#N/A</v>
      </c>
      <c r="AN95" s="54">
        <v>9.022352215774182E-2</v>
      </c>
      <c r="AO95" s="54" t="str">
        <v/>
      </c>
    </row>
    <row r="96" spans="18:41" x14ac:dyDescent="0.2">
      <c r="R96" s="42">
        <v>91</v>
      </c>
      <c r="S96" s="42">
        <v>32.873411315214526</v>
      </c>
      <c r="T96" s="42">
        <v>0.27648779966320636</v>
      </c>
      <c r="U96" s="42">
        <v>0.27648779966320636</v>
      </c>
      <c r="V96" s="42" t="e">
        <v>#N/A</v>
      </c>
      <c r="W96" s="42" t="str">
        <v/>
      </c>
      <c r="Z96" s="42">
        <v>91</v>
      </c>
      <c r="AA96" s="42">
        <v>2</v>
      </c>
      <c r="AB96" s="42">
        <v>1.535999999999999E-2</v>
      </c>
      <c r="AC96" s="42">
        <v>1.535999999999999E-2</v>
      </c>
      <c r="AD96" s="42" t="e">
        <v>#N/A</v>
      </c>
      <c r="AE96" s="42" t="e">
        <v>#N/A</v>
      </c>
      <c r="AF96" s="42" t="str">
        <v/>
      </c>
      <c r="AI96" s="42">
        <v>91</v>
      </c>
      <c r="AJ96" s="42">
        <v>4</v>
      </c>
      <c r="AK96" s="54">
        <v>9.022352215774182E-2</v>
      </c>
      <c r="AL96" s="54" t="e">
        <v>#N/A</v>
      </c>
      <c r="AM96" s="54" t="e">
        <v>#N/A</v>
      </c>
      <c r="AN96" s="54">
        <v>9.022352215774182E-2</v>
      </c>
      <c r="AO96" s="54">
        <v>4</v>
      </c>
    </row>
    <row r="97" spans="18:41" x14ac:dyDescent="0.2">
      <c r="R97" s="42">
        <v>92</v>
      </c>
      <c r="S97" s="42">
        <v>33.369834175643092</v>
      </c>
      <c r="T97" s="42">
        <v>0.28234048227649011</v>
      </c>
      <c r="U97" s="42">
        <v>0.28234048227649011</v>
      </c>
      <c r="V97" s="42" t="e">
        <v>#N/A</v>
      </c>
      <c r="W97" s="42" t="str">
        <v/>
      </c>
      <c r="Z97" s="42">
        <v>92</v>
      </c>
      <c r="AA97" s="42">
        <v>2</v>
      </c>
      <c r="AB97" s="42">
        <v>1.535999999999999E-2</v>
      </c>
      <c r="AC97" s="42">
        <v>1.535999999999999E-2</v>
      </c>
      <c r="AD97" s="42" t="e">
        <v>#N/A</v>
      </c>
      <c r="AE97" s="42" t="e">
        <v>#N/A</v>
      </c>
      <c r="AF97" s="42" t="str">
        <v/>
      </c>
      <c r="AI97" s="42">
        <v>92</v>
      </c>
      <c r="AJ97" s="42">
        <v>4</v>
      </c>
      <c r="AK97" s="54">
        <v>9.022352215774182E-2</v>
      </c>
      <c r="AL97" s="54" t="e">
        <v>#N/A</v>
      </c>
      <c r="AM97" s="54" t="e">
        <v>#N/A</v>
      </c>
      <c r="AN97" s="54">
        <v>9.022352215774182E-2</v>
      </c>
      <c r="AO97" s="54" t="str">
        <v/>
      </c>
    </row>
    <row r="98" spans="18:41" x14ac:dyDescent="0.2">
      <c r="R98" s="42">
        <v>93</v>
      </c>
      <c r="S98" s="42">
        <v>33.866257036071659</v>
      </c>
      <c r="T98" s="42">
        <v>0.28813947993989791</v>
      </c>
      <c r="U98" s="42">
        <v>0.28813947993989791</v>
      </c>
      <c r="V98" s="42" t="e">
        <v>#N/A</v>
      </c>
      <c r="W98" s="42" t="str">
        <v/>
      </c>
      <c r="Z98" s="42">
        <v>93</v>
      </c>
      <c r="AA98" s="42">
        <v>2</v>
      </c>
      <c r="AB98" s="42">
        <v>1.535999999999999E-2</v>
      </c>
      <c r="AC98" s="42">
        <v>1.535999999999999E-2</v>
      </c>
      <c r="AD98" s="42" t="e">
        <v>#N/A</v>
      </c>
      <c r="AE98" s="42" t="e">
        <v>#N/A</v>
      </c>
      <c r="AF98" s="42" t="str">
        <v/>
      </c>
      <c r="AI98" s="42">
        <v>93</v>
      </c>
      <c r="AJ98" s="42">
        <v>4</v>
      </c>
      <c r="AK98" s="54">
        <v>9.022352215774182E-2</v>
      </c>
      <c r="AL98" s="54" t="e">
        <v>#N/A</v>
      </c>
      <c r="AM98" s="54" t="e">
        <v>#N/A</v>
      </c>
      <c r="AN98" s="54">
        <v>9.022352215774182E-2</v>
      </c>
      <c r="AO98" s="54" t="str">
        <v/>
      </c>
    </row>
    <row r="99" spans="18:41" x14ac:dyDescent="0.2">
      <c r="R99" s="42">
        <v>94</v>
      </c>
      <c r="S99" s="42">
        <v>34.362679896500218</v>
      </c>
      <c r="T99" s="42">
        <v>0.29387647346152357</v>
      </c>
      <c r="U99" s="42">
        <v>0.29387647346152357</v>
      </c>
      <c r="V99" s="42" t="e">
        <v>#N/A</v>
      </c>
      <c r="W99" s="42" t="str">
        <v/>
      </c>
      <c r="Z99" s="42">
        <v>94</v>
      </c>
      <c r="AA99" s="42">
        <v>2</v>
      </c>
      <c r="AB99" s="42">
        <v>1.535999999999999E-2</v>
      </c>
      <c r="AC99" s="42">
        <v>1.535999999999999E-2</v>
      </c>
      <c r="AD99" s="42" t="e">
        <v>#N/A</v>
      </c>
      <c r="AE99" s="42" t="e">
        <v>#N/A</v>
      </c>
      <c r="AF99" s="42" t="str">
        <v/>
      </c>
      <c r="AI99" s="42">
        <v>94</v>
      </c>
      <c r="AJ99" s="42">
        <v>4</v>
      </c>
      <c r="AK99" s="54">
        <v>9.022352215774182E-2</v>
      </c>
      <c r="AL99" s="54" t="e">
        <v>#N/A</v>
      </c>
      <c r="AM99" s="54" t="e">
        <v>#N/A</v>
      </c>
      <c r="AN99" s="54">
        <v>9.022352215774182E-2</v>
      </c>
      <c r="AO99" s="54" t="str">
        <v/>
      </c>
    </row>
    <row r="100" spans="18:41" x14ac:dyDescent="0.2">
      <c r="R100" s="42">
        <v>95</v>
      </c>
      <c r="S100" s="42">
        <v>34.859102756928785</v>
      </c>
      <c r="T100" s="42">
        <v>0.29954309113595234</v>
      </c>
      <c r="U100" s="42">
        <v>0.29954309113595234</v>
      </c>
      <c r="V100" s="42" t="e">
        <v>#N/A</v>
      </c>
      <c r="W100" s="42" t="str">
        <v/>
      </c>
      <c r="Z100" s="42">
        <v>95</v>
      </c>
      <c r="AA100" s="42">
        <v>2</v>
      </c>
      <c r="AB100" s="42">
        <v>1.535999999999999E-2</v>
      </c>
      <c r="AC100" s="42">
        <v>1.535999999999999E-2</v>
      </c>
      <c r="AD100" s="42" t="e">
        <v>#N/A</v>
      </c>
      <c r="AE100" s="42" t="e">
        <v>#N/A</v>
      </c>
      <c r="AF100" s="42" t="str">
        <v/>
      </c>
      <c r="AI100" s="42">
        <v>95</v>
      </c>
      <c r="AJ100" s="42">
        <v>4</v>
      </c>
      <c r="AK100" s="54">
        <v>9.022352215774182E-2</v>
      </c>
      <c r="AL100" s="54" t="e">
        <v>#N/A</v>
      </c>
      <c r="AM100" s="54" t="e">
        <v>#N/A</v>
      </c>
      <c r="AN100" s="54">
        <v>9.022352215774182E-2</v>
      </c>
      <c r="AO100" s="54" t="str">
        <v/>
      </c>
    </row>
    <row r="101" spans="18:41" x14ac:dyDescent="0.2">
      <c r="R101" s="42">
        <v>96</v>
      </c>
      <c r="S101" s="42">
        <v>35.355525617357351</v>
      </c>
      <c r="T101" s="42">
        <v>0.30513092852481938</v>
      </c>
      <c r="U101" s="42">
        <v>0.30513092852481938</v>
      </c>
      <c r="V101" s="42" t="e">
        <v>#N/A</v>
      </c>
      <c r="W101" s="42" t="str">
        <v/>
      </c>
      <c r="Z101" s="42">
        <v>96</v>
      </c>
      <c r="AA101" s="42">
        <v>2</v>
      </c>
      <c r="AB101" s="42">
        <v>1.535999999999999E-2</v>
      </c>
      <c r="AC101" s="42">
        <v>1.535999999999999E-2</v>
      </c>
      <c r="AD101" s="42" t="e">
        <v>#N/A</v>
      </c>
      <c r="AE101" s="42" t="e">
        <v>#N/A</v>
      </c>
      <c r="AF101" s="42" t="str">
        <v/>
      </c>
      <c r="AI101" s="42">
        <v>96</v>
      </c>
      <c r="AJ101" s="42">
        <v>4</v>
      </c>
      <c r="AK101" s="54">
        <v>9.022352215774182E-2</v>
      </c>
      <c r="AL101" s="54" t="e">
        <v>#N/A</v>
      </c>
      <c r="AM101" s="54" t="e">
        <v>#N/A</v>
      </c>
      <c r="AN101" s="54">
        <v>9.022352215774182E-2</v>
      </c>
      <c r="AO101" s="54" t="str">
        <v/>
      </c>
    </row>
    <row r="102" spans="18:41" x14ac:dyDescent="0.2">
      <c r="R102" s="42">
        <v>97</v>
      </c>
      <c r="S102" s="42">
        <v>35.851948477785918</v>
      </c>
      <c r="T102" s="42">
        <v>0.31063156872665459</v>
      </c>
      <c r="U102" s="42">
        <v>0.31063156872665459</v>
      </c>
      <c r="V102" s="42" t="e">
        <v>#N/A</v>
      </c>
      <c r="W102" s="42" t="str">
        <v/>
      </c>
      <c r="Z102" s="42">
        <v>97</v>
      </c>
      <c r="AA102" s="42">
        <v>2</v>
      </c>
      <c r="AB102" s="42">
        <v>1.535999999999999E-2</v>
      </c>
      <c r="AC102" s="42">
        <v>1.535999999999999E-2</v>
      </c>
      <c r="AD102" s="42" t="e">
        <v>#N/A</v>
      </c>
      <c r="AE102" s="42" t="e">
        <v>#N/A</v>
      </c>
      <c r="AF102" s="42" t="str">
        <v/>
      </c>
      <c r="AI102" s="42">
        <v>97</v>
      </c>
      <c r="AJ102" s="42">
        <v>4</v>
      </c>
      <c r="AK102" s="54">
        <v>9.022352215774182E-2</v>
      </c>
      <c r="AL102" s="54" t="e">
        <v>#N/A</v>
      </c>
      <c r="AM102" s="54" t="e">
        <v>#N/A</v>
      </c>
      <c r="AN102" s="54">
        <v>9.022352215774182E-2</v>
      </c>
      <c r="AO102" s="54" t="str">
        <v/>
      </c>
    </row>
    <row r="103" spans="18:41" x14ac:dyDescent="0.2">
      <c r="R103" s="42">
        <v>98</v>
      </c>
      <c r="S103" s="42">
        <v>36.348371338214484</v>
      </c>
      <c r="T103" s="42">
        <v>0.31603660306984627</v>
      </c>
      <c r="U103" s="42">
        <v>0.31603660306984627</v>
      </c>
      <c r="V103" s="42" t="e">
        <v>#N/A</v>
      </c>
      <c r="W103" s="42" t="str">
        <v/>
      </c>
      <c r="Z103" s="42">
        <v>98</v>
      </c>
      <c r="AA103" s="42">
        <v>2</v>
      </c>
      <c r="AB103" s="42">
        <v>1.535999999999999E-2</v>
      </c>
      <c r="AC103" s="42">
        <v>1.535999999999999E-2</v>
      </c>
      <c r="AD103" s="42" t="e">
        <v>#N/A</v>
      </c>
      <c r="AE103" s="42" t="e">
        <v>#N/A</v>
      </c>
      <c r="AF103" s="42" t="str">
        <v/>
      </c>
      <c r="AI103" s="42">
        <v>98</v>
      </c>
      <c r="AJ103" s="42">
        <v>4</v>
      </c>
      <c r="AK103" s="54">
        <v>9.022352215774182E-2</v>
      </c>
      <c r="AL103" s="54" t="e">
        <v>#N/A</v>
      </c>
      <c r="AM103" s="54" t="e">
        <v>#N/A</v>
      </c>
      <c r="AN103" s="54">
        <v>9.022352215774182E-2</v>
      </c>
      <c r="AO103" s="54" t="str">
        <v/>
      </c>
    </row>
    <row r="104" spans="18:41" x14ac:dyDescent="0.2">
      <c r="R104" s="42">
        <v>99</v>
      </c>
      <c r="S104" s="42">
        <v>36.844794198643044</v>
      </c>
      <c r="T104" s="42">
        <v>0.32133765215946308</v>
      </c>
      <c r="U104" s="42">
        <v>0.32133765215946308</v>
      </c>
      <c r="V104" s="42" t="e">
        <v>#N/A</v>
      </c>
      <c r="W104" s="42" t="str">
        <v/>
      </c>
      <c r="Z104" s="42">
        <v>99</v>
      </c>
      <c r="AA104" s="42">
        <v>2</v>
      </c>
      <c r="AB104" s="42">
        <v>1.535999999999999E-2</v>
      </c>
      <c r="AC104" s="42">
        <v>1.535999999999999E-2</v>
      </c>
      <c r="AD104" s="42" t="e">
        <v>#N/A</v>
      </c>
      <c r="AE104" s="42" t="e">
        <v>#N/A</v>
      </c>
      <c r="AF104" s="42" t="str">
        <v/>
      </c>
      <c r="AI104" s="42">
        <v>99</v>
      </c>
      <c r="AJ104" s="42">
        <v>4</v>
      </c>
      <c r="AK104" s="54">
        <v>9.022352215774182E-2</v>
      </c>
      <c r="AL104" s="54" t="e">
        <v>#N/A</v>
      </c>
      <c r="AM104" s="54" t="e">
        <v>#N/A</v>
      </c>
      <c r="AN104" s="54">
        <v>9.022352215774182E-2</v>
      </c>
      <c r="AO104" s="54" t="str">
        <v/>
      </c>
    </row>
    <row r="105" spans="18:41" x14ac:dyDescent="0.2">
      <c r="R105" s="42">
        <v>100</v>
      </c>
      <c r="S105" s="42">
        <v>37.34121705907161</v>
      </c>
      <c r="T105" s="42">
        <v>0.32652638720586452</v>
      </c>
      <c r="U105" s="42">
        <v>0.32652638720586452</v>
      </c>
      <c r="V105" s="42" t="e">
        <v>#N/A</v>
      </c>
      <c r="W105" s="42" t="str">
        <v/>
      </c>
      <c r="Z105" s="42">
        <v>100</v>
      </c>
      <c r="AA105" s="42">
        <v>2</v>
      </c>
      <c r="AB105" s="42">
        <v>1.535999999999999E-2</v>
      </c>
      <c r="AC105" s="42">
        <v>1.535999999999999E-2</v>
      </c>
      <c r="AD105" s="42" t="e">
        <v>#N/A</v>
      </c>
      <c r="AE105" s="42" t="e">
        <v>#N/A</v>
      </c>
      <c r="AF105" s="42" t="str">
        <v/>
      </c>
      <c r="AI105" s="42">
        <v>100</v>
      </c>
      <c r="AJ105" s="42">
        <v>4</v>
      </c>
      <c r="AK105" s="54">
        <v>9.022352215774182E-2</v>
      </c>
      <c r="AL105" s="54" t="e">
        <v>#N/A</v>
      </c>
      <c r="AM105" s="54" t="e">
        <v>#N/A</v>
      </c>
      <c r="AN105" s="54">
        <v>9.022352215774182E-2</v>
      </c>
      <c r="AO105" s="54" t="str">
        <v/>
      </c>
    </row>
    <row r="106" spans="18:41" x14ac:dyDescent="0.2">
      <c r="R106" s="42">
        <v>101</v>
      </c>
      <c r="S106" s="42">
        <v>37.83763991950017</v>
      </c>
      <c r="T106" s="42">
        <v>0.33159455156052819</v>
      </c>
      <c r="U106" s="42">
        <v>0.33159455156052819</v>
      </c>
      <c r="V106" s="42" t="e">
        <v>#N/A</v>
      </c>
      <c r="W106" s="42">
        <v>37.840000000000003</v>
      </c>
      <c r="Z106" s="42">
        <v>101</v>
      </c>
      <c r="AA106" s="42">
        <v>2</v>
      </c>
      <c r="AB106" s="42">
        <v>1.535999999999999E-2</v>
      </c>
      <c r="AC106" s="42">
        <v>1.535999999999999E-2</v>
      </c>
      <c r="AD106" s="42" t="e">
        <v>#N/A</v>
      </c>
      <c r="AE106" s="42" t="e">
        <v>#N/A</v>
      </c>
      <c r="AF106" s="42" t="str">
        <v/>
      </c>
      <c r="AI106" s="42">
        <v>101</v>
      </c>
      <c r="AJ106" s="42" t="e">
        <v>#N/A</v>
      </c>
      <c r="AK106" s="54" t="e">
        <v>#N/A</v>
      </c>
      <c r="AL106" s="54" t="e">
        <v>#N/A</v>
      </c>
      <c r="AM106" s="54" t="e">
        <v>#N/A</v>
      </c>
      <c r="AN106" s="54" t="e">
        <v>#N/A</v>
      </c>
      <c r="AO106" s="54" t="str">
        <v/>
      </c>
    </row>
    <row r="107" spans="18:41" x14ac:dyDescent="0.2">
      <c r="R107" s="42">
        <v>102</v>
      </c>
      <c r="S107" s="42">
        <v>38.334062779928736</v>
      </c>
      <c r="T107" s="42">
        <v>0.33653398238234966</v>
      </c>
      <c r="U107" s="42">
        <v>0.33653398238234966</v>
      </c>
      <c r="V107" s="42" t="e">
        <v>#N/A</v>
      </c>
      <c r="W107" s="42" t="str">
        <v/>
      </c>
      <c r="Z107" s="42">
        <v>102</v>
      </c>
      <c r="AA107" s="42">
        <v>2</v>
      </c>
      <c r="AB107" s="42">
        <v>1.535999999999999E-2</v>
      </c>
      <c r="AC107" s="42">
        <v>1.535999999999999E-2</v>
      </c>
      <c r="AD107" s="42" t="e">
        <v>#N/A</v>
      </c>
      <c r="AE107" s="42" t="e">
        <v>#N/A</v>
      </c>
      <c r="AF107" s="42" t="str">
        <v/>
      </c>
      <c r="AI107" s="42">
        <v>102</v>
      </c>
      <c r="AJ107" s="42">
        <v>5</v>
      </c>
      <c r="AK107" s="54">
        <v>3.6089408863096716E-2</v>
      </c>
      <c r="AL107" s="54" t="e">
        <v>#N/A</v>
      </c>
      <c r="AM107" s="54" t="e">
        <v>#N/A</v>
      </c>
      <c r="AN107" s="54">
        <v>3.6089408863096716E-2</v>
      </c>
      <c r="AO107" s="54" t="str">
        <v/>
      </c>
    </row>
    <row r="108" spans="18:41" x14ac:dyDescent="0.2">
      <c r="R108" s="42">
        <v>103</v>
      </c>
      <c r="S108" s="42">
        <v>38.830485640357303</v>
      </c>
      <c r="T108" s="42">
        <v>0.34133663235583905</v>
      </c>
      <c r="U108" s="42">
        <v>0.34133663235583905</v>
      </c>
      <c r="V108" s="42" t="e">
        <v>#N/A</v>
      </c>
      <c r="W108" s="42" t="str">
        <v/>
      </c>
      <c r="Z108" s="42">
        <v>103</v>
      </c>
      <c r="AA108" s="42">
        <v>2</v>
      </c>
      <c r="AB108" s="42">
        <v>1.535999999999999E-2</v>
      </c>
      <c r="AC108" s="42">
        <v>1.535999999999999E-2</v>
      </c>
      <c r="AD108" s="42" t="e">
        <v>#N/A</v>
      </c>
      <c r="AE108" s="42" t="e">
        <v>#N/A</v>
      </c>
      <c r="AF108" s="42" t="str">
        <v/>
      </c>
      <c r="AI108" s="42">
        <v>103</v>
      </c>
      <c r="AJ108" s="42">
        <v>5</v>
      </c>
      <c r="AK108" s="54">
        <v>3.6089408863096716E-2</v>
      </c>
      <c r="AL108" s="54" t="e">
        <v>#N/A</v>
      </c>
      <c r="AM108" s="54" t="e">
        <v>#N/A</v>
      </c>
      <c r="AN108" s="54">
        <v>3.6089408863096716E-2</v>
      </c>
      <c r="AO108" s="54" t="str">
        <v/>
      </c>
    </row>
    <row r="109" spans="18:41" x14ac:dyDescent="0.2">
      <c r="R109" s="42">
        <v>104</v>
      </c>
      <c r="S109" s="42">
        <v>39.326908500785862</v>
      </c>
      <c r="T109" s="42">
        <v>0.34599459138117061</v>
      </c>
      <c r="U109" s="42">
        <v>0.34599459138117061</v>
      </c>
      <c r="V109" s="42" t="e">
        <v>#N/A</v>
      </c>
      <c r="W109" s="42" t="str">
        <v/>
      </c>
      <c r="Z109" s="42">
        <v>104</v>
      </c>
      <c r="AA109" s="42">
        <v>2</v>
      </c>
      <c r="AB109" s="42">
        <v>1.535999999999999E-2</v>
      </c>
      <c r="AC109" s="42">
        <v>1.535999999999999E-2</v>
      </c>
      <c r="AD109" s="42" t="e">
        <v>#N/A</v>
      </c>
      <c r="AE109" s="42" t="e">
        <v>#N/A</v>
      </c>
      <c r="AF109" s="42" t="str">
        <v/>
      </c>
      <c r="AI109" s="42">
        <v>104</v>
      </c>
      <c r="AJ109" s="42">
        <v>5</v>
      </c>
      <c r="AK109" s="54">
        <v>3.6089408863096716E-2</v>
      </c>
      <c r="AL109" s="54" t="e">
        <v>#N/A</v>
      </c>
      <c r="AM109" s="54" t="e">
        <v>#N/A</v>
      </c>
      <c r="AN109" s="54">
        <v>3.6089408863096716E-2</v>
      </c>
      <c r="AO109" s="54" t="str">
        <v/>
      </c>
    </row>
    <row r="110" spans="18:41" x14ac:dyDescent="0.2">
      <c r="R110" s="42">
        <v>105</v>
      </c>
      <c r="S110" s="42">
        <v>39.823331361214429</v>
      </c>
      <c r="T110" s="42">
        <v>0.35050010815494687</v>
      </c>
      <c r="U110" s="42">
        <v>0.35050010815494687</v>
      </c>
      <c r="V110" s="42" t="e">
        <v>#N/A</v>
      </c>
      <c r="W110" s="42" t="str">
        <v/>
      </c>
      <c r="Z110" s="42">
        <v>105</v>
      </c>
      <c r="AA110" s="42">
        <v>2</v>
      </c>
      <c r="AB110" s="42">
        <v>1.535999999999999E-2</v>
      </c>
      <c r="AC110" s="42">
        <v>1.535999999999999E-2</v>
      </c>
      <c r="AD110" s="42" t="e">
        <v>#N/A</v>
      </c>
      <c r="AE110" s="42" t="e">
        <v>#N/A</v>
      </c>
      <c r="AF110" s="42" t="str">
        <v/>
      </c>
      <c r="AI110" s="42">
        <v>105</v>
      </c>
      <c r="AJ110" s="42">
        <v>5</v>
      </c>
      <c r="AK110" s="54">
        <v>3.6089408863096716E-2</v>
      </c>
      <c r="AL110" s="54" t="e">
        <v>#N/A</v>
      </c>
      <c r="AM110" s="54" t="e">
        <v>#N/A</v>
      </c>
      <c r="AN110" s="54">
        <v>3.6089408863096716E-2</v>
      </c>
      <c r="AO110" s="54" t="str">
        <v/>
      </c>
    </row>
    <row r="111" spans="18:41" x14ac:dyDescent="0.2">
      <c r="R111" s="42">
        <v>106</v>
      </c>
      <c r="S111" s="42">
        <v>40.319754221642995</v>
      </c>
      <c r="T111" s="42">
        <v>0.35484561155982908</v>
      </c>
      <c r="U111" s="42">
        <v>0.35484561155982908</v>
      </c>
      <c r="V111" s="42" t="e">
        <v>#N/A</v>
      </c>
      <c r="W111" s="42" t="str">
        <v/>
      </c>
      <c r="Z111" s="42">
        <v>106</v>
      </c>
      <c r="AA111" s="42" t="e">
        <v>#N/A</v>
      </c>
      <c r="AB111" s="42" t="e">
        <v>#N/A</v>
      </c>
      <c r="AC111" s="42" t="e">
        <v>#N/A</v>
      </c>
      <c r="AD111" s="42" t="e">
        <v>#N/A</v>
      </c>
      <c r="AE111" s="42" t="e">
        <v>#N/A</v>
      </c>
      <c r="AF111" s="42" t="str">
        <v/>
      </c>
      <c r="AI111" s="42">
        <v>106</v>
      </c>
      <c r="AJ111" s="42">
        <v>5</v>
      </c>
      <c r="AK111" s="54">
        <v>3.6089408863096716E-2</v>
      </c>
      <c r="AL111" s="54" t="e">
        <v>#N/A</v>
      </c>
      <c r="AM111" s="54" t="e">
        <v>#N/A</v>
      </c>
      <c r="AN111" s="54">
        <v>3.6089408863096716E-2</v>
      </c>
      <c r="AO111" s="54" t="str">
        <v/>
      </c>
    </row>
    <row r="112" spans="18:41" x14ac:dyDescent="0.2">
      <c r="R112" s="42">
        <v>107</v>
      </c>
      <c r="S112" s="42">
        <v>40.816177082071562</v>
      </c>
      <c r="T112" s="42">
        <v>0.35902373178087493</v>
      </c>
      <c r="U112" s="42">
        <v>0.35902373178087493</v>
      </c>
      <c r="V112" s="42" t="e">
        <v>#N/A</v>
      </c>
      <c r="W112" s="42" t="str">
        <v/>
      </c>
      <c r="Z112" s="42">
        <v>107</v>
      </c>
      <c r="AA112" s="42">
        <v>3</v>
      </c>
      <c r="AB112" s="42">
        <v>8.1919999999999951E-2</v>
      </c>
      <c r="AC112" s="42">
        <v>8.1919999999999951E-2</v>
      </c>
      <c r="AD112" s="42" t="e">
        <v>#N/A</v>
      </c>
      <c r="AE112" s="42" t="e">
        <v>#N/A</v>
      </c>
      <c r="AF112" s="42" t="str">
        <v/>
      </c>
      <c r="AI112" s="42">
        <v>107</v>
      </c>
      <c r="AJ112" s="42">
        <v>5</v>
      </c>
      <c r="AK112" s="54">
        <v>3.6089408863096716E-2</v>
      </c>
      <c r="AL112" s="54" t="e">
        <v>#N/A</v>
      </c>
      <c r="AM112" s="54" t="e">
        <v>#N/A</v>
      </c>
      <c r="AN112" s="54">
        <v>3.6089408863096716E-2</v>
      </c>
      <c r="AO112" s="54" t="str">
        <v/>
      </c>
    </row>
    <row r="113" spans="18:41" x14ac:dyDescent="0.2">
      <c r="R113" s="42">
        <v>108</v>
      </c>
      <c r="S113" s="42">
        <v>41.312599942500128</v>
      </c>
      <c r="T113" s="42">
        <v>0.36302732106651397</v>
      </c>
      <c r="U113" s="42">
        <v>0.36302732106651397</v>
      </c>
      <c r="V113" s="42" t="e">
        <v>#N/A</v>
      </c>
      <c r="W113" s="42" t="str">
        <v/>
      </c>
      <c r="Z113" s="42">
        <v>108</v>
      </c>
      <c r="AA113" s="42">
        <v>3</v>
      </c>
      <c r="AB113" s="42">
        <v>8.1919999999999951E-2</v>
      </c>
      <c r="AC113" s="42">
        <v>8.1919999999999951E-2</v>
      </c>
      <c r="AD113" s="42" t="e">
        <v>#N/A</v>
      </c>
      <c r="AE113" s="42" t="e">
        <v>#N/A</v>
      </c>
      <c r="AF113" s="42" t="str">
        <v/>
      </c>
      <c r="AI113" s="42">
        <v>108</v>
      </c>
      <c r="AJ113" s="42">
        <v>5</v>
      </c>
      <c r="AK113" s="54">
        <v>3.6089408863096716E-2</v>
      </c>
      <c r="AL113" s="54" t="e">
        <v>#N/A</v>
      </c>
      <c r="AM113" s="54" t="e">
        <v>#N/A</v>
      </c>
      <c r="AN113" s="54">
        <v>3.6089408863096716E-2</v>
      </c>
      <c r="AO113" s="54" t="str">
        <v/>
      </c>
    </row>
    <row r="114" spans="18:41" x14ac:dyDescent="0.2">
      <c r="R114" s="42">
        <v>109</v>
      </c>
      <c r="S114" s="42">
        <v>41.809022802928688</v>
      </c>
      <c r="T114" s="42">
        <v>0.36684947405258844</v>
      </c>
      <c r="U114" s="42">
        <v>0.36684947405258844</v>
      </c>
      <c r="V114" s="42" t="e">
        <v>#N/A</v>
      </c>
      <c r="W114" s="42" t="str">
        <v/>
      </c>
      <c r="Z114" s="42">
        <v>109</v>
      </c>
      <c r="AA114" s="42">
        <v>3</v>
      </c>
      <c r="AB114" s="42">
        <v>8.1919999999999951E-2</v>
      </c>
      <c r="AC114" s="42">
        <v>8.1919999999999951E-2</v>
      </c>
      <c r="AD114" s="42" t="e">
        <v>#N/A</v>
      </c>
      <c r="AE114" s="42" t="e">
        <v>#N/A</v>
      </c>
      <c r="AF114" s="42" t="str">
        <v/>
      </c>
      <c r="AI114" s="42">
        <v>109</v>
      </c>
      <c r="AJ114" s="42">
        <v>5</v>
      </c>
      <c r="AK114" s="54">
        <v>3.6089408863096716E-2</v>
      </c>
      <c r="AL114" s="54" t="e">
        <v>#N/A</v>
      </c>
      <c r="AM114" s="54" t="e">
        <v>#N/A</v>
      </c>
      <c r="AN114" s="54">
        <v>3.6089408863096716E-2</v>
      </c>
      <c r="AO114" s="54" t="str">
        <v/>
      </c>
    </row>
    <row r="115" spans="18:41" x14ac:dyDescent="0.2">
      <c r="R115" s="42">
        <v>110</v>
      </c>
      <c r="S115" s="42">
        <v>42.305445663357254</v>
      </c>
      <c r="T115" s="42">
        <v>0.37048354756879887</v>
      </c>
      <c r="U115" s="42">
        <v>0.37048354756879887</v>
      </c>
      <c r="V115" s="42" t="e">
        <v>#N/A</v>
      </c>
      <c r="W115" s="42" t="str">
        <v/>
      </c>
      <c r="Z115" s="42">
        <v>110</v>
      </c>
      <c r="AA115" s="42">
        <v>3</v>
      </c>
      <c r="AB115" s="42">
        <v>8.1919999999999951E-2</v>
      </c>
      <c r="AC115" s="42">
        <v>8.1919999999999951E-2</v>
      </c>
      <c r="AD115" s="42" t="e">
        <v>#N/A</v>
      </c>
      <c r="AE115" s="42" t="e">
        <v>#N/A</v>
      </c>
      <c r="AF115" s="42" t="str">
        <v/>
      </c>
      <c r="AI115" s="42">
        <v>110</v>
      </c>
      <c r="AJ115" s="42">
        <v>5</v>
      </c>
      <c r="AK115" s="54">
        <v>3.6089408863096716E-2</v>
      </c>
      <c r="AL115" s="54" t="e">
        <v>#N/A</v>
      </c>
      <c r="AM115" s="54" t="e">
        <v>#N/A</v>
      </c>
      <c r="AN115" s="54">
        <v>3.6089408863096716E-2</v>
      </c>
      <c r="AO115" s="54" t="str">
        <v/>
      </c>
    </row>
    <row r="116" spans="18:41" x14ac:dyDescent="0.2">
      <c r="R116" s="42">
        <v>111</v>
      </c>
      <c r="S116" s="42">
        <v>42.801868523785814</v>
      </c>
      <c r="T116" s="42">
        <v>0.37392317984820889</v>
      </c>
      <c r="U116" s="42">
        <v>0.37392317984820889</v>
      </c>
      <c r="V116" s="42" t="e">
        <v>#N/A</v>
      </c>
      <c r="W116" s="42" t="str">
        <v/>
      </c>
      <c r="Z116" s="42">
        <v>111</v>
      </c>
      <c r="AA116" s="42">
        <v>3</v>
      </c>
      <c r="AB116" s="42">
        <v>8.1919999999999951E-2</v>
      </c>
      <c r="AC116" s="42">
        <v>8.1919999999999951E-2</v>
      </c>
      <c r="AD116" s="42" t="e">
        <v>#N/A</v>
      </c>
      <c r="AE116" s="42" t="e">
        <v>#N/A</v>
      </c>
      <c r="AF116" s="42" t="str">
        <v/>
      </c>
      <c r="AI116" s="42">
        <v>111</v>
      </c>
      <c r="AJ116" s="42">
        <v>5</v>
      </c>
      <c r="AK116" s="54">
        <v>3.6089408863096716E-2</v>
      </c>
      <c r="AL116" s="54" t="e">
        <v>#N/A</v>
      </c>
      <c r="AM116" s="54" t="e">
        <v>#N/A</v>
      </c>
      <c r="AN116" s="54">
        <v>3.6089408863096716E-2</v>
      </c>
      <c r="AO116" s="54">
        <v>5</v>
      </c>
    </row>
    <row r="117" spans="18:41" x14ac:dyDescent="0.2">
      <c r="R117" s="42">
        <v>112</v>
      </c>
      <c r="S117" s="42">
        <v>43.29829138421438</v>
      </c>
      <c r="T117" s="42">
        <v>0.37716230906219395</v>
      </c>
      <c r="U117" s="42">
        <v>0.37716230906219395</v>
      </c>
      <c r="V117" s="42" t="e">
        <v>#N/A</v>
      </c>
      <c r="W117" s="42" t="str">
        <v/>
      </c>
      <c r="Z117" s="42">
        <v>112</v>
      </c>
      <c r="AA117" s="42">
        <v>3</v>
      </c>
      <c r="AB117" s="42">
        <v>8.1919999999999951E-2</v>
      </c>
      <c r="AC117" s="42">
        <v>8.1919999999999951E-2</v>
      </c>
      <c r="AD117" s="42" t="e">
        <v>#N/A</v>
      </c>
      <c r="AE117" s="42" t="e">
        <v>#N/A</v>
      </c>
      <c r="AF117" s="42" t="str">
        <v/>
      </c>
      <c r="AI117" s="42">
        <v>112</v>
      </c>
      <c r="AJ117" s="42">
        <v>5</v>
      </c>
      <c r="AK117" s="54">
        <v>3.6089408863096716E-2</v>
      </c>
      <c r="AL117" s="54" t="e">
        <v>#N/A</v>
      </c>
      <c r="AM117" s="54" t="e">
        <v>#N/A</v>
      </c>
      <c r="AN117" s="54">
        <v>3.6089408863096716E-2</v>
      </c>
      <c r="AO117" s="54" t="str">
        <v/>
      </c>
    </row>
    <row r="118" spans="18:41" x14ac:dyDescent="0.2">
      <c r="R118" s="42">
        <v>113</v>
      </c>
      <c r="S118" s="42">
        <v>43.794714244642947</v>
      </c>
      <c r="T118" s="42">
        <v>0.38019519110534461</v>
      </c>
      <c r="U118" s="42">
        <v>0.38019519110534461</v>
      </c>
      <c r="V118" s="42" t="e">
        <v>#N/A</v>
      </c>
      <c r="W118" s="42" t="str">
        <v/>
      </c>
      <c r="Z118" s="42">
        <v>113</v>
      </c>
      <c r="AA118" s="42">
        <v>3</v>
      </c>
      <c r="AB118" s="42">
        <v>8.1919999999999951E-2</v>
      </c>
      <c r="AC118" s="42">
        <v>8.1919999999999951E-2</v>
      </c>
      <c r="AD118" s="42" t="e">
        <v>#N/A</v>
      </c>
      <c r="AE118" s="42" t="e">
        <v>#N/A</v>
      </c>
      <c r="AF118" s="42" t="str">
        <v/>
      </c>
      <c r="AI118" s="42">
        <v>113</v>
      </c>
      <c r="AJ118" s="42">
        <v>5</v>
      </c>
      <c r="AK118" s="54">
        <v>3.6089408863096716E-2</v>
      </c>
      <c r="AL118" s="54" t="e">
        <v>#N/A</v>
      </c>
      <c r="AM118" s="54" t="e">
        <v>#N/A</v>
      </c>
      <c r="AN118" s="54">
        <v>3.6089408863096716E-2</v>
      </c>
      <c r="AO118" s="54" t="str">
        <v/>
      </c>
    </row>
    <row r="119" spans="18:41" x14ac:dyDescent="0.2">
      <c r="R119" s="42">
        <v>114</v>
      </c>
      <c r="S119" s="42">
        <v>44.291137105071506</v>
      </c>
      <c r="T119" s="42">
        <v>0.38301641655736096</v>
      </c>
      <c r="U119" s="42">
        <v>0.38301641655736096</v>
      </c>
      <c r="V119" s="42" t="e">
        <v>#N/A</v>
      </c>
      <c r="W119" s="42" t="str">
        <v/>
      </c>
      <c r="Z119" s="42">
        <v>114</v>
      </c>
      <c r="AA119" s="42">
        <v>3</v>
      </c>
      <c r="AB119" s="42">
        <v>8.1919999999999951E-2</v>
      </c>
      <c r="AC119" s="42">
        <v>8.1919999999999951E-2</v>
      </c>
      <c r="AD119" s="42" t="e">
        <v>#N/A</v>
      </c>
      <c r="AE119" s="42" t="e">
        <v>#N/A</v>
      </c>
      <c r="AF119" s="42" t="str">
        <v/>
      </c>
      <c r="AI119" s="42">
        <v>114</v>
      </c>
      <c r="AJ119" s="42">
        <v>5</v>
      </c>
      <c r="AK119" s="54">
        <v>3.6089408863096716E-2</v>
      </c>
      <c r="AL119" s="54" t="e">
        <v>#N/A</v>
      </c>
      <c r="AM119" s="54" t="e">
        <v>#N/A</v>
      </c>
      <c r="AN119" s="54">
        <v>3.6089408863096716E-2</v>
      </c>
      <c r="AO119" s="54" t="str">
        <v/>
      </c>
    </row>
    <row r="120" spans="18:41" x14ac:dyDescent="0.2">
      <c r="R120" s="42">
        <v>115</v>
      </c>
      <c r="S120" s="42">
        <v>44.787559965500073</v>
      </c>
      <c r="T120" s="42">
        <v>0.38562092675188125</v>
      </c>
      <c r="U120" s="42">
        <v>0.38562092675188125</v>
      </c>
      <c r="V120" s="42" t="e">
        <v>#N/A</v>
      </c>
      <c r="W120" s="42" t="str">
        <v/>
      </c>
      <c r="Z120" s="42">
        <v>115</v>
      </c>
      <c r="AA120" s="42">
        <v>3</v>
      </c>
      <c r="AB120" s="42">
        <v>8.1919999999999951E-2</v>
      </c>
      <c r="AC120" s="42">
        <v>8.1919999999999951E-2</v>
      </c>
      <c r="AD120" s="42" t="e">
        <v>#N/A</v>
      </c>
      <c r="AE120" s="42" t="e">
        <v>#N/A</v>
      </c>
      <c r="AF120" s="42" t="str">
        <v/>
      </c>
      <c r="AI120" s="42">
        <v>115</v>
      </c>
      <c r="AJ120" s="42">
        <v>5</v>
      </c>
      <c r="AK120" s="54">
        <v>3.6089408863096716E-2</v>
      </c>
      <c r="AL120" s="54" t="e">
        <v>#N/A</v>
      </c>
      <c r="AM120" s="54" t="e">
        <v>#N/A</v>
      </c>
      <c r="AN120" s="54">
        <v>3.6089408863096716E-2</v>
      </c>
      <c r="AO120" s="54" t="str">
        <v/>
      </c>
    </row>
    <row r="121" spans="18:41" x14ac:dyDescent="0.2">
      <c r="R121" s="42">
        <v>116</v>
      </c>
      <c r="S121" s="42">
        <v>45.283982825928639</v>
      </c>
      <c r="T121" s="42">
        <v>0.38800402888546742</v>
      </c>
      <c r="U121" s="42">
        <v>0.38800402888546742</v>
      </c>
      <c r="V121" s="42" t="e">
        <v>#N/A</v>
      </c>
      <c r="W121" s="42" t="str">
        <v/>
      </c>
      <c r="Z121" s="42">
        <v>116</v>
      </c>
      <c r="AA121" s="42">
        <v>3</v>
      </c>
      <c r="AB121" s="42">
        <v>8.1919999999999951E-2</v>
      </c>
      <c r="AC121" s="42">
        <v>8.1919999999999951E-2</v>
      </c>
      <c r="AD121" s="42" t="e">
        <v>#N/A</v>
      </c>
      <c r="AE121" s="42" t="e">
        <v>#N/A</v>
      </c>
      <c r="AF121" s="42" t="str">
        <v/>
      </c>
      <c r="AI121" s="42">
        <v>116</v>
      </c>
      <c r="AJ121" s="42">
        <v>5</v>
      </c>
      <c r="AK121" s="54">
        <v>3.6089408863096716E-2</v>
      </c>
      <c r="AL121" s="54" t="e">
        <v>#N/A</v>
      </c>
      <c r="AM121" s="54" t="e">
        <v>#N/A</v>
      </c>
      <c r="AN121" s="54">
        <v>3.6089408863096716E-2</v>
      </c>
      <c r="AO121" s="54" t="str">
        <v/>
      </c>
    </row>
    <row r="122" spans="18:41" x14ac:dyDescent="0.2">
      <c r="R122" s="42">
        <v>117</v>
      </c>
      <c r="S122" s="42">
        <v>45.780405686357206</v>
      </c>
      <c r="T122" s="42">
        <v>0.39016141010360739</v>
      </c>
      <c r="U122" s="42">
        <v>0.39016141010360739</v>
      </c>
      <c r="V122" s="42" t="e">
        <v>#N/A</v>
      </c>
      <c r="W122" s="42" t="str">
        <v/>
      </c>
      <c r="Z122" s="42">
        <v>117</v>
      </c>
      <c r="AA122" s="42">
        <v>3</v>
      </c>
      <c r="AB122" s="42">
        <v>8.1919999999999951E-2</v>
      </c>
      <c r="AC122" s="42">
        <v>8.1919999999999951E-2</v>
      </c>
      <c r="AD122" s="42" t="e">
        <v>#N/A</v>
      </c>
      <c r="AE122" s="42" t="e">
        <v>#N/A</v>
      </c>
      <c r="AF122" s="42" t="str">
        <v/>
      </c>
      <c r="AI122" s="42">
        <v>117</v>
      </c>
      <c r="AJ122" s="42">
        <v>5</v>
      </c>
      <c r="AK122" s="54">
        <v>3.6089408863096716E-2</v>
      </c>
      <c r="AL122" s="54" t="e">
        <v>#N/A</v>
      </c>
      <c r="AM122" s="54" t="e">
        <v>#N/A</v>
      </c>
      <c r="AN122" s="54">
        <v>3.6089408863096716E-2</v>
      </c>
      <c r="AO122" s="54" t="str">
        <v/>
      </c>
    </row>
    <row r="123" spans="18:41" x14ac:dyDescent="0.2">
      <c r="R123" s="42">
        <v>118</v>
      </c>
      <c r="S123" s="42">
        <v>46.276828546785772</v>
      </c>
      <c r="T123" s="42">
        <v>0.39208915050456949</v>
      </c>
      <c r="U123" s="42">
        <v>0.39208915050456949</v>
      </c>
      <c r="V123" s="42" t="e">
        <v>#N/A</v>
      </c>
      <c r="W123" s="42" t="str">
        <v/>
      </c>
      <c r="Z123" s="42">
        <v>118</v>
      </c>
      <c r="AA123" s="42">
        <v>3</v>
      </c>
      <c r="AB123" s="42">
        <v>8.1919999999999951E-2</v>
      </c>
      <c r="AC123" s="42">
        <v>8.1919999999999951E-2</v>
      </c>
      <c r="AD123" s="42" t="e">
        <v>#N/A</v>
      </c>
      <c r="AE123" s="42" t="e">
        <v>#N/A</v>
      </c>
      <c r="AF123" s="42" t="str">
        <v/>
      </c>
      <c r="AI123" s="42">
        <v>118</v>
      </c>
      <c r="AJ123" s="42">
        <v>5</v>
      </c>
      <c r="AK123" s="54">
        <v>3.6089408863096716E-2</v>
      </c>
      <c r="AL123" s="54" t="e">
        <v>#N/A</v>
      </c>
      <c r="AM123" s="54" t="e">
        <v>#N/A</v>
      </c>
      <c r="AN123" s="54">
        <v>3.6089408863096716E-2</v>
      </c>
      <c r="AO123" s="54" t="str">
        <v/>
      </c>
    </row>
    <row r="124" spans="18:41" x14ac:dyDescent="0.2">
      <c r="R124" s="42">
        <v>119</v>
      </c>
      <c r="S124" s="42">
        <v>46.773251407214332</v>
      </c>
      <c r="T124" s="42">
        <v>0.39378373500623565</v>
      </c>
      <c r="U124" s="42">
        <v>0.39378373500623565</v>
      </c>
      <c r="V124" s="42" t="e">
        <v>#N/A</v>
      </c>
      <c r="W124" s="42" t="str">
        <v/>
      </c>
      <c r="Z124" s="42">
        <v>119</v>
      </c>
      <c r="AA124" s="42">
        <v>3</v>
      </c>
      <c r="AB124" s="42">
        <v>8.1919999999999951E-2</v>
      </c>
      <c r="AC124" s="42">
        <v>8.1919999999999951E-2</v>
      </c>
      <c r="AD124" s="42" t="e">
        <v>#N/A</v>
      </c>
      <c r="AE124" s="42" t="e">
        <v>#N/A</v>
      </c>
      <c r="AF124" s="42" t="str">
        <v/>
      </c>
      <c r="AI124" s="42">
        <v>119</v>
      </c>
      <c r="AJ124" s="42">
        <v>5</v>
      </c>
      <c r="AK124" s="54">
        <v>3.6089408863096716E-2</v>
      </c>
      <c r="AL124" s="54" t="e">
        <v>#N/A</v>
      </c>
      <c r="AM124" s="54" t="e">
        <v>#N/A</v>
      </c>
      <c r="AN124" s="54">
        <v>3.6089408863096716E-2</v>
      </c>
      <c r="AO124" s="54" t="str">
        <v/>
      </c>
    </row>
    <row r="125" spans="18:41" x14ac:dyDescent="0.2">
      <c r="R125" s="42">
        <v>120</v>
      </c>
      <c r="S125" s="42">
        <v>47.269674267642898</v>
      </c>
      <c r="T125" s="42">
        <v>0.39524206402563766</v>
      </c>
      <c r="U125" s="42">
        <v>0.39524206402563766</v>
      </c>
      <c r="V125" s="42" t="e">
        <v>#N/A</v>
      </c>
      <c r="W125" s="42" t="str">
        <v/>
      </c>
      <c r="Z125" s="42">
        <v>120</v>
      </c>
      <c r="AA125" s="42">
        <v>3</v>
      </c>
      <c r="AB125" s="42">
        <v>8.1919999999999951E-2</v>
      </c>
      <c r="AC125" s="42">
        <v>8.1919999999999951E-2</v>
      </c>
      <c r="AD125" s="42" t="e">
        <v>#N/A</v>
      </c>
      <c r="AE125" s="42" t="e">
        <v>#N/A</v>
      </c>
      <c r="AF125" s="42" t="str">
        <v/>
      </c>
      <c r="AI125" s="42">
        <v>120</v>
      </c>
      <c r="AJ125" s="42">
        <v>5</v>
      </c>
      <c r="AK125" s="54">
        <v>3.6089408863096716E-2</v>
      </c>
      <c r="AL125" s="54" t="e">
        <v>#N/A</v>
      </c>
      <c r="AM125" s="54" t="e">
        <v>#N/A</v>
      </c>
      <c r="AN125" s="54">
        <v>3.6089408863096716E-2</v>
      </c>
      <c r="AO125" s="54" t="str">
        <v/>
      </c>
    </row>
    <row r="126" spans="18:41" x14ac:dyDescent="0.2">
      <c r="R126" s="42">
        <v>121</v>
      </c>
      <c r="S126" s="42">
        <v>47.766097128071458</v>
      </c>
      <c r="T126" s="42">
        <v>0.39646146292578138</v>
      </c>
      <c r="U126" s="42">
        <v>0.39646146292578138</v>
      </c>
      <c r="V126" s="42" t="e">
        <v>#N/A</v>
      </c>
      <c r="W126" s="42" t="str">
        <v/>
      </c>
      <c r="Z126" s="42">
        <v>121</v>
      </c>
      <c r="AA126" s="42">
        <v>3</v>
      </c>
      <c r="AB126" s="42">
        <v>8.1919999999999951E-2</v>
      </c>
      <c r="AC126" s="42">
        <v>8.1919999999999951E-2</v>
      </c>
      <c r="AD126" s="42" t="e">
        <v>#N/A</v>
      </c>
      <c r="AE126" s="42" t="e">
        <v>#N/A</v>
      </c>
      <c r="AF126" s="42" t="str">
        <v/>
      </c>
      <c r="AI126" s="42">
        <v>121</v>
      </c>
      <c r="AJ126" s="42" t="e">
        <v>#N/A</v>
      </c>
      <c r="AK126" s="54" t="e">
        <v>#N/A</v>
      </c>
      <c r="AL126" s="54" t="e">
        <v>#N/A</v>
      </c>
      <c r="AM126" s="54" t="e">
        <v>#N/A</v>
      </c>
      <c r="AN126" s="54" t="e">
        <v>#N/A</v>
      </c>
      <c r="AO126" s="54" t="str">
        <v/>
      </c>
    </row>
    <row r="127" spans="18:41" x14ac:dyDescent="0.2">
      <c r="R127" s="42">
        <v>122</v>
      </c>
      <c r="S127" s="42">
        <v>48.262519988500024</v>
      </c>
      <c r="T127" s="42">
        <v>0.39743969018946163</v>
      </c>
      <c r="U127" s="42">
        <v>0.39743969018946163</v>
      </c>
      <c r="V127" s="42" t="e">
        <v>#N/A</v>
      </c>
      <c r="W127" s="42" t="str">
        <v/>
      </c>
      <c r="Z127" s="42">
        <v>122</v>
      </c>
      <c r="AA127" s="42">
        <v>3</v>
      </c>
      <c r="AB127" s="42">
        <v>8.1919999999999951E-2</v>
      </c>
      <c r="AC127" s="42">
        <v>8.1919999999999951E-2</v>
      </c>
      <c r="AD127" s="42" t="e">
        <v>#N/A</v>
      </c>
      <c r="AE127" s="42" t="e">
        <v>#N/A</v>
      </c>
      <c r="AF127" s="42" t="str">
        <v/>
      </c>
      <c r="AI127" s="42">
        <v>122</v>
      </c>
      <c r="AJ127" s="42">
        <v>6</v>
      </c>
      <c r="AK127" s="54">
        <v>1.2029802954365572E-2</v>
      </c>
      <c r="AL127" s="54" t="e">
        <v>#N/A</v>
      </c>
      <c r="AM127" s="54" t="e">
        <v>#N/A</v>
      </c>
      <c r="AN127" s="54">
        <v>1.2029802954365572E-2</v>
      </c>
      <c r="AO127" s="54" t="str">
        <v/>
      </c>
    </row>
    <row r="128" spans="18:41" x14ac:dyDescent="0.2">
      <c r="R128" s="42">
        <v>123</v>
      </c>
      <c r="S128" s="42">
        <v>48.758942848928591</v>
      </c>
      <c r="T128" s="42">
        <v>0.3981749442851033</v>
      </c>
      <c r="U128" s="42">
        <v>0.3981749442851033</v>
      </c>
      <c r="V128" s="42" t="e">
        <v>#N/A</v>
      </c>
      <c r="W128" s="42" t="str">
        <v/>
      </c>
      <c r="Z128" s="42">
        <v>123</v>
      </c>
      <c r="AA128" s="42">
        <v>3</v>
      </c>
      <c r="AB128" s="42">
        <v>8.1919999999999951E-2</v>
      </c>
      <c r="AC128" s="42">
        <v>8.1919999999999951E-2</v>
      </c>
      <c r="AD128" s="42" t="e">
        <v>#N/A</v>
      </c>
      <c r="AE128" s="42" t="e">
        <v>#N/A</v>
      </c>
      <c r="AF128" s="42" t="str">
        <v/>
      </c>
      <c r="AI128" s="42">
        <v>123</v>
      </c>
      <c r="AJ128" s="42">
        <v>6</v>
      </c>
      <c r="AK128" s="54">
        <v>1.2029802954365572E-2</v>
      </c>
      <c r="AL128" s="54" t="e">
        <v>#N/A</v>
      </c>
      <c r="AM128" s="54" t="e">
        <v>#N/A</v>
      </c>
      <c r="AN128" s="54">
        <v>1.2029802954365572E-2</v>
      </c>
      <c r="AO128" s="54" t="str">
        <v/>
      </c>
    </row>
    <row r="129" spans="18:41" x14ac:dyDescent="0.2">
      <c r="R129" s="42">
        <v>124</v>
      </c>
      <c r="S129" s="42">
        <v>49.25536570935715</v>
      </c>
      <c r="T129" s="42">
        <v>0.39866586919519387</v>
      </c>
      <c r="U129" s="42">
        <v>0.39866586919519387</v>
      </c>
      <c r="V129" s="42" t="e">
        <v>#N/A</v>
      </c>
      <c r="W129" s="42" t="str">
        <v/>
      </c>
      <c r="Z129" s="42">
        <v>124</v>
      </c>
      <c r="AA129" s="42">
        <v>3</v>
      </c>
      <c r="AB129" s="42">
        <v>8.1919999999999951E-2</v>
      </c>
      <c r="AC129" s="42">
        <v>8.1919999999999951E-2</v>
      </c>
      <c r="AD129" s="42" t="e">
        <v>#N/A</v>
      </c>
      <c r="AE129" s="42" t="e">
        <v>#N/A</v>
      </c>
      <c r="AF129" s="42">
        <v>3</v>
      </c>
      <c r="AI129" s="42">
        <v>124</v>
      </c>
      <c r="AJ129" s="42">
        <v>6</v>
      </c>
      <c r="AK129" s="54">
        <v>1.2029802954365572E-2</v>
      </c>
      <c r="AL129" s="54" t="e">
        <v>#N/A</v>
      </c>
      <c r="AM129" s="54" t="e">
        <v>#N/A</v>
      </c>
      <c r="AN129" s="54">
        <v>1.2029802954365572E-2</v>
      </c>
      <c r="AO129" s="54" t="str">
        <v/>
      </c>
    </row>
    <row r="130" spans="18:41" x14ac:dyDescent="0.2">
      <c r="R130" s="42">
        <v>125</v>
      </c>
      <c r="S130" s="42">
        <v>49.751788569785717</v>
      </c>
      <c r="T130" s="42">
        <v>0.39891155858355937</v>
      </c>
      <c r="U130" s="42">
        <v>0.39891155858355937</v>
      </c>
      <c r="V130" s="42" t="e">
        <v>#N/A</v>
      </c>
      <c r="W130" s="42" t="str">
        <v/>
      </c>
      <c r="Z130" s="42">
        <v>125</v>
      </c>
      <c r="AA130" s="42">
        <v>3</v>
      </c>
      <c r="AB130" s="42">
        <v>8.1919999999999951E-2</v>
      </c>
      <c r="AC130" s="42">
        <v>8.1919999999999951E-2</v>
      </c>
      <c r="AD130" s="42" t="e">
        <v>#N/A</v>
      </c>
      <c r="AE130" s="42" t="e">
        <v>#N/A</v>
      </c>
      <c r="AF130" s="42" t="str">
        <v/>
      </c>
      <c r="AI130" s="42">
        <v>125</v>
      </c>
      <c r="AJ130" s="42">
        <v>6</v>
      </c>
      <c r="AK130" s="54">
        <v>1.2029802954365572E-2</v>
      </c>
      <c r="AL130" s="54" t="e">
        <v>#N/A</v>
      </c>
      <c r="AM130" s="54" t="e">
        <v>#N/A</v>
      </c>
      <c r="AN130" s="54">
        <v>1.2029802954365572E-2</v>
      </c>
      <c r="AO130" s="54" t="str">
        <v/>
      </c>
    </row>
    <row r="131" spans="18:41" x14ac:dyDescent="0.2">
      <c r="R131" s="42">
        <v>126</v>
      </c>
      <c r="S131" s="42">
        <v>50.248211430214283</v>
      </c>
      <c r="T131" s="42">
        <v>0.39891155858355937</v>
      </c>
      <c r="U131" s="42">
        <v>0.39891155858355937</v>
      </c>
      <c r="V131" s="42" t="e">
        <v>#N/A</v>
      </c>
      <c r="W131" s="42">
        <v>50.25</v>
      </c>
      <c r="Z131" s="42">
        <v>126</v>
      </c>
      <c r="AA131" s="42">
        <v>3</v>
      </c>
      <c r="AB131" s="42">
        <v>8.1919999999999951E-2</v>
      </c>
      <c r="AC131" s="42">
        <v>8.1919999999999951E-2</v>
      </c>
      <c r="AD131" s="42" t="e">
        <v>#N/A</v>
      </c>
      <c r="AE131" s="42" t="e">
        <v>#N/A</v>
      </c>
      <c r="AF131" s="42" t="str">
        <v/>
      </c>
      <c r="AI131" s="42">
        <v>126</v>
      </c>
      <c r="AJ131" s="42">
        <v>6</v>
      </c>
      <c r="AK131" s="54">
        <v>1.2029802954365572E-2</v>
      </c>
      <c r="AL131" s="54" t="e">
        <v>#N/A</v>
      </c>
      <c r="AM131" s="54" t="e">
        <v>#N/A</v>
      </c>
      <c r="AN131" s="54">
        <v>1.2029802954365572E-2</v>
      </c>
      <c r="AO131" s="54" t="str">
        <v/>
      </c>
    </row>
    <row r="132" spans="18:41" x14ac:dyDescent="0.2">
      <c r="R132" s="42">
        <v>127</v>
      </c>
      <c r="S132" s="42">
        <v>50.744634290642843</v>
      </c>
      <c r="T132" s="42">
        <v>0.39866586919519387</v>
      </c>
      <c r="U132" s="42">
        <v>0.39866586919519387</v>
      </c>
      <c r="V132" s="42" t="e">
        <v>#N/A</v>
      </c>
      <c r="W132" s="42" t="str">
        <v/>
      </c>
      <c r="Z132" s="42">
        <v>127</v>
      </c>
      <c r="AA132" s="42">
        <v>3</v>
      </c>
      <c r="AB132" s="42">
        <v>8.1919999999999951E-2</v>
      </c>
      <c r="AC132" s="42">
        <v>8.1919999999999951E-2</v>
      </c>
      <c r="AD132" s="42" t="e">
        <v>#N/A</v>
      </c>
      <c r="AE132" s="42" t="e">
        <v>#N/A</v>
      </c>
      <c r="AF132" s="42" t="str">
        <v/>
      </c>
      <c r="AI132" s="42">
        <v>127</v>
      </c>
      <c r="AJ132" s="42">
        <v>6</v>
      </c>
      <c r="AK132" s="54">
        <v>1.2029802954365572E-2</v>
      </c>
      <c r="AL132" s="54" t="e">
        <v>#N/A</v>
      </c>
      <c r="AM132" s="54" t="e">
        <v>#N/A</v>
      </c>
      <c r="AN132" s="54">
        <v>1.2029802954365572E-2</v>
      </c>
      <c r="AO132" s="54" t="str">
        <v/>
      </c>
    </row>
    <row r="133" spans="18:41" x14ac:dyDescent="0.2">
      <c r="R133" s="42">
        <v>128</v>
      </c>
      <c r="S133" s="42">
        <v>51.241057151071409</v>
      </c>
      <c r="T133" s="42">
        <v>0.3981749442851033</v>
      </c>
      <c r="U133" s="42">
        <v>0.3981749442851033</v>
      </c>
      <c r="V133" s="42" t="e">
        <v>#N/A</v>
      </c>
      <c r="W133" s="42" t="str">
        <v/>
      </c>
      <c r="Z133" s="42">
        <v>128</v>
      </c>
      <c r="AA133" s="42">
        <v>3</v>
      </c>
      <c r="AB133" s="42">
        <v>8.1919999999999951E-2</v>
      </c>
      <c r="AC133" s="42">
        <v>8.1919999999999951E-2</v>
      </c>
      <c r="AD133" s="42" t="e">
        <v>#N/A</v>
      </c>
      <c r="AE133" s="42" t="e">
        <v>#N/A</v>
      </c>
      <c r="AF133" s="42" t="str">
        <v/>
      </c>
      <c r="AI133" s="42">
        <v>128</v>
      </c>
      <c r="AJ133" s="42">
        <v>6</v>
      </c>
      <c r="AK133" s="54">
        <v>1.2029802954365572E-2</v>
      </c>
      <c r="AL133" s="54" t="e">
        <v>#N/A</v>
      </c>
      <c r="AM133" s="54" t="e">
        <v>#N/A</v>
      </c>
      <c r="AN133" s="54">
        <v>1.2029802954365572E-2</v>
      </c>
      <c r="AO133" s="54" t="str">
        <v/>
      </c>
    </row>
    <row r="134" spans="18:41" x14ac:dyDescent="0.2">
      <c r="R134" s="42">
        <v>129</v>
      </c>
      <c r="S134" s="42">
        <v>51.737480011499969</v>
      </c>
      <c r="T134" s="42">
        <v>0.39743969018946163</v>
      </c>
      <c r="U134" s="42">
        <v>0.39743969018946163</v>
      </c>
      <c r="V134" s="42" t="e">
        <v>#N/A</v>
      </c>
      <c r="W134" s="42" t="str">
        <v/>
      </c>
      <c r="Z134" s="42">
        <v>129</v>
      </c>
      <c r="AA134" s="42">
        <v>3</v>
      </c>
      <c r="AB134" s="42">
        <v>8.1919999999999951E-2</v>
      </c>
      <c r="AC134" s="42">
        <v>8.1919999999999951E-2</v>
      </c>
      <c r="AD134" s="42" t="e">
        <v>#N/A</v>
      </c>
      <c r="AE134" s="42" t="e">
        <v>#N/A</v>
      </c>
      <c r="AF134" s="42" t="str">
        <v/>
      </c>
      <c r="AI134" s="42">
        <v>129</v>
      </c>
      <c r="AJ134" s="42">
        <v>6</v>
      </c>
      <c r="AK134" s="54">
        <v>1.2029802954365572E-2</v>
      </c>
      <c r="AL134" s="54" t="e">
        <v>#N/A</v>
      </c>
      <c r="AM134" s="54" t="e">
        <v>#N/A</v>
      </c>
      <c r="AN134" s="54">
        <v>1.2029802954365572E-2</v>
      </c>
      <c r="AO134" s="54" t="str">
        <v/>
      </c>
    </row>
    <row r="135" spans="18:41" x14ac:dyDescent="0.2">
      <c r="R135" s="42">
        <v>130</v>
      </c>
      <c r="S135" s="42">
        <v>52.233902871928535</v>
      </c>
      <c r="T135" s="42">
        <v>0.39646146292578144</v>
      </c>
      <c r="U135" s="42">
        <v>0.39646146292578144</v>
      </c>
      <c r="V135" s="42" t="e">
        <v>#N/A</v>
      </c>
      <c r="W135" s="42" t="str">
        <v/>
      </c>
      <c r="Z135" s="42">
        <v>130</v>
      </c>
      <c r="AA135" s="42">
        <v>3</v>
      </c>
      <c r="AB135" s="42">
        <v>8.1919999999999951E-2</v>
      </c>
      <c r="AC135" s="42">
        <v>8.1919999999999951E-2</v>
      </c>
      <c r="AD135" s="42" t="e">
        <v>#N/A</v>
      </c>
      <c r="AE135" s="42" t="e">
        <v>#N/A</v>
      </c>
      <c r="AF135" s="42" t="str">
        <v/>
      </c>
      <c r="AI135" s="42">
        <v>130</v>
      </c>
      <c r="AJ135" s="42">
        <v>6</v>
      </c>
      <c r="AK135" s="54">
        <v>1.2029802954365572E-2</v>
      </c>
      <c r="AL135" s="54" t="e">
        <v>#N/A</v>
      </c>
      <c r="AM135" s="54" t="e">
        <v>#N/A</v>
      </c>
      <c r="AN135" s="54">
        <v>1.2029802954365572E-2</v>
      </c>
      <c r="AO135" s="54" t="str">
        <v/>
      </c>
    </row>
    <row r="136" spans="18:41" x14ac:dyDescent="0.2">
      <c r="R136" s="42">
        <v>131</v>
      </c>
      <c r="S136" s="42">
        <v>52.730325732357116</v>
      </c>
      <c r="T136" s="42">
        <v>0.39524206402563761</v>
      </c>
      <c r="U136" s="42">
        <v>0.39524206402563761</v>
      </c>
      <c r="V136" s="42" t="e">
        <v>#N/A</v>
      </c>
      <c r="W136" s="42" t="str">
        <v/>
      </c>
      <c r="Z136" s="42">
        <v>131</v>
      </c>
      <c r="AA136" s="42">
        <v>3</v>
      </c>
      <c r="AB136" s="42">
        <v>8.1919999999999951E-2</v>
      </c>
      <c r="AC136" s="42">
        <v>8.1919999999999951E-2</v>
      </c>
      <c r="AD136" s="42" t="e">
        <v>#N/A</v>
      </c>
      <c r="AE136" s="42" t="e">
        <v>#N/A</v>
      </c>
      <c r="AF136" s="42" t="str">
        <v/>
      </c>
      <c r="AI136" s="42">
        <v>131</v>
      </c>
      <c r="AJ136" s="42">
        <v>6</v>
      </c>
      <c r="AK136" s="54">
        <v>1.2029802954365572E-2</v>
      </c>
      <c r="AL136" s="54" t="e">
        <v>#N/A</v>
      </c>
      <c r="AM136" s="54" t="e">
        <v>#N/A</v>
      </c>
      <c r="AN136" s="54">
        <v>1.2029802954365572E-2</v>
      </c>
      <c r="AO136" s="54">
        <v>6</v>
      </c>
    </row>
    <row r="137" spans="18:41" x14ac:dyDescent="0.2">
      <c r="R137" s="42">
        <v>132</v>
      </c>
      <c r="S137" s="42">
        <v>53.226748592785668</v>
      </c>
      <c r="T137" s="42">
        <v>0.39378373500623565</v>
      </c>
      <c r="U137" s="42">
        <v>0.39378373500623565</v>
      </c>
      <c r="V137" s="42" t="e">
        <v>#N/A</v>
      </c>
      <c r="W137" s="42" t="str">
        <v/>
      </c>
      <c r="Z137" s="42">
        <v>132</v>
      </c>
      <c r="AA137" s="42">
        <v>3</v>
      </c>
      <c r="AB137" s="42">
        <v>8.1919999999999951E-2</v>
      </c>
      <c r="AC137" s="42">
        <v>8.1919999999999951E-2</v>
      </c>
      <c r="AD137" s="42" t="e">
        <v>#N/A</v>
      </c>
      <c r="AE137" s="42" t="e">
        <v>#N/A</v>
      </c>
      <c r="AF137" s="42" t="str">
        <v/>
      </c>
      <c r="AI137" s="42">
        <v>132</v>
      </c>
      <c r="AJ137" s="42">
        <v>6</v>
      </c>
      <c r="AK137" s="54">
        <v>1.2029802954365572E-2</v>
      </c>
      <c r="AL137" s="54" t="e">
        <v>#N/A</v>
      </c>
      <c r="AM137" s="54" t="e">
        <v>#N/A</v>
      </c>
      <c r="AN137" s="54">
        <v>1.2029802954365572E-2</v>
      </c>
      <c r="AO137" s="54" t="str">
        <v/>
      </c>
    </row>
    <row r="138" spans="18:41" x14ac:dyDescent="0.2">
      <c r="R138" s="42">
        <v>133</v>
      </c>
      <c r="S138" s="42">
        <v>53.723171453214235</v>
      </c>
      <c r="T138" s="42">
        <v>0.39208915050456949</v>
      </c>
      <c r="U138" s="42">
        <v>0.39208915050456949</v>
      </c>
      <c r="V138" s="42" t="e">
        <v>#N/A</v>
      </c>
      <c r="W138" s="42" t="str">
        <v/>
      </c>
      <c r="Z138" s="42">
        <v>133</v>
      </c>
      <c r="AA138" s="42">
        <v>3</v>
      </c>
      <c r="AB138" s="42">
        <v>8.1919999999999951E-2</v>
      </c>
      <c r="AC138" s="42">
        <v>8.1919999999999951E-2</v>
      </c>
      <c r="AD138" s="42" t="e">
        <v>#N/A</v>
      </c>
      <c r="AE138" s="42" t="e">
        <v>#N/A</v>
      </c>
      <c r="AF138" s="42" t="str">
        <v/>
      </c>
      <c r="AI138" s="42">
        <v>133</v>
      </c>
      <c r="AJ138" s="42">
        <v>6</v>
      </c>
      <c r="AK138" s="54">
        <v>1.2029802954365572E-2</v>
      </c>
      <c r="AL138" s="54" t="e">
        <v>#N/A</v>
      </c>
      <c r="AM138" s="54" t="e">
        <v>#N/A</v>
      </c>
      <c r="AN138" s="54">
        <v>1.2029802954365572E-2</v>
      </c>
      <c r="AO138" s="54" t="str">
        <v/>
      </c>
    </row>
    <row r="139" spans="18:41" x14ac:dyDescent="0.2">
      <c r="R139" s="42">
        <v>134</v>
      </c>
      <c r="S139" s="42">
        <v>54.219594313642801</v>
      </c>
      <c r="T139" s="42">
        <v>0.39016141010360739</v>
      </c>
      <c r="U139" s="42">
        <v>0.39016141010360739</v>
      </c>
      <c r="V139" s="42" t="e">
        <v>#N/A</v>
      </c>
      <c r="W139" s="42" t="str">
        <v/>
      </c>
      <c r="Z139" s="42">
        <v>134</v>
      </c>
      <c r="AA139" s="42">
        <v>3</v>
      </c>
      <c r="AB139" s="42">
        <v>8.1919999999999951E-2</v>
      </c>
      <c r="AC139" s="42">
        <v>8.1919999999999951E-2</v>
      </c>
      <c r="AD139" s="42" t="e">
        <v>#N/A</v>
      </c>
      <c r="AE139" s="42" t="e">
        <v>#N/A</v>
      </c>
      <c r="AF139" s="42" t="str">
        <v/>
      </c>
      <c r="AI139" s="42">
        <v>134</v>
      </c>
      <c r="AJ139" s="42">
        <v>6</v>
      </c>
      <c r="AK139" s="54">
        <v>1.2029802954365572E-2</v>
      </c>
      <c r="AL139" s="54" t="e">
        <v>#N/A</v>
      </c>
      <c r="AM139" s="54" t="e">
        <v>#N/A</v>
      </c>
      <c r="AN139" s="54">
        <v>1.2029802954365572E-2</v>
      </c>
      <c r="AO139" s="54" t="str">
        <v/>
      </c>
    </row>
    <row r="140" spans="18:41" x14ac:dyDescent="0.2">
      <c r="R140" s="42">
        <v>135</v>
      </c>
      <c r="S140" s="42">
        <v>54.716017174071368</v>
      </c>
      <c r="T140" s="42">
        <v>0.38800402888546737</v>
      </c>
      <c r="U140" s="42">
        <v>0.38800402888546737</v>
      </c>
      <c r="V140" s="42" t="e">
        <v>#N/A</v>
      </c>
      <c r="W140" s="42" t="str">
        <v/>
      </c>
      <c r="Z140" s="42">
        <v>135</v>
      </c>
      <c r="AA140" s="42">
        <v>3</v>
      </c>
      <c r="AB140" s="42">
        <v>8.1919999999999951E-2</v>
      </c>
      <c r="AC140" s="42">
        <v>8.1919999999999951E-2</v>
      </c>
      <c r="AD140" s="42" t="e">
        <v>#N/A</v>
      </c>
      <c r="AE140" s="42" t="e">
        <v>#N/A</v>
      </c>
      <c r="AF140" s="42" t="str">
        <v/>
      </c>
      <c r="AI140" s="42">
        <v>135</v>
      </c>
      <c r="AJ140" s="42">
        <v>6</v>
      </c>
      <c r="AK140" s="54">
        <v>1.2029802954365572E-2</v>
      </c>
      <c r="AL140" s="54" t="e">
        <v>#N/A</v>
      </c>
      <c r="AM140" s="54" t="e">
        <v>#N/A</v>
      </c>
      <c r="AN140" s="54">
        <v>1.2029802954365572E-2</v>
      </c>
      <c r="AO140" s="54" t="str">
        <v/>
      </c>
    </row>
    <row r="141" spans="18:41" x14ac:dyDescent="0.2">
      <c r="R141" s="42">
        <v>136</v>
      </c>
      <c r="S141" s="42">
        <v>55.21244003449992</v>
      </c>
      <c r="T141" s="42">
        <v>0.38562092675188131</v>
      </c>
      <c r="U141" s="42">
        <v>0.38562092675188131</v>
      </c>
      <c r="V141" s="42" t="e">
        <v>#N/A</v>
      </c>
      <c r="W141" s="42" t="str">
        <v/>
      </c>
      <c r="Z141" s="42">
        <v>136</v>
      </c>
      <c r="AA141" s="42">
        <v>3</v>
      </c>
      <c r="AB141" s="42">
        <v>8.1919999999999951E-2</v>
      </c>
      <c r="AC141" s="42">
        <v>8.1919999999999951E-2</v>
      </c>
      <c r="AD141" s="42" t="e">
        <v>#N/A</v>
      </c>
      <c r="AE141" s="42" t="e">
        <v>#N/A</v>
      </c>
      <c r="AF141" s="42" t="str">
        <v/>
      </c>
      <c r="AI141" s="42">
        <v>136</v>
      </c>
      <c r="AJ141" s="42">
        <v>6</v>
      </c>
      <c r="AK141" s="54">
        <v>1.2029802954365572E-2</v>
      </c>
      <c r="AL141" s="54" t="e">
        <v>#N/A</v>
      </c>
      <c r="AM141" s="54" t="e">
        <v>#N/A</v>
      </c>
      <c r="AN141" s="54">
        <v>1.2029802954365572E-2</v>
      </c>
      <c r="AO141" s="54" t="str">
        <v/>
      </c>
    </row>
    <row r="142" spans="18:41" x14ac:dyDescent="0.2">
      <c r="R142" s="42">
        <v>137</v>
      </c>
      <c r="S142" s="42">
        <v>55.708862894928487</v>
      </c>
      <c r="T142" s="42">
        <v>0.38301641655736102</v>
      </c>
      <c r="U142" s="42">
        <v>0.38301641655736102</v>
      </c>
      <c r="V142" s="42" t="e">
        <v>#N/A</v>
      </c>
      <c r="W142" s="42" t="str">
        <v/>
      </c>
      <c r="Z142" s="42">
        <v>137</v>
      </c>
      <c r="AA142" s="42">
        <v>3</v>
      </c>
      <c r="AB142" s="42">
        <v>8.1919999999999951E-2</v>
      </c>
      <c r="AC142" s="42">
        <v>8.1919999999999951E-2</v>
      </c>
      <c r="AD142" s="42" t="e">
        <v>#N/A</v>
      </c>
      <c r="AE142" s="42" t="e">
        <v>#N/A</v>
      </c>
      <c r="AF142" s="42" t="str">
        <v/>
      </c>
      <c r="AI142" s="42">
        <v>137</v>
      </c>
      <c r="AJ142" s="42">
        <v>6</v>
      </c>
      <c r="AK142" s="54">
        <v>1.2029802954365572E-2</v>
      </c>
      <c r="AL142" s="54" t="e">
        <v>#N/A</v>
      </c>
      <c r="AM142" s="54" t="e">
        <v>#N/A</v>
      </c>
      <c r="AN142" s="54">
        <v>1.2029802954365572E-2</v>
      </c>
      <c r="AO142" s="54" t="str">
        <v/>
      </c>
    </row>
    <row r="143" spans="18:41" x14ac:dyDescent="0.2">
      <c r="R143" s="42">
        <v>138</v>
      </c>
      <c r="S143" s="42">
        <v>56.205285755357053</v>
      </c>
      <c r="T143" s="42">
        <v>0.38019519110534461</v>
      </c>
      <c r="U143" s="42">
        <v>0.38019519110534461</v>
      </c>
      <c r="V143" s="42" t="e">
        <v>#N/A</v>
      </c>
      <c r="W143" s="42" t="str">
        <v/>
      </c>
      <c r="Z143" s="42">
        <v>138</v>
      </c>
      <c r="AA143" s="42">
        <v>3</v>
      </c>
      <c r="AB143" s="42">
        <v>8.1919999999999951E-2</v>
      </c>
      <c r="AC143" s="42">
        <v>8.1919999999999951E-2</v>
      </c>
      <c r="AD143" s="42" t="e">
        <v>#N/A</v>
      </c>
      <c r="AE143" s="42" t="e">
        <v>#N/A</v>
      </c>
      <c r="AF143" s="42" t="str">
        <v/>
      </c>
      <c r="AI143" s="42">
        <v>138</v>
      </c>
      <c r="AJ143" s="42">
        <v>6</v>
      </c>
      <c r="AK143" s="54">
        <v>1.2029802954365572E-2</v>
      </c>
      <c r="AL143" s="54" t="e">
        <v>#N/A</v>
      </c>
      <c r="AM143" s="54" t="e">
        <v>#N/A</v>
      </c>
      <c r="AN143" s="54">
        <v>1.2029802954365572E-2</v>
      </c>
      <c r="AO143" s="54" t="str">
        <v/>
      </c>
    </row>
    <row r="144" spans="18:41" x14ac:dyDescent="0.2">
      <c r="R144" s="42">
        <v>139</v>
      </c>
      <c r="S144" s="42">
        <v>56.70170861578562</v>
      </c>
      <c r="T144" s="42">
        <v>0.37716230906219395</v>
      </c>
      <c r="U144" s="42">
        <v>0.37716230906219395</v>
      </c>
      <c r="V144" s="42" t="e">
        <v>#N/A</v>
      </c>
      <c r="W144" s="42" t="str">
        <v/>
      </c>
      <c r="Z144" s="42">
        <v>139</v>
      </c>
      <c r="AA144" s="42">
        <v>3</v>
      </c>
      <c r="AB144" s="42">
        <v>8.1919999999999951E-2</v>
      </c>
      <c r="AC144" s="42">
        <v>8.1919999999999951E-2</v>
      </c>
      <c r="AD144" s="42" t="e">
        <v>#N/A</v>
      </c>
      <c r="AE144" s="42" t="e">
        <v>#N/A</v>
      </c>
      <c r="AF144" s="42" t="str">
        <v/>
      </c>
      <c r="AI144" s="42">
        <v>139</v>
      </c>
      <c r="AJ144" s="42">
        <v>6</v>
      </c>
      <c r="AK144" s="54">
        <v>1.2029802954365572E-2</v>
      </c>
      <c r="AL144" s="54" t="e">
        <v>#N/A</v>
      </c>
      <c r="AM144" s="54" t="e">
        <v>#N/A</v>
      </c>
      <c r="AN144" s="54">
        <v>1.2029802954365572E-2</v>
      </c>
      <c r="AO144" s="54" t="str">
        <v/>
      </c>
    </row>
    <row r="145" spans="18:41" x14ac:dyDescent="0.2">
      <c r="R145" s="42">
        <v>140</v>
      </c>
      <c r="S145" s="42">
        <v>57.198131476214172</v>
      </c>
      <c r="T145" s="42">
        <v>0.373923179848209</v>
      </c>
      <c r="U145" s="42">
        <v>0.373923179848209</v>
      </c>
      <c r="V145" s="42" t="e">
        <v>#N/A</v>
      </c>
      <c r="W145" s="42" t="str">
        <v/>
      </c>
      <c r="Z145" s="42">
        <v>140</v>
      </c>
      <c r="AA145" s="42">
        <v>3</v>
      </c>
      <c r="AB145" s="42">
        <v>8.1919999999999951E-2</v>
      </c>
      <c r="AC145" s="42">
        <v>8.1919999999999951E-2</v>
      </c>
      <c r="AD145" s="42" t="e">
        <v>#N/A</v>
      </c>
      <c r="AE145" s="42" t="e">
        <v>#N/A</v>
      </c>
      <c r="AF145" s="42" t="str">
        <v/>
      </c>
      <c r="AI145" s="42">
        <v>140</v>
      </c>
      <c r="AJ145" s="42">
        <v>6</v>
      </c>
      <c r="AK145" s="54">
        <v>1.2029802954365572E-2</v>
      </c>
      <c r="AL145" s="54" t="e">
        <v>#N/A</v>
      </c>
      <c r="AM145" s="54" t="e">
        <v>#N/A</v>
      </c>
      <c r="AN145" s="54">
        <v>1.2029802954365572E-2</v>
      </c>
      <c r="AO145" s="54" t="str">
        <v/>
      </c>
    </row>
    <row r="146" spans="18:41" x14ac:dyDescent="0.2">
      <c r="R146" s="42">
        <v>141</v>
      </c>
      <c r="S146" s="42">
        <v>57.694554336642753</v>
      </c>
      <c r="T146" s="42">
        <v>0.37048354756879887</v>
      </c>
      <c r="U146" s="42">
        <v>0.37048354756879887</v>
      </c>
      <c r="V146" s="42" t="e">
        <v>#N/A</v>
      </c>
      <c r="W146" s="42" t="str">
        <v/>
      </c>
      <c r="Z146" s="42">
        <v>141</v>
      </c>
      <c r="AA146" s="42" t="e">
        <v>#N/A</v>
      </c>
      <c r="AB146" s="42" t="e">
        <v>#N/A</v>
      </c>
      <c r="AC146" s="42" t="e">
        <v>#N/A</v>
      </c>
      <c r="AD146" s="42" t="e">
        <v>#N/A</v>
      </c>
      <c r="AE146" s="42" t="e">
        <v>#N/A</v>
      </c>
      <c r="AF146" s="42" t="str">
        <v/>
      </c>
      <c r="AI146" s="42">
        <v>141</v>
      </c>
      <c r="AJ146" s="42" t="e">
        <v>#N/A</v>
      </c>
      <c r="AK146" s="54" t="e">
        <v>#N/A</v>
      </c>
      <c r="AL146" s="54" t="e">
        <v>#N/A</v>
      </c>
      <c r="AM146" s="54" t="e">
        <v>#N/A</v>
      </c>
      <c r="AN146" s="54" t="e">
        <v>#N/A</v>
      </c>
      <c r="AO146" s="54" t="str">
        <v/>
      </c>
    </row>
    <row r="147" spans="18:41" x14ac:dyDescent="0.2">
      <c r="R147" s="42">
        <v>142</v>
      </c>
      <c r="S147" s="42">
        <v>58.190977197071319</v>
      </c>
      <c r="T147" s="42">
        <v>0.36684947405258839</v>
      </c>
      <c r="U147" s="42">
        <v>0.36684947405258839</v>
      </c>
      <c r="V147" s="42" t="e">
        <v>#N/A</v>
      </c>
      <c r="W147" s="42" t="str">
        <v/>
      </c>
      <c r="Z147" s="42">
        <v>142</v>
      </c>
      <c r="AA147" s="42">
        <v>4</v>
      </c>
      <c r="AB147" s="42">
        <v>0.24575999999999998</v>
      </c>
      <c r="AC147" s="42" t="e">
        <v>#N/A</v>
      </c>
      <c r="AD147" s="42">
        <v>0.24575999999999998</v>
      </c>
      <c r="AE147" s="42" t="e">
        <v>#N/A</v>
      </c>
      <c r="AF147" s="42" t="str">
        <v/>
      </c>
      <c r="AI147" s="42">
        <v>142</v>
      </c>
      <c r="AJ147" s="42">
        <v>7</v>
      </c>
      <c r="AK147" s="54">
        <v>3.4370865583901629E-3</v>
      </c>
      <c r="AL147" s="54" t="e">
        <v>#N/A</v>
      </c>
      <c r="AM147" s="54" t="e">
        <v>#N/A</v>
      </c>
      <c r="AN147" s="54">
        <v>3.4370865583901629E-3</v>
      </c>
      <c r="AO147" s="54" t="str">
        <v/>
      </c>
    </row>
    <row r="148" spans="18:41" x14ac:dyDescent="0.2">
      <c r="R148" s="42">
        <v>143</v>
      </c>
      <c r="S148" s="42">
        <v>58.687400057499872</v>
      </c>
      <c r="T148" s="42">
        <v>0.36302732106651397</v>
      </c>
      <c r="U148" s="42">
        <v>0.36302732106651397</v>
      </c>
      <c r="V148" s="42" t="e">
        <v>#N/A</v>
      </c>
      <c r="W148" s="42" t="str">
        <v/>
      </c>
      <c r="Z148" s="42">
        <v>143</v>
      </c>
      <c r="AA148" s="42">
        <v>4</v>
      </c>
      <c r="AB148" s="42">
        <v>0.24575999999999998</v>
      </c>
      <c r="AC148" s="42" t="e">
        <v>#N/A</v>
      </c>
      <c r="AD148" s="42">
        <v>0.24575999999999998</v>
      </c>
      <c r="AE148" s="42" t="e">
        <v>#N/A</v>
      </c>
      <c r="AF148" s="42" t="str">
        <v/>
      </c>
      <c r="AI148" s="42">
        <v>143</v>
      </c>
      <c r="AJ148" s="42">
        <v>7</v>
      </c>
      <c r="AK148" s="54">
        <v>3.4370865583901629E-3</v>
      </c>
      <c r="AL148" s="54" t="e">
        <v>#N/A</v>
      </c>
      <c r="AM148" s="54" t="e">
        <v>#N/A</v>
      </c>
      <c r="AN148" s="54">
        <v>3.4370865583901629E-3</v>
      </c>
      <c r="AO148" s="54" t="str">
        <v/>
      </c>
    </row>
    <row r="149" spans="18:41" x14ac:dyDescent="0.2">
      <c r="R149" s="42">
        <v>144</v>
      </c>
      <c r="S149" s="42">
        <v>59.183822917928438</v>
      </c>
      <c r="T149" s="42">
        <v>0.35902373178087493</v>
      </c>
      <c r="U149" s="42">
        <v>0.35902373178087493</v>
      </c>
      <c r="V149" s="42" t="e">
        <v>#N/A</v>
      </c>
      <c r="W149" s="42" t="str">
        <v/>
      </c>
      <c r="Z149" s="42">
        <v>144</v>
      </c>
      <c r="AA149" s="42">
        <v>4</v>
      </c>
      <c r="AB149" s="42">
        <v>0.24575999999999998</v>
      </c>
      <c r="AC149" s="42" t="e">
        <v>#N/A</v>
      </c>
      <c r="AD149" s="42">
        <v>0.24575999999999998</v>
      </c>
      <c r="AE149" s="42" t="e">
        <v>#N/A</v>
      </c>
      <c r="AF149" s="42" t="str">
        <v/>
      </c>
      <c r="AI149" s="42">
        <v>144</v>
      </c>
      <c r="AJ149" s="42">
        <v>7</v>
      </c>
      <c r="AK149" s="54">
        <v>3.4370865583901629E-3</v>
      </c>
      <c r="AL149" s="54" t="e">
        <v>#N/A</v>
      </c>
      <c r="AM149" s="54" t="e">
        <v>#N/A</v>
      </c>
      <c r="AN149" s="54">
        <v>3.4370865583901629E-3</v>
      </c>
      <c r="AO149" s="54" t="str">
        <v/>
      </c>
    </row>
    <row r="150" spans="18:41" x14ac:dyDescent="0.2">
      <c r="R150" s="42">
        <v>145</v>
      </c>
      <c r="S150" s="42">
        <v>59.680245778357005</v>
      </c>
      <c r="T150" s="42">
        <v>0.35484561155982908</v>
      </c>
      <c r="U150" s="42">
        <v>0.35484561155982908</v>
      </c>
      <c r="V150" s="42" t="e">
        <v>#N/A</v>
      </c>
      <c r="W150" s="42" t="str">
        <v/>
      </c>
      <c r="Z150" s="42">
        <v>145</v>
      </c>
      <c r="AA150" s="42">
        <v>4</v>
      </c>
      <c r="AB150" s="42">
        <v>0.24575999999999998</v>
      </c>
      <c r="AC150" s="42" t="e">
        <v>#N/A</v>
      </c>
      <c r="AD150" s="42">
        <v>0.24575999999999998</v>
      </c>
      <c r="AE150" s="42" t="e">
        <v>#N/A</v>
      </c>
      <c r="AF150" s="42" t="str">
        <v/>
      </c>
      <c r="AI150" s="42">
        <v>145</v>
      </c>
      <c r="AJ150" s="42">
        <v>7</v>
      </c>
      <c r="AK150" s="54">
        <v>3.4370865583901629E-3</v>
      </c>
      <c r="AL150" s="54" t="e">
        <v>#N/A</v>
      </c>
      <c r="AM150" s="54" t="e">
        <v>#N/A</v>
      </c>
      <c r="AN150" s="54">
        <v>3.4370865583901629E-3</v>
      </c>
      <c r="AO150" s="54" t="str">
        <v/>
      </c>
    </row>
    <row r="151" spans="18:41" x14ac:dyDescent="0.2">
      <c r="R151" s="42">
        <v>146</v>
      </c>
      <c r="S151" s="42">
        <v>60.176668638785571</v>
      </c>
      <c r="T151" s="42">
        <v>0.35050010815494687</v>
      </c>
      <c r="U151" s="42">
        <v>0.35050010815494687</v>
      </c>
      <c r="V151" s="42" t="e">
        <v>#N/A</v>
      </c>
      <c r="W151" s="42" t="str">
        <v/>
      </c>
      <c r="Z151" s="42">
        <v>146</v>
      </c>
      <c r="AA151" s="42">
        <v>4</v>
      </c>
      <c r="AB151" s="42">
        <v>0.24575999999999998</v>
      </c>
      <c r="AC151" s="42" t="e">
        <v>#N/A</v>
      </c>
      <c r="AD151" s="42">
        <v>0.24575999999999998</v>
      </c>
      <c r="AE151" s="42" t="e">
        <v>#N/A</v>
      </c>
      <c r="AF151" s="42" t="str">
        <v/>
      </c>
      <c r="AI151" s="42">
        <v>146</v>
      </c>
      <c r="AJ151" s="42">
        <v>7</v>
      </c>
      <c r="AK151" s="54">
        <v>3.4370865583901629E-3</v>
      </c>
      <c r="AL151" s="54" t="e">
        <v>#N/A</v>
      </c>
      <c r="AM151" s="54" t="e">
        <v>#N/A</v>
      </c>
      <c r="AN151" s="54">
        <v>3.4370865583901629E-3</v>
      </c>
      <c r="AO151" s="54" t="str">
        <v/>
      </c>
    </row>
    <row r="152" spans="18:41" x14ac:dyDescent="0.2">
      <c r="R152" s="42">
        <v>147</v>
      </c>
      <c r="S152" s="42">
        <v>60.673091499214124</v>
      </c>
      <c r="T152" s="42">
        <v>0.34599459138117078</v>
      </c>
      <c r="U152" s="42">
        <v>0.34599459138117078</v>
      </c>
      <c r="V152" s="42" t="e">
        <v>#N/A</v>
      </c>
      <c r="W152" s="42" t="str">
        <v/>
      </c>
      <c r="Z152" s="42">
        <v>147</v>
      </c>
      <c r="AA152" s="42">
        <v>4</v>
      </c>
      <c r="AB152" s="42">
        <v>0.24575999999999998</v>
      </c>
      <c r="AC152" s="42" t="e">
        <v>#N/A</v>
      </c>
      <c r="AD152" s="42">
        <v>0.24575999999999998</v>
      </c>
      <c r="AE152" s="42" t="e">
        <v>#N/A</v>
      </c>
      <c r="AF152" s="42" t="str">
        <v/>
      </c>
      <c r="AI152" s="42">
        <v>147</v>
      </c>
      <c r="AJ152" s="42">
        <v>7</v>
      </c>
      <c r="AK152" s="54">
        <v>3.4370865583901629E-3</v>
      </c>
      <c r="AL152" s="54" t="e">
        <v>#N/A</v>
      </c>
      <c r="AM152" s="54" t="e">
        <v>#N/A</v>
      </c>
      <c r="AN152" s="54">
        <v>3.4370865583901629E-3</v>
      </c>
      <c r="AO152" s="54" t="str">
        <v/>
      </c>
    </row>
    <row r="153" spans="18:41" x14ac:dyDescent="0.2">
      <c r="R153" s="42">
        <v>148</v>
      </c>
      <c r="S153" s="42">
        <v>61.169514359642704</v>
      </c>
      <c r="T153" s="42">
        <v>0.341336632355839</v>
      </c>
      <c r="U153" s="42">
        <v>0.341336632355839</v>
      </c>
      <c r="V153" s="42" t="e">
        <v>#N/A</v>
      </c>
      <c r="W153" s="42" t="str">
        <v/>
      </c>
      <c r="Z153" s="42">
        <v>148</v>
      </c>
      <c r="AA153" s="42">
        <v>4</v>
      </c>
      <c r="AB153" s="42">
        <v>0.24575999999999998</v>
      </c>
      <c r="AC153" s="42" t="e">
        <v>#N/A</v>
      </c>
      <c r="AD153" s="42">
        <v>0.24575999999999998</v>
      </c>
      <c r="AE153" s="42" t="e">
        <v>#N/A</v>
      </c>
      <c r="AF153" s="42" t="str">
        <v/>
      </c>
      <c r="AI153" s="42">
        <v>148</v>
      </c>
      <c r="AJ153" s="42">
        <v>7</v>
      </c>
      <c r="AK153" s="54">
        <v>3.4370865583901629E-3</v>
      </c>
      <c r="AL153" s="54" t="e">
        <v>#N/A</v>
      </c>
      <c r="AM153" s="54" t="e">
        <v>#N/A</v>
      </c>
      <c r="AN153" s="54">
        <v>3.4370865583901629E-3</v>
      </c>
      <c r="AO153" s="54" t="str">
        <v/>
      </c>
    </row>
    <row r="154" spans="18:41" x14ac:dyDescent="0.2">
      <c r="R154" s="42">
        <v>149</v>
      </c>
      <c r="S154" s="42">
        <v>61.665937220071257</v>
      </c>
      <c r="T154" s="42">
        <v>0.33653398238234977</v>
      </c>
      <c r="U154" s="42">
        <v>0.33653398238234977</v>
      </c>
      <c r="V154" s="42" t="e">
        <v>#N/A</v>
      </c>
      <c r="W154" s="42" t="str">
        <v/>
      </c>
      <c r="Z154" s="42">
        <v>149</v>
      </c>
      <c r="AA154" s="42">
        <v>4</v>
      </c>
      <c r="AB154" s="42">
        <v>0.24575999999999998</v>
      </c>
      <c r="AC154" s="42" t="e">
        <v>#N/A</v>
      </c>
      <c r="AD154" s="42">
        <v>0.24575999999999998</v>
      </c>
      <c r="AE154" s="42" t="e">
        <v>#N/A</v>
      </c>
      <c r="AF154" s="42" t="str">
        <v/>
      </c>
      <c r="AI154" s="42">
        <v>149</v>
      </c>
      <c r="AJ154" s="42">
        <v>7</v>
      </c>
      <c r="AK154" s="54">
        <v>3.4370865583901629E-3</v>
      </c>
      <c r="AL154" s="54" t="e">
        <v>#N/A</v>
      </c>
      <c r="AM154" s="54" t="e">
        <v>#N/A</v>
      </c>
      <c r="AN154" s="54">
        <v>3.4370865583901629E-3</v>
      </c>
      <c r="AO154" s="54" t="str">
        <v/>
      </c>
    </row>
    <row r="155" spans="18:41" x14ac:dyDescent="0.2">
      <c r="R155" s="42">
        <v>150</v>
      </c>
      <c r="S155" s="42">
        <v>62.162360080499823</v>
      </c>
      <c r="T155" s="42">
        <v>0.33159455156052825</v>
      </c>
      <c r="U155" s="42">
        <v>0.33159455156052825</v>
      </c>
      <c r="V155" s="42" t="e">
        <v>#N/A</v>
      </c>
      <c r="W155" s="42" t="str">
        <v/>
      </c>
      <c r="Z155" s="42">
        <v>150</v>
      </c>
      <c r="AA155" s="42">
        <v>4</v>
      </c>
      <c r="AB155" s="42">
        <v>0.24575999999999998</v>
      </c>
      <c r="AC155" s="42" t="e">
        <v>#N/A</v>
      </c>
      <c r="AD155" s="42">
        <v>0.24575999999999998</v>
      </c>
      <c r="AE155" s="42" t="e">
        <v>#N/A</v>
      </c>
      <c r="AF155" s="42" t="str">
        <v/>
      </c>
      <c r="AI155" s="42">
        <v>150</v>
      </c>
      <c r="AJ155" s="42">
        <v>7</v>
      </c>
      <c r="AK155" s="54">
        <v>3.4370865583901629E-3</v>
      </c>
      <c r="AL155" s="54" t="e">
        <v>#N/A</v>
      </c>
      <c r="AM155" s="54" t="e">
        <v>#N/A</v>
      </c>
      <c r="AN155" s="54">
        <v>3.4370865583901629E-3</v>
      </c>
      <c r="AO155" s="54" t="str">
        <v/>
      </c>
    </row>
    <row r="156" spans="18:41" x14ac:dyDescent="0.2">
      <c r="R156" s="42">
        <v>151</v>
      </c>
      <c r="S156" s="42">
        <v>62.658782940928404</v>
      </c>
      <c r="T156" s="42">
        <v>0.32652638720586441</v>
      </c>
      <c r="U156" s="42">
        <v>0.32652638720586441</v>
      </c>
      <c r="V156" s="42" t="e">
        <v>#N/A</v>
      </c>
      <c r="W156" s="42">
        <v>62.66</v>
      </c>
      <c r="Z156" s="42">
        <v>151</v>
      </c>
      <c r="AA156" s="42">
        <v>4</v>
      </c>
      <c r="AB156" s="42">
        <v>0.24575999999999998</v>
      </c>
      <c r="AC156" s="42" t="e">
        <v>#N/A</v>
      </c>
      <c r="AD156" s="42">
        <v>0.24575999999999998</v>
      </c>
      <c r="AE156" s="42" t="e">
        <v>#N/A</v>
      </c>
      <c r="AF156" s="42" t="str">
        <v/>
      </c>
      <c r="AI156" s="42">
        <v>151</v>
      </c>
      <c r="AJ156" s="42">
        <v>7</v>
      </c>
      <c r="AK156" s="54">
        <v>3.4370865583901629E-3</v>
      </c>
      <c r="AL156" s="54" t="e">
        <v>#N/A</v>
      </c>
      <c r="AM156" s="54" t="e">
        <v>#N/A</v>
      </c>
      <c r="AN156" s="54">
        <v>3.4370865583901629E-3</v>
      </c>
      <c r="AO156" s="54">
        <v>7</v>
      </c>
    </row>
    <row r="157" spans="18:41" x14ac:dyDescent="0.2">
      <c r="R157" s="42">
        <v>152</v>
      </c>
      <c r="S157" s="42">
        <v>63.155205801356956</v>
      </c>
      <c r="T157" s="42">
        <v>0.32133765215946308</v>
      </c>
      <c r="U157" s="42">
        <v>0.32133765215946308</v>
      </c>
      <c r="V157" s="42" t="e">
        <v>#N/A</v>
      </c>
      <c r="W157" s="42" t="str">
        <v/>
      </c>
      <c r="Z157" s="42">
        <v>152</v>
      </c>
      <c r="AA157" s="42">
        <v>4</v>
      </c>
      <c r="AB157" s="42">
        <v>0.24575999999999998</v>
      </c>
      <c r="AC157" s="42" t="e">
        <v>#N/A</v>
      </c>
      <c r="AD157" s="42">
        <v>0.24575999999999998</v>
      </c>
      <c r="AE157" s="42" t="e">
        <v>#N/A</v>
      </c>
      <c r="AF157" s="42" t="str">
        <v/>
      </c>
      <c r="AI157" s="42">
        <v>152</v>
      </c>
      <c r="AJ157" s="42">
        <v>7</v>
      </c>
      <c r="AK157" s="54">
        <v>3.4370865583901629E-3</v>
      </c>
      <c r="AL157" s="54" t="e">
        <v>#N/A</v>
      </c>
      <c r="AM157" s="54" t="e">
        <v>#N/A</v>
      </c>
      <c r="AN157" s="54">
        <v>3.4370865583901629E-3</v>
      </c>
      <c r="AO157" s="54" t="str">
        <v/>
      </c>
    </row>
    <row r="158" spans="18:41" x14ac:dyDescent="0.2">
      <c r="R158" s="42">
        <v>153</v>
      </c>
      <c r="S158" s="42">
        <v>63.651628661785523</v>
      </c>
      <c r="T158" s="42">
        <v>0.31603660306984621</v>
      </c>
      <c r="U158" s="42">
        <v>0.31603660306984621</v>
      </c>
      <c r="V158" s="42" t="e">
        <v>#N/A</v>
      </c>
      <c r="W158" s="42" t="str">
        <v/>
      </c>
      <c r="Z158" s="42">
        <v>153</v>
      </c>
      <c r="AA158" s="42">
        <v>4</v>
      </c>
      <c r="AB158" s="42">
        <v>0.24575999999999998</v>
      </c>
      <c r="AC158" s="42" t="e">
        <v>#N/A</v>
      </c>
      <c r="AD158" s="42">
        <v>0.24575999999999998</v>
      </c>
      <c r="AE158" s="42" t="e">
        <v>#N/A</v>
      </c>
      <c r="AF158" s="42" t="str">
        <v/>
      </c>
      <c r="AI158" s="42">
        <v>153</v>
      </c>
      <c r="AJ158" s="42">
        <v>7</v>
      </c>
      <c r="AK158" s="54">
        <v>3.4370865583901629E-3</v>
      </c>
      <c r="AL158" s="54" t="e">
        <v>#N/A</v>
      </c>
      <c r="AM158" s="54" t="e">
        <v>#N/A</v>
      </c>
      <c r="AN158" s="54">
        <v>3.4370865583901629E-3</v>
      </c>
      <c r="AO158" s="54" t="str">
        <v/>
      </c>
    </row>
    <row r="159" spans="18:41" x14ac:dyDescent="0.2">
      <c r="R159" s="42">
        <v>154</v>
      </c>
      <c r="S159" s="42">
        <v>64.148051522214075</v>
      </c>
      <c r="T159" s="42">
        <v>0.31063156872665471</v>
      </c>
      <c r="U159" s="42">
        <v>0.31063156872665471</v>
      </c>
      <c r="V159" s="42" t="e">
        <v>#N/A</v>
      </c>
      <c r="W159" s="42" t="str">
        <v/>
      </c>
      <c r="Z159" s="42">
        <v>154</v>
      </c>
      <c r="AA159" s="42">
        <v>4</v>
      </c>
      <c r="AB159" s="42">
        <v>0.24575999999999998</v>
      </c>
      <c r="AC159" s="42" t="e">
        <v>#N/A</v>
      </c>
      <c r="AD159" s="42">
        <v>0.24575999999999998</v>
      </c>
      <c r="AE159" s="42" t="e">
        <v>#N/A</v>
      </c>
      <c r="AF159" s="42" t="str">
        <v/>
      </c>
      <c r="AI159" s="42">
        <v>154</v>
      </c>
      <c r="AJ159" s="42">
        <v>7</v>
      </c>
      <c r="AK159" s="54">
        <v>3.4370865583901629E-3</v>
      </c>
      <c r="AL159" s="54" t="e">
        <v>#N/A</v>
      </c>
      <c r="AM159" s="54" t="e">
        <v>#N/A</v>
      </c>
      <c r="AN159" s="54">
        <v>3.4370865583901629E-3</v>
      </c>
      <c r="AO159" s="54" t="str">
        <v/>
      </c>
    </row>
    <row r="160" spans="18:41" x14ac:dyDescent="0.2">
      <c r="R160" s="42">
        <v>155</v>
      </c>
      <c r="S160" s="42">
        <v>64.644474382642656</v>
      </c>
      <c r="T160" s="42">
        <v>0.30513092852481932</v>
      </c>
      <c r="U160" s="42">
        <v>0.30513092852481932</v>
      </c>
      <c r="V160" s="42" t="e">
        <v>#N/A</v>
      </c>
      <c r="W160" s="42" t="str">
        <v/>
      </c>
      <c r="Z160" s="42">
        <v>155</v>
      </c>
      <c r="AA160" s="42">
        <v>4</v>
      </c>
      <c r="AB160" s="42">
        <v>0.24575999999999998</v>
      </c>
      <c r="AC160" s="42" t="e">
        <v>#N/A</v>
      </c>
      <c r="AD160" s="42">
        <v>0.24575999999999998</v>
      </c>
      <c r="AE160" s="42" t="e">
        <v>#N/A</v>
      </c>
      <c r="AF160" s="42" t="str">
        <v/>
      </c>
      <c r="AI160" s="42">
        <v>155</v>
      </c>
      <c r="AJ160" s="42">
        <v>7</v>
      </c>
      <c r="AK160" s="54">
        <v>3.4370865583901629E-3</v>
      </c>
      <c r="AL160" s="54" t="e">
        <v>#N/A</v>
      </c>
      <c r="AM160" s="54" t="e">
        <v>#N/A</v>
      </c>
      <c r="AN160" s="54">
        <v>3.4370865583901629E-3</v>
      </c>
      <c r="AO160" s="54" t="str">
        <v/>
      </c>
    </row>
    <row r="161" spans="18:41" x14ac:dyDescent="0.2">
      <c r="R161" s="42">
        <v>156</v>
      </c>
      <c r="S161" s="42">
        <v>65.140897243071208</v>
      </c>
      <c r="T161" s="42">
        <v>0.29954309113595246</v>
      </c>
      <c r="U161" s="42">
        <v>0.29954309113595246</v>
      </c>
      <c r="V161" s="42" t="e">
        <v>#N/A</v>
      </c>
      <c r="W161" s="42" t="str">
        <v/>
      </c>
      <c r="Z161" s="42">
        <v>156</v>
      </c>
      <c r="AA161" s="42">
        <v>4</v>
      </c>
      <c r="AB161" s="42">
        <v>0.24575999999999998</v>
      </c>
      <c r="AC161" s="42" t="e">
        <v>#N/A</v>
      </c>
      <c r="AD161" s="42">
        <v>0.24575999999999998</v>
      </c>
      <c r="AE161" s="42" t="e">
        <v>#N/A</v>
      </c>
      <c r="AF161" s="42" t="str">
        <v/>
      </c>
      <c r="AI161" s="42">
        <v>156</v>
      </c>
      <c r="AJ161" s="42">
        <v>7</v>
      </c>
      <c r="AK161" s="54">
        <v>3.4370865583901629E-3</v>
      </c>
      <c r="AL161" s="54" t="e">
        <v>#N/A</v>
      </c>
      <c r="AM161" s="54" t="e">
        <v>#N/A</v>
      </c>
      <c r="AN161" s="54">
        <v>3.4370865583901629E-3</v>
      </c>
      <c r="AO161" s="54" t="str">
        <v/>
      </c>
    </row>
    <row r="162" spans="18:41" x14ac:dyDescent="0.2">
      <c r="R162" s="42">
        <v>157</v>
      </c>
      <c r="S162" s="42">
        <v>65.637320103499775</v>
      </c>
      <c r="T162" s="42">
        <v>0.29387647346152368</v>
      </c>
      <c r="U162" s="42">
        <v>0.29387647346152368</v>
      </c>
      <c r="V162" s="42" t="e">
        <v>#N/A</v>
      </c>
      <c r="W162" s="42" t="str">
        <v/>
      </c>
      <c r="Z162" s="42">
        <v>157</v>
      </c>
      <c r="AA162" s="42">
        <v>4</v>
      </c>
      <c r="AB162" s="42">
        <v>0.24575999999999998</v>
      </c>
      <c r="AC162" s="42" t="e">
        <v>#N/A</v>
      </c>
      <c r="AD162" s="42">
        <v>0.24575999999999998</v>
      </c>
      <c r="AE162" s="42" t="e">
        <v>#N/A</v>
      </c>
      <c r="AF162" s="42" t="str">
        <v/>
      </c>
      <c r="AI162" s="42">
        <v>157</v>
      </c>
      <c r="AJ162" s="42">
        <v>7</v>
      </c>
      <c r="AK162" s="54">
        <v>3.4370865583901629E-3</v>
      </c>
      <c r="AL162" s="54" t="e">
        <v>#N/A</v>
      </c>
      <c r="AM162" s="54" t="e">
        <v>#N/A</v>
      </c>
      <c r="AN162" s="54">
        <v>3.4370865583901629E-3</v>
      </c>
      <c r="AO162" s="54" t="str">
        <v/>
      </c>
    </row>
    <row r="163" spans="18:41" x14ac:dyDescent="0.2">
      <c r="R163" s="42">
        <v>158</v>
      </c>
      <c r="S163" s="42">
        <v>66.133742963928341</v>
      </c>
      <c r="T163" s="42">
        <v>0.28813947993989791</v>
      </c>
      <c r="U163" s="42">
        <v>0.28813947993989791</v>
      </c>
      <c r="V163" s="42" t="e">
        <v>#N/A</v>
      </c>
      <c r="W163" s="42" t="str">
        <v/>
      </c>
      <c r="Z163" s="42">
        <v>158</v>
      </c>
      <c r="AA163" s="42">
        <v>4</v>
      </c>
      <c r="AB163" s="42">
        <v>0.24575999999999998</v>
      </c>
      <c r="AC163" s="42" t="e">
        <v>#N/A</v>
      </c>
      <c r="AD163" s="42">
        <v>0.24575999999999998</v>
      </c>
      <c r="AE163" s="42" t="e">
        <v>#N/A</v>
      </c>
      <c r="AF163" s="42" t="str">
        <v/>
      </c>
      <c r="AI163" s="42">
        <v>158</v>
      </c>
      <c r="AJ163" s="42">
        <v>7</v>
      </c>
      <c r="AK163" s="54">
        <v>3.4370865583901629E-3</v>
      </c>
      <c r="AL163" s="54" t="e">
        <v>#N/A</v>
      </c>
      <c r="AM163" s="54" t="e">
        <v>#N/A</v>
      </c>
      <c r="AN163" s="54">
        <v>3.4370865583901629E-3</v>
      </c>
      <c r="AO163" s="54" t="str">
        <v/>
      </c>
    </row>
    <row r="164" spans="18:41" x14ac:dyDescent="0.2">
      <c r="R164" s="42">
        <v>159</v>
      </c>
      <c r="S164" s="42">
        <v>66.630165824356908</v>
      </c>
      <c r="T164" s="42">
        <v>0.28234048227649011</v>
      </c>
      <c r="U164" s="42">
        <v>0.28234048227649011</v>
      </c>
      <c r="V164" s="42" t="e">
        <v>#N/A</v>
      </c>
      <c r="W164" s="42" t="str">
        <v/>
      </c>
      <c r="Z164" s="42">
        <v>159</v>
      </c>
      <c r="AA164" s="42">
        <v>4</v>
      </c>
      <c r="AB164" s="42">
        <v>0.24575999999999998</v>
      </c>
      <c r="AC164" s="42" t="e">
        <v>#N/A</v>
      </c>
      <c r="AD164" s="42">
        <v>0.24575999999999998</v>
      </c>
      <c r="AE164" s="42" t="e">
        <v>#N/A</v>
      </c>
      <c r="AF164" s="42">
        <v>4</v>
      </c>
      <c r="AI164" s="42">
        <v>159</v>
      </c>
      <c r="AJ164" s="42">
        <v>7</v>
      </c>
      <c r="AK164" s="54">
        <v>3.4370865583901629E-3</v>
      </c>
      <c r="AL164" s="54" t="e">
        <v>#N/A</v>
      </c>
      <c r="AM164" s="54" t="e">
        <v>#N/A</v>
      </c>
      <c r="AN164" s="54">
        <v>3.4370865583901629E-3</v>
      </c>
      <c r="AO164" s="54" t="str">
        <v/>
      </c>
    </row>
    <row r="165" spans="18:41" x14ac:dyDescent="0.2">
      <c r="R165" s="42">
        <v>160</v>
      </c>
      <c r="S165" s="42">
        <v>67.12658868478546</v>
      </c>
      <c r="T165" s="42">
        <v>0.27648779966320658</v>
      </c>
      <c r="U165" s="42" t="e">
        <v>#N/A</v>
      </c>
      <c r="V165" s="42">
        <v>0.27648779966320658</v>
      </c>
      <c r="W165" s="42" t="str">
        <v/>
      </c>
      <c r="Z165" s="42">
        <v>160</v>
      </c>
      <c r="AA165" s="42">
        <v>4</v>
      </c>
      <c r="AB165" s="42">
        <v>0.24575999999999998</v>
      </c>
      <c r="AC165" s="42" t="e">
        <v>#N/A</v>
      </c>
      <c r="AD165" s="42">
        <v>0.24575999999999998</v>
      </c>
      <c r="AE165" s="42" t="e">
        <v>#N/A</v>
      </c>
      <c r="AF165" s="42" t="str">
        <v/>
      </c>
      <c r="AI165" s="42">
        <v>160</v>
      </c>
      <c r="AJ165" s="42">
        <v>7</v>
      </c>
      <c r="AK165" s="54">
        <v>3.4370865583901629E-3</v>
      </c>
      <c r="AL165" s="54" t="e">
        <v>#N/A</v>
      </c>
      <c r="AM165" s="54" t="e">
        <v>#N/A</v>
      </c>
      <c r="AN165" s="54">
        <v>3.4370865583901629E-3</v>
      </c>
      <c r="AO165" s="54" t="str">
        <v/>
      </c>
    </row>
    <row r="166" spans="18:41" x14ac:dyDescent="0.2">
      <c r="R166" s="42">
        <v>161</v>
      </c>
      <c r="S166" s="42">
        <v>67.623011545214041</v>
      </c>
      <c r="T166" s="42">
        <v>0.27058967954997637</v>
      </c>
      <c r="U166" s="42" t="e">
        <v>#N/A</v>
      </c>
      <c r="V166" s="42">
        <v>0.27058967954997637</v>
      </c>
      <c r="W166" s="42" t="str">
        <v/>
      </c>
      <c r="Z166" s="42">
        <v>161</v>
      </c>
      <c r="AA166" s="42">
        <v>4</v>
      </c>
      <c r="AB166" s="42">
        <v>0.24575999999999998</v>
      </c>
      <c r="AC166" s="42" t="e">
        <v>#N/A</v>
      </c>
      <c r="AD166" s="42">
        <v>0.24575999999999998</v>
      </c>
      <c r="AE166" s="42" t="e">
        <v>#N/A</v>
      </c>
      <c r="AF166" s="42" t="str">
        <v/>
      </c>
      <c r="AI166" s="42">
        <v>161</v>
      </c>
      <c r="AJ166" s="42" t="e">
        <v>#N/A</v>
      </c>
      <c r="AK166" s="54" t="e">
        <v>#N/A</v>
      </c>
      <c r="AL166" s="54" t="e">
        <v>#N/A</v>
      </c>
      <c r="AM166" s="54" t="e">
        <v>#N/A</v>
      </c>
      <c r="AN166" s="54" t="e">
        <v>#N/A</v>
      </c>
      <c r="AO166" s="54" t="str">
        <v/>
      </c>
    </row>
    <row r="167" spans="18:41" x14ac:dyDescent="0.2">
      <c r="R167" s="42">
        <v>162</v>
      </c>
      <c r="S167" s="42">
        <v>68.119434405642608</v>
      </c>
      <c r="T167" s="42">
        <v>0.26465427902758476</v>
      </c>
      <c r="U167" s="42" t="e">
        <v>#N/A</v>
      </c>
      <c r="V167" s="42">
        <v>0.26465427902758476</v>
      </c>
      <c r="W167" s="42" t="str">
        <v/>
      </c>
      <c r="Z167" s="42">
        <v>162</v>
      </c>
      <c r="AA167" s="42">
        <v>4</v>
      </c>
      <c r="AB167" s="42">
        <v>0.24575999999999998</v>
      </c>
      <c r="AC167" s="42" t="e">
        <v>#N/A</v>
      </c>
      <c r="AD167" s="42">
        <v>0.24575999999999998</v>
      </c>
      <c r="AE167" s="42" t="e">
        <v>#N/A</v>
      </c>
      <c r="AF167" s="42" t="str">
        <v/>
      </c>
      <c r="AI167" s="42">
        <v>162</v>
      </c>
      <c r="AJ167" s="42">
        <v>8</v>
      </c>
      <c r="AK167" s="54">
        <v>8.5927163959754148E-4</v>
      </c>
      <c r="AL167" s="54" t="e">
        <v>#N/A</v>
      </c>
      <c r="AM167" s="54" t="e">
        <v>#N/A</v>
      </c>
      <c r="AN167" s="54">
        <v>8.5927163959754148E-4</v>
      </c>
      <c r="AO167" s="54" t="str">
        <v/>
      </c>
    </row>
    <row r="168" spans="18:41" x14ac:dyDescent="0.2">
      <c r="R168" s="42">
        <v>163</v>
      </c>
      <c r="S168" s="42">
        <v>68.61585726607116</v>
      </c>
      <c r="T168" s="42">
        <v>0.25868964687719065</v>
      </c>
      <c r="U168" s="42" t="e">
        <v>#N/A</v>
      </c>
      <c r="V168" s="42">
        <v>0.25868964687719065</v>
      </c>
      <c r="W168" s="42" t="str">
        <v/>
      </c>
      <c r="Z168" s="42">
        <v>163</v>
      </c>
      <c r="AA168" s="42">
        <v>4</v>
      </c>
      <c r="AB168" s="42">
        <v>0.24575999999999998</v>
      </c>
      <c r="AC168" s="42" t="e">
        <v>#N/A</v>
      </c>
      <c r="AD168" s="42">
        <v>0.24575999999999998</v>
      </c>
      <c r="AE168" s="42" t="e">
        <v>#N/A</v>
      </c>
      <c r="AF168" s="42" t="str">
        <v/>
      </c>
      <c r="AI168" s="42">
        <v>163</v>
      </c>
      <c r="AJ168" s="42">
        <v>8</v>
      </c>
      <c r="AK168" s="54">
        <v>8.5927163959754148E-4</v>
      </c>
      <c r="AL168" s="54" t="e">
        <v>#N/A</v>
      </c>
      <c r="AM168" s="54" t="e">
        <v>#N/A</v>
      </c>
      <c r="AN168" s="54">
        <v>8.5927163959754148E-4</v>
      </c>
      <c r="AO168" s="54" t="str">
        <v/>
      </c>
    </row>
    <row r="169" spans="18:41" x14ac:dyDescent="0.2">
      <c r="R169" s="42">
        <v>164</v>
      </c>
      <c r="S169" s="42">
        <v>69.112280126499726</v>
      </c>
      <c r="T169" s="42">
        <v>0.25270370633791855</v>
      </c>
      <c r="U169" s="42" t="e">
        <v>#N/A</v>
      </c>
      <c r="V169" s="42">
        <v>0.25270370633791855</v>
      </c>
      <c r="W169" s="42" t="str">
        <v/>
      </c>
      <c r="Z169" s="42">
        <v>164</v>
      </c>
      <c r="AA169" s="42">
        <v>4</v>
      </c>
      <c r="AB169" s="42">
        <v>0.24575999999999998</v>
      </c>
      <c r="AC169" s="42" t="e">
        <v>#N/A</v>
      </c>
      <c r="AD169" s="42">
        <v>0.24575999999999998</v>
      </c>
      <c r="AE169" s="42" t="e">
        <v>#N/A</v>
      </c>
      <c r="AF169" s="42" t="str">
        <v/>
      </c>
      <c r="AI169" s="42">
        <v>164</v>
      </c>
      <c r="AJ169" s="42">
        <v>8</v>
      </c>
      <c r="AK169" s="54">
        <v>8.5927163959754148E-4</v>
      </c>
      <c r="AL169" s="54" t="e">
        <v>#N/A</v>
      </c>
      <c r="AM169" s="54" t="e">
        <v>#N/A</v>
      </c>
      <c r="AN169" s="54">
        <v>8.5927163959754148E-4</v>
      </c>
      <c r="AO169" s="54" t="str">
        <v/>
      </c>
    </row>
    <row r="170" spans="18:41" x14ac:dyDescent="0.2">
      <c r="R170" s="42">
        <v>165</v>
      </c>
      <c r="S170" s="42">
        <v>69.608702986928293</v>
      </c>
      <c r="T170" s="42">
        <v>0.24670423863973279</v>
      </c>
      <c r="U170" s="42" t="e">
        <v>#N/A</v>
      </c>
      <c r="V170" s="42">
        <v>0.24670423863973279</v>
      </c>
      <c r="W170" s="42" t="str">
        <v/>
      </c>
      <c r="Z170" s="42">
        <v>165</v>
      </c>
      <c r="AA170" s="42">
        <v>4</v>
      </c>
      <c r="AB170" s="42">
        <v>0.24575999999999998</v>
      </c>
      <c r="AC170" s="42" t="e">
        <v>#N/A</v>
      </c>
      <c r="AD170" s="42">
        <v>0.24575999999999998</v>
      </c>
      <c r="AE170" s="42" t="e">
        <v>#N/A</v>
      </c>
      <c r="AF170" s="42" t="str">
        <v/>
      </c>
      <c r="AI170" s="42">
        <v>165</v>
      </c>
      <c r="AJ170" s="42">
        <v>8</v>
      </c>
      <c r="AK170" s="54">
        <v>8.5927163959754148E-4</v>
      </c>
      <c r="AL170" s="54" t="e">
        <v>#N/A</v>
      </c>
      <c r="AM170" s="54" t="e">
        <v>#N/A</v>
      </c>
      <c r="AN170" s="54">
        <v>8.5927163959754148E-4</v>
      </c>
      <c r="AO170" s="54" t="str">
        <v/>
      </c>
    </row>
    <row r="171" spans="18:41" x14ac:dyDescent="0.2">
      <c r="R171" s="42">
        <v>166</v>
      </c>
      <c r="S171" s="42">
        <v>70.105125847356859</v>
      </c>
      <c r="T171" s="42">
        <v>0.24069886734449414</v>
      </c>
      <c r="U171" s="42" t="e">
        <v>#N/A</v>
      </c>
      <c r="V171" s="42">
        <v>0.24069886734449414</v>
      </c>
      <c r="W171" s="42" t="str">
        <v/>
      </c>
      <c r="Z171" s="42">
        <v>166</v>
      </c>
      <c r="AA171" s="42">
        <v>4</v>
      </c>
      <c r="AB171" s="42">
        <v>0.24575999999999998</v>
      </c>
      <c r="AC171" s="42" t="e">
        <v>#N/A</v>
      </c>
      <c r="AD171" s="42">
        <v>0.24575999999999998</v>
      </c>
      <c r="AE171" s="42" t="e">
        <v>#N/A</v>
      </c>
      <c r="AF171" s="42" t="str">
        <v/>
      </c>
      <c r="AI171" s="42">
        <v>166</v>
      </c>
      <c r="AJ171" s="42">
        <v>8</v>
      </c>
      <c r="AK171" s="54">
        <v>8.5927163959754148E-4</v>
      </c>
      <c r="AL171" s="54" t="e">
        <v>#N/A</v>
      </c>
      <c r="AM171" s="54" t="e">
        <v>#N/A</v>
      </c>
      <c r="AN171" s="54">
        <v>8.5927163959754148E-4</v>
      </c>
      <c r="AO171" s="54" t="str">
        <v/>
      </c>
    </row>
    <row r="172" spans="18:41" x14ac:dyDescent="0.2">
      <c r="R172" s="42">
        <v>167</v>
      </c>
      <c r="S172" s="42">
        <v>70.601548707785412</v>
      </c>
      <c r="T172" s="42">
        <v>0.23469504353367868</v>
      </c>
      <c r="U172" s="42" t="e">
        <v>#N/A</v>
      </c>
      <c r="V172" s="42">
        <v>0.23469504353367868</v>
      </c>
      <c r="W172" s="42" t="str">
        <v/>
      </c>
      <c r="Z172" s="42">
        <v>167</v>
      </c>
      <c r="AA172" s="42">
        <v>4</v>
      </c>
      <c r="AB172" s="42">
        <v>0.24575999999999998</v>
      </c>
      <c r="AC172" s="42" t="e">
        <v>#N/A</v>
      </c>
      <c r="AD172" s="42">
        <v>0.24575999999999998</v>
      </c>
      <c r="AE172" s="42" t="e">
        <v>#N/A</v>
      </c>
      <c r="AF172" s="42" t="str">
        <v/>
      </c>
      <c r="AI172" s="42">
        <v>167</v>
      </c>
      <c r="AJ172" s="42">
        <v>8</v>
      </c>
      <c r="AK172" s="54">
        <v>8.5927163959754148E-4</v>
      </c>
      <c r="AL172" s="54" t="e">
        <v>#N/A</v>
      </c>
      <c r="AM172" s="54" t="e">
        <v>#N/A</v>
      </c>
      <c r="AN172" s="54">
        <v>8.5927163959754148E-4</v>
      </c>
      <c r="AO172" s="54" t="str">
        <v/>
      </c>
    </row>
    <row r="173" spans="18:41" x14ac:dyDescent="0.2">
      <c r="R173" s="42">
        <v>168</v>
      </c>
      <c r="S173" s="42">
        <v>71.097971568213993</v>
      </c>
      <c r="T173" s="42">
        <v>0.22870003187672769</v>
      </c>
      <c r="U173" s="42" t="e">
        <v>#N/A</v>
      </c>
      <c r="V173" s="42">
        <v>0.22870003187672769</v>
      </c>
      <c r="W173" s="42" t="str">
        <v/>
      </c>
      <c r="Z173" s="42">
        <v>168</v>
      </c>
      <c r="AA173" s="42">
        <v>4</v>
      </c>
      <c r="AB173" s="42">
        <v>0.24575999999999998</v>
      </c>
      <c r="AC173" s="42" t="e">
        <v>#N/A</v>
      </c>
      <c r="AD173" s="42">
        <v>0.24575999999999998</v>
      </c>
      <c r="AE173" s="42" t="e">
        <v>#N/A</v>
      </c>
      <c r="AF173" s="42" t="str">
        <v/>
      </c>
      <c r="AI173" s="42">
        <v>168</v>
      </c>
      <c r="AJ173" s="42">
        <v>8</v>
      </c>
      <c r="AK173" s="54">
        <v>8.5927163959754148E-4</v>
      </c>
      <c r="AL173" s="54" t="e">
        <v>#N/A</v>
      </c>
      <c r="AM173" s="54" t="e">
        <v>#N/A</v>
      </c>
      <c r="AN173" s="54">
        <v>8.5927163959754148E-4</v>
      </c>
      <c r="AO173" s="54" t="str">
        <v/>
      </c>
    </row>
    <row r="174" spans="18:41" x14ac:dyDescent="0.2">
      <c r="R174" s="42">
        <v>169</v>
      </c>
      <c r="S174" s="42">
        <v>71.594394428642545</v>
      </c>
      <c r="T174" s="42">
        <v>0.22272089760943931</v>
      </c>
      <c r="U174" s="42" t="e">
        <v>#N/A</v>
      </c>
      <c r="V174" s="42">
        <v>0.22272089760943931</v>
      </c>
      <c r="W174" s="42" t="str">
        <v/>
      </c>
      <c r="Z174" s="42">
        <v>169</v>
      </c>
      <c r="AA174" s="42">
        <v>4</v>
      </c>
      <c r="AB174" s="42">
        <v>0.24575999999999998</v>
      </c>
      <c r="AC174" s="42" t="e">
        <v>#N/A</v>
      </c>
      <c r="AD174" s="42">
        <v>0.24575999999999998</v>
      </c>
      <c r="AE174" s="42" t="e">
        <v>#N/A</v>
      </c>
      <c r="AF174" s="42" t="str">
        <v/>
      </c>
      <c r="AI174" s="42">
        <v>169</v>
      </c>
      <c r="AJ174" s="42">
        <v>8</v>
      </c>
      <c r="AK174" s="54">
        <v>8.5927163959754148E-4</v>
      </c>
      <c r="AL174" s="54" t="e">
        <v>#N/A</v>
      </c>
      <c r="AM174" s="54" t="e">
        <v>#N/A</v>
      </c>
      <c r="AN174" s="54">
        <v>8.5927163959754148E-4</v>
      </c>
      <c r="AO174" s="54" t="str">
        <v/>
      </c>
    </row>
    <row r="175" spans="18:41" x14ac:dyDescent="0.2">
      <c r="R175" s="42">
        <v>170</v>
      </c>
      <c r="S175" s="42">
        <v>72.090817289071111</v>
      </c>
      <c r="T175" s="42">
        <v>0.21676449444720089</v>
      </c>
      <c r="U175" s="42" t="e">
        <v>#N/A</v>
      </c>
      <c r="V175" s="42">
        <v>0.21676449444720089</v>
      </c>
      <c r="W175" s="42" t="str">
        <v/>
      </c>
      <c r="Z175" s="42">
        <v>170</v>
      </c>
      <c r="AA175" s="42">
        <v>4</v>
      </c>
      <c r="AB175" s="42">
        <v>0.24575999999999998</v>
      </c>
      <c r="AC175" s="42" t="e">
        <v>#N/A</v>
      </c>
      <c r="AD175" s="42">
        <v>0.24575999999999998</v>
      </c>
      <c r="AE175" s="42" t="e">
        <v>#N/A</v>
      </c>
      <c r="AF175" s="42" t="str">
        <v/>
      </c>
      <c r="AI175" s="42">
        <v>170</v>
      </c>
      <c r="AJ175" s="42">
        <v>8</v>
      </c>
      <c r="AK175" s="54">
        <v>8.5927163959754148E-4</v>
      </c>
      <c r="AL175" s="54" t="e">
        <v>#N/A</v>
      </c>
      <c r="AM175" s="54" t="e">
        <v>#N/A</v>
      </c>
      <c r="AN175" s="54">
        <v>8.5927163959754148E-4</v>
      </c>
      <c r="AO175" s="54" t="str">
        <v/>
      </c>
    </row>
    <row r="176" spans="18:41" x14ac:dyDescent="0.2">
      <c r="R176" s="42">
        <v>171</v>
      </c>
      <c r="S176" s="42">
        <v>72.587240149499692</v>
      </c>
      <c r="T176" s="42">
        <v>0.21083745345327698</v>
      </c>
      <c r="U176" s="42" t="e">
        <v>#N/A</v>
      </c>
      <c r="V176" s="42">
        <v>0.21083745345327698</v>
      </c>
      <c r="W176" s="42" t="str">
        <v/>
      </c>
      <c r="Z176" s="42">
        <v>171</v>
      </c>
      <c r="AA176" s="42">
        <v>4</v>
      </c>
      <c r="AB176" s="42">
        <v>0.24575999999999998</v>
      </c>
      <c r="AC176" s="42" t="e">
        <v>#N/A</v>
      </c>
      <c r="AD176" s="42">
        <v>0.24575999999999998</v>
      </c>
      <c r="AE176" s="42" t="e">
        <v>#N/A</v>
      </c>
      <c r="AF176" s="42" t="str">
        <v/>
      </c>
      <c r="AI176" s="42">
        <v>171</v>
      </c>
      <c r="AJ176" s="42">
        <v>8</v>
      </c>
      <c r="AK176" s="54">
        <v>8.5927163959754148E-4</v>
      </c>
      <c r="AL176" s="54" t="e">
        <v>#N/A</v>
      </c>
      <c r="AM176" s="54" t="e">
        <v>#N/A</v>
      </c>
      <c r="AN176" s="54">
        <v>8.5927163959754148E-4</v>
      </c>
      <c r="AO176" s="54">
        <v>8</v>
      </c>
    </row>
    <row r="177" spans="18:41" x14ac:dyDescent="0.2">
      <c r="R177" s="42">
        <v>172</v>
      </c>
      <c r="S177" s="42">
        <v>73.083663009928244</v>
      </c>
      <c r="T177" s="42">
        <v>0.20494617287776634</v>
      </c>
      <c r="U177" s="42" t="e">
        <v>#N/A</v>
      </c>
      <c r="V177" s="42">
        <v>0.20494617287776634</v>
      </c>
      <c r="W177" s="42" t="str">
        <v/>
      </c>
      <c r="Z177" s="42">
        <v>172</v>
      </c>
      <c r="AA177" s="42">
        <v>4</v>
      </c>
      <c r="AB177" s="42">
        <v>0.24575999999999998</v>
      </c>
      <c r="AC177" s="42" t="e">
        <v>#N/A</v>
      </c>
      <c r="AD177" s="42">
        <v>0.24575999999999998</v>
      </c>
      <c r="AE177" s="42" t="e">
        <v>#N/A</v>
      </c>
      <c r="AF177" s="42" t="str">
        <v/>
      </c>
      <c r="AI177" s="42">
        <v>172</v>
      </c>
      <c r="AJ177" s="42">
        <v>8</v>
      </c>
      <c r="AK177" s="54">
        <v>8.5927163959754148E-4</v>
      </c>
      <c r="AL177" s="54" t="e">
        <v>#N/A</v>
      </c>
      <c r="AM177" s="54" t="e">
        <v>#N/A</v>
      </c>
      <c r="AN177" s="54">
        <v>8.5927163959754148E-4</v>
      </c>
      <c r="AO177" s="54" t="str">
        <v/>
      </c>
    </row>
    <row r="178" spans="18:41" x14ac:dyDescent="0.2">
      <c r="R178" s="42">
        <v>173</v>
      </c>
      <c r="S178" s="42">
        <v>73.580085870356811</v>
      </c>
      <c r="T178" s="42">
        <v>0.19909680897830789</v>
      </c>
      <c r="U178" s="42" t="e">
        <v>#N/A</v>
      </c>
      <c r="V178" s="42">
        <v>0.19909680897830789</v>
      </c>
      <c r="W178" s="42" t="str">
        <v/>
      </c>
      <c r="Z178" s="42">
        <v>173</v>
      </c>
      <c r="AA178" s="42">
        <v>4</v>
      </c>
      <c r="AB178" s="42">
        <v>0.24575999999999998</v>
      </c>
      <c r="AC178" s="42" t="e">
        <v>#N/A</v>
      </c>
      <c r="AD178" s="42">
        <v>0.24575999999999998</v>
      </c>
      <c r="AE178" s="42" t="e">
        <v>#N/A</v>
      </c>
      <c r="AF178" s="42" t="str">
        <v/>
      </c>
      <c r="AI178" s="42">
        <v>173</v>
      </c>
      <c r="AJ178" s="42">
        <v>8</v>
      </c>
      <c r="AK178" s="54">
        <v>8.5927163959754148E-4</v>
      </c>
      <c r="AL178" s="54" t="e">
        <v>#N/A</v>
      </c>
      <c r="AM178" s="54" t="e">
        <v>#N/A</v>
      </c>
      <c r="AN178" s="54">
        <v>8.5927163959754148E-4</v>
      </c>
      <c r="AO178" s="54" t="str">
        <v/>
      </c>
    </row>
    <row r="179" spans="18:41" x14ac:dyDescent="0.2">
      <c r="R179" s="42">
        <v>174</v>
      </c>
      <c r="S179" s="42">
        <v>74.076508730785363</v>
      </c>
      <c r="T179" s="42">
        <v>0.19329526782914908</v>
      </c>
      <c r="U179" s="42" t="e">
        <v>#N/A</v>
      </c>
      <c r="V179" s="42">
        <v>0.19329526782914908</v>
      </c>
      <c r="W179" s="42" t="str">
        <v/>
      </c>
      <c r="Z179" s="42">
        <v>174</v>
      </c>
      <c r="AA179" s="42">
        <v>4</v>
      </c>
      <c r="AB179" s="42">
        <v>0.24575999999999998</v>
      </c>
      <c r="AC179" s="42" t="e">
        <v>#N/A</v>
      </c>
      <c r="AD179" s="42">
        <v>0.24575999999999998</v>
      </c>
      <c r="AE179" s="42" t="e">
        <v>#N/A</v>
      </c>
      <c r="AF179" s="42" t="str">
        <v/>
      </c>
      <c r="AI179" s="42">
        <v>174</v>
      </c>
      <c r="AJ179" s="42">
        <v>8</v>
      </c>
      <c r="AK179" s="54">
        <v>8.5927163959754148E-4</v>
      </c>
      <c r="AL179" s="54" t="e">
        <v>#N/A</v>
      </c>
      <c r="AM179" s="54" t="e">
        <v>#N/A</v>
      </c>
      <c r="AN179" s="54">
        <v>8.5927163959754148E-4</v>
      </c>
      <c r="AO179" s="54" t="str">
        <v/>
      </c>
    </row>
    <row r="180" spans="18:41" x14ac:dyDescent="0.2">
      <c r="R180" s="42">
        <v>175</v>
      </c>
      <c r="S180" s="42">
        <v>74.572931591213944</v>
      </c>
      <c r="T180" s="42">
        <v>0.1875471981207929</v>
      </c>
      <c r="U180" s="42" t="e">
        <v>#N/A</v>
      </c>
      <c r="V180" s="42">
        <v>0.1875471981207929</v>
      </c>
      <c r="W180" s="42" t="str">
        <v/>
      </c>
      <c r="Z180" s="42">
        <v>175</v>
      </c>
      <c r="AA180" s="42">
        <v>4</v>
      </c>
      <c r="AB180" s="42">
        <v>0.24575999999999998</v>
      </c>
      <c r="AC180" s="42" t="e">
        <v>#N/A</v>
      </c>
      <c r="AD180" s="42">
        <v>0.24575999999999998</v>
      </c>
      <c r="AE180" s="42" t="e">
        <v>#N/A</v>
      </c>
      <c r="AF180" s="42" t="str">
        <v/>
      </c>
      <c r="AI180" s="42">
        <v>175</v>
      </c>
      <c r="AJ180" s="42">
        <v>8</v>
      </c>
      <c r="AK180" s="54">
        <v>8.5927163959754148E-4</v>
      </c>
      <c r="AL180" s="54" t="e">
        <v>#N/A</v>
      </c>
      <c r="AM180" s="54" t="e">
        <v>#N/A</v>
      </c>
      <c r="AN180" s="54">
        <v>8.5927163959754148E-4</v>
      </c>
      <c r="AO180" s="54" t="str">
        <v/>
      </c>
    </row>
    <row r="181" spans="18:41" x14ac:dyDescent="0.2">
      <c r="R181" s="42">
        <v>176</v>
      </c>
      <c r="S181" s="42">
        <v>75.069354451642496</v>
      </c>
      <c r="T181" s="42">
        <v>0.18185798494818547</v>
      </c>
      <c r="U181" s="42" t="e">
        <v>#N/A</v>
      </c>
      <c r="V181" s="42">
        <v>0.18185798494818547</v>
      </c>
      <c r="W181" s="42">
        <v>75.069999999999993</v>
      </c>
      <c r="Z181" s="42">
        <v>176</v>
      </c>
      <c r="AA181" s="42" t="e">
        <v>#N/A</v>
      </c>
      <c r="AB181" s="42" t="e">
        <v>#N/A</v>
      </c>
      <c r="AC181" s="42" t="e">
        <v>#N/A</v>
      </c>
      <c r="AD181" s="42" t="e">
        <v>#N/A</v>
      </c>
      <c r="AE181" s="42" t="e">
        <v>#N/A</v>
      </c>
      <c r="AF181" s="42" t="str">
        <v/>
      </c>
      <c r="AI181" s="42">
        <v>176</v>
      </c>
      <c r="AJ181" s="42">
        <v>8</v>
      </c>
      <c r="AK181" s="54">
        <v>8.5927163959754148E-4</v>
      </c>
      <c r="AL181" s="54" t="e">
        <v>#N/A</v>
      </c>
      <c r="AM181" s="54" t="e">
        <v>#N/A</v>
      </c>
      <c r="AN181" s="54">
        <v>8.5927163959754148E-4</v>
      </c>
      <c r="AO181" s="54" t="str">
        <v/>
      </c>
    </row>
    <row r="182" spans="18:41" x14ac:dyDescent="0.2">
      <c r="R182" s="42">
        <v>177</v>
      </c>
      <c r="S182" s="42">
        <v>75.565777312071063</v>
      </c>
      <c r="T182" s="42">
        <v>0.17623274458125057</v>
      </c>
      <c r="U182" s="42" t="e">
        <v>#N/A</v>
      </c>
      <c r="V182" s="42">
        <v>0.17623274458125057</v>
      </c>
      <c r="W182" s="42" t="str">
        <v/>
      </c>
      <c r="Z182" s="42">
        <v>177</v>
      </c>
      <c r="AA182" s="42">
        <v>5</v>
      </c>
      <c r="AB182" s="42">
        <v>0.39321600000000007</v>
      </c>
      <c r="AC182" s="42" t="e">
        <v>#N/A</v>
      </c>
      <c r="AD182" s="42" t="e">
        <v>#N/A</v>
      </c>
      <c r="AE182" s="42">
        <v>0.39321600000000007</v>
      </c>
      <c r="AF182" s="42" t="str">
        <v/>
      </c>
      <c r="AI182" s="42">
        <v>177</v>
      </c>
      <c r="AJ182" s="42">
        <v>8</v>
      </c>
      <c r="AK182" s="54">
        <v>8.5927163959754148E-4</v>
      </c>
      <c r="AL182" s="54" t="e">
        <v>#N/A</v>
      </c>
      <c r="AM182" s="54" t="e">
        <v>#N/A</v>
      </c>
      <c r="AN182" s="54">
        <v>8.5927163959754148E-4</v>
      </c>
      <c r="AO182" s="54" t="str">
        <v/>
      </c>
    </row>
    <row r="183" spans="18:41" x14ac:dyDescent="0.2">
      <c r="R183" s="42">
        <v>178</v>
      </c>
      <c r="S183" s="42">
        <v>76.06220017249963</v>
      </c>
      <c r="T183" s="42">
        <v>0.17067632020760465</v>
      </c>
      <c r="U183" s="42" t="e">
        <v>#N/A</v>
      </c>
      <c r="V183" s="42">
        <v>0.17067632020760465</v>
      </c>
      <c r="W183" s="42" t="str">
        <v/>
      </c>
      <c r="Z183" s="42">
        <v>178</v>
      </c>
      <c r="AA183" s="42">
        <v>5</v>
      </c>
      <c r="AB183" s="42">
        <v>0.39321600000000007</v>
      </c>
      <c r="AC183" s="42" t="e">
        <v>#N/A</v>
      </c>
      <c r="AD183" s="42" t="e">
        <v>#N/A</v>
      </c>
      <c r="AE183" s="42">
        <v>0.39321600000000007</v>
      </c>
      <c r="AF183" s="42" t="str">
        <v/>
      </c>
      <c r="AI183" s="42">
        <v>178</v>
      </c>
      <c r="AJ183" s="42">
        <v>8</v>
      </c>
      <c r="AK183" s="54">
        <v>8.5927163959754148E-4</v>
      </c>
      <c r="AL183" s="54" t="e">
        <v>#N/A</v>
      </c>
      <c r="AM183" s="54" t="e">
        <v>#N/A</v>
      </c>
      <c r="AN183" s="54">
        <v>8.5927163959754148E-4</v>
      </c>
      <c r="AO183" s="54" t="str">
        <v/>
      </c>
    </row>
    <row r="184" spans="18:41" x14ac:dyDescent="0.2">
      <c r="R184" s="42">
        <v>179</v>
      </c>
      <c r="S184" s="42">
        <v>76.558623032928196</v>
      </c>
      <c r="T184" s="42">
        <v>0.16519327863345165</v>
      </c>
      <c r="U184" s="42" t="e">
        <v>#N/A</v>
      </c>
      <c r="V184" s="42">
        <v>0.16519327863345165</v>
      </c>
      <c r="W184" s="42" t="str">
        <v/>
      </c>
      <c r="Z184" s="42">
        <v>179</v>
      </c>
      <c r="AA184" s="42">
        <v>5</v>
      </c>
      <c r="AB184" s="42">
        <v>0.39321600000000007</v>
      </c>
      <c r="AC184" s="42" t="e">
        <v>#N/A</v>
      </c>
      <c r="AD184" s="42" t="e">
        <v>#N/A</v>
      </c>
      <c r="AE184" s="42">
        <v>0.39321600000000007</v>
      </c>
      <c r="AF184" s="42" t="str">
        <v/>
      </c>
      <c r="AI184" s="42">
        <v>179</v>
      </c>
      <c r="AJ184" s="42">
        <v>8</v>
      </c>
      <c r="AK184" s="54">
        <v>8.5927163959754148E-4</v>
      </c>
      <c r="AL184" s="54" t="e">
        <v>#N/A</v>
      </c>
      <c r="AM184" s="54" t="e">
        <v>#N/A</v>
      </c>
      <c r="AN184" s="54">
        <v>8.5927163959754148E-4</v>
      </c>
      <c r="AO184" s="54" t="str">
        <v/>
      </c>
    </row>
    <row r="185" spans="18:41" x14ac:dyDescent="0.2">
      <c r="R185" s="42">
        <v>180</v>
      </c>
      <c r="S185" s="42">
        <v>77.055045893356748</v>
      </c>
      <c r="T185" s="42">
        <v>0.15978790792502937</v>
      </c>
      <c r="U185" s="42" t="e">
        <v>#N/A</v>
      </c>
      <c r="V185" s="42">
        <v>0.15978790792502937</v>
      </c>
      <c r="W185" s="42" t="str">
        <v/>
      </c>
      <c r="Z185" s="42">
        <v>180</v>
      </c>
      <c r="AA185" s="42">
        <v>5</v>
      </c>
      <c r="AB185" s="42">
        <v>0.39321600000000007</v>
      </c>
      <c r="AC185" s="42" t="e">
        <v>#N/A</v>
      </c>
      <c r="AD185" s="42" t="e">
        <v>#N/A</v>
      </c>
      <c r="AE185" s="42">
        <v>0.39321600000000007</v>
      </c>
      <c r="AF185" s="42" t="str">
        <v/>
      </c>
      <c r="AI185" s="42">
        <v>180</v>
      </c>
      <c r="AJ185" s="42">
        <v>8</v>
      </c>
      <c r="AK185" s="54">
        <v>8.5927163959754148E-4</v>
      </c>
      <c r="AL185" s="54" t="e">
        <v>#N/A</v>
      </c>
      <c r="AM185" s="54" t="e">
        <v>#N/A</v>
      </c>
      <c r="AN185" s="54">
        <v>8.5927163959754148E-4</v>
      </c>
      <c r="AO185" s="54" t="str">
        <v/>
      </c>
    </row>
    <row r="186" spans="18:41" x14ac:dyDescent="0.2">
      <c r="R186" s="42">
        <v>181</v>
      </c>
      <c r="S186" s="42">
        <v>77.551468753785315</v>
      </c>
      <c r="T186" s="42">
        <v>0.15446421596953344</v>
      </c>
      <c r="U186" s="42" t="e">
        <v>#N/A</v>
      </c>
      <c r="V186" s="42">
        <v>0.15446421596953344</v>
      </c>
      <c r="W186" s="42" t="str">
        <v/>
      </c>
      <c r="Z186" s="42">
        <v>181</v>
      </c>
      <c r="AA186" s="42">
        <v>5</v>
      </c>
      <c r="AB186" s="42">
        <v>0.39321600000000007</v>
      </c>
      <c r="AC186" s="42" t="e">
        <v>#N/A</v>
      </c>
      <c r="AD186" s="42" t="e">
        <v>#N/A</v>
      </c>
      <c r="AE186" s="42">
        <v>0.39321600000000007</v>
      </c>
      <c r="AF186" s="42" t="str">
        <v/>
      </c>
      <c r="AI186" s="42">
        <v>181</v>
      </c>
      <c r="AJ186" s="42" t="e">
        <v>#N/A</v>
      </c>
      <c r="AK186" s="54" t="e">
        <v>#N/A</v>
      </c>
      <c r="AL186" s="54" t="e">
        <v>#N/A</v>
      </c>
      <c r="AM186" s="54" t="e">
        <v>#N/A</v>
      </c>
      <c r="AN186" s="54" t="e">
        <v>#N/A</v>
      </c>
      <c r="AO186" s="54" t="str">
        <v/>
      </c>
    </row>
    <row r="187" spans="18:41" x14ac:dyDescent="0.2">
      <c r="R187" s="42">
        <v>182</v>
      </c>
      <c r="S187" s="42">
        <v>78.047891614213896</v>
      </c>
      <c r="T187" s="42">
        <v>0.14922592993122322</v>
      </c>
      <c r="U187" s="42" t="e">
        <v>#N/A</v>
      </c>
      <c r="V187" s="42">
        <v>0.14922592993122322</v>
      </c>
      <c r="W187" s="42" t="str">
        <v/>
      </c>
      <c r="Z187" s="42">
        <v>182</v>
      </c>
      <c r="AA187" s="42">
        <v>5</v>
      </c>
      <c r="AB187" s="42">
        <v>0.39321600000000007</v>
      </c>
      <c r="AC187" s="42" t="e">
        <v>#N/A</v>
      </c>
      <c r="AD187" s="42" t="e">
        <v>#N/A</v>
      </c>
      <c r="AE187" s="42">
        <v>0.39321600000000007</v>
      </c>
      <c r="AF187" s="42" t="str">
        <v/>
      </c>
      <c r="AI187" s="42">
        <v>182</v>
      </c>
      <c r="AJ187" s="42">
        <v>9</v>
      </c>
      <c r="AK187" s="54">
        <v>1.9094925324389769E-4</v>
      </c>
      <c r="AL187" s="54" t="e">
        <v>#N/A</v>
      </c>
      <c r="AM187" s="54" t="e">
        <v>#N/A</v>
      </c>
      <c r="AN187" s="54">
        <v>1.9094925324389769E-4</v>
      </c>
      <c r="AO187" s="54" t="str">
        <v/>
      </c>
    </row>
    <row r="188" spans="18:41" x14ac:dyDescent="0.2">
      <c r="R188" s="42">
        <v>183</v>
      </c>
      <c r="S188" s="42">
        <v>78.544314474642448</v>
      </c>
      <c r="T188" s="42">
        <v>0.14407649657540025</v>
      </c>
      <c r="U188" s="42" t="e">
        <v>#N/A</v>
      </c>
      <c r="V188" s="42">
        <v>0.14407649657540025</v>
      </c>
      <c r="W188" s="42" t="str">
        <v/>
      </c>
      <c r="Z188" s="42">
        <v>183</v>
      </c>
      <c r="AA188" s="42">
        <v>5</v>
      </c>
      <c r="AB188" s="42">
        <v>0.39321600000000007</v>
      </c>
      <c r="AC188" s="42" t="e">
        <v>#N/A</v>
      </c>
      <c r="AD188" s="42" t="e">
        <v>#N/A</v>
      </c>
      <c r="AE188" s="42">
        <v>0.39321600000000007</v>
      </c>
      <c r="AF188" s="42" t="str">
        <v/>
      </c>
      <c r="AI188" s="42">
        <v>183</v>
      </c>
      <c r="AJ188" s="42">
        <v>9</v>
      </c>
      <c r="AK188" s="54">
        <v>1.9094925324389769E-4</v>
      </c>
      <c r="AL188" s="54" t="e">
        <v>#N/A</v>
      </c>
      <c r="AM188" s="54" t="e">
        <v>#N/A</v>
      </c>
      <c r="AN188" s="54">
        <v>1.9094925324389769E-4</v>
      </c>
      <c r="AO188" s="54" t="str">
        <v/>
      </c>
    </row>
    <row r="189" spans="18:41" x14ac:dyDescent="0.2">
      <c r="R189" s="42">
        <v>184</v>
      </c>
      <c r="S189" s="42">
        <v>79.040737335071015</v>
      </c>
      <c r="T189" s="42">
        <v>0.13901908343017472</v>
      </c>
      <c r="U189" s="42" t="e">
        <v>#N/A</v>
      </c>
      <c r="V189" s="42">
        <v>0.13901908343017472</v>
      </c>
      <c r="W189" s="42" t="str">
        <v/>
      </c>
      <c r="Z189" s="42">
        <v>184</v>
      </c>
      <c r="AA189" s="42">
        <v>5</v>
      </c>
      <c r="AB189" s="42">
        <v>0.39321600000000007</v>
      </c>
      <c r="AC189" s="42" t="e">
        <v>#N/A</v>
      </c>
      <c r="AD189" s="42" t="e">
        <v>#N/A</v>
      </c>
      <c r="AE189" s="42">
        <v>0.39321600000000007</v>
      </c>
      <c r="AF189" s="42" t="str">
        <v/>
      </c>
      <c r="AI189" s="42">
        <v>184</v>
      </c>
      <c r="AJ189" s="42">
        <v>9</v>
      </c>
      <c r="AK189" s="54">
        <v>1.9094925324389769E-4</v>
      </c>
      <c r="AL189" s="54" t="e">
        <v>#N/A</v>
      </c>
      <c r="AM189" s="54" t="e">
        <v>#N/A</v>
      </c>
      <c r="AN189" s="54">
        <v>1.9094925324389769E-4</v>
      </c>
      <c r="AO189" s="54" t="str">
        <v/>
      </c>
    </row>
    <row r="190" spans="18:41" x14ac:dyDescent="0.2">
      <c r="R190" s="42">
        <v>185</v>
      </c>
      <c r="S190" s="42">
        <v>79.537160195499581</v>
      </c>
      <c r="T190" s="42">
        <v>0.13405658075340421</v>
      </c>
      <c r="U190" s="42" t="e">
        <v>#N/A</v>
      </c>
      <c r="V190" s="42">
        <v>0.13405658075340421</v>
      </c>
      <c r="W190" s="42" t="str">
        <v/>
      </c>
      <c r="Z190" s="42">
        <v>185</v>
      </c>
      <c r="AA190" s="42">
        <v>5</v>
      </c>
      <c r="AB190" s="42">
        <v>0.39321600000000007</v>
      </c>
      <c r="AC190" s="42" t="e">
        <v>#N/A</v>
      </c>
      <c r="AD190" s="42" t="e">
        <v>#N/A</v>
      </c>
      <c r="AE190" s="42">
        <v>0.39321600000000007</v>
      </c>
      <c r="AF190" s="42" t="str">
        <v/>
      </c>
      <c r="AI190" s="42">
        <v>185</v>
      </c>
      <c r="AJ190" s="42">
        <v>9</v>
      </c>
      <c r="AK190" s="54">
        <v>1.9094925324389769E-4</v>
      </c>
      <c r="AL190" s="54" t="e">
        <v>#N/A</v>
      </c>
      <c r="AM190" s="54" t="e">
        <v>#N/A</v>
      </c>
      <c r="AN190" s="54">
        <v>1.9094925324389769E-4</v>
      </c>
      <c r="AO190" s="54" t="str">
        <v/>
      </c>
    </row>
    <row r="191" spans="18:41" x14ac:dyDescent="0.2">
      <c r="R191" s="42">
        <v>186</v>
      </c>
      <c r="S191" s="42">
        <v>80.033583055928148</v>
      </c>
      <c r="T191" s="42">
        <v>0.12919160426988183</v>
      </c>
      <c r="U191" s="42" t="e">
        <v>#N/A</v>
      </c>
      <c r="V191" s="42">
        <v>0.12919160426988183</v>
      </c>
      <c r="W191" s="42" t="str">
        <v/>
      </c>
      <c r="Z191" s="42">
        <v>186</v>
      </c>
      <c r="AA191" s="42">
        <v>5</v>
      </c>
      <c r="AB191" s="42">
        <v>0.39321600000000007</v>
      </c>
      <c r="AC191" s="42" t="e">
        <v>#N/A</v>
      </c>
      <c r="AD191" s="42" t="e">
        <v>#N/A</v>
      </c>
      <c r="AE191" s="42">
        <v>0.39321600000000007</v>
      </c>
      <c r="AF191" s="42" t="str">
        <v/>
      </c>
      <c r="AI191" s="42">
        <v>186</v>
      </c>
      <c r="AJ191" s="42">
        <v>9</v>
      </c>
      <c r="AK191" s="54">
        <v>1.9094925324389769E-4</v>
      </c>
      <c r="AL191" s="54" t="e">
        <v>#N/A</v>
      </c>
      <c r="AM191" s="54" t="e">
        <v>#N/A</v>
      </c>
      <c r="AN191" s="54">
        <v>1.9094925324389769E-4</v>
      </c>
      <c r="AO191" s="54" t="str">
        <v/>
      </c>
    </row>
    <row r="192" spans="18:41" x14ac:dyDescent="0.2">
      <c r="R192" s="42">
        <v>187</v>
      </c>
      <c r="S192" s="42">
        <v>80.5300059163567</v>
      </c>
      <c r="T192" s="42">
        <v>0.1244264986418164</v>
      </c>
      <c r="U192" s="42" t="e">
        <v>#N/A</v>
      </c>
      <c r="V192" s="42">
        <v>0.1244264986418164</v>
      </c>
      <c r="W192" s="42" t="str">
        <v/>
      </c>
      <c r="Z192" s="42">
        <v>187</v>
      </c>
      <c r="AA192" s="42">
        <v>5</v>
      </c>
      <c r="AB192" s="42">
        <v>0.39321600000000007</v>
      </c>
      <c r="AC192" s="42" t="e">
        <v>#N/A</v>
      </c>
      <c r="AD192" s="42" t="e">
        <v>#N/A</v>
      </c>
      <c r="AE192" s="42">
        <v>0.39321600000000007</v>
      </c>
      <c r="AF192" s="42" t="str">
        <v/>
      </c>
      <c r="AI192" s="42">
        <v>187</v>
      </c>
      <c r="AJ192" s="42">
        <v>9</v>
      </c>
      <c r="AK192" s="54">
        <v>1.9094925324389769E-4</v>
      </c>
      <c r="AL192" s="54" t="e">
        <v>#N/A</v>
      </c>
      <c r="AM192" s="54" t="e">
        <v>#N/A</v>
      </c>
      <c r="AN192" s="54">
        <v>1.9094925324389769E-4</v>
      </c>
      <c r="AO192" s="54" t="str">
        <v/>
      </c>
    </row>
    <row r="193" spans="18:41" x14ac:dyDescent="0.2">
      <c r="R193" s="42">
        <v>188</v>
      </c>
      <c r="S193" s="42">
        <v>81.026428776785281</v>
      </c>
      <c r="T193" s="42">
        <v>0.11976334163384346</v>
      </c>
      <c r="U193" s="42" t="e">
        <v>#N/A</v>
      </c>
      <c r="V193" s="42">
        <v>0.11976334163384346</v>
      </c>
      <c r="W193" s="42" t="str">
        <v/>
      </c>
      <c r="Z193" s="42">
        <v>188</v>
      </c>
      <c r="AA193" s="42">
        <v>5</v>
      </c>
      <c r="AB193" s="42">
        <v>0.39321600000000007</v>
      </c>
      <c r="AC193" s="42" t="e">
        <v>#N/A</v>
      </c>
      <c r="AD193" s="42" t="e">
        <v>#N/A</v>
      </c>
      <c r="AE193" s="42">
        <v>0.39321600000000007</v>
      </c>
      <c r="AF193" s="42" t="str">
        <v/>
      </c>
      <c r="AI193" s="42">
        <v>188</v>
      </c>
      <c r="AJ193" s="42">
        <v>9</v>
      </c>
      <c r="AK193" s="54">
        <v>1.9094925324389769E-4</v>
      </c>
      <c r="AL193" s="54" t="e">
        <v>#N/A</v>
      </c>
      <c r="AM193" s="54" t="e">
        <v>#N/A</v>
      </c>
      <c r="AN193" s="54">
        <v>1.9094925324389769E-4</v>
      </c>
      <c r="AO193" s="54" t="str">
        <v/>
      </c>
    </row>
    <row r="194" spans="18:41" x14ac:dyDescent="0.2">
      <c r="R194" s="42">
        <v>189</v>
      </c>
      <c r="S194" s="42">
        <v>81.522851637213833</v>
      </c>
      <c r="T194" s="42">
        <v>0.11520394893226817</v>
      </c>
      <c r="U194" s="42" t="e">
        <v>#N/A</v>
      </c>
      <c r="V194" s="42">
        <v>0.11520394893226817</v>
      </c>
      <c r="W194" s="42" t="str">
        <v/>
      </c>
      <c r="Z194" s="42">
        <v>189</v>
      </c>
      <c r="AA194" s="42">
        <v>5</v>
      </c>
      <c r="AB194" s="42">
        <v>0.39321600000000007</v>
      </c>
      <c r="AC194" s="42" t="e">
        <v>#N/A</v>
      </c>
      <c r="AD194" s="42" t="e">
        <v>#N/A</v>
      </c>
      <c r="AE194" s="42">
        <v>0.39321600000000007</v>
      </c>
      <c r="AF194" s="42" t="str">
        <v/>
      </c>
      <c r="AI194" s="42">
        <v>189</v>
      </c>
      <c r="AJ194" s="42">
        <v>9</v>
      </c>
      <c r="AK194" s="54">
        <v>1.9094925324389769E-4</v>
      </c>
      <c r="AL194" s="54" t="e">
        <v>#N/A</v>
      </c>
      <c r="AM194" s="54" t="e">
        <v>#N/A</v>
      </c>
      <c r="AN194" s="54">
        <v>1.9094925324389769E-4</v>
      </c>
      <c r="AO194" s="54" t="str">
        <v/>
      </c>
    </row>
    <row r="195" spans="18:41" x14ac:dyDescent="0.2">
      <c r="R195" s="42">
        <v>190</v>
      </c>
      <c r="S195" s="42">
        <v>82.0192744976424</v>
      </c>
      <c r="T195" s="42">
        <v>0.11074987957693934</v>
      </c>
      <c r="U195" s="42" t="e">
        <v>#N/A</v>
      </c>
      <c r="V195" s="42">
        <v>0.11074987957693934</v>
      </c>
      <c r="W195" s="42" t="str">
        <v/>
      </c>
      <c r="Z195" s="42">
        <v>190</v>
      </c>
      <c r="AA195" s="42">
        <v>5</v>
      </c>
      <c r="AB195" s="42">
        <v>0.39321600000000007</v>
      </c>
      <c r="AC195" s="42" t="e">
        <v>#N/A</v>
      </c>
      <c r="AD195" s="42" t="e">
        <v>#N/A</v>
      </c>
      <c r="AE195" s="42">
        <v>0.39321600000000007</v>
      </c>
      <c r="AF195" s="42" t="str">
        <v/>
      </c>
      <c r="AI195" s="42">
        <v>190</v>
      </c>
      <c r="AJ195" s="42">
        <v>9</v>
      </c>
      <c r="AK195" s="54">
        <v>1.9094925324389769E-4</v>
      </c>
      <c r="AL195" s="54" t="e">
        <v>#N/A</v>
      </c>
      <c r="AM195" s="54" t="e">
        <v>#N/A</v>
      </c>
      <c r="AN195" s="54">
        <v>1.9094925324389769E-4</v>
      </c>
      <c r="AO195" s="54" t="str">
        <v/>
      </c>
    </row>
    <row r="196" spans="18:41" x14ac:dyDescent="0.2">
      <c r="R196" s="42">
        <v>191</v>
      </c>
      <c r="S196" s="42">
        <v>82.515697358070966</v>
      </c>
      <c r="T196" s="42">
        <v>0.10640244196312039</v>
      </c>
      <c r="U196" s="42" t="e">
        <v>#N/A</v>
      </c>
      <c r="V196" s="42">
        <v>0.10640244196312039</v>
      </c>
      <c r="W196" s="42" t="str">
        <v/>
      </c>
      <c r="Z196" s="42">
        <v>191</v>
      </c>
      <c r="AA196" s="42">
        <v>5</v>
      </c>
      <c r="AB196" s="42">
        <v>0.39321600000000007</v>
      </c>
      <c r="AC196" s="42" t="e">
        <v>#N/A</v>
      </c>
      <c r="AD196" s="42" t="e">
        <v>#N/A</v>
      </c>
      <c r="AE196" s="42">
        <v>0.39321600000000007</v>
      </c>
      <c r="AF196" s="42" t="str">
        <v/>
      </c>
      <c r="AI196" s="42">
        <v>191</v>
      </c>
      <c r="AJ196" s="42">
        <v>9</v>
      </c>
      <c r="AK196" s="54">
        <v>1.9094925324389769E-4</v>
      </c>
      <c r="AL196" s="54" t="e">
        <v>#N/A</v>
      </c>
      <c r="AM196" s="54" t="e">
        <v>#N/A</v>
      </c>
      <c r="AN196" s="54">
        <v>1.9094925324389769E-4</v>
      </c>
      <c r="AO196" s="54">
        <v>9</v>
      </c>
    </row>
    <row r="197" spans="18:41" x14ac:dyDescent="0.2">
      <c r="R197" s="42">
        <v>192</v>
      </c>
      <c r="S197" s="42">
        <v>83.012120218499533</v>
      </c>
      <c r="T197" s="42">
        <v>0.10216270036991239</v>
      </c>
      <c r="U197" s="42" t="e">
        <v>#N/A</v>
      </c>
      <c r="V197" s="42">
        <v>0.10216270036991239</v>
      </c>
      <c r="W197" s="42" t="str">
        <v/>
      </c>
      <c r="Z197" s="42">
        <v>192</v>
      </c>
      <c r="AA197" s="42">
        <v>5</v>
      </c>
      <c r="AB197" s="42">
        <v>0.39321600000000007</v>
      </c>
      <c r="AC197" s="42" t="e">
        <v>#N/A</v>
      </c>
      <c r="AD197" s="42" t="e">
        <v>#N/A</v>
      </c>
      <c r="AE197" s="42">
        <v>0.39321600000000007</v>
      </c>
      <c r="AF197" s="42" t="str">
        <v/>
      </c>
      <c r="AI197" s="42">
        <v>192</v>
      </c>
      <c r="AJ197" s="42">
        <v>9</v>
      </c>
      <c r="AK197" s="54">
        <v>1.9094925324389769E-4</v>
      </c>
      <c r="AL197" s="54" t="e">
        <v>#N/A</v>
      </c>
      <c r="AM197" s="54" t="e">
        <v>#N/A</v>
      </c>
      <c r="AN197" s="54">
        <v>1.9094925324389769E-4</v>
      </c>
      <c r="AO197" s="54" t="str">
        <v/>
      </c>
    </row>
    <row r="198" spans="18:41" x14ac:dyDescent="0.2">
      <c r="R198" s="42">
        <v>193</v>
      </c>
      <c r="S198" s="42">
        <v>83.508543078928099</v>
      </c>
      <c r="T198" s="42">
        <v>9.8031481971232889E-2</v>
      </c>
      <c r="U198" s="42" t="e">
        <v>#N/A</v>
      </c>
      <c r="V198" s="42">
        <v>9.8031481971232889E-2</v>
      </c>
      <c r="W198" s="42" t="str">
        <v/>
      </c>
      <c r="Z198" s="42">
        <v>193</v>
      </c>
      <c r="AA198" s="42">
        <v>5</v>
      </c>
      <c r="AB198" s="42">
        <v>0.39321600000000007</v>
      </c>
      <c r="AC198" s="42" t="e">
        <v>#N/A</v>
      </c>
      <c r="AD198" s="42" t="e">
        <v>#N/A</v>
      </c>
      <c r="AE198" s="42">
        <v>0.39321600000000007</v>
      </c>
      <c r="AF198" s="42" t="str">
        <v/>
      </c>
      <c r="AI198" s="42">
        <v>193</v>
      </c>
      <c r="AJ198" s="42">
        <v>9</v>
      </c>
      <c r="AK198" s="54">
        <v>1.9094925324389769E-4</v>
      </c>
      <c r="AL198" s="54" t="e">
        <v>#N/A</v>
      </c>
      <c r="AM198" s="54" t="e">
        <v>#N/A</v>
      </c>
      <c r="AN198" s="54">
        <v>1.9094925324389769E-4</v>
      </c>
      <c r="AO198" s="54" t="str">
        <v/>
      </c>
    </row>
    <row r="199" spans="18:41" x14ac:dyDescent="0.2">
      <c r="R199" s="42">
        <v>194</v>
      </c>
      <c r="S199" s="42">
        <v>84.004965939356651</v>
      </c>
      <c r="T199" s="42">
        <v>9.4009384285025213E-2</v>
      </c>
      <c r="U199" s="42" t="e">
        <v>#N/A</v>
      </c>
      <c r="V199" s="42">
        <v>9.4009384285025213E-2</v>
      </c>
      <c r="W199" s="42" t="str">
        <v/>
      </c>
      <c r="Z199" s="42">
        <v>194</v>
      </c>
      <c r="AA199" s="42">
        <v>5</v>
      </c>
      <c r="AB199" s="42">
        <v>0.39321600000000007</v>
      </c>
      <c r="AC199" s="42" t="e">
        <v>#N/A</v>
      </c>
      <c r="AD199" s="42" t="e">
        <v>#N/A</v>
      </c>
      <c r="AE199" s="42">
        <v>0.39321600000000007</v>
      </c>
      <c r="AF199" s="42">
        <v>5</v>
      </c>
      <c r="AI199" s="42">
        <v>194</v>
      </c>
      <c r="AJ199" s="42">
        <v>9</v>
      </c>
      <c r="AK199" s="54">
        <v>1.9094925324389769E-4</v>
      </c>
      <c r="AL199" s="54" t="e">
        <v>#N/A</v>
      </c>
      <c r="AM199" s="54" t="e">
        <v>#N/A</v>
      </c>
      <c r="AN199" s="54">
        <v>1.9094925324389769E-4</v>
      </c>
      <c r="AO199" s="54" t="str">
        <v/>
      </c>
    </row>
    <row r="200" spans="18:41" x14ac:dyDescent="0.2">
      <c r="R200" s="42">
        <v>195</v>
      </c>
      <c r="S200" s="42">
        <v>84.501388799785232</v>
      </c>
      <c r="T200" s="42">
        <v>9.009678301627555E-2</v>
      </c>
      <c r="U200" s="42" t="e">
        <v>#N/A</v>
      </c>
      <c r="V200" s="42">
        <v>9.009678301627555E-2</v>
      </c>
      <c r="W200" s="42" t="str">
        <v/>
      </c>
      <c r="Z200" s="42">
        <v>195</v>
      </c>
      <c r="AA200" s="42">
        <v>5</v>
      </c>
      <c r="AB200" s="42">
        <v>0.39321600000000007</v>
      </c>
      <c r="AC200" s="42" t="e">
        <v>#N/A</v>
      </c>
      <c r="AD200" s="42" t="e">
        <v>#N/A</v>
      </c>
      <c r="AE200" s="42">
        <v>0.39321600000000007</v>
      </c>
      <c r="AF200" s="42" t="str">
        <v/>
      </c>
      <c r="AI200" s="42">
        <v>195</v>
      </c>
      <c r="AJ200" s="42">
        <v>9</v>
      </c>
      <c r="AK200" s="54">
        <v>1.9094925324389769E-4</v>
      </c>
      <c r="AL200" s="54" t="e">
        <v>#N/A</v>
      </c>
      <c r="AM200" s="54" t="e">
        <v>#N/A</v>
      </c>
      <c r="AN200" s="54">
        <v>1.9094925324389769E-4</v>
      </c>
      <c r="AO200" s="54" t="str">
        <v/>
      </c>
    </row>
    <row r="201" spans="18:41" x14ac:dyDescent="0.2">
      <c r="R201" s="42">
        <v>196</v>
      </c>
      <c r="S201" s="42">
        <v>84.997811660213785</v>
      </c>
      <c r="T201" s="42">
        <v>8.6293840249536694E-2</v>
      </c>
      <c r="U201" s="42" t="e">
        <v>#N/A</v>
      </c>
      <c r="V201" s="42">
        <v>8.6293840249536694E-2</v>
      </c>
      <c r="W201" s="42" t="str">
        <v/>
      </c>
      <c r="Z201" s="42">
        <v>196</v>
      </c>
      <c r="AA201" s="42">
        <v>5</v>
      </c>
      <c r="AB201" s="42">
        <v>0.39321600000000007</v>
      </c>
      <c r="AC201" s="42" t="e">
        <v>#N/A</v>
      </c>
      <c r="AD201" s="42" t="e">
        <v>#N/A</v>
      </c>
      <c r="AE201" s="42">
        <v>0.39321600000000007</v>
      </c>
      <c r="AF201" s="42" t="str">
        <v/>
      </c>
      <c r="AI201" s="42">
        <v>196</v>
      </c>
      <c r="AJ201" s="42">
        <v>9</v>
      </c>
      <c r="AK201" s="54">
        <v>1.9094925324389769E-4</v>
      </c>
      <c r="AL201" s="54" t="e">
        <v>#N/A</v>
      </c>
      <c r="AM201" s="54" t="e">
        <v>#N/A</v>
      </c>
      <c r="AN201" s="54">
        <v>1.9094925324389769E-4</v>
      </c>
      <c r="AO201" s="54" t="str">
        <v/>
      </c>
    </row>
    <row r="202" spans="18:41" x14ac:dyDescent="0.2">
      <c r="R202" s="42">
        <v>197</v>
      </c>
      <c r="S202" s="42">
        <v>85.494234520642351</v>
      </c>
      <c r="T202" s="42">
        <v>8.2600512946980065E-2</v>
      </c>
      <c r="U202" s="42" t="e">
        <v>#N/A</v>
      </c>
      <c r="V202" s="42">
        <v>8.2600512946980065E-2</v>
      </c>
      <c r="W202" s="42" t="str">
        <v/>
      </c>
      <c r="Z202" s="42">
        <v>197</v>
      </c>
      <c r="AA202" s="42">
        <v>5</v>
      </c>
      <c r="AB202" s="42">
        <v>0.39321600000000007</v>
      </c>
      <c r="AC202" s="42" t="e">
        <v>#N/A</v>
      </c>
      <c r="AD202" s="42" t="e">
        <v>#N/A</v>
      </c>
      <c r="AE202" s="42">
        <v>0.39321600000000007</v>
      </c>
      <c r="AF202" s="42" t="str">
        <v/>
      </c>
      <c r="AI202" s="42">
        <v>197</v>
      </c>
      <c r="AJ202" s="42">
        <v>9</v>
      </c>
      <c r="AK202" s="54">
        <v>1.9094925324389769E-4</v>
      </c>
      <c r="AL202" s="54" t="e">
        <v>#N/A</v>
      </c>
      <c r="AM202" s="54" t="e">
        <v>#N/A</v>
      </c>
      <c r="AN202" s="54">
        <v>1.9094925324389769E-4</v>
      </c>
      <c r="AO202" s="54" t="str">
        <v/>
      </c>
    </row>
    <row r="203" spans="18:41" x14ac:dyDescent="0.2">
      <c r="R203" s="42">
        <v>198</v>
      </c>
      <c r="S203" s="42">
        <v>85.990657381070918</v>
      </c>
      <c r="T203" s="42">
        <v>7.9016561708534841E-2</v>
      </c>
      <c r="U203" s="42" t="e">
        <v>#N/A</v>
      </c>
      <c r="V203" s="42">
        <v>7.9016561708534841E-2</v>
      </c>
      <c r="W203" s="42" t="str">
        <v/>
      </c>
      <c r="Z203" s="42">
        <v>198</v>
      </c>
      <c r="AA203" s="42">
        <v>5</v>
      </c>
      <c r="AB203" s="42">
        <v>0.39321600000000007</v>
      </c>
      <c r="AC203" s="42" t="e">
        <v>#N/A</v>
      </c>
      <c r="AD203" s="42" t="e">
        <v>#N/A</v>
      </c>
      <c r="AE203" s="42">
        <v>0.39321600000000007</v>
      </c>
      <c r="AF203" s="42" t="str">
        <v/>
      </c>
      <c r="AI203" s="42">
        <v>198</v>
      </c>
      <c r="AJ203" s="42">
        <v>9</v>
      </c>
      <c r="AK203" s="54">
        <v>1.9094925324389769E-4</v>
      </c>
      <c r="AL203" s="54" t="e">
        <v>#N/A</v>
      </c>
      <c r="AM203" s="54" t="e">
        <v>#N/A</v>
      </c>
      <c r="AN203" s="54">
        <v>1.9094925324389769E-4</v>
      </c>
      <c r="AO203" s="54" t="str">
        <v/>
      </c>
    </row>
    <row r="204" spans="18:41" x14ac:dyDescent="0.2">
      <c r="R204" s="42">
        <v>199</v>
      </c>
      <c r="S204" s="42">
        <v>86.487080241499484</v>
      </c>
      <c r="T204" s="42">
        <v>7.5541559751377427E-2</v>
      </c>
      <c r="U204" s="42" t="e">
        <v>#N/A</v>
      </c>
      <c r="V204" s="42">
        <v>7.5541559751377427E-2</v>
      </c>
      <c r="W204" s="42" t="str">
        <v/>
      </c>
      <c r="Z204" s="42">
        <v>199</v>
      </c>
      <c r="AA204" s="42">
        <v>5</v>
      </c>
      <c r="AB204" s="42">
        <v>0.39321600000000007</v>
      </c>
      <c r="AC204" s="42" t="e">
        <v>#N/A</v>
      </c>
      <c r="AD204" s="42" t="e">
        <v>#N/A</v>
      </c>
      <c r="AE204" s="42">
        <v>0.39321600000000007</v>
      </c>
      <c r="AF204" s="42" t="str">
        <v/>
      </c>
      <c r="AI204" s="42">
        <v>199</v>
      </c>
      <c r="AJ204" s="42">
        <v>9</v>
      </c>
      <c r="AK204" s="54">
        <v>1.9094925324389769E-4</v>
      </c>
      <c r="AL204" s="54" t="e">
        <v>#N/A</v>
      </c>
      <c r="AM204" s="54" t="e">
        <v>#N/A</v>
      </c>
      <c r="AN204" s="54">
        <v>1.9094925324389769E-4</v>
      </c>
      <c r="AO204" s="54" t="str">
        <v/>
      </c>
    </row>
    <row r="205" spans="18:41" x14ac:dyDescent="0.2">
      <c r="R205" s="42">
        <v>200</v>
      </c>
      <c r="S205" s="42">
        <v>86.983503101928036</v>
      </c>
      <c r="T205" s="42">
        <v>7.2174902066932334E-2</v>
      </c>
      <c r="U205" s="42" t="e">
        <v>#N/A</v>
      </c>
      <c r="V205" s="42">
        <v>7.2174902066932334E-2</v>
      </c>
      <c r="W205" s="42" t="str">
        <v/>
      </c>
      <c r="Z205" s="42">
        <v>200</v>
      </c>
      <c r="AA205" s="42">
        <v>5</v>
      </c>
      <c r="AB205" s="42">
        <v>0.39321600000000007</v>
      </c>
      <c r="AC205" s="42" t="e">
        <v>#N/A</v>
      </c>
      <c r="AD205" s="42" t="e">
        <v>#N/A</v>
      </c>
      <c r="AE205" s="42">
        <v>0.39321600000000007</v>
      </c>
      <c r="AF205" s="42" t="str">
        <v/>
      </c>
      <c r="AI205" s="42">
        <v>200</v>
      </c>
      <c r="AJ205" s="42">
        <v>9</v>
      </c>
      <c r="AK205" s="54">
        <v>1.9094925324389769E-4</v>
      </c>
      <c r="AL205" s="54" t="e">
        <v>#N/A</v>
      </c>
      <c r="AM205" s="54" t="e">
        <v>#N/A</v>
      </c>
      <c r="AN205" s="54">
        <v>1.9094925324389769E-4</v>
      </c>
      <c r="AO205" s="54" t="str">
        <v/>
      </c>
    </row>
    <row r="206" spans="18:41" x14ac:dyDescent="0.2">
      <c r="R206" s="42">
        <v>201</v>
      </c>
      <c r="S206" s="42">
        <v>87.479925962356603</v>
      </c>
      <c r="T206" s="42">
        <v>6.8915814714596221E-2</v>
      </c>
      <c r="U206" s="42" t="e">
        <v>#N/A</v>
      </c>
      <c r="V206" s="42">
        <v>6.8915814714596221E-2</v>
      </c>
      <c r="W206" s="42">
        <v>87.48</v>
      </c>
      <c r="Z206" s="42">
        <v>201</v>
      </c>
      <c r="AA206" s="42">
        <v>5</v>
      </c>
      <c r="AB206" s="42">
        <v>0.39321600000000007</v>
      </c>
      <c r="AC206" s="42" t="e">
        <v>#N/A</v>
      </c>
      <c r="AD206" s="42" t="e">
        <v>#N/A</v>
      </c>
      <c r="AE206" s="42">
        <v>0.39321600000000007</v>
      </c>
      <c r="AF206" s="42" t="str">
        <v/>
      </c>
      <c r="AI206" s="42">
        <v>201</v>
      </c>
      <c r="AJ206" s="42" t="e">
        <v>#N/A</v>
      </c>
      <c r="AK206" s="54" t="e">
        <v>#N/A</v>
      </c>
      <c r="AL206" s="54" t="e">
        <v>#N/A</v>
      </c>
      <c r="AM206" s="54" t="e">
        <v>#N/A</v>
      </c>
      <c r="AN206" s="54" t="e">
        <v>#N/A</v>
      </c>
      <c r="AO206" s="54" t="str">
        <v/>
      </c>
    </row>
    <row r="207" spans="18:41" x14ac:dyDescent="0.2">
      <c r="R207" s="42">
        <v>202</v>
      </c>
      <c r="S207" s="42">
        <v>87.976348822785184</v>
      </c>
      <c r="T207" s="42">
        <v>6.5763364212604133E-2</v>
      </c>
      <c r="U207" s="42" t="e">
        <v>#N/A</v>
      </c>
      <c r="V207" s="42">
        <v>6.5763364212604133E-2</v>
      </c>
      <c r="W207" s="42" t="str">
        <v/>
      </c>
      <c r="Z207" s="42">
        <v>202</v>
      </c>
      <c r="AA207" s="42">
        <v>5</v>
      </c>
      <c r="AB207" s="42">
        <v>0.39321600000000007</v>
      </c>
      <c r="AC207" s="42" t="e">
        <v>#N/A</v>
      </c>
      <c r="AD207" s="42" t="e">
        <v>#N/A</v>
      </c>
      <c r="AE207" s="42">
        <v>0.39321600000000007</v>
      </c>
      <c r="AF207" s="42" t="str">
        <v/>
      </c>
      <c r="AI207" s="42">
        <v>202</v>
      </c>
      <c r="AJ207" s="42">
        <v>10</v>
      </c>
      <c r="AK207" s="54">
        <v>3.8189850648779602E-5</v>
      </c>
      <c r="AL207" s="54" t="e">
        <v>#N/A</v>
      </c>
      <c r="AM207" s="54" t="e">
        <v>#N/A</v>
      </c>
      <c r="AN207" s="54">
        <v>3.8189850648779602E-5</v>
      </c>
      <c r="AO207" s="54" t="str">
        <v/>
      </c>
    </row>
    <row r="208" spans="18:41" x14ac:dyDescent="0.2">
      <c r="R208" s="42">
        <v>203</v>
      </c>
      <c r="S208" s="42">
        <v>88.472771683213736</v>
      </c>
      <c r="T208" s="42">
        <v>6.2716466987796121E-2</v>
      </c>
      <c r="U208" s="42" t="e">
        <v>#N/A</v>
      </c>
      <c r="V208" s="42">
        <v>6.2716466987796121E-2</v>
      </c>
      <c r="W208" s="42" t="str">
        <v/>
      </c>
      <c r="Z208" s="42">
        <v>203</v>
      </c>
      <c r="AA208" s="42">
        <v>5</v>
      </c>
      <c r="AB208" s="42">
        <v>0.39321600000000007</v>
      </c>
      <c r="AC208" s="42" t="e">
        <v>#N/A</v>
      </c>
      <c r="AD208" s="42" t="e">
        <v>#N/A</v>
      </c>
      <c r="AE208" s="42">
        <v>0.39321600000000007</v>
      </c>
      <c r="AF208" s="42" t="str">
        <v/>
      </c>
      <c r="AI208" s="42">
        <v>203</v>
      </c>
      <c r="AJ208" s="42">
        <v>10</v>
      </c>
      <c r="AK208" s="54">
        <v>3.8189850648779602E-5</v>
      </c>
      <c r="AL208" s="54" t="e">
        <v>#N/A</v>
      </c>
      <c r="AM208" s="54" t="e">
        <v>#N/A</v>
      </c>
      <c r="AN208" s="54">
        <v>3.8189850648779602E-5</v>
      </c>
      <c r="AO208" s="54" t="str">
        <v/>
      </c>
    </row>
    <row r="209" spans="18:41" x14ac:dyDescent="0.2">
      <c r="R209" s="42">
        <v>204</v>
      </c>
      <c r="S209" s="42">
        <v>88.969194543642303</v>
      </c>
      <c r="T209" s="42">
        <v>5.9773898847512365E-2</v>
      </c>
      <c r="U209" s="42" t="e">
        <v>#N/A</v>
      </c>
      <c r="V209" s="42">
        <v>5.9773898847512365E-2</v>
      </c>
      <c r="W209" s="42" t="str">
        <v/>
      </c>
      <c r="Z209" s="42">
        <v>204</v>
      </c>
      <c r="AA209" s="42">
        <v>5</v>
      </c>
      <c r="AB209" s="42">
        <v>0.39321600000000007</v>
      </c>
      <c r="AC209" s="42" t="e">
        <v>#N/A</v>
      </c>
      <c r="AD209" s="42" t="e">
        <v>#N/A</v>
      </c>
      <c r="AE209" s="42">
        <v>0.39321600000000007</v>
      </c>
      <c r="AF209" s="42" t="str">
        <v/>
      </c>
      <c r="AI209" s="42">
        <v>204</v>
      </c>
      <c r="AJ209" s="42">
        <v>10</v>
      </c>
      <c r="AK209" s="54">
        <v>3.8189850648779602E-5</v>
      </c>
      <c r="AL209" s="54" t="e">
        <v>#N/A</v>
      </c>
      <c r="AM209" s="54" t="e">
        <v>#N/A</v>
      </c>
      <c r="AN209" s="54">
        <v>3.8189850648779602E-5</v>
      </c>
      <c r="AO209" s="54" t="str">
        <v/>
      </c>
    </row>
    <row r="210" spans="18:41" x14ac:dyDescent="0.2">
      <c r="R210" s="42">
        <v>205</v>
      </c>
      <c r="S210" s="42">
        <v>89.465617404070869</v>
      </c>
      <c r="T210" s="42">
        <v>5.6934304438421797E-2</v>
      </c>
      <c r="U210" s="42" t="e">
        <v>#N/A</v>
      </c>
      <c r="V210" s="42">
        <v>5.6934304438421797E-2</v>
      </c>
      <c r="W210" s="42" t="str">
        <v/>
      </c>
      <c r="Z210" s="42">
        <v>205</v>
      </c>
      <c r="AA210" s="42">
        <v>5</v>
      </c>
      <c r="AB210" s="42">
        <v>0.39321600000000007</v>
      </c>
      <c r="AC210" s="42" t="e">
        <v>#N/A</v>
      </c>
      <c r="AD210" s="42" t="e">
        <v>#N/A</v>
      </c>
      <c r="AE210" s="42">
        <v>0.39321600000000007</v>
      </c>
      <c r="AF210" s="42" t="str">
        <v/>
      </c>
      <c r="AI210" s="42">
        <v>205</v>
      </c>
      <c r="AJ210" s="42">
        <v>10</v>
      </c>
      <c r="AK210" s="54">
        <v>3.8189850648779602E-5</v>
      </c>
      <c r="AL210" s="54" t="e">
        <v>#N/A</v>
      </c>
      <c r="AM210" s="54" t="e">
        <v>#N/A</v>
      </c>
      <c r="AN210" s="54">
        <v>3.8189850648779602E-5</v>
      </c>
      <c r="AO210" s="54" t="str">
        <v/>
      </c>
    </row>
    <row r="211" spans="18:41" x14ac:dyDescent="0.2">
      <c r="R211" s="42">
        <v>206</v>
      </c>
      <c r="S211" s="42">
        <v>89.962040264499436</v>
      </c>
      <c r="T211" s="42">
        <v>5.4196206658762222E-2</v>
      </c>
      <c r="U211" s="42" t="e">
        <v>#N/A</v>
      </c>
      <c r="V211" s="42">
        <v>5.4196206658762222E-2</v>
      </c>
      <c r="W211" s="42" t="str">
        <v/>
      </c>
      <c r="Z211" s="42">
        <v>206</v>
      </c>
      <c r="AA211" s="42">
        <v>5</v>
      </c>
      <c r="AB211" s="42">
        <v>0.39321600000000007</v>
      </c>
      <c r="AC211" s="42" t="e">
        <v>#N/A</v>
      </c>
      <c r="AD211" s="42" t="e">
        <v>#N/A</v>
      </c>
      <c r="AE211" s="42">
        <v>0.39321600000000007</v>
      </c>
      <c r="AF211" s="42" t="str">
        <v/>
      </c>
      <c r="AI211" s="42">
        <v>206</v>
      </c>
      <c r="AJ211" s="42">
        <v>10</v>
      </c>
      <c r="AK211" s="54">
        <v>3.8189850648779602E-5</v>
      </c>
      <c r="AL211" s="54" t="e">
        <v>#N/A</v>
      </c>
      <c r="AM211" s="54" t="e">
        <v>#N/A</v>
      </c>
      <c r="AN211" s="54">
        <v>3.8189850648779602E-5</v>
      </c>
      <c r="AO211" s="54" t="str">
        <v/>
      </c>
    </row>
    <row r="212" spans="18:41" x14ac:dyDescent="0.2">
      <c r="R212" s="42">
        <v>207</v>
      </c>
      <c r="S212" s="42">
        <v>90.458463124927988</v>
      </c>
      <c r="T212" s="42">
        <v>5.1558015992230748E-2</v>
      </c>
      <c r="U212" s="42" t="e">
        <v>#N/A</v>
      </c>
      <c r="V212" s="42">
        <v>5.1558015992230748E-2</v>
      </c>
      <c r="W212" s="42" t="str">
        <v/>
      </c>
      <c r="Z212" s="42">
        <v>207</v>
      </c>
      <c r="AA212" s="42">
        <v>5</v>
      </c>
      <c r="AB212" s="42">
        <v>0.39321600000000007</v>
      </c>
      <c r="AC212" s="42" t="e">
        <v>#N/A</v>
      </c>
      <c r="AD212" s="42" t="e">
        <v>#N/A</v>
      </c>
      <c r="AE212" s="42">
        <v>0.39321600000000007</v>
      </c>
      <c r="AF212" s="42" t="str">
        <v/>
      </c>
      <c r="AI212" s="42">
        <v>207</v>
      </c>
      <c r="AJ212" s="42">
        <v>10</v>
      </c>
      <c r="AK212" s="54">
        <v>3.8189850648779602E-5</v>
      </c>
      <c r="AL212" s="54" t="e">
        <v>#N/A</v>
      </c>
      <c r="AM212" s="54" t="e">
        <v>#N/A</v>
      </c>
      <c r="AN212" s="54">
        <v>3.8189850648779602E-5</v>
      </c>
      <c r="AO212" s="54" t="str">
        <v/>
      </c>
    </row>
    <row r="213" spans="18:41" x14ac:dyDescent="0.2">
      <c r="R213" s="42">
        <v>208</v>
      </c>
      <c r="S213" s="42">
        <v>90.954885985356569</v>
      </c>
      <c r="T213" s="42">
        <v>4.9018039733589508E-2</v>
      </c>
      <c r="U213" s="42" t="e">
        <v>#N/A</v>
      </c>
      <c r="V213" s="42">
        <v>4.9018039733589508E-2</v>
      </c>
      <c r="W213" s="42" t="str">
        <v/>
      </c>
      <c r="Z213" s="42">
        <v>208</v>
      </c>
      <c r="AA213" s="42">
        <v>5</v>
      </c>
      <c r="AB213" s="42">
        <v>0.39321600000000007</v>
      </c>
      <c r="AC213" s="42" t="e">
        <v>#N/A</v>
      </c>
      <c r="AD213" s="42" t="e">
        <v>#N/A</v>
      </c>
      <c r="AE213" s="42">
        <v>0.39321600000000007</v>
      </c>
      <c r="AF213" s="42" t="str">
        <v/>
      </c>
      <c r="AI213" s="42">
        <v>208</v>
      </c>
      <c r="AJ213" s="42">
        <v>10</v>
      </c>
      <c r="AK213" s="54">
        <v>3.8189850648779602E-5</v>
      </c>
      <c r="AL213" s="54" t="e">
        <v>#N/A</v>
      </c>
      <c r="AM213" s="54" t="e">
        <v>#N/A</v>
      </c>
      <c r="AN213" s="54">
        <v>3.8189850648779602E-5</v>
      </c>
      <c r="AO213" s="54" t="str">
        <v/>
      </c>
    </row>
    <row r="214" spans="18:41" x14ac:dyDescent="0.2">
      <c r="R214" s="42">
        <v>209</v>
      </c>
      <c r="S214" s="42">
        <v>91.451308845785121</v>
      </c>
      <c r="T214" s="42">
        <v>4.6574491077940997E-2</v>
      </c>
      <c r="U214" s="42" t="e">
        <v>#N/A</v>
      </c>
      <c r="V214" s="42">
        <v>4.6574491077940997E-2</v>
      </c>
      <c r="W214" s="42" t="str">
        <v/>
      </c>
      <c r="Z214" s="42">
        <v>209</v>
      </c>
      <c r="AA214" s="42">
        <v>5</v>
      </c>
      <c r="AB214" s="42">
        <v>0.39321600000000007</v>
      </c>
      <c r="AC214" s="42" t="e">
        <v>#N/A</v>
      </c>
      <c r="AD214" s="42" t="e">
        <v>#N/A</v>
      </c>
      <c r="AE214" s="42">
        <v>0.39321600000000007</v>
      </c>
      <c r="AF214" s="42" t="str">
        <v/>
      </c>
      <c r="AI214" s="42">
        <v>209</v>
      </c>
      <c r="AJ214" s="42">
        <v>10</v>
      </c>
      <c r="AK214" s="54">
        <v>3.8189850648779602E-5</v>
      </c>
      <c r="AL214" s="54" t="e">
        <v>#N/A</v>
      </c>
      <c r="AM214" s="54" t="e">
        <v>#N/A</v>
      </c>
      <c r="AN214" s="54">
        <v>3.8189850648779602E-5</v>
      </c>
      <c r="AO214" s="54" t="str">
        <v/>
      </c>
    </row>
    <row r="215" spans="18:41" x14ac:dyDescent="0.2">
      <c r="R215" s="42">
        <v>210</v>
      </c>
      <c r="S215" s="42">
        <v>91.947731706213688</v>
      </c>
      <c r="T215" s="42">
        <v>4.4225498047551264E-2</v>
      </c>
      <c r="U215" s="42" t="e">
        <v>#N/A</v>
      </c>
      <c r="V215" s="42">
        <v>4.4225498047551264E-2</v>
      </c>
      <c r="W215" s="42" t="str">
        <v/>
      </c>
      <c r="Z215" s="42">
        <v>210</v>
      </c>
      <c r="AA215" s="42">
        <v>5</v>
      </c>
      <c r="AB215" s="42">
        <v>0.39321600000000007</v>
      </c>
      <c r="AC215" s="42" t="e">
        <v>#N/A</v>
      </c>
      <c r="AD215" s="42" t="e">
        <v>#N/A</v>
      </c>
      <c r="AE215" s="42">
        <v>0.39321600000000007</v>
      </c>
      <c r="AF215" s="42" t="str">
        <v/>
      </c>
      <c r="AI215" s="42">
        <v>210</v>
      </c>
      <c r="AJ215" s="42">
        <v>10</v>
      </c>
      <c r="AK215" s="54">
        <v>3.8189850648779602E-5</v>
      </c>
      <c r="AL215" s="54" t="e">
        <v>#N/A</v>
      </c>
      <c r="AM215" s="54" t="e">
        <v>#N/A</v>
      </c>
      <c r="AN215" s="54">
        <v>3.8189850648779602E-5</v>
      </c>
      <c r="AO215" s="54" t="str">
        <v/>
      </c>
    </row>
    <row r="216" spans="18:41" x14ac:dyDescent="0.2">
      <c r="R216" s="42">
        <v>211</v>
      </c>
      <c r="S216" s="42">
        <v>92.444154566642254</v>
      </c>
      <c r="T216" s="42">
        <v>4.1969112232068333E-2</v>
      </c>
      <c r="U216" s="42" t="e">
        <v>#N/A</v>
      </c>
      <c r="V216" s="42">
        <v>4.1969112232068333E-2</v>
      </c>
      <c r="W216" s="42" t="str">
        <v/>
      </c>
      <c r="Z216" s="42">
        <v>211</v>
      </c>
      <c r="AA216" s="42" t="e">
        <v>#N/A</v>
      </c>
      <c r="AB216" s="42" t="e">
        <v>#N/A</v>
      </c>
      <c r="AC216" s="42" t="e">
        <v>#N/A</v>
      </c>
      <c r="AD216" s="42" t="e">
        <v>#N/A</v>
      </c>
      <c r="AE216" s="42" t="e">
        <v>#N/A</v>
      </c>
      <c r="AF216" s="42" t="str">
        <v/>
      </c>
      <c r="AI216" s="42">
        <v>211</v>
      </c>
      <c r="AJ216" s="42">
        <v>10</v>
      </c>
      <c r="AK216" s="54">
        <v>3.8189850648779602E-5</v>
      </c>
      <c r="AL216" s="54" t="e">
        <v>#N/A</v>
      </c>
      <c r="AM216" s="54" t="e">
        <v>#N/A</v>
      </c>
      <c r="AN216" s="54">
        <v>3.8189850648779602E-5</v>
      </c>
      <c r="AO216" s="54">
        <v>10</v>
      </c>
    </row>
    <row r="217" spans="18:41" x14ac:dyDescent="0.2">
      <c r="R217" s="42">
        <v>212</v>
      </c>
      <c r="S217" s="42">
        <v>92.940577427070821</v>
      </c>
      <c r="T217" s="42">
        <v>3.9803317319956046E-2</v>
      </c>
      <c r="U217" s="42" t="e">
        <v>#N/A</v>
      </c>
      <c r="V217" s="42">
        <v>3.9803317319956046E-2</v>
      </c>
      <c r="W217" s="42" t="str">
        <v/>
      </c>
      <c r="Z217" s="42">
        <v>212</v>
      </c>
      <c r="AA217" s="42">
        <v>6</v>
      </c>
      <c r="AB217" s="42">
        <v>0.2621440000000001</v>
      </c>
      <c r="AC217" s="42" t="e">
        <v>#N/A</v>
      </c>
      <c r="AD217" s="42" t="e">
        <v>#N/A</v>
      </c>
      <c r="AE217" s="42">
        <v>0.2621440000000001</v>
      </c>
      <c r="AF217" s="42" t="str">
        <v/>
      </c>
      <c r="AI217" s="42">
        <v>212</v>
      </c>
      <c r="AJ217" s="42">
        <v>10</v>
      </c>
      <c r="AK217" s="54">
        <v>3.8189850648779602E-5</v>
      </c>
      <c r="AL217" s="54" t="e">
        <v>#N/A</v>
      </c>
      <c r="AM217" s="54" t="e">
        <v>#N/A</v>
      </c>
      <c r="AN217" s="54">
        <v>3.8189850648779602E-5</v>
      </c>
      <c r="AO217" s="54" t="str">
        <v/>
      </c>
    </row>
    <row r="218" spans="18:41" x14ac:dyDescent="0.2">
      <c r="R218" s="42">
        <v>213</v>
      </c>
      <c r="S218" s="42">
        <v>93.437000287499387</v>
      </c>
      <c r="T218" s="42">
        <v>3.7726037400958284E-2</v>
      </c>
      <c r="U218" s="42" t="e">
        <v>#N/A</v>
      </c>
      <c r="V218" s="42">
        <v>3.7726037400958284E-2</v>
      </c>
      <c r="W218" s="42" t="str">
        <v/>
      </c>
      <c r="Z218" s="42">
        <v>213</v>
      </c>
      <c r="AA218" s="42">
        <v>6</v>
      </c>
      <c r="AB218" s="42">
        <v>0.2621440000000001</v>
      </c>
      <c r="AC218" s="42" t="e">
        <v>#N/A</v>
      </c>
      <c r="AD218" s="42" t="e">
        <v>#N/A</v>
      </c>
      <c r="AE218" s="42">
        <v>0.2621440000000001</v>
      </c>
      <c r="AF218" s="42" t="str">
        <v/>
      </c>
      <c r="AI218" s="42">
        <v>213</v>
      </c>
      <c r="AJ218" s="42">
        <v>10</v>
      </c>
      <c r="AK218" s="54">
        <v>3.8189850648779602E-5</v>
      </c>
      <c r="AL218" s="54" t="e">
        <v>#N/A</v>
      </c>
      <c r="AM218" s="54" t="e">
        <v>#N/A</v>
      </c>
      <c r="AN218" s="54">
        <v>3.8189850648779602E-5</v>
      </c>
      <c r="AO218" s="54" t="str">
        <v/>
      </c>
    </row>
    <row r="219" spans="18:41" x14ac:dyDescent="0.2">
      <c r="R219" s="42">
        <v>214</v>
      </c>
      <c r="S219" s="42">
        <v>93.93342314792794</v>
      </c>
      <c r="T219" s="42">
        <v>3.5735145021390198E-2</v>
      </c>
      <c r="U219" s="42" t="e">
        <v>#N/A</v>
      </c>
      <c r="V219" s="42">
        <v>3.5735145021390198E-2</v>
      </c>
      <c r="W219" s="42" t="str">
        <v/>
      </c>
      <c r="Z219" s="42">
        <v>214</v>
      </c>
      <c r="AA219" s="42">
        <v>6</v>
      </c>
      <c r="AB219" s="42">
        <v>0.2621440000000001</v>
      </c>
      <c r="AC219" s="42" t="e">
        <v>#N/A</v>
      </c>
      <c r="AD219" s="42" t="e">
        <v>#N/A</v>
      </c>
      <c r="AE219" s="42">
        <v>0.2621440000000001</v>
      </c>
      <c r="AF219" s="42" t="str">
        <v/>
      </c>
      <c r="AI219" s="42">
        <v>214</v>
      </c>
      <c r="AJ219" s="42">
        <v>10</v>
      </c>
      <c r="AK219" s="54">
        <v>3.8189850648779602E-5</v>
      </c>
      <c r="AL219" s="54" t="e">
        <v>#N/A</v>
      </c>
      <c r="AM219" s="54" t="e">
        <v>#N/A</v>
      </c>
      <c r="AN219" s="54">
        <v>3.8189850648779602E-5</v>
      </c>
      <c r="AO219" s="54" t="str">
        <v/>
      </c>
    </row>
    <row r="220" spans="18:41" x14ac:dyDescent="0.2">
      <c r="R220" s="42">
        <v>215</v>
      </c>
      <c r="S220" s="42">
        <v>94.42984600835652</v>
      </c>
      <c r="T220" s="42">
        <v>3.3828468976025428E-2</v>
      </c>
      <c r="U220" s="42" t="e">
        <v>#N/A</v>
      </c>
      <c r="V220" s="42">
        <v>3.3828468976025428E-2</v>
      </c>
      <c r="W220" s="42" t="str">
        <v/>
      </c>
      <c r="Z220" s="42">
        <v>215</v>
      </c>
      <c r="AA220" s="42">
        <v>6</v>
      </c>
      <c r="AB220" s="42">
        <v>0.2621440000000001</v>
      </c>
      <c r="AC220" s="42" t="e">
        <v>#N/A</v>
      </c>
      <c r="AD220" s="42" t="e">
        <v>#N/A</v>
      </c>
      <c r="AE220" s="42">
        <v>0.2621440000000001</v>
      </c>
      <c r="AF220" s="42" t="str">
        <v/>
      </c>
      <c r="AI220" s="42">
        <v>215</v>
      </c>
      <c r="AJ220" s="42">
        <v>10</v>
      </c>
      <c r="AK220" s="54">
        <v>3.8189850648779602E-5</v>
      </c>
      <c r="AL220" s="54" t="e">
        <v>#N/A</v>
      </c>
      <c r="AM220" s="54" t="e">
        <v>#N/A</v>
      </c>
      <c r="AN220" s="54">
        <v>3.8189850648779602E-5</v>
      </c>
      <c r="AO220" s="54" t="str">
        <v/>
      </c>
    </row>
    <row r="221" spans="18:41" x14ac:dyDescent="0.2">
      <c r="R221" s="42">
        <v>216</v>
      </c>
      <c r="S221" s="42">
        <v>94.926268868785073</v>
      </c>
      <c r="T221" s="42">
        <v>3.2003801822296514E-2</v>
      </c>
      <c r="U221" s="42" t="e">
        <v>#N/A</v>
      </c>
      <c r="V221" s="42">
        <v>3.2003801822296514E-2</v>
      </c>
      <c r="W221" s="42" t="str">
        <v/>
      </c>
      <c r="Z221" s="42">
        <v>216</v>
      </c>
      <c r="AA221" s="42">
        <v>6</v>
      </c>
      <c r="AB221" s="42">
        <v>0.2621440000000001</v>
      </c>
      <c r="AC221" s="42" t="e">
        <v>#N/A</v>
      </c>
      <c r="AD221" s="42" t="e">
        <v>#N/A</v>
      </c>
      <c r="AE221" s="42">
        <v>0.2621440000000001</v>
      </c>
      <c r="AF221" s="42" t="str">
        <v/>
      </c>
      <c r="AI221" s="42">
        <v>216</v>
      </c>
      <c r="AJ221" s="42">
        <v>10</v>
      </c>
      <c r="AK221" s="54">
        <v>3.8189850648779602E-5</v>
      </c>
      <c r="AL221" s="54" t="e">
        <v>#N/A</v>
      </c>
      <c r="AM221" s="54" t="e">
        <v>#N/A</v>
      </c>
      <c r="AN221" s="54">
        <v>3.8189850648779602E-5</v>
      </c>
      <c r="AO221" s="54" t="str">
        <v/>
      </c>
    </row>
    <row r="222" spans="18:41" x14ac:dyDescent="0.2">
      <c r="R222" s="42">
        <v>217</v>
      </c>
      <c r="S222" s="42">
        <v>95.422691729213639</v>
      </c>
      <c r="T222" s="42">
        <v>3.0258907104437256E-2</v>
      </c>
      <c r="U222" s="42" t="e">
        <v>#N/A</v>
      </c>
      <c r="V222" s="42">
        <v>3.0258907104437256E-2</v>
      </c>
      <c r="W222" s="42" t="str">
        <v/>
      </c>
      <c r="Z222" s="42">
        <v>217</v>
      </c>
      <c r="AA222" s="42">
        <v>6</v>
      </c>
      <c r="AB222" s="42">
        <v>0.2621440000000001</v>
      </c>
      <c r="AC222" s="42" t="e">
        <v>#N/A</v>
      </c>
      <c r="AD222" s="42" t="e">
        <v>#N/A</v>
      </c>
      <c r="AE222" s="42">
        <v>0.2621440000000001</v>
      </c>
      <c r="AF222" s="42" t="str">
        <v/>
      </c>
      <c r="AI222" s="42">
        <v>217</v>
      </c>
      <c r="AJ222" s="42">
        <v>10</v>
      </c>
      <c r="AK222" s="54">
        <v>3.8189850648779602E-5</v>
      </c>
      <c r="AL222" s="54" t="e">
        <v>#N/A</v>
      </c>
      <c r="AM222" s="54" t="e">
        <v>#N/A</v>
      </c>
      <c r="AN222" s="54">
        <v>3.8189850648779602E-5</v>
      </c>
      <c r="AO222" s="54" t="str">
        <v/>
      </c>
    </row>
    <row r="223" spans="18:41" x14ac:dyDescent="0.2">
      <c r="R223" s="42">
        <v>218</v>
      </c>
      <c r="S223" s="42">
        <v>95.919114589642206</v>
      </c>
      <c r="T223" s="42">
        <v>2.8591526277073009E-2</v>
      </c>
      <c r="U223" s="42" t="e">
        <v>#N/A</v>
      </c>
      <c r="V223" s="42">
        <v>2.8591526277073009E-2</v>
      </c>
      <c r="W223" s="42" t="str">
        <v/>
      </c>
      <c r="Z223" s="42">
        <v>218</v>
      </c>
      <c r="AA223" s="42">
        <v>6</v>
      </c>
      <c r="AB223" s="42">
        <v>0.2621440000000001</v>
      </c>
      <c r="AC223" s="42" t="e">
        <v>#N/A</v>
      </c>
      <c r="AD223" s="42" t="e">
        <v>#N/A</v>
      </c>
      <c r="AE223" s="42">
        <v>0.2621440000000001</v>
      </c>
      <c r="AF223" s="42" t="str">
        <v/>
      </c>
      <c r="AI223" s="42">
        <v>218</v>
      </c>
      <c r="AJ223" s="42">
        <v>10</v>
      </c>
      <c r="AK223" s="54">
        <v>3.8189850648779602E-5</v>
      </c>
      <c r="AL223" s="54" t="e">
        <v>#N/A</v>
      </c>
      <c r="AM223" s="54" t="e">
        <v>#N/A</v>
      </c>
      <c r="AN223" s="54">
        <v>3.8189850648779602E-5</v>
      </c>
      <c r="AO223" s="54" t="str">
        <v/>
      </c>
    </row>
    <row r="224" spans="18:41" x14ac:dyDescent="0.2">
      <c r="R224" s="42">
        <v>219</v>
      </c>
      <c r="S224" s="42">
        <v>96.415537450070772</v>
      </c>
      <c r="T224" s="42">
        <v>2.6999385319583014E-2</v>
      </c>
      <c r="U224" s="42" t="e">
        <v>#N/A</v>
      </c>
      <c r="V224" s="42">
        <v>2.6999385319583014E-2</v>
      </c>
      <c r="W224" s="42" t="str">
        <v/>
      </c>
      <c r="Z224" s="42">
        <v>219</v>
      </c>
      <c r="AA224" s="42">
        <v>6</v>
      </c>
      <c r="AB224" s="42">
        <v>0.2621440000000001</v>
      </c>
      <c r="AC224" s="42" t="e">
        <v>#N/A</v>
      </c>
      <c r="AD224" s="42" t="e">
        <v>#N/A</v>
      </c>
      <c r="AE224" s="42">
        <v>0.2621440000000001</v>
      </c>
      <c r="AF224" s="42" t="str">
        <v/>
      </c>
      <c r="AI224" s="42">
        <v>219</v>
      </c>
      <c r="AJ224" s="42">
        <v>10</v>
      </c>
      <c r="AK224" s="54">
        <v>3.8189850648779602E-5</v>
      </c>
      <c r="AL224" s="54" t="e">
        <v>#N/A</v>
      </c>
      <c r="AM224" s="54" t="e">
        <v>#N/A</v>
      </c>
      <c r="AN224" s="54">
        <v>3.8189850648779602E-5</v>
      </c>
      <c r="AO224" s="54" t="str">
        <v/>
      </c>
    </row>
    <row r="225" spans="18:41" x14ac:dyDescent="0.2">
      <c r="R225" s="42">
        <v>220</v>
      </c>
      <c r="S225" s="42">
        <v>96.911960310499325</v>
      </c>
      <c r="T225" s="42">
        <v>2.5480201034328333E-2</v>
      </c>
      <c r="U225" s="42" t="e">
        <v>#N/A</v>
      </c>
      <c r="V225" s="42">
        <v>2.5480201034328333E-2</v>
      </c>
      <c r="W225" s="42" t="str">
        <v/>
      </c>
      <c r="Z225" s="42">
        <v>220</v>
      </c>
      <c r="AA225" s="42">
        <v>6</v>
      </c>
      <c r="AB225" s="42">
        <v>0.2621440000000001</v>
      </c>
      <c r="AC225" s="42" t="e">
        <v>#N/A</v>
      </c>
      <c r="AD225" s="42" t="e">
        <v>#N/A</v>
      </c>
      <c r="AE225" s="42">
        <v>0.2621440000000001</v>
      </c>
      <c r="AF225" s="42" t="str">
        <v/>
      </c>
      <c r="AI225" s="42">
        <v>220</v>
      </c>
      <c r="AJ225" s="42">
        <v>10</v>
      </c>
      <c r="AK225" s="54">
        <v>3.8189850648779602E-5</v>
      </c>
      <c r="AL225" s="54" t="e">
        <v>#N/A</v>
      </c>
      <c r="AM225" s="54" t="e">
        <v>#N/A</v>
      </c>
      <c r="AN225" s="54">
        <v>3.8189850648779602E-5</v>
      </c>
      <c r="AO225" s="54" t="str">
        <v/>
      </c>
    </row>
    <row r="226" spans="18:41" x14ac:dyDescent="0.2">
      <c r="R226" s="42">
        <v>221</v>
      </c>
      <c r="S226" s="42">
        <v>97.408383170927891</v>
      </c>
      <c r="T226" s="42">
        <v>2.403168702354121E-2</v>
      </c>
      <c r="U226" s="42" t="e">
        <v>#N/A</v>
      </c>
      <c r="V226" s="42">
        <v>2.403168702354121E-2</v>
      </c>
      <c r="W226" s="42" t="str">
        <v/>
      </c>
      <c r="Z226" s="42">
        <v>221</v>
      </c>
      <c r="AA226" s="42">
        <v>6</v>
      </c>
      <c r="AB226" s="42">
        <v>0.2621440000000001</v>
      </c>
      <c r="AC226" s="42" t="e">
        <v>#N/A</v>
      </c>
      <c r="AD226" s="42" t="e">
        <v>#N/A</v>
      </c>
      <c r="AE226" s="42">
        <v>0.2621440000000001</v>
      </c>
      <c r="AF226" s="42" t="str">
        <v/>
      </c>
      <c r="AI226" s="42">
        <v>221</v>
      </c>
      <c r="AJ226" s="42" t="e">
        <v>#N/A</v>
      </c>
      <c r="AK226" s="54" t="e">
        <v>#N/A</v>
      </c>
      <c r="AL226" s="54" t="e">
        <v>#N/A</v>
      </c>
      <c r="AM226" s="54" t="e">
        <v>#N/A</v>
      </c>
      <c r="AN226" s="54" t="e">
        <v>#N/A</v>
      </c>
      <c r="AO226" s="54" t="str">
        <v/>
      </c>
    </row>
    <row r="227" spans="18:41" x14ac:dyDescent="0.2">
      <c r="R227" s="42">
        <v>222</v>
      </c>
      <c r="S227" s="42">
        <v>97.904806031356472</v>
      </c>
      <c r="T227" s="42">
        <v>2.2651559341306103E-2</v>
      </c>
      <c r="U227" s="42" t="e">
        <v>#N/A</v>
      </c>
      <c r="V227" s="42">
        <v>2.2651559341306103E-2</v>
      </c>
      <c r="W227" s="42" t="str">
        <v/>
      </c>
      <c r="Z227" s="42">
        <v>222</v>
      </c>
      <c r="AA227" s="42">
        <v>6</v>
      </c>
      <c r="AB227" s="42">
        <v>0.2621440000000001</v>
      </c>
      <c r="AC227" s="42" t="e">
        <v>#N/A</v>
      </c>
      <c r="AD227" s="42" t="e">
        <v>#N/A</v>
      </c>
      <c r="AE227" s="42">
        <v>0.2621440000000001</v>
      </c>
      <c r="AF227" s="42" t="str">
        <v/>
      </c>
      <c r="AI227" s="42">
        <v>222</v>
      </c>
      <c r="AJ227" s="42">
        <v>11</v>
      </c>
      <c r="AK227" s="54">
        <v>6.9436092088690095E-6</v>
      </c>
      <c r="AL227" s="54" t="e">
        <v>#N/A</v>
      </c>
      <c r="AM227" s="54" t="e">
        <v>#N/A</v>
      </c>
      <c r="AN227" s="54">
        <v>6.9436092088690095E-6</v>
      </c>
      <c r="AO227" s="54" t="str">
        <v/>
      </c>
    </row>
    <row r="228" spans="18:41" x14ac:dyDescent="0.2">
      <c r="R228" s="42">
        <v>223</v>
      </c>
      <c r="S228" s="42">
        <v>98.401228891785024</v>
      </c>
      <c r="T228" s="42">
        <v>2.1337541818621984E-2</v>
      </c>
      <c r="U228" s="42" t="e">
        <v>#N/A</v>
      </c>
      <c r="V228" s="42">
        <v>2.1337541818621984E-2</v>
      </c>
      <c r="W228" s="42" t="str">
        <v/>
      </c>
      <c r="Z228" s="42">
        <v>223</v>
      </c>
      <c r="AA228" s="42">
        <v>6</v>
      </c>
      <c r="AB228" s="42">
        <v>0.2621440000000001</v>
      </c>
      <c r="AC228" s="42" t="e">
        <v>#N/A</v>
      </c>
      <c r="AD228" s="42" t="e">
        <v>#N/A</v>
      </c>
      <c r="AE228" s="42">
        <v>0.2621440000000001</v>
      </c>
      <c r="AF228" s="42" t="str">
        <v/>
      </c>
      <c r="AI228" s="42">
        <v>223</v>
      </c>
      <c r="AJ228" s="42">
        <v>11</v>
      </c>
      <c r="AK228" s="54">
        <v>6.9436092088690095E-6</v>
      </c>
      <c r="AL228" s="54" t="e">
        <v>#N/A</v>
      </c>
      <c r="AM228" s="54" t="e">
        <v>#N/A</v>
      </c>
      <c r="AN228" s="54">
        <v>6.9436092088690095E-6</v>
      </c>
      <c r="AO228" s="54" t="str">
        <v/>
      </c>
    </row>
    <row r="229" spans="18:41" x14ac:dyDescent="0.2">
      <c r="R229" s="42">
        <v>224</v>
      </c>
      <c r="S229" s="42">
        <v>98.897651752213591</v>
      </c>
      <c r="T229" s="42">
        <v>2.008737106101895E-2</v>
      </c>
      <c r="U229" s="42" t="e">
        <v>#N/A</v>
      </c>
      <c r="V229" s="42">
        <v>2.008737106101895E-2</v>
      </c>
      <c r="W229" s="42" t="str">
        <v/>
      </c>
      <c r="Z229" s="42">
        <v>224</v>
      </c>
      <c r="AA229" s="42">
        <v>6</v>
      </c>
      <c r="AB229" s="42">
        <v>0.2621440000000001</v>
      </c>
      <c r="AC229" s="42" t="e">
        <v>#N/A</v>
      </c>
      <c r="AD229" s="42" t="e">
        <v>#N/A</v>
      </c>
      <c r="AE229" s="42">
        <v>0.2621440000000001</v>
      </c>
      <c r="AF229" s="42" t="str">
        <v/>
      </c>
      <c r="AI229" s="42">
        <v>224</v>
      </c>
      <c r="AJ229" s="42">
        <v>11</v>
      </c>
      <c r="AK229" s="54">
        <v>6.9436092088690095E-6</v>
      </c>
      <c r="AL229" s="54" t="e">
        <v>#N/A</v>
      </c>
      <c r="AM229" s="54" t="e">
        <v>#N/A</v>
      </c>
      <c r="AN229" s="54">
        <v>6.9436092088690095E-6</v>
      </c>
      <c r="AO229" s="54" t="str">
        <v/>
      </c>
    </row>
    <row r="230" spans="18:41" x14ac:dyDescent="0.2">
      <c r="R230" s="42">
        <v>225</v>
      </c>
      <c r="S230" s="42">
        <v>99.394074612642157</v>
      </c>
      <c r="T230" s="42">
        <v>1.8898801119602578E-2</v>
      </c>
      <c r="U230" s="42" t="e">
        <v>#N/A</v>
      </c>
      <c r="V230" s="42">
        <v>1.8898801119602578E-2</v>
      </c>
      <c r="W230" s="42" t="str">
        <v/>
      </c>
      <c r="Z230" s="42">
        <v>225</v>
      </c>
      <c r="AA230" s="42">
        <v>6</v>
      </c>
      <c r="AB230" s="42">
        <v>0.2621440000000001</v>
      </c>
      <c r="AC230" s="42" t="e">
        <v>#N/A</v>
      </c>
      <c r="AD230" s="42" t="e">
        <v>#N/A</v>
      </c>
      <c r="AE230" s="42">
        <v>0.2621440000000001</v>
      </c>
      <c r="AF230" s="42" t="str">
        <v/>
      </c>
      <c r="AI230" s="42">
        <v>225</v>
      </c>
      <c r="AJ230" s="42">
        <v>11</v>
      </c>
      <c r="AK230" s="54">
        <v>6.9436092088690095E-6</v>
      </c>
      <c r="AL230" s="54" t="e">
        <v>#N/A</v>
      </c>
      <c r="AM230" s="54" t="e">
        <v>#N/A</v>
      </c>
      <c r="AN230" s="54">
        <v>6.9436092088690095E-6</v>
      </c>
      <c r="AO230" s="54" t="str">
        <v/>
      </c>
    </row>
    <row r="231" spans="18:41" x14ac:dyDescent="0.2">
      <c r="R231" s="42">
        <v>226</v>
      </c>
      <c r="S231" s="42">
        <v>99.890497473070724</v>
      </c>
      <c r="T231" s="42">
        <v>1.7769607837714141E-2</v>
      </c>
      <c r="U231" s="42" t="e">
        <v>#N/A</v>
      </c>
      <c r="V231" s="42">
        <v>1.7769607837714141E-2</v>
      </c>
      <c r="W231" s="42">
        <v>99.89</v>
      </c>
      <c r="Z231" s="42">
        <v>226</v>
      </c>
      <c r="AA231" s="42">
        <v>6</v>
      </c>
      <c r="AB231" s="42">
        <v>0.2621440000000001</v>
      </c>
      <c r="AC231" s="42" t="e">
        <v>#N/A</v>
      </c>
      <c r="AD231" s="42" t="e">
        <v>#N/A</v>
      </c>
      <c r="AE231" s="42">
        <v>0.2621440000000001</v>
      </c>
      <c r="AF231" s="42" t="str">
        <v/>
      </c>
      <c r="AI231" s="42">
        <v>226</v>
      </c>
      <c r="AJ231" s="42">
        <v>11</v>
      </c>
      <c r="AK231" s="54">
        <v>6.9436092088690095E-6</v>
      </c>
      <c r="AL231" s="54" t="e">
        <v>#N/A</v>
      </c>
      <c r="AM231" s="54" t="e">
        <v>#N/A</v>
      </c>
      <c r="AN231" s="54">
        <v>6.9436092088690095E-6</v>
      </c>
      <c r="AO231" s="54" t="str">
        <v/>
      </c>
    </row>
    <row r="232" spans="18:41" x14ac:dyDescent="0.2">
      <c r="R232" s="42">
        <v>227</v>
      </c>
      <c r="S232" s="42">
        <v>100.38692033349928</v>
      </c>
      <c r="T232" s="42">
        <v>1.6697592876625755E-2</v>
      </c>
      <c r="U232" s="42" t="e">
        <v>#N/A</v>
      </c>
      <c r="V232" s="42">
        <v>1.6697592876625755E-2</v>
      </c>
      <c r="W232" s="42" t="str">
        <v/>
      </c>
      <c r="Z232" s="42">
        <v>227</v>
      </c>
      <c r="AA232" s="42">
        <v>6</v>
      </c>
      <c r="AB232" s="42">
        <v>0.2621440000000001</v>
      </c>
      <c r="AC232" s="42" t="e">
        <v>#N/A</v>
      </c>
      <c r="AD232" s="42" t="e">
        <v>#N/A</v>
      </c>
      <c r="AE232" s="42">
        <v>0.2621440000000001</v>
      </c>
      <c r="AF232" s="42" t="str">
        <v/>
      </c>
      <c r="AI232" s="42">
        <v>227</v>
      </c>
      <c r="AJ232" s="42">
        <v>11</v>
      </c>
      <c r="AK232" s="54">
        <v>6.9436092088690095E-6</v>
      </c>
      <c r="AL232" s="54" t="e">
        <v>#N/A</v>
      </c>
      <c r="AM232" s="54" t="e">
        <v>#N/A</v>
      </c>
      <c r="AN232" s="54">
        <v>6.9436092088690095E-6</v>
      </c>
      <c r="AO232" s="54" t="str">
        <v/>
      </c>
    </row>
    <row r="233" spans="18:41" x14ac:dyDescent="0.2">
      <c r="R233" s="42">
        <v>228</v>
      </c>
      <c r="S233" s="42">
        <v>100.88334319392784</v>
      </c>
      <c r="T233" s="42">
        <v>1.5680587424828311E-2</v>
      </c>
      <c r="U233" s="42" t="e">
        <v>#N/A</v>
      </c>
      <c r="V233" s="42">
        <v>1.5680587424828311E-2</v>
      </c>
      <c r="W233" s="42" t="str">
        <v/>
      </c>
      <c r="Z233" s="42">
        <v>228</v>
      </c>
      <c r="AA233" s="42">
        <v>6</v>
      </c>
      <c r="AB233" s="42">
        <v>0.2621440000000001</v>
      </c>
      <c r="AC233" s="42" t="e">
        <v>#N/A</v>
      </c>
      <c r="AD233" s="42" t="e">
        <v>#N/A</v>
      </c>
      <c r="AE233" s="42">
        <v>0.2621440000000001</v>
      </c>
      <c r="AF233" s="42" t="str">
        <v/>
      </c>
      <c r="AI233" s="42">
        <v>228</v>
      </c>
      <c r="AJ233" s="42">
        <v>11</v>
      </c>
      <c r="AK233" s="54">
        <v>6.9436092088690095E-6</v>
      </c>
      <c r="AL233" s="54" t="e">
        <v>#N/A</v>
      </c>
      <c r="AM233" s="54" t="e">
        <v>#N/A</v>
      </c>
      <c r="AN233" s="54">
        <v>6.9436092088690095E-6</v>
      </c>
      <c r="AO233" s="54" t="str">
        <v/>
      </c>
    </row>
    <row r="234" spans="18:41" x14ac:dyDescent="0.2">
      <c r="R234" s="42">
        <v>229</v>
      </c>
      <c r="S234" s="42">
        <v>101.37976605435641</v>
      </c>
      <c r="T234" s="42">
        <v>1.4716455596524172E-2</v>
      </c>
      <c r="U234" s="42" t="e">
        <v>#N/A</v>
      </c>
      <c r="V234" s="42">
        <v>1.4716455596524172E-2</v>
      </c>
      <c r="W234" s="42" t="str">
        <v/>
      </c>
      <c r="Z234" s="42">
        <v>229</v>
      </c>
      <c r="AA234" s="42">
        <v>6</v>
      </c>
      <c r="AB234" s="42">
        <v>0.2621440000000001</v>
      </c>
      <c r="AC234" s="42" t="e">
        <v>#N/A</v>
      </c>
      <c r="AD234" s="42" t="e">
        <v>#N/A</v>
      </c>
      <c r="AE234" s="42">
        <v>0.2621440000000001</v>
      </c>
      <c r="AF234" s="42">
        <v>6</v>
      </c>
      <c r="AI234" s="42">
        <v>229</v>
      </c>
      <c r="AJ234" s="42">
        <v>11</v>
      </c>
      <c r="AK234" s="54">
        <v>6.9436092088690095E-6</v>
      </c>
      <c r="AL234" s="54" t="e">
        <v>#N/A</v>
      </c>
      <c r="AM234" s="54" t="e">
        <v>#N/A</v>
      </c>
      <c r="AN234" s="54">
        <v>6.9436092088690095E-6</v>
      </c>
      <c r="AO234" s="54" t="str">
        <v/>
      </c>
    </row>
    <row r="235" spans="18:41" x14ac:dyDescent="0.2">
      <c r="R235" s="42">
        <v>230</v>
      </c>
      <c r="S235" s="42">
        <v>101.87618891478498</v>
      </c>
      <c r="T235" s="42">
        <v>1.3803097525895824E-2</v>
      </c>
      <c r="U235" s="42" t="e">
        <v>#N/A</v>
      </c>
      <c r="V235" s="42">
        <v>1.3803097525895824E-2</v>
      </c>
      <c r="W235" s="42" t="str">
        <v/>
      </c>
      <c r="Z235" s="42">
        <v>230</v>
      </c>
      <c r="AA235" s="42">
        <v>6</v>
      </c>
      <c r="AB235" s="42">
        <v>0.2621440000000001</v>
      </c>
      <c r="AC235" s="42" t="e">
        <v>#N/A</v>
      </c>
      <c r="AD235" s="42" t="e">
        <v>#N/A</v>
      </c>
      <c r="AE235" s="42">
        <v>0.2621440000000001</v>
      </c>
      <c r="AF235" s="42" t="str">
        <v/>
      </c>
      <c r="AI235" s="42">
        <v>230</v>
      </c>
      <c r="AJ235" s="42">
        <v>11</v>
      </c>
      <c r="AK235" s="54">
        <v>6.9436092088690095E-6</v>
      </c>
      <c r="AL235" s="54" t="e">
        <v>#N/A</v>
      </c>
      <c r="AM235" s="54" t="e">
        <v>#N/A</v>
      </c>
      <c r="AN235" s="54">
        <v>6.9436092088690095E-6</v>
      </c>
      <c r="AO235" s="54" t="str">
        <v/>
      </c>
    </row>
    <row r="236" spans="18:41" x14ac:dyDescent="0.2">
      <c r="R236" s="42">
        <v>231</v>
      </c>
      <c r="S236" s="42">
        <v>102.37261177521354</v>
      </c>
      <c r="T236" s="42">
        <v>1.2938452164596234E-2</v>
      </c>
      <c r="U236" s="42" t="e">
        <v>#N/A</v>
      </c>
      <c r="V236" s="42">
        <v>1.2938452164596234E-2</v>
      </c>
      <c r="W236" s="42" t="str">
        <v/>
      </c>
      <c r="Z236" s="42">
        <v>231</v>
      </c>
      <c r="AA236" s="42">
        <v>6</v>
      </c>
      <c r="AB236" s="42">
        <v>0.2621440000000001</v>
      </c>
      <c r="AC236" s="42" t="e">
        <v>#N/A</v>
      </c>
      <c r="AD236" s="42" t="e">
        <v>#N/A</v>
      </c>
      <c r="AE236" s="42">
        <v>0.2621440000000001</v>
      </c>
      <c r="AF236" s="42" t="str">
        <v/>
      </c>
      <c r="AI236" s="42">
        <v>231</v>
      </c>
      <c r="AJ236" s="42">
        <v>11</v>
      </c>
      <c r="AK236" s="54">
        <v>6.9436092088690095E-6</v>
      </c>
      <c r="AL236" s="54" t="e">
        <v>#N/A</v>
      </c>
      <c r="AM236" s="54" t="e">
        <v>#N/A</v>
      </c>
      <c r="AN236" s="54">
        <v>6.9436092088690095E-6</v>
      </c>
      <c r="AO236" s="54">
        <v>11</v>
      </c>
    </row>
    <row r="237" spans="18:41" x14ac:dyDescent="0.2">
      <c r="R237" s="42">
        <v>232</v>
      </c>
      <c r="S237" s="42">
        <v>102.86903463564211</v>
      </c>
      <c r="T237" s="42">
        <v>1.212049979068994E-2</v>
      </c>
      <c r="U237" s="42" t="e">
        <v>#N/A</v>
      </c>
      <c r="V237" s="42">
        <v>1.212049979068994E-2</v>
      </c>
      <c r="W237" s="42" t="str">
        <v/>
      </c>
      <c r="Z237" s="42">
        <v>232</v>
      </c>
      <c r="AA237" s="42">
        <v>6</v>
      </c>
      <c r="AB237" s="42">
        <v>0.2621440000000001</v>
      </c>
      <c r="AC237" s="42" t="e">
        <v>#N/A</v>
      </c>
      <c r="AD237" s="42" t="e">
        <v>#N/A</v>
      </c>
      <c r="AE237" s="42">
        <v>0.2621440000000001</v>
      </c>
      <c r="AF237" s="42" t="str">
        <v/>
      </c>
      <c r="AI237" s="42">
        <v>232</v>
      </c>
      <c r="AJ237" s="42">
        <v>11</v>
      </c>
      <c r="AK237" s="54">
        <v>6.9436092088690095E-6</v>
      </c>
      <c r="AL237" s="54" t="e">
        <v>#N/A</v>
      </c>
      <c r="AM237" s="54" t="e">
        <v>#N/A</v>
      </c>
      <c r="AN237" s="54">
        <v>6.9436092088690095E-6</v>
      </c>
      <c r="AO237" s="54" t="str">
        <v/>
      </c>
    </row>
    <row r="238" spans="18:41" x14ac:dyDescent="0.2">
      <c r="R238" s="42">
        <v>233</v>
      </c>
      <c r="S238" s="42">
        <v>103.36545749607068</v>
      </c>
      <c r="T238" s="42">
        <v>1.1347264237970188E-2</v>
      </c>
      <c r="U238" s="42" t="e">
        <v>#N/A</v>
      </c>
      <c r="V238" s="42">
        <v>1.1347264237970188E-2</v>
      </c>
      <c r="W238" s="42" t="str">
        <v/>
      </c>
      <c r="Z238" s="42">
        <v>233</v>
      </c>
      <c r="AA238" s="42">
        <v>6</v>
      </c>
      <c r="AB238" s="42">
        <v>0.2621440000000001</v>
      </c>
      <c r="AC238" s="42" t="e">
        <v>#N/A</v>
      </c>
      <c r="AD238" s="42" t="e">
        <v>#N/A</v>
      </c>
      <c r="AE238" s="42">
        <v>0.2621440000000001</v>
      </c>
      <c r="AF238" s="42" t="str">
        <v/>
      </c>
      <c r="AI238" s="42">
        <v>233</v>
      </c>
      <c r="AJ238" s="42">
        <v>11</v>
      </c>
      <c r="AK238" s="54">
        <v>6.9436092088690095E-6</v>
      </c>
      <c r="AL238" s="54" t="e">
        <v>#N/A</v>
      </c>
      <c r="AM238" s="54" t="e">
        <v>#N/A</v>
      </c>
      <c r="AN238" s="54">
        <v>6.9436092088690095E-6</v>
      </c>
      <c r="AO238" s="54" t="str">
        <v/>
      </c>
    </row>
    <row r="239" spans="18:41" x14ac:dyDescent="0.2">
      <c r="R239" s="42">
        <v>234</v>
      </c>
      <c r="S239" s="42">
        <v>103.86188035649923</v>
      </c>
      <c r="T239" s="42">
        <v>1.0616814855188403E-2</v>
      </c>
      <c r="U239" s="42" t="e">
        <v>#N/A</v>
      </c>
      <c r="V239" s="42">
        <v>1.0616814855188403E-2</v>
      </c>
      <c r="W239" s="42" t="str">
        <v/>
      </c>
      <c r="Z239" s="42">
        <v>234</v>
      </c>
      <c r="AA239" s="42">
        <v>6</v>
      </c>
      <c r="AB239" s="42">
        <v>0.2621440000000001</v>
      </c>
      <c r="AC239" s="42" t="e">
        <v>#N/A</v>
      </c>
      <c r="AD239" s="42" t="e">
        <v>#N/A</v>
      </c>
      <c r="AE239" s="42">
        <v>0.2621440000000001</v>
      </c>
      <c r="AF239" s="42" t="str">
        <v/>
      </c>
      <c r="AI239" s="42">
        <v>234</v>
      </c>
      <c r="AJ239" s="42">
        <v>11</v>
      </c>
      <c r="AK239" s="54">
        <v>6.9436092088690095E-6</v>
      </c>
      <c r="AL239" s="54" t="e">
        <v>#N/A</v>
      </c>
      <c r="AM239" s="54" t="e">
        <v>#N/A</v>
      </c>
      <c r="AN239" s="54">
        <v>6.9436092088690095E-6</v>
      </c>
      <c r="AO239" s="54" t="str">
        <v/>
      </c>
    </row>
    <row r="240" spans="18:41" x14ac:dyDescent="0.2">
      <c r="R240" s="42">
        <v>235</v>
      </c>
      <c r="S240" s="42">
        <v>104.35830321692781</v>
      </c>
      <c r="T240" s="42">
        <v>9.9272682052590697E-3</v>
      </c>
      <c r="U240" s="42" t="e">
        <v>#N/A</v>
      </c>
      <c r="V240" s="42">
        <v>9.9272682052590697E-3</v>
      </c>
      <c r="W240" s="42" t="str">
        <v/>
      </c>
      <c r="Z240" s="42">
        <v>235</v>
      </c>
      <c r="AA240" s="42">
        <v>6</v>
      </c>
      <c r="AB240" s="42">
        <v>0.2621440000000001</v>
      </c>
      <c r="AC240" s="42" t="e">
        <v>#N/A</v>
      </c>
      <c r="AD240" s="42" t="e">
        <v>#N/A</v>
      </c>
      <c r="AE240" s="42">
        <v>0.2621440000000001</v>
      </c>
      <c r="AF240" s="42" t="str">
        <v/>
      </c>
      <c r="AI240" s="42">
        <v>235</v>
      </c>
      <c r="AJ240" s="42">
        <v>11</v>
      </c>
      <c r="AK240" s="54">
        <v>6.9436092088690095E-6</v>
      </c>
      <c r="AL240" s="54" t="e">
        <v>#N/A</v>
      </c>
      <c r="AM240" s="54" t="e">
        <v>#N/A</v>
      </c>
      <c r="AN240" s="54">
        <v>6.9436092088690095E-6</v>
      </c>
      <c r="AO240" s="54" t="str">
        <v/>
      </c>
    </row>
    <row r="241" spans="18:41" x14ac:dyDescent="0.2">
      <c r="R241" s="42">
        <v>236</v>
      </c>
      <c r="S241" s="42">
        <v>104.85472607735636</v>
      </c>
      <c r="T241" s="42">
        <v>9.2767895149492557E-3</v>
      </c>
      <c r="U241" s="42" t="e">
        <v>#N/A</v>
      </c>
      <c r="V241" s="42">
        <v>9.2767895149492557E-3</v>
      </c>
      <c r="W241" s="42" t="str">
        <v/>
      </c>
      <c r="Z241" s="42">
        <v>236</v>
      </c>
      <c r="AA241" s="42">
        <v>6</v>
      </c>
      <c r="AB241" s="42">
        <v>0.2621440000000001</v>
      </c>
      <c r="AC241" s="42" t="e">
        <v>#N/A</v>
      </c>
      <c r="AD241" s="42" t="e">
        <v>#N/A</v>
      </c>
      <c r="AE241" s="42">
        <v>0.2621440000000001</v>
      </c>
      <c r="AF241" s="42" t="str">
        <v/>
      </c>
      <c r="AI241" s="42">
        <v>236</v>
      </c>
      <c r="AJ241" s="42">
        <v>11</v>
      </c>
      <c r="AK241" s="54">
        <v>6.9436092088690095E-6</v>
      </c>
      <c r="AL241" s="54" t="e">
        <v>#N/A</v>
      </c>
      <c r="AM241" s="54" t="e">
        <v>#N/A</v>
      </c>
      <c r="AN241" s="54">
        <v>6.9436092088690095E-6</v>
      </c>
      <c r="AO241" s="54" t="str">
        <v/>
      </c>
    </row>
    <row r="242" spans="18:41" x14ac:dyDescent="0.2">
      <c r="R242" s="42">
        <v>237</v>
      </c>
      <c r="S242" s="42">
        <v>105.35114893778493</v>
      </c>
      <c r="T242" s="42">
        <v>8.6635938859280798E-3</v>
      </c>
      <c r="U242" s="42" t="e">
        <v>#N/A</v>
      </c>
      <c r="V242" s="42">
        <v>8.6635938859280798E-3</v>
      </c>
      <c r="W242" s="42" t="str">
        <v/>
      </c>
      <c r="Z242" s="42">
        <v>237</v>
      </c>
      <c r="AA242" s="42">
        <v>6</v>
      </c>
      <c r="AB242" s="42">
        <v>0.2621440000000001</v>
      </c>
      <c r="AC242" s="42" t="e">
        <v>#N/A</v>
      </c>
      <c r="AD242" s="42" t="e">
        <v>#N/A</v>
      </c>
      <c r="AE242" s="42">
        <v>0.2621440000000001</v>
      </c>
      <c r="AF242" s="42" t="str">
        <v/>
      </c>
      <c r="AI242" s="42">
        <v>237</v>
      </c>
      <c r="AJ242" s="42">
        <v>11</v>
      </c>
      <c r="AK242" s="54">
        <v>6.9436092088690095E-6</v>
      </c>
      <c r="AL242" s="54" t="e">
        <v>#N/A</v>
      </c>
      <c r="AM242" s="54" t="e">
        <v>#N/A</v>
      </c>
      <c r="AN242" s="54">
        <v>6.9436092088690095E-6</v>
      </c>
      <c r="AO242" s="54" t="str">
        <v/>
      </c>
    </row>
    <row r="243" spans="18:41" x14ac:dyDescent="0.2">
      <c r="R243" s="42">
        <v>238</v>
      </c>
      <c r="S243" s="42">
        <v>105.84757179821348</v>
      </c>
      <c r="T243" s="42">
        <v>8.0859472783450948E-3</v>
      </c>
      <c r="U243" s="42" t="e">
        <v>#N/A</v>
      </c>
      <c r="V243" s="42">
        <v>8.0859472783450948E-3</v>
      </c>
      <c r="W243" s="42" t="str">
        <v/>
      </c>
      <c r="Z243" s="42">
        <v>238</v>
      </c>
      <c r="AA243" s="42">
        <v>6</v>
      </c>
      <c r="AB243" s="42">
        <v>0.2621440000000001</v>
      </c>
      <c r="AC243" s="42" t="e">
        <v>#N/A</v>
      </c>
      <c r="AD243" s="42" t="e">
        <v>#N/A</v>
      </c>
      <c r="AE243" s="42">
        <v>0.2621440000000001</v>
      </c>
      <c r="AF243" s="42" t="str">
        <v/>
      </c>
      <c r="AI243" s="42">
        <v>238</v>
      </c>
      <c r="AJ243" s="42">
        <v>11</v>
      </c>
      <c r="AK243" s="54">
        <v>6.9436092088690095E-6</v>
      </c>
      <c r="AL243" s="54" t="e">
        <v>#N/A</v>
      </c>
      <c r="AM243" s="54" t="e">
        <v>#N/A</v>
      </c>
      <c r="AN243" s="54">
        <v>6.9436092088690095E-6</v>
      </c>
      <c r="AO243" s="54" t="str">
        <v/>
      </c>
    </row>
    <row r="244" spans="18:41" x14ac:dyDescent="0.2">
      <c r="R244" s="42">
        <v>239</v>
      </c>
      <c r="S244" s="42">
        <v>106.34399465864206</v>
      </c>
      <c r="T244" s="42">
        <v>7.5421672783237727E-3</v>
      </c>
      <c r="U244" s="42" t="e">
        <v>#N/A</v>
      </c>
      <c r="V244" s="42">
        <v>7.5421672783237727E-3</v>
      </c>
      <c r="W244" s="42" t="str">
        <v/>
      </c>
      <c r="Z244" s="42">
        <v>239</v>
      </c>
      <c r="AA244" s="42">
        <v>6</v>
      </c>
      <c r="AB244" s="42">
        <v>0.2621440000000001</v>
      </c>
      <c r="AC244" s="42" t="e">
        <v>#N/A</v>
      </c>
      <c r="AD244" s="42" t="e">
        <v>#N/A</v>
      </c>
      <c r="AE244" s="42">
        <v>0.2621440000000001</v>
      </c>
      <c r="AF244" s="42" t="str">
        <v/>
      </c>
      <c r="AI244" s="42">
        <v>239</v>
      </c>
      <c r="AJ244" s="42">
        <v>11</v>
      </c>
      <c r="AK244" s="54">
        <v>6.9436092088690095E-6</v>
      </c>
      <c r="AL244" s="54" t="e">
        <v>#N/A</v>
      </c>
      <c r="AM244" s="54" t="e">
        <v>#N/A</v>
      </c>
      <c r="AN244" s="54">
        <v>6.9436092088690095E-6</v>
      </c>
      <c r="AO244" s="54" t="str">
        <v/>
      </c>
    </row>
    <row r="245" spans="18:41" x14ac:dyDescent="0.2">
      <c r="R245" s="42">
        <v>240</v>
      </c>
      <c r="S245" s="42">
        <v>106.84041751907061</v>
      </c>
      <c r="T245" s="42">
        <v>7.0306236609098431E-3</v>
      </c>
      <c r="U245" s="42" t="e">
        <v>#N/A</v>
      </c>
      <c r="V245" s="42">
        <v>7.0306236609098431E-3</v>
      </c>
      <c r="W245" s="42" t="str">
        <v/>
      </c>
      <c r="Z245" s="42">
        <v>240</v>
      </c>
      <c r="AA245" s="42">
        <v>6</v>
      </c>
      <c r="AB245" s="42">
        <v>0.2621440000000001</v>
      </c>
      <c r="AC245" s="42" t="e">
        <v>#N/A</v>
      </c>
      <c r="AD245" s="42" t="e">
        <v>#N/A</v>
      </c>
      <c r="AE245" s="42">
        <v>0.2621440000000001</v>
      </c>
      <c r="AF245" s="42" t="str">
        <v/>
      </c>
      <c r="AI245" s="42">
        <v>240</v>
      </c>
      <c r="AJ245" s="42">
        <v>11</v>
      </c>
      <c r="AK245" s="54">
        <v>6.9436092088690095E-6</v>
      </c>
      <c r="AL245" s="54" t="e">
        <v>#N/A</v>
      </c>
      <c r="AM245" s="54" t="e">
        <v>#N/A</v>
      </c>
      <c r="AN245" s="54">
        <v>6.9436092088690095E-6</v>
      </c>
      <c r="AO245" s="54" t="str">
        <v/>
      </c>
    </row>
    <row r="246" spans="18:41" x14ac:dyDescent="0.2">
      <c r="R246" s="42">
        <v>241</v>
      </c>
      <c r="S246" s="42">
        <v>107.33684037949918</v>
      </c>
      <c r="T246" s="42">
        <v>6.5497387600978929E-3</v>
      </c>
      <c r="U246" s="42" t="e">
        <v>#N/A</v>
      </c>
      <c r="V246" s="42">
        <v>6.5497387600978929E-3</v>
      </c>
      <c r="W246" s="42" t="str">
        <v/>
      </c>
      <c r="Z246" s="42">
        <v>241</v>
      </c>
      <c r="AA246" s="42">
        <v>6</v>
      </c>
      <c r="AB246" s="42">
        <v>0.2621440000000001</v>
      </c>
      <c r="AC246" s="42" t="e">
        <v>#N/A</v>
      </c>
      <c r="AD246" s="42" t="e">
        <v>#N/A</v>
      </c>
      <c r="AE246" s="42">
        <v>0.2621440000000001</v>
      </c>
      <c r="AF246" s="42" t="str">
        <v/>
      </c>
      <c r="AI246" s="42">
        <v>241</v>
      </c>
      <c r="AJ246" s="42" t="e">
        <v>#N/A</v>
      </c>
      <c r="AK246" s="54" t="e">
        <v>#N/A</v>
      </c>
      <c r="AL246" s="54" t="e">
        <v>#N/A</v>
      </c>
      <c r="AM246" s="54" t="e">
        <v>#N/A</v>
      </c>
      <c r="AN246" s="54" t="e">
        <v>#N/A</v>
      </c>
      <c r="AO246" s="54" t="str">
        <v/>
      </c>
    </row>
    <row r="247" spans="18:41" x14ac:dyDescent="0.2">
      <c r="R247" s="42">
        <v>242</v>
      </c>
      <c r="S247" s="42">
        <v>107.83326323992776</v>
      </c>
      <c r="T247" s="42">
        <v>6.0979876575868661E-3</v>
      </c>
      <c r="U247" s="42" t="e">
        <v>#N/A</v>
      </c>
      <c r="V247" s="42">
        <v>6.0979876575868661E-3</v>
      </c>
      <c r="W247" s="42" t="str">
        <v/>
      </c>
      <c r="Z247" s="42">
        <v>242</v>
      </c>
      <c r="AA247" s="42">
        <v>6</v>
      </c>
      <c r="AB247" s="42">
        <v>0.2621440000000001</v>
      </c>
      <c r="AC247" s="42" t="e">
        <v>#N/A</v>
      </c>
      <c r="AD247" s="42" t="e">
        <v>#N/A</v>
      </c>
      <c r="AE247" s="42">
        <v>0.2621440000000001</v>
      </c>
      <c r="AF247" s="42" t="str">
        <v/>
      </c>
      <c r="AI247" s="42">
        <v>242</v>
      </c>
      <c r="AJ247" s="42" t="e">
        <v>#N/A</v>
      </c>
      <c r="AK247" s="54" t="e">
        <v>#N/A</v>
      </c>
      <c r="AL247" s="54" t="e">
        <v>#N/A</v>
      </c>
      <c r="AM247" s="54" t="e">
        <v>#N/A</v>
      </c>
      <c r="AN247" s="54" t="e">
        <v>#N/A</v>
      </c>
      <c r="AO247" s="54" t="str">
        <v/>
      </c>
    </row>
    <row r="248" spans="18:41" x14ac:dyDescent="0.2">
      <c r="R248" s="42">
        <v>243</v>
      </c>
      <c r="S248" s="42">
        <v>108.32968610035631</v>
      </c>
      <c r="T248" s="42">
        <v>5.6738982018815585E-3</v>
      </c>
      <c r="U248" s="42" t="e">
        <v>#N/A</v>
      </c>
      <c r="V248" s="42">
        <v>5.6738982018815585E-3</v>
      </c>
      <c r="W248" s="42" t="str">
        <v/>
      </c>
      <c r="Z248" s="42">
        <v>243</v>
      </c>
      <c r="AA248" s="42">
        <v>6</v>
      </c>
      <c r="AB248" s="42">
        <v>0.2621440000000001</v>
      </c>
      <c r="AC248" s="42" t="e">
        <v>#N/A</v>
      </c>
      <c r="AD248" s="42" t="e">
        <v>#N/A</v>
      </c>
      <c r="AE248" s="42">
        <v>0.2621440000000001</v>
      </c>
      <c r="AF248" s="42" t="str">
        <v/>
      </c>
      <c r="AI248" s="42">
        <v>243</v>
      </c>
      <c r="AJ248" s="42" t="e">
        <v>#N/A</v>
      </c>
      <c r="AK248" s="54" t="e">
        <v>#N/A</v>
      </c>
      <c r="AL248" s="54" t="e">
        <v>#N/A</v>
      </c>
      <c r="AM248" s="54" t="e">
        <v>#N/A</v>
      </c>
      <c r="AN248" s="54" t="e">
        <v>#N/A</v>
      </c>
      <c r="AO248" s="54" t="str">
        <v/>
      </c>
    </row>
    <row r="249" spans="18:41" x14ac:dyDescent="0.2">
      <c r="R249" s="42">
        <v>244</v>
      </c>
      <c r="S249" s="42">
        <v>108.82610896078488</v>
      </c>
      <c r="T249" s="42">
        <v>5.2760508692726331E-3</v>
      </c>
      <c r="U249" s="42" t="e">
        <v>#N/A</v>
      </c>
      <c r="V249" s="42">
        <v>5.2760508692726331E-3</v>
      </c>
      <c r="W249" s="42" t="str">
        <v/>
      </c>
      <c r="Z249" s="42">
        <v>244</v>
      </c>
      <c r="AA249" s="42">
        <v>6</v>
      </c>
      <c r="AB249" s="42">
        <v>0.2621440000000001</v>
      </c>
      <c r="AC249" s="42" t="e">
        <v>#N/A</v>
      </c>
      <c r="AD249" s="42" t="e">
        <v>#N/A</v>
      </c>
      <c r="AE249" s="42">
        <v>0.2621440000000001</v>
      </c>
      <c r="AF249" s="42" t="str">
        <v/>
      </c>
      <c r="AI249" s="42">
        <v>244</v>
      </c>
      <c r="AJ249" s="42" t="e">
        <v>#N/A</v>
      </c>
      <c r="AK249" s="54" t="e">
        <v>#N/A</v>
      </c>
      <c r="AL249" s="54" t="e">
        <v>#N/A</v>
      </c>
      <c r="AM249" s="54" t="e">
        <v>#N/A</v>
      </c>
      <c r="AN249" s="54" t="e">
        <v>#N/A</v>
      </c>
      <c r="AO249" s="54" t="str">
        <v/>
      </c>
    </row>
    <row r="250" spans="18:41" x14ac:dyDescent="0.2">
      <c r="R250" s="42">
        <v>245</v>
      </c>
      <c r="S250" s="42">
        <v>109.32253182121345</v>
      </c>
      <c r="T250" s="42">
        <v>4.9030784780939377E-3</v>
      </c>
      <c r="U250" s="42" t="e">
        <v>#N/A</v>
      </c>
      <c r="V250" s="42">
        <v>4.9030784780939377E-3</v>
      </c>
      <c r="W250" s="42" t="str">
        <v/>
      </c>
      <c r="Z250" s="42">
        <v>245</v>
      </c>
      <c r="AA250" s="42">
        <v>6</v>
      </c>
      <c r="AB250" s="42">
        <v>0.2621440000000001</v>
      </c>
      <c r="AC250" s="42" t="e">
        <v>#N/A</v>
      </c>
      <c r="AD250" s="42" t="e">
        <v>#N/A</v>
      </c>
      <c r="AE250" s="42">
        <v>0.2621440000000001</v>
      </c>
      <c r="AF250" s="42" t="str">
        <v/>
      </c>
      <c r="AI250" s="42">
        <v>245</v>
      </c>
      <c r="AJ250" s="42" t="e">
        <v>#N/A</v>
      </c>
      <c r="AK250" s="54" t="e">
        <v>#N/A</v>
      </c>
      <c r="AL250" s="54" t="e">
        <v>#N/A</v>
      </c>
      <c r="AM250" s="54" t="e">
        <v>#N/A</v>
      </c>
      <c r="AN250" s="54" t="e">
        <v>#N/A</v>
      </c>
      <c r="AO250" s="54" t="str">
        <v/>
      </c>
    </row>
    <row r="251" spans="18:41" x14ac:dyDescent="0.2">
      <c r="R251" s="42">
        <v>246</v>
      </c>
      <c r="S251" s="42">
        <v>109.81895468164201</v>
      </c>
      <c r="T251" s="42">
        <v>4.5536657674760447E-3</v>
      </c>
      <c r="U251" s="42" t="e">
        <v>#N/A</v>
      </c>
      <c r="V251" s="42">
        <v>4.5536657674760447E-3</v>
      </c>
      <c r="W251" s="42" t="str">
        <v/>
      </c>
      <c r="Z251" s="42">
        <v>246</v>
      </c>
      <c r="AA251" s="42" t="e">
        <v>#N/A</v>
      </c>
      <c r="AB251" s="42" t="e">
        <v>#N/A</v>
      </c>
      <c r="AC251" s="42" t="e">
        <v>#N/A</v>
      </c>
      <c r="AD251" s="42" t="e">
        <v>#N/A</v>
      </c>
      <c r="AE251" s="42" t="e">
        <v>#N/A</v>
      </c>
      <c r="AF251" s="42" t="str">
        <v/>
      </c>
      <c r="AI251" s="42">
        <v>246</v>
      </c>
      <c r="AJ251" s="42" t="e">
        <v>#N/A</v>
      </c>
      <c r="AK251" s="54" t="e">
        <v>#N/A</v>
      </c>
      <c r="AL251" s="54" t="e">
        <v>#N/A</v>
      </c>
      <c r="AM251" s="54" t="e">
        <v>#N/A</v>
      </c>
      <c r="AN251" s="54" t="e">
        <v>#N/A</v>
      </c>
      <c r="AO251" s="54" t="str">
        <v/>
      </c>
    </row>
    <row r="252" spans="18:41" x14ac:dyDescent="0.2">
      <c r="R252" s="42">
        <v>247</v>
      </c>
      <c r="S252" s="42">
        <v>110.31537754207056</v>
      </c>
      <c r="T252" s="42">
        <v>4.2265488515956899E-3</v>
      </c>
      <c r="U252" s="42" t="e">
        <v>#N/A</v>
      </c>
      <c r="V252" s="42">
        <v>4.2265488515956899E-3</v>
      </c>
      <c r="W252" s="42" t="str">
        <v/>
      </c>
      <c r="Z252" s="42">
        <v>247</v>
      </c>
      <c r="AA252" s="42" t="e">
        <v>#N/A</v>
      </c>
      <c r="AB252" s="42" t="e">
        <v>#N/A</v>
      </c>
      <c r="AC252" s="42" t="e">
        <v>#N/A</v>
      </c>
      <c r="AD252" s="42" t="e">
        <v>#N/A</v>
      </c>
      <c r="AE252" s="42" t="e">
        <v>#N/A</v>
      </c>
      <c r="AF252" s="42" t="str">
        <v/>
      </c>
      <c r="AI252" s="42">
        <v>247</v>
      </c>
      <c r="AJ252" s="42" t="e">
        <v>#N/A</v>
      </c>
      <c r="AK252" s="54" t="e">
        <v>#N/A</v>
      </c>
      <c r="AL252" s="54" t="e">
        <v>#N/A</v>
      </c>
      <c r="AM252" s="54" t="e">
        <v>#N/A</v>
      </c>
      <c r="AN252" s="54" t="e">
        <v>#N/A</v>
      </c>
      <c r="AO252" s="54" t="str">
        <v/>
      </c>
    </row>
    <row r="253" spans="18:41" x14ac:dyDescent="0.2">
      <c r="R253" s="42">
        <v>248</v>
      </c>
      <c r="S253" s="42">
        <v>110.81180040249913</v>
      </c>
      <c r="T253" s="42">
        <v>3.9205145601637383E-3</v>
      </c>
      <c r="U253" s="42" t="e">
        <v>#N/A</v>
      </c>
      <c r="V253" s="42">
        <v>3.9205145601637383E-3</v>
      </c>
      <c r="W253" s="42" t="str">
        <v/>
      </c>
      <c r="Z253" s="42">
        <v>248</v>
      </c>
      <c r="AA253" s="42" t="e">
        <v>#N/A</v>
      </c>
      <c r="AB253" s="42" t="e">
        <v>#N/A</v>
      </c>
      <c r="AC253" s="42" t="e">
        <v>#N/A</v>
      </c>
      <c r="AD253" s="42" t="e">
        <v>#N/A</v>
      </c>
      <c r="AE253" s="42" t="e">
        <v>#N/A</v>
      </c>
      <c r="AF253" s="42" t="str">
        <v/>
      </c>
      <c r="AI253" s="42">
        <v>248</v>
      </c>
      <c r="AJ253" s="42" t="e">
        <v>#N/A</v>
      </c>
      <c r="AK253" s="54" t="e">
        <v>#N/A</v>
      </c>
      <c r="AL253" s="54" t="e">
        <v>#N/A</v>
      </c>
      <c r="AM253" s="54" t="e">
        <v>#N/A</v>
      </c>
      <c r="AN253" s="54" t="e">
        <v>#N/A</v>
      </c>
      <c r="AO253" s="54" t="str">
        <v/>
      </c>
    </row>
    <row r="254" spans="18:41" x14ac:dyDescent="0.2">
      <c r="R254" s="42">
        <v>249</v>
      </c>
      <c r="S254" s="42">
        <v>111.3082232629277</v>
      </c>
      <c r="T254" s="42">
        <v>3.634399675604996E-3</v>
      </c>
      <c r="U254" s="42" t="e">
        <v>#N/A</v>
      </c>
      <c r="V254" s="42">
        <v>3.634399675604996E-3</v>
      </c>
      <c r="W254" s="42" t="str">
        <v/>
      </c>
      <c r="Z254" s="42">
        <v>249</v>
      </c>
      <c r="AA254" s="42" t="e">
        <v>#N/A</v>
      </c>
      <c r="AB254" s="42" t="e">
        <v>#N/A</v>
      </c>
      <c r="AC254" s="42" t="e">
        <v>#N/A</v>
      </c>
      <c r="AD254" s="42" t="e">
        <v>#N/A</v>
      </c>
      <c r="AE254" s="42" t="e">
        <v>#N/A</v>
      </c>
      <c r="AF254" s="42" t="str">
        <v/>
      </c>
      <c r="AI254" s="42">
        <v>249</v>
      </c>
      <c r="AJ254" s="42" t="e">
        <v>#N/A</v>
      </c>
      <c r="AK254" s="54" t="e">
        <v>#N/A</v>
      </c>
      <c r="AL254" s="54" t="e">
        <v>#N/A</v>
      </c>
      <c r="AM254" s="54" t="e">
        <v>#N/A</v>
      </c>
      <c r="AN254" s="54" t="e">
        <v>#N/A</v>
      </c>
      <c r="AO254" s="54" t="str">
        <v/>
      </c>
    </row>
    <row r="255" spans="18:41" x14ac:dyDescent="0.2">
      <c r="R255" s="42">
        <v>250</v>
      </c>
      <c r="S255" s="42">
        <v>111.80464612335626</v>
      </c>
      <c r="T255" s="42">
        <v>3.3670900770639959E-3</v>
      </c>
      <c r="U255" s="42" t="e">
        <v>#N/A</v>
      </c>
      <c r="V255" s="42">
        <v>3.3670900770639959E-3</v>
      </c>
      <c r="W255" s="42">
        <v>111.8</v>
      </c>
      <c r="Z255" s="42">
        <v>250</v>
      </c>
      <c r="AA255" s="42" t="e">
        <v>#N/A</v>
      </c>
      <c r="AB255" s="42" t="e">
        <v>#N/A</v>
      </c>
      <c r="AC255" s="42" t="e">
        <v>#N/A</v>
      </c>
      <c r="AD255" s="42" t="e">
        <v>#N/A</v>
      </c>
      <c r="AE255" s="42" t="e">
        <v>#N/A</v>
      </c>
      <c r="AF255" s="42" t="str">
        <v/>
      </c>
      <c r="AI255" s="42">
        <v>250</v>
      </c>
      <c r="AJ255" s="42" t="e">
        <v>#N/A</v>
      </c>
      <c r="AK255" s="54" t="e">
        <v>#N/A</v>
      </c>
      <c r="AL255" s="54" t="e">
        <v>#N/A</v>
      </c>
      <c r="AM255" s="54" t="e">
        <v>#N/A</v>
      </c>
      <c r="AN255" s="54" t="e">
        <v>#N/A</v>
      </c>
      <c r="AO255" s="54" t="str">
        <v/>
      </c>
    </row>
  </sheetData>
  <sheetProtection formatCells="0" formatColumns="0" formatRows="0" insertColumns="0" insertRows="0" insertHyperlinks="0" deleteColumns="0" deleteRows="0" sort="0" autoFilter="0" pivotTables="0"/>
  <phoneticPr fontId="15" type="noConversion"/>
  <conditionalFormatting sqref="B7">
    <cfRule type="expression" dxfId="42" priority="14">
      <formula>NOT(ISBLANK(B8))</formula>
    </cfRule>
  </conditionalFormatting>
  <conditionalFormatting sqref="E7">
    <cfRule type="expression" dxfId="41" priority="13">
      <formula>NOT(ISBLANK(E8))</formula>
    </cfRule>
  </conditionalFormatting>
  <conditionalFormatting sqref="B8">
    <cfRule type="expression" dxfId="40" priority="12">
      <formula>NOT(ISBLANK(B7))</formula>
    </cfRule>
  </conditionalFormatting>
  <conditionalFormatting sqref="E8">
    <cfRule type="expression" dxfId="39" priority="11">
      <formula>NOT(ISBLANK(E7))</formula>
    </cfRule>
  </conditionalFormatting>
  <conditionalFormatting sqref="E7:E8">
    <cfRule type="expression" dxfId="38" priority="9">
      <formula>NOT(OR(ISBLANK($E$7),ISBLANK($E$8)))</formula>
    </cfRule>
  </conditionalFormatting>
  <conditionalFormatting sqref="B7:B8">
    <cfRule type="expression" dxfId="37" priority="8">
      <formula>NOT(OR(ISBLANK($B$7),ISBLANK($B$8)))</formula>
    </cfRule>
  </conditionalFormatting>
  <conditionalFormatting sqref="H6">
    <cfRule type="expression" dxfId="36" priority="4">
      <formula>NOT(ISBLANK(H7))</formula>
    </cfRule>
  </conditionalFormatting>
  <conditionalFormatting sqref="H6:H7">
    <cfRule type="expression" dxfId="35" priority="1">
      <formula>NOT(OR(ISBLANK($H$6),ISBLANK($H$7)))</formula>
    </cfRule>
  </conditionalFormatting>
  <conditionalFormatting sqref="H7">
    <cfRule type="expression" dxfId="34" priority="2">
      <formula>NOT(ISBLANK($H$6))</formula>
    </cfRule>
  </conditionalFormatting>
  <dataValidations xWindow="1133" yWindow="351" count="8">
    <dataValidation type="custom" allowBlank="1" showInputMessage="1" showErrorMessage="1" errorTitle="Vælg et tal" error="Indtast et tal." promptTitle="Vælg en x værdi" prompt="Der kan kun være indtastet en type interesse: enten en x værdi eller en sandsynlighed." sqref="B7" xr:uid="{80BA7DDF-C151-474C-9A98-AEA3A1CCF945}">
      <formula1>ISNUMBER(B7)</formula1>
    </dataValidation>
    <dataValidation type="custom" allowBlank="1" showInputMessage="1" showErrorMessage="1" errorTitle="Vælg et heltal" error="Indtast et helt tal, som er større end eller lig med 0." promptTitle="Vælg en x værdi" prompt="Der kan kun være indtastet en type interesse: enten en x værdi eller en sandsynlighed." sqref="E7 H6" xr:uid="{0E0980FB-E82C-4EA2-8FB7-D42D1486BB59}">
      <formula1>AND(MOD(E6,1)=0,E6&gt;=0)</formula1>
    </dataValidation>
    <dataValidation type="decimal" allowBlank="1" showInputMessage="1" showErrorMessage="1" errorTitle="Vælg en sandsynlighed" error="Vælg en sandsynlighed mellem 0% og 100%." promptTitle="Vælg en sandsynlighed" prompt="Der kan kun være indtastet en type interesse: enten en x værdi eller en sandsynlighed." sqref="E8 H7" xr:uid="{0825DF24-6741-45EA-BB00-3743763E0648}">
      <formula1>0</formula1>
      <formula2>1</formula2>
    </dataValidation>
    <dataValidation type="custom" allowBlank="1" showInputMessage="1" showErrorMessage="1" errorTitle="Vælg et tal" error="Indtast et tal." promptTitle="Vælg et gennemsnit" prompt="Indtast et tal." sqref="B5" xr:uid="{850B335C-ECE2-4299-86F8-337B3518D7C7}">
      <formula1>ISNUMBER(B5)</formula1>
    </dataValidation>
    <dataValidation type="custom" allowBlank="1" showInputMessage="1" showErrorMessage="1" errorTitle="Vælg et tal" error="Indtast et tal." promptTitle="Vælg en standardafvigelse" prompt="Indtast et tal." sqref="B6" xr:uid="{49EBB814-9D42-4D53-9100-476439F7AF9B}">
      <formula1>ISNUMBER(B6)</formula1>
    </dataValidation>
    <dataValidation type="decimal" allowBlank="1" showInputMessage="1" showErrorMessage="1" errorTitle="Vælg en sandsynlighed" error="Indtast en sandsynlighed mellem 0% og 100%." promptTitle="Vælg en sandsynlighed" prompt="Der kan kun være indtastet en type interesse: enten en x værdi eller en sandsynlighed." sqref="B8" xr:uid="{00A73527-377D-414B-BD04-08CD141D5DA3}">
      <formula1>0</formula1>
      <formula2>1</formula2>
    </dataValidation>
    <dataValidation type="custom" allowBlank="1" showInputMessage="1" showErrorMessage="1" errorTitle="Vælg et naturligt antal" error="Indtast et heltal som er større end 0." promptTitle="Vælg et antal forsøg" prompt="Indtast et heltal som er større end 0." sqref="E5 H5" xr:uid="{87A352BC-56C8-4660-B534-E9CB1722B958}">
      <formula1>AND(MOD(E5,1)=0,E5&gt;0)</formula1>
    </dataValidation>
    <dataValidation type="decimal" allowBlank="1" showInputMessage="1" showErrorMessage="1" errorTitle="Vælg en sandsynlighed" error="Indtast et procenttal mellem 0% og 100%." promptTitle="Vælg en sandsynlighed" prompt="Indtast et procenttal mellem 0% og 100%." sqref="E6" xr:uid="{834A3F3D-4021-4F51-A2F0-0DFB4BABC9BC}">
      <formula1>0</formula1>
      <formula2>1</formula2>
    </dataValidation>
  </dataValidations>
  <hyperlinks>
    <hyperlink ref="B1" location="V_Manual_Sandsynlighed" display="Gå til Manual i brug af Sandsynlighed arket               " xr:uid="{BCBEEBD4-8284-4548-B099-75C5D93E7DD3}"/>
  </hyperlink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E23E72-A7E9-4B5B-8983-5B13B28D652F}">
  <sheetPr codeName="Sheet9">
    <tabColor theme="7"/>
  </sheetPr>
  <dimension ref="A1:IA268"/>
  <sheetViews>
    <sheetView showGridLines="0" zoomScaleNormal="100" workbookViewId="0"/>
  </sheetViews>
  <sheetFormatPr defaultRowHeight="14.25" x14ac:dyDescent="0.2"/>
  <cols>
    <col min="1" max="1" width="33.125" customWidth="1"/>
    <col min="2" max="3" width="35.125" customWidth="1"/>
    <col min="4" max="4" width="1.5" customWidth="1"/>
    <col min="5" max="5" width="34.625" customWidth="1"/>
    <col min="6" max="6" width="41.25" customWidth="1"/>
    <col min="7" max="7" width="5.25" customWidth="1"/>
    <col min="8" max="8" width="34.5" customWidth="1"/>
    <col min="9" max="10" width="34.75" customWidth="1"/>
    <col min="11" max="11" width="1.5" customWidth="1"/>
    <col min="12" max="12" width="34.625" customWidth="1"/>
    <col min="13" max="13" width="40.75" customWidth="1"/>
    <col min="14" max="14" width="4.25" customWidth="1"/>
    <col min="15" max="15" width="30.25" customWidth="1"/>
    <col min="16" max="17" width="34.75" bestFit="1" customWidth="1"/>
    <col min="18" max="18" width="1.5" customWidth="1"/>
    <col min="19" max="19" width="34.625" customWidth="1"/>
    <col min="20" max="20" width="44.125" customWidth="1"/>
    <col min="21" max="21" width="5.25" customWidth="1"/>
    <col min="22" max="22" width="30.25" customWidth="1"/>
    <col min="23" max="24" width="34.75" customWidth="1"/>
    <col min="25" max="25" width="1.5" customWidth="1"/>
    <col min="26" max="26" width="34.625" customWidth="1"/>
    <col min="27" max="27" width="44.125" customWidth="1"/>
    <col min="28" max="28" width="5.25" customWidth="1"/>
    <col min="29" max="29" width="30.25" customWidth="1"/>
    <col min="30" max="31" width="34.75" customWidth="1"/>
    <col min="32" max="32" width="1.5" customWidth="1"/>
    <col min="33" max="33" width="34.625" customWidth="1"/>
    <col min="34" max="34" width="44.125" customWidth="1"/>
    <col min="35" max="37" width="5.25" customWidth="1"/>
    <col min="38" max="38" width="25.375" bestFit="1" customWidth="1"/>
    <col min="39" max="39" width="25.75" bestFit="1" customWidth="1"/>
    <col min="40" max="40" width="8.75" customWidth="1"/>
    <col min="41" max="44" width="10.375" customWidth="1"/>
    <col min="45" max="45" width="9.625" customWidth="1"/>
    <col min="46" max="49" width="10.375" customWidth="1"/>
    <col min="50" max="50" width="36" customWidth="1"/>
    <col min="51" max="52" width="35.375" bestFit="1" customWidth="1"/>
    <col min="53" max="55" width="10.375" customWidth="1"/>
    <col min="56" max="56" width="8.75" customWidth="1"/>
    <col min="57" max="57" width="33.125" customWidth="1"/>
    <col min="58" max="62" width="34" customWidth="1"/>
    <col min="64" max="64" width="25.625" bestFit="1" customWidth="1"/>
    <col min="65" max="65" width="33.5" customWidth="1"/>
    <col min="67" max="70" width="7.25" customWidth="1"/>
    <col min="79" max="79" width="14.625" customWidth="1"/>
    <col min="81" max="81" width="15.375" customWidth="1"/>
    <col min="82" max="82" width="10.75" customWidth="1"/>
    <col min="83" max="83" width="19.5" customWidth="1"/>
    <col min="84" max="84" width="11.25" customWidth="1"/>
    <col min="85" max="85" width="21.25" customWidth="1"/>
    <col min="86" max="86" width="20.25" customWidth="1"/>
    <col min="87" max="87" width="22.75" customWidth="1"/>
    <col min="88" max="88" width="18.5" customWidth="1"/>
    <col min="89" max="89" width="20.125" customWidth="1"/>
    <col min="90" max="90" width="17.875" customWidth="1"/>
    <col min="91" max="91" width="12.375" customWidth="1"/>
    <col min="92" max="92" width="12.125" customWidth="1"/>
    <col min="93" max="96" width="13.375" customWidth="1"/>
    <col min="97" max="100" width="24.875" customWidth="1"/>
    <col min="101" max="101" width="11.75" bestFit="1" customWidth="1"/>
    <col min="102" max="103" width="5.25" customWidth="1"/>
    <col min="104" max="104" width="24.75" bestFit="1" customWidth="1"/>
    <col min="105" max="105" width="16.125" bestFit="1" customWidth="1"/>
    <col min="106" max="106" width="12.875" bestFit="1" customWidth="1"/>
    <col min="107" max="107" width="12.375" bestFit="1" customWidth="1"/>
    <col min="108" max="117" width="5.25" customWidth="1"/>
    <col min="118" max="118" width="8.75" customWidth="1"/>
    <col min="119" max="119" width="14.625" customWidth="1"/>
    <col min="120" max="120" width="8.75" customWidth="1"/>
    <col min="121" max="121" width="15.375" customWidth="1"/>
    <col min="122" max="122" width="10.75" customWidth="1"/>
    <col min="123" max="123" width="19.5" customWidth="1"/>
    <col min="124" max="124" width="11.25" customWidth="1"/>
    <col min="125" max="125" width="21.25" customWidth="1"/>
    <col min="126" max="126" width="20.25" customWidth="1"/>
    <col min="127" max="127" width="22.75" customWidth="1"/>
    <col min="128" max="128" width="18.5" customWidth="1"/>
    <col min="129" max="129" width="20.125" customWidth="1"/>
    <col min="130" max="130" width="17.875" customWidth="1"/>
    <col min="131" max="131" width="12.375" customWidth="1"/>
    <col min="132" max="132" width="12.125" customWidth="1"/>
    <col min="133" max="136" width="8.75" customWidth="1"/>
    <col min="138" max="138" width="14.625" customWidth="1"/>
    <col min="140" max="140" width="15.375" customWidth="1"/>
    <col min="141" max="141" width="10.75" customWidth="1"/>
    <col min="142" max="142" width="19.5" customWidth="1"/>
    <col min="143" max="143" width="11.25" customWidth="1"/>
    <col min="144" max="144" width="21.25" customWidth="1"/>
    <col min="145" max="145" width="20.25" customWidth="1"/>
    <col min="146" max="146" width="22.75" customWidth="1"/>
    <col min="147" max="147" width="18.5" customWidth="1"/>
    <col min="148" max="148" width="20.125" customWidth="1"/>
    <col min="149" max="149" width="17.875" customWidth="1"/>
    <col min="150" max="150" width="12.375" customWidth="1"/>
    <col min="151" max="151" width="12.125" customWidth="1"/>
    <col min="152" max="160" width="12.625" customWidth="1"/>
    <col min="163" max="163" width="17.75" customWidth="1"/>
    <col min="164" max="164" width="13.375" customWidth="1"/>
    <col min="165" max="165" width="11.75" customWidth="1"/>
    <col min="166" max="166" width="17.25" customWidth="1"/>
    <col min="167" max="167" width="11.75" bestFit="1" customWidth="1"/>
    <col min="172" max="172" width="10.125" bestFit="1" customWidth="1"/>
    <col min="173" max="173" width="17.25" customWidth="1"/>
    <col min="174" max="174" width="11.75" bestFit="1" customWidth="1"/>
    <col min="179" max="179" width="10.125" bestFit="1" customWidth="1"/>
    <col min="180" max="180" width="17.25" customWidth="1"/>
    <col min="181" max="181" width="11.75" bestFit="1" customWidth="1"/>
    <col min="186" max="186" width="10.125" bestFit="1" customWidth="1"/>
    <col min="187" max="187" width="17.25" customWidth="1"/>
    <col min="188" max="188" width="11.75" bestFit="1" customWidth="1"/>
    <col min="193" max="193" width="10.125" bestFit="1" customWidth="1"/>
    <col min="194" max="195" width="10.125" customWidth="1"/>
    <col min="199" max="199" width="14.625" customWidth="1"/>
    <col min="201" max="201" width="15.375" customWidth="1"/>
    <col min="202" max="202" width="10.75" customWidth="1"/>
    <col min="203" max="203" width="19.5" customWidth="1"/>
    <col min="204" max="204" width="11.25" customWidth="1"/>
    <col min="205" max="205" width="21.25" customWidth="1"/>
    <col min="206" max="206" width="20.25" customWidth="1"/>
    <col min="207" max="207" width="22.75" customWidth="1"/>
    <col min="208" max="208" width="18.5" customWidth="1"/>
    <col min="209" max="209" width="20.125" customWidth="1"/>
    <col min="210" max="210" width="17.875" customWidth="1"/>
    <col min="211" max="211" width="12.375" customWidth="1"/>
    <col min="212" max="212" width="12.125" customWidth="1"/>
    <col min="213" max="213" width="8.75" customWidth="1"/>
    <col min="216" max="217" width="5.25" customWidth="1"/>
    <col min="219" max="219" width="14.625" customWidth="1"/>
    <col min="221" max="221" width="15.375" customWidth="1"/>
    <col min="222" max="222" width="10.75" customWidth="1"/>
    <col min="223" max="223" width="19.5" customWidth="1"/>
    <col min="224" max="224" width="11.25" customWidth="1"/>
    <col min="225" max="225" width="21.25" customWidth="1"/>
    <col min="226" max="226" width="20.25" customWidth="1"/>
    <col min="227" max="227" width="22.75" customWidth="1"/>
    <col min="228" max="228" width="18.5" customWidth="1"/>
    <col min="229" max="229" width="20.125" customWidth="1"/>
    <col min="230" max="230" width="17.875" customWidth="1"/>
    <col min="231" max="231" width="12.375" customWidth="1"/>
    <col min="232" max="232" width="12.125" customWidth="1"/>
    <col min="236" max="236" width="5.25" customWidth="1"/>
    <col min="270" max="270" width="25.5" bestFit="1" customWidth="1"/>
    <col min="271" max="271" width="4.75" customWidth="1"/>
    <col min="272" max="272" width="35.625" bestFit="1" customWidth="1"/>
    <col min="273" max="276" width="37" customWidth="1"/>
    <col min="277" max="277" width="30" customWidth="1"/>
    <col min="298" max="300" width="5.25" customWidth="1"/>
  </cols>
  <sheetData>
    <row r="1" spans="1:235" s="1" customFormat="1" ht="18.75" x14ac:dyDescent="0.2">
      <c r="A1" s="27" t="s">
        <v>519</v>
      </c>
      <c r="B1" s="66" t="s">
        <v>410</v>
      </c>
      <c r="BE1" s="130"/>
      <c r="BF1" s="130" t="s">
        <v>419</v>
      </c>
      <c r="BG1" s="130" t="s">
        <v>429</v>
      </c>
      <c r="BH1" s="130" t="s">
        <v>444</v>
      </c>
      <c r="BI1" s="130" t="s">
        <v>445</v>
      </c>
      <c r="BJ1" s="130" t="s">
        <v>451</v>
      </c>
      <c r="BZ1" s="53"/>
      <c r="CA1" s="67" t="s">
        <v>0</v>
      </c>
      <c r="CB1" s="53" t="s">
        <v>286</v>
      </c>
      <c r="CC1" s="67"/>
      <c r="CD1" s="67"/>
      <c r="CE1" s="67"/>
      <c r="CF1" s="67"/>
      <c r="CG1" s="67"/>
      <c r="CH1" s="67"/>
      <c r="CI1" s="67"/>
      <c r="CJ1" s="67"/>
      <c r="CK1" s="67"/>
      <c r="CL1" s="67"/>
      <c r="CM1" s="67"/>
      <c r="CN1" s="67" t="s">
        <v>17</v>
      </c>
      <c r="CO1" s="67" t="s">
        <v>148</v>
      </c>
      <c r="CP1" s="53" t="s">
        <v>331</v>
      </c>
      <c r="CQ1" s="67" t="s">
        <v>330</v>
      </c>
      <c r="CR1" s="1" t="s">
        <v>474</v>
      </c>
      <c r="CT1" s="1" t="s">
        <v>493</v>
      </c>
      <c r="CU1" s="1" t="s">
        <v>17</v>
      </c>
      <c r="CV1" s="1" t="s">
        <v>148</v>
      </c>
      <c r="DN1" s="53"/>
      <c r="DO1" s="67" t="s">
        <v>1</v>
      </c>
      <c r="DP1" s="53" t="s">
        <v>286</v>
      </c>
      <c r="DQ1" s="67"/>
      <c r="DR1" s="67"/>
      <c r="DS1" s="67"/>
      <c r="DT1" s="67"/>
      <c r="DU1" s="67"/>
      <c r="DV1" s="67"/>
      <c r="DW1" s="67"/>
      <c r="DX1" s="67"/>
      <c r="DY1" s="67"/>
      <c r="DZ1" s="67"/>
      <c r="EA1" s="67"/>
      <c r="EB1" s="67" t="s">
        <v>17</v>
      </c>
      <c r="EC1" s="67" t="s">
        <v>148</v>
      </c>
      <c r="ED1" s="53" t="s">
        <v>331</v>
      </c>
      <c r="EE1" s="67" t="s">
        <v>330</v>
      </c>
      <c r="EG1" s="53"/>
      <c r="EH1" s="67" t="s">
        <v>2</v>
      </c>
      <c r="EI1" s="53" t="s">
        <v>286</v>
      </c>
      <c r="EJ1" s="67"/>
      <c r="EK1" s="67"/>
      <c r="EL1" s="67"/>
      <c r="EM1" s="67"/>
      <c r="EN1" s="67"/>
      <c r="EO1" s="67"/>
      <c r="EP1" s="67"/>
      <c r="EQ1" s="67"/>
      <c r="ER1" s="67"/>
      <c r="ES1" s="67"/>
      <c r="ET1" s="67"/>
      <c r="EU1" s="67" t="s">
        <v>17</v>
      </c>
      <c r="EV1" s="67" t="s">
        <v>148</v>
      </c>
      <c r="EW1" s="53" t="s">
        <v>331</v>
      </c>
      <c r="EX1" s="67" t="s">
        <v>330</v>
      </c>
      <c r="EY1" s="1" t="s">
        <v>474</v>
      </c>
      <c r="FA1" s="1" t="s">
        <v>493</v>
      </c>
      <c r="FB1" s="1" t="s">
        <v>17</v>
      </c>
      <c r="FC1" s="1" t="s">
        <v>148</v>
      </c>
      <c r="FJ1" s="1" t="s">
        <v>511</v>
      </c>
      <c r="FK1" s="67"/>
      <c r="FL1" s="67"/>
      <c r="FM1" s="67"/>
      <c r="FN1" s="67"/>
      <c r="FO1" s="67"/>
      <c r="FP1" s="67"/>
      <c r="FR1" s="67"/>
      <c r="FS1" s="67"/>
      <c r="FT1" s="67"/>
      <c r="FU1" s="67"/>
      <c r="FV1" s="67"/>
      <c r="FW1" s="67"/>
      <c r="FX1" s="1" t="s">
        <v>518</v>
      </c>
      <c r="FY1" s="67"/>
      <c r="FZ1" s="67"/>
      <c r="GA1" s="67"/>
      <c r="GB1" s="67"/>
      <c r="GC1" s="67"/>
      <c r="GD1" s="67"/>
      <c r="GE1" s="1" t="s">
        <v>517</v>
      </c>
      <c r="GF1" s="67"/>
      <c r="GG1" s="67"/>
      <c r="GH1" s="67"/>
      <c r="GI1" s="67"/>
      <c r="GJ1" s="67"/>
      <c r="GK1" s="67"/>
      <c r="GL1" s="67"/>
      <c r="GM1" s="67"/>
      <c r="GN1" s="67"/>
      <c r="GP1" s="53"/>
      <c r="GQ1" s="67" t="s">
        <v>3</v>
      </c>
      <c r="GR1" s="53" t="s">
        <v>286</v>
      </c>
      <c r="GS1" s="67"/>
      <c r="GT1" s="67"/>
      <c r="GU1" s="67"/>
      <c r="GV1" s="67"/>
      <c r="GW1" s="67"/>
      <c r="GX1" s="67"/>
      <c r="GY1" s="67"/>
      <c r="GZ1" s="67"/>
      <c r="HA1" s="67"/>
      <c r="HB1" s="67"/>
      <c r="HC1" s="67"/>
      <c r="HD1" s="67" t="s">
        <v>17</v>
      </c>
      <c r="HE1" s="67" t="s">
        <v>148</v>
      </c>
      <c r="HF1" s="53" t="s">
        <v>331</v>
      </c>
      <c r="HG1" s="67" t="s">
        <v>330</v>
      </c>
      <c r="HJ1" s="53"/>
      <c r="HK1" s="67" t="s">
        <v>49</v>
      </c>
      <c r="HL1" s="53" t="s">
        <v>286</v>
      </c>
      <c r="HM1" s="67"/>
      <c r="HN1" s="67"/>
      <c r="HO1" s="67"/>
      <c r="HP1" s="67"/>
      <c r="HQ1" s="67"/>
      <c r="HR1" s="67"/>
      <c r="HS1" s="67"/>
      <c r="HT1" s="67"/>
      <c r="HU1" s="67"/>
      <c r="HV1" s="67"/>
      <c r="HW1" s="67"/>
      <c r="HX1" s="67" t="s">
        <v>17</v>
      </c>
      <c r="HY1" s="67" t="s">
        <v>148</v>
      </c>
      <c r="HZ1" s="53" t="s">
        <v>331</v>
      </c>
      <c r="IA1" s="67" t="s">
        <v>330</v>
      </c>
    </row>
    <row r="2" spans="1:235" x14ac:dyDescent="0.2">
      <c r="A2" s="65" t="s">
        <v>411</v>
      </c>
      <c r="BE2" s="90" t="s">
        <v>44</v>
      </c>
      <c r="BF2" s="98" t="b">
        <f>MATCH(BF9,Hypotesetype_Liste,0)=1</f>
        <v>1</v>
      </c>
      <c r="BG2" s="98" t="b">
        <f>MATCH(BG9,Hypotesetype_Liste,0)=1</f>
        <v>1</v>
      </c>
      <c r="BH2" s="98" t="b">
        <f>MATCH(BH9,Hypotesetype_Liste,0)=1</f>
        <v>1</v>
      </c>
      <c r="BI2" s="98" t="b">
        <f>MATCH(BI9,Hypotesetype_Liste,0)=1</f>
        <v>1</v>
      </c>
      <c r="BJ2" s="98" t="b">
        <f>MATCH(BJ9,Hypotesetype_Liste,0)=1</f>
        <v>0</v>
      </c>
      <c r="BZ2" s="54"/>
      <c r="CA2" s="54" t="s">
        <v>294</v>
      </c>
      <c r="CB2" s="54" t="s">
        <v>17</v>
      </c>
      <c r="CC2" s="54" t="s">
        <v>126</v>
      </c>
      <c r="CD2" s="54" t="s">
        <v>128</v>
      </c>
      <c r="CE2" s="54" t="s">
        <v>140</v>
      </c>
      <c r="CF2" s="54" t="s">
        <v>141</v>
      </c>
      <c r="CG2" s="54" t="s">
        <v>123</v>
      </c>
      <c r="CH2" s="54" t="s">
        <v>301</v>
      </c>
      <c r="CI2" s="54" t="s">
        <v>307</v>
      </c>
      <c r="CJ2" s="54" t="s">
        <v>301</v>
      </c>
      <c r="CK2" s="54" t="s">
        <v>145</v>
      </c>
      <c r="CL2" s="54" t="s">
        <v>146</v>
      </c>
      <c r="CM2" s="54" t="s">
        <v>306</v>
      </c>
      <c r="CN2" s="59">
        <f>IFERROR(ROUND(INDEX(E_g_valg[Venstre position],E_g_aktiv)*CB3,0),-99)</f>
        <v>47</v>
      </c>
      <c r="CO2" s="68">
        <f>IFERROR(ROUND(INDEX(E_g_valg[Venstre position],E_g_aktiv)*CB3/2,0),-99)</f>
        <v>24</v>
      </c>
      <c r="CP2" s="59">
        <f>IF(CO2+1&lt;=0,1,IF(CO2+1&gt;=CB$3,CB$3,CO2+1))</f>
        <v>25</v>
      </c>
      <c r="CQ2" s="54">
        <f>IFERROR(INDEX(CK$10:CK$324,CP2+1),NA())</f>
        <v>1.7910804685522155E-2</v>
      </c>
      <c r="CR2" t="s">
        <v>475</v>
      </c>
      <c r="CS2" t="s">
        <v>341</v>
      </c>
      <c r="CT2" t="e" cm="1">
        <f t="array" ref="CT2">ROUND((INDEX(DB$3:DB$5,CR7)-CB5)/(CB7-CB5)*CB3,0)</f>
        <v>#N/A</v>
      </c>
      <c r="CU2" t="e">
        <f>MAX(0,CT2)</f>
        <v>#N/A</v>
      </c>
      <c r="CV2" t="e">
        <f>ROUND(CU2/2,0)+1</f>
        <v>#N/A</v>
      </c>
      <c r="CW2" t="e" cm="1">
        <f t="array" ref="CW2">INDEX(Eu_tabel_g[Styrke, aktiv],MAX(1,CU2))</f>
        <v>#N/A</v>
      </c>
      <c r="DA2" t="s">
        <v>492</v>
      </c>
      <c r="DB2" t="s">
        <v>485</v>
      </c>
      <c r="DC2" t="s">
        <v>486</v>
      </c>
      <c r="DE2" t="s">
        <v>494</v>
      </c>
      <c r="DN2" s="54"/>
      <c r="DO2" s="54" t="s">
        <v>294</v>
      </c>
      <c r="DP2" s="54" t="s">
        <v>17</v>
      </c>
      <c r="DQ2" s="54" t="s">
        <v>126</v>
      </c>
      <c r="DR2" s="54" t="s">
        <v>128</v>
      </c>
      <c r="DS2" s="54" t="s">
        <v>140</v>
      </c>
      <c r="DT2" s="54" t="s">
        <v>141</v>
      </c>
      <c r="DU2" s="54" t="s">
        <v>123</v>
      </c>
      <c r="DV2" s="54" t="s">
        <v>301</v>
      </c>
      <c r="DW2" s="54" t="s">
        <v>307</v>
      </c>
      <c r="DX2" s="54" t="s">
        <v>301</v>
      </c>
      <c r="DY2" s="54" t="s">
        <v>145</v>
      </c>
      <c r="DZ2" s="54" t="s">
        <v>146</v>
      </c>
      <c r="EA2" s="54" t="s">
        <v>306</v>
      </c>
      <c r="EB2" s="59">
        <f>IFERROR(ROUND(INDEX(E_s_valg[Venstre position],E_s_aktiv)*DP3,0),-99)</f>
        <v>17</v>
      </c>
      <c r="EC2" s="68">
        <f>IFERROR(ROUND(INDEX(E_s_valg[Venstre position],E_s_aktiv)*DP3/2,0),-99)</f>
        <v>9</v>
      </c>
      <c r="ED2" s="59">
        <f>IF(EC2+1&lt;=0,1,IF(EC2+1&gt;=DP$3,DP$3,EC2+1))</f>
        <v>10</v>
      </c>
      <c r="EE2" s="54">
        <f t="shared" ref="EE2:EE3" si="0">IFERROR(INDEX(DY$10:DY$324,ED2),NA())</f>
        <v>1.1437019773006292E-2</v>
      </c>
      <c r="EG2" s="54"/>
      <c r="EH2" s="54" t="s">
        <v>294</v>
      </c>
      <c r="EI2" s="54" t="s">
        <v>17</v>
      </c>
      <c r="EJ2" s="54" t="s">
        <v>126</v>
      </c>
      <c r="EK2" s="54" t="s">
        <v>128</v>
      </c>
      <c r="EL2" s="54" t="s">
        <v>140</v>
      </c>
      <c r="EM2" s="54" t="s">
        <v>141</v>
      </c>
      <c r="EN2" s="54" t="s">
        <v>123</v>
      </c>
      <c r="EO2" s="54" t="s">
        <v>301</v>
      </c>
      <c r="EP2" s="54" t="s">
        <v>307</v>
      </c>
      <c r="EQ2" s="54" t="s">
        <v>301</v>
      </c>
      <c r="ER2" s="54" t="s">
        <v>145</v>
      </c>
      <c r="ES2" s="54" t="s">
        <v>146</v>
      </c>
      <c r="ET2" s="54" t="s">
        <v>306</v>
      </c>
      <c r="EU2" s="59">
        <f>IFERROR(ROUND(INDEX(E_a_valg[Venstre position],E_a_aktiv)*EI3,0),-99)</f>
        <v>47</v>
      </c>
      <c r="EV2" s="68">
        <f>IFERROR(ROUND(INDEX(E_a_valg[Venstre position],E_a_aktiv)*EI3/2,0),-99)</f>
        <v>24</v>
      </c>
      <c r="EW2" s="59">
        <f>IF(EV2+1&lt;=0,1,IF(EV2+1&gt;=EI$3,EI$3,EV2+1))</f>
        <v>25</v>
      </c>
      <c r="EX2" s="54">
        <f t="shared" ref="EX2:EX3" si="1">IFERROR(INDEX(ER$10:ER$324,EW2),NA())</f>
        <v>1.6868301418220717E-2</v>
      </c>
      <c r="EY2" s="144" t="s">
        <v>475</v>
      </c>
      <c r="EZ2" s="144" t="s">
        <v>341</v>
      </c>
      <c r="FA2" s="145" t="e" cm="1">
        <f t="array" ref="FA2">ROUND((INDEX(FG$3:FG$5,EY7)-MIN(Eu_tabel_a[X base som procent]))/(MAX(Eu_tabel_a[X base som procent])-MIN(Eu_tabel_a[X base som procent]))*EI3,0)</f>
        <v>#N/A</v>
      </c>
      <c r="FB2" s="144" t="e">
        <f>MAX(0,FA2)</f>
        <v>#N/A</v>
      </c>
      <c r="FC2" s="144" t="e">
        <f>ROUND(FB2/2,0)+1</f>
        <v>#N/A</v>
      </c>
      <c r="FD2" s="144" t="e" cm="1">
        <f t="array" ref="FD2">INDEX(Eu_tabel_a[Styrke, aktiv],MAX(1,FB2))</f>
        <v>#N/A</v>
      </c>
      <c r="FE2" s="144"/>
      <c r="FF2" s="144" t="s">
        <v>492</v>
      </c>
      <c r="FG2" s="144" t="s">
        <v>485</v>
      </c>
      <c r="FH2" s="144" t="s">
        <v>486</v>
      </c>
      <c r="FJ2" s="144" t="s">
        <v>509</v>
      </c>
      <c r="FK2" s="144" t="s">
        <v>340</v>
      </c>
      <c r="FL2" s="144" t="s">
        <v>492</v>
      </c>
      <c r="FM2" s="144" t="s">
        <v>504</v>
      </c>
      <c r="FN2" s="144" t="s">
        <v>505</v>
      </c>
      <c r="FO2" s="144" t="s">
        <v>507</v>
      </c>
      <c r="FP2" s="144" t="s">
        <v>506</v>
      </c>
      <c r="FQ2" s="144" t="s">
        <v>508</v>
      </c>
      <c r="FR2" s="144" t="s">
        <v>340</v>
      </c>
      <c r="FS2" s="144" t="s">
        <v>492</v>
      </c>
      <c r="FT2" s="144" t="s">
        <v>504</v>
      </c>
      <c r="FU2" s="144" t="s">
        <v>505</v>
      </c>
      <c r="FV2" s="144" t="s">
        <v>507</v>
      </c>
      <c r="FW2" s="144" t="s">
        <v>506</v>
      </c>
      <c r="FX2" s="144" t="s">
        <v>516</v>
      </c>
      <c r="FY2" s="144" t="s">
        <v>340</v>
      </c>
      <c r="FZ2" s="144" t="s">
        <v>492</v>
      </c>
      <c r="GA2" s="144" t="s">
        <v>504</v>
      </c>
      <c r="GB2" s="144" t="s">
        <v>505</v>
      </c>
      <c r="GC2" s="144" t="s">
        <v>507</v>
      </c>
      <c r="GD2" s="144" t="s">
        <v>506</v>
      </c>
      <c r="GE2" s="144" t="s">
        <v>510</v>
      </c>
      <c r="GF2" s="144" t="s">
        <v>340</v>
      </c>
      <c r="GG2" s="144" t="s">
        <v>492</v>
      </c>
      <c r="GH2" s="144" t="s">
        <v>504</v>
      </c>
      <c r="GI2" s="144" t="s">
        <v>505</v>
      </c>
      <c r="GJ2" s="144" t="s">
        <v>507</v>
      </c>
      <c r="GK2" s="144" t="s">
        <v>506</v>
      </c>
      <c r="GL2" s="42" t="s">
        <v>514</v>
      </c>
      <c r="GM2" s="42" t="s">
        <v>515</v>
      </c>
      <c r="GN2" s="54"/>
      <c r="GP2" s="54"/>
      <c r="GQ2" s="54" t="s">
        <v>294</v>
      </c>
      <c r="GR2" s="54" t="s">
        <v>17</v>
      </c>
      <c r="GS2" s="54" t="s">
        <v>126</v>
      </c>
      <c r="GT2" s="54" t="s">
        <v>128</v>
      </c>
      <c r="GU2" s="54" t="s">
        <v>140</v>
      </c>
      <c r="GV2" s="54" t="s">
        <v>141</v>
      </c>
      <c r="GW2" s="54" t="s">
        <v>123</v>
      </c>
      <c r="GX2" s="54" t="s">
        <v>301</v>
      </c>
      <c r="GY2" s="54" t="s">
        <v>307</v>
      </c>
      <c r="GZ2" s="54" t="s">
        <v>301</v>
      </c>
      <c r="HA2" s="54" t="s">
        <v>145</v>
      </c>
      <c r="HB2" s="54" t="s">
        <v>146</v>
      </c>
      <c r="HC2" s="54" t="s">
        <v>306</v>
      </c>
      <c r="HD2" s="59">
        <f>IFERROR(ROUND(INDEX(E_i_valg[Venstre position],E_i_aktiv)*GR3,0),-99)</f>
        <v>47</v>
      </c>
      <c r="HE2" s="68">
        <f>IFERROR(ROUND(INDEX(E_i_valg[Venstre position],E_i_aktiv)*GR3/2,0),-99)</f>
        <v>24</v>
      </c>
      <c r="HF2" s="59">
        <f>IF(HE2+1&lt;=0,1,IF(HE2+1&gt;=GR$3,GR$3,HE2+1))</f>
        <v>25</v>
      </c>
      <c r="HG2" s="54">
        <f t="shared" ref="HG2:HG3" si="2">IFERROR(INDEX(HA$10:HA$324,HF2),NA())</f>
        <v>1.6868301418220717E-2</v>
      </c>
      <c r="HJ2" s="54"/>
      <c r="HK2" s="54" t="s">
        <v>294</v>
      </c>
      <c r="HL2" s="54" t="s">
        <v>17</v>
      </c>
      <c r="HM2" s="54" t="s">
        <v>126</v>
      </c>
      <c r="HN2" s="54" t="s">
        <v>128</v>
      </c>
      <c r="HO2" s="54" t="s">
        <v>140</v>
      </c>
      <c r="HP2" s="54" t="s">
        <v>141</v>
      </c>
      <c r="HQ2" s="54" t="s">
        <v>123</v>
      </c>
      <c r="HR2" s="54" t="s">
        <v>301</v>
      </c>
      <c r="HS2" s="54" t="s">
        <v>307</v>
      </c>
      <c r="HT2" s="54" t="s">
        <v>301</v>
      </c>
      <c r="HU2" s="54" t="s">
        <v>145</v>
      </c>
      <c r="HV2" s="54" t="s">
        <v>146</v>
      </c>
      <c r="HW2" s="54" t="s">
        <v>306</v>
      </c>
      <c r="HX2" s="59" cm="1">
        <f t="array" ref="HX2">IFERROR(ROUND(_xlfn.SINGLE(INDEX(E_k_valg[Venstre position],E_k_aktiv))*HL3,0),-99)</f>
        <v>175</v>
      </c>
      <c r="HY2" s="68" cm="1">
        <f t="array" ref="HY2">IFERROR(ROUND(_xlfn.SINGLE(INDEX(E_k_valg[Venstre position],E_k_aktiv))*HL3/2,0),-99)</f>
        <v>87</v>
      </c>
      <c r="HZ2" s="59">
        <f>IF(HY2+1&lt;=0,1,IF(HY2+1&gt;=HL$3,HL$3,HY2+1))</f>
        <v>88</v>
      </c>
      <c r="IA2" s="54">
        <f t="shared" ref="IA2:IA3" si="3">IFERROR(INDEX(HU$10:HU$324,HZ2),NA())</f>
        <v>0.11702574379435818</v>
      </c>
    </row>
    <row r="3" spans="1:235" x14ac:dyDescent="0.2">
      <c r="BE3" s="90" t="s">
        <v>421</v>
      </c>
      <c r="BF3" s="98" t="b">
        <f>AND(NOT(BF4),NOT(BF2))</f>
        <v>0</v>
      </c>
      <c r="BG3" s="98" t="b">
        <f>AND(NOT(BG4),NOT(BG2))</f>
        <v>0</v>
      </c>
      <c r="BH3" s="98" t="b">
        <f t="shared" ref="BH3:BI3" si="4">AND(NOT(BH4),NOT(BH2))</f>
        <v>0</v>
      </c>
      <c r="BI3" s="98" t="b">
        <f t="shared" si="4"/>
        <v>0</v>
      </c>
      <c r="BJ3" s="98" t="b">
        <f t="shared" ref="BJ3" si="5">AND(NOT(BJ4),NOT(BJ2))</f>
        <v>1</v>
      </c>
      <c r="BZ3" s="54"/>
      <c r="CA3" s="54"/>
      <c r="CB3" s="59">
        <f>MAX(Eu_tabel_g[Indeks])</f>
        <v>258</v>
      </c>
      <c r="CC3" s="59" t="b">
        <f>INDEX(E_g_valg[Fordeling],E_g_aktiv)=CC2</f>
        <v>1</v>
      </c>
      <c r="CD3" s="59" t="b">
        <f>INDEX(E_g_valg[Fordeling],E_g_aktiv)=CD2</f>
        <v>0</v>
      </c>
      <c r="CE3" s="59" t="b">
        <f>INDEX(E_g_valg[Fordeling],E_g_aktiv)=CE2</f>
        <v>0</v>
      </c>
      <c r="CF3" s="59" t="b">
        <f>INDEX(E_g_valg[Fordeling],E_g_aktiv)=CF2</f>
        <v>0</v>
      </c>
      <c r="CG3" s="59">
        <f>INDEX(E_g_valg[Teststørrelse],E_g_aktiv)</f>
        <v>-1.9599639845400536</v>
      </c>
      <c r="CH3" s="59" t="str">
        <f>INDEX(E_g_valg[Hypotese],E_g_aktiv)</f>
        <v>Konfidensinterval</v>
      </c>
      <c r="CI3" s="59">
        <f>INDEX(E_g_valg[Venstre teststørrelse],E_g_aktiv)</f>
        <v>-1.9599639845400536</v>
      </c>
      <c r="CJ3" s="54" t="s">
        <v>44</v>
      </c>
      <c r="CK3" s="54" t="str">
        <f>CI9</f>
        <v>Forskellig fra teststørrelse</v>
      </c>
      <c r="CL3" s="54" t="str">
        <f>CJ9</f>
        <v>Lig med teststørrelse</v>
      </c>
      <c r="CM3" s="54" t="s">
        <v>317</v>
      </c>
      <c r="CN3" s="59">
        <f>IFERROR(ROUND(INDEX(E_g_valg[Midtpunkt position],E_g_aktiv)*CB3,0),-99)</f>
        <v>129</v>
      </c>
      <c r="CO3" s="68">
        <f>IFERROR(ROUND(INDEX(E_g_valg[Midtpunkt position],E_g_aktiv)*CB3,0),-99)</f>
        <v>129</v>
      </c>
      <c r="CP3" s="59">
        <f>IF(CO3+1&lt;=0,1,IF(CO3+1&gt;=CB$3,CB$3,CO3+1))</f>
        <v>130</v>
      </c>
      <c r="CQ3" s="54">
        <f t="shared" ref="CQ3" si="6">IFERROR(INDEX(CK$10:CK$324,CP3),NA())</f>
        <v>0.3989422804014327</v>
      </c>
      <c r="CR3" t="b">
        <f>IFERROR(AND(CH5="Normalfordeling",OR(CS5="Venstresidet hypotese om værdi",CS5="Højresidet hypotese om værdi",CS5="Tosidet hypotese om værdi")),FALSE)</f>
        <v>0</v>
      </c>
      <c r="CS3" t="s">
        <v>344</v>
      </c>
      <c r="CT3">
        <f>CN3</f>
        <v>129</v>
      </c>
      <c r="CU3">
        <f>CT3</f>
        <v>129</v>
      </c>
      <c r="CV3">
        <f>CU3+1</f>
        <v>130</v>
      </c>
      <c r="CW3" t="e" cm="1">
        <f t="array" ref="CW3">INDEX(Eu_tabel_g[Styrke, aktiv],MAX(1,CU3))</f>
        <v>#N/A</v>
      </c>
      <c r="CZ3" t="s">
        <v>341</v>
      </c>
      <c r="DA3" s="141">
        <f>$B$67</f>
        <v>0.8</v>
      </c>
      <c r="DB3" s="5">
        <f>_xlfn.NORM.INV(1-Eu_g_konfidensniveau,0,1)-_xlfn.NORM.INV(DA3,0,1)</f>
        <v>-2.4864748605243863</v>
      </c>
      <c r="DC3" t="e">
        <f>NA()</f>
        <v>#N/A</v>
      </c>
      <c r="DE3">
        <f>B68/(CS7/SQRT(B69))</f>
        <v>2.3218739212273629</v>
      </c>
      <c r="DN3" s="54"/>
      <c r="DO3" s="54"/>
      <c r="DP3" s="59">
        <f>MAX(Eu_tabel_s[Indeks])</f>
        <v>258</v>
      </c>
      <c r="DQ3" s="59" t="b">
        <f>INDEX(E_s_valg[Fordeling],E_s_aktiv)=DQ2</f>
        <v>0</v>
      </c>
      <c r="DR3" s="59" t="b">
        <f>INDEX(E_s_valg[Fordeling],E_s_aktiv)=DR2</f>
        <v>0</v>
      </c>
      <c r="DS3" s="59" t="b">
        <f>INDEX(E_s_valg[Fordeling],E_s_aktiv)=DS2</f>
        <v>1</v>
      </c>
      <c r="DT3" s="59" t="b">
        <f>INDEX(E_s_valg[Fordeling],E_s_aktiv)=DT2</f>
        <v>0</v>
      </c>
      <c r="DU3" s="59">
        <f>INDEX(E_s_valg[Teststørrelse],E_s_aktiv)</f>
        <v>3.8157482522360993</v>
      </c>
      <c r="DV3" s="59" t="str">
        <f>INDEX(E_s_valg[Hypotese],E_s_aktiv)</f>
        <v>Konfidensinterval</v>
      </c>
      <c r="DW3" s="59">
        <f>INDEX(E_s_valg[Venstre teststørrelse],E_s_aktiv)</f>
        <v>3.8157482522360993</v>
      </c>
      <c r="DX3" s="54" t="s">
        <v>44</v>
      </c>
      <c r="DY3" s="54" t="str">
        <f>DW9</f>
        <v>Forskellig fra teststørrelse</v>
      </c>
      <c r="DZ3" s="54" t="str">
        <f>DX9</f>
        <v>Lig med teststørrelse</v>
      </c>
      <c r="EA3" s="54" t="s">
        <v>317</v>
      </c>
      <c r="EB3" s="59">
        <f>IFERROR(ROUND(INDEX(E_s_valg[Midtpunkt position],E_s_aktiv)*DP3,0),-99)</f>
        <v>75</v>
      </c>
      <c r="EC3" s="68">
        <f>IFERROR(ROUND(INDEX(E_s_valg[Midtpunkt position],E_s_aktiv)*DP3,0),-99)</f>
        <v>75</v>
      </c>
      <c r="ED3" s="59">
        <f>IF(EC3+1&lt;=0,1,IF(EC3+1&gt;=DP$3,DP$3,EC3+1))</f>
        <v>76</v>
      </c>
      <c r="EE3" s="54">
        <f t="shared" si="0"/>
        <v>8.7925041836716789E-2</v>
      </c>
      <c r="EG3" s="54"/>
      <c r="EH3" s="54"/>
      <c r="EI3" s="59">
        <f>MAX(Eu_tabel_a[Indeks])</f>
        <v>258</v>
      </c>
      <c r="EJ3" s="59" t="b">
        <f>INDEX(E_a_valg[Fordeling],E_a_aktiv)=EJ2</f>
        <v>1</v>
      </c>
      <c r="EK3" s="59" t="b">
        <f>INDEX(E_a_valg[Fordeling],E_a_aktiv)=EK2</f>
        <v>0</v>
      </c>
      <c r="EL3" s="59" t="b">
        <f>INDEX(E_a_valg[Fordeling],E_a_aktiv)=EL2</f>
        <v>0</v>
      </c>
      <c r="EM3" s="59" t="b">
        <f>INDEX(E_a_valg[Fordeling],E_a_aktiv)=EM2</f>
        <v>0</v>
      </c>
      <c r="EN3" s="59">
        <f>INDEX(E_a_valg[Teststørrelse],E_a_aktiv)</f>
        <v>-1.9599639845400536</v>
      </c>
      <c r="EO3" s="59" t="str">
        <f>INDEX(E_a_valg[Hypotese],E_a_aktiv)</f>
        <v>Konfidensinterval</v>
      </c>
      <c r="EP3" s="59">
        <f>INDEX(E_a_valg[Venstre teststørrelse],E_a_aktiv)</f>
        <v>-1.9599639845400536</v>
      </c>
      <c r="EQ3" s="54" t="s">
        <v>44</v>
      </c>
      <c r="ER3" s="54" t="str">
        <f>EP9</f>
        <v>Forskellig fra teststørrelse</v>
      </c>
      <c r="ES3" s="54" t="str">
        <f>EQ9</f>
        <v>Lig med teststørrelse</v>
      </c>
      <c r="ET3" s="54" t="s">
        <v>317</v>
      </c>
      <c r="EU3" s="59">
        <f>IFERROR(ROUND(INDEX(E_a_valg[Midtpunkt position],E_a_aktiv)*EI3,0),-99)</f>
        <v>129</v>
      </c>
      <c r="EV3" s="68">
        <f>IFERROR(ROUND(INDEX(E_a_valg[Midtpunkt position],E_a_aktiv)*EI3,0),-99)</f>
        <v>129</v>
      </c>
      <c r="EW3" s="59">
        <f>IF(EV3+1&lt;=0,1,IF(EV3+1&gt;=EI$3,EI$3,EV3+1))</f>
        <v>130</v>
      </c>
      <c r="EX3" s="54">
        <f t="shared" si="1"/>
        <v>0.3989422804014327</v>
      </c>
      <c r="EY3" s="144" t="b">
        <f>IFERROR(AND(EO5="Normalfordeling",OR(EZ5="Venstresidet hypotese om værdi",EZ5="Højresidet hypotese om værdi",EZ5="Tosidet hypotese om værdi")),FALSE)</f>
        <v>0</v>
      </c>
      <c r="EZ3" s="144" t="s">
        <v>344</v>
      </c>
      <c r="FA3" s="144">
        <f>EU3</f>
        <v>129</v>
      </c>
      <c r="FB3" s="144">
        <f>FA3</f>
        <v>129</v>
      </c>
      <c r="FC3" s="144">
        <f>FB3+1</f>
        <v>130</v>
      </c>
      <c r="FD3" s="144" t="e" cm="1">
        <f t="array" ref="FD3">INDEX(Eu_tabel_a[Styrke, aktiv],FC3)</f>
        <v>#N/A</v>
      </c>
      <c r="FE3" s="144" t="s">
        <v>341</v>
      </c>
      <c r="FF3" s="148">
        <f>$P$67</f>
        <v>0.99</v>
      </c>
      <c r="FG3" s="149" t="e" cm="1">
        <f t="array" ref="FG3">IF(_xlfn.AGGREGATE(4,6,FJ$6:FJ$268)=0,NA(),INDEX(FK6:FK268,_xlfn.AGGREGATE(4,6,FJ$6:FJ$268)))</f>
        <v>#N/A</v>
      </c>
      <c r="FH3" s="144" t="e">
        <f>NA()</f>
        <v>#N/A</v>
      </c>
      <c r="FJ3" t="s">
        <v>503</v>
      </c>
      <c r="FK3">
        <f>_xlfn.IFNA(MIN(EI3,MATCH(FF3,Eu_tabel_a[Styrke venstre],-1)),1)</f>
        <v>1</v>
      </c>
      <c r="FQ3" t="s">
        <v>503</v>
      </c>
      <c r="FR3">
        <f>_xlfn.IFNA(MIN(EI3,MATCH(FF4,Eu_tabel_a[Styrke højre],1)),1)</f>
        <v>1</v>
      </c>
      <c r="FX3" t="s">
        <v>503</v>
      </c>
      <c r="FY3" t="e">
        <f>IF(GL3,GL4,_xlfn.IFNA(MIN($EI$3,MATCH($P$67,Eu_tabel_a[Styrke tosidet],-1)),1))</f>
        <v>#N/A</v>
      </c>
      <c r="GE3" t="s">
        <v>503</v>
      </c>
      <c r="GF3" t="e">
        <f>IF(GM3,GM4,_xlfn.IFNA(MIN($EI$3,MATCH($P$67,Eu_tabel_a[Styrke tosidet],1)),1))</f>
        <v>#N/A</v>
      </c>
      <c r="GL3" s="42" t="e">
        <f>EY10=0</f>
        <v>#N/A</v>
      </c>
      <c r="GM3" s="42" t="e">
        <f>EY268=0</f>
        <v>#N/A</v>
      </c>
      <c r="GN3" s="54"/>
      <c r="GP3" s="54"/>
      <c r="GQ3" s="54"/>
      <c r="GR3" s="59">
        <f>MAX(Eu_tabel_i[Indeks])</f>
        <v>258</v>
      </c>
      <c r="GS3" s="59" t="b">
        <f>INDEX(E_i_valg[Fordeling],E_i_aktiv)=GS2</f>
        <v>1</v>
      </c>
      <c r="GT3" s="59" t="b">
        <f>INDEX(E_i_valg[Fordeling],E_i_aktiv)=GT2</f>
        <v>0</v>
      </c>
      <c r="GU3" s="59" t="b">
        <f>INDEX(E_i_valg[Fordeling],E_i_aktiv)=GU2</f>
        <v>0</v>
      </c>
      <c r="GV3" s="59" t="b">
        <f>INDEX(E_i_valg[Fordeling],E_i_aktiv)=GV2</f>
        <v>0</v>
      </c>
      <c r="GW3" s="59">
        <f>INDEX(E_i_valg[Teststørrelse],E_i_aktiv)</f>
        <v>-1.9599639845400536</v>
      </c>
      <c r="GX3" s="59" t="str">
        <f>INDEX(E_i_valg[Hypotese],E_i_aktiv)</f>
        <v>Konfidensinterval</v>
      </c>
      <c r="GY3" s="59">
        <f>INDEX(E_i_valg[Venstre teststørrelse],E_i_aktiv)</f>
        <v>-1.9599639845400536</v>
      </c>
      <c r="GZ3" s="54" t="s">
        <v>44</v>
      </c>
      <c r="HA3" s="54" t="str">
        <f>GY9</f>
        <v>Forskellig fra teststørrelse</v>
      </c>
      <c r="HB3" s="54" t="str">
        <f>GZ9</f>
        <v>Lig med teststørrelse</v>
      </c>
      <c r="HC3" s="54" t="s">
        <v>317</v>
      </c>
      <c r="HD3" s="59">
        <f>IFERROR(ROUND(INDEX(E_i_valg[Midtpunkt position],E_i_aktiv)*GR3,0),-99)</f>
        <v>129</v>
      </c>
      <c r="HE3" s="68">
        <f>IFERROR(ROUND(INDEX(E_i_valg[Midtpunkt position],E_i_aktiv)*GR3,0),-99)</f>
        <v>129</v>
      </c>
      <c r="HF3" s="59">
        <f>IF(HE3+1&lt;=0,1,IF(HE3+1&gt;=GR$3,GR$3,HE3+1))</f>
        <v>130</v>
      </c>
      <c r="HG3" s="54">
        <f t="shared" si="2"/>
        <v>0.3989422804014327</v>
      </c>
      <c r="HJ3" s="54"/>
      <c r="HK3" s="54"/>
      <c r="HL3" s="59">
        <f>MAX(Eu_tabel_k[Indeks])</f>
        <v>258</v>
      </c>
      <c r="HM3" s="59" t="b" cm="1">
        <f t="array" ref="HM3">_xlfn.SINGLE(INDEX(E_k_valg[Fordeling],E_k_aktiv))=HM2</f>
        <v>0</v>
      </c>
      <c r="HN3" s="59" t="b" cm="1">
        <f t="array" ref="HN3">_xlfn.SINGLE(INDEX(E_k_valg[Fordeling],E_k_aktiv))=HN2</f>
        <v>1</v>
      </c>
      <c r="HO3" s="59" t="b" cm="1">
        <f t="array" ref="HO3">_xlfn.SINGLE(INDEX(E_k_valg[Fordeling],E_k_aktiv))=HO2</f>
        <v>0</v>
      </c>
      <c r="HP3" s="59" t="b" cm="1">
        <f t="array" ref="HP3">_xlfn.SINGLE(INDEX(E_k_valg[Fordeling],E_k_aktiv))=HP2</f>
        <v>0</v>
      </c>
      <c r="HQ3" s="59" cm="1">
        <f t="array" ref="HQ3">_xlfn.SINGLE(INDEX(E_k_valg[Teststørrelse],E_k_aktiv))</f>
        <v>1.7059050335879198</v>
      </c>
      <c r="HR3" s="59" t="str" cm="1">
        <f t="array" ref="HR3">_xlfn.SINGLE(INDEX(E_k_valg[Hypotese],E_k_aktiv))</f>
        <v>Venstresidet</v>
      </c>
      <c r="HS3" s="59" cm="1">
        <f t="array" ref="HS3">_xlfn.SINGLE(INDEX(E_k_valg[Venstre teststørrelse],E_k_aktiv))</f>
        <v>-1.7059050335879198</v>
      </c>
      <c r="HT3" s="54" t="s">
        <v>44</v>
      </c>
      <c r="HU3" s="54" t="str">
        <f>HS9</f>
        <v>Forskellig fra teststørrelse</v>
      </c>
      <c r="HV3" s="54" t="str">
        <f>HT9</f>
        <v>Lig med teststørrelse</v>
      </c>
      <c r="HW3" s="54" t="s">
        <v>317</v>
      </c>
      <c r="HX3" s="59" cm="1">
        <f t="array" ref="HX3">IFERROR(ROUND(_xlfn.SINGLE(INDEX(E_k_valg[Midtpunkt position],E_k_aktiv))*HL3,0),-99)</f>
        <v>129</v>
      </c>
      <c r="HY3" s="68" cm="1">
        <f t="array" ref="HY3">IFERROR(ROUND(_xlfn.SINGLE(INDEX(E_k_valg[Midtpunkt position],E_k_aktiv))*HL3,0),-99)</f>
        <v>129</v>
      </c>
      <c r="HZ3" s="59">
        <f>IF(HY3+1&lt;=0,1,IF(HY3+1&gt;=HL$3,HL$3,HY3+1))</f>
        <v>130</v>
      </c>
      <c r="IA3" s="54">
        <f t="shared" si="3"/>
        <v>0.38499145083226738</v>
      </c>
    </row>
    <row r="4" spans="1:235" x14ac:dyDescent="0.2">
      <c r="A4" s="3" t="s">
        <v>412</v>
      </c>
      <c r="H4" s="3" t="s">
        <v>428</v>
      </c>
      <c r="O4" s="3" t="s">
        <v>438</v>
      </c>
      <c r="V4" s="3" t="s">
        <v>441</v>
      </c>
      <c r="AC4" s="3" t="s">
        <v>446</v>
      </c>
      <c r="BE4" s="90" t="s">
        <v>420</v>
      </c>
      <c r="BF4" s="98" t="b">
        <f>MATCH(BF9,Hypotesetype_Liste,0)&gt;=5</f>
        <v>0</v>
      </c>
      <c r="BG4" s="98" t="b">
        <f>MATCH(BG9,Hypotesetype_Liste,0)&gt;=5</f>
        <v>0</v>
      </c>
      <c r="BH4" s="98" t="b">
        <f>MATCH(BH9,Hypotesetype_Liste,0)&gt;=5</f>
        <v>0</v>
      </c>
      <c r="BI4" s="98" t="b">
        <f>MATCH(BI9,Hypotesetype_Liste,0)&gt;=5</f>
        <v>0</v>
      </c>
      <c r="BJ4" s="98" t="b">
        <f>MATCH(BJ9,Hypotesetype_Liste,0)&gt;=5</f>
        <v>0</v>
      </c>
      <c r="BZ4" s="54"/>
      <c r="CA4" s="54" t="s">
        <v>288</v>
      </c>
      <c r="CB4" s="54" t="s">
        <v>30</v>
      </c>
      <c r="CC4" s="54" t="s">
        <v>0</v>
      </c>
      <c r="CD4" s="54" t="s">
        <v>127</v>
      </c>
      <c r="CE4" s="54" t="s">
        <v>127</v>
      </c>
      <c r="CF4" s="54" t="s">
        <v>290</v>
      </c>
      <c r="CG4" s="54"/>
      <c r="CH4" s="54" t="s">
        <v>147</v>
      </c>
      <c r="CI4" s="54" t="s">
        <v>308</v>
      </c>
      <c r="CJ4" s="54" t="s">
        <v>299</v>
      </c>
      <c r="CK4" s="54" t="str">
        <f>CG9</f>
        <v>Mindre end teststørrelse</v>
      </c>
      <c r="CL4" s="54" t="str">
        <f>CH9</f>
        <v>Større end teststørrelse</v>
      </c>
      <c r="CM4" s="54" t="s">
        <v>315</v>
      </c>
      <c r="CN4" s="59">
        <f>IFERROR(ROUND(INDEX(E_g_valg[Højre position],E_g_aktiv)*CB3,0),-99)</f>
        <v>211</v>
      </c>
      <c r="CO4" s="68">
        <f>IFERROR(ROUND((1-(1-INDEX(E_g_valg[Højre position],E_g_aktiv))/2)*CB3,0),-99)</f>
        <v>234</v>
      </c>
      <c r="CP4" s="59">
        <f>IF(CO4+1&lt;=0,1,IF(CO4+1&gt;=CB$3,CB$3,CO4+1))</f>
        <v>235</v>
      </c>
      <c r="CQ4" s="54">
        <f>IFERROR(INDEX(CK$10:CK$324,CP4),NA())</f>
        <v>1.6868301418220717E-2</v>
      </c>
      <c r="CR4" t="s">
        <v>143</v>
      </c>
      <c r="CS4" t="s">
        <v>342</v>
      </c>
      <c r="CT4" t="e" cm="1">
        <f t="array" ref="CT4">ROUND((INDEX(DC$3:DC$5,CR7)-CB5)/(CB7-CB5)*CB3,0)</f>
        <v>#N/A</v>
      </c>
      <c r="CU4" t="e">
        <f>MIN(CB3,CT4)</f>
        <v>#N/A</v>
      </c>
      <c r="CV4" t="e">
        <f>CB3-ROUND((CB3-CU4)/2,0)+1</f>
        <v>#N/A</v>
      </c>
      <c r="CW4" t="e" cm="1">
        <f t="array" ref="CW4">INDEX(Eu_tabel_g[Styrke, aktiv],MAX(1,CU4))</f>
        <v>#N/A</v>
      </c>
      <c r="CZ4" t="s">
        <v>342</v>
      </c>
      <c r="DA4" s="141">
        <f>$B$67</f>
        <v>0.8</v>
      </c>
      <c r="DB4" t="e">
        <f>NA()</f>
        <v>#N/A</v>
      </c>
      <c r="DC4" s="5">
        <f>_xlfn.NORM.INV(Eu_g_konfidensniveau,0,1)-NORMINV(1-DA4,0,1)</f>
        <v>2.4864748605243863</v>
      </c>
      <c r="DN4" s="54"/>
      <c r="DO4" s="54" t="s">
        <v>288</v>
      </c>
      <c r="DP4" s="54" t="s">
        <v>30</v>
      </c>
      <c r="DQ4" s="54" t="s">
        <v>0</v>
      </c>
      <c r="DR4" s="54" t="s">
        <v>127</v>
      </c>
      <c r="DS4" s="54" t="s">
        <v>127</v>
      </c>
      <c r="DT4" s="54" t="s">
        <v>290</v>
      </c>
      <c r="DU4" s="54"/>
      <c r="DV4" s="54" t="s">
        <v>147</v>
      </c>
      <c r="DW4" s="54" t="s">
        <v>308</v>
      </c>
      <c r="DX4" s="54" t="s">
        <v>299</v>
      </c>
      <c r="DY4" s="54" t="str">
        <f>DU9</f>
        <v>Mindre end teststørrelse</v>
      </c>
      <c r="DZ4" s="54" t="str">
        <f>DV9</f>
        <v>Større end teststørrelse</v>
      </c>
      <c r="EA4" s="54" t="s">
        <v>315</v>
      </c>
      <c r="EB4" s="59">
        <f>IFERROR(ROUND(INDEX(E_s_valg[Højre position],E_s_aktiv)*DP3,0),-99)</f>
        <v>176</v>
      </c>
      <c r="EC4" s="68">
        <f>IFERROR(ROUND((1-(1-INDEX(E_s_valg[Højre position],E_s_aktiv))/2)*DP3,0),-99)</f>
        <v>217</v>
      </c>
      <c r="ED4" s="59">
        <f>IF(EC4+1&lt;=0,1,IF(EC4+1&gt;=DP$3,DP$3,EC4+1))</f>
        <v>218</v>
      </c>
      <c r="EE4" s="54">
        <f>IFERROR(INDEX(DY$10:DY$324,ED4),NA())</f>
        <v>1.8330054204685668E-3</v>
      </c>
      <c r="EG4" s="54"/>
      <c r="EH4" s="54" t="s">
        <v>288</v>
      </c>
      <c r="EI4" s="54" t="s">
        <v>30</v>
      </c>
      <c r="EJ4" s="54" t="s">
        <v>0</v>
      </c>
      <c r="EK4" s="54" t="s">
        <v>127</v>
      </c>
      <c r="EL4" s="54" t="s">
        <v>127</v>
      </c>
      <c r="EM4" s="54" t="s">
        <v>290</v>
      </c>
      <c r="EN4" s="54"/>
      <c r="EO4" s="54" t="s">
        <v>147</v>
      </c>
      <c r="EP4" s="54" t="s">
        <v>308</v>
      </c>
      <c r="EQ4" s="54" t="s">
        <v>299</v>
      </c>
      <c r="ER4" s="54" t="str">
        <f>EN9</f>
        <v>Mindre end teststørrelse</v>
      </c>
      <c r="ES4" s="54" t="str">
        <f>EO9</f>
        <v>Større end teststørrelse</v>
      </c>
      <c r="ET4" s="54" t="s">
        <v>315</v>
      </c>
      <c r="EU4" s="59">
        <f>IFERROR(ROUND(INDEX(E_a_valg[Højre position],E_a_aktiv)*EI3,0),-99)</f>
        <v>211</v>
      </c>
      <c r="EV4" s="68">
        <f>IFERROR(ROUND((1-(1-INDEX(E_a_valg[Højre position],E_a_aktiv))/2)*EI3,0),-99)</f>
        <v>234</v>
      </c>
      <c r="EW4" s="59">
        <f>IF(EV4+1&lt;=0,1,IF(EV4+1&gt;=EI$3,EI$3,EV4+1))</f>
        <v>235</v>
      </c>
      <c r="EX4" s="54">
        <f>IFERROR(INDEX(ER$10:ER$324,EW4),NA())</f>
        <v>1.6868301418220717E-2</v>
      </c>
      <c r="EY4" s="144" t="s">
        <v>143</v>
      </c>
      <c r="EZ4" s="144" t="s">
        <v>342</v>
      </c>
      <c r="FA4" s="144" t="e" cm="1">
        <f t="array" ref="FA4">ROUND((INDEX(FH$3:FH$5,EY7)-MIN(Eu_tabel_a[X base som procent]))/(MAX(Eu_tabel_a[X base som procent])-MIN(Eu_tabel_a[X base som procent]))*EI3,0)</f>
        <v>#N/A</v>
      </c>
      <c r="FB4" s="144" t="e">
        <f>MIN(EI3,FA4)</f>
        <v>#N/A</v>
      </c>
      <c r="FC4" s="144" t="e">
        <f>EI3-ROUND((EI3-FB4)/2,0)+1</f>
        <v>#N/A</v>
      </c>
      <c r="FD4" s="144" t="e" cm="1">
        <f t="array" ref="FD4">INDEX(Eu_tabel_a[Styrke, aktiv],MAX(1,FB4))</f>
        <v>#N/A</v>
      </c>
      <c r="FE4" s="144" t="s">
        <v>342</v>
      </c>
      <c r="FF4" s="148">
        <f>$P$67</f>
        <v>0.99</v>
      </c>
      <c r="FG4" s="144" t="e">
        <f>NA()</f>
        <v>#N/A</v>
      </c>
      <c r="FH4" s="149" t="e" cm="1" vm="1">
        <f t="array" aca="1" ref="FH4" ca="1">INDEX(FR6:FR268,_xlfn.AGGREGATE(4,6,FQ$6:FQ$268))</f>
        <v>#VALUE!</v>
      </c>
      <c r="FJ4" s="144" t="s">
        <v>501</v>
      </c>
      <c r="FK4" s="144" cm="1">
        <f t="array" ref="FK4">INDEX(Eu_tabel_a[X base som procent],FK3)</f>
        <v>0</v>
      </c>
      <c r="FL4" s="150" t="e" cm="1">
        <f t="array" ref="FL4">INDEX(Eu_tabel_a[Styrke venstre],FK3)</f>
        <v>#DIV/0!</v>
      </c>
      <c r="FQ4" s="144" t="s">
        <v>501</v>
      </c>
      <c r="FR4" s="144" cm="1">
        <f t="array" ref="FR4">INDEX(Eu_tabel_a[X base som procent],FR3)</f>
        <v>0</v>
      </c>
      <c r="FS4" s="150" t="e" cm="1">
        <f t="array" ref="FS4">INDEX(Eu_tabel_a[Styrke højre],FR3)</f>
        <v>#DIV/0!</v>
      </c>
      <c r="FX4" s="144" t="s">
        <v>501</v>
      </c>
      <c r="FY4" s="144" t="e" cm="1">
        <f t="array" ref="FY4">INDEX(Eu_tabel_a[X base som procent],FY3)</f>
        <v>#N/A</v>
      </c>
      <c r="FZ4" s="150" t="e" cm="1">
        <f t="array" ref="FZ4">INDEX(Eu_tabel_a[Styrke tosidet],FY3)</f>
        <v>#N/A</v>
      </c>
      <c r="GE4" s="144" t="s">
        <v>501</v>
      </c>
      <c r="GF4" s="144" t="e" cm="1">
        <f t="array" ref="GF4">INDEX(Eu_tabel_a[X base som procent],GF3)</f>
        <v>#N/A</v>
      </c>
      <c r="GG4" s="150" t="e" cm="1">
        <f t="array" ref="GG4">INDEX(Eu_tabel_a[Styrke tosidet],GF3)</f>
        <v>#N/A</v>
      </c>
      <c r="GL4" t="e" cm="1">
        <f t="array" ref="GL4">MATCH(TRUE,Eu_tabel_a[Styrke, aktiv]&lt;&gt;0,0)</f>
        <v>#N/A</v>
      </c>
      <c r="GM4" t="e">
        <f>MATCH(0,Eu_tabel_a[Styrke, aktiv],0)-2</f>
        <v>#N/A</v>
      </c>
      <c r="GN4" s="54"/>
      <c r="GP4" s="54"/>
      <c r="GQ4" s="54" t="s">
        <v>288</v>
      </c>
      <c r="GR4" s="54" t="s">
        <v>30</v>
      </c>
      <c r="GS4" s="54" t="s">
        <v>0</v>
      </c>
      <c r="GT4" s="54" t="s">
        <v>127</v>
      </c>
      <c r="GU4" s="54" t="s">
        <v>127</v>
      </c>
      <c r="GV4" s="54" t="s">
        <v>290</v>
      </c>
      <c r="GW4" s="54"/>
      <c r="GX4" s="54" t="s">
        <v>147</v>
      </c>
      <c r="GY4" s="54" t="s">
        <v>308</v>
      </c>
      <c r="GZ4" s="54" t="s">
        <v>299</v>
      </c>
      <c r="HA4" s="54" t="str">
        <f>GW9</f>
        <v>Mindre end teststørrelse</v>
      </c>
      <c r="HB4" s="54" t="str">
        <f>GX9</f>
        <v>Større end teststørrelse</v>
      </c>
      <c r="HC4" s="54" t="s">
        <v>315</v>
      </c>
      <c r="HD4" s="59">
        <f>IFERROR(ROUND(INDEX(E_i_valg[Højre position],E_i_aktiv)*GR3,0),-99)</f>
        <v>211</v>
      </c>
      <c r="HE4" s="68">
        <f>IFERROR(ROUND((1-(1-INDEX(E_i_valg[Højre position],E_i_aktiv))/2)*GR3,0),-99)</f>
        <v>234</v>
      </c>
      <c r="HF4" s="59">
        <f>IF(HE4+1&lt;=0,1,IF(HE4+1&gt;=GR$3,GR$3,HE4+1))</f>
        <v>235</v>
      </c>
      <c r="HG4" s="54">
        <f>IFERROR(INDEX(HA$10:HA$324,HF4),NA())</f>
        <v>1.6868301418220717E-2</v>
      </c>
      <c r="HJ4" s="54"/>
      <c r="HK4" s="54" t="s">
        <v>288</v>
      </c>
      <c r="HL4" s="54" t="s">
        <v>30</v>
      </c>
      <c r="HM4" s="54" t="s">
        <v>0</v>
      </c>
      <c r="HN4" s="54" t="s">
        <v>127</v>
      </c>
      <c r="HO4" s="54" t="s">
        <v>127</v>
      </c>
      <c r="HP4" s="54" t="s">
        <v>290</v>
      </c>
      <c r="HQ4" s="54"/>
      <c r="HR4" s="54" t="s">
        <v>147</v>
      </c>
      <c r="HS4" s="54" t="s">
        <v>308</v>
      </c>
      <c r="HT4" s="54" t="s">
        <v>299</v>
      </c>
      <c r="HU4" s="54" t="str">
        <f>HQ9</f>
        <v>Mindre end teststørrelse</v>
      </c>
      <c r="HV4" s="54" t="str">
        <f>HR9</f>
        <v>Større end teststørrelse</v>
      </c>
      <c r="HW4" s="54" t="s">
        <v>315</v>
      </c>
      <c r="HX4" s="59" cm="1">
        <f t="array" ref="HX4">IFERROR(ROUND(_xlfn.SINGLE(INDEX(E_k_valg[Højre position],E_k_aktiv))*HL3,0),-99)</f>
        <v>175</v>
      </c>
      <c r="HY4" s="68" cm="1">
        <f t="array" ref="HY4">IFERROR(ROUND((1-(1-_xlfn.SINGLE(INDEX(E_k_valg[Højre position],E_k_aktiv)))/2)*HL3,0),-99)</f>
        <v>216</v>
      </c>
      <c r="HZ4" s="59">
        <f>IF(HY4+1&lt;=0,1,IF(HY4+1&gt;=HL$3,HL$3,HY4+1))</f>
        <v>217</v>
      </c>
      <c r="IA4" s="54">
        <f>IFERROR(INDEX(HU$10:HU$324,HZ4),NA())</f>
        <v>1.0048712376837356E-2</v>
      </c>
    </row>
    <row r="5" spans="1:235" x14ac:dyDescent="0.2">
      <c r="A5" s="90" t="s">
        <v>136</v>
      </c>
      <c r="B5" s="90" t="s">
        <v>417</v>
      </c>
      <c r="C5" s="90" t="s">
        <v>418</v>
      </c>
      <c r="H5" s="90" t="s">
        <v>136</v>
      </c>
      <c r="I5" s="90" t="s">
        <v>417</v>
      </c>
      <c r="J5" s="90" t="s">
        <v>418</v>
      </c>
      <c r="O5" s="90" t="s">
        <v>136</v>
      </c>
      <c r="P5" s="90" t="s">
        <v>417</v>
      </c>
      <c r="Q5" s="90" t="s">
        <v>418</v>
      </c>
      <c r="V5" s="90" t="s">
        <v>136</v>
      </c>
      <c r="W5" s="90" t="s">
        <v>417</v>
      </c>
      <c r="X5" s="90" t="s">
        <v>418</v>
      </c>
      <c r="AC5" s="90" t="s">
        <v>136</v>
      </c>
      <c r="AD5" s="90" t="s">
        <v>417</v>
      </c>
      <c r="BE5" s="90" t="s">
        <v>452</v>
      </c>
      <c r="BF5" s="98" t="b" cm="1">
        <f t="array" ref="BF5">MATCH(INDEX(E_g_valg[],E_g_aktiv,3),Beregningsmetode_liste,0)&gt;=8</f>
        <v>0</v>
      </c>
      <c r="BL5" s="90" t="s">
        <v>136</v>
      </c>
      <c r="BM5" s="203" t="str" cm="1">
        <f t="array" ref="BM5">INDEX(E_g_valg[Parameter],E_g_aktiv)</f>
        <v>Gennemsnit</v>
      </c>
      <c r="BZ5" s="54"/>
      <c r="CA5" s="54"/>
      <c r="CB5" s="59">
        <f>INDEX(E_g_valg[X min],E_g_aktiv)</f>
        <v>-3.0902323061678132</v>
      </c>
      <c r="CC5" s="59">
        <f>INDEX(E_g_valg[Parameter 1],E_g_aktiv)</f>
        <v>0</v>
      </c>
      <c r="CD5" s="59">
        <f>INDEX(E_g_valg[Parameter 1],E_g_aktiv)</f>
        <v>0</v>
      </c>
      <c r="CE5" s="59">
        <f>INDEX(E_g_valg[Parameter 1],E_g_aktiv)</f>
        <v>0</v>
      </c>
      <c r="CF5" s="59">
        <f>INDEX(E_g_valg[Parameter 1],E_g_aktiv)</f>
        <v>0</v>
      </c>
      <c r="CG5" s="54"/>
      <c r="CH5" s="59" t="str">
        <f>INDEX(Fordeling_liste,MATCH(TRUE,CC3:CF3,0))</f>
        <v>Normalfordeling</v>
      </c>
      <c r="CI5" s="59">
        <f>INDEX(E_g_valg[Højre teststørrelse],E_g_aktiv)</f>
        <v>1.9599639845400536</v>
      </c>
      <c r="CJ5" s="54" t="s">
        <v>300</v>
      </c>
      <c r="CK5" s="54" t="str">
        <f>CH9</f>
        <v>Større end teststørrelse</v>
      </c>
      <c r="CL5" s="54" t="str">
        <f>CG9</f>
        <v>Mindre end teststørrelse</v>
      </c>
      <c r="CM5" s="54" t="s">
        <v>322</v>
      </c>
      <c r="CN5" s="59">
        <f>INDEX(E_g_valg[Venstre label],E_g_aktiv)</f>
        <v>-0.58299999999999996</v>
      </c>
      <c r="CO5" s="59" t="str">
        <f>INDEX(E_g_valg[Venstre forklaring],E_g_aktiv)</f>
        <v>2.5% mindre end -0.583</v>
      </c>
      <c r="CP5" s="42"/>
      <c r="CQ5" s="42"/>
      <c r="CS5" t="str">
        <f>INDEX(E_g_valg[Hypotesetype],E_g_aktiv)</f>
        <v>Konfidensinterval</v>
      </c>
      <c r="CT5" t="s">
        <v>322</v>
      </c>
      <c r="CU5" s="5" t="e" cm="1">
        <f t="array" ref="CU5">(INDEX(DB$3:DB$5,CR7)*CS7/SQRT(Eu_g_n_x)+Eu_g_h0_x)</f>
        <v>#N/A</v>
      </c>
      <c r="CV5" t="e">
        <f>"Styrken er over "&amp;ROUND($B$67,5)*100&amp;"%
hvis populationsgennemsnittet er 
under "&amp;ROUND(CU5,3)</f>
        <v>#N/A</v>
      </c>
      <c r="CZ5" t="s">
        <v>487</v>
      </c>
      <c r="DA5" cm="1">
        <f t="array" ref="DA5">INDEX(Styrkeberegning_G[Approximeret power],COUNT(Styrkeberegning_G[Approximeret power]))</f>
        <v>0.8</v>
      </c>
      <c r="DB5" cm="1">
        <f t="array" ref="DB5">INDEX(Styrkeberegning_G[X base venstre],COUNT(Styrkeberegning_G[X base venstre]))</f>
        <v>-2.8015817870135784</v>
      </c>
      <c r="DC5" cm="1">
        <f t="array" ref="DC5">INDEX(Styrkeberegning_G[X base højre],COUNT(Styrkeberegning_G[X base højre]))</f>
        <v>2.8015817870135784</v>
      </c>
      <c r="DN5" s="54"/>
      <c r="DO5" s="54"/>
      <c r="DP5" s="59">
        <f>INDEX(E_s_valg[X min],E_s_aktiv)</f>
        <v>1.8338526646536903</v>
      </c>
      <c r="DQ5" s="59">
        <f>INDEX(E_s_valg[Parameter 1],E_s_aktiv)</f>
        <v>11</v>
      </c>
      <c r="DR5" s="59">
        <f>INDEX(E_s_valg[Parameter 1],E_s_aktiv)</f>
        <v>11</v>
      </c>
      <c r="DS5" s="59">
        <f>INDEX(E_s_valg[Parameter 1],E_s_aktiv)</f>
        <v>11</v>
      </c>
      <c r="DT5" s="59">
        <f>INDEX(E_s_valg[Parameter 1],E_s_aktiv)</f>
        <v>11</v>
      </c>
      <c r="DU5" s="54"/>
      <c r="DV5" s="59" t="str">
        <f>INDEX(Fordeling_liste,MATCH(TRUE,DQ3:DT3,0))</f>
        <v>Chi-i-anden-fordeling</v>
      </c>
      <c r="DW5" s="59">
        <f>INDEX(E_s_valg[Højre teststørrelse],E_s_aktiv)</f>
        <v>21.920049261021205</v>
      </c>
      <c r="DX5" s="54" t="s">
        <v>300</v>
      </c>
      <c r="DY5" s="54" t="str">
        <f>DV9</f>
        <v>Større end teststørrelse</v>
      </c>
      <c r="DZ5" s="54" t="str">
        <f>DU9</f>
        <v>Mindre end teststørrelse</v>
      </c>
      <c r="EA5" s="54" t="s">
        <v>322</v>
      </c>
      <c r="EB5" s="59">
        <f>INDEX(E_s_valg[Venstre label],E_s_aktiv)</f>
        <v>3.0510000000000002</v>
      </c>
      <c r="EC5" s="59" t="str">
        <f>INDEX(E_s_valg[Venstre forklaring],E_s_aktiv)</f>
        <v>2.5% mindre end 3.051</v>
      </c>
      <c r="ED5" s="42"/>
      <c r="EE5" s="42"/>
      <c r="EG5" s="54"/>
      <c r="EH5" s="54"/>
      <c r="EI5" s="59">
        <f>INDEX(E_a_valg[X min],E_a_aktiv)</f>
        <v>-3.0902323061678132</v>
      </c>
      <c r="EJ5" s="59">
        <f>INDEX(E_a_valg[Parameter 1],E_a_aktiv)</f>
        <v>0</v>
      </c>
      <c r="EK5" s="59">
        <f>INDEX(E_a_valg[Parameter 1],E_a_aktiv)</f>
        <v>0</v>
      </c>
      <c r="EL5" s="59">
        <f>INDEX(E_a_valg[Parameter 1],E_a_aktiv)</f>
        <v>0</v>
      </c>
      <c r="EM5" s="59">
        <f>INDEX(E_a_valg[Parameter 1],E_a_aktiv)</f>
        <v>0</v>
      </c>
      <c r="EN5" s="54"/>
      <c r="EO5" s="59" t="str">
        <f>INDEX(Fordeling_liste,MATCH(TRUE,EJ3:EM3,0))</f>
        <v>Normalfordeling</v>
      </c>
      <c r="EP5" s="59">
        <f>INDEX(E_a_valg[Højre teststørrelse],E_a_aktiv)</f>
        <v>1.9599639845400536</v>
      </c>
      <c r="EQ5" s="54" t="s">
        <v>300</v>
      </c>
      <c r="ER5" s="54" t="str">
        <f>EO9</f>
        <v>Større end teststørrelse</v>
      </c>
      <c r="ES5" s="54" t="str">
        <f>EN9</f>
        <v>Mindre end teststørrelse</v>
      </c>
      <c r="ET5" s="54" t="s">
        <v>322</v>
      </c>
      <c r="EU5" s="59" t="str">
        <f>INDEX(E_a_valg[Venstre label],E_a_aktiv)</f>
        <v>20.06%</v>
      </c>
      <c r="EV5" s="59" t="str">
        <f>INDEX(E_a_valg[Venstre forklaring],E_a_aktiv)</f>
        <v>2.5% mindre end 20.06%</v>
      </c>
      <c r="EW5" s="42"/>
      <c r="EY5" s="145"/>
      <c r="EZ5" s="144" t="str">
        <f>INDEX(E_a_valg[Hypotesetype],E_a_aktiv)</f>
        <v>Konfidensinterval</v>
      </c>
      <c r="FA5" s="144" t="s">
        <v>322</v>
      </c>
      <c r="FB5" s="149" t="e" cm="1">
        <f t="array" ref="FB5">INDEX(FG$3:FG$5,EY7)</f>
        <v>#N/A</v>
      </c>
      <c r="FC5" s="144" t="e">
        <f>"Styrken er over "&amp;ROUND($P$67,5)*100&amp;"%
hvis populationsandelen er 
under "&amp;ROUND(FB5,5)*100&amp;"%"</f>
        <v>#N/A</v>
      </c>
      <c r="FD5" s="145"/>
      <c r="FE5" s="144" t="s">
        <v>487</v>
      </c>
      <c r="FF5" s="148">
        <f>$P$67</f>
        <v>0.99</v>
      </c>
      <c r="FG5" s="153" t="e" cm="1">
        <f t="array" ref="FG5">IF(_xlfn.AGGREGATE(4,6,FX$6:FX$268)=0,NA(),INDEX(FY6:FY268,_xlfn.AGGREGATE(4,6,FX$6:FX$268)))</f>
        <v>#N/A</v>
      </c>
      <c r="FH5" s="144" t="e" cm="1">
        <f t="array" ref="FH5">IF(_xlfn.AGGREGATE(4,6,GE$6:GE$268)=0,NA(),INDEX(GF6:GF268,_xlfn.AGGREGATE(4,6,GE$6:GE$268)))</f>
        <v>#N/A</v>
      </c>
      <c r="FJ5" s="144" t="s">
        <v>502</v>
      </c>
      <c r="FK5" cm="1">
        <f t="array" ref="FK5">INDEX(Eu_tabel_a[X base som procent],FK3+1)</f>
        <v>0</v>
      </c>
      <c r="FL5" s="7" t="e" cm="1">
        <f t="array" ref="FL5">INDEX(Eu_tabel_a[Styrke venstre],FK3+1)</f>
        <v>#DIV/0!</v>
      </c>
      <c r="FM5">
        <f t="shared" ref="FM5:FN8" si="7">FK5-FK4</f>
        <v>0</v>
      </c>
      <c r="FN5" s="8" t="e">
        <f t="shared" si="7"/>
        <v>#DIV/0!</v>
      </c>
      <c r="FO5" s="8" t="e">
        <f>$P$67-FL4</f>
        <v>#DIV/0!</v>
      </c>
      <c r="FP5" s="151" t="e">
        <f>FM5/(FN5/FO5)</f>
        <v>#DIV/0!</v>
      </c>
      <c r="FQ5" s="144" t="s">
        <v>502</v>
      </c>
      <c r="FR5" cm="1">
        <f t="array" ref="FR5">INDEX(Eu_tabel_a[X base som procent],FR3+1)</f>
        <v>0</v>
      </c>
      <c r="FS5" s="7" t="e" cm="1" vm="2">
        <f t="array" aca="1" ref="FS5" ca="1">IFERROR(INDEX(Eu_tabel_a[Styrke højre],FR3+1),INDEX(Eu_tabel_a[Styrke højre],FR3-1))</f>
        <v>#VALUE!</v>
      </c>
      <c r="FT5">
        <f t="shared" ref="FT5:FT68" si="8">FR5-FR4</f>
        <v>0</v>
      </c>
      <c r="FU5" s="8" t="e" vm="3">
        <f t="shared" ref="FU5:FU68" ca="1" si="9">FS5-FS4</f>
        <v>#VALUE!</v>
      </c>
      <c r="FV5" s="8" t="e">
        <f t="shared" ref="FV5:FV68" si="10">$P$67-FS4</f>
        <v>#DIV/0!</v>
      </c>
      <c r="FW5" s="151" t="e" vm="3">
        <f t="shared" ref="FW5:FW68" ca="1" si="11">FT5/(FU5/FV5)</f>
        <v>#VALUE!</v>
      </c>
      <c r="FX5" s="144" t="s">
        <v>502</v>
      </c>
      <c r="FY5" t="e" cm="1">
        <f t="array" ref="FY5">INDEX(Eu_tabel_a[X base som procent],FY3+1)</f>
        <v>#N/A</v>
      </c>
      <c r="FZ5" s="7" t="e" cm="1">
        <f t="array" ref="FZ5">IFERROR(INDEX(Eu_tabel_a[Styrke tosidet],FY3+1),INDEX(Eu_tabel_a[Styrke tosidet],FY3-1))</f>
        <v>#N/A</v>
      </c>
      <c r="GA5" t="e">
        <f>FY5-FY4</f>
        <v>#N/A</v>
      </c>
      <c r="GB5" s="8" t="e">
        <f>FZ5-FZ4</f>
        <v>#N/A</v>
      </c>
      <c r="GC5" s="8" t="e">
        <f>$P$67-FZ4</f>
        <v>#N/A</v>
      </c>
      <c r="GD5" s="151" t="e">
        <f>GA5/(GB5/GC5)</f>
        <v>#N/A</v>
      </c>
      <c r="GE5" s="144" t="s">
        <v>502</v>
      </c>
      <c r="GF5" t="e" cm="1">
        <f t="array" ref="GF5">INDEX(Eu_tabel_a[X base som procent],GF3+1)</f>
        <v>#N/A</v>
      </c>
      <c r="GG5" s="7" t="e" cm="1">
        <f t="array" ref="GG5">IFERROR(INDEX(Eu_tabel_a[Styrke tosidet],GF3+1),INDEX(Eu_tabel_a[Styrke tosidet],GF3-1))</f>
        <v>#N/A</v>
      </c>
      <c r="GH5" t="e">
        <f>GF5-GF4</f>
        <v>#N/A</v>
      </c>
      <c r="GI5" s="8" t="e">
        <f>GG5-GG4</f>
        <v>#N/A</v>
      </c>
      <c r="GJ5" s="8" t="e">
        <f>$P$67-GG4</f>
        <v>#N/A</v>
      </c>
      <c r="GK5" s="151" t="e">
        <f>GH5/(GI5/GJ5)</f>
        <v>#N/A</v>
      </c>
      <c r="GL5" s="151"/>
      <c r="GM5" s="151"/>
      <c r="GN5" s="42"/>
      <c r="GP5" s="54"/>
      <c r="GQ5" s="54"/>
      <c r="GR5" s="59">
        <f>INDEX(E_i_valg[X min],E_i_aktiv)</f>
        <v>-3.0902323061678132</v>
      </c>
      <c r="GS5" s="59">
        <f>INDEX(E_i_valg[Parameter 1],E_i_aktiv)</f>
        <v>0</v>
      </c>
      <c r="GT5" s="59">
        <f>INDEX(E_i_valg[Parameter 1],E_i_aktiv)</f>
        <v>0</v>
      </c>
      <c r="GU5" s="59">
        <f>INDEX(E_i_valg[Parameter 1],E_i_aktiv)</f>
        <v>0</v>
      </c>
      <c r="GV5" s="59">
        <f>INDEX(E_i_valg[Parameter 1],E_i_aktiv)</f>
        <v>0</v>
      </c>
      <c r="GW5" s="54"/>
      <c r="GX5" s="59" t="str">
        <f>INDEX(Fordeling_liste,MATCH(TRUE,GS3:GV3,0))</f>
        <v>Normalfordeling</v>
      </c>
      <c r="GY5" s="59">
        <f>INDEX(E_i_valg[Højre teststørrelse],E_i_aktiv)</f>
        <v>1.9599639845400536</v>
      </c>
      <c r="GZ5" s="54" t="s">
        <v>300</v>
      </c>
      <c r="HA5" s="54" t="str">
        <f>GX9</f>
        <v>Større end teststørrelse</v>
      </c>
      <c r="HB5" s="54" t="str">
        <f>GW9</f>
        <v>Mindre end teststørrelse</v>
      </c>
      <c r="HC5" s="54" t="s">
        <v>322</v>
      </c>
      <c r="HD5" s="59">
        <f>INDEX(E_i_valg[Venstre label],E_i_aktiv)</f>
        <v>1.0840000000000001</v>
      </c>
      <c r="HE5" s="59" t="str">
        <f>INDEX(E_i_valg[Venstre forklaring],E_i_aktiv)</f>
        <v>2.5% mindre end 1.084</v>
      </c>
      <c r="HF5" s="42"/>
      <c r="HG5" s="42"/>
      <c r="HJ5" s="54"/>
      <c r="HK5" s="54"/>
      <c r="HL5" s="59" cm="1">
        <f t="array" ref="HL5">_xlfn.SINGLE(INDEX(E_k_valg[X min],E_k_aktiv))</f>
        <v>-4.7852896286383331</v>
      </c>
      <c r="HM5" s="59" cm="1">
        <f t="array" ref="HM5">_xlfn.SINGLE(INDEX(E_k_valg[Parameter 1],E_k_aktiv))</f>
        <v>7</v>
      </c>
      <c r="HN5" s="59" cm="1">
        <f t="array" ref="HN5">_xlfn.SINGLE(INDEX(E_k_valg[Parameter 1],E_k_aktiv))</f>
        <v>7</v>
      </c>
      <c r="HO5" s="59" cm="1">
        <f t="array" ref="HO5">_xlfn.SINGLE(INDEX(E_k_valg[Parameter 1],E_k_aktiv))</f>
        <v>7</v>
      </c>
      <c r="HP5" s="59" cm="1">
        <f t="array" ref="HP5">_xlfn.SINGLE(INDEX(E_k_valg[Parameter 1],E_k_aktiv))</f>
        <v>7</v>
      </c>
      <c r="HQ5" s="54"/>
      <c r="HR5" s="59" t="str">
        <f>INDEX(Fordeling_liste,MATCH(TRUE,HM3:HP3,0))</f>
        <v>t-fordeling</v>
      </c>
      <c r="HS5" s="59" cm="1">
        <f t="array" ref="HS5">_xlfn.SINGLE(INDEX(E_k_valg[Højre teststørrelse],E_k_aktiv))</f>
        <v>1.7059050335879198</v>
      </c>
      <c r="HT5" s="54" t="s">
        <v>300</v>
      </c>
      <c r="HU5" s="54" t="str">
        <f>HR9</f>
        <v>Større end teststørrelse</v>
      </c>
      <c r="HV5" s="54" t="str">
        <f>HQ9</f>
        <v>Mindre end teststørrelse</v>
      </c>
      <c r="HW5" s="54" t="s">
        <v>322</v>
      </c>
      <c r="HX5" s="59" cm="1">
        <f t="array" ref="HX5">_xlfn.SINGLE(INDEX(E_k_valg[Venstre label],E_k_aktiv))</f>
        <v>0.34100000000000003</v>
      </c>
      <c r="HY5" s="59" t="str" cm="1">
        <f t="array" ref="HY5">_xlfn.SINGLE(INDEX(E_k_valg[Venstre forklaring],E_k_aktiv))</f>
        <v>93.41% mindre end 0.341</v>
      </c>
      <c r="HZ5" s="42"/>
      <c r="IA5" s="42"/>
    </row>
    <row r="6" spans="1:235" x14ac:dyDescent="0.2">
      <c r="A6" s="57" t="s">
        <v>414</v>
      </c>
      <c r="B6" s="74" t="s">
        <v>24</v>
      </c>
      <c r="C6" s="74" t="s">
        <v>278</v>
      </c>
      <c r="H6" s="57" t="s">
        <v>414</v>
      </c>
      <c r="I6" s="74" t="s">
        <v>24</v>
      </c>
      <c r="J6" s="74" t="s">
        <v>278</v>
      </c>
      <c r="O6" s="57" t="s">
        <v>414</v>
      </c>
      <c r="P6" s="74" t="s">
        <v>282</v>
      </c>
      <c r="Q6" s="74" t="s">
        <v>282</v>
      </c>
      <c r="V6" s="57" t="s">
        <v>414</v>
      </c>
      <c r="W6" s="74" t="s">
        <v>24</v>
      </c>
      <c r="X6" s="74" t="s">
        <v>278</v>
      </c>
      <c r="AC6" s="57" t="s">
        <v>414</v>
      </c>
      <c r="AD6" s="74" t="s">
        <v>24</v>
      </c>
      <c r="BL6" s="90" t="s">
        <v>143</v>
      </c>
      <c r="BM6" s="203" t="str" cm="1">
        <f t="array" ref="BM6">INDEX(E_g_valg[Hypotesetype],E_g_aktiv)</f>
        <v>Konfidensinterval</v>
      </c>
      <c r="BZ6" s="54"/>
      <c r="CA6" s="54" t="s">
        <v>289</v>
      </c>
      <c r="CB6" s="54" t="s">
        <v>31</v>
      </c>
      <c r="CC6" s="54" t="s">
        <v>1</v>
      </c>
      <c r="CD6" s="54"/>
      <c r="CE6" s="54"/>
      <c r="CF6" s="54" t="s">
        <v>291</v>
      </c>
      <c r="CG6" s="54"/>
      <c r="CH6" s="54"/>
      <c r="CI6" s="54"/>
      <c r="CJ6" s="54" t="s">
        <v>125</v>
      </c>
      <c r="CK6" s="54" t="str">
        <f>CI9</f>
        <v>Forskellig fra teststørrelse</v>
      </c>
      <c r="CL6" s="54" t="str">
        <f>CJ9</f>
        <v>Lig med teststørrelse</v>
      </c>
      <c r="CM6" s="54" t="s">
        <v>323</v>
      </c>
      <c r="CN6" s="59">
        <f>INDEX(E_g_valg[Midtpunkt label],E_g_aktiv)</f>
        <v>1.8540000000000001</v>
      </c>
      <c r="CO6" s="59" t="str">
        <f>INDEX(E_g_valg[Midtpunkt forklaring],E_g_aktiv)</f>
        <v>95% mellem -0.583 og 4.291</v>
      </c>
      <c r="CP6" s="42"/>
      <c r="CQ6" s="42"/>
      <c r="CR6" t="s">
        <v>476</v>
      </c>
      <c r="CS6" t="s">
        <v>1</v>
      </c>
      <c r="CT6" t="s">
        <v>323</v>
      </c>
      <c r="CU6" s="5">
        <f>Eu_g_h0_x</f>
        <v>0</v>
      </c>
      <c r="CV6" t="e">
        <f>CHOOSE(CR7,"Styrken er under "&amp;ROUND(B67,5)*100&amp;"%
hvis populationsgennemsnittet er 
over "&amp;ROUND(CU5,3),"Styrken er under "&amp;ROUND(B67,5)*100&amp;"%
hvis populationsgennemsnittet er 
under "&amp;ROUND(CU7,3),"Styrken er under "&amp;ROUND(B67,5)*100&amp;"%
hvis populationsgennemsnittet er 
mellem "&amp;ROUND(CU5,3)&amp;" og "&amp;ROUND(CU7,3))</f>
        <v>#N/A</v>
      </c>
      <c r="CZ6" t="s">
        <v>488</v>
      </c>
      <c r="DA6" t="s">
        <v>489</v>
      </c>
      <c r="DB6" t="s">
        <v>485</v>
      </c>
      <c r="DC6" t="s">
        <v>486</v>
      </c>
      <c r="DN6" s="54"/>
      <c r="DO6" s="54" t="s">
        <v>289</v>
      </c>
      <c r="DP6" s="54" t="s">
        <v>31</v>
      </c>
      <c r="DQ6" s="54" t="s">
        <v>1</v>
      </c>
      <c r="DR6" s="54"/>
      <c r="DS6" s="54"/>
      <c r="DT6" s="54" t="s">
        <v>291</v>
      </c>
      <c r="DU6" s="54"/>
      <c r="DV6" s="54"/>
      <c r="DW6" s="54"/>
      <c r="DX6" s="54" t="s">
        <v>125</v>
      </c>
      <c r="DY6" s="54" t="str">
        <f>DW9</f>
        <v>Forskellig fra teststørrelse</v>
      </c>
      <c r="DZ6" s="54" t="str">
        <f>DX9</f>
        <v>Lig med teststørrelse</v>
      </c>
      <c r="EA6" s="54" t="s">
        <v>323</v>
      </c>
      <c r="EB6" s="59">
        <f>INDEX(E_s_valg[Midtpunkt label],E_s_aktiv)</f>
        <v>4.3070000000000004</v>
      </c>
      <c r="EC6" s="59" t="str">
        <f>INDEX(E_s_valg[Midtpunkt forklaring],E_s_aktiv)</f>
        <v>95% mellem 3.051 og 7.313</v>
      </c>
      <c r="ED6" s="42"/>
      <c r="EE6" s="42"/>
      <c r="EG6" s="54"/>
      <c r="EH6" s="54" t="s">
        <v>289</v>
      </c>
      <c r="EI6" s="54" t="s">
        <v>31</v>
      </c>
      <c r="EJ6" s="54" t="s">
        <v>1</v>
      </c>
      <c r="EK6" s="54"/>
      <c r="EL6" s="54"/>
      <c r="EM6" s="54" t="s">
        <v>291</v>
      </c>
      <c r="EN6" s="54"/>
      <c r="EO6" s="54"/>
      <c r="EP6" s="54"/>
      <c r="EQ6" s="54" t="s">
        <v>125</v>
      </c>
      <c r="ER6" s="54" t="str">
        <f>EP9</f>
        <v>Forskellig fra teststørrelse</v>
      </c>
      <c r="ES6" s="54" t="str">
        <f>EQ9</f>
        <v>Lig med teststørrelse</v>
      </c>
      <c r="ET6" s="54" t="s">
        <v>323</v>
      </c>
      <c r="EU6" s="59" t="str">
        <f>INDEX(E_a_valg[Midtpunkt label],E_a_aktiv)</f>
        <v>41.667%</v>
      </c>
      <c r="EV6" s="59" t="str">
        <f>INDEX(E_a_valg[Midtpunkt forklaring],E_a_aktiv)</f>
        <v>95% mellem 20.06% og 63.273%</v>
      </c>
      <c r="EW6" s="42"/>
      <c r="EY6" s="144" t="s">
        <v>476</v>
      </c>
      <c r="EZ6" s="144" t="s">
        <v>498</v>
      </c>
      <c r="FA6" s="144" t="s">
        <v>323</v>
      </c>
      <c r="FB6" s="146">
        <f>Eu_a_h0_x</f>
        <v>0</v>
      </c>
      <c r="FC6" s="144" t="e">
        <f>CHOOSE(EY7,"Styrken er under "&amp;ROUND(P67,5)*100&amp;"%
hvis populationsandelen er 
over "&amp;ROUND(FB5,5)*100&amp;"%","Styrken er under "&amp;ROUND(P67,5)*100&amp;"%
hvis populationsandelen er 
under "&amp;ROUND(FB7,5)*100&amp;"%",IF(ISNA(FH5),"Styrken er under "&amp;ROUND(P67,5)*100&amp;"%
hvis populationsandelen er 
over "&amp;ROUND(FB5,5)*100&amp;"%",IF(ISNA(FG5),"Styrken er under "&amp;ROUND(P67,5)*100&amp;"%
hvis populationsandelen er 
under "&amp;ROUND(FB7,5)*100&amp;"%","Styrken er under "&amp;ROUND(P67,5)*100&amp;"%
hvis populationsandelen er
mellem "&amp;ROUND(FB5,5)*100&amp;"% og "&amp;ROUND(FB7,5)*100&amp;"%")))</f>
        <v>#N/A</v>
      </c>
      <c r="FD6" s="145"/>
      <c r="FE6" s="145"/>
      <c r="FF6" s="144" t="s">
        <v>341</v>
      </c>
      <c r="FJ6" s="144" t="e">
        <f>IF(ISERROR(FK6),NA(),ROW(FJ6)-ROW(FJ$5))</f>
        <v>#N/A</v>
      </c>
      <c r="FK6" s="152" t="e">
        <f>FK4+FP5</f>
        <v>#DIV/0!</v>
      </c>
      <c r="FL6" s="7" t="e">
        <f t="shared" ref="FL6:FL69" si="12">_xlfn.NORM.DIST(-(SQRT(Eu_a_n_x)*(FK6-Eu_a_h0_x)/SQRT(FK6*(1-FK6)))-(_xlfn.NORM.INV(Eu_a_konfidensniveau,0,1)*SQRT((Eu_a_h0_x*(1-Eu_a_h0_x))/(FK6*(1-FK6)))),0,1,TRUE)</f>
        <v>#DIV/0!</v>
      </c>
      <c r="FM6" t="e">
        <f t="shared" si="7"/>
        <v>#DIV/0!</v>
      </c>
      <c r="FN6" s="8" t="e">
        <f t="shared" si="7"/>
        <v>#DIV/0!</v>
      </c>
      <c r="FO6" s="8" t="e">
        <f>$P$67-FL5</f>
        <v>#DIV/0!</v>
      </c>
      <c r="FP6" s="151" t="e">
        <f>FM6/(FN6/FO6)</f>
        <v>#DIV/0!</v>
      </c>
      <c r="FQ6" s="144" t="e">
        <f t="shared" ref="FQ6:FQ69" ca="1" si="13">IF(ISERROR(FR6),NA(),ROW(FQ6)-ROW(FQ$5))</f>
        <v>#N/A</v>
      </c>
      <c r="FR6" s="152" t="e" vm="3">
        <f ca="1">MIN(FR4+FW5,1)</f>
        <v>#VALUE!</v>
      </c>
      <c r="FS6" s="7" t="e" vm="3">
        <f t="shared" ref="FS6:FS69" ca="1" si="14">_xlfn.NORM.DIST((SQRT(Eu_a_n_x)*(FR6-Eu_a_h0_x)/SQRT(FR6*(1-FR6)))-(_xlfn.NORM.INV(Eu_a_konfidensniveau,0,1)*SQRT((Eu_a_h0_x*(1-Eu_a_h0_x))/(FR6*(1-FR6)))),0,1,TRUE)</f>
        <v>#VALUE!</v>
      </c>
      <c r="FT6" t="e" vm="3">
        <f t="shared" ca="1" si="8"/>
        <v>#VALUE!</v>
      </c>
      <c r="FU6" s="8" t="e" vm="3">
        <f t="shared" ca="1" si="9"/>
        <v>#VALUE!</v>
      </c>
      <c r="FV6" s="8" t="e" vm="3">
        <f t="shared" ca="1" si="10"/>
        <v>#VALUE!</v>
      </c>
      <c r="FW6" s="151" t="e" vm="3">
        <f t="shared" ca="1" si="11"/>
        <v>#VALUE!</v>
      </c>
      <c r="FX6" s="144" t="e">
        <f t="shared" ref="FX6:FX69" si="15">IF(ISERROR(FY6),NA(),ROW(FX6)-ROW(FX$5))</f>
        <v>#N/A</v>
      </c>
      <c r="FY6" s="152" t="e">
        <f>MIN(1,FY4+GD5)</f>
        <v>#N/A</v>
      </c>
      <c r="FZ6" s="7" t="e">
        <f t="shared" ref="FZ6:FZ69" si="16">_xlfn.NORM.DIST(-(SQRT(Eu_a_n_x)*(FY6-Eu_a_h0_x)/SQRT(FY6*(1-FY6)))-(_xlfn.NORM.INV(1-(1-Eu_a_konfidensniveau)/2,0,1)*SQRT((Eu_a_h0_x*(1-Eu_a_h0_x))/(FY6*(1-FY6)))),0,1,TRUE)+_xlfn.NORM.DIST((SQRT(Eu_a_n_x)*(FY6-Eu_a_h0_x)/SQRT(FY6*(1-FY6)))-(_xlfn.NORM.INV(1-(1-Eu_a_konfidensniveau)/2,0,1)*SQRT((Eu_a_h0_x*(1-Eu_a_h0_x))/(FY6*(1-FY6)))),0,1,TRUE)</f>
        <v>#N/A</v>
      </c>
      <c r="GA6" t="e">
        <f>FY6-FY5</f>
        <v>#N/A</v>
      </c>
      <c r="GB6" s="8" t="e">
        <f>FZ6-FZ5</f>
        <v>#N/A</v>
      </c>
      <c r="GC6" s="8" t="e">
        <f>$P$67-FZ5</f>
        <v>#N/A</v>
      </c>
      <c r="GD6" s="151" t="e">
        <f>GA6/(GB6/GC6)</f>
        <v>#N/A</v>
      </c>
      <c r="GE6" s="144" t="e">
        <f>IF(ISERROR(GF6),NA(),ROW(GE6)-ROW(GE$5))</f>
        <v>#N/A</v>
      </c>
      <c r="GF6" s="152" t="e">
        <f>MIN(1,GF4+GK5)</f>
        <v>#N/A</v>
      </c>
      <c r="GG6" s="7" t="e">
        <f t="shared" ref="GG6:GG69" si="17">_xlfn.NORM.DIST(-(SQRT(Eu_a_n_x)*(GF6-Eu_a_h0_x)/SQRT(GF6*(1-GF6)))-(_xlfn.NORM.INV(1-(1-Eu_a_konfidensniveau)/2,0,1)*SQRT((Eu_a_h0_x*(1-Eu_a_h0_x))/(GF6*(1-GF6)))),0,1,TRUE)+_xlfn.NORM.DIST((SQRT(Eu_a_n_x)*(GF6-Eu_a_h0_x)/SQRT(GF6*(1-GF6)))-(_xlfn.NORM.INV(1-(1-Eu_a_konfidensniveau)/2,0,1)*SQRT((Eu_a_h0_x*(1-Eu_a_h0_x))/(GF6*(1-GF6)))),0,1,TRUE)</f>
        <v>#N/A</v>
      </c>
      <c r="GH6" t="e">
        <f>GF6-GF5</f>
        <v>#N/A</v>
      </c>
      <c r="GI6" s="8" t="e">
        <f>GG6-GG5</f>
        <v>#N/A</v>
      </c>
      <c r="GJ6" s="8" t="e">
        <f>$P$67-GG5</f>
        <v>#N/A</v>
      </c>
      <c r="GK6" s="151" t="e">
        <f>GH6/(GI6/GJ6)</f>
        <v>#N/A</v>
      </c>
      <c r="GL6" s="151"/>
      <c r="GM6" s="151"/>
      <c r="GN6" s="42"/>
      <c r="GP6" s="54"/>
      <c r="GQ6" s="54" t="s">
        <v>289</v>
      </c>
      <c r="GR6" s="54" t="s">
        <v>31</v>
      </c>
      <c r="GS6" s="54" t="s">
        <v>1</v>
      </c>
      <c r="GT6" s="54"/>
      <c r="GU6" s="54"/>
      <c r="GV6" s="54" t="s">
        <v>291</v>
      </c>
      <c r="GW6" s="54"/>
      <c r="GX6" s="54"/>
      <c r="GY6" s="54"/>
      <c r="GZ6" s="54" t="s">
        <v>125</v>
      </c>
      <c r="HA6" s="54" t="str">
        <f>GY9</f>
        <v>Forskellig fra teststørrelse</v>
      </c>
      <c r="HB6" s="54" t="str">
        <f>GZ9</f>
        <v>Lig med teststørrelse</v>
      </c>
      <c r="HC6" s="54" t="s">
        <v>323</v>
      </c>
      <c r="HD6" s="59">
        <f>INDEX(E_i_valg[Midtpunkt label],E_i_aktiv)</f>
        <v>1.8540000000000001</v>
      </c>
      <c r="HE6" s="59" t="str">
        <f>INDEX(E_i_valg[Midtpunkt forklaring],E_i_aktiv)</f>
        <v>95% mellem 1.084 og 2.624</v>
      </c>
      <c r="HF6" s="42"/>
      <c r="HG6" s="42"/>
      <c r="HJ6" s="54"/>
      <c r="HK6" s="54" t="s">
        <v>289</v>
      </c>
      <c r="HL6" s="54" t="s">
        <v>31</v>
      </c>
      <c r="HM6" s="54" t="s">
        <v>1</v>
      </c>
      <c r="HN6" s="54"/>
      <c r="HO6" s="54"/>
      <c r="HP6" s="54" t="s">
        <v>291</v>
      </c>
      <c r="HQ6" s="54"/>
      <c r="HR6" s="54"/>
      <c r="HS6" s="54"/>
      <c r="HT6" s="54" t="s">
        <v>125</v>
      </c>
      <c r="HU6" s="54" t="str">
        <f>HS9</f>
        <v>Forskellig fra teststørrelse</v>
      </c>
      <c r="HV6" s="54" t="str">
        <f>HT9</f>
        <v>Lig med teststørrelse</v>
      </c>
      <c r="HW6" s="54" t="s">
        <v>323</v>
      </c>
      <c r="HX6" s="59" cm="1">
        <f t="array" ref="HX6">_xlfn.SINGLE(INDEX(E_k_valg[Midtpunkt label],E_k_aktiv))</f>
        <v>0</v>
      </c>
      <c r="HY6" s="59" t="str" cm="1">
        <f t="array" ref="HY6">_xlfn.SINGLE(INDEX(E_k_valg[Midtpunkt forklaring],E_k_aktiv))</f>
        <v xml:space="preserve"> </v>
      </c>
      <c r="HZ6" s="42"/>
      <c r="IA6" s="42"/>
    </row>
    <row r="7" spans="1:235" x14ac:dyDescent="0.2">
      <c r="A7" s="57" t="s">
        <v>436</v>
      </c>
      <c r="B7" s="74">
        <v>1.8540044183209705</v>
      </c>
      <c r="C7" s="74">
        <v>3.359406635758635</v>
      </c>
      <c r="H7" s="57" t="s">
        <v>437</v>
      </c>
      <c r="I7" s="74">
        <v>4.3068660656276769</v>
      </c>
      <c r="J7" s="74">
        <v>4.025703726931031</v>
      </c>
      <c r="O7" s="57" t="s">
        <v>439</v>
      </c>
      <c r="P7" s="75">
        <v>0.41666666666666669</v>
      </c>
      <c r="Q7" s="75">
        <v>0.41666666666666669</v>
      </c>
      <c r="V7" s="57" t="s">
        <v>443</v>
      </c>
      <c r="W7" s="74">
        <v>1.8540044183209705</v>
      </c>
      <c r="X7" s="74">
        <v>3.359406635758635</v>
      </c>
      <c r="AC7" s="57" t="s">
        <v>448</v>
      </c>
      <c r="AD7" s="74">
        <v>0.34073089457687977</v>
      </c>
      <c r="BE7" s="57" t="s">
        <v>424</v>
      </c>
      <c r="BF7" s="90" t="s">
        <v>0</v>
      </c>
      <c r="BG7" s="90" t="s">
        <v>1</v>
      </c>
      <c r="BH7" s="90" t="s">
        <v>2</v>
      </c>
      <c r="BI7" s="90" t="s">
        <v>3</v>
      </c>
      <c r="BJ7" s="90" t="s">
        <v>49</v>
      </c>
      <c r="BL7" s="90" t="s">
        <v>219</v>
      </c>
      <c r="BM7" s="203" t="str" cm="1">
        <f t="array" ref="BM7">INDEX(E_g_valg[Beregningsmetode],E_g_aktiv)</f>
        <v>Normalfordeling</v>
      </c>
      <c r="BZ7" s="54"/>
      <c r="CA7" s="54"/>
      <c r="CB7" s="59">
        <f>INDEX(E_g_valg[X max],E_g_aktiv)</f>
        <v>3.0902323061678132</v>
      </c>
      <c r="CC7" s="59">
        <f>INDEX(E_g_valg[Parameter 2],E_g_aktiv)</f>
        <v>1</v>
      </c>
      <c r="CD7" s="54"/>
      <c r="CE7" s="54"/>
      <c r="CF7" s="59">
        <f>INDEX(E_g_valg[Parameter 2],E_g_aktiv)</f>
        <v>1</v>
      </c>
      <c r="CG7" s="54"/>
      <c r="CH7" s="54"/>
      <c r="CI7" s="54"/>
      <c r="CJ7" s="54" t="s">
        <v>318</v>
      </c>
      <c r="CK7" s="59">
        <f>MATCH(INDEX(CK3:CK6,MATCH(CH3,CJ3:CJ6,0)),CG9:CJ9,0)</f>
        <v>3</v>
      </c>
      <c r="CL7" s="59">
        <f>MATCH(INDEX(CL3:CL6,MATCH(CH3,CJ3:CJ6,0)),CG9:CJ9,0)</f>
        <v>4</v>
      </c>
      <c r="CM7" s="54" t="s">
        <v>324</v>
      </c>
      <c r="CN7" s="59">
        <f>INDEX(E_g_valg[Højre label],E_g_aktiv)</f>
        <v>4.2910000000000004</v>
      </c>
      <c r="CO7" s="59" t="str">
        <f>INDEX(E_g_valg[Højre forklaring],E_g_aktiv)</f>
        <v>2.5% større end 4.291</v>
      </c>
      <c r="CP7" s="42"/>
      <c r="CQ7" s="42"/>
      <c r="CR7" t="e">
        <f>MATCH(CH3,CJ4:CJ6,0)</f>
        <v>#N/A</v>
      </c>
      <c r="CS7">
        <f>IF(INDEX(E_g_valg[Beregningsmetode],E_g_aktiv)="Normalfordeling med kendt standardafvigelse",Eu_g_s_population_x,Eu_g_s_x)</f>
        <v>4.3068660656276769</v>
      </c>
      <c r="CT7" t="s">
        <v>324</v>
      </c>
      <c r="CU7" s="5" t="e" cm="1">
        <f t="array" ref="CU7">(INDEX(DC$3:DC$5,CR7)*CS7/SQRT(Eu_g_n_x)+Eu_g_h0_x)</f>
        <v>#N/A</v>
      </c>
      <c r="CV7" t="e">
        <f>"Styrken er over "&amp;ROUND(B67,5)*100&amp;"%
hvis populationsgennemsnittet er 
over "&amp;ROUND(CU7,3)</f>
        <v>#N/A</v>
      </c>
      <c r="CZ7" t="s">
        <v>490</v>
      </c>
      <c r="DA7">
        <f>_xlfn.NORM.DIST(_xlfn.NORM.INV((1-Eu_g_konfidensniveau)/2,0,1)-DB7,0,1,TRUE)+1-_xlfn.NORM.DIST(_xlfn.NORM.INV(1-(1-Eu_g_konfidensniveau)/2,0,1)-DB7,0,1,TRUE)</f>
        <v>0.8000009605622268</v>
      </c>
      <c r="DB7" s="5">
        <f>_xlfn.NORM.INV((1-Eu_g_konfidensniveau)/2,0,1)-_xlfn.NORM.INV($B$67,0,1)</f>
        <v>-2.8015852181129683</v>
      </c>
      <c r="DC7" s="5">
        <f>DB7*-1</f>
        <v>2.8015852181129683</v>
      </c>
      <c r="DN7" s="54"/>
      <c r="DO7" s="54"/>
      <c r="DP7" s="59">
        <f>INDEX(E_s_valg[X max],E_s_aktiv)</f>
        <v>31.264133620239949</v>
      </c>
      <c r="DQ7" s="59">
        <f>INDEX(E_s_valg[Parameter 2],E_s_aktiv)</f>
        <v>0</v>
      </c>
      <c r="DR7" s="54"/>
      <c r="DS7" s="54"/>
      <c r="DT7" s="59">
        <f>INDEX(E_s_valg[Parameter 2],E_s_aktiv)</f>
        <v>0</v>
      </c>
      <c r="DU7" s="54"/>
      <c r="DV7" s="54"/>
      <c r="DW7" s="54"/>
      <c r="DX7" s="54" t="s">
        <v>318</v>
      </c>
      <c r="DY7" s="59">
        <f>MATCH(INDEX(DY3:DY6,MATCH(DV3,DX3:DX6,0)),DU9:DX9,0)</f>
        <v>3</v>
      </c>
      <c r="DZ7" s="59">
        <f>MATCH(INDEX(DZ3:DZ6,MATCH(DV3,DX3:DX6,0)),DU9:DX9,0)</f>
        <v>4</v>
      </c>
      <c r="EA7" s="54" t="s">
        <v>324</v>
      </c>
      <c r="EB7" s="59">
        <f>INDEX(E_s_valg[Højre label],E_s_aktiv)</f>
        <v>7.3129999999999997</v>
      </c>
      <c r="EC7" s="59" t="str">
        <f>INDEX(E_s_valg[Højre forklaring],E_s_aktiv)</f>
        <v>2.5% større end 7.313</v>
      </c>
      <c r="ED7" s="42"/>
      <c r="EE7" s="42"/>
      <c r="EG7" s="54"/>
      <c r="EH7" s="54"/>
      <c r="EI7" s="59">
        <f>INDEX(E_a_valg[X max],E_a_aktiv)</f>
        <v>3.0902323061678132</v>
      </c>
      <c r="EJ7" s="59">
        <f>INDEX(E_a_valg[Parameter 2],E_a_aktiv)</f>
        <v>1</v>
      </c>
      <c r="EK7" s="54"/>
      <c r="EL7" s="54"/>
      <c r="EM7" s="59">
        <f>INDEX(E_a_valg[Parameter 2],E_a_aktiv)</f>
        <v>1</v>
      </c>
      <c r="EN7" s="54"/>
      <c r="EO7" s="54"/>
      <c r="EP7" s="54"/>
      <c r="EQ7" s="54" t="s">
        <v>318</v>
      </c>
      <c r="ER7" s="59">
        <f>MATCH(INDEX(ER3:ER6,MATCH(EO3,EQ3:EQ6,0)),EN9:EQ9,0)</f>
        <v>3</v>
      </c>
      <c r="ES7" s="59">
        <f>MATCH(INDEX(ES3:ES6,MATCH(EO3,EQ3:EQ6,0)),EN9:EQ9,0)</f>
        <v>4</v>
      </c>
      <c r="ET7" s="54" t="s">
        <v>324</v>
      </c>
      <c r="EU7" s="59" t="str">
        <f>INDEX(E_a_valg[Højre label],E_a_aktiv)</f>
        <v>63.273%</v>
      </c>
      <c r="EV7" s="59" t="str">
        <f>INDEX(E_a_valg[Højre forklaring],E_a_aktiv)</f>
        <v>2.5% større end 63.273%</v>
      </c>
      <c r="EW7" s="42"/>
      <c r="EX7" s="42"/>
      <c r="EY7" s="144" t="e">
        <f>MATCH(EO3,EQ4:EQ6,0)</f>
        <v>#N/A</v>
      </c>
      <c r="EZ7" s="147" t="s">
        <v>499</v>
      </c>
      <c r="FA7" s="144" t="s">
        <v>324</v>
      </c>
      <c r="FB7" s="149" t="e" cm="1">
        <f t="array" ref="FB7">INDEX(FH$3:FH$5,EY7)</f>
        <v>#N/A</v>
      </c>
      <c r="FC7" s="145" t="e">
        <f>"Styrken er over "&amp;ROUND(P67,5)*100&amp;"%
hvis populationsandelen er 
over "&amp;ROUND(FB7,5)*100&amp;"%"</f>
        <v>#N/A</v>
      </c>
      <c r="FD7" s="145"/>
      <c r="FE7" s="144"/>
      <c r="FF7" s="145"/>
      <c r="FJ7" s="144" t="e">
        <f t="shared" ref="FJ7:FJ70" si="18">IF(ISERROR(FK7),NA(),ROW(FJ7)-ROW(FJ$5))</f>
        <v>#N/A</v>
      </c>
      <c r="FK7" s="152" t="e">
        <f>FK5+FP6</f>
        <v>#DIV/0!</v>
      </c>
      <c r="FL7" s="7" t="e">
        <f t="shared" si="12"/>
        <v>#DIV/0!</v>
      </c>
      <c r="FM7" t="e">
        <f t="shared" si="7"/>
        <v>#DIV/0!</v>
      </c>
      <c r="FN7" s="8" t="e">
        <f t="shared" si="7"/>
        <v>#DIV/0!</v>
      </c>
      <c r="FO7" s="8" t="e">
        <f>$P$67-FL6</f>
        <v>#DIV/0!</v>
      </c>
      <c r="FP7" s="151" t="e">
        <f>FM7/(FN7/FO7)</f>
        <v>#DIV/0!</v>
      </c>
      <c r="FQ7" s="144" t="e">
        <f t="shared" ca="1" si="13"/>
        <v>#N/A</v>
      </c>
      <c r="FR7" s="152" t="e" vm="3">
        <f t="shared" ref="FR7:FR70" ca="1" si="19">FR5+FW6</f>
        <v>#VALUE!</v>
      </c>
      <c r="FS7" s="7" t="e" vm="3">
        <f t="shared" ca="1" si="14"/>
        <v>#VALUE!</v>
      </c>
      <c r="FT7" t="e" vm="3">
        <f t="shared" ca="1" si="8"/>
        <v>#VALUE!</v>
      </c>
      <c r="FU7" s="8" t="e" vm="3">
        <f t="shared" ca="1" si="9"/>
        <v>#VALUE!</v>
      </c>
      <c r="FV7" s="8" t="e" vm="3">
        <f t="shared" ca="1" si="10"/>
        <v>#VALUE!</v>
      </c>
      <c r="FW7" s="151" t="e" vm="3">
        <f t="shared" ca="1" si="11"/>
        <v>#VALUE!</v>
      </c>
      <c r="FX7" s="144" t="e">
        <f t="shared" si="15"/>
        <v>#N/A</v>
      </c>
      <c r="FY7" s="152" t="e">
        <f t="shared" ref="FY7:FY70" si="20">FY5+GD6</f>
        <v>#N/A</v>
      </c>
      <c r="FZ7" s="7" t="e">
        <f t="shared" si="16"/>
        <v>#N/A</v>
      </c>
      <c r="GA7" t="e">
        <f t="shared" ref="GA7:GA70" si="21">FY7-FY6</f>
        <v>#N/A</v>
      </c>
      <c r="GB7" s="8" t="e">
        <f t="shared" ref="GB7:GB70" si="22">FZ7-FZ6</f>
        <v>#N/A</v>
      </c>
      <c r="GC7" s="8" t="e">
        <f t="shared" ref="GC7:GC70" si="23">$P$67-FZ6</f>
        <v>#N/A</v>
      </c>
      <c r="GD7" s="151" t="e">
        <f t="shared" ref="GD7:GD70" si="24">GA7/(GB7/GC7)</f>
        <v>#N/A</v>
      </c>
      <c r="GE7" s="144" t="e">
        <f t="shared" ref="GE7:GE70" si="25">IF(ISERROR(GF7),NA(),ROW(GE7)-ROW(GE$5))</f>
        <v>#N/A</v>
      </c>
      <c r="GF7" s="152" t="e">
        <f t="shared" ref="GF7:GF70" si="26">GF5+GK6</f>
        <v>#N/A</v>
      </c>
      <c r="GG7" s="7" t="e">
        <f t="shared" si="17"/>
        <v>#N/A</v>
      </c>
      <c r="GH7" t="e">
        <f t="shared" ref="GH7:GH70" si="27">GF7-GF6</f>
        <v>#N/A</v>
      </c>
      <c r="GI7" s="8" t="e">
        <f t="shared" ref="GI7:GI70" si="28">GG7-GG6</f>
        <v>#N/A</v>
      </c>
      <c r="GJ7" s="8" t="e">
        <f t="shared" ref="GJ7:GJ70" si="29">$P$67-GG6</f>
        <v>#N/A</v>
      </c>
      <c r="GK7" s="151" t="e">
        <f t="shared" ref="GK7:GK70" si="30">GH7/(GI7/GJ7)</f>
        <v>#N/A</v>
      </c>
      <c r="GL7" s="151"/>
      <c r="GM7" s="151"/>
      <c r="GN7" s="42"/>
      <c r="GP7" s="54"/>
      <c r="GQ7" s="54"/>
      <c r="GR7" s="59">
        <f>INDEX(E_i_valg[X max],E_i_aktiv)</f>
        <v>3.0902323061678132</v>
      </c>
      <c r="GS7" s="59">
        <f>INDEX(E_i_valg[Parameter 2],E_i_aktiv)</f>
        <v>1</v>
      </c>
      <c r="GT7" s="54"/>
      <c r="GU7" s="54"/>
      <c r="GV7" s="59">
        <f>INDEX(E_i_valg[Parameter 2],E_i_aktiv)</f>
        <v>1</v>
      </c>
      <c r="GW7" s="54"/>
      <c r="GX7" s="54"/>
      <c r="GY7" s="54"/>
      <c r="GZ7" s="54" t="s">
        <v>318</v>
      </c>
      <c r="HA7" s="59">
        <f>MATCH(INDEX(HA3:HA6,MATCH(GX3,GZ3:GZ6,0)),GW9:GZ9,0)</f>
        <v>3</v>
      </c>
      <c r="HB7" s="59">
        <f>MATCH(INDEX(HB3:HB6,MATCH(GX3,GZ3:GZ6,0)),GW9:GZ9,0)</f>
        <v>4</v>
      </c>
      <c r="HC7" s="54" t="s">
        <v>324</v>
      </c>
      <c r="HD7" s="59">
        <f>INDEX(E_i_valg[Højre label],E_i_aktiv)</f>
        <v>2.6240000000000001</v>
      </c>
      <c r="HE7" s="59" t="str">
        <f>INDEX(E_i_valg[Højre forklaring],E_i_aktiv)</f>
        <v>2.5% større end 2.624</v>
      </c>
      <c r="HF7" s="42"/>
      <c r="HG7" s="42"/>
      <c r="HJ7" s="54"/>
      <c r="HK7" s="54"/>
      <c r="HL7" s="59" cm="1">
        <f t="array" ref="HL7">_xlfn.SINGLE(INDEX(E_k_valg[X max],E_k_aktiv))</f>
        <v>4.7852896286383331</v>
      </c>
      <c r="HM7" s="59" cm="1">
        <f t="array" ref="HM7">_xlfn.SINGLE(INDEX(E_k_valg[Parameter 2],E_k_aktiv))</f>
        <v>0</v>
      </c>
      <c r="HN7" s="54"/>
      <c r="HO7" s="54"/>
      <c r="HP7" s="59" cm="1">
        <f t="array" ref="HP7">_xlfn.SINGLE(INDEX(E_k_valg[Parameter 2],E_k_aktiv))</f>
        <v>0</v>
      </c>
      <c r="HQ7" s="54"/>
      <c r="HR7" s="54"/>
      <c r="HS7" s="54"/>
      <c r="HT7" s="54" t="s">
        <v>318</v>
      </c>
      <c r="HU7" s="59">
        <f>MATCH(INDEX(HU3:HU6,MATCH(HR3,HT3:HT6,0)),HQ9:HT9,0)</f>
        <v>1</v>
      </c>
      <c r="HV7" s="59">
        <f>MATCH(INDEX(HV3:HV6,MATCH(HR3,HT3:HT6,0)),HQ9:HT9,0)</f>
        <v>2</v>
      </c>
      <c r="HW7" s="54" t="s">
        <v>324</v>
      </c>
      <c r="HX7" s="59" cm="1">
        <f t="array" ref="HX7">_xlfn.SINGLE(INDEX(E_k_valg[Højre label],E_k_aktiv))</f>
        <v>0.34100000000000003</v>
      </c>
      <c r="HY7" s="59" t="str" cm="1">
        <f t="array" ref="HY7">_xlfn.SINGLE(INDEX(E_k_valg[Højre forklaring],E_k_aktiv))</f>
        <v>6.59% større end 0.341</v>
      </c>
      <c r="HZ7" s="42"/>
      <c r="IA7" s="42"/>
    </row>
    <row r="8" spans="1:235" x14ac:dyDescent="0.2">
      <c r="A8" s="57" t="s">
        <v>423</v>
      </c>
      <c r="B8" s="74"/>
      <c r="C8" s="74"/>
      <c r="H8" s="57" t="s">
        <v>435</v>
      </c>
      <c r="I8" s="74"/>
      <c r="J8" s="93"/>
      <c r="O8" s="57" t="s">
        <v>440</v>
      </c>
      <c r="P8" s="75"/>
      <c r="Q8" s="75"/>
      <c r="V8" s="57" t="s">
        <v>442</v>
      </c>
      <c r="W8" s="74">
        <v>1</v>
      </c>
      <c r="X8" s="93"/>
      <c r="AC8" s="57" t="s">
        <v>449</v>
      </c>
      <c r="AD8" s="74">
        <v>0</v>
      </c>
      <c r="BE8" s="57" t="s">
        <v>150</v>
      </c>
      <c r="BF8" s="98">
        <f>MATCH(1,E_g_valg[Synlig],0)</f>
        <v>1</v>
      </c>
      <c r="BG8" s="98">
        <f>MATCH(1,E_s_valg[Synlig],0)</f>
        <v>1</v>
      </c>
      <c r="BH8" s="98">
        <f>MATCH(1,E_a_valg[Synlig],0)</f>
        <v>1</v>
      </c>
      <c r="BI8" s="98">
        <f>MATCH(1,E_i_valg[Synlig],0)</f>
        <v>1</v>
      </c>
      <c r="BJ8" s="98">
        <f>MATCH(1,E_k_valg[Synlig],0)</f>
        <v>1</v>
      </c>
      <c r="BL8" s="90" t="s">
        <v>4</v>
      </c>
      <c r="BM8" s="204">
        <f>Eu_g_konfidensniveau</f>
        <v>0.95</v>
      </c>
      <c r="FJ8" s="144" t="e">
        <f t="shared" si="18"/>
        <v>#N/A</v>
      </c>
      <c r="FK8" s="152" t="e">
        <f>FK6+FP7</f>
        <v>#DIV/0!</v>
      </c>
      <c r="FL8" s="7" t="e">
        <f t="shared" si="12"/>
        <v>#DIV/0!</v>
      </c>
      <c r="FM8" t="e">
        <f t="shared" si="7"/>
        <v>#DIV/0!</v>
      </c>
      <c r="FN8" s="8" t="e">
        <f t="shared" si="7"/>
        <v>#DIV/0!</v>
      </c>
      <c r="FO8" s="8" t="e">
        <f>$P$67-FL7</f>
        <v>#DIV/0!</v>
      </c>
      <c r="FP8" s="151" t="e">
        <f>FM8/(FN8/FO8)</f>
        <v>#DIV/0!</v>
      </c>
      <c r="FQ8" s="144" t="e">
        <f t="shared" ca="1" si="13"/>
        <v>#N/A</v>
      </c>
      <c r="FR8" s="152" t="e" vm="3">
        <f t="shared" ca="1" si="19"/>
        <v>#VALUE!</v>
      </c>
      <c r="FS8" s="7" t="e" vm="3">
        <f t="shared" ca="1" si="14"/>
        <v>#VALUE!</v>
      </c>
      <c r="FT8" t="e" vm="3">
        <f t="shared" ca="1" si="8"/>
        <v>#VALUE!</v>
      </c>
      <c r="FU8" s="8" t="e" vm="3">
        <f t="shared" ca="1" si="9"/>
        <v>#VALUE!</v>
      </c>
      <c r="FV8" s="8" t="e" vm="3">
        <f t="shared" ca="1" si="10"/>
        <v>#VALUE!</v>
      </c>
      <c r="FW8" s="151" t="e" vm="3">
        <f t="shared" ca="1" si="11"/>
        <v>#VALUE!</v>
      </c>
      <c r="FX8" s="144" t="e">
        <f t="shared" si="15"/>
        <v>#N/A</v>
      </c>
      <c r="FY8" s="152" t="e">
        <f t="shared" si="20"/>
        <v>#N/A</v>
      </c>
      <c r="FZ8" s="7" t="e">
        <f t="shared" si="16"/>
        <v>#N/A</v>
      </c>
      <c r="GA8" t="e">
        <f t="shared" si="21"/>
        <v>#N/A</v>
      </c>
      <c r="GB8" s="8" t="e">
        <f t="shared" si="22"/>
        <v>#N/A</v>
      </c>
      <c r="GC8" s="8" t="e">
        <f t="shared" si="23"/>
        <v>#N/A</v>
      </c>
      <c r="GD8" s="151" t="e">
        <f t="shared" si="24"/>
        <v>#N/A</v>
      </c>
      <c r="GE8" s="144" t="e">
        <f t="shared" si="25"/>
        <v>#N/A</v>
      </c>
      <c r="GF8" s="152" t="e">
        <f t="shared" si="26"/>
        <v>#N/A</v>
      </c>
      <c r="GG8" s="7" t="e">
        <f t="shared" si="17"/>
        <v>#N/A</v>
      </c>
      <c r="GH8" t="e">
        <f t="shared" si="27"/>
        <v>#N/A</v>
      </c>
      <c r="GI8" s="8" t="e">
        <f t="shared" si="28"/>
        <v>#N/A</v>
      </c>
      <c r="GJ8" s="8" t="e">
        <f t="shared" si="29"/>
        <v>#N/A</v>
      </c>
      <c r="GK8" s="151" t="e">
        <f t="shared" si="30"/>
        <v>#N/A</v>
      </c>
      <c r="GL8" s="151"/>
      <c r="GM8" s="151"/>
    </row>
    <row r="9" spans="1:235" x14ac:dyDescent="0.2">
      <c r="A9" s="57" t="s">
        <v>437</v>
      </c>
      <c r="B9" s="74">
        <v>4.3068660656276769</v>
      </c>
      <c r="C9" s="74">
        <v>4.025703726931031</v>
      </c>
      <c r="H9" s="57" t="s">
        <v>413</v>
      </c>
      <c r="I9" s="88">
        <v>12</v>
      </c>
      <c r="J9" s="88">
        <v>12</v>
      </c>
      <c r="O9" s="57" t="s">
        <v>413</v>
      </c>
      <c r="P9" s="88">
        <v>20</v>
      </c>
      <c r="Q9" s="88">
        <v>12</v>
      </c>
      <c r="V9" s="57" t="s">
        <v>413</v>
      </c>
      <c r="W9" s="88">
        <v>12</v>
      </c>
      <c r="X9" s="88">
        <v>12</v>
      </c>
      <c r="AC9" s="57" t="s">
        <v>450</v>
      </c>
      <c r="AD9" s="74">
        <v>0.19973614466699974</v>
      </c>
      <c r="BE9" s="57" t="s">
        <v>143</v>
      </c>
      <c r="BF9" s="98" t="str" cm="1">
        <f t="array" ref="BF9">INDEX(E_g_valg[],E_g_aktiv,2)</f>
        <v>Konfidensinterval</v>
      </c>
      <c r="BG9" s="98" t="str" cm="1">
        <f t="array" ref="BG9">INDEX(E_s_valg[],E_s_aktiv,2)</f>
        <v>Konfidensinterval</v>
      </c>
      <c r="BH9" s="98" t="str" cm="1">
        <f t="array" ref="BH9">INDEX(E_a_valg[],E_a_aktiv,2)</f>
        <v>Konfidensinterval</v>
      </c>
      <c r="BI9" s="98" t="str" cm="1">
        <f t="array" ref="BI9">INDEX(E_i_valg[],E_i_aktiv,2)</f>
        <v>Konfidensinterval</v>
      </c>
      <c r="BJ9" s="98" t="str" cm="1">
        <f t="array" ref="BJ9">INDEX(E_k_valg[],E_k_aktiv,2)</f>
        <v>Venstresidet hypotese om værdi</v>
      </c>
      <c r="BL9" s="90" t="s">
        <v>453</v>
      </c>
      <c r="BM9" s="203" cm="1">
        <f t="array" ref="BM9">IF($BF$2,INDEX(E_g_valg[Venstre label base],E_g_aktiv),NA())</f>
        <v>-0.58278968089955363</v>
      </c>
      <c r="BZ9" t="s">
        <v>16</v>
      </c>
      <c r="CA9" t="s">
        <v>334</v>
      </c>
      <c r="CB9" t="s">
        <v>287</v>
      </c>
      <c r="CC9" t="s">
        <v>126</v>
      </c>
      <c r="CD9" t="s">
        <v>128</v>
      </c>
      <c r="CE9" t="s">
        <v>140</v>
      </c>
      <c r="CF9" t="s">
        <v>141</v>
      </c>
      <c r="CG9" t="s">
        <v>295</v>
      </c>
      <c r="CH9" t="s">
        <v>296</v>
      </c>
      <c r="CI9" t="s">
        <v>297</v>
      </c>
      <c r="CJ9" t="s">
        <v>298</v>
      </c>
      <c r="CK9" t="s">
        <v>293</v>
      </c>
      <c r="CL9" t="s">
        <v>145</v>
      </c>
      <c r="CM9" t="s">
        <v>146</v>
      </c>
      <c r="CN9" t="s">
        <v>292</v>
      </c>
      <c r="CO9" t="s">
        <v>477</v>
      </c>
      <c r="CP9" t="s">
        <v>478</v>
      </c>
      <c r="CQ9" t="s">
        <v>479</v>
      </c>
      <c r="CR9" t="s">
        <v>480</v>
      </c>
      <c r="CS9" s="142" t="s">
        <v>481</v>
      </c>
      <c r="CT9" s="142" t="s">
        <v>482</v>
      </c>
      <c r="CU9" s="142" t="s">
        <v>483</v>
      </c>
      <c r="CV9" s="142" t="s">
        <v>484</v>
      </c>
      <c r="CW9" s="142" t="s">
        <v>491</v>
      </c>
      <c r="DA9" t="s">
        <v>489</v>
      </c>
      <c r="DB9" t="s">
        <v>485</v>
      </c>
      <c r="DC9" t="s">
        <v>486</v>
      </c>
      <c r="DN9" t="s">
        <v>16</v>
      </c>
      <c r="DO9" t="s">
        <v>334</v>
      </c>
      <c r="DP9" t="s">
        <v>287</v>
      </c>
      <c r="DQ9" t="s">
        <v>126</v>
      </c>
      <c r="DR9" t="s">
        <v>128</v>
      </c>
      <c r="DS9" t="s">
        <v>140</v>
      </c>
      <c r="DT9" t="s">
        <v>141</v>
      </c>
      <c r="DU9" t="s">
        <v>295</v>
      </c>
      <c r="DV9" t="s">
        <v>296</v>
      </c>
      <c r="DW9" t="s">
        <v>297</v>
      </c>
      <c r="DX9" t="s">
        <v>298</v>
      </c>
      <c r="DY9" t="s">
        <v>293</v>
      </c>
      <c r="DZ9" t="s">
        <v>145</v>
      </c>
      <c r="EA9" t="s">
        <v>146</v>
      </c>
      <c r="EB9" t="s">
        <v>292</v>
      </c>
      <c r="EG9" t="s">
        <v>16</v>
      </c>
      <c r="EH9" t="s">
        <v>334</v>
      </c>
      <c r="EI9" t="s">
        <v>287</v>
      </c>
      <c r="EJ9" t="s">
        <v>126</v>
      </c>
      <c r="EK9" t="s">
        <v>128</v>
      </c>
      <c r="EL9" t="s">
        <v>140</v>
      </c>
      <c r="EM9" t="s">
        <v>141</v>
      </c>
      <c r="EN9" t="s">
        <v>295</v>
      </c>
      <c r="EO9" t="s">
        <v>296</v>
      </c>
      <c r="EP9" t="s">
        <v>297</v>
      </c>
      <c r="EQ9" t="s">
        <v>298</v>
      </c>
      <c r="ER9" t="s">
        <v>293</v>
      </c>
      <c r="ES9" t="s">
        <v>145</v>
      </c>
      <c r="ET9" t="s">
        <v>146</v>
      </c>
      <c r="EU9" t="s">
        <v>292</v>
      </c>
      <c r="EV9" t="s">
        <v>477</v>
      </c>
      <c r="EW9" t="s">
        <v>478</v>
      </c>
      <c r="EX9" t="s">
        <v>479</v>
      </c>
      <c r="EY9" t="s">
        <v>480</v>
      </c>
      <c r="EZ9" t="s">
        <v>481</v>
      </c>
      <c r="FA9" t="s">
        <v>482</v>
      </c>
      <c r="FB9" t="s">
        <v>483</v>
      </c>
      <c r="FC9" t="s">
        <v>484</v>
      </c>
      <c r="FD9" t="s">
        <v>491</v>
      </c>
      <c r="FE9" t="s">
        <v>497</v>
      </c>
      <c r="FJ9" s="144" t="e">
        <f t="shared" si="18"/>
        <v>#N/A</v>
      </c>
      <c r="FK9" s="152" t="e">
        <f t="shared" ref="FK9:FK30" si="31">FK7+FP8</f>
        <v>#DIV/0!</v>
      </c>
      <c r="FL9" s="7" t="e">
        <f t="shared" si="12"/>
        <v>#DIV/0!</v>
      </c>
      <c r="FM9" t="e">
        <f t="shared" ref="FM9:FM30" si="32">FK9-FK8</f>
        <v>#DIV/0!</v>
      </c>
      <c r="FN9" s="8" t="e">
        <f t="shared" ref="FN9:FN30" si="33">FL9-FL8</f>
        <v>#DIV/0!</v>
      </c>
      <c r="FO9" s="8" t="e">
        <f t="shared" ref="FO9:FO30" si="34">$P$67-FL8</f>
        <v>#DIV/0!</v>
      </c>
      <c r="FP9" s="151" t="e">
        <f t="shared" ref="FP9:FP30" si="35">FM9/(FN9/FO9)</f>
        <v>#DIV/0!</v>
      </c>
      <c r="FQ9" s="144" t="e">
        <f t="shared" ca="1" si="13"/>
        <v>#N/A</v>
      </c>
      <c r="FR9" s="152" t="e" vm="3">
        <f t="shared" ca="1" si="19"/>
        <v>#VALUE!</v>
      </c>
      <c r="FS9" s="7" t="e" vm="3">
        <f t="shared" ca="1" si="14"/>
        <v>#VALUE!</v>
      </c>
      <c r="FT9" t="e" vm="3">
        <f t="shared" ca="1" si="8"/>
        <v>#VALUE!</v>
      </c>
      <c r="FU9" s="8" t="e" vm="3">
        <f t="shared" ca="1" si="9"/>
        <v>#VALUE!</v>
      </c>
      <c r="FV9" s="8" t="e" vm="3">
        <f t="shared" ca="1" si="10"/>
        <v>#VALUE!</v>
      </c>
      <c r="FW9" s="151" t="e" vm="3">
        <f t="shared" ca="1" si="11"/>
        <v>#VALUE!</v>
      </c>
      <c r="FX9" s="144" t="e">
        <f t="shared" si="15"/>
        <v>#N/A</v>
      </c>
      <c r="FY9" s="152" t="e">
        <f t="shared" si="20"/>
        <v>#N/A</v>
      </c>
      <c r="FZ9" s="7" t="e">
        <f t="shared" si="16"/>
        <v>#N/A</v>
      </c>
      <c r="GA9" t="e">
        <f t="shared" si="21"/>
        <v>#N/A</v>
      </c>
      <c r="GB9" s="8" t="e">
        <f t="shared" si="22"/>
        <v>#N/A</v>
      </c>
      <c r="GC9" s="8" t="e">
        <f t="shared" si="23"/>
        <v>#N/A</v>
      </c>
      <c r="GD9" s="151" t="e">
        <f t="shared" si="24"/>
        <v>#N/A</v>
      </c>
      <c r="GE9" s="144" t="e">
        <f t="shared" si="25"/>
        <v>#N/A</v>
      </c>
      <c r="GF9" s="152" t="e">
        <f t="shared" si="26"/>
        <v>#N/A</v>
      </c>
      <c r="GG9" s="7" t="e">
        <f t="shared" si="17"/>
        <v>#N/A</v>
      </c>
      <c r="GH9" t="e">
        <f t="shared" si="27"/>
        <v>#N/A</v>
      </c>
      <c r="GI9" s="8" t="e">
        <f t="shared" si="28"/>
        <v>#N/A</v>
      </c>
      <c r="GJ9" s="8" t="e">
        <f t="shared" si="29"/>
        <v>#N/A</v>
      </c>
      <c r="GK9" s="151" t="e">
        <f t="shared" si="30"/>
        <v>#N/A</v>
      </c>
      <c r="GL9" s="151"/>
      <c r="GM9" s="151"/>
      <c r="GP9" t="s">
        <v>16</v>
      </c>
      <c r="GQ9" t="s">
        <v>334</v>
      </c>
      <c r="GR9" t="s">
        <v>287</v>
      </c>
      <c r="GS9" t="s">
        <v>126</v>
      </c>
      <c r="GT9" t="s">
        <v>128</v>
      </c>
      <c r="GU9" t="s">
        <v>140</v>
      </c>
      <c r="GV9" t="s">
        <v>141</v>
      </c>
      <c r="GW9" t="s">
        <v>295</v>
      </c>
      <c r="GX9" t="s">
        <v>296</v>
      </c>
      <c r="GY9" t="s">
        <v>297</v>
      </c>
      <c r="GZ9" t="s">
        <v>298</v>
      </c>
      <c r="HA9" t="s">
        <v>293</v>
      </c>
      <c r="HB9" t="s">
        <v>145</v>
      </c>
      <c r="HC9" t="s">
        <v>146</v>
      </c>
      <c r="HD9" t="s">
        <v>292</v>
      </c>
      <c r="HJ9" t="s">
        <v>16</v>
      </c>
      <c r="HK9" t="s">
        <v>334</v>
      </c>
      <c r="HL9" t="s">
        <v>287</v>
      </c>
      <c r="HM9" t="s">
        <v>126</v>
      </c>
      <c r="HN9" t="s">
        <v>128</v>
      </c>
      <c r="HO9" t="s">
        <v>140</v>
      </c>
      <c r="HP9" t="s">
        <v>141</v>
      </c>
      <c r="HQ9" t="s">
        <v>295</v>
      </c>
      <c r="HR9" t="s">
        <v>296</v>
      </c>
      <c r="HS9" t="s">
        <v>297</v>
      </c>
      <c r="HT9" t="s">
        <v>298</v>
      </c>
      <c r="HU9" t="s">
        <v>293</v>
      </c>
      <c r="HV9" t="s">
        <v>145</v>
      </c>
      <c r="HW9" t="s">
        <v>146</v>
      </c>
      <c r="HX9" t="s">
        <v>292</v>
      </c>
    </row>
    <row r="10" spans="1:235" x14ac:dyDescent="0.2">
      <c r="A10" s="57" t="s">
        <v>422</v>
      </c>
      <c r="B10" s="74"/>
      <c r="C10" s="74"/>
      <c r="AC10" s="57" t="s">
        <v>413</v>
      </c>
      <c r="AD10" s="88">
        <v>12</v>
      </c>
      <c r="BE10" s="58" t="s">
        <v>151</v>
      </c>
      <c r="BF10" s="98" t="str" cm="1">
        <f t="array" ref="BF10">INDEX(E_g_valg[Diagram titel],E_g_aktiv)</f>
        <v>95% Konfidensinterval for gennemsnit
af Eksempel 1 (interval)</v>
      </c>
      <c r="BG10" s="98" t="str" cm="1">
        <f t="array" ref="BG10">INDEX(E_s_valg[Diagram titel],E_s_aktiv)</f>
        <v>95% Konfidensinterval for standardafvigelse
af Eksempel 1 (interval)</v>
      </c>
      <c r="BH10" s="98" t="str" cm="1">
        <f t="array" ref="BH10">INDEX(E_a_valg[Diagram titel],E_a_aktiv)</f>
        <v>95% Konfidensinterval for andel
af Eksempel 4 (nominal)</v>
      </c>
      <c r="BI10" s="98" t="str" cm="1">
        <f t="array" ref="BI10">INDEX(E_i_valg[Diagram titel],E_i_aktiv)</f>
        <v>95% Konfidensinterval for intensitet
af Eksempel 1 (interval)</v>
      </c>
      <c r="BJ10" s="98" t="str" cm="1">
        <f t="array" ref="BJ10">INDEX(E_k_valg[Diagram titel],E_k_aktiv)</f>
        <v>Hypotesetest om koefficient i regressionsmodel
Nulhypotesen om at koefficienten for Eksempel 1 (interval) er større end 0
kan ikke afvises med 95% konfidens</v>
      </c>
      <c r="BL10" s="90" t="s">
        <v>454</v>
      </c>
      <c r="BM10" s="203" cm="1">
        <f t="array" ref="BM10">IF($BF$2,INDEX(E_g_valg[Højre label base],E_g_aktiv),NA())</f>
        <v>4.2907985175414947</v>
      </c>
      <c r="BZ10" s="54">
        <f t="shared" ref="BZ10:BZ73" si="36">ROW(BZ10)-ROW(BZ$10)</f>
        <v>0</v>
      </c>
      <c r="CA10" s="54">
        <f>Eu_tabel_g[[#This Row],[Indeks]]+1</f>
        <v>1</v>
      </c>
      <c r="CB10" s="54">
        <f t="shared" ref="CB10:CB73" si="37">CB$5+(CB$7-CB$5)/CB$3*BZ10</f>
        <v>-3.0902323061678132</v>
      </c>
      <c r="CC10" s="54">
        <f t="shared" ref="CC10:CC73" si="38">IF(CC$3,_xlfn.NORM.DIST(CB10,CC$5,CC$7,FALSE),NA())</f>
        <v>3.3670900770639959E-3</v>
      </c>
      <c r="CD10" s="54" t="e">
        <f t="shared" ref="CD10:CD73" si="39">IF(CD$3,_xlfn.T.DIST(CB10,CD$5,FALSE),NA())</f>
        <v>#N/A</v>
      </c>
      <c r="CE10" s="54" t="e">
        <f t="shared" ref="CE10:CE73" si="40">IF(CE$3,_xlfn.CHISQ.DIST(CB10,CE$5,FALSE),NA())</f>
        <v>#N/A</v>
      </c>
      <c r="CF10" s="54" t="e">
        <f t="shared" ref="CF10:CF73" si="41">IF(CF$3,_xlfn.F.DIST(CB10,CF$5,CF$7,FALSE),NA())</f>
        <v>#N/A</v>
      </c>
      <c r="CG10" s="54" t="b">
        <f t="shared" ref="CG10:CG73" si="42">CB10&lt;CG$3</f>
        <v>1</v>
      </c>
      <c r="CH10" s="54" t="b">
        <f t="shared" ref="CH10:CH73" si="43">CB10&gt;CG$3</f>
        <v>0</v>
      </c>
      <c r="CI10" s="54" t="b">
        <f t="shared" ref="CI10:CI73" si="44">OR(CB10&lt;CI$3,CB10&gt;CI$5)</f>
        <v>1</v>
      </c>
      <c r="CJ10" s="54" t="b">
        <f t="shared" ref="CJ10:CJ73" si="45">AND(CB10&gt;CI$3,CB10&lt;CI$5)</f>
        <v>0</v>
      </c>
      <c r="CK10" s="54">
        <f t="shared" ref="CK10" si="46">_xlfn.AGGREGATE(9,6,CC10:CF10)</f>
        <v>3.3670900770639959E-3</v>
      </c>
      <c r="CL10" s="54">
        <f t="shared" ref="CL10:CL73" si="47">IF(INDEX(CG10:CJ10,CK$7),CK10,NA())</f>
        <v>3.3670900770639959E-3</v>
      </c>
      <c r="CM10" s="54" t="e">
        <f t="shared" ref="CM10:CM73" si="48">IF(INDEX(CG10:CJ10,CL$7),CK10,NA())</f>
        <v>#N/A</v>
      </c>
      <c r="CN10" s="69" t="str">
        <f t="shared" ref="CN10:CN73" si="49">_xlfn.SWITCH(BZ10,CN$2,CN$5,CN$3,CN$6,CN$4,CN$7,"")</f>
        <v/>
      </c>
      <c r="CO10" s="54">
        <f>_xlfn.NORM.DIST(_xlfn.NORM.INV(1-Eu_g_konfidensniveau,0,1)-Eu_tabel_g[[#This Row],[x base]],0,1,TRUE)</f>
        <v>0.92582422561196043</v>
      </c>
      <c r="CP10" s="54">
        <f>1-_xlfn.NORM.DIST(_xlfn.NORM.INV(Eu_g_konfidensniveau,0,1)-Eu_tabel_g[[#This Row],[x base]],0,1,TRUE)</f>
        <v>1.094811522661665E-6</v>
      </c>
      <c r="CQ10" s="54">
        <f>_xlfn.NORM.DIST(_xlfn.NORM.INV((1-Eu_g_konfidensniveau)/2,0,1)-Eu_tabel_g[[#This Row],[x base]],0,1,TRUE)+1-_xlfn.NORM.DIST(_xlfn.NORM.INV(1-(1-Eu_g_konfidensniveau)/2,0,1)-Eu_tabel_g[[#This Row],[x base]],0,1,TRUE)</f>
        <v>0.87081863135823812</v>
      </c>
      <c r="CR10" s="54" t="e" cm="1">
        <f t="array" ref="CR10">IF($CR$3,INDEX(Eu_tabel_g[[#This Row],[Styrke venstre]:[Styrke tosidet]],CR$7),NA())</f>
        <v>#N/A</v>
      </c>
      <c r="CS10" s="89" t="e">
        <f>Eu_tabel_g[[#This Row],[Falsk positiv
Nulhypotese accepteres
Fejltype 1]]</f>
        <v>#N/A</v>
      </c>
      <c r="CT10" s="89" t="e">
        <f>IF(CHOOSE(CR$7,Eu_tabel_g[[#This Row],[x base]]&gt;0,Eu_tabel_g[[#This Row],[x base]]&lt;0,Eu_tabel_g[[#This Row],[x base]]=0),Eu_tabel_g[[#This Row],[Styrke, aktiv]],NA())</f>
        <v>#N/A</v>
      </c>
      <c r="CU10" s="89" t="e">
        <f>IFERROR(IF($CR$3,Eu_tabel_g[[#This Row],[Styrke, aktiv]],NA()),NA())</f>
        <v>#N/A</v>
      </c>
      <c r="CV10" s="89" t="e">
        <f>IF(ISNA(Eu_tabel_g[[#This Row],[Sand negativ
Nulhypotese afvises
Korrekt]]),NA(),IF($CR$3,1,NA()))</f>
        <v>#N/A</v>
      </c>
      <c r="CW10" s="56" t="str" cm="1">
        <f t="array" ref="CW10">_xlfn.SWITCH(BZ10,_xlfn.IFNA(CU$2,-99),CU$5,_xlfn.IFNA(CU$3,-99),CU$6,_xlfn.IFNA(CU$4,-99),CU$7,"")</f>
        <v/>
      </c>
      <c r="DA10" s="7">
        <f t="shared" ref="DA10:DA73" si="50">_xlfn.NORM.DIST(_xlfn.NORM.INV((1-Eu_g_konfidensniveau)/2,0,1)-DB10,0,1,TRUE)+1-_xlfn.NORM.DIST(_xlfn.NORM.INV(1-(1-Eu_g_konfidensniveau)/2,0,1)-DB10,0,1,TRUE)</f>
        <v>0.80000001882220639</v>
      </c>
      <c r="DB10">
        <f>IF(ROW(Styrkeberegning_G[[#This Row],[X base venstre]])=ROW(Styrkeberegning_G[[#Headers],[X base venstre]])+1,DB$7/(DA$7/$B$67),DB9/(DA9/$B$67))</f>
        <v>-2.8015818542458382</v>
      </c>
      <c r="DC10">
        <f>Styrkeberegning_G[[#This Row],[X base venstre]]*-1</f>
        <v>2.8015818542458382</v>
      </c>
      <c r="DN10" s="54">
        <f t="shared" ref="DN10:DN73" si="51">ROW(DN10)-ROW(DN$10)</f>
        <v>0</v>
      </c>
      <c r="DO10" s="54">
        <f t="shared" ref="DO10:DO73" si="52">DN10+1</f>
        <v>1</v>
      </c>
      <c r="DP10" s="54">
        <f t="shared" ref="DP10:DP73" si="53">DP$5+(DP$7-DP$5)/DP$3*DN10</f>
        <v>1.8338526646536903</v>
      </c>
      <c r="DQ10" s="54" t="e">
        <f t="shared" ref="DQ10:DQ73" si="54">IF(DQ$3,_xlfn.NORM.DIST(DP10,DQ$5,DQ$7,FALSE),NA())</f>
        <v>#N/A</v>
      </c>
      <c r="DR10" s="54" t="e">
        <f t="shared" ref="DR10:DR73" si="55">IF(DR$3,_xlfn.T.DIST(DP10,DR$5,FALSE),NA())</f>
        <v>#N/A</v>
      </c>
      <c r="DS10" s="54">
        <f t="shared" ref="DS10:DS73" si="56">IF(DS$3,_xlfn.CHISQ.DIST(DP10,DS$5,FALSE),NA())</f>
        <v>2.584652692089497E-3</v>
      </c>
      <c r="DT10" s="54" t="e">
        <f t="shared" ref="DT10:DT73" si="57">IF(DT$3,_xlfn.F.DIST(DP10,DT$5,DT$7,FALSE),NA())</f>
        <v>#N/A</v>
      </c>
      <c r="DU10" s="54" t="b">
        <f t="shared" ref="DU10:DU73" si="58">DP10&lt;DU$3</f>
        <v>1</v>
      </c>
      <c r="DV10" s="54" t="b">
        <f t="shared" ref="DV10:DV73" si="59">DP10&gt;DU$3</f>
        <v>0</v>
      </c>
      <c r="DW10" s="54" t="b">
        <f t="shared" ref="DW10:DW73" si="60">OR(DP10&lt;DW$3,DP10&gt;DW$5)</f>
        <v>1</v>
      </c>
      <c r="DX10" s="54" t="b">
        <f t="shared" ref="DX10:DX73" si="61">AND(DP10&gt;DW$3,DP10&lt;DW$5)</f>
        <v>0</v>
      </c>
      <c r="DY10" s="54">
        <f t="shared" ref="DY10:DY73" si="62">_xlfn.AGGREGATE(9,6,DQ10:DT10)</f>
        <v>2.584652692089497E-3</v>
      </c>
      <c r="DZ10" s="54">
        <f t="shared" ref="DZ10:DZ73" si="63">IF(INDEX(DU10:DX10,DY$7),DY10,NA())</f>
        <v>2.584652692089497E-3</v>
      </c>
      <c r="EA10" s="54" t="e">
        <f t="shared" ref="EA10:EA73" si="64">IF(INDEX(DU10:DX10,DZ$7),DY10,NA())</f>
        <v>#N/A</v>
      </c>
      <c r="EB10" s="69" t="str">
        <f t="shared" ref="EB10:EB73" si="65">_xlfn.SWITCH(DN10,EB$2,EB$5,EB$3,EB$6,EB$4,EB$7,"")</f>
        <v/>
      </c>
      <c r="EG10" s="54">
        <f t="shared" ref="EG10:EG73" si="66">ROW(EG10)-ROW(EG$10)</f>
        <v>0</v>
      </c>
      <c r="EH10" s="54">
        <f t="shared" ref="EH10:EH73" si="67">EG10+1</f>
        <v>1</v>
      </c>
      <c r="EI10" s="54">
        <f t="shared" ref="EI10:EI73" si="68">EI$5+(EI$7-EI$5)/EI$3*EG10</f>
        <v>-3.0902323061678132</v>
      </c>
      <c r="EJ10" s="54">
        <f t="shared" ref="EJ10:EJ73" si="69">IF(EJ$3,_xlfn.NORM.DIST(EI10,EJ$5,EJ$7,FALSE),NA())</f>
        <v>3.3670900770639959E-3</v>
      </c>
      <c r="EK10" s="54" t="e">
        <f t="shared" ref="EK10:EK73" si="70">IF(EK$3,_xlfn.T.DIST(EI10,EK$5,FALSE),NA())</f>
        <v>#N/A</v>
      </c>
      <c r="EL10" s="54" t="e">
        <f t="shared" ref="EL10:EL73" si="71">IF(EL$3,_xlfn.CHISQ.DIST(EI10,EL$5,FALSE),NA())</f>
        <v>#N/A</v>
      </c>
      <c r="EM10" s="54" t="e">
        <f t="shared" ref="EM10:EM73" si="72">IF(EM$3,_xlfn.F.DIST(EI10,EM$5,EM$7,FALSE),NA())</f>
        <v>#N/A</v>
      </c>
      <c r="EN10" s="54" t="b">
        <f t="shared" ref="EN10:EN73" si="73">EI10&lt;EN$3</f>
        <v>1</v>
      </c>
      <c r="EO10" s="54" t="b">
        <f t="shared" ref="EO10:EO73" si="74">EI10&gt;EN$3</f>
        <v>0</v>
      </c>
      <c r="EP10" s="54" t="b">
        <f t="shared" ref="EP10:EP73" si="75">OR(EI10&lt;EP$3,EI10&gt;EP$5)</f>
        <v>1</v>
      </c>
      <c r="EQ10" s="54" t="b">
        <f t="shared" ref="EQ10:EQ73" si="76">AND(EI10&gt;EP$3,EI10&lt;EP$5)</f>
        <v>0</v>
      </c>
      <c r="ER10" s="54">
        <f t="shared" ref="ER10:ER73" si="77">_xlfn.AGGREGATE(9,6,EJ10:EM10)</f>
        <v>3.3670900770639959E-3</v>
      </c>
      <c r="ES10" s="54">
        <f t="shared" ref="ES10:ES73" si="78">IF(INDEX(EN10:EQ10,ER$7),ER10,NA())</f>
        <v>3.3670900770639959E-3</v>
      </c>
      <c r="ET10" s="54" t="e">
        <f t="shared" ref="ET10:ET73" si="79">IF(INDEX(EN10:EQ10,ES$7),ER10,NA())</f>
        <v>#N/A</v>
      </c>
      <c r="EU10" s="69" t="str">
        <f t="shared" ref="EU10:EU73" si="80">_xlfn.SWITCH(EG10,EU$2,EU$5,EU$3,EU$6,EU$4,EU$7,"")</f>
        <v/>
      </c>
      <c r="EV1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0" s="54" t="e" cm="1">
        <f t="array" ref="EY10">IF($CR$3,INDEX(Eu_tabel_a[[#This Row],[Styrke venstre]:[Styrke tosidet]],EY$7),NA())</f>
        <v>#N/A</v>
      </c>
      <c r="EZ10" s="54" t="e">
        <f>IF(EY$3,IF(CHOOSE(EY$7,Eu_tabel_a[[#This Row],[x base]]&gt;0,Eu_tabel_a[[#This Row],[x base]]&lt;0,Eu_tabel_a[[#This Row],[x base]]=0),1,NA()),NA())</f>
        <v>#N/A</v>
      </c>
      <c r="FA10" s="89" t="e">
        <f>IF(CHOOSE(EY$7,Eu_tabel_a[[#This Row],[x base]]&gt;0,Eu_tabel_a[[#This Row],[x base]]&lt;0,Eu_tabel_a[[#This Row],[x base]]=0),Eu_tabel_a[[#This Row],[Styrke, aktiv]],NA())</f>
        <v>#N/A</v>
      </c>
      <c r="FB10" s="54" t="e">
        <f>IFERROR(IF($EY$3,Eu_tabel_a[[#This Row],[Styrke, aktiv]],NA()),NA())</f>
        <v>#N/A</v>
      </c>
      <c r="FC10" s="54" t="e">
        <f>IF(ISNA(Eu_tabel_a[[#This Row],[Sand negativ
Nulhypotese afvises
Korrekt]]),NA(),IF(EY$3,1,NA()))</f>
        <v>#N/A</v>
      </c>
      <c r="FD10" s="55" t="str" cm="1">
        <f t="array" ref="FD10">IFERROR(_xlfn.SWITCH(Eu_tabel_a[[#This Row],[Indeks]],_xlfn.IFNA(FB$2,-99),FB$5,_xlfn.IFNA(FB$3,-99),FB$6,_xlfn.IFNA(FB$4,-99),FB$7,""),"")</f>
        <v/>
      </c>
      <c r="FE10" s="54">
        <f>Eu_tabel_a[[#This Row],[x base]]*SQRT(Eu_a_h0_x*(1-Eu_a_h0_x)/Eu_a_n_x)+Eu_a_h0_x</f>
        <v>0</v>
      </c>
      <c r="FJ10" s="144" t="e">
        <f t="shared" si="18"/>
        <v>#N/A</v>
      </c>
      <c r="FK10" s="152" t="e">
        <f t="shared" si="31"/>
        <v>#DIV/0!</v>
      </c>
      <c r="FL10" s="7" t="e">
        <f t="shared" si="12"/>
        <v>#DIV/0!</v>
      </c>
      <c r="FM10" t="e">
        <f t="shared" si="32"/>
        <v>#DIV/0!</v>
      </c>
      <c r="FN10" s="8" t="e">
        <f t="shared" si="33"/>
        <v>#DIV/0!</v>
      </c>
      <c r="FO10" s="8" t="e">
        <f t="shared" si="34"/>
        <v>#DIV/0!</v>
      </c>
      <c r="FP10" s="151" t="e">
        <f t="shared" si="35"/>
        <v>#DIV/0!</v>
      </c>
      <c r="FQ10" s="144" t="e">
        <f t="shared" ca="1" si="13"/>
        <v>#N/A</v>
      </c>
      <c r="FR10" s="152" t="e" vm="3">
        <f t="shared" ca="1" si="19"/>
        <v>#VALUE!</v>
      </c>
      <c r="FS10" s="7" t="e" vm="3">
        <f t="shared" ca="1" si="14"/>
        <v>#VALUE!</v>
      </c>
      <c r="FT10" t="e" vm="3">
        <f t="shared" ca="1" si="8"/>
        <v>#VALUE!</v>
      </c>
      <c r="FU10" s="8" t="e" vm="3">
        <f t="shared" ca="1" si="9"/>
        <v>#VALUE!</v>
      </c>
      <c r="FV10" s="8" t="e" vm="3">
        <f t="shared" ca="1" si="10"/>
        <v>#VALUE!</v>
      </c>
      <c r="FW10" s="151" t="e" vm="3">
        <f t="shared" ca="1" si="11"/>
        <v>#VALUE!</v>
      </c>
      <c r="FX10" s="144" t="e">
        <f t="shared" si="15"/>
        <v>#N/A</v>
      </c>
      <c r="FY10" s="152" t="e">
        <f t="shared" si="20"/>
        <v>#N/A</v>
      </c>
      <c r="FZ10" s="7" t="e">
        <f t="shared" si="16"/>
        <v>#N/A</v>
      </c>
      <c r="GA10" t="e">
        <f t="shared" si="21"/>
        <v>#N/A</v>
      </c>
      <c r="GB10" s="8" t="e">
        <f t="shared" si="22"/>
        <v>#N/A</v>
      </c>
      <c r="GC10" s="8" t="e">
        <f t="shared" si="23"/>
        <v>#N/A</v>
      </c>
      <c r="GD10" s="151" t="e">
        <f t="shared" si="24"/>
        <v>#N/A</v>
      </c>
      <c r="GE10" s="144" t="e">
        <f t="shared" si="25"/>
        <v>#N/A</v>
      </c>
      <c r="GF10" s="152" t="e">
        <f t="shared" si="26"/>
        <v>#N/A</v>
      </c>
      <c r="GG10" s="7" t="e">
        <f t="shared" si="17"/>
        <v>#N/A</v>
      </c>
      <c r="GH10" t="e">
        <f t="shared" si="27"/>
        <v>#N/A</v>
      </c>
      <c r="GI10" s="8" t="e">
        <f t="shared" si="28"/>
        <v>#N/A</v>
      </c>
      <c r="GJ10" s="8" t="e">
        <f t="shared" si="29"/>
        <v>#N/A</v>
      </c>
      <c r="GK10" s="151" t="e">
        <f t="shared" si="30"/>
        <v>#N/A</v>
      </c>
      <c r="GL10" s="151"/>
      <c r="GM10" s="151"/>
      <c r="GP10" s="54">
        <f t="shared" ref="GP10:GP73" si="81">ROW(GP10)-ROW(GP$10)</f>
        <v>0</v>
      </c>
      <c r="GQ10" s="54">
        <f t="shared" ref="GQ10:GQ73" si="82">GP10+1</f>
        <v>1</v>
      </c>
      <c r="GR10" s="54">
        <f t="shared" ref="GR10:GR73" si="83">GR$5+(GR$7-GR$5)/GR$3*GP10</f>
        <v>-3.0902323061678132</v>
      </c>
      <c r="GS10" s="54">
        <f t="shared" ref="GS10:GS73" si="84">IF(GS$3,_xlfn.NORM.DIST(GR10,GS$5,GS$7,FALSE),NA())</f>
        <v>3.3670900770639959E-3</v>
      </c>
      <c r="GT10" s="54" t="e">
        <f t="shared" ref="GT10:GT73" si="85">IF(GT$3,_xlfn.T.DIST(GR10,GT$5,FALSE),NA())</f>
        <v>#N/A</v>
      </c>
      <c r="GU10" s="54" t="e">
        <f t="shared" ref="GU10:GU73" si="86">IF(GU$3,_xlfn.CHISQ.DIST(GR10,GU$5,FALSE),NA())</f>
        <v>#N/A</v>
      </c>
      <c r="GV10" s="54" t="e">
        <f t="shared" ref="GV10:GV73" si="87">IF(GV$3,_xlfn.F.DIST(GR10,GV$5,GV$7,FALSE),NA())</f>
        <v>#N/A</v>
      </c>
      <c r="GW10" s="54" t="b">
        <f t="shared" ref="GW10:GW73" si="88">GR10&lt;GW$3</f>
        <v>1</v>
      </c>
      <c r="GX10" s="54" t="b">
        <f t="shared" ref="GX10:GX73" si="89">GR10&gt;GW$3</f>
        <v>0</v>
      </c>
      <c r="GY10" s="54" t="b">
        <f t="shared" ref="GY10:GY73" si="90">OR(GR10&lt;GY$3,GR10&gt;GY$5)</f>
        <v>1</v>
      </c>
      <c r="GZ10" s="54" t="b">
        <f t="shared" ref="GZ10:GZ73" si="91">AND(GR10&gt;GY$3,GR10&lt;GY$5)</f>
        <v>0</v>
      </c>
      <c r="HA10" s="54">
        <f t="shared" ref="HA10:HA73" si="92">_xlfn.AGGREGATE(9,6,GS10:GV10)</f>
        <v>3.3670900770639959E-3</v>
      </c>
      <c r="HB10" s="54">
        <f t="shared" ref="HB10:HB73" si="93">IF(INDEX(GW10:GZ10,HA$7),HA10,NA())</f>
        <v>3.3670900770639959E-3</v>
      </c>
      <c r="HC10" s="54" t="e">
        <f t="shared" ref="HC10:HC73" si="94">IF(INDEX(GW10:GZ10,HB$7),HA10,NA())</f>
        <v>#N/A</v>
      </c>
      <c r="HD10" s="69" t="str">
        <f t="shared" ref="HD10:HD73" si="95">_xlfn.SWITCH(GP10,HD$2,HD$5,HD$3,HD$6,HD$4,HD$7,"")</f>
        <v/>
      </c>
      <c r="HJ10" s="54">
        <f t="shared" ref="HJ10:HJ73" si="96">ROW(HJ10)-ROW(HJ$10)</f>
        <v>0</v>
      </c>
      <c r="HK10" s="54">
        <f t="shared" ref="HK10:HK73" si="97">HJ10+1</f>
        <v>1</v>
      </c>
      <c r="HL10" s="54">
        <f t="shared" ref="HL10:HL73" si="98">HL$5+(HL$7-HL$5)/HL$3*HJ10</f>
        <v>-4.7852896286383331</v>
      </c>
      <c r="HM10" s="54" t="e">
        <f t="shared" ref="HM10:HM73" si="99">IF(HM$3,_xlfn.NORM.DIST(HL10,HM$5,HM$7,FALSE),NA())</f>
        <v>#N/A</v>
      </c>
      <c r="HN10" s="54">
        <f t="shared" ref="HN10:HN73" si="100">IF(HN$3,_xlfn.T.DIST(HL10,HN$5,FALSE),NA())</f>
        <v>1.1566894571072798E-3</v>
      </c>
      <c r="HO10" s="54" t="e">
        <f t="shared" ref="HO10:HO73" si="101">IF(HO$3,_xlfn.CHISQ.DIST(HL10,HO$5,FALSE),NA())</f>
        <v>#N/A</v>
      </c>
      <c r="HP10" s="54" t="e">
        <f t="shared" ref="HP10:HP73" si="102">IF(HP$3,_xlfn.F.DIST(HL10,HP$5,HP$7,FALSE),NA())</f>
        <v>#N/A</v>
      </c>
      <c r="HQ10" s="54" t="b">
        <f t="shared" ref="HQ10:HQ73" si="103">HL10&lt;HQ$3</f>
        <v>1</v>
      </c>
      <c r="HR10" s="54" t="b">
        <f t="shared" ref="HR10:HR73" si="104">HL10&gt;HQ$3</f>
        <v>0</v>
      </c>
      <c r="HS10" s="54" t="b">
        <f t="shared" ref="HS10:HS73" si="105">OR(HL10&lt;HS$3,HL10&gt;HS$5)</f>
        <v>1</v>
      </c>
      <c r="HT10" s="54" t="b">
        <f t="shared" ref="HT10:HT73" si="106">AND(HL10&gt;HS$3,HL10&lt;HS$5)</f>
        <v>0</v>
      </c>
      <c r="HU10" s="54">
        <f t="shared" ref="HU10:HU73" si="107">_xlfn.AGGREGATE(9,6,HM10:HP10)</f>
        <v>1.1566894571072798E-3</v>
      </c>
      <c r="HV10" s="54">
        <f t="shared" ref="HV10:HV73" si="108">IF(INDEX(HQ10:HT10,HU$7),HU10,NA())</f>
        <v>1.1566894571072798E-3</v>
      </c>
      <c r="HW10" s="54" t="e">
        <f t="shared" ref="HW10:HW73" si="109">IF(INDEX(HQ10:HT10,HV$7),HU10,NA())</f>
        <v>#N/A</v>
      </c>
      <c r="HX10" s="69" t="str">
        <f t="shared" ref="HX10:HX73" si="110">_xlfn.SWITCH(HJ10,HX$2,HX$5,HX$3,HX$6,HX$4,HX$7,"")</f>
        <v/>
      </c>
    </row>
    <row r="11" spans="1:235" x14ac:dyDescent="0.2">
      <c r="A11" s="57" t="s">
        <v>413</v>
      </c>
      <c r="B11" s="88">
        <v>12</v>
      </c>
      <c r="C11" s="88">
        <v>12</v>
      </c>
      <c r="AC11" s="57" t="s">
        <v>447</v>
      </c>
      <c r="AD11" s="88">
        <v>5</v>
      </c>
      <c r="BE11" s="58" t="s">
        <v>149</v>
      </c>
      <c r="BF11" s="98" t="str">
        <f>INDEX(E_g_valg[X akse titel],E_g_aktiv)</f>
        <v>Populationsestimat for gennemsnit fra stikprøver af størrelsen n = 12
fra en population med gennemsnit = 1.854
 og standardafvigelse = 4.307</v>
      </c>
      <c r="BG11" s="98" t="str">
        <f>INDEX(E_s_valg[X akse titel],E_s_aktiv)</f>
        <v>Populationsestimat for standardafvigelse fra stikprøver af størrelsen n = 12
baseret på en stikprøve med standardafvigelse = 4.307</v>
      </c>
      <c r="BH11" s="98" t="str">
        <f>INDEX(E_a_valg[X akse titel],E_a_aktiv)</f>
        <v>Populationsestimat for andel fra stikprøver af størrelsen n = 20
fra en population med andel = 41.667%</v>
      </c>
      <c r="BI11" s="98" t="str">
        <f>INDEX(E_i_valg[X akse titel],E_i_aktiv)</f>
        <v>Populationsestimat for intensitet fra stikprøver af størrelsen n = 12
fra en population med intensitet = 1.854</v>
      </c>
      <c r="BJ11" s="98" t="str">
        <f>INDEX(E_k_valg[X akse titel],E_k_aktiv)</f>
        <v>Koefficient i stikprøver af størrelsen n = 12
fra en population med koefficient = 0</v>
      </c>
      <c r="BL11" s="90" t="s">
        <v>456</v>
      </c>
      <c r="BM11" s="203" t="e" cm="1">
        <f t="array" ref="BM11">IF(NOT($BF$2),INDEX(E_g_valg[Fordeling],E_g_aktiv),NA())</f>
        <v>#N/A</v>
      </c>
      <c r="BZ11" s="54">
        <f t="shared" si="36"/>
        <v>1</v>
      </c>
      <c r="CA11" s="54">
        <f>Eu_tabel_g[[#This Row],[Indeks]]+1</f>
        <v>2</v>
      </c>
      <c r="CB11" s="54">
        <f t="shared" si="37"/>
        <v>-3.0662770169727138</v>
      </c>
      <c r="CC11" s="54">
        <f t="shared" si="38"/>
        <v>3.6247646909920227E-3</v>
      </c>
      <c r="CD11" s="54" t="e">
        <f t="shared" si="39"/>
        <v>#N/A</v>
      </c>
      <c r="CE11" s="54" t="e">
        <f t="shared" si="40"/>
        <v>#N/A</v>
      </c>
      <c r="CF11" s="54" t="e">
        <f t="shared" si="41"/>
        <v>#N/A</v>
      </c>
      <c r="CG11" s="54" t="b">
        <f t="shared" si="42"/>
        <v>1</v>
      </c>
      <c r="CH11" s="54" t="b">
        <f t="shared" si="43"/>
        <v>0</v>
      </c>
      <c r="CI11" s="54" t="b">
        <f t="shared" si="44"/>
        <v>1</v>
      </c>
      <c r="CJ11" s="54" t="b">
        <f t="shared" si="45"/>
        <v>0</v>
      </c>
      <c r="CK11" s="54">
        <f t="shared" ref="CK11:CK29" si="111">_xlfn.AGGREGATE(9,6,CC11:CF11)</f>
        <v>3.6247646909920227E-3</v>
      </c>
      <c r="CL11" s="54">
        <f t="shared" si="47"/>
        <v>3.6247646909920227E-3</v>
      </c>
      <c r="CM11" s="54" t="e">
        <f t="shared" si="48"/>
        <v>#N/A</v>
      </c>
      <c r="CN11" s="69" t="str">
        <f t="shared" si="49"/>
        <v/>
      </c>
      <c r="CO11" s="54">
        <f>_xlfn.NORM.DIST(_xlfn.NORM.INV(1-Eu_g_konfidensniveau,0,1)-Eu_tabel_g[[#This Row],[x base]],0,1,TRUE)</f>
        <v>0.92240314468252083</v>
      </c>
      <c r="CP11" s="54">
        <f>1-_xlfn.NORM.DIST(_xlfn.NORM.INV(Eu_g_konfidensniveau,0,1)-Eu_tabel_g[[#This Row],[x base]],0,1,TRUE)</f>
        <v>1.2317312236831413E-6</v>
      </c>
      <c r="CQ11" s="54">
        <f>_xlfn.NORM.DIST(_xlfn.NORM.INV((1-Eu_g_konfidensniveau)/2,0,1)-Eu_tabel_g[[#This Row],[x base]],0,1,TRUE)+1-_xlfn.NORM.DIST(_xlfn.NORM.INV(1-(1-Eu_g_konfidensniveau)/2,0,1)-Eu_tabel_g[[#This Row],[x base]],0,1,TRUE)</f>
        <v>0.86570472365340956</v>
      </c>
      <c r="CR11" s="54" t="e" cm="1">
        <f t="array" ref="CR11">IF($CR$3,INDEX(Eu_tabel_g[[#This Row],[Styrke venstre]:[Styrke tosidet]],CR$7),NA())</f>
        <v>#N/A</v>
      </c>
      <c r="CS11" s="89" t="e">
        <f>Eu_tabel_g[[#This Row],[Falsk positiv
Nulhypotese accepteres
Fejltype 1]]</f>
        <v>#N/A</v>
      </c>
      <c r="CT11" s="89" t="e">
        <f>IF(CHOOSE(CR$7,Eu_tabel_g[[#This Row],[x base]]&gt;0,Eu_tabel_g[[#This Row],[x base]]&lt;0,Eu_tabel_g[[#This Row],[x base]]=0),Eu_tabel_g[[#This Row],[Styrke, aktiv]],NA())</f>
        <v>#N/A</v>
      </c>
      <c r="CU11" s="89" t="e">
        <f>IFERROR(IF($CR$3,Eu_tabel_g[[#This Row],[Styrke, aktiv]],NA()),NA())</f>
        <v>#N/A</v>
      </c>
      <c r="CV11" s="89" t="e">
        <f>IF(ISNA(Eu_tabel_g[[#This Row],[Sand negativ
Nulhypotese afvises
Korrekt]]),NA(),IF($CR$3,1,NA()))</f>
        <v>#N/A</v>
      </c>
      <c r="CW11" s="56" t="str" cm="1">
        <f t="array" ref="CW11">_xlfn.SWITCH(BZ11,_xlfn.IFNA(CU$2,-99),CU$5,_xlfn.IFNA(CU$3,-99),CU$6,_xlfn.IFNA(CU$4,-99),CU$7,"")</f>
        <v/>
      </c>
      <c r="DA11" s="7">
        <f t="shared" si="50"/>
        <v>0.80000000036879471</v>
      </c>
      <c r="DB11">
        <f>IF(ROW(Styrkeberegning_G[[#This Row],[X base venstre]])=ROW(Styrkeberegning_G[[#Headers],[X base venstre]])+1,DB$7/(DA$7/$B$67),DB10/(DA10/$B$67))</f>
        <v>-2.8015817883308998</v>
      </c>
      <c r="DC11">
        <f>Styrkeberegning_G[[#This Row],[X base venstre]]*-1</f>
        <v>2.8015817883308998</v>
      </c>
      <c r="DN11" s="54">
        <f t="shared" si="51"/>
        <v>1</v>
      </c>
      <c r="DO11" s="54">
        <f t="shared" si="52"/>
        <v>2</v>
      </c>
      <c r="DP11" s="54">
        <f t="shared" si="53"/>
        <v>1.9479235210706913</v>
      </c>
      <c r="DQ11" s="54" t="e">
        <f t="shared" si="54"/>
        <v>#N/A</v>
      </c>
      <c r="DR11" s="54" t="e">
        <f t="shared" si="55"/>
        <v>#N/A</v>
      </c>
      <c r="DS11" s="54">
        <f t="shared" si="56"/>
        <v>3.2030638559866179E-3</v>
      </c>
      <c r="DT11" s="54" t="e">
        <f t="shared" si="57"/>
        <v>#N/A</v>
      </c>
      <c r="DU11" s="54" t="b">
        <f t="shared" si="58"/>
        <v>1</v>
      </c>
      <c r="DV11" s="54" t="b">
        <f t="shared" si="59"/>
        <v>0</v>
      </c>
      <c r="DW11" s="54" t="b">
        <f t="shared" si="60"/>
        <v>1</v>
      </c>
      <c r="DX11" s="54" t="b">
        <f t="shared" si="61"/>
        <v>0</v>
      </c>
      <c r="DY11" s="54">
        <f t="shared" si="62"/>
        <v>3.2030638559866179E-3</v>
      </c>
      <c r="DZ11" s="54">
        <f t="shared" si="63"/>
        <v>3.2030638559866179E-3</v>
      </c>
      <c r="EA11" s="54" t="e">
        <f t="shared" si="64"/>
        <v>#N/A</v>
      </c>
      <c r="EB11" s="69" t="str">
        <f t="shared" si="65"/>
        <v/>
      </c>
      <c r="EG11" s="54">
        <f t="shared" si="66"/>
        <v>1</v>
      </c>
      <c r="EH11" s="54">
        <f t="shared" si="67"/>
        <v>2</v>
      </c>
      <c r="EI11" s="54">
        <f t="shared" si="68"/>
        <v>-3.0662770169727138</v>
      </c>
      <c r="EJ11" s="54">
        <f t="shared" si="69"/>
        <v>3.6247646909920227E-3</v>
      </c>
      <c r="EK11" s="54" t="e">
        <f t="shared" si="70"/>
        <v>#N/A</v>
      </c>
      <c r="EL11" s="54" t="e">
        <f t="shared" si="71"/>
        <v>#N/A</v>
      </c>
      <c r="EM11" s="54" t="e">
        <f t="shared" si="72"/>
        <v>#N/A</v>
      </c>
      <c r="EN11" s="54" t="b">
        <f t="shared" si="73"/>
        <v>1</v>
      </c>
      <c r="EO11" s="54" t="b">
        <f t="shared" si="74"/>
        <v>0</v>
      </c>
      <c r="EP11" s="54" t="b">
        <f t="shared" si="75"/>
        <v>1</v>
      </c>
      <c r="EQ11" s="54" t="b">
        <f t="shared" si="76"/>
        <v>0</v>
      </c>
      <c r="ER11" s="54">
        <f t="shared" si="77"/>
        <v>3.6247646909920227E-3</v>
      </c>
      <c r="ES11" s="54">
        <f t="shared" si="78"/>
        <v>3.6247646909920227E-3</v>
      </c>
      <c r="ET11" s="54" t="e">
        <f t="shared" si="79"/>
        <v>#N/A</v>
      </c>
      <c r="EU11" s="69" t="str">
        <f t="shared" si="80"/>
        <v/>
      </c>
      <c r="EV1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1" s="54" t="e" cm="1">
        <f t="array" ref="EY11">IF($CR$3,INDEX(Eu_tabel_a[[#This Row],[Styrke venstre]:[Styrke tosidet]],EY$7),NA())</f>
        <v>#N/A</v>
      </c>
      <c r="EZ11" s="54" t="e">
        <f>IF(EY$3,IF(CHOOSE(EY$7,Eu_tabel_a[[#This Row],[x base]]&gt;0,Eu_tabel_a[[#This Row],[x base]]&lt;0,Eu_tabel_a[[#This Row],[x base]]=0),1,NA()),NA())</f>
        <v>#N/A</v>
      </c>
      <c r="FA11" s="54" t="e">
        <f>IF(CHOOSE(EY$7,Eu_tabel_a[[#This Row],[x base]]&gt;0,Eu_tabel_a[[#This Row],[x base]]&lt;0,Eu_tabel_a[[#This Row],[x base]]=0),Eu_tabel_a[[#This Row],[Styrke, aktiv]],NA())</f>
        <v>#N/A</v>
      </c>
      <c r="FB11" s="54" t="e">
        <f>IFERROR(IF($EY$3,Eu_tabel_a[[#This Row],[Styrke, aktiv]],NA()),NA())</f>
        <v>#N/A</v>
      </c>
      <c r="FC11" s="54" t="e">
        <f>IF(ISNA(Eu_tabel_a[[#This Row],[Sand negativ
Nulhypotese afvises
Korrekt]]),NA(),IF(EY$3,1,NA()))</f>
        <v>#N/A</v>
      </c>
      <c r="FD11" s="55" t="str" cm="1">
        <f t="array" ref="FD11">IFERROR(_xlfn.SWITCH(Eu_tabel_a[[#This Row],[Indeks]],_xlfn.IFNA(FB$2,-99),FB$5,_xlfn.IFNA(FB$3,-99),FB$6,_xlfn.IFNA(FB$4,-99),FB$7,""),"")</f>
        <v/>
      </c>
      <c r="FE11" s="54">
        <f>Eu_tabel_a[[#This Row],[x base]]*SQRT(Eu_a_h0_x*(1-Eu_a_h0_x)/Eu_a_n_x)+Eu_a_h0_x</f>
        <v>0</v>
      </c>
      <c r="FJ11" s="144" t="e">
        <f t="shared" si="18"/>
        <v>#N/A</v>
      </c>
      <c r="FK11" s="152" t="e">
        <f t="shared" si="31"/>
        <v>#DIV/0!</v>
      </c>
      <c r="FL11" s="7" t="e">
        <f t="shared" si="12"/>
        <v>#DIV/0!</v>
      </c>
      <c r="FM11" t="e">
        <f t="shared" si="32"/>
        <v>#DIV/0!</v>
      </c>
      <c r="FN11" s="8" t="e">
        <f t="shared" si="33"/>
        <v>#DIV/0!</v>
      </c>
      <c r="FO11" s="8" t="e">
        <f t="shared" si="34"/>
        <v>#DIV/0!</v>
      </c>
      <c r="FP11" s="151" t="e">
        <f t="shared" si="35"/>
        <v>#DIV/0!</v>
      </c>
      <c r="FQ11" s="144" t="e">
        <f t="shared" ca="1" si="13"/>
        <v>#N/A</v>
      </c>
      <c r="FR11" s="152" t="e" vm="3">
        <f t="shared" ca="1" si="19"/>
        <v>#VALUE!</v>
      </c>
      <c r="FS11" s="7" t="e" vm="3">
        <f t="shared" ca="1" si="14"/>
        <v>#VALUE!</v>
      </c>
      <c r="FT11" t="e" vm="3">
        <f t="shared" ca="1" si="8"/>
        <v>#VALUE!</v>
      </c>
      <c r="FU11" s="8" t="e" vm="3">
        <f t="shared" ca="1" si="9"/>
        <v>#VALUE!</v>
      </c>
      <c r="FV11" s="8" t="e" vm="3">
        <f t="shared" ca="1" si="10"/>
        <v>#VALUE!</v>
      </c>
      <c r="FW11" s="151" t="e" vm="3">
        <f t="shared" ca="1" si="11"/>
        <v>#VALUE!</v>
      </c>
      <c r="FX11" s="144" t="e">
        <f t="shared" si="15"/>
        <v>#N/A</v>
      </c>
      <c r="FY11" s="152" t="e">
        <f t="shared" si="20"/>
        <v>#N/A</v>
      </c>
      <c r="FZ11" s="7" t="e">
        <f t="shared" si="16"/>
        <v>#N/A</v>
      </c>
      <c r="GA11" t="e">
        <f t="shared" si="21"/>
        <v>#N/A</v>
      </c>
      <c r="GB11" s="8" t="e">
        <f t="shared" si="22"/>
        <v>#N/A</v>
      </c>
      <c r="GC11" s="8" t="e">
        <f t="shared" si="23"/>
        <v>#N/A</v>
      </c>
      <c r="GD11" s="151" t="e">
        <f t="shared" si="24"/>
        <v>#N/A</v>
      </c>
      <c r="GE11" s="144" t="e">
        <f t="shared" si="25"/>
        <v>#N/A</v>
      </c>
      <c r="GF11" s="152" t="e">
        <f t="shared" si="26"/>
        <v>#N/A</v>
      </c>
      <c r="GG11" s="7" t="e">
        <f t="shared" si="17"/>
        <v>#N/A</v>
      </c>
      <c r="GH11" t="e">
        <f t="shared" si="27"/>
        <v>#N/A</v>
      </c>
      <c r="GI11" s="8" t="e">
        <f t="shared" si="28"/>
        <v>#N/A</v>
      </c>
      <c r="GJ11" s="8" t="e">
        <f t="shared" si="29"/>
        <v>#N/A</v>
      </c>
      <c r="GK11" s="151" t="e">
        <f t="shared" si="30"/>
        <v>#N/A</v>
      </c>
      <c r="GL11" s="151"/>
      <c r="GM11" s="151"/>
      <c r="GP11" s="54">
        <f t="shared" si="81"/>
        <v>1</v>
      </c>
      <c r="GQ11" s="54">
        <f t="shared" si="82"/>
        <v>2</v>
      </c>
      <c r="GR11" s="54">
        <f t="shared" si="83"/>
        <v>-3.0662770169727138</v>
      </c>
      <c r="GS11" s="54">
        <f t="shared" si="84"/>
        <v>3.6247646909920227E-3</v>
      </c>
      <c r="GT11" s="54" t="e">
        <f t="shared" si="85"/>
        <v>#N/A</v>
      </c>
      <c r="GU11" s="54" t="e">
        <f t="shared" si="86"/>
        <v>#N/A</v>
      </c>
      <c r="GV11" s="54" t="e">
        <f t="shared" si="87"/>
        <v>#N/A</v>
      </c>
      <c r="GW11" s="54" t="b">
        <f t="shared" si="88"/>
        <v>1</v>
      </c>
      <c r="GX11" s="54" t="b">
        <f t="shared" si="89"/>
        <v>0</v>
      </c>
      <c r="GY11" s="54" t="b">
        <f t="shared" si="90"/>
        <v>1</v>
      </c>
      <c r="GZ11" s="54" t="b">
        <f t="shared" si="91"/>
        <v>0</v>
      </c>
      <c r="HA11" s="54">
        <f t="shared" si="92"/>
        <v>3.6247646909920227E-3</v>
      </c>
      <c r="HB11" s="54">
        <f t="shared" si="93"/>
        <v>3.6247646909920227E-3</v>
      </c>
      <c r="HC11" s="54" t="e">
        <f t="shared" si="94"/>
        <v>#N/A</v>
      </c>
      <c r="HD11" s="69" t="str">
        <f t="shared" si="95"/>
        <v/>
      </c>
      <c r="HJ11" s="54">
        <f t="shared" si="96"/>
        <v>1</v>
      </c>
      <c r="HK11" s="54">
        <f t="shared" si="97"/>
        <v>2</v>
      </c>
      <c r="HL11" s="54">
        <f t="shared" si="98"/>
        <v>-4.7481943601992764</v>
      </c>
      <c r="HM11" s="54" t="e">
        <f t="shared" si="99"/>
        <v>#N/A</v>
      </c>
      <c r="HN11" s="54">
        <f t="shared" si="100"/>
        <v>1.2130723617778491E-3</v>
      </c>
      <c r="HO11" s="54" t="e">
        <f t="shared" si="101"/>
        <v>#N/A</v>
      </c>
      <c r="HP11" s="54" t="e">
        <f t="shared" si="102"/>
        <v>#N/A</v>
      </c>
      <c r="HQ11" s="54" t="b">
        <f t="shared" si="103"/>
        <v>1</v>
      </c>
      <c r="HR11" s="54" t="b">
        <f t="shared" si="104"/>
        <v>0</v>
      </c>
      <c r="HS11" s="54" t="b">
        <f t="shared" si="105"/>
        <v>1</v>
      </c>
      <c r="HT11" s="54" t="b">
        <f t="shared" si="106"/>
        <v>0</v>
      </c>
      <c r="HU11" s="54">
        <f t="shared" si="107"/>
        <v>1.2130723617778491E-3</v>
      </c>
      <c r="HV11" s="54">
        <f t="shared" si="108"/>
        <v>1.2130723617778491E-3</v>
      </c>
      <c r="HW11" s="54" t="e">
        <f t="shared" si="109"/>
        <v>#N/A</v>
      </c>
      <c r="HX11" s="69" t="str">
        <f t="shared" si="110"/>
        <v/>
      </c>
    </row>
    <row r="12" spans="1:235" x14ac:dyDescent="0.2">
      <c r="BE12" s="90" t="s">
        <v>14</v>
      </c>
      <c r="BF12" s="57" t="s">
        <v>14</v>
      </c>
      <c r="BG12" s="57" t="s">
        <v>14</v>
      </c>
      <c r="BH12" s="57" t="s">
        <v>14</v>
      </c>
      <c r="BI12" s="57" t="s">
        <v>14</v>
      </c>
      <c r="BJ12" s="57" t="s">
        <v>14</v>
      </c>
      <c r="BL12" s="90" t="s">
        <v>457</v>
      </c>
      <c r="BM12" s="203" t="e" cm="1">
        <f t="array" ref="BM12">IF(NOT($BF$2),INDEX(E_g_valg[Parameter 1],E_g_aktiv),NA())</f>
        <v>#N/A</v>
      </c>
      <c r="BZ12" s="54">
        <f t="shared" si="36"/>
        <v>2</v>
      </c>
      <c r="CA12" s="54">
        <f>Eu_tabel_g[[#This Row],[Indeks]]+1</f>
        <v>3</v>
      </c>
      <c r="CB12" s="54">
        <f t="shared" si="37"/>
        <v>-3.0423217277776144</v>
      </c>
      <c r="CC12" s="54">
        <f t="shared" si="38"/>
        <v>3.8999198362770038E-3</v>
      </c>
      <c r="CD12" s="54" t="e">
        <f t="shared" si="39"/>
        <v>#N/A</v>
      </c>
      <c r="CE12" s="54" t="e">
        <f t="shared" si="40"/>
        <v>#N/A</v>
      </c>
      <c r="CF12" s="54" t="e">
        <f t="shared" si="41"/>
        <v>#N/A</v>
      </c>
      <c r="CG12" s="54" t="b">
        <f t="shared" si="42"/>
        <v>1</v>
      </c>
      <c r="CH12" s="54" t="b">
        <f t="shared" si="43"/>
        <v>0</v>
      </c>
      <c r="CI12" s="54" t="b">
        <f t="shared" si="44"/>
        <v>1</v>
      </c>
      <c r="CJ12" s="54" t="b">
        <f t="shared" si="45"/>
        <v>0</v>
      </c>
      <c r="CK12" s="54">
        <f t="shared" si="111"/>
        <v>3.8999198362770038E-3</v>
      </c>
      <c r="CL12" s="54">
        <f t="shared" si="47"/>
        <v>3.8999198362770038E-3</v>
      </c>
      <c r="CM12" s="54" t="e">
        <f t="shared" si="48"/>
        <v>#N/A</v>
      </c>
      <c r="CN12" s="69" t="str">
        <f t="shared" si="49"/>
        <v/>
      </c>
      <c r="CO12" s="54">
        <f>_xlfn.NORM.DIST(_xlfn.NORM.INV(1-Eu_g_konfidensniveau,0,1)-Eu_tabel_g[[#This Row],[x base]],0,1,TRUE)</f>
        <v>0.91886357365027505</v>
      </c>
      <c r="CP12" s="54">
        <f>1-_xlfn.NORM.DIST(_xlfn.NORM.INV(Eu_g_konfidensniveau,0,1)-Eu_tabel_g[[#This Row],[x base]],0,1,TRUE)</f>
        <v>1.3850080688992961E-6</v>
      </c>
      <c r="CQ12" s="54">
        <f>_xlfn.NORM.DIST(_xlfn.NORM.INV((1-Eu_g_konfidensniveau)/2,0,1)-Eu_tabel_g[[#This Row],[x base]],0,1,TRUE)+1-_xlfn.NORM.DIST(_xlfn.NORM.INV(1-(1-Eu_g_konfidensniveau)/2,0,1)-Eu_tabel_g[[#This Row],[x base]],0,1,TRUE)</f>
        <v>0.86045348467743621</v>
      </c>
      <c r="CR12" s="54" t="e" cm="1">
        <f t="array" ref="CR12">IF($CR$3,INDEX(Eu_tabel_g[[#This Row],[Styrke venstre]:[Styrke tosidet]],CR$7),NA())</f>
        <v>#N/A</v>
      </c>
      <c r="CS12" s="89" t="e">
        <f>Eu_tabel_g[[#This Row],[Falsk positiv
Nulhypotese accepteres
Fejltype 1]]</f>
        <v>#N/A</v>
      </c>
      <c r="CT12" s="89" t="e">
        <f>IF(CHOOSE(CR$7,Eu_tabel_g[[#This Row],[x base]]&gt;0,Eu_tabel_g[[#This Row],[x base]]&lt;0,Eu_tabel_g[[#This Row],[x base]]=0),Eu_tabel_g[[#This Row],[Styrke, aktiv]],NA())</f>
        <v>#N/A</v>
      </c>
      <c r="CU12" s="89" t="e">
        <f>IFERROR(IF($CR$3,Eu_tabel_g[[#This Row],[Styrke, aktiv]],NA()),NA())</f>
        <v>#N/A</v>
      </c>
      <c r="CV12" s="89" t="e">
        <f>IF(ISNA(Eu_tabel_g[[#This Row],[Sand negativ
Nulhypotese afvises
Korrekt]]),NA(),IF($CR$3,1,NA()))</f>
        <v>#N/A</v>
      </c>
      <c r="CW12" s="56" t="str" cm="1">
        <f t="array" ref="CW12">_xlfn.SWITCH(BZ12,_xlfn.IFNA(CU$2,-99),CU$5,_xlfn.IFNA(CU$3,-99),CU$6,_xlfn.IFNA(CU$4,-99),CU$7,"")</f>
        <v/>
      </c>
      <c r="DA12" s="7">
        <f t="shared" si="50"/>
        <v>0.80000000000722593</v>
      </c>
      <c r="DB12">
        <f>IF(ROW(Styrkeberegning_G[[#This Row],[X base venstre]])=ROW(Styrkeberegning_G[[#Headers],[X base venstre]])+1,DB$7/(DA$7/$B$67),DB11/(DA11/$B$67))</f>
        <v>-2.8015817870393893</v>
      </c>
      <c r="DC12">
        <f>Styrkeberegning_G[[#This Row],[X base venstre]]*-1</f>
        <v>2.8015817870393893</v>
      </c>
      <c r="DN12" s="54">
        <f t="shared" si="51"/>
        <v>2</v>
      </c>
      <c r="DO12" s="54">
        <f t="shared" si="52"/>
        <v>3</v>
      </c>
      <c r="DP12" s="54">
        <f t="shared" si="53"/>
        <v>2.0619943774876925</v>
      </c>
      <c r="DQ12" s="54" t="e">
        <f t="shared" si="54"/>
        <v>#N/A</v>
      </c>
      <c r="DR12" s="54" t="e">
        <f t="shared" si="55"/>
        <v>#N/A</v>
      </c>
      <c r="DS12" s="54">
        <f t="shared" si="56"/>
        <v>3.9085485663345257E-3</v>
      </c>
      <c r="DT12" s="54" t="e">
        <f t="shared" si="57"/>
        <v>#N/A</v>
      </c>
      <c r="DU12" s="54" t="b">
        <f t="shared" si="58"/>
        <v>1</v>
      </c>
      <c r="DV12" s="54" t="b">
        <f t="shared" si="59"/>
        <v>0</v>
      </c>
      <c r="DW12" s="54" t="b">
        <f t="shared" si="60"/>
        <v>1</v>
      </c>
      <c r="DX12" s="54" t="b">
        <f t="shared" si="61"/>
        <v>0</v>
      </c>
      <c r="DY12" s="54">
        <f t="shared" si="62"/>
        <v>3.9085485663345257E-3</v>
      </c>
      <c r="DZ12" s="54">
        <f t="shared" si="63"/>
        <v>3.9085485663345257E-3</v>
      </c>
      <c r="EA12" s="54" t="e">
        <f t="shared" si="64"/>
        <v>#N/A</v>
      </c>
      <c r="EB12" s="69" t="str">
        <f t="shared" si="65"/>
        <v/>
      </c>
      <c r="EG12" s="54">
        <f t="shared" si="66"/>
        <v>2</v>
      </c>
      <c r="EH12" s="54">
        <f t="shared" si="67"/>
        <v>3</v>
      </c>
      <c r="EI12" s="54">
        <f t="shared" si="68"/>
        <v>-3.0423217277776144</v>
      </c>
      <c r="EJ12" s="54">
        <f t="shared" si="69"/>
        <v>3.8999198362770038E-3</v>
      </c>
      <c r="EK12" s="54" t="e">
        <f t="shared" si="70"/>
        <v>#N/A</v>
      </c>
      <c r="EL12" s="54" t="e">
        <f t="shared" si="71"/>
        <v>#N/A</v>
      </c>
      <c r="EM12" s="54" t="e">
        <f t="shared" si="72"/>
        <v>#N/A</v>
      </c>
      <c r="EN12" s="54" t="b">
        <f t="shared" si="73"/>
        <v>1</v>
      </c>
      <c r="EO12" s="54" t="b">
        <f t="shared" si="74"/>
        <v>0</v>
      </c>
      <c r="EP12" s="54" t="b">
        <f t="shared" si="75"/>
        <v>1</v>
      </c>
      <c r="EQ12" s="54" t="b">
        <f t="shared" si="76"/>
        <v>0</v>
      </c>
      <c r="ER12" s="54">
        <f t="shared" si="77"/>
        <v>3.8999198362770038E-3</v>
      </c>
      <c r="ES12" s="54">
        <f t="shared" si="78"/>
        <v>3.8999198362770038E-3</v>
      </c>
      <c r="ET12" s="54" t="e">
        <f t="shared" si="79"/>
        <v>#N/A</v>
      </c>
      <c r="EU12" s="69" t="str">
        <f t="shared" si="80"/>
        <v/>
      </c>
      <c r="EV1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2" s="54" t="e" cm="1">
        <f t="array" ref="EY12">IF($CR$3,INDEX(Eu_tabel_a[[#This Row],[Styrke venstre]:[Styrke tosidet]],EY$7),NA())</f>
        <v>#N/A</v>
      </c>
      <c r="EZ12" s="54" t="e">
        <f>IF(EY$3,IF(CHOOSE(EY$7,Eu_tabel_a[[#This Row],[x base]]&gt;0,Eu_tabel_a[[#This Row],[x base]]&lt;0,Eu_tabel_a[[#This Row],[x base]]=0),1,NA()),NA())</f>
        <v>#N/A</v>
      </c>
      <c r="FA12" s="54" t="e">
        <f>IF(CHOOSE(EY$7,Eu_tabel_a[[#This Row],[x base]]&gt;0,Eu_tabel_a[[#This Row],[x base]]&lt;0,Eu_tabel_a[[#This Row],[x base]]=0),Eu_tabel_a[[#This Row],[Styrke, aktiv]],NA())</f>
        <v>#N/A</v>
      </c>
      <c r="FB12" s="54" t="e">
        <f>IFERROR(IF($EY$3,Eu_tabel_a[[#This Row],[Styrke, aktiv]],NA()),NA())</f>
        <v>#N/A</v>
      </c>
      <c r="FC12" s="54" t="e">
        <f>IF(ISNA(Eu_tabel_a[[#This Row],[Sand negativ
Nulhypotese afvises
Korrekt]]),NA(),IF(EY$3,1,NA()))</f>
        <v>#N/A</v>
      </c>
      <c r="FD12" s="55" t="str" cm="1">
        <f t="array" ref="FD12">IFERROR(_xlfn.SWITCH(Eu_tabel_a[[#This Row],[Indeks]],_xlfn.IFNA(FB$2,-99),FB$5,_xlfn.IFNA(FB$3,-99),FB$6,_xlfn.IFNA(FB$4,-99),FB$7,""),"")</f>
        <v/>
      </c>
      <c r="FE12" s="54">
        <f>Eu_tabel_a[[#This Row],[x base]]*SQRT(Eu_a_h0_x*(1-Eu_a_h0_x)/Eu_a_n_x)+Eu_a_h0_x</f>
        <v>0</v>
      </c>
      <c r="FJ12" s="144" t="e">
        <f t="shared" si="18"/>
        <v>#N/A</v>
      </c>
      <c r="FK12" s="152" t="e">
        <f t="shared" si="31"/>
        <v>#DIV/0!</v>
      </c>
      <c r="FL12" s="7" t="e">
        <f t="shared" si="12"/>
        <v>#DIV/0!</v>
      </c>
      <c r="FM12" t="e">
        <f t="shared" si="32"/>
        <v>#DIV/0!</v>
      </c>
      <c r="FN12" s="8" t="e">
        <f t="shared" si="33"/>
        <v>#DIV/0!</v>
      </c>
      <c r="FO12" s="8" t="e">
        <f t="shared" si="34"/>
        <v>#DIV/0!</v>
      </c>
      <c r="FP12" s="151" t="e">
        <f t="shared" si="35"/>
        <v>#DIV/0!</v>
      </c>
      <c r="FQ12" s="144" t="e">
        <f t="shared" ca="1" si="13"/>
        <v>#N/A</v>
      </c>
      <c r="FR12" s="152" t="e" vm="3">
        <f t="shared" ca="1" si="19"/>
        <v>#VALUE!</v>
      </c>
      <c r="FS12" s="7" t="e" vm="3">
        <f t="shared" ca="1" si="14"/>
        <v>#VALUE!</v>
      </c>
      <c r="FT12" t="e" vm="3">
        <f t="shared" ca="1" si="8"/>
        <v>#VALUE!</v>
      </c>
      <c r="FU12" s="8" t="e" vm="3">
        <f t="shared" ca="1" si="9"/>
        <v>#VALUE!</v>
      </c>
      <c r="FV12" s="8" t="e" vm="3">
        <f t="shared" ca="1" si="10"/>
        <v>#VALUE!</v>
      </c>
      <c r="FW12" s="151" t="e" vm="3">
        <f t="shared" ca="1" si="11"/>
        <v>#VALUE!</v>
      </c>
      <c r="FX12" s="144" t="e">
        <f t="shared" si="15"/>
        <v>#N/A</v>
      </c>
      <c r="FY12" s="152" t="e">
        <f t="shared" si="20"/>
        <v>#N/A</v>
      </c>
      <c r="FZ12" s="7" t="e">
        <f t="shared" si="16"/>
        <v>#N/A</v>
      </c>
      <c r="GA12" t="e">
        <f t="shared" si="21"/>
        <v>#N/A</v>
      </c>
      <c r="GB12" s="8" t="e">
        <f t="shared" si="22"/>
        <v>#N/A</v>
      </c>
      <c r="GC12" s="8" t="e">
        <f t="shared" si="23"/>
        <v>#N/A</v>
      </c>
      <c r="GD12" s="151" t="e">
        <f t="shared" si="24"/>
        <v>#N/A</v>
      </c>
      <c r="GE12" s="144" t="e">
        <f t="shared" si="25"/>
        <v>#N/A</v>
      </c>
      <c r="GF12" s="152" t="e">
        <f t="shared" si="26"/>
        <v>#N/A</v>
      </c>
      <c r="GG12" s="7" t="e">
        <f t="shared" si="17"/>
        <v>#N/A</v>
      </c>
      <c r="GH12" t="e">
        <f t="shared" si="27"/>
        <v>#N/A</v>
      </c>
      <c r="GI12" s="8" t="e">
        <f t="shared" si="28"/>
        <v>#N/A</v>
      </c>
      <c r="GJ12" s="8" t="e">
        <f t="shared" si="29"/>
        <v>#N/A</v>
      </c>
      <c r="GK12" s="151" t="e">
        <f t="shared" si="30"/>
        <v>#N/A</v>
      </c>
      <c r="GL12" s="151"/>
      <c r="GM12" s="151"/>
      <c r="GP12" s="54">
        <f t="shared" si="81"/>
        <v>2</v>
      </c>
      <c r="GQ12" s="54">
        <f t="shared" si="82"/>
        <v>3</v>
      </c>
      <c r="GR12" s="54">
        <f t="shared" si="83"/>
        <v>-3.0423217277776144</v>
      </c>
      <c r="GS12" s="54">
        <f t="shared" si="84"/>
        <v>3.8999198362770038E-3</v>
      </c>
      <c r="GT12" s="54" t="e">
        <f t="shared" si="85"/>
        <v>#N/A</v>
      </c>
      <c r="GU12" s="54" t="e">
        <f t="shared" si="86"/>
        <v>#N/A</v>
      </c>
      <c r="GV12" s="54" t="e">
        <f t="shared" si="87"/>
        <v>#N/A</v>
      </c>
      <c r="GW12" s="54" t="b">
        <f t="shared" si="88"/>
        <v>1</v>
      </c>
      <c r="GX12" s="54" t="b">
        <f t="shared" si="89"/>
        <v>0</v>
      </c>
      <c r="GY12" s="54" t="b">
        <f t="shared" si="90"/>
        <v>1</v>
      </c>
      <c r="GZ12" s="54" t="b">
        <f t="shared" si="91"/>
        <v>0</v>
      </c>
      <c r="HA12" s="54">
        <f t="shared" si="92"/>
        <v>3.8999198362770038E-3</v>
      </c>
      <c r="HB12" s="54">
        <f t="shared" si="93"/>
        <v>3.8999198362770038E-3</v>
      </c>
      <c r="HC12" s="54" t="e">
        <f t="shared" si="94"/>
        <v>#N/A</v>
      </c>
      <c r="HD12" s="69" t="str">
        <f t="shared" si="95"/>
        <v/>
      </c>
      <c r="HJ12" s="54">
        <f t="shared" si="96"/>
        <v>2</v>
      </c>
      <c r="HK12" s="54">
        <f t="shared" si="97"/>
        <v>3</v>
      </c>
      <c r="HL12" s="54">
        <f t="shared" si="98"/>
        <v>-4.7110990917602198</v>
      </c>
      <c r="HM12" s="54" t="e">
        <f t="shared" si="99"/>
        <v>#N/A</v>
      </c>
      <c r="HN12" s="54">
        <f t="shared" si="100"/>
        <v>1.2724530798355995E-3</v>
      </c>
      <c r="HO12" s="54" t="e">
        <f t="shared" si="101"/>
        <v>#N/A</v>
      </c>
      <c r="HP12" s="54" t="e">
        <f t="shared" si="102"/>
        <v>#N/A</v>
      </c>
      <c r="HQ12" s="54" t="b">
        <f t="shared" si="103"/>
        <v>1</v>
      </c>
      <c r="HR12" s="54" t="b">
        <f t="shared" si="104"/>
        <v>0</v>
      </c>
      <c r="HS12" s="54" t="b">
        <f t="shared" si="105"/>
        <v>1</v>
      </c>
      <c r="HT12" s="54" t="b">
        <f t="shared" si="106"/>
        <v>0</v>
      </c>
      <c r="HU12" s="54">
        <f t="shared" si="107"/>
        <v>1.2724530798355995E-3</v>
      </c>
      <c r="HV12" s="54">
        <f t="shared" si="108"/>
        <v>1.2724530798355995E-3</v>
      </c>
      <c r="HW12" s="54" t="e">
        <f t="shared" si="109"/>
        <v>#N/A</v>
      </c>
      <c r="HX12" s="69" t="str">
        <f t="shared" si="110"/>
        <v/>
      </c>
    </row>
    <row r="13" spans="1:235" x14ac:dyDescent="0.2">
      <c r="BE13" s="57" t="s">
        <v>152</v>
      </c>
      <c r="BF13" s="59" t="str">
        <f>INDEX(E_g_valg[Forudsætning 1],E_g_aktiv)</f>
        <v>Datatypen er interval</v>
      </c>
      <c r="BG13" s="59" t="str">
        <f>INDEX(E_s_valg[Forudsætning 1],E_s_aktiv)</f>
        <v>Datatypen er interval</v>
      </c>
      <c r="BH13" s="59" t="str">
        <f>INDEX(E_a_valg[Forudsætning 1],E_a_aktiv)</f>
        <v>Datatypen er nominal, hvor succes er TRUE og øvrige værdier er FALSE</v>
      </c>
      <c r="BI13" s="59" t="str">
        <f>INDEX(E_i_valg[Forudsætning 1],E_i_aktiv)</f>
        <v>Observationerne består af antal successer fra lige store tidsintervaller</v>
      </c>
      <c r="BJ13" s="59" t="str">
        <f>INDEX(E_k_valg[Forudsætning 1],E_k_aktiv)</f>
        <v>Datatypen er interval</v>
      </c>
      <c r="BL13" s="90" t="s">
        <v>458</v>
      </c>
      <c r="BM13" s="203" t="e" cm="1">
        <f t="array" ref="BM13">IF(NOT($BF$2),IF(NOT(ISBLANK(INDEX(E_g_valg[Parameter 2],E_g_aktiv))),INDEX(E_g_valg[Parameter 2],E_g_aktiv),NA()),NA())</f>
        <v>#N/A</v>
      </c>
      <c r="BZ13" s="54">
        <f t="shared" si="36"/>
        <v>3</v>
      </c>
      <c r="CA13" s="54">
        <f>Eu_tabel_g[[#This Row],[Indeks]]+1</f>
        <v>4</v>
      </c>
      <c r="CB13" s="54">
        <f t="shared" si="37"/>
        <v>-3.0183664385825151</v>
      </c>
      <c r="CC13" s="54">
        <f t="shared" si="38"/>
        <v>4.1935547655993473E-3</v>
      </c>
      <c r="CD13" s="54" t="e">
        <f t="shared" si="39"/>
        <v>#N/A</v>
      </c>
      <c r="CE13" s="54" t="e">
        <f t="shared" si="40"/>
        <v>#N/A</v>
      </c>
      <c r="CF13" s="54" t="e">
        <f t="shared" si="41"/>
        <v>#N/A</v>
      </c>
      <c r="CG13" s="54" t="b">
        <f t="shared" si="42"/>
        <v>1</v>
      </c>
      <c r="CH13" s="54" t="b">
        <f t="shared" si="43"/>
        <v>0</v>
      </c>
      <c r="CI13" s="54" t="b">
        <f t="shared" si="44"/>
        <v>1</v>
      </c>
      <c r="CJ13" s="54" t="b">
        <f t="shared" si="45"/>
        <v>0</v>
      </c>
      <c r="CK13" s="54">
        <f t="shared" si="111"/>
        <v>4.1935547655993473E-3</v>
      </c>
      <c r="CL13" s="54">
        <f t="shared" si="47"/>
        <v>4.1935547655993473E-3</v>
      </c>
      <c r="CM13" s="54" t="e">
        <f t="shared" si="48"/>
        <v>#N/A</v>
      </c>
      <c r="CN13" s="69" t="str">
        <f t="shared" si="49"/>
        <v/>
      </c>
      <c r="CO13" s="54">
        <f>_xlfn.NORM.DIST(_xlfn.NORM.INV(1-Eu_g_konfidensniveau,0,1)-Eu_tabel_g[[#This Row],[x base]],0,1,TRUE)</f>
        <v>0.91520350942874473</v>
      </c>
      <c r="CP13" s="54">
        <f>1-_xlfn.NORM.DIST(_xlfn.NORM.INV(Eu_g_konfidensniveau,0,1)-Eu_tabel_g[[#This Row],[x base]],0,1,TRUE)</f>
        <v>1.5564977342563679E-6</v>
      </c>
      <c r="CQ13" s="54">
        <f>_xlfn.NORM.DIST(_xlfn.NORM.INV((1-Eu_g_konfidensniveau)/2,0,1)-Eu_tabel_g[[#This Row],[x base]],0,1,TRUE)+1-_xlfn.NORM.DIST(_xlfn.NORM.INV(1-(1-Eu_g_konfidensniveau)/2,0,1)-Eu_tabel_g[[#This Row],[x base]],0,1,TRUE)</f>
        <v>0.85506432011602818</v>
      </c>
      <c r="CR13" s="54" t="e" cm="1">
        <f t="array" ref="CR13">IF($CR$3,INDEX(Eu_tabel_g[[#This Row],[Styrke venstre]:[Styrke tosidet]],CR$7),NA())</f>
        <v>#N/A</v>
      </c>
      <c r="CS13" s="89" t="e">
        <f>Eu_tabel_g[[#This Row],[Falsk positiv
Nulhypotese accepteres
Fejltype 1]]</f>
        <v>#N/A</v>
      </c>
      <c r="CT13" s="89" t="e">
        <f>IF(CHOOSE(CR$7,Eu_tabel_g[[#This Row],[x base]]&gt;0,Eu_tabel_g[[#This Row],[x base]]&lt;0,Eu_tabel_g[[#This Row],[x base]]=0),Eu_tabel_g[[#This Row],[Styrke, aktiv]],NA())</f>
        <v>#N/A</v>
      </c>
      <c r="CU13" s="89" t="e">
        <f>IFERROR(IF($CR$3,Eu_tabel_g[[#This Row],[Styrke, aktiv]],NA()),NA())</f>
        <v>#N/A</v>
      </c>
      <c r="CV13" s="89" t="e">
        <f>IF(ISNA(Eu_tabel_g[[#This Row],[Sand negativ
Nulhypotese afvises
Korrekt]]),NA(),IF($CR$3,1,NA()))</f>
        <v>#N/A</v>
      </c>
      <c r="CW13" s="56" t="str" cm="1">
        <f t="array" ref="CW13">_xlfn.SWITCH(BZ13,_xlfn.IFNA(CU$2,-99),CU$5,_xlfn.IFNA(CU$3,-99),CU$6,_xlfn.IFNA(CU$4,-99),CU$7,"")</f>
        <v/>
      </c>
      <c r="DA13" s="7">
        <f t="shared" si="50"/>
        <v>0.80000000000014171</v>
      </c>
      <c r="DB13">
        <f>IF(ROW(Styrkeberegning_G[[#This Row],[X base venstre]])=ROW(Styrkeberegning_G[[#Headers],[X base venstre]])+1,DB$7/(DA$7/$B$67),DB12/(DA12/$B$67))</f>
        <v>-2.8015817870140847</v>
      </c>
      <c r="DC13">
        <f>Styrkeberegning_G[[#This Row],[X base venstre]]*-1</f>
        <v>2.8015817870140847</v>
      </c>
      <c r="DN13" s="54">
        <f t="shared" si="51"/>
        <v>3</v>
      </c>
      <c r="DO13" s="54">
        <f t="shared" si="52"/>
        <v>4</v>
      </c>
      <c r="DP13" s="54">
        <f t="shared" si="53"/>
        <v>2.1760652339046933</v>
      </c>
      <c r="DQ13" s="54" t="e">
        <f t="shared" si="54"/>
        <v>#N/A</v>
      </c>
      <c r="DR13" s="54" t="e">
        <f t="shared" si="55"/>
        <v>#N/A</v>
      </c>
      <c r="DS13" s="54">
        <f t="shared" si="56"/>
        <v>4.7040864314258782E-3</v>
      </c>
      <c r="DT13" s="54" t="e">
        <f t="shared" si="57"/>
        <v>#N/A</v>
      </c>
      <c r="DU13" s="54" t="b">
        <f t="shared" si="58"/>
        <v>1</v>
      </c>
      <c r="DV13" s="54" t="b">
        <f t="shared" si="59"/>
        <v>0</v>
      </c>
      <c r="DW13" s="54" t="b">
        <f t="shared" si="60"/>
        <v>1</v>
      </c>
      <c r="DX13" s="54" t="b">
        <f t="shared" si="61"/>
        <v>0</v>
      </c>
      <c r="DY13" s="54">
        <f t="shared" si="62"/>
        <v>4.7040864314258782E-3</v>
      </c>
      <c r="DZ13" s="54">
        <f t="shared" si="63"/>
        <v>4.7040864314258782E-3</v>
      </c>
      <c r="EA13" s="54" t="e">
        <f t="shared" si="64"/>
        <v>#N/A</v>
      </c>
      <c r="EB13" s="69" t="str">
        <f t="shared" si="65"/>
        <v/>
      </c>
      <c r="EG13" s="54">
        <f t="shared" si="66"/>
        <v>3</v>
      </c>
      <c r="EH13" s="54">
        <f t="shared" si="67"/>
        <v>4</v>
      </c>
      <c r="EI13" s="54">
        <f t="shared" si="68"/>
        <v>-3.0183664385825151</v>
      </c>
      <c r="EJ13" s="54">
        <f t="shared" si="69"/>
        <v>4.1935547655993473E-3</v>
      </c>
      <c r="EK13" s="54" t="e">
        <f t="shared" si="70"/>
        <v>#N/A</v>
      </c>
      <c r="EL13" s="54" t="e">
        <f t="shared" si="71"/>
        <v>#N/A</v>
      </c>
      <c r="EM13" s="54" t="e">
        <f t="shared" si="72"/>
        <v>#N/A</v>
      </c>
      <c r="EN13" s="54" t="b">
        <f t="shared" si="73"/>
        <v>1</v>
      </c>
      <c r="EO13" s="54" t="b">
        <f t="shared" si="74"/>
        <v>0</v>
      </c>
      <c r="EP13" s="54" t="b">
        <f t="shared" si="75"/>
        <v>1</v>
      </c>
      <c r="EQ13" s="54" t="b">
        <f t="shared" si="76"/>
        <v>0</v>
      </c>
      <c r="ER13" s="54">
        <f t="shared" si="77"/>
        <v>4.1935547655993473E-3</v>
      </c>
      <c r="ES13" s="54">
        <f t="shared" si="78"/>
        <v>4.1935547655993473E-3</v>
      </c>
      <c r="ET13" s="54" t="e">
        <f t="shared" si="79"/>
        <v>#N/A</v>
      </c>
      <c r="EU13" s="69" t="str">
        <f t="shared" si="80"/>
        <v/>
      </c>
      <c r="EV1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3" s="54" t="e" cm="1">
        <f t="array" ref="EY13">IF($CR$3,INDEX(Eu_tabel_a[[#This Row],[Styrke venstre]:[Styrke tosidet]],EY$7),NA())</f>
        <v>#N/A</v>
      </c>
      <c r="EZ13" s="54" t="e">
        <f>IF(EY$3,IF(CHOOSE(EY$7,Eu_tabel_a[[#This Row],[x base]]&gt;0,Eu_tabel_a[[#This Row],[x base]]&lt;0,Eu_tabel_a[[#This Row],[x base]]=0),1,NA()),NA())</f>
        <v>#N/A</v>
      </c>
      <c r="FA13" s="54" t="e">
        <f>IF(CHOOSE(EY$7,Eu_tabel_a[[#This Row],[x base]]&gt;0,Eu_tabel_a[[#This Row],[x base]]&lt;0,Eu_tabel_a[[#This Row],[x base]]=0),Eu_tabel_a[[#This Row],[Styrke, aktiv]],NA())</f>
        <v>#N/A</v>
      </c>
      <c r="FB13" s="54" t="e">
        <f>IFERROR(IF($EY$3,Eu_tabel_a[[#This Row],[Styrke, aktiv]],NA()),NA())</f>
        <v>#N/A</v>
      </c>
      <c r="FC13" s="54" t="e">
        <f>IF(ISNA(Eu_tabel_a[[#This Row],[Sand negativ
Nulhypotese afvises
Korrekt]]),NA(),IF(EY$3,1,NA()))</f>
        <v>#N/A</v>
      </c>
      <c r="FD13" s="55" t="str" cm="1">
        <f t="array" ref="FD13">IFERROR(_xlfn.SWITCH(Eu_tabel_a[[#This Row],[Indeks]],_xlfn.IFNA(FB$2,-99),FB$5,_xlfn.IFNA(FB$3,-99),FB$6,_xlfn.IFNA(FB$4,-99),FB$7,""),"")</f>
        <v/>
      </c>
      <c r="FE13" s="54">
        <f>Eu_tabel_a[[#This Row],[x base]]*SQRT(Eu_a_h0_x*(1-Eu_a_h0_x)/Eu_a_n_x)+Eu_a_h0_x</f>
        <v>0</v>
      </c>
      <c r="FJ13" s="144" t="e">
        <f t="shared" si="18"/>
        <v>#N/A</v>
      </c>
      <c r="FK13" s="152" t="e">
        <f t="shared" si="31"/>
        <v>#DIV/0!</v>
      </c>
      <c r="FL13" s="7" t="e">
        <f t="shared" si="12"/>
        <v>#DIV/0!</v>
      </c>
      <c r="FM13" t="e">
        <f t="shared" si="32"/>
        <v>#DIV/0!</v>
      </c>
      <c r="FN13" s="8" t="e">
        <f t="shared" si="33"/>
        <v>#DIV/0!</v>
      </c>
      <c r="FO13" s="8" t="e">
        <f t="shared" si="34"/>
        <v>#DIV/0!</v>
      </c>
      <c r="FP13" s="151" t="e">
        <f t="shared" si="35"/>
        <v>#DIV/0!</v>
      </c>
      <c r="FQ13" s="144" t="e">
        <f t="shared" ca="1" si="13"/>
        <v>#N/A</v>
      </c>
      <c r="FR13" s="152" t="e" vm="3">
        <f t="shared" ca="1" si="19"/>
        <v>#VALUE!</v>
      </c>
      <c r="FS13" s="7" t="e" vm="3">
        <f t="shared" ca="1" si="14"/>
        <v>#VALUE!</v>
      </c>
      <c r="FT13" t="e" vm="3">
        <f t="shared" ca="1" si="8"/>
        <v>#VALUE!</v>
      </c>
      <c r="FU13" s="8" t="e" vm="3">
        <f t="shared" ca="1" si="9"/>
        <v>#VALUE!</v>
      </c>
      <c r="FV13" s="8" t="e" vm="3">
        <f t="shared" ca="1" si="10"/>
        <v>#VALUE!</v>
      </c>
      <c r="FW13" s="151" t="e" vm="3">
        <f t="shared" ca="1" si="11"/>
        <v>#VALUE!</v>
      </c>
      <c r="FX13" s="144" t="e">
        <f t="shared" si="15"/>
        <v>#N/A</v>
      </c>
      <c r="FY13" s="152" t="e">
        <f t="shared" si="20"/>
        <v>#N/A</v>
      </c>
      <c r="FZ13" s="7" t="e">
        <f t="shared" si="16"/>
        <v>#N/A</v>
      </c>
      <c r="GA13" t="e">
        <f t="shared" si="21"/>
        <v>#N/A</v>
      </c>
      <c r="GB13" s="8" t="e">
        <f t="shared" si="22"/>
        <v>#N/A</v>
      </c>
      <c r="GC13" s="8" t="e">
        <f t="shared" si="23"/>
        <v>#N/A</v>
      </c>
      <c r="GD13" s="151" t="e">
        <f t="shared" si="24"/>
        <v>#N/A</v>
      </c>
      <c r="GE13" s="144" t="e">
        <f t="shared" si="25"/>
        <v>#N/A</v>
      </c>
      <c r="GF13" s="152" t="e">
        <f t="shared" si="26"/>
        <v>#N/A</v>
      </c>
      <c r="GG13" s="7" t="e">
        <f t="shared" si="17"/>
        <v>#N/A</v>
      </c>
      <c r="GH13" t="e">
        <f t="shared" si="27"/>
        <v>#N/A</v>
      </c>
      <c r="GI13" s="8" t="e">
        <f t="shared" si="28"/>
        <v>#N/A</v>
      </c>
      <c r="GJ13" s="8" t="e">
        <f t="shared" si="29"/>
        <v>#N/A</v>
      </c>
      <c r="GK13" s="151" t="e">
        <f t="shared" si="30"/>
        <v>#N/A</v>
      </c>
      <c r="GL13" s="151"/>
      <c r="GM13" s="151"/>
      <c r="GP13" s="54">
        <f t="shared" si="81"/>
        <v>3</v>
      </c>
      <c r="GQ13" s="54">
        <f t="shared" si="82"/>
        <v>4</v>
      </c>
      <c r="GR13" s="54">
        <f t="shared" si="83"/>
        <v>-3.0183664385825151</v>
      </c>
      <c r="GS13" s="54">
        <f t="shared" si="84"/>
        <v>4.1935547655993473E-3</v>
      </c>
      <c r="GT13" s="54" t="e">
        <f t="shared" si="85"/>
        <v>#N/A</v>
      </c>
      <c r="GU13" s="54" t="e">
        <f t="shared" si="86"/>
        <v>#N/A</v>
      </c>
      <c r="GV13" s="54" t="e">
        <f t="shared" si="87"/>
        <v>#N/A</v>
      </c>
      <c r="GW13" s="54" t="b">
        <f t="shared" si="88"/>
        <v>1</v>
      </c>
      <c r="GX13" s="54" t="b">
        <f t="shared" si="89"/>
        <v>0</v>
      </c>
      <c r="GY13" s="54" t="b">
        <f t="shared" si="90"/>
        <v>1</v>
      </c>
      <c r="GZ13" s="54" t="b">
        <f t="shared" si="91"/>
        <v>0</v>
      </c>
      <c r="HA13" s="54">
        <f t="shared" si="92"/>
        <v>4.1935547655993473E-3</v>
      </c>
      <c r="HB13" s="54">
        <f t="shared" si="93"/>
        <v>4.1935547655993473E-3</v>
      </c>
      <c r="HC13" s="54" t="e">
        <f t="shared" si="94"/>
        <v>#N/A</v>
      </c>
      <c r="HD13" s="69" t="str">
        <f t="shared" si="95"/>
        <v/>
      </c>
      <c r="HJ13" s="54">
        <f t="shared" si="96"/>
        <v>3</v>
      </c>
      <c r="HK13" s="54">
        <f t="shared" si="97"/>
        <v>4</v>
      </c>
      <c r="HL13" s="54">
        <f t="shared" si="98"/>
        <v>-4.6740038233211623</v>
      </c>
      <c r="HM13" s="54" t="e">
        <f t="shared" si="99"/>
        <v>#N/A</v>
      </c>
      <c r="HN13" s="54">
        <f t="shared" si="100"/>
        <v>1.3350024886192569E-3</v>
      </c>
      <c r="HO13" s="54" t="e">
        <f t="shared" si="101"/>
        <v>#N/A</v>
      </c>
      <c r="HP13" s="54" t="e">
        <f t="shared" si="102"/>
        <v>#N/A</v>
      </c>
      <c r="HQ13" s="54" t="b">
        <f t="shared" si="103"/>
        <v>1</v>
      </c>
      <c r="HR13" s="54" t="b">
        <f t="shared" si="104"/>
        <v>0</v>
      </c>
      <c r="HS13" s="54" t="b">
        <f t="shared" si="105"/>
        <v>1</v>
      </c>
      <c r="HT13" s="54" t="b">
        <f t="shared" si="106"/>
        <v>0</v>
      </c>
      <c r="HU13" s="54">
        <f t="shared" si="107"/>
        <v>1.3350024886192569E-3</v>
      </c>
      <c r="HV13" s="54">
        <f t="shared" si="108"/>
        <v>1.3350024886192569E-3</v>
      </c>
      <c r="HW13" s="54" t="e">
        <f t="shared" si="109"/>
        <v>#N/A</v>
      </c>
      <c r="HX13" s="69" t="str">
        <f t="shared" si="110"/>
        <v/>
      </c>
    </row>
    <row r="14" spans="1:235" x14ac:dyDescent="0.2">
      <c r="A14" s="3" t="s">
        <v>416</v>
      </c>
      <c r="O14" s="3" t="s">
        <v>416</v>
      </c>
      <c r="V14" s="3" t="s">
        <v>416</v>
      </c>
      <c r="BE14" s="57" t="s">
        <v>153</v>
      </c>
      <c r="BF14" s="59">
        <f>INDEX(E_g_valg[Forudsætning 2],E_g_aktiv)</f>
        <v>0</v>
      </c>
      <c r="BG14" s="59">
        <f>INDEX(E_s_valg[Forudsætning 2],E_s_aktiv)</f>
        <v>0</v>
      </c>
      <c r="BH14" s="59">
        <f>INDEX(E_a_valg[Forudsætning 2],E_a_aktiv)</f>
        <v>0</v>
      </c>
      <c r="BI14" s="59">
        <f>INDEX(E_i_valg[Forudsætning 2],E_i_aktiv)</f>
        <v>0</v>
      </c>
      <c r="BJ14" s="59" t="str">
        <f>INDEX(E_k_valg[Forudsætning 2],E_k_aktiv)</f>
        <v>Forudsætningerne for den lineære regression er opfyldt</v>
      </c>
      <c r="BL14" s="90" t="s">
        <v>123</v>
      </c>
      <c r="BM14" s="203" t="e" cm="1">
        <f t="array" ref="BM14">IF(NOT($BF$2),INDEX(E_g_valg[Teststørrelse],E_g_aktiv),NA())</f>
        <v>#N/A</v>
      </c>
      <c r="BZ14" s="54">
        <f t="shared" si="36"/>
        <v>4</v>
      </c>
      <c r="CA14" s="54">
        <f>Eu_tabel_g[[#This Row],[Indeks]]+1</f>
        <v>5</v>
      </c>
      <c r="CB14" s="54">
        <f t="shared" si="37"/>
        <v>-2.9944111493874157</v>
      </c>
      <c r="CC14" s="54">
        <f t="shared" si="38"/>
        <v>4.5067112740675413E-3</v>
      </c>
      <c r="CD14" s="54" t="e">
        <f t="shared" si="39"/>
        <v>#N/A</v>
      </c>
      <c r="CE14" s="54" t="e">
        <f t="shared" si="40"/>
        <v>#N/A</v>
      </c>
      <c r="CF14" s="54" t="e">
        <f t="shared" si="41"/>
        <v>#N/A</v>
      </c>
      <c r="CG14" s="54" t="b">
        <f t="shared" si="42"/>
        <v>1</v>
      </c>
      <c r="CH14" s="54" t="b">
        <f t="shared" si="43"/>
        <v>0</v>
      </c>
      <c r="CI14" s="54" t="b">
        <f t="shared" si="44"/>
        <v>1</v>
      </c>
      <c r="CJ14" s="54" t="b">
        <f t="shared" si="45"/>
        <v>0</v>
      </c>
      <c r="CK14" s="54">
        <f t="shared" si="111"/>
        <v>4.5067112740675413E-3</v>
      </c>
      <c r="CL14" s="54">
        <f t="shared" si="47"/>
        <v>4.5067112740675413E-3</v>
      </c>
      <c r="CM14" s="54" t="e">
        <f t="shared" si="48"/>
        <v>#N/A</v>
      </c>
      <c r="CN14" s="69" t="str">
        <f t="shared" si="49"/>
        <v/>
      </c>
      <c r="CO14" s="54">
        <f>_xlfn.NORM.DIST(_xlfn.NORM.INV(1-Eu_g_konfidensniveau,0,1)-Eu_tabel_g[[#This Row],[x base]],0,1,TRUE)</f>
        <v>0.91142102134110681</v>
      </c>
      <c r="CP14" s="54">
        <f>1-_xlfn.NORM.DIST(_xlfn.NORM.INV(Eu_g_konfidensniveau,0,1)-Eu_tabel_g[[#This Row],[x base]],0,1,TRUE)</f>
        <v>1.7482542555846692E-6</v>
      </c>
      <c r="CQ14" s="54">
        <f>_xlfn.NORM.DIST(_xlfn.NORM.INV((1-Eu_g_konfidensniveau)/2,0,1)-Eu_tabel_g[[#This Row],[x base]],0,1,TRUE)+1-_xlfn.NORM.DIST(_xlfn.NORM.INV(1-(1-Eu_g_konfidensniveau)/2,0,1)-Eu_tabel_g[[#This Row],[x base]],0,1,TRUE)</f>
        <v>0.84953678041496672</v>
      </c>
      <c r="CR14" s="54" t="e" cm="1">
        <f t="array" ref="CR14">IF($CR$3,INDEX(Eu_tabel_g[[#This Row],[Styrke venstre]:[Styrke tosidet]],CR$7),NA())</f>
        <v>#N/A</v>
      </c>
      <c r="CS14" s="89" t="e">
        <f>Eu_tabel_g[[#This Row],[Falsk positiv
Nulhypotese accepteres
Fejltype 1]]</f>
        <v>#N/A</v>
      </c>
      <c r="CT14" s="89" t="e">
        <f>IF(CHOOSE(CR$7,Eu_tabel_g[[#This Row],[x base]]&gt;0,Eu_tabel_g[[#This Row],[x base]]&lt;0,Eu_tabel_g[[#This Row],[x base]]=0),Eu_tabel_g[[#This Row],[Styrke, aktiv]],NA())</f>
        <v>#N/A</v>
      </c>
      <c r="CU14" s="89" t="e">
        <f>IFERROR(IF($CR$3,Eu_tabel_g[[#This Row],[Styrke, aktiv]],NA()),NA())</f>
        <v>#N/A</v>
      </c>
      <c r="CV14" s="89" t="e">
        <f>IF(ISNA(Eu_tabel_g[[#This Row],[Sand negativ
Nulhypotese afvises
Korrekt]]),NA(),IF($CR$3,1,NA()))</f>
        <v>#N/A</v>
      </c>
      <c r="CW14" s="56" t="str" cm="1">
        <f t="array" ref="CW14">_xlfn.SWITCH(BZ14,_xlfn.IFNA(CU$2,-99),CU$5,_xlfn.IFNA(CU$3,-99),CU$6,_xlfn.IFNA(CU$4,-99),CU$7,"")</f>
        <v/>
      </c>
      <c r="DA14" s="7">
        <f t="shared" si="50"/>
        <v>0.80000000000000271</v>
      </c>
      <c r="DB14">
        <f>IF(ROW(Styrkeberegning_G[[#This Row],[X base venstre]])=ROW(Styrkeberegning_G[[#Headers],[X base venstre]])+1,DB$7/(DA$7/$B$67),DB13/(DA13/$B$67))</f>
        <v>-2.8015817870135882</v>
      </c>
      <c r="DC14">
        <f>Styrkeberegning_G[[#This Row],[X base venstre]]*-1</f>
        <v>2.8015817870135882</v>
      </c>
      <c r="DN14" s="54">
        <f t="shared" si="51"/>
        <v>4</v>
      </c>
      <c r="DO14" s="54">
        <f t="shared" si="52"/>
        <v>5</v>
      </c>
      <c r="DP14" s="54">
        <f t="shared" si="53"/>
        <v>2.2901360903216945</v>
      </c>
      <c r="DQ14" s="54" t="e">
        <f t="shared" si="54"/>
        <v>#N/A</v>
      </c>
      <c r="DR14" s="54" t="e">
        <f t="shared" si="55"/>
        <v>#N/A</v>
      </c>
      <c r="DS14" s="54">
        <f t="shared" si="56"/>
        <v>5.5918734303673726E-3</v>
      </c>
      <c r="DT14" s="54" t="e">
        <f t="shared" si="57"/>
        <v>#N/A</v>
      </c>
      <c r="DU14" s="54" t="b">
        <f t="shared" si="58"/>
        <v>1</v>
      </c>
      <c r="DV14" s="54" t="b">
        <f t="shared" si="59"/>
        <v>0</v>
      </c>
      <c r="DW14" s="54" t="b">
        <f t="shared" si="60"/>
        <v>1</v>
      </c>
      <c r="DX14" s="54" t="b">
        <f t="shared" si="61"/>
        <v>0</v>
      </c>
      <c r="DY14" s="54">
        <f t="shared" si="62"/>
        <v>5.5918734303673726E-3</v>
      </c>
      <c r="DZ14" s="54">
        <f t="shared" si="63"/>
        <v>5.5918734303673726E-3</v>
      </c>
      <c r="EA14" s="54" t="e">
        <f t="shared" si="64"/>
        <v>#N/A</v>
      </c>
      <c r="EB14" s="69" t="str">
        <f t="shared" si="65"/>
        <v/>
      </c>
      <c r="EG14" s="54">
        <f t="shared" si="66"/>
        <v>4</v>
      </c>
      <c r="EH14" s="54">
        <f t="shared" si="67"/>
        <v>5</v>
      </c>
      <c r="EI14" s="54">
        <f t="shared" si="68"/>
        <v>-2.9944111493874157</v>
      </c>
      <c r="EJ14" s="54">
        <f t="shared" si="69"/>
        <v>4.5067112740675413E-3</v>
      </c>
      <c r="EK14" s="54" t="e">
        <f t="shared" si="70"/>
        <v>#N/A</v>
      </c>
      <c r="EL14" s="54" t="e">
        <f t="shared" si="71"/>
        <v>#N/A</v>
      </c>
      <c r="EM14" s="54" t="e">
        <f t="shared" si="72"/>
        <v>#N/A</v>
      </c>
      <c r="EN14" s="54" t="b">
        <f t="shared" si="73"/>
        <v>1</v>
      </c>
      <c r="EO14" s="54" t="b">
        <f t="shared" si="74"/>
        <v>0</v>
      </c>
      <c r="EP14" s="54" t="b">
        <f t="shared" si="75"/>
        <v>1</v>
      </c>
      <c r="EQ14" s="54" t="b">
        <f t="shared" si="76"/>
        <v>0</v>
      </c>
      <c r="ER14" s="54">
        <f t="shared" si="77"/>
        <v>4.5067112740675413E-3</v>
      </c>
      <c r="ES14" s="54">
        <f t="shared" si="78"/>
        <v>4.5067112740675413E-3</v>
      </c>
      <c r="ET14" s="54" t="e">
        <f t="shared" si="79"/>
        <v>#N/A</v>
      </c>
      <c r="EU14" s="69" t="str">
        <f t="shared" si="80"/>
        <v/>
      </c>
      <c r="EV1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4" s="54" t="e" cm="1">
        <f t="array" ref="EY14">IF($CR$3,INDEX(Eu_tabel_a[[#This Row],[Styrke venstre]:[Styrke tosidet]],EY$7),NA())</f>
        <v>#N/A</v>
      </c>
      <c r="EZ14" s="54" t="e">
        <f>IF(EY$3,IF(CHOOSE(EY$7,Eu_tabel_a[[#This Row],[x base]]&gt;0,Eu_tabel_a[[#This Row],[x base]]&lt;0,Eu_tabel_a[[#This Row],[x base]]=0),1,NA()),NA())</f>
        <v>#N/A</v>
      </c>
      <c r="FA14" s="54" t="e">
        <f>IF(CHOOSE(EY$7,Eu_tabel_a[[#This Row],[x base]]&gt;0,Eu_tabel_a[[#This Row],[x base]]&lt;0,Eu_tabel_a[[#This Row],[x base]]=0),Eu_tabel_a[[#This Row],[Styrke, aktiv]],NA())</f>
        <v>#N/A</v>
      </c>
      <c r="FB14" s="54" t="e">
        <f>IFERROR(IF($EY$3,Eu_tabel_a[[#This Row],[Styrke, aktiv]],NA()),NA())</f>
        <v>#N/A</v>
      </c>
      <c r="FC14" s="54" t="e">
        <f>IF(ISNA(Eu_tabel_a[[#This Row],[Sand negativ
Nulhypotese afvises
Korrekt]]),NA(),IF(EY$3,1,NA()))</f>
        <v>#N/A</v>
      </c>
      <c r="FD14" s="55" t="str" cm="1">
        <f t="array" ref="FD14">IFERROR(_xlfn.SWITCH(Eu_tabel_a[[#This Row],[Indeks]],_xlfn.IFNA(FB$2,-99),FB$5,_xlfn.IFNA(FB$3,-99),FB$6,_xlfn.IFNA(FB$4,-99),FB$7,""),"")</f>
        <v/>
      </c>
      <c r="FE14" s="54">
        <f>Eu_tabel_a[[#This Row],[x base]]*SQRT(Eu_a_h0_x*(1-Eu_a_h0_x)/Eu_a_n_x)+Eu_a_h0_x</f>
        <v>0</v>
      </c>
      <c r="FJ14" s="144" t="e">
        <f t="shared" si="18"/>
        <v>#N/A</v>
      </c>
      <c r="FK14" s="152" t="e">
        <f t="shared" si="31"/>
        <v>#DIV/0!</v>
      </c>
      <c r="FL14" s="7" t="e">
        <f t="shared" si="12"/>
        <v>#DIV/0!</v>
      </c>
      <c r="FM14" t="e">
        <f t="shared" si="32"/>
        <v>#DIV/0!</v>
      </c>
      <c r="FN14" s="8" t="e">
        <f t="shared" si="33"/>
        <v>#DIV/0!</v>
      </c>
      <c r="FO14" s="8" t="e">
        <f t="shared" si="34"/>
        <v>#DIV/0!</v>
      </c>
      <c r="FP14" s="151" t="e">
        <f t="shared" si="35"/>
        <v>#DIV/0!</v>
      </c>
      <c r="FQ14" s="144" t="e">
        <f t="shared" ca="1" si="13"/>
        <v>#N/A</v>
      </c>
      <c r="FR14" s="152" t="e" vm="3">
        <f t="shared" ca="1" si="19"/>
        <v>#VALUE!</v>
      </c>
      <c r="FS14" s="7" t="e" vm="3">
        <f t="shared" ca="1" si="14"/>
        <v>#VALUE!</v>
      </c>
      <c r="FT14" t="e" vm="3">
        <f t="shared" ca="1" si="8"/>
        <v>#VALUE!</v>
      </c>
      <c r="FU14" s="8" t="e" vm="3">
        <f t="shared" ca="1" si="9"/>
        <v>#VALUE!</v>
      </c>
      <c r="FV14" s="8" t="e" vm="3">
        <f t="shared" ca="1" si="10"/>
        <v>#VALUE!</v>
      </c>
      <c r="FW14" s="151" t="e" vm="3">
        <f t="shared" ca="1" si="11"/>
        <v>#VALUE!</v>
      </c>
      <c r="FX14" s="144" t="e">
        <f t="shared" si="15"/>
        <v>#N/A</v>
      </c>
      <c r="FY14" s="152" t="e">
        <f t="shared" si="20"/>
        <v>#N/A</v>
      </c>
      <c r="FZ14" s="7" t="e">
        <f t="shared" si="16"/>
        <v>#N/A</v>
      </c>
      <c r="GA14" t="e">
        <f t="shared" si="21"/>
        <v>#N/A</v>
      </c>
      <c r="GB14" s="8" t="e">
        <f t="shared" si="22"/>
        <v>#N/A</v>
      </c>
      <c r="GC14" s="8" t="e">
        <f t="shared" si="23"/>
        <v>#N/A</v>
      </c>
      <c r="GD14" s="151" t="e">
        <f t="shared" si="24"/>
        <v>#N/A</v>
      </c>
      <c r="GE14" s="144" t="e">
        <f t="shared" si="25"/>
        <v>#N/A</v>
      </c>
      <c r="GF14" s="152" t="e">
        <f t="shared" si="26"/>
        <v>#N/A</v>
      </c>
      <c r="GG14" s="7" t="e">
        <f t="shared" si="17"/>
        <v>#N/A</v>
      </c>
      <c r="GH14" t="e">
        <f t="shared" si="27"/>
        <v>#N/A</v>
      </c>
      <c r="GI14" s="8" t="e">
        <f t="shared" si="28"/>
        <v>#N/A</v>
      </c>
      <c r="GJ14" s="8" t="e">
        <f t="shared" si="29"/>
        <v>#N/A</v>
      </c>
      <c r="GK14" s="151" t="e">
        <f t="shared" si="30"/>
        <v>#N/A</v>
      </c>
      <c r="GL14" s="151"/>
      <c r="GM14" s="151"/>
      <c r="GP14" s="54">
        <f t="shared" si="81"/>
        <v>4</v>
      </c>
      <c r="GQ14" s="54">
        <f t="shared" si="82"/>
        <v>5</v>
      </c>
      <c r="GR14" s="54">
        <f t="shared" si="83"/>
        <v>-2.9944111493874157</v>
      </c>
      <c r="GS14" s="54">
        <f t="shared" si="84"/>
        <v>4.5067112740675413E-3</v>
      </c>
      <c r="GT14" s="54" t="e">
        <f t="shared" si="85"/>
        <v>#N/A</v>
      </c>
      <c r="GU14" s="54" t="e">
        <f t="shared" si="86"/>
        <v>#N/A</v>
      </c>
      <c r="GV14" s="54" t="e">
        <f t="shared" si="87"/>
        <v>#N/A</v>
      </c>
      <c r="GW14" s="54" t="b">
        <f t="shared" si="88"/>
        <v>1</v>
      </c>
      <c r="GX14" s="54" t="b">
        <f t="shared" si="89"/>
        <v>0</v>
      </c>
      <c r="GY14" s="54" t="b">
        <f t="shared" si="90"/>
        <v>1</v>
      </c>
      <c r="GZ14" s="54" t="b">
        <f t="shared" si="91"/>
        <v>0</v>
      </c>
      <c r="HA14" s="54">
        <f t="shared" si="92"/>
        <v>4.5067112740675413E-3</v>
      </c>
      <c r="HB14" s="54">
        <f t="shared" si="93"/>
        <v>4.5067112740675413E-3</v>
      </c>
      <c r="HC14" s="54" t="e">
        <f t="shared" si="94"/>
        <v>#N/A</v>
      </c>
      <c r="HD14" s="69" t="str">
        <f t="shared" si="95"/>
        <v/>
      </c>
      <c r="HJ14" s="54">
        <f t="shared" si="96"/>
        <v>4</v>
      </c>
      <c r="HK14" s="54">
        <f t="shared" si="97"/>
        <v>5</v>
      </c>
      <c r="HL14" s="54">
        <f t="shared" si="98"/>
        <v>-4.6369085548821056</v>
      </c>
      <c r="HM14" s="54" t="e">
        <f t="shared" si="99"/>
        <v>#N/A</v>
      </c>
      <c r="HN14" s="54">
        <f t="shared" si="100"/>
        <v>1.4009017297980497E-3</v>
      </c>
      <c r="HO14" s="54" t="e">
        <f t="shared" si="101"/>
        <v>#N/A</v>
      </c>
      <c r="HP14" s="54" t="e">
        <f t="shared" si="102"/>
        <v>#N/A</v>
      </c>
      <c r="HQ14" s="54" t="b">
        <f t="shared" si="103"/>
        <v>1</v>
      </c>
      <c r="HR14" s="54" t="b">
        <f t="shared" si="104"/>
        <v>0</v>
      </c>
      <c r="HS14" s="54" t="b">
        <f t="shared" si="105"/>
        <v>1</v>
      </c>
      <c r="HT14" s="54" t="b">
        <f t="shared" si="106"/>
        <v>0</v>
      </c>
      <c r="HU14" s="54">
        <f t="shared" si="107"/>
        <v>1.4009017297980497E-3</v>
      </c>
      <c r="HV14" s="54">
        <f t="shared" si="108"/>
        <v>1.4009017297980497E-3</v>
      </c>
      <c r="HW14" s="54" t="e">
        <f t="shared" si="109"/>
        <v>#N/A</v>
      </c>
      <c r="HX14" s="69" t="str">
        <f t="shared" si="110"/>
        <v/>
      </c>
    </row>
    <row r="15" spans="1:235" x14ac:dyDescent="0.2">
      <c r="A15" s="57" t="s">
        <v>4</v>
      </c>
      <c r="B15" s="43">
        <v>0.95</v>
      </c>
      <c r="C15" s="90" t="s">
        <v>407</v>
      </c>
      <c r="H15" s="3" t="s">
        <v>416</v>
      </c>
      <c r="O15" s="57" t="s">
        <v>4</v>
      </c>
      <c r="P15" s="43">
        <v>0.95</v>
      </c>
      <c r="Q15" s="90" t="s">
        <v>1080</v>
      </c>
      <c r="V15" s="57" t="s">
        <v>4</v>
      </c>
      <c r="W15" s="43">
        <v>0.95</v>
      </c>
      <c r="X15" s="90" t="s">
        <v>407</v>
      </c>
      <c r="AC15" s="3" t="s">
        <v>416</v>
      </c>
      <c r="BE15" s="57" t="s">
        <v>157</v>
      </c>
      <c r="BF15" s="59" t="str">
        <f>INDEX(E_g_valg[Forudsætning 3],E_g_aktiv)</f>
        <v>Antal observationer er større end 30</v>
      </c>
      <c r="BG15" s="59">
        <f>INDEX(E_s_valg[Forudsætning 3],E_s_aktiv)</f>
        <v>0</v>
      </c>
      <c r="BH15" s="59" t="str">
        <f>INDEX(E_a_valg[Forudsætning 3],E_a_aktiv)</f>
        <v>Forudsætningsformlen n * p̂ * ( 1 - p̂ ) &gt; 9 er opfyldt</v>
      </c>
      <c r="BI15" s="59" t="str">
        <f>INDEX(E_i_valg[Forudsætning 3],E_i_aktiv)</f>
        <v>Forudsætningsformlen λ̂ * n &gt; 9 er opfyldt</v>
      </c>
      <c r="BJ15" s="59">
        <f>INDEX(E_k_valg[Forudsætning 3],E_k_aktiv)</f>
        <v>0</v>
      </c>
      <c r="BL15" s="90" t="s">
        <v>415</v>
      </c>
      <c r="BM15" s="204" t="e" cm="1">
        <f t="array" ref="BM15">IF(NOT($BF$2),INDEX(E_g_valg[p-værdi],E_g_aktiv),NA())</f>
        <v>#N/A</v>
      </c>
      <c r="BZ15" s="54">
        <f t="shared" si="36"/>
        <v>5</v>
      </c>
      <c r="CA15" s="54">
        <f>Eu_tabel_g[[#This Row],[Indeks]]+1</f>
        <v>6</v>
      </c>
      <c r="CB15" s="54">
        <f t="shared" si="37"/>
        <v>-2.9704558601923168</v>
      </c>
      <c r="CC15" s="54">
        <f t="shared" si="38"/>
        <v>4.8404744224978778E-3</v>
      </c>
      <c r="CD15" s="54" t="e">
        <f t="shared" si="39"/>
        <v>#N/A</v>
      </c>
      <c r="CE15" s="54" t="e">
        <f t="shared" si="40"/>
        <v>#N/A</v>
      </c>
      <c r="CF15" s="54" t="e">
        <f t="shared" si="41"/>
        <v>#N/A</v>
      </c>
      <c r="CG15" s="54" t="b">
        <f t="shared" si="42"/>
        <v>1</v>
      </c>
      <c r="CH15" s="54" t="b">
        <f t="shared" si="43"/>
        <v>0</v>
      </c>
      <c r="CI15" s="54" t="b">
        <f t="shared" si="44"/>
        <v>1</v>
      </c>
      <c r="CJ15" s="54" t="b">
        <f t="shared" si="45"/>
        <v>0</v>
      </c>
      <c r="CK15" s="54">
        <f t="shared" si="111"/>
        <v>4.8404744224978778E-3</v>
      </c>
      <c r="CL15" s="54">
        <f t="shared" si="47"/>
        <v>4.8404744224978778E-3</v>
      </c>
      <c r="CM15" s="54" t="e">
        <f t="shared" si="48"/>
        <v>#N/A</v>
      </c>
      <c r="CN15" s="69" t="str">
        <f t="shared" si="49"/>
        <v/>
      </c>
      <c r="CO15" s="54">
        <f>_xlfn.NORM.DIST(_xlfn.NORM.INV(1-Eu_g_konfidensniveau,0,1)-Eu_tabel_g[[#This Row],[x base]],0,1,TRUE)</f>
        <v>0.90751425694156995</v>
      </c>
      <c r="CP15" s="54">
        <f>1-_xlfn.NORM.DIST(_xlfn.NORM.INV(Eu_g_konfidensniveau,0,1)-Eu_tabel_g[[#This Row],[x base]],0,1,TRUE)</f>
        <v>1.9625497901243349E-6</v>
      </c>
      <c r="CQ15" s="54">
        <f>_xlfn.NORM.DIST(_xlfn.NORM.INV((1-Eu_g_konfidensniveau)/2,0,1)-Eu_tabel_g[[#This Row],[x base]],0,1,TRUE)+1-_xlfn.NORM.DIST(_xlfn.NORM.INV(1-(1-Eu_g_konfidensniveau)/2,0,1)-Eu_tabel_g[[#This Row],[x base]],0,1,TRUE)</f>
        <v>0.84387056532820104</v>
      </c>
      <c r="CR15" s="54" t="e" cm="1">
        <f t="array" ref="CR15">IF($CR$3,INDEX(Eu_tabel_g[[#This Row],[Styrke venstre]:[Styrke tosidet]],CR$7),NA())</f>
        <v>#N/A</v>
      </c>
      <c r="CS15" s="89" t="e">
        <f>Eu_tabel_g[[#This Row],[Falsk positiv
Nulhypotese accepteres
Fejltype 1]]</f>
        <v>#N/A</v>
      </c>
      <c r="CT15" s="89" t="e">
        <f>IF(CHOOSE(CR$7,Eu_tabel_g[[#This Row],[x base]]&gt;0,Eu_tabel_g[[#This Row],[x base]]&lt;0,Eu_tabel_g[[#This Row],[x base]]=0),Eu_tabel_g[[#This Row],[Styrke, aktiv]],NA())</f>
        <v>#N/A</v>
      </c>
      <c r="CU15" s="89" t="e">
        <f>IFERROR(IF($CR$3,Eu_tabel_g[[#This Row],[Styrke, aktiv]],NA()),NA())</f>
        <v>#N/A</v>
      </c>
      <c r="CV15" s="89" t="e">
        <f>IF(ISNA(Eu_tabel_g[[#This Row],[Sand negativ
Nulhypotese afvises
Korrekt]]),NA(),IF($CR$3,1,NA()))</f>
        <v>#N/A</v>
      </c>
      <c r="CW15" s="56" t="str" cm="1">
        <f t="array" ref="CW15">_xlfn.SWITCH(BZ15,_xlfn.IFNA(CU$2,-99),CU$5,_xlfn.IFNA(CU$3,-99),CU$6,_xlfn.IFNA(CU$4,-99),CU$7,"")</f>
        <v/>
      </c>
      <c r="DA15" s="7">
        <f t="shared" si="50"/>
        <v>0.80000000000000027</v>
      </c>
      <c r="DB15">
        <f>IF(ROW(Styrkeberegning_G[[#This Row],[X base venstre]])=ROW(Styrkeberegning_G[[#Headers],[X base venstre]])+1,DB$7/(DA$7/$B$67),DB14/(DA14/$B$67))</f>
        <v>-2.8015817870135789</v>
      </c>
      <c r="DC15">
        <f>Styrkeberegning_G[[#This Row],[X base venstre]]*-1</f>
        <v>2.8015817870135789</v>
      </c>
      <c r="DN15" s="54">
        <f t="shared" si="51"/>
        <v>5</v>
      </c>
      <c r="DO15" s="54">
        <f t="shared" si="52"/>
        <v>6</v>
      </c>
      <c r="DP15" s="54">
        <f t="shared" si="53"/>
        <v>2.4042069467386953</v>
      </c>
      <c r="DQ15" s="54" t="e">
        <f t="shared" si="54"/>
        <v>#N/A</v>
      </c>
      <c r="DR15" s="54" t="e">
        <f t="shared" si="55"/>
        <v>#N/A</v>
      </c>
      <c r="DS15" s="54">
        <f t="shared" si="56"/>
        <v>6.5733183610466994E-3</v>
      </c>
      <c r="DT15" s="54" t="e">
        <f t="shared" si="57"/>
        <v>#N/A</v>
      </c>
      <c r="DU15" s="54" t="b">
        <f t="shared" si="58"/>
        <v>1</v>
      </c>
      <c r="DV15" s="54" t="b">
        <f t="shared" si="59"/>
        <v>0</v>
      </c>
      <c r="DW15" s="54" t="b">
        <f t="shared" si="60"/>
        <v>1</v>
      </c>
      <c r="DX15" s="54" t="b">
        <f t="shared" si="61"/>
        <v>0</v>
      </c>
      <c r="DY15" s="54">
        <f t="shared" si="62"/>
        <v>6.5733183610466994E-3</v>
      </c>
      <c r="DZ15" s="54">
        <f t="shared" si="63"/>
        <v>6.5733183610466994E-3</v>
      </c>
      <c r="EA15" s="54" t="e">
        <f t="shared" si="64"/>
        <v>#N/A</v>
      </c>
      <c r="EB15" s="69" t="str">
        <f t="shared" si="65"/>
        <v/>
      </c>
      <c r="EG15" s="54">
        <f t="shared" si="66"/>
        <v>5</v>
      </c>
      <c r="EH15" s="54">
        <f t="shared" si="67"/>
        <v>6</v>
      </c>
      <c r="EI15" s="54">
        <f t="shared" si="68"/>
        <v>-2.9704558601923168</v>
      </c>
      <c r="EJ15" s="54">
        <f t="shared" si="69"/>
        <v>4.8404744224978778E-3</v>
      </c>
      <c r="EK15" s="54" t="e">
        <f t="shared" si="70"/>
        <v>#N/A</v>
      </c>
      <c r="EL15" s="54" t="e">
        <f t="shared" si="71"/>
        <v>#N/A</v>
      </c>
      <c r="EM15" s="54" t="e">
        <f t="shared" si="72"/>
        <v>#N/A</v>
      </c>
      <c r="EN15" s="54" t="b">
        <f t="shared" si="73"/>
        <v>1</v>
      </c>
      <c r="EO15" s="54" t="b">
        <f t="shared" si="74"/>
        <v>0</v>
      </c>
      <c r="EP15" s="54" t="b">
        <f t="shared" si="75"/>
        <v>1</v>
      </c>
      <c r="EQ15" s="54" t="b">
        <f t="shared" si="76"/>
        <v>0</v>
      </c>
      <c r="ER15" s="54">
        <f t="shared" si="77"/>
        <v>4.8404744224978778E-3</v>
      </c>
      <c r="ES15" s="54">
        <f t="shared" si="78"/>
        <v>4.8404744224978778E-3</v>
      </c>
      <c r="ET15" s="54" t="e">
        <f t="shared" si="79"/>
        <v>#N/A</v>
      </c>
      <c r="EU15" s="69" t="str">
        <f t="shared" si="80"/>
        <v/>
      </c>
      <c r="EV1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5" s="54" t="e" cm="1">
        <f t="array" ref="EY15">IF($CR$3,INDEX(Eu_tabel_a[[#This Row],[Styrke venstre]:[Styrke tosidet]],EY$7),NA())</f>
        <v>#N/A</v>
      </c>
      <c r="EZ15" s="54" t="e">
        <f>IF(EY$3,IF(CHOOSE(EY$7,Eu_tabel_a[[#This Row],[x base]]&gt;0,Eu_tabel_a[[#This Row],[x base]]&lt;0,Eu_tabel_a[[#This Row],[x base]]=0),1,NA()),NA())</f>
        <v>#N/A</v>
      </c>
      <c r="FA15" s="54" t="e">
        <f>IF(CHOOSE(EY$7,Eu_tabel_a[[#This Row],[x base]]&gt;0,Eu_tabel_a[[#This Row],[x base]]&lt;0,Eu_tabel_a[[#This Row],[x base]]=0),Eu_tabel_a[[#This Row],[Styrke, aktiv]],NA())</f>
        <v>#N/A</v>
      </c>
      <c r="FB15" s="54" t="e">
        <f>IFERROR(IF($EY$3,Eu_tabel_a[[#This Row],[Styrke, aktiv]],NA()),NA())</f>
        <v>#N/A</v>
      </c>
      <c r="FC15" s="54" t="e">
        <f>IF(ISNA(Eu_tabel_a[[#This Row],[Sand negativ
Nulhypotese afvises
Korrekt]]),NA(),IF(EY$3,1,NA()))</f>
        <v>#N/A</v>
      </c>
      <c r="FD15" s="55" t="str" cm="1">
        <f t="array" ref="FD15">IFERROR(_xlfn.SWITCH(Eu_tabel_a[[#This Row],[Indeks]],_xlfn.IFNA(FB$2,-99),FB$5,_xlfn.IFNA(FB$3,-99),FB$6,_xlfn.IFNA(FB$4,-99),FB$7,""),"")</f>
        <v/>
      </c>
      <c r="FE15" s="54">
        <f>Eu_tabel_a[[#This Row],[x base]]*SQRT(Eu_a_h0_x*(1-Eu_a_h0_x)/Eu_a_n_x)+Eu_a_h0_x</f>
        <v>0</v>
      </c>
      <c r="FJ15" s="144" t="e">
        <f t="shared" si="18"/>
        <v>#N/A</v>
      </c>
      <c r="FK15" s="152" t="e">
        <f t="shared" si="31"/>
        <v>#DIV/0!</v>
      </c>
      <c r="FL15" s="7" t="e">
        <f t="shared" si="12"/>
        <v>#DIV/0!</v>
      </c>
      <c r="FM15" t="e">
        <f t="shared" si="32"/>
        <v>#DIV/0!</v>
      </c>
      <c r="FN15" s="8" t="e">
        <f t="shared" si="33"/>
        <v>#DIV/0!</v>
      </c>
      <c r="FO15" s="8" t="e">
        <f t="shared" si="34"/>
        <v>#DIV/0!</v>
      </c>
      <c r="FP15" s="151" t="e">
        <f t="shared" si="35"/>
        <v>#DIV/0!</v>
      </c>
      <c r="FQ15" s="144" t="e">
        <f t="shared" ca="1" si="13"/>
        <v>#N/A</v>
      </c>
      <c r="FR15" s="152" t="e" vm="3">
        <f t="shared" ca="1" si="19"/>
        <v>#VALUE!</v>
      </c>
      <c r="FS15" s="7" t="e" vm="3">
        <f t="shared" ca="1" si="14"/>
        <v>#VALUE!</v>
      </c>
      <c r="FT15" t="e" vm="3">
        <f t="shared" ca="1" si="8"/>
        <v>#VALUE!</v>
      </c>
      <c r="FU15" s="8" t="e" vm="3">
        <f t="shared" ca="1" si="9"/>
        <v>#VALUE!</v>
      </c>
      <c r="FV15" s="8" t="e" vm="3">
        <f t="shared" ca="1" si="10"/>
        <v>#VALUE!</v>
      </c>
      <c r="FW15" s="151" t="e" vm="3">
        <f t="shared" ca="1" si="11"/>
        <v>#VALUE!</v>
      </c>
      <c r="FX15" s="144" t="e">
        <f t="shared" si="15"/>
        <v>#N/A</v>
      </c>
      <c r="FY15" s="152" t="e">
        <f t="shared" si="20"/>
        <v>#N/A</v>
      </c>
      <c r="FZ15" s="7" t="e">
        <f t="shared" si="16"/>
        <v>#N/A</v>
      </c>
      <c r="GA15" t="e">
        <f t="shared" si="21"/>
        <v>#N/A</v>
      </c>
      <c r="GB15" s="8" t="e">
        <f t="shared" si="22"/>
        <v>#N/A</v>
      </c>
      <c r="GC15" s="8" t="e">
        <f t="shared" si="23"/>
        <v>#N/A</v>
      </c>
      <c r="GD15" s="151" t="e">
        <f t="shared" si="24"/>
        <v>#N/A</v>
      </c>
      <c r="GE15" s="144" t="e">
        <f t="shared" si="25"/>
        <v>#N/A</v>
      </c>
      <c r="GF15" s="152" t="e">
        <f t="shared" si="26"/>
        <v>#N/A</v>
      </c>
      <c r="GG15" s="7" t="e">
        <f t="shared" si="17"/>
        <v>#N/A</v>
      </c>
      <c r="GH15" t="e">
        <f t="shared" si="27"/>
        <v>#N/A</v>
      </c>
      <c r="GI15" s="8" t="e">
        <f t="shared" si="28"/>
        <v>#N/A</v>
      </c>
      <c r="GJ15" s="8" t="e">
        <f t="shared" si="29"/>
        <v>#N/A</v>
      </c>
      <c r="GK15" s="151" t="e">
        <f t="shared" si="30"/>
        <v>#N/A</v>
      </c>
      <c r="GL15" s="151"/>
      <c r="GM15" s="151"/>
      <c r="GP15" s="54">
        <f t="shared" si="81"/>
        <v>5</v>
      </c>
      <c r="GQ15" s="54">
        <f t="shared" si="82"/>
        <v>6</v>
      </c>
      <c r="GR15" s="54">
        <f t="shared" si="83"/>
        <v>-2.9704558601923168</v>
      </c>
      <c r="GS15" s="54">
        <f t="shared" si="84"/>
        <v>4.8404744224978778E-3</v>
      </c>
      <c r="GT15" s="54" t="e">
        <f t="shared" si="85"/>
        <v>#N/A</v>
      </c>
      <c r="GU15" s="54" t="e">
        <f t="shared" si="86"/>
        <v>#N/A</v>
      </c>
      <c r="GV15" s="54" t="e">
        <f t="shared" si="87"/>
        <v>#N/A</v>
      </c>
      <c r="GW15" s="54" t="b">
        <f t="shared" si="88"/>
        <v>1</v>
      </c>
      <c r="GX15" s="54" t="b">
        <f t="shared" si="89"/>
        <v>0</v>
      </c>
      <c r="GY15" s="54" t="b">
        <f t="shared" si="90"/>
        <v>1</v>
      </c>
      <c r="GZ15" s="54" t="b">
        <f t="shared" si="91"/>
        <v>0</v>
      </c>
      <c r="HA15" s="54">
        <f t="shared" si="92"/>
        <v>4.8404744224978778E-3</v>
      </c>
      <c r="HB15" s="54">
        <f t="shared" si="93"/>
        <v>4.8404744224978778E-3</v>
      </c>
      <c r="HC15" s="54" t="e">
        <f t="shared" si="94"/>
        <v>#N/A</v>
      </c>
      <c r="HD15" s="69" t="str">
        <f t="shared" si="95"/>
        <v/>
      </c>
      <c r="HJ15" s="54">
        <f t="shared" si="96"/>
        <v>5</v>
      </c>
      <c r="HK15" s="54">
        <f t="shared" si="97"/>
        <v>6</v>
      </c>
      <c r="HL15" s="54">
        <f t="shared" si="98"/>
        <v>-4.599813286443049</v>
      </c>
      <c r="HM15" s="54" t="e">
        <f t="shared" si="99"/>
        <v>#N/A</v>
      </c>
      <c r="HN15" s="54">
        <f t="shared" si="100"/>
        <v>1.4703428466840097E-3</v>
      </c>
      <c r="HO15" s="54" t="e">
        <f t="shared" si="101"/>
        <v>#N/A</v>
      </c>
      <c r="HP15" s="54" t="e">
        <f t="shared" si="102"/>
        <v>#N/A</v>
      </c>
      <c r="HQ15" s="54" t="b">
        <f t="shared" si="103"/>
        <v>1</v>
      </c>
      <c r="HR15" s="54" t="b">
        <f t="shared" si="104"/>
        <v>0</v>
      </c>
      <c r="HS15" s="54" t="b">
        <f t="shared" si="105"/>
        <v>1</v>
      </c>
      <c r="HT15" s="54" t="b">
        <f t="shared" si="106"/>
        <v>0</v>
      </c>
      <c r="HU15" s="54">
        <f t="shared" si="107"/>
        <v>1.4703428466840097E-3</v>
      </c>
      <c r="HV15" s="54">
        <f t="shared" si="108"/>
        <v>1.4703428466840097E-3</v>
      </c>
      <c r="HW15" s="54" t="e">
        <f t="shared" si="109"/>
        <v>#N/A</v>
      </c>
      <c r="HX15" s="69" t="str">
        <f t="shared" si="110"/>
        <v/>
      </c>
    </row>
    <row r="16" spans="1:235" x14ac:dyDescent="0.2">
      <c r="A16" s="57" t="s">
        <v>408</v>
      </c>
      <c r="B16" s="74">
        <v>1</v>
      </c>
      <c r="C16" s="92" cm="1">
        <f t="array" ref="C16">IFERROR(IF(BF2,INDEX(E_g_valg[Stikprøvestørrelse for ønsket fejlmargin],E_g_aktiv),NA()),NA())</f>
        <v>72</v>
      </c>
      <c r="H16" s="57" t="s">
        <v>4</v>
      </c>
      <c r="I16" s="43">
        <v>0.95</v>
      </c>
      <c r="O16" s="57" t="s">
        <v>408</v>
      </c>
      <c r="P16" s="75">
        <v>0.01</v>
      </c>
      <c r="Q16" s="92" cm="1">
        <f t="array" ref="Q16">IFERROR(IF(BH2,INDEX(E_a_valg[Stikprøvestørrelse for ønsket fejlmargin],E_a_aktiv),NA()),NA())</f>
        <v>9337</v>
      </c>
      <c r="V16" s="57" t="s">
        <v>408</v>
      </c>
      <c r="W16" s="74">
        <v>1</v>
      </c>
      <c r="X16" s="92" cm="1">
        <f t="array" ref="X16">IFERROR(IF(BI2,INDEX(E_i_valg[Stikprøvestørrelse for ønsket fejlmargin],E_i_aktiv),NA()),NA())</f>
        <v>8</v>
      </c>
      <c r="AC16" s="57" t="s">
        <v>4</v>
      </c>
      <c r="AD16" s="43">
        <v>0.95</v>
      </c>
      <c r="BE16" s="57" t="s">
        <v>162</v>
      </c>
      <c r="BF16" s="59" t="str">
        <f>INDEX(E_g_valg[Forudsætning 4],E_g_aktiv)</f>
        <v>Standardafvigelse i populationen er ikke kendt</v>
      </c>
      <c r="BG16" s="59" t="str">
        <f>INDEX(E_s_valg[Forudsætning 4],E_s_aktiv)</f>
        <v>Populationen er normalfordelt</v>
      </c>
      <c r="BH16" s="59">
        <f>INDEX(E_a_valg[Forudsætning 4],E_a_aktiv)</f>
        <v>0</v>
      </c>
      <c r="BI16" s="59">
        <f>INDEX(E_i_valg[Forudsætning 4],E_i_aktiv)</f>
        <v>0</v>
      </c>
      <c r="BJ16" s="59">
        <f>INDEX(E_k_valg[Forudsætning 4],E_k_aktiv)</f>
        <v>0</v>
      </c>
      <c r="BL16" s="90" t="s">
        <v>455</v>
      </c>
      <c r="BM16" s="204" t="e" cm="1">
        <f t="array" ref="BM16">IF(NOT($BF$2),IF(INDEX(E_g_valg[Nulhypotese kan ikke afvises],E_g_aktiv),"Nulhypotese kan ikke afvises","Nulhypotese afvises"),NA())</f>
        <v>#N/A</v>
      </c>
      <c r="BZ16" s="54">
        <f t="shared" si="36"/>
        <v>6</v>
      </c>
      <c r="CA16" s="54">
        <f>Eu_tabel_g[[#This Row],[Indeks]]+1</f>
        <v>7</v>
      </c>
      <c r="CB16" s="54">
        <f t="shared" si="37"/>
        <v>-2.9465005709972174</v>
      </c>
      <c r="CC16" s="54">
        <f t="shared" si="38"/>
        <v>5.1959731862444456E-3</v>
      </c>
      <c r="CD16" s="54" t="e">
        <f t="shared" si="39"/>
        <v>#N/A</v>
      </c>
      <c r="CE16" s="54" t="e">
        <f t="shared" si="40"/>
        <v>#N/A</v>
      </c>
      <c r="CF16" s="54" t="e">
        <f t="shared" si="41"/>
        <v>#N/A</v>
      </c>
      <c r="CG16" s="54" t="b">
        <f t="shared" si="42"/>
        <v>1</v>
      </c>
      <c r="CH16" s="54" t="b">
        <f t="shared" si="43"/>
        <v>0</v>
      </c>
      <c r="CI16" s="54" t="b">
        <f t="shared" si="44"/>
        <v>1</v>
      </c>
      <c r="CJ16" s="54" t="b">
        <f t="shared" si="45"/>
        <v>0</v>
      </c>
      <c r="CK16" s="54">
        <f t="shared" si="111"/>
        <v>5.1959731862444456E-3</v>
      </c>
      <c r="CL16" s="54">
        <f t="shared" si="47"/>
        <v>5.1959731862444456E-3</v>
      </c>
      <c r="CM16" s="54" t="e">
        <f t="shared" si="48"/>
        <v>#N/A</v>
      </c>
      <c r="CN16" s="69" t="str">
        <f t="shared" si="49"/>
        <v/>
      </c>
      <c r="CO16" s="54">
        <f>_xlfn.NORM.DIST(_xlfn.NORM.INV(1-Eu_g_konfidensniveau,0,1)-Eu_tabel_g[[#This Row],[x base]],0,1,TRUE)</f>
        <v>0.90348144784895701</v>
      </c>
      <c r="CP16" s="54">
        <f>1-_xlfn.NORM.DIST(_xlfn.NORM.INV(Eu_g_konfidensniveau,0,1)-Eu_tabel_g[[#This Row],[x base]],0,1,TRUE)</f>
        <v>2.2018961847170004E-6</v>
      </c>
      <c r="CQ16" s="54">
        <f>_xlfn.NORM.DIST(_xlfn.NORM.INV((1-Eu_g_konfidensniveau)/2,0,1)-Eu_tabel_g[[#This Row],[x base]],0,1,TRUE)+1-_xlfn.NORM.DIST(_xlfn.NORM.INV(1-(1-Eu_g_konfidensniveau)/2,0,1)-Eu_tabel_g[[#This Row],[x base]],0,1,TRUE)</f>
        <v>0.83806552823634373</v>
      </c>
      <c r="CR16" s="54" t="e" cm="1">
        <f t="array" ref="CR16">IF($CR$3,INDEX(Eu_tabel_g[[#This Row],[Styrke venstre]:[Styrke tosidet]],CR$7),NA())</f>
        <v>#N/A</v>
      </c>
      <c r="CS16" s="89" t="e">
        <f>Eu_tabel_g[[#This Row],[Falsk positiv
Nulhypotese accepteres
Fejltype 1]]</f>
        <v>#N/A</v>
      </c>
      <c r="CT16" s="89" t="e">
        <f>IF(CHOOSE(CR$7,Eu_tabel_g[[#This Row],[x base]]&gt;0,Eu_tabel_g[[#This Row],[x base]]&lt;0,Eu_tabel_g[[#This Row],[x base]]=0),Eu_tabel_g[[#This Row],[Styrke, aktiv]],NA())</f>
        <v>#N/A</v>
      </c>
      <c r="CU16" s="89" t="e">
        <f>IFERROR(IF($CR$3,Eu_tabel_g[[#This Row],[Styrke, aktiv]],NA()),NA())</f>
        <v>#N/A</v>
      </c>
      <c r="CV16" s="89" t="e">
        <f>IF(ISNA(Eu_tabel_g[[#This Row],[Sand negativ
Nulhypotese afvises
Korrekt]]),NA(),IF($CR$3,1,NA()))</f>
        <v>#N/A</v>
      </c>
      <c r="CW16" s="56" t="str" cm="1">
        <f t="array" ref="CW16">_xlfn.SWITCH(BZ16,_xlfn.IFNA(CU$2,-99),CU$5,_xlfn.IFNA(CU$3,-99),CU$6,_xlfn.IFNA(CU$4,-99),CU$7,"")</f>
        <v/>
      </c>
      <c r="DA16" s="7">
        <f t="shared" si="50"/>
        <v>0.8</v>
      </c>
      <c r="DB16">
        <f>IF(ROW(Styrkeberegning_G[[#This Row],[X base venstre]])=ROW(Styrkeberegning_G[[#Headers],[X base venstre]])+1,DB$7/(DA$7/$B$67),DB15/(DA15/$B$67))</f>
        <v>-2.8015817870135784</v>
      </c>
      <c r="DC16">
        <f>Styrkeberegning_G[[#This Row],[X base venstre]]*-1</f>
        <v>2.8015817870135784</v>
      </c>
      <c r="DN16" s="54">
        <f t="shared" si="51"/>
        <v>6</v>
      </c>
      <c r="DO16" s="54">
        <f t="shared" si="52"/>
        <v>7</v>
      </c>
      <c r="DP16" s="54">
        <f t="shared" si="53"/>
        <v>2.5182778031556965</v>
      </c>
      <c r="DQ16" s="54" t="e">
        <f t="shared" si="54"/>
        <v>#N/A</v>
      </c>
      <c r="DR16" s="54" t="e">
        <f t="shared" si="55"/>
        <v>#N/A</v>
      </c>
      <c r="DS16" s="54">
        <f t="shared" si="56"/>
        <v>7.6490508688432726E-3</v>
      </c>
      <c r="DT16" s="54" t="e">
        <f t="shared" si="57"/>
        <v>#N/A</v>
      </c>
      <c r="DU16" s="54" t="b">
        <f t="shared" si="58"/>
        <v>1</v>
      </c>
      <c r="DV16" s="54" t="b">
        <f t="shared" si="59"/>
        <v>0</v>
      </c>
      <c r="DW16" s="54" t="b">
        <f t="shared" si="60"/>
        <v>1</v>
      </c>
      <c r="DX16" s="54" t="b">
        <f t="shared" si="61"/>
        <v>0</v>
      </c>
      <c r="DY16" s="54">
        <f t="shared" si="62"/>
        <v>7.6490508688432726E-3</v>
      </c>
      <c r="DZ16" s="54">
        <f t="shared" si="63"/>
        <v>7.6490508688432726E-3</v>
      </c>
      <c r="EA16" s="54" t="e">
        <f t="shared" si="64"/>
        <v>#N/A</v>
      </c>
      <c r="EB16" s="69" t="str">
        <f t="shared" si="65"/>
        <v/>
      </c>
      <c r="EG16" s="54">
        <f t="shared" si="66"/>
        <v>6</v>
      </c>
      <c r="EH16" s="54">
        <f t="shared" si="67"/>
        <v>7</v>
      </c>
      <c r="EI16" s="54">
        <f t="shared" si="68"/>
        <v>-2.9465005709972174</v>
      </c>
      <c r="EJ16" s="54">
        <f t="shared" si="69"/>
        <v>5.1959731862444456E-3</v>
      </c>
      <c r="EK16" s="54" t="e">
        <f t="shared" si="70"/>
        <v>#N/A</v>
      </c>
      <c r="EL16" s="54" t="e">
        <f t="shared" si="71"/>
        <v>#N/A</v>
      </c>
      <c r="EM16" s="54" t="e">
        <f t="shared" si="72"/>
        <v>#N/A</v>
      </c>
      <c r="EN16" s="54" t="b">
        <f t="shared" si="73"/>
        <v>1</v>
      </c>
      <c r="EO16" s="54" t="b">
        <f t="shared" si="74"/>
        <v>0</v>
      </c>
      <c r="EP16" s="54" t="b">
        <f t="shared" si="75"/>
        <v>1</v>
      </c>
      <c r="EQ16" s="54" t="b">
        <f t="shared" si="76"/>
        <v>0</v>
      </c>
      <c r="ER16" s="54">
        <f t="shared" si="77"/>
        <v>5.1959731862444456E-3</v>
      </c>
      <c r="ES16" s="54">
        <f t="shared" si="78"/>
        <v>5.1959731862444456E-3</v>
      </c>
      <c r="ET16" s="54" t="e">
        <f t="shared" si="79"/>
        <v>#N/A</v>
      </c>
      <c r="EU16" s="69" t="str">
        <f t="shared" si="80"/>
        <v/>
      </c>
      <c r="EV1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6" s="54" t="e" cm="1">
        <f t="array" ref="EY16">IF($CR$3,INDEX(Eu_tabel_a[[#This Row],[Styrke venstre]:[Styrke tosidet]],EY$7),NA())</f>
        <v>#N/A</v>
      </c>
      <c r="EZ16" s="54" t="e">
        <f>IF(EY$3,IF(CHOOSE(EY$7,Eu_tabel_a[[#This Row],[x base]]&gt;0,Eu_tabel_a[[#This Row],[x base]]&lt;0,Eu_tabel_a[[#This Row],[x base]]=0),1,NA()),NA())</f>
        <v>#N/A</v>
      </c>
      <c r="FA16" s="54" t="e">
        <f>IF(CHOOSE(EY$7,Eu_tabel_a[[#This Row],[x base]]&gt;0,Eu_tabel_a[[#This Row],[x base]]&lt;0,Eu_tabel_a[[#This Row],[x base]]=0),Eu_tabel_a[[#This Row],[Styrke, aktiv]],NA())</f>
        <v>#N/A</v>
      </c>
      <c r="FB16" s="54" t="e">
        <f>IFERROR(IF($EY$3,Eu_tabel_a[[#This Row],[Styrke, aktiv]],NA()),NA())</f>
        <v>#N/A</v>
      </c>
      <c r="FC16" s="54" t="e">
        <f>IF(ISNA(Eu_tabel_a[[#This Row],[Sand negativ
Nulhypotese afvises
Korrekt]]),NA(),IF(EY$3,1,NA()))</f>
        <v>#N/A</v>
      </c>
      <c r="FD16" s="55" t="str" cm="1">
        <f t="array" ref="FD16">IFERROR(_xlfn.SWITCH(Eu_tabel_a[[#This Row],[Indeks]],_xlfn.IFNA(FB$2,-99),FB$5,_xlfn.IFNA(FB$3,-99),FB$6,_xlfn.IFNA(FB$4,-99),FB$7,""),"")</f>
        <v/>
      </c>
      <c r="FE16" s="54">
        <f>Eu_tabel_a[[#This Row],[x base]]*SQRT(Eu_a_h0_x*(1-Eu_a_h0_x)/Eu_a_n_x)+Eu_a_h0_x</f>
        <v>0</v>
      </c>
      <c r="FJ16" s="144" t="e">
        <f t="shared" si="18"/>
        <v>#N/A</v>
      </c>
      <c r="FK16" s="152" t="e">
        <f t="shared" si="31"/>
        <v>#DIV/0!</v>
      </c>
      <c r="FL16" s="7" t="e">
        <f t="shared" si="12"/>
        <v>#DIV/0!</v>
      </c>
      <c r="FM16" t="e">
        <f t="shared" si="32"/>
        <v>#DIV/0!</v>
      </c>
      <c r="FN16" s="8" t="e">
        <f t="shared" si="33"/>
        <v>#DIV/0!</v>
      </c>
      <c r="FO16" s="8" t="e">
        <f t="shared" si="34"/>
        <v>#DIV/0!</v>
      </c>
      <c r="FP16" s="151" t="e">
        <f t="shared" si="35"/>
        <v>#DIV/0!</v>
      </c>
      <c r="FQ16" s="144" t="e">
        <f t="shared" ca="1" si="13"/>
        <v>#N/A</v>
      </c>
      <c r="FR16" s="152" t="e" vm="3">
        <f t="shared" ca="1" si="19"/>
        <v>#VALUE!</v>
      </c>
      <c r="FS16" s="7" t="e" vm="3">
        <f t="shared" ca="1" si="14"/>
        <v>#VALUE!</v>
      </c>
      <c r="FT16" t="e" vm="3">
        <f t="shared" ca="1" si="8"/>
        <v>#VALUE!</v>
      </c>
      <c r="FU16" s="8" t="e" vm="3">
        <f t="shared" ca="1" si="9"/>
        <v>#VALUE!</v>
      </c>
      <c r="FV16" s="8" t="e" vm="3">
        <f t="shared" ca="1" si="10"/>
        <v>#VALUE!</v>
      </c>
      <c r="FW16" s="151" t="e" vm="3">
        <f t="shared" ca="1" si="11"/>
        <v>#VALUE!</v>
      </c>
      <c r="FX16" s="144" t="e">
        <f t="shared" si="15"/>
        <v>#N/A</v>
      </c>
      <c r="FY16" s="152" t="e">
        <f t="shared" si="20"/>
        <v>#N/A</v>
      </c>
      <c r="FZ16" s="7" t="e">
        <f t="shared" si="16"/>
        <v>#N/A</v>
      </c>
      <c r="GA16" t="e">
        <f t="shared" si="21"/>
        <v>#N/A</v>
      </c>
      <c r="GB16" s="8" t="e">
        <f t="shared" si="22"/>
        <v>#N/A</v>
      </c>
      <c r="GC16" s="8" t="e">
        <f t="shared" si="23"/>
        <v>#N/A</v>
      </c>
      <c r="GD16" s="151" t="e">
        <f t="shared" si="24"/>
        <v>#N/A</v>
      </c>
      <c r="GE16" s="144" t="e">
        <f t="shared" si="25"/>
        <v>#N/A</v>
      </c>
      <c r="GF16" s="152" t="e">
        <f t="shared" si="26"/>
        <v>#N/A</v>
      </c>
      <c r="GG16" s="7" t="e">
        <f t="shared" si="17"/>
        <v>#N/A</v>
      </c>
      <c r="GH16" t="e">
        <f t="shared" si="27"/>
        <v>#N/A</v>
      </c>
      <c r="GI16" s="8" t="e">
        <f t="shared" si="28"/>
        <v>#N/A</v>
      </c>
      <c r="GJ16" s="8" t="e">
        <f t="shared" si="29"/>
        <v>#N/A</v>
      </c>
      <c r="GK16" s="151" t="e">
        <f t="shared" si="30"/>
        <v>#N/A</v>
      </c>
      <c r="GL16" s="151"/>
      <c r="GM16" s="151"/>
      <c r="GP16" s="54">
        <f t="shared" si="81"/>
        <v>6</v>
      </c>
      <c r="GQ16" s="54">
        <f t="shared" si="82"/>
        <v>7</v>
      </c>
      <c r="GR16" s="54">
        <f t="shared" si="83"/>
        <v>-2.9465005709972174</v>
      </c>
      <c r="GS16" s="54">
        <f t="shared" si="84"/>
        <v>5.1959731862444456E-3</v>
      </c>
      <c r="GT16" s="54" t="e">
        <f t="shared" si="85"/>
        <v>#N/A</v>
      </c>
      <c r="GU16" s="54" t="e">
        <f t="shared" si="86"/>
        <v>#N/A</v>
      </c>
      <c r="GV16" s="54" t="e">
        <f t="shared" si="87"/>
        <v>#N/A</v>
      </c>
      <c r="GW16" s="54" t="b">
        <f t="shared" si="88"/>
        <v>1</v>
      </c>
      <c r="GX16" s="54" t="b">
        <f t="shared" si="89"/>
        <v>0</v>
      </c>
      <c r="GY16" s="54" t="b">
        <f t="shared" si="90"/>
        <v>1</v>
      </c>
      <c r="GZ16" s="54" t="b">
        <f t="shared" si="91"/>
        <v>0</v>
      </c>
      <c r="HA16" s="54">
        <f t="shared" si="92"/>
        <v>5.1959731862444456E-3</v>
      </c>
      <c r="HB16" s="54">
        <f t="shared" si="93"/>
        <v>5.1959731862444456E-3</v>
      </c>
      <c r="HC16" s="54" t="e">
        <f t="shared" si="94"/>
        <v>#N/A</v>
      </c>
      <c r="HD16" s="69" t="str">
        <f t="shared" si="95"/>
        <v/>
      </c>
      <c r="HJ16" s="54">
        <f t="shared" si="96"/>
        <v>6</v>
      </c>
      <c r="HK16" s="54">
        <f t="shared" si="97"/>
        <v>7</v>
      </c>
      <c r="HL16" s="54">
        <f t="shared" si="98"/>
        <v>-4.5627180180039923</v>
      </c>
      <c r="HM16" s="54" t="e">
        <f t="shared" si="99"/>
        <v>#N/A</v>
      </c>
      <c r="HN16" s="54">
        <f t="shared" si="100"/>
        <v>1.5435294614151312E-3</v>
      </c>
      <c r="HO16" s="54" t="e">
        <f t="shared" si="101"/>
        <v>#N/A</v>
      </c>
      <c r="HP16" s="54" t="e">
        <f t="shared" si="102"/>
        <v>#N/A</v>
      </c>
      <c r="HQ16" s="54" t="b">
        <f t="shared" si="103"/>
        <v>1</v>
      </c>
      <c r="HR16" s="54" t="b">
        <f t="shared" si="104"/>
        <v>0</v>
      </c>
      <c r="HS16" s="54" t="b">
        <f t="shared" si="105"/>
        <v>1</v>
      </c>
      <c r="HT16" s="54" t="b">
        <f t="shared" si="106"/>
        <v>0</v>
      </c>
      <c r="HU16" s="54">
        <f t="shared" si="107"/>
        <v>1.5435294614151312E-3</v>
      </c>
      <c r="HV16" s="54">
        <f t="shared" si="108"/>
        <v>1.5435294614151312E-3</v>
      </c>
      <c r="HW16" s="54" t="e">
        <f t="shared" si="109"/>
        <v>#N/A</v>
      </c>
      <c r="HX16" s="69" t="str">
        <f t="shared" si="110"/>
        <v/>
      </c>
    </row>
    <row r="17" spans="57:232" x14ac:dyDescent="0.2">
      <c r="BE17" s="90" t="s">
        <v>430</v>
      </c>
      <c r="BF17" s="57" t="s">
        <v>430</v>
      </c>
      <c r="BG17" s="57" t="s">
        <v>430</v>
      </c>
      <c r="BH17" s="57" t="s">
        <v>430</v>
      </c>
      <c r="BI17" s="57" t="s">
        <v>430</v>
      </c>
      <c r="BJ17" s="57" t="s">
        <v>430</v>
      </c>
      <c r="BZ17" s="54">
        <f t="shared" si="36"/>
        <v>7</v>
      </c>
      <c r="CA17" s="54">
        <f>Eu_tabel_g[[#This Row],[Indeks]]+1</f>
        <v>8</v>
      </c>
      <c r="CB17" s="54">
        <f t="shared" si="37"/>
        <v>-2.922545281802118</v>
      </c>
      <c r="CC17" s="54">
        <f t="shared" si="38"/>
        <v>5.5743810217063422E-3</v>
      </c>
      <c r="CD17" s="54" t="e">
        <f t="shared" si="39"/>
        <v>#N/A</v>
      </c>
      <c r="CE17" s="54" t="e">
        <f t="shared" si="40"/>
        <v>#N/A</v>
      </c>
      <c r="CF17" s="54" t="e">
        <f t="shared" si="41"/>
        <v>#N/A</v>
      </c>
      <c r="CG17" s="54" t="b">
        <f t="shared" si="42"/>
        <v>1</v>
      </c>
      <c r="CH17" s="54" t="b">
        <f t="shared" si="43"/>
        <v>0</v>
      </c>
      <c r="CI17" s="54" t="b">
        <f t="shared" si="44"/>
        <v>1</v>
      </c>
      <c r="CJ17" s="54" t="b">
        <f t="shared" si="45"/>
        <v>0</v>
      </c>
      <c r="CK17" s="54">
        <f t="shared" si="111"/>
        <v>5.5743810217063422E-3</v>
      </c>
      <c r="CL17" s="54">
        <f t="shared" si="47"/>
        <v>5.5743810217063422E-3</v>
      </c>
      <c r="CM17" s="54" t="e">
        <f t="shared" si="48"/>
        <v>#N/A</v>
      </c>
      <c r="CN17" s="69" t="str">
        <f t="shared" si="49"/>
        <v/>
      </c>
      <c r="CO17" s="54">
        <f>_xlfn.NORM.DIST(_xlfn.NORM.INV(1-Eu_g_konfidensniveau,0,1)-Eu_tabel_g[[#This Row],[x base]],0,1,TRUE)</f>
        <v>0.89932091557589511</v>
      </c>
      <c r="CP17" s="54">
        <f>1-_xlfn.NORM.DIST(_xlfn.NORM.INV(Eu_g_konfidensniveau,0,1)-Eu_tabel_g[[#This Row],[x base]],0,1,TRUE)</f>
        <v>2.4690684962136444E-6</v>
      </c>
      <c r="CQ17" s="54">
        <f>_xlfn.NORM.DIST(_xlfn.NORM.INV((1-Eu_g_konfidensniveau)/2,0,1)-Eu_tabel_g[[#This Row],[x base]],0,1,TRUE)+1-_xlfn.NORM.DIST(_xlfn.NORM.INV(1-(1-Eu_g_konfidensniveau)/2,0,1)-Eu_tabel_g[[#This Row],[x base]],0,1,TRUE)</f>
        <v>0.83212168021726474</v>
      </c>
      <c r="CR17" s="54" t="e" cm="1">
        <f t="array" ref="CR17">IF($CR$3,INDEX(Eu_tabel_g[[#This Row],[Styrke venstre]:[Styrke tosidet]],CR$7),NA())</f>
        <v>#N/A</v>
      </c>
      <c r="CS17" s="89" t="e">
        <f>Eu_tabel_g[[#This Row],[Falsk positiv
Nulhypotese accepteres
Fejltype 1]]</f>
        <v>#N/A</v>
      </c>
      <c r="CT17" s="89" t="e">
        <f>IF(CHOOSE(CR$7,Eu_tabel_g[[#This Row],[x base]]&gt;0,Eu_tabel_g[[#This Row],[x base]]&lt;0,Eu_tabel_g[[#This Row],[x base]]=0),Eu_tabel_g[[#This Row],[Styrke, aktiv]],NA())</f>
        <v>#N/A</v>
      </c>
      <c r="CU17" s="89" t="e">
        <f>IFERROR(IF($CR$3,Eu_tabel_g[[#This Row],[Styrke, aktiv]],NA()),NA())</f>
        <v>#N/A</v>
      </c>
      <c r="CV17" s="89" t="e">
        <f>IF(ISNA(Eu_tabel_g[[#This Row],[Sand negativ
Nulhypotese afvises
Korrekt]]),NA(),IF($CR$3,1,NA()))</f>
        <v>#N/A</v>
      </c>
      <c r="CW17" s="56" t="str" cm="1">
        <f t="array" ref="CW17">_xlfn.SWITCH(BZ17,_xlfn.IFNA(CU$2,-99),CU$5,_xlfn.IFNA(CU$3,-99),CU$6,_xlfn.IFNA(CU$4,-99),CU$7,"")</f>
        <v/>
      </c>
      <c r="DA17" s="7">
        <f t="shared" si="50"/>
        <v>0.8</v>
      </c>
      <c r="DB17">
        <f>IF(ROW(Styrkeberegning_G[[#This Row],[X base venstre]])=ROW(Styrkeberegning_G[[#Headers],[X base venstre]])+1,DB$7/(DA$7/$B$67),DB16/(DA16/$B$67))</f>
        <v>-2.8015817870135784</v>
      </c>
      <c r="DC17">
        <f>Styrkeberegning_G[[#This Row],[X base venstre]]*-1</f>
        <v>2.8015817870135784</v>
      </c>
      <c r="DN17" s="54">
        <f t="shared" si="51"/>
        <v>7</v>
      </c>
      <c r="DO17" s="54">
        <f t="shared" si="52"/>
        <v>8</v>
      </c>
      <c r="DP17" s="54">
        <f t="shared" si="53"/>
        <v>2.6323486595726973</v>
      </c>
      <c r="DQ17" s="54" t="e">
        <f t="shared" si="54"/>
        <v>#N/A</v>
      </c>
      <c r="DR17" s="54" t="e">
        <f t="shared" si="55"/>
        <v>#N/A</v>
      </c>
      <c r="DS17" s="54">
        <f t="shared" si="56"/>
        <v>8.8189394770563246E-3</v>
      </c>
      <c r="DT17" s="54" t="e">
        <f t="shared" si="57"/>
        <v>#N/A</v>
      </c>
      <c r="DU17" s="54" t="b">
        <f t="shared" si="58"/>
        <v>1</v>
      </c>
      <c r="DV17" s="54" t="b">
        <f t="shared" si="59"/>
        <v>0</v>
      </c>
      <c r="DW17" s="54" t="b">
        <f t="shared" si="60"/>
        <v>1</v>
      </c>
      <c r="DX17" s="54" t="b">
        <f t="shared" si="61"/>
        <v>0</v>
      </c>
      <c r="DY17" s="54">
        <f t="shared" si="62"/>
        <v>8.8189394770563246E-3</v>
      </c>
      <c r="DZ17" s="54">
        <f t="shared" si="63"/>
        <v>8.8189394770563246E-3</v>
      </c>
      <c r="EA17" s="54" t="e">
        <f t="shared" si="64"/>
        <v>#N/A</v>
      </c>
      <c r="EB17" s="69" t="str">
        <f t="shared" si="65"/>
        <v/>
      </c>
      <c r="EG17" s="54">
        <f t="shared" si="66"/>
        <v>7</v>
      </c>
      <c r="EH17" s="54">
        <f t="shared" si="67"/>
        <v>8</v>
      </c>
      <c r="EI17" s="54">
        <f t="shared" si="68"/>
        <v>-2.922545281802118</v>
      </c>
      <c r="EJ17" s="54">
        <f t="shared" si="69"/>
        <v>5.5743810217063422E-3</v>
      </c>
      <c r="EK17" s="54" t="e">
        <f t="shared" si="70"/>
        <v>#N/A</v>
      </c>
      <c r="EL17" s="54" t="e">
        <f t="shared" si="71"/>
        <v>#N/A</v>
      </c>
      <c r="EM17" s="54" t="e">
        <f t="shared" si="72"/>
        <v>#N/A</v>
      </c>
      <c r="EN17" s="54" t="b">
        <f t="shared" si="73"/>
        <v>1</v>
      </c>
      <c r="EO17" s="54" t="b">
        <f t="shared" si="74"/>
        <v>0</v>
      </c>
      <c r="EP17" s="54" t="b">
        <f t="shared" si="75"/>
        <v>1</v>
      </c>
      <c r="EQ17" s="54" t="b">
        <f t="shared" si="76"/>
        <v>0</v>
      </c>
      <c r="ER17" s="54">
        <f t="shared" si="77"/>
        <v>5.5743810217063422E-3</v>
      </c>
      <c r="ES17" s="54">
        <f t="shared" si="78"/>
        <v>5.5743810217063422E-3</v>
      </c>
      <c r="ET17" s="54" t="e">
        <f t="shared" si="79"/>
        <v>#N/A</v>
      </c>
      <c r="EU17" s="69" t="str">
        <f t="shared" si="80"/>
        <v/>
      </c>
      <c r="EV1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7" s="54" t="e" cm="1">
        <f t="array" ref="EY17">IF($CR$3,INDEX(Eu_tabel_a[[#This Row],[Styrke venstre]:[Styrke tosidet]],EY$7),NA())</f>
        <v>#N/A</v>
      </c>
      <c r="EZ17" s="54" t="e">
        <f>IF(EY$3,IF(CHOOSE(EY$7,Eu_tabel_a[[#This Row],[x base]]&gt;0,Eu_tabel_a[[#This Row],[x base]]&lt;0,Eu_tabel_a[[#This Row],[x base]]=0),1,NA()),NA())</f>
        <v>#N/A</v>
      </c>
      <c r="FA17" s="54" t="e">
        <f>IF(CHOOSE(EY$7,Eu_tabel_a[[#This Row],[x base]]&gt;0,Eu_tabel_a[[#This Row],[x base]]&lt;0,Eu_tabel_a[[#This Row],[x base]]=0),Eu_tabel_a[[#This Row],[Styrke, aktiv]],NA())</f>
        <v>#N/A</v>
      </c>
      <c r="FB17" s="54" t="e">
        <f>IFERROR(IF($EY$3,Eu_tabel_a[[#This Row],[Styrke, aktiv]],NA()),NA())</f>
        <v>#N/A</v>
      </c>
      <c r="FC17" s="54" t="e">
        <f>IF(ISNA(Eu_tabel_a[[#This Row],[Sand negativ
Nulhypotese afvises
Korrekt]]),NA(),IF(EY$3,1,NA()))</f>
        <v>#N/A</v>
      </c>
      <c r="FD17" s="55" t="str" cm="1">
        <f t="array" ref="FD17">IFERROR(_xlfn.SWITCH(Eu_tabel_a[[#This Row],[Indeks]],_xlfn.IFNA(FB$2,-99),FB$5,_xlfn.IFNA(FB$3,-99),FB$6,_xlfn.IFNA(FB$4,-99),FB$7,""),"")</f>
        <v/>
      </c>
      <c r="FE17" s="54">
        <f>Eu_tabel_a[[#This Row],[x base]]*SQRT(Eu_a_h0_x*(1-Eu_a_h0_x)/Eu_a_n_x)+Eu_a_h0_x</f>
        <v>0</v>
      </c>
      <c r="FJ17" s="144" t="e">
        <f t="shared" si="18"/>
        <v>#N/A</v>
      </c>
      <c r="FK17" s="152" t="e">
        <f t="shared" si="31"/>
        <v>#DIV/0!</v>
      </c>
      <c r="FL17" s="7" t="e">
        <f t="shared" si="12"/>
        <v>#DIV/0!</v>
      </c>
      <c r="FM17" t="e">
        <f t="shared" si="32"/>
        <v>#DIV/0!</v>
      </c>
      <c r="FN17" s="8" t="e">
        <f t="shared" si="33"/>
        <v>#DIV/0!</v>
      </c>
      <c r="FO17" s="8" t="e">
        <f t="shared" si="34"/>
        <v>#DIV/0!</v>
      </c>
      <c r="FP17" s="151" t="e">
        <f t="shared" si="35"/>
        <v>#DIV/0!</v>
      </c>
      <c r="FQ17" s="144" t="e">
        <f t="shared" ca="1" si="13"/>
        <v>#N/A</v>
      </c>
      <c r="FR17" s="152" t="e" vm="3">
        <f t="shared" ca="1" si="19"/>
        <v>#VALUE!</v>
      </c>
      <c r="FS17" s="7" t="e" vm="3">
        <f t="shared" ca="1" si="14"/>
        <v>#VALUE!</v>
      </c>
      <c r="FT17" t="e" vm="3">
        <f t="shared" ca="1" si="8"/>
        <v>#VALUE!</v>
      </c>
      <c r="FU17" s="8" t="e" vm="3">
        <f t="shared" ca="1" si="9"/>
        <v>#VALUE!</v>
      </c>
      <c r="FV17" s="8" t="e" vm="3">
        <f t="shared" ca="1" si="10"/>
        <v>#VALUE!</v>
      </c>
      <c r="FW17" s="151" t="e" vm="3">
        <f t="shared" ca="1" si="11"/>
        <v>#VALUE!</v>
      </c>
      <c r="FX17" s="144" t="e">
        <f t="shared" si="15"/>
        <v>#N/A</v>
      </c>
      <c r="FY17" s="152" t="e">
        <f t="shared" si="20"/>
        <v>#N/A</v>
      </c>
      <c r="FZ17" s="7" t="e">
        <f t="shared" si="16"/>
        <v>#N/A</v>
      </c>
      <c r="GA17" t="e">
        <f t="shared" si="21"/>
        <v>#N/A</v>
      </c>
      <c r="GB17" s="8" t="e">
        <f t="shared" si="22"/>
        <v>#N/A</v>
      </c>
      <c r="GC17" s="8" t="e">
        <f t="shared" si="23"/>
        <v>#N/A</v>
      </c>
      <c r="GD17" s="151" t="e">
        <f t="shared" si="24"/>
        <v>#N/A</v>
      </c>
      <c r="GE17" s="144" t="e">
        <f t="shared" si="25"/>
        <v>#N/A</v>
      </c>
      <c r="GF17" s="152" t="e">
        <f t="shared" si="26"/>
        <v>#N/A</v>
      </c>
      <c r="GG17" s="7" t="e">
        <f t="shared" si="17"/>
        <v>#N/A</v>
      </c>
      <c r="GH17" t="e">
        <f t="shared" si="27"/>
        <v>#N/A</v>
      </c>
      <c r="GI17" s="8" t="e">
        <f t="shared" si="28"/>
        <v>#N/A</v>
      </c>
      <c r="GJ17" s="8" t="e">
        <f t="shared" si="29"/>
        <v>#N/A</v>
      </c>
      <c r="GK17" s="151" t="e">
        <f t="shared" si="30"/>
        <v>#N/A</v>
      </c>
      <c r="GL17" s="151"/>
      <c r="GM17" s="151"/>
      <c r="GP17" s="54">
        <f t="shared" si="81"/>
        <v>7</v>
      </c>
      <c r="GQ17" s="54">
        <f t="shared" si="82"/>
        <v>8</v>
      </c>
      <c r="GR17" s="54">
        <f t="shared" si="83"/>
        <v>-2.922545281802118</v>
      </c>
      <c r="GS17" s="54">
        <f t="shared" si="84"/>
        <v>5.5743810217063422E-3</v>
      </c>
      <c r="GT17" s="54" t="e">
        <f t="shared" si="85"/>
        <v>#N/A</v>
      </c>
      <c r="GU17" s="54" t="e">
        <f t="shared" si="86"/>
        <v>#N/A</v>
      </c>
      <c r="GV17" s="54" t="e">
        <f t="shared" si="87"/>
        <v>#N/A</v>
      </c>
      <c r="GW17" s="54" t="b">
        <f t="shared" si="88"/>
        <v>1</v>
      </c>
      <c r="GX17" s="54" t="b">
        <f t="shared" si="89"/>
        <v>0</v>
      </c>
      <c r="GY17" s="54" t="b">
        <f t="shared" si="90"/>
        <v>1</v>
      </c>
      <c r="GZ17" s="54" t="b">
        <f t="shared" si="91"/>
        <v>0</v>
      </c>
      <c r="HA17" s="54">
        <f t="shared" si="92"/>
        <v>5.5743810217063422E-3</v>
      </c>
      <c r="HB17" s="54">
        <f t="shared" si="93"/>
        <v>5.5743810217063422E-3</v>
      </c>
      <c r="HC17" s="54" t="e">
        <f t="shared" si="94"/>
        <v>#N/A</v>
      </c>
      <c r="HD17" s="69" t="str">
        <f t="shared" si="95"/>
        <v/>
      </c>
      <c r="HJ17" s="54">
        <f t="shared" si="96"/>
        <v>7</v>
      </c>
      <c r="HK17" s="54">
        <f t="shared" si="97"/>
        <v>8</v>
      </c>
      <c r="HL17" s="54">
        <f t="shared" si="98"/>
        <v>-4.5256227495649348</v>
      </c>
      <c r="HM17" s="54" t="e">
        <f t="shared" si="99"/>
        <v>#N/A</v>
      </c>
      <c r="HN17" s="54">
        <f t="shared" si="100"/>
        <v>1.6206774944199514E-3</v>
      </c>
      <c r="HO17" s="54" t="e">
        <f t="shared" si="101"/>
        <v>#N/A</v>
      </c>
      <c r="HP17" s="54" t="e">
        <f t="shared" si="102"/>
        <v>#N/A</v>
      </c>
      <c r="HQ17" s="54" t="b">
        <f t="shared" si="103"/>
        <v>1</v>
      </c>
      <c r="HR17" s="54" t="b">
        <f t="shared" si="104"/>
        <v>0</v>
      </c>
      <c r="HS17" s="54" t="b">
        <f t="shared" si="105"/>
        <v>1</v>
      </c>
      <c r="HT17" s="54" t="b">
        <f t="shared" si="106"/>
        <v>0</v>
      </c>
      <c r="HU17" s="54">
        <f t="shared" si="107"/>
        <v>1.6206774944199514E-3</v>
      </c>
      <c r="HV17" s="54">
        <f t="shared" si="108"/>
        <v>1.6206774944199514E-3</v>
      </c>
      <c r="HW17" s="54" t="e">
        <f t="shared" si="109"/>
        <v>#N/A</v>
      </c>
      <c r="HX17" s="69" t="str">
        <f t="shared" si="110"/>
        <v/>
      </c>
    </row>
    <row r="18" spans="57:232" x14ac:dyDescent="0.2">
      <c r="BE18" s="57" t="s">
        <v>152</v>
      </c>
      <c r="BF18" s="59" t="b">
        <f>INDEX(E_g_valg[Kontrol af forudsætning 1],E_g_aktiv)</f>
        <v>1</v>
      </c>
      <c r="BG18" s="59" t="b">
        <f>INDEX(E_s_valg[Kontrol af forudsætning 1],E_s_aktiv)</f>
        <v>1</v>
      </c>
      <c r="BH18" s="59" t="b">
        <f>INDEX(E_a_valg[Kontrol af forudsætning 1],E_a_aktiv)</f>
        <v>1</v>
      </c>
      <c r="BI18" s="59" t="b">
        <f>INDEX(E_i_valg[Kontrol af forudsætning 1],E_i_aktiv)</f>
        <v>1</v>
      </c>
      <c r="BJ18" s="59" t="b">
        <f>INDEX(E_k_valg[Kontrol af forudsætning 1],E_k_aktiv)</f>
        <v>1</v>
      </c>
      <c r="BL18" s="90" t="s">
        <v>136</v>
      </c>
      <c r="BM18" s="203" t="str" cm="1">
        <f t="array" ref="BM18">INDEX(E_s_valg[Parameter],E_s_aktiv)</f>
        <v>Standardafvigelse</v>
      </c>
      <c r="BZ18" s="54">
        <f t="shared" si="36"/>
        <v>8</v>
      </c>
      <c r="CA18" s="54">
        <f>Eu_tabel_g[[#This Row],[Indeks]]+1</f>
        <v>9</v>
      </c>
      <c r="CB18" s="54">
        <f t="shared" si="37"/>
        <v>-2.8985899926070187</v>
      </c>
      <c r="CC18" s="54">
        <f t="shared" si="38"/>
        <v>5.9769163423966454E-3</v>
      </c>
      <c r="CD18" s="54" t="e">
        <f t="shared" si="39"/>
        <v>#N/A</v>
      </c>
      <c r="CE18" s="54" t="e">
        <f t="shared" si="40"/>
        <v>#N/A</v>
      </c>
      <c r="CF18" s="54" t="e">
        <f t="shared" si="41"/>
        <v>#N/A</v>
      </c>
      <c r="CG18" s="54" t="b">
        <f t="shared" si="42"/>
        <v>1</v>
      </c>
      <c r="CH18" s="54" t="b">
        <f t="shared" si="43"/>
        <v>0</v>
      </c>
      <c r="CI18" s="54" t="b">
        <f t="shared" si="44"/>
        <v>1</v>
      </c>
      <c r="CJ18" s="54" t="b">
        <f t="shared" si="45"/>
        <v>0</v>
      </c>
      <c r="CK18" s="54">
        <f t="shared" si="111"/>
        <v>5.9769163423966454E-3</v>
      </c>
      <c r="CL18" s="54">
        <f t="shared" si="47"/>
        <v>5.9769163423966454E-3</v>
      </c>
      <c r="CM18" s="54" t="e">
        <f t="shared" si="48"/>
        <v>#N/A</v>
      </c>
      <c r="CN18" s="69" t="str">
        <f t="shared" si="49"/>
        <v/>
      </c>
      <c r="CO18" s="54">
        <f>_xlfn.NORM.DIST(_xlfn.NORM.INV(1-Eu_g_konfidensniveau,0,1)-Eu_tabel_g[[#This Row],[x base]],0,1,TRUE)</f>
        <v>0.89503107733648157</v>
      </c>
      <c r="CP18" s="54">
        <f>1-_xlfn.NORM.DIST(_xlfn.NORM.INV(Eu_g_konfidensniveau,0,1)-Eu_tabel_g[[#This Row],[x base]],0,1,TRUE)</f>
        <v>2.767130622527425E-6</v>
      </c>
      <c r="CQ18" s="54">
        <f>_xlfn.NORM.DIST(_xlfn.NORM.INV((1-Eu_g_konfidensniveau)/2,0,1)-Eu_tabel_g[[#This Row],[x base]],0,1,TRUE)+1-_xlfn.NORM.DIST(_xlfn.NORM.INV(1-(1-Eu_g_konfidensniveau)/2,0,1)-Eu_tabel_g[[#This Row],[x base]],0,1,TRUE)</f>
        <v>0.82603919385088276</v>
      </c>
      <c r="CR18" s="54" t="e" cm="1">
        <f t="array" ref="CR18">IF($CR$3,INDEX(Eu_tabel_g[[#This Row],[Styrke venstre]:[Styrke tosidet]],CR$7),NA())</f>
        <v>#N/A</v>
      </c>
      <c r="CS18" s="89" t="e">
        <f>Eu_tabel_g[[#This Row],[Falsk positiv
Nulhypotese accepteres
Fejltype 1]]</f>
        <v>#N/A</v>
      </c>
      <c r="CT18" s="89" t="e">
        <f>IF(CHOOSE(CR$7,Eu_tabel_g[[#This Row],[x base]]&gt;0,Eu_tabel_g[[#This Row],[x base]]&lt;0,Eu_tabel_g[[#This Row],[x base]]=0),Eu_tabel_g[[#This Row],[Styrke, aktiv]],NA())</f>
        <v>#N/A</v>
      </c>
      <c r="CU18" s="89" t="e">
        <f>IFERROR(IF($CR$3,Eu_tabel_g[[#This Row],[Styrke, aktiv]],NA()),NA())</f>
        <v>#N/A</v>
      </c>
      <c r="CV18" s="89" t="e">
        <f>IF(ISNA(Eu_tabel_g[[#This Row],[Sand negativ
Nulhypotese afvises
Korrekt]]),NA(),IF($CR$3,1,NA()))</f>
        <v>#N/A</v>
      </c>
      <c r="CW18" s="56" t="str" cm="1">
        <f t="array" ref="CW18">_xlfn.SWITCH(BZ18,_xlfn.IFNA(CU$2,-99),CU$5,_xlfn.IFNA(CU$3,-99),CU$6,_xlfn.IFNA(CU$4,-99),CU$7,"")</f>
        <v/>
      </c>
      <c r="DA18" s="7">
        <f t="shared" si="50"/>
        <v>0.8</v>
      </c>
      <c r="DB18">
        <f>IF(ROW(Styrkeberegning_G[[#This Row],[X base venstre]])=ROW(Styrkeberegning_G[[#Headers],[X base venstre]])+1,DB$7/(DA$7/$B$67),DB17/(DA17/$B$67))</f>
        <v>-2.8015817870135784</v>
      </c>
      <c r="DC18">
        <f>Styrkeberegning_G[[#This Row],[X base venstre]]*-1</f>
        <v>2.8015817870135784</v>
      </c>
      <c r="DN18" s="54">
        <f t="shared" si="51"/>
        <v>8</v>
      </c>
      <c r="DO18" s="54">
        <f t="shared" si="52"/>
        <v>9</v>
      </c>
      <c r="DP18" s="54">
        <f t="shared" si="53"/>
        <v>2.7464195159896985</v>
      </c>
      <c r="DQ18" s="54" t="e">
        <f t="shared" si="54"/>
        <v>#N/A</v>
      </c>
      <c r="DR18" s="54" t="e">
        <f t="shared" si="55"/>
        <v>#N/A</v>
      </c>
      <c r="DS18" s="54">
        <f t="shared" si="56"/>
        <v>1.0082118119969227E-2</v>
      </c>
      <c r="DT18" s="54" t="e">
        <f t="shared" si="57"/>
        <v>#N/A</v>
      </c>
      <c r="DU18" s="54" t="b">
        <f t="shared" si="58"/>
        <v>1</v>
      </c>
      <c r="DV18" s="54" t="b">
        <f t="shared" si="59"/>
        <v>0</v>
      </c>
      <c r="DW18" s="54" t="b">
        <f t="shared" si="60"/>
        <v>1</v>
      </c>
      <c r="DX18" s="54" t="b">
        <f t="shared" si="61"/>
        <v>0</v>
      </c>
      <c r="DY18" s="54">
        <f t="shared" si="62"/>
        <v>1.0082118119969227E-2</v>
      </c>
      <c r="DZ18" s="54">
        <f t="shared" si="63"/>
        <v>1.0082118119969227E-2</v>
      </c>
      <c r="EA18" s="54" t="e">
        <f t="shared" si="64"/>
        <v>#N/A</v>
      </c>
      <c r="EB18" s="69" t="str">
        <f t="shared" si="65"/>
        <v/>
      </c>
      <c r="EG18" s="54">
        <f t="shared" si="66"/>
        <v>8</v>
      </c>
      <c r="EH18" s="54">
        <f t="shared" si="67"/>
        <v>9</v>
      </c>
      <c r="EI18" s="54">
        <f t="shared" si="68"/>
        <v>-2.8985899926070187</v>
      </c>
      <c r="EJ18" s="54">
        <f t="shared" si="69"/>
        <v>5.9769163423966454E-3</v>
      </c>
      <c r="EK18" s="54" t="e">
        <f t="shared" si="70"/>
        <v>#N/A</v>
      </c>
      <c r="EL18" s="54" t="e">
        <f t="shared" si="71"/>
        <v>#N/A</v>
      </c>
      <c r="EM18" s="54" t="e">
        <f t="shared" si="72"/>
        <v>#N/A</v>
      </c>
      <c r="EN18" s="54" t="b">
        <f t="shared" si="73"/>
        <v>1</v>
      </c>
      <c r="EO18" s="54" t="b">
        <f t="shared" si="74"/>
        <v>0</v>
      </c>
      <c r="EP18" s="54" t="b">
        <f t="shared" si="75"/>
        <v>1</v>
      </c>
      <c r="EQ18" s="54" t="b">
        <f t="shared" si="76"/>
        <v>0</v>
      </c>
      <c r="ER18" s="54">
        <f t="shared" si="77"/>
        <v>5.9769163423966454E-3</v>
      </c>
      <c r="ES18" s="54">
        <f t="shared" si="78"/>
        <v>5.9769163423966454E-3</v>
      </c>
      <c r="ET18" s="54" t="e">
        <f t="shared" si="79"/>
        <v>#N/A</v>
      </c>
      <c r="EU18" s="69" t="str">
        <f t="shared" si="80"/>
        <v/>
      </c>
      <c r="EV1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8" s="54" t="e" cm="1">
        <f t="array" ref="EY18">IF($CR$3,INDEX(Eu_tabel_a[[#This Row],[Styrke venstre]:[Styrke tosidet]],EY$7),NA())</f>
        <v>#N/A</v>
      </c>
      <c r="EZ18" s="54" t="e">
        <f>IF(EY$3,IF(CHOOSE(EY$7,Eu_tabel_a[[#This Row],[x base]]&gt;0,Eu_tabel_a[[#This Row],[x base]]&lt;0,Eu_tabel_a[[#This Row],[x base]]=0),1,NA()),NA())</f>
        <v>#N/A</v>
      </c>
      <c r="FA18" s="54" t="e">
        <f>IF(CHOOSE(EY$7,Eu_tabel_a[[#This Row],[x base]]&gt;0,Eu_tabel_a[[#This Row],[x base]]&lt;0,Eu_tabel_a[[#This Row],[x base]]=0),Eu_tabel_a[[#This Row],[Styrke, aktiv]],NA())</f>
        <v>#N/A</v>
      </c>
      <c r="FB18" s="54" t="e">
        <f>IFERROR(IF($EY$3,Eu_tabel_a[[#This Row],[Styrke, aktiv]],NA()),NA())</f>
        <v>#N/A</v>
      </c>
      <c r="FC18" s="54" t="e">
        <f>IF(ISNA(Eu_tabel_a[[#This Row],[Sand negativ
Nulhypotese afvises
Korrekt]]),NA(),IF(EY$3,1,NA()))</f>
        <v>#N/A</v>
      </c>
      <c r="FD18" s="55" t="str" cm="1">
        <f t="array" ref="FD18">IFERROR(_xlfn.SWITCH(Eu_tabel_a[[#This Row],[Indeks]],_xlfn.IFNA(FB$2,-99),FB$5,_xlfn.IFNA(FB$3,-99),FB$6,_xlfn.IFNA(FB$4,-99),FB$7,""),"")</f>
        <v/>
      </c>
      <c r="FE18" s="54">
        <f>Eu_tabel_a[[#This Row],[x base]]*SQRT(Eu_a_h0_x*(1-Eu_a_h0_x)/Eu_a_n_x)+Eu_a_h0_x</f>
        <v>0</v>
      </c>
      <c r="FJ18" s="144" t="e">
        <f t="shared" si="18"/>
        <v>#N/A</v>
      </c>
      <c r="FK18" s="152" t="e">
        <f t="shared" si="31"/>
        <v>#DIV/0!</v>
      </c>
      <c r="FL18" s="7" t="e">
        <f t="shared" si="12"/>
        <v>#DIV/0!</v>
      </c>
      <c r="FM18" t="e">
        <f t="shared" si="32"/>
        <v>#DIV/0!</v>
      </c>
      <c r="FN18" s="8" t="e">
        <f t="shared" si="33"/>
        <v>#DIV/0!</v>
      </c>
      <c r="FO18" s="8" t="e">
        <f t="shared" si="34"/>
        <v>#DIV/0!</v>
      </c>
      <c r="FP18" s="151" t="e">
        <f t="shared" si="35"/>
        <v>#DIV/0!</v>
      </c>
      <c r="FQ18" s="144" t="e">
        <f t="shared" ca="1" si="13"/>
        <v>#N/A</v>
      </c>
      <c r="FR18" s="152" t="e" vm="3">
        <f t="shared" ca="1" si="19"/>
        <v>#VALUE!</v>
      </c>
      <c r="FS18" s="7" t="e" vm="3">
        <f t="shared" ca="1" si="14"/>
        <v>#VALUE!</v>
      </c>
      <c r="FT18" t="e" vm="3">
        <f t="shared" ca="1" si="8"/>
        <v>#VALUE!</v>
      </c>
      <c r="FU18" s="8" t="e" vm="3">
        <f t="shared" ca="1" si="9"/>
        <v>#VALUE!</v>
      </c>
      <c r="FV18" s="8" t="e" vm="3">
        <f t="shared" ca="1" si="10"/>
        <v>#VALUE!</v>
      </c>
      <c r="FW18" s="151" t="e" vm="3">
        <f t="shared" ca="1" si="11"/>
        <v>#VALUE!</v>
      </c>
      <c r="FX18" s="144" t="e">
        <f t="shared" si="15"/>
        <v>#N/A</v>
      </c>
      <c r="FY18" s="152" t="e">
        <f t="shared" si="20"/>
        <v>#N/A</v>
      </c>
      <c r="FZ18" s="7" t="e">
        <f t="shared" si="16"/>
        <v>#N/A</v>
      </c>
      <c r="GA18" t="e">
        <f t="shared" si="21"/>
        <v>#N/A</v>
      </c>
      <c r="GB18" s="8" t="e">
        <f t="shared" si="22"/>
        <v>#N/A</v>
      </c>
      <c r="GC18" s="8" t="e">
        <f t="shared" si="23"/>
        <v>#N/A</v>
      </c>
      <c r="GD18" s="151" t="e">
        <f t="shared" si="24"/>
        <v>#N/A</v>
      </c>
      <c r="GE18" s="144" t="e">
        <f t="shared" si="25"/>
        <v>#N/A</v>
      </c>
      <c r="GF18" s="152" t="e">
        <f t="shared" si="26"/>
        <v>#N/A</v>
      </c>
      <c r="GG18" s="7" t="e">
        <f t="shared" si="17"/>
        <v>#N/A</v>
      </c>
      <c r="GH18" t="e">
        <f t="shared" si="27"/>
        <v>#N/A</v>
      </c>
      <c r="GI18" s="8" t="e">
        <f t="shared" si="28"/>
        <v>#N/A</v>
      </c>
      <c r="GJ18" s="8" t="e">
        <f t="shared" si="29"/>
        <v>#N/A</v>
      </c>
      <c r="GK18" s="151" t="e">
        <f t="shared" si="30"/>
        <v>#N/A</v>
      </c>
      <c r="GL18" s="151"/>
      <c r="GM18" s="151"/>
      <c r="GP18" s="54">
        <f t="shared" si="81"/>
        <v>8</v>
      </c>
      <c r="GQ18" s="54">
        <f t="shared" si="82"/>
        <v>9</v>
      </c>
      <c r="GR18" s="54">
        <f t="shared" si="83"/>
        <v>-2.8985899926070187</v>
      </c>
      <c r="GS18" s="54">
        <f t="shared" si="84"/>
        <v>5.9769163423966454E-3</v>
      </c>
      <c r="GT18" s="54" t="e">
        <f t="shared" si="85"/>
        <v>#N/A</v>
      </c>
      <c r="GU18" s="54" t="e">
        <f t="shared" si="86"/>
        <v>#N/A</v>
      </c>
      <c r="GV18" s="54" t="e">
        <f t="shared" si="87"/>
        <v>#N/A</v>
      </c>
      <c r="GW18" s="54" t="b">
        <f t="shared" si="88"/>
        <v>1</v>
      </c>
      <c r="GX18" s="54" t="b">
        <f t="shared" si="89"/>
        <v>0</v>
      </c>
      <c r="GY18" s="54" t="b">
        <f t="shared" si="90"/>
        <v>1</v>
      </c>
      <c r="GZ18" s="54" t="b">
        <f t="shared" si="91"/>
        <v>0</v>
      </c>
      <c r="HA18" s="54">
        <f t="shared" si="92"/>
        <v>5.9769163423966454E-3</v>
      </c>
      <c r="HB18" s="54">
        <f t="shared" si="93"/>
        <v>5.9769163423966454E-3</v>
      </c>
      <c r="HC18" s="54" t="e">
        <f t="shared" si="94"/>
        <v>#N/A</v>
      </c>
      <c r="HD18" s="69" t="str">
        <f t="shared" si="95"/>
        <v/>
      </c>
      <c r="HJ18" s="54">
        <f t="shared" si="96"/>
        <v>8</v>
      </c>
      <c r="HK18" s="54">
        <f t="shared" si="97"/>
        <v>9</v>
      </c>
      <c r="HL18" s="54">
        <f t="shared" si="98"/>
        <v>-4.4885274811258782</v>
      </c>
      <c r="HM18" s="54" t="e">
        <f t="shared" si="99"/>
        <v>#N/A</v>
      </c>
      <c r="HN18" s="54">
        <f t="shared" si="100"/>
        <v>1.7020159287022905E-3</v>
      </c>
      <c r="HO18" s="54" t="e">
        <f t="shared" si="101"/>
        <v>#N/A</v>
      </c>
      <c r="HP18" s="54" t="e">
        <f t="shared" si="102"/>
        <v>#N/A</v>
      </c>
      <c r="HQ18" s="54" t="b">
        <f t="shared" si="103"/>
        <v>1</v>
      </c>
      <c r="HR18" s="54" t="b">
        <f t="shared" si="104"/>
        <v>0</v>
      </c>
      <c r="HS18" s="54" t="b">
        <f t="shared" si="105"/>
        <v>1</v>
      </c>
      <c r="HT18" s="54" t="b">
        <f t="shared" si="106"/>
        <v>0</v>
      </c>
      <c r="HU18" s="54">
        <f t="shared" si="107"/>
        <v>1.7020159287022905E-3</v>
      </c>
      <c r="HV18" s="54">
        <f t="shared" si="108"/>
        <v>1.7020159287022905E-3</v>
      </c>
      <c r="HW18" s="54" t="e">
        <f t="shared" si="109"/>
        <v>#N/A</v>
      </c>
      <c r="HX18" s="69" t="str">
        <f t="shared" si="110"/>
        <v/>
      </c>
    </row>
    <row r="19" spans="57:232" x14ac:dyDescent="0.2">
      <c r="BE19" s="57" t="s">
        <v>153</v>
      </c>
      <c r="BF19" s="59">
        <f>INDEX(E_g_valg[Kontrol af forudsætning 2],E_g_aktiv)</f>
        <v>0</v>
      </c>
      <c r="BG19" s="59">
        <f>INDEX(E_s_valg[Kontrol af forudsætning 2],E_s_aktiv)</f>
        <v>0</v>
      </c>
      <c r="BH19" s="59">
        <f>INDEX(E_a_valg[Kontrol af forudsætning 2],E_a_aktiv)</f>
        <v>0</v>
      </c>
      <c r="BI19" s="59">
        <f>INDEX(E_i_valg[Kontrol af forudsætning 2],E_i_aktiv)</f>
        <v>0</v>
      </c>
      <c r="BJ19" s="59" t="str">
        <f>INDEX(E_k_valg[Kontrol af forudsætning 2],E_k_aktiv)</f>
        <v>Skal vurderes</v>
      </c>
      <c r="BL19" s="90" t="s">
        <v>143</v>
      </c>
      <c r="BM19" s="203" t="str" cm="1">
        <f t="array" ref="BM19">INDEX(E_s_valg[Hypotesetype],E_s_aktiv)</f>
        <v>Konfidensinterval</v>
      </c>
      <c r="BZ19" s="54">
        <f t="shared" si="36"/>
        <v>9</v>
      </c>
      <c r="CA19" s="54">
        <f>Eu_tabel_g[[#This Row],[Indeks]]+1</f>
        <v>10</v>
      </c>
      <c r="CB19" s="54">
        <f t="shared" si="37"/>
        <v>-2.8746347034119193</v>
      </c>
      <c r="CC19" s="54">
        <f t="shared" si="38"/>
        <v>6.4048428962354522E-3</v>
      </c>
      <c r="CD19" s="54" t="e">
        <f t="shared" si="39"/>
        <v>#N/A</v>
      </c>
      <c r="CE19" s="54" t="e">
        <f t="shared" si="40"/>
        <v>#N/A</v>
      </c>
      <c r="CF19" s="54" t="e">
        <f t="shared" si="41"/>
        <v>#N/A</v>
      </c>
      <c r="CG19" s="54" t="b">
        <f t="shared" si="42"/>
        <v>1</v>
      </c>
      <c r="CH19" s="54" t="b">
        <f t="shared" si="43"/>
        <v>0</v>
      </c>
      <c r="CI19" s="54" t="b">
        <f t="shared" si="44"/>
        <v>1</v>
      </c>
      <c r="CJ19" s="54" t="b">
        <f t="shared" si="45"/>
        <v>0</v>
      </c>
      <c r="CK19" s="54">
        <f t="shared" si="111"/>
        <v>6.4048428962354522E-3</v>
      </c>
      <c r="CL19" s="54">
        <f t="shared" si="47"/>
        <v>6.4048428962354522E-3</v>
      </c>
      <c r="CM19" s="54" t="e">
        <f t="shared" si="48"/>
        <v>#N/A</v>
      </c>
      <c r="CN19" s="69" t="str">
        <f t="shared" si="49"/>
        <v/>
      </c>
      <c r="CO19" s="54">
        <f>_xlfn.NORM.DIST(_xlfn.NORM.INV(1-Eu_g_konfidensniveau,0,1)-Eu_tabel_g[[#This Row],[x base]],0,1,TRUE)</f>
        <v>0.89061045181482168</v>
      </c>
      <c r="CP19" s="54">
        <f>1-_xlfn.NORM.DIST(_xlfn.NORM.INV(Eu_g_konfidensniveau,0,1)-Eu_tabel_g[[#This Row],[x base]],0,1,TRUE)</f>
        <v>3.0994632123082511E-6</v>
      </c>
      <c r="CQ19" s="54">
        <f>_xlfn.NORM.DIST(_xlfn.NORM.INV((1-Eu_g_konfidensniveau)/2,0,1)-Eu_tabel_g[[#This Row],[x base]],0,1,TRUE)+1-_xlfn.NORM.DIST(_xlfn.NORM.INV(1-(1-Eu_g_konfidensniveau)/2,0,1)-Eu_tabel_g[[#This Row],[x base]],0,1,TRUE)</f>
        <v>0.81981840674074768</v>
      </c>
      <c r="CR19" s="54" t="e" cm="1">
        <f t="array" ref="CR19">IF($CR$3,INDEX(Eu_tabel_g[[#This Row],[Styrke venstre]:[Styrke tosidet]],CR$7),NA())</f>
        <v>#N/A</v>
      </c>
      <c r="CS19" s="89" t="e">
        <f>Eu_tabel_g[[#This Row],[Falsk positiv
Nulhypotese accepteres
Fejltype 1]]</f>
        <v>#N/A</v>
      </c>
      <c r="CT19" s="89" t="e">
        <f>IF(CHOOSE(CR$7,Eu_tabel_g[[#This Row],[x base]]&gt;0,Eu_tabel_g[[#This Row],[x base]]&lt;0,Eu_tabel_g[[#This Row],[x base]]=0),Eu_tabel_g[[#This Row],[Styrke, aktiv]],NA())</f>
        <v>#N/A</v>
      </c>
      <c r="CU19" s="89" t="e">
        <f>IFERROR(IF($CR$3,Eu_tabel_g[[#This Row],[Styrke, aktiv]],NA()),NA())</f>
        <v>#N/A</v>
      </c>
      <c r="CV19" s="89" t="e">
        <f>IF(ISNA(Eu_tabel_g[[#This Row],[Sand negativ
Nulhypotese afvises
Korrekt]]),NA(),IF($CR$3,1,NA()))</f>
        <v>#N/A</v>
      </c>
      <c r="CW19" s="56" t="str" cm="1">
        <f t="array" ref="CW19">_xlfn.SWITCH(BZ19,_xlfn.IFNA(CU$2,-99),CU$5,_xlfn.IFNA(CU$3,-99),CU$6,_xlfn.IFNA(CU$4,-99),CU$7,"")</f>
        <v/>
      </c>
      <c r="DA19" s="7">
        <f t="shared" si="50"/>
        <v>0.8</v>
      </c>
      <c r="DB19">
        <f>IF(ROW(Styrkeberegning_G[[#This Row],[X base venstre]])=ROW(Styrkeberegning_G[[#Headers],[X base venstre]])+1,DB$7/(DA$7/$B$67),DB18/(DA18/$B$67))</f>
        <v>-2.8015817870135784</v>
      </c>
      <c r="DC19">
        <f>Styrkeberegning_G[[#This Row],[X base venstre]]*-1</f>
        <v>2.8015817870135784</v>
      </c>
      <c r="DN19" s="54">
        <f t="shared" si="51"/>
        <v>9</v>
      </c>
      <c r="DO19" s="54">
        <f t="shared" si="52"/>
        <v>10</v>
      </c>
      <c r="DP19" s="54">
        <f t="shared" si="53"/>
        <v>2.8604903724066997</v>
      </c>
      <c r="DQ19" s="54" t="e">
        <f t="shared" si="54"/>
        <v>#N/A</v>
      </c>
      <c r="DR19" s="54" t="e">
        <f t="shared" si="55"/>
        <v>#N/A</v>
      </c>
      <c r="DS19" s="54">
        <f t="shared" si="56"/>
        <v>1.1437019773006292E-2</v>
      </c>
      <c r="DT19" s="54" t="e">
        <f t="shared" si="57"/>
        <v>#N/A</v>
      </c>
      <c r="DU19" s="54" t="b">
        <f t="shared" si="58"/>
        <v>1</v>
      </c>
      <c r="DV19" s="54" t="b">
        <f t="shared" si="59"/>
        <v>0</v>
      </c>
      <c r="DW19" s="54" t="b">
        <f t="shared" si="60"/>
        <v>1</v>
      </c>
      <c r="DX19" s="54" t="b">
        <f t="shared" si="61"/>
        <v>0</v>
      </c>
      <c r="DY19" s="54">
        <f t="shared" si="62"/>
        <v>1.1437019773006292E-2</v>
      </c>
      <c r="DZ19" s="54">
        <f t="shared" si="63"/>
        <v>1.1437019773006292E-2</v>
      </c>
      <c r="EA19" s="54" t="e">
        <f t="shared" si="64"/>
        <v>#N/A</v>
      </c>
      <c r="EB19" s="69" t="str">
        <f t="shared" si="65"/>
        <v/>
      </c>
      <c r="EG19" s="54">
        <f t="shared" si="66"/>
        <v>9</v>
      </c>
      <c r="EH19" s="54">
        <f t="shared" si="67"/>
        <v>10</v>
      </c>
      <c r="EI19" s="54">
        <f t="shared" si="68"/>
        <v>-2.8746347034119193</v>
      </c>
      <c r="EJ19" s="54">
        <f t="shared" si="69"/>
        <v>6.4048428962354522E-3</v>
      </c>
      <c r="EK19" s="54" t="e">
        <f t="shared" si="70"/>
        <v>#N/A</v>
      </c>
      <c r="EL19" s="54" t="e">
        <f t="shared" si="71"/>
        <v>#N/A</v>
      </c>
      <c r="EM19" s="54" t="e">
        <f t="shared" si="72"/>
        <v>#N/A</v>
      </c>
      <c r="EN19" s="54" t="b">
        <f t="shared" si="73"/>
        <v>1</v>
      </c>
      <c r="EO19" s="54" t="b">
        <f t="shared" si="74"/>
        <v>0</v>
      </c>
      <c r="EP19" s="54" t="b">
        <f t="shared" si="75"/>
        <v>1</v>
      </c>
      <c r="EQ19" s="54" t="b">
        <f t="shared" si="76"/>
        <v>0</v>
      </c>
      <c r="ER19" s="54">
        <f t="shared" si="77"/>
        <v>6.4048428962354522E-3</v>
      </c>
      <c r="ES19" s="54">
        <f t="shared" si="78"/>
        <v>6.4048428962354522E-3</v>
      </c>
      <c r="ET19" s="54" t="e">
        <f t="shared" si="79"/>
        <v>#N/A</v>
      </c>
      <c r="EU19" s="69" t="str">
        <f t="shared" si="80"/>
        <v/>
      </c>
      <c r="EV1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9" s="54" t="e" cm="1">
        <f t="array" ref="EY19">IF($CR$3,INDEX(Eu_tabel_a[[#This Row],[Styrke venstre]:[Styrke tosidet]],EY$7),NA())</f>
        <v>#N/A</v>
      </c>
      <c r="EZ19" s="54" t="e">
        <f>IF(EY$3,IF(CHOOSE(EY$7,Eu_tabel_a[[#This Row],[x base]]&gt;0,Eu_tabel_a[[#This Row],[x base]]&lt;0,Eu_tabel_a[[#This Row],[x base]]=0),1,NA()),NA())</f>
        <v>#N/A</v>
      </c>
      <c r="FA19" s="54" t="e">
        <f>IF(CHOOSE(EY$7,Eu_tabel_a[[#This Row],[x base]]&gt;0,Eu_tabel_a[[#This Row],[x base]]&lt;0,Eu_tabel_a[[#This Row],[x base]]=0),Eu_tabel_a[[#This Row],[Styrke, aktiv]],NA())</f>
        <v>#N/A</v>
      </c>
      <c r="FB19" s="54" t="e">
        <f>IFERROR(IF($EY$3,Eu_tabel_a[[#This Row],[Styrke, aktiv]],NA()),NA())</f>
        <v>#N/A</v>
      </c>
      <c r="FC19" s="54" t="e">
        <f>IF(ISNA(Eu_tabel_a[[#This Row],[Sand negativ
Nulhypotese afvises
Korrekt]]),NA(),IF(EY$3,1,NA()))</f>
        <v>#N/A</v>
      </c>
      <c r="FD19" s="55" t="str" cm="1">
        <f t="array" ref="FD19">IFERROR(_xlfn.SWITCH(Eu_tabel_a[[#This Row],[Indeks]],_xlfn.IFNA(FB$2,-99),FB$5,_xlfn.IFNA(FB$3,-99),FB$6,_xlfn.IFNA(FB$4,-99),FB$7,""),"")</f>
        <v/>
      </c>
      <c r="FE19" s="54">
        <f>Eu_tabel_a[[#This Row],[x base]]*SQRT(Eu_a_h0_x*(1-Eu_a_h0_x)/Eu_a_n_x)+Eu_a_h0_x</f>
        <v>0</v>
      </c>
      <c r="FJ19" s="144" t="e">
        <f t="shared" si="18"/>
        <v>#N/A</v>
      </c>
      <c r="FK19" s="152" t="e">
        <f t="shared" si="31"/>
        <v>#DIV/0!</v>
      </c>
      <c r="FL19" s="7" t="e">
        <f t="shared" si="12"/>
        <v>#DIV/0!</v>
      </c>
      <c r="FM19" t="e">
        <f t="shared" si="32"/>
        <v>#DIV/0!</v>
      </c>
      <c r="FN19" s="8" t="e">
        <f t="shared" si="33"/>
        <v>#DIV/0!</v>
      </c>
      <c r="FO19" s="8" t="e">
        <f t="shared" si="34"/>
        <v>#DIV/0!</v>
      </c>
      <c r="FP19" s="151" t="e">
        <f t="shared" si="35"/>
        <v>#DIV/0!</v>
      </c>
      <c r="FQ19" s="144" t="e">
        <f t="shared" ca="1" si="13"/>
        <v>#N/A</v>
      </c>
      <c r="FR19" s="152" t="e" vm="3">
        <f t="shared" ca="1" si="19"/>
        <v>#VALUE!</v>
      </c>
      <c r="FS19" s="7" t="e" vm="3">
        <f t="shared" ca="1" si="14"/>
        <v>#VALUE!</v>
      </c>
      <c r="FT19" t="e" vm="3">
        <f t="shared" ca="1" si="8"/>
        <v>#VALUE!</v>
      </c>
      <c r="FU19" s="8" t="e" vm="3">
        <f t="shared" ca="1" si="9"/>
        <v>#VALUE!</v>
      </c>
      <c r="FV19" s="8" t="e" vm="3">
        <f t="shared" ca="1" si="10"/>
        <v>#VALUE!</v>
      </c>
      <c r="FW19" s="151" t="e" vm="3">
        <f t="shared" ca="1" si="11"/>
        <v>#VALUE!</v>
      </c>
      <c r="FX19" s="144" t="e">
        <f t="shared" si="15"/>
        <v>#N/A</v>
      </c>
      <c r="FY19" s="152" t="e">
        <f t="shared" si="20"/>
        <v>#N/A</v>
      </c>
      <c r="FZ19" s="7" t="e">
        <f t="shared" si="16"/>
        <v>#N/A</v>
      </c>
      <c r="GA19" t="e">
        <f t="shared" si="21"/>
        <v>#N/A</v>
      </c>
      <c r="GB19" s="8" t="e">
        <f t="shared" si="22"/>
        <v>#N/A</v>
      </c>
      <c r="GC19" s="8" t="e">
        <f t="shared" si="23"/>
        <v>#N/A</v>
      </c>
      <c r="GD19" s="151" t="e">
        <f t="shared" si="24"/>
        <v>#N/A</v>
      </c>
      <c r="GE19" s="144" t="e">
        <f t="shared" si="25"/>
        <v>#N/A</v>
      </c>
      <c r="GF19" s="152" t="e">
        <f t="shared" si="26"/>
        <v>#N/A</v>
      </c>
      <c r="GG19" s="7" t="e">
        <f t="shared" si="17"/>
        <v>#N/A</v>
      </c>
      <c r="GH19" t="e">
        <f t="shared" si="27"/>
        <v>#N/A</v>
      </c>
      <c r="GI19" s="8" t="e">
        <f t="shared" si="28"/>
        <v>#N/A</v>
      </c>
      <c r="GJ19" s="8" t="e">
        <f t="shared" si="29"/>
        <v>#N/A</v>
      </c>
      <c r="GK19" s="151" t="e">
        <f t="shared" si="30"/>
        <v>#N/A</v>
      </c>
      <c r="GL19" s="151"/>
      <c r="GM19" s="151"/>
      <c r="GP19" s="54">
        <f t="shared" si="81"/>
        <v>9</v>
      </c>
      <c r="GQ19" s="54">
        <f t="shared" si="82"/>
        <v>10</v>
      </c>
      <c r="GR19" s="54">
        <f t="shared" si="83"/>
        <v>-2.8746347034119193</v>
      </c>
      <c r="GS19" s="54">
        <f t="shared" si="84"/>
        <v>6.4048428962354522E-3</v>
      </c>
      <c r="GT19" s="54" t="e">
        <f t="shared" si="85"/>
        <v>#N/A</v>
      </c>
      <c r="GU19" s="54" t="e">
        <f t="shared" si="86"/>
        <v>#N/A</v>
      </c>
      <c r="GV19" s="54" t="e">
        <f t="shared" si="87"/>
        <v>#N/A</v>
      </c>
      <c r="GW19" s="54" t="b">
        <f t="shared" si="88"/>
        <v>1</v>
      </c>
      <c r="GX19" s="54" t="b">
        <f t="shared" si="89"/>
        <v>0</v>
      </c>
      <c r="GY19" s="54" t="b">
        <f t="shared" si="90"/>
        <v>1</v>
      </c>
      <c r="GZ19" s="54" t="b">
        <f t="shared" si="91"/>
        <v>0</v>
      </c>
      <c r="HA19" s="54">
        <f t="shared" si="92"/>
        <v>6.4048428962354522E-3</v>
      </c>
      <c r="HB19" s="54">
        <f t="shared" si="93"/>
        <v>6.4048428962354522E-3</v>
      </c>
      <c r="HC19" s="54" t="e">
        <f t="shared" si="94"/>
        <v>#N/A</v>
      </c>
      <c r="HD19" s="69" t="str">
        <f t="shared" si="95"/>
        <v/>
      </c>
      <c r="HJ19" s="54">
        <f t="shared" si="96"/>
        <v>9</v>
      </c>
      <c r="HK19" s="54">
        <f t="shared" si="97"/>
        <v>10</v>
      </c>
      <c r="HL19" s="54">
        <f t="shared" si="98"/>
        <v>-4.4514322126868215</v>
      </c>
      <c r="HM19" s="54" t="e">
        <f t="shared" si="99"/>
        <v>#N/A</v>
      </c>
      <c r="HN19" s="54">
        <f t="shared" si="100"/>
        <v>1.7877876216175568E-3</v>
      </c>
      <c r="HO19" s="54" t="e">
        <f t="shared" si="101"/>
        <v>#N/A</v>
      </c>
      <c r="HP19" s="54" t="e">
        <f t="shared" si="102"/>
        <v>#N/A</v>
      </c>
      <c r="HQ19" s="54" t="b">
        <f t="shared" si="103"/>
        <v>1</v>
      </c>
      <c r="HR19" s="54" t="b">
        <f t="shared" si="104"/>
        <v>0</v>
      </c>
      <c r="HS19" s="54" t="b">
        <f t="shared" si="105"/>
        <v>1</v>
      </c>
      <c r="HT19" s="54" t="b">
        <f t="shared" si="106"/>
        <v>0</v>
      </c>
      <c r="HU19" s="54">
        <f t="shared" si="107"/>
        <v>1.7877876216175568E-3</v>
      </c>
      <c r="HV19" s="54">
        <f t="shared" si="108"/>
        <v>1.7877876216175568E-3</v>
      </c>
      <c r="HW19" s="54" t="e">
        <f t="shared" si="109"/>
        <v>#N/A</v>
      </c>
      <c r="HX19" s="69" t="str">
        <f t="shared" si="110"/>
        <v/>
      </c>
    </row>
    <row r="20" spans="57:232" x14ac:dyDescent="0.2">
      <c r="BE20" s="57" t="s">
        <v>157</v>
      </c>
      <c r="BF20" s="59" t="b">
        <f>INDEX(E_g_valg[Kontrol af forudsætning 3],E_g_aktiv)</f>
        <v>0</v>
      </c>
      <c r="BG20" s="59">
        <f>INDEX(E_s_valg[Kontrol af forudsætning 3],E_s_aktiv)</f>
        <v>0</v>
      </c>
      <c r="BH20" s="59" t="b">
        <f>INDEX(E_a_valg[Kontrol af forudsætning 3],E_a_aktiv)</f>
        <v>0</v>
      </c>
      <c r="BI20" s="59" t="b">
        <f>INDEX(E_i_valg[Kontrol af forudsætning 3],E_i_aktiv)</f>
        <v>1</v>
      </c>
      <c r="BJ20" s="59">
        <f>INDEX(E_k_valg[Kontrol af forudsætning 3],E_k_aktiv)</f>
        <v>0</v>
      </c>
      <c r="BL20" s="90" t="s">
        <v>219</v>
      </c>
      <c r="BM20" s="203" t="str" cm="1">
        <f t="array" ref="BM20">INDEX(E_s_valg[Beregningsmetode],E_s_aktiv)</f>
        <v>Chi-i-anden-fordeling</v>
      </c>
      <c r="BZ20" s="54">
        <f t="shared" si="36"/>
        <v>10</v>
      </c>
      <c r="CA20" s="54">
        <f>Eu_tabel_g[[#This Row],[Indeks]]+1</f>
        <v>11</v>
      </c>
      <c r="CB20" s="54">
        <f t="shared" si="37"/>
        <v>-2.8506794142168199</v>
      </c>
      <c r="CC20" s="54">
        <f t="shared" si="38"/>
        <v>6.859470035530551E-3</v>
      </c>
      <c r="CD20" s="54" t="e">
        <f t="shared" si="39"/>
        <v>#N/A</v>
      </c>
      <c r="CE20" s="54" t="e">
        <f t="shared" si="40"/>
        <v>#N/A</v>
      </c>
      <c r="CF20" s="54" t="e">
        <f t="shared" si="41"/>
        <v>#N/A</v>
      </c>
      <c r="CG20" s="54" t="b">
        <f t="shared" si="42"/>
        <v>1</v>
      </c>
      <c r="CH20" s="54" t="b">
        <f t="shared" si="43"/>
        <v>0</v>
      </c>
      <c r="CI20" s="54" t="b">
        <f t="shared" si="44"/>
        <v>1</v>
      </c>
      <c r="CJ20" s="54" t="b">
        <f t="shared" si="45"/>
        <v>0</v>
      </c>
      <c r="CK20" s="54">
        <f t="shared" si="111"/>
        <v>6.859470035530551E-3</v>
      </c>
      <c r="CL20" s="54">
        <f t="shared" si="47"/>
        <v>6.859470035530551E-3</v>
      </c>
      <c r="CM20" s="54" t="e">
        <f t="shared" si="48"/>
        <v>#N/A</v>
      </c>
      <c r="CN20" s="69" t="str">
        <f t="shared" si="49"/>
        <v/>
      </c>
      <c r="CO20" s="54">
        <f>_xlfn.NORM.DIST(_xlfn.NORM.INV(1-Eu_g_konfidensniveau,0,1)-Eu_tabel_g[[#This Row],[x base]],0,1,TRUE)</f>
        <v>0.8860576648764078</v>
      </c>
      <c r="CP20" s="54">
        <f>1-_xlfn.NORM.DIST(_xlfn.NORM.INV(Eu_g_konfidensniveau,0,1)-Eu_tabel_g[[#This Row],[x base]],0,1,TRUE)</f>
        <v>3.4697940337613531E-6</v>
      </c>
      <c r="CQ20" s="54">
        <f>_xlfn.NORM.DIST(_xlfn.NORM.INV((1-Eu_g_konfidensniveau)/2,0,1)-Eu_tabel_g[[#This Row],[x base]],0,1,TRUE)+1-_xlfn.NORM.DIST(_xlfn.NORM.INV(1-(1-Eu_g_konfidensniveau)/2,0,1)-Eu_tabel_g[[#This Row],[x base]],0,1,TRUE)</f>
        <v>0.8134598247355912</v>
      </c>
      <c r="CR20" s="54" t="e" cm="1">
        <f t="array" ref="CR20">IF($CR$3,INDEX(Eu_tabel_g[[#This Row],[Styrke venstre]:[Styrke tosidet]],CR$7),NA())</f>
        <v>#N/A</v>
      </c>
      <c r="CS20" s="89" t="e">
        <f>Eu_tabel_g[[#This Row],[Falsk positiv
Nulhypotese accepteres
Fejltype 1]]</f>
        <v>#N/A</v>
      </c>
      <c r="CT20" s="89" t="e">
        <f>IF(CHOOSE(CR$7,Eu_tabel_g[[#This Row],[x base]]&gt;0,Eu_tabel_g[[#This Row],[x base]]&lt;0,Eu_tabel_g[[#This Row],[x base]]=0),Eu_tabel_g[[#This Row],[Styrke, aktiv]],NA())</f>
        <v>#N/A</v>
      </c>
      <c r="CU20" s="89" t="e">
        <f>IFERROR(IF($CR$3,Eu_tabel_g[[#This Row],[Styrke, aktiv]],NA()),NA())</f>
        <v>#N/A</v>
      </c>
      <c r="CV20" s="89" t="e">
        <f>IF(ISNA(Eu_tabel_g[[#This Row],[Sand negativ
Nulhypotese afvises
Korrekt]]),NA(),IF($CR$3,1,NA()))</f>
        <v>#N/A</v>
      </c>
      <c r="CW20" s="56" t="str" cm="1">
        <f t="array" ref="CW20">_xlfn.SWITCH(BZ20,_xlfn.IFNA(CU$2,-99),CU$5,_xlfn.IFNA(CU$3,-99),CU$6,_xlfn.IFNA(CU$4,-99),CU$7,"")</f>
        <v/>
      </c>
      <c r="DA20" s="7">
        <f t="shared" si="50"/>
        <v>0.8</v>
      </c>
      <c r="DB20">
        <f>IF(ROW(Styrkeberegning_G[[#This Row],[X base venstre]])=ROW(Styrkeberegning_G[[#Headers],[X base venstre]])+1,DB$7/(DA$7/$B$67),DB19/(DA19/$B$67))</f>
        <v>-2.8015817870135784</v>
      </c>
      <c r="DC20">
        <f>Styrkeberegning_G[[#This Row],[X base venstre]]*-1</f>
        <v>2.8015817870135784</v>
      </c>
      <c r="DN20" s="54">
        <f t="shared" si="51"/>
        <v>10</v>
      </c>
      <c r="DO20" s="54">
        <f t="shared" si="52"/>
        <v>11</v>
      </c>
      <c r="DP20" s="54">
        <f t="shared" si="53"/>
        <v>2.9745612288237004</v>
      </c>
      <c r="DQ20" s="54" t="e">
        <f t="shared" si="54"/>
        <v>#N/A</v>
      </c>
      <c r="DR20" s="54" t="e">
        <f t="shared" si="55"/>
        <v>#N/A</v>
      </c>
      <c r="DS20" s="54">
        <f t="shared" si="56"/>
        <v>1.2881415876320907E-2</v>
      </c>
      <c r="DT20" s="54" t="e">
        <f t="shared" si="57"/>
        <v>#N/A</v>
      </c>
      <c r="DU20" s="54" t="b">
        <f t="shared" si="58"/>
        <v>1</v>
      </c>
      <c r="DV20" s="54" t="b">
        <f t="shared" si="59"/>
        <v>0</v>
      </c>
      <c r="DW20" s="54" t="b">
        <f t="shared" si="60"/>
        <v>1</v>
      </c>
      <c r="DX20" s="54" t="b">
        <f t="shared" si="61"/>
        <v>0</v>
      </c>
      <c r="DY20" s="54">
        <f t="shared" si="62"/>
        <v>1.2881415876320907E-2</v>
      </c>
      <c r="DZ20" s="54">
        <f t="shared" si="63"/>
        <v>1.2881415876320907E-2</v>
      </c>
      <c r="EA20" s="54" t="e">
        <f t="shared" si="64"/>
        <v>#N/A</v>
      </c>
      <c r="EB20" s="69" t="str">
        <f t="shared" si="65"/>
        <v/>
      </c>
      <c r="EG20" s="54">
        <f t="shared" si="66"/>
        <v>10</v>
      </c>
      <c r="EH20" s="54">
        <f t="shared" si="67"/>
        <v>11</v>
      </c>
      <c r="EI20" s="54">
        <f t="shared" si="68"/>
        <v>-2.8506794142168199</v>
      </c>
      <c r="EJ20" s="54">
        <f t="shared" si="69"/>
        <v>6.859470035530551E-3</v>
      </c>
      <c r="EK20" s="54" t="e">
        <f t="shared" si="70"/>
        <v>#N/A</v>
      </c>
      <c r="EL20" s="54" t="e">
        <f t="shared" si="71"/>
        <v>#N/A</v>
      </c>
      <c r="EM20" s="54" t="e">
        <f t="shared" si="72"/>
        <v>#N/A</v>
      </c>
      <c r="EN20" s="54" t="b">
        <f t="shared" si="73"/>
        <v>1</v>
      </c>
      <c r="EO20" s="54" t="b">
        <f t="shared" si="74"/>
        <v>0</v>
      </c>
      <c r="EP20" s="54" t="b">
        <f t="shared" si="75"/>
        <v>1</v>
      </c>
      <c r="EQ20" s="54" t="b">
        <f t="shared" si="76"/>
        <v>0</v>
      </c>
      <c r="ER20" s="54">
        <f t="shared" si="77"/>
        <v>6.859470035530551E-3</v>
      </c>
      <c r="ES20" s="54">
        <f t="shared" si="78"/>
        <v>6.859470035530551E-3</v>
      </c>
      <c r="ET20" s="54" t="e">
        <f t="shared" si="79"/>
        <v>#N/A</v>
      </c>
      <c r="EU20" s="69" t="str">
        <f t="shared" si="80"/>
        <v/>
      </c>
      <c r="EV2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0" s="54" t="e" cm="1">
        <f t="array" ref="EY20">IF($CR$3,INDEX(Eu_tabel_a[[#This Row],[Styrke venstre]:[Styrke tosidet]],EY$7),NA())</f>
        <v>#N/A</v>
      </c>
      <c r="EZ20" s="54" t="e">
        <f>IF(EY$3,IF(CHOOSE(EY$7,Eu_tabel_a[[#This Row],[x base]]&gt;0,Eu_tabel_a[[#This Row],[x base]]&lt;0,Eu_tabel_a[[#This Row],[x base]]=0),1,NA()),NA())</f>
        <v>#N/A</v>
      </c>
      <c r="FA20" s="54" t="e">
        <f>IF(CHOOSE(EY$7,Eu_tabel_a[[#This Row],[x base]]&gt;0,Eu_tabel_a[[#This Row],[x base]]&lt;0,Eu_tabel_a[[#This Row],[x base]]=0),Eu_tabel_a[[#This Row],[Styrke, aktiv]],NA())</f>
        <v>#N/A</v>
      </c>
      <c r="FB20" s="54" t="e">
        <f>IFERROR(IF($EY$3,Eu_tabel_a[[#This Row],[Styrke, aktiv]],NA()),NA())</f>
        <v>#N/A</v>
      </c>
      <c r="FC20" s="54" t="e">
        <f>IF(ISNA(Eu_tabel_a[[#This Row],[Sand negativ
Nulhypotese afvises
Korrekt]]),NA(),IF(EY$3,1,NA()))</f>
        <v>#N/A</v>
      </c>
      <c r="FD20" s="55" t="str" cm="1">
        <f t="array" ref="FD20">IFERROR(_xlfn.SWITCH(Eu_tabel_a[[#This Row],[Indeks]],_xlfn.IFNA(FB$2,-99),FB$5,_xlfn.IFNA(FB$3,-99),FB$6,_xlfn.IFNA(FB$4,-99),FB$7,""),"")</f>
        <v/>
      </c>
      <c r="FE20" s="54">
        <f>Eu_tabel_a[[#This Row],[x base]]*SQRT(Eu_a_h0_x*(1-Eu_a_h0_x)/Eu_a_n_x)+Eu_a_h0_x</f>
        <v>0</v>
      </c>
      <c r="FJ20" s="144" t="e">
        <f t="shared" si="18"/>
        <v>#N/A</v>
      </c>
      <c r="FK20" s="152" t="e">
        <f t="shared" si="31"/>
        <v>#DIV/0!</v>
      </c>
      <c r="FL20" s="7" t="e">
        <f t="shared" si="12"/>
        <v>#DIV/0!</v>
      </c>
      <c r="FM20" t="e">
        <f t="shared" si="32"/>
        <v>#DIV/0!</v>
      </c>
      <c r="FN20" s="8" t="e">
        <f t="shared" si="33"/>
        <v>#DIV/0!</v>
      </c>
      <c r="FO20" s="8" t="e">
        <f t="shared" si="34"/>
        <v>#DIV/0!</v>
      </c>
      <c r="FP20" s="151" t="e">
        <f t="shared" si="35"/>
        <v>#DIV/0!</v>
      </c>
      <c r="FQ20" s="144" t="e">
        <f t="shared" ca="1" si="13"/>
        <v>#N/A</v>
      </c>
      <c r="FR20" s="152" t="e" vm="3">
        <f t="shared" ca="1" si="19"/>
        <v>#VALUE!</v>
      </c>
      <c r="FS20" s="7" t="e" vm="3">
        <f t="shared" ca="1" si="14"/>
        <v>#VALUE!</v>
      </c>
      <c r="FT20" t="e" vm="3">
        <f t="shared" ca="1" si="8"/>
        <v>#VALUE!</v>
      </c>
      <c r="FU20" s="8" t="e" vm="3">
        <f t="shared" ca="1" si="9"/>
        <v>#VALUE!</v>
      </c>
      <c r="FV20" s="8" t="e" vm="3">
        <f t="shared" ca="1" si="10"/>
        <v>#VALUE!</v>
      </c>
      <c r="FW20" s="151" t="e" vm="3">
        <f t="shared" ca="1" si="11"/>
        <v>#VALUE!</v>
      </c>
      <c r="FX20" s="144" t="e">
        <f t="shared" si="15"/>
        <v>#N/A</v>
      </c>
      <c r="FY20" s="152" t="e">
        <f t="shared" si="20"/>
        <v>#N/A</v>
      </c>
      <c r="FZ20" s="7" t="e">
        <f t="shared" si="16"/>
        <v>#N/A</v>
      </c>
      <c r="GA20" t="e">
        <f t="shared" si="21"/>
        <v>#N/A</v>
      </c>
      <c r="GB20" s="8" t="e">
        <f t="shared" si="22"/>
        <v>#N/A</v>
      </c>
      <c r="GC20" s="8" t="e">
        <f t="shared" si="23"/>
        <v>#N/A</v>
      </c>
      <c r="GD20" s="151" t="e">
        <f t="shared" si="24"/>
        <v>#N/A</v>
      </c>
      <c r="GE20" s="144" t="e">
        <f t="shared" si="25"/>
        <v>#N/A</v>
      </c>
      <c r="GF20" s="152" t="e">
        <f t="shared" si="26"/>
        <v>#N/A</v>
      </c>
      <c r="GG20" s="7" t="e">
        <f t="shared" si="17"/>
        <v>#N/A</v>
      </c>
      <c r="GH20" t="e">
        <f t="shared" si="27"/>
        <v>#N/A</v>
      </c>
      <c r="GI20" s="8" t="e">
        <f t="shared" si="28"/>
        <v>#N/A</v>
      </c>
      <c r="GJ20" s="8" t="e">
        <f t="shared" si="29"/>
        <v>#N/A</v>
      </c>
      <c r="GK20" s="151" t="e">
        <f t="shared" si="30"/>
        <v>#N/A</v>
      </c>
      <c r="GL20" s="151"/>
      <c r="GM20" s="151"/>
      <c r="GP20" s="54">
        <f t="shared" si="81"/>
        <v>10</v>
      </c>
      <c r="GQ20" s="54">
        <f t="shared" si="82"/>
        <v>11</v>
      </c>
      <c r="GR20" s="54">
        <f t="shared" si="83"/>
        <v>-2.8506794142168199</v>
      </c>
      <c r="GS20" s="54">
        <f t="shared" si="84"/>
        <v>6.859470035530551E-3</v>
      </c>
      <c r="GT20" s="54" t="e">
        <f t="shared" si="85"/>
        <v>#N/A</v>
      </c>
      <c r="GU20" s="54" t="e">
        <f t="shared" si="86"/>
        <v>#N/A</v>
      </c>
      <c r="GV20" s="54" t="e">
        <f t="shared" si="87"/>
        <v>#N/A</v>
      </c>
      <c r="GW20" s="54" t="b">
        <f t="shared" si="88"/>
        <v>1</v>
      </c>
      <c r="GX20" s="54" t="b">
        <f t="shared" si="89"/>
        <v>0</v>
      </c>
      <c r="GY20" s="54" t="b">
        <f t="shared" si="90"/>
        <v>1</v>
      </c>
      <c r="GZ20" s="54" t="b">
        <f t="shared" si="91"/>
        <v>0</v>
      </c>
      <c r="HA20" s="54">
        <f t="shared" si="92"/>
        <v>6.859470035530551E-3</v>
      </c>
      <c r="HB20" s="54">
        <f t="shared" si="93"/>
        <v>6.859470035530551E-3</v>
      </c>
      <c r="HC20" s="54" t="e">
        <f t="shared" si="94"/>
        <v>#N/A</v>
      </c>
      <c r="HD20" s="69" t="str">
        <f t="shared" si="95"/>
        <v/>
      </c>
      <c r="HJ20" s="54">
        <f t="shared" si="96"/>
        <v>10</v>
      </c>
      <c r="HK20" s="54">
        <f t="shared" si="97"/>
        <v>11</v>
      </c>
      <c r="HL20" s="54">
        <f t="shared" si="98"/>
        <v>-4.4143369442477649</v>
      </c>
      <c r="HM20" s="54" t="e">
        <f t="shared" si="99"/>
        <v>#N/A</v>
      </c>
      <c r="HN20" s="54">
        <f t="shared" si="100"/>
        <v>1.8782501669481135E-3</v>
      </c>
      <c r="HO20" s="54" t="e">
        <f t="shared" si="101"/>
        <v>#N/A</v>
      </c>
      <c r="HP20" s="54" t="e">
        <f t="shared" si="102"/>
        <v>#N/A</v>
      </c>
      <c r="HQ20" s="54" t="b">
        <f t="shared" si="103"/>
        <v>1</v>
      </c>
      <c r="HR20" s="54" t="b">
        <f t="shared" si="104"/>
        <v>0</v>
      </c>
      <c r="HS20" s="54" t="b">
        <f t="shared" si="105"/>
        <v>1</v>
      </c>
      <c r="HT20" s="54" t="b">
        <f t="shared" si="106"/>
        <v>0</v>
      </c>
      <c r="HU20" s="54">
        <f t="shared" si="107"/>
        <v>1.8782501669481135E-3</v>
      </c>
      <c r="HV20" s="54">
        <f t="shared" si="108"/>
        <v>1.8782501669481135E-3</v>
      </c>
      <c r="HW20" s="54" t="e">
        <f t="shared" si="109"/>
        <v>#N/A</v>
      </c>
      <c r="HX20" s="69" t="str">
        <f t="shared" si="110"/>
        <v/>
      </c>
    </row>
    <row r="21" spans="57:232" x14ac:dyDescent="0.2">
      <c r="BE21" s="57" t="s">
        <v>162</v>
      </c>
      <c r="BF21" s="59" t="str">
        <f>INDEX(E_g_valg[Kontrol af forudsætning 4],E_g_aktiv)</f>
        <v>Skal vurderes</v>
      </c>
      <c r="BG21" s="59" t="str">
        <f>INDEX(E_s_valg[Kontrol af forudsætning 4],E_s_aktiv)</f>
        <v>Skal vurderes</v>
      </c>
      <c r="BH21" s="59">
        <f>INDEX(E_a_valg[Kontrol af forudsætning 4],E_a_aktiv)</f>
        <v>0</v>
      </c>
      <c r="BI21" s="59">
        <f>INDEX(E_i_valg[Kontrol af forudsætning 4],E_i_aktiv)</f>
        <v>0</v>
      </c>
      <c r="BJ21" s="59">
        <f>INDEX(E_k_valg[Kontrol af forudsætning 4],E_k_aktiv)</f>
        <v>0</v>
      </c>
      <c r="BL21" s="90" t="s">
        <v>4</v>
      </c>
      <c r="BM21" s="204">
        <f>Eu_s_konfidensniveau</f>
        <v>0.95</v>
      </c>
      <c r="BZ21" s="54">
        <f t="shared" si="36"/>
        <v>11</v>
      </c>
      <c r="CA21" s="54">
        <f>Eu_tabel_g[[#This Row],[Indeks]]+1</f>
        <v>12</v>
      </c>
      <c r="CB21" s="54">
        <f t="shared" si="37"/>
        <v>-2.8267241250217205</v>
      </c>
      <c r="CC21" s="54">
        <f t="shared" si="38"/>
        <v>7.3421528709367023E-3</v>
      </c>
      <c r="CD21" s="54" t="e">
        <f t="shared" si="39"/>
        <v>#N/A</v>
      </c>
      <c r="CE21" s="54" t="e">
        <f t="shared" si="40"/>
        <v>#N/A</v>
      </c>
      <c r="CF21" s="54" t="e">
        <f t="shared" si="41"/>
        <v>#N/A</v>
      </c>
      <c r="CG21" s="54" t="b">
        <f t="shared" si="42"/>
        <v>1</v>
      </c>
      <c r="CH21" s="54" t="b">
        <f t="shared" si="43"/>
        <v>0</v>
      </c>
      <c r="CI21" s="54" t="b">
        <f t="shared" si="44"/>
        <v>1</v>
      </c>
      <c r="CJ21" s="54" t="b">
        <f t="shared" si="45"/>
        <v>0</v>
      </c>
      <c r="CK21" s="54">
        <f t="shared" si="111"/>
        <v>7.3421528709367023E-3</v>
      </c>
      <c r="CL21" s="54">
        <f t="shared" si="47"/>
        <v>7.3421528709367023E-3</v>
      </c>
      <c r="CM21" s="54" t="e">
        <f t="shared" si="48"/>
        <v>#N/A</v>
      </c>
      <c r="CN21" s="69" t="str">
        <f t="shared" si="49"/>
        <v/>
      </c>
      <c r="CO21" s="54">
        <f>_xlfn.NORM.DIST(_xlfn.NORM.INV(1-Eu_g_konfidensniveau,0,1)-Eu_tabel_g[[#This Row],[x base]],0,1,TRUE)</f>
        <v>0.88137145520395488</v>
      </c>
      <c r="CP21" s="54">
        <f>1-_xlfn.NORM.DIST(_xlfn.NORM.INV(Eu_g_konfidensniveau,0,1)-Eu_tabel_g[[#This Row],[x base]],0,1,TRUE)</f>
        <v>3.882230990903679E-6</v>
      </c>
      <c r="CQ21" s="54">
        <f>_xlfn.NORM.DIST(_xlfn.NORM.INV((1-Eu_g_konfidensniveau)/2,0,1)-Eu_tabel_g[[#This Row],[x base]],0,1,TRUE)+1-_xlfn.NORM.DIST(_xlfn.NORM.INV(1-(1-Eu_g_konfidensniveau)/2,0,1)-Eu_tabel_g[[#This Row],[x base]],0,1,TRUE)</f>
        <v>0.80696412483467084</v>
      </c>
      <c r="CR21" s="54" t="e" cm="1">
        <f t="array" ref="CR21">IF($CR$3,INDEX(Eu_tabel_g[[#This Row],[Styrke venstre]:[Styrke tosidet]],CR$7),NA())</f>
        <v>#N/A</v>
      </c>
      <c r="CS21" s="89" t="e">
        <f>Eu_tabel_g[[#This Row],[Falsk positiv
Nulhypotese accepteres
Fejltype 1]]</f>
        <v>#N/A</v>
      </c>
      <c r="CT21" s="89" t="e">
        <f>IF(CHOOSE(CR$7,Eu_tabel_g[[#This Row],[x base]]&gt;0,Eu_tabel_g[[#This Row],[x base]]&lt;0,Eu_tabel_g[[#This Row],[x base]]=0),Eu_tabel_g[[#This Row],[Styrke, aktiv]],NA())</f>
        <v>#N/A</v>
      </c>
      <c r="CU21" s="89" t="e">
        <f>IFERROR(IF($CR$3,Eu_tabel_g[[#This Row],[Styrke, aktiv]],NA()),NA())</f>
        <v>#N/A</v>
      </c>
      <c r="CV21" s="89" t="e">
        <f>IF(ISNA(Eu_tabel_g[[#This Row],[Sand negativ
Nulhypotese afvises
Korrekt]]),NA(),IF($CR$3,1,NA()))</f>
        <v>#N/A</v>
      </c>
      <c r="CW21" s="56" t="str" cm="1">
        <f t="array" ref="CW21">_xlfn.SWITCH(BZ21,_xlfn.IFNA(CU$2,-99),CU$5,_xlfn.IFNA(CU$3,-99),CU$6,_xlfn.IFNA(CU$4,-99),CU$7,"")</f>
        <v/>
      </c>
      <c r="DA21" s="7">
        <f t="shared" si="50"/>
        <v>0.8</v>
      </c>
      <c r="DB21">
        <f>IF(ROW(Styrkeberegning_G[[#This Row],[X base venstre]])=ROW(Styrkeberegning_G[[#Headers],[X base venstre]])+1,DB$7/(DA$7/$B$67),DB20/(DA20/$B$67))</f>
        <v>-2.8015817870135784</v>
      </c>
      <c r="DC21">
        <f>Styrkeberegning_G[[#This Row],[X base venstre]]*-1</f>
        <v>2.8015817870135784</v>
      </c>
      <c r="DN21" s="54">
        <f t="shared" si="51"/>
        <v>11</v>
      </c>
      <c r="DO21" s="54">
        <f t="shared" si="52"/>
        <v>12</v>
      </c>
      <c r="DP21" s="54">
        <f t="shared" si="53"/>
        <v>3.0886320852407012</v>
      </c>
      <c r="DQ21" s="54" t="e">
        <f t="shared" si="54"/>
        <v>#N/A</v>
      </c>
      <c r="DR21" s="54" t="e">
        <f t="shared" si="55"/>
        <v>#N/A</v>
      </c>
      <c r="DS21" s="54">
        <f t="shared" si="56"/>
        <v>1.4412460354358489E-2</v>
      </c>
      <c r="DT21" s="54" t="e">
        <f t="shared" si="57"/>
        <v>#N/A</v>
      </c>
      <c r="DU21" s="54" t="b">
        <f t="shared" si="58"/>
        <v>1</v>
      </c>
      <c r="DV21" s="54" t="b">
        <f t="shared" si="59"/>
        <v>0</v>
      </c>
      <c r="DW21" s="54" t="b">
        <f t="shared" si="60"/>
        <v>1</v>
      </c>
      <c r="DX21" s="54" t="b">
        <f t="shared" si="61"/>
        <v>0</v>
      </c>
      <c r="DY21" s="54">
        <f t="shared" si="62"/>
        <v>1.4412460354358489E-2</v>
      </c>
      <c r="DZ21" s="54">
        <f t="shared" si="63"/>
        <v>1.4412460354358489E-2</v>
      </c>
      <c r="EA21" s="54" t="e">
        <f t="shared" si="64"/>
        <v>#N/A</v>
      </c>
      <c r="EB21" s="69" t="str">
        <f t="shared" si="65"/>
        <v/>
      </c>
      <c r="EG21" s="54">
        <f t="shared" si="66"/>
        <v>11</v>
      </c>
      <c r="EH21" s="54">
        <f t="shared" si="67"/>
        <v>12</v>
      </c>
      <c r="EI21" s="54">
        <f t="shared" si="68"/>
        <v>-2.8267241250217205</v>
      </c>
      <c r="EJ21" s="54">
        <f t="shared" si="69"/>
        <v>7.3421528709367023E-3</v>
      </c>
      <c r="EK21" s="54" t="e">
        <f t="shared" si="70"/>
        <v>#N/A</v>
      </c>
      <c r="EL21" s="54" t="e">
        <f t="shared" si="71"/>
        <v>#N/A</v>
      </c>
      <c r="EM21" s="54" t="e">
        <f t="shared" si="72"/>
        <v>#N/A</v>
      </c>
      <c r="EN21" s="54" t="b">
        <f t="shared" si="73"/>
        <v>1</v>
      </c>
      <c r="EO21" s="54" t="b">
        <f t="shared" si="74"/>
        <v>0</v>
      </c>
      <c r="EP21" s="54" t="b">
        <f t="shared" si="75"/>
        <v>1</v>
      </c>
      <c r="EQ21" s="54" t="b">
        <f t="shared" si="76"/>
        <v>0</v>
      </c>
      <c r="ER21" s="54">
        <f t="shared" si="77"/>
        <v>7.3421528709367023E-3</v>
      </c>
      <c r="ES21" s="54">
        <f t="shared" si="78"/>
        <v>7.3421528709367023E-3</v>
      </c>
      <c r="ET21" s="54" t="e">
        <f t="shared" si="79"/>
        <v>#N/A</v>
      </c>
      <c r="EU21" s="69" t="str">
        <f t="shared" si="80"/>
        <v/>
      </c>
      <c r="EV2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1" s="54" t="e" cm="1">
        <f t="array" ref="EY21">IF($CR$3,INDEX(Eu_tabel_a[[#This Row],[Styrke venstre]:[Styrke tosidet]],EY$7),NA())</f>
        <v>#N/A</v>
      </c>
      <c r="EZ21" s="54" t="e">
        <f>IF(EY$3,IF(CHOOSE(EY$7,Eu_tabel_a[[#This Row],[x base]]&gt;0,Eu_tabel_a[[#This Row],[x base]]&lt;0,Eu_tabel_a[[#This Row],[x base]]=0),1,NA()),NA())</f>
        <v>#N/A</v>
      </c>
      <c r="FA21" s="54" t="e">
        <f>IF(CHOOSE(EY$7,Eu_tabel_a[[#This Row],[x base]]&gt;0,Eu_tabel_a[[#This Row],[x base]]&lt;0,Eu_tabel_a[[#This Row],[x base]]=0),Eu_tabel_a[[#This Row],[Styrke, aktiv]],NA())</f>
        <v>#N/A</v>
      </c>
      <c r="FB21" s="54" t="e">
        <f>IFERROR(IF($EY$3,Eu_tabel_a[[#This Row],[Styrke, aktiv]],NA()),NA())</f>
        <v>#N/A</v>
      </c>
      <c r="FC21" s="54" t="e">
        <f>IF(ISNA(Eu_tabel_a[[#This Row],[Sand negativ
Nulhypotese afvises
Korrekt]]),NA(),IF(EY$3,1,NA()))</f>
        <v>#N/A</v>
      </c>
      <c r="FD21" s="55" t="str" cm="1">
        <f t="array" ref="FD21">IFERROR(_xlfn.SWITCH(Eu_tabel_a[[#This Row],[Indeks]],_xlfn.IFNA(FB$2,-99),FB$5,_xlfn.IFNA(FB$3,-99),FB$6,_xlfn.IFNA(FB$4,-99),FB$7,""),"")</f>
        <v/>
      </c>
      <c r="FE21" s="54">
        <f>Eu_tabel_a[[#This Row],[x base]]*SQRT(Eu_a_h0_x*(1-Eu_a_h0_x)/Eu_a_n_x)+Eu_a_h0_x</f>
        <v>0</v>
      </c>
      <c r="FJ21" s="144" t="e">
        <f t="shared" si="18"/>
        <v>#N/A</v>
      </c>
      <c r="FK21" s="152" t="e">
        <f t="shared" si="31"/>
        <v>#DIV/0!</v>
      </c>
      <c r="FL21" s="7" t="e">
        <f t="shared" si="12"/>
        <v>#DIV/0!</v>
      </c>
      <c r="FM21" t="e">
        <f t="shared" si="32"/>
        <v>#DIV/0!</v>
      </c>
      <c r="FN21" s="8" t="e">
        <f t="shared" si="33"/>
        <v>#DIV/0!</v>
      </c>
      <c r="FO21" s="8" t="e">
        <f t="shared" si="34"/>
        <v>#DIV/0!</v>
      </c>
      <c r="FP21" s="151" t="e">
        <f t="shared" si="35"/>
        <v>#DIV/0!</v>
      </c>
      <c r="FQ21" s="144" t="e">
        <f t="shared" ca="1" si="13"/>
        <v>#N/A</v>
      </c>
      <c r="FR21" s="152" t="e" vm="3">
        <f t="shared" ca="1" si="19"/>
        <v>#VALUE!</v>
      </c>
      <c r="FS21" s="7" t="e" vm="3">
        <f t="shared" ca="1" si="14"/>
        <v>#VALUE!</v>
      </c>
      <c r="FT21" t="e" vm="3">
        <f t="shared" ca="1" si="8"/>
        <v>#VALUE!</v>
      </c>
      <c r="FU21" s="8" t="e" vm="3">
        <f t="shared" ca="1" si="9"/>
        <v>#VALUE!</v>
      </c>
      <c r="FV21" s="8" t="e" vm="3">
        <f t="shared" ca="1" si="10"/>
        <v>#VALUE!</v>
      </c>
      <c r="FW21" s="151" t="e" vm="3">
        <f t="shared" ca="1" si="11"/>
        <v>#VALUE!</v>
      </c>
      <c r="FX21" s="144" t="e">
        <f t="shared" si="15"/>
        <v>#N/A</v>
      </c>
      <c r="FY21" s="152" t="e">
        <f t="shared" si="20"/>
        <v>#N/A</v>
      </c>
      <c r="FZ21" s="7" t="e">
        <f t="shared" si="16"/>
        <v>#N/A</v>
      </c>
      <c r="GA21" t="e">
        <f t="shared" si="21"/>
        <v>#N/A</v>
      </c>
      <c r="GB21" s="8" t="e">
        <f t="shared" si="22"/>
        <v>#N/A</v>
      </c>
      <c r="GC21" s="8" t="e">
        <f t="shared" si="23"/>
        <v>#N/A</v>
      </c>
      <c r="GD21" s="151" t="e">
        <f t="shared" si="24"/>
        <v>#N/A</v>
      </c>
      <c r="GE21" s="144" t="e">
        <f t="shared" si="25"/>
        <v>#N/A</v>
      </c>
      <c r="GF21" s="152" t="e">
        <f t="shared" si="26"/>
        <v>#N/A</v>
      </c>
      <c r="GG21" s="7" t="e">
        <f t="shared" si="17"/>
        <v>#N/A</v>
      </c>
      <c r="GH21" t="e">
        <f t="shared" si="27"/>
        <v>#N/A</v>
      </c>
      <c r="GI21" s="8" t="e">
        <f t="shared" si="28"/>
        <v>#N/A</v>
      </c>
      <c r="GJ21" s="8" t="e">
        <f t="shared" si="29"/>
        <v>#N/A</v>
      </c>
      <c r="GK21" s="151" t="e">
        <f t="shared" si="30"/>
        <v>#N/A</v>
      </c>
      <c r="GL21" s="151"/>
      <c r="GM21" s="151"/>
      <c r="GP21" s="54">
        <f t="shared" si="81"/>
        <v>11</v>
      </c>
      <c r="GQ21" s="54">
        <f t="shared" si="82"/>
        <v>12</v>
      </c>
      <c r="GR21" s="54">
        <f t="shared" si="83"/>
        <v>-2.8267241250217205</v>
      </c>
      <c r="GS21" s="54">
        <f t="shared" si="84"/>
        <v>7.3421528709367023E-3</v>
      </c>
      <c r="GT21" s="54" t="e">
        <f t="shared" si="85"/>
        <v>#N/A</v>
      </c>
      <c r="GU21" s="54" t="e">
        <f t="shared" si="86"/>
        <v>#N/A</v>
      </c>
      <c r="GV21" s="54" t="e">
        <f t="shared" si="87"/>
        <v>#N/A</v>
      </c>
      <c r="GW21" s="54" t="b">
        <f t="shared" si="88"/>
        <v>1</v>
      </c>
      <c r="GX21" s="54" t="b">
        <f t="shared" si="89"/>
        <v>0</v>
      </c>
      <c r="GY21" s="54" t="b">
        <f t="shared" si="90"/>
        <v>1</v>
      </c>
      <c r="GZ21" s="54" t="b">
        <f t="shared" si="91"/>
        <v>0</v>
      </c>
      <c r="HA21" s="54">
        <f t="shared" si="92"/>
        <v>7.3421528709367023E-3</v>
      </c>
      <c r="HB21" s="54">
        <f t="shared" si="93"/>
        <v>7.3421528709367023E-3</v>
      </c>
      <c r="HC21" s="54" t="e">
        <f t="shared" si="94"/>
        <v>#N/A</v>
      </c>
      <c r="HD21" s="69" t="str">
        <f t="shared" si="95"/>
        <v/>
      </c>
      <c r="HJ21" s="54">
        <f t="shared" si="96"/>
        <v>11</v>
      </c>
      <c r="HK21" s="54">
        <f t="shared" si="97"/>
        <v>12</v>
      </c>
      <c r="HL21" s="54">
        <f t="shared" si="98"/>
        <v>-4.3772416758087074</v>
      </c>
      <c r="HM21" s="54" t="e">
        <f t="shared" si="99"/>
        <v>#N/A</v>
      </c>
      <c r="HN21" s="54">
        <f t="shared" si="100"/>
        <v>1.973676810225125E-3</v>
      </c>
      <c r="HO21" s="54" t="e">
        <f t="shared" si="101"/>
        <v>#N/A</v>
      </c>
      <c r="HP21" s="54" t="e">
        <f t="shared" si="102"/>
        <v>#N/A</v>
      </c>
      <c r="HQ21" s="54" t="b">
        <f t="shared" si="103"/>
        <v>1</v>
      </c>
      <c r="HR21" s="54" t="b">
        <f t="shared" si="104"/>
        <v>0</v>
      </c>
      <c r="HS21" s="54" t="b">
        <f t="shared" si="105"/>
        <v>1</v>
      </c>
      <c r="HT21" s="54" t="b">
        <f t="shared" si="106"/>
        <v>0</v>
      </c>
      <c r="HU21" s="54">
        <f t="shared" si="107"/>
        <v>1.973676810225125E-3</v>
      </c>
      <c r="HV21" s="54">
        <f t="shared" si="108"/>
        <v>1.973676810225125E-3</v>
      </c>
      <c r="HW21" s="54" t="e">
        <f t="shared" si="109"/>
        <v>#N/A</v>
      </c>
      <c r="HX21" s="69" t="str">
        <f t="shared" si="110"/>
        <v/>
      </c>
    </row>
    <row r="22" spans="57:232" x14ac:dyDescent="0.2">
      <c r="BE22" s="90" t="s">
        <v>433</v>
      </c>
      <c r="BF22" s="57" t="s">
        <v>426</v>
      </c>
      <c r="BG22" s="57" t="s">
        <v>426</v>
      </c>
      <c r="BH22" s="57" t="s">
        <v>426</v>
      </c>
      <c r="BI22" s="57" t="s">
        <v>426</v>
      </c>
      <c r="BJ22" s="57" t="s">
        <v>426</v>
      </c>
      <c r="BL22" s="90" t="s">
        <v>453</v>
      </c>
      <c r="BM22" s="203" cm="1">
        <f t="array" ref="BM22">IF($BG$2,INDEX(E_s_valg[Venstre label base],E_s_aktiv),NA())</f>
        <v>3.0509630363038913</v>
      </c>
      <c r="BZ22" s="54">
        <f t="shared" si="36"/>
        <v>12</v>
      </c>
      <c r="CA22" s="54">
        <f>Eu_tabel_g[[#This Row],[Indeks]]+1</f>
        <v>13</v>
      </c>
      <c r="CB22" s="54">
        <f t="shared" si="37"/>
        <v>-2.8027688358266212</v>
      </c>
      <c r="CC22" s="54">
        <f t="shared" si="38"/>
        <v>7.8542923005407734E-3</v>
      </c>
      <c r="CD22" s="54" t="e">
        <f t="shared" si="39"/>
        <v>#N/A</v>
      </c>
      <c r="CE22" s="54" t="e">
        <f t="shared" si="40"/>
        <v>#N/A</v>
      </c>
      <c r="CF22" s="54" t="e">
        <f t="shared" si="41"/>
        <v>#N/A</v>
      </c>
      <c r="CG22" s="54" t="b">
        <f t="shared" si="42"/>
        <v>1</v>
      </c>
      <c r="CH22" s="54" t="b">
        <f t="shared" si="43"/>
        <v>0</v>
      </c>
      <c r="CI22" s="54" t="b">
        <f t="shared" si="44"/>
        <v>1</v>
      </c>
      <c r="CJ22" s="54" t="b">
        <f t="shared" si="45"/>
        <v>0</v>
      </c>
      <c r="CK22" s="54">
        <f t="shared" si="111"/>
        <v>7.8542923005407734E-3</v>
      </c>
      <c r="CL22" s="54">
        <f t="shared" si="47"/>
        <v>7.8542923005407734E-3</v>
      </c>
      <c r="CM22" s="54" t="e">
        <f t="shared" si="48"/>
        <v>#N/A</v>
      </c>
      <c r="CN22" s="69" t="str">
        <f t="shared" si="49"/>
        <v/>
      </c>
      <c r="CO22" s="54">
        <f>_xlfn.NORM.DIST(_xlfn.NORM.INV(1-Eu_g_konfidensniveau,0,1)-Eu_tabel_g[[#This Row],[x base]],0,1,TRUE)</f>
        <v>0.87655067983900448</v>
      </c>
      <c r="CP22" s="54">
        <f>1-_xlfn.NORM.DIST(_xlfn.NORM.INV(Eu_g_konfidensniveau,0,1)-Eu_tabel_g[[#This Row],[x base]],0,1,TRUE)</f>
        <v>4.3412979959800424E-6</v>
      </c>
      <c r="CQ22" s="54">
        <f>_xlfn.NORM.DIST(_xlfn.NORM.INV((1-Eu_g_konfidensniveau)/2,0,1)-Eu_tabel_g[[#This Row],[x base]],0,1,TRUE)+1-_xlfn.NORM.DIST(_xlfn.NORM.INV(1-(1-Eu_g_konfidensniveau)/2,0,1)-Eu_tabel_g[[#This Row],[x base]],0,1,TRUE)</f>
        <v>0.80033215776148381</v>
      </c>
      <c r="CR22" s="54" t="e" cm="1">
        <f t="array" ref="CR22">IF($CR$3,INDEX(Eu_tabel_g[[#This Row],[Styrke venstre]:[Styrke tosidet]],CR$7),NA())</f>
        <v>#N/A</v>
      </c>
      <c r="CS22" s="89" t="e">
        <f>Eu_tabel_g[[#This Row],[Falsk positiv
Nulhypotese accepteres
Fejltype 1]]</f>
        <v>#N/A</v>
      </c>
      <c r="CT22" s="89" t="e">
        <f>IF(CHOOSE(CR$7,Eu_tabel_g[[#This Row],[x base]]&gt;0,Eu_tabel_g[[#This Row],[x base]]&lt;0,Eu_tabel_g[[#This Row],[x base]]=0),Eu_tabel_g[[#This Row],[Styrke, aktiv]],NA())</f>
        <v>#N/A</v>
      </c>
      <c r="CU22" s="89" t="e">
        <f>IFERROR(IF($CR$3,Eu_tabel_g[[#This Row],[Styrke, aktiv]],NA()),NA())</f>
        <v>#N/A</v>
      </c>
      <c r="CV22" s="89" t="e">
        <f>IF(ISNA(Eu_tabel_g[[#This Row],[Sand negativ
Nulhypotese afvises
Korrekt]]),NA(),IF($CR$3,1,NA()))</f>
        <v>#N/A</v>
      </c>
      <c r="CW22" s="56" t="str" cm="1">
        <f t="array" ref="CW22">_xlfn.SWITCH(BZ22,_xlfn.IFNA(CU$2,-99),CU$5,_xlfn.IFNA(CU$3,-99),CU$6,_xlfn.IFNA(CU$4,-99),CU$7,"")</f>
        <v/>
      </c>
      <c r="DA22" s="7">
        <f t="shared" si="50"/>
        <v>0.8</v>
      </c>
      <c r="DB22">
        <f>IF(ROW(Styrkeberegning_G[[#This Row],[X base venstre]])=ROW(Styrkeberegning_G[[#Headers],[X base venstre]])+1,DB$7/(DA$7/$B$67),DB21/(DA21/$B$67))</f>
        <v>-2.8015817870135784</v>
      </c>
      <c r="DC22">
        <f>Styrkeberegning_G[[#This Row],[X base venstre]]*-1</f>
        <v>2.8015817870135784</v>
      </c>
      <c r="DN22" s="54">
        <f t="shared" si="51"/>
        <v>12</v>
      </c>
      <c r="DO22" s="54">
        <f t="shared" si="52"/>
        <v>13</v>
      </c>
      <c r="DP22" s="54">
        <f t="shared" si="53"/>
        <v>3.2027029416577024</v>
      </c>
      <c r="DQ22" s="54" t="e">
        <f t="shared" si="54"/>
        <v>#N/A</v>
      </c>
      <c r="DR22" s="54" t="e">
        <f t="shared" si="55"/>
        <v>#N/A</v>
      </c>
      <c r="DS22" s="54">
        <f t="shared" si="56"/>
        <v>1.6026737141399662E-2</v>
      </c>
      <c r="DT22" s="54" t="e">
        <f t="shared" si="57"/>
        <v>#N/A</v>
      </c>
      <c r="DU22" s="54" t="b">
        <f t="shared" si="58"/>
        <v>1</v>
      </c>
      <c r="DV22" s="54" t="b">
        <f t="shared" si="59"/>
        <v>0</v>
      </c>
      <c r="DW22" s="54" t="b">
        <f t="shared" si="60"/>
        <v>1</v>
      </c>
      <c r="DX22" s="54" t="b">
        <f t="shared" si="61"/>
        <v>0</v>
      </c>
      <c r="DY22" s="54">
        <f t="shared" si="62"/>
        <v>1.6026737141399662E-2</v>
      </c>
      <c r="DZ22" s="54">
        <f t="shared" si="63"/>
        <v>1.6026737141399662E-2</v>
      </c>
      <c r="EA22" s="54" t="e">
        <f t="shared" si="64"/>
        <v>#N/A</v>
      </c>
      <c r="EB22" s="69" t="str">
        <f t="shared" si="65"/>
        <v/>
      </c>
      <c r="EG22" s="54">
        <f t="shared" si="66"/>
        <v>12</v>
      </c>
      <c r="EH22" s="54">
        <f t="shared" si="67"/>
        <v>13</v>
      </c>
      <c r="EI22" s="54">
        <f t="shared" si="68"/>
        <v>-2.8027688358266212</v>
      </c>
      <c r="EJ22" s="54">
        <f t="shared" si="69"/>
        <v>7.8542923005407734E-3</v>
      </c>
      <c r="EK22" s="54" t="e">
        <f t="shared" si="70"/>
        <v>#N/A</v>
      </c>
      <c r="EL22" s="54" t="e">
        <f t="shared" si="71"/>
        <v>#N/A</v>
      </c>
      <c r="EM22" s="54" t="e">
        <f t="shared" si="72"/>
        <v>#N/A</v>
      </c>
      <c r="EN22" s="54" t="b">
        <f t="shared" si="73"/>
        <v>1</v>
      </c>
      <c r="EO22" s="54" t="b">
        <f t="shared" si="74"/>
        <v>0</v>
      </c>
      <c r="EP22" s="54" t="b">
        <f t="shared" si="75"/>
        <v>1</v>
      </c>
      <c r="EQ22" s="54" t="b">
        <f t="shared" si="76"/>
        <v>0</v>
      </c>
      <c r="ER22" s="54">
        <f t="shared" si="77"/>
        <v>7.8542923005407734E-3</v>
      </c>
      <c r="ES22" s="54">
        <f t="shared" si="78"/>
        <v>7.8542923005407734E-3</v>
      </c>
      <c r="ET22" s="54" t="e">
        <f t="shared" si="79"/>
        <v>#N/A</v>
      </c>
      <c r="EU22" s="69" t="str">
        <f t="shared" si="80"/>
        <v/>
      </c>
      <c r="EV2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2" s="54" t="e" cm="1">
        <f t="array" ref="EY22">IF($CR$3,INDEX(Eu_tabel_a[[#This Row],[Styrke venstre]:[Styrke tosidet]],EY$7),NA())</f>
        <v>#N/A</v>
      </c>
      <c r="EZ22" s="54" t="e">
        <f>IF(EY$3,IF(CHOOSE(EY$7,Eu_tabel_a[[#This Row],[x base]]&gt;0,Eu_tabel_a[[#This Row],[x base]]&lt;0,Eu_tabel_a[[#This Row],[x base]]=0),1,NA()),NA())</f>
        <v>#N/A</v>
      </c>
      <c r="FA22" s="54" t="e">
        <f>IF(CHOOSE(EY$7,Eu_tabel_a[[#This Row],[x base]]&gt;0,Eu_tabel_a[[#This Row],[x base]]&lt;0,Eu_tabel_a[[#This Row],[x base]]=0),Eu_tabel_a[[#This Row],[Styrke, aktiv]],NA())</f>
        <v>#N/A</v>
      </c>
      <c r="FB22" s="54" t="e">
        <f>IFERROR(IF($EY$3,Eu_tabel_a[[#This Row],[Styrke, aktiv]],NA()),NA())</f>
        <v>#N/A</v>
      </c>
      <c r="FC22" s="54" t="e">
        <f>IF(ISNA(Eu_tabel_a[[#This Row],[Sand negativ
Nulhypotese afvises
Korrekt]]),NA(),IF(EY$3,1,NA()))</f>
        <v>#N/A</v>
      </c>
      <c r="FD22" s="55" t="str" cm="1">
        <f t="array" ref="FD22">IFERROR(_xlfn.SWITCH(Eu_tabel_a[[#This Row],[Indeks]],_xlfn.IFNA(FB$2,-99),FB$5,_xlfn.IFNA(FB$3,-99),FB$6,_xlfn.IFNA(FB$4,-99),FB$7,""),"")</f>
        <v/>
      </c>
      <c r="FE22" s="54">
        <f>Eu_tabel_a[[#This Row],[x base]]*SQRT(Eu_a_h0_x*(1-Eu_a_h0_x)/Eu_a_n_x)+Eu_a_h0_x</f>
        <v>0</v>
      </c>
      <c r="FJ22" s="144" t="e">
        <f t="shared" si="18"/>
        <v>#N/A</v>
      </c>
      <c r="FK22" s="152" t="e">
        <f t="shared" si="31"/>
        <v>#DIV/0!</v>
      </c>
      <c r="FL22" s="7" t="e">
        <f t="shared" si="12"/>
        <v>#DIV/0!</v>
      </c>
      <c r="FM22" t="e">
        <f t="shared" si="32"/>
        <v>#DIV/0!</v>
      </c>
      <c r="FN22" s="8" t="e">
        <f t="shared" si="33"/>
        <v>#DIV/0!</v>
      </c>
      <c r="FO22" s="8" t="e">
        <f t="shared" si="34"/>
        <v>#DIV/0!</v>
      </c>
      <c r="FP22" s="151" t="e">
        <f t="shared" si="35"/>
        <v>#DIV/0!</v>
      </c>
      <c r="FQ22" s="144" t="e">
        <f t="shared" ca="1" si="13"/>
        <v>#N/A</v>
      </c>
      <c r="FR22" s="152" t="e" vm="3">
        <f t="shared" ca="1" si="19"/>
        <v>#VALUE!</v>
      </c>
      <c r="FS22" s="7" t="e" vm="3">
        <f t="shared" ca="1" si="14"/>
        <v>#VALUE!</v>
      </c>
      <c r="FT22" t="e" vm="3">
        <f t="shared" ca="1" si="8"/>
        <v>#VALUE!</v>
      </c>
      <c r="FU22" s="8" t="e" vm="3">
        <f t="shared" ca="1" si="9"/>
        <v>#VALUE!</v>
      </c>
      <c r="FV22" s="8" t="e" vm="3">
        <f t="shared" ca="1" si="10"/>
        <v>#VALUE!</v>
      </c>
      <c r="FW22" s="151" t="e" vm="3">
        <f t="shared" ca="1" si="11"/>
        <v>#VALUE!</v>
      </c>
      <c r="FX22" s="144" t="e">
        <f t="shared" si="15"/>
        <v>#N/A</v>
      </c>
      <c r="FY22" s="152" t="e">
        <f t="shared" si="20"/>
        <v>#N/A</v>
      </c>
      <c r="FZ22" s="7" t="e">
        <f t="shared" si="16"/>
        <v>#N/A</v>
      </c>
      <c r="GA22" t="e">
        <f t="shared" si="21"/>
        <v>#N/A</v>
      </c>
      <c r="GB22" s="8" t="e">
        <f t="shared" si="22"/>
        <v>#N/A</v>
      </c>
      <c r="GC22" s="8" t="e">
        <f t="shared" si="23"/>
        <v>#N/A</v>
      </c>
      <c r="GD22" s="151" t="e">
        <f t="shared" si="24"/>
        <v>#N/A</v>
      </c>
      <c r="GE22" s="144" t="e">
        <f t="shared" si="25"/>
        <v>#N/A</v>
      </c>
      <c r="GF22" s="152" t="e">
        <f t="shared" si="26"/>
        <v>#N/A</v>
      </c>
      <c r="GG22" s="7" t="e">
        <f t="shared" si="17"/>
        <v>#N/A</v>
      </c>
      <c r="GH22" t="e">
        <f t="shared" si="27"/>
        <v>#N/A</v>
      </c>
      <c r="GI22" s="8" t="e">
        <f t="shared" si="28"/>
        <v>#N/A</v>
      </c>
      <c r="GJ22" s="8" t="e">
        <f t="shared" si="29"/>
        <v>#N/A</v>
      </c>
      <c r="GK22" s="151" t="e">
        <f t="shared" si="30"/>
        <v>#N/A</v>
      </c>
      <c r="GL22" s="151"/>
      <c r="GM22" s="151"/>
      <c r="GP22" s="54">
        <f t="shared" si="81"/>
        <v>12</v>
      </c>
      <c r="GQ22" s="54">
        <f t="shared" si="82"/>
        <v>13</v>
      </c>
      <c r="GR22" s="54">
        <f t="shared" si="83"/>
        <v>-2.8027688358266212</v>
      </c>
      <c r="GS22" s="54">
        <f t="shared" si="84"/>
        <v>7.8542923005407734E-3</v>
      </c>
      <c r="GT22" s="54" t="e">
        <f t="shared" si="85"/>
        <v>#N/A</v>
      </c>
      <c r="GU22" s="54" t="e">
        <f t="shared" si="86"/>
        <v>#N/A</v>
      </c>
      <c r="GV22" s="54" t="e">
        <f t="shared" si="87"/>
        <v>#N/A</v>
      </c>
      <c r="GW22" s="54" t="b">
        <f t="shared" si="88"/>
        <v>1</v>
      </c>
      <c r="GX22" s="54" t="b">
        <f t="shared" si="89"/>
        <v>0</v>
      </c>
      <c r="GY22" s="54" t="b">
        <f t="shared" si="90"/>
        <v>1</v>
      </c>
      <c r="GZ22" s="54" t="b">
        <f t="shared" si="91"/>
        <v>0</v>
      </c>
      <c r="HA22" s="54">
        <f t="shared" si="92"/>
        <v>7.8542923005407734E-3</v>
      </c>
      <c r="HB22" s="54">
        <f t="shared" si="93"/>
        <v>7.8542923005407734E-3</v>
      </c>
      <c r="HC22" s="54" t="e">
        <f t="shared" si="94"/>
        <v>#N/A</v>
      </c>
      <c r="HD22" s="69" t="str">
        <f t="shared" si="95"/>
        <v/>
      </c>
      <c r="HJ22" s="54">
        <f t="shared" si="96"/>
        <v>12</v>
      </c>
      <c r="HK22" s="54">
        <f t="shared" si="97"/>
        <v>13</v>
      </c>
      <c r="HL22" s="54">
        <f t="shared" si="98"/>
        <v>-4.3401464073696507</v>
      </c>
      <c r="HM22" s="54" t="e">
        <f t="shared" si="99"/>
        <v>#N/A</v>
      </c>
      <c r="HN22" s="54">
        <f t="shared" si="100"/>
        <v>2.0743574203867876E-3</v>
      </c>
      <c r="HO22" s="54" t="e">
        <f t="shared" si="101"/>
        <v>#N/A</v>
      </c>
      <c r="HP22" s="54" t="e">
        <f t="shared" si="102"/>
        <v>#N/A</v>
      </c>
      <c r="HQ22" s="54" t="b">
        <f t="shared" si="103"/>
        <v>1</v>
      </c>
      <c r="HR22" s="54" t="b">
        <f t="shared" si="104"/>
        <v>0</v>
      </c>
      <c r="HS22" s="54" t="b">
        <f t="shared" si="105"/>
        <v>1</v>
      </c>
      <c r="HT22" s="54" t="b">
        <f t="shared" si="106"/>
        <v>0</v>
      </c>
      <c r="HU22" s="54">
        <f t="shared" si="107"/>
        <v>2.0743574203867876E-3</v>
      </c>
      <c r="HV22" s="54">
        <f t="shared" si="108"/>
        <v>2.0743574203867876E-3</v>
      </c>
      <c r="HW22" s="54" t="e">
        <f t="shared" si="109"/>
        <v>#N/A</v>
      </c>
      <c r="HX22" s="69" t="str">
        <f t="shared" si="110"/>
        <v/>
      </c>
    </row>
    <row r="23" spans="57:232" x14ac:dyDescent="0.2">
      <c r="BE23" s="57" t="s">
        <v>152</v>
      </c>
      <c r="BF23" s="59" cm="1">
        <f t="array" ref="BF23">MATCH(LARGE((BF18:BF21&lt;&gt;0)*{4;3;2;1},ROWS(BF18:BF18)),{4;3;2;1},0)</f>
        <v>1</v>
      </c>
      <c r="BG23" s="59" cm="1">
        <f t="array" ref="BG23">MATCH(LARGE((BG18:BG21&lt;&gt;0)*{4;3;2;1},ROWS(BG18:BG18)),{4;3;2;1},0)</f>
        <v>1</v>
      </c>
      <c r="BH23" s="59" cm="1">
        <f t="array" ref="BH23">MATCH(LARGE((BH18:BH21&lt;&gt;0)*{4;3;2;1},ROWS(BH18:BH18)),{4;3;2;1},0)</f>
        <v>1</v>
      </c>
      <c r="BI23" s="59" cm="1">
        <f t="array" ref="BI23">MATCH(LARGE((BI18:BI21&lt;&gt;0)*{4;3;2;1},ROWS(BI18:BI18)),{4;3;2;1},0)</f>
        <v>1</v>
      </c>
      <c r="BJ23" s="59" cm="1">
        <f t="array" ref="BJ23">MATCH(LARGE((BJ18:BJ21&lt;&gt;0)*{4;3;2;1},ROWS(BJ18:BJ18)),{4;3;2;1},0)</f>
        <v>1</v>
      </c>
      <c r="BL23" s="90" t="s">
        <v>454</v>
      </c>
      <c r="BM23" s="203" cm="1">
        <f t="array" ref="BM23">IF($BG$2,INDEX(E_s_valg[Højre label base],E_s_aktiv),NA())</f>
        <v>7.3125332181107092</v>
      </c>
      <c r="BZ23" s="54">
        <f t="shared" si="36"/>
        <v>13</v>
      </c>
      <c r="CA23" s="54">
        <f>Eu_tabel_g[[#This Row],[Indeks]]+1</f>
        <v>14</v>
      </c>
      <c r="CB23" s="54">
        <f t="shared" si="37"/>
        <v>-2.7788135466315218</v>
      </c>
      <c r="CC23" s="54">
        <f t="shared" si="38"/>
        <v>8.3973349051078925E-3</v>
      </c>
      <c r="CD23" s="54" t="e">
        <f t="shared" si="39"/>
        <v>#N/A</v>
      </c>
      <c r="CE23" s="54" t="e">
        <f t="shared" si="40"/>
        <v>#N/A</v>
      </c>
      <c r="CF23" s="54" t="e">
        <f t="shared" si="41"/>
        <v>#N/A</v>
      </c>
      <c r="CG23" s="54" t="b">
        <f t="shared" si="42"/>
        <v>1</v>
      </c>
      <c r="CH23" s="54" t="b">
        <f t="shared" si="43"/>
        <v>0</v>
      </c>
      <c r="CI23" s="54" t="b">
        <f t="shared" si="44"/>
        <v>1</v>
      </c>
      <c r="CJ23" s="54" t="b">
        <f t="shared" si="45"/>
        <v>0</v>
      </c>
      <c r="CK23" s="54">
        <f t="shared" si="111"/>
        <v>8.3973349051078925E-3</v>
      </c>
      <c r="CL23" s="54">
        <f t="shared" si="47"/>
        <v>8.3973349051078925E-3</v>
      </c>
      <c r="CM23" s="54" t="e">
        <f t="shared" si="48"/>
        <v>#N/A</v>
      </c>
      <c r="CN23" s="69" t="str">
        <f t="shared" si="49"/>
        <v/>
      </c>
      <c r="CO23" s="54">
        <f>_xlfn.NORM.DIST(_xlfn.NORM.INV(1-Eu_g_konfidensniveau,0,1)-Eu_tabel_g[[#This Row],[x base]],0,1,TRUE)</f>
        <v>0.87159431961038669</v>
      </c>
      <c r="CP23" s="54">
        <f>1-_xlfn.NORM.DIST(_xlfn.NORM.INV(Eu_g_konfidensniveau,0,1)-Eu_tabel_g[[#This Row],[x base]],0,1,TRUE)</f>
        <v>4.8519739090924219E-6</v>
      </c>
      <c r="CQ23" s="54">
        <f>_xlfn.NORM.DIST(_xlfn.NORM.INV((1-Eu_g_konfidensniveau)/2,0,1)-Eu_tabel_g[[#This Row],[x base]],0,1,TRUE)+1-_xlfn.NORM.DIST(_xlfn.NORM.INV(1-(1-Eu_g_konfidensniveau)/2,0,1)-Eu_tabel_g[[#This Row],[x base]],0,1,TRUE)</f>
        <v>0.79356495019123918</v>
      </c>
      <c r="CR23" s="54" t="e" cm="1">
        <f t="array" ref="CR23">IF($CR$3,INDEX(Eu_tabel_g[[#This Row],[Styrke venstre]:[Styrke tosidet]],CR$7),NA())</f>
        <v>#N/A</v>
      </c>
      <c r="CS23" s="89" t="e">
        <f>Eu_tabel_g[[#This Row],[Falsk positiv
Nulhypotese accepteres
Fejltype 1]]</f>
        <v>#N/A</v>
      </c>
      <c r="CT23" s="89" t="e">
        <f>IF(CHOOSE(CR$7,Eu_tabel_g[[#This Row],[x base]]&gt;0,Eu_tabel_g[[#This Row],[x base]]&lt;0,Eu_tabel_g[[#This Row],[x base]]=0),Eu_tabel_g[[#This Row],[Styrke, aktiv]],NA())</f>
        <v>#N/A</v>
      </c>
      <c r="CU23" s="89" t="e">
        <f>IFERROR(IF($CR$3,Eu_tabel_g[[#This Row],[Styrke, aktiv]],NA()),NA())</f>
        <v>#N/A</v>
      </c>
      <c r="CV23" s="89" t="e">
        <f>IF(ISNA(Eu_tabel_g[[#This Row],[Sand negativ
Nulhypotese afvises
Korrekt]]),NA(),IF($CR$3,1,NA()))</f>
        <v>#N/A</v>
      </c>
      <c r="CW23" s="56" t="str" cm="1">
        <f t="array" ref="CW23">_xlfn.SWITCH(BZ23,_xlfn.IFNA(CU$2,-99),CU$5,_xlfn.IFNA(CU$3,-99),CU$6,_xlfn.IFNA(CU$4,-99),CU$7,"")</f>
        <v/>
      </c>
      <c r="DA23" s="7">
        <f t="shared" si="50"/>
        <v>0.8</v>
      </c>
      <c r="DB23">
        <f>IF(ROW(Styrkeberegning_G[[#This Row],[X base venstre]])=ROW(Styrkeberegning_G[[#Headers],[X base venstre]])+1,DB$7/(DA$7/$B$67),DB22/(DA22/$B$67))</f>
        <v>-2.8015817870135784</v>
      </c>
      <c r="DC23">
        <f>Styrkeberegning_G[[#This Row],[X base venstre]]*-1</f>
        <v>2.8015817870135784</v>
      </c>
      <c r="DN23" s="54">
        <f t="shared" si="51"/>
        <v>13</v>
      </c>
      <c r="DO23" s="54">
        <f t="shared" si="52"/>
        <v>14</v>
      </c>
      <c r="DP23" s="54">
        <f t="shared" si="53"/>
        <v>3.3167737980747036</v>
      </c>
      <c r="DQ23" s="54" t="e">
        <f t="shared" si="54"/>
        <v>#N/A</v>
      </c>
      <c r="DR23" s="54" t="e">
        <f t="shared" si="55"/>
        <v>#N/A</v>
      </c>
      <c r="DS23" s="54">
        <f t="shared" si="56"/>
        <v>1.7720310229491915E-2</v>
      </c>
      <c r="DT23" s="54" t="e">
        <f t="shared" si="57"/>
        <v>#N/A</v>
      </c>
      <c r="DU23" s="54" t="b">
        <f t="shared" si="58"/>
        <v>1</v>
      </c>
      <c r="DV23" s="54" t="b">
        <f t="shared" si="59"/>
        <v>0</v>
      </c>
      <c r="DW23" s="54" t="b">
        <f t="shared" si="60"/>
        <v>1</v>
      </c>
      <c r="DX23" s="54" t="b">
        <f t="shared" si="61"/>
        <v>0</v>
      </c>
      <c r="DY23" s="54">
        <f t="shared" si="62"/>
        <v>1.7720310229491915E-2</v>
      </c>
      <c r="DZ23" s="54">
        <f t="shared" si="63"/>
        <v>1.7720310229491915E-2</v>
      </c>
      <c r="EA23" s="54" t="e">
        <f t="shared" si="64"/>
        <v>#N/A</v>
      </c>
      <c r="EB23" s="69" t="str">
        <f t="shared" si="65"/>
        <v/>
      </c>
      <c r="EG23" s="54">
        <f t="shared" si="66"/>
        <v>13</v>
      </c>
      <c r="EH23" s="54">
        <f t="shared" si="67"/>
        <v>14</v>
      </c>
      <c r="EI23" s="54">
        <f t="shared" si="68"/>
        <v>-2.7788135466315218</v>
      </c>
      <c r="EJ23" s="54">
        <f t="shared" si="69"/>
        <v>8.3973349051078925E-3</v>
      </c>
      <c r="EK23" s="54" t="e">
        <f t="shared" si="70"/>
        <v>#N/A</v>
      </c>
      <c r="EL23" s="54" t="e">
        <f t="shared" si="71"/>
        <v>#N/A</v>
      </c>
      <c r="EM23" s="54" t="e">
        <f t="shared" si="72"/>
        <v>#N/A</v>
      </c>
      <c r="EN23" s="54" t="b">
        <f t="shared" si="73"/>
        <v>1</v>
      </c>
      <c r="EO23" s="54" t="b">
        <f t="shared" si="74"/>
        <v>0</v>
      </c>
      <c r="EP23" s="54" t="b">
        <f t="shared" si="75"/>
        <v>1</v>
      </c>
      <c r="EQ23" s="54" t="b">
        <f t="shared" si="76"/>
        <v>0</v>
      </c>
      <c r="ER23" s="54">
        <f t="shared" si="77"/>
        <v>8.3973349051078925E-3</v>
      </c>
      <c r="ES23" s="54">
        <f t="shared" si="78"/>
        <v>8.3973349051078925E-3</v>
      </c>
      <c r="ET23" s="54" t="e">
        <f t="shared" si="79"/>
        <v>#N/A</v>
      </c>
      <c r="EU23" s="69" t="str">
        <f t="shared" si="80"/>
        <v/>
      </c>
      <c r="EV2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3" s="54" t="e" cm="1">
        <f t="array" ref="EY23">IF($CR$3,INDEX(Eu_tabel_a[[#This Row],[Styrke venstre]:[Styrke tosidet]],EY$7),NA())</f>
        <v>#N/A</v>
      </c>
      <c r="EZ23" s="54" t="e">
        <f>IF(EY$3,IF(CHOOSE(EY$7,Eu_tabel_a[[#This Row],[x base]]&gt;0,Eu_tabel_a[[#This Row],[x base]]&lt;0,Eu_tabel_a[[#This Row],[x base]]=0),1,NA()),NA())</f>
        <v>#N/A</v>
      </c>
      <c r="FA23" s="54" t="e">
        <f>IF(CHOOSE(EY$7,Eu_tabel_a[[#This Row],[x base]]&gt;0,Eu_tabel_a[[#This Row],[x base]]&lt;0,Eu_tabel_a[[#This Row],[x base]]=0),Eu_tabel_a[[#This Row],[Styrke, aktiv]],NA())</f>
        <v>#N/A</v>
      </c>
      <c r="FB23" s="54" t="e">
        <f>IFERROR(IF($EY$3,Eu_tabel_a[[#This Row],[Styrke, aktiv]],NA()),NA())</f>
        <v>#N/A</v>
      </c>
      <c r="FC23" s="54" t="e">
        <f>IF(ISNA(Eu_tabel_a[[#This Row],[Sand negativ
Nulhypotese afvises
Korrekt]]),NA(),IF(EY$3,1,NA()))</f>
        <v>#N/A</v>
      </c>
      <c r="FD23" s="55" t="str" cm="1">
        <f t="array" ref="FD23">IFERROR(_xlfn.SWITCH(Eu_tabel_a[[#This Row],[Indeks]],_xlfn.IFNA(FB$2,-99),FB$5,_xlfn.IFNA(FB$3,-99),FB$6,_xlfn.IFNA(FB$4,-99),FB$7,""),"")</f>
        <v/>
      </c>
      <c r="FE23" s="54">
        <f>Eu_tabel_a[[#This Row],[x base]]*SQRT(Eu_a_h0_x*(1-Eu_a_h0_x)/Eu_a_n_x)+Eu_a_h0_x</f>
        <v>0</v>
      </c>
      <c r="FJ23" s="144" t="e">
        <f t="shared" si="18"/>
        <v>#N/A</v>
      </c>
      <c r="FK23" s="152" t="e">
        <f t="shared" si="31"/>
        <v>#DIV/0!</v>
      </c>
      <c r="FL23" s="7" t="e">
        <f t="shared" si="12"/>
        <v>#DIV/0!</v>
      </c>
      <c r="FM23" t="e">
        <f t="shared" si="32"/>
        <v>#DIV/0!</v>
      </c>
      <c r="FN23" s="8" t="e">
        <f t="shared" si="33"/>
        <v>#DIV/0!</v>
      </c>
      <c r="FO23" s="8" t="e">
        <f t="shared" si="34"/>
        <v>#DIV/0!</v>
      </c>
      <c r="FP23" s="151" t="e">
        <f t="shared" si="35"/>
        <v>#DIV/0!</v>
      </c>
      <c r="FQ23" s="144" t="e">
        <f t="shared" ca="1" si="13"/>
        <v>#N/A</v>
      </c>
      <c r="FR23" s="152" t="e" vm="3">
        <f t="shared" ca="1" si="19"/>
        <v>#VALUE!</v>
      </c>
      <c r="FS23" s="7" t="e" vm="3">
        <f t="shared" ca="1" si="14"/>
        <v>#VALUE!</v>
      </c>
      <c r="FT23" t="e" vm="3">
        <f t="shared" ca="1" si="8"/>
        <v>#VALUE!</v>
      </c>
      <c r="FU23" s="8" t="e" vm="3">
        <f t="shared" ca="1" si="9"/>
        <v>#VALUE!</v>
      </c>
      <c r="FV23" s="8" t="e" vm="3">
        <f t="shared" ca="1" si="10"/>
        <v>#VALUE!</v>
      </c>
      <c r="FW23" s="151" t="e" vm="3">
        <f t="shared" ca="1" si="11"/>
        <v>#VALUE!</v>
      </c>
      <c r="FX23" s="144" t="e">
        <f t="shared" si="15"/>
        <v>#N/A</v>
      </c>
      <c r="FY23" s="152" t="e">
        <f t="shared" si="20"/>
        <v>#N/A</v>
      </c>
      <c r="FZ23" s="7" t="e">
        <f t="shared" si="16"/>
        <v>#N/A</v>
      </c>
      <c r="GA23" t="e">
        <f t="shared" si="21"/>
        <v>#N/A</v>
      </c>
      <c r="GB23" s="8" t="e">
        <f t="shared" si="22"/>
        <v>#N/A</v>
      </c>
      <c r="GC23" s="8" t="e">
        <f t="shared" si="23"/>
        <v>#N/A</v>
      </c>
      <c r="GD23" s="151" t="e">
        <f t="shared" si="24"/>
        <v>#N/A</v>
      </c>
      <c r="GE23" s="144" t="e">
        <f t="shared" si="25"/>
        <v>#N/A</v>
      </c>
      <c r="GF23" s="152" t="e">
        <f t="shared" si="26"/>
        <v>#N/A</v>
      </c>
      <c r="GG23" s="7" t="e">
        <f t="shared" si="17"/>
        <v>#N/A</v>
      </c>
      <c r="GH23" t="e">
        <f t="shared" si="27"/>
        <v>#N/A</v>
      </c>
      <c r="GI23" s="8" t="e">
        <f t="shared" si="28"/>
        <v>#N/A</v>
      </c>
      <c r="GJ23" s="8" t="e">
        <f t="shared" si="29"/>
        <v>#N/A</v>
      </c>
      <c r="GK23" s="151" t="e">
        <f t="shared" si="30"/>
        <v>#N/A</v>
      </c>
      <c r="GL23" s="151"/>
      <c r="GM23" s="151"/>
      <c r="GP23" s="54">
        <f t="shared" si="81"/>
        <v>13</v>
      </c>
      <c r="GQ23" s="54">
        <f t="shared" si="82"/>
        <v>14</v>
      </c>
      <c r="GR23" s="54">
        <f t="shared" si="83"/>
        <v>-2.7788135466315218</v>
      </c>
      <c r="GS23" s="54">
        <f t="shared" si="84"/>
        <v>8.3973349051078925E-3</v>
      </c>
      <c r="GT23" s="54" t="e">
        <f t="shared" si="85"/>
        <v>#N/A</v>
      </c>
      <c r="GU23" s="54" t="e">
        <f t="shared" si="86"/>
        <v>#N/A</v>
      </c>
      <c r="GV23" s="54" t="e">
        <f t="shared" si="87"/>
        <v>#N/A</v>
      </c>
      <c r="GW23" s="54" t="b">
        <f t="shared" si="88"/>
        <v>1</v>
      </c>
      <c r="GX23" s="54" t="b">
        <f t="shared" si="89"/>
        <v>0</v>
      </c>
      <c r="GY23" s="54" t="b">
        <f t="shared" si="90"/>
        <v>1</v>
      </c>
      <c r="GZ23" s="54" t="b">
        <f t="shared" si="91"/>
        <v>0</v>
      </c>
      <c r="HA23" s="54">
        <f t="shared" si="92"/>
        <v>8.3973349051078925E-3</v>
      </c>
      <c r="HB23" s="54">
        <f t="shared" si="93"/>
        <v>8.3973349051078925E-3</v>
      </c>
      <c r="HC23" s="54" t="e">
        <f t="shared" si="94"/>
        <v>#N/A</v>
      </c>
      <c r="HD23" s="69" t="str">
        <f t="shared" si="95"/>
        <v/>
      </c>
      <c r="HJ23" s="54">
        <f t="shared" si="96"/>
        <v>13</v>
      </c>
      <c r="HK23" s="54">
        <f t="shared" si="97"/>
        <v>14</v>
      </c>
      <c r="HL23" s="54">
        <f t="shared" si="98"/>
        <v>-4.3030511389305941</v>
      </c>
      <c r="HM23" s="54" t="e">
        <f t="shared" si="99"/>
        <v>#N/A</v>
      </c>
      <c r="HN23" s="54">
        <f t="shared" si="100"/>
        <v>2.1805995210078645E-3</v>
      </c>
      <c r="HO23" s="54" t="e">
        <f t="shared" si="101"/>
        <v>#N/A</v>
      </c>
      <c r="HP23" s="54" t="e">
        <f t="shared" si="102"/>
        <v>#N/A</v>
      </c>
      <c r="HQ23" s="54" t="b">
        <f t="shared" si="103"/>
        <v>1</v>
      </c>
      <c r="HR23" s="54" t="b">
        <f t="shared" si="104"/>
        <v>0</v>
      </c>
      <c r="HS23" s="54" t="b">
        <f t="shared" si="105"/>
        <v>1</v>
      </c>
      <c r="HT23" s="54" t="b">
        <f t="shared" si="106"/>
        <v>0</v>
      </c>
      <c r="HU23" s="54">
        <f t="shared" si="107"/>
        <v>2.1805995210078645E-3</v>
      </c>
      <c r="HV23" s="54">
        <f t="shared" si="108"/>
        <v>2.1805995210078645E-3</v>
      </c>
      <c r="HW23" s="54" t="e">
        <f t="shared" si="109"/>
        <v>#N/A</v>
      </c>
      <c r="HX23" s="69" t="str">
        <f t="shared" si="110"/>
        <v/>
      </c>
    </row>
    <row r="24" spans="57:232" x14ac:dyDescent="0.2">
      <c r="BE24" s="57" t="s">
        <v>153</v>
      </c>
      <c r="BF24" s="59" cm="1">
        <f t="array" ref="BF24">MATCH(LARGE((BF18:BF21&lt;&gt;0)*{4;3;2;1},ROWS(BF18:BF19)),{4;3;2;1},0)</f>
        <v>3</v>
      </c>
      <c r="BG24" s="59" cm="1">
        <f t="array" ref="BG24">MATCH(LARGE((BG18:BG21&lt;&gt;0)*{4;3;2;1},ROWS(BG18:BG19)),{4;3;2;1},0)</f>
        <v>4</v>
      </c>
      <c r="BH24" s="59" cm="1">
        <f t="array" ref="BH24">MATCH(LARGE((BH18:BH21&lt;&gt;0)*{4;3;2;1},ROWS(BH18:BH19)),{4;3;2;1},0)</f>
        <v>3</v>
      </c>
      <c r="BI24" s="59" cm="1">
        <f t="array" ref="BI24">MATCH(LARGE((BI18:BI21&lt;&gt;0)*{4;3;2;1},ROWS(BI18:BI19)),{4;3;2;1},0)</f>
        <v>3</v>
      </c>
      <c r="BJ24" s="59" cm="1">
        <f t="array" ref="BJ24">MATCH(LARGE((BJ18:BJ21&lt;&gt;0)*{4;3;2;1},ROWS(BJ18:BJ19)),{4;3;2;1},0)</f>
        <v>2</v>
      </c>
      <c r="BL24" s="90" t="s">
        <v>456</v>
      </c>
      <c r="BM24" s="203" t="e" cm="1">
        <f t="array" ref="BM24">IF(NOT($BG$2),INDEX(E_s_valg[Fordeling],E_s_aktiv),NA())</f>
        <v>#N/A</v>
      </c>
      <c r="BZ24" s="54">
        <f t="shared" si="36"/>
        <v>14</v>
      </c>
      <c r="CA24" s="54">
        <f>Eu_tabel_g[[#This Row],[Indeks]]+1</f>
        <v>15</v>
      </c>
      <c r="CB24" s="54">
        <f t="shared" si="37"/>
        <v>-2.7548582574364224</v>
      </c>
      <c r="CC24" s="54">
        <f t="shared" si="38"/>
        <v>8.9727727004466455E-3</v>
      </c>
      <c r="CD24" s="54" t="e">
        <f t="shared" si="39"/>
        <v>#N/A</v>
      </c>
      <c r="CE24" s="54" t="e">
        <f t="shared" si="40"/>
        <v>#N/A</v>
      </c>
      <c r="CF24" s="54" t="e">
        <f t="shared" si="41"/>
        <v>#N/A</v>
      </c>
      <c r="CG24" s="54" t="b">
        <f t="shared" si="42"/>
        <v>1</v>
      </c>
      <c r="CH24" s="54" t="b">
        <f t="shared" si="43"/>
        <v>0</v>
      </c>
      <c r="CI24" s="54" t="b">
        <f t="shared" si="44"/>
        <v>1</v>
      </c>
      <c r="CJ24" s="54" t="b">
        <f t="shared" si="45"/>
        <v>0</v>
      </c>
      <c r="CK24" s="54">
        <f t="shared" si="111"/>
        <v>8.9727727004466455E-3</v>
      </c>
      <c r="CL24" s="54">
        <f t="shared" si="47"/>
        <v>8.9727727004466455E-3</v>
      </c>
      <c r="CM24" s="54" t="e">
        <f t="shared" si="48"/>
        <v>#N/A</v>
      </c>
      <c r="CN24" s="69" t="str">
        <f t="shared" si="49"/>
        <v/>
      </c>
      <c r="CO24" s="54">
        <f>_xlfn.NORM.DIST(_xlfn.NORM.INV(1-Eu_g_konfidensniveau,0,1)-Eu_tabel_g[[#This Row],[x base]],0,1,TRUE)</f>
        <v>0.86650148443046449</v>
      </c>
      <c r="CP24" s="54">
        <f>1-_xlfn.NORM.DIST(_xlfn.NORM.INV(Eu_g_konfidensniveau,0,1)-Eu_tabel_g[[#This Row],[x base]],0,1,TRUE)</f>
        <v>5.4197347799656015E-6</v>
      </c>
      <c r="CQ24" s="54">
        <f>_xlfn.NORM.DIST(_xlfn.NORM.INV((1-Eu_g_konfidensniveau)/2,0,1)-Eu_tabel_g[[#This Row],[x base]],0,1,TRUE)+1-_xlfn.NORM.DIST(_xlfn.NORM.INV(1-(1-Eu_g_konfidensniveau)/2,0,1)-Eu_tabel_g[[#This Row],[x base]],0,1,TRUE)</f>
        <v>0.78666370661837781</v>
      </c>
      <c r="CR24" s="54" t="e" cm="1">
        <f t="array" ref="CR24">IF($CR$3,INDEX(Eu_tabel_g[[#This Row],[Styrke venstre]:[Styrke tosidet]],CR$7),NA())</f>
        <v>#N/A</v>
      </c>
      <c r="CS24" s="89" t="e">
        <f>Eu_tabel_g[[#This Row],[Falsk positiv
Nulhypotese accepteres
Fejltype 1]]</f>
        <v>#N/A</v>
      </c>
      <c r="CT24" s="89" t="e">
        <f>IF(CHOOSE(CR$7,Eu_tabel_g[[#This Row],[x base]]&gt;0,Eu_tabel_g[[#This Row],[x base]]&lt;0,Eu_tabel_g[[#This Row],[x base]]=0),Eu_tabel_g[[#This Row],[Styrke, aktiv]],NA())</f>
        <v>#N/A</v>
      </c>
      <c r="CU24" s="89" t="e">
        <f>IFERROR(IF($CR$3,Eu_tabel_g[[#This Row],[Styrke, aktiv]],NA()),NA())</f>
        <v>#N/A</v>
      </c>
      <c r="CV24" s="89" t="e">
        <f>IF(ISNA(Eu_tabel_g[[#This Row],[Sand negativ
Nulhypotese afvises
Korrekt]]),NA(),IF($CR$3,1,NA()))</f>
        <v>#N/A</v>
      </c>
      <c r="CW24" s="56" t="str" cm="1">
        <f t="array" ref="CW24">_xlfn.SWITCH(BZ24,_xlfn.IFNA(CU$2,-99),CU$5,_xlfn.IFNA(CU$3,-99),CU$6,_xlfn.IFNA(CU$4,-99),CU$7,"")</f>
        <v/>
      </c>
      <c r="DA24" s="7">
        <f t="shared" si="50"/>
        <v>0.8</v>
      </c>
      <c r="DB24">
        <f>IF(ROW(Styrkeberegning_G[[#This Row],[X base venstre]])=ROW(Styrkeberegning_G[[#Headers],[X base venstre]])+1,DB$7/(DA$7/$B$67),DB23/(DA23/$B$67))</f>
        <v>-2.8015817870135784</v>
      </c>
      <c r="DC24">
        <f>Styrkeberegning_G[[#This Row],[X base venstre]]*-1</f>
        <v>2.8015817870135784</v>
      </c>
      <c r="DN24" s="54">
        <f t="shared" si="51"/>
        <v>14</v>
      </c>
      <c r="DO24" s="54">
        <f t="shared" si="52"/>
        <v>15</v>
      </c>
      <c r="DP24" s="54">
        <f t="shared" si="53"/>
        <v>3.4308446544917044</v>
      </c>
      <c r="DQ24" s="54" t="e">
        <f t="shared" si="54"/>
        <v>#N/A</v>
      </c>
      <c r="DR24" s="54" t="e">
        <f t="shared" si="55"/>
        <v>#N/A</v>
      </c>
      <c r="DS24" s="54">
        <f t="shared" si="56"/>
        <v>1.9488775358795587E-2</v>
      </c>
      <c r="DT24" s="54" t="e">
        <f t="shared" si="57"/>
        <v>#N/A</v>
      </c>
      <c r="DU24" s="54" t="b">
        <f t="shared" si="58"/>
        <v>1</v>
      </c>
      <c r="DV24" s="54" t="b">
        <f t="shared" si="59"/>
        <v>0</v>
      </c>
      <c r="DW24" s="54" t="b">
        <f t="shared" si="60"/>
        <v>1</v>
      </c>
      <c r="DX24" s="54" t="b">
        <f t="shared" si="61"/>
        <v>0</v>
      </c>
      <c r="DY24" s="54">
        <f t="shared" si="62"/>
        <v>1.9488775358795587E-2</v>
      </c>
      <c r="DZ24" s="54">
        <f t="shared" si="63"/>
        <v>1.9488775358795587E-2</v>
      </c>
      <c r="EA24" s="54" t="e">
        <f t="shared" si="64"/>
        <v>#N/A</v>
      </c>
      <c r="EB24" s="69" t="str">
        <f t="shared" si="65"/>
        <v/>
      </c>
      <c r="EG24" s="54">
        <f t="shared" si="66"/>
        <v>14</v>
      </c>
      <c r="EH24" s="54">
        <f t="shared" si="67"/>
        <v>15</v>
      </c>
      <c r="EI24" s="54">
        <f t="shared" si="68"/>
        <v>-2.7548582574364224</v>
      </c>
      <c r="EJ24" s="54">
        <f t="shared" si="69"/>
        <v>8.9727727004466455E-3</v>
      </c>
      <c r="EK24" s="54" t="e">
        <f t="shared" si="70"/>
        <v>#N/A</v>
      </c>
      <c r="EL24" s="54" t="e">
        <f t="shared" si="71"/>
        <v>#N/A</v>
      </c>
      <c r="EM24" s="54" t="e">
        <f t="shared" si="72"/>
        <v>#N/A</v>
      </c>
      <c r="EN24" s="54" t="b">
        <f t="shared" si="73"/>
        <v>1</v>
      </c>
      <c r="EO24" s="54" t="b">
        <f t="shared" si="74"/>
        <v>0</v>
      </c>
      <c r="EP24" s="54" t="b">
        <f t="shared" si="75"/>
        <v>1</v>
      </c>
      <c r="EQ24" s="54" t="b">
        <f t="shared" si="76"/>
        <v>0</v>
      </c>
      <c r="ER24" s="54">
        <f t="shared" si="77"/>
        <v>8.9727727004466455E-3</v>
      </c>
      <c r="ES24" s="54">
        <f t="shared" si="78"/>
        <v>8.9727727004466455E-3</v>
      </c>
      <c r="ET24" s="54" t="e">
        <f t="shared" si="79"/>
        <v>#N/A</v>
      </c>
      <c r="EU24" s="69" t="str">
        <f t="shared" si="80"/>
        <v/>
      </c>
      <c r="EV2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4" s="54" t="e" cm="1">
        <f t="array" ref="EY24">IF($CR$3,INDEX(Eu_tabel_a[[#This Row],[Styrke venstre]:[Styrke tosidet]],EY$7),NA())</f>
        <v>#N/A</v>
      </c>
      <c r="EZ24" s="54" t="e">
        <f>IF(EY$3,IF(CHOOSE(EY$7,Eu_tabel_a[[#This Row],[x base]]&gt;0,Eu_tabel_a[[#This Row],[x base]]&lt;0,Eu_tabel_a[[#This Row],[x base]]=0),1,NA()),NA())</f>
        <v>#N/A</v>
      </c>
      <c r="FA24" s="54" t="e">
        <f>IF(CHOOSE(EY$7,Eu_tabel_a[[#This Row],[x base]]&gt;0,Eu_tabel_a[[#This Row],[x base]]&lt;0,Eu_tabel_a[[#This Row],[x base]]=0),Eu_tabel_a[[#This Row],[Styrke, aktiv]],NA())</f>
        <v>#N/A</v>
      </c>
      <c r="FB24" s="54" t="e">
        <f>IFERROR(IF($EY$3,Eu_tabel_a[[#This Row],[Styrke, aktiv]],NA()),NA())</f>
        <v>#N/A</v>
      </c>
      <c r="FC24" s="54" t="e">
        <f>IF(ISNA(Eu_tabel_a[[#This Row],[Sand negativ
Nulhypotese afvises
Korrekt]]),NA(),IF(EY$3,1,NA()))</f>
        <v>#N/A</v>
      </c>
      <c r="FD24" s="55" t="str" cm="1">
        <f t="array" ref="FD24">IFERROR(_xlfn.SWITCH(Eu_tabel_a[[#This Row],[Indeks]],_xlfn.IFNA(FB$2,-99),FB$5,_xlfn.IFNA(FB$3,-99),FB$6,_xlfn.IFNA(FB$4,-99),FB$7,""),"")</f>
        <v/>
      </c>
      <c r="FE24" s="54">
        <f>Eu_tabel_a[[#This Row],[x base]]*SQRT(Eu_a_h0_x*(1-Eu_a_h0_x)/Eu_a_n_x)+Eu_a_h0_x</f>
        <v>0</v>
      </c>
      <c r="FJ24" s="144" t="e">
        <f t="shared" si="18"/>
        <v>#N/A</v>
      </c>
      <c r="FK24" s="152" t="e">
        <f t="shared" si="31"/>
        <v>#DIV/0!</v>
      </c>
      <c r="FL24" s="7" t="e">
        <f t="shared" si="12"/>
        <v>#DIV/0!</v>
      </c>
      <c r="FM24" t="e">
        <f t="shared" si="32"/>
        <v>#DIV/0!</v>
      </c>
      <c r="FN24" s="8" t="e">
        <f t="shared" si="33"/>
        <v>#DIV/0!</v>
      </c>
      <c r="FO24" s="8" t="e">
        <f t="shared" si="34"/>
        <v>#DIV/0!</v>
      </c>
      <c r="FP24" s="151" t="e">
        <f t="shared" si="35"/>
        <v>#DIV/0!</v>
      </c>
      <c r="FQ24" s="144" t="e">
        <f t="shared" ca="1" si="13"/>
        <v>#N/A</v>
      </c>
      <c r="FR24" s="152" t="e" vm="3">
        <f t="shared" ca="1" si="19"/>
        <v>#VALUE!</v>
      </c>
      <c r="FS24" s="7" t="e" vm="3">
        <f t="shared" ca="1" si="14"/>
        <v>#VALUE!</v>
      </c>
      <c r="FT24" t="e" vm="3">
        <f t="shared" ca="1" si="8"/>
        <v>#VALUE!</v>
      </c>
      <c r="FU24" s="8" t="e" vm="3">
        <f t="shared" ca="1" si="9"/>
        <v>#VALUE!</v>
      </c>
      <c r="FV24" s="8" t="e" vm="3">
        <f t="shared" ca="1" si="10"/>
        <v>#VALUE!</v>
      </c>
      <c r="FW24" s="151" t="e" vm="3">
        <f t="shared" ca="1" si="11"/>
        <v>#VALUE!</v>
      </c>
      <c r="FX24" s="144" t="e">
        <f t="shared" si="15"/>
        <v>#N/A</v>
      </c>
      <c r="FY24" s="152" t="e">
        <f t="shared" si="20"/>
        <v>#N/A</v>
      </c>
      <c r="FZ24" s="7" t="e">
        <f t="shared" si="16"/>
        <v>#N/A</v>
      </c>
      <c r="GA24" t="e">
        <f t="shared" si="21"/>
        <v>#N/A</v>
      </c>
      <c r="GB24" s="8" t="e">
        <f t="shared" si="22"/>
        <v>#N/A</v>
      </c>
      <c r="GC24" s="8" t="e">
        <f t="shared" si="23"/>
        <v>#N/A</v>
      </c>
      <c r="GD24" s="151" t="e">
        <f t="shared" si="24"/>
        <v>#N/A</v>
      </c>
      <c r="GE24" s="144" t="e">
        <f t="shared" si="25"/>
        <v>#N/A</v>
      </c>
      <c r="GF24" s="152" t="e">
        <f t="shared" si="26"/>
        <v>#N/A</v>
      </c>
      <c r="GG24" s="7" t="e">
        <f t="shared" si="17"/>
        <v>#N/A</v>
      </c>
      <c r="GH24" t="e">
        <f t="shared" si="27"/>
        <v>#N/A</v>
      </c>
      <c r="GI24" s="8" t="e">
        <f t="shared" si="28"/>
        <v>#N/A</v>
      </c>
      <c r="GJ24" s="8" t="e">
        <f t="shared" si="29"/>
        <v>#N/A</v>
      </c>
      <c r="GK24" s="151" t="e">
        <f t="shared" si="30"/>
        <v>#N/A</v>
      </c>
      <c r="GL24" s="151"/>
      <c r="GM24" s="151"/>
      <c r="GP24" s="54">
        <f t="shared" si="81"/>
        <v>14</v>
      </c>
      <c r="GQ24" s="54">
        <f t="shared" si="82"/>
        <v>15</v>
      </c>
      <c r="GR24" s="54">
        <f t="shared" si="83"/>
        <v>-2.7548582574364224</v>
      </c>
      <c r="GS24" s="54">
        <f t="shared" si="84"/>
        <v>8.9727727004466455E-3</v>
      </c>
      <c r="GT24" s="54" t="e">
        <f t="shared" si="85"/>
        <v>#N/A</v>
      </c>
      <c r="GU24" s="54" t="e">
        <f t="shared" si="86"/>
        <v>#N/A</v>
      </c>
      <c r="GV24" s="54" t="e">
        <f t="shared" si="87"/>
        <v>#N/A</v>
      </c>
      <c r="GW24" s="54" t="b">
        <f t="shared" si="88"/>
        <v>1</v>
      </c>
      <c r="GX24" s="54" t="b">
        <f t="shared" si="89"/>
        <v>0</v>
      </c>
      <c r="GY24" s="54" t="b">
        <f t="shared" si="90"/>
        <v>1</v>
      </c>
      <c r="GZ24" s="54" t="b">
        <f t="shared" si="91"/>
        <v>0</v>
      </c>
      <c r="HA24" s="54">
        <f t="shared" si="92"/>
        <v>8.9727727004466455E-3</v>
      </c>
      <c r="HB24" s="54">
        <f t="shared" si="93"/>
        <v>8.9727727004466455E-3</v>
      </c>
      <c r="HC24" s="54" t="e">
        <f t="shared" si="94"/>
        <v>#N/A</v>
      </c>
      <c r="HD24" s="69" t="str">
        <f t="shared" si="95"/>
        <v/>
      </c>
      <c r="HJ24" s="54">
        <f t="shared" si="96"/>
        <v>14</v>
      </c>
      <c r="HK24" s="54">
        <f t="shared" si="97"/>
        <v>15</v>
      </c>
      <c r="HL24" s="54">
        <f t="shared" si="98"/>
        <v>-4.2659558704915375</v>
      </c>
      <c r="HM24" s="54" t="e">
        <f t="shared" si="99"/>
        <v>#N/A</v>
      </c>
      <c r="HN24" s="54">
        <f t="shared" si="100"/>
        <v>2.292729384481872E-3</v>
      </c>
      <c r="HO24" s="54" t="e">
        <f t="shared" si="101"/>
        <v>#N/A</v>
      </c>
      <c r="HP24" s="54" t="e">
        <f t="shared" si="102"/>
        <v>#N/A</v>
      </c>
      <c r="HQ24" s="54" t="b">
        <f t="shared" si="103"/>
        <v>1</v>
      </c>
      <c r="HR24" s="54" t="b">
        <f t="shared" si="104"/>
        <v>0</v>
      </c>
      <c r="HS24" s="54" t="b">
        <f t="shared" si="105"/>
        <v>1</v>
      </c>
      <c r="HT24" s="54" t="b">
        <f t="shared" si="106"/>
        <v>0</v>
      </c>
      <c r="HU24" s="54">
        <f t="shared" si="107"/>
        <v>2.292729384481872E-3</v>
      </c>
      <c r="HV24" s="54">
        <f t="shared" si="108"/>
        <v>2.292729384481872E-3</v>
      </c>
      <c r="HW24" s="54" t="e">
        <f t="shared" si="109"/>
        <v>#N/A</v>
      </c>
      <c r="HX24" s="69" t="str">
        <f t="shared" si="110"/>
        <v/>
      </c>
    </row>
    <row r="25" spans="57:232" x14ac:dyDescent="0.2">
      <c r="BE25" s="57" t="s">
        <v>157</v>
      </c>
      <c r="BF25" s="59" cm="1">
        <f t="array" ref="BF25">MATCH(LARGE((BF18:BF21&lt;&gt;0)*{4;3;2;1},ROWS(BF18:BF20)),{4;3;2;1},0)</f>
        <v>4</v>
      </c>
      <c r="BG25" s="59" t="e" cm="1">
        <f t="array" ref="BG25">MATCH(LARGE((BG18:BG21&lt;&gt;0)*{4;3;2;1},ROWS(BG18:BG20)),{4;3;2;1},0)</f>
        <v>#N/A</v>
      </c>
      <c r="BH25" s="59" t="e" cm="1">
        <f t="array" ref="BH25">MATCH(LARGE((BH18:BH21&lt;&gt;0)*{4;3;2;1},ROWS(BH18:BH20)),{4;3;2;1},0)</f>
        <v>#N/A</v>
      </c>
      <c r="BI25" s="59" t="e" cm="1">
        <f t="array" ref="BI25">MATCH(LARGE((BI18:BI21&lt;&gt;0)*{4;3;2;1},ROWS(BI18:BI20)),{4;3;2;1},0)</f>
        <v>#N/A</v>
      </c>
      <c r="BJ25" s="59" t="e" cm="1">
        <f t="array" ref="BJ25">MATCH(LARGE((BJ18:BJ21&lt;&gt;0)*{4;3;2;1},ROWS(BJ18:BJ20)),{4;3;2;1},0)</f>
        <v>#N/A</v>
      </c>
      <c r="BL25" s="90" t="s">
        <v>457</v>
      </c>
      <c r="BM25" s="203" t="e" cm="1">
        <f t="array" ref="BM25">IF(NOT($BG$2),INDEX(E_s_valg[Parameter 1],E_s_aktiv),NA())</f>
        <v>#N/A</v>
      </c>
      <c r="BZ25" s="54">
        <f t="shared" si="36"/>
        <v>15</v>
      </c>
      <c r="CA25" s="54">
        <f>Eu_tabel_g[[#This Row],[Indeks]]+1</f>
        <v>16</v>
      </c>
      <c r="CB25" s="54">
        <f t="shared" si="37"/>
        <v>-2.7309029682413231</v>
      </c>
      <c r="CC25" s="54">
        <f t="shared" si="38"/>
        <v>9.582142737811215E-3</v>
      </c>
      <c r="CD25" s="54" t="e">
        <f t="shared" si="39"/>
        <v>#N/A</v>
      </c>
      <c r="CE25" s="54" t="e">
        <f t="shared" si="40"/>
        <v>#N/A</v>
      </c>
      <c r="CF25" s="54" t="e">
        <f t="shared" si="41"/>
        <v>#N/A</v>
      </c>
      <c r="CG25" s="54" t="b">
        <f t="shared" si="42"/>
        <v>1</v>
      </c>
      <c r="CH25" s="54" t="b">
        <f t="shared" si="43"/>
        <v>0</v>
      </c>
      <c r="CI25" s="54" t="b">
        <f t="shared" si="44"/>
        <v>1</v>
      </c>
      <c r="CJ25" s="54" t="b">
        <f t="shared" si="45"/>
        <v>0</v>
      </c>
      <c r="CK25" s="54">
        <f t="shared" si="111"/>
        <v>9.582142737811215E-3</v>
      </c>
      <c r="CL25" s="54">
        <f t="shared" si="47"/>
        <v>9.582142737811215E-3</v>
      </c>
      <c r="CM25" s="54" t="e">
        <f t="shared" si="48"/>
        <v>#N/A</v>
      </c>
      <c r="CN25" s="69" t="str">
        <f t="shared" si="49"/>
        <v/>
      </c>
      <c r="CO25" s="54">
        <f>_xlfn.NORM.DIST(_xlfn.NORM.INV(1-Eu_g_konfidensniveau,0,1)-Eu_tabel_g[[#This Row],[x base]],0,1,TRUE)</f>
        <v>0.86127141844000243</v>
      </c>
      <c r="CP25" s="54">
        <f>1-_xlfn.NORM.DIST(_xlfn.NORM.INV(Eu_g_konfidensniveau,0,1)-Eu_tabel_g[[#This Row],[x base]],0,1,TRUE)</f>
        <v>6.0505996323234612E-6</v>
      </c>
      <c r="CQ25" s="54">
        <f>_xlfn.NORM.DIST(_xlfn.NORM.INV((1-Eu_g_konfidensniveau)/2,0,1)-Eu_tabel_g[[#This Row],[x base]],0,1,TRUE)+1-_xlfn.NORM.DIST(_xlfn.NORM.INV(1-(1-Eu_g_konfidensniveau)/2,0,1)-Eu_tabel_g[[#This Row],[x base]],0,1,TRUE)</f>
        <v>0.7796298108514037</v>
      </c>
      <c r="CR25" s="54" t="e" cm="1">
        <f t="array" ref="CR25">IF($CR$3,INDEX(Eu_tabel_g[[#This Row],[Styrke venstre]:[Styrke tosidet]],CR$7),NA())</f>
        <v>#N/A</v>
      </c>
      <c r="CS25" s="89" t="e">
        <f>Eu_tabel_g[[#This Row],[Falsk positiv
Nulhypotese accepteres
Fejltype 1]]</f>
        <v>#N/A</v>
      </c>
      <c r="CT25" s="89" t="e">
        <f>IF(CHOOSE(CR$7,Eu_tabel_g[[#This Row],[x base]]&gt;0,Eu_tabel_g[[#This Row],[x base]]&lt;0,Eu_tabel_g[[#This Row],[x base]]=0),Eu_tabel_g[[#This Row],[Styrke, aktiv]],NA())</f>
        <v>#N/A</v>
      </c>
      <c r="CU25" s="89" t="e">
        <f>IFERROR(IF($CR$3,Eu_tabel_g[[#This Row],[Styrke, aktiv]],NA()),NA())</f>
        <v>#N/A</v>
      </c>
      <c r="CV25" s="89" t="e">
        <f>IF(ISNA(Eu_tabel_g[[#This Row],[Sand negativ
Nulhypotese afvises
Korrekt]]),NA(),IF($CR$3,1,NA()))</f>
        <v>#N/A</v>
      </c>
      <c r="CW25" s="56" t="str" cm="1">
        <f t="array" ref="CW25">_xlfn.SWITCH(BZ25,_xlfn.IFNA(CU$2,-99),CU$5,_xlfn.IFNA(CU$3,-99),CU$6,_xlfn.IFNA(CU$4,-99),CU$7,"")</f>
        <v/>
      </c>
      <c r="DA25" s="7">
        <f t="shared" si="50"/>
        <v>0.8</v>
      </c>
      <c r="DB25">
        <f>IF(ROW(Styrkeberegning_G[[#This Row],[X base venstre]])=ROW(Styrkeberegning_G[[#Headers],[X base venstre]])+1,DB$7/(DA$7/$B$67),DB24/(DA24/$B$67))</f>
        <v>-2.8015817870135784</v>
      </c>
      <c r="DC25">
        <f>Styrkeberegning_G[[#This Row],[X base venstre]]*-1</f>
        <v>2.8015817870135784</v>
      </c>
      <c r="DN25" s="54">
        <f t="shared" si="51"/>
        <v>15</v>
      </c>
      <c r="DO25" s="54">
        <f t="shared" si="52"/>
        <v>16</v>
      </c>
      <c r="DP25" s="54">
        <f t="shared" si="53"/>
        <v>3.5449155109087052</v>
      </c>
      <c r="DQ25" s="54" t="e">
        <f t="shared" si="54"/>
        <v>#N/A</v>
      </c>
      <c r="DR25" s="54" t="e">
        <f t="shared" si="55"/>
        <v>#N/A</v>
      </c>
      <c r="DS25" s="54">
        <f t="shared" si="56"/>
        <v>2.1327312569947666E-2</v>
      </c>
      <c r="DT25" s="54" t="e">
        <f t="shared" si="57"/>
        <v>#N/A</v>
      </c>
      <c r="DU25" s="54" t="b">
        <f t="shared" si="58"/>
        <v>1</v>
      </c>
      <c r="DV25" s="54" t="b">
        <f t="shared" si="59"/>
        <v>0</v>
      </c>
      <c r="DW25" s="54" t="b">
        <f t="shared" si="60"/>
        <v>1</v>
      </c>
      <c r="DX25" s="54" t="b">
        <f t="shared" si="61"/>
        <v>0</v>
      </c>
      <c r="DY25" s="54">
        <f t="shared" si="62"/>
        <v>2.1327312569947666E-2</v>
      </c>
      <c r="DZ25" s="54">
        <f t="shared" si="63"/>
        <v>2.1327312569947666E-2</v>
      </c>
      <c r="EA25" s="54" t="e">
        <f t="shared" si="64"/>
        <v>#N/A</v>
      </c>
      <c r="EB25" s="69" t="str">
        <f t="shared" si="65"/>
        <v/>
      </c>
      <c r="EG25" s="54">
        <f t="shared" si="66"/>
        <v>15</v>
      </c>
      <c r="EH25" s="54">
        <f t="shared" si="67"/>
        <v>16</v>
      </c>
      <c r="EI25" s="54">
        <f t="shared" si="68"/>
        <v>-2.7309029682413231</v>
      </c>
      <c r="EJ25" s="54">
        <f t="shared" si="69"/>
        <v>9.582142737811215E-3</v>
      </c>
      <c r="EK25" s="54" t="e">
        <f t="shared" si="70"/>
        <v>#N/A</v>
      </c>
      <c r="EL25" s="54" t="e">
        <f t="shared" si="71"/>
        <v>#N/A</v>
      </c>
      <c r="EM25" s="54" t="e">
        <f t="shared" si="72"/>
        <v>#N/A</v>
      </c>
      <c r="EN25" s="54" t="b">
        <f t="shared" si="73"/>
        <v>1</v>
      </c>
      <c r="EO25" s="54" t="b">
        <f t="shared" si="74"/>
        <v>0</v>
      </c>
      <c r="EP25" s="54" t="b">
        <f t="shared" si="75"/>
        <v>1</v>
      </c>
      <c r="EQ25" s="54" t="b">
        <f t="shared" si="76"/>
        <v>0</v>
      </c>
      <c r="ER25" s="54">
        <f t="shared" si="77"/>
        <v>9.582142737811215E-3</v>
      </c>
      <c r="ES25" s="54">
        <f t="shared" si="78"/>
        <v>9.582142737811215E-3</v>
      </c>
      <c r="ET25" s="54" t="e">
        <f t="shared" si="79"/>
        <v>#N/A</v>
      </c>
      <c r="EU25" s="69" t="str">
        <f t="shared" si="80"/>
        <v/>
      </c>
      <c r="EV2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5" s="54" t="e" cm="1">
        <f t="array" ref="EY25">IF($CR$3,INDEX(Eu_tabel_a[[#This Row],[Styrke venstre]:[Styrke tosidet]],EY$7),NA())</f>
        <v>#N/A</v>
      </c>
      <c r="EZ25" s="54" t="e">
        <f>IF(EY$3,IF(CHOOSE(EY$7,Eu_tabel_a[[#This Row],[x base]]&gt;0,Eu_tabel_a[[#This Row],[x base]]&lt;0,Eu_tabel_a[[#This Row],[x base]]=0),1,NA()),NA())</f>
        <v>#N/A</v>
      </c>
      <c r="FA25" s="54" t="e">
        <f>IF(CHOOSE(EY$7,Eu_tabel_a[[#This Row],[x base]]&gt;0,Eu_tabel_a[[#This Row],[x base]]&lt;0,Eu_tabel_a[[#This Row],[x base]]=0),Eu_tabel_a[[#This Row],[Styrke, aktiv]],NA())</f>
        <v>#N/A</v>
      </c>
      <c r="FB25" s="54" t="e">
        <f>IFERROR(IF($EY$3,Eu_tabel_a[[#This Row],[Styrke, aktiv]],NA()),NA())</f>
        <v>#N/A</v>
      </c>
      <c r="FC25" s="54" t="e">
        <f>IF(ISNA(Eu_tabel_a[[#This Row],[Sand negativ
Nulhypotese afvises
Korrekt]]),NA(),IF(EY$3,1,NA()))</f>
        <v>#N/A</v>
      </c>
      <c r="FD25" s="55" t="str" cm="1">
        <f t="array" ref="FD25">IFERROR(_xlfn.SWITCH(Eu_tabel_a[[#This Row],[Indeks]],_xlfn.IFNA(FB$2,-99),FB$5,_xlfn.IFNA(FB$3,-99),FB$6,_xlfn.IFNA(FB$4,-99),FB$7,""),"")</f>
        <v/>
      </c>
      <c r="FE25" s="54">
        <f>Eu_tabel_a[[#This Row],[x base]]*SQRT(Eu_a_h0_x*(1-Eu_a_h0_x)/Eu_a_n_x)+Eu_a_h0_x</f>
        <v>0</v>
      </c>
      <c r="FJ25" s="144" t="e">
        <f t="shared" si="18"/>
        <v>#N/A</v>
      </c>
      <c r="FK25" s="152" t="e">
        <f t="shared" si="31"/>
        <v>#DIV/0!</v>
      </c>
      <c r="FL25" s="7" t="e">
        <f t="shared" si="12"/>
        <v>#DIV/0!</v>
      </c>
      <c r="FM25" t="e">
        <f t="shared" si="32"/>
        <v>#DIV/0!</v>
      </c>
      <c r="FN25" s="8" t="e">
        <f t="shared" si="33"/>
        <v>#DIV/0!</v>
      </c>
      <c r="FO25" s="8" t="e">
        <f t="shared" si="34"/>
        <v>#DIV/0!</v>
      </c>
      <c r="FP25" s="151" t="e">
        <f t="shared" si="35"/>
        <v>#DIV/0!</v>
      </c>
      <c r="FQ25" s="144" t="e">
        <f t="shared" ca="1" si="13"/>
        <v>#N/A</v>
      </c>
      <c r="FR25" s="152" t="e" vm="3">
        <f t="shared" ca="1" si="19"/>
        <v>#VALUE!</v>
      </c>
      <c r="FS25" s="7" t="e" vm="3">
        <f t="shared" ca="1" si="14"/>
        <v>#VALUE!</v>
      </c>
      <c r="FT25" t="e" vm="3">
        <f t="shared" ca="1" si="8"/>
        <v>#VALUE!</v>
      </c>
      <c r="FU25" s="8" t="e" vm="3">
        <f t="shared" ca="1" si="9"/>
        <v>#VALUE!</v>
      </c>
      <c r="FV25" s="8" t="e" vm="3">
        <f t="shared" ca="1" si="10"/>
        <v>#VALUE!</v>
      </c>
      <c r="FW25" s="151" t="e" vm="3">
        <f t="shared" ca="1" si="11"/>
        <v>#VALUE!</v>
      </c>
      <c r="FX25" s="144" t="e">
        <f t="shared" si="15"/>
        <v>#N/A</v>
      </c>
      <c r="FY25" s="152" t="e">
        <f t="shared" si="20"/>
        <v>#N/A</v>
      </c>
      <c r="FZ25" s="7" t="e">
        <f t="shared" si="16"/>
        <v>#N/A</v>
      </c>
      <c r="GA25" t="e">
        <f t="shared" si="21"/>
        <v>#N/A</v>
      </c>
      <c r="GB25" s="8" t="e">
        <f t="shared" si="22"/>
        <v>#N/A</v>
      </c>
      <c r="GC25" s="8" t="e">
        <f t="shared" si="23"/>
        <v>#N/A</v>
      </c>
      <c r="GD25" s="151" t="e">
        <f t="shared" si="24"/>
        <v>#N/A</v>
      </c>
      <c r="GE25" s="144" t="e">
        <f t="shared" si="25"/>
        <v>#N/A</v>
      </c>
      <c r="GF25" s="152" t="e">
        <f t="shared" si="26"/>
        <v>#N/A</v>
      </c>
      <c r="GG25" s="7" t="e">
        <f t="shared" si="17"/>
        <v>#N/A</v>
      </c>
      <c r="GH25" t="e">
        <f t="shared" si="27"/>
        <v>#N/A</v>
      </c>
      <c r="GI25" s="8" t="e">
        <f t="shared" si="28"/>
        <v>#N/A</v>
      </c>
      <c r="GJ25" s="8" t="e">
        <f t="shared" si="29"/>
        <v>#N/A</v>
      </c>
      <c r="GK25" s="151" t="e">
        <f t="shared" si="30"/>
        <v>#N/A</v>
      </c>
      <c r="GL25" s="151"/>
      <c r="GM25" s="151"/>
      <c r="GP25" s="54">
        <f t="shared" si="81"/>
        <v>15</v>
      </c>
      <c r="GQ25" s="54">
        <f t="shared" si="82"/>
        <v>16</v>
      </c>
      <c r="GR25" s="54">
        <f t="shared" si="83"/>
        <v>-2.7309029682413231</v>
      </c>
      <c r="GS25" s="54">
        <f t="shared" si="84"/>
        <v>9.582142737811215E-3</v>
      </c>
      <c r="GT25" s="54" t="e">
        <f t="shared" si="85"/>
        <v>#N/A</v>
      </c>
      <c r="GU25" s="54" t="e">
        <f t="shared" si="86"/>
        <v>#N/A</v>
      </c>
      <c r="GV25" s="54" t="e">
        <f t="shared" si="87"/>
        <v>#N/A</v>
      </c>
      <c r="GW25" s="54" t="b">
        <f t="shared" si="88"/>
        <v>1</v>
      </c>
      <c r="GX25" s="54" t="b">
        <f t="shared" si="89"/>
        <v>0</v>
      </c>
      <c r="GY25" s="54" t="b">
        <f t="shared" si="90"/>
        <v>1</v>
      </c>
      <c r="GZ25" s="54" t="b">
        <f t="shared" si="91"/>
        <v>0</v>
      </c>
      <c r="HA25" s="54">
        <f t="shared" si="92"/>
        <v>9.582142737811215E-3</v>
      </c>
      <c r="HB25" s="54">
        <f t="shared" si="93"/>
        <v>9.582142737811215E-3</v>
      </c>
      <c r="HC25" s="54" t="e">
        <f t="shared" si="94"/>
        <v>#N/A</v>
      </c>
      <c r="HD25" s="69" t="str">
        <f t="shared" si="95"/>
        <v/>
      </c>
      <c r="HJ25" s="54">
        <f t="shared" si="96"/>
        <v>15</v>
      </c>
      <c r="HK25" s="54">
        <f t="shared" si="97"/>
        <v>16</v>
      </c>
      <c r="HL25" s="54">
        <f t="shared" si="98"/>
        <v>-4.2288606020524799</v>
      </c>
      <c r="HM25" s="54" t="e">
        <f t="shared" si="99"/>
        <v>#N/A</v>
      </c>
      <c r="HN25" s="54">
        <f t="shared" si="100"/>
        <v>2.4110931926843594E-3</v>
      </c>
      <c r="HO25" s="54" t="e">
        <f t="shared" si="101"/>
        <v>#N/A</v>
      </c>
      <c r="HP25" s="54" t="e">
        <f t="shared" si="102"/>
        <v>#N/A</v>
      </c>
      <c r="HQ25" s="54" t="b">
        <f t="shared" si="103"/>
        <v>1</v>
      </c>
      <c r="HR25" s="54" t="b">
        <f t="shared" si="104"/>
        <v>0</v>
      </c>
      <c r="HS25" s="54" t="b">
        <f t="shared" si="105"/>
        <v>1</v>
      </c>
      <c r="HT25" s="54" t="b">
        <f t="shared" si="106"/>
        <v>0</v>
      </c>
      <c r="HU25" s="54">
        <f t="shared" si="107"/>
        <v>2.4110931926843594E-3</v>
      </c>
      <c r="HV25" s="54">
        <f t="shared" si="108"/>
        <v>2.4110931926843594E-3</v>
      </c>
      <c r="HW25" s="54" t="e">
        <f t="shared" si="109"/>
        <v>#N/A</v>
      </c>
      <c r="HX25" s="69" t="str">
        <f t="shared" si="110"/>
        <v/>
      </c>
    </row>
    <row r="26" spans="57:232" x14ac:dyDescent="0.2">
      <c r="BE26" s="57" t="s">
        <v>162</v>
      </c>
      <c r="BF26" s="59" t="e" cm="1">
        <f t="array" ref="BF26">MATCH(LARGE((BF18:BF21&lt;&gt;0)*{4;3;2;1},ROWS(BF18:BF21)),{4;3;2;1},0)</f>
        <v>#N/A</v>
      </c>
      <c r="BG26" s="59" t="e" cm="1">
        <f t="array" ref="BG26">MATCH(LARGE((BG18:BG21&lt;&gt;0)*{4;3;2;1},ROWS(BG18:BG21)),{4;3;2;1},0)</f>
        <v>#N/A</v>
      </c>
      <c r="BH26" s="59" t="e" cm="1">
        <f t="array" ref="BH26">MATCH(LARGE((BH18:BH21&lt;&gt;0)*{4;3;2;1},ROWS(BH18:BH21)),{4;3;2;1},0)</f>
        <v>#N/A</v>
      </c>
      <c r="BI26" s="59" t="e" cm="1">
        <f t="array" ref="BI26">MATCH(LARGE((BI18:BI21&lt;&gt;0)*{4;3;2;1},ROWS(BI18:BI21)),{4;3;2;1},0)</f>
        <v>#N/A</v>
      </c>
      <c r="BJ26" s="59" t="e" cm="1">
        <f t="array" ref="BJ26">MATCH(LARGE((BJ18:BJ21&lt;&gt;0)*{4;3;2;1},ROWS(BJ18:BJ21)),{4;3;2;1},0)</f>
        <v>#N/A</v>
      </c>
      <c r="BL26" s="90" t="s">
        <v>458</v>
      </c>
      <c r="BM26" s="203" t="e" cm="1">
        <f t="array" ref="BM26">IF(NOT($BG$2),IF(NOT(ISBLANK(INDEX(E_s_valg[Parameter 2],E_s_aktiv))),INDEX(E_s_valg[Parameter 2],E_s_aktiv),NA()),NA())</f>
        <v>#N/A</v>
      </c>
      <c r="BZ26" s="54">
        <f t="shared" si="36"/>
        <v>16</v>
      </c>
      <c r="CA26" s="54">
        <f>Eu_tabel_g[[#This Row],[Indeks]]+1</f>
        <v>17</v>
      </c>
      <c r="CB26" s="54">
        <f t="shared" si="37"/>
        <v>-2.7069476790462241</v>
      </c>
      <c r="CC26" s="54">
        <f t="shared" si="38"/>
        <v>1.0227026543258957E-2</v>
      </c>
      <c r="CD26" s="54" t="e">
        <f t="shared" si="39"/>
        <v>#N/A</v>
      </c>
      <c r="CE26" s="54" t="e">
        <f t="shared" si="40"/>
        <v>#N/A</v>
      </c>
      <c r="CF26" s="54" t="e">
        <f t="shared" si="41"/>
        <v>#N/A</v>
      </c>
      <c r="CG26" s="54" t="b">
        <f t="shared" si="42"/>
        <v>1</v>
      </c>
      <c r="CH26" s="54" t="b">
        <f t="shared" si="43"/>
        <v>0</v>
      </c>
      <c r="CI26" s="54" t="b">
        <f t="shared" si="44"/>
        <v>1</v>
      </c>
      <c r="CJ26" s="54" t="b">
        <f t="shared" si="45"/>
        <v>0</v>
      </c>
      <c r="CK26" s="54">
        <f t="shared" si="111"/>
        <v>1.0227026543258957E-2</v>
      </c>
      <c r="CL26" s="54">
        <f t="shared" si="47"/>
        <v>1.0227026543258957E-2</v>
      </c>
      <c r="CM26" s="54" t="e">
        <f t="shared" si="48"/>
        <v>#N/A</v>
      </c>
      <c r="CN26" s="69" t="str">
        <f t="shared" si="49"/>
        <v/>
      </c>
      <c r="CO26" s="54">
        <f>_xlfn.NORM.DIST(_xlfn.NORM.INV(1-Eu_g_konfidensniveau,0,1)-Eu_tabel_g[[#This Row],[x base]],0,1,TRUE)</f>
        <v>0.85590350498249024</v>
      </c>
      <c r="CP26" s="54">
        <f>1-_xlfn.NORM.DIST(_xlfn.NORM.INV(Eu_g_konfidensniveau,0,1)-Eu_tabel_g[[#This Row],[x base]],0,1,TRUE)</f>
        <v>6.7511800520003717E-6</v>
      </c>
      <c r="CQ26" s="54">
        <f>_xlfn.NORM.DIST(_xlfn.NORM.INV((1-Eu_g_konfidensniveau)/2,0,1)-Eu_tabel_g[[#This Row],[x base]],0,1,TRUE)+1-_xlfn.NORM.DIST(_xlfn.NORM.INV(1-(1-Eu_g_konfidensniveau)/2,0,1)-Eu_tabel_g[[#This Row],[x base]],0,1,TRUE)</f>
        <v>0.77246482712333409</v>
      </c>
      <c r="CR26" s="54" t="e" cm="1">
        <f t="array" ref="CR26">IF($CR$3,INDEX(Eu_tabel_g[[#This Row],[Styrke venstre]:[Styrke tosidet]],CR$7),NA())</f>
        <v>#N/A</v>
      </c>
      <c r="CS26" s="89" t="e">
        <f>Eu_tabel_g[[#This Row],[Falsk positiv
Nulhypotese accepteres
Fejltype 1]]</f>
        <v>#N/A</v>
      </c>
      <c r="CT26" s="89" t="e">
        <f>IF(CHOOSE(CR$7,Eu_tabel_g[[#This Row],[x base]]&gt;0,Eu_tabel_g[[#This Row],[x base]]&lt;0,Eu_tabel_g[[#This Row],[x base]]=0),Eu_tabel_g[[#This Row],[Styrke, aktiv]],NA())</f>
        <v>#N/A</v>
      </c>
      <c r="CU26" s="89" t="e">
        <f>IFERROR(IF($CR$3,Eu_tabel_g[[#This Row],[Styrke, aktiv]],NA()),NA())</f>
        <v>#N/A</v>
      </c>
      <c r="CV26" s="89" t="e">
        <f>IF(ISNA(Eu_tabel_g[[#This Row],[Sand negativ
Nulhypotese afvises
Korrekt]]),NA(),IF($CR$3,1,NA()))</f>
        <v>#N/A</v>
      </c>
      <c r="CW26" s="56" t="str" cm="1">
        <f t="array" ref="CW26">_xlfn.SWITCH(BZ26,_xlfn.IFNA(CU$2,-99),CU$5,_xlfn.IFNA(CU$3,-99),CU$6,_xlfn.IFNA(CU$4,-99),CU$7,"")</f>
        <v/>
      </c>
      <c r="DA26" s="7">
        <f t="shared" si="50"/>
        <v>0.8</v>
      </c>
      <c r="DB26">
        <f>IF(ROW(Styrkeberegning_G[[#This Row],[X base venstre]])=ROW(Styrkeberegning_G[[#Headers],[X base venstre]])+1,DB$7/(DA$7/$B$67),DB25/(DA25/$B$67))</f>
        <v>-2.8015817870135784</v>
      </c>
      <c r="DC26">
        <f>Styrkeberegning_G[[#This Row],[X base venstre]]*-1</f>
        <v>2.8015817870135784</v>
      </c>
      <c r="DN26" s="54">
        <f t="shared" si="51"/>
        <v>16</v>
      </c>
      <c r="DO26" s="54">
        <f t="shared" si="52"/>
        <v>17</v>
      </c>
      <c r="DP26" s="54">
        <f t="shared" si="53"/>
        <v>3.6589863673257064</v>
      </c>
      <c r="DQ26" s="54" t="e">
        <f t="shared" si="54"/>
        <v>#N/A</v>
      </c>
      <c r="DR26" s="54" t="e">
        <f t="shared" si="55"/>
        <v>#N/A</v>
      </c>
      <c r="DS26" s="54">
        <f t="shared" si="56"/>
        <v>2.3230738932695595E-2</v>
      </c>
      <c r="DT26" s="54" t="e">
        <f t="shared" si="57"/>
        <v>#N/A</v>
      </c>
      <c r="DU26" s="54" t="b">
        <f t="shared" si="58"/>
        <v>1</v>
      </c>
      <c r="DV26" s="54" t="b">
        <f t="shared" si="59"/>
        <v>0</v>
      </c>
      <c r="DW26" s="54" t="b">
        <f t="shared" si="60"/>
        <v>1</v>
      </c>
      <c r="DX26" s="54" t="b">
        <f t="shared" si="61"/>
        <v>0</v>
      </c>
      <c r="DY26" s="54">
        <f t="shared" si="62"/>
        <v>2.3230738932695595E-2</v>
      </c>
      <c r="DZ26" s="54">
        <f t="shared" si="63"/>
        <v>2.3230738932695595E-2</v>
      </c>
      <c r="EA26" s="54" t="e">
        <f t="shared" si="64"/>
        <v>#N/A</v>
      </c>
      <c r="EB26" s="69" t="str">
        <f t="shared" si="65"/>
        <v/>
      </c>
      <c r="EG26" s="54">
        <f t="shared" si="66"/>
        <v>16</v>
      </c>
      <c r="EH26" s="54">
        <f t="shared" si="67"/>
        <v>17</v>
      </c>
      <c r="EI26" s="54">
        <f t="shared" si="68"/>
        <v>-2.7069476790462241</v>
      </c>
      <c r="EJ26" s="54">
        <f t="shared" si="69"/>
        <v>1.0227026543258957E-2</v>
      </c>
      <c r="EK26" s="54" t="e">
        <f t="shared" si="70"/>
        <v>#N/A</v>
      </c>
      <c r="EL26" s="54" t="e">
        <f t="shared" si="71"/>
        <v>#N/A</v>
      </c>
      <c r="EM26" s="54" t="e">
        <f t="shared" si="72"/>
        <v>#N/A</v>
      </c>
      <c r="EN26" s="54" t="b">
        <f t="shared" si="73"/>
        <v>1</v>
      </c>
      <c r="EO26" s="54" t="b">
        <f t="shared" si="74"/>
        <v>0</v>
      </c>
      <c r="EP26" s="54" t="b">
        <f t="shared" si="75"/>
        <v>1</v>
      </c>
      <c r="EQ26" s="54" t="b">
        <f t="shared" si="76"/>
        <v>0</v>
      </c>
      <c r="ER26" s="54">
        <f t="shared" si="77"/>
        <v>1.0227026543258957E-2</v>
      </c>
      <c r="ES26" s="54">
        <f t="shared" si="78"/>
        <v>1.0227026543258957E-2</v>
      </c>
      <c r="ET26" s="54" t="e">
        <f t="shared" si="79"/>
        <v>#N/A</v>
      </c>
      <c r="EU26" s="69" t="str">
        <f t="shared" si="80"/>
        <v/>
      </c>
      <c r="EV2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6" s="54" t="e" cm="1">
        <f t="array" ref="EY26">IF($CR$3,INDEX(Eu_tabel_a[[#This Row],[Styrke venstre]:[Styrke tosidet]],EY$7),NA())</f>
        <v>#N/A</v>
      </c>
      <c r="EZ26" s="54" t="e">
        <f>IF(EY$3,IF(CHOOSE(EY$7,Eu_tabel_a[[#This Row],[x base]]&gt;0,Eu_tabel_a[[#This Row],[x base]]&lt;0,Eu_tabel_a[[#This Row],[x base]]=0),1,NA()),NA())</f>
        <v>#N/A</v>
      </c>
      <c r="FA26" s="54" t="e">
        <f>IF(CHOOSE(EY$7,Eu_tabel_a[[#This Row],[x base]]&gt;0,Eu_tabel_a[[#This Row],[x base]]&lt;0,Eu_tabel_a[[#This Row],[x base]]=0),Eu_tabel_a[[#This Row],[Styrke, aktiv]],NA())</f>
        <v>#N/A</v>
      </c>
      <c r="FB26" s="54" t="e">
        <f>IFERROR(IF($EY$3,Eu_tabel_a[[#This Row],[Styrke, aktiv]],NA()),NA())</f>
        <v>#N/A</v>
      </c>
      <c r="FC26" s="54" t="e">
        <f>IF(ISNA(Eu_tabel_a[[#This Row],[Sand negativ
Nulhypotese afvises
Korrekt]]),NA(),IF(EY$3,1,NA()))</f>
        <v>#N/A</v>
      </c>
      <c r="FD26" s="55" t="str" cm="1">
        <f t="array" ref="FD26">IFERROR(_xlfn.SWITCH(Eu_tabel_a[[#This Row],[Indeks]],_xlfn.IFNA(FB$2,-99),FB$5,_xlfn.IFNA(FB$3,-99),FB$6,_xlfn.IFNA(FB$4,-99),FB$7,""),"")</f>
        <v/>
      </c>
      <c r="FE26" s="54">
        <f>Eu_tabel_a[[#This Row],[x base]]*SQRT(Eu_a_h0_x*(1-Eu_a_h0_x)/Eu_a_n_x)+Eu_a_h0_x</f>
        <v>0</v>
      </c>
      <c r="FJ26" s="144" t="e">
        <f t="shared" si="18"/>
        <v>#N/A</v>
      </c>
      <c r="FK26" s="152" t="e">
        <f t="shared" si="31"/>
        <v>#DIV/0!</v>
      </c>
      <c r="FL26" s="7" t="e">
        <f t="shared" si="12"/>
        <v>#DIV/0!</v>
      </c>
      <c r="FM26" t="e">
        <f t="shared" si="32"/>
        <v>#DIV/0!</v>
      </c>
      <c r="FN26" s="8" t="e">
        <f t="shared" si="33"/>
        <v>#DIV/0!</v>
      </c>
      <c r="FO26" s="8" t="e">
        <f t="shared" si="34"/>
        <v>#DIV/0!</v>
      </c>
      <c r="FP26" s="151" t="e">
        <f t="shared" si="35"/>
        <v>#DIV/0!</v>
      </c>
      <c r="FQ26" s="144" t="e">
        <f t="shared" ca="1" si="13"/>
        <v>#N/A</v>
      </c>
      <c r="FR26" s="152" t="e" vm="3">
        <f t="shared" ca="1" si="19"/>
        <v>#VALUE!</v>
      </c>
      <c r="FS26" s="7" t="e" vm="3">
        <f t="shared" ca="1" si="14"/>
        <v>#VALUE!</v>
      </c>
      <c r="FT26" t="e" vm="3">
        <f t="shared" ca="1" si="8"/>
        <v>#VALUE!</v>
      </c>
      <c r="FU26" s="8" t="e" vm="3">
        <f t="shared" ca="1" si="9"/>
        <v>#VALUE!</v>
      </c>
      <c r="FV26" s="8" t="e" vm="3">
        <f t="shared" ca="1" si="10"/>
        <v>#VALUE!</v>
      </c>
      <c r="FW26" s="151" t="e" vm="3">
        <f t="shared" ca="1" si="11"/>
        <v>#VALUE!</v>
      </c>
      <c r="FX26" s="144" t="e">
        <f t="shared" si="15"/>
        <v>#N/A</v>
      </c>
      <c r="FY26" s="152" t="e">
        <f t="shared" si="20"/>
        <v>#N/A</v>
      </c>
      <c r="FZ26" s="7" t="e">
        <f t="shared" si="16"/>
        <v>#N/A</v>
      </c>
      <c r="GA26" t="e">
        <f t="shared" si="21"/>
        <v>#N/A</v>
      </c>
      <c r="GB26" s="8" t="e">
        <f t="shared" si="22"/>
        <v>#N/A</v>
      </c>
      <c r="GC26" s="8" t="e">
        <f t="shared" si="23"/>
        <v>#N/A</v>
      </c>
      <c r="GD26" s="151" t="e">
        <f t="shared" si="24"/>
        <v>#N/A</v>
      </c>
      <c r="GE26" s="144" t="e">
        <f t="shared" si="25"/>
        <v>#N/A</v>
      </c>
      <c r="GF26" s="152" t="e">
        <f t="shared" si="26"/>
        <v>#N/A</v>
      </c>
      <c r="GG26" s="7" t="e">
        <f t="shared" si="17"/>
        <v>#N/A</v>
      </c>
      <c r="GH26" t="e">
        <f t="shared" si="27"/>
        <v>#N/A</v>
      </c>
      <c r="GI26" s="8" t="e">
        <f t="shared" si="28"/>
        <v>#N/A</v>
      </c>
      <c r="GJ26" s="8" t="e">
        <f t="shared" si="29"/>
        <v>#N/A</v>
      </c>
      <c r="GK26" s="151" t="e">
        <f t="shared" si="30"/>
        <v>#N/A</v>
      </c>
      <c r="GL26" s="151"/>
      <c r="GM26" s="151"/>
      <c r="GP26" s="54">
        <f t="shared" si="81"/>
        <v>16</v>
      </c>
      <c r="GQ26" s="54">
        <f t="shared" si="82"/>
        <v>17</v>
      </c>
      <c r="GR26" s="54">
        <f t="shared" si="83"/>
        <v>-2.7069476790462241</v>
      </c>
      <c r="GS26" s="54">
        <f t="shared" si="84"/>
        <v>1.0227026543258957E-2</v>
      </c>
      <c r="GT26" s="54" t="e">
        <f t="shared" si="85"/>
        <v>#N/A</v>
      </c>
      <c r="GU26" s="54" t="e">
        <f t="shared" si="86"/>
        <v>#N/A</v>
      </c>
      <c r="GV26" s="54" t="e">
        <f t="shared" si="87"/>
        <v>#N/A</v>
      </c>
      <c r="GW26" s="54" t="b">
        <f t="shared" si="88"/>
        <v>1</v>
      </c>
      <c r="GX26" s="54" t="b">
        <f t="shared" si="89"/>
        <v>0</v>
      </c>
      <c r="GY26" s="54" t="b">
        <f t="shared" si="90"/>
        <v>1</v>
      </c>
      <c r="GZ26" s="54" t="b">
        <f t="shared" si="91"/>
        <v>0</v>
      </c>
      <c r="HA26" s="54">
        <f t="shared" si="92"/>
        <v>1.0227026543258957E-2</v>
      </c>
      <c r="HB26" s="54">
        <f t="shared" si="93"/>
        <v>1.0227026543258957E-2</v>
      </c>
      <c r="HC26" s="54" t="e">
        <f t="shared" si="94"/>
        <v>#N/A</v>
      </c>
      <c r="HD26" s="69" t="str">
        <f t="shared" si="95"/>
        <v/>
      </c>
      <c r="HJ26" s="54">
        <f t="shared" si="96"/>
        <v>16</v>
      </c>
      <c r="HK26" s="54">
        <f t="shared" si="97"/>
        <v>17</v>
      </c>
      <c r="HL26" s="54">
        <f t="shared" si="98"/>
        <v>-4.1917653336134233</v>
      </c>
      <c r="HM26" s="54" t="e">
        <f t="shared" si="99"/>
        <v>#N/A</v>
      </c>
      <c r="HN26" s="54">
        <f t="shared" si="100"/>
        <v>2.5360582677923203E-3</v>
      </c>
      <c r="HO26" s="54" t="e">
        <f t="shared" si="101"/>
        <v>#N/A</v>
      </c>
      <c r="HP26" s="54" t="e">
        <f t="shared" si="102"/>
        <v>#N/A</v>
      </c>
      <c r="HQ26" s="54" t="b">
        <f t="shared" si="103"/>
        <v>1</v>
      </c>
      <c r="HR26" s="54" t="b">
        <f t="shared" si="104"/>
        <v>0</v>
      </c>
      <c r="HS26" s="54" t="b">
        <f t="shared" si="105"/>
        <v>1</v>
      </c>
      <c r="HT26" s="54" t="b">
        <f t="shared" si="106"/>
        <v>0</v>
      </c>
      <c r="HU26" s="54">
        <f t="shared" si="107"/>
        <v>2.5360582677923203E-3</v>
      </c>
      <c r="HV26" s="54">
        <f t="shared" si="108"/>
        <v>2.5360582677923203E-3</v>
      </c>
      <c r="HW26" s="54" t="e">
        <f t="shared" si="109"/>
        <v>#N/A</v>
      </c>
      <c r="HX26" s="69" t="str">
        <f t="shared" si="110"/>
        <v/>
      </c>
    </row>
    <row r="27" spans="57:232" x14ac:dyDescent="0.2">
      <c r="BE27" s="90" t="s">
        <v>432</v>
      </c>
      <c r="BF27" s="57" t="s">
        <v>425</v>
      </c>
      <c r="BG27" s="57" t="s">
        <v>425</v>
      </c>
      <c r="BH27" s="57" t="s">
        <v>425</v>
      </c>
      <c r="BI27" s="57" t="s">
        <v>425</v>
      </c>
      <c r="BJ27" s="57" t="s">
        <v>425</v>
      </c>
      <c r="BL27" s="90" t="s">
        <v>123</v>
      </c>
      <c r="BM27" s="203" t="e" cm="1">
        <f t="array" ref="BM27">IF(NOT($BG$2),INDEX(E_s_valg[Teststørrelse],E_s_aktiv),NA())</f>
        <v>#N/A</v>
      </c>
      <c r="BZ27" s="54">
        <f t="shared" si="36"/>
        <v>17</v>
      </c>
      <c r="CA27" s="54">
        <f>Eu_tabel_g[[#This Row],[Indeks]]+1</f>
        <v>18</v>
      </c>
      <c r="CB27" s="54">
        <f t="shared" si="37"/>
        <v>-2.6829923898511248</v>
      </c>
      <c r="CC27" s="54">
        <f t="shared" si="38"/>
        <v>1.0909049386925537E-2</v>
      </c>
      <c r="CD27" s="54" t="e">
        <f t="shared" si="39"/>
        <v>#N/A</v>
      </c>
      <c r="CE27" s="54" t="e">
        <f t="shared" si="40"/>
        <v>#N/A</v>
      </c>
      <c r="CF27" s="54" t="e">
        <f t="shared" si="41"/>
        <v>#N/A</v>
      </c>
      <c r="CG27" s="54" t="b">
        <f t="shared" si="42"/>
        <v>1</v>
      </c>
      <c r="CH27" s="54" t="b">
        <f t="shared" si="43"/>
        <v>0</v>
      </c>
      <c r="CI27" s="54" t="b">
        <f t="shared" si="44"/>
        <v>1</v>
      </c>
      <c r="CJ27" s="54" t="b">
        <f t="shared" si="45"/>
        <v>0</v>
      </c>
      <c r="CK27" s="54">
        <f t="shared" si="111"/>
        <v>1.0909049386925537E-2</v>
      </c>
      <c r="CL27" s="54">
        <f t="shared" si="47"/>
        <v>1.0909049386925537E-2</v>
      </c>
      <c r="CM27" s="54" t="e">
        <f t="shared" si="48"/>
        <v>#N/A</v>
      </c>
      <c r="CN27" s="69" t="str">
        <f t="shared" si="49"/>
        <v/>
      </c>
      <c r="CO27" s="54">
        <f>_xlfn.NORM.DIST(_xlfn.NORM.INV(1-Eu_g_konfidensniveau,0,1)-Eu_tabel_g[[#This Row],[x base]],0,1,TRUE)</f>
        <v>0.85039727138881704</v>
      </c>
      <c r="CP27" s="54">
        <f>1-_xlfn.NORM.DIST(_xlfn.NORM.INV(Eu_g_konfidensniveau,0,1)-Eu_tabel_g[[#This Row],[x base]],0,1,TRUE)</f>
        <v>7.5287338512364244E-6</v>
      </c>
      <c r="CQ27" s="54">
        <f>_xlfn.NORM.DIST(_xlfn.NORM.INV((1-Eu_g_konfidensniveau)/2,0,1)-Eu_tabel_g[[#This Row],[x base]],0,1,TRUE)+1-_xlfn.NORM.DIST(_xlfn.NORM.INV(1-(1-Eu_g_konfidensniveau)/2,0,1)-Eu_tabel_g[[#This Row],[x base]],0,1,TRUE)</f>
        <v>0.76517050080719218</v>
      </c>
      <c r="CR27" s="54" t="e" cm="1">
        <f t="array" ref="CR27">IF($CR$3,INDEX(Eu_tabel_g[[#This Row],[Styrke venstre]:[Styrke tosidet]],CR$7),NA())</f>
        <v>#N/A</v>
      </c>
      <c r="CS27" s="89" t="e">
        <f>Eu_tabel_g[[#This Row],[Falsk positiv
Nulhypotese accepteres
Fejltype 1]]</f>
        <v>#N/A</v>
      </c>
      <c r="CT27" s="89" t="e">
        <f>IF(CHOOSE(CR$7,Eu_tabel_g[[#This Row],[x base]]&gt;0,Eu_tabel_g[[#This Row],[x base]]&lt;0,Eu_tabel_g[[#This Row],[x base]]=0),Eu_tabel_g[[#This Row],[Styrke, aktiv]],NA())</f>
        <v>#N/A</v>
      </c>
      <c r="CU27" s="89" t="e">
        <f>IFERROR(IF($CR$3,Eu_tabel_g[[#This Row],[Styrke, aktiv]],NA()),NA())</f>
        <v>#N/A</v>
      </c>
      <c r="CV27" s="89" t="e">
        <f>IF(ISNA(Eu_tabel_g[[#This Row],[Sand negativ
Nulhypotese afvises
Korrekt]]),NA(),IF($CR$3,1,NA()))</f>
        <v>#N/A</v>
      </c>
      <c r="CW27" s="56" t="str" cm="1">
        <f t="array" ref="CW27">_xlfn.SWITCH(BZ27,_xlfn.IFNA(CU$2,-99),CU$5,_xlfn.IFNA(CU$3,-99),CU$6,_xlfn.IFNA(CU$4,-99),CU$7,"")</f>
        <v/>
      </c>
      <c r="DA27" s="7">
        <f t="shared" si="50"/>
        <v>0.8</v>
      </c>
      <c r="DB27">
        <f>IF(ROW(Styrkeberegning_G[[#This Row],[X base venstre]])=ROW(Styrkeberegning_G[[#Headers],[X base venstre]])+1,DB$7/(DA$7/$B$67),DB26/(DA26/$B$67))</f>
        <v>-2.8015817870135784</v>
      </c>
      <c r="DC27">
        <f>Styrkeberegning_G[[#This Row],[X base venstre]]*-1</f>
        <v>2.8015817870135784</v>
      </c>
      <c r="DN27" s="54">
        <f t="shared" si="51"/>
        <v>17</v>
      </c>
      <c r="DO27" s="54">
        <f t="shared" si="52"/>
        <v>18</v>
      </c>
      <c r="DP27" s="54">
        <f t="shared" si="53"/>
        <v>3.7730572237427076</v>
      </c>
      <c r="DQ27" s="54" t="e">
        <f t="shared" si="54"/>
        <v>#N/A</v>
      </c>
      <c r="DR27" s="54" t="e">
        <f t="shared" si="55"/>
        <v>#N/A</v>
      </c>
      <c r="DS27" s="54">
        <f t="shared" si="56"/>
        <v>2.5193560854176802E-2</v>
      </c>
      <c r="DT27" s="54" t="e">
        <f t="shared" si="57"/>
        <v>#N/A</v>
      </c>
      <c r="DU27" s="54" t="b">
        <f t="shared" si="58"/>
        <v>1</v>
      </c>
      <c r="DV27" s="54" t="b">
        <f t="shared" si="59"/>
        <v>0</v>
      </c>
      <c r="DW27" s="54" t="b">
        <f t="shared" si="60"/>
        <v>1</v>
      </c>
      <c r="DX27" s="54" t="b">
        <f t="shared" si="61"/>
        <v>0</v>
      </c>
      <c r="DY27" s="54">
        <f t="shared" si="62"/>
        <v>2.5193560854176802E-2</v>
      </c>
      <c r="DZ27" s="54">
        <f t="shared" si="63"/>
        <v>2.5193560854176802E-2</v>
      </c>
      <c r="EA27" s="54" t="e">
        <f t="shared" si="64"/>
        <v>#N/A</v>
      </c>
      <c r="EB27" s="69">
        <f t="shared" si="65"/>
        <v>3.0510000000000002</v>
      </c>
      <c r="EG27" s="54">
        <f t="shared" si="66"/>
        <v>17</v>
      </c>
      <c r="EH27" s="54">
        <f t="shared" si="67"/>
        <v>18</v>
      </c>
      <c r="EI27" s="54">
        <f t="shared" si="68"/>
        <v>-2.6829923898511248</v>
      </c>
      <c r="EJ27" s="54">
        <f t="shared" si="69"/>
        <v>1.0909049386925537E-2</v>
      </c>
      <c r="EK27" s="54" t="e">
        <f t="shared" si="70"/>
        <v>#N/A</v>
      </c>
      <c r="EL27" s="54" t="e">
        <f t="shared" si="71"/>
        <v>#N/A</v>
      </c>
      <c r="EM27" s="54" t="e">
        <f t="shared" si="72"/>
        <v>#N/A</v>
      </c>
      <c r="EN27" s="54" t="b">
        <f t="shared" si="73"/>
        <v>1</v>
      </c>
      <c r="EO27" s="54" t="b">
        <f t="shared" si="74"/>
        <v>0</v>
      </c>
      <c r="EP27" s="54" t="b">
        <f t="shared" si="75"/>
        <v>1</v>
      </c>
      <c r="EQ27" s="54" t="b">
        <f t="shared" si="76"/>
        <v>0</v>
      </c>
      <c r="ER27" s="54">
        <f t="shared" si="77"/>
        <v>1.0909049386925537E-2</v>
      </c>
      <c r="ES27" s="54">
        <f t="shared" si="78"/>
        <v>1.0909049386925537E-2</v>
      </c>
      <c r="ET27" s="54" t="e">
        <f t="shared" si="79"/>
        <v>#N/A</v>
      </c>
      <c r="EU27" s="69" t="str">
        <f t="shared" si="80"/>
        <v/>
      </c>
      <c r="EV2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7" s="54" t="e" cm="1">
        <f t="array" ref="EY27">IF($CR$3,INDEX(Eu_tabel_a[[#This Row],[Styrke venstre]:[Styrke tosidet]],EY$7),NA())</f>
        <v>#N/A</v>
      </c>
      <c r="EZ27" s="54" t="e">
        <f>IF(EY$3,IF(CHOOSE(EY$7,Eu_tabel_a[[#This Row],[x base]]&gt;0,Eu_tabel_a[[#This Row],[x base]]&lt;0,Eu_tabel_a[[#This Row],[x base]]=0),1,NA()),NA())</f>
        <v>#N/A</v>
      </c>
      <c r="FA27" s="54" t="e">
        <f>IF(CHOOSE(EY$7,Eu_tabel_a[[#This Row],[x base]]&gt;0,Eu_tabel_a[[#This Row],[x base]]&lt;0,Eu_tabel_a[[#This Row],[x base]]=0),Eu_tabel_a[[#This Row],[Styrke, aktiv]],NA())</f>
        <v>#N/A</v>
      </c>
      <c r="FB27" s="54" t="e">
        <f>IFERROR(IF($EY$3,Eu_tabel_a[[#This Row],[Styrke, aktiv]],NA()),NA())</f>
        <v>#N/A</v>
      </c>
      <c r="FC27" s="54" t="e">
        <f>IF(ISNA(Eu_tabel_a[[#This Row],[Sand negativ
Nulhypotese afvises
Korrekt]]),NA(),IF(EY$3,1,NA()))</f>
        <v>#N/A</v>
      </c>
      <c r="FD27" s="55" t="str" cm="1">
        <f t="array" ref="FD27">IFERROR(_xlfn.SWITCH(Eu_tabel_a[[#This Row],[Indeks]],_xlfn.IFNA(FB$2,-99),FB$5,_xlfn.IFNA(FB$3,-99),FB$6,_xlfn.IFNA(FB$4,-99),FB$7,""),"")</f>
        <v/>
      </c>
      <c r="FE27" s="54">
        <f>Eu_tabel_a[[#This Row],[x base]]*SQRT(Eu_a_h0_x*(1-Eu_a_h0_x)/Eu_a_n_x)+Eu_a_h0_x</f>
        <v>0</v>
      </c>
      <c r="FJ27" s="144" t="e">
        <f t="shared" si="18"/>
        <v>#N/A</v>
      </c>
      <c r="FK27" s="152" t="e">
        <f t="shared" si="31"/>
        <v>#DIV/0!</v>
      </c>
      <c r="FL27" s="7" t="e">
        <f t="shared" si="12"/>
        <v>#DIV/0!</v>
      </c>
      <c r="FM27" t="e">
        <f t="shared" si="32"/>
        <v>#DIV/0!</v>
      </c>
      <c r="FN27" s="8" t="e">
        <f t="shared" si="33"/>
        <v>#DIV/0!</v>
      </c>
      <c r="FO27" s="8" t="e">
        <f t="shared" si="34"/>
        <v>#DIV/0!</v>
      </c>
      <c r="FP27" s="151" t="e">
        <f t="shared" si="35"/>
        <v>#DIV/0!</v>
      </c>
      <c r="FQ27" s="144" t="e">
        <f t="shared" ca="1" si="13"/>
        <v>#N/A</v>
      </c>
      <c r="FR27" s="152" t="e" vm="3">
        <f t="shared" ca="1" si="19"/>
        <v>#VALUE!</v>
      </c>
      <c r="FS27" s="7" t="e" vm="3">
        <f t="shared" ca="1" si="14"/>
        <v>#VALUE!</v>
      </c>
      <c r="FT27" t="e" vm="3">
        <f t="shared" ca="1" si="8"/>
        <v>#VALUE!</v>
      </c>
      <c r="FU27" s="8" t="e" vm="3">
        <f t="shared" ca="1" si="9"/>
        <v>#VALUE!</v>
      </c>
      <c r="FV27" s="8" t="e" vm="3">
        <f t="shared" ca="1" si="10"/>
        <v>#VALUE!</v>
      </c>
      <c r="FW27" s="151" t="e" vm="3">
        <f t="shared" ca="1" si="11"/>
        <v>#VALUE!</v>
      </c>
      <c r="FX27" s="144" t="e">
        <f t="shared" si="15"/>
        <v>#N/A</v>
      </c>
      <c r="FY27" s="152" t="e">
        <f t="shared" si="20"/>
        <v>#N/A</v>
      </c>
      <c r="FZ27" s="7" t="e">
        <f t="shared" si="16"/>
        <v>#N/A</v>
      </c>
      <c r="GA27" t="e">
        <f t="shared" si="21"/>
        <v>#N/A</v>
      </c>
      <c r="GB27" s="8" t="e">
        <f t="shared" si="22"/>
        <v>#N/A</v>
      </c>
      <c r="GC27" s="8" t="e">
        <f t="shared" si="23"/>
        <v>#N/A</v>
      </c>
      <c r="GD27" s="151" t="e">
        <f t="shared" si="24"/>
        <v>#N/A</v>
      </c>
      <c r="GE27" s="144" t="e">
        <f t="shared" si="25"/>
        <v>#N/A</v>
      </c>
      <c r="GF27" s="152" t="e">
        <f t="shared" si="26"/>
        <v>#N/A</v>
      </c>
      <c r="GG27" s="7" t="e">
        <f t="shared" si="17"/>
        <v>#N/A</v>
      </c>
      <c r="GH27" t="e">
        <f t="shared" si="27"/>
        <v>#N/A</v>
      </c>
      <c r="GI27" s="8" t="e">
        <f t="shared" si="28"/>
        <v>#N/A</v>
      </c>
      <c r="GJ27" s="8" t="e">
        <f t="shared" si="29"/>
        <v>#N/A</v>
      </c>
      <c r="GK27" s="151" t="e">
        <f t="shared" si="30"/>
        <v>#N/A</v>
      </c>
      <c r="GL27" s="151"/>
      <c r="GM27" s="151"/>
      <c r="GP27" s="54">
        <f t="shared" si="81"/>
        <v>17</v>
      </c>
      <c r="GQ27" s="54">
        <f t="shared" si="82"/>
        <v>18</v>
      </c>
      <c r="GR27" s="54">
        <f t="shared" si="83"/>
        <v>-2.6829923898511248</v>
      </c>
      <c r="GS27" s="54">
        <f t="shared" si="84"/>
        <v>1.0909049386925537E-2</v>
      </c>
      <c r="GT27" s="54" t="e">
        <f t="shared" si="85"/>
        <v>#N/A</v>
      </c>
      <c r="GU27" s="54" t="e">
        <f t="shared" si="86"/>
        <v>#N/A</v>
      </c>
      <c r="GV27" s="54" t="e">
        <f t="shared" si="87"/>
        <v>#N/A</v>
      </c>
      <c r="GW27" s="54" t="b">
        <f t="shared" si="88"/>
        <v>1</v>
      </c>
      <c r="GX27" s="54" t="b">
        <f t="shared" si="89"/>
        <v>0</v>
      </c>
      <c r="GY27" s="54" t="b">
        <f t="shared" si="90"/>
        <v>1</v>
      </c>
      <c r="GZ27" s="54" t="b">
        <f t="shared" si="91"/>
        <v>0</v>
      </c>
      <c r="HA27" s="54">
        <f t="shared" si="92"/>
        <v>1.0909049386925537E-2</v>
      </c>
      <c r="HB27" s="54">
        <f t="shared" si="93"/>
        <v>1.0909049386925537E-2</v>
      </c>
      <c r="HC27" s="54" t="e">
        <f t="shared" si="94"/>
        <v>#N/A</v>
      </c>
      <c r="HD27" s="69" t="str">
        <f t="shared" si="95"/>
        <v/>
      </c>
      <c r="HJ27" s="54">
        <f t="shared" si="96"/>
        <v>17</v>
      </c>
      <c r="HK27" s="54">
        <f t="shared" si="97"/>
        <v>18</v>
      </c>
      <c r="HL27" s="54">
        <f t="shared" si="98"/>
        <v>-4.1546700651743667</v>
      </c>
      <c r="HM27" s="54" t="e">
        <f t="shared" si="99"/>
        <v>#N/A</v>
      </c>
      <c r="HN27" s="54">
        <f t="shared" si="100"/>
        <v>2.6680143770795384E-3</v>
      </c>
      <c r="HO27" s="54" t="e">
        <f t="shared" si="101"/>
        <v>#N/A</v>
      </c>
      <c r="HP27" s="54" t="e">
        <f t="shared" si="102"/>
        <v>#N/A</v>
      </c>
      <c r="HQ27" s="54" t="b">
        <f t="shared" si="103"/>
        <v>1</v>
      </c>
      <c r="HR27" s="54" t="b">
        <f t="shared" si="104"/>
        <v>0</v>
      </c>
      <c r="HS27" s="54" t="b">
        <f t="shared" si="105"/>
        <v>1</v>
      </c>
      <c r="HT27" s="54" t="b">
        <f t="shared" si="106"/>
        <v>0</v>
      </c>
      <c r="HU27" s="54">
        <f t="shared" si="107"/>
        <v>2.6680143770795384E-3</v>
      </c>
      <c r="HV27" s="54">
        <f t="shared" si="108"/>
        <v>2.6680143770795384E-3</v>
      </c>
      <c r="HW27" s="54" t="e">
        <f t="shared" si="109"/>
        <v>#N/A</v>
      </c>
      <c r="HX27" s="69" t="str">
        <f t="shared" si="110"/>
        <v/>
      </c>
    </row>
    <row r="28" spans="57:232" x14ac:dyDescent="0.2">
      <c r="BE28" s="57" t="s">
        <v>152</v>
      </c>
      <c r="BF28" s="59" t="str" cm="1">
        <f t="array" ref="BF28:BF30">_xlfn._xlws.FILTER(BF13:BF16,NOT((BF13:BF16)=0))</f>
        <v>Datatypen er interval</v>
      </c>
      <c r="BG28" s="59" t="str" cm="1">
        <f t="array" ref="BG28:BG29">_xlfn._xlws.FILTER(BG13:BG16,NOT((BG13:BG16)=0))</f>
        <v>Datatypen er interval</v>
      </c>
      <c r="BH28" s="59" t="str" cm="1">
        <f t="array" ref="BH28:BH29">_xlfn._xlws.FILTER(BH13:BH16,NOT((BH13:BH16)=0))</f>
        <v>Datatypen er nominal, hvor succes er TRUE og øvrige værdier er FALSE</v>
      </c>
      <c r="BI28" s="59" t="str" cm="1">
        <f t="array" ref="BI28:BI29">_xlfn._xlws.FILTER(BI13:BI16,NOT((BI13:BI16)=0))</f>
        <v>Observationerne består af antal successer fra lige store tidsintervaller</v>
      </c>
      <c r="BJ28" s="59" t="str" cm="1">
        <f t="array" ref="BJ28:BJ29">_xlfn._xlws.FILTER(BJ13:BJ16,NOT((BJ13:BJ16)=0))</f>
        <v>Datatypen er interval</v>
      </c>
      <c r="BL28" s="90" t="s">
        <v>415</v>
      </c>
      <c r="BM28" s="204" t="e" cm="1">
        <f t="array" ref="BM28">IF(NOT($BG$2),INDEX(E_s_valg[p-værdi],E_s_aktiv),NA())</f>
        <v>#N/A</v>
      </c>
      <c r="BZ28" s="54">
        <f t="shared" si="36"/>
        <v>18</v>
      </c>
      <c r="CA28" s="54">
        <f>Eu_tabel_g[[#This Row],[Indeks]]+1</f>
        <v>19</v>
      </c>
      <c r="CB28" s="54">
        <f t="shared" si="37"/>
        <v>-2.6590371006560254</v>
      </c>
      <c r="CC28" s="54">
        <f t="shared" si="38"/>
        <v>1.1629879373268774E-2</v>
      </c>
      <c r="CD28" s="54" t="e">
        <f t="shared" si="39"/>
        <v>#N/A</v>
      </c>
      <c r="CE28" s="54" t="e">
        <f t="shared" si="40"/>
        <v>#N/A</v>
      </c>
      <c r="CF28" s="54" t="e">
        <f t="shared" si="41"/>
        <v>#N/A</v>
      </c>
      <c r="CG28" s="54" t="b">
        <f t="shared" si="42"/>
        <v>1</v>
      </c>
      <c r="CH28" s="54" t="b">
        <f t="shared" si="43"/>
        <v>0</v>
      </c>
      <c r="CI28" s="54" t="b">
        <f t="shared" si="44"/>
        <v>1</v>
      </c>
      <c r="CJ28" s="54" t="b">
        <f t="shared" si="45"/>
        <v>0</v>
      </c>
      <c r="CK28" s="54">
        <f t="shared" si="111"/>
        <v>1.1629879373268774E-2</v>
      </c>
      <c r="CL28" s="54">
        <f t="shared" si="47"/>
        <v>1.1629879373268774E-2</v>
      </c>
      <c r="CM28" s="54" t="e">
        <f t="shared" si="48"/>
        <v>#N/A</v>
      </c>
      <c r="CN28" s="69" t="str">
        <f t="shared" si="49"/>
        <v/>
      </c>
      <c r="CO28" s="54">
        <f>_xlfn.NORM.DIST(_xlfn.NORM.INV(1-Eu_g_konfidensniveau,0,1)-Eu_tabel_g[[#This Row],[x base]],0,1,TRUE)</f>
        <v>0.84475239355334408</v>
      </c>
      <c r="CP28" s="54">
        <f>1-_xlfn.NORM.DIST(_xlfn.NORM.INV(Eu_g_konfidensniveau,0,1)-Eu_tabel_g[[#This Row],[x base]],0,1,TRUE)</f>
        <v>8.3912230994798165E-6</v>
      </c>
      <c r="CQ28" s="54">
        <f>_xlfn.NORM.DIST(_xlfn.NORM.INV((1-Eu_g_konfidensniveau)/2,0,1)-Eu_tabel_g[[#This Row],[x base]],0,1,TRUE)+1-_xlfn.NORM.DIST(_xlfn.NORM.INV(1-(1-Eu_g_konfidensniveau)/2,0,1)-Eu_tabel_g[[#This Row],[x base]],0,1,TRUE)</f>
        <v>0.7577487587271472</v>
      </c>
      <c r="CR28" s="54" t="e" cm="1">
        <f t="array" ref="CR28">IF($CR$3,INDEX(Eu_tabel_g[[#This Row],[Styrke venstre]:[Styrke tosidet]],CR$7),NA())</f>
        <v>#N/A</v>
      </c>
      <c r="CS28" s="89" t="e">
        <f>Eu_tabel_g[[#This Row],[Falsk positiv
Nulhypotese accepteres
Fejltype 1]]</f>
        <v>#N/A</v>
      </c>
      <c r="CT28" s="89" t="e">
        <f>IF(CHOOSE(CR$7,Eu_tabel_g[[#This Row],[x base]]&gt;0,Eu_tabel_g[[#This Row],[x base]]&lt;0,Eu_tabel_g[[#This Row],[x base]]=0),Eu_tabel_g[[#This Row],[Styrke, aktiv]],NA())</f>
        <v>#N/A</v>
      </c>
      <c r="CU28" s="89" t="e">
        <f>IFERROR(IF($CR$3,Eu_tabel_g[[#This Row],[Styrke, aktiv]],NA()),NA())</f>
        <v>#N/A</v>
      </c>
      <c r="CV28" s="89" t="e">
        <f>IF(ISNA(Eu_tabel_g[[#This Row],[Sand negativ
Nulhypotese afvises
Korrekt]]),NA(),IF($CR$3,1,NA()))</f>
        <v>#N/A</v>
      </c>
      <c r="CW28" s="56" t="str" cm="1">
        <f t="array" ref="CW28">_xlfn.SWITCH(BZ28,_xlfn.IFNA(CU$2,-99),CU$5,_xlfn.IFNA(CU$3,-99),CU$6,_xlfn.IFNA(CU$4,-99),CU$7,"")</f>
        <v/>
      </c>
      <c r="DA28" s="7">
        <f t="shared" si="50"/>
        <v>0.8</v>
      </c>
      <c r="DB28">
        <f>IF(ROW(Styrkeberegning_G[[#This Row],[X base venstre]])=ROW(Styrkeberegning_G[[#Headers],[X base venstre]])+1,DB$7/(DA$7/$B$67),DB27/(DA27/$B$67))</f>
        <v>-2.8015817870135784</v>
      </c>
      <c r="DC28">
        <f>Styrkeberegning_G[[#This Row],[X base venstre]]*-1</f>
        <v>2.8015817870135784</v>
      </c>
      <c r="DN28" s="54">
        <f t="shared" si="51"/>
        <v>18</v>
      </c>
      <c r="DO28" s="54">
        <f t="shared" si="52"/>
        <v>19</v>
      </c>
      <c r="DP28" s="54">
        <f t="shared" si="53"/>
        <v>3.8871280801597088</v>
      </c>
      <c r="DQ28" s="54" t="e">
        <f t="shared" si="54"/>
        <v>#N/A</v>
      </c>
      <c r="DR28" s="54" t="e">
        <f t="shared" si="55"/>
        <v>#N/A</v>
      </c>
      <c r="DS28" s="54">
        <f t="shared" si="56"/>
        <v>2.7210025453453968E-2</v>
      </c>
      <c r="DT28" s="54" t="e">
        <f t="shared" si="57"/>
        <v>#N/A</v>
      </c>
      <c r="DU28" s="54" t="b">
        <f t="shared" si="58"/>
        <v>0</v>
      </c>
      <c r="DV28" s="54" t="b">
        <f t="shared" si="59"/>
        <v>1</v>
      </c>
      <c r="DW28" s="54" t="b">
        <f t="shared" si="60"/>
        <v>0</v>
      </c>
      <c r="DX28" s="54" t="b">
        <f t="shared" si="61"/>
        <v>1</v>
      </c>
      <c r="DY28" s="54">
        <f t="shared" si="62"/>
        <v>2.7210025453453968E-2</v>
      </c>
      <c r="DZ28" s="54" t="e">
        <f t="shared" si="63"/>
        <v>#N/A</v>
      </c>
      <c r="EA28" s="54">
        <f t="shared" si="64"/>
        <v>2.7210025453453968E-2</v>
      </c>
      <c r="EB28" s="69" t="str">
        <f t="shared" si="65"/>
        <v/>
      </c>
      <c r="EG28" s="54">
        <f t="shared" si="66"/>
        <v>18</v>
      </c>
      <c r="EH28" s="54">
        <f t="shared" si="67"/>
        <v>19</v>
      </c>
      <c r="EI28" s="54">
        <f t="shared" si="68"/>
        <v>-2.6590371006560254</v>
      </c>
      <c r="EJ28" s="54">
        <f t="shared" si="69"/>
        <v>1.1629879373268774E-2</v>
      </c>
      <c r="EK28" s="54" t="e">
        <f t="shared" si="70"/>
        <v>#N/A</v>
      </c>
      <c r="EL28" s="54" t="e">
        <f t="shared" si="71"/>
        <v>#N/A</v>
      </c>
      <c r="EM28" s="54" t="e">
        <f t="shared" si="72"/>
        <v>#N/A</v>
      </c>
      <c r="EN28" s="54" t="b">
        <f t="shared" si="73"/>
        <v>1</v>
      </c>
      <c r="EO28" s="54" t="b">
        <f t="shared" si="74"/>
        <v>0</v>
      </c>
      <c r="EP28" s="54" t="b">
        <f t="shared" si="75"/>
        <v>1</v>
      </c>
      <c r="EQ28" s="54" t="b">
        <f t="shared" si="76"/>
        <v>0</v>
      </c>
      <c r="ER28" s="54">
        <f t="shared" si="77"/>
        <v>1.1629879373268774E-2</v>
      </c>
      <c r="ES28" s="54">
        <f t="shared" si="78"/>
        <v>1.1629879373268774E-2</v>
      </c>
      <c r="ET28" s="54" t="e">
        <f t="shared" si="79"/>
        <v>#N/A</v>
      </c>
      <c r="EU28" s="69" t="str">
        <f t="shared" si="80"/>
        <v/>
      </c>
      <c r="EV2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8" s="54" t="e" cm="1">
        <f t="array" ref="EY28">IF($CR$3,INDEX(Eu_tabel_a[[#This Row],[Styrke venstre]:[Styrke tosidet]],EY$7),NA())</f>
        <v>#N/A</v>
      </c>
      <c r="EZ28" s="54" t="e">
        <f>IF(EY$3,IF(CHOOSE(EY$7,Eu_tabel_a[[#This Row],[x base]]&gt;0,Eu_tabel_a[[#This Row],[x base]]&lt;0,Eu_tabel_a[[#This Row],[x base]]=0),1,NA()),NA())</f>
        <v>#N/A</v>
      </c>
      <c r="FA28" s="54" t="e">
        <f>IF(CHOOSE(EY$7,Eu_tabel_a[[#This Row],[x base]]&gt;0,Eu_tabel_a[[#This Row],[x base]]&lt;0,Eu_tabel_a[[#This Row],[x base]]=0),Eu_tabel_a[[#This Row],[Styrke, aktiv]],NA())</f>
        <v>#N/A</v>
      </c>
      <c r="FB28" s="54" t="e">
        <f>IFERROR(IF($EY$3,Eu_tabel_a[[#This Row],[Styrke, aktiv]],NA()),NA())</f>
        <v>#N/A</v>
      </c>
      <c r="FC28" s="54" t="e">
        <f>IF(ISNA(Eu_tabel_a[[#This Row],[Sand negativ
Nulhypotese afvises
Korrekt]]),NA(),IF(EY$3,1,NA()))</f>
        <v>#N/A</v>
      </c>
      <c r="FD28" s="55" t="str" cm="1">
        <f t="array" ref="FD28">IFERROR(_xlfn.SWITCH(Eu_tabel_a[[#This Row],[Indeks]],_xlfn.IFNA(FB$2,-99),FB$5,_xlfn.IFNA(FB$3,-99),FB$6,_xlfn.IFNA(FB$4,-99),FB$7,""),"")</f>
        <v/>
      </c>
      <c r="FE28" s="54">
        <f>Eu_tabel_a[[#This Row],[x base]]*SQRT(Eu_a_h0_x*(1-Eu_a_h0_x)/Eu_a_n_x)+Eu_a_h0_x</f>
        <v>0</v>
      </c>
      <c r="FJ28" s="144" t="e">
        <f t="shared" si="18"/>
        <v>#N/A</v>
      </c>
      <c r="FK28" s="152" t="e">
        <f t="shared" si="31"/>
        <v>#DIV/0!</v>
      </c>
      <c r="FL28" s="7" t="e">
        <f t="shared" si="12"/>
        <v>#DIV/0!</v>
      </c>
      <c r="FM28" t="e">
        <f t="shared" si="32"/>
        <v>#DIV/0!</v>
      </c>
      <c r="FN28" s="8" t="e">
        <f t="shared" si="33"/>
        <v>#DIV/0!</v>
      </c>
      <c r="FO28" s="8" t="e">
        <f t="shared" si="34"/>
        <v>#DIV/0!</v>
      </c>
      <c r="FP28" s="151" t="e">
        <f t="shared" si="35"/>
        <v>#DIV/0!</v>
      </c>
      <c r="FQ28" s="144" t="e">
        <f t="shared" ca="1" si="13"/>
        <v>#N/A</v>
      </c>
      <c r="FR28" s="152" t="e" vm="3">
        <f t="shared" ca="1" si="19"/>
        <v>#VALUE!</v>
      </c>
      <c r="FS28" s="7" t="e" vm="3">
        <f t="shared" ca="1" si="14"/>
        <v>#VALUE!</v>
      </c>
      <c r="FT28" t="e" vm="3">
        <f t="shared" ca="1" si="8"/>
        <v>#VALUE!</v>
      </c>
      <c r="FU28" s="8" t="e" vm="3">
        <f t="shared" ca="1" si="9"/>
        <v>#VALUE!</v>
      </c>
      <c r="FV28" s="8" t="e" vm="3">
        <f t="shared" ca="1" si="10"/>
        <v>#VALUE!</v>
      </c>
      <c r="FW28" s="151" t="e" vm="3">
        <f t="shared" ca="1" si="11"/>
        <v>#VALUE!</v>
      </c>
      <c r="FX28" s="144" t="e">
        <f t="shared" si="15"/>
        <v>#N/A</v>
      </c>
      <c r="FY28" s="152" t="e">
        <f t="shared" si="20"/>
        <v>#N/A</v>
      </c>
      <c r="FZ28" s="7" t="e">
        <f t="shared" si="16"/>
        <v>#N/A</v>
      </c>
      <c r="GA28" t="e">
        <f t="shared" si="21"/>
        <v>#N/A</v>
      </c>
      <c r="GB28" s="8" t="e">
        <f t="shared" si="22"/>
        <v>#N/A</v>
      </c>
      <c r="GC28" s="8" t="e">
        <f t="shared" si="23"/>
        <v>#N/A</v>
      </c>
      <c r="GD28" s="151" t="e">
        <f t="shared" si="24"/>
        <v>#N/A</v>
      </c>
      <c r="GE28" s="144" t="e">
        <f t="shared" si="25"/>
        <v>#N/A</v>
      </c>
      <c r="GF28" s="152" t="e">
        <f t="shared" si="26"/>
        <v>#N/A</v>
      </c>
      <c r="GG28" s="7" t="e">
        <f t="shared" si="17"/>
        <v>#N/A</v>
      </c>
      <c r="GH28" t="e">
        <f t="shared" si="27"/>
        <v>#N/A</v>
      </c>
      <c r="GI28" s="8" t="e">
        <f t="shared" si="28"/>
        <v>#N/A</v>
      </c>
      <c r="GJ28" s="8" t="e">
        <f t="shared" si="29"/>
        <v>#N/A</v>
      </c>
      <c r="GK28" s="151" t="e">
        <f t="shared" si="30"/>
        <v>#N/A</v>
      </c>
      <c r="GL28" s="151"/>
      <c r="GM28" s="151"/>
      <c r="GP28" s="54">
        <f t="shared" si="81"/>
        <v>18</v>
      </c>
      <c r="GQ28" s="54">
        <f t="shared" si="82"/>
        <v>19</v>
      </c>
      <c r="GR28" s="54">
        <f t="shared" si="83"/>
        <v>-2.6590371006560254</v>
      </c>
      <c r="GS28" s="54">
        <f t="shared" si="84"/>
        <v>1.1629879373268774E-2</v>
      </c>
      <c r="GT28" s="54" t="e">
        <f t="shared" si="85"/>
        <v>#N/A</v>
      </c>
      <c r="GU28" s="54" t="e">
        <f t="shared" si="86"/>
        <v>#N/A</v>
      </c>
      <c r="GV28" s="54" t="e">
        <f t="shared" si="87"/>
        <v>#N/A</v>
      </c>
      <c r="GW28" s="54" t="b">
        <f t="shared" si="88"/>
        <v>1</v>
      </c>
      <c r="GX28" s="54" t="b">
        <f t="shared" si="89"/>
        <v>0</v>
      </c>
      <c r="GY28" s="54" t="b">
        <f t="shared" si="90"/>
        <v>1</v>
      </c>
      <c r="GZ28" s="54" t="b">
        <f t="shared" si="91"/>
        <v>0</v>
      </c>
      <c r="HA28" s="54">
        <f t="shared" si="92"/>
        <v>1.1629879373268774E-2</v>
      </c>
      <c r="HB28" s="54">
        <f t="shared" si="93"/>
        <v>1.1629879373268774E-2</v>
      </c>
      <c r="HC28" s="54" t="e">
        <f t="shared" si="94"/>
        <v>#N/A</v>
      </c>
      <c r="HD28" s="69" t="str">
        <f t="shared" si="95"/>
        <v/>
      </c>
      <c r="HJ28" s="54">
        <f t="shared" si="96"/>
        <v>18</v>
      </c>
      <c r="HK28" s="54">
        <f t="shared" si="97"/>
        <v>19</v>
      </c>
      <c r="HL28" s="54">
        <f t="shared" si="98"/>
        <v>-4.11757479673531</v>
      </c>
      <c r="HM28" s="54" t="e">
        <f t="shared" si="99"/>
        <v>#N/A</v>
      </c>
      <c r="HN28" s="54">
        <f t="shared" si="100"/>
        <v>2.8073751156491695E-3</v>
      </c>
      <c r="HO28" s="54" t="e">
        <f t="shared" si="101"/>
        <v>#N/A</v>
      </c>
      <c r="HP28" s="54" t="e">
        <f t="shared" si="102"/>
        <v>#N/A</v>
      </c>
      <c r="HQ28" s="54" t="b">
        <f t="shared" si="103"/>
        <v>1</v>
      </c>
      <c r="HR28" s="54" t="b">
        <f t="shared" si="104"/>
        <v>0</v>
      </c>
      <c r="HS28" s="54" t="b">
        <f t="shared" si="105"/>
        <v>1</v>
      </c>
      <c r="HT28" s="54" t="b">
        <f t="shared" si="106"/>
        <v>0</v>
      </c>
      <c r="HU28" s="54">
        <f t="shared" si="107"/>
        <v>2.8073751156491695E-3</v>
      </c>
      <c r="HV28" s="54">
        <f t="shared" si="108"/>
        <v>2.8073751156491695E-3</v>
      </c>
      <c r="HW28" s="54" t="e">
        <f t="shared" si="109"/>
        <v>#N/A</v>
      </c>
      <c r="HX28" s="69" t="str">
        <f t="shared" si="110"/>
        <v/>
      </c>
    </row>
    <row r="29" spans="57:232" x14ac:dyDescent="0.2">
      <c r="BE29" s="57" t="s">
        <v>153</v>
      </c>
      <c r="BF29" s="59" t="str">
        <v>Antal observationer er større end 30</v>
      </c>
      <c r="BG29" s="59" t="str">
        <v>Populationen er normalfordelt</v>
      </c>
      <c r="BH29" s="59" t="str">
        <v>Forudsætningsformlen n * p̂ * ( 1 - p̂ ) &gt; 9 er opfyldt</v>
      </c>
      <c r="BI29" s="59" t="str">
        <v>Forudsætningsformlen λ̂ * n &gt; 9 er opfyldt</v>
      </c>
      <c r="BJ29" s="59" t="str">
        <v>Forudsætningerne for den lineære regression er opfyldt</v>
      </c>
      <c r="BL29" s="90" t="s">
        <v>455</v>
      </c>
      <c r="BM29" s="204" t="e" cm="1">
        <f t="array" ref="BM29">IF(NOT($BG$2),IF(INDEX(E_s_valg[Nulhypotese kan ikke afvises],E_s_aktiv),"Nulhypotese kan ikke afvises","Nulhypotese afvises"),NA())</f>
        <v>#N/A</v>
      </c>
      <c r="BZ29" s="54">
        <f t="shared" si="36"/>
        <v>19</v>
      </c>
      <c r="CA29" s="54">
        <f>Eu_tabel_g[[#This Row],[Indeks]]+1</f>
        <v>20</v>
      </c>
      <c r="CB29" s="54">
        <f t="shared" si="37"/>
        <v>-2.635081811460926</v>
      </c>
      <c r="CC29" s="54">
        <f t="shared" si="38"/>
        <v>1.2391226343470816E-2</v>
      </c>
      <c r="CD29" s="54" t="e">
        <f t="shared" si="39"/>
        <v>#N/A</v>
      </c>
      <c r="CE29" s="54" t="e">
        <f t="shared" si="40"/>
        <v>#N/A</v>
      </c>
      <c r="CF29" s="54" t="e">
        <f t="shared" si="41"/>
        <v>#N/A</v>
      </c>
      <c r="CG29" s="54" t="b">
        <f t="shared" si="42"/>
        <v>1</v>
      </c>
      <c r="CH29" s="54" t="b">
        <f t="shared" si="43"/>
        <v>0</v>
      </c>
      <c r="CI29" s="54" t="b">
        <f t="shared" si="44"/>
        <v>1</v>
      </c>
      <c r="CJ29" s="54" t="b">
        <f t="shared" si="45"/>
        <v>0</v>
      </c>
      <c r="CK29" s="54">
        <f t="shared" si="111"/>
        <v>1.2391226343470816E-2</v>
      </c>
      <c r="CL29" s="54">
        <f t="shared" si="47"/>
        <v>1.2391226343470816E-2</v>
      </c>
      <c r="CM29" s="54" t="e">
        <f t="shared" si="48"/>
        <v>#N/A</v>
      </c>
      <c r="CN29" s="69" t="str">
        <f t="shared" si="49"/>
        <v/>
      </c>
      <c r="CO29" s="54">
        <f>_xlfn.NORM.DIST(_xlfn.NORM.INV(1-Eu_g_konfidensniveau,0,1)-Eu_tabel_g[[#This Row],[x base]],0,1,TRUE)</f>
        <v>0.83896870028264225</v>
      </c>
      <c r="CP29" s="54">
        <f>1-_xlfn.NORM.DIST(_xlfn.NORM.INV(Eu_g_konfidensniveau,0,1)-Eu_tabel_g[[#This Row],[x base]],0,1,TRUE)</f>
        <v>9.3473768245644351E-6</v>
      </c>
      <c r="CQ29" s="54">
        <f>_xlfn.NORM.DIST(_xlfn.NORM.INV((1-Eu_g_konfidensniveau)/2,0,1)-Eu_tabel_g[[#This Row],[x base]],0,1,TRUE)+1-_xlfn.NORM.DIST(_xlfn.NORM.INV(1-(1-Eu_g_konfidensniveau)/2,0,1)-Eu_tabel_g[[#This Row],[x base]],0,1,TRUE)</f>
        <v>0.75020170905714323</v>
      </c>
      <c r="CR29" s="54" t="e" cm="1">
        <f t="array" ref="CR29">IF($CR$3,INDEX(Eu_tabel_g[[#This Row],[Styrke venstre]:[Styrke tosidet]],CR$7),NA())</f>
        <v>#N/A</v>
      </c>
      <c r="CS29" s="89" t="e">
        <f>Eu_tabel_g[[#This Row],[Falsk positiv
Nulhypotese accepteres
Fejltype 1]]</f>
        <v>#N/A</v>
      </c>
      <c r="CT29" s="89" t="e">
        <f>IF(CHOOSE(CR$7,Eu_tabel_g[[#This Row],[x base]]&gt;0,Eu_tabel_g[[#This Row],[x base]]&lt;0,Eu_tabel_g[[#This Row],[x base]]=0),Eu_tabel_g[[#This Row],[Styrke, aktiv]],NA())</f>
        <v>#N/A</v>
      </c>
      <c r="CU29" s="89" t="e">
        <f>IFERROR(IF($CR$3,Eu_tabel_g[[#This Row],[Styrke, aktiv]],NA()),NA())</f>
        <v>#N/A</v>
      </c>
      <c r="CV29" s="89" t="e">
        <f>IF(ISNA(Eu_tabel_g[[#This Row],[Sand negativ
Nulhypotese afvises
Korrekt]]),NA(),IF($CR$3,1,NA()))</f>
        <v>#N/A</v>
      </c>
      <c r="CW29" s="56" t="str" cm="1">
        <f t="array" ref="CW29">_xlfn.SWITCH(BZ29,_xlfn.IFNA(CU$2,-99),CU$5,_xlfn.IFNA(CU$3,-99),CU$6,_xlfn.IFNA(CU$4,-99),CU$7,"")</f>
        <v/>
      </c>
      <c r="DA29" s="7">
        <f t="shared" si="50"/>
        <v>0.8</v>
      </c>
      <c r="DB29">
        <f>IF(ROW(Styrkeberegning_G[[#This Row],[X base venstre]])=ROW(Styrkeberegning_G[[#Headers],[X base venstre]])+1,DB$7/(DA$7/$B$67),DB28/(DA28/$B$67))</f>
        <v>-2.8015817870135784</v>
      </c>
      <c r="DC29">
        <f>Styrkeberegning_G[[#This Row],[X base venstre]]*-1</f>
        <v>2.8015817870135784</v>
      </c>
      <c r="DN29" s="54">
        <f t="shared" si="51"/>
        <v>19</v>
      </c>
      <c r="DO29" s="54">
        <f t="shared" si="52"/>
        <v>20</v>
      </c>
      <c r="DP29" s="54">
        <f t="shared" si="53"/>
        <v>4.0011989365767091</v>
      </c>
      <c r="DQ29" s="54" t="e">
        <f t="shared" si="54"/>
        <v>#N/A</v>
      </c>
      <c r="DR29" s="54" t="e">
        <f t="shared" si="55"/>
        <v>#N/A</v>
      </c>
      <c r="DS29" s="54">
        <f t="shared" si="56"/>
        <v>2.9274170566074054E-2</v>
      </c>
      <c r="DT29" s="54" t="e">
        <f t="shared" si="57"/>
        <v>#N/A</v>
      </c>
      <c r="DU29" s="54" t="b">
        <f t="shared" si="58"/>
        <v>0</v>
      </c>
      <c r="DV29" s="54" t="b">
        <f t="shared" si="59"/>
        <v>1</v>
      </c>
      <c r="DW29" s="54" t="b">
        <f t="shared" si="60"/>
        <v>0</v>
      </c>
      <c r="DX29" s="54" t="b">
        <f t="shared" si="61"/>
        <v>1</v>
      </c>
      <c r="DY29" s="54">
        <f t="shared" si="62"/>
        <v>2.9274170566074054E-2</v>
      </c>
      <c r="DZ29" s="54" t="e">
        <f t="shared" si="63"/>
        <v>#N/A</v>
      </c>
      <c r="EA29" s="54">
        <f t="shared" si="64"/>
        <v>2.9274170566074054E-2</v>
      </c>
      <c r="EB29" s="69" t="str">
        <f t="shared" si="65"/>
        <v/>
      </c>
      <c r="EG29" s="54">
        <f t="shared" si="66"/>
        <v>19</v>
      </c>
      <c r="EH29" s="54">
        <f t="shared" si="67"/>
        <v>20</v>
      </c>
      <c r="EI29" s="54">
        <f t="shared" si="68"/>
        <v>-2.635081811460926</v>
      </c>
      <c r="EJ29" s="54">
        <f t="shared" si="69"/>
        <v>1.2391226343470816E-2</v>
      </c>
      <c r="EK29" s="54" t="e">
        <f t="shared" si="70"/>
        <v>#N/A</v>
      </c>
      <c r="EL29" s="54" t="e">
        <f t="shared" si="71"/>
        <v>#N/A</v>
      </c>
      <c r="EM29" s="54" t="e">
        <f t="shared" si="72"/>
        <v>#N/A</v>
      </c>
      <c r="EN29" s="54" t="b">
        <f t="shared" si="73"/>
        <v>1</v>
      </c>
      <c r="EO29" s="54" t="b">
        <f t="shared" si="74"/>
        <v>0</v>
      </c>
      <c r="EP29" s="54" t="b">
        <f t="shared" si="75"/>
        <v>1</v>
      </c>
      <c r="EQ29" s="54" t="b">
        <f t="shared" si="76"/>
        <v>0</v>
      </c>
      <c r="ER29" s="54">
        <f t="shared" si="77"/>
        <v>1.2391226343470816E-2</v>
      </c>
      <c r="ES29" s="54">
        <f t="shared" si="78"/>
        <v>1.2391226343470816E-2</v>
      </c>
      <c r="ET29" s="54" t="e">
        <f t="shared" si="79"/>
        <v>#N/A</v>
      </c>
      <c r="EU29" s="69" t="str">
        <f t="shared" si="80"/>
        <v/>
      </c>
      <c r="EV2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9" s="54" t="e" cm="1">
        <f t="array" ref="EY29">IF($CR$3,INDEX(Eu_tabel_a[[#This Row],[Styrke venstre]:[Styrke tosidet]],EY$7),NA())</f>
        <v>#N/A</v>
      </c>
      <c r="EZ29" s="54" t="e">
        <f>IF(EY$3,IF(CHOOSE(EY$7,Eu_tabel_a[[#This Row],[x base]]&gt;0,Eu_tabel_a[[#This Row],[x base]]&lt;0,Eu_tabel_a[[#This Row],[x base]]=0),1,NA()),NA())</f>
        <v>#N/A</v>
      </c>
      <c r="FA29" s="54" t="e">
        <f>IF(CHOOSE(EY$7,Eu_tabel_a[[#This Row],[x base]]&gt;0,Eu_tabel_a[[#This Row],[x base]]&lt;0,Eu_tabel_a[[#This Row],[x base]]=0),Eu_tabel_a[[#This Row],[Styrke, aktiv]],NA())</f>
        <v>#N/A</v>
      </c>
      <c r="FB29" s="54" t="e">
        <f>IFERROR(IF($EY$3,Eu_tabel_a[[#This Row],[Styrke, aktiv]],NA()),NA())</f>
        <v>#N/A</v>
      </c>
      <c r="FC29" s="54" t="e">
        <f>IF(ISNA(Eu_tabel_a[[#This Row],[Sand negativ
Nulhypotese afvises
Korrekt]]),NA(),IF(EY$3,1,NA()))</f>
        <v>#N/A</v>
      </c>
      <c r="FD29" s="55" t="str" cm="1">
        <f t="array" ref="FD29">IFERROR(_xlfn.SWITCH(Eu_tabel_a[[#This Row],[Indeks]],_xlfn.IFNA(FB$2,-99),FB$5,_xlfn.IFNA(FB$3,-99),FB$6,_xlfn.IFNA(FB$4,-99),FB$7,""),"")</f>
        <v/>
      </c>
      <c r="FE29" s="54">
        <f>Eu_tabel_a[[#This Row],[x base]]*SQRT(Eu_a_h0_x*(1-Eu_a_h0_x)/Eu_a_n_x)+Eu_a_h0_x</f>
        <v>0</v>
      </c>
      <c r="FJ29" s="144" t="e">
        <f t="shared" si="18"/>
        <v>#N/A</v>
      </c>
      <c r="FK29" s="152" t="e">
        <f t="shared" si="31"/>
        <v>#DIV/0!</v>
      </c>
      <c r="FL29" s="7" t="e">
        <f t="shared" si="12"/>
        <v>#DIV/0!</v>
      </c>
      <c r="FM29" t="e">
        <f t="shared" si="32"/>
        <v>#DIV/0!</v>
      </c>
      <c r="FN29" s="8" t="e">
        <f t="shared" si="33"/>
        <v>#DIV/0!</v>
      </c>
      <c r="FO29" s="8" t="e">
        <f t="shared" si="34"/>
        <v>#DIV/0!</v>
      </c>
      <c r="FP29" s="151" t="e">
        <f t="shared" si="35"/>
        <v>#DIV/0!</v>
      </c>
      <c r="FQ29" s="144" t="e">
        <f t="shared" ca="1" si="13"/>
        <v>#N/A</v>
      </c>
      <c r="FR29" s="152" t="e" vm="3">
        <f t="shared" ca="1" si="19"/>
        <v>#VALUE!</v>
      </c>
      <c r="FS29" s="7" t="e" vm="3">
        <f t="shared" ca="1" si="14"/>
        <v>#VALUE!</v>
      </c>
      <c r="FT29" t="e" vm="3">
        <f t="shared" ca="1" si="8"/>
        <v>#VALUE!</v>
      </c>
      <c r="FU29" s="8" t="e" vm="3">
        <f t="shared" ca="1" si="9"/>
        <v>#VALUE!</v>
      </c>
      <c r="FV29" s="8" t="e" vm="3">
        <f t="shared" ca="1" si="10"/>
        <v>#VALUE!</v>
      </c>
      <c r="FW29" s="151" t="e" vm="3">
        <f t="shared" ca="1" si="11"/>
        <v>#VALUE!</v>
      </c>
      <c r="FX29" s="144" t="e">
        <f t="shared" si="15"/>
        <v>#N/A</v>
      </c>
      <c r="FY29" s="152" t="e">
        <f t="shared" si="20"/>
        <v>#N/A</v>
      </c>
      <c r="FZ29" s="7" t="e">
        <f t="shared" si="16"/>
        <v>#N/A</v>
      </c>
      <c r="GA29" t="e">
        <f t="shared" si="21"/>
        <v>#N/A</v>
      </c>
      <c r="GB29" s="8" t="e">
        <f t="shared" si="22"/>
        <v>#N/A</v>
      </c>
      <c r="GC29" s="8" t="e">
        <f t="shared" si="23"/>
        <v>#N/A</v>
      </c>
      <c r="GD29" s="151" t="e">
        <f t="shared" si="24"/>
        <v>#N/A</v>
      </c>
      <c r="GE29" s="144" t="e">
        <f t="shared" si="25"/>
        <v>#N/A</v>
      </c>
      <c r="GF29" s="152" t="e">
        <f t="shared" si="26"/>
        <v>#N/A</v>
      </c>
      <c r="GG29" s="7" t="e">
        <f t="shared" si="17"/>
        <v>#N/A</v>
      </c>
      <c r="GH29" t="e">
        <f t="shared" si="27"/>
        <v>#N/A</v>
      </c>
      <c r="GI29" s="8" t="e">
        <f t="shared" si="28"/>
        <v>#N/A</v>
      </c>
      <c r="GJ29" s="8" t="e">
        <f t="shared" si="29"/>
        <v>#N/A</v>
      </c>
      <c r="GK29" s="151" t="e">
        <f t="shared" si="30"/>
        <v>#N/A</v>
      </c>
      <c r="GL29" s="151"/>
      <c r="GM29" s="151"/>
      <c r="GP29" s="54">
        <f t="shared" si="81"/>
        <v>19</v>
      </c>
      <c r="GQ29" s="54">
        <f t="shared" si="82"/>
        <v>20</v>
      </c>
      <c r="GR29" s="54">
        <f t="shared" si="83"/>
        <v>-2.635081811460926</v>
      </c>
      <c r="GS29" s="54">
        <f t="shared" si="84"/>
        <v>1.2391226343470816E-2</v>
      </c>
      <c r="GT29" s="54" t="e">
        <f t="shared" si="85"/>
        <v>#N/A</v>
      </c>
      <c r="GU29" s="54" t="e">
        <f t="shared" si="86"/>
        <v>#N/A</v>
      </c>
      <c r="GV29" s="54" t="e">
        <f t="shared" si="87"/>
        <v>#N/A</v>
      </c>
      <c r="GW29" s="54" t="b">
        <f t="shared" si="88"/>
        <v>1</v>
      </c>
      <c r="GX29" s="54" t="b">
        <f t="shared" si="89"/>
        <v>0</v>
      </c>
      <c r="GY29" s="54" t="b">
        <f t="shared" si="90"/>
        <v>1</v>
      </c>
      <c r="GZ29" s="54" t="b">
        <f t="shared" si="91"/>
        <v>0</v>
      </c>
      <c r="HA29" s="54">
        <f t="shared" si="92"/>
        <v>1.2391226343470816E-2</v>
      </c>
      <c r="HB29" s="54">
        <f t="shared" si="93"/>
        <v>1.2391226343470816E-2</v>
      </c>
      <c r="HC29" s="54" t="e">
        <f t="shared" si="94"/>
        <v>#N/A</v>
      </c>
      <c r="HD29" s="69" t="str">
        <f t="shared" si="95"/>
        <v/>
      </c>
      <c r="HJ29" s="54">
        <f t="shared" si="96"/>
        <v>19</v>
      </c>
      <c r="HK29" s="54">
        <f t="shared" si="97"/>
        <v>20</v>
      </c>
      <c r="HL29" s="54">
        <f t="shared" si="98"/>
        <v>-4.0804795282962534</v>
      </c>
      <c r="HM29" s="54" t="e">
        <f t="shared" si="99"/>
        <v>#N/A</v>
      </c>
      <c r="HN29" s="54">
        <f t="shared" si="100"/>
        <v>2.9545793712011021E-3</v>
      </c>
      <c r="HO29" s="54" t="e">
        <f t="shared" si="101"/>
        <v>#N/A</v>
      </c>
      <c r="HP29" s="54" t="e">
        <f t="shared" si="102"/>
        <v>#N/A</v>
      </c>
      <c r="HQ29" s="54" t="b">
        <f t="shared" si="103"/>
        <v>1</v>
      </c>
      <c r="HR29" s="54" t="b">
        <f t="shared" si="104"/>
        <v>0</v>
      </c>
      <c r="HS29" s="54" t="b">
        <f t="shared" si="105"/>
        <v>1</v>
      </c>
      <c r="HT29" s="54" t="b">
        <f t="shared" si="106"/>
        <v>0</v>
      </c>
      <c r="HU29" s="54">
        <f t="shared" si="107"/>
        <v>2.9545793712011021E-3</v>
      </c>
      <c r="HV29" s="54">
        <f t="shared" si="108"/>
        <v>2.9545793712011021E-3</v>
      </c>
      <c r="HW29" s="54" t="e">
        <f t="shared" si="109"/>
        <v>#N/A</v>
      </c>
      <c r="HX29" s="69" t="str">
        <f t="shared" si="110"/>
        <v/>
      </c>
    </row>
    <row r="30" spans="57:232" x14ac:dyDescent="0.2">
      <c r="BE30" s="57" t="s">
        <v>157</v>
      </c>
      <c r="BF30" s="59" t="str">
        <v>Standardafvigelse i populationen er ikke kendt</v>
      </c>
      <c r="BG30" s="59"/>
      <c r="BH30" s="59"/>
      <c r="BI30" s="59"/>
      <c r="BJ30" s="59"/>
      <c r="BZ30" s="54">
        <f t="shared" si="36"/>
        <v>20</v>
      </c>
      <c r="CA30" s="54">
        <f>Eu_tabel_g[[#This Row],[Indeks]]+1</f>
        <v>21</v>
      </c>
      <c r="CB30" s="54">
        <f t="shared" si="37"/>
        <v>-2.6111265222658266</v>
      </c>
      <c r="CC30" s="54">
        <f t="shared" si="38"/>
        <v>1.319484058137666E-2</v>
      </c>
      <c r="CD30" s="54" t="e">
        <f t="shared" si="39"/>
        <v>#N/A</v>
      </c>
      <c r="CE30" s="54" t="e">
        <f t="shared" si="40"/>
        <v>#N/A</v>
      </c>
      <c r="CF30" s="54" t="e">
        <f t="shared" si="41"/>
        <v>#N/A</v>
      </c>
      <c r="CG30" s="54" t="b">
        <f t="shared" si="42"/>
        <v>1</v>
      </c>
      <c r="CH30" s="54" t="b">
        <f t="shared" si="43"/>
        <v>0</v>
      </c>
      <c r="CI30" s="54" t="b">
        <f t="shared" si="44"/>
        <v>1</v>
      </c>
      <c r="CJ30" s="54" t="b">
        <f t="shared" si="45"/>
        <v>0</v>
      </c>
      <c r="CK30" s="54">
        <f t="shared" ref="CK30:CK32" si="112">_xlfn.AGGREGATE(9,6,CC30:CF30)</f>
        <v>1.319484058137666E-2</v>
      </c>
      <c r="CL30" s="54">
        <f t="shared" si="47"/>
        <v>1.319484058137666E-2</v>
      </c>
      <c r="CM30" s="54" t="e">
        <f t="shared" si="48"/>
        <v>#N/A</v>
      </c>
      <c r="CN30" s="69" t="str">
        <f t="shared" si="49"/>
        <v/>
      </c>
      <c r="CO30" s="54">
        <f>_xlfn.NORM.DIST(_xlfn.NORM.INV(1-Eu_g_konfidensniveau,0,1)-Eu_tabel_g[[#This Row],[x base]],0,1,TRUE)</f>
        <v>0.83304617739848219</v>
      </c>
      <c r="CP30" s="54">
        <f>1-_xlfn.NORM.DIST(_xlfn.NORM.INV(Eu_g_konfidensniveau,0,1)-Eu_tabel_g[[#This Row],[x base]],0,1,TRUE)</f>
        <v>1.0406758709557984E-5</v>
      </c>
      <c r="CQ30" s="54">
        <f>_xlfn.NORM.DIST(_xlfn.NORM.INV((1-Eu_g_konfidensniveau)/2,0,1)-Eu_tabel_g[[#This Row],[x base]],0,1,TRUE)+1-_xlfn.NORM.DIST(_xlfn.NORM.INV(1-(1-Eu_g_konfidensniveau)/2,0,1)-Eu_tabel_g[[#This Row],[x base]],0,1,TRUE)</f>
        <v>0.74253164080016698</v>
      </c>
      <c r="CR30" s="54" t="e" cm="1">
        <f t="array" ref="CR30">IF($CR$3,INDEX(Eu_tabel_g[[#This Row],[Styrke venstre]:[Styrke tosidet]],CR$7),NA())</f>
        <v>#N/A</v>
      </c>
      <c r="CS30" s="89" t="e">
        <f>Eu_tabel_g[[#This Row],[Falsk positiv
Nulhypotese accepteres
Fejltype 1]]</f>
        <v>#N/A</v>
      </c>
      <c r="CT30" s="89" t="e">
        <f>IF(CHOOSE(CR$7,Eu_tabel_g[[#This Row],[x base]]&gt;0,Eu_tabel_g[[#This Row],[x base]]&lt;0,Eu_tabel_g[[#This Row],[x base]]=0),Eu_tabel_g[[#This Row],[Styrke, aktiv]],NA())</f>
        <v>#N/A</v>
      </c>
      <c r="CU30" s="89" t="e">
        <f>IFERROR(IF($CR$3,Eu_tabel_g[[#This Row],[Styrke, aktiv]],NA()),NA())</f>
        <v>#N/A</v>
      </c>
      <c r="CV30" s="89" t="e">
        <f>IF(ISNA(Eu_tabel_g[[#This Row],[Sand negativ
Nulhypotese afvises
Korrekt]]),NA(),IF($CR$3,1,NA()))</f>
        <v>#N/A</v>
      </c>
      <c r="CW30" s="56" t="str" cm="1">
        <f t="array" ref="CW30">_xlfn.SWITCH(BZ30,_xlfn.IFNA(CU$2,-99),CU$5,_xlfn.IFNA(CU$3,-99),CU$6,_xlfn.IFNA(CU$4,-99),CU$7,"")</f>
        <v/>
      </c>
      <c r="DA30" s="7">
        <f t="shared" si="50"/>
        <v>0.8</v>
      </c>
      <c r="DB30">
        <f>IF(ROW(Styrkeberegning_G[[#This Row],[X base venstre]])=ROW(Styrkeberegning_G[[#Headers],[X base venstre]])+1,DB$7/(DA$7/$B$67),DB29/(DA29/$B$67))</f>
        <v>-2.8015817870135784</v>
      </c>
      <c r="DC30">
        <f>Styrkeberegning_G[[#This Row],[X base venstre]]*-1</f>
        <v>2.8015817870135784</v>
      </c>
      <c r="DN30" s="54">
        <f t="shared" si="51"/>
        <v>20</v>
      </c>
      <c r="DO30" s="54">
        <f t="shared" si="52"/>
        <v>21</v>
      </c>
      <c r="DP30" s="54">
        <f t="shared" si="53"/>
        <v>4.1152697929937103</v>
      </c>
      <c r="DQ30" s="54" t="e">
        <f t="shared" si="54"/>
        <v>#N/A</v>
      </c>
      <c r="DR30" s="54" t="e">
        <f t="shared" si="55"/>
        <v>#N/A</v>
      </c>
      <c r="DS30" s="54">
        <f t="shared" si="56"/>
        <v>3.1379873013457245E-2</v>
      </c>
      <c r="DT30" s="54" t="e">
        <f t="shared" si="57"/>
        <v>#N/A</v>
      </c>
      <c r="DU30" s="54" t="b">
        <f t="shared" si="58"/>
        <v>0</v>
      </c>
      <c r="DV30" s="54" t="b">
        <f t="shared" si="59"/>
        <v>1</v>
      </c>
      <c r="DW30" s="54" t="b">
        <f t="shared" si="60"/>
        <v>0</v>
      </c>
      <c r="DX30" s="54" t="b">
        <f t="shared" si="61"/>
        <v>1</v>
      </c>
      <c r="DY30" s="54">
        <f t="shared" si="62"/>
        <v>3.1379873013457245E-2</v>
      </c>
      <c r="DZ30" s="54" t="e">
        <f t="shared" si="63"/>
        <v>#N/A</v>
      </c>
      <c r="EA30" s="54">
        <f t="shared" si="64"/>
        <v>3.1379873013457245E-2</v>
      </c>
      <c r="EB30" s="69" t="str">
        <f t="shared" si="65"/>
        <v/>
      </c>
      <c r="EG30" s="54">
        <f t="shared" si="66"/>
        <v>20</v>
      </c>
      <c r="EH30" s="54">
        <f t="shared" si="67"/>
        <v>21</v>
      </c>
      <c r="EI30" s="54">
        <f t="shared" si="68"/>
        <v>-2.6111265222658266</v>
      </c>
      <c r="EJ30" s="54">
        <f t="shared" si="69"/>
        <v>1.319484058137666E-2</v>
      </c>
      <c r="EK30" s="54" t="e">
        <f t="shared" si="70"/>
        <v>#N/A</v>
      </c>
      <c r="EL30" s="54" t="e">
        <f t="shared" si="71"/>
        <v>#N/A</v>
      </c>
      <c r="EM30" s="54" t="e">
        <f t="shared" si="72"/>
        <v>#N/A</v>
      </c>
      <c r="EN30" s="54" t="b">
        <f t="shared" si="73"/>
        <v>1</v>
      </c>
      <c r="EO30" s="54" t="b">
        <f t="shared" si="74"/>
        <v>0</v>
      </c>
      <c r="EP30" s="54" t="b">
        <f t="shared" si="75"/>
        <v>1</v>
      </c>
      <c r="EQ30" s="54" t="b">
        <f t="shared" si="76"/>
        <v>0</v>
      </c>
      <c r="ER30" s="54">
        <f t="shared" si="77"/>
        <v>1.319484058137666E-2</v>
      </c>
      <c r="ES30" s="54">
        <f t="shared" si="78"/>
        <v>1.319484058137666E-2</v>
      </c>
      <c r="ET30" s="54" t="e">
        <f t="shared" si="79"/>
        <v>#N/A</v>
      </c>
      <c r="EU30" s="69" t="str">
        <f t="shared" si="80"/>
        <v/>
      </c>
      <c r="EV3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3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3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30" s="54" t="e" cm="1">
        <f t="array" ref="EY30">IF($CR$3,INDEX(Eu_tabel_a[[#This Row],[Styrke venstre]:[Styrke tosidet]],EY$7),NA())</f>
        <v>#N/A</v>
      </c>
      <c r="EZ30" s="54" t="e">
        <f>IF(EY$3,IF(CHOOSE(EY$7,Eu_tabel_a[[#This Row],[x base]]&gt;0,Eu_tabel_a[[#This Row],[x base]]&lt;0,Eu_tabel_a[[#This Row],[x base]]=0),1,NA()),NA())</f>
        <v>#N/A</v>
      </c>
      <c r="FA30" s="54" t="e">
        <f>IF(CHOOSE(EY$7,Eu_tabel_a[[#This Row],[x base]]&gt;0,Eu_tabel_a[[#This Row],[x base]]&lt;0,Eu_tabel_a[[#This Row],[x base]]=0),Eu_tabel_a[[#This Row],[Styrke, aktiv]],NA())</f>
        <v>#N/A</v>
      </c>
      <c r="FB30" s="54" t="e">
        <f>IFERROR(IF($EY$3,Eu_tabel_a[[#This Row],[Styrke, aktiv]],NA()),NA())</f>
        <v>#N/A</v>
      </c>
      <c r="FC30" s="54" t="e">
        <f>IF(ISNA(Eu_tabel_a[[#This Row],[Sand negativ
Nulhypotese afvises
Korrekt]]),NA(),IF(EY$3,1,NA()))</f>
        <v>#N/A</v>
      </c>
      <c r="FD30" s="55" t="str" cm="1">
        <f t="array" ref="FD30">IFERROR(_xlfn.SWITCH(Eu_tabel_a[[#This Row],[Indeks]],_xlfn.IFNA(FB$2,-99),FB$5,_xlfn.IFNA(FB$3,-99),FB$6,_xlfn.IFNA(FB$4,-99),FB$7,""),"")</f>
        <v/>
      </c>
      <c r="FE30" s="54">
        <f>Eu_tabel_a[[#This Row],[x base]]*SQRT(Eu_a_h0_x*(1-Eu_a_h0_x)/Eu_a_n_x)+Eu_a_h0_x</f>
        <v>0</v>
      </c>
      <c r="FJ30" s="144" t="e">
        <f t="shared" si="18"/>
        <v>#N/A</v>
      </c>
      <c r="FK30" s="152" t="e">
        <f t="shared" si="31"/>
        <v>#DIV/0!</v>
      </c>
      <c r="FL30" s="7" t="e">
        <f t="shared" si="12"/>
        <v>#DIV/0!</v>
      </c>
      <c r="FM30" t="e">
        <f t="shared" si="32"/>
        <v>#DIV/0!</v>
      </c>
      <c r="FN30" s="8" t="e">
        <f t="shared" si="33"/>
        <v>#DIV/0!</v>
      </c>
      <c r="FO30" s="8" t="e">
        <f t="shared" si="34"/>
        <v>#DIV/0!</v>
      </c>
      <c r="FP30" s="151" t="e">
        <f t="shared" si="35"/>
        <v>#DIV/0!</v>
      </c>
      <c r="FQ30" s="144" t="e">
        <f t="shared" ca="1" si="13"/>
        <v>#N/A</v>
      </c>
      <c r="FR30" s="152" t="e" vm="3">
        <f t="shared" ca="1" si="19"/>
        <v>#VALUE!</v>
      </c>
      <c r="FS30" s="7" t="e" vm="3">
        <f t="shared" ca="1" si="14"/>
        <v>#VALUE!</v>
      </c>
      <c r="FT30" t="e" vm="3">
        <f t="shared" ca="1" si="8"/>
        <v>#VALUE!</v>
      </c>
      <c r="FU30" s="8" t="e" vm="3">
        <f t="shared" ca="1" si="9"/>
        <v>#VALUE!</v>
      </c>
      <c r="FV30" s="8" t="e" vm="3">
        <f t="shared" ca="1" si="10"/>
        <v>#VALUE!</v>
      </c>
      <c r="FW30" s="151" t="e" vm="3">
        <f t="shared" ca="1" si="11"/>
        <v>#VALUE!</v>
      </c>
      <c r="FX30" s="144" t="e">
        <f t="shared" si="15"/>
        <v>#N/A</v>
      </c>
      <c r="FY30" s="152" t="e">
        <f t="shared" si="20"/>
        <v>#N/A</v>
      </c>
      <c r="FZ30" s="7" t="e">
        <f t="shared" si="16"/>
        <v>#N/A</v>
      </c>
      <c r="GA30" t="e">
        <f t="shared" si="21"/>
        <v>#N/A</v>
      </c>
      <c r="GB30" s="8" t="e">
        <f t="shared" si="22"/>
        <v>#N/A</v>
      </c>
      <c r="GC30" s="8" t="e">
        <f t="shared" si="23"/>
        <v>#N/A</v>
      </c>
      <c r="GD30" s="151" t="e">
        <f t="shared" si="24"/>
        <v>#N/A</v>
      </c>
      <c r="GE30" s="144" t="e">
        <f t="shared" si="25"/>
        <v>#N/A</v>
      </c>
      <c r="GF30" s="152" t="e">
        <f t="shared" si="26"/>
        <v>#N/A</v>
      </c>
      <c r="GG30" s="7" t="e">
        <f t="shared" si="17"/>
        <v>#N/A</v>
      </c>
      <c r="GH30" t="e">
        <f t="shared" si="27"/>
        <v>#N/A</v>
      </c>
      <c r="GI30" s="8" t="e">
        <f t="shared" si="28"/>
        <v>#N/A</v>
      </c>
      <c r="GJ30" s="8" t="e">
        <f t="shared" si="29"/>
        <v>#N/A</v>
      </c>
      <c r="GK30" s="151" t="e">
        <f t="shared" si="30"/>
        <v>#N/A</v>
      </c>
      <c r="GL30" s="151"/>
      <c r="GM30" s="151"/>
      <c r="GP30" s="54">
        <f t="shared" si="81"/>
        <v>20</v>
      </c>
      <c r="GQ30" s="54">
        <f t="shared" si="82"/>
        <v>21</v>
      </c>
      <c r="GR30" s="54">
        <f t="shared" si="83"/>
        <v>-2.6111265222658266</v>
      </c>
      <c r="GS30" s="54">
        <f t="shared" si="84"/>
        <v>1.319484058137666E-2</v>
      </c>
      <c r="GT30" s="54" t="e">
        <f t="shared" si="85"/>
        <v>#N/A</v>
      </c>
      <c r="GU30" s="54" t="e">
        <f t="shared" si="86"/>
        <v>#N/A</v>
      </c>
      <c r="GV30" s="54" t="e">
        <f t="shared" si="87"/>
        <v>#N/A</v>
      </c>
      <c r="GW30" s="54" t="b">
        <f t="shared" si="88"/>
        <v>1</v>
      </c>
      <c r="GX30" s="54" t="b">
        <f t="shared" si="89"/>
        <v>0</v>
      </c>
      <c r="GY30" s="54" t="b">
        <f t="shared" si="90"/>
        <v>1</v>
      </c>
      <c r="GZ30" s="54" t="b">
        <f t="shared" si="91"/>
        <v>0</v>
      </c>
      <c r="HA30" s="54">
        <f t="shared" si="92"/>
        <v>1.319484058137666E-2</v>
      </c>
      <c r="HB30" s="54">
        <f t="shared" si="93"/>
        <v>1.319484058137666E-2</v>
      </c>
      <c r="HC30" s="54" t="e">
        <f t="shared" si="94"/>
        <v>#N/A</v>
      </c>
      <c r="HD30" s="69" t="str">
        <f t="shared" si="95"/>
        <v/>
      </c>
      <c r="HJ30" s="54">
        <f t="shared" si="96"/>
        <v>20</v>
      </c>
      <c r="HK30" s="54">
        <f t="shared" si="97"/>
        <v>21</v>
      </c>
      <c r="HL30" s="54">
        <f t="shared" si="98"/>
        <v>-4.0433842598571959</v>
      </c>
      <c r="HM30" s="54" t="e">
        <f t="shared" si="99"/>
        <v>#N/A</v>
      </c>
      <c r="HN30" s="54">
        <f t="shared" si="100"/>
        <v>3.1100928750608663E-3</v>
      </c>
      <c r="HO30" s="54" t="e">
        <f t="shared" si="101"/>
        <v>#N/A</v>
      </c>
      <c r="HP30" s="54" t="e">
        <f t="shared" si="102"/>
        <v>#N/A</v>
      </c>
      <c r="HQ30" s="54" t="b">
        <f t="shared" si="103"/>
        <v>1</v>
      </c>
      <c r="HR30" s="54" t="b">
        <f t="shared" si="104"/>
        <v>0</v>
      </c>
      <c r="HS30" s="54" t="b">
        <f t="shared" si="105"/>
        <v>1</v>
      </c>
      <c r="HT30" s="54" t="b">
        <f t="shared" si="106"/>
        <v>0</v>
      </c>
      <c r="HU30" s="54">
        <f t="shared" si="107"/>
        <v>3.1100928750608663E-3</v>
      </c>
      <c r="HV30" s="54">
        <f t="shared" si="108"/>
        <v>3.1100928750608663E-3</v>
      </c>
      <c r="HW30" s="54" t="e">
        <f t="shared" si="109"/>
        <v>#N/A</v>
      </c>
      <c r="HX30" s="69" t="str">
        <f t="shared" si="110"/>
        <v/>
      </c>
    </row>
    <row r="31" spans="57:232" x14ac:dyDescent="0.2">
      <c r="BE31" s="57" t="s">
        <v>162</v>
      </c>
      <c r="BF31" s="59"/>
      <c r="BG31" s="59"/>
      <c r="BH31" s="59"/>
      <c r="BI31" s="59"/>
      <c r="BJ31" s="59"/>
      <c r="BL31" s="90" t="s">
        <v>136</v>
      </c>
      <c r="BM31" s="203" t="str" cm="1">
        <f t="array" ref="BM31">INDEX(E_a_valg[Parameter],E_a_aktiv)</f>
        <v>Andel</v>
      </c>
      <c r="BZ31" s="54">
        <f t="shared" si="36"/>
        <v>21</v>
      </c>
      <c r="CA31" s="54">
        <f>Eu_tabel_g[[#This Row],[Indeks]]+1</f>
        <v>22</v>
      </c>
      <c r="CB31" s="54">
        <f t="shared" si="37"/>
        <v>-2.5871712330707273</v>
      </c>
      <c r="CC31" s="54">
        <f t="shared" si="38"/>
        <v>1.4042511314589688E-2</v>
      </c>
      <c r="CD31" s="54" t="e">
        <f t="shared" si="39"/>
        <v>#N/A</v>
      </c>
      <c r="CE31" s="54" t="e">
        <f t="shared" si="40"/>
        <v>#N/A</v>
      </c>
      <c r="CF31" s="54" t="e">
        <f t="shared" si="41"/>
        <v>#N/A</v>
      </c>
      <c r="CG31" s="54" t="b">
        <f t="shared" si="42"/>
        <v>1</v>
      </c>
      <c r="CH31" s="54" t="b">
        <f t="shared" si="43"/>
        <v>0</v>
      </c>
      <c r="CI31" s="54" t="b">
        <f t="shared" si="44"/>
        <v>1</v>
      </c>
      <c r="CJ31" s="54" t="b">
        <f t="shared" si="45"/>
        <v>0</v>
      </c>
      <c r="CK31" s="54">
        <f t="shared" si="112"/>
        <v>1.4042511314589688E-2</v>
      </c>
      <c r="CL31" s="54">
        <f t="shared" si="47"/>
        <v>1.4042511314589688E-2</v>
      </c>
      <c r="CM31" s="54" t="e">
        <f t="shared" si="48"/>
        <v>#N/A</v>
      </c>
      <c r="CN31" s="69" t="str">
        <f t="shared" si="49"/>
        <v/>
      </c>
      <c r="CO31" s="54">
        <f>_xlfn.NORM.DIST(_xlfn.NORM.INV(1-Eu_g_konfidensniveau,0,1)-Eu_tabel_g[[#This Row],[x base]],0,1,TRUE)</f>
        <v>0.82698497157704665</v>
      </c>
      <c r="CP31" s="54">
        <f>1-_xlfn.NORM.DIST(_xlfn.NORM.INV(Eu_g_konfidensniveau,0,1)-Eu_tabel_g[[#This Row],[x base]],0,1,TRUE)</f>
        <v>1.1579840120568008E-5</v>
      </c>
      <c r="CQ31" s="54">
        <f>_xlfn.NORM.DIST(_xlfn.NORM.INV((1-Eu_g_konfidensniveau)/2,0,1)-Eu_tabel_g[[#This Row],[x base]],0,1,TRUE)+1-_xlfn.NORM.DIST(_xlfn.NORM.INV(1-(1-Eu_g_konfidensniveau)/2,0,1)-Eu_tabel_g[[#This Row],[x base]],0,1,TRUE)</f>
        <v>0.73474102284264042</v>
      </c>
      <c r="CR31" s="54" t="e" cm="1">
        <f t="array" ref="CR31">IF($CR$3,INDEX(Eu_tabel_g[[#This Row],[Styrke venstre]:[Styrke tosidet]],CR$7),NA())</f>
        <v>#N/A</v>
      </c>
      <c r="CS31" s="89" t="e">
        <f>Eu_tabel_g[[#This Row],[Falsk positiv
Nulhypotese accepteres
Fejltype 1]]</f>
        <v>#N/A</v>
      </c>
      <c r="CT31" s="89" t="e">
        <f>IF(CHOOSE(CR$7,Eu_tabel_g[[#This Row],[x base]]&gt;0,Eu_tabel_g[[#This Row],[x base]]&lt;0,Eu_tabel_g[[#This Row],[x base]]=0),Eu_tabel_g[[#This Row],[Styrke, aktiv]],NA())</f>
        <v>#N/A</v>
      </c>
      <c r="CU31" s="89" t="e">
        <f>IFERROR(IF($CR$3,Eu_tabel_g[[#This Row],[Styrke, aktiv]],NA()),NA())</f>
        <v>#N/A</v>
      </c>
      <c r="CV31" s="89" t="e">
        <f>IF(ISNA(Eu_tabel_g[[#This Row],[Sand negativ
Nulhypotese afvises
Korrekt]]),NA(),IF($CR$3,1,NA()))</f>
        <v>#N/A</v>
      </c>
      <c r="CW31" s="56" t="str" cm="1">
        <f t="array" ref="CW31">_xlfn.SWITCH(BZ31,_xlfn.IFNA(CU$2,-99),CU$5,_xlfn.IFNA(CU$3,-99),CU$6,_xlfn.IFNA(CU$4,-99),CU$7,"")</f>
        <v/>
      </c>
      <c r="DA31" s="7">
        <f t="shared" si="50"/>
        <v>0.8</v>
      </c>
      <c r="DB31">
        <f>IF(ROW(Styrkeberegning_G[[#This Row],[X base venstre]])=ROW(Styrkeberegning_G[[#Headers],[X base venstre]])+1,DB$7/(DA$7/$B$67),DB30/(DA30/$B$67))</f>
        <v>-2.8015817870135784</v>
      </c>
      <c r="DC31">
        <f>Styrkeberegning_G[[#This Row],[X base venstre]]*-1</f>
        <v>2.8015817870135784</v>
      </c>
      <c r="DN31" s="54">
        <f t="shared" si="51"/>
        <v>21</v>
      </c>
      <c r="DO31" s="54">
        <f t="shared" si="52"/>
        <v>22</v>
      </c>
      <c r="DP31" s="54">
        <f t="shared" si="53"/>
        <v>4.2293406494107115</v>
      </c>
      <c r="DQ31" s="54" t="e">
        <f t="shared" si="54"/>
        <v>#N/A</v>
      </c>
      <c r="DR31" s="54" t="e">
        <f t="shared" si="55"/>
        <v>#N/A</v>
      </c>
      <c r="DS31" s="54">
        <f t="shared" si="56"/>
        <v>3.3520894836903251E-2</v>
      </c>
      <c r="DT31" s="54" t="e">
        <f t="shared" si="57"/>
        <v>#N/A</v>
      </c>
      <c r="DU31" s="54" t="b">
        <f t="shared" si="58"/>
        <v>0</v>
      </c>
      <c r="DV31" s="54" t="b">
        <f t="shared" si="59"/>
        <v>1</v>
      </c>
      <c r="DW31" s="54" t="b">
        <f t="shared" si="60"/>
        <v>0</v>
      </c>
      <c r="DX31" s="54" t="b">
        <f t="shared" si="61"/>
        <v>1</v>
      </c>
      <c r="DY31" s="54">
        <f t="shared" si="62"/>
        <v>3.3520894836903251E-2</v>
      </c>
      <c r="DZ31" s="54" t="e">
        <f t="shared" si="63"/>
        <v>#N/A</v>
      </c>
      <c r="EA31" s="54">
        <f t="shared" si="64"/>
        <v>3.3520894836903251E-2</v>
      </c>
      <c r="EB31" s="69" t="str">
        <f t="shared" si="65"/>
        <v/>
      </c>
      <c r="EG31" s="54">
        <f t="shared" si="66"/>
        <v>21</v>
      </c>
      <c r="EH31" s="54">
        <f t="shared" si="67"/>
        <v>22</v>
      </c>
      <c r="EI31" s="54">
        <f t="shared" si="68"/>
        <v>-2.5871712330707273</v>
      </c>
      <c r="EJ31" s="54">
        <f t="shared" si="69"/>
        <v>1.4042511314589688E-2</v>
      </c>
      <c r="EK31" s="54" t="e">
        <f t="shared" si="70"/>
        <v>#N/A</v>
      </c>
      <c r="EL31" s="54" t="e">
        <f t="shared" si="71"/>
        <v>#N/A</v>
      </c>
      <c r="EM31" s="54" t="e">
        <f t="shared" si="72"/>
        <v>#N/A</v>
      </c>
      <c r="EN31" s="54" t="b">
        <f t="shared" si="73"/>
        <v>1</v>
      </c>
      <c r="EO31" s="54" t="b">
        <f t="shared" si="74"/>
        <v>0</v>
      </c>
      <c r="EP31" s="54" t="b">
        <f t="shared" si="75"/>
        <v>1</v>
      </c>
      <c r="EQ31" s="54" t="b">
        <f t="shared" si="76"/>
        <v>0</v>
      </c>
      <c r="ER31" s="54">
        <f t="shared" si="77"/>
        <v>1.4042511314589688E-2</v>
      </c>
      <c r="ES31" s="54">
        <f t="shared" si="78"/>
        <v>1.4042511314589688E-2</v>
      </c>
      <c r="ET31" s="54" t="e">
        <f t="shared" si="79"/>
        <v>#N/A</v>
      </c>
      <c r="EU31" s="69" t="str">
        <f t="shared" si="80"/>
        <v/>
      </c>
      <c r="EV3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3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3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31" s="54" t="e" cm="1">
        <f t="array" ref="EY31">IF($CR$3,INDEX(Eu_tabel_a[[#This Row],[Styrke venstre]:[Styrke tosidet]],EY$7),NA())</f>
        <v>#N/A</v>
      </c>
      <c r="EZ31" s="54" t="e">
        <f>IF(EY$3,IF(CHOOSE(EY$7,Eu_tabel_a[[#This Row],[x base]]&gt;0,Eu_tabel_a[[#This Row],[x base]]&lt;0,Eu_tabel_a[[#This Row],[x base]]=0),1,NA()),NA())</f>
        <v>#N/A</v>
      </c>
      <c r="FA31" s="54" t="e">
        <f>IF(CHOOSE(EY$7,Eu_tabel_a[[#This Row],[x base]]&gt;0,Eu_tabel_a[[#This Row],[x base]]&lt;0,Eu_tabel_a[[#This Row],[x base]]=0),Eu_tabel_a[[#This Row],[Styrke, aktiv]],NA())</f>
        <v>#N/A</v>
      </c>
      <c r="FB31" s="54" t="e">
        <f>IFERROR(IF($EY$3,Eu_tabel_a[[#This Row],[Styrke, aktiv]],NA()),NA())</f>
        <v>#N/A</v>
      </c>
      <c r="FC31" s="54" t="e">
        <f>IF(ISNA(Eu_tabel_a[[#This Row],[Sand negativ
Nulhypotese afvises
Korrekt]]),NA(),IF(EY$3,1,NA()))</f>
        <v>#N/A</v>
      </c>
      <c r="FD31" s="55" t="str" cm="1">
        <f t="array" ref="FD31">IFERROR(_xlfn.SWITCH(Eu_tabel_a[[#This Row],[Indeks]],_xlfn.IFNA(FB$2,-99),FB$5,_xlfn.IFNA(FB$3,-99),FB$6,_xlfn.IFNA(FB$4,-99),FB$7,""),"")</f>
        <v/>
      </c>
      <c r="FE31" s="54">
        <f>Eu_tabel_a[[#This Row],[x base]]*SQRT(Eu_a_h0_x*(1-Eu_a_h0_x)/Eu_a_n_x)+Eu_a_h0_x</f>
        <v>0</v>
      </c>
      <c r="FJ31" s="144" t="e">
        <f t="shared" si="18"/>
        <v>#N/A</v>
      </c>
      <c r="FK31" s="152" t="e">
        <f t="shared" ref="FK31:FK94" si="113">FK29+FP30</f>
        <v>#DIV/0!</v>
      </c>
      <c r="FL31" s="7" t="e">
        <f t="shared" si="12"/>
        <v>#DIV/0!</v>
      </c>
      <c r="FM31" t="e">
        <f t="shared" ref="FM31:FM94" si="114">FK31-FK30</f>
        <v>#DIV/0!</v>
      </c>
      <c r="FN31" s="8" t="e">
        <f t="shared" ref="FN31:FN94" si="115">FL31-FL30</f>
        <v>#DIV/0!</v>
      </c>
      <c r="FO31" s="8" t="e">
        <f t="shared" ref="FO31:FO94" si="116">$P$67-FL30</f>
        <v>#DIV/0!</v>
      </c>
      <c r="FP31" s="151" t="e">
        <f t="shared" ref="FP31:FP94" si="117">FM31/(FN31/FO31)</f>
        <v>#DIV/0!</v>
      </c>
      <c r="FQ31" s="144" t="e">
        <f t="shared" ca="1" si="13"/>
        <v>#N/A</v>
      </c>
      <c r="FR31" s="152" t="e" vm="3">
        <f t="shared" ca="1" si="19"/>
        <v>#VALUE!</v>
      </c>
      <c r="FS31" s="7" t="e" vm="3">
        <f t="shared" ca="1" si="14"/>
        <v>#VALUE!</v>
      </c>
      <c r="FT31" t="e" vm="3">
        <f t="shared" ca="1" si="8"/>
        <v>#VALUE!</v>
      </c>
      <c r="FU31" s="8" t="e" vm="3">
        <f t="shared" ca="1" si="9"/>
        <v>#VALUE!</v>
      </c>
      <c r="FV31" s="8" t="e" vm="3">
        <f t="shared" ca="1" si="10"/>
        <v>#VALUE!</v>
      </c>
      <c r="FW31" s="151" t="e" vm="3">
        <f t="shared" ca="1" si="11"/>
        <v>#VALUE!</v>
      </c>
      <c r="FX31" s="144" t="e">
        <f t="shared" si="15"/>
        <v>#N/A</v>
      </c>
      <c r="FY31" s="152" t="e">
        <f t="shared" si="20"/>
        <v>#N/A</v>
      </c>
      <c r="FZ31" s="7" t="e">
        <f t="shared" si="16"/>
        <v>#N/A</v>
      </c>
      <c r="GA31" t="e">
        <f t="shared" si="21"/>
        <v>#N/A</v>
      </c>
      <c r="GB31" s="8" t="e">
        <f t="shared" si="22"/>
        <v>#N/A</v>
      </c>
      <c r="GC31" s="8" t="e">
        <f t="shared" si="23"/>
        <v>#N/A</v>
      </c>
      <c r="GD31" s="151" t="e">
        <f t="shared" si="24"/>
        <v>#N/A</v>
      </c>
      <c r="GE31" s="144" t="e">
        <f t="shared" si="25"/>
        <v>#N/A</v>
      </c>
      <c r="GF31" s="152" t="e">
        <f t="shared" si="26"/>
        <v>#N/A</v>
      </c>
      <c r="GG31" s="7" t="e">
        <f t="shared" si="17"/>
        <v>#N/A</v>
      </c>
      <c r="GH31" t="e">
        <f t="shared" si="27"/>
        <v>#N/A</v>
      </c>
      <c r="GI31" s="8" t="e">
        <f t="shared" si="28"/>
        <v>#N/A</v>
      </c>
      <c r="GJ31" s="8" t="e">
        <f t="shared" si="29"/>
        <v>#N/A</v>
      </c>
      <c r="GK31" s="151" t="e">
        <f t="shared" si="30"/>
        <v>#N/A</v>
      </c>
      <c r="GL31" s="151"/>
      <c r="GM31" s="151"/>
      <c r="GP31" s="54">
        <f t="shared" si="81"/>
        <v>21</v>
      </c>
      <c r="GQ31" s="54">
        <f t="shared" si="82"/>
        <v>22</v>
      </c>
      <c r="GR31" s="54">
        <f t="shared" si="83"/>
        <v>-2.5871712330707273</v>
      </c>
      <c r="GS31" s="54">
        <f t="shared" si="84"/>
        <v>1.4042511314589688E-2</v>
      </c>
      <c r="GT31" s="54" t="e">
        <f t="shared" si="85"/>
        <v>#N/A</v>
      </c>
      <c r="GU31" s="54" t="e">
        <f t="shared" si="86"/>
        <v>#N/A</v>
      </c>
      <c r="GV31" s="54" t="e">
        <f t="shared" si="87"/>
        <v>#N/A</v>
      </c>
      <c r="GW31" s="54" t="b">
        <f t="shared" si="88"/>
        <v>1</v>
      </c>
      <c r="GX31" s="54" t="b">
        <f t="shared" si="89"/>
        <v>0</v>
      </c>
      <c r="GY31" s="54" t="b">
        <f t="shared" si="90"/>
        <v>1</v>
      </c>
      <c r="GZ31" s="54" t="b">
        <f t="shared" si="91"/>
        <v>0</v>
      </c>
      <c r="HA31" s="54">
        <f t="shared" si="92"/>
        <v>1.4042511314589688E-2</v>
      </c>
      <c r="HB31" s="54">
        <f t="shared" si="93"/>
        <v>1.4042511314589688E-2</v>
      </c>
      <c r="HC31" s="54" t="e">
        <f t="shared" si="94"/>
        <v>#N/A</v>
      </c>
      <c r="HD31" s="69" t="str">
        <f t="shared" si="95"/>
        <v/>
      </c>
      <c r="HJ31" s="54">
        <f t="shared" si="96"/>
        <v>21</v>
      </c>
      <c r="HK31" s="54">
        <f t="shared" si="97"/>
        <v>22</v>
      </c>
      <c r="HL31" s="54">
        <f t="shared" si="98"/>
        <v>-4.0062889914181392</v>
      </c>
      <c r="HM31" s="54" t="e">
        <f t="shared" si="99"/>
        <v>#N/A</v>
      </c>
      <c r="HN31" s="54">
        <f t="shared" si="100"/>
        <v>3.2744098438161496E-3</v>
      </c>
      <c r="HO31" s="54" t="e">
        <f t="shared" si="101"/>
        <v>#N/A</v>
      </c>
      <c r="HP31" s="54" t="e">
        <f t="shared" si="102"/>
        <v>#N/A</v>
      </c>
      <c r="HQ31" s="54" t="b">
        <f t="shared" si="103"/>
        <v>1</v>
      </c>
      <c r="HR31" s="54" t="b">
        <f t="shared" si="104"/>
        <v>0</v>
      </c>
      <c r="HS31" s="54" t="b">
        <f t="shared" si="105"/>
        <v>1</v>
      </c>
      <c r="HT31" s="54" t="b">
        <f t="shared" si="106"/>
        <v>0</v>
      </c>
      <c r="HU31" s="54">
        <f t="shared" si="107"/>
        <v>3.2744098438161496E-3</v>
      </c>
      <c r="HV31" s="54">
        <f t="shared" si="108"/>
        <v>3.2744098438161496E-3</v>
      </c>
      <c r="HW31" s="54" t="e">
        <f t="shared" si="109"/>
        <v>#N/A</v>
      </c>
      <c r="HX31" s="69" t="str">
        <f t="shared" si="110"/>
        <v/>
      </c>
    </row>
    <row r="32" spans="57:232" x14ac:dyDescent="0.2">
      <c r="BE32" s="90" t="s">
        <v>434</v>
      </c>
      <c r="BF32" s="57" t="s">
        <v>431</v>
      </c>
      <c r="BG32" s="57" t="s">
        <v>431</v>
      </c>
      <c r="BH32" s="57" t="s">
        <v>431</v>
      </c>
      <c r="BI32" s="57" t="s">
        <v>431</v>
      </c>
      <c r="BJ32" s="57" t="s">
        <v>431</v>
      </c>
      <c r="BL32" s="90" t="s">
        <v>143</v>
      </c>
      <c r="BM32" s="203" t="str" cm="1">
        <f t="array" ref="BM32">INDEX(E_a_valg[Hypotesetype],E_a_aktiv)</f>
        <v>Konfidensinterval</v>
      </c>
      <c r="BZ32" s="127">
        <f t="shared" si="36"/>
        <v>22</v>
      </c>
      <c r="CA32" s="54">
        <f>Eu_tabel_g[[#This Row],[Indeks]]+1</f>
        <v>23</v>
      </c>
      <c r="CB32" s="127">
        <f t="shared" si="37"/>
        <v>-2.5632159438756279</v>
      </c>
      <c r="CC32" s="127">
        <f t="shared" si="38"/>
        <v>1.4936065002642981E-2</v>
      </c>
      <c r="CD32" s="127" t="e">
        <f t="shared" si="39"/>
        <v>#N/A</v>
      </c>
      <c r="CE32" s="127" t="e">
        <f t="shared" si="40"/>
        <v>#N/A</v>
      </c>
      <c r="CF32" s="127" t="e">
        <f t="shared" si="41"/>
        <v>#N/A</v>
      </c>
      <c r="CG32" s="127" t="b">
        <f t="shared" si="42"/>
        <v>1</v>
      </c>
      <c r="CH32" s="127" t="b">
        <f t="shared" si="43"/>
        <v>0</v>
      </c>
      <c r="CI32" s="127" t="b">
        <f t="shared" si="44"/>
        <v>1</v>
      </c>
      <c r="CJ32" s="127" t="b">
        <f t="shared" si="45"/>
        <v>0</v>
      </c>
      <c r="CK32" s="127">
        <f t="shared" si="112"/>
        <v>1.4936065002642981E-2</v>
      </c>
      <c r="CL32" s="127">
        <f t="shared" si="47"/>
        <v>1.4936065002642981E-2</v>
      </c>
      <c r="CM32" s="127" t="e">
        <f t="shared" si="48"/>
        <v>#N/A</v>
      </c>
      <c r="CN32" s="128" t="str">
        <f t="shared" si="49"/>
        <v/>
      </c>
      <c r="CO32" s="54">
        <f>_xlfn.NORM.DIST(_xlfn.NORM.INV(1-Eu_g_konfidensniveau,0,1)-Eu_tabel_g[[#This Row],[x base]],0,1,TRUE)</f>
        <v>0.82078539390681737</v>
      </c>
      <c r="CP32" s="54">
        <f>1-_xlfn.NORM.DIST(_xlfn.NORM.INV(Eu_g_konfidensniveau,0,1)-Eu_tabel_g[[#This Row],[x base]],0,1,TRUE)</f>
        <v>1.2878078825662165E-5</v>
      </c>
      <c r="CQ32" s="54">
        <f>_xlfn.NORM.DIST(_xlfn.NORM.INV((1-Eu_g_konfidensniveau)/2,0,1)-Eu_tabel_g[[#This Row],[x base]],0,1,TRUE)+1-_xlfn.NORM.DIST(_xlfn.NORM.INV(1-(1-Eu_g_konfidensniveau)/2,0,1)-Eu_tabel_g[[#This Row],[x base]],0,1,TRUE)</f>
        <v>0.726832502579835</v>
      </c>
      <c r="CR32" s="54" t="e" cm="1">
        <f t="array" ref="CR32">IF($CR$3,INDEX(Eu_tabel_g[[#This Row],[Styrke venstre]:[Styrke tosidet]],CR$7),NA())</f>
        <v>#N/A</v>
      </c>
      <c r="CS32" s="89" t="e">
        <f>Eu_tabel_g[[#This Row],[Falsk positiv
Nulhypotese accepteres
Fejltype 1]]</f>
        <v>#N/A</v>
      </c>
      <c r="CT32" s="89" t="e">
        <f>IF(CHOOSE(CR$7,Eu_tabel_g[[#This Row],[x base]]&gt;0,Eu_tabel_g[[#This Row],[x base]]&lt;0,Eu_tabel_g[[#This Row],[x base]]=0),Eu_tabel_g[[#This Row],[Styrke, aktiv]],NA())</f>
        <v>#N/A</v>
      </c>
      <c r="CU32" s="89" t="e">
        <f>IFERROR(IF($CR$3,Eu_tabel_g[[#This Row],[Styrke, aktiv]],NA()),NA())</f>
        <v>#N/A</v>
      </c>
      <c r="CV32" s="89" t="e">
        <f>IF(ISNA(Eu_tabel_g[[#This Row],[Sand negativ
Nulhypotese afvises
Korrekt]]),NA(),IF($CR$3,1,NA()))</f>
        <v>#N/A</v>
      </c>
      <c r="CW32" s="56" t="str" cm="1">
        <f t="array" ref="CW32">_xlfn.SWITCH(BZ32,_xlfn.IFNA(CU$2,-99),CU$5,_xlfn.IFNA(CU$3,-99),CU$6,_xlfn.IFNA(CU$4,-99),CU$7,"")</f>
        <v/>
      </c>
      <c r="DA32" s="7">
        <f t="shared" si="50"/>
        <v>0.8</v>
      </c>
      <c r="DB32">
        <f>IF(ROW(Styrkeberegning_G[[#This Row],[X base venstre]])=ROW(Styrkeberegning_G[[#Headers],[X base venstre]])+1,DB$7/(DA$7/$B$67),DB31/(DA31/$B$67))</f>
        <v>-2.8015817870135784</v>
      </c>
      <c r="DC32">
        <f>Styrkeberegning_G[[#This Row],[X base venstre]]*-1</f>
        <v>2.8015817870135784</v>
      </c>
      <c r="DN32" s="127">
        <f t="shared" si="51"/>
        <v>22</v>
      </c>
      <c r="DO32" s="54">
        <f t="shared" si="52"/>
        <v>23</v>
      </c>
      <c r="DP32" s="127">
        <f t="shared" si="53"/>
        <v>4.3434115058277127</v>
      </c>
      <c r="DQ32" s="127" t="e">
        <f t="shared" si="54"/>
        <v>#N/A</v>
      </c>
      <c r="DR32" s="127" t="e">
        <f t="shared" si="55"/>
        <v>#N/A</v>
      </c>
      <c r="DS32" s="127">
        <f t="shared" si="56"/>
        <v>3.5690927255072682E-2</v>
      </c>
      <c r="DT32" s="127" t="e">
        <f t="shared" si="57"/>
        <v>#N/A</v>
      </c>
      <c r="DU32" s="127" t="b">
        <f t="shared" si="58"/>
        <v>0</v>
      </c>
      <c r="DV32" s="127" t="b">
        <f t="shared" si="59"/>
        <v>1</v>
      </c>
      <c r="DW32" s="127" t="b">
        <f t="shared" si="60"/>
        <v>0</v>
      </c>
      <c r="DX32" s="127" t="b">
        <f t="shared" si="61"/>
        <v>1</v>
      </c>
      <c r="DY32" s="127">
        <f t="shared" si="62"/>
        <v>3.5690927255072682E-2</v>
      </c>
      <c r="DZ32" s="127" t="e">
        <f t="shared" si="63"/>
        <v>#N/A</v>
      </c>
      <c r="EA32" s="127">
        <f t="shared" si="64"/>
        <v>3.5690927255072682E-2</v>
      </c>
      <c r="EB32" s="128" t="str">
        <f t="shared" si="65"/>
        <v/>
      </c>
      <c r="EG32" s="127">
        <f t="shared" si="66"/>
        <v>22</v>
      </c>
      <c r="EH32" s="54">
        <f t="shared" si="67"/>
        <v>23</v>
      </c>
      <c r="EI32" s="127">
        <f t="shared" si="68"/>
        <v>-2.5632159438756279</v>
      </c>
      <c r="EJ32" s="127">
        <f t="shared" si="69"/>
        <v>1.4936065002642981E-2</v>
      </c>
      <c r="EK32" s="127" t="e">
        <f t="shared" si="70"/>
        <v>#N/A</v>
      </c>
      <c r="EL32" s="127" t="e">
        <f t="shared" si="71"/>
        <v>#N/A</v>
      </c>
      <c r="EM32" s="127" t="e">
        <f t="shared" si="72"/>
        <v>#N/A</v>
      </c>
      <c r="EN32" s="127" t="b">
        <f t="shared" si="73"/>
        <v>1</v>
      </c>
      <c r="EO32" s="127" t="b">
        <f t="shared" si="74"/>
        <v>0</v>
      </c>
      <c r="EP32" s="127" t="b">
        <f t="shared" si="75"/>
        <v>1</v>
      </c>
      <c r="EQ32" s="127" t="b">
        <f t="shared" si="76"/>
        <v>0</v>
      </c>
      <c r="ER32" s="127">
        <f t="shared" si="77"/>
        <v>1.4936065002642981E-2</v>
      </c>
      <c r="ES32" s="127">
        <f t="shared" si="78"/>
        <v>1.4936065002642981E-2</v>
      </c>
      <c r="ET32" s="127" t="e">
        <f t="shared" si="79"/>
        <v>#N/A</v>
      </c>
      <c r="EU32" s="128" t="str">
        <f t="shared" si="80"/>
        <v/>
      </c>
      <c r="EV3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3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3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32" s="54" t="e" cm="1">
        <f t="array" ref="EY32">IF($CR$3,INDEX(Eu_tabel_a[[#This Row],[Styrke venstre]:[Styrke tosidet]],EY$7),NA())</f>
        <v>#N/A</v>
      </c>
      <c r="EZ32" s="54" t="e">
        <f>IF(EY$3,IF(CHOOSE(EY$7,Eu_tabel_a[[#This Row],[x base]]&gt;0,Eu_tabel_a[[#This Row],[x base]]&lt;0,Eu_tabel_a[[#This Row],[x base]]=0),1,NA()),NA())</f>
        <v>#N/A</v>
      </c>
      <c r="FA32" s="54" t="e">
        <f>IF(CHOOSE(EY$7,Eu_tabel_a[[#This Row],[x base]]&gt;0,Eu_tabel_a[[#This Row],[x base]]&lt;0,Eu_tabel_a[[#This Row],[x base]]=0),Eu_tabel_a[[#This Row],[Styrke, aktiv]],NA())</f>
        <v>#N/A</v>
      </c>
      <c r="FB32" s="54" t="e">
        <f>IFERROR(IF($EY$3,Eu_tabel_a[[#This Row],[Styrke, aktiv]],NA()),NA())</f>
        <v>#N/A</v>
      </c>
      <c r="FC32" s="54" t="e">
        <f>IF(ISNA(Eu_tabel_a[[#This Row],[Sand negativ
Nulhypotese afvises
Korrekt]]),NA(),IF(EY$3,1,NA()))</f>
        <v>#N/A</v>
      </c>
      <c r="FD32" s="55" t="str" cm="1">
        <f t="array" ref="FD32">IFERROR(_xlfn.SWITCH(Eu_tabel_a[[#This Row],[Indeks]],_xlfn.IFNA(FB$2,-99),FB$5,_xlfn.IFNA(FB$3,-99),FB$6,_xlfn.IFNA(FB$4,-99),FB$7,""),"")</f>
        <v/>
      </c>
      <c r="FE32" s="54">
        <f>Eu_tabel_a[[#This Row],[x base]]*SQRT(Eu_a_h0_x*(1-Eu_a_h0_x)/Eu_a_n_x)+Eu_a_h0_x</f>
        <v>0</v>
      </c>
      <c r="FJ32" s="144" t="e">
        <f t="shared" si="18"/>
        <v>#N/A</v>
      </c>
      <c r="FK32" s="152" t="e">
        <f t="shared" si="113"/>
        <v>#DIV/0!</v>
      </c>
      <c r="FL32" s="7" t="e">
        <f t="shared" si="12"/>
        <v>#DIV/0!</v>
      </c>
      <c r="FM32" t="e">
        <f t="shared" si="114"/>
        <v>#DIV/0!</v>
      </c>
      <c r="FN32" s="8" t="e">
        <f t="shared" si="115"/>
        <v>#DIV/0!</v>
      </c>
      <c r="FO32" s="8" t="e">
        <f t="shared" si="116"/>
        <v>#DIV/0!</v>
      </c>
      <c r="FP32" s="151" t="e">
        <f t="shared" si="117"/>
        <v>#DIV/0!</v>
      </c>
      <c r="FQ32" s="144" t="e">
        <f t="shared" ca="1" si="13"/>
        <v>#N/A</v>
      </c>
      <c r="FR32" s="152" t="e" vm="3">
        <f t="shared" ca="1" si="19"/>
        <v>#VALUE!</v>
      </c>
      <c r="FS32" s="7" t="e" vm="3">
        <f t="shared" ca="1" si="14"/>
        <v>#VALUE!</v>
      </c>
      <c r="FT32" t="e" vm="3">
        <f t="shared" ca="1" si="8"/>
        <v>#VALUE!</v>
      </c>
      <c r="FU32" s="8" t="e" vm="3">
        <f t="shared" ca="1" si="9"/>
        <v>#VALUE!</v>
      </c>
      <c r="FV32" s="8" t="e" vm="3">
        <f t="shared" ca="1" si="10"/>
        <v>#VALUE!</v>
      </c>
      <c r="FW32" s="151" t="e" vm="3">
        <f t="shared" ca="1" si="11"/>
        <v>#VALUE!</v>
      </c>
      <c r="FX32" s="144" t="e">
        <f t="shared" si="15"/>
        <v>#N/A</v>
      </c>
      <c r="FY32" s="152" t="e">
        <f t="shared" si="20"/>
        <v>#N/A</v>
      </c>
      <c r="FZ32" s="7" t="e">
        <f t="shared" si="16"/>
        <v>#N/A</v>
      </c>
      <c r="GA32" t="e">
        <f t="shared" si="21"/>
        <v>#N/A</v>
      </c>
      <c r="GB32" s="8" t="e">
        <f t="shared" si="22"/>
        <v>#N/A</v>
      </c>
      <c r="GC32" s="8" t="e">
        <f t="shared" si="23"/>
        <v>#N/A</v>
      </c>
      <c r="GD32" s="151" t="e">
        <f t="shared" si="24"/>
        <v>#N/A</v>
      </c>
      <c r="GE32" s="144" t="e">
        <f t="shared" si="25"/>
        <v>#N/A</v>
      </c>
      <c r="GF32" s="152" t="e">
        <f t="shared" si="26"/>
        <v>#N/A</v>
      </c>
      <c r="GG32" s="7" t="e">
        <f t="shared" si="17"/>
        <v>#N/A</v>
      </c>
      <c r="GH32" t="e">
        <f t="shared" si="27"/>
        <v>#N/A</v>
      </c>
      <c r="GI32" s="8" t="e">
        <f t="shared" si="28"/>
        <v>#N/A</v>
      </c>
      <c r="GJ32" s="8" t="e">
        <f t="shared" si="29"/>
        <v>#N/A</v>
      </c>
      <c r="GK32" s="151" t="e">
        <f t="shared" si="30"/>
        <v>#N/A</v>
      </c>
      <c r="GL32" s="151"/>
      <c r="GM32" s="151"/>
      <c r="GP32" s="127">
        <f t="shared" si="81"/>
        <v>22</v>
      </c>
      <c r="GQ32" s="54">
        <f t="shared" si="82"/>
        <v>23</v>
      </c>
      <c r="GR32" s="127">
        <f t="shared" si="83"/>
        <v>-2.5632159438756279</v>
      </c>
      <c r="GS32" s="127">
        <f t="shared" si="84"/>
        <v>1.4936065002642981E-2</v>
      </c>
      <c r="GT32" s="127" t="e">
        <f t="shared" si="85"/>
        <v>#N/A</v>
      </c>
      <c r="GU32" s="127" t="e">
        <f t="shared" si="86"/>
        <v>#N/A</v>
      </c>
      <c r="GV32" s="127" t="e">
        <f t="shared" si="87"/>
        <v>#N/A</v>
      </c>
      <c r="GW32" s="127" t="b">
        <f t="shared" si="88"/>
        <v>1</v>
      </c>
      <c r="GX32" s="127" t="b">
        <f t="shared" si="89"/>
        <v>0</v>
      </c>
      <c r="GY32" s="127" t="b">
        <f t="shared" si="90"/>
        <v>1</v>
      </c>
      <c r="GZ32" s="127" t="b">
        <f t="shared" si="91"/>
        <v>0</v>
      </c>
      <c r="HA32" s="127">
        <f t="shared" si="92"/>
        <v>1.4936065002642981E-2</v>
      </c>
      <c r="HB32" s="127">
        <f t="shared" si="93"/>
        <v>1.4936065002642981E-2</v>
      </c>
      <c r="HC32" s="127" t="e">
        <f t="shared" si="94"/>
        <v>#N/A</v>
      </c>
      <c r="HD32" s="128" t="str">
        <f t="shared" si="95"/>
        <v/>
      </c>
      <c r="HJ32" s="127">
        <f t="shared" si="96"/>
        <v>22</v>
      </c>
      <c r="HK32" s="54">
        <f t="shared" si="97"/>
        <v>23</v>
      </c>
      <c r="HL32" s="127">
        <f t="shared" si="98"/>
        <v>-3.9691937229790826</v>
      </c>
      <c r="HM32" s="127" t="e">
        <f t="shared" si="99"/>
        <v>#N/A</v>
      </c>
      <c r="HN32" s="127">
        <f t="shared" si="100"/>
        <v>3.4480547160141268E-3</v>
      </c>
      <c r="HO32" s="127" t="e">
        <f t="shared" si="101"/>
        <v>#N/A</v>
      </c>
      <c r="HP32" s="127" t="e">
        <f t="shared" si="102"/>
        <v>#N/A</v>
      </c>
      <c r="HQ32" s="127" t="b">
        <f t="shared" si="103"/>
        <v>1</v>
      </c>
      <c r="HR32" s="127" t="b">
        <f t="shared" si="104"/>
        <v>0</v>
      </c>
      <c r="HS32" s="127" t="b">
        <f t="shared" si="105"/>
        <v>1</v>
      </c>
      <c r="HT32" s="127" t="b">
        <f t="shared" si="106"/>
        <v>0</v>
      </c>
      <c r="HU32" s="127">
        <f t="shared" si="107"/>
        <v>3.4480547160141268E-3</v>
      </c>
      <c r="HV32" s="127">
        <f t="shared" si="108"/>
        <v>3.4480547160141268E-3</v>
      </c>
      <c r="HW32" s="127" t="e">
        <f t="shared" si="109"/>
        <v>#N/A</v>
      </c>
      <c r="HX32" s="128" t="str">
        <f t="shared" si="110"/>
        <v/>
      </c>
    </row>
    <row r="33" spans="1:232" x14ac:dyDescent="0.2">
      <c r="N33" s="132"/>
      <c r="BE33" s="57" t="s">
        <v>152</v>
      </c>
      <c r="BF33" s="59" t="b" cm="1">
        <f t="array" ref="BF33:BF35">_xlfn._xlws.FILTER(BF18:BF21,NOT((BF18:BF21)=0))</f>
        <v>1</v>
      </c>
      <c r="BG33" s="59" t="b" cm="1">
        <f t="array" ref="BG33:BG34">_xlfn._xlws.FILTER(BG18:BG21,NOT((BG18:BG21)=0))</f>
        <v>1</v>
      </c>
      <c r="BH33" s="59" t="b" cm="1">
        <f t="array" ref="BH33:BH34">_xlfn._xlws.FILTER(BH18:BH21,NOT((BH18:BH21)=0))</f>
        <v>1</v>
      </c>
      <c r="BI33" s="59" t="b" cm="1">
        <f t="array" ref="BI33:BI34">_xlfn._xlws.FILTER(BI18:BI21,NOT((BI18:BI21)=0))</f>
        <v>1</v>
      </c>
      <c r="BJ33" s="59" t="b" cm="1">
        <f t="array" ref="BJ33:BJ34">_xlfn._xlws.FILTER(BJ18:BJ21,NOT((BJ18:BJ21)=0))</f>
        <v>1</v>
      </c>
      <c r="BL33" s="90" t="s">
        <v>219</v>
      </c>
      <c r="BM33" s="203" t="str" cm="1">
        <f t="array" ref="BM33">INDEX(E_a_valg[Beregningsmetode],E_a_aktiv)</f>
        <v>Normalfordeling</v>
      </c>
      <c r="BZ33" s="127">
        <f t="shared" si="36"/>
        <v>23</v>
      </c>
      <c r="CA33" s="54">
        <f>Eu_tabel_g[[#This Row],[Indeks]]+1</f>
        <v>24</v>
      </c>
      <c r="CB33" s="127">
        <f t="shared" si="37"/>
        <v>-2.5392606546805285</v>
      </c>
      <c r="CC33" s="127">
        <f t="shared" si="38"/>
        <v>1.5877363404520849E-2</v>
      </c>
      <c r="CD33" s="127" t="e">
        <f t="shared" si="39"/>
        <v>#N/A</v>
      </c>
      <c r="CE33" s="127" t="e">
        <f t="shared" si="40"/>
        <v>#N/A</v>
      </c>
      <c r="CF33" s="127" t="e">
        <f t="shared" si="41"/>
        <v>#N/A</v>
      </c>
      <c r="CG33" s="127" t="b">
        <f t="shared" si="42"/>
        <v>1</v>
      </c>
      <c r="CH33" s="127" t="b">
        <f t="shared" si="43"/>
        <v>0</v>
      </c>
      <c r="CI33" s="127" t="b">
        <f t="shared" si="44"/>
        <v>1</v>
      </c>
      <c r="CJ33" s="127" t="b">
        <f t="shared" si="45"/>
        <v>0</v>
      </c>
      <c r="CK33" s="127">
        <f t="shared" ref="CK33:CK61" si="118">_xlfn.AGGREGATE(9,6,CC33:CF33)</f>
        <v>1.5877363404520849E-2</v>
      </c>
      <c r="CL33" s="127">
        <f t="shared" si="47"/>
        <v>1.5877363404520849E-2</v>
      </c>
      <c r="CM33" s="127" t="e">
        <f t="shared" si="48"/>
        <v>#N/A</v>
      </c>
      <c r="CN33" s="128" t="str">
        <f t="shared" si="49"/>
        <v/>
      </c>
      <c r="CO33" s="54">
        <f>_xlfn.NORM.DIST(_xlfn.NORM.INV(1-Eu_g_konfidensniveau,0,1)-Eu_tabel_g[[#This Row],[x base]],0,1,TRUE)</f>
        <v>0.8144479231481434</v>
      </c>
      <c r="CP33" s="54">
        <f>1-_xlfn.NORM.DIST(_xlfn.NORM.INV(Eu_g_konfidensniveau,0,1)-Eu_tabel_g[[#This Row],[x base]],0,1,TRUE)</f>
        <v>1.4314003777604611E-5</v>
      </c>
      <c r="CQ33" s="54">
        <f>_xlfn.NORM.DIST(_xlfn.NORM.INV((1-Eu_g_konfidensniveau)/2,0,1)-Eu_tabel_g[[#This Row],[x base]],0,1,TRUE)+1-_xlfn.NORM.DIST(_xlfn.NORM.INV(1-(1-Eu_g_konfidensniveau)/2,0,1)-Eu_tabel_g[[#This Row],[x base]],0,1,TRUE)</f>
        <v>0.71880890410963205</v>
      </c>
      <c r="CR33" s="54" t="e" cm="1">
        <f t="array" ref="CR33">IF($CR$3,INDEX(Eu_tabel_g[[#This Row],[Styrke venstre]:[Styrke tosidet]],CR$7),NA())</f>
        <v>#N/A</v>
      </c>
      <c r="CS33" s="89" t="e">
        <f>Eu_tabel_g[[#This Row],[Falsk positiv
Nulhypotese accepteres
Fejltype 1]]</f>
        <v>#N/A</v>
      </c>
      <c r="CT33" s="89" t="e">
        <f>IF(CHOOSE(CR$7,Eu_tabel_g[[#This Row],[x base]]&gt;0,Eu_tabel_g[[#This Row],[x base]]&lt;0,Eu_tabel_g[[#This Row],[x base]]=0),Eu_tabel_g[[#This Row],[Styrke, aktiv]],NA())</f>
        <v>#N/A</v>
      </c>
      <c r="CU33" s="89" t="e">
        <f>IFERROR(IF($CR$3,Eu_tabel_g[[#This Row],[Styrke, aktiv]],NA()),NA())</f>
        <v>#N/A</v>
      </c>
      <c r="CV33" s="89" t="e">
        <f>IF(ISNA(Eu_tabel_g[[#This Row],[Sand negativ
Nulhypotese afvises
Korrekt]]),NA(),IF($CR$3,1,NA()))</f>
        <v>#N/A</v>
      </c>
      <c r="CW33" s="56" t="str" cm="1">
        <f t="array" ref="CW33">_xlfn.SWITCH(BZ33,_xlfn.IFNA(CU$2,-99),CU$5,_xlfn.IFNA(CU$3,-99),CU$6,_xlfn.IFNA(CU$4,-99),CU$7,"")</f>
        <v/>
      </c>
      <c r="DA33" s="7">
        <f t="shared" si="50"/>
        <v>0.8</v>
      </c>
      <c r="DB33">
        <f>IF(ROW(Styrkeberegning_G[[#This Row],[X base venstre]])=ROW(Styrkeberegning_G[[#Headers],[X base venstre]])+1,DB$7/(DA$7/$B$67),DB32/(DA32/$B$67))</f>
        <v>-2.8015817870135784</v>
      </c>
      <c r="DC33">
        <f>Styrkeberegning_G[[#This Row],[X base venstre]]*-1</f>
        <v>2.8015817870135784</v>
      </c>
      <c r="DN33" s="127">
        <f t="shared" si="51"/>
        <v>23</v>
      </c>
      <c r="DO33" s="54">
        <f t="shared" si="52"/>
        <v>24</v>
      </c>
      <c r="DP33" s="127">
        <f t="shared" si="53"/>
        <v>4.4574823622447131</v>
      </c>
      <c r="DQ33" s="127" t="e">
        <f t="shared" si="54"/>
        <v>#N/A</v>
      </c>
      <c r="DR33" s="127" t="e">
        <f t="shared" si="55"/>
        <v>#N/A</v>
      </c>
      <c r="DS33" s="127">
        <f t="shared" si="56"/>
        <v>3.7883632157168431E-2</v>
      </c>
      <c r="DT33" s="127" t="e">
        <f t="shared" si="57"/>
        <v>#N/A</v>
      </c>
      <c r="DU33" s="127" t="b">
        <f t="shared" si="58"/>
        <v>0</v>
      </c>
      <c r="DV33" s="127" t="b">
        <f t="shared" si="59"/>
        <v>1</v>
      </c>
      <c r="DW33" s="127" t="b">
        <f t="shared" si="60"/>
        <v>0</v>
      </c>
      <c r="DX33" s="127" t="b">
        <f t="shared" si="61"/>
        <v>1</v>
      </c>
      <c r="DY33" s="127">
        <f t="shared" si="62"/>
        <v>3.7883632157168431E-2</v>
      </c>
      <c r="DZ33" s="127" t="e">
        <f t="shared" si="63"/>
        <v>#N/A</v>
      </c>
      <c r="EA33" s="127">
        <f t="shared" si="64"/>
        <v>3.7883632157168431E-2</v>
      </c>
      <c r="EB33" s="128" t="str">
        <f t="shared" si="65"/>
        <v/>
      </c>
      <c r="EG33" s="127">
        <f t="shared" si="66"/>
        <v>23</v>
      </c>
      <c r="EH33" s="54">
        <f t="shared" si="67"/>
        <v>24</v>
      </c>
      <c r="EI33" s="127">
        <f t="shared" si="68"/>
        <v>-2.5392606546805285</v>
      </c>
      <c r="EJ33" s="127">
        <f t="shared" si="69"/>
        <v>1.5877363404520849E-2</v>
      </c>
      <c r="EK33" s="127" t="e">
        <f t="shared" si="70"/>
        <v>#N/A</v>
      </c>
      <c r="EL33" s="127" t="e">
        <f t="shared" si="71"/>
        <v>#N/A</v>
      </c>
      <c r="EM33" s="127" t="e">
        <f t="shared" si="72"/>
        <v>#N/A</v>
      </c>
      <c r="EN33" s="127" t="b">
        <f t="shared" si="73"/>
        <v>1</v>
      </c>
      <c r="EO33" s="127" t="b">
        <f t="shared" si="74"/>
        <v>0</v>
      </c>
      <c r="EP33" s="127" t="b">
        <f t="shared" si="75"/>
        <v>1</v>
      </c>
      <c r="EQ33" s="127" t="b">
        <f t="shared" si="76"/>
        <v>0</v>
      </c>
      <c r="ER33" s="127">
        <f t="shared" si="77"/>
        <v>1.5877363404520849E-2</v>
      </c>
      <c r="ES33" s="127">
        <f t="shared" si="78"/>
        <v>1.5877363404520849E-2</v>
      </c>
      <c r="ET33" s="127" t="e">
        <f t="shared" si="79"/>
        <v>#N/A</v>
      </c>
      <c r="EU33" s="128" t="str">
        <f t="shared" si="80"/>
        <v/>
      </c>
      <c r="EV3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3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3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33" s="54" t="e" cm="1">
        <f t="array" ref="EY33">IF($CR$3,INDEX(Eu_tabel_a[[#This Row],[Styrke venstre]:[Styrke tosidet]],EY$7),NA())</f>
        <v>#N/A</v>
      </c>
      <c r="EZ33" s="54" t="e">
        <f>IF(EY$3,IF(CHOOSE(EY$7,Eu_tabel_a[[#This Row],[x base]]&gt;0,Eu_tabel_a[[#This Row],[x base]]&lt;0,Eu_tabel_a[[#This Row],[x base]]=0),1,NA()),NA())</f>
        <v>#N/A</v>
      </c>
      <c r="FA33" s="54" t="e">
        <f>IF(CHOOSE(EY$7,Eu_tabel_a[[#This Row],[x base]]&gt;0,Eu_tabel_a[[#This Row],[x base]]&lt;0,Eu_tabel_a[[#This Row],[x base]]=0),Eu_tabel_a[[#This Row],[Styrke, aktiv]],NA())</f>
        <v>#N/A</v>
      </c>
      <c r="FB33" s="54" t="e">
        <f>IFERROR(IF($EY$3,Eu_tabel_a[[#This Row],[Styrke, aktiv]],NA()),NA())</f>
        <v>#N/A</v>
      </c>
      <c r="FC33" s="54" t="e">
        <f>IF(ISNA(Eu_tabel_a[[#This Row],[Sand negativ
Nulhypotese afvises
Korrekt]]),NA(),IF(EY$3,1,NA()))</f>
        <v>#N/A</v>
      </c>
      <c r="FD33" s="55" t="str" cm="1">
        <f t="array" ref="FD33">IFERROR(_xlfn.SWITCH(Eu_tabel_a[[#This Row],[Indeks]],_xlfn.IFNA(FB$2,-99),FB$5,_xlfn.IFNA(FB$3,-99),FB$6,_xlfn.IFNA(FB$4,-99),FB$7,""),"")</f>
        <v/>
      </c>
      <c r="FE33" s="54">
        <f>Eu_tabel_a[[#This Row],[x base]]*SQRT(Eu_a_h0_x*(1-Eu_a_h0_x)/Eu_a_n_x)+Eu_a_h0_x</f>
        <v>0</v>
      </c>
      <c r="FJ33" s="144" t="e">
        <f t="shared" si="18"/>
        <v>#N/A</v>
      </c>
      <c r="FK33" s="152" t="e">
        <f t="shared" si="113"/>
        <v>#DIV/0!</v>
      </c>
      <c r="FL33" s="7" t="e">
        <f t="shared" si="12"/>
        <v>#DIV/0!</v>
      </c>
      <c r="FM33" t="e">
        <f t="shared" si="114"/>
        <v>#DIV/0!</v>
      </c>
      <c r="FN33" s="8" t="e">
        <f t="shared" si="115"/>
        <v>#DIV/0!</v>
      </c>
      <c r="FO33" s="8" t="e">
        <f t="shared" si="116"/>
        <v>#DIV/0!</v>
      </c>
      <c r="FP33" s="151" t="e">
        <f t="shared" si="117"/>
        <v>#DIV/0!</v>
      </c>
      <c r="FQ33" s="144" t="e">
        <f t="shared" ca="1" si="13"/>
        <v>#N/A</v>
      </c>
      <c r="FR33" s="152" t="e" vm="3">
        <f t="shared" ca="1" si="19"/>
        <v>#VALUE!</v>
      </c>
      <c r="FS33" s="7" t="e" vm="3">
        <f t="shared" ca="1" si="14"/>
        <v>#VALUE!</v>
      </c>
      <c r="FT33" t="e" vm="3">
        <f t="shared" ca="1" si="8"/>
        <v>#VALUE!</v>
      </c>
      <c r="FU33" s="8" t="e" vm="3">
        <f t="shared" ca="1" si="9"/>
        <v>#VALUE!</v>
      </c>
      <c r="FV33" s="8" t="e" vm="3">
        <f t="shared" ca="1" si="10"/>
        <v>#VALUE!</v>
      </c>
      <c r="FW33" s="151" t="e" vm="3">
        <f t="shared" ca="1" si="11"/>
        <v>#VALUE!</v>
      </c>
      <c r="FX33" s="144" t="e">
        <f t="shared" si="15"/>
        <v>#N/A</v>
      </c>
      <c r="FY33" s="152" t="e">
        <f t="shared" si="20"/>
        <v>#N/A</v>
      </c>
      <c r="FZ33" s="7" t="e">
        <f t="shared" si="16"/>
        <v>#N/A</v>
      </c>
      <c r="GA33" t="e">
        <f t="shared" si="21"/>
        <v>#N/A</v>
      </c>
      <c r="GB33" s="8" t="e">
        <f t="shared" si="22"/>
        <v>#N/A</v>
      </c>
      <c r="GC33" s="8" t="e">
        <f t="shared" si="23"/>
        <v>#N/A</v>
      </c>
      <c r="GD33" s="151" t="e">
        <f t="shared" si="24"/>
        <v>#N/A</v>
      </c>
      <c r="GE33" s="144" t="e">
        <f t="shared" si="25"/>
        <v>#N/A</v>
      </c>
      <c r="GF33" s="152" t="e">
        <f t="shared" si="26"/>
        <v>#N/A</v>
      </c>
      <c r="GG33" s="7" t="e">
        <f t="shared" si="17"/>
        <v>#N/A</v>
      </c>
      <c r="GH33" t="e">
        <f t="shared" si="27"/>
        <v>#N/A</v>
      </c>
      <c r="GI33" s="8" t="e">
        <f t="shared" si="28"/>
        <v>#N/A</v>
      </c>
      <c r="GJ33" s="8" t="e">
        <f t="shared" si="29"/>
        <v>#N/A</v>
      </c>
      <c r="GK33" s="151" t="e">
        <f t="shared" si="30"/>
        <v>#N/A</v>
      </c>
      <c r="GL33" s="151"/>
      <c r="GM33" s="151"/>
      <c r="GP33" s="127">
        <f t="shared" si="81"/>
        <v>23</v>
      </c>
      <c r="GQ33" s="54">
        <f t="shared" si="82"/>
        <v>24</v>
      </c>
      <c r="GR33" s="127">
        <f t="shared" si="83"/>
        <v>-2.5392606546805285</v>
      </c>
      <c r="GS33" s="127">
        <f t="shared" si="84"/>
        <v>1.5877363404520849E-2</v>
      </c>
      <c r="GT33" s="127" t="e">
        <f t="shared" si="85"/>
        <v>#N/A</v>
      </c>
      <c r="GU33" s="127" t="e">
        <f t="shared" si="86"/>
        <v>#N/A</v>
      </c>
      <c r="GV33" s="127" t="e">
        <f t="shared" si="87"/>
        <v>#N/A</v>
      </c>
      <c r="GW33" s="127" t="b">
        <f t="shared" si="88"/>
        <v>1</v>
      </c>
      <c r="GX33" s="127" t="b">
        <f t="shared" si="89"/>
        <v>0</v>
      </c>
      <c r="GY33" s="127" t="b">
        <f t="shared" si="90"/>
        <v>1</v>
      </c>
      <c r="GZ33" s="127" t="b">
        <f t="shared" si="91"/>
        <v>0</v>
      </c>
      <c r="HA33" s="127">
        <f t="shared" si="92"/>
        <v>1.5877363404520849E-2</v>
      </c>
      <c r="HB33" s="127">
        <f t="shared" si="93"/>
        <v>1.5877363404520849E-2</v>
      </c>
      <c r="HC33" s="127" t="e">
        <f t="shared" si="94"/>
        <v>#N/A</v>
      </c>
      <c r="HD33" s="128" t="str">
        <f t="shared" si="95"/>
        <v/>
      </c>
      <c r="HJ33" s="127">
        <f t="shared" si="96"/>
        <v>23</v>
      </c>
      <c r="HK33" s="54">
        <f t="shared" si="97"/>
        <v>24</v>
      </c>
      <c r="HL33" s="127">
        <f t="shared" si="98"/>
        <v>-3.9320984545400255</v>
      </c>
      <c r="HM33" s="127" t="e">
        <f t="shared" si="99"/>
        <v>#N/A</v>
      </c>
      <c r="HN33" s="127">
        <f t="shared" si="100"/>
        <v>3.6315839884640427E-3</v>
      </c>
      <c r="HO33" s="127" t="e">
        <f t="shared" si="101"/>
        <v>#N/A</v>
      </c>
      <c r="HP33" s="127" t="e">
        <f t="shared" si="102"/>
        <v>#N/A</v>
      </c>
      <c r="HQ33" s="127" t="b">
        <f t="shared" si="103"/>
        <v>1</v>
      </c>
      <c r="HR33" s="127" t="b">
        <f t="shared" si="104"/>
        <v>0</v>
      </c>
      <c r="HS33" s="127" t="b">
        <f t="shared" si="105"/>
        <v>1</v>
      </c>
      <c r="HT33" s="127" t="b">
        <f t="shared" si="106"/>
        <v>0</v>
      </c>
      <c r="HU33" s="127">
        <f t="shared" si="107"/>
        <v>3.6315839884640427E-3</v>
      </c>
      <c r="HV33" s="127">
        <f t="shared" si="108"/>
        <v>3.6315839884640427E-3</v>
      </c>
      <c r="HW33" s="127" t="e">
        <f t="shared" si="109"/>
        <v>#N/A</v>
      </c>
      <c r="HX33" s="128" t="str">
        <f t="shared" si="110"/>
        <v/>
      </c>
    </row>
    <row r="34" spans="1:232" x14ac:dyDescent="0.2">
      <c r="A34" s="3" t="s">
        <v>430</v>
      </c>
      <c r="E34" s="3" t="s">
        <v>405</v>
      </c>
      <c r="H34" s="3" t="s">
        <v>430</v>
      </c>
      <c r="L34" s="3" t="s">
        <v>405</v>
      </c>
      <c r="O34" s="3" t="s">
        <v>430</v>
      </c>
      <c r="S34" s="3" t="s">
        <v>405</v>
      </c>
      <c r="V34" s="3" t="s">
        <v>430</v>
      </c>
      <c r="Z34" s="3" t="s">
        <v>405</v>
      </c>
      <c r="AC34" s="3" t="s">
        <v>430</v>
      </c>
      <c r="AG34" s="3" t="s">
        <v>405</v>
      </c>
      <c r="BE34" s="57" t="s">
        <v>153</v>
      </c>
      <c r="BF34" s="59" t="b">
        <v>0</v>
      </c>
      <c r="BG34" s="59" t="str">
        <v>Skal vurderes</v>
      </c>
      <c r="BH34" s="59" t="b">
        <v>0</v>
      </c>
      <c r="BI34" s="59" t="b">
        <v>1</v>
      </c>
      <c r="BJ34" s="59" t="str">
        <v>Skal vurderes</v>
      </c>
      <c r="BL34" s="90" t="s">
        <v>4</v>
      </c>
      <c r="BM34" s="204">
        <f>Eu_a_konfidensniveau</f>
        <v>0.95</v>
      </c>
      <c r="BZ34" s="127">
        <f t="shared" si="36"/>
        <v>24</v>
      </c>
      <c r="CA34" s="54">
        <f>Eu_tabel_g[[#This Row],[Indeks]]+1</f>
        <v>25</v>
      </c>
      <c r="CB34" s="127">
        <f t="shared" si="37"/>
        <v>-2.5153053654854292</v>
      </c>
      <c r="CC34" s="127">
        <f t="shared" si="38"/>
        <v>1.6868301418220717E-2</v>
      </c>
      <c r="CD34" s="127" t="e">
        <f t="shared" si="39"/>
        <v>#N/A</v>
      </c>
      <c r="CE34" s="127" t="e">
        <f t="shared" si="40"/>
        <v>#N/A</v>
      </c>
      <c r="CF34" s="127" t="e">
        <f t="shared" si="41"/>
        <v>#N/A</v>
      </c>
      <c r="CG34" s="127" t="b">
        <f t="shared" si="42"/>
        <v>1</v>
      </c>
      <c r="CH34" s="127" t="b">
        <f t="shared" si="43"/>
        <v>0</v>
      </c>
      <c r="CI34" s="127" t="b">
        <f t="shared" si="44"/>
        <v>1</v>
      </c>
      <c r="CJ34" s="127" t="b">
        <f t="shared" si="45"/>
        <v>0</v>
      </c>
      <c r="CK34" s="127">
        <f t="shared" si="118"/>
        <v>1.6868301418220717E-2</v>
      </c>
      <c r="CL34" s="127">
        <f t="shared" si="47"/>
        <v>1.6868301418220717E-2</v>
      </c>
      <c r="CM34" s="127" t="e">
        <f t="shared" si="48"/>
        <v>#N/A</v>
      </c>
      <c r="CN34" s="128" t="str">
        <f t="shared" si="49"/>
        <v/>
      </c>
      <c r="CO34" s="54">
        <f>_xlfn.NORM.DIST(_xlfn.NORM.INV(1-Eu_g_konfidensniveau,0,1)-Eu_tabel_g[[#This Row],[x base]],0,1,TRUE)</f>
        <v>0.80797320867814038</v>
      </c>
      <c r="CP34" s="54">
        <f>1-_xlfn.NORM.DIST(_xlfn.NORM.INV(Eu_g_konfidensniveau,0,1)-Eu_tabel_g[[#This Row],[x base]],0,1,TRUE)</f>
        <v>1.5901306353871547E-5</v>
      </c>
      <c r="CQ34" s="54">
        <f>_xlfn.NORM.DIST(_xlfn.NORM.INV((1-Eu_g_konfidensniveau)/2,0,1)-Eu_tabel_g[[#This Row],[x base]],0,1,TRUE)+1-_xlfn.NORM.DIST(_xlfn.NORM.INV(1-(1-Eu_g_konfidensniveau)/2,0,1)-Eu_tabel_g[[#This Row],[x base]],0,1,TRUE)</f>
        <v>0.71067322599342742</v>
      </c>
      <c r="CR34" s="54" t="e" cm="1">
        <f t="array" ref="CR34">IF($CR$3,INDEX(Eu_tabel_g[[#This Row],[Styrke venstre]:[Styrke tosidet]],CR$7),NA())</f>
        <v>#N/A</v>
      </c>
      <c r="CS34" s="89" t="e">
        <f>Eu_tabel_g[[#This Row],[Falsk positiv
Nulhypotese accepteres
Fejltype 1]]</f>
        <v>#N/A</v>
      </c>
      <c r="CT34" s="89" t="e">
        <f>IF(CHOOSE(CR$7,Eu_tabel_g[[#This Row],[x base]]&gt;0,Eu_tabel_g[[#This Row],[x base]]&lt;0,Eu_tabel_g[[#This Row],[x base]]=0),Eu_tabel_g[[#This Row],[Styrke, aktiv]],NA())</f>
        <v>#N/A</v>
      </c>
      <c r="CU34" s="89" t="e">
        <f>IFERROR(IF($CR$3,Eu_tabel_g[[#This Row],[Styrke, aktiv]],NA()),NA())</f>
        <v>#N/A</v>
      </c>
      <c r="CV34" s="89" t="e">
        <f>IF(ISNA(Eu_tabel_g[[#This Row],[Sand negativ
Nulhypotese afvises
Korrekt]]),NA(),IF($CR$3,1,NA()))</f>
        <v>#N/A</v>
      </c>
      <c r="CW34" s="56" t="str" cm="1">
        <f t="array" ref="CW34">_xlfn.SWITCH(BZ34,_xlfn.IFNA(CU$2,-99),CU$5,_xlfn.IFNA(CU$3,-99),CU$6,_xlfn.IFNA(CU$4,-99),CU$7,"")</f>
        <v/>
      </c>
      <c r="DA34" s="7">
        <f t="shared" si="50"/>
        <v>0.8</v>
      </c>
      <c r="DB34">
        <f>IF(ROW(Styrkeberegning_G[[#This Row],[X base venstre]])=ROW(Styrkeberegning_G[[#Headers],[X base venstre]])+1,DB$7/(DA$7/$B$67),DB33/(DA33/$B$67))</f>
        <v>-2.8015817870135784</v>
      </c>
      <c r="DC34">
        <f>Styrkeberegning_G[[#This Row],[X base venstre]]*-1</f>
        <v>2.8015817870135784</v>
      </c>
      <c r="DN34" s="127">
        <f t="shared" si="51"/>
        <v>24</v>
      </c>
      <c r="DO34" s="54">
        <f t="shared" si="52"/>
        <v>25</v>
      </c>
      <c r="DP34" s="127">
        <f t="shared" si="53"/>
        <v>4.5715532186617143</v>
      </c>
      <c r="DQ34" s="127" t="e">
        <f t="shared" si="54"/>
        <v>#N/A</v>
      </c>
      <c r="DR34" s="127" t="e">
        <f t="shared" si="55"/>
        <v>#N/A</v>
      </c>
      <c r="DS34" s="127">
        <f t="shared" si="56"/>
        <v>4.0092680991955953E-2</v>
      </c>
      <c r="DT34" s="127" t="e">
        <f t="shared" si="57"/>
        <v>#N/A</v>
      </c>
      <c r="DU34" s="127" t="b">
        <f t="shared" si="58"/>
        <v>0</v>
      </c>
      <c r="DV34" s="127" t="b">
        <f t="shared" si="59"/>
        <v>1</v>
      </c>
      <c r="DW34" s="127" t="b">
        <f t="shared" si="60"/>
        <v>0</v>
      </c>
      <c r="DX34" s="127" t="b">
        <f t="shared" si="61"/>
        <v>1</v>
      </c>
      <c r="DY34" s="127">
        <f t="shared" si="62"/>
        <v>4.0092680991955953E-2</v>
      </c>
      <c r="DZ34" s="127" t="e">
        <f t="shared" si="63"/>
        <v>#N/A</v>
      </c>
      <c r="EA34" s="127">
        <f t="shared" si="64"/>
        <v>4.0092680991955953E-2</v>
      </c>
      <c r="EB34" s="128" t="str">
        <f t="shared" si="65"/>
        <v/>
      </c>
      <c r="EG34" s="127">
        <f t="shared" si="66"/>
        <v>24</v>
      </c>
      <c r="EH34" s="54">
        <f t="shared" si="67"/>
        <v>25</v>
      </c>
      <c r="EI34" s="127">
        <f t="shared" si="68"/>
        <v>-2.5153053654854292</v>
      </c>
      <c r="EJ34" s="127">
        <f t="shared" si="69"/>
        <v>1.6868301418220717E-2</v>
      </c>
      <c r="EK34" s="127" t="e">
        <f t="shared" si="70"/>
        <v>#N/A</v>
      </c>
      <c r="EL34" s="127" t="e">
        <f t="shared" si="71"/>
        <v>#N/A</v>
      </c>
      <c r="EM34" s="127" t="e">
        <f t="shared" si="72"/>
        <v>#N/A</v>
      </c>
      <c r="EN34" s="127" t="b">
        <f t="shared" si="73"/>
        <v>1</v>
      </c>
      <c r="EO34" s="127" t="b">
        <f t="shared" si="74"/>
        <v>0</v>
      </c>
      <c r="EP34" s="127" t="b">
        <f t="shared" si="75"/>
        <v>1</v>
      </c>
      <c r="EQ34" s="127" t="b">
        <f t="shared" si="76"/>
        <v>0</v>
      </c>
      <c r="ER34" s="127">
        <f t="shared" si="77"/>
        <v>1.6868301418220717E-2</v>
      </c>
      <c r="ES34" s="127">
        <f t="shared" si="78"/>
        <v>1.6868301418220717E-2</v>
      </c>
      <c r="ET34" s="127" t="e">
        <f t="shared" si="79"/>
        <v>#N/A</v>
      </c>
      <c r="EU34" s="128" t="str">
        <f t="shared" si="80"/>
        <v/>
      </c>
      <c r="EV3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3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3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34" s="54" t="e" cm="1">
        <f t="array" ref="EY34">IF($CR$3,INDEX(Eu_tabel_a[[#This Row],[Styrke venstre]:[Styrke tosidet]],EY$7),NA())</f>
        <v>#N/A</v>
      </c>
      <c r="EZ34" s="54" t="e">
        <f>IF(EY$3,IF(CHOOSE(EY$7,Eu_tabel_a[[#This Row],[x base]]&gt;0,Eu_tabel_a[[#This Row],[x base]]&lt;0,Eu_tabel_a[[#This Row],[x base]]=0),1,NA()),NA())</f>
        <v>#N/A</v>
      </c>
      <c r="FA34" s="54" t="e">
        <f>IF(CHOOSE(EY$7,Eu_tabel_a[[#This Row],[x base]]&gt;0,Eu_tabel_a[[#This Row],[x base]]&lt;0,Eu_tabel_a[[#This Row],[x base]]=0),Eu_tabel_a[[#This Row],[Styrke, aktiv]],NA())</f>
        <v>#N/A</v>
      </c>
      <c r="FB34" s="54" t="e">
        <f>IFERROR(IF($EY$3,Eu_tabel_a[[#This Row],[Styrke, aktiv]],NA()),NA())</f>
        <v>#N/A</v>
      </c>
      <c r="FC34" s="54" t="e">
        <f>IF(ISNA(Eu_tabel_a[[#This Row],[Sand negativ
Nulhypotese afvises
Korrekt]]),NA(),IF(EY$3,1,NA()))</f>
        <v>#N/A</v>
      </c>
      <c r="FD34" s="55" t="str" cm="1">
        <f t="array" ref="FD34">IFERROR(_xlfn.SWITCH(Eu_tabel_a[[#This Row],[Indeks]],_xlfn.IFNA(FB$2,-99),FB$5,_xlfn.IFNA(FB$3,-99),FB$6,_xlfn.IFNA(FB$4,-99),FB$7,""),"")</f>
        <v/>
      </c>
      <c r="FE34" s="54">
        <f>Eu_tabel_a[[#This Row],[x base]]*SQRT(Eu_a_h0_x*(1-Eu_a_h0_x)/Eu_a_n_x)+Eu_a_h0_x</f>
        <v>0</v>
      </c>
      <c r="FJ34" s="144" t="e">
        <f t="shared" si="18"/>
        <v>#N/A</v>
      </c>
      <c r="FK34" s="152" t="e">
        <f t="shared" si="113"/>
        <v>#DIV/0!</v>
      </c>
      <c r="FL34" s="7" t="e">
        <f t="shared" si="12"/>
        <v>#DIV/0!</v>
      </c>
      <c r="FM34" t="e">
        <f t="shared" si="114"/>
        <v>#DIV/0!</v>
      </c>
      <c r="FN34" s="8" t="e">
        <f t="shared" si="115"/>
        <v>#DIV/0!</v>
      </c>
      <c r="FO34" s="8" t="e">
        <f t="shared" si="116"/>
        <v>#DIV/0!</v>
      </c>
      <c r="FP34" s="151" t="e">
        <f t="shared" si="117"/>
        <v>#DIV/0!</v>
      </c>
      <c r="FQ34" s="144" t="e">
        <f t="shared" ca="1" si="13"/>
        <v>#N/A</v>
      </c>
      <c r="FR34" s="152" t="e" vm="3">
        <f t="shared" ca="1" si="19"/>
        <v>#VALUE!</v>
      </c>
      <c r="FS34" s="7" t="e" vm="3">
        <f t="shared" ca="1" si="14"/>
        <v>#VALUE!</v>
      </c>
      <c r="FT34" t="e" vm="3">
        <f t="shared" ca="1" si="8"/>
        <v>#VALUE!</v>
      </c>
      <c r="FU34" s="8" t="e" vm="3">
        <f t="shared" ca="1" si="9"/>
        <v>#VALUE!</v>
      </c>
      <c r="FV34" s="8" t="e" vm="3">
        <f t="shared" ca="1" si="10"/>
        <v>#VALUE!</v>
      </c>
      <c r="FW34" s="151" t="e" vm="3">
        <f t="shared" ca="1" si="11"/>
        <v>#VALUE!</v>
      </c>
      <c r="FX34" s="144" t="e">
        <f t="shared" si="15"/>
        <v>#N/A</v>
      </c>
      <c r="FY34" s="152" t="e">
        <f t="shared" si="20"/>
        <v>#N/A</v>
      </c>
      <c r="FZ34" s="7" t="e">
        <f t="shared" si="16"/>
        <v>#N/A</v>
      </c>
      <c r="GA34" t="e">
        <f t="shared" si="21"/>
        <v>#N/A</v>
      </c>
      <c r="GB34" s="8" t="e">
        <f t="shared" si="22"/>
        <v>#N/A</v>
      </c>
      <c r="GC34" s="8" t="e">
        <f t="shared" si="23"/>
        <v>#N/A</v>
      </c>
      <c r="GD34" s="151" t="e">
        <f t="shared" si="24"/>
        <v>#N/A</v>
      </c>
      <c r="GE34" s="144" t="e">
        <f t="shared" si="25"/>
        <v>#N/A</v>
      </c>
      <c r="GF34" s="152" t="e">
        <f t="shared" si="26"/>
        <v>#N/A</v>
      </c>
      <c r="GG34" s="7" t="e">
        <f t="shared" si="17"/>
        <v>#N/A</v>
      </c>
      <c r="GH34" t="e">
        <f t="shared" si="27"/>
        <v>#N/A</v>
      </c>
      <c r="GI34" s="8" t="e">
        <f t="shared" si="28"/>
        <v>#N/A</v>
      </c>
      <c r="GJ34" s="8" t="e">
        <f t="shared" si="29"/>
        <v>#N/A</v>
      </c>
      <c r="GK34" s="151" t="e">
        <f t="shared" si="30"/>
        <v>#N/A</v>
      </c>
      <c r="GL34" s="151"/>
      <c r="GM34" s="151"/>
      <c r="GP34" s="127">
        <f t="shared" si="81"/>
        <v>24</v>
      </c>
      <c r="GQ34" s="54">
        <f t="shared" si="82"/>
        <v>25</v>
      </c>
      <c r="GR34" s="127">
        <f t="shared" si="83"/>
        <v>-2.5153053654854292</v>
      </c>
      <c r="GS34" s="127">
        <f t="shared" si="84"/>
        <v>1.6868301418220717E-2</v>
      </c>
      <c r="GT34" s="127" t="e">
        <f t="shared" si="85"/>
        <v>#N/A</v>
      </c>
      <c r="GU34" s="127" t="e">
        <f t="shared" si="86"/>
        <v>#N/A</v>
      </c>
      <c r="GV34" s="127" t="e">
        <f t="shared" si="87"/>
        <v>#N/A</v>
      </c>
      <c r="GW34" s="127" t="b">
        <f t="shared" si="88"/>
        <v>1</v>
      </c>
      <c r="GX34" s="127" t="b">
        <f t="shared" si="89"/>
        <v>0</v>
      </c>
      <c r="GY34" s="127" t="b">
        <f t="shared" si="90"/>
        <v>1</v>
      </c>
      <c r="GZ34" s="127" t="b">
        <f t="shared" si="91"/>
        <v>0</v>
      </c>
      <c r="HA34" s="127">
        <f t="shared" si="92"/>
        <v>1.6868301418220717E-2</v>
      </c>
      <c r="HB34" s="127">
        <f t="shared" si="93"/>
        <v>1.6868301418220717E-2</v>
      </c>
      <c r="HC34" s="127" t="e">
        <f t="shared" si="94"/>
        <v>#N/A</v>
      </c>
      <c r="HD34" s="128" t="str">
        <f t="shared" si="95"/>
        <v/>
      </c>
      <c r="HJ34" s="127">
        <f t="shared" si="96"/>
        <v>24</v>
      </c>
      <c r="HK34" s="54">
        <f t="shared" si="97"/>
        <v>25</v>
      </c>
      <c r="HL34" s="127">
        <f t="shared" si="98"/>
        <v>-3.8950031861009689</v>
      </c>
      <c r="HM34" s="127" t="e">
        <f t="shared" si="99"/>
        <v>#N/A</v>
      </c>
      <c r="HN34" s="127">
        <f t="shared" si="100"/>
        <v>3.8255881567615399E-3</v>
      </c>
      <c r="HO34" s="127" t="e">
        <f t="shared" si="101"/>
        <v>#N/A</v>
      </c>
      <c r="HP34" s="127" t="e">
        <f t="shared" si="102"/>
        <v>#N/A</v>
      </c>
      <c r="HQ34" s="127" t="b">
        <f t="shared" si="103"/>
        <v>1</v>
      </c>
      <c r="HR34" s="127" t="b">
        <f t="shared" si="104"/>
        <v>0</v>
      </c>
      <c r="HS34" s="127" t="b">
        <f t="shared" si="105"/>
        <v>1</v>
      </c>
      <c r="HT34" s="127" t="b">
        <f t="shared" si="106"/>
        <v>0</v>
      </c>
      <c r="HU34" s="127">
        <f t="shared" si="107"/>
        <v>3.8255881567615399E-3</v>
      </c>
      <c r="HV34" s="127">
        <f t="shared" si="108"/>
        <v>3.8255881567615399E-3</v>
      </c>
      <c r="HW34" s="127" t="e">
        <f t="shared" si="109"/>
        <v>#N/A</v>
      </c>
      <c r="HX34" s="128" t="str">
        <f t="shared" si="110"/>
        <v/>
      </c>
    </row>
    <row r="35" spans="1:232" x14ac:dyDescent="0.2">
      <c r="A35" s="63" t="str" cm="1">
        <f t="array" ref="A35:A37">_xlfn.ANCHORARRAY(BF28)</f>
        <v>Datatypen er interval</v>
      </c>
      <c r="B35" s="62"/>
      <c r="C35" s="60" t="str" cm="1">
        <f t="array" ref="C35:C37">IF(ISLOGICAL(_xlfn.ANCHORARRAY(BF33)),IF(_xlfn.ANCHORARRAY(BF33),"Opfyldt","Ikke opfyldt"),_xlfn.ANCHORARRAY(BF33))</f>
        <v>Opfyldt</v>
      </c>
      <c r="E35" s="90" t="str" cm="1">
        <f t="array" ref="E35:F40">_xlfn._xlws.FILTER(BL5:BM16,NOT(ISNA(BM5:BM16)))</f>
        <v>Parameter</v>
      </c>
      <c r="F35" s="205" t="str">
        <v>Gennemsnit</v>
      </c>
      <c r="H35" s="63" t="str" cm="1">
        <f t="array" ref="H35:H36">_xlfn.ANCHORARRAY(BG28)</f>
        <v>Datatypen er interval</v>
      </c>
      <c r="I35" s="62"/>
      <c r="J35" s="60" t="str" cm="1">
        <f t="array" ref="J35:J36">IF(ISLOGICAL(_xlfn.ANCHORARRAY(BG33)),IF(_xlfn.ANCHORARRAY(BG33),"Opfyldt","Ikke opfyldt"),_xlfn.ANCHORARRAY(BG33))</f>
        <v>Opfyldt</v>
      </c>
      <c r="L35" s="90" t="str" cm="1">
        <f t="array" ref="L35:M40">_xlfn._xlws.FILTER(BL18:BM29,NOT(ISNA(BM18:BM29)))</f>
        <v>Parameter</v>
      </c>
      <c r="M35" s="92" t="str">
        <v>Standardafvigelse</v>
      </c>
      <c r="N35" s="132"/>
      <c r="O35" s="63" t="str" cm="1">
        <f t="array" ref="O35:O36">_xlfn.ANCHORARRAY(BH28)</f>
        <v>Datatypen er nominal, hvor succes er TRUE og øvrige værdier er FALSE</v>
      </c>
      <c r="P35" s="62"/>
      <c r="Q35" s="60" t="str" cm="1">
        <f t="array" ref="Q35:Q36">IF(ISLOGICAL(_xlfn.ANCHORARRAY(BH33)),IF(_xlfn.ANCHORARRAY(BH33),"Opfyldt","Ikke opfyldt"),_xlfn.ANCHORARRAY(BH33))</f>
        <v>Opfyldt</v>
      </c>
      <c r="S35" s="90" t="str" cm="1">
        <f t="array" ref="S35:T40">_xlfn._xlws.FILTER(BL31:BM42,NOT(ISNA(BM31:BM42)))</f>
        <v>Parameter</v>
      </c>
      <c r="T35" s="92" t="str">
        <v>Andel</v>
      </c>
      <c r="V35" s="63" t="str" cm="1">
        <f t="array" ref="V35:V36">_xlfn.ANCHORARRAY(BI28)</f>
        <v>Observationerne består af antal successer fra lige store tidsintervaller</v>
      </c>
      <c r="W35" s="62"/>
      <c r="X35" s="60" t="str" cm="1">
        <f t="array" ref="X35:X36">IF(ISLOGICAL(_xlfn.ANCHORARRAY(BI33)),IF(_xlfn.ANCHORARRAY(BI33),"Opfyldt","Ikke opfyldt"),_xlfn.ANCHORARRAY(BI33))</f>
        <v>Opfyldt</v>
      </c>
      <c r="Z35" s="90" t="str" cm="1">
        <f t="array" ref="Z35:AA40">_xlfn._xlws.FILTER(BL44:BM55,NOT(ISNA(BM44:BM55)))</f>
        <v>Parameter</v>
      </c>
      <c r="AA35" s="92" t="str">
        <v>Intensitet</v>
      </c>
      <c r="AC35" s="63" t="str" cm="1">
        <f t="array" ref="AC35:AC36">_xlfn.ANCHORARRAY(BJ28)</f>
        <v>Datatypen er interval</v>
      </c>
      <c r="AD35" s="62"/>
      <c r="AE35" s="60" t="str" cm="1">
        <f t="array" ref="AE35:AE36">IF(ISLOGICAL(_xlfn.ANCHORARRAY(BJ33)),IF(_xlfn.ANCHORARRAY(BJ33),"Opfyldt","Ikke opfyldt"),_xlfn.ANCHORARRAY(BJ33))</f>
        <v>Opfyldt</v>
      </c>
      <c r="AG35" s="90" t="str" cm="1">
        <f t="array" ref="AG35:AH43">_xlfn._xlws.FILTER(BL57:BM68,NOT(ISNA(BM57:BM68)))</f>
        <v>Parameter</v>
      </c>
      <c r="AH35" s="92" t="str">
        <v>Koefficient i regressionsmodel</v>
      </c>
      <c r="BE35" s="57" t="s">
        <v>157</v>
      </c>
      <c r="BF35" s="59" t="str">
        <v>Skal vurderes</v>
      </c>
      <c r="BG35" s="59"/>
      <c r="BH35" s="59"/>
      <c r="BI35" s="59"/>
      <c r="BJ35" s="59"/>
      <c r="BL35" s="90" t="s">
        <v>453</v>
      </c>
      <c r="BM35" s="203" cm="1">
        <f t="array" ref="BM35">IF($BH$2,INDEX(E_a_valg[Venstre label base],E_a_aktiv),NA())</f>
        <v>0.20060094659432398</v>
      </c>
      <c r="BZ35" s="127">
        <f t="shared" si="36"/>
        <v>25</v>
      </c>
      <c r="CA35" s="54">
        <f>Eu_tabel_g[[#This Row],[Indeks]]+1</f>
        <v>26</v>
      </c>
      <c r="CB35" s="127">
        <f t="shared" si="37"/>
        <v>-2.4913500762903302</v>
      </c>
      <c r="CC35" s="127">
        <f t="shared" si="38"/>
        <v>1.7910804685522155E-2</v>
      </c>
      <c r="CD35" s="127" t="e">
        <f t="shared" si="39"/>
        <v>#N/A</v>
      </c>
      <c r="CE35" s="127" t="e">
        <f t="shared" si="40"/>
        <v>#N/A</v>
      </c>
      <c r="CF35" s="127" t="e">
        <f t="shared" si="41"/>
        <v>#N/A</v>
      </c>
      <c r="CG35" s="127" t="b">
        <f t="shared" si="42"/>
        <v>1</v>
      </c>
      <c r="CH35" s="127" t="b">
        <f t="shared" si="43"/>
        <v>0</v>
      </c>
      <c r="CI35" s="127" t="b">
        <f t="shared" si="44"/>
        <v>1</v>
      </c>
      <c r="CJ35" s="127" t="b">
        <f t="shared" si="45"/>
        <v>0</v>
      </c>
      <c r="CK35" s="127">
        <f t="shared" si="118"/>
        <v>1.7910804685522155E-2</v>
      </c>
      <c r="CL35" s="127">
        <f t="shared" si="47"/>
        <v>1.7910804685522155E-2</v>
      </c>
      <c r="CM35" s="127" t="e">
        <f t="shared" si="48"/>
        <v>#N/A</v>
      </c>
      <c r="CN35" s="128" t="str">
        <f t="shared" si="49"/>
        <v/>
      </c>
      <c r="CO35" s="54">
        <f>_xlfn.NORM.DIST(_xlfn.NORM.INV(1-Eu_g_konfidensniveau,0,1)-Eu_tabel_g[[#This Row],[x base]],0,1,TRUE)</f>
        <v>0.80136207310529262</v>
      </c>
      <c r="CP35" s="54">
        <f>1-_xlfn.NORM.DIST(_xlfn.NORM.INV(Eu_g_konfidensniveau,0,1)-Eu_tabel_g[[#This Row],[x base]],0,1,TRUE)</f>
        <v>1.7654938465727632E-5</v>
      </c>
      <c r="CQ35" s="54">
        <f>_xlfn.NORM.DIST(_xlfn.NORM.INV((1-Eu_g_konfidensniveau)/2,0,1)-Eu_tabel_g[[#This Row],[x base]],0,1,TRUE)+1-_xlfn.NORM.DIST(_xlfn.NORM.INV(1-(1-Eu_g_konfidensniveau)/2,0,1)-Eu_tabel_g[[#This Row],[x base]],0,1,TRUE)</f>
        <v>0.70242863858448579</v>
      </c>
      <c r="CR35" s="54" t="e" cm="1">
        <f t="array" ref="CR35">IF($CR$3,INDEX(Eu_tabel_g[[#This Row],[Styrke venstre]:[Styrke tosidet]],CR$7),NA())</f>
        <v>#N/A</v>
      </c>
      <c r="CS35" s="89" t="e">
        <f>Eu_tabel_g[[#This Row],[Falsk positiv
Nulhypotese accepteres
Fejltype 1]]</f>
        <v>#N/A</v>
      </c>
      <c r="CT35" s="89" t="e">
        <f>IF(CHOOSE(CR$7,Eu_tabel_g[[#This Row],[x base]]&gt;0,Eu_tabel_g[[#This Row],[x base]]&lt;0,Eu_tabel_g[[#This Row],[x base]]=0),Eu_tabel_g[[#This Row],[Styrke, aktiv]],NA())</f>
        <v>#N/A</v>
      </c>
      <c r="CU35" s="89" t="e">
        <f>IFERROR(IF($CR$3,Eu_tabel_g[[#This Row],[Styrke, aktiv]],NA()),NA())</f>
        <v>#N/A</v>
      </c>
      <c r="CV35" s="89" t="e">
        <f>IF(ISNA(Eu_tabel_g[[#This Row],[Sand negativ
Nulhypotese afvises
Korrekt]]),NA(),IF($CR$3,1,NA()))</f>
        <v>#N/A</v>
      </c>
      <c r="CW35" s="56" t="str" cm="1">
        <f t="array" ref="CW35">_xlfn.SWITCH(BZ35,_xlfn.IFNA(CU$2,-99),CU$5,_xlfn.IFNA(CU$3,-99),CU$6,_xlfn.IFNA(CU$4,-99),CU$7,"")</f>
        <v/>
      </c>
      <c r="DA35" s="7">
        <f t="shared" si="50"/>
        <v>0.8</v>
      </c>
      <c r="DB35">
        <f>IF(ROW(Styrkeberegning_G[[#This Row],[X base venstre]])=ROW(Styrkeberegning_G[[#Headers],[X base venstre]])+1,DB$7/(DA$7/$B$67),DB34/(DA34/$B$67))</f>
        <v>-2.8015817870135784</v>
      </c>
      <c r="DC35">
        <f>Styrkeberegning_G[[#This Row],[X base venstre]]*-1</f>
        <v>2.8015817870135784</v>
      </c>
      <c r="DN35" s="127">
        <f t="shared" si="51"/>
        <v>25</v>
      </c>
      <c r="DO35" s="54">
        <f t="shared" si="52"/>
        <v>26</v>
      </c>
      <c r="DP35" s="127">
        <f t="shared" si="53"/>
        <v>4.6856240750787155</v>
      </c>
      <c r="DQ35" s="127" t="e">
        <f t="shared" si="54"/>
        <v>#N/A</v>
      </c>
      <c r="DR35" s="127" t="e">
        <f t="shared" si="55"/>
        <v>#N/A</v>
      </c>
      <c r="DS35" s="127">
        <f t="shared" si="56"/>
        <v>4.2311790955508063E-2</v>
      </c>
      <c r="DT35" s="127" t="e">
        <f t="shared" si="57"/>
        <v>#N/A</v>
      </c>
      <c r="DU35" s="127" t="b">
        <f t="shared" si="58"/>
        <v>0</v>
      </c>
      <c r="DV35" s="127" t="b">
        <f t="shared" si="59"/>
        <v>1</v>
      </c>
      <c r="DW35" s="127" t="b">
        <f t="shared" si="60"/>
        <v>0</v>
      </c>
      <c r="DX35" s="127" t="b">
        <f t="shared" si="61"/>
        <v>1</v>
      </c>
      <c r="DY35" s="127">
        <f t="shared" si="62"/>
        <v>4.2311790955508063E-2</v>
      </c>
      <c r="DZ35" s="127" t="e">
        <f t="shared" si="63"/>
        <v>#N/A</v>
      </c>
      <c r="EA35" s="127">
        <f t="shared" si="64"/>
        <v>4.2311790955508063E-2</v>
      </c>
      <c r="EB35" s="128" t="str">
        <f t="shared" si="65"/>
        <v/>
      </c>
      <c r="EG35" s="127">
        <f t="shared" si="66"/>
        <v>25</v>
      </c>
      <c r="EH35" s="54">
        <f t="shared" si="67"/>
        <v>26</v>
      </c>
      <c r="EI35" s="127">
        <f t="shared" si="68"/>
        <v>-2.4913500762903302</v>
      </c>
      <c r="EJ35" s="127">
        <f t="shared" si="69"/>
        <v>1.7910804685522155E-2</v>
      </c>
      <c r="EK35" s="127" t="e">
        <f t="shared" si="70"/>
        <v>#N/A</v>
      </c>
      <c r="EL35" s="127" t="e">
        <f t="shared" si="71"/>
        <v>#N/A</v>
      </c>
      <c r="EM35" s="127" t="e">
        <f t="shared" si="72"/>
        <v>#N/A</v>
      </c>
      <c r="EN35" s="127" t="b">
        <f t="shared" si="73"/>
        <v>1</v>
      </c>
      <c r="EO35" s="127" t="b">
        <f t="shared" si="74"/>
        <v>0</v>
      </c>
      <c r="EP35" s="127" t="b">
        <f t="shared" si="75"/>
        <v>1</v>
      </c>
      <c r="EQ35" s="127" t="b">
        <f t="shared" si="76"/>
        <v>0</v>
      </c>
      <c r="ER35" s="127">
        <f t="shared" si="77"/>
        <v>1.7910804685522155E-2</v>
      </c>
      <c r="ES35" s="127">
        <f t="shared" si="78"/>
        <v>1.7910804685522155E-2</v>
      </c>
      <c r="ET35" s="127" t="e">
        <f t="shared" si="79"/>
        <v>#N/A</v>
      </c>
      <c r="EU35" s="128" t="str">
        <f t="shared" si="80"/>
        <v/>
      </c>
      <c r="EV3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3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3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35" s="54" t="e" cm="1">
        <f t="array" ref="EY35">IF($CR$3,INDEX(Eu_tabel_a[[#This Row],[Styrke venstre]:[Styrke tosidet]],EY$7),NA())</f>
        <v>#N/A</v>
      </c>
      <c r="EZ35" s="54" t="e">
        <f>IF(EY$3,IF(CHOOSE(EY$7,Eu_tabel_a[[#This Row],[x base]]&gt;0,Eu_tabel_a[[#This Row],[x base]]&lt;0,Eu_tabel_a[[#This Row],[x base]]=0),1,NA()),NA())</f>
        <v>#N/A</v>
      </c>
      <c r="FA35" s="54" t="e">
        <f>IF(CHOOSE(EY$7,Eu_tabel_a[[#This Row],[x base]]&gt;0,Eu_tabel_a[[#This Row],[x base]]&lt;0,Eu_tabel_a[[#This Row],[x base]]=0),Eu_tabel_a[[#This Row],[Styrke, aktiv]],NA())</f>
        <v>#N/A</v>
      </c>
      <c r="FB35" s="54" t="e">
        <f>IFERROR(IF($EY$3,Eu_tabel_a[[#This Row],[Styrke, aktiv]],NA()),NA())</f>
        <v>#N/A</v>
      </c>
      <c r="FC35" s="54" t="e">
        <f>IF(ISNA(Eu_tabel_a[[#This Row],[Sand negativ
Nulhypotese afvises
Korrekt]]),NA(),IF(EY$3,1,NA()))</f>
        <v>#N/A</v>
      </c>
      <c r="FD35" s="55" t="str" cm="1">
        <f t="array" ref="FD35">IFERROR(_xlfn.SWITCH(Eu_tabel_a[[#This Row],[Indeks]],_xlfn.IFNA(FB$2,-99),FB$5,_xlfn.IFNA(FB$3,-99),FB$6,_xlfn.IFNA(FB$4,-99),FB$7,""),"")</f>
        <v/>
      </c>
      <c r="FE35" s="54">
        <f>Eu_tabel_a[[#This Row],[x base]]*SQRT(Eu_a_h0_x*(1-Eu_a_h0_x)/Eu_a_n_x)+Eu_a_h0_x</f>
        <v>0</v>
      </c>
      <c r="FJ35" s="144" t="e">
        <f t="shared" si="18"/>
        <v>#N/A</v>
      </c>
      <c r="FK35" s="152" t="e">
        <f t="shared" si="113"/>
        <v>#DIV/0!</v>
      </c>
      <c r="FL35" s="7" t="e">
        <f t="shared" si="12"/>
        <v>#DIV/0!</v>
      </c>
      <c r="FM35" t="e">
        <f t="shared" si="114"/>
        <v>#DIV/0!</v>
      </c>
      <c r="FN35" s="8" t="e">
        <f t="shared" si="115"/>
        <v>#DIV/0!</v>
      </c>
      <c r="FO35" s="8" t="e">
        <f t="shared" si="116"/>
        <v>#DIV/0!</v>
      </c>
      <c r="FP35" s="151" t="e">
        <f t="shared" si="117"/>
        <v>#DIV/0!</v>
      </c>
      <c r="FQ35" s="144" t="e">
        <f t="shared" ca="1" si="13"/>
        <v>#N/A</v>
      </c>
      <c r="FR35" s="152" t="e" vm="3">
        <f t="shared" ca="1" si="19"/>
        <v>#VALUE!</v>
      </c>
      <c r="FS35" s="7" t="e" vm="3">
        <f t="shared" ca="1" si="14"/>
        <v>#VALUE!</v>
      </c>
      <c r="FT35" t="e" vm="3">
        <f t="shared" ca="1" si="8"/>
        <v>#VALUE!</v>
      </c>
      <c r="FU35" s="8" t="e" vm="3">
        <f t="shared" ca="1" si="9"/>
        <v>#VALUE!</v>
      </c>
      <c r="FV35" s="8" t="e" vm="3">
        <f t="shared" ca="1" si="10"/>
        <v>#VALUE!</v>
      </c>
      <c r="FW35" s="151" t="e" vm="3">
        <f t="shared" ca="1" si="11"/>
        <v>#VALUE!</v>
      </c>
      <c r="FX35" s="144" t="e">
        <f t="shared" si="15"/>
        <v>#N/A</v>
      </c>
      <c r="FY35" s="152" t="e">
        <f t="shared" si="20"/>
        <v>#N/A</v>
      </c>
      <c r="FZ35" s="7" t="e">
        <f t="shared" si="16"/>
        <v>#N/A</v>
      </c>
      <c r="GA35" t="e">
        <f t="shared" si="21"/>
        <v>#N/A</v>
      </c>
      <c r="GB35" s="8" t="e">
        <f t="shared" si="22"/>
        <v>#N/A</v>
      </c>
      <c r="GC35" s="8" t="e">
        <f t="shared" si="23"/>
        <v>#N/A</v>
      </c>
      <c r="GD35" s="151" t="e">
        <f t="shared" si="24"/>
        <v>#N/A</v>
      </c>
      <c r="GE35" s="144" t="e">
        <f t="shared" si="25"/>
        <v>#N/A</v>
      </c>
      <c r="GF35" s="152" t="e">
        <f t="shared" si="26"/>
        <v>#N/A</v>
      </c>
      <c r="GG35" s="7" t="e">
        <f t="shared" si="17"/>
        <v>#N/A</v>
      </c>
      <c r="GH35" t="e">
        <f t="shared" si="27"/>
        <v>#N/A</v>
      </c>
      <c r="GI35" s="8" t="e">
        <f t="shared" si="28"/>
        <v>#N/A</v>
      </c>
      <c r="GJ35" s="8" t="e">
        <f t="shared" si="29"/>
        <v>#N/A</v>
      </c>
      <c r="GK35" s="151" t="e">
        <f t="shared" si="30"/>
        <v>#N/A</v>
      </c>
      <c r="GL35" s="151"/>
      <c r="GM35" s="151"/>
      <c r="GP35" s="127">
        <f t="shared" si="81"/>
        <v>25</v>
      </c>
      <c r="GQ35" s="54">
        <f t="shared" si="82"/>
        <v>26</v>
      </c>
      <c r="GR35" s="127">
        <f t="shared" si="83"/>
        <v>-2.4913500762903302</v>
      </c>
      <c r="GS35" s="127">
        <f t="shared" si="84"/>
        <v>1.7910804685522155E-2</v>
      </c>
      <c r="GT35" s="127" t="e">
        <f t="shared" si="85"/>
        <v>#N/A</v>
      </c>
      <c r="GU35" s="127" t="e">
        <f t="shared" si="86"/>
        <v>#N/A</v>
      </c>
      <c r="GV35" s="127" t="e">
        <f t="shared" si="87"/>
        <v>#N/A</v>
      </c>
      <c r="GW35" s="127" t="b">
        <f t="shared" si="88"/>
        <v>1</v>
      </c>
      <c r="GX35" s="127" t="b">
        <f t="shared" si="89"/>
        <v>0</v>
      </c>
      <c r="GY35" s="127" t="b">
        <f t="shared" si="90"/>
        <v>1</v>
      </c>
      <c r="GZ35" s="127" t="b">
        <f t="shared" si="91"/>
        <v>0</v>
      </c>
      <c r="HA35" s="127">
        <f t="shared" si="92"/>
        <v>1.7910804685522155E-2</v>
      </c>
      <c r="HB35" s="127">
        <f t="shared" si="93"/>
        <v>1.7910804685522155E-2</v>
      </c>
      <c r="HC35" s="127" t="e">
        <f t="shared" si="94"/>
        <v>#N/A</v>
      </c>
      <c r="HD35" s="128" t="str">
        <f t="shared" si="95"/>
        <v/>
      </c>
      <c r="HJ35" s="127">
        <f t="shared" si="96"/>
        <v>25</v>
      </c>
      <c r="HK35" s="54">
        <f t="shared" si="97"/>
        <v>26</v>
      </c>
      <c r="HL35" s="127">
        <f t="shared" si="98"/>
        <v>-3.8579079176619118</v>
      </c>
      <c r="HM35" s="127" t="e">
        <f t="shared" si="99"/>
        <v>#N/A</v>
      </c>
      <c r="HN35" s="127">
        <f t="shared" si="100"/>
        <v>4.0306937646998392E-3</v>
      </c>
      <c r="HO35" s="127" t="e">
        <f t="shared" si="101"/>
        <v>#N/A</v>
      </c>
      <c r="HP35" s="127" t="e">
        <f t="shared" si="102"/>
        <v>#N/A</v>
      </c>
      <c r="HQ35" s="127" t="b">
        <f t="shared" si="103"/>
        <v>1</v>
      </c>
      <c r="HR35" s="127" t="b">
        <f t="shared" si="104"/>
        <v>0</v>
      </c>
      <c r="HS35" s="127" t="b">
        <f t="shared" si="105"/>
        <v>1</v>
      </c>
      <c r="HT35" s="127" t="b">
        <f t="shared" si="106"/>
        <v>0</v>
      </c>
      <c r="HU35" s="127">
        <f t="shared" si="107"/>
        <v>4.0306937646998392E-3</v>
      </c>
      <c r="HV35" s="127">
        <f t="shared" si="108"/>
        <v>4.0306937646998392E-3</v>
      </c>
      <c r="HW35" s="127" t="e">
        <f t="shared" si="109"/>
        <v>#N/A</v>
      </c>
      <c r="HX35" s="128" t="str">
        <f t="shared" si="110"/>
        <v/>
      </c>
    </row>
    <row r="36" spans="1:232" x14ac:dyDescent="0.2">
      <c r="A36" s="63" t="str">
        <v>Antal observationer er større end 30</v>
      </c>
      <c r="B36" s="62"/>
      <c r="C36" s="60" t="str">
        <v>Ikke opfyldt</v>
      </c>
      <c r="E36" s="90" t="str">
        <v>Hypotesetype</v>
      </c>
      <c r="F36" s="205" t="str">
        <v>Konfidensinterval</v>
      </c>
      <c r="H36" s="63" t="str">
        <v>Populationen er normalfordelt</v>
      </c>
      <c r="I36" s="62"/>
      <c r="J36" s="60" t="str">
        <v>Skal vurderes</v>
      </c>
      <c r="L36" s="90" t="str">
        <v>Hypotesetype</v>
      </c>
      <c r="M36" s="92" t="str">
        <v>Konfidensinterval</v>
      </c>
      <c r="N36" s="132"/>
      <c r="O36" s="63" t="str">
        <v>Forudsætningsformlen n * p̂ * ( 1 - p̂ ) &gt; 9 er opfyldt</v>
      </c>
      <c r="P36" s="62"/>
      <c r="Q36" s="60" t="str">
        <v>Ikke opfyldt</v>
      </c>
      <c r="S36" s="90" t="str">
        <v>Hypotesetype</v>
      </c>
      <c r="T36" s="92" t="str">
        <v>Konfidensinterval</v>
      </c>
      <c r="V36" s="63" t="str">
        <v>Forudsætningsformlen λ̂ * n &gt; 9 er opfyldt</v>
      </c>
      <c r="W36" s="62"/>
      <c r="X36" s="60" t="str">
        <v>Opfyldt</v>
      </c>
      <c r="Z36" s="90" t="str">
        <v>Hypotesetype</v>
      </c>
      <c r="AA36" s="92" t="str">
        <v>Konfidensinterval</v>
      </c>
      <c r="AC36" s="63" t="str">
        <v>Forudsætningerne for den lineære regression er opfyldt</v>
      </c>
      <c r="AD36" s="62"/>
      <c r="AE36" s="60" t="str">
        <v>Skal vurderes</v>
      </c>
      <c r="AG36" s="90" t="str">
        <v>Hypotesetype</v>
      </c>
      <c r="AH36" s="92" t="str">
        <v>Venstresidet hypotese om værdi</v>
      </c>
      <c r="BE36" s="57" t="s">
        <v>162</v>
      </c>
      <c r="BF36" s="59"/>
      <c r="BG36" s="59"/>
      <c r="BH36" s="59"/>
      <c r="BI36" s="59"/>
      <c r="BJ36" s="59"/>
      <c r="BL36" s="90" t="s">
        <v>454</v>
      </c>
      <c r="BM36" s="203" cm="1">
        <f t="array" ref="BM36">IF($BH$2,INDEX(E_a_valg[Højre label base],E_a_aktiv),NA())</f>
        <v>0.63273238673900933</v>
      </c>
      <c r="BZ36" s="127">
        <f t="shared" si="36"/>
        <v>26</v>
      </c>
      <c r="CA36" s="54">
        <f>Eu_tabel_g[[#This Row],[Indeks]]+1</f>
        <v>27</v>
      </c>
      <c r="CB36" s="127">
        <f t="shared" si="37"/>
        <v>-2.4673947870952309</v>
      </c>
      <c r="CC36" s="127">
        <f t="shared" si="38"/>
        <v>1.9006826955669413E-2</v>
      </c>
      <c r="CD36" s="127" t="e">
        <f t="shared" si="39"/>
        <v>#N/A</v>
      </c>
      <c r="CE36" s="127" t="e">
        <f t="shared" si="40"/>
        <v>#N/A</v>
      </c>
      <c r="CF36" s="127" t="e">
        <f t="shared" si="41"/>
        <v>#N/A</v>
      </c>
      <c r="CG36" s="127" t="b">
        <f t="shared" si="42"/>
        <v>1</v>
      </c>
      <c r="CH36" s="127" t="b">
        <f t="shared" si="43"/>
        <v>0</v>
      </c>
      <c r="CI36" s="127" t="b">
        <f t="shared" si="44"/>
        <v>1</v>
      </c>
      <c r="CJ36" s="127" t="b">
        <f t="shared" si="45"/>
        <v>0</v>
      </c>
      <c r="CK36" s="127">
        <f t="shared" si="118"/>
        <v>1.9006826955669413E-2</v>
      </c>
      <c r="CL36" s="127">
        <f t="shared" si="47"/>
        <v>1.9006826955669413E-2</v>
      </c>
      <c r="CM36" s="127" t="e">
        <f t="shared" si="48"/>
        <v>#N/A</v>
      </c>
      <c r="CN36" s="128" t="str">
        <f t="shared" si="49"/>
        <v/>
      </c>
      <c r="CO36" s="54">
        <f>_xlfn.NORM.DIST(_xlfn.NORM.INV(1-Eu_g_konfidensniveau,0,1)-Eu_tabel_g[[#This Row],[x base]],0,1,TRUE)</f>
        <v>0.79461551453892731</v>
      </c>
      <c r="CP36" s="54">
        <f>1-_xlfn.NORM.DIST(_xlfn.NORM.INV(Eu_g_konfidensniveau,0,1)-Eu_tabel_g[[#This Row],[x base]],0,1,TRUE)</f>
        <v>1.9591217965242436E-5</v>
      </c>
      <c r="CQ36" s="54">
        <f>_xlfn.NORM.DIST(_xlfn.NORM.INV((1-Eu_g_konfidensniveau)/2,0,1)-Eu_tabel_g[[#This Row],[x base]],0,1,TRUE)+1-_xlfn.NORM.DIST(_xlfn.NORM.INV(1-(1-Eu_g_konfidensniveau)/2,0,1)-Eu_tabel_g[[#This Row],[x base]],0,1,TRUE)</f>
        <v>0.6940784809255639</v>
      </c>
      <c r="CR36" s="54" t="e" cm="1">
        <f t="array" ref="CR36">IF($CR$3,INDEX(Eu_tabel_g[[#This Row],[Styrke venstre]:[Styrke tosidet]],CR$7),NA())</f>
        <v>#N/A</v>
      </c>
      <c r="CS36" s="89" t="e">
        <f>Eu_tabel_g[[#This Row],[Falsk positiv
Nulhypotese accepteres
Fejltype 1]]</f>
        <v>#N/A</v>
      </c>
      <c r="CT36" s="89" t="e">
        <f>IF(CHOOSE(CR$7,Eu_tabel_g[[#This Row],[x base]]&gt;0,Eu_tabel_g[[#This Row],[x base]]&lt;0,Eu_tabel_g[[#This Row],[x base]]=0),Eu_tabel_g[[#This Row],[Styrke, aktiv]],NA())</f>
        <v>#N/A</v>
      </c>
      <c r="CU36" s="89" t="e">
        <f>IFERROR(IF($CR$3,Eu_tabel_g[[#This Row],[Styrke, aktiv]],NA()),NA())</f>
        <v>#N/A</v>
      </c>
      <c r="CV36" s="89" t="e">
        <f>IF(ISNA(Eu_tabel_g[[#This Row],[Sand negativ
Nulhypotese afvises
Korrekt]]),NA(),IF($CR$3,1,NA()))</f>
        <v>#N/A</v>
      </c>
      <c r="CW36" s="56" t="str" cm="1">
        <f t="array" ref="CW36">_xlfn.SWITCH(BZ36,_xlfn.IFNA(CU$2,-99),CU$5,_xlfn.IFNA(CU$3,-99),CU$6,_xlfn.IFNA(CU$4,-99),CU$7,"")</f>
        <v/>
      </c>
      <c r="DA36" s="7">
        <f t="shared" si="50"/>
        <v>0.8</v>
      </c>
      <c r="DB36">
        <f>IF(ROW(Styrkeberegning_G[[#This Row],[X base venstre]])=ROW(Styrkeberegning_G[[#Headers],[X base venstre]])+1,DB$7/(DA$7/$B$67),DB35/(DA35/$B$67))</f>
        <v>-2.8015817870135784</v>
      </c>
      <c r="DC36">
        <f>Styrkeberegning_G[[#This Row],[X base venstre]]*-1</f>
        <v>2.8015817870135784</v>
      </c>
      <c r="DN36" s="127">
        <f t="shared" si="51"/>
        <v>26</v>
      </c>
      <c r="DO36" s="54">
        <f t="shared" si="52"/>
        <v>27</v>
      </c>
      <c r="DP36" s="127">
        <f t="shared" si="53"/>
        <v>4.7996949314957167</v>
      </c>
      <c r="DQ36" s="127" t="e">
        <f t="shared" si="54"/>
        <v>#N/A</v>
      </c>
      <c r="DR36" s="127" t="e">
        <f t="shared" si="55"/>
        <v>#N/A</v>
      </c>
      <c r="DS36" s="127">
        <f t="shared" si="56"/>
        <v>4.4534758418438077E-2</v>
      </c>
      <c r="DT36" s="127" t="e">
        <f t="shared" si="57"/>
        <v>#N/A</v>
      </c>
      <c r="DU36" s="127" t="b">
        <f t="shared" si="58"/>
        <v>0</v>
      </c>
      <c r="DV36" s="127" t="b">
        <f t="shared" si="59"/>
        <v>1</v>
      </c>
      <c r="DW36" s="127" t="b">
        <f t="shared" si="60"/>
        <v>0</v>
      </c>
      <c r="DX36" s="127" t="b">
        <f t="shared" si="61"/>
        <v>1</v>
      </c>
      <c r="DY36" s="127">
        <f t="shared" si="62"/>
        <v>4.4534758418438077E-2</v>
      </c>
      <c r="DZ36" s="127" t="e">
        <f t="shared" si="63"/>
        <v>#N/A</v>
      </c>
      <c r="EA36" s="127">
        <f t="shared" si="64"/>
        <v>4.4534758418438077E-2</v>
      </c>
      <c r="EB36" s="128" t="str">
        <f t="shared" si="65"/>
        <v/>
      </c>
      <c r="EG36" s="127">
        <f t="shared" si="66"/>
        <v>26</v>
      </c>
      <c r="EH36" s="54">
        <f t="shared" si="67"/>
        <v>27</v>
      </c>
      <c r="EI36" s="127">
        <f t="shared" si="68"/>
        <v>-2.4673947870952309</v>
      </c>
      <c r="EJ36" s="127">
        <f t="shared" si="69"/>
        <v>1.9006826955669413E-2</v>
      </c>
      <c r="EK36" s="127" t="e">
        <f t="shared" si="70"/>
        <v>#N/A</v>
      </c>
      <c r="EL36" s="127" t="e">
        <f t="shared" si="71"/>
        <v>#N/A</v>
      </c>
      <c r="EM36" s="127" t="e">
        <f t="shared" si="72"/>
        <v>#N/A</v>
      </c>
      <c r="EN36" s="127" t="b">
        <f t="shared" si="73"/>
        <v>1</v>
      </c>
      <c r="EO36" s="127" t="b">
        <f t="shared" si="74"/>
        <v>0</v>
      </c>
      <c r="EP36" s="127" t="b">
        <f t="shared" si="75"/>
        <v>1</v>
      </c>
      <c r="EQ36" s="127" t="b">
        <f t="shared" si="76"/>
        <v>0</v>
      </c>
      <c r="ER36" s="127">
        <f t="shared" si="77"/>
        <v>1.9006826955669413E-2</v>
      </c>
      <c r="ES36" s="127">
        <f t="shared" si="78"/>
        <v>1.9006826955669413E-2</v>
      </c>
      <c r="ET36" s="127" t="e">
        <f t="shared" si="79"/>
        <v>#N/A</v>
      </c>
      <c r="EU36" s="128" t="str">
        <f t="shared" si="80"/>
        <v/>
      </c>
      <c r="EV3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3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3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36" s="54" t="e" cm="1">
        <f t="array" ref="EY36">IF($CR$3,INDEX(Eu_tabel_a[[#This Row],[Styrke venstre]:[Styrke tosidet]],EY$7),NA())</f>
        <v>#N/A</v>
      </c>
      <c r="EZ36" s="54" t="e">
        <f>IF(EY$3,IF(CHOOSE(EY$7,Eu_tabel_a[[#This Row],[x base]]&gt;0,Eu_tabel_a[[#This Row],[x base]]&lt;0,Eu_tabel_a[[#This Row],[x base]]=0),1,NA()),NA())</f>
        <v>#N/A</v>
      </c>
      <c r="FA36" s="54" t="e">
        <f>IF(CHOOSE(EY$7,Eu_tabel_a[[#This Row],[x base]]&gt;0,Eu_tabel_a[[#This Row],[x base]]&lt;0,Eu_tabel_a[[#This Row],[x base]]=0),Eu_tabel_a[[#This Row],[Styrke, aktiv]],NA())</f>
        <v>#N/A</v>
      </c>
      <c r="FB36" s="54" t="e">
        <f>IFERROR(IF($EY$3,Eu_tabel_a[[#This Row],[Styrke, aktiv]],NA()),NA())</f>
        <v>#N/A</v>
      </c>
      <c r="FC36" s="54" t="e">
        <f>IF(ISNA(Eu_tabel_a[[#This Row],[Sand negativ
Nulhypotese afvises
Korrekt]]),NA(),IF(EY$3,1,NA()))</f>
        <v>#N/A</v>
      </c>
      <c r="FD36" s="55" t="str" cm="1">
        <f t="array" ref="FD36">IFERROR(_xlfn.SWITCH(Eu_tabel_a[[#This Row],[Indeks]],_xlfn.IFNA(FB$2,-99),FB$5,_xlfn.IFNA(FB$3,-99),FB$6,_xlfn.IFNA(FB$4,-99),FB$7,""),"")</f>
        <v/>
      </c>
      <c r="FE36" s="54">
        <f>Eu_tabel_a[[#This Row],[x base]]*SQRT(Eu_a_h0_x*(1-Eu_a_h0_x)/Eu_a_n_x)+Eu_a_h0_x</f>
        <v>0</v>
      </c>
      <c r="FJ36" s="144" t="e">
        <f t="shared" si="18"/>
        <v>#N/A</v>
      </c>
      <c r="FK36" s="152" t="e">
        <f t="shared" si="113"/>
        <v>#DIV/0!</v>
      </c>
      <c r="FL36" s="7" t="e">
        <f t="shared" si="12"/>
        <v>#DIV/0!</v>
      </c>
      <c r="FM36" t="e">
        <f t="shared" si="114"/>
        <v>#DIV/0!</v>
      </c>
      <c r="FN36" s="8" t="e">
        <f t="shared" si="115"/>
        <v>#DIV/0!</v>
      </c>
      <c r="FO36" s="8" t="e">
        <f t="shared" si="116"/>
        <v>#DIV/0!</v>
      </c>
      <c r="FP36" s="151" t="e">
        <f t="shared" si="117"/>
        <v>#DIV/0!</v>
      </c>
      <c r="FQ36" s="144" t="e">
        <f t="shared" ca="1" si="13"/>
        <v>#N/A</v>
      </c>
      <c r="FR36" s="152" t="e" vm="3">
        <f t="shared" ca="1" si="19"/>
        <v>#VALUE!</v>
      </c>
      <c r="FS36" s="7" t="e" vm="3">
        <f t="shared" ca="1" si="14"/>
        <v>#VALUE!</v>
      </c>
      <c r="FT36" t="e" vm="3">
        <f t="shared" ca="1" si="8"/>
        <v>#VALUE!</v>
      </c>
      <c r="FU36" s="8" t="e" vm="3">
        <f t="shared" ca="1" si="9"/>
        <v>#VALUE!</v>
      </c>
      <c r="FV36" s="8" t="e" vm="3">
        <f t="shared" ca="1" si="10"/>
        <v>#VALUE!</v>
      </c>
      <c r="FW36" s="151" t="e" vm="3">
        <f t="shared" ca="1" si="11"/>
        <v>#VALUE!</v>
      </c>
      <c r="FX36" s="144" t="e">
        <f t="shared" si="15"/>
        <v>#N/A</v>
      </c>
      <c r="FY36" s="152" t="e">
        <f t="shared" si="20"/>
        <v>#N/A</v>
      </c>
      <c r="FZ36" s="7" t="e">
        <f t="shared" si="16"/>
        <v>#N/A</v>
      </c>
      <c r="GA36" t="e">
        <f t="shared" si="21"/>
        <v>#N/A</v>
      </c>
      <c r="GB36" s="8" t="e">
        <f t="shared" si="22"/>
        <v>#N/A</v>
      </c>
      <c r="GC36" s="8" t="e">
        <f t="shared" si="23"/>
        <v>#N/A</v>
      </c>
      <c r="GD36" s="151" t="e">
        <f t="shared" si="24"/>
        <v>#N/A</v>
      </c>
      <c r="GE36" s="144" t="e">
        <f t="shared" si="25"/>
        <v>#N/A</v>
      </c>
      <c r="GF36" s="152" t="e">
        <f t="shared" si="26"/>
        <v>#N/A</v>
      </c>
      <c r="GG36" s="7" t="e">
        <f t="shared" si="17"/>
        <v>#N/A</v>
      </c>
      <c r="GH36" t="e">
        <f t="shared" si="27"/>
        <v>#N/A</v>
      </c>
      <c r="GI36" s="8" t="e">
        <f t="shared" si="28"/>
        <v>#N/A</v>
      </c>
      <c r="GJ36" s="8" t="e">
        <f t="shared" si="29"/>
        <v>#N/A</v>
      </c>
      <c r="GK36" s="151" t="e">
        <f t="shared" si="30"/>
        <v>#N/A</v>
      </c>
      <c r="GL36" s="151"/>
      <c r="GM36" s="151"/>
      <c r="GP36" s="127">
        <f t="shared" si="81"/>
        <v>26</v>
      </c>
      <c r="GQ36" s="54">
        <f t="shared" si="82"/>
        <v>27</v>
      </c>
      <c r="GR36" s="127">
        <f t="shared" si="83"/>
        <v>-2.4673947870952309</v>
      </c>
      <c r="GS36" s="127">
        <f t="shared" si="84"/>
        <v>1.9006826955669413E-2</v>
      </c>
      <c r="GT36" s="127" t="e">
        <f t="shared" si="85"/>
        <v>#N/A</v>
      </c>
      <c r="GU36" s="127" t="e">
        <f t="shared" si="86"/>
        <v>#N/A</v>
      </c>
      <c r="GV36" s="127" t="e">
        <f t="shared" si="87"/>
        <v>#N/A</v>
      </c>
      <c r="GW36" s="127" t="b">
        <f t="shared" si="88"/>
        <v>1</v>
      </c>
      <c r="GX36" s="127" t="b">
        <f t="shared" si="89"/>
        <v>0</v>
      </c>
      <c r="GY36" s="127" t="b">
        <f t="shared" si="90"/>
        <v>1</v>
      </c>
      <c r="GZ36" s="127" t="b">
        <f t="shared" si="91"/>
        <v>0</v>
      </c>
      <c r="HA36" s="127">
        <f t="shared" si="92"/>
        <v>1.9006826955669413E-2</v>
      </c>
      <c r="HB36" s="127">
        <f t="shared" si="93"/>
        <v>1.9006826955669413E-2</v>
      </c>
      <c r="HC36" s="127" t="e">
        <f t="shared" si="94"/>
        <v>#N/A</v>
      </c>
      <c r="HD36" s="128" t="str">
        <f t="shared" si="95"/>
        <v/>
      </c>
      <c r="HJ36" s="127">
        <f t="shared" si="96"/>
        <v>26</v>
      </c>
      <c r="HK36" s="54">
        <f t="shared" si="97"/>
        <v>27</v>
      </c>
      <c r="HL36" s="127">
        <f t="shared" si="98"/>
        <v>-3.8208126492228551</v>
      </c>
      <c r="HM36" s="127" t="e">
        <f t="shared" si="99"/>
        <v>#N/A</v>
      </c>
      <c r="HN36" s="127">
        <f t="shared" si="100"/>
        <v>4.2475655672530406E-3</v>
      </c>
      <c r="HO36" s="127" t="e">
        <f t="shared" si="101"/>
        <v>#N/A</v>
      </c>
      <c r="HP36" s="127" t="e">
        <f t="shared" si="102"/>
        <v>#N/A</v>
      </c>
      <c r="HQ36" s="127" t="b">
        <f t="shared" si="103"/>
        <v>1</v>
      </c>
      <c r="HR36" s="127" t="b">
        <f t="shared" si="104"/>
        <v>0</v>
      </c>
      <c r="HS36" s="127" t="b">
        <f t="shared" si="105"/>
        <v>1</v>
      </c>
      <c r="HT36" s="127" t="b">
        <f t="shared" si="106"/>
        <v>0</v>
      </c>
      <c r="HU36" s="127">
        <f t="shared" si="107"/>
        <v>4.2475655672530406E-3</v>
      </c>
      <c r="HV36" s="127">
        <f t="shared" si="108"/>
        <v>4.2475655672530406E-3</v>
      </c>
      <c r="HW36" s="127" t="e">
        <f t="shared" si="109"/>
        <v>#N/A</v>
      </c>
      <c r="HX36" s="128" t="str">
        <f t="shared" si="110"/>
        <v/>
      </c>
    </row>
    <row r="37" spans="1:232" x14ac:dyDescent="0.2">
      <c r="A37" s="63" t="str">
        <v>Standardafvigelse i populationen er ikke kendt</v>
      </c>
      <c r="B37" s="62"/>
      <c r="C37" s="60" t="str">
        <v>Skal vurderes</v>
      </c>
      <c r="E37" s="90" t="str">
        <v>Beregningsmetode</v>
      </c>
      <c r="F37" s="205" t="str">
        <v>Normalfordeling</v>
      </c>
      <c r="H37" s="63"/>
      <c r="I37" s="62"/>
      <c r="J37" s="60"/>
      <c r="L37" s="90" t="str">
        <v>Beregningsmetode</v>
      </c>
      <c r="M37" s="92" t="str">
        <v>Chi-i-anden-fordeling</v>
      </c>
      <c r="N37" s="132"/>
      <c r="O37" s="63"/>
      <c r="P37" s="62"/>
      <c r="Q37" s="60"/>
      <c r="S37" s="90" t="str">
        <v>Beregningsmetode</v>
      </c>
      <c r="T37" s="92" t="str">
        <v>Normalfordeling</v>
      </c>
      <c r="V37" s="63"/>
      <c r="W37" s="62"/>
      <c r="X37" s="60"/>
      <c r="Z37" s="90" t="str">
        <v>Beregningsmetode</v>
      </c>
      <c r="AA37" s="92" t="str">
        <v>Normalfordeling</v>
      </c>
      <c r="AC37" s="63"/>
      <c r="AD37" s="62"/>
      <c r="AE37" s="60"/>
      <c r="AG37" s="90" t="str">
        <v>Beregningsmetode</v>
      </c>
      <c r="AH37" s="92" t="str">
        <v>t-fordeling</v>
      </c>
      <c r="BE37" s="90"/>
      <c r="BJ37" s="90" t="s">
        <v>1164</v>
      </c>
      <c r="BL37" s="90" t="s">
        <v>456</v>
      </c>
      <c r="BM37" s="203" t="e" cm="1">
        <f t="array" ref="BM37">IF(NOT($BH$2),INDEX(E_a_valg[Fordeling],E_a_aktiv),NA())</f>
        <v>#N/A</v>
      </c>
      <c r="BZ37" s="127">
        <f t="shared" si="36"/>
        <v>27</v>
      </c>
      <c r="CA37" s="54">
        <f>Eu_tabel_g[[#This Row],[Indeks]]+1</f>
        <v>28</v>
      </c>
      <c r="CB37" s="127">
        <f t="shared" si="37"/>
        <v>-2.4434394979001315</v>
      </c>
      <c r="CC37" s="127">
        <f t="shared" si="38"/>
        <v>2.0158347202276675E-2</v>
      </c>
      <c r="CD37" s="127" t="e">
        <f t="shared" si="39"/>
        <v>#N/A</v>
      </c>
      <c r="CE37" s="127" t="e">
        <f t="shared" si="40"/>
        <v>#N/A</v>
      </c>
      <c r="CF37" s="127" t="e">
        <f t="shared" si="41"/>
        <v>#N/A</v>
      </c>
      <c r="CG37" s="127" t="b">
        <f t="shared" si="42"/>
        <v>1</v>
      </c>
      <c r="CH37" s="127" t="b">
        <f t="shared" si="43"/>
        <v>0</v>
      </c>
      <c r="CI37" s="127" t="b">
        <f t="shared" si="44"/>
        <v>1</v>
      </c>
      <c r="CJ37" s="127" t="b">
        <f t="shared" si="45"/>
        <v>0</v>
      </c>
      <c r="CK37" s="127">
        <f t="shared" si="118"/>
        <v>2.0158347202276675E-2</v>
      </c>
      <c r="CL37" s="127">
        <f t="shared" si="47"/>
        <v>2.0158347202276675E-2</v>
      </c>
      <c r="CM37" s="127" t="e">
        <f t="shared" si="48"/>
        <v>#N/A</v>
      </c>
      <c r="CN37" s="128" t="str">
        <f t="shared" si="49"/>
        <v/>
      </c>
      <c r="CO37" s="54">
        <f>_xlfn.NORM.DIST(_xlfn.NORM.INV(1-Eu_g_konfidensniveau,0,1)-Eu_tabel_g[[#This Row],[x base]],0,1,TRUE)</f>
        <v>0.78773470849961547</v>
      </c>
      <c r="CP37" s="54">
        <f>1-_xlfn.NORM.DIST(_xlfn.NORM.INV(Eu_g_konfidensniveau,0,1)-Eu_tabel_g[[#This Row],[x base]],0,1,TRUE)</f>
        <v>2.1727941800664397E-5</v>
      </c>
      <c r="CQ37" s="54">
        <f>_xlfn.NORM.DIST(_xlfn.NORM.INV((1-Eu_g_konfidensniveau)/2,0,1)-Eu_tabel_g[[#This Row],[x base]],0,1,TRUE)+1-_xlfn.NORM.DIST(_xlfn.NORM.INV(1-(1-Eu_g_konfidensniveau)/2,0,1)-Eu_tabel_g[[#This Row],[x base]],0,1,TRUE)</f>
        <v>0.68562625721916726</v>
      </c>
      <c r="CR37" s="54" t="e" cm="1">
        <f t="array" ref="CR37">IF($CR$3,INDEX(Eu_tabel_g[[#This Row],[Styrke venstre]:[Styrke tosidet]],CR$7),NA())</f>
        <v>#N/A</v>
      </c>
      <c r="CS37" s="89" t="e">
        <f>Eu_tabel_g[[#This Row],[Falsk positiv
Nulhypotese accepteres
Fejltype 1]]</f>
        <v>#N/A</v>
      </c>
      <c r="CT37" s="89" t="e">
        <f>IF(CHOOSE(CR$7,Eu_tabel_g[[#This Row],[x base]]&gt;0,Eu_tabel_g[[#This Row],[x base]]&lt;0,Eu_tabel_g[[#This Row],[x base]]=0),Eu_tabel_g[[#This Row],[Styrke, aktiv]],NA())</f>
        <v>#N/A</v>
      </c>
      <c r="CU37" s="89" t="e">
        <f>IFERROR(IF($CR$3,Eu_tabel_g[[#This Row],[Styrke, aktiv]],NA()),NA())</f>
        <v>#N/A</v>
      </c>
      <c r="CV37" s="89" t="e">
        <f>IF(ISNA(Eu_tabel_g[[#This Row],[Sand negativ
Nulhypotese afvises
Korrekt]]),NA(),IF($CR$3,1,NA()))</f>
        <v>#N/A</v>
      </c>
      <c r="CW37" s="56" t="str" cm="1">
        <f t="array" ref="CW37">_xlfn.SWITCH(BZ37,_xlfn.IFNA(CU$2,-99),CU$5,_xlfn.IFNA(CU$3,-99),CU$6,_xlfn.IFNA(CU$4,-99),CU$7,"")</f>
        <v/>
      </c>
      <c r="DA37" s="7">
        <f t="shared" si="50"/>
        <v>0.8</v>
      </c>
      <c r="DB37">
        <f>IF(ROW(Styrkeberegning_G[[#This Row],[X base venstre]])=ROW(Styrkeberegning_G[[#Headers],[X base venstre]])+1,DB$7/(DA$7/$B$67),DB36/(DA36/$B$67))</f>
        <v>-2.8015817870135784</v>
      </c>
      <c r="DC37">
        <f>Styrkeberegning_G[[#This Row],[X base venstre]]*-1</f>
        <v>2.8015817870135784</v>
      </c>
      <c r="DN37" s="127">
        <f t="shared" si="51"/>
        <v>27</v>
      </c>
      <c r="DO37" s="54">
        <f t="shared" si="52"/>
        <v>28</v>
      </c>
      <c r="DP37" s="127">
        <f t="shared" si="53"/>
        <v>4.913765787912717</v>
      </c>
      <c r="DQ37" s="127" t="e">
        <f t="shared" si="54"/>
        <v>#N/A</v>
      </c>
      <c r="DR37" s="127" t="e">
        <f t="shared" si="55"/>
        <v>#N/A</v>
      </c>
      <c r="DS37" s="127">
        <f t="shared" si="56"/>
        <v>4.6755489566712091E-2</v>
      </c>
      <c r="DT37" s="127" t="e">
        <f t="shared" si="57"/>
        <v>#N/A</v>
      </c>
      <c r="DU37" s="127" t="b">
        <f t="shared" si="58"/>
        <v>0</v>
      </c>
      <c r="DV37" s="127" t="b">
        <f t="shared" si="59"/>
        <v>1</v>
      </c>
      <c r="DW37" s="127" t="b">
        <f t="shared" si="60"/>
        <v>0</v>
      </c>
      <c r="DX37" s="127" t="b">
        <f t="shared" si="61"/>
        <v>1</v>
      </c>
      <c r="DY37" s="127">
        <f t="shared" si="62"/>
        <v>4.6755489566712091E-2</v>
      </c>
      <c r="DZ37" s="127" t="e">
        <f t="shared" si="63"/>
        <v>#N/A</v>
      </c>
      <c r="EA37" s="127">
        <f t="shared" si="64"/>
        <v>4.6755489566712091E-2</v>
      </c>
      <c r="EB37" s="128" t="str">
        <f t="shared" si="65"/>
        <v/>
      </c>
      <c r="EG37" s="127">
        <f t="shared" si="66"/>
        <v>27</v>
      </c>
      <c r="EH37" s="54">
        <f t="shared" si="67"/>
        <v>28</v>
      </c>
      <c r="EI37" s="127">
        <f t="shared" si="68"/>
        <v>-2.4434394979001315</v>
      </c>
      <c r="EJ37" s="127">
        <f t="shared" si="69"/>
        <v>2.0158347202276675E-2</v>
      </c>
      <c r="EK37" s="127" t="e">
        <f t="shared" si="70"/>
        <v>#N/A</v>
      </c>
      <c r="EL37" s="127" t="e">
        <f t="shared" si="71"/>
        <v>#N/A</v>
      </c>
      <c r="EM37" s="127" t="e">
        <f t="shared" si="72"/>
        <v>#N/A</v>
      </c>
      <c r="EN37" s="127" t="b">
        <f t="shared" si="73"/>
        <v>1</v>
      </c>
      <c r="EO37" s="127" t="b">
        <f t="shared" si="74"/>
        <v>0</v>
      </c>
      <c r="EP37" s="127" t="b">
        <f t="shared" si="75"/>
        <v>1</v>
      </c>
      <c r="EQ37" s="127" t="b">
        <f t="shared" si="76"/>
        <v>0</v>
      </c>
      <c r="ER37" s="127">
        <f t="shared" si="77"/>
        <v>2.0158347202276675E-2</v>
      </c>
      <c r="ES37" s="127">
        <f t="shared" si="78"/>
        <v>2.0158347202276675E-2</v>
      </c>
      <c r="ET37" s="127" t="e">
        <f t="shared" si="79"/>
        <v>#N/A</v>
      </c>
      <c r="EU37" s="128" t="str">
        <f t="shared" si="80"/>
        <v/>
      </c>
      <c r="EV3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3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3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37" s="54" t="e" cm="1">
        <f t="array" ref="EY37">IF($CR$3,INDEX(Eu_tabel_a[[#This Row],[Styrke venstre]:[Styrke tosidet]],EY$7),NA())</f>
        <v>#N/A</v>
      </c>
      <c r="EZ37" s="54" t="e">
        <f>IF(EY$3,IF(CHOOSE(EY$7,Eu_tabel_a[[#This Row],[x base]]&gt;0,Eu_tabel_a[[#This Row],[x base]]&lt;0,Eu_tabel_a[[#This Row],[x base]]=0),1,NA()),NA())</f>
        <v>#N/A</v>
      </c>
      <c r="FA37" s="54" t="e">
        <f>IF(CHOOSE(EY$7,Eu_tabel_a[[#This Row],[x base]]&gt;0,Eu_tabel_a[[#This Row],[x base]]&lt;0,Eu_tabel_a[[#This Row],[x base]]=0),Eu_tabel_a[[#This Row],[Styrke, aktiv]],NA())</f>
        <v>#N/A</v>
      </c>
      <c r="FB37" s="54" t="e">
        <f>IFERROR(IF($EY$3,Eu_tabel_a[[#This Row],[Styrke, aktiv]],NA()),NA())</f>
        <v>#N/A</v>
      </c>
      <c r="FC37" s="54" t="e">
        <f>IF(ISNA(Eu_tabel_a[[#This Row],[Sand negativ
Nulhypotese afvises
Korrekt]]),NA(),IF(EY$3,1,NA()))</f>
        <v>#N/A</v>
      </c>
      <c r="FD37" s="55" t="str" cm="1">
        <f t="array" ref="FD37">IFERROR(_xlfn.SWITCH(Eu_tabel_a[[#This Row],[Indeks]],_xlfn.IFNA(FB$2,-99),FB$5,_xlfn.IFNA(FB$3,-99),FB$6,_xlfn.IFNA(FB$4,-99),FB$7,""),"")</f>
        <v/>
      </c>
      <c r="FE37" s="54">
        <f>Eu_tabel_a[[#This Row],[x base]]*SQRT(Eu_a_h0_x*(1-Eu_a_h0_x)/Eu_a_n_x)+Eu_a_h0_x</f>
        <v>0</v>
      </c>
      <c r="FJ37" s="144" t="e">
        <f t="shared" si="18"/>
        <v>#N/A</v>
      </c>
      <c r="FK37" s="152" t="e">
        <f t="shared" si="113"/>
        <v>#DIV/0!</v>
      </c>
      <c r="FL37" s="7" t="e">
        <f t="shared" si="12"/>
        <v>#DIV/0!</v>
      </c>
      <c r="FM37" t="e">
        <f t="shared" si="114"/>
        <v>#DIV/0!</v>
      </c>
      <c r="FN37" s="8" t="e">
        <f t="shared" si="115"/>
        <v>#DIV/0!</v>
      </c>
      <c r="FO37" s="8" t="e">
        <f t="shared" si="116"/>
        <v>#DIV/0!</v>
      </c>
      <c r="FP37" s="151" t="e">
        <f t="shared" si="117"/>
        <v>#DIV/0!</v>
      </c>
      <c r="FQ37" s="144" t="e">
        <f t="shared" ca="1" si="13"/>
        <v>#N/A</v>
      </c>
      <c r="FR37" s="152" t="e" vm="3">
        <f t="shared" ca="1" si="19"/>
        <v>#VALUE!</v>
      </c>
      <c r="FS37" s="7" t="e" vm="3">
        <f t="shared" ca="1" si="14"/>
        <v>#VALUE!</v>
      </c>
      <c r="FT37" t="e" vm="3">
        <f t="shared" ca="1" si="8"/>
        <v>#VALUE!</v>
      </c>
      <c r="FU37" s="8" t="e" vm="3">
        <f t="shared" ca="1" si="9"/>
        <v>#VALUE!</v>
      </c>
      <c r="FV37" s="8" t="e" vm="3">
        <f t="shared" ca="1" si="10"/>
        <v>#VALUE!</v>
      </c>
      <c r="FW37" s="151" t="e" vm="3">
        <f t="shared" ca="1" si="11"/>
        <v>#VALUE!</v>
      </c>
      <c r="FX37" s="144" t="e">
        <f t="shared" si="15"/>
        <v>#N/A</v>
      </c>
      <c r="FY37" s="152" t="e">
        <f t="shared" si="20"/>
        <v>#N/A</v>
      </c>
      <c r="FZ37" s="7" t="e">
        <f t="shared" si="16"/>
        <v>#N/A</v>
      </c>
      <c r="GA37" t="e">
        <f t="shared" si="21"/>
        <v>#N/A</v>
      </c>
      <c r="GB37" s="8" t="e">
        <f t="shared" si="22"/>
        <v>#N/A</v>
      </c>
      <c r="GC37" s="8" t="e">
        <f t="shared" si="23"/>
        <v>#N/A</v>
      </c>
      <c r="GD37" s="151" t="e">
        <f t="shared" si="24"/>
        <v>#N/A</v>
      </c>
      <c r="GE37" s="144" t="e">
        <f t="shared" si="25"/>
        <v>#N/A</v>
      </c>
      <c r="GF37" s="152" t="e">
        <f t="shared" si="26"/>
        <v>#N/A</v>
      </c>
      <c r="GG37" s="7" t="e">
        <f t="shared" si="17"/>
        <v>#N/A</v>
      </c>
      <c r="GH37" t="e">
        <f t="shared" si="27"/>
        <v>#N/A</v>
      </c>
      <c r="GI37" s="8" t="e">
        <f t="shared" si="28"/>
        <v>#N/A</v>
      </c>
      <c r="GJ37" s="8" t="e">
        <f t="shared" si="29"/>
        <v>#N/A</v>
      </c>
      <c r="GK37" s="151" t="e">
        <f t="shared" si="30"/>
        <v>#N/A</v>
      </c>
      <c r="GL37" s="151"/>
      <c r="GM37" s="151"/>
      <c r="GP37" s="127">
        <f t="shared" si="81"/>
        <v>27</v>
      </c>
      <c r="GQ37" s="54">
        <f t="shared" si="82"/>
        <v>28</v>
      </c>
      <c r="GR37" s="127">
        <f t="shared" si="83"/>
        <v>-2.4434394979001315</v>
      </c>
      <c r="GS37" s="127">
        <f t="shared" si="84"/>
        <v>2.0158347202276675E-2</v>
      </c>
      <c r="GT37" s="127" t="e">
        <f t="shared" si="85"/>
        <v>#N/A</v>
      </c>
      <c r="GU37" s="127" t="e">
        <f t="shared" si="86"/>
        <v>#N/A</v>
      </c>
      <c r="GV37" s="127" t="e">
        <f t="shared" si="87"/>
        <v>#N/A</v>
      </c>
      <c r="GW37" s="127" t="b">
        <f t="shared" si="88"/>
        <v>1</v>
      </c>
      <c r="GX37" s="127" t="b">
        <f t="shared" si="89"/>
        <v>0</v>
      </c>
      <c r="GY37" s="127" t="b">
        <f t="shared" si="90"/>
        <v>1</v>
      </c>
      <c r="GZ37" s="127" t="b">
        <f t="shared" si="91"/>
        <v>0</v>
      </c>
      <c r="HA37" s="127">
        <f t="shared" si="92"/>
        <v>2.0158347202276675E-2</v>
      </c>
      <c r="HB37" s="127">
        <f t="shared" si="93"/>
        <v>2.0158347202276675E-2</v>
      </c>
      <c r="HC37" s="127" t="e">
        <f t="shared" si="94"/>
        <v>#N/A</v>
      </c>
      <c r="HD37" s="128" t="str">
        <f t="shared" si="95"/>
        <v/>
      </c>
      <c r="HJ37" s="127">
        <f t="shared" si="96"/>
        <v>27</v>
      </c>
      <c r="HK37" s="54">
        <f t="shared" si="97"/>
        <v>28</v>
      </c>
      <c r="HL37" s="127">
        <f t="shared" si="98"/>
        <v>-3.7837173807837985</v>
      </c>
      <c r="HM37" s="127" t="e">
        <f t="shared" si="99"/>
        <v>#N/A</v>
      </c>
      <c r="HN37" s="127">
        <f t="shared" si="100"/>
        <v>4.4769088118036685E-3</v>
      </c>
      <c r="HO37" s="127" t="e">
        <f t="shared" si="101"/>
        <v>#N/A</v>
      </c>
      <c r="HP37" s="127" t="e">
        <f t="shared" si="102"/>
        <v>#N/A</v>
      </c>
      <c r="HQ37" s="127" t="b">
        <f t="shared" si="103"/>
        <v>1</v>
      </c>
      <c r="HR37" s="127" t="b">
        <f t="shared" si="104"/>
        <v>0</v>
      </c>
      <c r="HS37" s="127" t="b">
        <f t="shared" si="105"/>
        <v>1</v>
      </c>
      <c r="HT37" s="127" t="b">
        <f t="shared" si="106"/>
        <v>0</v>
      </c>
      <c r="HU37" s="127">
        <f t="shared" si="107"/>
        <v>4.4769088118036685E-3</v>
      </c>
      <c r="HV37" s="127">
        <f t="shared" si="108"/>
        <v>4.4769088118036685E-3</v>
      </c>
      <c r="HW37" s="127" t="e">
        <f t="shared" si="109"/>
        <v>#N/A</v>
      </c>
      <c r="HX37" s="128" t="str">
        <f t="shared" si="110"/>
        <v/>
      </c>
    </row>
    <row r="38" spans="1:232" x14ac:dyDescent="0.2">
      <c r="A38" s="63"/>
      <c r="B38" s="62"/>
      <c r="C38" s="60"/>
      <c r="E38" s="90" t="str">
        <v>Konfidensniveau</v>
      </c>
      <c r="F38" s="131">
        <v>0.95</v>
      </c>
      <c r="H38" s="63"/>
      <c r="I38" s="62"/>
      <c r="J38" s="60"/>
      <c r="L38" s="90" t="str">
        <v>Konfidensniveau</v>
      </c>
      <c r="M38" s="95">
        <v>0.95</v>
      </c>
      <c r="N38" s="132"/>
      <c r="O38" s="63"/>
      <c r="P38" s="62"/>
      <c r="Q38" s="60"/>
      <c r="S38" s="90" t="str">
        <v>Konfidensniveau</v>
      </c>
      <c r="T38" s="143">
        <v>0.95</v>
      </c>
      <c r="V38" s="63"/>
      <c r="W38" s="62"/>
      <c r="X38" s="60"/>
      <c r="Z38" s="90" t="str">
        <v>Konfidensniveau</v>
      </c>
      <c r="AA38" s="143">
        <v>0.95</v>
      </c>
      <c r="AC38" s="63"/>
      <c r="AD38" s="62"/>
      <c r="AE38" s="60"/>
      <c r="AG38" s="90" t="str">
        <v>Konfidensniveau</v>
      </c>
      <c r="AH38" s="143">
        <v>0.95</v>
      </c>
      <c r="BE38" s="90"/>
      <c r="BJ38" s="98" t="b" cm="1">
        <f t="array" ref="BJ38">OR(AD42=_xlfn.ANCHORARRAY(LineærRegression!ET11))</f>
        <v>1</v>
      </c>
      <c r="BL38" s="90" t="s">
        <v>457</v>
      </c>
      <c r="BM38" s="203" t="e" cm="1">
        <f t="array" ref="BM38">IF(NOT($BH$2),INDEX(E_a_valg[Parameter 1],E_a_aktiv),NA())</f>
        <v>#N/A</v>
      </c>
      <c r="BZ38" s="127">
        <f t="shared" si="36"/>
        <v>28</v>
      </c>
      <c r="CA38" s="54">
        <f>Eu_tabel_g[[#This Row],[Indeks]]+1</f>
        <v>29</v>
      </c>
      <c r="CB38" s="127">
        <f t="shared" si="37"/>
        <v>-2.4194842087050321</v>
      </c>
      <c r="CC38" s="127">
        <f t="shared" si="38"/>
        <v>2.1367366488433549E-2</v>
      </c>
      <c r="CD38" s="127" t="e">
        <f t="shared" si="39"/>
        <v>#N/A</v>
      </c>
      <c r="CE38" s="127" t="e">
        <f t="shared" si="40"/>
        <v>#N/A</v>
      </c>
      <c r="CF38" s="127" t="e">
        <f t="shared" si="41"/>
        <v>#N/A</v>
      </c>
      <c r="CG38" s="127" t="b">
        <f t="shared" si="42"/>
        <v>1</v>
      </c>
      <c r="CH38" s="127" t="b">
        <f t="shared" si="43"/>
        <v>0</v>
      </c>
      <c r="CI38" s="127" t="b">
        <f t="shared" si="44"/>
        <v>1</v>
      </c>
      <c r="CJ38" s="127" t="b">
        <f t="shared" si="45"/>
        <v>0</v>
      </c>
      <c r="CK38" s="127">
        <f t="shared" si="118"/>
        <v>2.1367366488433549E-2</v>
      </c>
      <c r="CL38" s="127">
        <f t="shared" si="47"/>
        <v>2.1367366488433549E-2</v>
      </c>
      <c r="CM38" s="127" t="e">
        <f t="shared" si="48"/>
        <v>#N/A</v>
      </c>
      <c r="CN38" s="128" t="str">
        <f t="shared" si="49"/>
        <v/>
      </c>
      <c r="CO38" s="54">
        <f>_xlfn.NORM.DIST(_xlfn.NORM.INV(1-Eu_g_konfidensniveau,0,1)-Eu_tabel_g[[#This Row],[x base]],0,1,TRUE)</f>
        <v>0.78072100945750522</v>
      </c>
      <c r="CP38" s="54">
        <f>1-_xlfn.NORM.DIST(_xlfn.NORM.INV(Eu_g_konfidensniveau,0,1)-Eu_tabel_g[[#This Row],[x base]],0,1,TRUE)</f>
        <v>2.4084507387889253E-5</v>
      </c>
      <c r="CQ38" s="54">
        <f>_xlfn.NORM.DIST(_xlfn.NORM.INV((1-Eu_g_konfidensniveau)/2,0,1)-Eu_tabel_g[[#This Row],[x base]],0,1,TRUE)+1-_xlfn.NORM.DIST(_xlfn.NORM.INV(1-(1-Eu_g_konfidensniveau)/2,0,1)-Eu_tabel_g[[#This Row],[x base]],0,1,TRUE)</f>
        <v>0.67707563287535322</v>
      </c>
      <c r="CR38" s="54" t="e" cm="1">
        <f t="array" ref="CR38">IF($CR$3,INDEX(Eu_tabel_g[[#This Row],[Styrke venstre]:[Styrke tosidet]],CR$7),NA())</f>
        <v>#N/A</v>
      </c>
      <c r="CS38" s="89" t="e">
        <f>Eu_tabel_g[[#This Row],[Falsk positiv
Nulhypotese accepteres
Fejltype 1]]</f>
        <v>#N/A</v>
      </c>
      <c r="CT38" s="89" t="e">
        <f>IF(CHOOSE(CR$7,Eu_tabel_g[[#This Row],[x base]]&gt;0,Eu_tabel_g[[#This Row],[x base]]&lt;0,Eu_tabel_g[[#This Row],[x base]]=0),Eu_tabel_g[[#This Row],[Styrke, aktiv]],NA())</f>
        <v>#N/A</v>
      </c>
      <c r="CU38" s="89" t="e">
        <f>IFERROR(IF($CR$3,Eu_tabel_g[[#This Row],[Styrke, aktiv]],NA()),NA())</f>
        <v>#N/A</v>
      </c>
      <c r="CV38" s="89" t="e">
        <f>IF(ISNA(Eu_tabel_g[[#This Row],[Sand negativ
Nulhypotese afvises
Korrekt]]),NA(),IF($CR$3,1,NA()))</f>
        <v>#N/A</v>
      </c>
      <c r="CW38" s="56" t="str" cm="1">
        <f t="array" ref="CW38">_xlfn.SWITCH(BZ38,_xlfn.IFNA(CU$2,-99),CU$5,_xlfn.IFNA(CU$3,-99),CU$6,_xlfn.IFNA(CU$4,-99),CU$7,"")</f>
        <v/>
      </c>
      <c r="DA38" s="7">
        <f t="shared" si="50"/>
        <v>0.8</v>
      </c>
      <c r="DB38">
        <f>IF(ROW(Styrkeberegning_G[[#This Row],[X base venstre]])=ROW(Styrkeberegning_G[[#Headers],[X base venstre]])+1,DB$7/(DA$7/$B$67),DB37/(DA37/$B$67))</f>
        <v>-2.8015817870135784</v>
      </c>
      <c r="DC38">
        <f>Styrkeberegning_G[[#This Row],[X base venstre]]*-1</f>
        <v>2.8015817870135784</v>
      </c>
      <c r="DN38" s="127">
        <f t="shared" si="51"/>
        <v>28</v>
      </c>
      <c r="DO38" s="54">
        <f t="shared" si="52"/>
        <v>29</v>
      </c>
      <c r="DP38" s="127">
        <f t="shared" si="53"/>
        <v>5.0278366443297182</v>
      </c>
      <c r="DQ38" s="127" t="e">
        <f t="shared" si="54"/>
        <v>#N/A</v>
      </c>
      <c r="DR38" s="127" t="e">
        <f t="shared" si="55"/>
        <v>#N/A</v>
      </c>
      <c r="DS38" s="127">
        <f t="shared" si="56"/>
        <v>4.8968028259221252E-2</v>
      </c>
      <c r="DT38" s="127" t="e">
        <f t="shared" si="57"/>
        <v>#N/A</v>
      </c>
      <c r="DU38" s="127" t="b">
        <f t="shared" si="58"/>
        <v>0</v>
      </c>
      <c r="DV38" s="127" t="b">
        <f t="shared" si="59"/>
        <v>1</v>
      </c>
      <c r="DW38" s="127" t="b">
        <f t="shared" si="60"/>
        <v>0</v>
      </c>
      <c r="DX38" s="127" t="b">
        <f t="shared" si="61"/>
        <v>1</v>
      </c>
      <c r="DY38" s="127">
        <f t="shared" si="62"/>
        <v>4.8968028259221252E-2</v>
      </c>
      <c r="DZ38" s="127" t="e">
        <f t="shared" si="63"/>
        <v>#N/A</v>
      </c>
      <c r="EA38" s="127">
        <f t="shared" si="64"/>
        <v>4.8968028259221252E-2</v>
      </c>
      <c r="EB38" s="128" t="str">
        <f t="shared" si="65"/>
        <v/>
      </c>
      <c r="EG38" s="127">
        <f t="shared" si="66"/>
        <v>28</v>
      </c>
      <c r="EH38" s="54">
        <f t="shared" si="67"/>
        <v>29</v>
      </c>
      <c r="EI38" s="127">
        <f t="shared" si="68"/>
        <v>-2.4194842087050321</v>
      </c>
      <c r="EJ38" s="127">
        <f t="shared" si="69"/>
        <v>2.1367366488433549E-2</v>
      </c>
      <c r="EK38" s="127" t="e">
        <f t="shared" si="70"/>
        <v>#N/A</v>
      </c>
      <c r="EL38" s="127" t="e">
        <f t="shared" si="71"/>
        <v>#N/A</v>
      </c>
      <c r="EM38" s="127" t="e">
        <f t="shared" si="72"/>
        <v>#N/A</v>
      </c>
      <c r="EN38" s="127" t="b">
        <f t="shared" si="73"/>
        <v>1</v>
      </c>
      <c r="EO38" s="127" t="b">
        <f t="shared" si="74"/>
        <v>0</v>
      </c>
      <c r="EP38" s="127" t="b">
        <f t="shared" si="75"/>
        <v>1</v>
      </c>
      <c r="EQ38" s="127" t="b">
        <f t="shared" si="76"/>
        <v>0</v>
      </c>
      <c r="ER38" s="127">
        <f t="shared" si="77"/>
        <v>2.1367366488433549E-2</v>
      </c>
      <c r="ES38" s="127">
        <f t="shared" si="78"/>
        <v>2.1367366488433549E-2</v>
      </c>
      <c r="ET38" s="127" t="e">
        <f t="shared" si="79"/>
        <v>#N/A</v>
      </c>
      <c r="EU38" s="128" t="str">
        <f t="shared" si="80"/>
        <v/>
      </c>
      <c r="EV3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3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3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38" s="54" t="e" cm="1">
        <f t="array" ref="EY38">IF($CR$3,INDEX(Eu_tabel_a[[#This Row],[Styrke venstre]:[Styrke tosidet]],EY$7),NA())</f>
        <v>#N/A</v>
      </c>
      <c r="EZ38" s="54" t="e">
        <f>IF(EY$3,IF(CHOOSE(EY$7,Eu_tabel_a[[#This Row],[x base]]&gt;0,Eu_tabel_a[[#This Row],[x base]]&lt;0,Eu_tabel_a[[#This Row],[x base]]=0),1,NA()),NA())</f>
        <v>#N/A</v>
      </c>
      <c r="FA38" s="54" t="e">
        <f>IF(CHOOSE(EY$7,Eu_tabel_a[[#This Row],[x base]]&gt;0,Eu_tabel_a[[#This Row],[x base]]&lt;0,Eu_tabel_a[[#This Row],[x base]]=0),Eu_tabel_a[[#This Row],[Styrke, aktiv]],NA())</f>
        <v>#N/A</v>
      </c>
      <c r="FB38" s="54" t="e">
        <f>IFERROR(IF($EY$3,Eu_tabel_a[[#This Row],[Styrke, aktiv]],NA()),NA())</f>
        <v>#N/A</v>
      </c>
      <c r="FC38" s="54" t="e">
        <f>IF(ISNA(Eu_tabel_a[[#This Row],[Sand negativ
Nulhypotese afvises
Korrekt]]),NA(),IF(EY$3,1,NA()))</f>
        <v>#N/A</v>
      </c>
      <c r="FD38" s="55" t="str" cm="1">
        <f t="array" ref="FD38">IFERROR(_xlfn.SWITCH(Eu_tabel_a[[#This Row],[Indeks]],_xlfn.IFNA(FB$2,-99),FB$5,_xlfn.IFNA(FB$3,-99),FB$6,_xlfn.IFNA(FB$4,-99),FB$7,""),"")</f>
        <v/>
      </c>
      <c r="FE38" s="54">
        <f>Eu_tabel_a[[#This Row],[x base]]*SQRT(Eu_a_h0_x*(1-Eu_a_h0_x)/Eu_a_n_x)+Eu_a_h0_x</f>
        <v>0</v>
      </c>
      <c r="FJ38" s="144" t="e">
        <f t="shared" si="18"/>
        <v>#N/A</v>
      </c>
      <c r="FK38" s="152" t="e">
        <f t="shared" si="113"/>
        <v>#DIV/0!</v>
      </c>
      <c r="FL38" s="7" t="e">
        <f t="shared" si="12"/>
        <v>#DIV/0!</v>
      </c>
      <c r="FM38" t="e">
        <f t="shared" si="114"/>
        <v>#DIV/0!</v>
      </c>
      <c r="FN38" s="8" t="e">
        <f t="shared" si="115"/>
        <v>#DIV/0!</v>
      </c>
      <c r="FO38" s="8" t="e">
        <f t="shared" si="116"/>
        <v>#DIV/0!</v>
      </c>
      <c r="FP38" s="151" t="e">
        <f t="shared" si="117"/>
        <v>#DIV/0!</v>
      </c>
      <c r="FQ38" s="144" t="e">
        <f t="shared" ca="1" si="13"/>
        <v>#N/A</v>
      </c>
      <c r="FR38" s="152" t="e" vm="3">
        <f t="shared" ca="1" si="19"/>
        <v>#VALUE!</v>
      </c>
      <c r="FS38" s="7" t="e" vm="3">
        <f t="shared" ca="1" si="14"/>
        <v>#VALUE!</v>
      </c>
      <c r="FT38" t="e" vm="3">
        <f t="shared" ca="1" si="8"/>
        <v>#VALUE!</v>
      </c>
      <c r="FU38" s="8" t="e" vm="3">
        <f t="shared" ca="1" si="9"/>
        <v>#VALUE!</v>
      </c>
      <c r="FV38" s="8" t="e" vm="3">
        <f t="shared" ca="1" si="10"/>
        <v>#VALUE!</v>
      </c>
      <c r="FW38" s="151" t="e" vm="3">
        <f t="shared" ca="1" si="11"/>
        <v>#VALUE!</v>
      </c>
      <c r="FX38" s="144" t="e">
        <f t="shared" si="15"/>
        <v>#N/A</v>
      </c>
      <c r="FY38" s="152" t="e">
        <f t="shared" si="20"/>
        <v>#N/A</v>
      </c>
      <c r="FZ38" s="7" t="e">
        <f t="shared" si="16"/>
        <v>#N/A</v>
      </c>
      <c r="GA38" t="e">
        <f t="shared" si="21"/>
        <v>#N/A</v>
      </c>
      <c r="GB38" s="8" t="e">
        <f t="shared" si="22"/>
        <v>#N/A</v>
      </c>
      <c r="GC38" s="8" t="e">
        <f t="shared" si="23"/>
        <v>#N/A</v>
      </c>
      <c r="GD38" s="151" t="e">
        <f t="shared" si="24"/>
        <v>#N/A</v>
      </c>
      <c r="GE38" s="144" t="e">
        <f t="shared" si="25"/>
        <v>#N/A</v>
      </c>
      <c r="GF38" s="152" t="e">
        <f t="shared" si="26"/>
        <v>#N/A</v>
      </c>
      <c r="GG38" s="7" t="e">
        <f t="shared" si="17"/>
        <v>#N/A</v>
      </c>
      <c r="GH38" t="e">
        <f t="shared" si="27"/>
        <v>#N/A</v>
      </c>
      <c r="GI38" s="8" t="e">
        <f t="shared" si="28"/>
        <v>#N/A</v>
      </c>
      <c r="GJ38" s="8" t="e">
        <f t="shared" si="29"/>
        <v>#N/A</v>
      </c>
      <c r="GK38" s="151" t="e">
        <f t="shared" si="30"/>
        <v>#N/A</v>
      </c>
      <c r="GL38" s="151"/>
      <c r="GM38" s="151"/>
      <c r="GP38" s="127">
        <f t="shared" si="81"/>
        <v>28</v>
      </c>
      <c r="GQ38" s="54">
        <f t="shared" si="82"/>
        <v>29</v>
      </c>
      <c r="GR38" s="127">
        <f t="shared" si="83"/>
        <v>-2.4194842087050321</v>
      </c>
      <c r="GS38" s="127">
        <f t="shared" si="84"/>
        <v>2.1367366488433549E-2</v>
      </c>
      <c r="GT38" s="127" t="e">
        <f t="shared" si="85"/>
        <v>#N/A</v>
      </c>
      <c r="GU38" s="127" t="e">
        <f t="shared" si="86"/>
        <v>#N/A</v>
      </c>
      <c r="GV38" s="127" t="e">
        <f t="shared" si="87"/>
        <v>#N/A</v>
      </c>
      <c r="GW38" s="127" t="b">
        <f t="shared" si="88"/>
        <v>1</v>
      </c>
      <c r="GX38" s="127" t="b">
        <f t="shared" si="89"/>
        <v>0</v>
      </c>
      <c r="GY38" s="127" t="b">
        <f t="shared" si="90"/>
        <v>1</v>
      </c>
      <c r="GZ38" s="127" t="b">
        <f t="shared" si="91"/>
        <v>0</v>
      </c>
      <c r="HA38" s="127">
        <f t="shared" si="92"/>
        <v>2.1367366488433549E-2</v>
      </c>
      <c r="HB38" s="127">
        <f t="shared" si="93"/>
        <v>2.1367366488433549E-2</v>
      </c>
      <c r="HC38" s="127" t="e">
        <f t="shared" si="94"/>
        <v>#N/A</v>
      </c>
      <c r="HD38" s="128" t="str">
        <f t="shared" si="95"/>
        <v/>
      </c>
      <c r="HJ38" s="127">
        <f t="shared" si="96"/>
        <v>28</v>
      </c>
      <c r="HK38" s="54">
        <f t="shared" si="97"/>
        <v>29</v>
      </c>
      <c r="HL38" s="127">
        <f t="shared" si="98"/>
        <v>-3.7466221123447414</v>
      </c>
      <c r="HM38" s="127" t="e">
        <f t="shared" si="99"/>
        <v>#N/A</v>
      </c>
      <c r="HN38" s="127">
        <f t="shared" si="100"/>
        <v>4.7194716422334568E-3</v>
      </c>
      <c r="HO38" s="127" t="e">
        <f t="shared" si="101"/>
        <v>#N/A</v>
      </c>
      <c r="HP38" s="127" t="e">
        <f t="shared" si="102"/>
        <v>#N/A</v>
      </c>
      <c r="HQ38" s="127" t="b">
        <f t="shared" si="103"/>
        <v>1</v>
      </c>
      <c r="HR38" s="127" t="b">
        <f t="shared" si="104"/>
        <v>0</v>
      </c>
      <c r="HS38" s="127" t="b">
        <f t="shared" si="105"/>
        <v>1</v>
      </c>
      <c r="HT38" s="127" t="b">
        <f t="shared" si="106"/>
        <v>0</v>
      </c>
      <c r="HU38" s="127">
        <f t="shared" si="107"/>
        <v>4.7194716422334568E-3</v>
      </c>
      <c r="HV38" s="127">
        <f t="shared" si="108"/>
        <v>4.7194716422334568E-3</v>
      </c>
      <c r="HW38" s="127" t="e">
        <f t="shared" si="109"/>
        <v>#N/A</v>
      </c>
      <c r="HX38" s="128" t="str">
        <f t="shared" si="110"/>
        <v/>
      </c>
    </row>
    <row r="39" spans="1:232" x14ac:dyDescent="0.2">
      <c r="E39" s="90" t="str">
        <v>Konfidensinterval nedre grænse</v>
      </c>
      <c r="F39" s="205">
        <v>-0.58278968089955363</v>
      </c>
      <c r="L39" s="90" t="str">
        <v>Konfidensinterval nedre grænse</v>
      </c>
      <c r="M39" s="99">
        <v>3.0509630363038913</v>
      </c>
      <c r="N39" s="132"/>
      <c r="S39" s="90" t="str">
        <v>Konfidensinterval nedre grænse</v>
      </c>
      <c r="T39" s="93">
        <v>0.20060094659432398</v>
      </c>
      <c r="Z39" s="90" t="str">
        <v>Konfidensinterval nedre grænse</v>
      </c>
      <c r="AA39" s="93">
        <v>1.08361049168533</v>
      </c>
      <c r="AG39" s="90" t="str">
        <v>Testfordeling</v>
      </c>
      <c r="AH39" s="92" t="str">
        <v>t-fordeling</v>
      </c>
      <c r="BL39" s="90" t="s">
        <v>458</v>
      </c>
      <c r="BM39" s="203" t="e" cm="1">
        <f t="array" ref="BM39">IF(NOT($BH$2),IF(NOT(ISBLANK(INDEX(E_a_valg[Parameter 2],E_a_aktiv))),INDEX(E_a_valg[Parameter 2],E_a_aktiv),NA()),NA())</f>
        <v>#N/A</v>
      </c>
      <c r="BZ39" s="127">
        <f t="shared" si="36"/>
        <v>29</v>
      </c>
      <c r="CA39" s="54">
        <f>Eu_tabel_g[[#This Row],[Indeks]]+1</f>
        <v>30</v>
      </c>
      <c r="CB39" s="127">
        <f t="shared" si="37"/>
        <v>-2.3955289195099327</v>
      </c>
      <c r="CC39" s="127">
        <f t="shared" si="38"/>
        <v>2.2635904575720501E-2</v>
      </c>
      <c r="CD39" s="127" t="e">
        <f t="shared" si="39"/>
        <v>#N/A</v>
      </c>
      <c r="CE39" s="127" t="e">
        <f t="shared" si="40"/>
        <v>#N/A</v>
      </c>
      <c r="CF39" s="127" t="e">
        <f t="shared" si="41"/>
        <v>#N/A</v>
      </c>
      <c r="CG39" s="127" t="b">
        <f t="shared" si="42"/>
        <v>1</v>
      </c>
      <c r="CH39" s="127" t="b">
        <f t="shared" si="43"/>
        <v>0</v>
      </c>
      <c r="CI39" s="127" t="b">
        <f t="shared" si="44"/>
        <v>1</v>
      </c>
      <c r="CJ39" s="127" t="b">
        <f t="shared" si="45"/>
        <v>0</v>
      </c>
      <c r="CK39" s="127">
        <f t="shared" si="118"/>
        <v>2.2635904575720501E-2</v>
      </c>
      <c r="CL39" s="127">
        <f t="shared" si="47"/>
        <v>2.2635904575720501E-2</v>
      </c>
      <c r="CM39" s="127" t="e">
        <f t="shared" si="48"/>
        <v>#N/A</v>
      </c>
      <c r="CN39" s="128" t="str">
        <f t="shared" si="49"/>
        <v/>
      </c>
      <c r="CO39" s="54">
        <f>_xlfn.NORM.DIST(_xlfn.NORM.INV(1-Eu_g_konfidensniveau,0,1)-Eu_tabel_g[[#This Row],[x base]],0,1,TRUE)</f>
        <v>0.77357595198661899</v>
      </c>
      <c r="CP39" s="54">
        <f>1-_xlfn.NORM.DIST(_xlfn.NORM.INV(Eu_g_konfidensniveau,0,1)-Eu_tabel_g[[#This Row],[x base]],0,1,TRUE)</f>
        <v>2.6682042684300633E-5</v>
      </c>
      <c r="CQ39" s="54">
        <f>_xlfn.NORM.DIST(_xlfn.NORM.INV((1-Eu_g_konfidensniveau)/2,0,1)-Eu_tabel_g[[#This Row],[x base]],0,1,TRUE)+1-_xlfn.NORM.DIST(_xlfn.NORM.INV(1-(1-Eu_g_konfidensniveau)/2,0,1)-Eu_tabel_g[[#This Row],[x base]],0,1,TRUE)</f>
        <v>0.66843043014353232</v>
      </c>
      <c r="CR39" s="54" t="e" cm="1">
        <f t="array" ref="CR39">IF($CR$3,INDEX(Eu_tabel_g[[#This Row],[Styrke venstre]:[Styrke tosidet]],CR$7),NA())</f>
        <v>#N/A</v>
      </c>
      <c r="CS39" s="89" t="e">
        <f>Eu_tabel_g[[#This Row],[Falsk positiv
Nulhypotese accepteres
Fejltype 1]]</f>
        <v>#N/A</v>
      </c>
      <c r="CT39" s="89" t="e">
        <f>IF(CHOOSE(CR$7,Eu_tabel_g[[#This Row],[x base]]&gt;0,Eu_tabel_g[[#This Row],[x base]]&lt;0,Eu_tabel_g[[#This Row],[x base]]=0),Eu_tabel_g[[#This Row],[Styrke, aktiv]],NA())</f>
        <v>#N/A</v>
      </c>
      <c r="CU39" s="89" t="e">
        <f>IFERROR(IF($CR$3,Eu_tabel_g[[#This Row],[Styrke, aktiv]],NA()),NA())</f>
        <v>#N/A</v>
      </c>
      <c r="CV39" s="89" t="e">
        <f>IF(ISNA(Eu_tabel_g[[#This Row],[Sand negativ
Nulhypotese afvises
Korrekt]]),NA(),IF($CR$3,1,NA()))</f>
        <v>#N/A</v>
      </c>
      <c r="CW39" s="56" t="str" cm="1">
        <f t="array" ref="CW39">_xlfn.SWITCH(BZ39,_xlfn.IFNA(CU$2,-99),CU$5,_xlfn.IFNA(CU$3,-99),CU$6,_xlfn.IFNA(CU$4,-99),CU$7,"")</f>
        <v/>
      </c>
      <c r="DA39" s="7">
        <f t="shared" si="50"/>
        <v>0.8</v>
      </c>
      <c r="DB39">
        <f>IF(ROW(Styrkeberegning_G[[#This Row],[X base venstre]])=ROW(Styrkeberegning_G[[#Headers],[X base venstre]])+1,DB$7/(DA$7/$B$67),DB38/(DA38/$B$67))</f>
        <v>-2.8015817870135784</v>
      </c>
      <c r="DC39">
        <f>Styrkeberegning_G[[#This Row],[X base venstre]]*-1</f>
        <v>2.8015817870135784</v>
      </c>
      <c r="DN39" s="127">
        <f t="shared" si="51"/>
        <v>29</v>
      </c>
      <c r="DO39" s="54">
        <f t="shared" si="52"/>
        <v>30</v>
      </c>
      <c r="DP39" s="127">
        <f t="shared" si="53"/>
        <v>5.1419075007467194</v>
      </c>
      <c r="DQ39" s="127" t="e">
        <f t="shared" si="54"/>
        <v>#N/A</v>
      </c>
      <c r="DR39" s="127" t="e">
        <f t="shared" si="55"/>
        <v>#N/A</v>
      </c>
      <c r="DS39" s="127">
        <f t="shared" si="56"/>
        <v>5.1166581130469804E-2</v>
      </c>
      <c r="DT39" s="127" t="e">
        <f t="shared" si="57"/>
        <v>#N/A</v>
      </c>
      <c r="DU39" s="127" t="b">
        <f t="shared" si="58"/>
        <v>0</v>
      </c>
      <c r="DV39" s="127" t="b">
        <f t="shared" si="59"/>
        <v>1</v>
      </c>
      <c r="DW39" s="127" t="b">
        <f t="shared" si="60"/>
        <v>0</v>
      </c>
      <c r="DX39" s="127" t="b">
        <f t="shared" si="61"/>
        <v>1</v>
      </c>
      <c r="DY39" s="127">
        <f t="shared" si="62"/>
        <v>5.1166581130469804E-2</v>
      </c>
      <c r="DZ39" s="127" t="e">
        <f t="shared" si="63"/>
        <v>#N/A</v>
      </c>
      <c r="EA39" s="127">
        <f t="shared" si="64"/>
        <v>5.1166581130469804E-2</v>
      </c>
      <c r="EB39" s="128" t="str">
        <f t="shared" si="65"/>
        <v/>
      </c>
      <c r="EG39" s="127">
        <f t="shared" si="66"/>
        <v>29</v>
      </c>
      <c r="EH39" s="54">
        <f t="shared" si="67"/>
        <v>30</v>
      </c>
      <c r="EI39" s="127">
        <f t="shared" si="68"/>
        <v>-2.3955289195099327</v>
      </c>
      <c r="EJ39" s="127">
        <f t="shared" si="69"/>
        <v>2.2635904575720501E-2</v>
      </c>
      <c r="EK39" s="127" t="e">
        <f t="shared" si="70"/>
        <v>#N/A</v>
      </c>
      <c r="EL39" s="127" t="e">
        <f t="shared" si="71"/>
        <v>#N/A</v>
      </c>
      <c r="EM39" s="127" t="e">
        <f t="shared" si="72"/>
        <v>#N/A</v>
      </c>
      <c r="EN39" s="127" t="b">
        <f t="shared" si="73"/>
        <v>1</v>
      </c>
      <c r="EO39" s="127" t="b">
        <f t="shared" si="74"/>
        <v>0</v>
      </c>
      <c r="EP39" s="127" t="b">
        <f t="shared" si="75"/>
        <v>1</v>
      </c>
      <c r="EQ39" s="127" t="b">
        <f t="shared" si="76"/>
        <v>0</v>
      </c>
      <c r="ER39" s="127">
        <f t="shared" si="77"/>
        <v>2.2635904575720501E-2</v>
      </c>
      <c r="ES39" s="127">
        <f t="shared" si="78"/>
        <v>2.2635904575720501E-2</v>
      </c>
      <c r="ET39" s="127" t="e">
        <f t="shared" si="79"/>
        <v>#N/A</v>
      </c>
      <c r="EU39" s="128" t="str">
        <f t="shared" si="80"/>
        <v/>
      </c>
      <c r="EV3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3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3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39" s="54" t="e" cm="1">
        <f t="array" ref="EY39">IF($CR$3,INDEX(Eu_tabel_a[[#This Row],[Styrke venstre]:[Styrke tosidet]],EY$7),NA())</f>
        <v>#N/A</v>
      </c>
      <c r="EZ39" s="54" t="e">
        <f>IF(EY$3,IF(CHOOSE(EY$7,Eu_tabel_a[[#This Row],[x base]]&gt;0,Eu_tabel_a[[#This Row],[x base]]&lt;0,Eu_tabel_a[[#This Row],[x base]]=0),1,NA()),NA())</f>
        <v>#N/A</v>
      </c>
      <c r="FA39" s="54" t="e">
        <f>IF(CHOOSE(EY$7,Eu_tabel_a[[#This Row],[x base]]&gt;0,Eu_tabel_a[[#This Row],[x base]]&lt;0,Eu_tabel_a[[#This Row],[x base]]=0),Eu_tabel_a[[#This Row],[Styrke, aktiv]],NA())</f>
        <v>#N/A</v>
      </c>
      <c r="FB39" s="54" t="e">
        <f>IFERROR(IF($EY$3,Eu_tabel_a[[#This Row],[Styrke, aktiv]],NA()),NA())</f>
        <v>#N/A</v>
      </c>
      <c r="FC39" s="54" t="e">
        <f>IF(ISNA(Eu_tabel_a[[#This Row],[Sand negativ
Nulhypotese afvises
Korrekt]]),NA(),IF(EY$3,1,NA()))</f>
        <v>#N/A</v>
      </c>
      <c r="FD39" s="55" t="str" cm="1">
        <f t="array" ref="FD39">IFERROR(_xlfn.SWITCH(Eu_tabel_a[[#This Row],[Indeks]],_xlfn.IFNA(FB$2,-99),FB$5,_xlfn.IFNA(FB$3,-99),FB$6,_xlfn.IFNA(FB$4,-99),FB$7,""),"")</f>
        <v/>
      </c>
      <c r="FE39" s="54">
        <f>Eu_tabel_a[[#This Row],[x base]]*SQRT(Eu_a_h0_x*(1-Eu_a_h0_x)/Eu_a_n_x)+Eu_a_h0_x</f>
        <v>0</v>
      </c>
      <c r="FJ39" s="144" t="e">
        <f t="shared" si="18"/>
        <v>#N/A</v>
      </c>
      <c r="FK39" s="152" t="e">
        <f t="shared" si="113"/>
        <v>#DIV/0!</v>
      </c>
      <c r="FL39" s="7" t="e">
        <f t="shared" si="12"/>
        <v>#DIV/0!</v>
      </c>
      <c r="FM39" t="e">
        <f t="shared" si="114"/>
        <v>#DIV/0!</v>
      </c>
      <c r="FN39" s="8" t="e">
        <f t="shared" si="115"/>
        <v>#DIV/0!</v>
      </c>
      <c r="FO39" s="8" t="e">
        <f t="shared" si="116"/>
        <v>#DIV/0!</v>
      </c>
      <c r="FP39" s="151" t="e">
        <f t="shared" si="117"/>
        <v>#DIV/0!</v>
      </c>
      <c r="FQ39" s="144" t="e">
        <f t="shared" ca="1" si="13"/>
        <v>#N/A</v>
      </c>
      <c r="FR39" s="152" t="e" vm="3">
        <f t="shared" ca="1" si="19"/>
        <v>#VALUE!</v>
      </c>
      <c r="FS39" s="7" t="e" vm="3">
        <f t="shared" ca="1" si="14"/>
        <v>#VALUE!</v>
      </c>
      <c r="FT39" t="e" vm="3">
        <f t="shared" ca="1" si="8"/>
        <v>#VALUE!</v>
      </c>
      <c r="FU39" s="8" t="e" vm="3">
        <f t="shared" ca="1" si="9"/>
        <v>#VALUE!</v>
      </c>
      <c r="FV39" s="8" t="e" vm="3">
        <f t="shared" ca="1" si="10"/>
        <v>#VALUE!</v>
      </c>
      <c r="FW39" s="151" t="e" vm="3">
        <f t="shared" ca="1" si="11"/>
        <v>#VALUE!</v>
      </c>
      <c r="FX39" s="144" t="e">
        <f t="shared" si="15"/>
        <v>#N/A</v>
      </c>
      <c r="FY39" s="152" t="e">
        <f t="shared" si="20"/>
        <v>#N/A</v>
      </c>
      <c r="FZ39" s="7" t="e">
        <f t="shared" si="16"/>
        <v>#N/A</v>
      </c>
      <c r="GA39" t="e">
        <f t="shared" si="21"/>
        <v>#N/A</v>
      </c>
      <c r="GB39" s="8" t="e">
        <f t="shared" si="22"/>
        <v>#N/A</v>
      </c>
      <c r="GC39" s="8" t="e">
        <f t="shared" si="23"/>
        <v>#N/A</v>
      </c>
      <c r="GD39" s="151" t="e">
        <f t="shared" si="24"/>
        <v>#N/A</v>
      </c>
      <c r="GE39" s="144" t="e">
        <f t="shared" si="25"/>
        <v>#N/A</v>
      </c>
      <c r="GF39" s="152" t="e">
        <f t="shared" si="26"/>
        <v>#N/A</v>
      </c>
      <c r="GG39" s="7" t="e">
        <f t="shared" si="17"/>
        <v>#N/A</v>
      </c>
      <c r="GH39" t="e">
        <f t="shared" si="27"/>
        <v>#N/A</v>
      </c>
      <c r="GI39" s="8" t="e">
        <f t="shared" si="28"/>
        <v>#N/A</v>
      </c>
      <c r="GJ39" s="8" t="e">
        <f t="shared" si="29"/>
        <v>#N/A</v>
      </c>
      <c r="GK39" s="151" t="e">
        <f t="shared" si="30"/>
        <v>#N/A</v>
      </c>
      <c r="GL39" s="151"/>
      <c r="GM39" s="151"/>
      <c r="GP39" s="127">
        <f t="shared" si="81"/>
        <v>29</v>
      </c>
      <c r="GQ39" s="54">
        <f t="shared" si="82"/>
        <v>30</v>
      </c>
      <c r="GR39" s="127">
        <f t="shared" si="83"/>
        <v>-2.3955289195099327</v>
      </c>
      <c r="GS39" s="127">
        <f t="shared" si="84"/>
        <v>2.2635904575720501E-2</v>
      </c>
      <c r="GT39" s="127" t="e">
        <f t="shared" si="85"/>
        <v>#N/A</v>
      </c>
      <c r="GU39" s="127" t="e">
        <f t="shared" si="86"/>
        <v>#N/A</v>
      </c>
      <c r="GV39" s="127" t="e">
        <f t="shared" si="87"/>
        <v>#N/A</v>
      </c>
      <c r="GW39" s="127" t="b">
        <f t="shared" si="88"/>
        <v>1</v>
      </c>
      <c r="GX39" s="127" t="b">
        <f t="shared" si="89"/>
        <v>0</v>
      </c>
      <c r="GY39" s="127" t="b">
        <f t="shared" si="90"/>
        <v>1</v>
      </c>
      <c r="GZ39" s="127" t="b">
        <f t="shared" si="91"/>
        <v>0</v>
      </c>
      <c r="HA39" s="127">
        <f t="shared" si="92"/>
        <v>2.2635904575720501E-2</v>
      </c>
      <c r="HB39" s="127">
        <f t="shared" si="93"/>
        <v>2.2635904575720501E-2</v>
      </c>
      <c r="HC39" s="127" t="e">
        <f t="shared" si="94"/>
        <v>#N/A</v>
      </c>
      <c r="HD39" s="128" t="str">
        <f t="shared" si="95"/>
        <v/>
      </c>
      <c r="HJ39" s="127">
        <f t="shared" si="96"/>
        <v>29</v>
      </c>
      <c r="HK39" s="54">
        <f t="shared" si="97"/>
        <v>30</v>
      </c>
      <c r="HL39" s="127">
        <f t="shared" si="98"/>
        <v>-3.7095268439056843</v>
      </c>
      <c r="HM39" s="127" t="e">
        <f t="shared" si="99"/>
        <v>#N/A</v>
      </c>
      <c r="HN39" s="127">
        <f t="shared" si="100"/>
        <v>4.9760476303971407E-3</v>
      </c>
      <c r="HO39" s="127" t="e">
        <f t="shared" si="101"/>
        <v>#N/A</v>
      </c>
      <c r="HP39" s="127" t="e">
        <f t="shared" si="102"/>
        <v>#N/A</v>
      </c>
      <c r="HQ39" s="127" t="b">
        <f t="shared" si="103"/>
        <v>1</v>
      </c>
      <c r="HR39" s="127" t="b">
        <f t="shared" si="104"/>
        <v>0</v>
      </c>
      <c r="HS39" s="127" t="b">
        <f t="shared" si="105"/>
        <v>1</v>
      </c>
      <c r="HT39" s="127" t="b">
        <f t="shared" si="106"/>
        <v>0</v>
      </c>
      <c r="HU39" s="127">
        <f t="shared" si="107"/>
        <v>4.9760476303971407E-3</v>
      </c>
      <c r="HV39" s="127">
        <f t="shared" si="108"/>
        <v>4.9760476303971407E-3</v>
      </c>
      <c r="HW39" s="127" t="e">
        <f t="shared" si="109"/>
        <v>#N/A</v>
      </c>
      <c r="HX39" s="128" t="str">
        <f t="shared" si="110"/>
        <v/>
      </c>
    </row>
    <row r="40" spans="1:232" x14ac:dyDescent="0.2">
      <c r="A40" s="3" t="s">
        <v>459</v>
      </c>
      <c r="E40" s="90" t="str">
        <v>Konfidensinterval øvre grænse</v>
      </c>
      <c r="F40" s="205">
        <v>4.2907985175414947</v>
      </c>
      <c r="H40" s="3" t="s">
        <v>459</v>
      </c>
      <c r="L40" s="90" t="str">
        <v>Konfidensinterval øvre grænse</v>
      </c>
      <c r="M40" s="99">
        <v>7.3125332181107092</v>
      </c>
      <c r="N40" s="132"/>
      <c r="O40" s="3" t="s">
        <v>459</v>
      </c>
      <c r="S40" s="90" t="str">
        <v>Konfidensinterval øvre grænse</v>
      </c>
      <c r="T40" s="93">
        <v>0.63273238673900933</v>
      </c>
      <c r="V40" s="3" t="s">
        <v>459</v>
      </c>
      <c r="Z40" s="90" t="str">
        <v>Konfidensinterval øvre grænse</v>
      </c>
      <c r="AA40" s="93">
        <v>2.6243983449566111</v>
      </c>
      <c r="AG40" s="90" t="str">
        <v>Første parameter i testfordeling</v>
      </c>
      <c r="AH40" s="93">
        <v>7</v>
      </c>
      <c r="BE40" s="90" t="s">
        <v>1090</v>
      </c>
      <c r="BF40" s="98" t="str">
        <f>B41</f>
        <v>Eksempel 1 (interval)</v>
      </c>
      <c r="BG40" s="98" t="str">
        <f>I41</f>
        <v>Eksempel 2 (interval)</v>
      </c>
      <c r="BH40" s="98" t="str">
        <f>P41</f>
        <v>Eksempel 4 (nominal)</v>
      </c>
      <c r="BI40" s="98" t="str">
        <f>W41</f>
        <v>Eksempel 1 (interval)</v>
      </c>
      <c r="BJ40" s="98" t="str">
        <f>AD42</f>
        <v>Eksempel 2 (interval)</v>
      </c>
      <c r="BL40" s="90" t="s">
        <v>123</v>
      </c>
      <c r="BM40" s="203" t="e" cm="1">
        <f t="array" ref="BM40">IF(NOT($BH$2),INDEX(E_a_valg[Teststørrelse],E_a_aktiv),NA())</f>
        <v>#N/A</v>
      </c>
      <c r="BZ40" s="127">
        <f t="shared" si="36"/>
        <v>30</v>
      </c>
      <c r="CA40" s="54">
        <f>Eu_tabel_g[[#This Row],[Indeks]]+1</f>
        <v>31</v>
      </c>
      <c r="CB40" s="127">
        <f t="shared" si="37"/>
        <v>-2.3715736303148334</v>
      </c>
      <c r="CC40" s="127">
        <f t="shared" si="38"/>
        <v>2.3965996273642005E-2</v>
      </c>
      <c r="CD40" s="127" t="e">
        <f t="shared" si="39"/>
        <v>#N/A</v>
      </c>
      <c r="CE40" s="127" t="e">
        <f t="shared" si="40"/>
        <v>#N/A</v>
      </c>
      <c r="CF40" s="127" t="e">
        <f t="shared" si="41"/>
        <v>#N/A</v>
      </c>
      <c r="CG40" s="127" t="b">
        <f t="shared" si="42"/>
        <v>1</v>
      </c>
      <c r="CH40" s="127" t="b">
        <f t="shared" si="43"/>
        <v>0</v>
      </c>
      <c r="CI40" s="127" t="b">
        <f t="shared" si="44"/>
        <v>1</v>
      </c>
      <c r="CJ40" s="127" t="b">
        <f t="shared" si="45"/>
        <v>0</v>
      </c>
      <c r="CK40" s="127">
        <f t="shared" si="118"/>
        <v>2.3965996273642005E-2</v>
      </c>
      <c r="CL40" s="127">
        <f t="shared" si="47"/>
        <v>2.3965996273642005E-2</v>
      </c>
      <c r="CM40" s="127" t="e">
        <f t="shared" si="48"/>
        <v>#N/A</v>
      </c>
      <c r="CN40" s="128" t="str">
        <f t="shared" si="49"/>
        <v/>
      </c>
      <c r="CO40" s="54">
        <f>_xlfn.NORM.DIST(_xlfn.NORM.INV(1-Eu_g_konfidensniveau,0,1)-Eu_tabel_g[[#This Row],[x base]],0,1,TRUE)</f>
        <v>0.76630125152424844</v>
      </c>
      <c r="CP40" s="54">
        <f>1-_xlfn.NORM.DIST(_xlfn.NORM.INV(Eu_g_konfidensniveau,0,1)-Eu_tabel_g[[#This Row],[x base]],0,1,TRUE)</f>
        <v>2.9543545472243693E-5</v>
      </c>
      <c r="CQ40" s="54">
        <f>_xlfn.NORM.DIST(_xlfn.NORM.INV((1-Eu_g_konfidensniveau)/2,0,1)-Eu_tabel_g[[#This Row],[x base]],0,1,TRUE)+1-_xlfn.NORM.DIST(_xlfn.NORM.INV(1-(1-Eu_g_konfidensniveau)/2,0,1)-Eu_tabel_g[[#This Row],[x base]],0,1,TRUE)</f>
        <v>0.65969462333628126</v>
      </c>
      <c r="CR40" s="54" t="e" cm="1">
        <f t="array" ref="CR40">IF($CR$3,INDEX(Eu_tabel_g[[#This Row],[Styrke venstre]:[Styrke tosidet]],CR$7),NA())</f>
        <v>#N/A</v>
      </c>
      <c r="CS40" s="89" t="e">
        <f>Eu_tabel_g[[#This Row],[Falsk positiv
Nulhypotese accepteres
Fejltype 1]]</f>
        <v>#N/A</v>
      </c>
      <c r="CT40" s="89" t="e">
        <f>IF(CHOOSE(CR$7,Eu_tabel_g[[#This Row],[x base]]&gt;0,Eu_tabel_g[[#This Row],[x base]]&lt;0,Eu_tabel_g[[#This Row],[x base]]=0),Eu_tabel_g[[#This Row],[Styrke, aktiv]],NA())</f>
        <v>#N/A</v>
      </c>
      <c r="CU40" s="89" t="e">
        <f>IFERROR(IF($CR$3,Eu_tabel_g[[#This Row],[Styrke, aktiv]],NA()),NA())</f>
        <v>#N/A</v>
      </c>
      <c r="CV40" s="89" t="e">
        <f>IF(ISNA(Eu_tabel_g[[#This Row],[Sand negativ
Nulhypotese afvises
Korrekt]]),NA(),IF($CR$3,1,NA()))</f>
        <v>#N/A</v>
      </c>
      <c r="CW40" s="56" t="str" cm="1">
        <f t="array" ref="CW40">_xlfn.SWITCH(BZ40,_xlfn.IFNA(CU$2,-99),CU$5,_xlfn.IFNA(CU$3,-99),CU$6,_xlfn.IFNA(CU$4,-99),CU$7,"")</f>
        <v/>
      </c>
      <c r="DA40" s="7">
        <f t="shared" si="50"/>
        <v>0.8</v>
      </c>
      <c r="DB40">
        <f>IF(ROW(Styrkeberegning_G[[#This Row],[X base venstre]])=ROW(Styrkeberegning_G[[#Headers],[X base venstre]])+1,DB$7/(DA$7/$B$67),DB39/(DA39/$B$67))</f>
        <v>-2.8015817870135784</v>
      </c>
      <c r="DC40">
        <f>Styrkeberegning_G[[#This Row],[X base venstre]]*-1</f>
        <v>2.8015817870135784</v>
      </c>
      <c r="DN40" s="127">
        <f t="shared" si="51"/>
        <v>30</v>
      </c>
      <c r="DO40" s="54">
        <f t="shared" si="52"/>
        <v>31</v>
      </c>
      <c r="DP40" s="127">
        <f t="shared" si="53"/>
        <v>5.2559783571637206</v>
      </c>
      <c r="DQ40" s="127" t="e">
        <f t="shared" si="54"/>
        <v>#N/A</v>
      </c>
      <c r="DR40" s="127" t="e">
        <f t="shared" si="55"/>
        <v>#N/A</v>
      </c>
      <c r="DS40" s="127">
        <f t="shared" si="56"/>
        <v>5.3345539988300897E-2</v>
      </c>
      <c r="DT40" s="127" t="e">
        <f t="shared" si="57"/>
        <v>#N/A</v>
      </c>
      <c r="DU40" s="127" t="b">
        <f t="shared" si="58"/>
        <v>0</v>
      </c>
      <c r="DV40" s="127" t="b">
        <f t="shared" si="59"/>
        <v>1</v>
      </c>
      <c r="DW40" s="127" t="b">
        <f t="shared" si="60"/>
        <v>0</v>
      </c>
      <c r="DX40" s="127" t="b">
        <f t="shared" si="61"/>
        <v>1</v>
      </c>
      <c r="DY40" s="127">
        <f t="shared" si="62"/>
        <v>5.3345539988300897E-2</v>
      </c>
      <c r="DZ40" s="127" t="e">
        <f t="shared" si="63"/>
        <v>#N/A</v>
      </c>
      <c r="EA40" s="127">
        <f t="shared" si="64"/>
        <v>5.3345539988300897E-2</v>
      </c>
      <c r="EB40" s="128" t="str">
        <f t="shared" si="65"/>
        <v/>
      </c>
      <c r="EG40" s="127">
        <f t="shared" si="66"/>
        <v>30</v>
      </c>
      <c r="EH40" s="54">
        <f t="shared" si="67"/>
        <v>31</v>
      </c>
      <c r="EI40" s="127">
        <f t="shared" si="68"/>
        <v>-2.3715736303148334</v>
      </c>
      <c r="EJ40" s="127">
        <f t="shared" si="69"/>
        <v>2.3965996273642005E-2</v>
      </c>
      <c r="EK40" s="127" t="e">
        <f t="shared" si="70"/>
        <v>#N/A</v>
      </c>
      <c r="EL40" s="127" t="e">
        <f t="shared" si="71"/>
        <v>#N/A</v>
      </c>
      <c r="EM40" s="127" t="e">
        <f t="shared" si="72"/>
        <v>#N/A</v>
      </c>
      <c r="EN40" s="127" t="b">
        <f t="shared" si="73"/>
        <v>1</v>
      </c>
      <c r="EO40" s="127" t="b">
        <f t="shared" si="74"/>
        <v>0</v>
      </c>
      <c r="EP40" s="127" t="b">
        <f t="shared" si="75"/>
        <v>1</v>
      </c>
      <c r="EQ40" s="127" t="b">
        <f t="shared" si="76"/>
        <v>0</v>
      </c>
      <c r="ER40" s="127">
        <f t="shared" si="77"/>
        <v>2.3965996273642005E-2</v>
      </c>
      <c r="ES40" s="127">
        <f t="shared" si="78"/>
        <v>2.3965996273642005E-2</v>
      </c>
      <c r="ET40" s="127" t="e">
        <f t="shared" si="79"/>
        <v>#N/A</v>
      </c>
      <c r="EU40" s="128" t="str">
        <f t="shared" si="80"/>
        <v/>
      </c>
      <c r="EV4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4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4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40" s="54" t="e" cm="1">
        <f t="array" ref="EY40">IF($CR$3,INDEX(Eu_tabel_a[[#This Row],[Styrke venstre]:[Styrke tosidet]],EY$7),NA())</f>
        <v>#N/A</v>
      </c>
      <c r="EZ40" s="54" t="e">
        <f>IF(EY$3,IF(CHOOSE(EY$7,Eu_tabel_a[[#This Row],[x base]]&gt;0,Eu_tabel_a[[#This Row],[x base]]&lt;0,Eu_tabel_a[[#This Row],[x base]]=0),1,NA()),NA())</f>
        <v>#N/A</v>
      </c>
      <c r="FA40" s="54" t="e">
        <f>IF(CHOOSE(EY$7,Eu_tabel_a[[#This Row],[x base]]&gt;0,Eu_tabel_a[[#This Row],[x base]]&lt;0,Eu_tabel_a[[#This Row],[x base]]=0),Eu_tabel_a[[#This Row],[Styrke, aktiv]],NA())</f>
        <v>#N/A</v>
      </c>
      <c r="FB40" s="54" t="e">
        <f>IFERROR(IF($EY$3,Eu_tabel_a[[#This Row],[Styrke, aktiv]],NA()),NA())</f>
        <v>#N/A</v>
      </c>
      <c r="FC40" s="54" t="e">
        <f>IF(ISNA(Eu_tabel_a[[#This Row],[Sand negativ
Nulhypotese afvises
Korrekt]]),NA(),IF(EY$3,1,NA()))</f>
        <v>#N/A</v>
      </c>
      <c r="FD40" s="55" t="str" cm="1">
        <f t="array" ref="FD40">IFERROR(_xlfn.SWITCH(Eu_tabel_a[[#This Row],[Indeks]],_xlfn.IFNA(FB$2,-99),FB$5,_xlfn.IFNA(FB$3,-99),FB$6,_xlfn.IFNA(FB$4,-99),FB$7,""),"")</f>
        <v/>
      </c>
      <c r="FE40" s="54">
        <f>Eu_tabel_a[[#This Row],[x base]]*SQRT(Eu_a_h0_x*(1-Eu_a_h0_x)/Eu_a_n_x)+Eu_a_h0_x</f>
        <v>0</v>
      </c>
      <c r="FJ40" s="144" t="e">
        <f t="shared" si="18"/>
        <v>#N/A</v>
      </c>
      <c r="FK40" s="152" t="e">
        <f t="shared" si="113"/>
        <v>#DIV/0!</v>
      </c>
      <c r="FL40" s="7" t="e">
        <f t="shared" si="12"/>
        <v>#DIV/0!</v>
      </c>
      <c r="FM40" t="e">
        <f t="shared" si="114"/>
        <v>#DIV/0!</v>
      </c>
      <c r="FN40" s="8" t="e">
        <f t="shared" si="115"/>
        <v>#DIV/0!</v>
      </c>
      <c r="FO40" s="8" t="e">
        <f t="shared" si="116"/>
        <v>#DIV/0!</v>
      </c>
      <c r="FP40" s="151" t="e">
        <f t="shared" si="117"/>
        <v>#DIV/0!</v>
      </c>
      <c r="FQ40" s="144" t="e">
        <f t="shared" ca="1" si="13"/>
        <v>#N/A</v>
      </c>
      <c r="FR40" s="152" t="e" vm="3">
        <f t="shared" ca="1" si="19"/>
        <v>#VALUE!</v>
      </c>
      <c r="FS40" s="7" t="e" vm="3">
        <f t="shared" ca="1" si="14"/>
        <v>#VALUE!</v>
      </c>
      <c r="FT40" t="e" vm="3">
        <f t="shared" ca="1" si="8"/>
        <v>#VALUE!</v>
      </c>
      <c r="FU40" s="8" t="e" vm="3">
        <f t="shared" ca="1" si="9"/>
        <v>#VALUE!</v>
      </c>
      <c r="FV40" s="8" t="e" vm="3">
        <f t="shared" ca="1" si="10"/>
        <v>#VALUE!</v>
      </c>
      <c r="FW40" s="151" t="e" vm="3">
        <f t="shared" ca="1" si="11"/>
        <v>#VALUE!</v>
      </c>
      <c r="FX40" s="144" t="e">
        <f t="shared" si="15"/>
        <v>#N/A</v>
      </c>
      <c r="FY40" s="152" t="e">
        <f t="shared" si="20"/>
        <v>#N/A</v>
      </c>
      <c r="FZ40" s="7" t="e">
        <f t="shared" si="16"/>
        <v>#N/A</v>
      </c>
      <c r="GA40" t="e">
        <f t="shared" si="21"/>
        <v>#N/A</v>
      </c>
      <c r="GB40" s="8" t="e">
        <f t="shared" si="22"/>
        <v>#N/A</v>
      </c>
      <c r="GC40" s="8" t="e">
        <f t="shared" si="23"/>
        <v>#N/A</v>
      </c>
      <c r="GD40" s="151" t="e">
        <f t="shared" si="24"/>
        <v>#N/A</v>
      </c>
      <c r="GE40" s="144" t="e">
        <f t="shared" si="25"/>
        <v>#N/A</v>
      </c>
      <c r="GF40" s="152" t="e">
        <f t="shared" si="26"/>
        <v>#N/A</v>
      </c>
      <c r="GG40" s="7" t="e">
        <f t="shared" si="17"/>
        <v>#N/A</v>
      </c>
      <c r="GH40" t="e">
        <f t="shared" si="27"/>
        <v>#N/A</v>
      </c>
      <c r="GI40" s="8" t="e">
        <f t="shared" si="28"/>
        <v>#N/A</v>
      </c>
      <c r="GJ40" s="8" t="e">
        <f t="shared" si="29"/>
        <v>#N/A</v>
      </c>
      <c r="GK40" s="151" t="e">
        <f t="shared" si="30"/>
        <v>#N/A</v>
      </c>
      <c r="GL40" s="151"/>
      <c r="GM40" s="151"/>
      <c r="GP40" s="127">
        <f t="shared" si="81"/>
        <v>30</v>
      </c>
      <c r="GQ40" s="54">
        <f t="shared" si="82"/>
        <v>31</v>
      </c>
      <c r="GR40" s="127">
        <f t="shared" si="83"/>
        <v>-2.3715736303148334</v>
      </c>
      <c r="GS40" s="127">
        <f t="shared" si="84"/>
        <v>2.3965996273642005E-2</v>
      </c>
      <c r="GT40" s="127" t="e">
        <f t="shared" si="85"/>
        <v>#N/A</v>
      </c>
      <c r="GU40" s="127" t="e">
        <f t="shared" si="86"/>
        <v>#N/A</v>
      </c>
      <c r="GV40" s="127" t="e">
        <f t="shared" si="87"/>
        <v>#N/A</v>
      </c>
      <c r="GW40" s="127" t="b">
        <f t="shared" si="88"/>
        <v>1</v>
      </c>
      <c r="GX40" s="127" t="b">
        <f t="shared" si="89"/>
        <v>0</v>
      </c>
      <c r="GY40" s="127" t="b">
        <f t="shared" si="90"/>
        <v>1</v>
      </c>
      <c r="GZ40" s="127" t="b">
        <f t="shared" si="91"/>
        <v>0</v>
      </c>
      <c r="HA40" s="127">
        <f t="shared" si="92"/>
        <v>2.3965996273642005E-2</v>
      </c>
      <c r="HB40" s="127">
        <f t="shared" si="93"/>
        <v>2.3965996273642005E-2</v>
      </c>
      <c r="HC40" s="127" t="e">
        <f t="shared" si="94"/>
        <v>#N/A</v>
      </c>
      <c r="HD40" s="128" t="str">
        <f t="shared" si="95"/>
        <v/>
      </c>
      <c r="HJ40" s="127">
        <f t="shared" si="96"/>
        <v>30</v>
      </c>
      <c r="HK40" s="54">
        <f t="shared" si="97"/>
        <v>31</v>
      </c>
      <c r="HL40" s="127">
        <f t="shared" si="98"/>
        <v>-3.6724315754666277</v>
      </c>
      <c r="HM40" s="127" t="e">
        <f t="shared" si="99"/>
        <v>#N/A</v>
      </c>
      <c r="HN40" s="127">
        <f t="shared" si="100"/>
        <v>5.2474784393453646E-3</v>
      </c>
      <c r="HO40" s="127" t="e">
        <f t="shared" si="101"/>
        <v>#N/A</v>
      </c>
      <c r="HP40" s="127" t="e">
        <f t="shared" si="102"/>
        <v>#N/A</v>
      </c>
      <c r="HQ40" s="127" t="b">
        <f t="shared" si="103"/>
        <v>1</v>
      </c>
      <c r="HR40" s="127" t="b">
        <f t="shared" si="104"/>
        <v>0</v>
      </c>
      <c r="HS40" s="127" t="b">
        <f t="shared" si="105"/>
        <v>1</v>
      </c>
      <c r="HT40" s="127" t="b">
        <f t="shared" si="106"/>
        <v>0</v>
      </c>
      <c r="HU40" s="127">
        <f t="shared" si="107"/>
        <v>5.2474784393453646E-3</v>
      </c>
      <c r="HV40" s="127">
        <f t="shared" si="108"/>
        <v>5.2474784393453646E-3</v>
      </c>
      <c r="HW40" s="127" t="e">
        <f t="shared" si="109"/>
        <v>#N/A</v>
      </c>
      <c r="HX40" s="128" t="str">
        <f t="shared" si="110"/>
        <v/>
      </c>
    </row>
    <row r="41" spans="1:232" x14ac:dyDescent="0.2">
      <c r="A41" s="57" t="s">
        <v>13</v>
      </c>
      <c r="B41" s="41" t="s">
        <v>24</v>
      </c>
      <c r="E41" s="90"/>
      <c r="F41" s="205"/>
      <c r="H41" s="57" t="s">
        <v>13</v>
      </c>
      <c r="I41" s="41" t="s">
        <v>278</v>
      </c>
      <c r="L41" s="90"/>
      <c r="M41" s="92"/>
      <c r="N41" s="132"/>
      <c r="O41" s="57" t="s">
        <v>13</v>
      </c>
      <c r="P41" s="41" t="s">
        <v>282</v>
      </c>
      <c r="S41" s="90"/>
      <c r="T41" s="93"/>
      <c r="V41" s="57" t="s">
        <v>13</v>
      </c>
      <c r="W41" s="41" t="s">
        <v>24</v>
      </c>
      <c r="Z41" s="90"/>
      <c r="AA41" s="93"/>
      <c r="AC41" s="3" t="s">
        <v>460</v>
      </c>
      <c r="AE41" s="3" t="s">
        <v>1165</v>
      </c>
      <c r="AG41" s="90" t="str">
        <v>Teststørrelse</v>
      </c>
      <c r="AH41" s="93">
        <v>1.7059050335879198</v>
      </c>
      <c r="BE41" s="90" t="s">
        <v>1091</v>
      </c>
      <c r="BF41" s="98" cm="1">
        <f t="array" ref="BF41:BJ41">_xlfn.XMATCH(BF40:BJ40,DataHeaders,0)</f>
        <v>1</v>
      </c>
      <c r="BG41" s="98">
        <v>2</v>
      </c>
      <c r="BH41" s="98">
        <v>4</v>
      </c>
      <c r="BI41" s="98">
        <v>1</v>
      </c>
      <c r="BJ41" s="98">
        <v>2</v>
      </c>
      <c r="BL41" s="90" t="s">
        <v>415</v>
      </c>
      <c r="BM41" s="204" t="e" cm="1">
        <f t="array" ref="BM41">IF(NOT($BH$2),INDEX(E_a_valg[p-værdi],E_a_aktiv),NA())</f>
        <v>#N/A</v>
      </c>
      <c r="BZ41" s="127">
        <f t="shared" si="36"/>
        <v>31</v>
      </c>
      <c r="CA41" s="54">
        <f>Eu_tabel_g[[#This Row],[Indeks]]+1</f>
        <v>32</v>
      </c>
      <c r="CB41" s="127">
        <f t="shared" si="37"/>
        <v>-2.347618341119734</v>
      </c>
      <c r="CC41" s="127">
        <f t="shared" si="38"/>
        <v>2.5359687526847842E-2</v>
      </c>
      <c r="CD41" s="127" t="e">
        <f t="shared" si="39"/>
        <v>#N/A</v>
      </c>
      <c r="CE41" s="127" t="e">
        <f t="shared" si="40"/>
        <v>#N/A</v>
      </c>
      <c r="CF41" s="127" t="e">
        <f t="shared" si="41"/>
        <v>#N/A</v>
      </c>
      <c r="CG41" s="127" t="b">
        <f t="shared" si="42"/>
        <v>1</v>
      </c>
      <c r="CH41" s="127" t="b">
        <f t="shared" si="43"/>
        <v>0</v>
      </c>
      <c r="CI41" s="127" t="b">
        <f t="shared" si="44"/>
        <v>1</v>
      </c>
      <c r="CJ41" s="127" t="b">
        <f t="shared" si="45"/>
        <v>0</v>
      </c>
      <c r="CK41" s="127">
        <f t="shared" si="118"/>
        <v>2.5359687526847842E-2</v>
      </c>
      <c r="CL41" s="127">
        <f t="shared" si="47"/>
        <v>2.5359687526847842E-2</v>
      </c>
      <c r="CM41" s="127" t="e">
        <f t="shared" si="48"/>
        <v>#N/A</v>
      </c>
      <c r="CN41" s="128" t="str">
        <f t="shared" si="49"/>
        <v/>
      </c>
      <c r="CO41" s="54">
        <f>_xlfn.NORM.DIST(_xlfn.NORM.INV(1-Eu_g_konfidensniveau,0,1)-Eu_tabel_g[[#This Row],[x base]],0,1,TRUE)</f>
        <v>0.7588988047257339</v>
      </c>
      <c r="CP41" s="54">
        <f>1-_xlfn.NORM.DIST(_xlfn.NORM.INV(Eu_g_konfidensniveau,0,1)-Eu_tabel_g[[#This Row],[x base]],0,1,TRUE)</f>
        <v>3.2694032375379933E-5</v>
      </c>
      <c r="CQ41" s="54">
        <f>_xlfn.NORM.DIST(_xlfn.NORM.INV((1-Eu_g_konfidensniveau)/2,0,1)-Eu_tabel_g[[#This Row],[x base]],0,1,TRUE)+1-_xlfn.NORM.DIST(_xlfn.NORM.INV(1-(1-Eu_g_konfidensniveau)/2,0,1)-Eu_tabel_g[[#This Row],[x base]],0,1,TRUE)</f>
        <v>0.65087233365469499</v>
      </c>
      <c r="CR41" s="54" t="e" cm="1">
        <f t="array" ref="CR41">IF($CR$3,INDEX(Eu_tabel_g[[#This Row],[Styrke venstre]:[Styrke tosidet]],CR$7),NA())</f>
        <v>#N/A</v>
      </c>
      <c r="CS41" s="89" t="e">
        <f>Eu_tabel_g[[#This Row],[Falsk positiv
Nulhypotese accepteres
Fejltype 1]]</f>
        <v>#N/A</v>
      </c>
      <c r="CT41" s="89" t="e">
        <f>IF(CHOOSE(CR$7,Eu_tabel_g[[#This Row],[x base]]&gt;0,Eu_tabel_g[[#This Row],[x base]]&lt;0,Eu_tabel_g[[#This Row],[x base]]=0),Eu_tabel_g[[#This Row],[Styrke, aktiv]],NA())</f>
        <v>#N/A</v>
      </c>
      <c r="CU41" s="89" t="e">
        <f>IFERROR(IF($CR$3,Eu_tabel_g[[#This Row],[Styrke, aktiv]],NA()),NA())</f>
        <v>#N/A</v>
      </c>
      <c r="CV41" s="89" t="e">
        <f>IF(ISNA(Eu_tabel_g[[#This Row],[Sand negativ
Nulhypotese afvises
Korrekt]]),NA(),IF($CR$3,1,NA()))</f>
        <v>#N/A</v>
      </c>
      <c r="CW41" s="56" t="str" cm="1">
        <f t="array" ref="CW41">_xlfn.SWITCH(BZ41,_xlfn.IFNA(CU$2,-99),CU$5,_xlfn.IFNA(CU$3,-99),CU$6,_xlfn.IFNA(CU$4,-99),CU$7,"")</f>
        <v/>
      </c>
      <c r="DA41" s="7">
        <f t="shared" si="50"/>
        <v>0.8</v>
      </c>
      <c r="DB41">
        <f>IF(ROW(Styrkeberegning_G[[#This Row],[X base venstre]])=ROW(Styrkeberegning_G[[#Headers],[X base venstre]])+1,DB$7/(DA$7/$B$67),DB40/(DA40/$B$67))</f>
        <v>-2.8015817870135784</v>
      </c>
      <c r="DC41">
        <f>Styrkeberegning_G[[#This Row],[X base venstre]]*-1</f>
        <v>2.8015817870135784</v>
      </c>
      <c r="DN41" s="127">
        <f t="shared" si="51"/>
        <v>31</v>
      </c>
      <c r="DO41" s="54">
        <f t="shared" si="52"/>
        <v>32</v>
      </c>
      <c r="DP41" s="127">
        <f t="shared" si="53"/>
        <v>5.370049213580721</v>
      </c>
      <c r="DQ41" s="127" t="e">
        <f t="shared" si="54"/>
        <v>#N/A</v>
      </c>
      <c r="DR41" s="127" t="e">
        <f t="shared" si="55"/>
        <v>#N/A</v>
      </c>
      <c r="DS41" s="127">
        <f t="shared" si="56"/>
        <v>5.5499501574844977E-2</v>
      </c>
      <c r="DT41" s="127" t="e">
        <f t="shared" si="57"/>
        <v>#N/A</v>
      </c>
      <c r="DU41" s="127" t="b">
        <f t="shared" si="58"/>
        <v>0</v>
      </c>
      <c r="DV41" s="127" t="b">
        <f t="shared" si="59"/>
        <v>1</v>
      </c>
      <c r="DW41" s="127" t="b">
        <f t="shared" si="60"/>
        <v>0</v>
      </c>
      <c r="DX41" s="127" t="b">
        <f t="shared" si="61"/>
        <v>1</v>
      </c>
      <c r="DY41" s="127">
        <f t="shared" si="62"/>
        <v>5.5499501574844977E-2</v>
      </c>
      <c r="DZ41" s="127" t="e">
        <f t="shared" si="63"/>
        <v>#N/A</v>
      </c>
      <c r="EA41" s="127">
        <f t="shared" si="64"/>
        <v>5.5499501574844977E-2</v>
      </c>
      <c r="EB41" s="128" t="str">
        <f t="shared" si="65"/>
        <v/>
      </c>
      <c r="EG41" s="127">
        <f t="shared" si="66"/>
        <v>31</v>
      </c>
      <c r="EH41" s="54">
        <f t="shared" si="67"/>
        <v>32</v>
      </c>
      <c r="EI41" s="127">
        <f t="shared" si="68"/>
        <v>-2.347618341119734</v>
      </c>
      <c r="EJ41" s="127">
        <f t="shared" si="69"/>
        <v>2.5359687526847842E-2</v>
      </c>
      <c r="EK41" s="127" t="e">
        <f t="shared" si="70"/>
        <v>#N/A</v>
      </c>
      <c r="EL41" s="127" t="e">
        <f t="shared" si="71"/>
        <v>#N/A</v>
      </c>
      <c r="EM41" s="127" t="e">
        <f t="shared" si="72"/>
        <v>#N/A</v>
      </c>
      <c r="EN41" s="127" t="b">
        <f t="shared" si="73"/>
        <v>1</v>
      </c>
      <c r="EO41" s="127" t="b">
        <f t="shared" si="74"/>
        <v>0</v>
      </c>
      <c r="EP41" s="127" t="b">
        <f t="shared" si="75"/>
        <v>1</v>
      </c>
      <c r="EQ41" s="127" t="b">
        <f t="shared" si="76"/>
        <v>0</v>
      </c>
      <c r="ER41" s="127">
        <f t="shared" si="77"/>
        <v>2.5359687526847842E-2</v>
      </c>
      <c r="ES41" s="127">
        <f t="shared" si="78"/>
        <v>2.5359687526847842E-2</v>
      </c>
      <c r="ET41" s="127" t="e">
        <f t="shared" si="79"/>
        <v>#N/A</v>
      </c>
      <c r="EU41" s="128" t="str">
        <f t="shared" si="80"/>
        <v/>
      </c>
      <c r="EV4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4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4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41" s="54" t="e" cm="1">
        <f t="array" ref="EY41">IF($CR$3,INDEX(Eu_tabel_a[[#This Row],[Styrke venstre]:[Styrke tosidet]],EY$7),NA())</f>
        <v>#N/A</v>
      </c>
      <c r="EZ41" s="54" t="e">
        <f>IF(EY$3,IF(CHOOSE(EY$7,Eu_tabel_a[[#This Row],[x base]]&gt;0,Eu_tabel_a[[#This Row],[x base]]&lt;0,Eu_tabel_a[[#This Row],[x base]]=0),1,NA()),NA())</f>
        <v>#N/A</v>
      </c>
      <c r="FA41" s="54" t="e">
        <f>IF(CHOOSE(EY$7,Eu_tabel_a[[#This Row],[x base]]&gt;0,Eu_tabel_a[[#This Row],[x base]]&lt;0,Eu_tabel_a[[#This Row],[x base]]=0),Eu_tabel_a[[#This Row],[Styrke, aktiv]],NA())</f>
        <v>#N/A</v>
      </c>
      <c r="FB41" s="54" t="e">
        <f>IFERROR(IF($EY$3,Eu_tabel_a[[#This Row],[Styrke, aktiv]],NA()),NA())</f>
        <v>#N/A</v>
      </c>
      <c r="FC41" s="54" t="e">
        <f>IF(ISNA(Eu_tabel_a[[#This Row],[Sand negativ
Nulhypotese afvises
Korrekt]]),NA(),IF(EY$3,1,NA()))</f>
        <v>#N/A</v>
      </c>
      <c r="FD41" s="55" t="str" cm="1">
        <f t="array" ref="FD41">IFERROR(_xlfn.SWITCH(Eu_tabel_a[[#This Row],[Indeks]],_xlfn.IFNA(FB$2,-99),FB$5,_xlfn.IFNA(FB$3,-99),FB$6,_xlfn.IFNA(FB$4,-99),FB$7,""),"")</f>
        <v/>
      </c>
      <c r="FE41" s="54">
        <f>Eu_tabel_a[[#This Row],[x base]]*SQRT(Eu_a_h0_x*(1-Eu_a_h0_x)/Eu_a_n_x)+Eu_a_h0_x</f>
        <v>0</v>
      </c>
      <c r="FJ41" s="144" t="e">
        <f t="shared" si="18"/>
        <v>#N/A</v>
      </c>
      <c r="FK41" s="152" t="e">
        <f t="shared" si="113"/>
        <v>#DIV/0!</v>
      </c>
      <c r="FL41" s="7" t="e">
        <f t="shared" si="12"/>
        <v>#DIV/0!</v>
      </c>
      <c r="FM41" t="e">
        <f t="shared" si="114"/>
        <v>#DIV/0!</v>
      </c>
      <c r="FN41" s="8" t="e">
        <f t="shared" si="115"/>
        <v>#DIV/0!</v>
      </c>
      <c r="FO41" s="8" t="e">
        <f t="shared" si="116"/>
        <v>#DIV/0!</v>
      </c>
      <c r="FP41" s="151" t="e">
        <f t="shared" si="117"/>
        <v>#DIV/0!</v>
      </c>
      <c r="FQ41" s="144" t="e">
        <f t="shared" ca="1" si="13"/>
        <v>#N/A</v>
      </c>
      <c r="FR41" s="152" t="e" vm="3">
        <f t="shared" ca="1" si="19"/>
        <v>#VALUE!</v>
      </c>
      <c r="FS41" s="7" t="e" vm="3">
        <f t="shared" ca="1" si="14"/>
        <v>#VALUE!</v>
      </c>
      <c r="FT41" t="e" vm="3">
        <f t="shared" ca="1" si="8"/>
        <v>#VALUE!</v>
      </c>
      <c r="FU41" s="8" t="e" vm="3">
        <f t="shared" ca="1" si="9"/>
        <v>#VALUE!</v>
      </c>
      <c r="FV41" s="8" t="e" vm="3">
        <f t="shared" ca="1" si="10"/>
        <v>#VALUE!</v>
      </c>
      <c r="FW41" s="151" t="e" vm="3">
        <f t="shared" ca="1" si="11"/>
        <v>#VALUE!</v>
      </c>
      <c r="FX41" s="144" t="e">
        <f t="shared" si="15"/>
        <v>#N/A</v>
      </c>
      <c r="FY41" s="152" t="e">
        <f t="shared" si="20"/>
        <v>#N/A</v>
      </c>
      <c r="FZ41" s="7" t="e">
        <f t="shared" si="16"/>
        <v>#N/A</v>
      </c>
      <c r="GA41" t="e">
        <f t="shared" si="21"/>
        <v>#N/A</v>
      </c>
      <c r="GB41" s="8" t="e">
        <f t="shared" si="22"/>
        <v>#N/A</v>
      </c>
      <c r="GC41" s="8" t="e">
        <f t="shared" si="23"/>
        <v>#N/A</v>
      </c>
      <c r="GD41" s="151" t="e">
        <f t="shared" si="24"/>
        <v>#N/A</v>
      </c>
      <c r="GE41" s="144" t="e">
        <f t="shared" si="25"/>
        <v>#N/A</v>
      </c>
      <c r="GF41" s="152" t="e">
        <f t="shared" si="26"/>
        <v>#N/A</v>
      </c>
      <c r="GG41" s="7" t="e">
        <f t="shared" si="17"/>
        <v>#N/A</v>
      </c>
      <c r="GH41" t="e">
        <f t="shared" si="27"/>
        <v>#N/A</v>
      </c>
      <c r="GI41" s="8" t="e">
        <f t="shared" si="28"/>
        <v>#N/A</v>
      </c>
      <c r="GJ41" s="8" t="e">
        <f t="shared" si="29"/>
        <v>#N/A</v>
      </c>
      <c r="GK41" s="151" t="e">
        <f t="shared" si="30"/>
        <v>#N/A</v>
      </c>
      <c r="GL41" s="151"/>
      <c r="GM41" s="151"/>
      <c r="GP41" s="127">
        <f t="shared" si="81"/>
        <v>31</v>
      </c>
      <c r="GQ41" s="54">
        <f t="shared" si="82"/>
        <v>32</v>
      </c>
      <c r="GR41" s="127">
        <f t="shared" si="83"/>
        <v>-2.347618341119734</v>
      </c>
      <c r="GS41" s="127">
        <f t="shared" si="84"/>
        <v>2.5359687526847842E-2</v>
      </c>
      <c r="GT41" s="127" t="e">
        <f t="shared" si="85"/>
        <v>#N/A</v>
      </c>
      <c r="GU41" s="127" t="e">
        <f t="shared" si="86"/>
        <v>#N/A</v>
      </c>
      <c r="GV41" s="127" t="e">
        <f t="shared" si="87"/>
        <v>#N/A</v>
      </c>
      <c r="GW41" s="127" t="b">
        <f t="shared" si="88"/>
        <v>1</v>
      </c>
      <c r="GX41" s="127" t="b">
        <f t="shared" si="89"/>
        <v>0</v>
      </c>
      <c r="GY41" s="127" t="b">
        <f t="shared" si="90"/>
        <v>1</v>
      </c>
      <c r="GZ41" s="127" t="b">
        <f t="shared" si="91"/>
        <v>0</v>
      </c>
      <c r="HA41" s="127">
        <f t="shared" si="92"/>
        <v>2.5359687526847842E-2</v>
      </c>
      <c r="HB41" s="127">
        <f t="shared" si="93"/>
        <v>2.5359687526847842E-2</v>
      </c>
      <c r="HC41" s="127" t="e">
        <f t="shared" si="94"/>
        <v>#N/A</v>
      </c>
      <c r="HD41" s="128" t="str">
        <f t="shared" si="95"/>
        <v/>
      </c>
      <c r="HJ41" s="127">
        <f t="shared" si="96"/>
        <v>31</v>
      </c>
      <c r="HK41" s="54">
        <f t="shared" si="97"/>
        <v>32</v>
      </c>
      <c r="HL41" s="127">
        <f t="shared" si="98"/>
        <v>-3.635336307027571</v>
      </c>
      <c r="HM41" s="127" t="e">
        <f t="shared" si="99"/>
        <v>#N/A</v>
      </c>
      <c r="HN41" s="127">
        <f t="shared" si="100"/>
        <v>5.5346566224468898E-3</v>
      </c>
      <c r="HO41" s="127" t="e">
        <f t="shared" si="101"/>
        <v>#N/A</v>
      </c>
      <c r="HP41" s="127" t="e">
        <f t="shared" si="102"/>
        <v>#N/A</v>
      </c>
      <c r="HQ41" s="127" t="b">
        <f t="shared" si="103"/>
        <v>1</v>
      </c>
      <c r="HR41" s="127" t="b">
        <f t="shared" si="104"/>
        <v>0</v>
      </c>
      <c r="HS41" s="127" t="b">
        <f t="shared" si="105"/>
        <v>1</v>
      </c>
      <c r="HT41" s="127" t="b">
        <f t="shared" si="106"/>
        <v>0</v>
      </c>
      <c r="HU41" s="127">
        <f t="shared" si="107"/>
        <v>5.5346566224468898E-3</v>
      </c>
      <c r="HV41" s="127">
        <f t="shared" si="108"/>
        <v>5.5346566224468898E-3</v>
      </c>
      <c r="HW41" s="127" t="e">
        <f t="shared" si="109"/>
        <v>#N/A</v>
      </c>
      <c r="HX41" s="128" t="str">
        <f t="shared" si="110"/>
        <v/>
      </c>
    </row>
    <row r="42" spans="1:232" x14ac:dyDescent="0.2">
      <c r="A42" s="57" t="s">
        <v>436</v>
      </c>
      <c r="B42" s="139">
        <f>AVERAGE(_xlfn.ANCHORARRAY(BF43))</f>
        <v>1.8540044183209705</v>
      </c>
      <c r="E42" s="90"/>
      <c r="F42" s="205"/>
      <c r="H42" s="57" t="s">
        <v>437</v>
      </c>
      <c r="I42" s="139">
        <f>_xlfn.STDEV.S(_xlfn.ANCHORARRAY(BG43))</f>
        <v>4.2847095293134156</v>
      </c>
      <c r="L42" s="90"/>
      <c r="M42" s="99"/>
      <c r="N42" s="132"/>
      <c r="O42" s="57" t="s">
        <v>439</v>
      </c>
      <c r="P42" s="136">
        <f>COUNTIF(_xlfn.ANCHORARRAY(BH43),TRUE)/COUNTA(_xlfn.ANCHORARRAY(BH43))</f>
        <v>0.41666666666666669</v>
      </c>
      <c r="S42" s="90"/>
      <c r="T42" s="93"/>
      <c r="V42" s="90" t="s">
        <v>443</v>
      </c>
      <c r="W42" s="98">
        <f>AVERAGE(_xlfn.ANCHORARRAY(BI43))</f>
        <v>1.8540044183209705</v>
      </c>
      <c r="Z42" s="90"/>
      <c r="AA42" s="93"/>
      <c r="AC42" s="57" t="s">
        <v>13</v>
      </c>
      <c r="AD42" s="41" t="s">
        <v>278</v>
      </c>
      <c r="AE42" s="134" t="str">
        <f>IF(BJ38,"Værdier hentet fra lineær regression","Værdier ikke fundet i lineær regression")</f>
        <v>Værdier hentet fra lineær regression</v>
      </c>
      <c r="AG42" s="90" t="str">
        <v>P-værdi</v>
      </c>
      <c r="AH42" s="143">
        <v>0.93410377293293312</v>
      </c>
      <c r="BE42" s="90" t="s">
        <v>29</v>
      </c>
      <c r="BF42" s="98" cm="1">
        <f t="array" ref="BF42:BJ42">INDEX(DataBeregning!B5:CW5,_xlfn.ANCHORARRAY(BF41))</f>
        <v>12</v>
      </c>
      <c r="BG42" s="98">
        <v>12</v>
      </c>
      <c r="BH42" s="98">
        <v>12</v>
      </c>
      <c r="BI42" s="98">
        <v>12</v>
      </c>
      <c r="BJ42" s="98">
        <v>12</v>
      </c>
      <c r="BL42" s="90" t="s">
        <v>455</v>
      </c>
      <c r="BM42" s="204" t="e" cm="1">
        <f t="array" ref="BM42">IF(NOT($BH$2),IF(INDEX(E_a_valg[Nulhypotese kan ikke afvises],E_a_aktiv),"Nulhypotese kan ikke afvises","Nulhypotese afvises"),NA())</f>
        <v>#N/A</v>
      </c>
      <c r="BZ42" s="127">
        <f t="shared" si="36"/>
        <v>32</v>
      </c>
      <c r="CA42" s="54">
        <f>Eu_tabel_g[[#This Row],[Indeks]]+1</f>
        <v>33</v>
      </c>
      <c r="CB42" s="127">
        <f t="shared" si="37"/>
        <v>-2.3236630519246346</v>
      </c>
      <c r="CC42" s="127">
        <f t="shared" si="38"/>
        <v>2.681903123843965E-2</v>
      </c>
      <c r="CD42" s="127" t="e">
        <f t="shared" si="39"/>
        <v>#N/A</v>
      </c>
      <c r="CE42" s="127" t="e">
        <f t="shared" si="40"/>
        <v>#N/A</v>
      </c>
      <c r="CF42" s="127" t="e">
        <f t="shared" si="41"/>
        <v>#N/A</v>
      </c>
      <c r="CG42" s="127" t="b">
        <f t="shared" si="42"/>
        <v>1</v>
      </c>
      <c r="CH42" s="127" t="b">
        <f t="shared" si="43"/>
        <v>0</v>
      </c>
      <c r="CI42" s="127" t="b">
        <f t="shared" si="44"/>
        <v>1</v>
      </c>
      <c r="CJ42" s="127" t="b">
        <f t="shared" si="45"/>
        <v>0</v>
      </c>
      <c r="CK42" s="127">
        <f t="shared" si="118"/>
        <v>2.681903123843965E-2</v>
      </c>
      <c r="CL42" s="127">
        <f t="shared" si="47"/>
        <v>2.681903123843965E-2</v>
      </c>
      <c r="CM42" s="127" t="e">
        <f t="shared" si="48"/>
        <v>#N/A</v>
      </c>
      <c r="CN42" s="128" t="str">
        <f t="shared" si="49"/>
        <v/>
      </c>
      <c r="CO42" s="54">
        <f>_xlfn.NORM.DIST(_xlfn.NORM.INV(1-Eu_g_konfidensniveau,0,1)-Eu_tabel_g[[#This Row],[x base]],0,1,TRUE)</f>
        <v>0.75137068940614915</v>
      </c>
      <c r="CP42" s="54">
        <f>1-_xlfn.NORM.DIST(_xlfn.NORM.INV(Eu_g_konfidensniveau,0,1)-Eu_tabel_g[[#This Row],[x base]],0,1,TRUE)</f>
        <v>3.6160698152931658E-5</v>
      </c>
      <c r="CQ42" s="54">
        <f>_xlfn.NORM.DIST(_xlfn.NORM.INV((1-Eu_g_konfidensniveau)/2,0,1)-Eu_tabel_g[[#This Row],[x base]],0,1,TRUE)+1-_xlfn.NORM.DIST(_xlfn.NORM.INV(1-(1-Eu_g_konfidensniveau)/2,0,1)-Eu_tabel_g[[#This Row],[x base]],0,1,TRUE)</f>
        <v>0.64196782362632765</v>
      </c>
      <c r="CR42" s="54" t="e" cm="1">
        <f t="array" ref="CR42">IF($CR$3,INDEX(Eu_tabel_g[[#This Row],[Styrke venstre]:[Styrke tosidet]],CR$7),NA())</f>
        <v>#N/A</v>
      </c>
      <c r="CS42" s="89" t="e">
        <f>Eu_tabel_g[[#This Row],[Falsk positiv
Nulhypotese accepteres
Fejltype 1]]</f>
        <v>#N/A</v>
      </c>
      <c r="CT42" s="89" t="e">
        <f>IF(CHOOSE(CR$7,Eu_tabel_g[[#This Row],[x base]]&gt;0,Eu_tabel_g[[#This Row],[x base]]&lt;0,Eu_tabel_g[[#This Row],[x base]]=0),Eu_tabel_g[[#This Row],[Styrke, aktiv]],NA())</f>
        <v>#N/A</v>
      </c>
      <c r="CU42" s="89" t="e">
        <f>IFERROR(IF($CR$3,Eu_tabel_g[[#This Row],[Styrke, aktiv]],NA()),NA())</f>
        <v>#N/A</v>
      </c>
      <c r="CV42" s="89" t="e">
        <f>IF(ISNA(Eu_tabel_g[[#This Row],[Sand negativ
Nulhypotese afvises
Korrekt]]),NA(),IF($CR$3,1,NA()))</f>
        <v>#N/A</v>
      </c>
      <c r="CW42" s="56" t="str" cm="1">
        <f t="array" ref="CW42">_xlfn.SWITCH(BZ42,_xlfn.IFNA(CU$2,-99),CU$5,_xlfn.IFNA(CU$3,-99),CU$6,_xlfn.IFNA(CU$4,-99),CU$7,"")</f>
        <v/>
      </c>
      <c r="DA42" s="7">
        <f t="shared" si="50"/>
        <v>0.8</v>
      </c>
      <c r="DB42">
        <f>IF(ROW(Styrkeberegning_G[[#This Row],[X base venstre]])=ROW(Styrkeberegning_G[[#Headers],[X base venstre]])+1,DB$7/(DA$7/$B$67),DB41/(DA41/$B$67))</f>
        <v>-2.8015817870135784</v>
      </c>
      <c r="DC42">
        <f>Styrkeberegning_G[[#This Row],[X base venstre]]*-1</f>
        <v>2.8015817870135784</v>
      </c>
      <c r="DN42" s="127">
        <f t="shared" si="51"/>
        <v>32</v>
      </c>
      <c r="DO42" s="54">
        <f t="shared" si="52"/>
        <v>33</v>
      </c>
      <c r="DP42" s="127">
        <f t="shared" si="53"/>
        <v>5.4841200699977222</v>
      </c>
      <c r="DQ42" s="127" t="e">
        <f t="shared" si="54"/>
        <v>#N/A</v>
      </c>
      <c r="DR42" s="127" t="e">
        <f t="shared" si="55"/>
        <v>#N/A</v>
      </c>
      <c r="DS42" s="127">
        <f t="shared" si="56"/>
        <v>5.7623284774130229E-2</v>
      </c>
      <c r="DT42" s="127" t="e">
        <f t="shared" si="57"/>
        <v>#N/A</v>
      </c>
      <c r="DU42" s="127" t="b">
        <f t="shared" si="58"/>
        <v>0</v>
      </c>
      <c r="DV42" s="127" t="b">
        <f t="shared" si="59"/>
        <v>1</v>
      </c>
      <c r="DW42" s="127" t="b">
        <f t="shared" si="60"/>
        <v>0</v>
      </c>
      <c r="DX42" s="127" t="b">
        <f t="shared" si="61"/>
        <v>1</v>
      </c>
      <c r="DY42" s="127">
        <f t="shared" si="62"/>
        <v>5.7623284774130229E-2</v>
      </c>
      <c r="DZ42" s="127" t="e">
        <f t="shared" si="63"/>
        <v>#N/A</v>
      </c>
      <c r="EA42" s="127">
        <f t="shared" si="64"/>
        <v>5.7623284774130229E-2</v>
      </c>
      <c r="EB42" s="128" t="str">
        <f t="shared" si="65"/>
        <v/>
      </c>
      <c r="EG42" s="127">
        <f t="shared" si="66"/>
        <v>32</v>
      </c>
      <c r="EH42" s="54">
        <f t="shared" si="67"/>
        <v>33</v>
      </c>
      <c r="EI42" s="127">
        <f t="shared" si="68"/>
        <v>-2.3236630519246346</v>
      </c>
      <c r="EJ42" s="127">
        <f t="shared" si="69"/>
        <v>2.681903123843965E-2</v>
      </c>
      <c r="EK42" s="127" t="e">
        <f t="shared" si="70"/>
        <v>#N/A</v>
      </c>
      <c r="EL42" s="127" t="e">
        <f t="shared" si="71"/>
        <v>#N/A</v>
      </c>
      <c r="EM42" s="127" t="e">
        <f t="shared" si="72"/>
        <v>#N/A</v>
      </c>
      <c r="EN42" s="127" t="b">
        <f t="shared" si="73"/>
        <v>1</v>
      </c>
      <c r="EO42" s="127" t="b">
        <f t="shared" si="74"/>
        <v>0</v>
      </c>
      <c r="EP42" s="127" t="b">
        <f t="shared" si="75"/>
        <v>1</v>
      </c>
      <c r="EQ42" s="127" t="b">
        <f t="shared" si="76"/>
        <v>0</v>
      </c>
      <c r="ER42" s="127">
        <f t="shared" si="77"/>
        <v>2.681903123843965E-2</v>
      </c>
      <c r="ES42" s="127">
        <f t="shared" si="78"/>
        <v>2.681903123843965E-2</v>
      </c>
      <c r="ET42" s="127" t="e">
        <f t="shared" si="79"/>
        <v>#N/A</v>
      </c>
      <c r="EU42" s="128" t="str">
        <f t="shared" si="80"/>
        <v/>
      </c>
      <c r="EV4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4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4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42" s="54" t="e" cm="1">
        <f t="array" ref="EY42">IF($CR$3,INDEX(Eu_tabel_a[[#This Row],[Styrke venstre]:[Styrke tosidet]],EY$7),NA())</f>
        <v>#N/A</v>
      </c>
      <c r="EZ42" s="54" t="e">
        <f>IF(EY$3,IF(CHOOSE(EY$7,Eu_tabel_a[[#This Row],[x base]]&gt;0,Eu_tabel_a[[#This Row],[x base]]&lt;0,Eu_tabel_a[[#This Row],[x base]]=0),1,NA()),NA())</f>
        <v>#N/A</v>
      </c>
      <c r="FA42" s="54" t="e">
        <f>IF(CHOOSE(EY$7,Eu_tabel_a[[#This Row],[x base]]&gt;0,Eu_tabel_a[[#This Row],[x base]]&lt;0,Eu_tabel_a[[#This Row],[x base]]=0),Eu_tabel_a[[#This Row],[Styrke, aktiv]],NA())</f>
        <v>#N/A</v>
      </c>
      <c r="FB42" s="54" t="e">
        <f>IFERROR(IF($EY$3,Eu_tabel_a[[#This Row],[Styrke, aktiv]],NA()),NA())</f>
        <v>#N/A</v>
      </c>
      <c r="FC42" s="54" t="e">
        <f>IF(ISNA(Eu_tabel_a[[#This Row],[Sand negativ
Nulhypotese afvises
Korrekt]]),NA(),IF(EY$3,1,NA()))</f>
        <v>#N/A</v>
      </c>
      <c r="FD42" s="55" t="str" cm="1">
        <f t="array" ref="FD42">IFERROR(_xlfn.SWITCH(Eu_tabel_a[[#This Row],[Indeks]],_xlfn.IFNA(FB$2,-99),FB$5,_xlfn.IFNA(FB$3,-99),FB$6,_xlfn.IFNA(FB$4,-99),FB$7,""),"")</f>
        <v/>
      </c>
      <c r="FE42" s="54">
        <f>Eu_tabel_a[[#This Row],[x base]]*SQRT(Eu_a_h0_x*(1-Eu_a_h0_x)/Eu_a_n_x)+Eu_a_h0_x</f>
        <v>0</v>
      </c>
      <c r="FJ42" s="144" t="e">
        <f t="shared" si="18"/>
        <v>#N/A</v>
      </c>
      <c r="FK42" s="152" t="e">
        <f t="shared" si="113"/>
        <v>#DIV/0!</v>
      </c>
      <c r="FL42" s="7" t="e">
        <f t="shared" si="12"/>
        <v>#DIV/0!</v>
      </c>
      <c r="FM42" t="e">
        <f t="shared" si="114"/>
        <v>#DIV/0!</v>
      </c>
      <c r="FN42" s="8" t="e">
        <f t="shared" si="115"/>
        <v>#DIV/0!</v>
      </c>
      <c r="FO42" s="8" t="e">
        <f t="shared" si="116"/>
        <v>#DIV/0!</v>
      </c>
      <c r="FP42" s="151" t="e">
        <f t="shared" si="117"/>
        <v>#DIV/0!</v>
      </c>
      <c r="FQ42" s="144" t="e">
        <f t="shared" ca="1" si="13"/>
        <v>#N/A</v>
      </c>
      <c r="FR42" s="152" t="e" vm="3">
        <f t="shared" ca="1" si="19"/>
        <v>#VALUE!</v>
      </c>
      <c r="FS42" s="7" t="e" vm="3">
        <f t="shared" ca="1" si="14"/>
        <v>#VALUE!</v>
      </c>
      <c r="FT42" t="e" vm="3">
        <f t="shared" ca="1" si="8"/>
        <v>#VALUE!</v>
      </c>
      <c r="FU42" s="8" t="e" vm="3">
        <f t="shared" ca="1" si="9"/>
        <v>#VALUE!</v>
      </c>
      <c r="FV42" s="8" t="e" vm="3">
        <f t="shared" ca="1" si="10"/>
        <v>#VALUE!</v>
      </c>
      <c r="FW42" s="151" t="e" vm="3">
        <f t="shared" ca="1" si="11"/>
        <v>#VALUE!</v>
      </c>
      <c r="FX42" s="144" t="e">
        <f t="shared" si="15"/>
        <v>#N/A</v>
      </c>
      <c r="FY42" s="152" t="e">
        <f t="shared" si="20"/>
        <v>#N/A</v>
      </c>
      <c r="FZ42" s="7" t="e">
        <f t="shared" si="16"/>
        <v>#N/A</v>
      </c>
      <c r="GA42" t="e">
        <f t="shared" si="21"/>
        <v>#N/A</v>
      </c>
      <c r="GB42" s="8" t="e">
        <f t="shared" si="22"/>
        <v>#N/A</v>
      </c>
      <c r="GC42" s="8" t="e">
        <f t="shared" si="23"/>
        <v>#N/A</v>
      </c>
      <c r="GD42" s="151" t="e">
        <f t="shared" si="24"/>
        <v>#N/A</v>
      </c>
      <c r="GE42" s="144" t="e">
        <f t="shared" si="25"/>
        <v>#N/A</v>
      </c>
      <c r="GF42" s="152" t="e">
        <f t="shared" si="26"/>
        <v>#N/A</v>
      </c>
      <c r="GG42" s="7" t="e">
        <f t="shared" si="17"/>
        <v>#N/A</v>
      </c>
      <c r="GH42" t="e">
        <f t="shared" si="27"/>
        <v>#N/A</v>
      </c>
      <c r="GI42" s="8" t="e">
        <f t="shared" si="28"/>
        <v>#N/A</v>
      </c>
      <c r="GJ42" s="8" t="e">
        <f t="shared" si="29"/>
        <v>#N/A</v>
      </c>
      <c r="GK42" s="151" t="e">
        <f t="shared" si="30"/>
        <v>#N/A</v>
      </c>
      <c r="GL42" s="151"/>
      <c r="GM42" s="151"/>
      <c r="GP42" s="127">
        <f t="shared" si="81"/>
        <v>32</v>
      </c>
      <c r="GQ42" s="54">
        <f t="shared" si="82"/>
        <v>33</v>
      </c>
      <c r="GR42" s="127">
        <f t="shared" si="83"/>
        <v>-2.3236630519246346</v>
      </c>
      <c r="GS42" s="127">
        <f t="shared" si="84"/>
        <v>2.681903123843965E-2</v>
      </c>
      <c r="GT42" s="127" t="e">
        <f t="shared" si="85"/>
        <v>#N/A</v>
      </c>
      <c r="GU42" s="127" t="e">
        <f t="shared" si="86"/>
        <v>#N/A</v>
      </c>
      <c r="GV42" s="127" t="e">
        <f t="shared" si="87"/>
        <v>#N/A</v>
      </c>
      <c r="GW42" s="127" t="b">
        <f t="shared" si="88"/>
        <v>1</v>
      </c>
      <c r="GX42" s="127" t="b">
        <f t="shared" si="89"/>
        <v>0</v>
      </c>
      <c r="GY42" s="127" t="b">
        <f t="shared" si="90"/>
        <v>1</v>
      </c>
      <c r="GZ42" s="127" t="b">
        <f t="shared" si="91"/>
        <v>0</v>
      </c>
      <c r="HA42" s="127">
        <f t="shared" si="92"/>
        <v>2.681903123843965E-2</v>
      </c>
      <c r="HB42" s="127">
        <f t="shared" si="93"/>
        <v>2.681903123843965E-2</v>
      </c>
      <c r="HC42" s="127" t="e">
        <f t="shared" si="94"/>
        <v>#N/A</v>
      </c>
      <c r="HD42" s="128" t="str">
        <f t="shared" si="95"/>
        <v/>
      </c>
      <c r="HJ42" s="127">
        <f t="shared" si="96"/>
        <v>32</v>
      </c>
      <c r="HK42" s="54">
        <f t="shared" si="97"/>
        <v>33</v>
      </c>
      <c r="HL42" s="127">
        <f t="shared" si="98"/>
        <v>-3.598241038588514</v>
      </c>
      <c r="HM42" s="127" t="e">
        <f t="shared" si="99"/>
        <v>#N/A</v>
      </c>
      <c r="HN42" s="127">
        <f t="shared" si="100"/>
        <v>5.8385285622718358E-3</v>
      </c>
      <c r="HO42" s="127" t="e">
        <f t="shared" si="101"/>
        <v>#N/A</v>
      </c>
      <c r="HP42" s="127" t="e">
        <f t="shared" si="102"/>
        <v>#N/A</v>
      </c>
      <c r="HQ42" s="127" t="b">
        <f t="shared" si="103"/>
        <v>1</v>
      </c>
      <c r="HR42" s="127" t="b">
        <f t="shared" si="104"/>
        <v>0</v>
      </c>
      <c r="HS42" s="127" t="b">
        <f t="shared" si="105"/>
        <v>1</v>
      </c>
      <c r="HT42" s="127" t="b">
        <f t="shared" si="106"/>
        <v>0</v>
      </c>
      <c r="HU42" s="127">
        <f t="shared" si="107"/>
        <v>5.8385285622718358E-3</v>
      </c>
      <c r="HV42" s="127">
        <f t="shared" si="108"/>
        <v>5.8385285622718358E-3</v>
      </c>
      <c r="HW42" s="127" t="e">
        <f t="shared" si="109"/>
        <v>#N/A</v>
      </c>
      <c r="HX42" s="128" t="str">
        <f t="shared" si="110"/>
        <v/>
      </c>
    </row>
    <row r="43" spans="1:232" x14ac:dyDescent="0.2">
      <c r="A43" s="57" t="s">
        <v>423</v>
      </c>
      <c r="B43" s="140"/>
      <c r="E43" s="90"/>
      <c r="F43" s="205"/>
      <c r="H43" s="57" t="s">
        <v>435</v>
      </c>
      <c r="I43" s="140"/>
      <c r="L43" s="90"/>
      <c r="M43" s="95"/>
      <c r="N43" s="132"/>
      <c r="O43" s="57" t="s">
        <v>440</v>
      </c>
      <c r="P43" s="135"/>
      <c r="S43" s="90"/>
      <c r="T43" s="143"/>
      <c r="V43" s="90" t="s">
        <v>442</v>
      </c>
      <c r="W43" s="135"/>
      <c r="Z43" s="90"/>
      <c r="AA43" s="143"/>
      <c r="AC43" s="57" t="s">
        <v>448</v>
      </c>
      <c r="AD43" s="98">
        <f>IF(BJ38,INDEX(_xlfn.ANCHORARRAY(LineærRegression!ET25),MATCH(AD42,_xlfn.ANCHORARRAY(LineærRegression!ET11))),NA())</f>
        <v>0.42421069752609436</v>
      </c>
      <c r="AG43" s="90" t="str">
        <v>Konklusion om nulhypotese</v>
      </c>
      <c r="AH43" s="92" t="str">
        <v>Nulhypotese kan ikke afvises</v>
      </c>
      <c r="BE43" s="186" t="s">
        <v>1092</v>
      </c>
      <c r="BF43" cm="1">
        <f t="array" ref="BF43:BF54">INDEX(Data,_xlfn.SEQUENCE(BF42),BF41)</f>
        <v>1.2989587493526971</v>
      </c>
      <c r="BG43" cm="1">
        <f t="array" ref="BG43:BG54">INDEX(Data,_xlfn.SEQUENCE(BG42),BG41)</f>
        <v>2</v>
      </c>
      <c r="BH43" t="b" cm="1">
        <f t="array" ref="BH43:BH54">INDEX(Data,_xlfn.SEQUENCE(BH42),BH41)</f>
        <v>0</v>
      </c>
      <c r="BI43" cm="1">
        <f t="array" ref="BI43:BI54">INDEX(Data,_xlfn.SEQUENCE(BI42),BI41)</f>
        <v>1.2989587493526971</v>
      </c>
      <c r="BJ43" cm="1">
        <f t="array" ref="BJ43:BJ54">INDEX(Data,_xlfn.SEQUENCE(BJ42),BJ41)</f>
        <v>2</v>
      </c>
      <c r="BZ43" s="127">
        <f t="shared" si="36"/>
        <v>33</v>
      </c>
      <c r="CA43" s="54">
        <f>Eu_tabel_g[[#This Row],[Indeks]]+1</f>
        <v>34</v>
      </c>
      <c r="CB43" s="127">
        <f t="shared" si="37"/>
        <v>-2.2997077627295353</v>
      </c>
      <c r="CC43" s="127">
        <f t="shared" si="38"/>
        <v>2.8346082828649768E-2</v>
      </c>
      <c r="CD43" s="127" t="e">
        <f t="shared" si="39"/>
        <v>#N/A</v>
      </c>
      <c r="CE43" s="127" t="e">
        <f t="shared" si="40"/>
        <v>#N/A</v>
      </c>
      <c r="CF43" s="127" t="e">
        <f t="shared" si="41"/>
        <v>#N/A</v>
      </c>
      <c r="CG43" s="127" t="b">
        <f t="shared" si="42"/>
        <v>1</v>
      </c>
      <c r="CH43" s="127" t="b">
        <f t="shared" si="43"/>
        <v>0</v>
      </c>
      <c r="CI43" s="127" t="b">
        <f t="shared" si="44"/>
        <v>1</v>
      </c>
      <c r="CJ43" s="127" t="b">
        <f t="shared" si="45"/>
        <v>0</v>
      </c>
      <c r="CK43" s="127">
        <f t="shared" si="118"/>
        <v>2.8346082828649768E-2</v>
      </c>
      <c r="CL43" s="127">
        <f t="shared" si="47"/>
        <v>2.8346082828649768E-2</v>
      </c>
      <c r="CM43" s="127" t="e">
        <f t="shared" si="48"/>
        <v>#N/A</v>
      </c>
      <c r="CN43" s="128" t="str">
        <f t="shared" si="49"/>
        <v/>
      </c>
      <c r="CO43" s="54">
        <f>_xlfn.NORM.DIST(_xlfn.NORM.INV(1-Eu_g_konfidensniveau,0,1)-Eu_tabel_g[[#This Row],[x base]],0,1,TRUE)</f>
        <v>0.74371916406168304</v>
      </c>
      <c r="CP43" s="54">
        <f>1-_xlfn.NORM.DIST(_xlfn.NORM.INV(Eu_g_konfidensniveau,0,1)-Eu_tabel_g[[#This Row],[x base]],0,1,TRUE)</f>
        <v>3.9973085832145649E-5</v>
      </c>
      <c r="CQ43" s="54">
        <f>_xlfn.NORM.DIST(_xlfn.NORM.INV((1-Eu_g_konfidensniveau)/2,0,1)-Eu_tabel_g[[#This Row],[x base]],0,1,TRUE)+1-_xlfn.NORM.DIST(_xlfn.NORM.INV(1-(1-Eu_g_konfidensniveau)/2,0,1)-Eu_tabel_g[[#This Row],[x base]],0,1,TRUE)</f>
        <v>0.63298549116825475</v>
      </c>
      <c r="CR43" s="54" t="e" cm="1">
        <f t="array" ref="CR43">IF($CR$3,INDEX(Eu_tabel_g[[#This Row],[Styrke venstre]:[Styrke tosidet]],CR$7),NA())</f>
        <v>#N/A</v>
      </c>
      <c r="CS43" s="89" t="e">
        <f>Eu_tabel_g[[#This Row],[Falsk positiv
Nulhypotese accepteres
Fejltype 1]]</f>
        <v>#N/A</v>
      </c>
      <c r="CT43" s="89" t="e">
        <f>IF(CHOOSE(CR$7,Eu_tabel_g[[#This Row],[x base]]&gt;0,Eu_tabel_g[[#This Row],[x base]]&lt;0,Eu_tabel_g[[#This Row],[x base]]=0),Eu_tabel_g[[#This Row],[Styrke, aktiv]],NA())</f>
        <v>#N/A</v>
      </c>
      <c r="CU43" s="89" t="e">
        <f>IFERROR(IF($CR$3,Eu_tabel_g[[#This Row],[Styrke, aktiv]],NA()),NA())</f>
        <v>#N/A</v>
      </c>
      <c r="CV43" s="89" t="e">
        <f>IF(ISNA(Eu_tabel_g[[#This Row],[Sand negativ
Nulhypotese afvises
Korrekt]]),NA(),IF($CR$3,1,NA()))</f>
        <v>#N/A</v>
      </c>
      <c r="CW43" s="56" t="str" cm="1">
        <f t="array" ref="CW43">_xlfn.SWITCH(BZ43,_xlfn.IFNA(CU$2,-99),CU$5,_xlfn.IFNA(CU$3,-99),CU$6,_xlfn.IFNA(CU$4,-99),CU$7,"")</f>
        <v/>
      </c>
      <c r="DA43" s="7">
        <f t="shared" si="50"/>
        <v>0.8</v>
      </c>
      <c r="DB43">
        <f>IF(ROW(Styrkeberegning_G[[#This Row],[X base venstre]])=ROW(Styrkeberegning_G[[#Headers],[X base venstre]])+1,DB$7/(DA$7/$B$67),DB42/(DA42/$B$67))</f>
        <v>-2.8015817870135784</v>
      </c>
      <c r="DC43">
        <f>Styrkeberegning_G[[#This Row],[X base venstre]]*-1</f>
        <v>2.8015817870135784</v>
      </c>
      <c r="DN43" s="127">
        <f t="shared" si="51"/>
        <v>33</v>
      </c>
      <c r="DO43" s="54">
        <f t="shared" si="52"/>
        <v>34</v>
      </c>
      <c r="DP43" s="127">
        <f t="shared" si="53"/>
        <v>5.5981909264147234</v>
      </c>
      <c r="DQ43" s="127" t="e">
        <f t="shared" si="54"/>
        <v>#N/A</v>
      </c>
      <c r="DR43" s="127" t="e">
        <f t="shared" si="55"/>
        <v>#N/A</v>
      </c>
      <c r="DS43" s="127">
        <f t="shared" si="56"/>
        <v>5.9711945362308241E-2</v>
      </c>
      <c r="DT43" s="127" t="e">
        <f t="shared" si="57"/>
        <v>#N/A</v>
      </c>
      <c r="DU43" s="127" t="b">
        <f t="shared" si="58"/>
        <v>0</v>
      </c>
      <c r="DV43" s="127" t="b">
        <f t="shared" si="59"/>
        <v>1</v>
      </c>
      <c r="DW43" s="127" t="b">
        <f t="shared" si="60"/>
        <v>0</v>
      </c>
      <c r="DX43" s="127" t="b">
        <f t="shared" si="61"/>
        <v>1</v>
      </c>
      <c r="DY43" s="127">
        <f t="shared" si="62"/>
        <v>5.9711945362308241E-2</v>
      </c>
      <c r="DZ43" s="127" t="e">
        <f t="shared" si="63"/>
        <v>#N/A</v>
      </c>
      <c r="EA43" s="127">
        <f t="shared" si="64"/>
        <v>5.9711945362308241E-2</v>
      </c>
      <c r="EB43" s="128" t="str">
        <f t="shared" si="65"/>
        <v/>
      </c>
      <c r="EG43" s="127">
        <f t="shared" si="66"/>
        <v>33</v>
      </c>
      <c r="EH43" s="54">
        <f t="shared" si="67"/>
        <v>34</v>
      </c>
      <c r="EI43" s="127">
        <f t="shared" si="68"/>
        <v>-2.2997077627295353</v>
      </c>
      <c r="EJ43" s="127">
        <f t="shared" si="69"/>
        <v>2.8346082828649768E-2</v>
      </c>
      <c r="EK43" s="127" t="e">
        <f t="shared" si="70"/>
        <v>#N/A</v>
      </c>
      <c r="EL43" s="127" t="e">
        <f t="shared" si="71"/>
        <v>#N/A</v>
      </c>
      <c r="EM43" s="127" t="e">
        <f t="shared" si="72"/>
        <v>#N/A</v>
      </c>
      <c r="EN43" s="127" t="b">
        <f t="shared" si="73"/>
        <v>1</v>
      </c>
      <c r="EO43" s="127" t="b">
        <f t="shared" si="74"/>
        <v>0</v>
      </c>
      <c r="EP43" s="127" t="b">
        <f t="shared" si="75"/>
        <v>1</v>
      </c>
      <c r="EQ43" s="127" t="b">
        <f t="shared" si="76"/>
        <v>0</v>
      </c>
      <c r="ER43" s="127">
        <f t="shared" si="77"/>
        <v>2.8346082828649768E-2</v>
      </c>
      <c r="ES43" s="127">
        <f t="shared" si="78"/>
        <v>2.8346082828649768E-2</v>
      </c>
      <c r="ET43" s="127" t="e">
        <f t="shared" si="79"/>
        <v>#N/A</v>
      </c>
      <c r="EU43" s="128" t="str">
        <f t="shared" si="80"/>
        <v/>
      </c>
      <c r="EV4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4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4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43" s="54" t="e" cm="1">
        <f t="array" ref="EY43">IF($CR$3,INDEX(Eu_tabel_a[[#This Row],[Styrke venstre]:[Styrke tosidet]],EY$7),NA())</f>
        <v>#N/A</v>
      </c>
      <c r="EZ43" s="54" t="e">
        <f>IF(EY$3,IF(CHOOSE(EY$7,Eu_tabel_a[[#This Row],[x base]]&gt;0,Eu_tabel_a[[#This Row],[x base]]&lt;0,Eu_tabel_a[[#This Row],[x base]]=0),1,NA()),NA())</f>
        <v>#N/A</v>
      </c>
      <c r="FA43" s="54" t="e">
        <f>IF(CHOOSE(EY$7,Eu_tabel_a[[#This Row],[x base]]&gt;0,Eu_tabel_a[[#This Row],[x base]]&lt;0,Eu_tabel_a[[#This Row],[x base]]=0),Eu_tabel_a[[#This Row],[Styrke, aktiv]],NA())</f>
        <v>#N/A</v>
      </c>
      <c r="FB43" s="54" t="e">
        <f>IFERROR(IF($EY$3,Eu_tabel_a[[#This Row],[Styrke, aktiv]],NA()),NA())</f>
        <v>#N/A</v>
      </c>
      <c r="FC43" s="54" t="e">
        <f>IF(ISNA(Eu_tabel_a[[#This Row],[Sand negativ
Nulhypotese afvises
Korrekt]]),NA(),IF(EY$3,1,NA()))</f>
        <v>#N/A</v>
      </c>
      <c r="FD43" s="55" t="str" cm="1">
        <f t="array" ref="FD43">IFERROR(_xlfn.SWITCH(Eu_tabel_a[[#This Row],[Indeks]],_xlfn.IFNA(FB$2,-99),FB$5,_xlfn.IFNA(FB$3,-99),FB$6,_xlfn.IFNA(FB$4,-99),FB$7,""),"")</f>
        <v/>
      </c>
      <c r="FE43" s="54">
        <f>Eu_tabel_a[[#This Row],[x base]]*SQRT(Eu_a_h0_x*(1-Eu_a_h0_x)/Eu_a_n_x)+Eu_a_h0_x</f>
        <v>0</v>
      </c>
      <c r="FJ43" s="144" t="e">
        <f t="shared" si="18"/>
        <v>#N/A</v>
      </c>
      <c r="FK43" s="152" t="e">
        <f t="shared" si="113"/>
        <v>#DIV/0!</v>
      </c>
      <c r="FL43" s="7" t="e">
        <f t="shared" si="12"/>
        <v>#DIV/0!</v>
      </c>
      <c r="FM43" t="e">
        <f t="shared" si="114"/>
        <v>#DIV/0!</v>
      </c>
      <c r="FN43" s="8" t="e">
        <f t="shared" si="115"/>
        <v>#DIV/0!</v>
      </c>
      <c r="FO43" s="8" t="e">
        <f t="shared" si="116"/>
        <v>#DIV/0!</v>
      </c>
      <c r="FP43" s="151" t="e">
        <f t="shared" si="117"/>
        <v>#DIV/0!</v>
      </c>
      <c r="FQ43" s="144" t="e">
        <f t="shared" ca="1" si="13"/>
        <v>#N/A</v>
      </c>
      <c r="FR43" s="152" t="e" vm="3">
        <f t="shared" ca="1" si="19"/>
        <v>#VALUE!</v>
      </c>
      <c r="FS43" s="7" t="e" vm="3">
        <f t="shared" ca="1" si="14"/>
        <v>#VALUE!</v>
      </c>
      <c r="FT43" t="e" vm="3">
        <f t="shared" ca="1" si="8"/>
        <v>#VALUE!</v>
      </c>
      <c r="FU43" s="8" t="e" vm="3">
        <f t="shared" ca="1" si="9"/>
        <v>#VALUE!</v>
      </c>
      <c r="FV43" s="8" t="e" vm="3">
        <f t="shared" ca="1" si="10"/>
        <v>#VALUE!</v>
      </c>
      <c r="FW43" s="151" t="e" vm="3">
        <f t="shared" ca="1" si="11"/>
        <v>#VALUE!</v>
      </c>
      <c r="FX43" s="144" t="e">
        <f t="shared" si="15"/>
        <v>#N/A</v>
      </c>
      <c r="FY43" s="152" t="e">
        <f t="shared" si="20"/>
        <v>#N/A</v>
      </c>
      <c r="FZ43" s="7" t="e">
        <f t="shared" si="16"/>
        <v>#N/A</v>
      </c>
      <c r="GA43" t="e">
        <f t="shared" si="21"/>
        <v>#N/A</v>
      </c>
      <c r="GB43" s="8" t="e">
        <f t="shared" si="22"/>
        <v>#N/A</v>
      </c>
      <c r="GC43" s="8" t="e">
        <f t="shared" si="23"/>
        <v>#N/A</v>
      </c>
      <c r="GD43" s="151" t="e">
        <f t="shared" si="24"/>
        <v>#N/A</v>
      </c>
      <c r="GE43" s="144" t="e">
        <f t="shared" si="25"/>
        <v>#N/A</v>
      </c>
      <c r="GF43" s="152" t="e">
        <f t="shared" si="26"/>
        <v>#N/A</v>
      </c>
      <c r="GG43" s="7" t="e">
        <f t="shared" si="17"/>
        <v>#N/A</v>
      </c>
      <c r="GH43" t="e">
        <f t="shared" si="27"/>
        <v>#N/A</v>
      </c>
      <c r="GI43" s="8" t="e">
        <f t="shared" si="28"/>
        <v>#N/A</v>
      </c>
      <c r="GJ43" s="8" t="e">
        <f t="shared" si="29"/>
        <v>#N/A</v>
      </c>
      <c r="GK43" s="151" t="e">
        <f t="shared" si="30"/>
        <v>#N/A</v>
      </c>
      <c r="GL43" s="151"/>
      <c r="GM43" s="151"/>
      <c r="GP43" s="127">
        <f t="shared" si="81"/>
        <v>33</v>
      </c>
      <c r="GQ43" s="54">
        <f t="shared" si="82"/>
        <v>34</v>
      </c>
      <c r="GR43" s="127">
        <f t="shared" si="83"/>
        <v>-2.2997077627295353</v>
      </c>
      <c r="GS43" s="127">
        <f t="shared" si="84"/>
        <v>2.8346082828649768E-2</v>
      </c>
      <c r="GT43" s="127" t="e">
        <f t="shared" si="85"/>
        <v>#N/A</v>
      </c>
      <c r="GU43" s="127" t="e">
        <f t="shared" si="86"/>
        <v>#N/A</v>
      </c>
      <c r="GV43" s="127" t="e">
        <f t="shared" si="87"/>
        <v>#N/A</v>
      </c>
      <c r="GW43" s="127" t="b">
        <f t="shared" si="88"/>
        <v>1</v>
      </c>
      <c r="GX43" s="127" t="b">
        <f t="shared" si="89"/>
        <v>0</v>
      </c>
      <c r="GY43" s="127" t="b">
        <f t="shared" si="90"/>
        <v>1</v>
      </c>
      <c r="GZ43" s="127" t="b">
        <f t="shared" si="91"/>
        <v>0</v>
      </c>
      <c r="HA43" s="127">
        <f t="shared" si="92"/>
        <v>2.8346082828649768E-2</v>
      </c>
      <c r="HB43" s="127">
        <f t="shared" si="93"/>
        <v>2.8346082828649768E-2</v>
      </c>
      <c r="HC43" s="127" t="e">
        <f t="shared" si="94"/>
        <v>#N/A</v>
      </c>
      <c r="HD43" s="128" t="str">
        <f t="shared" si="95"/>
        <v/>
      </c>
      <c r="HJ43" s="127">
        <f t="shared" si="96"/>
        <v>33</v>
      </c>
      <c r="HK43" s="54">
        <f t="shared" si="97"/>
        <v>34</v>
      </c>
      <c r="HL43" s="127">
        <f t="shared" si="98"/>
        <v>-3.5611457701494569</v>
      </c>
      <c r="HM43" s="127" t="e">
        <f t="shared" si="99"/>
        <v>#N/A</v>
      </c>
      <c r="HN43" s="127">
        <f t="shared" si="100"/>
        <v>6.160097552727048E-3</v>
      </c>
      <c r="HO43" s="127" t="e">
        <f t="shared" si="101"/>
        <v>#N/A</v>
      </c>
      <c r="HP43" s="127" t="e">
        <f t="shared" si="102"/>
        <v>#N/A</v>
      </c>
      <c r="HQ43" s="127" t="b">
        <f t="shared" si="103"/>
        <v>1</v>
      </c>
      <c r="HR43" s="127" t="b">
        <f t="shared" si="104"/>
        <v>0</v>
      </c>
      <c r="HS43" s="127" t="b">
        <f t="shared" si="105"/>
        <v>1</v>
      </c>
      <c r="HT43" s="127" t="b">
        <f t="shared" si="106"/>
        <v>0</v>
      </c>
      <c r="HU43" s="127">
        <f t="shared" si="107"/>
        <v>6.160097552727048E-3</v>
      </c>
      <c r="HV43" s="127">
        <f t="shared" si="108"/>
        <v>6.160097552727048E-3</v>
      </c>
      <c r="HW43" s="127" t="e">
        <f t="shared" si="109"/>
        <v>#N/A</v>
      </c>
      <c r="HX43" s="128" t="str">
        <f t="shared" si="110"/>
        <v/>
      </c>
    </row>
    <row r="44" spans="1:232" x14ac:dyDescent="0.2">
      <c r="A44" s="57" t="s">
        <v>437</v>
      </c>
      <c r="B44" s="139">
        <f>_xlfn.STDEV.S(_xlfn.ANCHORARRAY(BF43))</f>
        <v>4.3068660656276769</v>
      </c>
      <c r="E44" s="90"/>
      <c r="F44" s="205"/>
      <c r="H44" s="57" t="s">
        <v>413</v>
      </c>
      <c r="I44" s="98">
        <f>COUNT(_xlfn.ANCHORARRAY(BG43))</f>
        <v>12</v>
      </c>
      <c r="L44" s="90"/>
      <c r="M44" s="92"/>
      <c r="N44" s="132"/>
      <c r="O44" s="57" t="s">
        <v>413</v>
      </c>
      <c r="P44" s="98">
        <f>COUNTA(_xlfn.ANCHORARRAY(BH43))</f>
        <v>12</v>
      </c>
      <c r="S44" s="90"/>
      <c r="T44" s="92"/>
      <c r="V44" s="90" t="s">
        <v>413</v>
      </c>
      <c r="W44" s="98">
        <f>COUNT(_xlfn.ANCHORARRAY(BI43))</f>
        <v>12</v>
      </c>
      <c r="Z44" s="90"/>
      <c r="AA44" s="92"/>
      <c r="AC44" s="57" t="s">
        <v>449</v>
      </c>
      <c r="AD44" s="135"/>
      <c r="AG44" s="90"/>
      <c r="AH44" s="92"/>
      <c r="BF44">
        <v>-1.1469596428732241</v>
      </c>
      <c r="BG44">
        <v>-3.2725647568992748</v>
      </c>
      <c r="BH44" t="b">
        <v>1</v>
      </c>
      <c r="BI44">
        <v>-1.1469596428732241</v>
      </c>
      <c r="BJ44">
        <v>-3.2725647568992748</v>
      </c>
      <c r="BL44" s="90" t="s">
        <v>136</v>
      </c>
      <c r="BM44" s="203" t="str" cm="1">
        <f t="array" ref="BM44">INDEX(E_i_valg[Parameter],E_i_aktiv)</f>
        <v>Intensitet</v>
      </c>
      <c r="BZ44" s="127">
        <f t="shared" si="36"/>
        <v>34</v>
      </c>
      <c r="CA44" s="54">
        <f>Eu_tabel_g[[#This Row],[Indeks]]+1</f>
        <v>35</v>
      </c>
      <c r="CB44" s="127">
        <f t="shared" si="37"/>
        <v>-2.2757524735344363</v>
      </c>
      <c r="CC44" s="127">
        <f t="shared" si="38"/>
        <v>2.9942895529230493E-2</v>
      </c>
      <c r="CD44" s="127" t="e">
        <f t="shared" si="39"/>
        <v>#N/A</v>
      </c>
      <c r="CE44" s="127" t="e">
        <f t="shared" si="40"/>
        <v>#N/A</v>
      </c>
      <c r="CF44" s="127" t="e">
        <f t="shared" si="41"/>
        <v>#N/A</v>
      </c>
      <c r="CG44" s="127" t="b">
        <f t="shared" si="42"/>
        <v>1</v>
      </c>
      <c r="CH44" s="127" t="b">
        <f t="shared" si="43"/>
        <v>0</v>
      </c>
      <c r="CI44" s="127" t="b">
        <f t="shared" si="44"/>
        <v>1</v>
      </c>
      <c r="CJ44" s="127" t="b">
        <f t="shared" si="45"/>
        <v>0</v>
      </c>
      <c r="CK44" s="127">
        <f t="shared" si="118"/>
        <v>2.9942895529230493E-2</v>
      </c>
      <c r="CL44" s="127">
        <f t="shared" si="47"/>
        <v>2.9942895529230493E-2</v>
      </c>
      <c r="CM44" s="127" t="e">
        <f t="shared" si="48"/>
        <v>#N/A</v>
      </c>
      <c r="CN44" s="128" t="str">
        <f t="shared" si="49"/>
        <v/>
      </c>
      <c r="CO44" s="54">
        <f>_xlfn.NORM.DIST(_xlfn.NORM.INV(1-Eu_g_konfidensniveau,0,1)-Eu_tabel_g[[#This Row],[x base]],0,1,TRUE)</f>
        <v>0.73594666696484901</v>
      </c>
      <c r="CP44" s="54">
        <f>1-_xlfn.NORM.DIST(_xlfn.NORM.INV(Eu_g_konfidensniveau,0,1)-Eu_tabel_g[[#This Row],[x base]],0,1,TRUE)</f>
        <v>4.416326825673611E-5</v>
      </c>
      <c r="CQ44" s="54">
        <f>_xlfn.NORM.DIST(_xlfn.NORM.INV((1-Eu_g_konfidensniveau)/2,0,1)-Eu_tabel_g[[#This Row],[x base]],0,1,TRUE)+1-_xlfn.NORM.DIST(_xlfn.NORM.INV(1-(1-Eu_g_konfidensniveau)/2,0,1)-Eu_tabel_g[[#This Row],[x base]],0,1,TRUE)</f>
        <v>0.62392986328924072</v>
      </c>
      <c r="CR44" s="54" t="e" cm="1">
        <f t="array" ref="CR44">IF($CR$3,INDEX(Eu_tabel_g[[#This Row],[Styrke venstre]:[Styrke tosidet]],CR$7),NA())</f>
        <v>#N/A</v>
      </c>
      <c r="CS44" s="89" t="e">
        <f>Eu_tabel_g[[#This Row],[Falsk positiv
Nulhypotese accepteres
Fejltype 1]]</f>
        <v>#N/A</v>
      </c>
      <c r="CT44" s="89" t="e">
        <f>IF(CHOOSE(CR$7,Eu_tabel_g[[#This Row],[x base]]&gt;0,Eu_tabel_g[[#This Row],[x base]]&lt;0,Eu_tabel_g[[#This Row],[x base]]=0),Eu_tabel_g[[#This Row],[Styrke, aktiv]],NA())</f>
        <v>#N/A</v>
      </c>
      <c r="CU44" s="89" t="e">
        <f>IFERROR(IF($CR$3,Eu_tabel_g[[#This Row],[Styrke, aktiv]],NA()),NA())</f>
        <v>#N/A</v>
      </c>
      <c r="CV44" s="89" t="e">
        <f>IF(ISNA(Eu_tabel_g[[#This Row],[Sand negativ
Nulhypotese afvises
Korrekt]]),NA(),IF($CR$3,1,NA()))</f>
        <v>#N/A</v>
      </c>
      <c r="CW44" s="56" t="str" cm="1">
        <f t="array" ref="CW44">_xlfn.SWITCH(BZ44,_xlfn.IFNA(CU$2,-99),CU$5,_xlfn.IFNA(CU$3,-99),CU$6,_xlfn.IFNA(CU$4,-99),CU$7,"")</f>
        <v/>
      </c>
      <c r="DA44" s="7">
        <f t="shared" si="50"/>
        <v>0.8</v>
      </c>
      <c r="DB44">
        <f>IF(ROW(Styrkeberegning_G[[#This Row],[X base venstre]])=ROW(Styrkeberegning_G[[#Headers],[X base venstre]])+1,DB$7/(DA$7/$B$67),DB43/(DA43/$B$67))</f>
        <v>-2.8015817870135784</v>
      </c>
      <c r="DC44">
        <f>Styrkeberegning_G[[#This Row],[X base venstre]]*-1</f>
        <v>2.8015817870135784</v>
      </c>
      <c r="DN44" s="127">
        <f t="shared" si="51"/>
        <v>34</v>
      </c>
      <c r="DO44" s="54">
        <f t="shared" si="52"/>
        <v>35</v>
      </c>
      <c r="DP44" s="127">
        <f t="shared" si="53"/>
        <v>5.7122617828317246</v>
      </c>
      <c r="DQ44" s="127" t="e">
        <f t="shared" si="54"/>
        <v>#N/A</v>
      </c>
      <c r="DR44" s="127" t="e">
        <f t="shared" si="55"/>
        <v>#N/A</v>
      </c>
      <c r="DS44" s="127">
        <f t="shared" si="56"/>
        <v>6.1760788406504986E-2</v>
      </c>
      <c r="DT44" s="127" t="e">
        <f t="shared" si="57"/>
        <v>#N/A</v>
      </c>
      <c r="DU44" s="127" t="b">
        <f t="shared" si="58"/>
        <v>0</v>
      </c>
      <c r="DV44" s="127" t="b">
        <f t="shared" si="59"/>
        <v>1</v>
      </c>
      <c r="DW44" s="127" t="b">
        <f t="shared" si="60"/>
        <v>0</v>
      </c>
      <c r="DX44" s="127" t="b">
        <f t="shared" si="61"/>
        <v>1</v>
      </c>
      <c r="DY44" s="127">
        <f t="shared" si="62"/>
        <v>6.1760788406504986E-2</v>
      </c>
      <c r="DZ44" s="127" t="e">
        <f t="shared" si="63"/>
        <v>#N/A</v>
      </c>
      <c r="EA44" s="127">
        <f t="shared" si="64"/>
        <v>6.1760788406504986E-2</v>
      </c>
      <c r="EB44" s="128" t="str">
        <f t="shared" si="65"/>
        <v/>
      </c>
      <c r="EG44" s="127">
        <f t="shared" si="66"/>
        <v>34</v>
      </c>
      <c r="EH44" s="54">
        <f t="shared" si="67"/>
        <v>35</v>
      </c>
      <c r="EI44" s="127">
        <f t="shared" si="68"/>
        <v>-2.2757524735344363</v>
      </c>
      <c r="EJ44" s="127">
        <f t="shared" si="69"/>
        <v>2.9942895529230493E-2</v>
      </c>
      <c r="EK44" s="127" t="e">
        <f t="shared" si="70"/>
        <v>#N/A</v>
      </c>
      <c r="EL44" s="127" t="e">
        <f t="shared" si="71"/>
        <v>#N/A</v>
      </c>
      <c r="EM44" s="127" t="e">
        <f t="shared" si="72"/>
        <v>#N/A</v>
      </c>
      <c r="EN44" s="127" t="b">
        <f t="shared" si="73"/>
        <v>1</v>
      </c>
      <c r="EO44" s="127" t="b">
        <f t="shared" si="74"/>
        <v>0</v>
      </c>
      <c r="EP44" s="127" t="b">
        <f t="shared" si="75"/>
        <v>1</v>
      </c>
      <c r="EQ44" s="127" t="b">
        <f t="shared" si="76"/>
        <v>0</v>
      </c>
      <c r="ER44" s="127">
        <f t="shared" si="77"/>
        <v>2.9942895529230493E-2</v>
      </c>
      <c r="ES44" s="127">
        <f t="shared" si="78"/>
        <v>2.9942895529230493E-2</v>
      </c>
      <c r="ET44" s="127" t="e">
        <f t="shared" si="79"/>
        <v>#N/A</v>
      </c>
      <c r="EU44" s="128" t="str">
        <f t="shared" si="80"/>
        <v/>
      </c>
      <c r="EV4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4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4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44" s="54" t="e" cm="1">
        <f t="array" ref="EY44">IF($CR$3,INDEX(Eu_tabel_a[[#This Row],[Styrke venstre]:[Styrke tosidet]],EY$7),NA())</f>
        <v>#N/A</v>
      </c>
      <c r="EZ44" s="54" t="e">
        <f>IF(EY$3,IF(CHOOSE(EY$7,Eu_tabel_a[[#This Row],[x base]]&gt;0,Eu_tabel_a[[#This Row],[x base]]&lt;0,Eu_tabel_a[[#This Row],[x base]]=0),1,NA()),NA())</f>
        <v>#N/A</v>
      </c>
      <c r="FA44" s="54" t="e">
        <f>IF(CHOOSE(EY$7,Eu_tabel_a[[#This Row],[x base]]&gt;0,Eu_tabel_a[[#This Row],[x base]]&lt;0,Eu_tabel_a[[#This Row],[x base]]=0),Eu_tabel_a[[#This Row],[Styrke, aktiv]],NA())</f>
        <v>#N/A</v>
      </c>
      <c r="FB44" s="54" t="e">
        <f>IFERROR(IF($EY$3,Eu_tabel_a[[#This Row],[Styrke, aktiv]],NA()),NA())</f>
        <v>#N/A</v>
      </c>
      <c r="FC44" s="54" t="e">
        <f>IF(ISNA(Eu_tabel_a[[#This Row],[Sand negativ
Nulhypotese afvises
Korrekt]]),NA(),IF(EY$3,1,NA()))</f>
        <v>#N/A</v>
      </c>
      <c r="FD44" s="55" t="str" cm="1">
        <f t="array" ref="FD44">IFERROR(_xlfn.SWITCH(Eu_tabel_a[[#This Row],[Indeks]],_xlfn.IFNA(FB$2,-99),FB$5,_xlfn.IFNA(FB$3,-99),FB$6,_xlfn.IFNA(FB$4,-99),FB$7,""),"")</f>
        <v/>
      </c>
      <c r="FE44" s="54">
        <f>Eu_tabel_a[[#This Row],[x base]]*SQRT(Eu_a_h0_x*(1-Eu_a_h0_x)/Eu_a_n_x)+Eu_a_h0_x</f>
        <v>0</v>
      </c>
      <c r="FJ44" s="144" t="e">
        <f t="shared" si="18"/>
        <v>#N/A</v>
      </c>
      <c r="FK44" s="152" t="e">
        <f t="shared" si="113"/>
        <v>#DIV/0!</v>
      </c>
      <c r="FL44" s="7" t="e">
        <f t="shared" si="12"/>
        <v>#DIV/0!</v>
      </c>
      <c r="FM44" t="e">
        <f t="shared" si="114"/>
        <v>#DIV/0!</v>
      </c>
      <c r="FN44" s="8" t="e">
        <f t="shared" si="115"/>
        <v>#DIV/0!</v>
      </c>
      <c r="FO44" s="8" t="e">
        <f t="shared" si="116"/>
        <v>#DIV/0!</v>
      </c>
      <c r="FP44" s="151" t="e">
        <f t="shared" si="117"/>
        <v>#DIV/0!</v>
      </c>
      <c r="FQ44" s="144" t="e">
        <f t="shared" ca="1" si="13"/>
        <v>#N/A</v>
      </c>
      <c r="FR44" s="152" t="e" vm="3">
        <f t="shared" ca="1" si="19"/>
        <v>#VALUE!</v>
      </c>
      <c r="FS44" s="7" t="e" vm="3">
        <f t="shared" ca="1" si="14"/>
        <v>#VALUE!</v>
      </c>
      <c r="FT44" t="e" vm="3">
        <f t="shared" ca="1" si="8"/>
        <v>#VALUE!</v>
      </c>
      <c r="FU44" s="8" t="e" vm="3">
        <f t="shared" ca="1" si="9"/>
        <v>#VALUE!</v>
      </c>
      <c r="FV44" s="8" t="e" vm="3">
        <f t="shared" ca="1" si="10"/>
        <v>#VALUE!</v>
      </c>
      <c r="FW44" s="151" t="e" vm="3">
        <f t="shared" ca="1" si="11"/>
        <v>#VALUE!</v>
      </c>
      <c r="FX44" s="144" t="e">
        <f t="shared" si="15"/>
        <v>#N/A</v>
      </c>
      <c r="FY44" s="152" t="e">
        <f t="shared" si="20"/>
        <v>#N/A</v>
      </c>
      <c r="FZ44" s="7" t="e">
        <f t="shared" si="16"/>
        <v>#N/A</v>
      </c>
      <c r="GA44" t="e">
        <f t="shared" si="21"/>
        <v>#N/A</v>
      </c>
      <c r="GB44" s="8" t="e">
        <f t="shared" si="22"/>
        <v>#N/A</v>
      </c>
      <c r="GC44" s="8" t="e">
        <f t="shared" si="23"/>
        <v>#N/A</v>
      </c>
      <c r="GD44" s="151" t="e">
        <f t="shared" si="24"/>
        <v>#N/A</v>
      </c>
      <c r="GE44" s="144" t="e">
        <f t="shared" si="25"/>
        <v>#N/A</v>
      </c>
      <c r="GF44" s="152" t="e">
        <f t="shared" si="26"/>
        <v>#N/A</v>
      </c>
      <c r="GG44" s="7" t="e">
        <f t="shared" si="17"/>
        <v>#N/A</v>
      </c>
      <c r="GH44" t="e">
        <f t="shared" si="27"/>
        <v>#N/A</v>
      </c>
      <c r="GI44" s="8" t="e">
        <f t="shared" si="28"/>
        <v>#N/A</v>
      </c>
      <c r="GJ44" s="8" t="e">
        <f t="shared" si="29"/>
        <v>#N/A</v>
      </c>
      <c r="GK44" s="151" t="e">
        <f t="shared" si="30"/>
        <v>#N/A</v>
      </c>
      <c r="GL44" s="151"/>
      <c r="GM44" s="151"/>
      <c r="GP44" s="127">
        <f t="shared" si="81"/>
        <v>34</v>
      </c>
      <c r="GQ44" s="54">
        <f t="shared" si="82"/>
        <v>35</v>
      </c>
      <c r="GR44" s="127">
        <f t="shared" si="83"/>
        <v>-2.2757524735344363</v>
      </c>
      <c r="GS44" s="127">
        <f t="shared" si="84"/>
        <v>2.9942895529230493E-2</v>
      </c>
      <c r="GT44" s="127" t="e">
        <f t="shared" si="85"/>
        <v>#N/A</v>
      </c>
      <c r="GU44" s="127" t="e">
        <f t="shared" si="86"/>
        <v>#N/A</v>
      </c>
      <c r="GV44" s="127" t="e">
        <f t="shared" si="87"/>
        <v>#N/A</v>
      </c>
      <c r="GW44" s="127" t="b">
        <f t="shared" si="88"/>
        <v>1</v>
      </c>
      <c r="GX44" s="127" t="b">
        <f t="shared" si="89"/>
        <v>0</v>
      </c>
      <c r="GY44" s="127" t="b">
        <f t="shared" si="90"/>
        <v>1</v>
      </c>
      <c r="GZ44" s="127" t="b">
        <f t="shared" si="91"/>
        <v>0</v>
      </c>
      <c r="HA44" s="127">
        <f t="shared" si="92"/>
        <v>2.9942895529230493E-2</v>
      </c>
      <c r="HB44" s="127">
        <f t="shared" si="93"/>
        <v>2.9942895529230493E-2</v>
      </c>
      <c r="HC44" s="127" t="e">
        <f t="shared" si="94"/>
        <v>#N/A</v>
      </c>
      <c r="HD44" s="128" t="str">
        <f t="shared" si="95"/>
        <v/>
      </c>
      <c r="HJ44" s="127">
        <f t="shared" si="96"/>
        <v>34</v>
      </c>
      <c r="HK44" s="54">
        <f t="shared" si="97"/>
        <v>35</v>
      </c>
      <c r="HL44" s="127">
        <f t="shared" si="98"/>
        <v>-3.5240505017104002</v>
      </c>
      <c r="HM44" s="127" t="e">
        <f t="shared" si="99"/>
        <v>#N/A</v>
      </c>
      <c r="HN44" s="127">
        <f t="shared" si="100"/>
        <v>6.5004270274693883E-3</v>
      </c>
      <c r="HO44" s="127" t="e">
        <f t="shared" si="101"/>
        <v>#N/A</v>
      </c>
      <c r="HP44" s="127" t="e">
        <f t="shared" si="102"/>
        <v>#N/A</v>
      </c>
      <c r="HQ44" s="127" t="b">
        <f t="shared" si="103"/>
        <v>1</v>
      </c>
      <c r="HR44" s="127" t="b">
        <f t="shared" si="104"/>
        <v>0</v>
      </c>
      <c r="HS44" s="127" t="b">
        <f t="shared" si="105"/>
        <v>1</v>
      </c>
      <c r="HT44" s="127" t="b">
        <f t="shared" si="106"/>
        <v>0</v>
      </c>
      <c r="HU44" s="127">
        <f t="shared" si="107"/>
        <v>6.5004270274693883E-3</v>
      </c>
      <c r="HV44" s="127">
        <f t="shared" si="108"/>
        <v>6.5004270274693883E-3</v>
      </c>
      <c r="HW44" s="127" t="e">
        <f t="shared" si="109"/>
        <v>#N/A</v>
      </c>
      <c r="HX44" s="128" t="str">
        <f t="shared" si="110"/>
        <v/>
      </c>
    </row>
    <row r="45" spans="1:232" x14ac:dyDescent="0.2">
      <c r="A45" s="57" t="s">
        <v>422</v>
      </c>
      <c r="B45" s="140"/>
      <c r="E45" s="90"/>
      <c r="F45" s="131"/>
      <c r="L45" s="90"/>
      <c r="M45" s="92"/>
      <c r="N45" s="133"/>
      <c r="S45" s="90"/>
      <c r="T45" s="92"/>
      <c r="Z45" s="90"/>
      <c r="AA45" s="92"/>
      <c r="AC45" s="57" t="s">
        <v>450</v>
      </c>
      <c r="AD45" s="98" cm="1">
        <f t="array" ref="AD45">IF(BJ38,INDEX(_xlfn.ANCHORARRAY(LineærRegression!ET49),MATCH(AD42,_xlfn.ANCHORARRAY(LineærRegression!ET11))+1),NA())</f>
        <v>0.30527483642677944</v>
      </c>
      <c r="AG45" s="90"/>
      <c r="AH45" s="92"/>
      <c r="BF45">
        <v>-0.40935481016144565</v>
      </c>
      <c r="BG45">
        <v>2.0315172703350726</v>
      </c>
      <c r="BH45" t="b">
        <v>0</v>
      </c>
      <c r="BI45">
        <v>-0.40935481016144565</v>
      </c>
      <c r="BJ45">
        <v>2.0315172703350726</v>
      </c>
      <c r="BL45" s="90" t="s">
        <v>143</v>
      </c>
      <c r="BM45" s="203" t="str" cm="1">
        <f t="array" ref="BM45">INDEX(E_i_valg[Hypotesetype],E_i_aktiv)</f>
        <v>Konfidensinterval</v>
      </c>
      <c r="BZ45" s="127">
        <f t="shared" si="36"/>
        <v>35</v>
      </c>
      <c r="CA45" s="54">
        <f>Eu_tabel_g[[#This Row],[Indeks]]+1</f>
        <v>36</v>
      </c>
      <c r="CB45" s="127">
        <f t="shared" si="37"/>
        <v>-2.2517971843393365</v>
      </c>
      <c r="CC45" s="127">
        <f t="shared" si="38"/>
        <v>3.161151541500333E-2</v>
      </c>
      <c r="CD45" s="127" t="e">
        <f t="shared" si="39"/>
        <v>#N/A</v>
      </c>
      <c r="CE45" s="127" t="e">
        <f t="shared" si="40"/>
        <v>#N/A</v>
      </c>
      <c r="CF45" s="127" t="e">
        <f t="shared" si="41"/>
        <v>#N/A</v>
      </c>
      <c r="CG45" s="127" t="b">
        <f t="shared" si="42"/>
        <v>1</v>
      </c>
      <c r="CH45" s="127" t="b">
        <f t="shared" si="43"/>
        <v>0</v>
      </c>
      <c r="CI45" s="127" t="b">
        <f t="shared" si="44"/>
        <v>1</v>
      </c>
      <c r="CJ45" s="127" t="b">
        <f t="shared" si="45"/>
        <v>0</v>
      </c>
      <c r="CK45" s="127">
        <f t="shared" si="118"/>
        <v>3.161151541500333E-2</v>
      </c>
      <c r="CL45" s="127">
        <f t="shared" si="47"/>
        <v>3.161151541500333E-2</v>
      </c>
      <c r="CM45" s="127" t="e">
        <f t="shared" si="48"/>
        <v>#N/A</v>
      </c>
      <c r="CN45" s="128" t="str">
        <f t="shared" si="49"/>
        <v/>
      </c>
      <c r="CO45" s="54">
        <f>_xlfn.NORM.DIST(_xlfn.NORM.INV(1-Eu_g_konfidensniveau,0,1)-Eu_tabel_g[[#This Row],[x base]],0,1,TRUE)</f>
        <v>0.72805581482902693</v>
      </c>
      <c r="CP45" s="54">
        <f>1-_xlfn.NORM.DIST(_xlfn.NORM.INV(Eu_g_konfidensniveau,0,1)-Eu_tabel_g[[#This Row],[x base]],0,1,TRUE)</f>
        <v>4.8766041650272207E-5</v>
      </c>
      <c r="CQ45" s="54">
        <f>_xlfn.NORM.DIST(_xlfn.NORM.INV((1-Eu_g_konfidensniveau)/2,0,1)-Eu_tabel_g[[#This Row],[x base]],0,1,TRUE)+1-_xlfn.NORM.DIST(_xlfn.NORM.INV(1-(1-Eu_g_konfidensniveau)/2,0,1)-Eu_tabel_g[[#This Row],[x base]],0,1,TRUE)</f>
        <v>0.6148055894464014</v>
      </c>
      <c r="CR45" s="54" t="e" cm="1">
        <f t="array" ref="CR45">IF($CR$3,INDEX(Eu_tabel_g[[#This Row],[Styrke venstre]:[Styrke tosidet]],CR$7),NA())</f>
        <v>#N/A</v>
      </c>
      <c r="CS45" s="89" t="e">
        <f>Eu_tabel_g[[#This Row],[Falsk positiv
Nulhypotese accepteres
Fejltype 1]]</f>
        <v>#N/A</v>
      </c>
      <c r="CT45" s="89" t="e">
        <f>IF(CHOOSE(CR$7,Eu_tabel_g[[#This Row],[x base]]&gt;0,Eu_tabel_g[[#This Row],[x base]]&lt;0,Eu_tabel_g[[#This Row],[x base]]=0),Eu_tabel_g[[#This Row],[Styrke, aktiv]],NA())</f>
        <v>#N/A</v>
      </c>
      <c r="CU45" s="89" t="e">
        <f>IFERROR(IF($CR$3,Eu_tabel_g[[#This Row],[Styrke, aktiv]],NA()),NA())</f>
        <v>#N/A</v>
      </c>
      <c r="CV45" s="89" t="e">
        <f>IF(ISNA(Eu_tabel_g[[#This Row],[Sand negativ
Nulhypotese afvises
Korrekt]]),NA(),IF($CR$3,1,NA()))</f>
        <v>#N/A</v>
      </c>
      <c r="CW45" s="56" t="str" cm="1">
        <f t="array" ref="CW45">_xlfn.SWITCH(BZ45,_xlfn.IFNA(CU$2,-99),CU$5,_xlfn.IFNA(CU$3,-99),CU$6,_xlfn.IFNA(CU$4,-99),CU$7,"")</f>
        <v/>
      </c>
      <c r="DA45" s="7">
        <f t="shared" si="50"/>
        <v>0.8</v>
      </c>
      <c r="DB45">
        <f>IF(ROW(Styrkeberegning_G[[#This Row],[X base venstre]])=ROW(Styrkeberegning_G[[#Headers],[X base venstre]])+1,DB$7/(DA$7/$B$67),DB44/(DA44/$B$67))</f>
        <v>-2.8015817870135784</v>
      </c>
      <c r="DC45">
        <f>Styrkeberegning_G[[#This Row],[X base venstre]]*-1</f>
        <v>2.8015817870135784</v>
      </c>
      <c r="DN45" s="127">
        <f t="shared" si="51"/>
        <v>35</v>
      </c>
      <c r="DO45" s="54">
        <f t="shared" si="52"/>
        <v>36</v>
      </c>
      <c r="DP45" s="127">
        <f t="shared" si="53"/>
        <v>5.8263326392487258</v>
      </c>
      <c r="DQ45" s="127" t="e">
        <f t="shared" si="54"/>
        <v>#N/A</v>
      </c>
      <c r="DR45" s="127" t="e">
        <f t="shared" si="55"/>
        <v>#N/A</v>
      </c>
      <c r="DS45" s="127">
        <f t="shared" si="56"/>
        <v>6.3765378426136568E-2</v>
      </c>
      <c r="DT45" s="127" t="e">
        <f t="shared" si="57"/>
        <v>#N/A</v>
      </c>
      <c r="DU45" s="127" t="b">
        <f t="shared" si="58"/>
        <v>0</v>
      </c>
      <c r="DV45" s="127" t="b">
        <f t="shared" si="59"/>
        <v>1</v>
      </c>
      <c r="DW45" s="127" t="b">
        <f t="shared" si="60"/>
        <v>0</v>
      </c>
      <c r="DX45" s="127" t="b">
        <f t="shared" si="61"/>
        <v>1</v>
      </c>
      <c r="DY45" s="127">
        <f t="shared" si="62"/>
        <v>6.3765378426136568E-2</v>
      </c>
      <c r="DZ45" s="127" t="e">
        <f t="shared" si="63"/>
        <v>#N/A</v>
      </c>
      <c r="EA45" s="127">
        <f t="shared" si="64"/>
        <v>6.3765378426136568E-2</v>
      </c>
      <c r="EB45" s="128" t="str">
        <f t="shared" si="65"/>
        <v/>
      </c>
      <c r="EG45" s="127">
        <f t="shared" si="66"/>
        <v>35</v>
      </c>
      <c r="EH45" s="54">
        <f t="shared" si="67"/>
        <v>36</v>
      </c>
      <c r="EI45" s="127">
        <f t="shared" si="68"/>
        <v>-2.2517971843393365</v>
      </c>
      <c r="EJ45" s="127">
        <f t="shared" si="69"/>
        <v>3.161151541500333E-2</v>
      </c>
      <c r="EK45" s="127" t="e">
        <f t="shared" si="70"/>
        <v>#N/A</v>
      </c>
      <c r="EL45" s="127" t="e">
        <f t="shared" si="71"/>
        <v>#N/A</v>
      </c>
      <c r="EM45" s="127" t="e">
        <f t="shared" si="72"/>
        <v>#N/A</v>
      </c>
      <c r="EN45" s="127" t="b">
        <f t="shared" si="73"/>
        <v>1</v>
      </c>
      <c r="EO45" s="127" t="b">
        <f t="shared" si="74"/>
        <v>0</v>
      </c>
      <c r="EP45" s="127" t="b">
        <f t="shared" si="75"/>
        <v>1</v>
      </c>
      <c r="EQ45" s="127" t="b">
        <f t="shared" si="76"/>
        <v>0</v>
      </c>
      <c r="ER45" s="127">
        <f t="shared" si="77"/>
        <v>3.161151541500333E-2</v>
      </c>
      <c r="ES45" s="127">
        <f t="shared" si="78"/>
        <v>3.161151541500333E-2</v>
      </c>
      <c r="ET45" s="127" t="e">
        <f t="shared" si="79"/>
        <v>#N/A</v>
      </c>
      <c r="EU45" s="128" t="str">
        <f t="shared" si="80"/>
        <v/>
      </c>
      <c r="EV4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4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4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45" s="54" t="e" cm="1">
        <f t="array" ref="EY45">IF($CR$3,INDEX(Eu_tabel_a[[#This Row],[Styrke venstre]:[Styrke tosidet]],EY$7),NA())</f>
        <v>#N/A</v>
      </c>
      <c r="EZ45" s="54" t="e">
        <f>IF(EY$3,IF(CHOOSE(EY$7,Eu_tabel_a[[#This Row],[x base]]&gt;0,Eu_tabel_a[[#This Row],[x base]]&lt;0,Eu_tabel_a[[#This Row],[x base]]=0),1,NA()),NA())</f>
        <v>#N/A</v>
      </c>
      <c r="FA45" s="54" t="e">
        <f>IF(CHOOSE(EY$7,Eu_tabel_a[[#This Row],[x base]]&gt;0,Eu_tabel_a[[#This Row],[x base]]&lt;0,Eu_tabel_a[[#This Row],[x base]]=0),Eu_tabel_a[[#This Row],[Styrke, aktiv]],NA())</f>
        <v>#N/A</v>
      </c>
      <c r="FB45" s="54" t="e">
        <f>IFERROR(IF($EY$3,Eu_tabel_a[[#This Row],[Styrke, aktiv]],NA()),NA())</f>
        <v>#N/A</v>
      </c>
      <c r="FC45" s="54" t="e">
        <f>IF(ISNA(Eu_tabel_a[[#This Row],[Sand negativ
Nulhypotese afvises
Korrekt]]),NA(),IF(EY$3,1,NA()))</f>
        <v>#N/A</v>
      </c>
      <c r="FD45" s="55" t="str" cm="1">
        <f t="array" ref="FD45">IFERROR(_xlfn.SWITCH(Eu_tabel_a[[#This Row],[Indeks]],_xlfn.IFNA(FB$2,-99),FB$5,_xlfn.IFNA(FB$3,-99),FB$6,_xlfn.IFNA(FB$4,-99),FB$7,""),"")</f>
        <v/>
      </c>
      <c r="FE45" s="54">
        <f>Eu_tabel_a[[#This Row],[x base]]*SQRT(Eu_a_h0_x*(1-Eu_a_h0_x)/Eu_a_n_x)+Eu_a_h0_x</f>
        <v>0</v>
      </c>
      <c r="FJ45" s="144" t="e">
        <f t="shared" si="18"/>
        <v>#N/A</v>
      </c>
      <c r="FK45" s="152" t="e">
        <f t="shared" si="113"/>
        <v>#DIV/0!</v>
      </c>
      <c r="FL45" s="7" t="e">
        <f t="shared" si="12"/>
        <v>#DIV/0!</v>
      </c>
      <c r="FM45" t="e">
        <f t="shared" si="114"/>
        <v>#DIV/0!</v>
      </c>
      <c r="FN45" s="8" t="e">
        <f t="shared" si="115"/>
        <v>#DIV/0!</v>
      </c>
      <c r="FO45" s="8" t="e">
        <f t="shared" si="116"/>
        <v>#DIV/0!</v>
      </c>
      <c r="FP45" s="151" t="e">
        <f t="shared" si="117"/>
        <v>#DIV/0!</v>
      </c>
      <c r="FQ45" s="144" t="e">
        <f t="shared" ca="1" si="13"/>
        <v>#N/A</v>
      </c>
      <c r="FR45" s="152" t="e" vm="3">
        <f t="shared" ca="1" si="19"/>
        <v>#VALUE!</v>
      </c>
      <c r="FS45" s="7" t="e" vm="3">
        <f t="shared" ca="1" si="14"/>
        <v>#VALUE!</v>
      </c>
      <c r="FT45" t="e" vm="3">
        <f t="shared" ca="1" si="8"/>
        <v>#VALUE!</v>
      </c>
      <c r="FU45" s="8" t="e" vm="3">
        <f t="shared" ca="1" si="9"/>
        <v>#VALUE!</v>
      </c>
      <c r="FV45" s="8" t="e" vm="3">
        <f t="shared" ca="1" si="10"/>
        <v>#VALUE!</v>
      </c>
      <c r="FW45" s="151" t="e" vm="3">
        <f t="shared" ca="1" si="11"/>
        <v>#VALUE!</v>
      </c>
      <c r="FX45" s="144" t="e">
        <f t="shared" si="15"/>
        <v>#N/A</v>
      </c>
      <c r="FY45" s="152" t="e">
        <f t="shared" si="20"/>
        <v>#N/A</v>
      </c>
      <c r="FZ45" s="7" t="e">
        <f t="shared" si="16"/>
        <v>#N/A</v>
      </c>
      <c r="GA45" t="e">
        <f t="shared" si="21"/>
        <v>#N/A</v>
      </c>
      <c r="GB45" s="8" t="e">
        <f t="shared" si="22"/>
        <v>#N/A</v>
      </c>
      <c r="GC45" s="8" t="e">
        <f t="shared" si="23"/>
        <v>#N/A</v>
      </c>
      <c r="GD45" s="151" t="e">
        <f t="shared" si="24"/>
        <v>#N/A</v>
      </c>
      <c r="GE45" s="144" t="e">
        <f t="shared" si="25"/>
        <v>#N/A</v>
      </c>
      <c r="GF45" s="152" t="e">
        <f t="shared" si="26"/>
        <v>#N/A</v>
      </c>
      <c r="GG45" s="7" t="e">
        <f t="shared" si="17"/>
        <v>#N/A</v>
      </c>
      <c r="GH45" t="e">
        <f t="shared" si="27"/>
        <v>#N/A</v>
      </c>
      <c r="GI45" s="8" t="e">
        <f t="shared" si="28"/>
        <v>#N/A</v>
      </c>
      <c r="GJ45" s="8" t="e">
        <f t="shared" si="29"/>
        <v>#N/A</v>
      </c>
      <c r="GK45" s="151" t="e">
        <f t="shared" si="30"/>
        <v>#N/A</v>
      </c>
      <c r="GL45" s="151"/>
      <c r="GM45" s="151"/>
      <c r="GP45" s="127">
        <f t="shared" si="81"/>
        <v>35</v>
      </c>
      <c r="GQ45" s="54">
        <f t="shared" si="82"/>
        <v>36</v>
      </c>
      <c r="GR45" s="127">
        <f t="shared" si="83"/>
        <v>-2.2517971843393365</v>
      </c>
      <c r="GS45" s="127">
        <f t="shared" si="84"/>
        <v>3.161151541500333E-2</v>
      </c>
      <c r="GT45" s="127" t="e">
        <f t="shared" si="85"/>
        <v>#N/A</v>
      </c>
      <c r="GU45" s="127" t="e">
        <f t="shared" si="86"/>
        <v>#N/A</v>
      </c>
      <c r="GV45" s="127" t="e">
        <f t="shared" si="87"/>
        <v>#N/A</v>
      </c>
      <c r="GW45" s="127" t="b">
        <f t="shared" si="88"/>
        <v>1</v>
      </c>
      <c r="GX45" s="127" t="b">
        <f t="shared" si="89"/>
        <v>0</v>
      </c>
      <c r="GY45" s="127" t="b">
        <f t="shared" si="90"/>
        <v>1</v>
      </c>
      <c r="GZ45" s="127" t="b">
        <f t="shared" si="91"/>
        <v>0</v>
      </c>
      <c r="HA45" s="127">
        <f t="shared" si="92"/>
        <v>3.161151541500333E-2</v>
      </c>
      <c r="HB45" s="127">
        <f t="shared" si="93"/>
        <v>3.161151541500333E-2</v>
      </c>
      <c r="HC45" s="127" t="e">
        <f t="shared" si="94"/>
        <v>#N/A</v>
      </c>
      <c r="HD45" s="128" t="str">
        <f t="shared" si="95"/>
        <v/>
      </c>
      <c r="HJ45" s="127">
        <f t="shared" si="96"/>
        <v>35</v>
      </c>
      <c r="HK45" s="54">
        <f t="shared" si="97"/>
        <v>36</v>
      </c>
      <c r="HL45" s="127">
        <f t="shared" si="98"/>
        <v>-3.4869552332713436</v>
      </c>
      <c r="HM45" s="127" t="e">
        <f t="shared" si="99"/>
        <v>#N/A</v>
      </c>
      <c r="HN45" s="127">
        <f t="shared" si="100"/>
        <v>6.8606439370502287E-3</v>
      </c>
      <c r="HO45" s="127" t="e">
        <f t="shared" si="101"/>
        <v>#N/A</v>
      </c>
      <c r="HP45" s="127" t="e">
        <f t="shared" si="102"/>
        <v>#N/A</v>
      </c>
      <c r="HQ45" s="127" t="b">
        <f t="shared" si="103"/>
        <v>1</v>
      </c>
      <c r="HR45" s="127" t="b">
        <f t="shared" si="104"/>
        <v>0</v>
      </c>
      <c r="HS45" s="127" t="b">
        <f t="shared" si="105"/>
        <v>1</v>
      </c>
      <c r="HT45" s="127" t="b">
        <f t="shared" si="106"/>
        <v>0</v>
      </c>
      <c r="HU45" s="127">
        <f t="shared" si="107"/>
        <v>6.8606439370502287E-3</v>
      </c>
      <c r="HV45" s="127">
        <f t="shared" si="108"/>
        <v>6.8606439370502287E-3</v>
      </c>
      <c r="HW45" s="127" t="e">
        <f t="shared" si="109"/>
        <v>#N/A</v>
      </c>
      <c r="HX45" s="128" t="str">
        <f t="shared" si="110"/>
        <v/>
      </c>
    </row>
    <row r="46" spans="1:232" x14ac:dyDescent="0.2">
      <c r="A46" s="57" t="s">
        <v>413</v>
      </c>
      <c r="B46" s="98">
        <f>COUNT(_xlfn.ANCHORARRAY(BF43))</f>
        <v>12</v>
      </c>
      <c r="E46" s="90"/>
      <c r="F46" s="131"/>
      <c r="L46" s="90"/>
      <c r="M46" s="92"/>
      <c r="N46" s="133"/>
      <c r="S46" s="90"/>
      <c r="T46" s="92"/>
      <c r="Z46" s="90"/>
      <c r="AA46" s="92"/>
      <c r="AC46" s="57" t="s">
        <v>413</v>
      </c>
      <c r="AD46" s="98">
        <f>IF(BJ38,LineærRegression!AQ14,NA())</f>
        <v>12</v>
      </c>
      <c r="AG46" s="90"/>
      <c r="AH46" s="92"/>
      <c r="BF46">
        <v>-1.479592604535932</v>
      </c>
      <c r="BG46">
        <v>-2.2379718387660041</v>
      </c>
      <c r="BH46" t="b">
        <v>0</v>
      </c>
      <c r="BI46">
        <v>-1.479592604535932</v>
      </c>
      <c r="BJ46">
        <v>-2.2379718387660041</v>
      </c>
      <c r="BL46" s="90" t="s">
        <v>219</v>
      </c>
      <c r="BM46" s="203" t="str" cm="1">
        <f t="array" ref="BM46">INDEX(E_i_valg[Beregningsmetode],E_i_aktiv)</f>
        <v>Normalfordeling</v>
      </c>
      <c r="BZ46" s="127">
        <f t="shared" si="36"/>
        <v>36</v>
      </c>
      <c r="CA46" s="54">
        <f>Eu_tabel_g[[#This Row],[Indeks]]+1</f>
        <v>37</v>
      </c>
      <c r="CB46" s="127">
        <f t="shared" si="37"/>
        <v>-2.2278418951442376</v>
      </c>
      <c r="CC46" s="127">
        <f t="shared" si="38"/>
        <v>3.3353976175184367E-2</v>
      </c>
      <c r="CD46" s="127" t="e">
        <f t="shared" si="39"/>
        <v>#N/A</v>
      </c>
      <c r="CE46" s="127" t="e">
        <f t="shared" si="40"/>
        <v>#N/A</v>
      </c>
      <c r="CF46" s="127" t="e">
        <f t="shared" si="41"/>
        <v>#N/A</v>
      </c>
      <c r="CG46" s="127" t="b">
        <f t="shared" si="42"/>
        <v>1</v>
      </c>
      <c r="CH46" s="127" t="b">
        <f t="shared" si="43"/>
        <v>0</v>
      </c>
      <c r="CI46" s="127" t="b">
        <f t="shared" si="44"/>
        <v>1</v>
      </c>
      <c r="CJ46" s="127" t="b">
        <f t="shared" si="45"/>
        <v>0</v>
      </c>
      <c r="CK46" s="127">
        <f t="shared" si="118"/>
        <v>3.3353976175184367E-2</v>
      </c>
      <c r="CL46" s="127">
        <f t="shared" si="47"/>
        <v>3.3353976175184367E-2</v>
      </c>
      <c r="CM46" s="127" t="e">
        <f t="shared" si="48"/>
        <v>#N/A</v>
      </c>
      <c r="CN46" s="128" t="str">
        <f t="shared" si="49"/>
        <v/>
      </c>
      <c r="CO46" s="54">
        <f>_xlfn.NORM.DIST(_xlfn.NORM.INV(1-Eu_g_konfidensniveau,0,1)-Eu_tabel_g[[#This Row],[x base]],0,1,TRUE)</f>
        <v>0.72004940103926862</v>
      </c>
      <c r="CP46" s="54">
        <f>1-_xlfn.NORM.DIST(_xlfn.NORM.INV(Eu_g_konfidensniveau,0,1)-Eu_tabel_g[[#This Row],[x base]],0,1,TRUE)</f>
        <v>5.3819131802024245E-5</v>
      </c>
      <c r="CQ46" s="54">
        <f>_xlfn.NORM.DIST(_xlfn.NORM.INV((1-Eu_g_konfidensniveau)/2,0,1)-Eu_tabel_g[[#This Row],[x base]],0,1,TRUE)+1-_xlfn.NORM.DIST(_xlfn.NORM.INV(1-(1-Eu_g_konfidensniveau)/2,0,1)-Eu_tabel_g[[#This Row],[x base]],0,1,TRUE)</f>
        <v>0.60561743457312678</v>
      </c>
      <c r="CR46" s="54" t="e" cm="1">
        <f t="array" ref="CR46">IF($CR$3,INDEX(Eu_tabel_g[[#This Row],[Styrke venstre]:[Styrke tosidet]],CR$7),NA())</f>
        <v>#N/A</v>
      </c>
      <c r="CS46" s="89" t="e">
        <f>Eu_tabel_g[[#This Row],[Falsk positiv
Nulhypotese accepteres
Fejltype 1]]</f>
        <v>#N/A</v>
      </c>
      <c r="CT46" s="89" t="e">
        <f>IF(CHOOSE(CR$7,Eu_tabel_g[[#This Row],[x base]]&gt;0,Eu_tabel_g[[#This Row],[x base]]&lt;0,Eu_tabel_g[[#This Row],[x base]]=0),Eu_tabel_g[[#This Row],[Styrke, aktiv]],NA())</f>
        <v>#N/A</v>
      </c>
      <c r="CU46" s="89" t="e">
        <f>IFERROR(IF($CR$3,Eu_tabel_g[[#This Row],[Styrke, aktiv]],NA()),NA())</f>
        <v>#N/A</v>
      </c>
      <c r="CV46" s="89" t="e">
        <f>IF(ISNA(Eu_tabel_g[[#This Row],[Sand negativ
Nulhypotese afvises
Korrekt]]),NA(),IF($CR$3,1,NA()))</f>
        <v>#N/A</v>
      </c>
      <c r="CW46" s="56" t="str" cm="1">
        <f t="array" ref="CW46">_xlfn.SWITCH(BZ46,_xlfn.IFNA(CU$2,-99),CU$5,_xlfn.IFNA(CU$3,-99),CU$6,_xlfn.IFNA(CU$4,-99),CU$7,"")</f>
        <v/>
      </c>
      <c r="DA46" s="7">
        <f t="shared" si="50"/>
        <v>0.8</v>
      </c>
      <c r="DB46">
        <f>IF(ROW(Styrkeberegning_G[[#This Row],[X base venstre]])=ROW(Styrkeberegning_G[[#Headers],[X base venstre]])+1,DB$7/(DA$7/$B$67),DB45/(DA45/$B$67))</f>
        <v>-2.8015817870135784</v>
      </c>
      <c r="DC46">
        <f>Styrkeberegning_G[[#This Row],[X base venstre]]*-1</f>
        <v>2.8015817870135784</v>
      </c>
      <c r="DN46" s="127">
        <f t="shared" si="51"/>
        <v>36</v>
      </c>
      <c r="DO46" s="54">
        <f t="shared" si="52"/>
        <v>37</v>
      </c>
      <c r="DP46" s="127">
        <f t="shared" si="53"/>
        <v>5.940403495665727</v>
      </c>
      <c r="DQ46" s="127" t="e">
        <f t="shared" si="54"/>
        <v>#N/A</v>
      </c>
      <c r="DR46" s="127" t="e">
        <f t="shared" si="55"/>
        <v>#N/A</v>
      </c>
      <c r="DS46" s="127">
        <f t="shared" si="56"/>
        <v>6.5721547436379868E-2</v>
      </c>
      <c r="DT46" s="127" t="e">
        <f t="shared" si="57"/>
        <v>#N/A</v>
      </c>
      <c r="DU46" s="127" t="b">
        <f t="shared" si="58"/>
        <v>0</v>
      </c>
      <c r="DV46" s="127" t="b">
        <f t="shared" si="59"/>
        <v>1</v>
      </c>
      <c r="DW46" s="127" t="b">
        <f t="shared" si="60"/>
        <v>0</v>
      </c>
      <c r="DX46" s="127" t="b">
        <f t="shared" si="61"/>
        <v>1</v>
      </c>
      <c r="DY46" s="127">
        <f t="shared" si="62"/>
        <v>6.5721547436379868E-2</v>
      </c>
      <c r="DZ46" s="127" t="e">
        <f t="shared" si="63"/>
        <v>#N/A</v>
      </c>
      <c r="EA46" s="127">
        <f t="shared" si="64"/>
        <v>6.5721547436379868E-2</v>
      </c>
      <c r="EB46" s="128" t="str">
        <f t="shared" si="65"/>
        <v/>
      </c>
      <c r="EG46" s="127">
        <f t="shared" si="66"/>
        <v>36</v>
      </c>
      <c r="EH46" s="54">
        <f t="shared" si="67"/>
        <v>37</v>
      </c>
      <c r="EI46" s="127">
        <f t="shared" si="68"/>
        <v>-2.2278418951442376</v>
      </c>
      <c r="EJ46" s="127">
        <f t="shared" si="69"/>
        <v>3.3353976175184367E-2</v>
      </c>
      <c r="EK46" s="127" t="e">
        <f t="shared" si="70"/>
        <v>#N/A</v>
      </c>
      <c r="EL46" s="127" t="e">
        <f t="shared" si="71"/>
        <v>#N/A</v>
      </c>
      <c r="EM46" s="127" t="e">
        <f t="shared" si="72"/>
        <v>#N/A</v>
      </c>
      <c r="EN46" s="127" t="b">
        <f t="shared" si="73"/>
        <v>1</v>
      </c>
      <c r="EO46" s="127" t="b">
        <f t="shared" si="74"/>
        <v>0</v>
      </c>
      <c r="EP46" s="127" t="b">
        <f t="shared" si="75"/>
        <v>1</v>
      </c>
      <c r="EQ46" s="127" t="b">
        <f t="shared" si="76"/>
        <v>0</v>
      </c>
      <c r="ER46" s="127">
        <f t="shared" si="77"/>
        <v>3.3353976175184367E-2</v>
      </c>
      <c r="ES46" s="127">
        <f t="shared" si="78"/>
        <v>3.3353976175184367E-2</v>
      </c>
      <c r="ET46" s="127" t="e">
        <f t="shared" si="79"/>
        <v>#N/A</v>
      </c>
      <c r="EU46" s="128" t="str">
        <f t="shared" si="80"/>
        <v/>
      </c>
      <c r="EV4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4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4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46" s="54" t="e" cm="1">
        <f t="array" ref="EY46">IF($CR$3,INDEX(Eu_tabel_a[[#This Row],[Styrke venstre]:[Styrke tosidet]],EY$7),NA())</f>
        <v>#N/A</v>
      </c>
      <c r="EZ46" s="54" t="e">
        <f>IF(EY$3,IF(CHOOSE(EY$7,Eu_tabel_a[[#This Row],[x base]]&gt;0,Eu_tabel_a[[#This Row],[x base]]&lt;0,Eu_tabel_a[[#This Row],[x base]]=0),1,NA()),NA())</f>
        <v>#N/A</v>
      </c>
      <c r="FA46" s="54" t="e">
        <f>IF(CHOOSE(EY$7,Eu_tabel_a[[#This Row],[x base]]&gt;0,Eu_tabel_a[[#This Row],[x base]]&lt;0,Eu_tabel_a[[#This Row],[x base]]=0),Eu_tabel_a[[#This Row],[Styrke, aktiv]],NA())</f>
        <v>#N/A</v>
      </c>
      <c r="FB46" s="54" t="e">
        <f>IFERROR(IF($EY$3,Eu_tabel_a[[#This Row],[Styrke, aktiv]],NA()),NA())</f>
        <v>#N/A</v>
      </c>
      <c r="FC46" s="54" t="e">
        <f>IF(ISNA(Eu_tabel_a[[#This Row],[Sand negativ
Nulhypotese afvises
Korrekt]]),NA(),IF(EY$3,1,NA()))</f>
        <v>#N/A</v>
      </c>
      <c r="FD46" s="55" t="str" cm="1">
        <f t="array" ref="FD46">IFERROR(_xlfn.SWITCH(Eu_tabel_a[[#This Row],[Indeks]],_xlfn.IFNA(FB$2,-99),FB$5,_xlfn.IFNA(FB$3,-99),FB$6,_xlfn.IFNA(FB$4,-99),FB$7,""),"")</f>
        <v/>
      </c>
      <c r="FE46" s="54">
        <f>Eu_tabel_a[[#This Row],[x base]]*SQRT(Eu_a_h0_x*(1-Eu_a_h0_x)/Eu_a_n_x)+Eu_a_h0_x</f>
        <v>0</v>
      </c>
      <c r="FJ46" s="144" t="e">
        <f t="shared" si="18"/>
        <v>#N/A</v>
      </c>
      <c r="FK46" s="152" t="e">
        <f t="shared" si="113"/>
        <v>#DIV/0!</v>
      </c>
      <c r="FL46" s="7" t="e">
        <f t="shared" si="12"/>
        <v>#DIV/0!</v>
      </c>
      <c r="FM46" t="e">
        <f t="shared" si="114"/>
        <v>#DIV/0!</v>
      </c>
      <c r="FN46" s="8" t="e">
        <f t="shared" si="115"/>
        <v>#DIV/0!</v>
      </c>
      <c r="FO46" s="8" t="e">
        <f t="shared" si="116"/>
        <v>#DIV/0!</v>
      </c>
      <c r="FP46" s="151" t="e">
        <f t="shared" si="117"/>
        <v>#DIV/0!</v>
      </c>
      <c r="FQ46" s="144" t="e">
        <f t="shared" ca="1" si="13"/>
        <v>#N/A</v>
      </c>
      <c r="FR46" s="152" t="e" vm="3">
        <f t="shared" ca="1" si="19"/>
        <v>#VALUE!</v>
      </c>
      <c r="FS46" s="7" t="e" vm="3">
        <f t="shared" ca="1" si="14"/>
        <v>#VALUE!</v>
      </c>
      <c r="FT46" t="e" vm="3">
        <f t="shared" ca="1" si="8"/>
        <v>#VALUE!</v>
      </c>
      <c r="FU46" s="8" t="e" vm="3">
        <f t="shared" ca="1" si="9"/>
        <v>#VALUE!</v>
      </c>
      <c r="FV46" s="8" t="e" vm="3">
        <f t="shared" ca="1" si="10"/>
        <v>#VALUE!</v>
      </c>
      <c r="FW46" s="151" t="e" vm="3">
        <f t="shared" ca="1" si="11"/>
        <v>#VALUE!</v>
      </c>
      <c r="FX46" s="144" t="e">
        <f t="shared" si="15"/>
        <v>#N/A</v>
      </c>
      <c r="FY46" s="152" t="e">
        <f t="shared" si="20"/>
        <v>#N/A</v>
      </c>
      <c r="FZ46" s="7" t="e">
        <f t="shared" si="16"/>
        <v>#N/A</v>
      </c>
      <c r="GA46" t="e">
        <f t="shared" si="21"/>
        <v>#N/A</v>
      </c>
      <c r="GB46" s="8" t="e">
        <f t="shared" si="22"/>
        <v>#N/A</v>
      </c>
      <c r="GC46" s="8" t="e">
        <f t="shared" si="23"/>
        <v>#N/A</v>
      </c>
      <c r="GD46" s="151" t="e">
        <f t="shared" si="24"/>
        <v>#N/A</v>
      </c>
      <c r="GE46" s="144" t="e">
        <f t="shared" si="25"/>
        <v>#N/A</v>
      </c>
      <c r="GF46" s="152" t="e">
        <f t="shared" si="26"/>
        <v>#N/A</v>
      </c>
      <c r="GG46" s="7" t="e">
        <f t="shared" si="17"/>
        <v>#N/A</v>
      </c>
      <c r="GH46" t="e">
        <f t="shared" si="27"/>
        <v>#N/A</v>
      </c>
      <c r="GI46" s="8" t="e">
        <f t="shared" si="28"/>
        <v>#N/A</v>
      </c>
      <c r="GJ46" s="8" t="e">
        <f t="shared" si="29"/>
        <v>#N/A</v>
      </c>
      <c r="GK46" s="151" t="e">
        <f t="shared" si="30"/>
        <v>#N/A</v>
      </c>
      <c r="GL46" s="151"/>
      <c r="GM46" s="151"/>
      <c r="GP46" s="127">
        <f t="shared" si="81"/>
        <v>36</v>
      </c>
      <c r="GQ46" s="54">
        <f t="shared" si="82"/>
        <v>37</v>
      </c>
      <c r="GR46" s="127">
        <f t="shared" si="83"/>
        <v>-2.2278418951442376</v>
      </c>
      <c r="GS46" s="127">
        <f t="shared" si="84"/>
        <v>3.3353976175184367E-2</v>
      </c>
      <c r="GT46" s="127" t="e">
        <f t="shared" si="85"/>
        <v>#N/A</v>
      </c>
      <c r="GU46" s="127" t="e">
        <f t="shared" si="86"/>
        <v>#N/A</v>
      </c>
      <c r="GV46" s="127" t="e">
        <f t="shared" si="87"/>
        <v>#N/A</v>
      </c>
      <c r="GW46" s="127" t="b">
        <f t="shared" si="88"/>
        <v>1</v>
      </c>
      <c r="GX46" s="127" t="b">
        <f t="shared" si="89"/>
        <v>0</v>
      </c>
      <c r="GY46" s="127" t="b">
        <f t="shared" si="90"/>
        <v>1</v>
      </c>
      <c r="GZ46" s="127" t="b">
        <f t="shared" si="91"/>
        <v>0</v>
      </c>
      <c r="HA46" s="127">
        <f t="shared" si="92"/>
        <v>3.3353976175184367E-2</v>
      </c>
      <c r="HB46" s="127">
        <f t="shared" si="93"/>
        <v>3.3353976175184367E-2</v>
      </c>
      <c r="HC46" s="127" t="e">
        <f t="shared" si="94"/>
        <v>#N/A</v>
      </c>
      <c r="HD46" s="128" t="str">
        <f t="shared" si="95"/>
        <v/>
      </c>
      <c r="HJ46" s="127">
        <f t="shared" si="96"/>
        <v>36</v>
      </c>
      <c r="HK46" s="54">
        <f t="shared" si="97"/>
        <v>37</v>
      </c>
      <c r="HL46" s="127">
        <f t="shared" si="98"/>
        <v>-3.4498599648322865</v>
      </c>
      <c r="HM46" s="127" t="e">
        <f t="shared" si="99"/>
        <v>#N/A</v>
      </c>
      <c r="HN46" s="127">
        <f t="shared" si="100"/>
        <v>7.2419422765507783E-3</v>
      </c>
      <c r="HO46" s="127" t="e">
        <f t="shared" si="101"/>
        <v>#N/A</v>
      </c>
      <c r="HP46" s="127" t="e">
        <f t="shared" si="102"/>
        <v>#N/A</v>
      </c>
      <c r="HQ46" s="127" t="b">
        <f t="shared" si="103"/>
        <v>1</v>
      </c>
      <c r="HR46" s="127" t="b">
        <f t="shared" si="104"/>
        <v>0</v>
      </c>
      <c r="HS46" s="127" t="b">
        <f t="shared" si="105"/>
        <v>1</v>
      </c>
      <c r="HT46" s="127" t="b">
        <f t="shared" si="106"/>
        <v>0</v>
      </c>
      <c r="HU46" s="127">
        <f t="shared" si="107"/>
        <v>7.2419422765507783E-3</v>
      </c>
      <c r="HV46" s="127">
        <f t="shared" si="108"/>
        <v>7.2419422765507783E-3</v>
      </c>
      <c r="HW46" s="127" t="e">
        <f t="shared" si="109"/>
        <v>#N/A</v>
      </c>
      <c r="HX46" s="128" t="str">
        <f t="shared" si="110"/>
        <v/>
      </c>
    </row>
    <row r="47" spans="1:232" x14ac:dyDescent="0.2">
      <c r="AC47" s="57" t="s">
        <v>447</v>
      </c>
      <c r="AD47" s="98">
        <f>IF(BJ38,LineærRegression!AQ16,NA())</f>
        <v>2</v>
      </c>
      <c r="BF47">
        <v>1.8110756828005981</v>
      </c>
      <c r="BG47">
        <v>4</v>
      </c>
      <c r="BH47" t="b">
        <v>0</v>
      </c>
      <c r="BI47">
        <v>1.8110756828005981</v>
      </c>
      <c r="BJ47">
        <v>4</v>
      </c>
      <c r="BL47" s="90" t="s">
        <v>4</v>
      </c>
      <c r="BM47" s="204">
        <f>Eu_i_konfidensniveau</f>
        <v>0.95</v>
      </c>
      <c r="BZ47" s="127">
        <f t="shared" si="36"/>
        <v>37</v>
      </c>
      <c r="CA47" s="54">
        <f>Eu_tabel_g[[#This Row],[Indeks]]+1</f>
        <v>38</v>
      </c>
      <c r="CB47" s="127">
        <f t="shared" si="37"/>
        <v>-2.2038866059491382</v>
      </c>
      <c r="CC47" s="127">
        <f t="shared" si="38"/>
        <v>3.5172293628326232E-2</v>
      </c>
      <c r="CD47" s="127" t="e">
        <f t="shared" si="39"/>
        <v>#N/A</v>
      </c>
      <c r="CE47" s="127" t="e">
        <f t="shared" si="40"/>
        <v>#N/A</v>
      </c>
      <c r="CF47" s="127" t="e">
        <f t="shared" si="41"/>
        <v>#N/A</v>
      </c>
      <c r="CG47" s="127" t="b">
        <f t="shared" si="42"/>
        <v>1</v>
      </c>
      <c r="CH47" s="127" t="b">
        <f t="shared" si="43"/>
        <v>0</v>
      </c>
      <c r="CI47" s="127" t="b">
        <f t="shared" si="44"/>
        <v>1</v>
      </c>
      <c r="CJ47" s="127" t="b">
        <f t="shared" si="45"/>
        <v>0</v>
      </c>
      <c r="CK47" s="127">
        <f t="shared" si="118"/>
        <v>3.5172293628326232E-2</v>
      </c>
      <c r="CL47" s="127">
        <f t="shared" si="47"/>
        <v>3.5172293628326232E-2</v>
      </c>
      <c r="CM47" s="127" t="e">
        <f t="shared" si="48"/>
        <v>#N/A</v>
      </c>
      <c r="CN47" s="128" t="str">
        <f t="shared" si="49"/>
        <v/>
      </c>
      <c r="CO47" s="54">
        <f>_xlfn.NORM.DIST(_xlfn.NORM.INV(1-Eu_g_konfidensniveau,0,1)-Eu_tabel_g[[#This Row],[x base]],0,1,TRUE)</f>
        <v>0.71193039344774511</v>
      </c>
      <c r="CP47" s="54">
        <f>1-_xlfn.NORM.DIST(_xlfn.NORM.INV(Eu_g_konfidensniveau,0,1)-Eu_tabel_g[[#This Row],[x base]],0,1,TRUE)</f>
        <v>5.9363413504986973E-5</v>
      </c>
      <c r="CQ47" s="54">
        <f>_xlfn.NORM.DIST(_xlfn.NORM.INV((1-Eu_g_konfidensniveau)/2,0,1)-Eu_tabel_g[[#This Row],[x base]],0,1,TRUE)+1-_xlfn.NORM.DIST(_xlfn.NORM.INV(1-(1-Eu_g_konfidensniveau)/2,0,1)-Eu_tabel_g[[#This Row],[x base]],0,1,TRUE)</f>
        <v>0.59637027179631996</v>
      </c>
      <c r="CR47" s="54" t="e" cm="1">
        <f t="array" ref="CR47">IF($CR$3,INDEX(Eu_tabel_g[[#This Row],[Styrke venstre]:[Styrke tosidet]],CR$7),NA())</f>
        <v>#N/A</v>
      </c>
      <c r="CS47" s="89" t="e">
        <f>Eu_tabel_g[[#This Row],[Falsk positiv
Nulhypotese accepteres
Fejltype 1]]</f>
        <v>#N/A</v>
      </c>
      <c r="CT47" s="89" t="e">
        <f>IF(CHOOSE(CR$7,Eu_tabel_g[[#This Row],[x base]]&gt;0,Eu_tabel_g[[#This Row],[x base]]&lt;0,Eu_tabel_g[[#This Row],[x base]]=0),Eu_tabel_g[[#This Row],[Styrke, aktiv]],NA())</f>
        <v>#N/A</v>
      </c>
      <c r="CU47" s="89" t="e">
        <f>IFERROR(IF($CR$3,Eu_tabel_g[[#This Row],[Styrke, aktiv]],NA()),NA())</f>
        <v>#N/A</v>
      </c>
      <c r="CV47" s="89" t="e">
        <f>IF(ISNA(Eu_tabel_g[[#This Row],[Sand negativ
Nulhypotese afvises
Korrekt]]),NA(),IF($CR$3,1,NA()))</f>
        <v>#N/A</v>
      </c>
      <c r="CW47" s="56" t="str" cm="1">
        <f t="array" ref="CW47">_xlfn.SWITCH(BZ47,_xlfn.IFNA(CU$2,-99),CU$5,_xlfn.IFNA(CU$3,-99),CU$6,_xlfn.IFNA(CU$4,-99),CU$7,"")</f>
        <v/>
      </c>
      <c r="DA47" s="7">
        <f t="shared" si="50"/>
        <v>0.8</v>
      </c>
      <c r="DB47">
        <f>IF(ROW(Styrkeberegning_G[[#This Row],[X base venstre]])=ROW(Styrkeberegning_G[[#Headers],[X base venstre]])+1,DB$7/(DA$7/$B$67),DB46/(DA46/$B$67))</f>
        <v>-2.8015817870135784</v>
      </c>
      <c r="DC47">
        <f>Styrkeberegning_G[[#This Row],[X base venstre]]*-1</f>
        <v>2.8015817870135784</v>
      </c>
      <c r="DN47" s="127">
        <f t="shared" si="51"/>
        <v>37</v>
      </c>
      <c r="DO47" s="54">
        <f t="shared" si="52"/>
        <v>38</v>
      </c>
      <c r="DP47" s="127">
        <f t="shared" si="53"/>
        <v>6.0544743520827273</v>
      </c>
      <c r="DQ47" s="127" t="e">
        <f t="shared" si="54"/>
        <v>#N/A</v>
      </c>
      <c r="DR47" s="127" t="e">
        <f t="shared" si="55"/>
        <v>#N/A</v>
      </c>
      <c r="DS47" s="127">
        <f t="shared" si="56"/>
        <v>6.7625400997576274E-2</v>
      </c>
      <c r="DT47" s="127" t="e">
        <f t="shared" si="57"/>
        <v>#N/A</v>
      </c>
      <c r="DU47" s="127" t="b">
        <f t="shared" si="58"/>
        <v>0</v>
      </c>
      <c r="DV47" s="127" t="b">
        <f t="shared" si="59"/>
        <v>1</v>
      </c>
      <c r="DW47" s="127" t="b">
        <f t="shared" si="60"/>
        <v>0</v>
      </c>
      <c r="DX47" s="127" t="b">
        <f t="shared" si="61"/>
        <v>1</v>
      </c>
      <c r="DY47" s="127">
        <f t="shared" si="62"/>
        <v>6.7625400997576274E-2</v>
      </c>
      <c r="DZ47" s="127" t="e">
        <f t="shared" si="63"/>
        <v>#N/A</v>
      </c>
      <c r="EA47" s="127">
        <f t="shared" si="64"/>
        <v>6.7625400997576274E-2</v>
      </c>
      <c r="EB47" s="128" t="str">
        <f t="shared" si="65"/>
        <v/>
      </c>
      <c r="EG47" s="127">
        <f t="shared" si="66"/>
        <v>37</v>
      </c>
      <c r="EH47" s="54">
        <f t="shared" si="67"/>
        <v>38</v>
      </c>
      <c r="EI47" s="127">
        <f t="shared" si="68"/>
        <v>-2.2038866059491382</v>
      </c>
      <c r="EJ47" s="127">
        <f t="shared" si="69"/>
        <v>3.5172293628326232E-2</v>
      </c>
      <c r="EK47" s="127" t="e">
        <f t="shared" si="70"/>
        <v>#N/A</v>
      </c>
      <c r="EL47" s="127" t="e">
        <f t="shared" si="71"/>
        <v>#N/A</v>
      </c>
      <c r="EM47" s="127" t="e">
        <f t="shared" si="72"/>
        <v>#N/A</v>
      </c>
      <c r="EN47" s="127" t="b">
        <f t="shared" si="73"/>
        <v>1</v>
      </c>
      <c r="EO47" s="127" t="b">
        <f t="shared" si="74"/>
        <v>0</v>
      </c>
      <c r="EP47" s="127" t="b">
        <f t="shared" si="75"/>
        <v>1</v>
      </c>
      <c r="EQ47" s="127" t="b">
        <f t="shared" si="76"/>
        <v>0</v>
      </c>
      <c r="ER47" s="127">
        <f t="shared" si="77"/>
        <v>3.5172293628326232E-2</v>
      </c>
      <c r="ES47" s="127">
        <f t="shared" si="78"/>
        <v>3.5172293628326232E-2</v>
      </c>
      <c r="ET47" s="127" t="e">
        <f t="shared" si="79"/>
        <v>#N/A</v>
      </c>
      <c r="EU47" s="128" t="str">
        <f t="shared" si="80"/>
        <v/>
      </c>
      <c r="EV4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4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4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47" s="54" t="e" cm="1">
        <f t="array" ref="EY47">IF($CR$3,INDEX(Eu_tabel_a[[#This Row],[Styrke venstre]:[Styrke tosidet]],EY$7),NA())</f>
        <v>#N/A</v>
      </c>
      <c r="EZ47" s="54" t="e">
        <f>IF(EY$3,IF(CHOOSE(EY$7,Eu_tabel_a[[#This Row],[x base]]&gt;0,Eu_tabel_a[[#This Row],[x base]]&lt;0,Eu_tabel_a[[#This Row],[x base]]=0),1,NA()),NA())</f>
        <v>#N/A</v>
      </c>
      <c r="FA47" s="54" t="e">
        <f>IF(CHOOSE(EY$7,Eu_tabel_a[[#This Row],[x base]]&gt;0,Eu_tabel_a[[#This Row],[x base]]&lt;0,Eu_tabel_a[[#This Row],[x base]]=0),Eu_tabel_a[[#This Row],[Styrke, aktiv]],NA())</f>
        <v>#N/A</v>
      </c>
      <c r="FB47" s="54" t="e">
        <f>IFERROR(IF($EY$3,Eu_tabel_a[[#This Row],[Styrke, aktiv]],NA()),NA())</f>
        <v>#N/A</v>
      </c>
      <c r="FC47" s="54" t="e">
        <f>IF(ISNA(Eu_tabel_a[[#This Row],[Sand negativ
Nulhypotese afvises
Korrekt]]),NA(),IF(EY$3,1,NA()))</f>
        <v>#N/A</v>
      </c>
      <c r="FD47" s="55" t="str" cm="1">
        <f t="array" ref="FD47">IFERROR(_xlfn.SWITCH(Eu_tabel_a[[#This Row],[Indeks]],_xlfn.IFNA(FB$2,-99),FB$5,_xlfn.IFNA(FB$3,-99),FB$6,_xlfn.IFNA(FB$4,-99),FB$7,""),"")</f>
        <v/>
      </c>
      <c r="FE47" s="54">
        <f>Eu_tabel_a[[#This Row],[x base]]*SQRT(Eu_a_h0_x*(1-Eu_a_h0_x)/Eu_a_n_x)+Eu_a_h0_x</f>
        <v>0</v>
      </c>
      <c r="FJ47" s="144" t="e">
        <f t="shared" si="18"/>
        <v>#N/A</v>
      </c>
      <c r="FK47" s="152" t="e">
        <f t="shared" si="113"/>
        <v>#DIV/0!</v>
      </c>
      <c r="FL47" s="7" t="e">
        <f t="shared" si="12"/>
        <v>#DIV/0!</v>
      </c>
      <c r="FM47" t="e">
        <f t="shared" si="114"/>
        <v>#DIV/0!</v>
      </c>
      <c r="FN47" s="8" t="e">
        <f t="shared" si="115"/>
        <v>#DIV/0!</v>
      </c>
      <c r="FO47" s="8" t="e">
        <f t="shared" si="116"/>
        <v>#DIV/0!</v>
      </c>
      <c r="FP47" s="151" t="e">
        <f t="shared" si="117"/>
        <v>#DIV/0!</v>
      </c>
      <c r="FQ47" s="144" t="e">
        <f t="shared" ca="1" si="13"/>
        <v>#N/A</v>
      </c>
      <c r="FR47" s="152" t="e" vm="3">
        <f t="shared" ca="1" si="19"/>
        <v>#VALUE!</v>
      </c>
      <c r="FS47" s="7" t="e" vm="3">
        <f t="shared" ca="1" si="14"/>
        <v>#VALUE!</v>
      </c>
      <c r="FT47" t="e" vm="3">
        <f t="shared" ca="1" si="8"/>
        <v>#VALUE!</v>
      </c>
      <c r="FU47" s="8" t="e" vm="3">
        <f t="shared" ca="1" si="9"/>
        <v>#VALUE!</v>
      </c>
      <c r="FV47" s="8" t="e" vm="3">
        <f t="shared" ca="1" si="10"/>
        <v>#VALUE!</v>
      </c>
      <c r="FW47" s="151" t="e" vm="3">
        <f t="shared" ca="1" si="11"/>
        <v>#VALUE!</v>
      </c>
      <c r="FX47" s="144" t="e">
        <f t="shared" si="15"/>
        <v>#N/A</v>
      </c>
      <c r="FY47" s="152" t="e">
        <f t="shared" si="20"/>
        <v>#N/A</v>
      </c>
      <c r="FZ47" s="7" t="e">
        <f t="shared" si="16"/>
        <v>#N/A</v>
      </c>
      <c r="GA47" t="e">
        <f t="shared" si="21"/>
        <v>#N/A</v>
      </c>
      <c r="GB47" s="8" t="e">
        <f t="shared" si="22"/>
        <v>#N/A</v>
      </c>
      <c r="GC47" s="8" t="e">
        <f t="shared" si="23"/>
        <v>#N/A</v>
      </c>
      <c r="GD47" s="151" t="e">
        <f t="shared" si="24"/>
        <v>#N/A</v>
      </c>
      <c r="GE47" s="144" t="e">
        <f t="shared" si="25"/>
        <v>#N/A</v>
      </c>
      <c r="GF47" s="152" t="e">
        <f t="shared" si="26"/>
        <v>#N/A</v>
      </c>
      <c r="GG47" s="7" t="e">
        <f t="shared" si="17"/>
        <v>#N/A</v>
      </c>
      <c r="GH47" t="e">
        <f t="shared" si="27"/>
        <v>#N/A</v>
      </c>
      <c r="GI47" s="8" t="e">
        <f t="shared" si="28"/>
        <v>#N/A</v>
      </c>
      <c r="GJ47" s="8" t="e">
        <f t="shared" si="29"/>
        <v>#N/A</v>
      </c>
      <c r="GK47" s="151" t="e">
        <f t="shared" si="30"/>
        <v>#N/A</v>
      </c>
      <c r="GL47" s="151"/>
      <c r="GM47" s="151"/>
      <c r="GP47" s="127">
        <f t="shared" si="81"/>
        <v>37</v>
      </c>
      <c r="GQ47" s="54">
        <f t="shared" si="82"/>
        <v>38</v>
      </c>
      <c r="GR47" s="127">
        <f t="shared" si="83"/>
        <v>-2.2038866059491382</v>
      </c>
      <c r="GS47" s="127">
        <f t="shared" si="84"/>
        <v>3.5172293628326232E-2</v>
      </c>
      <c r="GT47" s="127" t="e">
        <f t="shared" si="85"/>
        <v>#N/A</v>
      </c>
      <c r="GU47" s="127" t="e">
        <f t="shared" si="86"/>
        <v>#N/A</v>
      </c>
      <c r="GV47" s="127" t="e">
        <f t="shared" si="87"/>
        <v>#N/A</v>
      </c>
      <c r="GW47" s="127" t="b">
        <f t="shared" si="88"/>
        <v>1</v>
      </c>
      <c r="GX47" s="127" t="b">
        <f t="shared" si="89"/>
        <v>0</v>
      </c>
      <c r="GY47" s="127" t="b">
        <f t="shared" si="90"/>
        <v>1</v>
      </c>
      <c r="GZ47" s="127" t="b">
        <f t="shared" si="91"/>
        <v>0</v>
      </c>
      <c r="HA47" s="127">
        <f t="shared" si="92"/>
        <v>3.5172293628326232E-2</v>
      </c>
      <c r="HB47" s="127">
        <f t="shared" si="93"/>
        <v>3.5172293628326232E-2</v>
      </c>
      <c r="HC47" s="127" t="e">
        <f t="shared" si="94"/>
        <v>#N/A</v>
      </c>
      <c r="HD47" s="128" t="str">
        <f t="shared" si="95"/>
        <v/>
      </c>
      <c r="HJ47" s="127">
        <f t="shared" si="96"/>
        <v>37</v>
      </c>
      <c r="HK47" s="54">
        <f t="shared" si="97"/>
        <v>38</v>
      </c>
      <c r="HL47" s="127">
        <f t="shared" si="98"/>
        <v>-3.4127646963932294</v>
      </c>
      <c r="HM47" s="127" t="e">
        <f t="shared" si="99"/>
        <v>#N/A</v>
      </c>
      <c r="HN47" s="127">
        <f t="shared" si="100"/>
        <v>7.6455867646367508E-3</v>
      </c>
      <c r="HO47" s="127" t="e">
        <f t="shared" si="101"/>
        <v>#N/A</v>
      </c>
      <c r="HP47" s="127" t="e">
        <f t="shared" si="102"/>
        <v>#N/A</v>
      </c>
      <c r="HQ47" s="127" t="b">
        <f t="shared" si="103"/>
        <v>1</v>
      </c>
      <c r="HR47" s="127" t="b">
        <f t="shared" si="104"/>
        <v>0</v>
      </c>
      <c r="HS47" s="127" t="b">
        <f t="shared" si="105"/>
        <v>1</v>
      </c>
      <c r="HT47" s="127" t="b">
        <f t="shared" si="106"/>
        <v>0</v>
      </c>
      <c r="HU47" s="127">
        <f t="shared" si="107"/>
        <v>7.6455867646367508E-3</v>
      </c>
      <c r="HV47" s="127">
        <f t="shared" si="108"/>
        <v>7.6455867646367508E-3</v>
      </c>
      <c r="HW47" s="127" t="e">
        <f t="shared" si="109"/>
        <v>#N/A</v>
      </c>
      <c r="HX47" s="128" t="str">
        <f t="shared" si="110"/>
        <v/>
      </c>
    </row>
    <row r="48" spans="1:232" x14ac:dyDescent="0.2">
      <c r="BF48">
        <v>8</v>
      </c>
      <c r="BG48">
        <v>5</v>
      </c>
      <c r="BH48" t="b">
        <v>1</v>
      </c>
      <c r="BI48">
        <v>8</v>
      </c>
      <c r="BJ48">
        <v>5</v>
      </c>
      <c r="BL48" s="90" t="s">
        <v>453</v>
      </c>
      <c r="BM48" s="203" cm="1">
        <f t="array" ref="BM48">IF($BI$2,INDEX(E_i_valg[Venstre label base],E_i_aktiv),NA())</f>
        <v>1.08361049168533</v>
      </c>
      <c r="BZ48" s="127">
        <f t="shared" si="36"/>
        <v>38</v>
      </c>
      <c r="CA48" s="54">
        <f>Eu_tabel_g[[#This Row],[Indeks]]+1</f>
        <v>39</v>
      </c>
      <c r="CB48" s="127">
        <f t="shared" si="37"/>
        <v>-2.1799313167540388</v>
      </c>
      <c r="CC48" s="127">
        <f t="shared" si="38"/>
        <v>3.706845998598688E-2</v>
      </c>
      <c r="CD48" s="127" t="e">
        <f t="shared" si="39"/>
        <v>#N/A</v>
      </c>
      <c r="CE48" s="127" t="e">
        <f t="shared" si="40"/>
        <v>#N/A</v>
      </c>
      <c r="CF48" s="127" t="e">
        <f t="shared" si="41"/>
        <v>#N/A</v>
      </c>
      <c r="CG48" s="127" t="b">
        <f t="shared" si="42"/>
        <v>1</v>
      </c>
      <c r="CH48" s="127" t="b">
        <f t="shared" si="43"/>
        <v>0</v>
      </c>
      <c r="CI48" s="127" t="b">
        <f t="shared" si="44"/>
        <v>1</v>
      </c>
      <c r="CJ48" s="127" t="b">
        <f t="shared" si="45"/>
        <v>0</v>
      </c>
      <c r="CK48" s="127">
        <f t="shared" si="118"/>
        <v>3.706845998598688E-2</v>
      </c>
      <c r="CL48" s="127">
        <f t="shared" si="47"/>
        <v>3.706845998598688E-2</v>
      </c>
      <c r="CM48" s="127" t="e">
        <f t="shared" si="48"/>
        <v>#N/A</v>
      </c>
      <c r="CN48" s="128" t="str">
        <f t="shared" si="49"/>
        <v/>
      </c>
      <c r="CO48" s="54">
        <f>_xlfn.NORM.DIST(_xlfn.NORM.INV(1-Eu_g_konfidensniveau,0,1)-Eu_tabel_g[[#This Row],[x base]],0,1,TRUE)</f>
        <v>0.70370193173370943</v>
      </c>
      <c r="CP48" s="54">
        <f>1-_xlfn.NORM.DIST(_xlfn.NORM.INV(Eu_g_konfidensniveau,0,1)-Eu_tabel_g[[#This Row],[x base]],0,1,TRUE)</f>
        <v>6.5443143886456667E-5</v>
      </c>
      <c r="CQ48" s="54">
        <f>_xlfn.NORM.DIST(_xlfn.NORM.INV((1-Eu_g_konfidensniveau)/2,0,1)-Eu_tabel_g[[#This Row],[x base]],0,1,TRUE)+1-_xlfn.NORM.DIST(_xlfn.NORM.INV(1-(1-Eu_g_konfidensniveau)/2,0,1)-Eu_tabel_g[[#This Row],[x base]],0,1,TRUE)</f>
        <v>0.58706907486227267</v>
      </c>
      <c r="CR48" s="54" t="e" cm="1">
        <f t="array" ref="CR48">IF($CR$3,INDEX(Eu_tabel_g[[#This Row],[Styrke venstre]:[Styrke tosidet]],CR$7),NA())</f>
        <v>#N/A</v>
      </c>
      <c r="CS48" s="89" t="e">
        <f>Eu_tabel_g[[#This Row],[Falsk positiv
Nulhypotese accepteres
Fejltype 1]]</f>
        <v>#N/A</v>
      </c>
      <c r="CT48" s="89" t="e">
        <f>IF(CHOOSE(CR$7,Eu_tabel_g[[#This Row],[x base]]&gt;0,Eu_tabel_g[[#This Row],[x base]]&lt;0,Eu_tabel_g[[#This Row],[x base]]=0),Eu_tabel_g[[#This Row],[Styrke, aktiv]],NA())</f>
        <v>#N/A</v>
      </c>
      <c r="CU48" s="89" t="e">
        <f>IFERROR(IF($CR$3,Eu_tabel_g[[#This Row],[Styrke, aktiv]],NA()),NA())</f>
        <v>#N/A</v>
      </c>
      <c r="CV48" s="89" t="e">
        <f>IF(ISNA(Eu_tabel_g[[#This Row],[Sand negativ
Nulhypotese afvises
Korrekt]]),NA(),IF($CR$3,1,NA()))</f>
        <v>#N/A</v>
      </c>
      <c r="CW48" s="56" t="str" cm="1">
        <f t="array" ref="CW48">_xlfn.SWITCH(BZ48,_xlfn.IFNA(CU$2,-99),CU$5,_xlfn.IFNA(CU$3,-99),CU$6,_xlfn.IFNA(CU$4,-99),CU$7,"")</f>
        <v/>
      </c>
      <c r="DA48" s="7">
        <f t="shared" si="50"/>
        <v>0.8</v>
      </c>
      <c r="DB48">
        <f>IF(ROW(Styrkeberegning_G[[#This Row],[X base venstre]])=ROW(Styrkeberegning_G[[#Headers],[X base venstre]])+1,DB$7/(DA$7/$B$67),DB47/(DA47/$B$67))</f>
        <v>-2.8015817870135784</v>
      </c>
      <c r="DC48">
        <f>Styrkeberegning_G[[#This Row],[X base venstre]]*-1</f>
        <v>2.8015817870135784</v>
      </c>
      <c r="DN48" s="127">
        <f t="shared" si="51"/>
        <v>38</v>
      </c>
      <c r="DO48" s="54">
        <f t="shared" si="52"/>
        <v>39</v>
      </c>
      <c r="DP48" s="127">
        <f t="shared" si="53"/>
        <v>6.1685452084997285</v>
      </c>
      <c r="DQ48" s="127" t="e">
        <f t="shared" si="54"/>
        <v>#N/A</v>
      </c>
      <c r="DR48" s="127" t="e">
        <f t="shared" si="55"/>
        <v>#N/A</v>
      </c>
      <c r="DS48" s="127">
        <f t="shared" si="56"/>
        <v>6.9473322396871304E-2</v>
      </c>
      <c r="DT48" s="127" t="e">
        <f t="shared" si="57"/>
        <v>#N/A</v>
      </c>
      <c r="DU48" s="127" t="b">
        <f t="shared" si="58"/>
        <v>0</v>
      </c>
      <c r="DV48" s="127" t="b">
        <f t="shared" si="59"/>
        <v>1</v>
      </c>
      <c r="DW48" s="127" t="b">
        <f t="shared" si="60"/>
        <v>0</v>
      </c>
      <c r="DX48" s="127" t="b">
        <f t="shared" si="61"/>
        <v>1</v>
      </c>
      <c r="DY48" s="127">
        <f t="shared" si="62"/>
        <v>6.9473322396871304E-2</v>
      </c>
      <c r="DZ48" s="127" t="e">
        <f t="shared" si="63"/>
        <v>#N/A</v>
      </c>
      <c r="EA48" s="127">
        <f t="shared" si="64"/>
        <v>6.9473322396871304E-2</v>
      </c>
      <c r="EB48" s="128" t="str">
        <f t="shared" si="65"/>
        <v/>
      </c>
      <c r="EG48" s="127">
        <f t="shared" si="66"/>
        <v>38</v>
      </c>
      <c r="EH48" s="54">
        <f t="shared" si="67"/>
        <v>39</v>
      </c>
      <c r="EI48" s="127">
        <f t="shared" si="68"/>
        <v>-2.1799313167540388</v>
      </c>
      <c r="EJ48" s="127">
        <f t="shared" si="69"/>
        <v>3.706845998598688E-2</v>
      </c>
      <c r="EK48" s="127" t="e">
        <f t="shared" si="70"/>
        <v>#N/A</v>
      </c>
      <c r="EL48" s="127" t="e">
        <f t="shared" si="71"/>
        <v>#N/A</v>
      </c>
      <c r="EM48" s="127" t="e">
        <f t="shared" si="72"/>
        <v>#N/A</v>
      </c>
      <c r="EN48" s="127" t="b">
        <f t="shared" si="73"/>
        <v>1</v>
      </c>
      <c r="EO48" s="127" t="b">
        <f t="shared" si="74"/>
        <v>0</v>
      </c>
      <c r="EP48" s="127" t="b">
        <f t="shared" si="75"/>
        <v>1</v>
      </c>
      <c r="EQ48" s="127" t="b">
        <f t="shared" si="76"/>
        <v>0</v>
      </c>
      <c r="ER48" s="127">
        <f t="shared" si="77"/>
        <v>3.706845998598688E-2</v>
      </c>
      <c r="ES48" s="127">
        <f t="shared" si="78"/>
        <v>3.706845998598688E-2</v>
      </c>
      <c r="ET48" s="127" t="e">
        <f t="shared" si="79"/>
        <v>#N/A</v>
      </c>
      <c r="EU48" s="128" t="str">
        <f t="shared" si="80"/>
        <v/>
      </c>
      <c r="EV4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4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4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48" s="54" t="e" cm="1">
        <f t="array" ref="EY48">IF($CR$3,INDEX(Eu_tabel_a[[#This Row],[Styrke venstre]:[Styrke tosidet]],EY$7),NA())</f>
        <v>#N/A</v>
      </c>
      <c r="EZ48" s="54" t="e">
        <f>IF(EY$3,IF(CHOOSE(EY$7,Eu_tabel_a[[#This Row],[x base]]&gt;0,Eu_tabel_a[[#This Row],[x base]]&lt;0,Eu_tabel_a[[#This Row],[x base]]=0),1,NA()),NA())</f>
        <v>#N/A</v>
      </c>
      <c r="FA48" s="54" t="e">
        <f>IF(CHOOSE(EY$7,Eu_tabel_a[[#This Row],[x base]]&gt;0,Eu_tabel_a[[#This Row],[x base]]&lt;0,Eu_tabel_a[[#This Row],[x base]]=0),Eu_tabel_a[[#This Row],[Styrke, aktiv]],NA())</f>
        <v>#N/A</v>
      </c>
      <c r="FB48" s="54" t="e">
        <f>IFERROR(IF($EY$3,Eu_tabel_a[[#This Row],[Styrke, aktiv]],NA()),NA())</f>
        <v>#N/A</v>
      </c>
      <c r="FC48" s="54" t="e">
        <f>IF(ISNA(Eu_tabel_a[[#This Row],[Sand negativ
Nulhypotese afvises
Korrekt]]),NA(),IF(EY$3,1,NA()))</f>
        <v>#N/A</v>
      </c>
      <c r="FD48" s="55" t="str" cm="1">
        <f t="array" ref="FD48">IFERROR(_xlfn.SWITCH(Eu_tabel_a[[#This Row],[Indeks]],_xlfn.IFNA(FB$2,-99),FB$5,_xlfn.IFNA(FB$3,-99),FB$6,_xlfn.IFNA(FB$4,-99),FB$7,""),"")</f>
        <v/>
      </c>
      <c r="FE48" s="54">
        <f>Eu_tabel_a[[#This Row],[x base]]*SQRT(Eu_a_h0_x*(1-Eu_a_h0_x)/Eu_a_n_x)+Eu_a_h0_x</f>
        <v>0</v>
      </c>
      <c r="FJ48" s="144" t="e">
        <f t="shared" si="18"/>
        <v>#N/A</v>
      </c>
      <c r="FK48" s="152" t="e">
        <f t="shared" si="113"/>
        <v>#DIV/0!</v>
      </c>
      <c r="FL48" s="7" t="e">
        <f t="shared" si="12"/>
        <v>#DIV/0!</v>
      </c>
      <c r="FM48" t="e">
        <f t="shared" si="114"/>
        <v>#DIV/0!</v>
      </c>
      <c r="FN48" s="8" t="e">
        <f t="shared" si="115"/>
        <v>#DIV/0!</v>
      </c>
      <c r="FO48" s="8" t="e">
        <f t="shared" si="116"/>
        <v>#DIV/0!</v>
      </c>
      <c r="FP48" s="151" t="e">
        <f t="shared" si="117"/>
        <v>#DIV/0!</v>
      </c>
      <c r="FQ48" s="144" t="e">
        <f t="shared" ca="1" si="13"/>
        <v>#N/A</v>
      </c>
      <c r="FR48" s="152" t="e" vm="3">
        <f t="shared" ca="1" si="19"/>
        <v>#VALUE!</v>
      </c>
      <c r="FS48" s="7" t="e" vm="3">
        <f t="shared" ca="1" si="14"/>
        <v>#VALUE!</v>
      </c>
      <c r="FT48" t="e" vm="3">
        <f t="shared" ca="1" si="8"/>
        <v>#VALUE!</v>
      </c>
      <c r="FU48" s="8" t="e" vm="3">
        <f t="shared" ca="1" si="9"/>
        <v>#VALUE!</v>
      </c>
      <c r="FV48" s="8" t="e" vm="3">
        <f t="shared" ca="1" si="10"/>
        <v>#VALUE!</v>
      </c>
      <c r="FW48" s="151" t="e" vm="3">
        <f t="shared" ca="1" si="11"/>
        <v>#VALUE!</v>
      </c>
      <c r="FX48" s="144" t="e">
        <f t="shared" si="15"/>
        <v>#N/A</v>
      </c>
      <c r="FY48" s="152" t="e">
        <f t="shared" si="20"/>
        <v>#N/A</v>
      </c>
      <c r="FZ48" s="7" t="e">
        <f t="shared" si="16"/>
        <v>#N/A</v>
      </c>
      <c r="GA48" t="e">
        <f t="shared" si="21"/>
        <v>#N/A</v>
      </c>
      <c r="GB48" s="8" t="e">
        <f t="shared" si="22"/>
        <v>#N/A</v>
      </c>
      <c r="GC48" s="8" t="e">
        <f t="shared" si="23"/>
        <v>#N/A</v>
      </c>
      <c r="GD48" s="151" t="e">
        <f t="shared" si="24"/>
        <v>#N/A</v>
      </c>
      <c r="GE48" s="144" t="e">
        <f t="shared" si="25"/>
        <v>#N/A</v>
      </c>
      <c r="GF48" s="152" t="e">
        <f t="shared" si="26"/>
        <v>#N/A</v>
      </c>
      <c r="GG48" s="7" t="e">
        <f t="shared" si="17"/>
        <v>#N/A</v>
      </c>
      <c r="GH48" t="e">
        <f t="shared" si="27"/>
        <v>#N/A</v>
      </c>
      <c r="GI48" s="8" t="e">
        <f t="shared" si="28"/>
        <v>#N/A</v>
      </c>
      <c r="GJ48" s="8" t="e">
        <f t="shared" si="29"/>
        <v>#N/A</v>
      </c>
      <c r="GK48" s="151" t="e">
        <f t="shared" si="30"/>
        <v>#N/A</v>
      </c>
      <c r="GL48" s="151"/>
      <c r="GM48" s="151"/>
      <c r="GP48" s="127">
        <f t="shared" si="81"/>
        <v>38</v>
      </c>
      <c r="GQ48" s="54">
        <f t="shared" si="82"/>
        <v>39</v>
      </c>
      <c r="GR48" s="127">
        <f t="shared" si="83"/>
        <v>-2.1799313167540388</v>
      </c>
      <c r="GS48" s="127">
        <f t="shared" si="84"/>
        <v>3.706845998598688E-2</v>
      </c>
      <c r="GT48" s="127" t="e">
        <f t="shared" si="85"/>
        <v>#N/A</v>
      </c>
      <c r="GU48" s="127" t="e">
        <f t="shared" si="86"/>
        <v>#N/A</v>
      </c>
      <c r="GV48" s="127" t="e">
        <f t="shared" si="87"/>
        <v>#N/A</v>
      </c>
      <c r="GW48" s="127" t="b">
        <f t="shared" si="88"/>
        <v>1</v>
      </c>
      <c r="GX48" s="127" t="b">
        <f t="shared" si="89"/>
        <v>0</v>
      </c>
      <c r="GY48" s="127" t="b">
        <f t="shared" si="90"/>
        <v>1</v>
      </c>
      <c r="GZ48" s="127" t="b">
        <f t="shared" si="91"/>
        <v>0</v>
      </c>
      <c r="HA48" s="127">
        <f t="shared" si="92"/>
        <v>3.706845998598688E-2</v>
      </c>
      <c r="HB48" s="127">
        <f t="shared" si="93"/>
        <v>3.706845998598688E-2</v>
      </c>
      <c r="HC48" s="127" t="e">
        <f t="shared" si="94"/>
        <v>#N/A</v>
      </c>
      <c r="HD48" s="128" t="str">
        <f t="shared" si="95"/>
        <v/>
      </c>
      <c r="HJ48" s="127">
        <f t="shared" si="96"/>
        <v>38</v>
      </c>
      <c r="HK48" s="54">
        <f t="shared" si="97"/>
        <v>39</v>
      </c>
      <c r="HL48" s="127">
        <f t="shared" si="98"/>
        <v>-3.3756694279541728</v>
      </c>
      <c r="HM48" s="127" t="e">
        <f t="shared" si="99"/>
        <v>#N/A</v>
      </c>
      <c r="HN48" s="127">
        <f t="shared" si="100"/>
        <v>8.0729166739766621E-3</v>
      </c>
      <c r="HO48" s="127" t="e">
        <f t="shared" si="101"/>
        <v>#N/A</v>
      </c>
      <c r="HP48" s="127" t="e">
        <f t="shared" si="102"/>
        <v>#N/A</v>
      </c>
      <c r="HQ48" s="127" t="b">
        <f t="shared" si="103"/>
        <v>1</v>
      </c>
      <c r="HR48" s="127" t="b">
        <f t="shared" si="104"/>
        <v>0</v>
      </c>
      <c r="HS48" s="127" t="b">
        <f t="shared" si="105"/>
        <v>1</v>
      </c>
      <c r="HT48" s="127" t="b">
        <f t="shared" si="106"/>
        <v>0</v>
      </c>
      <c r="HU48" s="127">
        <f t="shared" si="107"/>
        <v>8.0729166739766621E-3</v>
      </c>
      <c r="HV48" s="127">
        <f t="shared" si="108"/>
        <v>8.0729166739766621E-3</v>
      </c>
      <c r="HW48" s="127" t="e">
        <f t="shared" si="109"/>
        <v>#N/A</v>
      </c>
      <c r="HX48" s="128" t="str">
        <f t="shared" si="110"/>
        <v/>
      </c>
    </row>
    <row r="49" spans="58:232" x14ac:dyDescent="0.2">
      <c r="BF49">
        <v>-0.30723615599325882</v>
      </c>
      <c r="BG49">
        <v>2.0228895016109072</v>
      </c>
      <c r="BH49" t="b">
        <v>0</v>
      </c>
      <c r="BI49">
        <v>-0.30723615599325882</v>
      </c>
      <c r="BJ49">
        <v>2.0228895016109072</v>
      </c>
      <c r="BL49" s="90" t="s">
        <v>454</v>
      </c>
      <c r="BM49" s="203" cm="1">
        <f t="array" ref="BM49">IF($BI$2,INDEX(E_i_valg[Højre label base],E_i_aktiv),NA())</f>
        <v>2.6243983449566111</v>
      </c>
      <c r="BZ49" s="127">
        <f t="shared" si="36"/>
        <v>39</v>
      </c>
      <c r="CA49" s="54">
        <f>Eu_tabel_g[[#This Row],[Indeks]]+1</f>
        <v>40</v>
      </c>
      <c r="CB49" s="127">
        <f t="shared" si="37"/>
        <v>-2.1559760275589395</v>
      </c>
      <c r="CC49" s="127">
        <f t="shared" si="38"/>
        <v>3.9044437871557765E-2</v>
      </c>
      <c r="CD49" s="127" t="e">
        <f t="shared" si="39"/>
        <v>#N/A</v>
      </c>
      <c r="CE49" s="127" t="e">
        <f t="shared" si="40"/>
        <v>#N/A</v>
      </c>
      <c r="CF49" s="127" t="e">
        <f t="shared" si="41"/>
        <v>#N/A</v>
      </c>
      <c r="CG49" s="127" t="b">
        <f t="shared" si="42"/>
        <v>1</v>
      </c>
      <c r="CH49" s="127" t="b">
        <f t="shared" si="43"/>
        <v>0</v>
      </c>
      <c r="CI49" s="127" t="b">
        <f t="shared" si="44"/>
        <v>1</v>
      </c>
      <c r="CJ49" s="127" t="b">
        <f t="shared" si="45"/>
        <v>0</v>
      </c>
      <c r="CK49" s="127">
        <f t="shared" si="118"/>
        <v>3.9044437871557765E-2</v>
      </c>
      <c r="CL49" s="127">
        <f t="shared" si="47"/>
        <v>3.9044437871557765E-2</v>
      </c>
      <c r="CM49" s="127" t="e">
        <f t="shared" si="48"/>
        <v>#N/A</v>
      </c>
      <c r="CN49" s="128" t="str">
        <f t="shared" si="49"/>
        <v/>
      </c>
      <c r="CO49" s="54">
        <f>_xlfn.NORM.DIST(_xlfn.NORM.INV(1-Eu_g_konfidensniveau,0,1)-Eu_tabel_g[[#This Row],[x base]],0,1,TRUE)</f>
        <v>0.69536732432934545</v>
      </c>
      <c r="CP49" s="54">
        <f>1-_xlfn.NORM.DIST(_xlfn.NORM.INV(Eu_g_konfidensniveau,0,1)-Eu_tabel_g[[#This Row],[x base]],0,1,TRUE)</f>
        <v>7.2106210282307792E-5</v>
      </c>
      <c r="CQ49" s="54">
        <f>_xlfn.NORM.DIST(_xlfn.NORM.INV((1-Eu_g_konfidensniveau)/2,0,1)-Eu_tabel_g[[#This Row],[x base]],0,1,TRUE)+1-_xlfn.NORM.DIST(_xlfn.NORM.INV(1-(1-Eu_g_konfidensniveau)/2,0,1)-Eu_tabel_g[[#This Row],[x base]],0,1,TRUE)</f>
        <v>0.57771891029166778</v>
      </c>
      <c r="CR49" s="54" t="e" cm="1">
        <f t="array" ref="CR49">IF($CR$3,INDEX(Eu_tabel_g[[#This Row],[Styrke venstre]:[Styrke tosidet]],CR$7),NA())</f>
        <v>#N/A</v>
      </c>
      <c r="CS49" s="89" t="e">
        <f>Eu_tabel_g[[#This Row],[Falsk positiv
Nulhypotese accepteres
Fejltype 1]]</f>
        <v>#N/A</v>
      </c>
      <c r="CT49" s="89" t="e">
        <f>IF(CHOOSE(CR$7,Eu_tabel_g[[#This Row],[x base]]&gt;0,Eu_tabel_g[[#This Row],[x base]]&lt;0,Eu_tabel_g[[#This Row],[x base]]=0),Eu_tabel_g[[#This Row],[Styrke, aktiv]],NA())</f>
        <v>#N/A</v>
      </c>
      <c r="CU49" s="89" t="e">
        <f>IFERROR(IF($CR$3,Eu_tabel_g[[#This Row],[Styrke, aktiv]],NA()),NA())</f>
        <v>#N/A</v>
      </c>
      <c r="CV49" s="89" t="e">
        <f>IF(ISNA(Eu_tabel_g[[#This Row],[Sand negativ
Nulhypotese afvises
Korrekt]]),NA(),IF($CR$3,1,NA()))</f>
        <v>#N/A</v>
      </c>
      <c r="CW49" s="56" t="str" cm="1">
        <f t="array" ref="CW49">_xlfn.SWITCH(BZ49,_xlfn.IFNA(CU$2,-99),CU$5,_xlfn.IFNA(CU$3,-99),CU$6,_xlfn.IFNA(CU$4,-99),CU$7,"")</f>
        <v/>
      </c>
      <c r="DA49" s="7">
        <f t="shared" si="50"/>
        <v>0.8</v>
      </c>
      <c r="DB49">
        <f>IF(ROW(Styrkeberegning_G[[#This Row],[X base venstre]])=ROW(Styrkeberegning_G[[#Headers],[X base venstre]])+1,DB$7/(DA$7/$B$67),DB48/(DA48/$B$67))</f>
        <v>-2.8015817870135784</v>
      </c>
      <c r="DC49">
        <f>Styrkeberegning_G[[#This Row],[X base venstre]]*-1</f>
        <v>2.8015817870135784</v>
      </c>
      <c r="DN49" s="127">
        <f t="shared" si="51"/>
        <v>39</v>
      </c>
      <c r="DO49" s="54">
        <f t="shared" si="52"/>
        <v>40</v>
      </c>
      <c r="DP49" s="127">
        <f t="shared" si="53"/>
        <v>6.2826160649167297</v>
      </c>
      <c r="DQ49" s="127" t="e">
        <f t="shared" si="54"/>
        <v>#N/A</v>
      </c>
      <c r="DR49" s="127" t="e">
        <f t="shared" si="55"/>
        <v>#N/A</v>
      </c>
      <c r="DS49" s="127">
        <f t="shared" si="56"/>
        <v>7.126197508955133E-2</v>
      </c>
      <c r="DT49" s="127" t="e">
        <f t="shared" si="57"/>
        <v>#N/A</v>
      </c>
      <c r="DU49" s="127" t="b">
        <f t="shared" si="58"/>
        <v>0</v>
      </c>
      <c r="DV49" s="127" t="b">
        <f t="shared" si="59"/>
        <v>1</v>
      </c>
      <c r="DW49" s="127" t="b">
        <f t="shared" si="60"/>
        <v>0</v>
      </c>
      <c r="DX49" s="127" t="b">
        <f t="shared" si="61"/>
        <v>1</v>
      </c>
      <c r="DY49" s="127">
        <f t="shared" si="62"/>
        <v>7.126197508955133E-2</v>
      </c>
      <c r="DZ49" s="127" t="e">
        <f t="shared" si="63"/>
        <v>#N/A</v>
      </c>
      <c r="EA49" s="127">
        <f t="shared" si="64"/>
        <v>7.126197508955133E-2</v>
      </c>
      <c r="EB49" s="128" t="str">
        <f t="shared" si="65"/>
        <v/>
      </c>
      <c r="EG49" s="127">
        <f t="shared" si="66"/>
        <v>39</v>
      </c>
      <c r="EH49" s="54">
        <f t="shared" si="67"/>
        <v>40</v>
      </c>
      <c r="EI49" s="127">
        <f t="shared" si="68"/>
        <v>-2.1559760275589395</v>
      </c>
      <c r="EJ49" s="127">
        <f t="shared" si="69"/>
        <v>3.9044437871557765E-2</v>
      </c>
      <c r="EK49" s="127" t="e">
        <f t="shared" si="70"/>
        <v>#N/A</v>
      </c>
      <c r="EL49" s="127" t="e">
        <f t="shared" si="71"/>
        <v>#N/A</v>
      </c>
      <c r="EM49" s="127" t="e">
        <f t="shared" si="72"/>
        <v>#N/A</v>
      </c>
      <c r="EN49" s="127" t="b">
        <f t="shared" si="73"/>
        <v>1</v>
      </c>
      <c r="EO49" s="127" t="b">
        <f t="shared" si="74"/>
        <v>0</v>
      </c>
      <c r="EP49" s="127" t="b">
        <f t="shared" si="75"/>
        <v>1</v>
      </c>
      <c r="EQ49" s="127" t="b">
        <f t="shared" si="76"/>
        <v>0</v>
      </c>
      <c r="ER49" s="127">
        <f t="shared" si="77"/>
        <v>3.9044437871557765E-2</v>
      </c>
      <c r="ES49" s="127">
        <f t="shared" si="78"/>
        <v>3.9044437871557765E-2</v>
      </c>
      <c r="ET49" s="127" t="e">
        <f t="shared" si="79"/>
        <v>#N/A</v>
      </c>
      <c r="EU49" s="128" t="str">
        <f t="shared" si="80"/>
        <v/>
      </c>
      <c r="EV4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4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4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49" s="54" t="e" cm="1">
        <f t="array" ref="EY49">IF($CR$3,INDEX(Eu_tabel_a[[#This Row],[Styrke venstre]:[Styrke tosidet]],EY$7),NA())</f>
        <v>#N/A</v>
      </c>
      <c r="EZ49" s="54" t="e">
        <f>IF(EY$3,IF(CHOOSE(EY$7,Eu_tabel_a[[#This Row],[x base]]&gt;0,Eu_tabel_a[[#This Row],[x base]]&lt;0,Eu_tabel_a[[#This Row],[x base]]=0),1,NA()),NA())</f>
        <v>#N/A</v>
      </c>
      <c r="FA49" s="54" t="e">
        <f>IF(CHOOSE(EY$7,Eu_tabel_a[[#This Row],[x base]]&gt;0,Eu_tabel_a[[#This Row],[x base]]&lt;0,Eu_tabel_a[[#This Row],[x base]]=0),Eu_tabel_a[[#This Row],[Styrke, aktiv]],NA())</f>
        <v>#N/A</v>
      </c>
      <c r="FB49" s="54" t="e">
        <f>IFERROR(IF($EY$3,Eu_tabel_a[[#This Row],[Styrke, aktiv]],NA()),NA())</f>
        <v>#N/A</v>
      </c>
      <c r="FC49" s="54" t="e">
        <f>IF(ISNA(Eu_tabel_a[[#This Row],[Sand negativ
Nulhypotese afvises
Korrekt]]),NA(),IF(EY$3,1,NA()))</f>
        <v>#N/A</v>
      </c>
      <c r="FD49" s="55" t="str" cm="1">
        <f t="array" ref="FD49">IFERROR(_xlfn.SWITCH(Eu_tabel_a[[#This Row],[Indeks]],_xlfn.IFNA(FB$2,-99),FB$5,_xlfn.IFNA(FB$3,-99),FB$6,_xlfn.IFNA(FB$4,-99),FB$7,""),"")</f>
        <v/>
      </c>
      <c r="FE49" s="54">
        <f>Eu_tabel_a[[#This Row],[x base]]*SQRT(Eu_a_h0_x*(1-Eu_a_h0_x)/Eu_a_n_x)+Eu_a_h0_x</f>
        <v>0</v>
      </c>
      <c r="FJ49" s="144" t="e">
        <f t="shared" si="18"/>
        <v>#N/A</v>
      </c>
      <c r="FK49" s="152" t="e">
        <f t="shared" si="113"/>
        <v>#DIV/0!</v>
      </c>
      <c r="FL49" s="7" t="e">
        <f t="shared" si="12"/>
        <v>#DIV/0!</v>
      </c>
      <c r="FM49" t="e">
        <f t="shared" si="114"/>
        <v>#DIV/0!</v>
      </c>
      <c r="FN49" s="8" t="e">
        <f t="shared" si="115"/>
        <v>#DIV/0!</v>
      </c>
      <c r="FO49" s="8" t="e">
        <f t="shared" si="116"/>
        <v>#DIV/0!</v>
      </c>
      <c r="FP49" s="151" t="e">
        <f t="shared" si="117"/>
        <v>#DIV/0!</v>
      </c>
      <c r="FQ49" s="144" t="e">
        <f t="shared" ca="1" si="13"/>
        <v>#N/A</v>
      </c>
      <c r="FR49" s="152" t="e" vm="3">
        <f t="shared" ca="1" si="19"/>
        <v>#VALUE!</v>
      </c>
      <c r="FS49" s="7" t="e" vm="3">
        <f t="shared" ca="1" si="14"/>
        <v>#VALUE!</v>
      </c>
      <c r="FT49" t="e" vm="3">
        <f t="shared" ca="1" si="8"/>
        <v>#VALUE!</v>
      </c>
      <c r="FU49" s="8" t="e" vm="3">
        <f t="shared" ca="1" si="9"/>
        <v>#VALUE!</v>
      </c>
      <c r="FV49" s="8" t="e" vm="3">
        <f t="shared" ca="1" si="10"/>
        <v>#VALUE!</v>
      </c>
      <c r="FW49" s="151" t="e" vm="3">
        <f t="shared" ca="1" si="11"/>
        <v>#VALUE!</v>
      </c>
      <c r="FX49" s="144" t="e">
        <f t="shared" si="15"/>
        <v>#N/A</v>
      </c>
      <c r="FY49" s="152" t="e">
        <f t="shared" si="20"/>
        <v>#N/A</v>
      </c>
      <c r="FZ49" s="7" t="e">
        <f t="shared" si="16"/>
        <v>#N/A</v>
      </c>
      <c r="GA49" t="e">
        <f t="shared" si="21"/>
        <v>#N/A</v>
      </c>
      <c r="GB49" s="8" t="e">
        <f t="shared" si="22"/>
        <v>#N/A</v>
      </c>
      <c r="GC49" s="8" t="e">
        <f t="shared" si="23"/>
        <v>#N/A</v>
      </c>
      <c r="GD49" s="151" t="e">
        <f t="shared" si="24"/>
        <v>#N/A</v>
      </c>
      <c r="GE49" s="144" t="e">
        <f t="shared" si="25"/>
        <v>#N/A</v>
      </c>
      <c r="GF49" s="152" t="e">
        <f t="shared" si="26"/>
        <v>#N/A</v>
      </c>
      <c r="GG49" s="7" t="e">
        <f t="shared" si="17"/>
        <v>#N/A</v>
      </c>
      <c r="GH49" t="e">
        <f t="shared" si="27"/>
        <v>#N/A</v>
      </c>
      <c r="GI49" s="8" t="e">
        <f t="shared" si="28"/>
        <v>#N/A</v>
      </c>
      <c r="GJ49" s="8" t="e">
        <f t="shared" si="29"/>
        <v>#N/A</v>
      </c>
      <c r="GK49" s="151" t="e">
        <f t="shared" si="30"/>
        <v>#N/A</v>
      </c>
      <c r="GL49" s="151"/>
      <c r="GM49" s="151"/>
      <c r="GP49" s="127">
        <f t="shared" si="81"/>
        <v>39</v>
      </c>
      <c r="GQ49" s="54">
        <f t="shared" si="82"/>
        <v>40</v>
      </c>
      <c r="GR49" s="127">
        <f t="shared" si="83"/>
        <v>-2.1559760275589395</v>
      </c>
      <c r="GS49" s="127">
        <f t="shared" si="84"/>
        <v>3.9044437871557765E-2</v>
      </c>
      <c r="GT49" s="127" t="e">
        <f t="shared" si="85"/>
        <v>#N/A</v>
      </c>
      <c r="GU49" s="127" t="e">
        <f t="shared" si="86"/>
        <v>#N/A</v>
      </c>
      <c r="GV49" s="127" t="e">
        <f t="shared" si="87"/>
        <v>#N/A</v>
      </c>
      <c r="GW49" s="127" t="b">
        <f t="shared" si="88"/>
        <v>1</v>
      </c>
      <c r="GX49" s="127" t="b">
        <f t="shared" si="89"/>
        <v>0</v>
      </c>
      <c r="GY49" s="127" t="b">
        <f t="shared" si="90"/>
        <v>1</v>
      </c>
      <c r="GZ49" s="127" t="b">
        <f t="shared" si="91"/>
        <v>0</v>
      </c>
      <c r="HA49" s="127">
        <f t="shared" si="92"/>
        <v>3.9044437871557765E-2</v>
      </c>
      <c r="HB49" s="127">
        <f t="shared" si="93"/>
        <v>3.9044437871557765E-2</v>
      </c>
      <c r="HC49" s="127" t="e">
        <f t="shared" si="94"/>
        <v>#N/A</v>
      </c>
      <c r="HD49" s="128" t="str">
        <f t="shared" si="95"/>
        <v/>
      </c>
      <c r="HJ49" s="127">
        <f t="shared" si="96"/>
        <v>39</v>
      </c>
      <c r="HK49" s="54">
        <f t="shared" si="97"/>
        <v>40</v>
      </c>
      <c r="HL49" s="127">
        <f t="shared" si="98"/>
        <v>-3.3385741595151162</v>
      </c>
      <c r="HM49" s="127" t="e">
        <f t="shared" si="99"/>
        <v>#N/A</v>
      </c>
      <c r="HN49" s="127">
        <f t="shared" si="100"/>
        <v>8.5253498118103947E-3</v>
      </c>
      <c r="HO49" s="127" t="e">
        <f t="shared" si="101"/>
        <v>#N/A</v>
      </c>
      <c r="HP49" s="127" t="e">
        <f t="shared" si="102"/>
        <v>#N/A</v>
      </c>
      <c r="HQ49" s="127" t="b">
        <f t="shared" si="103"/>
        <v>1</v>
      </c>
      <c r="HR49" s="127" t="b">
        <f t="shared" si="104"/>
        <v>0</v>
      </c>
      <c r="HS49" s="127" t="b">
        <f t="shared" si="105"/>
        <v>1</v>
      </c>
      <c r="HT49" s="127" t="b">
        <f t="shared" si="106"/>
        <v>0</v>
      </c>
      <c r="HU49" s="127">
        <f t="shared" si="107"/>
        <v>8.5253498118103947E-3</v>
      </c>
      <c r="HV49" s="127">
        <f t="shared" si="108"/>
        <v>8.5253498118103947E-3</v>
      </c>
      <c r="HW49" s="127" t="e">
        <f t="shared" si="109"/>
        <v>#N/A</v>
      </c>
      <c r="HX49" s="128" t="str">
        <f t="shared" si="110"/>
        <v/>
      </c>
    </row>
    <row r="50" spans="58:232" x14ac:dyDescent="0.2">
      <c r="BF50">
        <v>13</v>
      </c>
      <c r="BG50">
        <v>9</v>
      </c>
      <c r="BH50" t="b">
        <v>1</v>
      </c>
      <c r="BI50">
        <v>13</v>
      </c>
      <c r="BJ50">
        <v>9</v>
      </c>
      <c r="BL50" s="90" t="s">
        <v>456</v>
      </c>
      <c r="BM50" s="203" t="e" cm="1">
        <f t="array" ref="BM50">IF(NOT($BI$2),INDEX(E_i_valg[Fordeling],E_i_aktiv),NA())</f>
        <v>#N/A</v>
      </c>
      <c r="BZ50" s="127">
        <f t="shared" si="36"/>
        <v>40</v>
      </c>
      <c r="CA50" s="54">
        <f>Eu_tabel_g[[#This Row],[Indeks]]+1</f>
        <v>41</v>
      </c>
      <c r="CB50" s="127">
        <f t="shared" si="37"/>
        <v>-2.1320207383638401</v>
      </c>
      <c r="CC50" s="127">
        <f t="shared" si="38"/>
        <v>4.1102154102044132E-2</v>
      </c>
      <c r="CD50" s="127" t="e">
        <f t="shared" si="39"/>
        <v>#N/A</v>
      </c>
      <c r="CE50" s="127" t="e">
        <f t="shared" si="40"/>
        <v>#N/A</v>
      </c>
      <c r="CF50" s="127" t="e">
        <f t="shared" si="41"/>
        <v>#N/A</v>
      </c>
      <c r="CG50" s="127" t="b">
        <f t="shared" si="42"/>
        <v>1</v>
      </c>
      <c r="CH50" s="127" t="b">
        <f t="shared" si="43"/>
        <v>0</v>
      </c>
      <c r="CI50" s="127" t="b">
        <f t="shared" si="44"/>
        <v>1</v>
      </c>
      <c r="CJ50" s="127" t="b">
        <f t="shared" si="45"/>
        <v>0</v>
      </c>
      <c r="CK50" s="127">
        <f t="shared" si="118"/>
        <v>4.1102154102044132E-2</v>
      </c>
      <c r="CL50" s="127">
        <f t="shared" si="47"/>
        <v>4.1102154102044132E-2</v>
      </c>
      <c r="CM50" s="127" t="e">
        <f t="shared" si="48"/>
        <v>#N/A</v>
      </c>
      <c r="CN50" s="128" t="str">
        <f t="shared" si="49"/>
        <v/>
      </c>
      <c r="CO50" s="54">
        <f>_xlfn.NORM.DIST(_xlfn.NORM.INV(1-Eu_g_konfidensniveau,0,1)-Eu_tabel_g[[#This Row],[x base]],0,1,TRUE)</f>
        <v>0.68693004491440468</v>
      </c>
      <c r="CP50" s="54">
        <f>1-_xlfn.NORM.DIST(_xlfn.NORM.INV(Eu_g_konfidensniveau,0,1)-Eu_tabel_g[[#This Row],[x base]],0,1,TRUE)</f>
        <v>7.9404393321991229E-5</v>
      </c>
      <c r="CQ50" s="54">
        <f>_xlfn.NORM.DIST(_xlfn.NORM.INV((1-Eu_g_konfidensniveau)/2,0,1)-Eu_tabel_g[[#This Row],[x base]],0,1,TRUE)+1-_xlfn.NORM.DIST(_xlfn.NORM.INV(1-(1-Eu_g_konfidensniveau)/2,0,1)-Eu_tabel_g[[#This Row],[x base]],0,1,TRUE)</f>
        <v>0.56832492928531286</v>
      </c>
      <c r="CR50" s="54" t="e" cm="1">
        <f t="array" ref="CR50">IF($CR$3,INDEX(Eu_tabel_g[[#This Row],[Styrke venstre]:[Styrke tosidet]],CR$7),NA())</f>
        <v>#N/A</v>
      </c>
      <c r="CS50" s="89" t="e">
        <f>Eu_tabel_g[[#This Row],[Falsk positiv
Nulhypotese accepteres
Fejltype 1]]</f>
        <v>#N/A</v>
      </c>
      <c r="CT50" s="89" t="e">
        <f>IF(CHOOSE(CR$7,Eu_tabel_g[[#This Row],[x base]]&gt;0,Eu_tabel_g[[#This Row],[x base]]&lt;0,Eu_tabel_g[[#This Row],[x base]]=0),Eu_tabel_g[[#This Row],[Styrke, aktiv]],NA())</f>
        <v>#N/A</v>
      </c>
      <c r="CU50" s="89" t="e">
        <f>IFERROR(IF($CR$3,Eu_tabel_g[[#This Row],[Styrke, aktiv]],NA()),NA())</f>
        <v>#N/A</v>
      </c>
      <c r="CV50" s="89" t="e">
        <f>IF(ISNA(Eu_tabel_g[[#This Row],[Sand negativ
Nulhypotese afvises
Korrekt]]),NA(),IF($CR$3,1,NA()))</f>
        <v>#N/A</v>
      </c>
      <c r="CW50" s="56" t="str" cm="1">
        <f t="array" ref="CW50">_xlfn.SWITCH(BZ50,_xlfn.IFNA(CU$2,-99),CU$5,_xlfn.IFNA(CU$3,-99),CU$6,_xlfn.IFNA(CU$4,-99),CU$7,"")</f>
        <v/>
      </c>
      <c r="DA50" s="7">
        <f t="shared" si="50"/>
        <v>0.8</v>
      </c>
      <c r="DB50">
        <f>IF(ROW(Styrkeberegning_G[[#This Row],[X base venstre]])=ROW(Styrkeberegning_G[[#Headers],[X base venstre]])+1,DB$7/(DA$7/$B$67),DB49/(DA49/$B$67))</f>
        <v>-2.8015817870135784</v>
      </c>
      <c r="DC50">
        <f>Styrkeberegning_G[[#This Row],[X base venstre]]*-1</f>
        <v>2.8015817870135784</v>
      </c>
      <c r="DN50" s="127">
        <f t="shared" si="51"/>
        <v>40</v>
      </c>
      <c r="DO50" s="54">
        <f t="shared" si="52"/>
        <v>41</v>
      </c>
      <c r="DP50" s="127">
        <f t="shared" si="53"/>
        <v>6.396686921333731</v>
      </c>
      <c r="DQ50" s="127" t="e">
        <f t="shared" si="54"/>
        <v>#N/A</v>
      </c>
      <c r="DR50" s="127" t="e">
        <f t="shared" si="55"/>
        <v>#N/A</v>
      </c>
      <c r="DS50" s="127">
        <f t="shared" si="56"/>
        <v>7.2988303527497175E-2</v>
      </c>
      <c r="DT50" s="127" t="e">
        <f t="shared" si="57"/>
        <v>#N/A</v>
      </c>
      <c r="DU50" s="127" t="b">
        <f t="shared" si="58"/>
        <v>0</v>
      </c>
      <c r="DV50" s="127" t="b">
        <f t="shared" si="59"/>
        <v>1</v>
      </c>
      <c r="DW50" s="127" t="b">
        <f t="shared" si="60"/>
        <v>0</v>
      </c>
      <c r="DX50" s="127" t="b">
        <f t="shared" si="61"/>
        <v>1</v>
      </c>
      <c r="DY50" s="127">
        <f t="shared" si="62"/>
        <v>7.2988303527497175E-2</v>
      </c>
      <c r="DZ50" s="127" t="e">
        <f t="shared" si="63"/>
        <v>#N/A</v>
      </c>
      <c r="EA50" s="127">
        <f t="shared" si="64"/>
        <v>7.2988303527497175E-2</v>
      </c>
      <c r="EB50" s="128" t="str">
        <f t="shared" si="65"/>
        <v/>
      </c>
      <c r="EG50" s="127">
        <f t="shared" si="66"/>
        <v>40</v>
      </c>
      <c r="EH50" s="54">
        <f t="shared" si="67"/>
        <v>41</v>
      </c>
      <c r="EI50" s="127">
        <f t="shared" si="68"/>
        <v>-2.1320207383638401</v>
      </c>
      <c r="EJ50" s="127">
        <f t="shared" si="69"/>
        <v>4.1102154102044132E-2</v>
      </c>
      <c r="EK50" s="127" t="e">
        <f t="shared" si="70"/>
        <v>#N/A</v>
      </c>
      <c r="EL50" s="127" t="e">
        <f t="shared" si="71"/>
        <v>#N/A</v>
      </c>
      <c r="EM50" s="127" t="e">
        <f t="shared" si="72"/>
        <v>#N/A</v>
      </c>
      <c r="EN50" s="127" t="b">
        <f t="shared" si="73"/>
        <v>1</v>
      </c>
      <c r="EO50" s="127" t="b">
        <f t="shared" si="74"/>
        <v>0</v>
      </c>
      <c r="EP50" s="127" t="b">
        <f t="shared" si="75"/>
        <v>1</v>
      </c>
      <c r="EQ50" s="127" t="b">
        <f t="shared" si="76"/>
        <v>0</v>
      </c>
      <c r="ER50" s="127">
        <f t="shared" si="77"/>
        <v>4.1102154102044132E-2</v>
      </c>
      <c r="ES50" s="127">
        <f t="shared" si="78"/>
        <v>4.1102154102044132E-2</v>
      </c>
      <c r="ET50" s="127" t="e">
        <f t="shared" si="79"/>
        <v>#N/A</v>
      </c>
      <c r="EU50" s="128" t="str">
        <f t="shared" si="80"/>
        <v/>
      </c>
      <c r="EV5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5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5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50" s="54" t="e" cm="1">
        <f t="array" ref="EY50">IF($CR$3,INDEX(Eu_tabel_a[[#This Row],[Styrke venstre]:[Styrke tosidet]],EY$7),NA())</f>
        <v>#N/A</v>
      </c>
      <c r="EZ50" s="54" t="e">
        <f>IF(EY$3,IF(CHOOSE(EY$7,Eu_tabel_a[[#This Row],[x base]]&gt;0,Eu_tabel_a[[#This Row],[x base]]&lt;0,Eu_tabel_a[[#This Row],[x base]]=0),1,NA()),NA())</f>
        <v>#N/A</v>
      </c>
      <c r="FA50" s="54" t="e">
        <f>IF(CHOOSE(EY$7,Eu_tabel_a[[#This Row],[x base]]&gt;0,Eu_tabel_a[[#This Row],[x base]]&lt;0,Eu_tabel_a[[#This Row],[x base]]=0),Eu_tabel_a[[#This Row],[Styrke, aktiv]],NA())</f>
        <v>#N/A</v>
      </c>
      <c r="FB50" s="54" t="e">
        <f>IFERROR(IF($EY$3,Eu_tabel_a[[#This Row],[Styrke, aktiv]],NA()),NA())</f>
        <v>#N/A</v>
      </c>
      <c r="FC50" s="54" t="e">
        <f>IF(ISNA(Eu_tabel_a[[#This Row],[Sand negativ
Nulhypotese afvises
Korrekt]]),NA(),IF(EY$3,1,NA()))</f>
        <v>#N/A</v>
      </c>
      <c r="FD50" s="55" t="str" cm="1">
        <f t="array" ref="FD50">IFERROR(_xlfn.SWITCH(Eu_tabel_a[[#This Row],[Indeks]],_xlfn.IFNA(FB$2,-99),FB$5,_xlfn.IFNA(FB$3,-99),FB$6,_xlfn.IFNA(FB$4,-99),FB$7,""),"")</f>
        <v/>
      </c>
      <c r="FE50" s="54">
        <f>Eu_tabel_a[[#This Row],[x base]]*SQRT(Eu_a_h0_x*(1-Eu_a_h0_x)/Eu_a_n_x)+Eu_a_h0_x</f>
        <v>0</v>
      </c>
      <c r="FJ50" s="144" t="e">
        <f t="shared" si="18"/>
        <v>#N/A</v>
      </c>
      <c r="FK50" s="152" t="e">
        <f t="shared" si="113"/>
        <v>#DIV/0!</v>
      </c>
      <c r="FL50" s="7" t="e">
        <f t="shared" si="12"/>
        <v>#DIV/0!</v>
      </c>
      <c r="FM50" t="e">
        <f t="shared" si="114"/>
        <v>#DIV/0!</v>
      </c>
      <c r="FN50" s="8" t="e">
        <f t="shared" si="115"/>
        <v>#DIV/0!</v>
      </c>
      <c r="FO50" s="8" t="e">
        <f t="shared" si="116"/>
        <v>#DIV/0!</v>
      </c>
      <c r="FP50" s="151" t="e">
        <f t="shared" si="117"/>
        <v>#DIV/0!</v>
      </c>
      <c r="FQ50" s="144" t="e">
        <f t="shared" ca="1" si="13"/>
        <v>#N/A</v>
      </c>
      <c r="FR50" s="152" t="e" vm="3">
        <f t="shared" ca="1" si="19"/>
        <v>#VALUE!</v>
      </c>
      <c r="FS50" s="7" t="e" vm="3">
        <f t="shared" ca="1" si="14"/>
        <v>#VALUE!</v>
      </c>
      <c r="FT50" t="e" vm="3">
        <f t="shared" ca="1" si="8"/>
        <v>#VALUE!</v>
      </c>
      <c r="FU50" s="8" t="e" vm="3">
        <f t="shared" ca="1" si="9"/>
        <v>#VALUE!</v>
      </c>
      <c r="FV50" s="8" t="e" vm="3">
        <f t="shared" ca="1" si="10"/>
        <v>#VALUE!</v>
      </c>
      <c r="FW50" s="151" t="e" vm="3">
        <f t="shared" ca="1" si="11"/>
        <v>#VALUE!</v>
      </c>
      <c r="FX50" s="144" t="e">
        <f t="shared" si="15"/>
        <v>#N/A</v>
      </c>
      <c r="FY50" s="152" t="e">
        <f t="shared" si="20"/>
        <v>#N/A</v>
      </c>
      <c r="FZ50" s="7" t="e">
        <f t="shared" si="16"/>
        <v>#N/A</v>
      </c>
      <c r="GA50" t="e">
        <f t="shared" si="21"/>
        <v>#N/A</v>
      </c>
      <c r="GB50" s="8" t="e">
        <f t="shared" si="22"/>
        <v>#N/A</v>
      </c>
      <c r="GC50" s="8" t="e">
        <f t="shared" si="23"/>
        <v>#N/A</v>
      </c>
      <c r="GD50" s="151" t="e">
        <f t="shared" si="24"/>
        <v>#N/A</v>
      </c>
      <c r="GE50" s="144" t="e">
        <f t="shared" si="25"/>
        <v>#N/A</v>
      </c>
      <c r="GF50" s="152" t="e">
        <f t="shared" si="26"/>
        <v>#N/A</v>
      </c>
      <c r="GG50" s="7" t="e">
        <f t="shared" si="17"/>
        <v>#N/A</v>
      </c>
      <c r="GH50" t="e">
        <f t="shared" si="27"/>
        <v>#N/A</v>
      </c>
      <c r="GI50" s="8" t="e">
        <f t="shared" si="28"/>
        <v>#N/A</v>
      </c>
      <c r="GJ50" s="8" t="e">
        <f t="shared" si="29"/>
        <v>#N/A</v>
      </c>
      <c r="GK50" s="151" t="e">
        <f t="shared" si="30"/>
        <v>#N/A</v>
      </c>
      <c r="GL50" s="151"/>
      <c r="GM50" s="151"/>
      <c r="GP50" s="127">
        <f t="shared" si="81"/>
        <v>40</v>
      </c>
      <c r="GQ50" s="54">
        <f t="shared" si="82"/>
        <v>41</v>
      </c>
      <c r="GR50" s="127">
        <f t="shared" si="83"/>
        <v>-2.1320207383638401</v>
      </c>
      <c r="GS50" s="127">
        <f t="shared" si="84"/>
        <v>4.1102154102044132E-2</v>
      </c>
      <c r="GT50" s="127" t="e">
        <f t="shared" si="85"/>
        <v>#N/A</v>
      </c>
      <c r="GU50" s="127" t="e">
        <f t="shared" si="86"/>
        <v>#N/A</v>
      </c>
      <c r="GV50" s="127" t="e">
        <f t="shared" si="87"/>
        <v>#N/A</v>
      </c>
      <c r="GW50" s="127" t="b">
        <f t="shared" si="88"/>
        <v>1</v>
      </c>
      <c r="GX50" s="127" t="b">
        <f t="shared" si="89"/>
        <v>0</v>
      </c>
      <c r="GY50" s="127" t="b">
        <f t="shared" si="90"/>
        <v>1</v>
      </c>
      <c r="GZ50" s="127" t="b">
        <f t="shared" si="91"/>
        <v>0</v>
      </c>
      <c r="HA50" s="127">
        <f t="shared" si="92"/>
        <v>4.1102154102044132E-2</v>
      </c>
      <c r="HB50" s="127">
        <f t="shared" si="93"/>
        <v>4.1102154102044132E-2</v>
      </c>
      <c r="HC50" s="127" t="e">
        <f t="shared" si="94"/>
        <v>#N/A</v>
      </c>
      <c r="HD50" s="128" t="str">
        <f t="shared" si="95"/>
        <v/>
      </c>
      <c r="HJ50" s="127">
        <f t="shared" si="96"/>
        <v>40</v>
      </c>
      <c r="HK50" s="54">
        <f t="shared" si="97"/>
        <v>41</v>
      </c>
      <c r="HL50" s="127">
        <f t="shared" si="98"/>
        <v>-3.3014788910760591</v>
      </c>
      <c r="HM50" s="127" t="e">
        <f t="shared" si="99"/>
        <v>#N/A</v>
      </c>
      <c r="HN50" s="127">
        <f t="shared" si="100"/>
        <v>9.0043866481057163E-3</v>
      </c>
      <c r="HO50" s="127" t="e">
        <f t="shared" si="101"/>
        <v>#N/A</v>
      </c>
      <c r="HP50" s="127" t="e">
        <f t="shared" si="102"/>
        <v>#N/A</v>
      </c>
      <c r="HQ50" s="127" t="b">
        <f t="shared" si="103"/>
        <v>1</v>
      </c>
      <c r="HR50" s="127" t="b">
        <f t="shared" si="104"/>
        <v>0</v>
      </c>
      <c r="HS50" s="127" t="b">
        <f t="shared" si="105"/>
        <v>1</v>
      </c>
      <c r="HT50" s="127" t="b">
        <f t="shared" si="106"/>
        <v>0</v>
      </c>
      <c r="HU50" s="127">
        <f t="shared" si="107"/>
        <v>9.0043866481057163E-3</v>
      </c>
      <c r="HV50" s="127">
        <f t="shared" si="108"/>
        <v>9.0043866481057163E-3</v>
      </c>
      <c r="HW50" s="127" t="e">
        <f t="shared" si="109"/>
        <v>#N/A</v>
      </c>
      <c r="HX50" s="128" t="str">
        <f t="shared" si="110"/>
        <v/>
      </c>
    </row>
    <row r="51" spans="58:232" x14ac:dyDescent="0.2">
      <c r="BF51">
        <v>1.3803796539630533</v>
      </c>
      <c r="BG51">
        <v>6.3251059591845431</v>
      </c>
      <c r="BH51" t="b">
        <v>1</v>
      </c>
      <c r="BI51">
        <v>1.3803796539630533</v>
      </c>
      <c r="BJ51">
        <v>6.3251059591845431</v>
      </c>
      <c r="BL51" s="90" t="s">
        <v>457</v>
      </c>
      <c r="BM51" s="203" t="e" cm="1">
        <f t="array" ref="BM51">IF(NOT($BI$2),INDEX(E_i_valg[Parameter 1],E_i_aktiv),NA())</f>
        <v>#N/A</v>
      </c>
      <c r="BZ51" s="127">
        <f t="shared" si="36"/>
        <v>41</v>
      </c>
      <c r="CA51" s="54">
        <f>Eu_tabel_g[[#This Row],[Indeks]]+1</f>
        <v>42</v>
      </c>
      <c r="CB51" s="127">
        <f t="shared" si="37"/>
        <v>-2.1080654491687407</v>
      </c>
      <c r="CC51" s="127">
        <f t="shared" si="38"/>
        <v>4.3243493241990262E-2</v>
      </c>
      <c r="CD51" s="127" t="e">
        <f t="shared" si="39"/>
        <v>#N/A</v>
      </c>
      <c r="CE51" s="127" t="e">
        <f t="shared" si="40"/>
        <v>#N/A</v>
      </c>
      <c r="CF51" s="127" t="e">
        <f t="shared" si="41"/>
        <v>#N/A</v>
      </c>
      <c r="CG51" s="127" t="b">
        <f t="shared" si="42"/>
        <v>1</v>
      </c>
      <c r="CH51" s="127" t="b">
        <f t="shared" si="43"/>
        <v>0</v>
      </c>
      <c r="CI51" s="127" t="b">
        <f t="shared" si="44"/>
        <v>1</v>
      </c>
      <c r="CJ51" s="127" t="b">
        <f t="shared" si="45"/>
        <v>0</v>
      </c>
      <c r="CK51" s="127">
        <f t="shared" si="118"/>
        <v>4.3243493241990262E-2</v>
      </c>
      <c r="CL51" s="127">
        <f t="shared" si="47"/>
        <v>4.3243493241990262E-2</v>
      </c>
      <c r="CM51" s="127" t="e">
        <f t="shared" si="48"/>
        <v>#N/A</v>
      </c>
      <c r="CN51" s="128" t="str">
        <f t="shared" si="49"/>
        <v/>
      </c>
      <c r="CO51" s="54">
        <f>_xlfn.NORM.DIST(_xlfn.NORM.INV(1-Eu_g_konfidensniveau,0,1)-Eu_tabel_g[[#This Row],[x base]],0,1,TRUE)</f>
        <v>0.67839372848406132</v>
      </c>
      <c r="CP51" s="54">
        <f>1-_xlfn.NORM.DIST(_xlfn.NORM.INV(Eu_g_konfidensniveau,0,1)-Eu_tabel_g[[#This Row],[x base]],0,1,TRUE)</f>
        <v>8.7393645895605943E-5</v>
      </c>
      <c r="CQ51" s="54">
        <f>_xlfn.NORM.DIST(_xlfn.NORM.INV((1-Eu_g_konfidensniveau)/2,0,1)-Eu_tabel_g[[#This Row],[x base]],0,1,TRUE)+1-_xlfn.NORM.DIST(_xlfn.NORM.INV(1-(1-Eu_g_konfidensniveau)/2,0,1)-Eu_tabel_g[[#This Row],[x base]],0,1,TRUE)</f>
        <v>0.55889235940323401</v>
      </c>
      <c r="CR51" s="54" t="e" cm="1">
        <f t="array" ref="CR51">IF($CR$3,INDEX(Eu_tabel_g[[#This Row],[Styrke venstre]:[Styrke tosidet]],CR$7),NA())</f>
        <v>#N/A</v>
      </c>
      <c r="CS51" s="89" t="e">
        <f>Eu_tabel_g[[#This Row],[Falsk positiv
Nulhypotese accepteres
Fejltype 1]]</f>
        <v>#N/A</v>
      </c>
      <c r="CT51" s="89" t="e">
        <f>IF(CHOOSE(CR$7,Eu_tabel_g[[#This Row],[x base]]&gt;0,Eu_tabel_g[[#This Row],[x base]]&lt;0,Eu_tabel_g[[#This Row],[x base]]=0),Eu_tabel_g[[#This Row],[Styrke, aktiv]],NA())</f>
        <v>#N/A</v>
      </c>
      <c r="CU51" s="89" t="e">
        <f>IFERROR(IF($CR$3,Eu_tabel_g[[#This Row],[Styrke, aktiv]],NA()),NA())</f>
        <v>#N/A</v>
      </c>
      <c r="CV51" s="89" t="e">
        <f>IF(ISNA(Eu_tabel_g[[#This Row],[Sand negativ
Nulhypotese afvises
Korrekt]]),NA(),IF($CR$3,1,NA()))</f>
        <v>#N/A</v>
      </c>
      <c r="CW51" s="56" t="str" cm="1">
        <f t="array" ref="CW51">_xlfn.SWITCH(BZ51,_xlfn.IFNA(CU$2,-99),CU$5,_xlfn.IFNA(CU$3,-99),CU$6,_xlfn.IFNA(CU$4,-99),CU$7,"")</f>
        <v/>
      </c>
      <c r="DA51" s="7">
        <f t="shared" si="50"/>
        <v>0.8</v>
      </c>
      <c r="DB51">
        <f>IF(ROW(Styrkeberegning_G[[#This Row],[X base venstre]])=ROW(Styrkeberegning_G[[#Headers],[X base venstre]])+1,DB$7/(DA$7/$B$67),DB50/(DA50/$B$67))</f>
        <v>-2.8015817870135784</v>
      </c>
      <c r="DC51">
        <f>Styrkeberegning_G[[#This Row],[X base venstre]]*-1</f>
        <v>2.8015817870135784</v>
      </c>
      <c r="DN51" s="127">
        <f t="shared" si="51"/>
        <v>41</v>
      </c>
      <c r="DO51" s="54">
        <f t="shared" si="52"/>
        <v>42</v>
      </c>
      <c r="DP51" s="127">
        <f t="shared" si="53"/>
        <v>6.5107577777507313</v>
      </c>
      <c r="DQ51" s="127" t="e">
        <f t="shared" si="54"/>
        <v>#N/A</v>
      </c>
      <c r="DR51" s="127" t="e">
        <f t="shared" si="55"/>
        <v>#N/A</v>
      </c>
      <c r="DS51" s="127">
        <f t="shared" si="56"/>
        <v>7.4649532501100041E-2</v>
      </c>
      <c r="DT51" s="127" t="e">
        <f t="shared" si="57"/>
        <v>#N/A</v>
      </c>
      <c r="DU51" s="127" t="b">
        <f t="shared" si="58"/>
        <v>0</v>
      </c>
      <c r="DV51" s="127" t="b">
        <f t="shared" si="59"/>
        <v>1</v>
      </c>
      <c r="DW51" s="127" t="b">
        <f t="shared" si="60"/>
        <v>0</v>
      </c>
      <c r="DX51" s="127" t="b">
        <f t="shared" si="61"/>
        <v>1</v>
      </c>
      <c r="DY51" s="127">
        <f t="shared" si="62"/>
        <v>7.4649532501100041E-2</v>
      </c>
      <c r="DZ51" s="127" t="e">
        <f t="shared" si="63"/>
        <v>#N/A</v>
      </c>
      <c r="EA51" s="127">
        <f t="shared" si="64"/>
        <v>7.4649532501100041E-2</v>
      </c>
      <c r="EB51" s="128" t="str">
        <f t="shared" si="65"/>
        <v/>
      </c>
      <c r="EG51" s="127">
        <f t="shared" si="66"/>
        <v>41</v>
      </c>
      <c r="EH51" s="54">
        <f t="shared" si="67"/>
        <v>42</v>
      </c>
      <c r="EI51" s="127">
        <f t="shared" si="68"/>
        <v>-2.1080654491687407</v>
      </c>
      <c r="EJ51" s="127">
        <f t="shared" si="69"/>
        <v>4.3243493241990262E-2</v>
      </c>
      <c r="EK51" s="127" t="e">
        <f t="shared" si="70"/>
        <v>#N/A</v>
      </c>
      <c r="EL51" s="127" t="e">
        <f t="shared" si="71"/>
        <v>#N/A</v>
      </c>
      <c r="EM51" s="127" t="e">
        <f t="shared" si="72"/>
        <v>#N/A</v>
      </c>
      <c r="EN51" s="127" t="b">
        <f t="shared" si="73"/>
        <v>1</v>
      </c>
      <c r="EO51" s="127" t="b">
        <f t="shared" si="74"/>
        <v>0</v>
      </c>
      <c r="EP51" s="127" t="b">
        <f t="shared" si="75"/>
        <v>1</v>
      </c>
      <c r="EQ51" s="127" t="b">
        <f t="shared" si="76"/>
        <v>0</v>
      </c>
      <c r="ER51" s="127">
        <f t="shared" si="77"/>
        <v>4.3243493241990262E-2</v>
      </c>
      <c r="ES51" s="127">
        <f t="shared" si="78"/>
        <v>4.3243493241990262E-2</v>
      </c>
      <c r="ET51" s="127" t="e">
        <f t="shared" si="79"/>
        <v>#N/A</v>
      </c>
      <c r="EU51" s="128" t="str">
        <f t="shared" si="80"/>
        <v/>
      </c>
      <c r="EV5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5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5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51" s="54" t="e" cm="1">
        <f t="array" ref="EY51">IF($CR$3,INDEX(Eu_tabel_a[[#This Row],[Styrke venstre]:[Styrke tosidet]],EY$7),NA())</f>
        <v>#N/A</v>
      </c>
      <c r="EZ51" s="54" t="e">
        <f>IF(EY$3,IF(CHOOSE(EY$7,Eu_tabel_a[[#This Row],[x base]]&gt;0,Eu_tabel_a[[#This Row],[x base]]&lt;0,Eu_tabel_a[[#This Row],[x base]]=0),1,NA()),NA())</f>
        <v>#N/A</v>
      </c>
      <c r="FA51" s="54" t="e">
        <f>IF(CHOOSE(EY$7,Eu_tabel_a[[#This Row],[x base]]&gt;0,Eu_tabel_a[[#This Row],[x base]]&lt;0,Eu_tabel_a[[#This Row],[x base]]=0),Eu_tabel_a[[#This Row],[Styrke, aktiv]],NA())</f>
        <v>#N/A</v>
      </c>
      <c r="FB51" s="54" t="e">
        <f>IFERROR(IF($EY$3,Eu_tabel_a[[#This Row],[Styrke, aktiv]],NA()),NA())</f>
        <v>#N/A</v>
      </c>
      <c r="FC51" s="54" t="e">
        <f>IF(ISNA(Eu_tabel_a[[#This Row],[Sand negativ
Nulhypotese afvises
Korrekt]]),NA(),IF(EY$3,1,NA()))</f>
        <v>#N/A</v>
      </c>
      <c r="FD51" s="55" t="str" cm="1">
        <f t="array" ref="FD51">IFERROR(_xlfn.SWITCH(Eu_tabel_a[[#This Row],[Indeks]],_xlfn.IFNA(FB$2,-99),FB$5,_xlfn.IFNA(FB$3,-99),FB$6,_xlfn.IFNA(FB$4,-99),FB$7,""),"")</f>
        <v/>
      </c>
      <c r="FE51" s="54">
        <f>Eu_tabel_a[[#This Row],[x base]]*SQRT(Eu_a_h0_x*(1-Eu_a_h0_x)/Eu_a_n_x)+Eu_a_h0_x</f>
        <v>0</v>
      </c>
      <c r="FJ51" s="144" t="e">
        <f t="shared" si="18"/>
        <v>#N/A</v>
      </c>
      <c r="FK51" s="152" t="e">
        <f t="shared" si="113"/>
        <v>#DIV/0!</v>
      </c>
      <c r="FL51" s="7" t="e">
        <f t="shared" si="12"/>
        <v>#DIV/0!</v>
      </c>
      <c r="FM51" t="e">
        <f t="shared" si="114"/>
        <v>#DIV/0!</v>
      </c>
      <c r="FN51" s="8" t="e">
        <f t="shared" si="115"/>
        <v>#DIV/0!</v>
      </c>
      <c r="FO51" s="8" t="e">
        <f t="shared" si="116"/>
        <v>#DIV/0!</v>
      </c>
      <c r="FP51" s="151" t="e">
        <f t="shared" si="117"/>
        <v>#DIV/0!</v>
      </c>
      <c r="FQ51" s="144" t="e">
        <f t="shared" ca="1" si="13"/>
        <v>#N/A</v>
      </c>
      <c r="FR51" s="152" t="e" vm="3">
        <f t="shared" ca="1" si="19"/>
        <v>#VALUE!</v>
      </c>
      <c r="FS51" s="7" t="e" vm="3">
        <f t="shared" ca="1" si="14"/>
        <v>#VALUE!</v>
      </c>
      <c r="FT51" t="e" vm="3">
        <f t="shared" ca="1" si="8"/>
        <v>#VALUE!</v>
      </c>
      <c r="FU51" s="8" t="e" vm="3">
        <f t="shared" ca="1" si="9"/>
        <v>#VALUE!</v>
      </c>
      <c r="FV51" s="8" t="e" vm="3">
        <f t="shared" ca="1" si="10"/>
        <v>#VALUE!</v>
      </c>
      <c r="FW51" s="151" t="e" vm="3">
        <f t="shared" ca="1" si="11"/>
        <v>#VALUE!</v>
      </c>
      <c r="FX51" s="144" t="e">
        <f t="shared" si="15"/>
        <v>#N/A</v>
      </c>
      <c r="FY51" s="152" t="e">
        <f t="shared" si="20"/>
        <v>#N/A</v>
      </c>
      <c r="FZ51" s="7" t="e">
        <f t="shared" si="16"/>
        <v>#N/A</v>
      </c>
      <c r="GA51" t="e">
        <f t="shared" si="21"/>
        <v>#N/A</v>
      </c>
      <c r="GB51" s="8" t="e">
        <f t="shared" si="22"/>
        <v>#N/A</v>
      </c>
      <c r="GC51" s="8" t="e">
        <f t="shared" si="23"/>
        <v>#N/A</v>
      </c>
      <c r="GD51" s="151" t="e">
        <f t="shared" si="24"/>
        <v>#N/A</v>
      </c>
      <c r="GE51" s="144" t="e">
        <f t="shared" si="25"/>
        <v>#N/A</v>
      </c>
      <c r="GF51" s="152" t="e">
        <f t="shared" si="26"/>
        <v>#N/A</v>
      </c>
      <c r="GG51" s="7" t="e">
        <f t="shared" si="17"/>
        <v>#N/A</v>
      </c>
      <c r="GH51" t="e">
        <f t="shared" si="27"/>
        <v>#N/A</v>
      </c>
      <c r="GI51" s="8" t="e">
        <f t="shared" si="28"/>
        <v>#N/A</v>
      </c>
      <c r="GJ51" s="8" t="e">
        <f t="shared" si="29"/>
        <v>#N/A</v>
      </c>
      <c r="GK51" s="151" t="e">
        <f t="shared" si="30"/>
        <v>#N/A</v>
      </c>
      <c r="GL51" s="151"/>
      <c r="GM51" s="151"/>
      <c r="GP51" s="127">
        <f t="shared" si="81"/>
        <v>41</v>
      </c>
      <c r="GQ51" s="54">
        <f t="shared" si="82"/>
        <v>42</v>
      </c>
      <c r="GR51" s="127">
        <f t="shared" si="83"/>
        <v>-2.1080654491687407</v>
      </c>
      <c r="GS51" s="127">
        <f t="shared" si="84"/>
        <v>4.3243493241990262E-2</v>
      </c>
      <c r="GT51" s="127" t="e">
        <f t="shared" si="85"/>
        <v>#N/A</v>
      </c>
      <c r="GU51" s="127" t="e">
        <f t="shared" si="86"/>
        <v>#N/A</v>
      </c>
      <c r="GV51" s="127" t="e">
        <f t="shared" si="87"/>
        <v>#N/A</v>
      </c>
      <c r="GW51" s="127" t="b">
        <f t="shared" si="88"/>
        <v>1</v>
      </c>
      <c r="GX51" s="127" t="b">
        <f t="shared" si="89"/>
        <v>0</v>
      </c>
      <c r="GY51" s="127" t="b">
        <f t="shared" si="90"/>
        <v>1</v>
      </c>
      <c r="GZ51" s="127" t="b">
        <f t="shared" si="91"/>
        <v>0</v>
      </c>
      <c r="HA51" s="127">
        <f t="shared" si="92"/>
        <v>4.3243493241990262E-2</v>
      </c>
      <c r="HB51" s="127">
        <f t="shared" si="93"/>
        <v>4.3243493241990262E-2</v>
      </c>
      <c r="HC51" s="127" t="e">
        <f t="shared" si="94"/>
        <v>#N/A</v>
      </c>
      <c r="HD51" s="128" t="str">
        <f t="shared" si="95"/>
        <v/>
      </c>
      <c r="HJ51" s="127">
        <f t="shared" si="96"/>
        <v>41</v>
      </c>
      <c r="HK51" s="54">
        <f t="shared" si="97"/>
        <v>42</v>
      </c>
      <c r="HL51" s="127">
        <f t="shared" si="98"/>
        <v>-3.2643836226370024</v>
      </c>
      <c r="HM51" s="127" t="e">
        <f t="shared" si="99"/>
        <v>#N/A</v>
      </c>
      <c r="HN51" s="127">
        <f t="shared" si="100"/>
        <v>9.511614587176604E-3</v>
      </c>
      <c r="HO51" s="127" t="e">
        <f t="shared" si="101"/>
        <v>#N/A</v>
      </c>
      <c r="HP51" s="127" t="e">
        <f t="shared" si="102"/>
        <v>#N/A</v>
      </c>
      <c r="HQ51" s="127" t="b">
        <f t="shared" si="103"/>
        <v>1</v>
      </c>
      <c r="HR51" s="127" t="b">
        <f t="shared" si="104"/>
        <v>0</v>
      </c>
      <c r="HS51" s="127" t="b">
        <f t="shared" si="105"/>
        <v>1</v>
      </c>
      <c r="HT51" s="127" t="b">
        <f t="shared" si="106"/>
        <v>0</v>
      </c>
      <c r="HU51" s="127">
        <f t="shared" si="107"/>
        <v>9.511614587176604E-3</v>
      </c>
      <c r="HV51" s="127">
        <f t="shared" si="108"/>
        <v>9.511614587176604E-3</v>
      </c>
      <c r="HW51" s="127" t="e">
        <f t="shared" si="109"/>
        <v>#N/A</v>
      </c>
      <c r="HX51" s="128" t="str">
        <f t="shared" si="110"/>
        <v/>
      </c>
    </row>
    <row r="52" spans="58:232" x14ac:dyDescent="0.2">
      <c r="BF52">
        <v>8.4427372017371785E-2</v>
      </c>
      <c r="BG52">
        <v>5.4220501567463426</v>
      </c>
      <c r="BH52" t="b">
        <v>1</v>
      </c>
      <c r="BI52">
        <v>8.4427372017371785E-2</v>
      </c>
      <c r="BJ52">
        <v>5.4220501567463426</v>
      </c>
      <c r="BL52" s="90" t="s">
        <v>458</v>
      </c>
      <c r="BM52" s="203" t="e" cm="1">
        <f t="array" ref="BM52">IF(NOT($BI$2),IF(NOT(ISBLANK(INDEX(E_i_valg[Parameter 2],E_i_aktiv))),INDEX(E_i_valg[Parameter 2],E_i_aktiv),NA()),NA())</f>
        <v>#N/A</v>
      </c>
      <c r="BZ52" s="127">
        <f t="shared" si="36"/>
        <v>42</v>
      </c>
      <c r="CA52" s="54">
        <f>Eu_tabel_g[[#This Row],[Indeks]]+1</f>
        <v>43</v>
      </c>
      <c r="CB52" s="127">
        <f t="shared" si="37"/>
        <v>-2.0841101599736414</v>
      </c>
      <c r="CC52" s="127">
        <f t="shared" si="38"/>
        <v>4.5470290940174081E-2</v>
      </c>
      <c r="CD52" s="127" t="e">
        <f t="shared" si="39"/>
        <v>#N/A</v>
      </c>
      <c r="CE52" s="127" t="e">
        <f t="shared" si="40"/>
        <v>#N/A</v>
      </c>
      <c r="CF52" s="127" t="e">
        <f t="shared" si="41"/>
        <v>#N/A</v>
      </c>
      <c r="CG52" s="127" t="b">
        <f t="shared" si="42"/>
        <v>1</v>
      </c>
      <c r="CH52" s="127" t="b">
        <f t="shared" si="43"/>
        <v>0</v>
      </c>
      <c r="CI52" s="127" t="b">
        <f t="shared" si="44"/>
        <v>1</v>
      </c>
      <c r="CJ52" s="127" t="b">
        <f t="shared" si="45"/>
        <v>0</v>
      </c>
      <c r="CK52" s="127">
        <f t="shared" si="118"/>
        <v>4.5470290940174081E-2</v>
      </c>
      <c r="CL52" s="127">
        <f t="shared" si="47"/>
        <v>4.5470290940174081E-2</v>
      </c>
      <c r="CM52" s="127" t="e">
        <f t="shared" si="48"/>
        <v>#N/A</v>
      </c>
      <c r="CN52" s="128" t="str">
        <f t="shared" si="49"/>
        <v/>
      </c>
      <c r="CO52" s="54">
        <f>_xlfn.NORM.DIST(_xlfn.NORM.INV(1-Eu_g_konfidensniveau,0,1)-Eu_tabel_g[[#This Row],[x base]],0,1,TRUE)</f>
        <v>0.66976216699595215</v>
      </c>
      <c r="CP52" s="54">
        <f>1-_xlfn.NORM.DIST(_xlfn.NORM.INV(Eu_g_konfidensniveau,0,1)-Eu_tabel_g[[#This Row],[x base]],0,1,TRUE)</f>
        <v>9.6134388684721017E-5</v>
      </c>
      <c r="CQ52" s="54">
        <f>_xlfn.NORM.DIST(_xlfn.NORM.INV((1-Eu_g_konfidensniveau)/2,0,1)-Eu_tabel_g[[#This Row],[x base]],0,1,TRUE)+1-_xlfn.NORM.DIST(_xlfn.NORM.INV(1-(1-Eu_g_konfidensniveau)/2,0,1)-Eu_tabel_g[[#This Row],[x base]],0,1,TRUE)</f>
        <v>0.54942649604071081</v>
      </c>
      <c r="CR52" s="54" t="e" cm="1">
        <f t="array" ref="CR52">IF($CR$3,INDEX(Eu_tabel_g[[#This Row],[Styrke venstre]:[Styrke tosidet]],CR$7),NA())</f>
        <v>#N/A</v>
      </c>
      <c r="CS52" s="89" t="e">
        <f>Eu_tabel_g[[#This Row],[Falsk positiv
Nulhypotese accepteres
Fejltype 1]]</f>
        <v>#N/A</v>
      </c>
      <c r="CT52" s="89" t="e">
        <f>IF(CHOOSE(CR$7,Eu_tabel_g[[#This Row],[x base]]&gt;0,Eu_tabel_g[[#This Row],[x base]]&lt;0,Eu_tabel_g[[#This Row],[x base]]=0),Eu_tabel_g[[#This Row],[Styrke, aktiv]],NA())</f>
        <v>#N/A</v>
      </c>
      <c r="CU52" s="89" t="e">
        <f>IFERROR(IF($CR$3,Eu_tabel_g[[#This Row],[Styrke, aktiv]],NA()),NA())</f>
        <v>#N/A</v>
      </c>
      <c r="CV52" s="89" t="e">
        <f>IF(ISNA(Eu_tabel_g[[#This Row],[Sand negativ
Nulhypotese afvises
Korrekt]]),NA(),IF($CR$3,1,NA()))</f>
        <v>#N/A</v>
      </c>
      <c r="CW52" s="56" t="str" cm="1">
        <f t="array" ref="CW52">_xlfn.SWITCH(BZ52,_xlfn.IFNA(CU$2,-99),CU$5,_xlfn.IFNA(CU$3,-99),CU$6,_xlfn.IFNA(CU$4,-99),CU$7,"")</f>
        <v/>
      </c>
      <c r="DA52" s="7">
        <f t="shared" si="50"/>
        <v>0.8</v>
      </c>
      <c r="DB52">
        <f>IF(ROW(Styrkeberegning_G[[#This Row],[X base venstre]])=ROW(Styrkeberegning_G[[#Headers],[X base venstre]])+1,DB$7/(DA$7/$B$67),DB51/(DA51/$B$67))</f>
        <v>-2.8015817870135784</v>
      </c>
      <c r="DC52">
        <f>Styrkeberegning_G[[#This Row],[X base venstre]]*-1</f>
        <v>2.8015817870135784</v>
      </c>
      <c r="DN52" s="127">
        <f t="shared" si="51"/>
        <v>42</v>
      </c>
      <c r="DO52" s="54">
        <f t="shared" si="52"/>
        <v>43</v>
      </c>
      <c r="DP52" s="127">
        <f t="shared" si="53"/>
        <v>6.6248286341677325</v>
      </c>
      <c r="DQ52" s="127" t="e">
        <f t="shared" si="54"/>
        <v>#N/A</v>
      </c>
      <c r="DR52" s="127" t="e">
        <f t="shared" si="55"/>
        <v>#N/A</v>
      </c>
      <c r="DS52" s="127">
        <f t="shared" si="56"/>
        <v>7.6243165119018616E-2</v>
      </c>
      <c r="DT52" s="127" t="e">
        <f t="shared" si="57"/>
        <v>#N/A</v>
      </c>
      <c r="DU52" s="127" t="b">
        <f t="shared" si="58"/>
        <v>0</v>
      </c>
      <c r="DV52" s="127" t="b">
        <f t="shared" si="59"/>
        <v>1</v>
      </c>
      <c r="DW52" s="127" t="b">
        <f t="shared" si="60"/>
        <v>0</v>
      </c>
      <c r="DX52" s="127" t="b">
        <f t="shared" si="61"/>
        <v>1</v>
      </c>
      <c r="DY52" s="127">
        <f t="shared" si="62"/>
        <v>7.6243165119018616E-2</v>
      </c>
      <c r="DZ52" s="127" t="e">
        <f t="shared" si="63"/>
        <v>#N/A</v>
      </c>
      <c r="EA52" s="127">
        <f t="shared" si="64"/>
        <v>7.6243165119018616E-2</v>
      </c>
      <c r="EB52" s="128" t="str">
        <f t="shared" si="65"/>
        <v/>
      </c>
      <c r="EG52" s="127">
        <f t="shared" si="66"/>
        <v>42</v>
      </c>
      <c r="EH52" s="54">
        <f t="shared" si="67"/>
        <v>43</v>
      </c>
      <c r="EI52" s="127">
        <f t="shared" si="68"/>
        <v>-2.0841101599736414</v>
      </c>
      <c r="EJ52" s="127">
        <f t="shared" si="69"/>
        <v>4.5470290940174081E-2</v>
      </c>
      <c r="EK52" s="127" t="e">
        <f t="shared" si="70"/>
        <v>#N/A</v>
      </c>
      <c r="EL52" s="127" t="e">
        <f t="shared" si="71"/>
        <v>#N/A</v>
      </c>
      <c r="EM52" s="127" t="e">
        <f t="shared" si="72"/>
        <v>#N/A</v>
      </c>
      <c r="EN52" s="127" t="b">
        <f t="shared" si="73"/>
        <v>1</v>
      </c>
      <c r="EO52" s="127" t="b">
        <f t="shared" si="74"/>
        <v>0</v>
      </c>
      <c r="EP52" s="127" t="b">
        <f t="shared" si="75"/>
        <v>1</v>
      </c>
      <c r="EQ52" s="127" t="b">
        <f t="shared" si="76"/>
        <v>0</v>
      </c>
      <c r="ER52" s="127">
        <f t="shared" si="77"/>
        <v>4.5470290940174081E-2</v>
      </c>
      <c r="ES52" s="127">
        <f t="shared" si="78"/>
        <v>4.5470290940174081E-2</v>
      </c>
      <c r="ET52" s="127" t="e">
        <f t="shared" si="79"/>
        <v>#N/A</v>
      </c>
      <c r="EU52" s="128" t="str">
        <f t="shared" si="80"/>
        <v/>
      </c>
      <c r="EV5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5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5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52" s="54" t="e" cm="1">
        <f t="array" ref="EY52">IF($CR$3,INDEX(Eu_tabel_a[[#This Row],[Styrke venstre]:[Styrke tosidet]],EY$7),NA())</f>
        <v>#N/A</v>
      </c>
      <c r="EZ52" s="54" t="e">
        <f>IF(EY$3,IF(CHOOSE(EY$7,Eu_tabel_a[[#This Row],[x base]]&gt;0,Eu_tabel_a[[#This Row],[x base]]&lt;0,Eu_tabel_a[[#This Row],[x base]]=0),1,NA()),NA())</f>
        <v>#N/A</v>
      </c>
      <c r="FA52" s="54" t="e">
        <f>IF(CHOOSE(EY$7,Eu_tabel_a[[#This Row],[x base]]&gt;0,Eu_tabel_a[[#This Row],[x base]]&lt;0,Eu_tabel_a[[#This Row],[x base]]=0),Eu_tabel_a[[#This Row],[Styrke, aktiv]],NA())</f>
        <v>#N/A</v>
      </c>
      <c r="FB52" s="54" t="e">
        <f>IFERROR(IF($EY$3,Eu_tabel_a[[#This Row],[Styrke, aktiv]],NA()),NA())</f>
        <v>#N/A</v>
      </c>
      <c r="FC52" s="54" t="e">
        <f>IF(ISNA(Eu_tabel_a[[#This Row],[Sand negativ
Nulhypotese afvises
Korrekt]]),NA(),IF(EY$3,1,NA()))</f>
        <v>#N/A</v>
      </c>
      <c r="FD52" s="55" t="str" cm="1">
        <f t="array" ref="FD52">IFERROR(_xlfn.SWITCH(Eu_tabel_a[[#This Row],[Indeks]],_xlfn.IFNA(FB$2,-99),FB$5,_xlfn.IFNA(FB$3,-99),FB$6,_xlfn.IFNA(FB$4,-99),FB$7,""),"")</f>
        <v/>
      </c>
      <c r="FE52" s="54">
        <f>Eu_tabel_a[[#This Row],[x base]]*SQRT(Eu_a_h0_x*(1-Eu_a_h0_x)/Eu_a_n_x)+Eu_a_h0_x</f>
        <v>0</v>
      </c>
      <c r="FJ52" s="144" t="e">
        <f t="shared" si="18"/>
        <v>#N/A</v>
      </c>
      <c r="FK52" s="152" t="e">
        <f t="shared" si="113"/>
        <v>#DIV/0!</v>
      </c>
      <c r="FL52" s="7" t="e">
        <f t="shared" si="12"/>
        <v>#DIV/0!</v>
      </c>
      <c r="FM52" t="e">
        <f t="shared" si="114"/>
        <v>#DIV/0!</v>
      </c>
      <c r="FN52" s="8" t="e">
        <f t="shared" si="115"/>
        <v>#DIV/0!</v>
      </c>
      <c r="FO52" s="8" t="e">
        <f t="shared" si="116"/>
        <v>#DIV/0!</v>
      </c>
      <c r="FP52" s="151" t="e">
        <f t="shared" si="117"/>
        <v>#DIV/0!</v>
      </c>
      <c r="FQ52" s="144" t="e">
        <f t="shared" ca="1" si="13"/>
        <v>#N/A</v>
      </c>
      <c r="FR52" s="152" t="e" vm="3">
        <f t="shared" ca="1" si="19"/>
        <v>#VALUE!</v>
      </c>
      <c r="FS52" s="7" t="e" vm="3">
        <f t="shared" ca="1" si="14"/>
        <v>#VALUE!</v>
      </c>
      <c r="FT52" t="e" vm="3">
        <f t="shared" ca="1" si="8"/>
        <v>#VALUE!</v>
      </c>
      <c r="FU52" s="8" t="e" vm="3">
        <f t="shared" ca="1" si="9"/>
        <v>#VALUE!</v>
      </c>
      <c r="FV52" s="8" t="e" vm="3">
        <f t="shared" ca="1" si="10"/>
        <v>#VALUE!</v>
      </c>
      <c r="FW52" s="151" t="e" vm="3">
        <f t="shared" ca="1" si="11"/>
        <v>#VALUE!</v>
      </c>
      <c r="FX52" s="144" t="e">
        <f t="shared" si="15"/>
        <v>#N/A</v>
      </c>
      <c r="FY52" s="152" t="e">
        <f t="shared" si="20"/>
        <v>#N/A</v>
      </c>
      <c r="FZ52" s="7" t="e">
        <f t="shared" si="16"/>
        <v>#N/A</v>
      </c>
      <c r="GA52" t="e">
        <f t="shared" si="21"/>
        <v>#N/A</v>
      </c>
      <c r="GB52" s="8" t="e">
        <f t="shared" si="22"/>
        <v>#N/A</v>
      </c>
      <c r="GC52" s="8" t="e">
        <f t="shared" si="23"/>
        <v>#N/A</v>
      </c>
      <c r="GD52" s="151" t="e">
        <f t="shared" si="24"/>
        <v>#N/A</v>
      </c>
      <c r="GE52" s="144" t="e">
        <f t="shared" si="25"/>
        <v>#N/A</v>
      </c>
      <c r="GF52" s="152" t="e">
        <f t="shared" si="26"/>
        <v>#N/A</v>
      </c>
      <c r="GG52" s="7" t="e">
        <f t="shared" si="17"/>
        <v>#N/A</v>
      </c>
      <c r="GH52" t="e">
        <f t="shared" si="27"/>
        <v>#N/A</v>
      </c>
      <c r="GI52" s="8" t="e">
        <f t="shared" si="28"/>
        <v>#N/A</v>
      </c>
      <c r="GJ52" s="8" t="e">
        <f t="shared" si="29"/>
        <v>#N/A</v>
      </c>
      <c r="GK52" s="151" t="e">
        <f t="shared" si="30"/>
        <v>#N/A</v>
      </c>
      <c r="GL52" s="151"/>
      <c r="GM52" s="151"/>
      <c r="GP52" s="127">
        <f t="shared" si="81"/>
        <v>42</v>
      </c>
      <c r="GQ52" s="54">
        <f t="shared" si="82"/>
        <v>43</v>
      </c>
      <c r="GR52" s="127">
        <f t="shared" si="83"/>
        <v>-2.0841101599736414</v>
      </c>
      <c r="GS52" s="127">
        <f t="shared" si="84"/>
        <v>4.5470290940174081E-2</v>
      </c>
      <c r="GT52" s="127" t="e">
        <f t="shared" si="85"/>
        <v>#N/A</v>
      </c>
      <c r="GU52" s="127" t="e">
        <f t="shared" si="86"/>
        <v>#N/A</v>
      </c>
      <c r="GV52" s="127" t="e">
        <f t="shared" si="87"/>
        <v>#N/A</v>
      </c>
      <c r="GW52" s="127" t="b">
        <f t="shared" si="88"/>
        <v>1</v>
      </c>
      <c r="GX52" s="127" t="b">
        <f t="shared" si="89"/>
        <v>0</v>
      </c>
      <c r="GY52" s="127" t="b">
        <f t="shared" si="90"/>
        <v>1</v>
      </c>
      <c r="GZ52" s="127" t="b">
        <f t="shared" si="91"/>
        <v>0</v>
      </c>
      <c r="HA52" s="127">
        <f t="shared" si="92"/>
        <v>4.5470290940174081E-2</v>
      </c>
      <c r="HB52" s="127">
        <f t="shared" si="93"/>
        <v>4.5470290940174081E-2</v>
      </c>
      <c r="HC52" s="127" t="e">
        <f t="shared" si="94"/>
        <v>#N/A</v>
      </c>
      <c r="HD52" s="128" t="str">
        <f t="shared" si="95"/>
        <v/>
      </c>
      <c r="HJ52" s="127">
        <f t="shared" si="96"/>
        <v>42</v>
      </c>
      <c r="HK52" s="54">
        <f t="shared" si="97"/>
        <v>43</v>
      </c>
      <c r="HL52" s="127">
        <f t="shared" si="98"/>
        <v>-3.2272883541979454</v>
      </c>
      <c r="HM52" s="127" t="e">
        <f t="shared" si="99"/>
        <v>#N/A</v>
      </c>
      <c r="HN52" s="127">
        <f t="shared" si="100"/>
        <v>1.0048712376837356E-2</v>
      </c>
      <c r="HO52" s="127" t="e">
        <f t="shared" si="101"/>
        <v>#N/A</v>
      </c>
      <c r="HP52" s="127" t="e">
        <f t="shared" si="102"/>
        <v>#N/A</v>
      </c>
      <c r="HQ52" s="127" t="b">
        <f t="shared" si="103"/>
        <v>1</v>
      </c>
      <c r="HR52" s="127" t="b">
        <f t="shared" si="104"/>
        <v>0</v>
      </c>
      <c r="HS52" s="127" t="b">
        <f t="shared" si="105"/>
        <v>1</v>
      </c>
      <c r="HT52" s="127" t="b">
        <f t="shared" si="106"/>
        <v>0</v>
      </c>
      <c r="HU52" s="127">
        <f t="shared" si="107"/>
        <v>1.0048712376837356E-2</v>
      </c>
      <c r="HV52" s="127">
        <f t="shared" si="108"/>
        <v>1.0048712376837356E-2</v>
      </c>
      <c r="HW52" s="127" t="e">
        <f t="shared" si="109"/>
        <v>#N/A</v>
      </c>
      <c r="HX52" s="128" t="str">
        <f t="shared" si="110"/>
        <v/>
      </c>
    </row>
    <row r="53" spans="58:232" x14ac:dyDescent="0.2">
      <c r="BF53">
        <v>0.91409189597286977</v>
      </c>
      <c r="BG53">
        <v>9.7085240838788316</v>
      </c>
      <c r="BH53" t="b">
        <v>0</v>
      </c>
      <c r="BI53">
        <v>0.91409189597286977</v>
      </c>
      <c r="BJ53">
        <v>9.7085240838788316</v>
      </c>
      <c r="BL53" s="90" t="s">
        <v>123</v>
      </c>
      <c r="BM53" s="203" t="e" cm="1">
        <f t="array" ref="BM53">IF(NOT($BI$2),INDEX(E_i_valg[Teststørrelse],E_i_aktiv),NA())</f>
        <v>#N/A</v>
      </c>
      <c r="BZ53" s="127">
        <f t="shared" si="36"/>
        <v>43</v>
      </c>
      <c r="CA53" s="54">
        <f>Eu_tabel_g[[#This Row],[Indeks]]+1</f>
        <v>44</v>
      </c>
      <c r="CB53" s="127">
        <f t="shared" si="37"/>
        <v>-2.0601548707785424</v>
      </c>
      <c r="CC53" s="127">
        <f t="shared" si="38"/>
        <v>4.7784327061153015E-2</v>
      </c>
      <c r="CD53" s="127" t="e">
        <f t="shared" si="39"/>
        <v>#N/A</v>
      </c>
      <c r="CE53" s="127" t="e">
        <f t="shared" si="40"/>
        <v>#N/A</v>
      </c>
      <c r="CF53" s="127" t="e">
        <f t="shared" si="41"/>
        <v>#N/A</v>
      </c>
      <c r="CG53" s="127" t="b">
        <f t="shared" si="42"/>
        <v>1</v>
      </c>
      <c r="CH53" s="127" t="b">
        <f t="shared" si="43"/>
        <v>0</v>
      </c>
      <c r="CI53" s="127" t="b">
        <f t="shared" si="44"/>
        <v>1</v>
      </c>
      <c r="CJ53" s="127" t="b">
        <f t="shared" si="45"/>
        <v>0</v>
      </c>
      <c r="CK53" s="127">
        <f t="shared" si="118"/>
        <v>4.7784327061153015E-2</v>
      </c>
      <c r="CL53" s="127">
        <f t="shared" si="47"/>
        <v>4.7784327061153015E-2</v>
      </c>
      <c r="CM53" s="127" t="e">
        <f t="shared" si="48"/>
        <v>#N/A</v>
      </c>
      <c r="CN53" s="128" t="str">
        <f t="shared" si="49"/>
        <v/>
      </c>
      <c r="CO53" s="54">
        <f>_xlfn.NORM.DIST(_xlfn.NORM.INV(1-Eu_g_konfidensniveau,0,1)-Eu_tabel_g[[#This Row],[x base]],0,1,TRUE)</f>
        <v>0.66103930460390115</v>
      </c>
      <c r="CP53" s="54">
        <f>1-_xlfn.NORM.DIST(_xlfn.NORM.INV(Eu_g_konfidensniveau,0,1)-Eu_tabel_g[[#This Row],[x base]],0,1,TRUE)</f>
        <v>1.0569182294417612E-4</v>
      </c>
      <c r="CQ53" s="54">
        <f>_xlfn.NORM.DIST(_xlfn.NORM.INV((1-Eu_g_konfidensniveau)/2,0,1)-Eu_tabel_g[[#This Row],[x base]],0,1,TRUE)+1-_xlfn.NORM.DIST(_xlfn.NORM.INV(1-(1-Eu_g_konfidensniveau)/2,0,1)-Eu_tabel_g[[#This Row],[x base]],0,1,TRUE)</f>
        <v>0.53993269372568653</v>
      </c>
      <c r="CR53" s="54" t="e" cm="1">
        <f t="array" ref="CR53">IF($CR$3,INDEX(Eu_tabel_g[[#This Row],[Styrke venstre]:[Styrke tosidet]],CR$7),NA())</f>
        <v>#N/A</v>
      </c>
      <c r="CS53" s="89" t="e">
        <f>Eu_tabel_g[[#This Row],[Falsk positiv
Nulhypotese accepteres
Fejltype 1]]</f>
        <v>#N/A</v>
      </c>
      <c r="CT53" s="89" t="e">
        <f>IF(CHOOSE(CR$7,Eu_tabel_g[[#This Row],[x base]]&gt;0,Eu_tabel_g[[#This Row],[x base]]&lt;0,Eu_tabel_g[[#This Row],[x base]]=0),Eu_tabel_g[[#This Row],[Styrke, aktiv]],NA())</f>
        <v>#N/A</v>
      </c>
      <c r="CU53" s="89" t="e">
        <f>IFERROR(IF($CR$3,Eu_tabel_g[[#This Row],[Styrke, aktiv]],NA()),NA())</f>
        <v>#N/A</v>
      </c>
      <c r="CV53" s="89" t="e">
        <f>IF(ISNA(Eu_tabel_g[[#This Row],[Sand negativ
Nulhypotese afvises
Korrekt]]),NA(),IF($CR$3,1,NA()))</f>
        <v>#N/A</v>
      </c>
      <c r="CW53" s="56" t="str" cm="1">
        <f t="array" ref="CW53">_xlfn.SWITCH(BZ53,_xlfn.IFNA(CU$2,-99),CU$5,_xlfn.IFNA(CU$3,-99),CU$6,_xlfn.IFNA(CU$4,-99),CU$7,"")</f>
        <v/>
      </c>
      <c r="DA53" s="7">
        <f t="shared" si="50"/>
        <v>0.8</v>
      </c>
      <c r="DB53">
        <f>IF(ROW(Styrkeberegning_G[[#This Row],[X base venstre]])=ROW(Styrkeberegning_G[[#Headers],[X base venstre]])+1,DB$7/(DA$7/$B$67),DB52/(DA52/$B$67))</f>
        <v>-2.8015817870135784</v>
      </c>
      <c r="DC53">
        <f>Styrkeberegning_G[[#This Row],[X base venstre]]*-1</f>
        <v>2.8015817870135784</v>
      </c>
      <c r="DN53" s="127">
        <f t="shared" si="51"/>
        <v>43</v>
      </c>
      <c r="DO53" s="54">
        <f t="shared" si="52"/>
        <v>44</v>
      </c>
      <c r="DP53" s="127">
        <f t="shared" si="53"/>
        <v>6.7388994905847337</v>
      </c>
      <c r="DQ53" s="127" t="e">
        <f t="shared" si="54"/>
        <v>#N/A</v>
      </c>
      <c r="DR53" s="127" t="e">
        <f t="shared" si="55"/>
        <v>#N/A</v>
      </c>
      <c r="DS53" s="127">
        <f t="shared" si="56"/>
        <v>7.7766979547437623E-2</v>
      </c>
      <c r="DT53" s="127" t="e">
        <f t="shared" si="57"/>
        <v>#N/A</v>
      </c>
      <c r="DU53" s="127" t="b">
        <f t="shared" si="58"/>
        <v>0</v>
      </c>
      <c r="DV53" s="127" t="b">
        <f t="shared" si="59"/>
        <v>1</v>
      </c>
      <c r="DW53" s="127" t="b">
        <f t="shared" si="60"/>
        <v>0</v>
      </c>
      <c r="DX53" s="127" t="b">
        <f t="shared" si="61"/>
        <v>1</v>
      </c>
      <c r="DY53" s="127">
        <f t="shared" si="62"/>
        <v>7.7766979547437623E-2</v>
      </c>
      <c r="DZ53" s="127" t="e">
        <f t="shared" si="63"/>
        <v>#N/A</v>
      </c>
      <c r="EA53" s="127">
        <f t="shared" si="64"/>
        <v>7.7766979547437623E-2</v>
      </c>
      <c r="EB53" s="128" t="str">
        <f t="shared" si="65"/>
        <v/>
      </c>
      <c r="EG53" s="127">
        <f t="shared" si="66"/>
        <v>43</v>
      </c>
      <c r="EH53" s="54">
        <f t="shared" si="67"/>
        <v>44</v>
      </c>
      <c r="EI53" s="127">
        <f t="shared" si="68"/>
        <v>-2.0601548707785424</v>
      </c>
      <c r="EJ53" s="127">
        <f t="shared" si="69"/>
        <v>4.7784327061153015E-2</v>
      </c>
      <c r="EK53" s="127" t="e">
        <f t="shared" si="70"/>
        <v>#N/A</v>
      </c>
      <c r="EL53" s="127" t="e">
        <f t="shared" si="71"/>
        <v>#N/A</v>
      </c>
      <c r="EM53" s="127" t="e">
        <f t="shared" si="72"/>
        <v>#N/A</v>
      </c>
      <c r="EN53" s="127" t="b">
        <f t="shared" si="73"/>
        <v>1</v>
      </c>
      <c r="EO53" s="127" t="b">
        <f t="shared" si="74"/>
        <v>0</v>
      </c>
      <c r="EP53" s="127" t="b">
        <f t="shared" si="75"/>
        <v>1</v>
      </c>
      <c r="EQ53" s="127" t="b">
        <f t="shared" si="76"/>
        <v>0</v>
      </c>
      <c r="ER53" s="127">
        <f t="shared" si="77"/>
        <v>4.7784327061153015E-2</v>
      </c>
      <c r="ES53" s="127">
        <f t="shared" si="78"/>
        <v>4.7784327061153015E-2</v>
      </c>
      <c r="ET53" s="127" t="e">
        <f t="shared" si="79"/>
        <v>#N/A</v>
      </c>
      <c r="EU53" s="128" t="str">
        <f t="shared" si="80"/>
        <v/>
      </c>
      <c r="EV5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5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5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53" s="54" t="e" cm="1">
        <f t="array" ref="EY53">IF($CR$3,INDEX(Eu_tabel_a[[#This Row],[Styrke venstre]:[Styrke tosidet]],EY$7),NA())</f>
        <v>#N/A</v>
      </c>
      <c r="EZ53" s="54" t="e">
        <f>IF(EY$3,IF(CHOOSE(EY$7,Eu_tabel_a[[#This Row],[x base]]&gt;0,Eu_tabel_a[[#This Row],[x base]]&lt;0,Eu_tabel_a[[#This Row],[x base]]=0),1,NA()),NA())</f>
        <v>#N/A</v>
      </c>
      <c r="FA53" s="54" t="e">
        <f>IF(CHOOSE(EY$7,Eu_tabel_a[[#This Row],[x base]]&gt;0,Eu_tabel_a[[#This Row],[x base]]&lt;0,Eu_tabel_a[[#This Row],[x base]]=0),Eu_tabel_a[[#This Row],[Styrke, aktiv]],NA())</f>
        <v>#N/A</v>
      </c>
      <c r="FB53" s="54" t="e">
        <f>IFERROR(IF($EY$3,Eu_tabel_a[[#This Row],[Styrke, aktiv]],NA()),NA())</f>
        <v>#N/A</v>
      </c>
      <c r="FC53" s="54" t="e">
        <f>IF(ISNA(Eu_tabel_a[[#This Row],[Sand negativ
Nulhypotese afvises
Korrekt]]),NA(),IF(EY$3,1,NA()))</f>
        <v>#N/A</v>
      </c>
      <c r="FD53" s="55" t="str" cm="1">
        <f t="array" ref="FD53">IFERROR(_xlfn.SWITCH(Eu_tabel_a[[#This Row],[Indeks]],_xlfn.IFNA(FB$2,-99),FB$5,_xlfn.IFNA(FB$3,-99),FB$6,_xlfn.IFNA(FB$4,-99),FB$7,""),"")</f>
        <v/>
      </c>
      <c r="FE53" s="54">
        <f>Eu_tabel_a[[#This Row],[x base]]*SQRT(Eu_a_h0_x*(1-Eu_a_h0_x)/Eu_a_n_x)+Eu_a_h0_x</f>
        <v>0</v>
      </c>
      <c r="FJ53" s="144" t="e">
        <f t="shared" si="18"/>
        <v>#N/A</v>
      </c>
      <c r="FK53" s="152" t="e">
        <f t="shared" si="113"/>
        <v>#DIV/0!</v>
      </c>
      <c r="FL53" s="7" t="e">
        <f t="shared" si="12"/>
        <v>#DIV/0!</v>
      </c>
      <c r="FM53" t="e">
        <f t="shared" si="114"/>
        <v>#DIV/0!</v>
      </c>
      <c r="FN53" s="8" t="e">
        <f t="shared" si="115"/>
        <v>#DIV/0!</v>
      </c>
      <c r="FO53" s="8" t="e">
        <f t="shared" si="116"/>
        <v>#DIV/0!</v>
      </c>
      <c r="FP53" s="151" t="e">
        <f t="shared" si="117"/>
        <v>#DIV/0!</v>
      </c>
      <c r="FQ53" s="144" t="e">
        <f t="shared" ca="1" si="13"/>
        <v>#N/A</v>
      </c>
      <c r="FR53" s="152" t="e" vm="3">
        <f t="shared" ca="1" si="19"/>
        <v>#VALUE!</v>
      </c>
      <c r="FS53" s="7" t="e" vm="3">
        <f t="shared" ca="1" si="14"/>
        <v>#VALUE!</v>
      </c>
      <c r="FT53" t="e" vm="3">
        <f t="shared" ca="1" si="8"/>
        <v>#VALUE!</v>
      </c>
      <c r="FU53" s="8" t="e" vm="3">
        <f t="shared" ca="1" si="9"/>
        <v>#VALUE!</v>
      </c>
      <c r="FV53" s="8" t="e" vm="3">
        <f t="shared" ca="1" si="10"/>
        <v>#VALUE!</v>
      </c>
      <c r="FW53" s="151" t="e" vm="3">
        <f t="shared" ca="1" si="11"/>
        <v>#VALUE!</v>
      </c>
      <c r="FX53" s="144" t="e">
        <f t="shared" si="15"/>
        <v>#N/A</v>
      </c>
      <c r="FY53" s="152" t="e">
        <f t="shared" si="20"/>
        <v>#N/A</v>
      </c>
      <c r="FZ53" s="7" t="e">
        <f t="shared" si="16"/>
        <v>#N/A</v>
      </c>
      <c r="GA53" t="e">
        <f t="shared" si="21"/>
        <v>#N/A</v>
      </c>
      <c r="GB53" s="8" t="e">
        <f t="shared" si="22"/>
        <v>#N/A</v>
      </c>
      <c r="GC53" s="8" t="e">
        <f t="shared" si="23"/>
        <v>#N/A</v>
      </c>
      <c r="GD53" s="151" t="e">
        <f t="shared" si="24"/>
        <v>#N/A</v>
      </c>
      <c r="GE53" s="144" t="e">
        <f t="shared" si="25"/>
        <v>#N/A</v>
      </c>
      <c r="GF53" s="152" t="e">
        <f t="shared" si="26"/>
        <v>#N/A</v>
      </c>
      <c r="GG53" s="7" t="e">
        <f t="shared" si="17"/>
        <v>#N/A</v>
      </c>
      <c r="GH53" t="e">
        <f t="shared" si="27"/>
        <v>#N/A</v>
      </c>
      <c r="GI53" s="8" t="e">
        <f t="shared" si="28"/>
        <v>#N/A</v>
      </c>
      <c r="GJ53" s="8" t="e">
        <f t="shared" si="29"/>
        <v>#N/A</v>
      </c>
      <c r="GK53" s="151" t="e">
        <f t="shared" si="30"/>
        <v>#N/A</v>
      </c>
      <c r="GL53" s="151"/>
      <c r="GM53" s="151"/>
      <c r="GP53" s="127">
        <f t="shared" si="81"/>
        <v>43</v>
      </c>
      <c r="GQ53" s="54">
        <f t="shared" si="82"/>
        <v>44</v>
      </c>
      <c r="GR53" s="127">
        <f t="shared" si="83"/>
        <v>-2.0601548707785424</v>
      </c>
      <c r="GS53" s="127">
        <f t="shared" si="84"/>
        <v>4.7784327061153015E-2</v>
      </c>
      <c r="GT53" s="127" t="e">
        <f t="shared" si="85"/>
        <v>#N/A</v>
      </c>
      <c r="GU53" s="127" t="e">
        <f t="shared" si="86"/>
        <v>#N/A</v>
      </c>
      <c r="GV53" s="127" t="e">
        <f t="shared" si="87"/>
        <v>#N/A</v>
      </c>
      <c r="GW53" s="127" t="b">
        <f t="shared" si="88"/>
        <v>1</v>
      </c>
      <c r="GX53" s="127" t="b">
        <f t="shared" si="89"/>
        <v>0</v>
      </c>
      <c r="GY53" s="127" t="b">
        <f t="shared" si="90"/>
        <v>1</v>
      </c>
      <c r="GZ53" s="127" t="b">
        <f t="shared" si="91"/>
        <v>0</v>
      </c>
      <c r="HA53" s="127">
        <f t="shared" si="92"/>
        <v>4.7784327061153015E-2</v>
      </c>
      <c r="HB53" s="127">
        <f t="shared" si="93"/>
        <v>4.7784327061153015E-2</v>
      </c>
      <c r="HC53" s="127" t="e">
        <f t="shared" si="94"/>
        <v>#N/A</v>
      </c>
      <c r="HD53" s="128" t="str">
        <f t="shared" si="95"/>
        <v/>
      </c>
      <c r="HJ53" s="127">
        <f t="shared" si="96"/>
        <v>43</v>
      </c>
      <c r="HK53" s="54">
        <f t="shared" si="97"/>
        <v>44</v>
      </c>
      <c r="HL53" s="127">
        <f t="shared" si="98"/>
        <v>-3.1901930857588887</v>
      </c>
      <c r="HM53" s="127" t="e">
        <f t="shared" si="99"/>
        <v>#N/A</v>
      </c>
      <c r="HN53" s="127">
        <f t="shared" si="100"/>
        <v>1.061745464710373E-2</v>
      </c>
      <c r="HO53" s="127" t="e">
        <f t="shared" si="101"/>
        <v>#N/A</v>
      </c>
      <c r="HP53" s="127" t="e">
        <f t="shared" si="102"/>
        <v>#N/A</v>
      </c>
      <c r="HQ53" s="127" t="b">
        <f t="shared" si="103"/>
        <v>1</v>
      </c>
      <c r="HR53" s="127" t="b">
        <f t="shared" si="104"/>
        <v>0</v>
      </c>
      <c r="HS53" s="127" t="b">
        <f t="shared" si="105"/>
        <v>1</v>
      </c>
      <c r="HT53" s="127" t="b">
        <f t="shared" si="106"/>
        <v>0</v>
      </c>
      <c r="HU53" s="127">
        <f t="shared" si="107"/>
        <v>1.061745464710373E-2</v>
      </c>
      <c r="HV53" s="127">
        <f t="shared" si="108"/>
        <v>1.061745464710373E-2</v>
      </c>
      <c r="HW53" s="127" t="e">
        <f t="shared" si="109"/>
        <v>#N/A</v>
      </c>
      <c r="HX53" s="128" t="str">
        <f t="shared" si="110"/>
        <v/>
      </c>
    </row>
    <row r="54" spans="58:232" x14ac:dyDescent="0.2">
      <c r="BF54">
        <v>-0.89773712069108735</v>
      </c>
      <c r="BG54">
        <v>9.7085240838788316</v>
      </c>
      <c r="BH54" t="b">
        <v>0</v>
      </c>
      <c r="BI54">
        <v>-0.89773712069108735</v>
      </c>
      <c r="BJ54">
        <v>9.7085240838788316</v>
      </c>
      <c r="BL54" s="90" t="s">
        <v>415</v>
      </c>
      <c r="BM54" s="204" t="e" cm="1">
        <f t="array" ref="BM54">IF(NOT($BI$2),INDEX(E_i_valg[p-værdi],E_i_aktiv),NA())</f>
        <v>#N/A</v>
      </c>
      <c r="BZ54" s="127">
        <f t="shared" si="36"/>
        <v>44</v>
      </c>
      <c r="CA54" s="54">
        <f>Eu_tabel_g[[#This Row],[Indeks]]+1</f>
        <v>45</v>
      </c>
      <c r="CB54" s="127">
        <f t="shared" si="37"/>
        <v>-2.0361995815834426</v>
      </c>
      <c r="CC54" s="127">
        <f t="shared" si="38"/>
        <v>5.0187318625221689E-2</v>
      </c>
      <c r="CD54" s="127" t="e">
        <f t="shared" si="39"/>
        <v>#N/A</v>
      </c>
      <c r="CE54" s="127" t="e">
        <f t="shared" si="40"/>
        <v>#N/A</v>
      </c>
      <c r="CF54" s="127" t="e">
        <f t="shared" si="41"/>
        <v>#N/A</v>
      </c>
      <c r="CG54" s="127" t="b">
        <f t="shared" si="42"/>
        <v>1</v>
      </c>
      <c r="CH54" s="127" t="b">
        <f t="shared" si="43"/>
        <v>0</v>
      </c>
      <c r="CI54" s="127" t="b">
        <f t="shared" si="44"/>
        <v>1</v>
      </c>
      <c r="CJ54" s="127" t="b">
        <f t="shared" si="45"/>
        <v>0</v>
      </c>
      <c r="CK54" s="127">
        <f t="shared" si="118"/>
        <v>5.0187318625221689E-2</v>
      </c>
      <c r="CL54" s="127">
        <f t="shared" si="47"/>
        <v>5.0187318625221689E-2</v>
      </c>
      <c r="CM54" s="127" t="e">
        <f t="shared" si="48"/>
        <v>#N/A</v>
      </c>
      <c r="CN54" s="128" t="str">
        <f t="shared" si="49"/>
        <v/>
      </c>
      <c r="CO54" s="54">
        <f>_xlfn.NORM.DIST(_xlfn.NORM.INV(1-Eu_g_konfidensniveau,0,1)-Eu_tabel_g[[#This Row],[x base]],0,1,TRUE)</f>
        <v>0.65222923248733788</v>
      </c>
      <c r="CP54" s="54">
        <f>1-_xlfn.NORM.DIST(_xlfn.NORM.INV(Eu_g_konfidensniveau,0,1)-Eu_tabel_g[[#This Row],[x base]],0,1,TRUE)</f>
        <v>1.1613626122131127E-4</v>
      </c>
      <c r="CQ54" s="54">
        <f>_xlfn.NORM.DIST(_xlfn.NORM.INV((1-Eu_g_konfidensniveau)/2,0,1)-Eu_tabel_g[[#This Row],[x base]],0,1,TRUE)+1-_xlfn.NORM.DIST(_xlfn.NORM.INV(1-(1-Eu_g_konfidensniveau)/2,0,1)-Eu_tabel_g[[#This Row],[x base]],0,1,TRUE)</f>
        <v>0.53041635726275116</v>
      </c>
      <c r="CR54" s="54" t="e" cm="1">
        <f t="array" ref="CR54">IF($CR$3,INDEX(Eu_tabel_g[[#This Row],[Styrke venstre]:[Styrke tosidet]],CR$7),NA())</f>
        <v>#N/A</v>
      </c>
      <c r="CS54" s="89" t="e">
        <f>Eu_tabel_g[[#This Row],[Falsk positiv
Nulhypotese accepteres
Fejltype 1]]</f>
        <v>#N/A</v>
      </c>
      <c r="CT54" s="89" t="e">
        <f>IF(CHOOSE(CR$7,Eu_tabel_g[[#This Row],[x base]]&gt;0,Eu_tabel_g[[#This Row],[x base]]&lt;0,Eu_tabel_g[[#This Row],[x base]]=0),Eu_tabel_g[[#This Row],[Styrke, aktiv]],NA())</f>
        <v>#N/A</v>
      </c>
      <c r="CU54" s="89" t="e">
        <f>IFERROR(IF($CR$3,Eu_tabel_g[[#This Row],[Styrke, aktiv]],NA()),NA())</f>
        <v>#N/A</v>
      </c>
      <c r="CV54" s="89" t="e">
        <f>IF(ISNA(Eu_tabel_g[[#This Row],[Sand negativ
Nulhypotese afvises
Korrekt]]),NA(),IF($CR$3,1,NA()))</f>
        <v>#N/A</v>
      </c>
      <c r="CW54" s="56" t="str" cm="1">
        <f t="array" ref="CW54">_xlfn.SWITCH(BZ54,_xlfn.IFNA(CU$2,-99),CU$5,_xlfn.IFNA(CU$3,-99),CU$6,_xlfn.IFNA(CU$4,-99),CU$7,"")</f>
        <v/>
      </c>
      <c r="DA54" s="7">
        <f t="shared" si="50"/>
        <v>0.8</v>
      </c>
      <c r="DB54">
        <f>IF(ROW(Styrkeberegning_G[[#This Row],[X base venstre]])=ROW(Styrkeberegning_G[[#Headers],[X base venstre]])+1,DB$7/(DA$7/$B$67),DB53/(DA53/$B$67))</f>
        <v>-2.8015817870135784</v>
      </c>
      <c r="DC54">
        <f>Styrkeberegning_G[[#This Row],[X base venstre]]*-1</f>
        <v>2.8015817870135784</v>
      </c>
      <c r="DN54" s="127">
        <f t="shared" si="51"/>
        <v>44</v>
      </c>
      <c r="DO54" s="54">
        <f t="shared" si="52"/>
        <v>45</v>
      </c>
      <c r="DP54" s="127">
        <f t="shared" si="53"/>
        <v>6.8529703470017349</v>
      </c>
      <c r="DQ54" s="127" t="e">
        <f t="shared" si="54"/>
        <v>#N/A</v>
      </c>
      <c r="DR54" s="127" t="e">
        <f t="shared" si="55"/>
        <v>#N/A</v>
      </c>
      <c r="DS54" s="127">
        <f t="shared" si="56"/>
        <v>7.9219024627133594E-2</v>
      </c>
      <c r="DT54" s="127" t="e">
        <f t="shared" si="57"/>
        <v>#N/A</v>
      </c>
      <c r="DU54" s="127" t="b">
        <f t="shared" si="58"/>
        <v>0</v>
      </c>
      <c r="DV54" s="127" t="b">
        <f t="shared" si="59"/>
        <v>1</v>
      </c>
      <c r="DW54" s="127" t="b">
        <f t="shared" si="60"/>
        <v>0</v>
      </c>
      <c r="DX54" s="127" t="b">
        <f t="shared" si="61"/>
        <v>1</v>
      </c>
      <c r="DY54" s="127">
        <f t="shared" si="62"/>
        <v>7.9219024627133594E-2</v>
      </c>
      <c r="DZ54" s="127" t="e">
        <f t="shared" si="63"/>
        <v>#N/A</v>
      </c>
      <c r="EA54" s="127">
        <f t="shared" si="64"/>
        <v>7.9219024627133594E-2</v>
      </c>
      <c r="EB54" s="128" t="str">
        <f t="shared" si="65"/>
        <v/>
      </c>
      <c r="EG54" s="127">
        <f t="shared" si="66"/>
        <v>44</v>
      </c>
      <c r="EH54" s="54">
        <f t="shared" si="67"/>
        <v>45</v>
      </c>
      <c r="EI54" s="127">
        <f t="shared" si="68"/>
        <v>-2.0361995815834426</v>
      </c>
      <c r="EJ54" s="127">
        <f t="shared" si="69"/>
        <v>5.0187318625221689E-2</v>
      </c>
      <c r="EK54" s="127" t="e">
        <f t="shared" si="70"/>
        <v>#N/A</v>
      </c>
      <c r="EL54" s="127" t="e">
        <f t="shared" si="71"/>
        <v>#N/A</v>
      </c>
      <c r="EM54" s="127" t="e">
        <f t="shared" si="72"/>
        <v>#N/A</v>
      </c>
      <c r="EN54" s="127" t="b">
        <f t="shared" si="73"/>
        <v>1</v>
      </c>
      <c r="EO54" s="127" t="b">
        <f t="shared" si="74"/>
        <v>0</v>
      </c>
      <c r="EP54" s="127" t="b">
        <f t="shared" si="75"/>
        <v>1</v>
      </c>
      <c r="EQ54" s="127" t="b">
        <f t="shared" si="76"/>
        <v>0</v>
      </c>
      <c r="ER54" s="127">
        <f t="shared" si="77"/>
        <v>5.0187318625221689E-2</v>
      </c>
      <c r="ES54" s="127">
        <f t="shared" si="78"/>
        <v>5.0187318625221689E-2</v>
      </c>
      <c r="ET54" s="127" t="e">
        <f t="shared" si="79"/>
        <v>#N/A</v>
      </c>
      <c r="EU54" s="128" t="str">
        <f t="shared" si="80"/>
        <v/>
      </c>
      <c r="EV5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5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5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54" s="54" t="e" cm="1">
        <f t="array" ref="EY54">IF($CR$3,INDEX(Eu_tabel_a[[#This Row],[Styrke venstre]:[Styrke tosidet]],EY$7),NA())</f>
        <v>#N/A</v>
      </c>
      <c r="EZ54" s="54" t="e">
        <f>IF(EY$3,IF(CHOOSE(EY$7,Eu_tabel_a[[#This Row],[x base]]&gt;0,Eu_tabel_a[[#This Row],[x base]]&lt;0,Eu_tabel_a[[#This Row],[x base]]=0),1,NA()),NA())</f>
        <v>#N/A</v>
      </c>
      <c r="FA54" s="54" t="e">
        <f>IF(CHOOSE(EY$7,Eu_tabel_a[[#This Row],[x base]]&gt;0,Eu_tabel_a[[#This Row],[x base]]&lt;0,Eu_tabel_a[[#This Row],[x base]]=0),Eu_tabel_a[[#This Row],[Styrke, aktiv]],NA())</f>
        <v>#N/A</v>
      </c>
      <c r="FB54" s="54" t="e">
        <f>IFERROR(IF($EY$3,Eu_tabel_a[[#This Row],[Styrke, aktiv]],NA()),NA())</f>
        <v>#N/A</v>
      </c>
      <c r="FC54" s="54" t="e">
        <f>IF(ISNA(Eu_tabel_a[[#This Row],[Sand negativ
Nulhypotese afvises
Korrekt]]),NA(),IF(EY$3,1,NA()))</f>
        <v>#N/A</v>
      </c>
      <c r="FD54" s="55" t="str" cm="1">
        <f t="array" ref="FD54">IFERROR(_xlfn.SWITCH(Eu_tabel_a[[#This Row],[Indeks]],_xlfn.IFNA(FB$2,-99),FB$5,_xlfn.IFNA(FB$3,-99),FB$6,_xlfn.IFNA(FB$4,-99),FB$7,""),"")</f>
        <v/>
      </c>
      <c r="FE54" s="54">
        <f>Eu_tabel_a[[#This Row],[x base]]*SQRT(Eu_a_h0_x*(1-Eu_a_h0_x)/Eu_a_n_x)+Eu_a_h0_x</f>
        <v>0</v>
      </c>
      <c r="FJ54" s="144" t="e">
        <f t="shared" si="18"/>
        <v>#N/A</v>
      </c>
      <c r="FK54" s="152" t="e">
        <f t="shared" si="113"/>
        <v>#DIV/0!</v>
      </c>
      <c r="FL54" s="7" t="e">
        <f t="shared" si="12"/>
        <v>#DIV/0!</v>
      </c>
      <c r="FM54" t="e">
        <f t="shared" si="114"/>
        <v>#DIV/0!</v>
      </c>
      <c r="FN54" s="8" t="e">
        <f t="shared" si="115"/>
        <v>#DIV/0!</v>
      </c>
      <c r="FO54" s="8" t="e">
        <f t="shared" si="116"/>
        <v>#DIV/0!</v>
      </c>
      <c r="FP54" s="151" t="e">
        <f t="shared" si="117"/>
        <v>#DIV/0!</v>
      </c>
      <c r="FQ54" s="144" t="e">
        <f t="shared" ca="1" si="13"/>
        <v>#N/A</v>
      </c>
      <c r="FR54" s="152" t="e" vm="3">
        <f t="shared" ca="1" si="19"/>
        <v>#VALUE!</v>
      </c>
      <c r="FS54" s="7" t="e" vm="3">
        <f t="shared" ca="1" si="14"/>
        <v>#VALUE!</v>
      </c>
      <c r="FT54" t="e" vm="3">
        <f t="shared" ca="1" si="8"/>
        <v>#VALUE!</v>
      </c>
      <c r="FU54" s="8" t="e" vm="3">
        <f t="shared" ca="1" si="9"/>
        <v>#VALUE!</v>
      </c>
      <c r="FV54" s="8" t="e" vm="3">
        <f t="shared" ca="1" si="10"/>
        <v>#VALUE!</v>
      </c>
      <c r="FW54" s="151" t="e" vm="3">
        <f t="shared" ca="1" si="11"/>
        <v>#VALUE!</v>
      </c>
      <c r="FX54" s="144" t="e">
        <f t="shared" si="15"/>
        <v>#N/A</v>
      </c>
      <c r="FY54" s="152" t="e">
        <f t="shared" si="20"/>
        <v>#N/A</v>
      </c>
      <c r="FZ54" s="7" t="e">
        <f t="shared" si="16"/>
        <v>#N/A</v>
      </c>
      <c r="GA54" t="e">
        <f t="shared" si="21"/>
        <v>#N/A</v>
      </c>
      <c r="GB54" s="8" t="e">
        <f t="shared" si="22"/>
        <v>#N/A</v>
      </c>
      <c r="GC54" s="8" t="e">
        <f t="shared" si="23"/>
        <v>#N/A</v>
      </c>
      <c r="GD54" s="151" t="e">
        <f t="shared" si="24"/>
        <v>#N/A</v>
      </c>
      <c r="GE54" s="144" t="e">
        <f t="shared" si="25"/>
        <v>#N/A</v>
      </c>
      <c r="GF54" s="152" t="e">
        <f t="shared" si="26"/>
        <v>#N/A</v>
      </c>
      <c r="GG54" s="7" t="e">
        <f t="shared" si="17"/>
        <v>#N/A</v>
      </c>
      <c r="GH54" t="e">
        <f t="shared" si="27"/>
        <v>#N/A</v>
      </c>
      <c r="GI54" s="8" t="e">
        <f t="shared" si="28"/>
        <v>#N/A</v>
      </c>
      <c r="GJ54" s="8" t="e">
        <f t="shared" si="29"/>
        <v>#N/A</v>
      </c>
      <c r="GK54" s="151" t="e">
        <f t="shared" si="30"/>
        <v>#N/A</v>
      </c>
      <c r="GL54" s="151"/>
      <c r="GM54" s="151"/>
      <c r="GP54" s="127">
        <f t="shared" si="81"/>
        <v>44</v>
      </c>
      <c r="GQ54" s="54">
        <f t="shared" si="82"/>
        <v>45</v>
      </c>
      <c r="GR54" s="127">
        <f t="shared" si="83"/>
        <v>-2.0361995815834426</v>
      </c>
      <c r="GS54" s="127">
        <f t="shared" si="84"/>
        <v>5.0187318625221689E-2</v>
      </c>
      <c r="GT54" s="127" t="e">
        <f t="shared" si="85"/>
        <v>#N/A</v>
      </c>
      <c r="GU54" s="127" t="e">
        <f t="shared" si="86"/>
        <v>#N/A</v>
      </c>
      <c r="GV54" s="127" t="e">
        <f t="shared" si="87"/>
        <v>#N/A</v>
      </c>
      <c r="GW54" s="127" t="b">
        <f t="shared" si="88"/>
        <v>1</v>
      </c>
      <c r="GX54" s="127" t="b">
        <f t="shared" si="89"/>
        <v>0</v>
      </c>
      <c r="GY54" s="127" t="b">
        <f t="shared" si="90"/>
        <v>1</v>
      </c>
      <c r="GZ54" s="127" t="b">
        <f t="shared" si="91"/>
        <v>0</v>
      </c>
      <c r="HA54" s="127">
        <f t="shared" si="92"/>
        <v>5.0187318625221689E-2</v>
      </c>
      <c r="HB54" s="127">
        <f t="shared" si="93"/>
        <v>5.0187318625221689E-2</v>
      </c>
      <c r="HC54" s="127" t="e">
        <f t="shared" si="94"/>
        <v>#N/A</v>
      </c>
      <c r="HD54" s="128" t="str">
        <f t="shared" si="95"/>
        <v/>
      </c>
      <c r="HJ54" s="127">
        <f t="shared" si="96"/>
        <v>44</v>
      </c>
      <c r="HK54" s="54">
        <f t="shared" si="97"/>
        <v>45</v>
      </c>
      <c r="HL54" s="127">
        <f t="shared" si="98"/>
        <v>-3.1530978173198321</v>
      </c>
      <c r="HM54" s="127" t="e">
        <f t="shared" si="99"/>
        <v>#N/A</v>
      </c>
      <c r="HN54" s="127">
        <f t="shared" si="100"/>
        <v>1.1219716568102925E-2</v>
      </c>
      <c r="HO54" s="127" t="e">
        <f t="shared" si="101"/>
        <v>#N/A</v>
      </c>
      <c r="HP54" s="127" t="e">
        <f t="shared" si="102"/>
        <v>#N/A</v>
      </c>
      <c r="HQ54" s="127" t="b">
        <f t="shared" si="103"/>
        <v>1</v>
      </c>
      <c r="HR54" s="127" t="b">
        <f t="shared" si="104"/>
        <v>0</v>
      </c>
      <c r="HS54" s="127" t="b">
        <f t="shared" si="105"/>
        <v>1</v>
      </c>
      <c r="HT54" s="127" t="b">
        <f t="shared" si="106"/>
        <v>0</v>
      </c>
      <c r="HU54" s="127">
        <f t="shared" si="107"/>
        <v>1.1219716568102925E-2</v>
      </c>
      <c r="HV54" s="127">
        <f t="shared" si="108"/>
        <v>1.1219716568102925E-2</v>
      </c>
      <c r="HW54" s="127" t="e">
        <f t="shared" si="109"/>
        <v>#N/A</v>
      </c>
      <c r="HX54" s="128" t="str">
        <f t="shared" si="110"/>
        <v/>
      </c>
    </row>
    <row r="55" spans="58:232" x14ac:dyDescent="0.2">
      <c r="BL55" s="90" t="s">
        <v>455</v>
      </c>
      <c r="BM55" s="204" t="e" cm="1">
        <f t="array" ref="BM55">IF(NOT($BI$2),IF(INDEX(E_i_valg[Nulhypotese kan ikke afvises],E_i_aktiv),"Nulhypotese kan ikke afvises","Nulhypotese afvises"),NA())</f>
        <v>#N/A</v>
      </c>
      <c r="BZ55" s="127">
        <f t="shared" si="36"/>
        <v>45</v>
      </c>
      <c r="CA55" s="54">
        <f>Eu_tabel_g[[#This Row],[Indeks]]+1</f>
        <v>46</v>
      </c>
      <c r="CB55" s="127">
        <f t="shared" si="37"/>
        <v>-2.0122442923883437</v>
      </c>
      <c r="CC55" s="127">
        <f t="shared" si="38"/>
        <v>5.2680912571830774E-2</v>
      </c>
      <c r="CD55" s="127" t="e">
        <f t="shared" si="39"/>
        <v>#N/A</v>
      </c>
      <c r="CE55" s="127" t="e">
        <f t="shared" si="40"/>
        <v>#N/A</v>
      </c>
      <c r="CF55" s="127" t="e">
        <f t="shared" si="41"/>
        <v>#N/A</v>
      </c>
      <c r="CG55" s="127" t="b">
        <f t="shared" si="42"/>
        <v>1</v>
      </c>
      <c r="CH55" s="127" t="b">
        <f t="shared" si="43"/>
        <v>0</v>
      </c>
      <c r="CI55" s="127" t="b">
        <f t="shared" si="44"/>
        <v>1</v>
      </c>
      <c r="CJ55" s="127" t="b">
        <f t="shared" si="45"/>
        <v>0</v>
      </c>
      <c r="CK55" s="127">
        <f t="shared" si="118"/>
        <v>5.2680912571830774E-2</v>
      </c>
      <c r="CL55" s="127">
        <f t="shared" si="47"/>
        <v>5.2680912571830774E-2</v>
      </c>
      <c r="CM55" s="127" t="e">
        <f t="shared" si="48"/>
        <v>#N/A</v>
      </c>
      <c r="CN55" s="128" t="str">
        <f t="shared" si="49"/>
        <v/>
      </c>
      <c r="CO55" s="54">
        <f>_xlfn.NORM.DIST(_xlfn.NORM.INV(1-Eu_g_konfidensniveau,0,1)-Eu_tabel_g[[#This Row],[x base]],0,1,TRUE)</f>
        <v>0.64333618328693531</v>
      </c>
      <c r="CP55" s="54">
        <f>1-_xlfn.NORM.DIST(_xlfn.NORM.INV(Eu_g_konfidensniveau,0,1)-Eu_tabel_g[[#This Row],[x base]],0,1,TRUE)</f>
        <v>1.2754347670462796E-4</v>
      </c>
      <c r="CQ55" s="54">
        <f>_xlfn.NORM.DIST(_xlfn.NORM.INV((1-Eu_g_konfidensniveau)/2,0,1)-Eu_tabel_g[[#This Row],[x base]],0,1,TRUE)+1-_xlfn.NORM.DIST(_xlfn.NORM.INV(1-(1-Eu_g_konfidensniveau)/2,0,1)-Eu_tabel_g[[#This Row],[x base]],0,1,TRUE)</f>
        <v>0.5208829327495752</v>
      </c>
      <c r="CR55" s="54" t="e" cm="1">
        <f t="array" ref="CR55">IF($CR$3,INDEX(Eu_tabel_g[[#This Row],[Styrke venstre]:[Styrke tosidet]],CR$7),NA())</f>
        <v>#N/A</v>
      </c>
      <c r="CS55" s="89" t="e">
        <f>Eu_tabel_g[[#This Row],[Falsk positiv
Nulhypotese accepteres
Fejltype 1]]</f>
        <v>#N/A</v>
      </c>
      <c r="CT55" s="89" t="e">
        <f>IF(CHOOSE(CR$7,Eu_tabel_g[[#This Row],[x base]]&gt;0,Eu_tabel_g[[#This Row],[x base]]&lt;0,Eu_tabel_g[[#This Row],[x base]]=0),Eu_tabel_g[[#This Row],[Styrke, aktiv]],NA())</f>
        <v>#N/A</v>
      </c>
      <c r="CU55" s="89" t="e">
        <f>IFERROR(IF($CR$3,Eu_tabel_g[[#This Row],[Styrke, aktiv]],NA()),NA())</f>
        <v>#N/A</v>
      </c>
      <c r="CV55" s="89" t="e">
        <f>IF(ISNA(Eu_tabel_g[[#This Row],[Sand negativ
Nulhypotese afvises
Korrekt]]),NA(),IF($CR$3,1,NA()))</f>
        <v>#N/A</v>
      </c>
      <c r="CW55" s="56" t="str" cm="1">
        <f t="array" ref="CW55">_xlfn.SWITCH(BZ55,_xlfn.IFNA(CU$2,-99),CU$5,_xlfn.IFNA(CU$3,-99),CU$6,_xlfn.IFNA(CU$4,-99),CU$7,"")</f>
        <v/>
      </c>
      <c r="DA55" s="7">
        <f t="shared" si="50"/>
        <v>0.8</v>
      </c>
      <c r="DB55">
        <f>IF(ROW(Styrkeberegning_G[[#This Row],[X base venstre]])=ROW(Styrkeberegning_G[[#Headers],[X base venstre]])+1,DB$7/(DA$7/$B$67),DB54/(DA54/$B$67))</f>
        <v>-2.8015817870135784</v>
      </c>
      <c r="DC55">
        <f>Styrkeberegning_G[[#This Row],[X base venstre]]*-1</f>
        <v>2.8015817870135784</v>
      </c>
      <c r="DN55" s="127">
        <f t="shared" si="51"/>
        <v>45</v>
      </c>
      <c r="DO55" s="54">
        <f t="shared" si="52"/>
        <v>46</v>
      </c>
      <c r="DP55" s="127">
        <f t="shared" si="53"/>
        <v>6.9670412034187352</v>
      </c>
      <c r="DQ55" s="127" t="e">
        <f t="shared" si="54"/>
        <v>#N/A</v>
      </c>
      <c r="DR55" s="127" t="e">
        <f t="shared" si="55"/>
        <v>#N/A</v>
      </c>
      <c r="DS55" s="127">
        <f t="shared" si="56"/>
        <v>8.0597614482774499E-2</v>
      </c>
      <c r="DT55" s="127" t="e">
        <f t="shared" si="57"/>
        <v>#N/A</v>
      </c>
      <c r="DU55" s="127" t="b">
        <f t="shared" si="58"/>
        <v>0</v>
      </c>
      <c r="DV55" s="127" t="b">
        <f t="shared" si="59"/>
        <v>1</v>
      </c>
      <c r="DW55" s="127" t="b">
        <f t="shared" si="60"/>
        <v>0</v>
      </c>
      <c r="DX55" s="127" t="b">
        <f t="shared" si="61"/>
        <v>1</v>
      </c>
      <c r="DY55" s="127">
        <f t="shared" si="62"/>
        <v>8.0597614482774499E-2</v>
      </c>
      <c r="DZ55" s="127" t="e">
        <f t="shared" si="63"/>
        <v>#N/A</v>
      </c>
      <c r="EA55" s="127">
        <f t="shared" si="64"/>
        <v>8.0597614482774499E-2</v>
      </c>
      <c r="EB55" s="128" t="str">
        <f t="shared" si="65"/>
        <v/>
      </c>
      <c r="EG55" s="127">
        <f t="shared" si="66"/>
        <v>45</v>
      </c>
      <c r="EH55" s="54">
        <f t="shared" si="67"/>
        <v>46</v>
      </c>
      <c r="EI55" s="127">
        <f t="shared" si="68"/>
        <v>-2.0122442923883437</v>
      </c>
      <c r="EJ55" s="127">
        <f t="shared" si="69"/>
        <v>5.2680912571830774E-2</v>
      </c>
      <c r="EK55" s="127" t="e">
        <f t="shared" si="70"/>
        <v>#N/A</v>
      </c>
      <c r="EL55" s="127" t="e">
        <f t="shared" si="71"/>
        <v>#N/A</v>
      </c>
      <c r="EM55" s="127" t="e">
        <f t="shared" si="72"/>
        <v>#N/A</v>
      </c>
      <c r="EN55" s="127" t="b">
        <f t="shared" si="73"/>
        <v>1</v>
      </c>
      <c r="EO55" s="127" t="b">
        <f t="shared" si="74"/>
        <v>0</v>
      </c>
      <c r="EP55" s="127" t="b">
        <f t="shared" si="75"/>
        <v>1</v>
      </c>
      <c r="EQ55" s="127" t="b">
        <f t="shared" si="76"/>
        <v>0</v>
      </c>
      <c r="ER55" s="127">
        <f t="shared" si="77"/>
        <v>5.2680912571830774E-2</v>
      </c>
      <c r="ES55" s="127">
        <f t="shared" si="78"/>
        <v>5.2680912571830774E-2</v>
      </c>
      <c r="ET55" s="127" t="e">
        <f t="shared" si="79"/>
        <v>#N/A</v>
      </c>
      <c r="EU55" s="128" t="str">
        <f t="shared" si="80"/>
        <v/>
      </c>
      <c r="EV5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5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5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55" s="54" t="e" cm="1">
        <f t="array" ref="EY55">IF($CR$3,INDEX(Eu_tabel_a[[#This Row],[Styrke venstre]:[Styrke tosidet]],EY$7),NA())</f>
        <v>#N/A</v>
      </c>
      <c r="EZ55" s="54" t="e">
        <f>IF(EY$3,IF(CHOOSE(EY$7,Eu_tabel_a[[#This Row],[x base]]&gt;0,Eu_tabel_a[[#This Row],[x base]]&lt;0,Eu_tabel_a[[#This Row],[x base]]=0),1,NA()),NA())</f>
        <v>#N/A</v>
      </c>
      <c r="FA55" s="54" t="e">
        <f>IF(CHOOSE(EY$7,Eu_tabel_a[[#This Row],[x base]]&gt;0,Eu_tabel_a[[#This Row],[x base]]&lt;0,Eu_tabel_a[[#This Row],[x base]]=0),Eu_tabel_a[[#This Row],[Styrke, aktiv]],NA())</f>
        <v>#N/A</v>
      </c>
      <c r="FB55" s="54" t="e">
        <f>IFERROR(IF($EY$3,Eu_tabel_a[[#This Row],[Styrke, aktiv]],NA()),NA())</f>
        <v>#N/A</v>
      </c>
      <c r="FC55" s="54" t="e">
        <f>IF(ISNA(Eu_tabel_a[[#This Row],[Sand negativ
Nulhypotese afvises
Korrekt]]),NA(),IF(EY$3,1,NA()))</f>
        <v>#N/A</v>
      </c>
      <c r="FD55" s="55" t="str" cm="1">
        <f t="array" ref="FD55">IFERROR(_xlfn.SWITCH(Eu_tabel_a[[#This Row],[Indeks]],_xlfn.IFNA(FB$2,-99),FB$5,_xlfn.IFNA(FB$3,-99),FB$6,_xlfn.IFNA(FB$4,-99),FB$7,""),"")</f>
        <v/>
      </c>
      <c r="FE55" s="54">
        <f>Eu_tabel_a[[#This Row],[x base]]*SQRT(Eu_a_h0_x*(1-Eu_a_h0_x)/Eu_a_n_x)+Eu_a_h0_x</f>
        <v>0</v>
      </c>
      <c r="FJ55" s="144" t="e">
        <f t="shared" si="18"/>
        <v>#N/A</v>
      </c>
      <c r="FK55" s="152" t="e">
        <f t="shared" si="113"/>
        <v>#DIV/0!</v>
      </c>
      <c r="FL55" s="7" t="e">
        <f t="shared" si="12"/>
        <v>#DIV/0!</v>
      </c>
      <c r="FM55" t="e">
        <f t="shared" si="114"/>
        <v>#DIV/0!</v>
      </c>
      <c r="FN55" s="8" t="e">
        <f t="shared" si="115"/>
        <v>#DIV/0!</v>
      </c>
      <c r="FO55" s="8" t="e">
        <f t="shared" si="116"/>
        <v>#DIV/0!</v>
      </c>
      <c r="FP55" s="151" t="e">
        <f t="shared" si="117"/>
        <v>#DIV/0!</v>
      </c>
      <c r="FQ55" s="144" t="e">
        <f t="shared" ca="1" si="13"/>
        <v>#N/A</v>
      </c>
      <c r="FR55" s="152" t="e" vm="3">
        <f t="shared" ca="1" si="19"/>
        <v>#VALUE!</v>
      </c>
      <c r="FS55" s="7" t="e" vm="3">
        <f t="shared" ca="1" si="14"/>
        <v>#VALUE!</v>
      </c>
      <c r="FT55" t="e" vm="3">
        <f t="shared" ca="1" si="8"/>
        <v>#VALUE!</v>
      </c>
      <c r="FU55" s="8" t="e" vm="3">
        <f t="shared" ca="1" si="9"/>
        <v>#VALUE!</v>
      </c>
      <c r="FV55" s="8" t="e" vm="3">
        <f t="shared" ca="1" si="10"/>
        <v>#VALUE!</v>
      </c>
      <c r="FW55" s="151" t="e" vm="3">
        <f t="shared" ca="1" si="11"/>
        <v>#VALUE!</v>
      </c>
      <c r="FX55" s="144" t="e">
        <f t="shared" si="15"/>
        <v>#N/A</v>
      </c>
      <c r="FY55" s="152" t="e">
        <f t="shared" si="20"/>
        <v>#N/A</v>
      </c>
      <c r="FZ55" s="7" t="e">
        <f t="shared" si="16"/>
        <v>#N/A</v>
      </c>
      <c r="GA55" t="e">
        <f t="shared" si="21"/>
        <v>#N/A</v>
      </c>
      <c r="GB55" s="8" t="e">
        <f t="shared" si="22"/>
        <v>#N/A</v>
      </c>
      <c r="GC55" s="8" t="e">
        <f t="shared" si="23"/>
        <v>#N/A</v>
      </c>
      <c r="GD55" s="151" t="e">
        <f t="shared" si="24"/>
        <v>#N/A</v>
      </c>
      <c r="GE55" s="144" t="e">
        <f t="shared" si="25"/>
        <v>#N/A</v>
      </c>
      <c r="GF55" s="152" t="e">
        <f t="shared" si="26"/>
        <v>#N/A</v>
      </c>
      <c r="GG55" s="7" t="e">
        <f t="shared" si="17"/>
        <v>#N/A</v>
      </c>
      <c r="GH55" t="e">
        <f t="shared" si="27"/>
        <v>#N/A</v>
      </c>
      <c r="GI55" s="8" t="e">
        <f t="shared" si="28"/>
        <v>#N/A</v>
      </c>
      <c r="GJ55" s="8" t="e">
        <f t="shared" si="29"/>
        <v>#N/A</v>
      </c>
      <c r="GK55" s="151" t="e">
        <f t="shared" si="30"/>
        <v>#N/A</v>
      </c>
      <c r="GL55" s="151"/>
      <c r="GM55" s="151"/>
      <c r="GP55" s="127">
        <f t="shared" si="81"/>
        <v>45</v>
      </c>
      <c r="GQ55" s="54">
        <f t="shared" si="82"/>
        <v>46</v>
      </c>
      <c r="GR55" s="127">
        <f t="shared" si="83"/>
        <v>-2.0122442923883437</v>
      </c>
      <c r="GS55" s="127">
        <f t="shared" si="84"/>
        <v>5.2680912571830774E-2</v>
      </c>
      <c r="GT55" s="127" t="e">
        <f t="shared" si="85"/>
        <v>#N/A</v>
      </c>
      <c r="GU55" s="127" t="e">
        <f t="shared" si="86"/>
        <v>#N/A</v>
      </c>
      <c r="GV55" s="127" t="e">
        <f t="shared" si="87"/>
        <v>#N/A</v>
      </c>
      <c r="GW55" s="127" t="b">
        <f t="shared" si="88"/>
        <v>1</v>
      </c>
      <c r="GX55" s="127" t="b">
        <f t="shared" si="89"/>
        <v>0</v>
      </c>
      <c r="GY55" s="127" t="b">
        <f t="shared" si="90"/>
        <v>1</v>
      </c>
      <c r="GZ55" s="127" t="b">
        <f t="shared" si="91"/>
        <v>0</v>
      </c>
      <c r="HA55" s="127">
        <f t="shared" si="92"/>
        <v>5.2680912571830774E-2</v>
      </c>
      <c r="HB55" s="127">
        <f t="shared" si="93"/>
        <v>5.2680912571830774E-2</v>
      </c>
      <c r="HC55" s="127" t="e">
        <f t="shared" si="94"/>
        <v>#N/A</v>
      </c>
      <c r="HD55" s="128" t="str">
        <f t="shared" si="95"/>
        <v/>
      </c>
      <c r="HJ55" s="127">
        <f t="shared" si="96"/>
        <v>45</v>
      </c>
      <c r="HK55" s="54">
        <f t="shared" si="97"/>
        <v>46</v>
      </c>
      <c r="HL55" s="127">
        <f t="shared" si="98"/>
        <v>-3.116002548880775</v>
      </c>
      <c r="HM55" s="127" t="e">
        <f t="shared" si="99"/>
        <v>#N/A</v>
      </c>
      <c r="HN55" s="127">
        <f t="shared" si="100"/>
        <v>1.1857478614188162E-2</v>
      </c>
      <c r="HO55" s="127" t="e">
        <f t="shared" si="101"/>
        <v>#N/A</v>
      </c>
      <c r="HP55" s="127" t="e">
        <f t="shared" si="102"/>
        <v>#N/A</v>
      </c>
      <c r="HQ55" s="127" t="b">
        <f t="shared" si="103"/>
        <v>1</v>
      </c>
      <c r="HR55" s="127" t="b">
        <f t="shared" si="104"/>
        <v>0</v>
      </c>
      <c r="HS55" s="127" t="b">
        <f t="shared" si="105"/>
        <v>1</v>
      </c>
      <c r="HT55" s="127" t="b">
        <f t="shared" si="106"/>
        <v>0</v>
      </c>
      <c r="HU55" s="127">
        <f t="shared" si="107"/>
        <v>1.1857478614188162E-2</v>
      </c>
      <c r="HV55" s="127">
        <f t="shared" si="108"/>
        <v>1.1857478614188162E-2</v>
      </c>
      <c r="HW55" s="127" t="e">
        <f t="shared" si="109"/>
        <v>#N/A</v>
      </c>
      <c r="HX55" s="128" t="str">
        <f t="shared" si="110"/>
        <v/>
      </c>
    </row>
    <row r="56" spans="58:232" x14ac:dyDescent="0.2">
      <c r="BZ56" s="127">
        <f t="shared" si="36"/>
        <v>46</v>
      </c>
      <c r="CA56" s="54">
        <f>Eu_tabel_g[[#This Row],[Indeks]]+1</f>
        <v>47</v>
      </c>
      <c r="CB56" s="127">
        <f t="shared" si="37"/>
        <v>-1.9882890031932441</v>
      </c>
      <c r="CC56" s="127">
        <f t="shared" si="38"/>
        <v>5.5266678363017151E-2</v>
      </c>
      <c r="CD56" s="127" t="e">
        <f t="shared" si="39"/>
        <v>#N/A</v>
      </c>
      <c r="CE56" s="127" t="e">
        <f t="shared" si="40"/>
        <v>#N/A</v>
      </c>
      <c r="CF56" s="127" t="e">
        <f t="shared" si="41"/>
        <v>#N/A</v>
      </c>
      <c r="CG56" s="127" t="b">
        <f t="shared" si="42"/>
        <v>1</v>
      </c>
      <c r="CH56" s="127" t="b">
        <f t="shared" si="43"/>
        <v>0</v>
      </c>
      <c r="CI56" s="127" t="b">
        <f t="shared" si="44"/>
        <v>1</v>
      </c>
      <c r="CJ56" s="127" t="b">
        <f t="shared" si="45"/>
        <v>0</v>
      </c>
      <c r="CK56" s="127">
        <f t="shared" si="118"/>
        <v>5.5266678363017151E-2</v>
      </c>
      <c r="CL56" s="127">
        <f t="shared" si="47"/>
        <v>5.5266678363017151E-2</v>
      </c>
      <c r="CM56" s="127" t="e">
        <f t="shared" si="48"/>
        <v>#N/A</v>
      </c>
      <c r="CN56" s="128" t="str">
        <f t="shared" si="49"/>
        <v/>
      </c>
      <c r="CO56" s="54">
        <f>_xlfn.NORM.DIST(_xlfn.NORM.INV(1-Eu_g_konfidensniveau,0,1)-Eu_tabel_g[[#This Row],[x base]],0,1,TRUE)</f>
        <v>0.63436452515844188</v>
      </c>
      <c r="CP56" s="54">
        <f>1-_xlfn.NORM.DIST(_xlfn.NORM.INV(Eu_g_konfidensniveau,0,1)-Eu_tabel_g[[#This Row],[x base]],0,1,TRUE)</f>
        <v>1.3999507188600102E-4</v>
      </c>
      <c r="CQ56" s="54">
        <f>_xlfn.NORM.DIST(_xlfn.NORM.INV((1-Eu_g_konfidensniveau)/2,0,1)-Eu_tabel_g[[#This Row],[x base]],0,1,TRUE)+1-_xlfn.NORM.DIST(_xlfn.NORM.INV(1-(1-Eu_g_konfidensniveau)/2,0,1)-Eu_tabel_g[[#This Row],[x base]],0,1,TRUE)</f>
        <v>0.51133789849221656</v>
      </c>
      <c r="CR56" s="54" t="e" cm="1">
        <f t="array" ref="CR56">IF($CR$3,INDEX(Eu_tabel_g[[#This Row],[Styrke venstre]:[Styrke tosidet]],CR$7),NA())</f>
        <v>#N/A</v>
      </c>
      <c r="CS56" s="89" t="e">
        <f>Eu_tabel_g[[#This Row],[Falsk positiv
Nulhypotese accepteres
Fejltype 1]]</f>
        <v>#N/A</v>
      </c>
      <c r="CT56" s="89" t="e">
        <f>IF(CHOOSE(CR$7,Eu_tabel_g[[#This Row],[x base]]&gt;0,Eu_tabel_g[[#This Row],[x base]]&lt;0,Eu_tabel_g[[#This Row],[x base]]=0),Eu_tabel_g[[#This Row],[Styrke, aktiv]],NA())</f>
        <v>#N/A</v>
      </c>
      <c r="CU56" s="89" t="e">
        <f>IFERROR(IF($CR$3,Eu_tabel_g[[#This Row],[Styrke, aktiv]],NA()),NA())</f>
        <v>#N/A</v>
      </c>
      <c r="CV56" s="89" t="e">
        <f>IF(ISNA(Eu_tabel_g[[#This Row],[Sand negativ
Nulhypotese afvises
Korrekt]]),NA(),IF($CR$3,1,NA()))</f>
        <v>#N/A</v>
      </c>
      <c r="CW56" s="56" t="str" cm="1">
        <f t="array" ref="CW56">_xlfn.SWITCH(BZ56,_xlfn.IFNA(CU$2,-99),CU$5,_xlfn.IFNA(CU$3,-99),CU$6,_xlfn.IFNA(CU$4,-99),CU$7,"")</f>
        <v/>
      </c>
      <c r="DA56" s="7">
        <f t="shared" si="50"/>
        <v>0.8</v>
      </c>
      <c r="DB56">
        <f>IF(ROW(Styrkeberegning_G[[#This Row],[X base venstre]])=ROW(Styrkeberegning_G[[#Headers],[X base venstre]])+1,DB$7/(DA$7/$B$67),DB55/(DA55/$B$67))</f>
        <v>-2.8015817870135784</v>
      </c>
      <c r="DC56">
        <f>Styrkeberegning_G[[#This Row],[X base venstre]]*-1</f>
        <v>2.8015817870135784</v>
      </c>
      <c r="DN56" s="127">
        <f t="shared" si="51"/>
        <v>46</v>
      </c>
      <c r="DO56" s="54">
        <f t="shared" si="52"/>
        <v>47</v>
      </c>
      <c r="DP56" s="127">
        <f t="shared" si="53"/>
        <v>7.0811120598357364</v>
      </c>
      <c r="DQ56" s="127" t="e">
        <f t="shared" si="54"/>
        <v>#N/A</v>
      </c>
      <c r="DR56" s="127" t="e">
        <f t="shared" si="55"/>
        <v>#N/A</v>
      </c>
      <c r="DS56" s="127">
        <f t="shared" si="56"/>
        <v>8.1901322234579216E-2</v>
      </c>
      <c r="DT56" s="127" t="e">
        <f t="shared" si="57"/>
        <v>#N/A</v>
      </c>
      <c r="DU56" s="127" t="b">
        <f t="shared" si="58"/>
        <v>0</v>
      </c>
      <c r="DV56" s="127" t="b">
        <f t="shared" si="59"/>
        <v>1</v>
      </c>
      <c r="DW56" s="127" t="b">
        <f t="shared" si="60"/>
        <v>0</v>
      </c>
      <c r="DX56" s="127" t="b">
        <f t="shared" si="61"/>
        <v>1</v>
      </c>
      <c r="DY56" s="127">
        <f t="shared" si="62"/>
        <v>8.1901322234579216E-2</v>
      </c>
      <c r="DZ56" s="127" t="e">
        <f t="shared" si="63"/>
        <v>#N/A</v>
      </c>
      <c r="EA56" s="127">
        <f t="shared" si="64"/>
        <v>8.1901322234579216E-2</v>
      </c>
      <c r="EB56" s="128" t="str">
        <f t="shared" si="65"/>
        <v/>
      </c>
      <c r="EG56" s="127">
        <f t="shared" si="66"/>
        <v>46</v>
      </c>
      <c r="EH56" s="54">
        <f t="shared" si="67"/>
        <v>47</v>
      </c>
      <c r="EI56" s="127">
        <f t="shared" si="68"/>
        <v>-1.9882890031932441</v>
      </c>
      <c r="EJ56" s="127">
        <f t="shared" si="69"/>
        <v>5.5266678363017151E-2</v>
      </c>
      <c r="EK56" s="127" t="e">
        <f t="shared" si="70"/>
        <v>#N/A</v>
      </c>
      <c r="EL56" s="127" t="e">
        <f t="shared" si="71"/>
        <v>#N/A</v>
      </c>
      <c r="EM56" s="127" t="e">
        <f t="shared" si="72"/>
        <v>#N/A</v>
      </c>
      <c r="EN56" s="127" t="b">
        <f t="shared" si="73"/>
        <v>1</v>
      </c>
      <c r="EO56" s="127" t="b">
        <f t="shared" si="74"/>
        <v>0</v>
      </c>
      <c r="EP56" s="127" t="b">
        <f t="shared" si="75"/>
        <v>1</v>
      </c>
      <c r="EQ56" s="127" t="b">
        <f t="shared" si="76"/>
        <v>0</v>
      </c>
      <c r="ER56" s="127">
        <f t="shared" si="77"/>
        <v>5.5266678363017151E-2</v>
      </c>
      <c r="ES56" s="127">
        <f t="shared" si="78"/>
        <v>5.5266678363017151E-2</v>
      </c>
      <c r="ET56" s="127" t="e">
        <f t="shared" si="79"/>
        <v>#N/A</v>
      </c>
      <c r="EU56" s="128" t="str">
        <f t="shared" si="80"/>
        <v/>
      </c>
      <c r="EV5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5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5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56" s="54" t="e" cm="1">
        <f t="array" ref="EY56">IF($CR$3,INDEX(Eu_tabel_a[[#This Row],[Styrke venstre]:[Styrke tosidet]],EY$7),NA())</f>
        <v>#N/A</v>
      </c>
      <c r="EZ56" s="54" t="e">
        <f>IF(EY$3,IF(CHOOSE(EY$7,Eu_tabel_a[[#This Row],[x base]]&gt;0,Eu_tabel_a[[#This Row],[x base]]&lt;0,Eu_tabel_a[[#This Row],[x base]]=0),1,NA()),NA())</f>
        <v>#N/A</v>
      </c>
      <c r="FA56" s="54" t="e">
        <f>IF(CHOOSE(EY$7,Eu_tabel_a[[#This Row],[x base]]&gt;0,Eu_tabel_a[[#This Row],[x base]]&lt;0,Eu_tabel_a[[#This Row],[x base]]=0),Eu_tabel_a[[#This Row],[Styrke, aktiv]],NA())</f>
        <v>#N/A</v>
      </c>
      <c r="FB56" s="54" t="e">
        <f>IFERROR(IF($EY$3,Eu_tabel_a[[#This Row],[Styrke, aktiv]],NA()),NA())</f>
        <v>#N/A</v>
      </c>
      <c r="FC56" s="54" t="e">
        <f>IF(ISNA(Eu_tabel_a[[#This Row],[Sand negativ
Nulhypotese afvises
Korrekt]]),NA(),IF(EY$3,1,NA()))</f>
        <v>#N/A</v>
      </c>
      <c r="FD56" s="55" t="str" cm="1">
        <f t="array" ref="FD56">IFERROR(_xlfn.SWITCH(Eu_tabel_a[[#This Row],[Indeks]],_xlfn.IFNA(FB$2,-99),FB$5,_xlfn.IFNA(FB$3,-99),FB$6,_xlfn.IFNA(FB$4,-99),FB$7,""),"")</f>
        <v/>
      </c>
      <c r="FE56" s="54">
        <f>Eu_tabel_a[[#This Row],[x base]]*SQRT(Eu_a_h0_x*(1-Eu_a_h0_x)/Eu_a_n_x)+Eu_a_h0_x</f>
        <v>0</v>
      </c>
      <c r="FJ56" s="144" t="e">
        <f t="shared" si="18"/>
        <v>#N/A</v>
      </c>
      <c r="FK56" s="152" t="e">
        <f t="shared" si="113"/>
        <v>#DIV/0!</v>
      </c>
      <c r="FL56" s="7" t="e">
        <f t="shared" si="12"/>
        <v>#DIV/0!</v>
      </c>
      <c r="FM56" t="e">
        <f t="shared" si="114"/>
        <v>#DIV/0!</v>
      </c>
      <c r="FN56" s="8" t="e">
        <f t="shared" si="115"/>
        <v>#DIV/0!</v>
      </c>
      <c r="FO56" s="8" t="e">
        <f t="shared" si="116"/>
        <v>#DIV/0!</v>
      </c>
      <c r="FP56" s="151" t="e">
        <f t="shared" si="117"/>
        <v>#DIV/0!</v>
      </c>
      <c r="FQ56" s="144" t="e">
        <f t="shared" ca="1" si="13"/>
        <v>#N/A</v>
      </c>
      <c r="FR56" s="152" t="e" vm="3">
        <f t="shared" ca="1" si="19"/>
        <v>#VALUE!</v>
      </c>
      <c r="FS56" s="7" t="e" vm="3">
        <f t="shared" ca="1" si="14"/>
        <v>#VALUE!</v>
      </c>
      <c r="FT56" t="e" vm="3">
        <f t="shared" ca="1" si="8"/>
        <v>#VALUE!</v>
      </c>
      <c r="FU56" s="8" t="e" vm="3">
        <f t="shared" ca="1" si="9"/>
        <v>#VALUE!</v>
      </c>
      <c r="FV56" s="8" t="e" vm="3">
        <f t="shared" ca="1" si="10"/>
        <v>#VALUE!</v>
      </c>
      <c r="FW56" s="151" t="e" vm="3">
        <f t="shared" ca="1" si="11"/>
        <v>#VALUE!</v>
      </c>
      <c r="FX56" s="144" t="e">
        <f t="shared" si="15"/>
        <v>#N/A</v>
      </c>
      <c r="FY56" s="152" t="e">
        <f t="shared" si="20"/>
        <v>#N/A</v>
      </c>
      <c r="FZ56" s="7" t="e">
        <f t="shared" si="16"/>
        <v>#N/A</v>
      </c>
      <c r="GA56" t="e">
        <f t="shared" si="21"/>
        <v>#N/A</v>
      </c>
      <c r="GB56" s="8" t="e">
        <f t="shared" si="22"/>
        <v>#N/A</v>
      </c>
      <c r="GC56" s="8" t="e">
        <f t="shared" si="23"/>
        <v>#N/A</v>
      </c>
      <c r="GD56" s="151" t="e">
        <f t="shared" si="24"/>
        <v>#N/A</v>
      </c>
      <c r="GE56" s="144" t="e">
        <f t="shared" si="25"/>
        <v>#N/A</v>
      </c>
      <c r="GF56" s="152" t="e">
        <f t="shared" si="26"/>
        <v>#N/A</v>
      </c>
      <c r="GG56" s="7" t="e">
        <f t="shared" si="17"/>
        <v>#N/A</v>
      </c>
      <c r="GH56" t="e">
        <f t="shared" si="27"/>
        <v>#N/A</v>
      </c>
      <c r="GI56" s="8" t="e">
        <f t="shared" si="28"/>
        <v>#N/A</v>
      </c>
      <c r="GJ56" s="8" t="e">
        <f t="shared" si="29"/>
        <v>#N/A</v>
      </c>
      <c r="GK56" s="151" t="e">
        <f t="shared" si="30"/>
        <v>#N/A</v>
      </c>
      <c r="GL56" s="151"/>
      <c r="GM56" s="151"/>
      <c r="GP56" s="127">
        <f t="shared" si="81"/>
        <v>46</v>
      </c>
      <c r="GQ56" s="54">
        <f t="shared" si="82"/>
        <v>47</v>
      </c>
      <c r="GR56" s="127">
        <f t="shared" si="83"/>
        <v>-1.9882890031932441</v>
      </c>
      <c r="GS56" s="127">
        <f t="shared" si="84"/>
        <v>5.5266678363017151E-2</v>
      </c>
      <c r="GT56" s="127" t="e">
        <f t="shared" si="85"/>
        <v>#N/A</v>
      </c>
      <c r="GU56" s="127" t="e">
        <f t="shared" si="86"/>
        <v>#N/A</v>
      </c>
      <c r="GV56" s="127" t="e">
        <f t="shared" si="87"/>
        <v>#N/A</v>
      </c>
      <c r="GW56" s="127" t="b">
        <f t="shared" si="88"/>
        <v>1</v>
      </c>
      <c r="GX56" s="127" t="b">
        <f t="shared" si="89"/>
        <v>0</v>
      </c>
      <c r="GY56" s="127" t="b">
        <f t="shared" si="90"/>
        <v>1</v>
      </c>
      <c r="GZ56" s="127" t="b">
        <f t="shared" si="91"/>
        <v>0</v>
      </c>
      <c r="HA56" s="127">
        <f t="shared" si="92"/>
        <v>5.5266678363017151E-2</v>
      </c>
      <c r="HB56" s="127">
        <f t="shared" si="93"/>
        <v>5.5266678363017151E-2</v>
      </c>
      <c r="HC56" s="127" t="e">
        <f t="shared" si="94"/>
        <v>#N/A</v>
      </c>
      <c r="HD56" s="128" t="str">
        <f t="shared" si="95"/>
        <v/>
      </c>
      <c r="HJ56" s="127">
        <f t="shared" si="96"/>
        <v>46</v>
      </c>
      <c r="HK56" s="54">
        <f t="shared" si="97"/>
        <v>47</v>
      </c>
      <c r="HL56" s="127">
        <f t="shared" si="98"/>
        <v>-3.0789072804417179</v>
      </c>
      <c r="HM56" s="127" t="e">
        <f t="shared" si="99"/>
        <v>#N/A</v>
      </c>
      <c r="HN56" s="127">
        <f t="shared" si="100"/>
        <v>1.2532831418244374E-2</v>
      </c>
      <c r="HO56" s="127" t="e">
        <f t="shared" si="101"/>
        <v>#N/A</v>
      </c>
      <c r="HP56" s="127" t="e">
        <f t="shared" si="102"/>
        <v>#N/A</v>
      </c>
      <c r="HQ56" s="127" t="b">
        <f t="shared" si="103"/>
        <v>1</v>
      </c>
      <c r="HR56" s="127" t="b">
        <f t="shared" si="104"/>
        <v>0</v>
      </c>
      <c r="HS56" s="127" t="b">
        <f t="shared" si="105"/>
        <v>1</v>
      </c>
      <c r="HT56" s="127" t="b">
        <f t="shared" si="106"/>
        <v>0</v>
      </c>
      <c r="HU56" s="127">
        <f t="shared" si="107"/>
        <v>1.2532831418244374E-2</v>
      </c>
      <c r="HV56" s="127">
        <f t="shared" si="108"/>
        <v>1.2532831418244374E-2</v>
      </c>
      <c r="HW56" s="127" t="e">
        <f t="shared" si="109"/>
        <v>#N/A</v>
      </c>
      <c r="HX56" s="128" t="str">
        <f t="shared" si="110"/>
        <v/>
      </c>
    </row>
    <row r="57" spans="58:232" x14ac:dyDescent="0.2">
      <c r="BL57" s="90" t="s">
        <v>136</v>
      </c>
      <c r="BM57" s="203" t="str" cm="1">
        <f t="array" ref="BM57">INDEX(E_k_valg[Parameter],E_k_aktiv)</f>
        <v>Koefficient i regressionsmodel</v>
      </c>
      <c r="BZ57" s="127">
        <f t="shared" si="36"/>
        <v>47</v>
      </c>
      <c r="CA57" s="54">
        <f>Eu_tabel_g[[#This Row],[Indeks]]+1</f>
        <v>48</v>
      </c>
      <c r="CB57" s="127">
        <f t="shared" si="37"/>
        <v>-1.9643337139981449</v>
      </c>
      <c r="CC57" s="127">
        <f t="shared" si="38"/>
        <v>5.7946100444885101E-2</v>
      </c>
      <c r="CD57" s="127" t="e">
        <f t="shared" si="39"/>
        <v>#N/A</v>
      </c>
      <c r="CE57" s="127" t="e">
        <f t="shared" si="40"/>
        <v>#N/A</v>
      </c>
      <c r="CF57" s="127" t="e">
        <f t="shared" si="41"/>
        <v>#N/A</v>
      </c>
      <c r="CG57" s="127" t="b">
        <f t="shared" si="42"/>
        <v>1</v>
      </c>
      <c r="CH57" s="127" t="b">
        <f t="shared" si="43"/>
        <v>0</v>
      </c>
      <c r="CI57" s="127" t="b">
        <f t="shared" si="44"/>
        <v>1</v>
      </c>
      <c r="CJ57" s="127" t="b">
        <f t="shared" si="45"/>
        <v>0</v>
      </c>
      <c r="CK57" s="127">
        <f t="shared" si="118"/>
        <v>5.7946100444885101E-2</v>
      </c>
      <c r="CL57" s="127">
        <f t="shared" si="47"/>
        <v>5.7946100444885101E-2</v>
      </c>
      <c r="CM57" s="127" t="e">
        <f t="shared" si="48"/>
        <v>#N/A</v>
      </c>
      <c r="CN57" s="128">
        <f t="shared" si="49"/>
        <v>-0.58299999999999996</v>
      </c>
      <c r="CO57" s="54">
        <f>_xlfn.NORM.DIST(_xlfn.NORM.INV(1-Eu_g_konfidensniveau,0,1)-Eu_tabel_g[[#This Row],[x base]],0,1,TRUE)</f>
        <v>0.62531875545814997</v>
      </c>
      <c r="CP57" s="54">
        <f>1-_xlfn.NORM.DIST(_xlfn.NORM.INV(Eu_g_konfidensniveau,0,1)-Eu_tabel_g[[#This Row],[x base]],0,1,TRUE)</f>
        <v>1.5357886721900638E-4</v>
      </c>
      <c r="CQ57" s="54">
        <f>_xlfn.NORM.DIST(_xlfn.NORM.INV((1-Eu_g_konfidensniveau)/2,0,1)-Eu_tabel_g[[#This Row],[x base]],0,1,TRUE)+1-_xlfn.NORM.DIST(_xlfn.NORM.INV(1-(1-Eu_g_konfidensniveau)/2,0,1)-Eu_tabel_g[[#This Row],[x base]],0,1,TRUE)</f>
        <v>0.50178675584621901</v>
      </c>
      <c r="CR57" s="54" t="e" cm="1">
        <f t="array" ref="CR57">IF($CR$3,INDEX(Eu_tabel_g[[#This Row],[Styrke venstre]:[Styrke tosidet]],CR$7),NA())</f>
        <v>#N/A</v>
      </c>
      <c r="CS57" s="89" t="e">
        <f>Eu_tabel_g[[#This Row],[Falsk positiv
Nulhypotese accepteres
Fejltype 1]]</f>
        <v>#N/A</v>
      </c>
      <c r="CT57" s="89" t="e">
        <f>IF(CHOOSE(CR$7,Eu_tabel_g[[#This Row],[x base]]&gt;0,Eu_tabel_g[[#This Row],[x base]]&lt;0,Eu_tabel_g[[#This Row],[x base]]=0),Eu_tabel_g[[#This Row],[Styrke, aktiv]],NA())</f>
        <v>#N/A</v>
      </c>
      <c r="CU57" s="89" t="e">
        <f>IFERROR(IF($CR$3,Eu_tabel_g[[#This Row],[Styrke, aktiv]],NA()),NA())</f>
        <v>#N/A</v>
      </c>
      <c r="CV57" s="89" t="e">
        <f>IF(ISNA(Eu_tabel_g[[#This Row],[Sand negativ
Nulhypotese afvises
Korrekt]]),NA(),IF($CR$3,1,NA()))</f>
        <v>#N/A</v>
      </c>
      <c r="CW57" s="56" t="str" cm="1">
        <f t="array" ref="CW57">_xlfn.SWITCH(BZ57,_xlfn.IFNA(CU$2,-99),CU$5,_xlfn.IFNA(CU$3,-99),CU$6,_xlfn.IFNA(CU$4,-99),CU$7,"")</f>
        <v/>
      </c>
      <c r="DA57" s="7">
        <f t="shared" si="50"/>
        <v>0.8</v>
      </c>
      <c r="DB57">
        <f>IF(ROW(Styrkeberegning_G[[#This Row],[X base venstre]])=ROW(Styrkeberegning_G[[#Headers],[X base venstre]])+1,DB$7/(DA$7/$B$67),DB56/(DA56/$B$67))</f>
        <v>-2.8015817870135784</v>
      </c>
      <c r="DC57">
        <f>Styrkeberegning_G[[#This Row],[X base venstre]]*-1</f>
        <v>2.8015817870135784</v>
      </c>
      <c r="DN57" s="127">
        <f t="shared" si="51"/>
        <v>47</v>
      </c>
      <c r="DO57" s="54">
        <f t="shared" si="52"/>
        <v>48</v>
      </c>
      <c r="DP57" s="127">
        <f t="shared" si="53"/>
        <v>7.1951829162527376</v>
      </c>
      <c r="DQ57" s="127" t="e">
        <f t="shared" si="54"/>
        <v>#N/A</v>
      </c>
      <c r="DR57" s="127" t="e">
        <f t="shared" si="55"/>
        <v>#N/A</v>
      </c>
      <c r="DS57" s="127">
        <f t="shared" si="56"/>
        <v>8.3128972917823465E-2</v>
      </c>
      <c r="DT57" s="127" t="e">
        <f t="shared" si="57"/>
        <v>#N/A</v>
      </c>
      <c r="DU57" s="127" t="b">
        <f t="shared" si="58"/>
        <v>0</v>
      </c>
      <c r="DV57" s="127" t="b">
        <f t="shared" si="59"/>
        <v>1</v>
      </c>
      <c r="DW57" s="127" t="b">
        <f t="shared" si="60"/>
        <v>0</v>
      </c>
      <c r="DX57" s="127" t="b">
        <f t="shared" si="61"/>
        <v>1</v>
      </c>
      <c r="DY57" s="127">
        <f t="shared" si="62"/>
        <v>8.3128972917823465E-2</v>
      </c>
      <c r="DZ57" s="127" t="e">
        <f t="shared" si="63"/>
        <v>#N/A</v>
      </c>
      <c r="EA57" s="127">
        <f t="shared" si="64"/>
        <v>8.3128972917823465E-2</v>
      </c>
      <c r="EB57" s="128" t="str">
        <f t="shared" si="65"/>
        <v/>
      </c>
      <c r="EG57" s="127">
        <f t="shared" si="66"/>
        <v>47</v>
      </c>
      <c r="EH57" s="54">
        <f t="shared" si="67"/>
        <v>48</v>
      </c>
      <c r="EI57" s="127">
        <f t="shared" si="68"/>
        <v>-1.9643337139981449</v>
      </c>
      <c r="EJ57" s="127">
        <f t="shared" si="69"/>
        <v>5.7946100444885101E-2</v>
      </c>
      <c r="EK57" s="127" t="e">
        <f t="shared" si="70"/>
        <v>#N/A</v>
      </c>
      <c r="EL57" s="127" t="e">
        <f t="shared" si="71"/>
        <v>#N/A</v>
      </c>
      <c r="EM57" s="127" t="e">
        <f t="shared" si="72"/>
        <v>#N/A</v>
      </c>
      <c r="EN57" s="127" t="b">
        <f t="shared" si="73"/>
        <v>1</v>
      </c>
      <c r="EO57" s="127" t="b">
        <f t="shared" si="74"/>
        <v>0</v>
      </c>
      <c r="EP57" s="127" t="b">
        <f t="shared" si="75"/>
        <v>1</v>
      </c>
      <c r="EQ57" s="127" t="b">
        <f t="shared" si="76"/>
        <v>0</v>
      </c>
      <c r="ER57" s="127">
        <f t="shared" si="77"/>
        <v>5.7946100444885101E-2</v>
      </c>
      <c r="ES57" s="127">
        <f t="shared" si="78"/>
        <v>5.7946100444885101E-2</v>
      </c>
      <c r="ET57" s="127" t="e">
        <f t="shared" si="79"/>
        <v>#N/A</v>
      </c>
      <c r="EU57" s="128" t="str">
        <f t="shared" si="80"/>
        <v>20.06%</v>
      </c>
      <c r="EV5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5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5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57" s="54" t="e" cm="1">
        <f t="array" ref="EY57">IF($CR$3,INDEX(Eu_tabel_a[[#This Row],[Styrke venstre]:[Styrke tosidet]],EY$7),NA())</f>
        <v>#N/A</v>
      </c>
      <c r="EZ57" s="54" t="e">
        <f>IF(EY$3,IF(CHOOSE(EY$7,Eu_tabel_a[[#This Row],[x base]]&gt;0,Eu_tabel_a[[#This Row],[x base]]&lt;0,Eu_tabel_a[[#This Row],[x base]]=0),1,NA()),NA())</f>
        <v>#N/A</v>
      </c>
      <c r="FA57" s="54" t="e">
        <f>IF(CHOOSE(EY$7,Eu_tabel_a[[#This Row],[x base]]&gt;0,Eu_tabel_a[[#This Row],[x base]]&lt;0,Eu_tabel_a[[#This Row],[x base]]=0),Eu_tabel_a[[#This Row],[Styrke, aktiv]],NA())</f>
        <v>#N/A</v>
      </c>
      <c r="FB57" s="54" t="e">
        <f>IFERROR(IF($EY$3,Eu_tabel_a[[#This Row],[Styrke, aktiv]],NA()),NA())</f>
        <v>#N/A</v>
      </c>
      <c r="FC57" s="54" t="e">
        <f>IF(ISNA(Eu_tabel_a[[#This Row],[Sand negativ
Nulhypotese afvises
Korrekt]]),NA(),IF(EY$3,1,NA()))</f>
        <v>#N/A</v>
      </c>
      <c r="FD57" s="55" t="str" cm="1">
        <f t="array" ref="FD57">IFERROR(_xlfn.SWITCH(Eu_tabel_a[[#This Row],[Indeks]],_xlfn.IFNA(FB$2,-99),FB$5,_xlfn.IFNA(FB$3,-99),FB$6,_xlfn.IFNA(FB$4,-99),FB$7,""),"")</f>
        <v/>
      </c>
      <c r="FE57" s="54">
        <f>Eu_tabel_a[[#This Row],[x base]]*SQRT(Eu_a_h0_x*(1-Eu_a_h0_x)/Eu_a_n_x)+Eu_a_h0_x</f>
        <v>0</v>
      </c>
      <c r="FJ57" s="144" t="e">
        <f t="shared" si="18"/>
        <v>#N/A</v>
      </c>
      <c r="FK57" s="152" t="e">
        <f t="shared" si="113"/>
        <v>#DIV/0!</v>
      </c>
      <c r="FL57" s="7" t="e">
        <f t="shared" si="12"/>
        <v>#DIV/0!</v>
      </c>
      <c r="FM57" t="e">
        <f t="shared" si="114"/>
        <v>#DIV/0!</v>
      </c>
      <c r="FN57" s="8" t="e">
        <f t="shared" si="115"/>
        <v>#DIV/0!</v>
      </c>
      <c r="FO57" s="8" t="e">
        <f t="shared" si="116"/>
        <v>#DIV/0!</v>
      </c>
      <c r="FP57" s="151" t="e">
        <f t="shared" si="117"/>
        <v>#DIV/0!</v>
      </c>
      <c r="FQ57" s="144" t="e">
        <f t="shared" ca="1" si="13"/>
        <v>#N/A</v>
      </c>
      <c r="FR57" s="152" t="e" vm="3">
        <f t="shared" ca="1" si="19"/>
        <v>#VALUE!</v>
      </c>
      <c r="FS57" s="7" t="e" vm="3">
        <f t="shared" ca="1" si="14"/>
        <v>#VALUE!</v>
      </c>
      <c r="FT57" t="e" vm="3">
        <f t="shared" ca="1" si="8"/>
        <v>#VALUE!</v>
      </c>
      <c r="FU57" s="8" t="e" vm="3">
        <f t="shared" ca="1" si="9"/>
        <v>#VALUE!</v>
      </c>
      <c r="FV57" s="8" t="e" vm="3">
        <f t="shared" ca="1" si="10"/>
        <v>#VALUE!</v>
      </c>
      <c r="FW57" s="151" t="e" vm="3">
        <f t="shared" ca="1" si="11"/>
        <v>#VALUE!</v>
      </c>
      <c r="FX57" s="144" t="e">
        <f t="shared" si="15"/>
        <v>#N/A</v>
      </c>
      <c r="FY57" s="152" t="e">
        <f t="shared" si="20"/>
        <v>#N/A</v>
      </c>
      <c r="FZ57" s="7" t="e">
        <f t="shared" si="16"/>
        <v>#N/A</v>
      </c>
      <c r="GA57" t="e">
        <f t="shared" si="21"/>
        <v>#N/A</v>
      </c>
      <c r="GB57" s="8" t="e">
        <f t="shared" si="22"/>
        <v>#N/A</v>
      </c>
      <c r="GC57" s="8" t="e">
        <f t="shared" si="23"/>
        <v>#N/A</v>
      </c>
      <c r="GD57" s="151" t="e">
        <f t="shared" si="24"/>
        <v>#N/A</v>
      </c>
      <c r="GE57" s="144" t="e">
        <f t="shared" si="25"/>
        <v>#N/A</v>
      </c>
      <c r="GF57" s="152" t="e">
        <f t="shared" si="26"/>
        <v>#N/A</v>
      </c>
      <c r="GG57" s="7" t="e">
        <f t="shared" si="17"/>
        <v>#N/A</v>
      </c>
      <c r="GH57" t="e">
        <f t="shared" si="27"/>
        <v>#N/A</v>
      </c>
      <c r="GI57" s="8" t="e">
        <f t="shared" si="28"/>
        <v>#N/A</v>
      </c>
      <c r="GJ57" s="8" t="e">
        <f t="shared" si="29"/>
        <v>#N/A</v>
      </c>
      <c r="GK57" s="151" t="e">
        <f t="shared" si="30"/>
        <v>#N/A</v>
      </c>
      <c r="GL57" s="151"/>
      <c r="GM57" s="151"/>
      <c r="GP57" s="127">
        <f t="shared" si="81"/>
        <v>47</v>
      </c>
      <c r="GQ57" s="54">
        <f t="shared" si="82"/>
        <v>48</v>
      </c>
      <c r="GR57" s="127">
        <f t="shared" si="83"/>
        <v>-1.9643337139981449</v>
      </c>
      <c r="GS57" s="127">
        <f t="shared" si="84"/>
        <v>5.7946100444885101E-2</v>
      </c>
      <c r="GT57" s="127" t="e">
        <f t="shared" si="85"/>
        <v>#N/A</v>
      </c>
      <c r="GU57" s="127" t="e">
        <f t="shared" si="86"/>
        <v>#N/A</v>
      </c>
      <c r="GV57" s="127" t="e">
        <f t="shared" si="87"/>
        <v>#N/A</v>
      </c>
      <c r="GW57" s="127" t="b">
        <f t="shared" si="88"/>
        <v>1</v>
      </c>
      <c r="GX57" s="127" t="b">
        <f t="shared" si="89"/>
        <v>0</v>
      </c>
      <c r="GY57" s="127" t="b">
        <f t="shared" si="90"/>
        <v>1</v>
      </c>
      <c r="GZ57" s="127" t="b">
        <f t="shared" si="91"/>
        <v>0</v>
      </c>
      <c r="HA57" s="127">
        <f t="shared" si="92"/>
        <v>5.7946100444885101E-2</v>
      </c>
      <c r="HB57" s="127">
        <f t="shared" si="93"/>
        <v>5.7946100444885101E-2</v>
      </c>
      <c r="HC57" s="127" t="e">
        <f t="shared" si="94"/>
        <v>#N/A</v>
      </c>
      <c r="HD57" s="128">
        <f t="shared" si="95"/>
        <v>1.0840000000000001</v>
      </c>
      <c r="HJ57" s="127">
        <f t="shared" si="96"/>
        <v>47</v>
      </c>
      <c r="HK57" s="54">
        <f t="shared" si="97"/>
        <v>48</v>
      </c>
      <c r="HL57" s="127">
        <f t="shared" si="98"/>
        <v>-3.0418120120026613</v>
      </c>
      <c r="HM57" s="127" t="e">
        <f t="shared" si="99"/>
        <v>#N/A</v>
      </c>
      <c r="HN57" s="127">
        <f t="shared" si="100"/>
        <v>1.3247980696787178E-2</v>
      </c>
      <c r="HO57" s="127" t="e">
        <f t="shared" si="101"/>
        <v>#N/A</v>
      </c>
      <c r="HP57" s="127" t="e">
        <f t="shared" si="102"/>
        <v>#N/A</v>
      </c>
      <c r="HQ57" s="127" t="b">
        <f t="shared" si="103"/>
        <v>1</v>
      </c>
      <c r="HR57" s="127" t="b">
        <f t="shared" si="104"/>
        <v>0</v>
      </c>
      <c r="HS57" s="127" t="b">
        <f t="shared" si="105"/>
        <v>1</v>
      </c>
      <c r="HT57" s="127" t="b">
        <f t="shared" si="106"/>
        <v>0</v>
      </c>
      <c r="HU57" s="127">
        <f t="shared" si="107"/>
        <v>1.3247980696787178E-2</v>
      </c>
      <c r="HV57" s="127">
        <f t="shared" si="108"/>
        <v>1.3247980696787178E-2</v>
      </c>
      <c r="HW57" s="127" t="e">
        <f t="shared" si="109"/>
        <v>#N/A</v>
      </c>
      <c r="HX57" s="128" t="str">
        <f t="shared" si="110"/>
        <v/>
      </c>
    </row>
    <row r="58" spans="58:232" x14ac:dyDescent="0.2">
      <c r="BL58" s="90" t="s">
        <v>143</v>
      </c>
      <c r="BM58" s="203" t="str" cm="1">
        <f t="array" ref="BM58">INDEX(E_k_valg[Hypotesetype],E_k_aktiv)</f>
        <v>Venstresidet hypotese om værdi</v>
      </c>
      <c r="BZ58" s="127">
        <f t="shared" si="36"/>
        <v>48</v>
      </c>
      <c r="CA58" s="54">
        <f>Eu_tabel_g[[#This Row],[Indeks]]+1</f>
        <v>49</v>
      </c>
      <c r="CB58" s="127">
        <f t="shared" si="37"/>
        <v>-1.9403784248030456</v>
      </c>
      <c r="CC58" s="127">
        <f t="shared" si="38"/>
        <v>6.0720570586669888E-2</v>
      </c>
      <c r="CD58" s="127" t="e">
        <f t="shared" si="39"/>
        <v>#N/A</v>
      </c>
      <c r="CE58" s="127" t="e">
        <f t="shared" si="40"/>
        <v>#N/A</v>
      </c>
      <c r="CF58" s="127" t="e">
        <f t="shared" si="41"/>
        <v>#N/A</v>
      </c>
      <c r="CG58" s="127" t="b">
        <f t="shared" si="42"/>
        <v>0</v>
      </c>
      <c r="CH58" s="127" t="b">
        <f t="shared" si="43"/>
        <v>1</v>
      </c>
      <c r="CI58" s="127" t="b">
        <f t="shared" si="44"/>
        <v>0</v>
      </c>
      <c r="CJ58" s="127" t="b">
        <f t="shared" si="45"/>
        <v>1</v>
      </c>
      <c r="CK58" s="127">
        <f t="shared" si="118"/>
        <v>6.0720570586669888E-2</v>
      </c>
      <c r="CL58" s="127" t="e">
        <f t="shared" si="47"/>
        <v>#N/A</v>
      </c>
      <c r="CM58" s="127">
        <f t="shared" si="48"/>
        <v>6.0720570586669888E-2</v>
      </c>
      <c r="CN58" s="128" t="str">
        <f t="shared" si="49"/>
        <v/>
      </c>
      <c r="CO58" s="54">
        <f>_xlfn.NORM.DIST(_xlfn.NORM.INV(1-Eu_g_konfidensniveau,0,1)-Eu_tabel_g[[#This Row],[x base]],0,1,TRUE)</f>
        <v>0.61620349407481712</v>
      </c>
      <c r="CP58" s="54">
        <f>1-_xlfn.NORM.DIST(_xlfn.NORM.INV(Eu_g_konfidensniveau,0,1)-Eu_tabel_g[[#This Row],[x base]],0,1,TRUE)</f>
        <v>1.6838931044338423E-4</v>
      </c>
      <c r="CQ58" s="54">
        <f>_xlfn.NORM.DIST(_xlfn.NORM.INV((1-Eu_g_konfidensniveau)/2,0,1)-Eu_tabel_g[[#This Row],[x base]],0,1,TRUE)+1-_xlfn.NORM.DIST(_xlfn.NORM.INV(1-(1-Eu_g_konfidensniveau)/2,0,1)-Eu_tabel_g[[#This Row],[x base]],0,1,TRUE)</f>
        <v>0.49223502001074981</v>
      </c>
      <c r="CR58" s="54" t="e" cm="1">
        <f t="array" ref="CR58">IF($CR$3,INDEX(Eu_tabel_g[[#This Row],[Styrke venstre]:[Styrke tosidet]],CR$7),NA())</f>
        <v>#N/A</v>
      </c>
      <c r="CS58" s="89" t="e">
        <f>Eu_tabel_g[[#This Row],[Falsk positiv
Nulhypotese accepteres
Fejltype 1]]</f>
        <v>#N/A</v>
      </c>
      <c r="CT58" s="89" t="e">
        <f>IF(CHOOSE(CR$7,Eu_tabel_g[[#This Row],[x base]]&gt;0,Eu_tabel_g[[#This Row],[x base]]&lt;0,Eu_tabel_g[[#This Row],[x base]]=0),Eu_tabel_g[[#This Row],[Styrke, aktiv]],NA())</f>
        <v>#N/A</v>
      </c>
      <c r="CU58" s="89" t="e">
        <f>IFERROR(IF($CR$3,Eu_tabel_g[[#This Row],[Styrke, aktiv]],NA()),NA())</f>
        <v>#N/A</v>
      </c>
      <c r="CV58" s="89" t="e">
        <f>IF(ISNA(Eu_tabel_g[[#This Row],[Sand negativ
Nulhypotese afvises
Korrekt]]),NA(),IF($CR$3,1,NA()))</f>
        <v>#N/A</v>
      </c>
      <c r="CW58" s="56" t="str" cm="1">
        <f t="array" ref="CW58">_xlfn.SWITCH(BZ58,_xlfn.IFNA(CU$2,-99),CU$5,_xlfn.IFNA(CU$3,-99),CU$6,_xlfn.IFNA(CU$4,-99),CU$7,"")</f>
        <v/>
      </c>
      <c r="DA58" s="7">
        <f t="shared" si="50"/>
        <v>0.8</v>
      </c>
      <c r="DB58">
        <f>IF(ROW(Styrkeberegning_G[[#This Row],[X base venstre]])=ROW(Styrkeberegning_G[[#Headers],[X base venstre]])+1,DB$7/(DA$7/$B$67),DB57/(DA57/$B$67))</f>
        <v>-2.8015817870135784</v>
      </c>
      <c r="DC58">
        <f>Styrkeberegning_G[[#This Row],[X base venstre]]*-1</f>
        <v>2.8015817870135784</v>
      </c>
      <c r="DN58" s="127">
        <f t="shared" si="51"/>
        <v>48</v>
      </c>
      <c r="DO58" s="54">
        <f t="shared" si="52"/>
        <v>49</v>
      </c>
      <c r="DP58" s="127">
        <f t="shared" si="53"/>
        <v>7.3092537726697389</v>
      </c>
      <c r="DQ58" s="127" t="e">
        <f t="shared" si="54"/>
        <v>#N/A</v>
      </c>
      <c r="DR58" s="127" t="e">
        <f t="shared" si="55"/>
        <v>#N/A</v>
      </c>
      <c r="DS58" s="127">
        <f t="shared" si="56"/>
        <v>8.4279635710785644E-2</v>
      </c>
      <c r="DT58" s="127" t="e">
        <f t="shared" si="57"/>
        <v>#N/A</v>
      </c>
      <c r="DU58" s="127" t="b">
        <f t="shared" si="58"/>
        <v>0</v>
      </c>
      <c r="DV58" s="127" t="b">
        <f t="shared" si="59"/>
        <v>1</v>
      </c>
      <c r="DW58" s="127" t="b">
        <f t="shared" si="60"/>
        <v>0</v>
      </c>
      <c r="DX58" s="127" t="b">
        <f t="shared" si="61"/>
        <v>1</v>
      </c>
      <c r="DY58" s="127">
        <f t="shared" si="62"/>
        <v>8.4279635710785644E-2</v>
      </c>
      <c r="DZ58" s="127" t="e">
        <f t="shared" si="63"/>
        <v>#N/A</v>
      </c>
      <c r="EA58" s="127">
        <f t="shared" si="64"/>
        <v>8.4279635710785644E-2</v>
      </c>
      <c r="EB58" s="128" t="str">
        <f t="shared" si="65"/>
        <v/>
      </c>
      <c r="EG58" s="127">
        <f t="shared" si="66"/>
        <v>48</v>
      </c>
      <c r="EH58" s="54">
        <f t="shared" si="67"/>
        <v>49</v>
      </c>
      <c r="EI58" s="127">
        <f t="shared" si="68"/>
        <v>-1.9403784248030456</v>
      </c>
      <c r="EJ58" s="127">
        <f t="shared" si="69"/>
        <v>6.0720570586669888E-2</v>
      </c>
      <c r="EK58" s="127" t="e">
        <f t="shared" si="70"/>
        <v>#N/A</v>
      </c>
      <c r="EL58" s="127" t="e">
        <f t="shared" si="71"/>
        <v>#N/A</v>
      </c>
      <c r="EM58" s="127" t="e">
        <f t="shared" si="72"/>
        <v>#N/A</v>
      </c>
      <c r="EN58" s="127" t="b">
        <f t="shared" si="73"/>
        <v>0</v>
      </c>
      <c r="EO58" s="127" t="b">
        <f t="shared" si="74"/>
        <v>1</v>
      </c>
      <c r="EP58" s="127" t="b">
        <f t="shared" si="75"/>
        <v>0</v>
      </c>
      <c r="EQ58" s="127" t="b">
        <f t="shared" si="76"/>
        <v>1</v>
      </c>
      <c r="ER58" s="127">
        <f t="shared" si="77"/>
        <v>6.0720570586669888E-2</v>
      </c>
      <c r="ES58" s="127" t="e">
        <f t="shared" si="78"/>
        <v>#N/A</v>
      </c>
      <c r="ET58" s="127">
        <f t="shared" si="79"/>
        <v>6.0720570586669888E-2</v>
      </c>
      <c r="EU58" s="128" t="str">
        <f t="shared" si="80"/>
        <v/>
      </c>
      <c r="EV5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5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5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58" s="54" t="e" cm="1">
        <f t="array" ref="EY58">IF($CR$3,INDEX(Eu_tabel_a[[#This Row],[Styrke venstre]:[Styrke tosidet]],EY$7),NA())</f>
        <v>#N/A</v>
      </c>
      <c r="EZ58" s="54" t="e">
        <f>IF(EY$3,IF(CHOOSE(EY$7,Eu_tabel_a[[#This Row],[x base]]&gt;0,Eu_tabel_a[[#This Row],[x base]]&lt;0,Eu_tabel_a[[#This Row],[x base]]=0),1,NA()),NA())</f>
        <v>#N/A</v>
      </c>
      <c r="FA58" s="54" t="e">
        <f>IF(CHOOSE(EY$7,Eu_tabel_a[[#This Row],[x base]]&gt;0,Eu_tabel_a[[#This Row],[x base]]&lt;0,Eu_tabel_a[[#This Row],[x base]]=0),Eu_tabel_a[[#This Row],[Styrke, aktiv]],NA())</f>
        <v>#N/A</v>
      </c>
      <c r="FB58" s="54" t="e">
        <f>IFERROR(IF($EY$3,Eu_tabel_a[[#This Row],[Styrke, aktiv]],NA()),NA())</f>
        <v>#N/A</v>
      </c>
      <c r="FC58" s="54" t="e">
        <f>IF(ISNA(Eu_tabel_a[[#This Row],[Sand negativ
Nulhypotese afvises
Korrekt]]),NA(),IF(EY$3,1,NA()))</f>
        <v>#N/A</v>
      </c>
      <c r="FD58" s="55" t="str" cm="1">
        <f t="array" ref="FD58">IFERROR(_xlfn.SWITCH(Eu_tabel_a[[#This Row],[Indeks]],_xlfn.IFNA(FB$2,-99),FB$5,_xlfn.IFNA(FB$3,-99),FB$6,_xlfn.IFNA(FB$4,-99),FB$7,""),"")</f>
        <v/>
      </c>
      <c r="FE58" s="54">
        <f>Eu_tabel_a[[#This Row],[x base]]*SQRT(Eu_a_h0_x*(1-Eu_a_h0_x)/Eu_a_n_x)+Eu_a_h0_x</f>
        <v>0</v>
      </c>
      <c r="FJ58" s="144" t="e">
        <f t="shared" si="18"/>
        <v>#N/A</v>
      </c>
      <c r="FK58" s="152" t="e">
        <f t="shared" si="113"/>
        <v>#DIV/0!</v>
      </c>
      <c r="FL58" s="7" t="e">
        <f t="shared" si="12"/>
        <v>#DIV/0!</v>
      </c>
      <c r="FM58" t="e">
        <f t="shared" si="114"/>
        <v>#DIV/0!</v>
      </c>
      <c r="FN58" s="8" t="e">
        <f t="shared" si="115"/>
        <v>#DIV/0!</v>
      </c>
      <c r="FO58" s="8" t="e">
        <f t="shared" si="116"/>
        <v>#DIV/0!</v>
      </c>
      <c r="FP58" s="151" t="e">
        <f t="shared" si="117"/>
        <v>#DIV/0!</v>
      </c>
      <c r="FQ58" s="144" t="e">
        <f t="shared" ca="1" si="13"/>
        <v>#N/A</v>
      </c>
      <c r="FR58" s="152" t="e" vm="3">
        <f t="shared" ca="1" si="19"/>
        <v>#VALUE!</v>
      </c>
      <c r="FS58" s="7" t="e" vm="3">
        <f t="shared" ca="1" si="14"/>
        <v>#VALUE!</v>
      </c>
      <c r="FT58" t="e" vm="3">
        <f t="shared" ca="1" si="8"/>
        <v>#VALUE!</v>
      </c>
      <c r="FU58" s="8" t="e" vm="3">
        <f t="shared" ca="1" si="9"/>
        <v>#VALUE!</v>
      </c>
      <c r="FV58" s="8" t="e" vm="3">
        <f t="shared" ca="1" si="10"/>
        <v>#VALUE!</v>
      </c>
      <c r="FW58" s="151" t="e" vm="3">
        <f t="shared" ca="1" si="11"/>
        <v>#VALUE!</v>
      </c>
      <c r="FX58" s="144" t="e">
        <f t="shared" si="15"/>
        <v>#N/A</v>
      </c>
      <c r="FY58" s="152" t="e">
        <f t="shared" si="20"/>
        <v>#N/A</v>
      </c>
      <c r="FZ58" s="7" t="e">
        <f t="shared" si="16"/>
        <v>#N/A</v>
      </c>
      <c r="GA58" t="e">
        <f t="shared" si="21"/>
        <v>#N/A</v>
      </c>
      <c r="GB58" s="8" t="e">
        <f t="shared" si="22"/>
        <v>#N/A</v>
      </c>
      <c r="GC58" s="8" t="e">
        <f t="shared" si="23"/>
        <v>#N/A</v>
      </c>
      <c r="GD58" s="151" t="e">
        <f t="shared" si="24"/>
        <v>#N/A</v>
      </c>
      <c r="GE58" s="144" t="e">
        <f t="shared" si="25"/>
        <v>#N/A</v>
      </c>
      <c r="GF58" s="152" t="e">
        <f t="shared" si="26"/>
        <v>#N/A</v>
      </c>
      <c r="GG58" s="7" t="e">
        <f t="shared" si="17"/>
        <v>#N/A</v>
      </c>
      <c r="GH58" t="e">
        <f t="shared" si="27"/>
        <v>#N/A</v>
      </c>
      <c r="GI58" s="8" t="e">
        <f t="shared" si="28"/>
        <v>#N/A</v>
      </c>
      <c r="GJ58" s="8" t="e">
        <f t="shared" si="29"/>
        <v>#N/A</v>
      </c>
      <c r="GK58" s="151" t="e">
        <f t="shared" si="30"/>
        <v>#N/A</v>
      </c>
      <c r="GL58" s="151"/>
      <c r="GM58" s="151"/>
      <c r="GP58" s="127">
        <f t="shared" si="81"/>
        <v>48</v>
      </c>
      <c r="GQ58" s="54">
        <f t="shared" si="82"/>
        <v>49</v>
      </c>
      <c r="GR58" s="127">
        <f t="shared" si="83"/>
        <v>-1.9403784248030456</v>
      </c>
      <c r="GS58" s="127">
        <f t="shared" si="84"/>
        <v>6.0720570586669888E-2</v>
      </c>
      <c r="GT58" s="127" t="e">
        <f t="shared" si="85"/>
        <v>#N/A</v>
      </c>
      <c r="GU58" s="127" t="e">
        <f t="shared" si="86"/>
        <v>#N/A</v>
      </c>
      <c r="GV58" s="127" t="e">
        <f t="shared" si="87"/>
        <v>#N/A</v>
      </c>
      <c r="GW58" s="127" t="b">
        <f t="shared" si="88"/>
        <v>0</v>
      </c>
      <c r="GX58" s="127" t="b">
        <f t="shared" si="89"/>
        <v>1</v>
      </c>
      <c r="GY58" s="127" t="b">
        <f t="shared" si="90"/>
        <v>0</v>
      </c>
      <c r="GZ58" s="127" t="b">
        <f t="shared" si="91"/>
        <v>1</v>
      </c>
      <c r="HA58" s="127">
        <f t="shared" si="92"/>
        <v>6.0720570586669888E-2</v>
      </c>
      <c r="HB58" s="127" t="e">
        <f t="shared" si="93"/>
        <v>#N/A</v>
      </c>
      <c r="HC58" s="127">
        <f t="shared" si="94"/>
        <v>6.0720570586669888E-2</v>
      </c>
      <c r="HD58" s="128" t="str">
        <f t="shared" si="95"/>
        <v/>
      </c>
      <c r="HJ58" s="127">
        <f t="shared" si="96"/>
        <v>48</v>
      </c>
      <c r="HK58" s="54">
        <f t="shared" si="97"/>
        <v>49</v>
      </c>
      <c r="HL58" s="127">
        <f t="shared" si="98"/>
        <v>-3.0047167435636046</v>
      </c>
      <c r="HM58" s="127" t="e">
        <f t="shared" si="99"/>
        <v>#N/A</v>
      </c>
      <c r="HN58" s="127">
        <f t="shared" si="100"/>
        <v>1.4005252222668935E-2</v>
      </c>
      <c r="HO58" s="127" t="e">
        <f t="shared" si="101"/>
        <v>#N/A</v>
      </c>
      <c r="HP58" s="127" t="e">
        <f t="shared" si="102"/>
        <v>#N/A</v>
      </c>
      <c r="HQ58" s="127" t="b">
        <f t="shared" si="103"/>
        <v>1</v>
      </c>
      <c r="HR58" s="127" t="b">
        <f t="shared" si="104"/>
        <v>0</v>
      </c>
      <c r="HS58" s="127" t="b">
        <f t="shared" si="105"/>
        <v>1</v>
      </c>
      <c r="HT58" s="127" t="b">
        <f t="shared" si="106"/>
        <v>0</v>
      </c>
      <c r="HU58" s="127">
        <f t="shared" si="107"/>
        <v>1.4005252222668935E-2</v>
      </c>
      <c r="HV58" s="127">
        <f t="shared" si="108"/>
        <v>1.4005252222668935E-2</v>
      </c>
      <c r="HW58" s="127" t="e">
        <f t="shared" si="109"/>
        <v>#N/A</v>
      </c>
      <c r="HX58" s="128" t="str">
        <f t="shared" si="110"/>
        <v/>
      </c>
    </row>
    <row r="59" spans="58:232" x14ac:dyDescent="0.2">
      <c r="BL59" s="90" t="s">
        <v>219</v>
      </c>
      <c r="BM59" s="203" t="str" cm="1">
        <f t="array" ref="BM59">INDEX(E_k_valg[Beregningsmetode],E_k_aktiv)</f>
        <v>t-fordeling</v>
      </c>
      <c r="BZ59" s="127">
        <f t="shared" si="36"/>
        <v>49</v>
      </c>
      <c r="CA59" s="54">
        <f>Eu_tabel_g[[#This Row],[Indeks]]+1</f>
        <v>50</v>
      </c>
      <c r="CB59" s="127">
        <f t="shared" si="37"/>
        <v>-1.9164231356079462</v>
      </c>
      <c r="CC59" s="127">
        <f t="shared" si="38"/>
        <v>6.3591380118377214E-2</v>
      </c>
      <c r="CD59" s="127" t="e">
        <f t="shared" si="39"/>
        <v>#N/A</v>
      </c>
      <c r="CE59" s="127" t="e">
        <f t="shared" si="40"/>
        <v>#N/A</v>
      </c>
      <c r="CF59" s="127" t="e">
        <f t="shared" si="41"/>
        <v>#N/A</v>
      </c>
      <c r="CG59" s="127" t="b">
        <f t="shared" si="42"/>
        <v>0</v>
      </c>
      <c r="CH59" s="127" t="b">
        <f t="shared" si="43"/>
        <v>1</v>
      </c>
      <c r="CI59" s="127" t="b">
        <f t="shared" si="44"/>
        <v>0</v>
      </c>
      <c r="CJ59" s="127" t="b">
        <f t="shared" si="45"/>
        <v>1</v>
      </c>
      <c r="CK59" s="127">
        <f t="shared" si="118"/>
        <v>6.3591380118377214E-2</v>
      </c>
      <c r="CL59" s="127" t="e">
        <f t="shared" si="47"/>
        <v>#N/A</v>
      </c>
      <c r="CM59" s="127">
        <f t="shared" si="48"/>
        <v>6.3591380118377214E-2</v>
      </c>
      <c r="CN59" s="128" t="str">
        <f t="shared" si="49"/>
        <v/>
      </c>
      <c r="CO59" s="54">
        <f>_xlfn.NORM.DIST(_xlfn.NORM.INV(1-Eu_g_konfidensniveau,0,1)-Eu_tabel_g[[#This Row],[x base]],0,1,TRUE)</f>
        <v>0.60702347642423038</v>
      </c>
      <c r="CP59" s="54">
        <f>1-_xlfn.NORM.DIST(_xlfn.NORM.INV(Eu_g_konfidensniveau,0,1)-Eu_tabel_g[[#This Row],[x base]],0,1,TRUE)</f>
        <v>1.8452790723522128E-4</v>
      </c>
      <c r="CQ59" s="54">
        <f>_xlfn.NORM.DIST(_xlfn.NORM.INV((1-Eu_g_konfidensniveau)/2,0,1)-Eu_tabel_g[[#This Row],[x base]],0,1,TRUE)+1-_xlfn.NORM.DIST(_xlfn.NORM.INV(1-(1-Eu_g_konfidensniveau)/2,0,1)-Eu_tabel_g[[#This Row],[x base]],0,1,TRUE)</f>
        <v>0.48268821080330226</v>
      </c>
      <c r="CR59" s="54" t="e" cm="1">
        <f t="array" ref="CR59">IF($CR$3,INDEX(Eu_tabel_g[[#This Row],[Styrke venstre]:[Styrke tosidet]],CR$7),NA())</f>
        <v>#N/A</v>
      </c>
      <c r="CS59" s="89" t="e">
        <f>Eu_tabel_g[[#This Row],[Falsk positiv
Nulhypotese accepteres
Fejltype 1]]</f>
        <v>#N/A</v>
      </c>
      <c r="CT59" s="89" t="e">
        <f>IF(CHOOSE(CR$7,Eu_tabel_g[[#This Row],[x base]]&gt;0,Eu_tabel_g[[#This Row],[x base]]&lt;0,Eu_tabel_g[[#This Row],[x base]]=0),Eu_tabel_g[[#This Row],[Styrke, aktiv]],NA())</f>
        <v>#N/A</v>
      </c>
      <c r="CU59" s="89" t="e">
        <f>IFERROR(IF($CR$3,Eu_tabel_g[[#This Row],[Styrke, aktiv]],NA()),NA())</f>
        <v>#N/A</v>
      </c>
      <c r="CV59" s="89" t="e">
        <f>IF(ISNA(Eu_tabel_g[[#This Row],[Sand negativ
Nulhypotese afvises
Korrekt]]),NA(),IF($CR$3,1,NA()))</f>
        <v>#N/A</v>
      </c>
      <c r="CW59" s="56" t="str" cm="1">
        <f t="array" ref="CW59">_xlfn.SWITCH(BZ59,_xlfn.IFNA(CU$2,-99),CU$5,_xlfn.IFNA(CU$3,-99),CU$6,_xlfn.IFNA(CU$4,-99),CU$7,"")</f>
        <v/>
      </c>
      <c r="DA59" s="7">
        <f t="shared" si="50"/>
        <v>0.8</v>
      </c>
      <c r="DB59">
        <f>IF(ROW(Styrkeberegning_G[[#This Row],[X base venstre]])=ROW(Styrkeberegning_G[[#Headers],[X base venstre]])+1,DB$7/(DA$7/$B$67),DB58/(DA58/$B$67))</f>
        <v>-2.8015817870135784</v>
      </c>
      <c r="DC59">
        <f>Styrkeberegning_G[[#This Row],[X base venstre]]*-1</f>
        <v>2.8015817870135784</v>
      </c>
      <c r="DN59" s="127">
        <f t="shared" si="51"/>
        <v>49</v>
      </c>
      <c r="DO59" s="54">
        <f t="shared" si="52"/>
        <v>50</v>
      </c>
      <c r="DP59" s="127">
        <f t="shared" si="53"/>
        <v>7.4233246290867401</v>
      </c>
      <c r="DQ59" s="127" t="e">
        <f t="shared" si="54"/>
        <v>#N/A</v>
      </c>
      <c r="DR59" s="127" t="e">
        <f t="shared" si="55"/>
        <v>#N/A</v>
      </c>
      <c r="DS59" s="127">
        <f t="shared" si="56"/>
        <v>8.5352615566646459E-2</v>
      </c>
      <c r="DT59" s="127" t="e">
        <f t="shared" si="57"/>
        <v>#N/A</v>
      </c>
      <c r="DU59" s="127" t="b">
        <f t="shared" si="58"/>
        <v>0</v>
      </c>
      <c r="DV59" s="127" t="b">
        <f t="shared" si="59"/>
        <v>1</v>
      </c>
      <c r="DW59" s="127" t="b">
        <f t="shared" si="60"/>
        <v>0</v>
      </c>
      <c r="DX59" s="127" t="b">
        <f t="shared" si="61"/>
        <v>1</v>
      </c>
      <c r="DY59" s="127">
        <f t="shared" si="62"/>
        <v>8.5352615566646459E-2</v>
      </c>
      <c r="DZ59" s="127" t="e">
        <f t="shared" si="63"/>
        <v>#N/A</v>
      </c>
      <c r="EA59" s="127">
        <f t="shared" si="64"/>
        <v>8.5352615566646459E-2</v>
      </c>
      <c r="EB59" s="128" t="str">
        <f t="shared" si="65"/>
        <v/>
      </c>
      <c r="EG59" s="127">
        <f t="shared" si="66"/>
        <v>49</v>
      </c>
      <c r="EH59" s="54">
        <f t="shared" si="67"/>
        <v>50</v>
      </c>
      <c r="EI59" s="127">
        <f t="shared" si="68"/>
        <v>-1.9164231356079462</v>
      </c>
      <c r="EJ59" s="127">
        <f t="shared" si="69"/>
        <v>6.3591380118377214E-2</v>
      </c>
      <c r="EK59" s="127" t="e">
        <f t="shared" si="70"/>
        <v>#N/A</v>
      </c>
      <c r="EL59" s="127" t="e">
        <f t="shared" si="71"/>
        <v>#N/A</v>
      </c>
      <c r="EM59" s="127" t="e">
        <f t="shared" si="72"/>
        <v>#N/A</v>
      </c>
      <c r="EN59" s="127" t="b">
        <f t="shared" si="73"/>
        <v>0</v>
      </c>
      <c r="EO59" s="127" t="b">
        <f t="shared" si="74"/>
        <v>1</v>
      </c>
      <c r="EP59" s="127" t="b">
        <f t="shared" si="75"/>
        <v>0</v>
      </c>
      <c r="EQ59" s="127" t="b">
        <f t="shared" si="76"/>
        <v>1</v>
      </c>
      <c r="ER59" s="127">
        <f t="shared" si="77"/>
        <v>6.3591380118377214E-2</v>
      </c>
      <c r="ES59" s="127" t="e">
        <f t="shared" si="78"/>
        <v>#N/A</v>
      </c>
      <c r="ET59" s="127">
        <f t="shared" si="79"/>
        <v>6.3591380118377214E-2</v>
      </c>
      <c r="EU59" s="128" t="str">
        <f t="shared" si="80"/>
        <v/>
      </c>
      <c r="EV5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5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5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59" s="54" t="e" cm="1">
        <f t="array" ref="EY59">IF($CR$3,INDEX(Eu_tabel_a[[#This Row],[Styrke venstre]:[Styrke tosidet]],EY$7),NA())</f>
        <v>#N/A</v>
      </c>
      <c r="EZ59" s="54" t="e">
        <f>IF(EY$3,IF(CHOOSE(EY$7,Eu_tabel_a[[#This Row],[x base]]&gt;0,Eu_tabel_a[[#This Row],[x base]]&lt;0,Eu_tabel_a[[#This Row],[x base]]=0),1,NA()),NA())</f>
        <v>#N/A</v>
      </c>
      <c r="FA59" s="54" t="e">
        <f>IF(CHOOSE(EY$7,Eu_tabel_a[[#This Row],[x base]]&gt;0,Eu_tabel_a[[#This Row],[x base]]&lt;0,Eu_tabel_a[[#This Row],[x base]]=0),Eu_tabel_a[[#This Row],[Styrke, aktiv]],NA())</f>
        <v>#N/A</v>
      </c>
      <c r="FB59" s="54" t="e">
        <f>IFERROR(IF($EY$3,Eu_tabel_a[[#This Row],[Styrke, aktiv]],NA()),NA())</f>
        <v>#N/A</v>
      </c>
      <c r="FC59" s="54" t="e">
        <f>IF(ISNA(Eu_tabel_a[[#This Row],[Sand negativ
Nulhypotese afvises
Korrekt]]),NA(),IF(EY$3,1,NA()))</f>
        <v>#N/A</v>
      </c>
      <c r="FD59" s="55" t="str" cm="1">
        <f t="array" ref="FD59">IFERROR(_xlfn.SWITCH(Eu_tabel_a[[#This Row],[Indeks]],_xlfn.IFNA(FB$2,-99),FB$5,_xlfn.IFNA(FB$3,-99),FB$6,_xlfn.IFNA(FB$4,-99),FB$7,""),"")</f>
        <v/>
      </c>
      <c r="FE59" s="54">
        <f>Eu_tabel_a[[#This Row],[x base]]*SQRT(Eu_a_h0_x*(1-Eu_a_h0_x)/Eu_a_n_x)+Eu_a_h0_x</f>
        <v>0</v>
      </c>
      <c r="FJ59" s="144" t="e">
        <f t="shared" si="18"/>
        <v>#N/A</v>
      </c>
      <c r="FK59" s="152" t="e">
        <f t="shared" si="113"/>
        <v>#DIV/0!</v>
      </c>
      <c r="FL59" s="7" t="e">
        <f t="shared" si="12"/>
        <v>#DIV/0!</v>
      </c>
      <c r="FM59" t="e">
        <f t="shared" si="114"/>
        <v>#DIV/0!</v>
      </c>
      <c r="FN59" s="8" t="e">
        <f t="shared" si="115"/>
        <v>#DIV/0!</v>
      </c>
      <c r="FO59" s="8" t="e">
        <f t="shared" si="116"/>
        <v>#DIV/0!</v>
      </c>
      <c r="FP59" s="151" t="e">
        <f t="shared" si="117"/>
        <v>#DIV/0!</v>
      </c>
      <c r="FQ59" s="144" t="e">
        <f t="shared" ca="1" si="13"/>
        <v>#N/A</v>
      </c>
      <c r="FR59" s="152" t="e" vm="3">
        <f t="shared" ca="1" si="19"/>
        <v>#VALUE!</v>
      </c>
      <c r="FS59" s="7" t="e" vm="3">
        <f t="shared" ca="1" si="14"/>
        <v>#VALUE!</v>
      </c>
      <c r="FT59" t="e" vm="3">
        <f t="shared" ca="1" si="8"/>
        <v>#VALUE!</v>
      </c>
      <c r="FU59" s="8" t="e" vm="3">
        <f t="shared" ca="1" si="9"/>
        <v>#VALUE!</v>
      </c>
      <c r="FV59" s="8" t="e" vm="3">
        <f t="shared" ca="1" si="10"/>
        <v>#VALUE!</v>
      </c>
      <c r="FW59" s="151" t="e" vm="3">
        <f t="shared" ca="1" si="11"/>
        <v>#VALUE!</v>
      </c>
      <c r="FX59" s="144" t="e">
        <f t="shared" si="15"/>
        <v>#N/A</v>
      </c>
      <c r="FY59" s="152" t="e">
        <f t="shared" si="20"/>
        <v>#N/A</v>
      </c>
      <c r="FZ59" s="7" t="e">
        <f t="shared" si="16"/>
        <v>#N/A</v>
      </c>
      <c r="GA59" t="e">
        <f t="shared" si="21"/>
        <v>#N/A</v>
      </c>
      <c r="GB59" s="8" t="e">
        <f t="shared" si="22"/>
        <v>#N/A</v>
      </c>
      <c r="GC59" s="8" t="e">
        <f t="shared" si="23"/>
        <v>#N/A</v>
      </c>
      <c r="GD59" s="151" t="e">
        <f t="shared" si="24"/>
        <v>#N/A</v>
      </c>
      <c r="GE59" s="144" t="e">
        <f t="shared" si="25"/>
        <v>#N/A</v>
      </c>
      <c r="GF59" s="152" t="e">
        <f t="shared" si="26"/>
        <v>#N/A</v>
      </c>
      <c r="GG59" s="7" t="e">
        <f t="shared" si="17"/>
        <v>#N/A</v>
      </c>
      <c r="GH59" t="e">
        <f t="shared" si="27"/>
        <v>#N/A</v>
      </c>
      <c r="GI59" s="8" t="e">
        <f t="shared" si="28"/>
        <v>#N/A</v>
      </c>
      <c r="GJ59" s="8" t="e">
        <f t="shared" si="29"/>
        <v>#N/A</v>
      </c>
      <c r="GK59" s="151" t="e">
        <f t="shared" si="30"/>
        <v>#N/A</v>
      </c>
      <c r="GL59" s="151"/>
      <c r="GM59" s="151"/>
      <c r="GP59" s="127">
        <f t="shared" si="81"/>
        <v>49</v>
      </c>
      <c r="GQ59" s="54">
        <f t="shared" si="82"/>
        <v>50</v>
      </c>
      <c r="GR59" s="127">
        <f t="shared" si="83"/>
        <v>-1.9164231356079462</v>
      </c>
      <c r="GS59" s="127">
        <f t="shared" si="84"/>
        <v>6.3591380118377214E-2</v>
      </c>
      <c r="GT59" s="127" t="e">
        <f t="shared" si="85"/>
        <v>#N/A</v>
      </c>
      <c r="GU59" s="127" t="e">
        <f t="shared" si="86"/>
        <v>#N/A</v>
      </c>
      <c r="GV59" s="127" t="e">
        <f t="shared" si="87"/>
        <v>#N/A</v>
      </c>
      <c r="GW59" s="127" t="b">
        <f t="shared" si="88"/>
        <v>0</v>
      </c>
      <c r="GX59" s="127" t="b">
        <f t="shared" si="89"/>
        <v>1</v>
      </c>
      <c r="GY59" s="127" t="b">
        <f t="shared" si="90"/>
        <v>0</v>
      </c>
      <c r="GZ59" s="127" t="b">
        <f t="shared" si="91"/>
        <v>1</v>
      </c>
      <c r="HA59" s="127">
        <f t="shared" si="92"/>
        <v>6.3591380118377214E-2</v>
      </c>
      <c r="HB59" s="127" t="e">
        <f t="shared" si="93"/>
        <v>#N/A</v>
      </c>
      <c r="HC59" s="127">
        <f t="shared" si="94"/>
        <v>6.3591380118377214E-2</v>
      </c>
      <c r="HD59" s="128" t="str">
        <f t="shared" si="95"/>
        <v/>
      </c>
      <c r="HJ59" s="127">
        <f t="shared" si="96"/>
        <v>49</v>
      </c>
      <c r="HK59" s="54">
        <f t="shared" si="97"/>
        <v>50</v>
      </c>
      <c r="HL59" s="127">
        <f t="shared" si="98"/>
        <v>-2.9676214751245475</v>
      </c>
      <c r="HM59" s="127" t="e">
        <f t="shared" si="99"/>
        <v>#N/A</v>
      </c>
      <c r="HN59" s="127">
        <f t="shared" si="100"/>
        <v>1.4807096817980554E-2</v>
      </c>
      <c r="HO59" s="127" t="e">
        <f t="shared" si="101"/>
        <v>#N/A</v>
      </c>
      <c r="HP59" s="127" t="e">
        <f t="shared" si="102"/>
        <v>#N/A</v>
      </c>
      <c r="HQ59" s="127" t="b">
        <f t="shared" si="103"/>
        <v>1</v>
      </c>
      <c r="HR59" s="127" t="b">
        <f t="shared" si="104"/>
        <v>0</v>
      </c>
      <c r="HS59" s="127" t="b">
        <f t="shared" si="105"/>
        <v>1</v>
      </c>
      <c r="HT59" s="127" t="b">
        <f t="shared" si="106"/>
        <v>0</v>
      </c>
      <c r="HU59" s="127">
        <f t="shared" si="107"/>
        <v>1.4807096817980554E-2</v>
      </c>
      <c r="HV59" s="127">
        <f t="shared" si="108"/>
        <v>1.4807096817980554E-2</v>
      </c>
      <c r="HW59" s="127" t="e">
        <f t="shared" si="109"/>
        <v>#N/A</v>
      </c>
      <c r="HX59" s="128" t="str">
        <f t="shared" si="110"/>
        <v/>
      </c>
    </row>
    <row r="60" spans="58:232" x14ac:dyDescent="0.2">
      <c r="BL60" s="90" t="s">
        <v>4</v>
      </c>
      <c r="BM60" s="204">
        <f>Eu_k_konfidensniveau</f>
        <v>0.95</v>
      </c>
      <c r="BZ60" s="127">
        <f t="shared" si="36"/>
        <v>50</v>
      </c>
      <c r="CA60" s="54">
        <f>Eu_tabel_g[[#This Row],[Indeks]]+1</f>
        <v>51</v>
      </c>
      <c r="CB60" s="127">
        <f t="shared" si="37"/>
        <v>-1.8924678464128468</v>
      </c>
      <c r="CC60" s="127">
        <f t="shared" si="38"/>
        <v>6.6559712089436965E-2</v>
      </c>
      <c r="CD60" s="127" t="e">
        <f t="shared" si="39"/>
        <v>#N/A</v>
      </c>
      <c r="CE60" s="127" t="e">
        <f t="shared" si="40"/>
        <v>#N/A</v>
      </c>
      <c r="CF60" s="127" t="e">
        <f t="shared" si="41"/>
        <v>#N/A</v>
      </c>
      <c r="CG60" s="127" t="b">
        <f t="shared" si="42"/>
        <v>0</v>
      </c>
      <c r="CH60" s="127" t="b">
        <f t="shared" si="43"/>
        <v>1</v>
      </c>
      <c r="CI60" s="127" t="b">
        <f t="shared" si="44"/>
        <v>0</v>
      </c>
      <c r="CJ60" s="127" t="b">
        <f t="shared" si="45"/>
        <v>1</v>
      </c>
      <c r="CK60" s="127">
        <f t="shared" si="118"/>
        <v>6.6559712089436965E-2</v>
      </c>
      <c r="CL60" s="127" t="e">
        <f t="shared" si="47"/>
        <v>#N/A</v>
      </c>
      <c r="CM60" s="127">
        <f t="shared" si="48"/>
        <v>6.6559712089436965E-2</v>
      </c>
      <c r="CN60" s="128" t="str">
        <f t="shared" si="49"/>
        <v/>
      </c>
      <c r="CO60" s="54">
        <f>_xlfn.NORM.DIST(_xlfn.NORM.INV(1-Eu_g_konfidensniveau,0,1)-Eu_tabel_g[[#This Row],[x base]],0,1,TRUE)</f>
        <v>0.59778354612388784</v>
      </c>
      <c r="CP60" s="54">
        <f>1-_xlfn.NORM.DIST(_xlfn.NORM.INV(Eu_g_konfidensniveau,0,1)-Eu_tabel_g[[#This Row],[x base]],0,1,TRUE)</f>
        <v>2.0210367382411665E-4</v>
      </c>
      <c r="CQ60" s="54">
        <f>_xlfn.NORM.DIST(_xlfn.NORM.INV((1-Eu_g_konfidensniveau)/2,0,1)-Eu_tabel_g[[#This Row],[x base]],0,1,TRUE)+1-_xlfn.NORM.DIST(_xlfn.NORM.INV(1-(1-Eu_g_konfidensniveau)/2,0,1)-Eu_tabel_g[[#This Row],[x base]],0,1,TRUE)</f>
        <v>0.47315184344261096</v>
      </c>
      <c r="CR60" s="54" t="e" cm="1">
        <f t="array" ref="CR60">IF($CR$3,INDEX(Eu_tabel_g[[#This Row],[Styrke venstre]:[Styrke tosidet]],CR$7),NA())</f>
        <v>#N/A</v>
      </c>
      <c r="CS60" s="89" t="e">
        <f>Eu_tabel_g[[#This Row],[Falsk positiv
Nulhypotese accepteres
Fejltype 1]]</f>
        <v>#N/A</v>
      </c>
      <c r="CT60" s="89" t="e">
        <f>IF(CHOOSE(CR$7,Eu_tabel_g[[#This Row],[x base]]&gt;0,Eu_tabel_g[[#This Row],[x base]]&lt;0,Eu_tabel_g[[#This Row],[x base]]=0),Eu_tabel_g[[#This Row],[Styrke, aktiv]],NA())</f>
        <v>#N/A</v>
      </c>
      <c r="CU60" s="89" t="e">
        <f>IFERROR(IF($CR$3,Eu_tabel_g[[#This Row],[Styrke, aktiv]],NA()),NA())</f>
        <v>#N/A</v>
      </c>
      <c r="CV60" s="89" t="e">
        <f>IF(ISNA(Eu_tabel_g[[#This Row],[Sand negativ
Nulhypotese afvises
Korrekt]]),NA(),IF($CR$3,1,NA()))</f>
        <v>#N/A</v>
      </c>
      <c r="CW60" s="56" t="str" cm="1">
        <f t="array" ref="CW60">_xlfn.SWITCH(BZ60,_xlfn.IFNA(CU$2,-99),CU$5,_xlfn.IFNA(CU$3,-99),CU$6,_xlfn.IFNA(CU$4,-99),CU$7,"")</f>
        <v/>
      </c>
      <c r="DA60" s="7">
        <f t="shared" si="50"/>
        <v>0.8</v>
      </c>
      <c r="DB60">
        <f>IF(ROW(Styrkeberegning_G[[#This Row],[X base venstre]])=ROW(Styrkeberegning_G[[#Headers],[X base venstre]])+1,DB$7/(DA$7/$B$67),DB59/(DA59/$B$67))</f>
        <v>-2.8015817870135784</v>
      </c>
      <c r="DC60">
        <f>Styrkeberegning_G[[#This Row],[X base venstre]]*-1</f>
        <v>2.8015817870135784</v>
      </c>
      <c r="DN60" s="127">
        <f t="shared" si="51"/>
        <v>50</v>
      </c>
      <c r="DO60" s="54">
        <f t="shared" si="52"/>
        <v>51</v>
      </c>
      <c r="DP60" s="127">
        <f t="shared" si="53"/>
        <v>7.5373954855037404</v>
      </c>
      <c r="DQ60" s="127" t="e">
        <f t="shared" si="54"/>
        <v>#N/A</v>
      </c>
      <c r="DR60" s="127" t="e">
        <f t="shared" si="55"/>
        <v>#N/A</v>
      </c>
      <c r="DS60" s="127">
        <f t="shared" si="56"/>
        <v>8.6347444339654689E-2</v>
      </c>
      <c r="DT60" s="127" t="e">
        <f t="shared" si="57"/>
        <v>#N/A</v>
      </c>
      <c r="DU60" s="127" t="b">
        <f t="shared" si="58"/>
        <v>0</v>
      </c>
      <c r="DV60" s="127" t="b">
        <f t="shared" si="59"/>
        <v>1</v>
      </c>
      <c r="DW60" s="127" t="b">
        <f t="shared" si="60"/>
        <v>0</v>
      </c>
      <c r="DX60" s="127" t="b">
        <f t="shared" si="61"/>
        <v>1</v>
      </c>
      <c r="DY60" s="127">
        <f t="shared" si="62"/>
        <v>8.6347444339654689E-2</v>
      </c>
      <c r="DZ60" s="127" t="e">
        <f t="shared" si="63"/>
        <v>#N/A</v>
      </c>
      <c r="EA60" s="127">
        <f t="shared" si="64"/>
        <v>8.6347444339654689E-2</v>
      </c>
      <c r="EB60" s="128" t="str">
        <f t="shared" si="65"/>
        <v/>
      </c>
      <c r="EG60" s="127">
        <f t="shared" si="66"/>
        <v>50</v>
      </c>
      <c r="EH60" s="54">
        <f t="shared" si="67"/>
        <v>51</v>
      </c>
      <c r="EI60" s="127">
        <f t="shared" si="68"/>
        <v>-1.8924678464128468</v>
      </c>
      <c r="EJ60" s="127">
        <f t="shared" si="69"/>
        <v>6.6559712089436965E-2</v>
      </c>
      <c r="EK60" s="127" t="e">
        <f t="shared" si="70"/>
        <v>#N/A</v>
      </c>
      <c r="EL60" s="127" t="e">
        <f t="shared" si="71"/>
        <v>#N/A</v>
      </c>
      <c r="EM60" s="127" t="e">
        <f t="shared" si="72"/>
        <v>#N/A</v>
      </c>
      <c r="EN60" s="127" t="b">
        <f t="shared" si="73"/>
        <v>0</v>
      </c>
      <c r="EO60" s="127" t="b">
        <f t="shared" si="74"/>
        <v>1</v>
      </c>
      <c r="EP60" s="127" t="b">
        <f t="shared" si="75"/>
        <v>0</v>
      </c>
      <c r="EQ60" s="127" t="b">
        <f t="shared" si="76"/>
        <v>1</v>
      </c>
      <c r="ER60" s="127">
        <f t="shared" si="77"/>
        <v>6.6559712089436965E-2</v>
      </c>
      <c r="ES60" s="127" t="e">
        <f t="shared" si="78"/>
        <v>#N/A</v>
      </c>
      <c r="ET60" s="127">
        <f t="shared" si="79"/>
        <v>6.6559712089436965E-2</v>
      </c>
      <c r="EU60" s="128" t="str">
        <f t="shared" si="80"/>
        <v/>
      </c>
      <c r="EV6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6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6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60" s="54" t="e" cm="1">
        <f t="array" ref="EY60">IF($CR$3,INDEX(Eu_tabel_a[[#This Row],[Styrke venstre]:[Styrke tosidet]],EY$7),NA())</f>
        <v>#N/A</v>
      </c>
      <c r="EZ60" s="54" t="e">
        <f>IF(EY$3,IF(CHOOSE(EY$7,Eu_tabel_a[[#This Row],[x base]]&gt;0,Eu_tabel_a[[#This Row],[x base]]&lt;0,Eu_tabel_a[[#This Row],[x base]]=0),1,NA()),NA())</f>
        <v>#N/A</v>
      </c>
      <c r="FA60" s="54" t="e">
        <f>IF(CHOOSE(EY$7,Eu_tabel_a[[#This Row],[x base]]&gt;0,Eu_tabel_a[[#This Row],[x base]]&lt;0,Eu_tabel_a[[#This Row],[x base]]=0),Eu_tabel_a[[#This Row],[Styrke, aktiv]],NA())</f>
        <v>#N/A</v>
      </c>
      <c r="FB60" s="54" t="e">
        <f>IFERROR(IF($EY$3,Eu_tabel_a[[#This Row],[Styrke, aktiv]],NA()),NA())</f>
        <v>#N/A</v>
      </c>
      <c r="FC60" s="54" t="e">
        <f>IF(ISNA(Eu_tabel_a[[#This Row],[Sand negativ
Nulhypotese afvises
Korrekt]]),NA(),IF(EY$3,1,NA()))</f>
        <v>#N/A</v>
      </c>
      <c r="FD60" s="55" t="str" cm="1">
        <f t="array" ref="FD60">IFERROR(_xlfn.SWITCH(Eu_tabel_a[[#This Row],[Indeks]],_xlfn.IFNA(FB$2,-99),FB$5,_xlfn.IFNA(FB$3,-99),FB$6,_xlfn.IFNA(FB$4,-99),FB$7,""),"")</f>
        <v/>
      </c>
      <c r="FE60" s="54">
        <f>Eu_tabel_a[[#This Row],[x base]]*SQRT(Eu_a_h0_x*(1-Eu_a_h0_x)/Eu_a_n_x)+Eu_a_h0_x</f>
        <v>0</v>
      </c>
      <c r="FJ60" s="144" t="e">
        <f t="shared" si="18"/>
        <v>#N/A</v>
      </c>
      <c r="FK60" s="152" t="e">
        <f t="shared" si="113"/>
        <v>#DIV/0!</v>
      </c>
      <c r="FL60" s="7" t="e">
        <f t="shared" si="12"/>
        <v>#DIV/0!</v>
      </c>
      <c r="FM60" t="e">
        <f t="shared" si="114"/>
        <v>#DIV/0!</v>
      </c>
      <c r="FN60" s="8" t="e">
        <f t="shared" si="115"/>
        <v>#DIV/0!</v>
      </c>
      <c r="FO60" s="8" t="e">
        <f t="shared" si="116"/>
        <v>#DIV/0!</v>
      </c>
      <c r="FP60" s="151" t="e">
        <f t="shared" si="117"/>
        <v>#DIV/0!</v>
      </c>
      <c r="FQ60" s="144" t="e">
        <f t="shared" ca="1" si="13"/>
        <v>#N/A</v>
      </c>
      <c r="FR60" s="152" t="e" vm="3">
        <f t="shared" ca="1" si="19"/>
        <v>#VALUE!</v>
      </c>
      <c r="FS60" s="7" t="e" vm="3">
        <f t="shared" ca="1" si="14"/>
        <v>#VALUE!</v>
      </c>
      <c r="FT60" t="e" vm="3">
        <f t="shared" ca="1" si="8"/>
        <v>#VALUE!</v>
      </c>
      <c r="FU60" s="8" t="e" vm="3">
        <f t="shared" ca="1" si="9"/>
        <v>#VALUE!</v>
      </c>
      <c r="FV60" s="8" t="e" vm="3">
        <f t="shared" ca="1" si="10"/>
        <v>#VALUE!</v>
      </c>
      <c r="FW60" s="151" t="e" vm="3">
        <f t="shared" ca="1" si="11"/>
        <v>#VALUE!</v>
      </c>
      <c r="FX60" s="144" t="e">
        <f t="shared" si="15"/>
        <v>#N/A</v>
      </c>
      <c r="FY60" s="152" t="e">
        <f t="shared" si="20"/>
        <v>#N/A</v>
      </c>
      <c r="FZ60" s="7" t="e">
        <f t="shared" si="16"/>
        <v>#N/A</v>
      </c>
      <c r="GA60" t="e">
        <f t="shared" si="21"/>
        <v>#N/A</v>
      </c>
      <c r="GB60" s="8" t="e">
        <f t="shared" si="22"/>
        <v>#N/A</v>
      </c>
      <c r="GC60" s="8" t="e">
        <f t="shared" si="23"/>
        <v>#N/A</v>
      </c>
      <c r="GD60" s="151" t="e">
        <f t="shared" si="24"/>
        <v>#N/A</v>
      </c>
      <c r="GE60" s="144" t="e">
        <f t="shared" si="25"/>
        <v>#N/A</v>
      </c>
      <c r="GF60" s="152" t="e">
        <f t="shared" si="26"/>
        <v>#N/A</v>
      </c>
      <c r="GG60" s="7" t="e">
        <f t="shared" si="17"/>
        <v>#N/A</v>
      </c>
      <c r="GH60" t="e">
        <f t="shared" si="27"/>
        <v>#N/A</v>
      </c>
      <c r="GI60" s="8" t="e">
        <f t="shared" si="28"/>
        <v>#N/A</v>
      </c>
      <c r="GJ60" s="8" t="e">
        <f t="shared" si="29"/>
        <v>#N/A</v>
      </c>
      <c r="GK60" s="151" t="e">
        <f t="shared" si="30"/>
        <v>#N/A</v>
      </c>
      <c r="GL60" s="151"/>
      <c r="GM60" s="151"/>
      <c r="GP60" s="127">
        <f t="shared" si="81"/>
        <v>50</v>
      </c>
      <c r="GQ60" s="54">
        <f t="shared" si="82"/>
        <v>51</v>
      </c>
      <c r="GR60" s="127">
        <f t="shared" si="83"/>
        <v>-1.8924678464128468</v>
      </c>
      <c r="GS60" s="127">
        <f t="shared" si="84"/>
        <v>6.6559712089436965E-2</v>
      </c>
      <c r="GT60" s="127" t="e">
        <f t="shared" si="85"/>
        <v>#N/A</v>
      </c>
      <c r="GU60" s="127" t="e">
        <f t="shared" si="86"/>
        <v>#N/A</v>
      </c>
      <c r="GV60" s="127" t="e">
        <f t="shared" si="87"/>
        <v>#N/A</v>
      </c>
      <c r="GW60" s="127" t="b">
        <f t="shared" si="88"/>
        <v>0</v>
      </c>
      <c r="GX60" s="127" t="b">
        <f t="shared" si="89"/>
        <v>1</v>
      </c>
      <c r="GY60" s="127" t="b">
        <f t="shared" si="90"/>
        <v>0</v>
      </c>
      <c r="GZ60" s="127" t="b">
        <f t="shared" si="91"/>
        <v>1</v>
      </c>
      <c r="HA60" s="127">
        <f t="shared" si="92"/>
        <v>6.6559712089436965E-2</v>
      </c>
      <c r="HB60" s="127" t="e">
        <f t="shared" si="93"/>
        <v>#N/A</v>
      </c>
      <c r="HC60" s="127">
        <f t="shared" si="94"/>
        <v>6.6559712089436965E-2</v>
      </c>
      <c r="HD60" s="128" t="str">
        <f t="shared" si="95"/>
        <v/>
      </c>
      <c r="HJ60" s="127">
        <f t="shared" si="96"/>
        <v>50</v>
      </c>
      <c r="HK60" s="54">
        <f t="shared" si="97"/>
        <v>51</v>
      </c>
      <c r="HL60" s="127">
        <f t="shared" si="98"/>
        <v>-2.9305262066854905</v>
      </c>
      <c r="HM60" s="127" t="e">
        <f t="shared" si="99"/>
        <v>#N/A</v>
      </c>
      <c r="HN60" s="127">
        <f t="shared" si="100"/>
        <v>1.5656095335046926E-2</v>
      </c>
      <c r="HO60" s="127" t="e">
        <f t="shared" si="101"/>
        <v>#N/A</v>
      </c>
      <c r="HP60" s="127" t="e">
        <f t="shared" si="102"/>
        <v>#N/A</v>
      </c>
      <c r="HQ60" s="127" t="b">
        <f t="shared" si="103"/>
        <v>1</v>
      </c>
      <c r="HR60" s="127" t="b">
        <f t="shared" si="104"/>
        <v>0</v>
      </c>
      <c r="HS60" s="127" t="b">
        <f t="shared" si="105"/>
        <v>1</v>
      </c>
      <c r="HT60" s="127" t="b">
        <f t="shared" si="106"/>
        <v>0</v>
      </c>
      <c r="HU60" s="127">
        <f t="shared" si="107"/>
        <v>1.5656095335046926E-2</v>
      </c>
      <c r="HV60" s="127">
        <f t="shared" si="108"/>
        <v>1.5656095335046926E-2</v>
      </c>
      <c r="HW60" s="127" t="e">
        <f t="shared" si="109"/>
        <v>#N/A</v>
      </c>
      <c r="HX60" s="128" t="str">
        <f t="shared" si="110"/>
        <v/>
      </c>
    </row>
    <row r="61" spans="58:232" x14ac:dyDescent="0.2">
      <c r="BL61" s="90" t="s">
        <v>453</v>
      </c>
      <c r="BM61" s="203" t="e" cm="1">
        <f t="array" ref="BM61">IF($BJ$2,INDEX(E_k_valg[Venstre label base],E_k_aktiv),NA())</f>
        <v>#N/A</v>
      </c>
      <c r="BZ61" s="127">
        <f t="shared" si="36"/>
        <v>51</v>
      </c>
      <c r="CA61" s="54">
        <f>Eu_tabel_g[[#This Row],[Indeks]]+1</f>
        <v>52</v>
      </c>
      <c r="CB61" s="127">
        <f t="shared" si="37"/>
        <v>-1.8685125572177474</v>
      </c>
      <c r="CC61" s="127">
        <f t="shared" si="38"/>
        <v>6.962663337221206E-2</v>
      </c>
      <c r="CD61" s="127" t="e">
        <f t="shared" si="39"/>
        <v>#N/A</v>
      </c>
      <c r="CE61" s="127" t="e">
        <f t="shared" si="40"/>
        <v>#N/A</v>
      </c>
      <c r="CF61" s="127" t="e">
        <f t="shared" si="41"/>
        <v>#N/A</v>
      </c>
      <c r="CG61" s="127" t="b">
        <f t="shared" si="42"/>
        <v>0</v>
      </c>
      <c r="CH61" s="127" t="b">
        <f t="shared" si="43"/>
        <v>1</v>
      </c>
      <c r="CI61" s="127" t="b">
        <f t="shared" si="44"/>
        <v>0</v>
      </c>
      <c r="CJ61" s="127" t="b">
        <f t="shared" si="45"/>
        <v>1</v>
      </c>
      <c r="CK61" s="127">
        <f t="shared" si="118"/>
        <v>6.962663337221206E-2</v>
      </c>
      <c r="CL61" s="127" t="e">
        <f t="shared" si="47"/>
        <v>#N/A</v>
      </c>
      <c r="CM61" s="127">
        <f t="shared" si="48"/>
        <v>6.962663337221206E-2</v>
      </c>
      <c r="CN61" s="128" t="str">
        <f t="shared" si="49"/>
        <v/>
      </c>
      <c r="CO61" s="54">
        <f>_xlfn.NORM.DIST(_xlfn.NORM.INV(1-Eu_g_konfidensniveau,0,1)-Eu_tabel_g[[#This Row],[x base]],0,1,TRUE)</f>
        <v>0.58848864736652096</v>
      </c>
      <c r="CP61" s="54">
        <f>1-_xlfn.NORM.DIST(_xlfn.NORM.INV(Eu_g_konfidensniveau,0,1)-Eu_tabel_g[[#This Row],[x base]],0,1,TRUE)</f>
        <v>2.2123361219905657E-4</v>
      </c>
      <c r="CQ61" s="54">
        <f>_xlfn.NORM.DIST(_xlfn.NORM.INV((1-Eu_g_konfidensniveau)/2,0,1)-Eu_tabel_g[[#This Row],[x base]],0,1,TRUE)+1-_xlfn.NORM.DIST(_xlfn.NORM.INV(1-(1-Eu_g_konfidensniveau)/2,0,1)-Eu_tabel_g[[#This Row],[x base]],0,1,TRUE)</f>
        <v>0.46363141936747898</v>
      </c>
      <c r="CR61" s="54" t="e" cm="1">
        <f t="array" ref="CR61">IF($CR$3,INDEX(Eu_tabel_g[[#This Row],[Styrke venstre]:[Styrke tosidet]],CR$7),NA())</f>
        <v>#N/A</v>
      </c>
      <c r="CS61" s="89" t="e">
        <f>Eu_tabel_g[[#This Row],[Falsk positiv
Nulhypotese accepteres
Fejltype 1]]</f>
        <v>#N/A</v>
      </c>
      <c r="CT61" s="89" t="e">
        <f>IF(CHOOSE(CR$7,Eu_tabel_g[[#This Row],[x base]]&gt;0,Eu_tabel_g[[#This Row],[x base]]&lt;0,Eu_tabel_g[[#This Row],[x base]]=0),Eu_tabel_g[[#This Row],[Styrke, aktiv]],NA())</f>
        <v>#N/A</v>
      </c>
      <c r="CU61" s="89" t="e">
        <f>IFERROR(IF($CR$3,Eu_tabel_g[[#This Row],[Styrke, aktiv]],NA()),NA())</f>
        <v>#N/A</v>
      </c>
      <c r="CV61" s="89" t="e">
        <f>IF(ISNA(Eu_tabel_g[[#This Row],[Sand negativ
Nulhypotese afvises
Korrekt]]),NA(),IF($CR$3,1,NA()))</f>
        <v>#N/A</v>
      </c>
      <c r="CW61" s="56" t="str" cm="1">
        <f t="array" ref="CW61">_xlfn.SWITCH(BZ61,_xlfn.IFNA(CU$2,-99),CU$5,_xlfn.IFNA(CU$3,-99),CU$6,_xlfn.IFNA(CU$4,-99),CU$7,"")</f>
        <v/>
      </c>
      <c r="DA61" s="7">
        <f t="shared" si="50"/>
        <v>0.8</v>
      </c>
      <c r="DB61">
        <f>IF(ROW(Styrkeberegning_G[[#This Row],[X base venstre]])=ROW(Styrkeberegning_G[[#Headers],[X base venstre]])+1,DB$7/(DA$7/$B$67),DB60/(DA60/$B$67))</f>
        <v>-2.8015817870135784</v>
      </c>
      <c r="DC61">
        <f>Styrkeberegning_G[[#This Row],[X base venstre]]*-1</f>
        <v>2.8015817870135784</v>
      </c>
      <c r="DN61" s="127">
        <f t="shared" si="51"/>
        <v>51</v>
      </c>
      <c r="DO61" s="54">
        <f t="shared" si="52"/>
        <v>52</v>
      </c>
      <c r="DP61" s="127">
        <f t="shared" si="53"/>
        <v>7.6514663419207416</v>
      </c>
      <c r="DQ61" s="127" t="e">
        <f t="shared" si="54"/>
        <v>#N/A</v>
      </c>
      <c r="DR61" s="127" t="e">
        <f t="shared" si="55"/>
        <v>#N/A</v>
      </c>
      <c r="DS61" s="127">
        <f t="shared" si="56"/>
        <v>8.7263871490603204E-2</v>
      </c>
      <c r="DT61" s="127" t="e">
        <f t="shared" si="57"/>
        <v>#N/A</v>
      </c>
      <c r="DU61" s="127" t="b">
        <f t="shared" si="58"/>
        <v>0</v>
      </c>
      <c r="DV61" s="127" t="b">
        <f t="shared" si="59"/>
        <v>1</v>
      </c>
      <c r="DW61" s="127" t="b">
        <f t="shared" si="60"/>
        <v>0</v>
      </c>
      <c r="DX61" s="127" t="b">
        <f t="shared" si="61"/>
        <v>1</v>
      </c>
      <c r="DY61" s="127">
        <f t="shared" si="62"/>
        <v>8.7263871490603204E-2</v>
      </c>
      <c r="DZ61" s="127" t="e">
        <f t="shared" si="63"/>
        <v>#N/A</v>
      </c>
      <c r="EA61" s="127">
        <f t="shared" si="64"/>
        <v>8.7263871490603204E-2</v>
      </c>
      <c r="EB61" s="128" t="str">
        <f t="shared" si="65"/>
        <v/>
      </c>
      <c r="EG61" s="127">
        <f t="shared" si="66"/>
        <v>51</v>
      </c>
      <c r="EH61" s="54">
        <f t="shared" si="67"/>
        <v>52</v>
      </c>
      <c r="EI61" s="127">
        <f t="shared" si="68"/>
        <v>-1.8685125572177474</v>
      </c>
      <c r="EJ61" s="127">
        <f t="shared" si="69"/>
        <v>6.962663337221206E-2</v>
      </c>
      <c r="EK61" s="127" t="e">
        <f t="shared" si="70"/>
        <v>#N/A</v>
      </c>
      <c r="EL61" s="127" t="e">
        <f t="shared" si="71"/>
        <v>#N/A</v>
      </c>
      <c r="EM61" s="127" t="e">
        <f t="shared" si="72"/>
        <v>#N/A</v>
      </c>
      <c r="EN61" s="127" t="b">
        <f t="shared" si="73"/>
        <v>0</v>
      </c>
      <c r="EO61" s="127" t="b">
        <f t="shared" si="74"/>
        <v>1</v>
      </c>
      <c r="EP61" s="127" t="b">
        <f t="shared" si="75"/>
        <v>0</v>
      </c>
      <c r="EQ61" s="127" t="b">
        <f t="shared" si="76"/>
        <v>1</v>
      </c>
      <c r="ER61" s="127">
        <f t="shared" si="77"/>
        <v>6.962663337221206E-2</v>
      </c>
      <c r="ES61" s="127" t="e">
        <f t="shared" si="78"/>
        <v>#N/A</v>
      </c>
      <c r="ET61" s="127">
        <f t="shared" si="79"/>
        <v>6.962663337221206E-2</v>
      </c>
      <c r="EU61" s="128" t="str">
        <f t="shared" si="80"/>
        <v/>
      </c>
      <c r="EV6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6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6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61" s="54" t="e" cm="1">
        <f t="array" ref="EY61">IF($CR$3,INDEX(Eu_tabel_a[[#This Row],[Styrke venstre]:[Styrke tosidet]],EY$7),NA())</f>
        <v>#N/A</v>
      </c>
      <c r="EZ61" s="54" t="e">
        <f>IF(EY$3,IF(CHOOSE(EY$7,Eu_tabel_a[[#This Row],[x base]]&gt;0,Eu_tabel_a[[#This Row],[x base]]&lt;0,Eu_tabel_a[[#This Row],[x base]]=0),1,NA()),NA())</f>
        <v>#N/A</v>
      </c>
      <c r="FA61" s="54" t="e">
        <f>IF(CHOOSE(EY$7,Eu_tabel_a[[#This Row],[x base]]&gt;0,Eu_tabel_a[[#This Row],[x base]]&lt;0,Eu_tabel_a[[#This Row],[x base]]=0),Eu_tabel_a[[#This Row],[Styrke, aktiv]],NA())</f>
        <v>#N/A</v>
      </c>
      <c r="FB61" s="54" t="e">
        <f>IFERROR(IF($EY$3,Eu_tabel_a[[#This Row],[Styrke, aktiv]],NA()),NA())</f>
        <v>#N/A</v>
      </c>
      <c r="FC61" s="54" t="e">
        <f>IF(ISNA(Eu_tabel_a[[#This Row],[Sand negativ
Nulhypotese afvises
Korrekt]]),NA(),IF(EY$3,1,NA()))</f>
        <v>#N/A</v>
      </c>
      <c r="FD61" s="55" t="str" cm="1">
        <f t="array" ref="FD61">IFERROR(_xlfn.SWITCH(Eu_tabel_a[[#This Row],[Indeks]],_xlfn.IFNA(FB$2,-99),FB$5,_xlfn.IFNA(FB$3,-99),FB$6,_xlfn.IFNA(FB$4,-99),FB$7,""),"")</f>
        <v/>
      </c>
      <c r="FE61" s="54">
        <f>Eu_tabel_a[[#This Row],[x base]]*SQRT(Eu_a_h0_x*(1-Eu_a_h0_x)/Eu_a_n_x)+Eu_a_h0_x</f>
        <v>0</v>
      </c>
      <c r="FJ61" s="144" t="e">
        <f t="shared" si="18"/>
        <v>#N/A</v>
      </c>
      <c r="FK61" s="152" t="e">
        <f t="shared" si="113"/>
        <v>#DIV/0!</v>
      </c>
      <c r="FL61" s="7" t="e">
        <f t="shared" si="12"/>
        <v>#DIV/0!</v>
      </c>
      <c r="FM61" t="e">
        <f t="shared" si="114"/>
        <v>#DIV/0!</v>
      </c>
      <c r="FN61" s="8" t="e">
        <f t="shared" si="115"/>
        <v>#DIV/0!</v>
      </c>
      <c r="FO61" s="8" t="e">
        <f t="shared" si="116"/>
        <v>#DIV/0!</v>
      </c>
      <c r="FP61" s="151" t="e">
        <f t="shared" si="117"/>
        <v>#DIV/0!</v>
      </c>
      <c r="FQ61" s="144" t="e">
        <f t="shared" ca="1" si="13"/>
        <v>#N/A</v>
      </c>
      <c r="FR61" s="152" t="e" vm="3">
        <f t="shared" ca="1" si="19"/>
        <v>#VALUE!</v>
      </c>
      <c r="FS61" s="7" t="e" vm="3">
        <f t="shared" ca="1" si="14"/>
        <v>#VALUE!</v>
      </c>
      <c r="FT61" t="e" vm="3">
        <f t="shared" ca="1" si="8"/>
        <v>#VALUE!</v>
      </c>
      <c r="FU61" s="8" t="e" vm="3">
        <f t="shared" ca="1" si="9"/>
        <v>#VALUE!</v>
      </c>
      <c r="FV61" s="8" t="e" vm="3">
        <f t="shared" ca="1" si="10"/>
        <v>#VALUE!</v>
      </c>
      <c r="FW61" s="151" t="e" vm="3">
        <f t="shared" ca="1" si="11"/>
        <v>#VALUE!</v>
      </c>
      <c r="FX61" s="144" t="e">
        <f t="shared" si="15"/>
        <v>#N/A</v>
      </c>
      <c r="FY61" s="152" t="e">
        <f t="shared" si="20"/>
        <v>#N/A</v>
      </c>
      <c r="FZ61" s="7" t="e">
        <f t="shared" si="16"/>
        <v>#N/A</v>
      </c>
      <c r="GA61" t="e">
        <f t="shared" si="21"/>
        <v>#N/A</v>
      </c>
      <c r="GB61" s="8" t="e">
        <f t="shared" si="22"/>
        <v>#N/A</v>
      </c>
      <c r="GC61" s="8" t="e">
        <f t="shared" si="23"/>
        <v>#N/A</v>
      </c>
      <c r="GD61" s="151" t="e">
        <f t="shared" si="24"/>
        <v>#N/A</v>
      </c>
      <c r="GE61" s="144" t="e">
        <f t="shared" si="25"/>
        <v>#N/A</v>
      </c>
      <c r="GF61" s="152" t="e">
        <f t="shared" si="26"/>
        <v>#N/A</v>
      </c>
      <c r="GG61" s="7" t="e">
        <f t="shared" si="17"/>
        <v>#N/A</v>
      </c>
      <c r="GH61" t="e">
        <f t="shared" si="27"/>
        <v>#N/A</v>
      </c>
      <c r="GI61" s="8" t="e">
        <f t="shared" si="28"/>
        <v>#N/A</v>
      </c>
      <c r="GJ61" s="8" t="e">
        <f t="shared" si="29"/>
        <v>#N/A</v>
      </c>
      <c r="GK61" s="151" t="e">
        <f t="shared" si="30"/>
        <v>#N/A</v>
      </c>
      <c r="GL61" s="151"/>
      <c r="GM61" s="151"/>
      <c r="GP61" s="127">
        <f t="shared" si="81"/>
        <v>51</v>
      </c>
      <c r="GQ61" s="54">
        <f t="shared" si="82"/>
        <v>52</v>
      </c>
      <c r="GR61" s="127">
        <f t="shared" si="83"/>
        <v>-1.8685125572177474</v>
      </c>
      <c r="GS61" s="127">
        <f t="shared" si="84"/>
        <v>6.962663337221206E-2</v>
      </c>
      <c r="GT61" s="127" t="e">
        <f t="shared" si="85"/>
        <v>#N/A</v>
      </c>
      <c r="GU61" s="127" t="e">
        <f t="shared" si="86"/>
        <v>#N/A</v>
      </c>
      <c r="GV61" s="127" t="e">
        <f t="shared" si="87"/>
        <v>#N/A</v>
      </c>
      <c r="GW61" s="127" t="b">
        <f t="shared" si="88"/>
        <v>0</v>
      </c>
      <c r="GX61" s="127" t="b">
        <f t="shared" si="89"/>
        <v>1</v>
      </c>
      <c r="GY61" s="127" t="b">
        <f t="shared" si="90"/>
        <v>0</v>
      </c>
      <c r="GZ61" s="127" t="b">
        <f t="shared" si="91"/>
        <v>1</v>
      </c>
      <c r="HA61" s="127">
        <f t="shared" si="92"/>
        <v>6.962663337221206E-2</v>
      </c>
      <c r="HB61" s="127" t="e">
        <f t="shared" si="93"/>
        <v>#N/A</v>
      </c>
      <c r="HC61" s="127">
        <f t="shared" si="94"/>
        <v>6.962663337221206E-2</v>
      </c>
      <c r="HD61" s="128" t="str">
        <f t="shared" si="95"/>
        <v/>
      </c>
      <c r="HJ61" s="127">
        <f t="shared" si="96"/>
        <v>51</v>
      </c>
      <c r="HK61" s="54">
        <f t="shared" si="97"/>
        <v>52</v>
      </c>
      <c r="HL61" s="127">
        <f t="shared" si="98"/>
        <v>-2.8934309382464338</v>
      </c>
      <c r="HM61" s="127" t="e">
        <f t="shared" si="99"/>
        <v>#N/A</v>
      </c>
      <c r="HN61" s="127">
        <f t="shared" si="100"/>
        <v>1.6554963588224721E-2</v>
      </c>
      <c r="HO61" s="127" t="e">
        <f t="shared" si="101"/>
        <v>#N/A</v>
      </c>
      <c r="HP61" s="127" t="e">
        <f t="shared" si="102"/>
        <v>#N/A</v>
      </c>
      <c r="HQ61" s="127" t="b">
        <f t="shared" si="103"/>
        <v>1</v>
      </c>
      <c r="HR61" s="127" t="b">
        <f t="shared" si="104"/>
        <v>0</v>
      </c>
      <c r="HS61" s="127" t="b">
        <f t="shared" si="105"/>
        <v>1</v>
      </c>
      <c r="HT61" s="127" t="b">
        <f t="shared" si="106"/>
        <v>0</v>
      </c>
      <c r="HU61" s="127">
        <f t="shared" si="107"/>
        <v>1.6554963588224721E-2</v>
      </c>
      <c r="HV61" s="127">
        <f t="shared" si="108"/>
        <v>1.6554963588224721E-2</v>
      </c>
      <c r="HW61" s="127" t="e">
        <f t="shared" si="109"/>
        <v>#N/A</v>
      </c>
      <c r="HX61" s="128" t="str">
        <f t="shared" si="110"/>
        <v/>
      </c>
    </row>
    <row r="62" spans="58:232" x14ac:dyDescent="0.2">
      <c r="BL62" s="90" t="s">
        <v>454</v>
      </c>
      <c r="BM62" s="203" t="e" cm="1">
        <f t="array" ref="BM62">IF($BJ$2,INDEX(E_k_valg[Højre label base],E_k_aktiv),NA())</f>
        <v>#N/A</v>
      </c>
      <c r="BZ62" s="54">
        <f t="shared" si="36"/>
        <v>52</v>
      </c>
      <c r="CA62" s="54">
        <f>Eu_tabel_g[[#This Row],[Indeks]]+1</f>
        <v>53</v>
      </c>
      <c r="CB62" s="54">
        <f t="shared" si="37"/>
        <v>-1.8445572680226483</v>
      </c>
      <c r="CC62" s="54">
        <f t="shared" si="38"/>
        <v>7.279308673556574E-2</v>
      </c>
      <c r="CD62" s="54" t="e">
        <f t="shared" si="39"/>
        <v>#N/A</v>
      </c>
      <c r="CE62" s="54" t="e">
        <f t="shared" si="40"/>
        <v>#N/A</v>
      </c>
      <c r="CF62" s="54" t="e">
        <f t="shared" si="41"/>
        <v>#N/A</v>
      </c>
      <c r="CG62" s="54" t="b">
        <f t="shared" si="42"/>
        <v>0</v>
      </c>
      <c r="CH62" s="54" t="b">
        <f t="shared" si="43"/>
        <v>1</v>
      </c>
      <c r="CI62" s="54" t="b">
        <f t="shared" si="44"/>
        <v>0</v>
      </c>
      <c r="CJ62" s="54" t="b">
        <f t="shared" si="45"/>
        <v>1</v>
      </c>
      <c r="CK62" s="54">
        <f t="shared" ref="CK62:CK93" si="119">_xlfn.AGGREGATE(9,6,CC62:CF62)</f>
        <v>7.279308673556574E-2</v>
      </c>
      <c r="CL62" s="54" t="e">
        <f t="shared" si="47"/>
        <v>#N/A</v>
      </c>
      <c r="CM62" s="54">
        <f t="shared" si="48"/>
        <v>7.279308673556574E-2</v>
      </c>
      <c r="CN62" s="69" t="str">
        <f t="shared" si="49"/>
        <v/>
      </c>
      <c r="CO62" s="54">
        <f>_xlfn.NORM.DIST(_xlfn.NORM.INV(1-Eu_g_konfidensniveau,0,1)-Eu_tabel_g[[#This Row],[x base]],0,1,TRUE)</f>
        <v>0.57914381701234707</v>
      </c>
      <c r="CP62" s="54">
        <f>1-_xlfn.NORM.DIST(_xlfn.NORM.INV(Eu_g_konfidensniveau,0,1)-Eu_tabel_g[[#This Row],[x base]],0,1,TRUE)</f>
        <v>2.4204320849685601E-4</v>
      </c>
      <c r="CQ62" s="54">
        <f>_xlfn.NORM.DIST(_xlfn.NORM.INV((1-Eu_g_konfidensniveau)/2,0,1)-Eu_tabel_g[[#This Row],[x base]],0,1,TRUE)+1-_xlfn.NORM.DIST(_xlfn.NORM.INV(1-(1-Eu_g_konfidensniveau)/2,0,1)-Eu_tabel_g[[#This Row],[x base]],0,1,TRUE)</f>
        <v>0.45413241711912855</v>
      </c>
      <c r="CR62" s="54" t="e" cm="1">
        <f t="array" ref="CR62">IF($CR$3,INDEX(Eu_tabel_g[[#This Row],[Styrke venstre]:[Styrke tosidet]],CR$7),NA())</f>
        <v>#N/A</v>
      </c>
      <c r="CS62" s="89" t="e">
        <f>Eu_tabel_g[[#This Row],[Falsk positiv
Nulhypotese accepteres
Fejltype 1]]</f>
        <v>#N/A</v>
      </c>
      <c r="CT62" s="89" t="e">
        <f>IF(CHOOSE(CR$7,Eu_tabel_g[[#This Row],[x base]]&gt;0,Eu_tabel_g[[#This Row],[x base]]&lt;0,Eu_tabel_g[[#This Row],[x base]]=0),Eu_tabel_g[[#This Row],[Styrke, aktiv]],NA())</f>
        <v>#N/A</v>
      </c>
      <c r="CU62" s="89" t="e">
        <f>IFERROR(IF($CR$3,Eu_tabel_g[[#This Row],[Styrke, aktiv]],NA()),NA())</f>
        <v>#N/A</v>
      </c>
      <c r="CV62" s="89" t="e">
        <f>IF(ISNA(Eu_tabel_g[[#This Row],[Sand negativ
Nulhypotese afvises
Korrekt]]),NA(),IF($CR$3,1,NA()))</f>
        <v>#N/A</v>
      </c>
      <c r="CW62" s="56" t="str" cm="1">
        <f t="array" ref="CW62">_xlfn.SWITCH(BZ62,_xlfn.IFNA(CU$2,-99),CU$5,_xlfn.IFNA(CU$3,-99),CU$6,_xlfn.IFNA(CU$4,-99),CU$7,"")</f>
        <v/>
      </c>
      <c r="DA62" s="7">
        <f t="shared" si="50"/>
        <v>0.8</v>
      </c>
      <c r="DB62">
        <f>IF(ROW(Styrkeberegning_G[[#This Row],[X base venstre]])=ROW(Styrkeberegning_G[[#Headers],[X base venstre]])+1,DB$7/(DA$7/$B$67),DB61/(DA61/$B$67))</f>
        <v>-2.8015817870135784</v>
      </c>
      <c r="DC62">
        <f>Styrkeberegning_G[[#This Row],[X base venstre]]*-1</f>
        <v>2.8015817870135784</v>
      </c>
      <c r="DN62" s="54">
        <f t="shared" si="51"/>
        <v>52</v>
      </c>
      <c r="DO62" s="54">
        <f t="shared" si="52"/>
        <v>53</v>
      </c>
      <c r="DP62" s="54">
        <f t="shared" si="53"/>
        <v>7.7655371983377428</v>
      </c>
      <c r="DQ62" s="54" t="e">
        <f t="shared" si="54"/>
        <v>#N/A</v>
      </c>
      <c r="DR62" s="54" t="e">
        <f t="shared" si="55"/>
        <v>#N/A</v>
      </c>
      <c r="DS62" s="54">
        <f t="shared" si="56"/>
        <v>8.8101854451371309E-2</v>
      </c>
      <c r="DT62" s="54" t="e">
        <f t="shared" si="57"/>
        <v>#N/A</v>
      </c>
      <c r="DU62" s="54" t="b">
        <f t="shared" si="58"/>
        <v>0</v>
      </c>
      <c r="DV62" s="54" t="b">
        <f t="shared" si="59"/>
        <v>1</v>
      </c>
      <c r="DW62" s="54" t="b">
        <f t="shared" si="60"/>
        <v>0</v>
      </c>
      <c r="DX62" s="54" t="b">
        <f t="shared" si="61"/>
        <v>1</v>
      </c>
      <c r="DY62" s="54">
        <f t="shared" si="62"/>
        <v>8.8101854451371309E-2</v>
      </c>
      <c r="DZ62" s="54" t="e">
        <f t="shared" si="63"/>
        <v>#N/A</v>
      </c>
      <c r="EA62" s="54">
        <f t="shared" si="64"/>
        <v>8.8101854451371309E-2</v>
      </c>
      <c r="EB62" s="69" t="str">
        <f t="shared" si="65"/>
        <v/>
      </c>
      <c r="EG62" s="54">
        <f t="shared" si="66"/>
        <v>52</v>
      </c>
      <c r="EH62" s="54">
        <f t="shared" si="67"/>
        <v>53</v>
      </c>
      <c r="EI62" s="54">
        <f t="shared" si="68"/>
        <v>-1.8445572680226483</v>
      </c>
      <c r="EJ62" s="54">
        <f t="shared" si="69"/>
        <v>7.279308673556574E-2</v>
      </c>
      <c r="EK62" s="54" t="e">
        <f t="shared" si="70"/>
        <v>#N/A</v>
      </c>
      <c r="EL62" s="54" t="e">
        <f t="shared" si="71"/>
        <v>#N/A</v>
      </c>
      <c r="EM62" s="54" t="e">
        <f t="shared" si="72"/>
        <v>#N/A</v>
      </c>
      <c r="EN62" s="54" t="b">
        <f t="shared" si="73"/>
        <v>0</v>
      </c>
      <c r="EO62" s="54" t="b">
        <f t="shared" si="74"/>
        <v>1</v>
      </c>
      <c r="EP62" s="54" t="b">
        <f t="shared" si="75"/>
        <v>0</v>
      </c>
      <c r="EQ62" s="54" t="b">
        <f t="shared" si="76"/>
        <v>1</v>
      </c>
      <c r="ER62" s="54">
        <f t="shared" si="77"/>
        <v>7.279308673556574E-2</v>
      </c>
      <c r="ES62" s="54" t="e">
        <f t="shared" si="78"/>
        <v>#N/A</v>
      </c>
      <c r="ET62" s="54">
        <f t="shared" si="79"/>
        <v>7.279308673556574E-2</v>
      </c>
      <c r="EU62" s="69" t="str">
        <f t="shared" si="80"/>
        <v/>
      </c>
      <c r="EV6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6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6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62" s="54" t="e" cm="1">
        <f t="array" ref="EY62">IF($CR$3,INDEX(Eu_tabel_a[[#This Row],[Styrke venstre]:[Styrke tosidet]],EY$7),NA())</f>
        <v>#N/A</v>
      </c>
      <c r="EZ62" s="54" t="e">
        <f>IF(EY$3,IF(CHOOSE(EY$7,Eu_tabel_a[[#This Row],[x base]]&gt;0,Eu_tabel_a[[#This Row],[x base]]&lt;0,Eu_tabel_a[[#This Row],[x base]]=0),1,NA()),NA())</f>
        <v>#N/A</v>
      </c>
      <c r="FA62" s="54" t="e">
        <f>IF(CHOOSE(EY$7,Eu_tabel_a[[#This Row],[x base]]&gt;0,Eu_tabel_a[[#This Row],[x base]]&lt;0,Eu_tabel_a[[#This Row],[x base]]=0),Eu_tabel_a[[#This Row],[Styrke, aktiv]],NA())</f>
        <v>#N/A</v>
      </c>
      <c r="FB62" s="54" t="e">
        <f>IFERROR(IF($EY$3,Eu_tabel_a[[#This Row],[Styrke, aktiv]],NA()),NA())</f>
        <v>#N/A</v>
      </c>
      <c r="FC62" s="54" t="e">
        <f>IF(ISNA(Eu_tabel_a[[#This Row],[Sand negativ
Nulhypotese afvises
Korrekt]]),NA(),IF(EY$3,1,NA()))</f>
        <v>#N/A</v>
      </c>
      <c r="FD62" s="55" t="str" cm="1">
        <f t="array" ref="FD62">IFERROR(_xlfn.SWITCH(Eu_tabel_a[[#This Row],[Indeks]],_xlfn.IFNA(FB$2,-99),FB$5,_xlfn.IFNA(FB$3,-99),FB$6,_xlfn.IFNA(FB$4,-99),FB$7,""),"")</f>
        <v/>
      </c>
      <c r="FE62" s="54">
        <f>Eu_tabel_a[[#This Row],[x base]]*SQRT(Eu_a_h0_x*(1-Eu_a_h0_x)/Eu_a_n_x)+Eu_a_h0_x</f>
        <v>0</v>
      </c>
      <c r="FJ62" s="144" t="e">
        <f t="shared" si="18"/>
        <v>#N/A</v>
      </c>
      <c r="FK62" s="152" t="e">
        <f t="shared" si="113"/>
        <v>#DIV/0!</v>
      </c>
      <c r="FL62" s="7" t="e">
        <f t="shared" si="12"/>
        <v>#DIV/0!</v>
      </c>
      <c r="FM62" t="e">
        <f t="shared" si="114"/>
        <v>#DIV/0!</v>
      </c>
      <c r="FN62" s="8" t="e">
        <f t="shared" si="115"/>
        <v>#DIV/0!</v>
      </c>
      <c r="FO62" s="8" t="e">
        <f t="shared" si="116"/>
        <v>#DIV/0!</v>
      </c>
      <c r="FP62" s="151" t="e">
        <f t="shared" si="117"/>
        <v>#DIV/0!</v>
      </c>
      <c r="FQ62" s="144" t="e">
        <f t="shared" ca="1" si="13"/>
        <v>#N/A</v>
      </c>
      <c r="FR62" s="152" t="e" vm="3">
        <f t="shared" ca="1" si="19"/>
        <v>#VALUE!</v>
      </c>
      <c r="FS62" s="7" t="e" vm="3">
        <f t="shared" ca="1" si="14"/>
        <v>#VALUE!</v>
      </c>
      <c r="FT62" t="e" vm="3">
        <f t="shared" ca="1" si="8"/>
        <v>#VALUE!</v>
      </c>
      <c r="FU62" s="8" t="e" vm="3">
        <f t="shared" ca="1" si="9"/>
        <v>#VALUE!</v>
      </c>
      <c r="FV62" s="8" t="e" vm="3">
        <f t="shared" ca="1" si="10"/>
        <v>#VALUE!</v>
      </c>
      <c r="FW62" s="151" t="e" vm="3">
        <f t="shared" ca="1" si="11"/>
        <v>#VALUE!</v>
      </c>
      <c r="FX62" s="144" t="e">
        <f t="shared" si="15"/>
        <v>#N/A</v>
      </c>
      <c r="FY62" s="152" t="e">
        <f t="shared" si="20"/>
        <v>#N/A</v>
      </c>
      <c r="FZ62" s="7" t="e">
        <f t="shared" si="16"/>
        <v>#N/A</v>
      </c>
      <c r="GA62" t="e">
        <f t="shared" si="21"/>
        <v>#N/A</v>
      </c>
      <c r="GB62" s="8" t="e">
        <f t="shared" si="22"/>
        <v>#N/A</v>
      </c>
      <c r="GC62" s="8" t="e">
        <f t="shared" si="23"/>
        <v>#N/A</v>
      </c>
      <c r="GD62" s="151" t="e">
        <f t="shared" si="24"/>
        <v>#N/A</v>
      </c>
      <c r="GE62" s="144" t="e">
        <f t="shared" si="25"/>
        <v>#N/A</v>
      </c>
      <c r="GF62" s="152" t="e">
        <f t="shared" si="26"/>
        <v>#N/A</v>
      </c>
      <c r="GG62" s="7" t="e">
        <f t="shared" si="17"/>
        <v>#N/A</v>
      </c>
      <c r="GH62" t="e">
        <f t="shared" si="27"/>
        <v>#N/A</v>
      </c>
      <c r="GI62" s="8" t="e">
        <f t="shared" si="28"/>
        <v>#N/A</v>
      </c>
      <c r="GJ62" s="8" t="e">
        <f t="shared" si="29"/>
        <v>#N/A</v>
      </c>
      <c r="GK62" s="151" t="e">
        <f t="shared" si="30"/>
        <v>#N/A</v>
      </c>
      <c r="GL62" s="151"/>
      <c r="GM62" s="151"/>
      <c r="GP62" s="54">
        <f t="shared" si="81"/>
        <v>52</v>
      </c>
      <c r="GQ62" s="54">
        <f t="shared" si="82"/>
        <v>53</v>
      </c>
      <c r="GR62" s="54">
        <f t="shared" si="83"/>
        <v>-1.8445572680226483</v>
      </c>
      <c r="GS62" s="54">
        <f t="shared" si="84"/>
        <v>7.279308673556574E-2</v>
      </c>
      <c r="GT62" s="54" t="e">
        <f t="shared" si="85"/>
        <v>#N/A</v>
      </c>
      <c r="GU62" s="54" t="e">
        <f t="shared" si="86"/>
        <v>#N/A</v>
      </c>
      <c r="GV62" s="54" t="e">
        <f t="shared" si="87"/>
        <v>#N/A</v>
      </c>
      <c r="GW62" s="54" t="b">
        <f t="shared" si="88"/>
        <v>0</v>
      </c>
      <c r="GX62" s="54" t="b">
        <f t="shared" si="89"/>
        <v>1</v>
      </c>
      <c r="GY62" s="54" t="b">
        <f t="shared" si="90"/>
        <v>0</v>
      </c>
      <c r="GZ62" s="54" t="b">
        <f t="shared" si="91"/>
        <v>1</v>
      </c>
      <c r="HA62" s="54">
        <f t="shared" si="92"/>
        <v>7.279308673556574E-2</v>
      </c>
      <c r="HB62" s="54" t="e">
        <f t="shared" si="93"/>
        <v>#N/A</v>
      </c>
      <c r="HC62" s="54">
        <f t="shared" si="94"/>
        <v>7.279308673556574E-2</v>
      </c>
      <c r="HD62" s="69" t="str">
        <f t="shared" si="95"/>
        <v/>
      </c>
      <c r="HJ62" s="54">
        <f t="shared" si="96"/>
        <v>52</v>
      </c>
      <c r="HK62" s="54">
        <f t="shared" si="97"/>
        <v>53</v>
      </c>
      <c r="HL62" s="54">
        <f t="shared" si="98"/>
        <v>-2.8563356698073772</v>
      </c>
      <c r="HM62" s="54" t="e">
        <f t="shared" si="99"/>
        <v>#N/A</v>
      </c>
      <c r="HN62" s="54">
        <f t="shared" si="100"/>
        <v>1.750655719349652E-2</v>
      </c>
      <c r="HO62" s="54" t="e">
        <f t="shared" si="101"/>
        <v>#N/A</v>
      </c>
      <c r="HP62" s="54" t="e">
        <f t="shared" si="102"/>
        <v>#N/A</v>
      </c>
      <c r="HQ62" s="54" t="b">
        <f t="shared" si="103"/>
        <v>1</v>
      </c>
      <c r="HR62" s="54" t="b">
        <f t="shared" si="104"/>
        <v>0</v>
      </c>
      <c r="HS62" s="54" t="b">
        <f t="shared" si="105"/>
        <v>1</v>
      </c>
      <c r="HT62" s="54" t="b">
        <f t="shared" si="106"/>
        <v>0</v>
      </c>
      <c r="HU62" s="54">
        <f t="shared" si="107"/>
        <v>1.750655719349652E-2</v>
      </c>
      <c r="HV62" s="54">
        <f t="shared" si="108"/>
        <v>1.750655719349652E-2</v>
      </c>
      <c r="HW62" s="54" t="e">
        <f t="shared" si="109"/>
        <v>#N/A</v>
      </c>
      <c r="HX62" s="69" t="str">
        <f t="shared" si="110"/>
        <v/>
      </c>
    </row>
    <row r="63" spans="58:232" x14ac:dyDescent="0.2">
      <c r="BL63" s="90" t="s">
        <v>456</v>
      </c>
      <c r="BM63" s="203" t="str" cm="1">
        <f t="array" ref="BM63">IF(NOT($BJ$2),INDEX(E_k_valg[Fordeling],E_k_aktiv),NA())</f>
        <v>t-fordeling</v>
      </c>
      <c r="BZ63" s="54">
        <f t="shared" si="36"/>
        <v>53</v>
      </c>
      <c r="CA63" s="54">
        <f>Eu_tabel_g[[#This Row],[Indeks]]+1</f>
        <v>54</v>
      </c>
      <c r="CB63" s="54">
        <f t="shared" si="37"/>
        <v>-1.8206019788275489</v>
      </c>
      <c r="CC63" s="54">
        <f t="shared" si="38"/>
        <v>7.6059882914996185E-2</v>
      </c>
      <c r="CD63" s="54" t="e">
        <f t="shared" si="39"/>
        <v>#N/A</v>
      </c>
      <c r="CE63" s="54" t="e">
        <f t="shared" si="40"/>
        <v>#N/A</v>
      </c>
      <c r="CF63" s="54" t="e">
        <f t="shared" si="41"/>
        <v>#N/A</v>
      </c>
      <c r="CG63" s="54" t="b">
        <f t="shared" si="42"/>
        <v>0</v>
      </c>
      <c r="CH63" s="54" t="b">
        <f t="shared" si="43"/>
        <v>1</v>
      </c>
      <c r="CI63" s="54" t="b">
        <f t="shared" si="44"/>
        <v>0</v>
      </c>
      <c r="CJ63" s="54" t="b">
        <f t="shared" si="45"/>
        <v>1</v>
      </c>
      <c r="CK63" s="54">
        <f t="shared" si="119"/>
        <v>7.6059882914996185E-2</v>
      </c>
      <c r="CL63" s="54" t="e">
        <f t="shared" si="47"/>
        <v>#N/A</v>
      </c>
      <c r="CM63" s="54">
        <f t="shared" si="48"/>
        <v>7.6059882914996185E-2</v>
      </c>
      <c r="CN63" s="69" t="str">
        <f t="shared" si="49"/>
        <v/>
      </c>
      <c r="CO63" s="54">
        <f>_xlfn.NORM.DIST(_xlfn.NORM.INV(1-Eu_g_konfidensniveau,0,1)-Eu_tabel_g[[#This Row],[x base]],0,1,TRUE)</f>
        <v>0.56975417642104742</v>
      </c>
      <c r="CP63" s="54">
        <f>1-_xlfn.NORM.DIST(_xlfn.NORM.INV(Eu_g_konfidensniveau,0,1)-Eu_tabel_g[[#This Row],[x base]],0,1,TRUE)</f>
        <v>2.6466695513982508E-4</v>
      </c>
      <c r="CQ63" s="54">
        <f>_xlfn.NORM.DIST(_xlfn.NORM.INV((1-Eu_g_konfidensniveau)/2,0,1)-Eu_tabel_g[[#This Row],[x base]],0,1,TRUE)+1-_xlfn.NORM.DIST(_xlfn.NORM.INV(1-(1-Eu_g_konfidensniveau)/2,0,1)-Eu_tabel_g[[#This Row],[x base]],0,1,TRUE)</f>
        <v>0.44466028331450513</v>
      </c>
      <c r="CR63" s="54" t="e" cm="1">
        <f t="array" ref="CR63">IF($CR$3,INDEX(Eu_tabel_g[[#This Row],[Styrke venstre]:[Styrke tosidet]],CR$7),NA())</f>
        <v>#N/A</v>
      </c>
      <c r="CS63" s="89" t="e">
        <f>Eu_tabel_g[[#This Row],[Falsk positiv
Nulhypotese accepteres
Fejltype 1]]</f>
        <v>#N/A</v>
      </c>
      <c r="CT63" s="89" t="e">
        <f>IF(CHOOSE(CR$7,Eu_tabel_g[[#This Row],[x base]]&gt;0,Eu_tabel_g[[#This Row],[x base]]&lt;0,Eu_tabel_g[[#This Row],[x base]]=0),Eu_tabel_g[[#This Row],[Styrke, aktiv]],NA())</f>
        <v>#N/A</v>
      </c>
      <c r="CU63" s="89" t="e">
        <f>IFERROR(IF($CR$3,Eu_tabel_g[[#This Row],[Styrke, aktiv]],NA()),NA())</f>
        <v>#N/A</v>
      </c>
      <c r="CV63" s="89" t="e">
        <f>IF(ISNA(Eu_tabel_g[[#This Row],[Sand negativ
Nulhypotese afvises
Korrekt]]),NA(),IF($CR$3,1,NA()))</f>
        <v>#N/A</v>
      </c>
      <c r="CW63" s="56" t="str" cm="1">
        <f t="array" ref="CW63">_xlfn.SWITCH(BZ63,_xlfn.IFNA(CU$2,-99),CU$5,_xlfn.IFNA(CU$3,-99),CU$6,_xlfn.IFNA(CU$4,-99),CU$7,"")</f>
        <v/>
      </c>
      <c r="DA63" s="7">
        <f t="shared" si="50"/>
        <v>0.8</v>
      </c>
      <c r="DB63">
        <f>IF(ROW(Styrkeberegning_G[[#This Row],[X base venstre]])=ROW(Styrkeberegning_G[[#Headers],[X base venstre]])+1,DB$7/(DA$7/$B$67),DB62/(DA62/$B$67))</f>
        <v>-2.8015817870135784</v>
      </c>
      <c r="DC63">
        <f>Styrkeberegning_G[[#This Row],[X base venstre]]*-1</f>
        <v>2.8015817870135784</v>
      </c>
      <c r="DN63" s="54">
        <f t="shared" si="51"/>
        <v>53</v>
      </c>
      <c r="DO63" s="54">
        <f t="shared" si="52"/>
        <v>54</v>
      </c>
      <c r="DP63" s="54">
        <f t="shared" si="53"/>
        <v>7.879608054754744</v>
      </c>
      <c r="DQ63" s="54" t="e">
        <f t="shared" si="54"/>
        <v>#N/A</v>
      </c>
      <c r="DR63" s="54" t="e">
        <f t="shared" si="55"/>
        <v>#N/A</v>
      </c>
      <c r="DS63" s="54">
        <f t="shared" si="56"/>
        <v>8.8861548723025457E-2</v>
      </c>
      <c r="DT63" s="54" t="e">
        <f t="shared" si="57"/>
        <v>#N/A</v>
      </c>
      <c r="DU63" s="54" t="b">
        <f t="shared" si="58"/>
        <v>0</v>
      </c>
      <c r="DV63" s="54" t="b">
        <f t="shared" si="59"/>
        <v>1</v>
      </c>
      <c r="DW63" s="54" t="b">
        <f t="shared" si="60"/>
        <v>0</v>
      </c>
      <c r="DX63" s="54" t="b">
        <f t="shared" si="61"/>
        <v>1</v>
      </c>
      <c r="DY63" s="54">
        <f t="shared" si="62"/>
        <v>8.8861548723025457E-2</v>
      </c>
      <c r="DZ63" s="54" t="e">
        <f t="shared" si="63"/>
        <v>#N/A</v>
      </c>
      <c r="EA63" s="54">
        <f t="shared" si="64"/>
        <v>8.8861548723025457E-2</v>
      </c>
      <c r="EB63" s="69" t="str">
        <f t="shared" si="65"/>
        <v/>
      </c>
      <c r="EG63" s="54">
        <f t="shared" si="66"/>
        <v>53</v>
      </c>
      <c r="EH63" s="54">
        <f t="shared" si="67"/>
        <v>54</v>
      </c>
      <c r="EI63" s="54">
        <f t="shared" si="68"/>
        <v>-1.8206019788275489</v>
      </c>
      <c r="EJ63" s="54">
        <f t="shared" si="69"/>
        <v>7.6059882914996185E-2</v>
      </c>
      <c r="EK63" s="54" t="e">
        <f t="shared" si="70"/>
        <v>#N/A</v>
      </c>
      <c r="EL63" s="54" t="e">
        <f t="shared" si="71"/>
        <v>#N/A</v>
      </c>
      <c r="EM63" s="54" t="e">
        <f t="shared" si="72"/>
        <v>#N/A</v>
      </c>
      <c r="EN63" s="54" t="b">
        <f t="shared" si="73"/>
        <v>0</v>
      </c>
      <c r="EO63" s="54" t="b">
        <f t="shared" si="74"/>
        <v>1</v>
      </c>
      <c r="EP63" s="54" t="b">
        <f t="shared" si="75"/>
        <v>0</v>
      </c>
      <c r="EQ63" s="54" t="b">
        <f t="shared" si="76"/>
        <v>1</v>
      </c>
      <c r="ER63" s="54">
        <f t="shared" si="77"/>
        <v>7.6059882914996185E-2</v>
      </c>
      <c r="ES63" s="54" t="e">
        <f t="shared" si="78"/>
        <v>#N/A</v>
      </c>
      <c r="ET63" s="54">
        <f t="shared" si="79"/>
        <v>7.6059882914996185E-2</v>
      </c>
      <c r="EU63" s="69" t="str">
        <f t="shared" si="80"/>
        <v/>
      </c>
      <c r="EV6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6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6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63" s="54" t="e" cm="1">
        <f t="array" ref="EY63">IF($CR$3,INDEX(Eu_tabel_a[[#This Row],[Styrke venstre]:[Styrke tosidet]],EY$7),NA())</f>
        <v>#N/A</v>
      </c>
      <c r="EZ63" s="54" t="e">
        <f>IF(EY$3,IF(CHOOSE(EY$7,Eu_tabel_a[[#This Row],[x base]]&gt;0,Eu_tabel_a[[#This Row],[x base]]&lt;0,Eu_tabel_a[[#This Row],[x base]]=0),1,NA()),NA())</f>
        <v>#N/A</v>
      </c>
      <c r="FA63" s="54" t="e">
        <f>IF(CHOOSE(EY$7,Eu_tabel_a[[#This Row],[x base]]&gt;0,Eu_tabel_a[[#This Row],[x base]]&lt;0,Eu_tabel_a[[#This Row],[x base]]=0),Eu_tabel_a[[#This Row],[Styrke, aktiv]],NA())</f>
        <v>#N/A</v>
      </c>
      <c r="FB63" s="54" t="e">
        <f>IFERROR(IF($EY$3,Eu_tabel_a[[#This Row],[Styrke, aktiv]],NA()),NA())</f>
        <v>#N/A</v>
      </c>
      <c r="FC63" s="54" t="e">
        <f>IF(ISNA(Eu_tabel_a[[#This Row],[Sand negativ
Nulhypotese afvises
Korrekt]]),NA(),IF(EY$3,1,NA()))</f>
        <v>#N/A</v>
      </c>
      <c r="FD63" s="55" t="str" cm="1">
        <f t="array" ref="FD63">IFERROR(_xlfn.SWITCH(Eu_tabel_a[[#This Row],[Indeks]],_xlfn.IFNA(FB$2,-99),FB$5,_xlfn.IFNA(FB$3,-99),FB$6,_xlfn.IFNA(FB$4,-99),FB$7,""),"")</f>
        <v/>
      </c>
      <c r="FE63" s="54">
        <f>Eu_tabel_a[[#This Row],[x base]]*SQRT(Eu_a_h0_x*(1-Eu_a_h0_x)/Eu_a_n_x)+Eu_a_h0_x</f>
        <v>0</v>
      </c>
      <c r="FJ63" s="144" t="e">
        <f t="shared" si="18"/>
        <v>#N/A</v>
      </c>
      <c r="FK63" s="152" t="e">
        <f t="shared" si="113"/>
        <v>#DIV/0!</v>
      </c>
      <c r="FL63" s="7" t="e">
        <f t="shared" si="12"/>
        <v>#DIV/0!</v>
      </c>
      <c r="FM63" t="e">
        <f t="shared" si="114"/>
        <v>#DIV/0!</v>
      </c>
      <c r="FN63" s="8" t="e">
        <f t="shared" si="115"/>
        <v>#DIV/0!</v>
      </c>
      <c r="FO63" s="8" t="e">
        <f t="shared" si="116"/>
        <v>#DIV/0!</v>
      </c>
      <c r="FP63" s="151" t="e">
        <f t="shared" si="117"/>
        <v>#DIV/0!</v>
      </c>
      <c r="FQ63" s="144" t="e">
        <f t="shared" ca="1" si="13"/>
        <v>#N/A</v>
      </c>
      <c r="FR63" s="152" t="e" vm="3">
        <f t="shared" ca="1" si="19"/>
        <v>#VALUE!</v>
      </c>
      <c r="FS63" s="7" t="e" vm="3">
        <f t="shared" ca="1" si="14"/>
        <v>#VALUE!</v>
      </c>
      <c r="FT63" t="e" vm="3">
        <f t="shared" ca="1" si="8"/>
        <v>#VALUE!</v>
      </c>
      <c r="FU63" s="8" t="e" vm="3">
        <f t="shared" ca="1" si="9"/>
        <v>#VALUE!</v>
      </c>
      <c r="FV63" s="8" t="e" vm="3">
        <f t="shared" ca="1" si="10"/>
        <v>#VALUE!</v>
      </c>
      <c r="FW63" s="151" t="e" vm="3">
        <f t="shared" ca="1" si="11"/>
        <v>#VALUE!</v>
      </c>
      <c r="FX63" s="144" t="e">
        <f t="shared" si="15"/>
        <v>#N/A</v>
      </c>
      <c r="FY63" s="152" t="e">
        <f t="shared" si="20"/>
        <v>#N/A</v>
      </c>
      <c r="FZ63" s="7" t="e">
        <f t="shared" si="16"/>
        <v>#N/A</v>
      </c>
      <c r="GA63" t="e">
        <f t="shared" si="21"/>
        <v>#N/A</v>
      </c>
      <c r="GB63" s="8" t="e">
        <f t="shared" si="22"/>
        <v>#N/A</v>
      </c>
      <c r="GC63" s="8" t="e">
        <f t="shared" si="23"/>
        <v>#N/A</v>
      </c>
      <c r="GD63" s="151" t="e">
        <f t="shared" si="24"/>
        <v>#N/A</v>
      </c>
      <c r="GE63" s="144" t="e">
        <f t="shared" si="25"/>
        <v>#N/A</v>
      </c>
      <c r="GF63" s="152" t="e">
        <f t="shared" si="26"/>
        <v>#N/A</v>
      </c>
      <c r="GG63" s="7" t="e">
        <f t="shared" si="17"/>
        <v>#N/A</v>
      </c>
      <c r="GH63" t="e">
        <f t="shared" si="27"/>
        <v>#N/A</v>
      </c>
      <c r="GI63" s="8" t="e">
        <f t="shared" si="28"/>
        <v>#N/A</v>
      </c>
      <c r="GJ63" s="8" t="e">
        <f t="shared" si="29"/>
        <v>#N/A</v>
      </c>
      <c r="GK63" s="151" t="e">
        <f t="shared" si="30"/>
        <v>#N/A</v>
      </c>
      <c r="GL63" s="151"/>
      <c r="GM63" s="151"/>
      <c r="GP63" s="54">
        <f t="shared" si="81"/>
        <v>53</v>
      </c>
      <c r="GQ63" s="54">
        <f t="shared" si="82"/>
        <v>54</v>
      </c>
      <c r="GR63" s="54">
        <f t="shared" si="83"/>
        <v>-1.8206019788275489</v>
      </c>
      <c r="GS63" s="54">
        <f t="shared" si="84"/>
        <v>7.6059882914996185E-2</v>
      </c>
      <c r="GT63" s="54" t="e">
        <f t="shared" si="85"/>
        <v>#N/A</v>
      </c>
      <c r="GU63" s="54" t="e">
        <f t="shared" si="86"/>
        <v>#N/A</v>
      </c>
      <c r="GV63" s="54" t="e">
        <f t="shared" si="87"/>
        <v>#N/A</v>
      </c>
      <c r="GW63" s="54" t="b">
        <f t="shared" si="88"/>
        <v>0</v>
      </c>
      <c r="GX63" s="54" t="b">
        <f t="shared" si="89"/>
        <v>1</v>
      </c>
      <c r="GY63" s="54" t="b">
        <f t="shared" si="90"/>
        <v>0</v>
      </c>
      <c r="GZ63" s="54" t="b">
        <f t="shared" si="91"/>
        <v>1</v>
      </c>
      <c r="HA63" s="54">
        <f t="shared" si="92"/>
        <v>7.6059882914996185E-2</v>
      </c>
      <c r="HB63" s="54" t="e">
        <f t="shared" si="93"/>
        <v>#N/A</v>
      </c>
      <c r="HC63" s="54">
        <f t="shared" si="94"/>
        <v>7.6059882914996185E-2</v>
      </c>
      <c r="HD63" s="69" t="str">
        <f t="shared" si="95"/>
        <v/>
      </c>
      <c r="HJ63" s="54">
        <f t="shared" si="96"/>
        <v>53</v>
      </c>
      <c r="HK63" s="54">
        <f t="shared" si="97"/>
        <v>54</v>
      </c>
      <c r="HL63" s="54">
        <f t="shared" si="98"/>
        <v>-2.8192404013683201</v>
      </c>
      <c r="HM63" s="54" t="e">
        <f t="shared" si="99"/>
        <v>#N/A</v>
      </c>
      <c r="HN63" s="54">
        <f t="shared" si="100"/>
        <v>1.8513876266587268E-2</v>
      </c>
      <c r="HO63" s="54" t="e">
        <f t="shared" si="101"/>
        <v>#N/A</v>
      </c>
      <c r="HP63" s="54" t="e">
        <f t="shared" si="102"/>
        <v>#N/A</v>
      </c>
      <c r="HQ63" s="54" t="b">
        <f t="shared" si="103"/>
        <v>1</v>
      </c>
      <c r="HR63" s="54" t="b">
        <f t="shared" si="104"/>
        <v>0</v>
      </c>
      <c r="HS63" s="54" t="b">
        <f t="shared" si="105"/>
        <v>1</v>
      </c>
      <c r="HT63" s="54" t="b">
        <f t="shared" si="106"/>
        <v>0</v>
      </c>
      <c r="HU63" s="54">
        <f t="shared" si="107"/>
        <v>1.8513876266587268E-2</v>
      </c>
      <c r="HV63" s="54">
        <f t="shared" si="108"/>
        <v>1.8513876266587268E-2</v>
      </c>
      <c r="HW63" s="54" t="e">
        <f t="shared" si="109"/>
        <v>#N/A</v>
      </c>
      <c r="HX63" s="69" t="str">
        <f t="shared" si="110"/>
        <v/>
      </c>
    </row>
    <row r="64" spans="58:232" x14ac:dyDescent="0.2">
      <c r="BL64" s="90" t="s">
        <v>457</v>
      </c>
      <c r="BM64" s="203" cm="1">
        <f t="array" ref="BM64">IF(NOT($BJ$2),INDEX(E_k_valg[Parameter 1],E_k_aktiv),NA())</f>
        <v>7</v>
      </c>
      <c r="BZ64" s="54">
        <f t="shared" si="36"/>
        <v>54</v>
      </c>
      <c r="CA64" s="54">
        <f>Eu_tabel_g[[#This Row],[Indeks]]+1</f>
        <v>55</v>
      </c>
      <c r="CB64" s="54">
        <f t="shared" si="37"/>
        <v>-1.7966466896324496</v>
      </c>
      <c r="CC64" s="54">
        <f t="shared" si="38"/>
        <v>7.9427692707090408E-2</v>
      </c>
      <c r="CD64" s="54" t="e">
        <f t="shared" si="39"/>
        <v>#N/A</v>
      </c>
      <c r="CE64" s="54" t="e">
        <f t="shared" si="40"/>
        <v>#N/A</v>
      </c>
      <c r="CF64" s="54" t="e">
        <f t="shared" si="41"/>
        <v>#N/A</v>
      </c>
      <c r="CG64" s="54" t="b">
        <f t="shared" si="42"/>
        <v>0</v>
      </c>
      <c r="CH64" s="54" t="b">
        <f t="shared" si="43"/>
        <v>1</v>
      </c>
      <c r="CI64" s="54" t="b">
        <f t="shared" si="44"/>
        <v>0</v>
      </c>
      <c r="CJ64" s="54" t="b">
        <f t="shared" si="45"/>
        <v>1</v>
      </c>
      <c r="CK64" s="54">
        <f t="shared" si="119"/>
        <v>7.9427692707090408E-2</v>
      </c>
      <c r="CL64" s="54" t="e">
        <f t="shared" si="47"/>
        <v>#N/A</v>
      </c>
      <c r="CM64" s="54">
        <f t="shared" si="48"/>
        <v>7.9427692707090408E-2</v>
      </c>
      <c r="CN64" s="69" t="str">
        <f t="shared" si="49"/>
        <v/>
      </c>
      <c r="CO64" s="54">
        <f>_xlfn.NORM.DIST(_xlfn.NORM.INV(1-Eu_g_konfidensniveau,0,1)-Eu_tabel_g[[#This Row],[x base]],0,1,TRUE)</f>
        <v>0.56032492304548553</v>
      </c>
      <c r="CP64" s="54">
        <f>1-_xlfn.NORM.DIST(_xlfn.NORM.INV(Eu_g_konfidensniveau,0,1)-Eu_tabel_g[[#This Row],[x base]],0,1,TRUE)</f>
        <v>2.8924889725157055E-4</v>
      </c>
      <c r="CQ64" s="54">
        <f>_xlfn.NORM.DIST(_xlfn.NORM.INV((1-Eu_g_konfidensniveau)/2,0,1)-Eu_tabel_g[[#This Row],[x base]],0,1,TRUE)+1-_xlfn.NORM.DIST(_xlfn.NORM.INV(1-(1-Eu_g_konfidensniveau)/2,0,1)-Eu_tabel_g[[#This Row],[x base]],0,1,TRUE)</f>
        <v>0.435220423737672</v>
      </c>
      <c r="CR64" s="54" t="e" cm="1">
        <f t="array" ref="CR64">IF($CR$3,INDEX(Eu_tabel_g[[#This Row],[Styrke venstre]:[Styrke tosidet]],CR$7),NA())</f>
        <v>#N/A</v>
      </c>
      <c r="CS64" s="89" t="e">
        <f>Eu_tabel_g[[#This Row],[Falsk positiv
Nulhypotese accepteres
Fejltype 1]]</f>
        <v>#N/A</v>
      </c>
      <c r="CT64" s="89" t="e">
        <f>IF(CHOOSE(CR$7,Eu_tabel_g[[#This Row],[x base]]&gt;0,Eu_tabel_g[[#This Row],[x base]]&lt;0,Eu_tabel_g[[#This Row],[x base]]=0),Eu_tabel_g[[#This Row],[Styrke, aktiv]],NA())</f>
        <v>#N/A</v>
      </c>
      <c r="CU64" s="89" t="e">
        <f>IFERROR(IF($CR$3,Eu_tabel_g[[#This Row],[Styrke, aktiv]],NA()),NA())</f>
        <v>#N/A</v>
      </c>
      <c r="CV64" s="89" t="e">
        <f>IF(ISNA(Eu_tabel_g[[#This Row],[Sand negativ
Nulhypotese afvises
Korrekt]]),NA(),IF($CR$3,1,NA()))</f>
        <v>#N/A</v>
      </c>
      <c r="CW64" s="56" t="str" cm="1">
        <f t="array" ref="CW64">_xlfn.SWITCH(BZ64,_xlfn.IFNA(CU$2,-99),CU$5,_xlfn.IFNA(CU$3,-99),CU$6,_xlfn.IFNA(CU$4,-99),CU$7,"")</f>
        <v/>
      </c>
      <c r="DA64" s="7">
        <f t="shared" si="50"/>
        <v>0.8</v>
      </c>
      <c r="DB64">
        <f>IF(ROW(Styrkeberegning_G[[#This Row],[X base venstre]])=ROW(Styrkeberegning_G[[#Headers],[X base venstre]])+1,DB$7/(DA$7/$B$67),DB63/(DA63/$B$67))</f>
        <v>-2.8015817870135784</v>
      </c>
      <c r="DC64">
        <f>Styrkeberegning_G[[#This Row],[X base venstre]]*-1</f>
        <v>2.8015817870135784</v>
      </c>
      <c r="DN64" s="54">
        <f t="shared" si="51"/>
        <v>54</v>
      </c>
      <c r="DO64" s="54">
        <f t="shared" si="52"/>
        <v>55</v>
      </c>
      <c r="DP64" s="54">
        <f t="shared" si="53"/>
        <v>7.9936789111717443</v>
      </c>
      <c r="DQ64" s="54" t="e">
        <f t="shared" si="54"/>
        <v>#N/A</v>
      </c>
      <c r="DR64" s="54" t="e">
        <f t="shared" si="55"/>
        <v>#N/A</v>
      </c>
      <c r="DS64" s="54">
        <f t="shared" si="56"/>
        <v>8.954329777676559E-2</v>
      </c>
      <c r="DT64" s="54" t="e">
        <f t="shared" si="57"/>
        <v>#N/A</v>
      </c>
      <c r="DU64" s="54" t="b">
        <f t="shared" si="58"/>
        <v>0</v>
      </c>
      <c r="DV64" s="54" t="b">
        <f t="shared" si="59"/>
        <v>1</v>
      </c>
      <c r="DW64" s="54" t="b">
        <f t="shared" si="60"/>
        <v>0</v>
      </c>
      <c r="DX64" s="54" t="b">
        <f t="shared" si="61"/>
        <v>1</v>
      </c>
      <c r="DY64" s="54">
        <f t="shared" si="62"/>
        <v>8.954329777676559E-2</v>
      </c>
      <c r="DZ64" s="54" t="e">
        <f t="shared" si="63"/>
        <v>#N/A</v>
      </c>
      <c r="EA64" s="54">
        <f t="shared" si="64"/>
        <v>8.954329777676559E-2</v>
      </c>
      <c r="EB64" s="69" t="str">
        <f t="shared" si="65"/>
        <v/>
      </c>
      <c r="EG64" s="54">
        <f t="shared" si="66"/>
        <v>54</v>
      </c>
      <c r="EH64" s="54">
        <f t="shared" si="67"/>
        <v>55</v>
      </c>
      <c r="EI64" s="54">
        <f t="shared" si="68"/>
        <v>-1.7966466896324496</v>
      </c>
      <c r="EJ64" s="54">
        <f t="shared" si="69"/>
        <v>7.9427692707090408E-2</v>
      </c>
      <c r="EK64" s="54" t="e">
        <f t="shared" si="70"/>
        <v>#N/A</v>
      </c>
      <c r="EL64" s="54" t="e">
        <f t="shared" si="71"/>
        <v>#N/A</v>
      </c>
      <c r="EM64" s="54" t="e">
        <f t="shared" si="72"/>
        <v>#N/A</v>
      </c>
      <c r="EN64" s="54" t="b">
        <f t="shared" si="73"/>
        <v>0</v>
      </c>
      <c r="EO64" s="54" t="b">
        <f t="shared" si="74"/>
        <v>1</v>
      </c>
      <c r="EP64" s="54" t="b">
        <f t="shared" si="75"/>
        <v>0</v>
      </c>
      <c r="EQ64" s="54" t="b">
        <f t="shared" si="76"/>
        <v>1</v>
      </c>
      <c r="ER64" s="54">
        <f t="shared" si="77"/>
        <v>7.9427692707090408E-2</v>
      </c>
      <c r="ES64" s="54" t="e">
        <f t="shared" si="78"/>
        <v>#N/A</v>
      </c>
      <c r="ET64" s="54">
        <f t="shared" si="79"/>
        <v>7.9427692707090408E-2</v>
      </c>
      <c r="EU64" s="69" t="str">
        <f t="shared" si="80"/>
        <v/>
      </c>
      <c r="EV6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6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6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64" s="54" t="e" cm="1">
        <f t="array" ref="EY64">IF($CR$3,INDEX(Eu_tabel_a[[#This Row],[Styrke venstre]:[Styrke tosidet]],EY$7),NA())</f>
        <v>#N/A</v>
      </c>
      <c r="EZ64" s="54" t="e">
        <f>IF(EY$3,IF(CHOOSE(EY$7,Eu_tabel_a[[#This Row],[x base]]&gt;0,Eu_tabel_a[[#This Row],[x base]]&lt;0,Eu_tabel_a[[#This Row],[x base]]=0),1,NA()),NA())</f>
        <v>#N/A</v>
      </c>
      <c r="FA64" s="54" t="e">
        <f>IF(CHOOSE(EY$7,Eu_tabel_a[[#This Row],[x base]]&gt;0,Eu_tabel_a[[#This Row],[x base]]&lt;0,Eu_tabel_a[[#This Row],[x base]]=0),Eu_tabel_a[[#This Row],[Styrke, aktiv]],NA())</f>
        <v>#N/A</v>
      </c>
      <c r="FB64" s="54" t="e">
        <f>IFERROR(IF($EY$3,Eu_tabel_a[[#This Row],[Styrke, aktiv]],NA()),NA())</f>
        <v>#N/A</v>
      </c>
      <c r="FC64" s="54" t="e">
        <f>IF(ISNA(Eu_tabel_a[[#This Row],[Sand negativ
Nulhypotese afvises
Korrekt]]),NA(),IF(EY$3,1,NA()))</f>
        <v>#N/A</v>
      </c>
      <c r="FD64" s="55" t="str" cm="1">
        <f t="array" ref="FD64">IFERROR(_xlfn.SWITCH(Eu_tabel_a[[#This Row],[Indeks]],_xlfn.IFNA(FB$2,-99),FB$5,_xlfn.IFNA(FB$3,-99),FB$6,_xlfn.IFNA(FB$4,-99),FB$7,""),"")</f>
        <v/>
      </c>
      <c r="FE64" s="54">
        <f>Eu_tabel_a[[#This Row],[x base]]*SQRT(Eu_a_h0_x*(1-Eu_a_h0_x)/Eu_a_n_x)+Eu_a_h0_x</f>
        <v>0</v>
      </c>
      <c r="FJ64" s="144" t="e">
        <f t="shared" si="18"/>
        <v>#N/A</v>
      </c>
      <c r="FK64" s="152" t="e">
        <f t="shared" si="113"/>
        <v>#DIV/0!</v>
      </c>
      <c r="FL64" s="7" t="e">
        <f t="shared" si="12"/>
        <v>#DIV/0!</v>
      </c>
      <c r="FM64" t="e">
        <f t="shared" si="114"/>
        <v>#DIV/0!</v>
      </c>
      <c r="FN64" s="8" t="e">
        <f t="shared" si="115"/>
        <v>#DIV/0!</v>
      </c>
      <c r="FO64" s="8" t="e">
        <f t="shared" si="116"/>
        <v>#DIV/0!</v>
      </c>
      <c r="FP64" s="151" t="e">
        <f t="shared" si="117"/>
        <v>#DIV/0!</v>
      </c>
      <c r="FQ64" s="144" t="e">
        <f t="shared" ca="1" si="13"/>
        <v>#N/A</v>
      </c>
      <c r="FR64" s="152" t="e" vm="3">
        <f t="shared" ca="1" si="19"/>
        <v>#VALUE!</v>
      </c>
      <c r="FS64" s="7" t="e" vm="3">
        <f t="shared" ca="1" si="14"/>
        <v>#VALUE!</v>
      </c>
      <c r="FT64" t="e" vm="3">
        <f t="shared" ca="1" si="8"/>
        <v>#VALUE!</v>
      </c>
      <c r="FU64" s="8" t="e" vm="3">
        <f t="shared" ca="1" si="9"/>
        <v>#VALUE!</v>
      </c>
      <c r="FV64" s="8" t="e" vm="3">
        <f t="shared" ca="1" si="10"/>
        <v>#VALUE!</v>
      </c>
      <c r="FW64" s="151" t="e" vm="3">
        <f t="shared" ca="1" si="11"/>
        <v>#VALUE!</v>
      </c>
      <c r="FX64" s="144" t="e">
        <f t="shared" si="15"/>
        <v>#N/A</v>
      </c>
      <c r="FY64" s="152" t="e">
        <f t="shared" si="20"/>
        <v>#N/A</v>
      </c>
      <c r="FZ64" s="7" t="e">
        <f t="shared" si="16"/>
        <v>#N/A</v>
      </c>
      <c r="GA64" t="e">
        <f t="shared" si="21"/>
        <v>#N/A</v>
      </c>
      <c r="GB64" s="8" t="e">
        <f t="shared" si="22"/>
        <v>#N/A</v>
      </c>
      <c r="GC64" s="8" t="e">
        <f t="shared" si="23"/>
        <v>#N/A</v>
      </c>
      <c r="GD64" s="151" t="e">
        <f t="shared" si="24"/>
        <v>#N/A</v>
      </c>
      <c r="GE64" s="144" t="e">
        <f t="shared" si="25"/>
        <v>#N/A</v>
      </c>
      <c r="GF64" s="152" t="e">
        <f t="shared" si="26"/>
        <v>#N/A</v>
      </c>
      <c r="GG64" s="7" t="e">
        <f t="shared" si="17"/>
        <v>#N/A</v>
      </c>
      <c r="GH64" t="e">
        <f t="shared" si="27"/>
        <v>#N/A</v>
      </c>
      <c r="GI64" s="8" t="e">
        <f t="shared" si="28"/>
        <v>#N/A</v>
      </c>
      <c r="GJ64" s="8" t="e">
        <f t="shared" si="29"/>
        <v>#N/A</v>
      </c>
      <c r="GK64" s="151" t="e">
        <f t="shared" si="30"/>
        <v>#N/A</v>
      </c>
      <c r="GL64" s="151"/>
      <c r="GM64" s="151"/>
      <c r="GP64" s="54">
        <f t="shared" si="81"/>
        <v>54</v>
      </c>
      <c r="GQ64" s="54">
        <f t="shared" si="82"/>
        <v>55</v>
      </c>
      <c r="GR64" s="54">
        <f t="shared" si="83"/>
        <v>-1.7966466896324496</v>
      </c>
      <c r="GS64" s="54">
        <f t="shared" si="84"/>
        <v>7.9427692707090408E-2</v>
      </c>
      <c r="GT64" s="54" t="e">
        <f t="shared" si="85"/>
        <v>#N/A</v>
      </c>
      <c r="GU64" s="54" t="e">
        <f t="shared" si="86"/>
        <v>#N/A</v>
      </c>
      <c r="GV64" s="54" t="e">
        <f t="shared" si="87"/>
        <v>#N/A</v>
      </c>
      <c r="GW64" s="54" t="b">
        <f t="shared" si="88"/>
        <v>0</v>
      </c>
      <c r="GX64" s="54" t="b">
        <f t="shared" si="89"/>
        <v>1</v>
      </c>
      <c r="GY64" s="54" t="b">
        <f t="shared" si="90"/>
        <v>0</v>
      </c>
      <c r="GZ64" s="54" t="b">
        <f t="shared" si="91"/>
        <v>1</v>
      </c>
      <c r="HA64" s="54">
        <f t="shared" si="92"/>
        <v>7.9427692707090408E-2</v>
      </c>
      <c r="HB64" s="54" t="e">
        <f t="shared" si="93"/>
        <v>#N/A</v>
      </c>
      <c r="HC64" s="54">
        <f t="shared" si="94"/>
        <v>7.9427692707090408E-2</v>
      </c>
      <c r="HD64" s="69" t="str">
        <f t="shared" si="95"/>
        <v/>
      </c>
      <c r="HJ64" s="54">
        <f t="shared" si="96"/>
        <v>54</v>
      </c>
      <c r="HK64" s="54">
        <f t="shared" si="97"/>
        <v>55</v>
      </c>
      <c r="HL64" s="54">
        <f t="shared" si="98"/>
        <v>-2.7821451329292635</v>
      </c>
      <c r="HM64" s="54" t="e">
        <f t="shared" si="99"/>
        <v>#N/A</v>
      </c>
      <c r="HN64" s="54">
        <f t="shared" si="100"/>
        <v>1.9580069923484249E-2</v>
      </c>
      <c r="HO64" s="54" t="e">
        <f t="shared" si="101"/>
        <v>#N/A</v>
      </c>
      <c r="HP64" s="54" t="e">
        <f t="shared" si="102"/>
        <v>#N/A</v>
      </c>
      <c r="HQ64" s="54" t="b">
        <f t="shared" si="103"/>
        <v>1</v>
      </c>
      <c r="HR64" s="54" t="b">
        <f t="shared" si="104"/>
        <v>0</v>
      </c>
      <c r="HS64" s="54" t="b">
        <f t="shared" si="105"/>
        <v>1</v>
      </c>
      <c r="HT64" s="54" t="b">
        <f t="shared" si="106"/>
        <v>0</v>
      </c>
      <c r="HU64" s="54">
        <f t="shared" si="107"/>
        <v>1.9580069923484249E-2</v>
      </c>
      <c r="HV64" s="54">
        <f t="shared" si="108"/>
        <v>1.9580069923484249E-2</v>
      </c>
      <c r="HW64" s="54" t="e">
        <f t="shared" si="109"/>
        <v>#N/A</v>
      </c>
      <c r="HX64" s="69" t="str">
        <f t="shared" si="110"/>
        <v/>
      </c>
    </row>
    <row r="65" spans="1:232" x14ac:dyDescent="0.2">
      <c r="A65" s="3" t="s">
        <v>472</v>
      </c>
      <c r="O65" s="3" t="s">
        <v>500</v>
      </c>
      <c r="BL65" s="90" t="s">
        <v>458</v>
      </c>
      <c r="BM65" s="203" t="e" cm="1">
        <f t="array" ref="BM65">IF(NOT($BJ$2),IF(NOT(ISBLANK(INDEX(E_k_valg[Parameter 2],E_k_aktiv))),INDEX(E_k_valg[Parameter 2],E_k_aktiv),NA()),NA())</f>
        <v>#N/A</v>
      </c>
      <c r="BZ65" s="54">
        <f t="shared" si="36"/>
        <v>55</v>
      </c>
      <c r="CA65" s="54">
        <f>Eu_tabel_g[[#This Row],[Indeks]]+1</f>
        <v>56</v>
      </c>
      <c r="CB65" s="54">
        <f t="shared" si="37"/>
        <v>-1.7726914004373502</v>
      </c>
      <c r="CC65" s="54">
        <f t="shared" si="38"/>
        <v>8.2897039117220475E-2</v>
      </c>
      <c r="CD65" s="54" t="e">
        <f t="shared" si="39"/>
        <v>#N/A</v>
      </c>
      <c r="CE65" s="54" t="e">
        <f t="shared" si="40"/>
        <v>#N/A</v>
      </c>
      <c r="CF65" s="54" t="e">
        <f t="shared" si="41"/>
        <v>#N/A</v>
      </c>
      <c r="CG65" s="54" t="b">
        <f t="shared" si="42"/>
        <v>0</v>
      </c>
      <c r="CH65" s="54" t="b">
        <f t="shared" si="43"/>
        <v>1</v>
      </c>
      <c r="CI65" s="54" t="b">
        <f t="shared" si="44"/>
        <v>0</v>
      </c>
      <c r="CJ65" s="54" t="b">
        <f t="shared" si="45"/>
        <v>1</v>
      </c>
      <c r="CK65" s="54">
        <f t="shared" si="119"/>
        <v>8.2897039117220475E-2</v>
      </c>
      <c r="CL65" s="54" t="e">
        <f t="shared" si="47"/>
        <v>#N/A</v>
      </c>
      <c r="CM65" s="54">
        <f t="shared" si="48"/>
        <v>8.2897039117220475E-2</v>
      </c>
      <c r="CN65" s="69" t="str">
        <f t="shared" si="49"/>
        <v/>
      </c>
      <c r="CO65" s="54">
        <f>_xlfn.NORM.DIST(_xlfn.NORM.INV(1-Eu_g_konfidensniveau,0,1)-Eu_tabel_g[[#This Row],[x base]],0,1,TRUE)</f>
        <v>0.55086132181012348</v>
      </c>
      <c r="CP65" s="54">
        <f>1-_xlfn.NORM.DIST(_xlfn.NORM.INV(Eu_g_konfidensniveau,0,1)-Eu_tabel_g[[#This Row],[x base]],0,1,TRUE)</f>
        <v>3.1594320383954155E-4</v>
      </c>
      <c r="CQ65" s="54">
        <f>_xlfn.NORM.DIST(_xlfn.NORM.INV((1-Eu_g_konfidensniveau)/2,0,1)-Eu_tabel_g[[#This Row],[x base]],0,1,TRUE)+1-_xlfn.NORM.DIST(_xlfn.NORM.INV(1-(1-Eu_g_konfidensniveau)/2,0,1)-Eu_tabel_g[[#This Row],[x base]],0,1,TRUE)</f>
        <v>0.42581819457602854</v>
      </c>
      <c r="CR65" s="54" t="e" cm="1">
        <f t="array" ref="CR65">IF($CR$3,INDEX(Eu_tabel_g[[#This Row],[Styrke venstre]:[Styrke tosidet]],CR$7),NA())</f>
        <v>#N/A</v>
      </c>
      <c r="CS65" s="89" t="e">
        <f>Eu_tabel_g[[#This Row],[Falsk positiv
Nulhypotese accepteres
Fejltype 1]]</f>
        <v>#N/A</v>
      </c>
      <c r="CT65" s="89" t="e">
        <f>IF(CHOOSE(CR$7,Eu_tabel_g[[#This Row],[x base]]&gt;0,Eu_tabel_g[[#This Row],[x base]]&lt;0,Eu_tabel_g[[#This Row],[x base]]=0),Eu_tabel_g[[#This Row],[Styrke, aktiv]],NA())</f>
        <v>#N/A</v>
      </c>
      <c r="CU65" s="89" t="e">
        <f>IFERROR(IF($CR$3,Eu_tabel_g[[#This Row],[Styrke, aktiv]],NA()),NA())</f>
        <v>#N/A</v>
      </c>
      <c r="CV65" s="89" t="e">
        <f>IF(ISNA(Eu_tabel_g[[#This Row],[Sand negativ
Nulhypotese afvises
Korrekt]]),NA(),IF($CR$3,1,NA()))</f>
        <v>#N/A</v>
      </c>
      <c r="CW65" s="56" t="str" cm="1">
        <f t="array" ref="CW65">_xlfn.SWITCH(BZ65,_xlfn.IFNA(CU$2,-99),CU$5,_xlfn.IFNA(CU$3,-99),CU$6,_xlfn.IFNA(CU$4,-99),CU$7,"")</f>
        <v/>
      </c>
      <c r="DA65" s="7">
        <f t="shared" si="50"/>
        <v>0.8</v>
      </c>
      <c r="DB65">
        <f>IF(ROW(Styrkeberegning_G[[#This Row],[X base venstre]])=ROW(Styrkeberegning_G[[#Headers],[X base venstre]])+1,DB$7/(DA$7/$B$67),DB64/(DA64/$B$67))</f>
        <v>-2.8015817870135784</v>
      </c>
      <c r="DC65">
        <f>Styrkeberegning_G[[#This Row],[X base venstre]]*-1</f>
        <v>2.8015817870135784</v>
      </c>
      <c r="DN65" s="54">
        <f t="shared" si="51"/>
        <v>55</v>
      </c>
      <c r="DO65" s="54">
        <f t="shared" si="52"/>
        <v>56</v>
      </c>
      <c r="DP65" s="54">
        <f t="shared" si="53"/>
        <v>8.1077497675887447</v>
      </c>
      <c r="DQ65" s="54" t="e">
        <f t="shared" si="54"/>
        <v>#N/A</v>
      </c>
      <c r="DR65" s="54" t="e">
        <f t="shared" si="55"/>
        <v>#N/A</v>
      </c>
      <c r="DS65" s="54">
        <f t="shared" si="56"/>
        <v>9.0147622821889442E-2</v>
      </c>
      <c r="DT65" s="54" t="e">
        <f t="shared" si="57"/>
        <v>#N/A</v>
      </c>
      <c r="DU65" s="54" t="b">
        <f t="shared" si="58"/>
        <v>0</v>
      </c>
      <c r="DV65" s="54" t="b">
        <f t="shared" si="59"/>
        <v>1</v>
      </c>
      <c r="DW65" s="54" t="b">
        <f t="shared" si="60"/>
        <v>0</v>
      </c>
      <c r="DX65" s="54" t="b">
        <f t="shared" si="61"/>
        <v>1</v>
      </c>
      <c r="DY65" s="54">
        <f t="shared" si="62"/>
        <v>9.0147622821889442E-2</v>
      </c>
      <c r="DZ65" s="54" t="e">
        <f t="shared" si="63"/>
        <v>#N/A</v>
      </c>
      <c r="EA65" s="54">
        <f t="shared" si="64"/>
        <v>9.0147622821889442E-2</v>
      </c>
      <c r="EB65" s="69" t="str">
        <f t="shared" si="65"/>
        <v/>
      </c>
      <c r="EG65" s="54">
        <f t="shared" si="66"/>
        <v>55</v>
      </c>
      <c r="EH65" s="54">
        <f t="shared" si="67"/>
        <v>56</v>
      </c>
      <c r="EI65" s="54">
        <f t="shared" si="68"/>
        <v>-1.7726914004373502</v>
      </c>
      <c r="EJ65" s="54">
        <f t="shared" si="69"/>
        <v>8.2897039117220475E-2</v>
      </c>
      <c r="EK65" s="54" t="e">
        <f t="shared" si="70"/>
        <v>#N/A</v>
      </c>
      <c r="EL65" s="54" t="e">
        <f t="shared" si="71"/>
        <v>#N/A</v>
      </c>
      <c r="EM65" s="54" t="e">
        <f t="shared" si="72"/>
        <v>#N/A</v>
      </c>
      <c r="EN65" s="54" t="b">
        <f t="shared" si="73"/>
        <v>0</v>
      </c>
      <c r="EO65" s="54" t="b">
        <f t="shared" si="74"/>
        <v>1</v>
      </c>
      <c r="EP65" s="54" t="b">
        <f t="shared" si="75"/>
        <v>0</v>
      </c>
      <c r="EQ65" s="54" t="b">
        <f t="shared" si="76"/>
        <v>1</v>
      </c>
      <c r="ER65" s="54">
        <f t="shared" si="77"/>
        <v>8.2897039117220475E-2</v>
      </c>
      <c r="ES65" s="54" t="e">
        <f t="shared" si="78"/>
        <v>#N/A</v>
      </c>
      <c r="ET65" s="54">
        <f t="shared" si="79"/>
        <v>8.2897039117220475E-2</v>
      </c>
      <c r="EU65" s="69" t="str">
        <f t="shared" si="80"/>
        <v/>
      </c>
      <c r="EV6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6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6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65" s="54" t="e" cm="1">
        <f t="array" ref="EY65">IF($CR$3,INDEX(Eu_tabel_a[[#This Row],[Styrke venstre]:[Styrke tosidet]],EY$7),NA())</f>
        <v>#N/A</v>
      </c>
      <c r="EZ65" s="54" t="e">
        <f>IF(EY$3,IF(CHOOSE(EY$7,Eu_tabel_a[[#This Row],[x base]]&gt;0,Eu_tabel_a[[#This Row],[x base]]&lt;0,Eu_tabel_a[[#This Row],[x base]]=0),1,NA()),NA())</f>
        <v>#N/A</v>
      </c>
      <c r="FA65" s="54" t="e">
        <f>IF(CHOOSE(EY$7,Eu_tabel_a[[#This Row],[x base]]&gt;0,Eu_tabel_a[[#This Row],[x base]]&lt;0,Eu_tabel_a[[#This Row],[x base]]=0),Eu_tabel_a[[#This Row],[Styrke, aktiv]],NA())</f>
        <v>#N/A</v>
      </c>
      <c r="FB65" s="54" t="e">
        <f>IFERROR(IF($EY$3,Eu_tabel_a[[#This Row],[Styrke, aktiv]],NA()),NA())</f>
        <v>#N/A</v>
      </c>
      <c r="FC65" s="54" t="e">
        <f>IF(ISNA(Eu_tabel_a[[#This Row],[Sand negativ
Nulhypotese afvises
Korrekt]]),NA(),IF(EY$3,1,NA()))</f>
        <v>#N/A</v>
      </c>
      <c r="FD65" s="55" t="str" cm="1">
        <f t="array" ref="FD65">IFERROR(_xlfn.SWITCH(Eu_tabel_a[[#This Row],[Indeks]],_xlfn.IFNA(FB$2,-99),FB$5,_xlfn.IFNA(FB$3,-99),FB$6,_xlfn.IFNA(FB$4,-99),FB$7,""),"")</f>
        <v/>
      </c>
      <c r="FE65" s="54">
        <f>Eu_tabel_a[[#This Row],[x base]]*SQRT(Eu_a_h0_x*(1-Eu_a_h0_x)/Eu_a_n_x)+Eu_a_h0_x</f>
        <v>0</v>
      </c>
      <c r="FJ65" s="144" t="e">
        <f t="shared" si="18"/>
        <v>#N/A</v>
      </c>
      <c r="FK65" s="152" t="e">
        <f t="shared" si="113"/>
        <v>#DIV/0!</v>
      </c>
      <c r="FL65" s="7" t="e">
        <f t="shared" si="12"/>
        <v>#DIV/0!</v>
      </c>
      <c r="FM65" t="e">
        <f t="shared" si="114"/>
        <v>#DIV/0!</v>
      </c>
      <c r="FN65" s="8" t="e">
        <f t="shared" si="115"/>
        <v>#DIV/0!</v>
      </c>
      <c r="FO65" s="8" t="e">
        <f t="shared" si="116"/>
        <v>#DIV/0!</v>
      </c>
      <c r="FP65" s="151" t="e">
        <f t="shared" si="117"/>
        <v>#DIV/0!</v>
      </c>
      <c r="FQ65" s="144" t="e">
        <f t="shared" ca="1" si="13"/>
        <v>#N/A</v>
      </c>
      <c r="FR65" s="152" t="e" vm="3">
        <f t="shared" ca="1" si="19"/>
        <v>#VALUE!</v>
      </c>
      <c r="FS65" s="7" t="e" vm="3">
        <f t="shared" ca="1" si="14"/>
        <v>#VALUE!</v>
      </c>
      <c r="FT65" t="e" vm="3">
        <f t="shared" ca="1" si="8"/>
        <v>#VALUE!</v>
      </c>
      <c r="FU65" s="8" t="e" vm="3">
        <f t="shared" ca="1" si="9"/>
        <v>#VALUE!</v>
      </c>
      <c r="FV65" s="8" t="e" vm="3">
        <f t="shared" ca="1" si="10"/>
        <v>#VALUE!</v>
      </c>
      <c r="FW65" s="151" t="e" vm="3">
        <f t="shared" ca="1" si="11"/>
        <v>#VALUE!</v>
      </c>
      <c r="FX65" s="144" t="e">
        <f t="shared" si="15"/>
        <v>#N/A</v>
      </c>
      <c r="FY65" s="152" t="e">
        <f t="shared" si="20"/>
        <v>#N/A</v>
      </c>
      <c r="FZ65" s="7" t="e">
        <f t="shared" si="16"/>
        <v>#N/A</v>
      </c>
      <c r="GA65" t="e">
        <f t="shared" si="21"/>
        <v>#N/A</v>
      </c>
      <c r="GB65" s="8" t="e">
        <f t="shared" si="22"/>
        <v>#N/A</v>
      </c>
      <c r="GC65" s="8" t="e">
        <f t="shared" si="23"/>
        <v>#N/A</v>
      </c>
      <c r="GD65" s="151" t="e">
        <f t="shared" si="24"/>
        <v>#N/A</v>
      </c>
      <c r="GE65" s="144" t="e">
        <f t="shared" si="25"/>
        <v>#N/A</v>
      </c>
      <c r="GF65" s="152" t="e">
        <f t="shared" si="26"/>
        <v>#N/A</v>
      </c>
      <c r="GG65" s="7" t="e">
        <f t="shared" si="17"/>
        <v>#N/A</v>
      </c>
      <c r="GH65" t="e">
        <f t="shared" si="27"/>
        <v>#N/A</v>
      </c>
      <c r="GI65" s="8" t="e">
        <f t="shared" si="28"/>
        <v>#N/A</v>
      </c>
      <c r="GJ65" s="8" t="e">
        <f t="shared" si="29"/>
        <v>#N/A</v>
      </c>
      <c r="GK65" s="151" t="e">
        <f t="shared" si="30"/>
        <v>#N/A</v>
      </c>
      <c r="GL65" s="151"/>
      <c r="GM65" s="151"/>
      <c r="GP65" s="54">
        <f t="shared" si="81"/>
        <v>55</v>
      </c>
      <c r="GQ65" s="54">
        <f t="shared" si="82"/>
        <v>56</v>
      </c>
      <c r="GR65" s="54">
        <f t="shared" si="83"/>
        <v>-1.7726914004373502</v>
      </c>
      <c r="GS65" s="54">
        <f t="shared" si="84"/>
        <v>8.2897039117220475E-2</v>
      </c>
      <c r="GT65" s="54" t="e">
        <f t="shared" si="85"/>
        <v>#N/A</v>
      </c>
      <c r="GU65" s="54" t="e">
        <f t="shared" si="86"/>
        <v>#N/A</v>
      </c>
      <c r="GV65" s="54" t="e">
        <f t="shared" si="87"/>
        <v>#N/A</v>
      </c>
      <c r="GW65" s="54" t="b">
        <f t="shared" si="88"/>
        <v>0</v>
      </c>
      <c r="GX65" s="54" t="b">
        <f t="shared" si="89"/>
        <v>1</v>
      </c>
      <c r="GY65" s="54" t="b">
        <f t="shared" si="90"/>
        <v>0</v>
      </c>
      <c r="GZ65" s="54" t="b">
        <f t="shared" si="91"/>
        <v>1</v>
      </c>
      <c r="HA65" s="54">
        <f t="shared" si="92"/>
        <v>8.2897039117220475E-2</v>
      </c>
      <c r="HB65" s="54" t="e">
        <f t="shared" si="93"/>
        <v>#N/A</v>
      </c>
      <c r="HC65" s="54">
        <f t="shared" si="94"/>
        <v>8.2897039117220475E-2</v>
      </c>
      <c r="HD65" s="69" t="str">
        <f t="shared" si="95"/>
        <v/>
      </c>
      <c r="HJ65" s="54">
        <f t="shared" si="96"/>
        <v>55</v>
      </c>
      <c r="HK65" s="54">
        <f t="shared" si="97"/>
        <v>56</v>
      </c>
      <c r="HL65" s="54">
        <f t="shared" si="98"/>
        <v>-2.7450498644902064</v>
      </c>
      <c r="HM65" s="54" t="e">
        <f t="shared" si="99"/>
        <v>#N/A</v>
      </c>
      <c r="HN65" s="54">
        <f t="shared" si="100"/>
        <v>2.0708440519801124E-2</v>
      </c>
      <c r="HO65" s="54" t="e">
        <f t="shared" si="101"/>
        <v>#N/A</v>
      </c>
      <c r="HP65" s="54" t="e">
        <f t="shared" si="102"/>
        <v>#N/A</v>
      </c>
      <c r="HQ65" s="54" t="b">
        <f t="shared" si="103"/>
        <v>1</v>
      </c>
      <c r="HR65" s="54" t="b">
        <f t="shared" si="104"/>
        <v>0</v>
      </c>
      <c r="HS65" s="54" t="b">
        <f t="shared" si="105"/>
        <v>1</v>
      </c>
      <c r="HT65" s="54" t="b">
        <f t="shared" si="106"/>
        <v>0</v>
      </c>
      <c r="HU65" s="54">
        <f t="shared" si="107"/>
        <v>2.0708440519801124E-2</v>
      </c>
      <c r="HV65" s="54">
        <f t="shared" si="108"/>
        <v>2.0708440519801124E-2</v>
      </c>
      <c r="HW65" s="54" t="e">
        <f t="shared" si="109"/>
        <v>#N/A</v>
      </c>
      <c r="HX65" s="69" t="str">
        <f t="shared" si="110"/>
        <v/>
      </c>
    </row>
    <row r="66" spans="1:232" x14ac:dyDescent="0.2">
      <c r="A66" s="90" t="s">
        <v>136</v>
      </c>
      <c r="B66" s="90" t="s">
        <v>495</v>
      </c>
      <c r="C66" s="90" t="s">
        <v>496</v>
      </c>
      <c r="O66" s="90" t="s">
        <v>136</v>
      </c>
      <c r="P66" s="90" t="s">
        <v>495</v>
      </c>
      <c r="Q66" s="90" t="s">
        <v>496</v>
      </c>
      <c r="BL66" s="90" t="s">
        <v>123</v>
      </c>
      <c r="BM66" s="203" cm="1">
        <f t="array" ref="BM66">IF(NOT($BJ$2),INDEX(E_k_valg[Teststørrelse],E_k_aktiv),NA())</f>
        <v>1.7059050335879198</v>
      </c>
      <c r="BZ66" s="54">
        <f t="shared" si="36"/>
        <v>56</v>
      </c>
      <c r="CA66" s="54">
        <f>Eu_tabel_g[[#This Row],[Indeks]]+1</f>
        <v>57</v>
      </c>
      <c r="CB66" s="54">
        <f t="shared" si="37"/>
        <v>-1.7487361112422508</v>
      </c>
      <c r="CC66" s="54">
        <f t="shared" si="38"/>
        <v>8.6468289590491687E-2</v>
      </c>
      <c r="CD66" s="54" t="e">
        <f t="shared" si="39"/>
        <v>#N/A</v>
      </c>
      <c r="CE66" s="54" t="e">
        <f t="shared" si="40"/>
        <v>#N/A</v>
      </c>
      <c r="CF66" s="54" t="e">
        <f t="shared" si="41"/>
        <v>#N/A</v>
      </c>
      <c r="CG66" s="54" t="b">
        <f t="shared" si="42"/>
        <v>0</v>
      </c>
      <c r="CH66" s="54" t="b">
        <f t="shared" si="43"/>
        <v>1</v>
      </c>
      <c r="CI66" s="54" t="b">
        <f t="shared" si="44"/>
        <v>0</v>
      </c>
      <c r="CJ66" s="54" t="b">
        <f t="shared" si="45"/>
        <v>1</v>
      </c>
      <c r="CK66" s="54">
        <f t="shared" si="119"/>
        <v>8.6468289590491687E-2</v>
      </c>
      <c r="CL66" s="54" t="e">
        <f t="shared" si="47"/>
        <v>#N/A</v>
      </c>
      <c r="CM66" s="54">
        <f t="shared" si="48"/>
        <v>8.6468289590491687E-2</v>
      </c>
      <c r="CN66" s="69" t="str">
        <f t="shared" si="49"/>
        <v/>
      </c>
      <c r="CO66" s="54">
        <f>_xlfn.NORM.DIST(_xlfn.NORM.INV(1-Eu_g_konfidensniveau,0,1)-Eu_tabel_g[[#This Row],[x base]],0,1,TRUE)</f>
        <v>0.54136869629794371</v>
      </c>
      <c r="CP66" s="54">
        <f>1-_xlfn.NORM.DIST(_xlfn.NORM.INV(Eu_g_konfidensniveau,0,1)-Eu_tabel_g[[#This Row],[x base]],0,1,TRUE)</f>
        <v>3.4491476418885281E-4</v>
      </c>
      <c r="CQ66" s="54">
        <f>_xlfn.NORM.DIST(_xlfn.NORM.INV((1-Eu_g_konfidensniveau)/2,0,1)-Eu_tabel_g[[#This Row],[x base]],0,1,TRUE)+1-_xlfn.NORM.DIST(_xlfn.NORM.INV(1-(1-Eu_g_konfidensniveau)/2,0,1)-Eu_tabel_g[[#This Row],[x base]],0,1,TRUE)</f>
        <v>0.41645889382757761</v>
      </c>
      <c r="CR66" s="54" t="e" cm="1">
        <f t="array" ref="CR66">IF($CR$3,INDEX(Eu_tabel_g[[#This Row],[Styrke venstre]:[Styrke tosidet]],CR$7),NA())</f>
        <v>#N/A</v>
      </c>
      <c r="CS66" s="89" t="e">
        <f>Eu_tabel_g[[#This Row],[Falsk positiv
Nulhypotese accepteres
Fejltype 1]]</f>
        <v>#N/A</v>
      </c>
      <c r="CT66" s="89" t="e">
        <f>IF(CHOOSE(CR$7,Eu_tabel_g[[#This Row],[x base]]&gt;0,Eu_tabel_g[[#This Row],[x base]]&lt;0,Eu_tabel_g[[#This Row],[x base]]=0),Eu_tabel_g[[#This Row],[Styrke, aktiv]],NA())</f>
        <v>#N/A</v>
      </c>
      <c r="CU66" s="89" t="e">
        <f>IFERROR(IF($CR$3,Eu_tabel_g[[#This Row],[Styrke, aktiv]],NA()),NA())</f>
        <v>#N/A</v>
      </c>
      <c r="CV66" s="89" t="e">
        <f>IF(ISNA(Eu_tabel_g[[#This Row],[Sand negativ
Nulhypotese afvises
Korrekt]]),NA(),IF($CR$3,1,NA()))</f>
        <v>#N/A</v>
      </c>
      <c r="CW66" s="56" t="str" cm="1">
        <f t="array" ref="CW66">_xlfn.SWITCH(BZ66,_xlfn.IFNA(CU$2,-99),CU$5,_xlfn.IFNA(CU$3,-99),CU$6,_xlfn.IFNA(CU$4,-99),CU$7,"")</f>
        <v/>
      </c>
      <c r="DA66" s="7">
        <f t="shared" si="50"/>
        <v>0.8</v>
      </c>
      <c r="DB66">
        <f>IF(ROW(Styrkeberegning_G[[#This Row],[X base venstre]])=ROW(Styrkeberegning_G[[#Headers],[X base venstre]])+1,DB$7/(DA$7/$B$67),DB65/(DA65/$B$67))</f>
        <v>-2.8015817870135784</v>
      </c>
      <c r="DC66">
        <f>Styrkeberegning_G[[#This Row],[X base venstre]]*-1</f>
        <v>2.8015817870135784</v>
      </c>
      <c r="DN66" s="54">
        <f t="shared" si="51"/>
        <v>56</v>
      </c>
      <c r="DO66" s="54">
        <f t="shared" si="52"/>
        <v>57</v>
      </c>
      <c r="DP66" s="54">
        <f t="shared" si="53"/>
        <v>8.2218206240057459</v>
      </c>
      <c r="DQ66" s="54" t="e">
        <f t="shared" si="54"/>
        <v>#N/A</v>
      </c>
      <c r="DR66" s="54" t="e">
        <f t="shared" si="55"/>
        <v>#N/A</v>
      </c>
      <c r="DS66" s="54">
        <f t="shared" si="56"/>
        <v>9.0675212499950975E-2</v>
      </c>
      <c r="DT66" s="54" t="e">
        <f t="shared" si="57"/>
        <v>#N/A</v>
      </c>
      <c r="DU66" s="54" t="b">
        <f t="shared" si="58"/>
        <v>0</v>
      </c>
      <c r="DV66" s="54" t="b">
        <f t="shared" si="59"/>
        <v>1</v>
      </c>
      <c r="DW66" s="54" t="b">
        <f t="shared" si="60"/>
        <v>0</v>
      </c>
      <c r="DX66" s="54" t="b">
        <f t="shared" si="61"/>
        <v>1</v>
      </c>
      <c r="DY66" s="54">
        <f t="shared" si="62"/>
        <v>9.0675212499950975E-2</v>
      </c>
      <c r="DZ66" s="54" t="e">
        <f t="shared" si="63"/>
        <v>#N/A</v>
      </c>
      <c r="EA66" s="54">
        <f t="shared" si="64"/>
        <v>9.0675212499950975E-2</v>
      </c>
      <c r="EB66" s="69" t="str">
        <f t="shared" si="65"/>
        <v/>
      </c>
      <c r="EG66" s="54">
        <f t="shared" si="66"/>
        <v>56</v>
      </c>
      <c r="EH66" s="54">
        <f t="shared" si="67"/>
        <v>57</v>
      </c>
      <c r="EI66" s="54">
        <f t="shared" si="68"/>
        <v>-1.7487361112422508</v>
      </c>
      <c r="EJ66" s="54">
        <f t="shared" si="69"/>
        <v>8.6468289590491687E-2</v>
      </c>
      <c r="EK66" s="54" t="e">
        <f t="shared" si="70"/>
        <v>#N/A</v>
      </c>
      <c r="EL66" s="54" t="e">
        <f t="shared" si="71"/>
        <v>#N/A</v>
      </c>
      <c r="EM66" s="54" t="e">
        <f t="shared" si="72"/>
        <v>#N/A</v>
      </c>
      <c r="EN66" s="54" t="b">
        <f t="shared" si="73"/>
        <v>0</v>
      </c>
      <c r="EO66" s="54" t="b">
        <f t="shared" si="74"/>
        <v>1</v>
      </c>
      <c r="EP66" s="54" t="b">
        <f t="shared" si="75"/>
        <v>0</v>
      </c>
      <c r="EQ66" s="54" t="b">
        <f t="shared" si="76"/>
        <v>1</v>
      </c>
      <c r="ER66" s="54">
        <f t="shared" si="77"/>
        <v>8.6468289590491687E-2</v>
      </c>
      <c r="ES66" s="54" t="e">
        <f t="shared" si="78"/>
        <v>#N/A</v>
      </c>
      <c r="ET66" s="54">
        <f t="shared" si="79"/>
        <v>8.6468289590491687E-2</v>
      </c>
      <c r="EU66" s="69" t="str">
        <f t="shared" si="80"/>
        <v/>
      </c>
      <c r="EV6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6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6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66" s="54" t="e" cm="1">
        <f t="array" ref="EY66">IF($CR$3,INDEX(Eu_tabel_a[[#This Row],[Styrke venstre]:[Styrke tosidet]],EY$7),NA())</f>
        <v>#N/A</v>
      </c>
      <c r="EZ66" s="54" t="e">
        <f>IF(EY$3,IF(CHOOSE(EY$7,Eu_tabel_a[[#This Row],[x base]]&gt;0,Eu_tabel_a[[#This Row],[x base]]&lt;0,Eu_tabel_a[[#This Row],[x base]]=0),1,NA()),NA())</f>
        <v>#N/A</v>
      </c>
      <c r="FA66" s="54" t="e">
        <f>IF(CHOOSE(EY$7,Eu_tabel_a[[#This Row],[x base]]&gt;0,Eu_tabel_a[[#This Row],[x base]]&lt;0,Eu_tabel_a[[#This Row],[x base]]=0),Eu_tabel_a[[#This Row],[Styrke, aktiv]],NA())</f>
        <v>#N/A</v>
      </c>
      <c r="FB66" s="54" t="e">
        <f>IFERROR(IF($EY$3,Eu_tabel_a[[#This Row],[Styrke, aktiv]],NA()),NA())</f>
        <v>#N/A</v>
      </c>
      <c r="FC66" s="54" t="e">
        <f>IF(ISNA(Eu_tabel_a[[#This Row],[Sand negativ
Nulhypotese afvises
Korrekt]]),NA(),IF(EY$3,1,NA()))</f>
        <v>#N/A</v>
      </c>
      <c r="FD66" s="55" t="str" cm="1">
        <f t="array" ref="FD66">IFERROR(_xlfn.SWITCH(Eu_tabel_a[[#This Row],[Indeks]],_xlfn.IFNA(FB$2,-99),FB$5,_xlfn.IFNA(FB$3,-99),FB$6,_xlfn.IFNA(FB$4,-99),FB$7,""),"")</f>
        <v/>
      </c>
      <c r="FE66" s="54">
        <f>Eu_tabel_a[[#This Row],[x base]]*SQRT(Eu_a_h0_x*(1-Eu_a_h0_x)/Eu_a_n_x)+Eu_a_h0_x</f>
        <v>0</v>
      </c>
      <c r="FJ66" s="144" t="e">
        <f t="shared" si="18"/>
        <v>#N/A</v>
      </c>
      <c r="FK66" s="152" t="e">
        <f t="shared" si="113"/>
        <v>#DIV/0!</v>
      </c>
      <c r="FL66" s="7" t="e">
        <f t="shared" si="12"/>
        <v>#DIV/0!</v>
      </c>
      <c r="FM66" t="e">
        <f t="shared" si="114"/>
        <v>#DIV/0!</v>
      </c>
      <c r="FN66" s="8" t="e">
        <f t="shared" si="115"/>
        <v>#DIV/0!</v>
      </c>
      <c r="FO66" s="8" t="e">
        <f t="shared" si="116"/>
        <v>#DIV/0!</v>
      </c>
      <c r="FP66" s="151" t="e">
        <f t="shared" si="117"/>
        <v>#DIV/0!</v>
      </c>
      <c r="FQ66" s="144" t="e">
        <f t="shared" ca="1" si="13"/>
        <v>#N/A</v>
      </c>
      <c r="FR66" s="152" t="e" vm="3">
        <f t="shared" ca="1" si="19"/>
        <v>#VALUE!</v>
      </c>
      <c r="FS66" s="7" t="e" vm="3">
        <f t="shared" ca="1" si="14"/>
        <v>#VALUE!</v>
      </c>
      <c r="FT66" t="e" vm="3">
        <f t="shared" ca="1" si="8"/>
        <v>#VALUE!</v>
      </c>
      <c r="FU66" s="8" t="e" vm="3">
        <f t="shared" ca="1" si="9"/>
        <v>#VALUE!</v>
      </c>
      <c r="FV66" s="8" t="e" vm="3">
        <f t="shared" ca="1" si="10"/>
        <v>#VALUE!</v>
      </c>
      <c r="FW66" s="151" t="e" vm="3">
        <f t="shared" ca="1" si="11"/>
        <v>#VALUE!</v>
      </c>
      <c r="FX66" s="144" t="e">
        <f t="shared" si="15"/>
        <v>#N/A</v>
      </c>
      <c r="FY66" s="152" t="e">
        <f t="shared" si="20"/>
        <v>#N/A</v>
      </c>
      <c r="FZ66" s="7" t="e">
        <f t="shared" si="16"/>
        <v>#N/A</v>
      </c>
      <c r="GA66" t="e">
        <f t="shared" si="21"/>
        <v>#N/A</v>
      </c>
      <c r="GB66" s="8" t="e">
        <f t="shared" si="22"/>
        <v>#N/A</v>
      </c>
      <c r="GC66" s="8" t="e">
        <f t="shared" si="23"/>
        <v>#N/A</v>
      </c>
      <c r="GD66" s="151" t="e">
        <f t="shared" si="24"/>
        <v>#N/A</v>
      </c>
      <c r="GE66" s="144" t="e">
        <f t="shared" si="25"/>
        <v>#N/A</v>
      </c>
      <c r="GF66" s="152" t="e">
        <f t="shared" si="26"/>
        <v>#N/A</v>
      </c>
      <c r="GG66" s="7" t="e">
        <f t="shared" si="17"/>
        <v>#N/A</v>
      </c>
      <c r="GH66" t="e">
        <f t="shared" si="27"/>
        <v>#N/A</v>
      </c>
      <c r="GI66" s="8" t="e">
        <f t="shared" si="28"/>
        <v>#N/A</v>
      </c>
      <c r="GJ66" s="8" t="e">
        <f t="shared" si="29"/>
        <v>#N/A</v>
      </c>
      <c r="GK66" s="151" t="e">
        <f t="shared" si="30"/>
        <v>#N/A</v>
      </c>
      <c r="GL66" s="151"/>
      <c r="GM66" s="151"/>
      <c r="GP66" s="54">
        <f t="shared" si="81"/>
        <v>56</v>
      </c>
      <c r="GQ66" s="54">
        <f t="shared" si="82"/>
        <v>57</v>
      </c>
      <c r="GR66" s="54">
        <f t="shared" si="83"/>
        <v>-1.7487361112422508</v>
      </c>
      <c r="GS66" s="54">
        <f t="shared" si="84"/>
        <v>8.6468289590491687E-2</v>
      </c>
      <c r="GT66" s="54" t="e">
        <f t="shared" si="85"/>
        <v>#N/A</v>
      </c>
      <c r="GU66" s="54" t="e">
        <f t="shared" si="86"/>
        <v>#N/A</v>
      </c>
      <c r="GV66" s="54" t="e">
        <f t="shared" si="87"/>
        <v>#N/A</v>
      </c>
      <c r="GW66" s="54" t="b">
        <f t="shared" si="88"/>
        <v>0</v>
      </c>
      <c r="GX66" s="54" t="b">
        <f t="shared" si="89"/>
        <v>1</v>
      </c>
      <c r="GY66" s="54" t="b">
        <f t="shared" si="90"/>
        <v>0</v>
      </c>
      <c r="GZ66" s="54" t="b">
        <f t="shared" si="91"/>
        <v>1</v>
      </c>
      <c r="HA66" s="54">
        <f t="shared" si="92"/>
        <v>8.6468289590491687E-2</v>
      </c>
      <c r="HB66" s="54" t="e">
        <f t="shared" si="93"/>
        <v>#N/A</v>
      </c>
      <c r="HC66" s="54">
        <f t="shared" si="94"/>
        <v>8.6468289590491687E-2</v>
      </c>
      <c r="HD66" s="69" t="str">
        <f t="shared" si="95"/>
        <v/>
      </c>
      <c r="HJ66" s="54">
        <f t="shared" si="96"/>
        <v>56</v>
      </c>
      <c r="HK66" s="54">
        <f t="shared" si="97"/>
        <v>57</v>
      </c>
      <c r="HL66" s="54">
        <f t="shared" si="98"/>
        <v>-2.7079545960511497</v>
      </c>
      <c r="HM66" s="54" t="e">
        <f t="shared" si="99"/>
        <v>#N/A</v>
      </c>
      <c r="HN66" s="54">
        <f t="shared" si="100"/>
        <v>2.1902447557375637E-2</v>
      </c>
      <c r="HO66" s="54" t="e">
        <f t="shared" si="101"/>
        <v>#N/A</v>
      </c>
      <c r="HP66" s="54" t="e">
        <f t="shared" si="102"/>
        <v>#N/A</v>
      </c>
      <c r="HQ66" s="54" t="b">
        <f t="shared" si="103"/>
        <v>1</v>
      </c>
      <c r="HR66" s="54" t="b">
        <f t="shared" si="104"/>
        <v>0</v>
      </c>
      <c r="HS66" s="54" t="b">
        <f t="shared" si="105"/>
        <v>1</v>
      </c>
      <c r="HT66" s="54" t="b">
        <f t="shared" si="106"/>
        <v>0</v>
      </c>
      <c r="HU66" s="54">
        <f t="shared" si="107"/>
        <v>2.1902447557375637E-2</v>
      </c>
      <c r="HV66" s="54">
        <f t="shared" si="108"/>
        <v>2.1902447557375637E-2</v>
      </c>
      <c r="HW66" s="54" t="e">
        <f t="shared" si="109"/>
        <v>#N/A</v>
      </c>
      <c r="HX66" s="69" t="str">
        <f t="shared" si="110"/>
        <v/>
      </c>
    </row>
    <row r="67" spans="1:232" x14ac:dyDescent="0.2">
      <c r="A67" s="57" t="s">
        <v>473</v>
      </c>
      <c r="B67" s="75">
        <v>0.8</v>
      </c>
      <c r="C67" s="143" t="e">
        <f>IF(CR7=3,_xlfn.NORM.DIST(_xlfn.NORM.INV((1-Eu_g_konfidensniveau)/2,0,1)-DE3,0,1,TRUE)+1-_xlfn.NORM.DIST(_xlfn.NORM.INV(1-(1-Eu_g_konfidensniveau)/2,0,1)-DE3,0,1,TRUE),1-_xlfn.NORM.DIST(_xlfn.NORM.INV(Eu_g_konfidensniveau,0,1)-DE3,0,1,TRUE))</f>
        <v>#N/A</v>
      </c>
      <c r="O67" s="57" t="s">
        <v>473</v>
      </c>
      <c r="P67" s="75">
        <v>0.99</v>
      </c>
      <c r="Q67" s="143"/>
      <c r="BL67" s="90" t="s">
        <v>415</v>
      </c>
      <c r="BM67" s="204" cm="1">
        <f t="array" ref="BM67">IF(NOT($BJ$2),INDEX(E_k_valg[p-værdi],E_k_aktiv),NA())</f>
        <v>0.93410377293293312</v>
      </c>
      <c r="BZ67" s="54">
        <f t="shared" si="36"/>
        <v>57</v>
      </c>
      <c r="CA67" s="54">
        <f>Eu_tabel_g[[#This Row],[Indeks]]+1</f>
        <v>58</v>
      </c>
      <c r="CB67" s="54">
        <f t="shared" si="37"/>
        <v>-1.7247808220471517</v>
      </c>
      <c r="CC67" s="54">
        <f t="shared" si="38"/>
        <v>9.014164835694867E-2</v>
      </c>
      <c r="CD67" s="54" t="e">
        <f t="shared" si="39"/>
        <v>#N/A</v>
      </c>
      <c r="CE67" s="54" t="e">
        <f t="shared" si="40"/>
        <v>#N/A</v>
      </c>
      <c r="CF67" s="54" t="e">
        <f t="shared" si="41"/>
        <v>#N/A</v>
      </c>
      <c r="CG67" s="54" t="b">
        <f t="shared" si="42"/>
        <v>0</v>
      </c>
      <c r="CH67" s="54" t="b">
        <f t="shared" si="43"/>
        <v>1</v>
      </c>
      <c r="CI67" s="54" t="b">
        <f t="shared" si="44"/>
        <v>0</v>
      </c>
      <c r="CJ67" s="54" t="b">
        <f t="shared" si="45"/>
        <v>1</v>
      </c>
      <c r="CK67" s="54">
        <f t="shared" si="119"/>
        <v>9.014164835694867E-2</v>
      </c>
      <c r="CL67" s="54" t="e">
        <f t="shared" si="47"/>
        <v>#N/A</v>
      </c>
      <c r="CM67" s="54">
        <f t="shared" si="48"/>
        <v>9.014164835694867E-2</v>
      </c>
      <c r="CN67" s="69" t="str">
        <f t="shared" si="49"/>
        <v/>
      </c>
      <c r="CO67" s="54">
        <f>_xlfn.NORM.DIST(_xlfn.NORM.INV(1-Eu_g_konfidensniveau,0,1)-Eu_tabel_g[[#This Row],[x base]],0,1,TRUE)</f>
        <v>0.5318524197704475</v>
      </c>
      <c r="CP67" s="54">
        <f>1-_xlfn.NORM.DIST(_xlfn.NORM.INV(Eu_g_konfidensniveau,0,1)-Eu_tabel_g[[#This Row],[x base]],0,1,TRUE)</f>
        <v>3.7633980985574134E-4</v>
      </c>
      <c r="CQ67" s="54">
        <f>_xlfn.NORM.DIST(_xlfn.NORM.INV((1-Eu_g_konfidensniveau)/2,0,1)-Eu_tabel_g[[#This Row],[x base]],0,1,TRUE)+1-_xlfn.NORM.DIST(_xlfn.NORM.INV(1-(1-Eu_g_konfidensniveau)/2,0,1)-Eu_tabel_g[[#This Row],[x base]],0,1,TRUE)</f>
        <v>0.40714775290485905</v>
      </c>
      <c r="CR67" s="54" t="e" cm="1">
        <f t="array" ref="CR67">IF($CR$3,INDEX(Eu_tabel_g[[#This Row],[Styrke venstre]:[Styrke tosidet]],CR$7),NA())</f>
        <v>#N/A</v>
      </c>
      <c r="CS67" s="89" t="e">
        <f>Eu_tabel_g[[#This Row],[Falsk positiv
Nulhypotese accepteres
Fejltype 1]]</f>
        <v>#N/A</v>
      </c>
      <c r="CT67" s="89" t="e">
        <f>IF(CHOOSE(CR$7,Eu_tabel_g[[#This Row],[x base]]&gt;0,Eu_tabel_g[[#This Row],[x base]]&lt;0,Eu_tabel_g[[#This Row],[x base]]=0),Eu_tabel_g[[#This Row],[Styrke, aktiv]],NA())</f>
        <v>#N/A</v>
      </c>
      <c r="CU67" s="89" t="e">
        <f>IFERROR(IF($CR$3,Eu_tabel_g[[#This Row],[Styrke, aktiv]],NA()),NA())</f>
        <v>#N/A</v>
      </c>
      <c r="CV67" s="89" t="e">
        <f>IF(ISNA(Eu_tabel_g[[#This Row],[Sand negativ
Nulhypotese afvises
Korrekt]]),NA(),IF($CR$3,1,NA()))</f>
        <v>#N/A</v>
      </c>
      <c r="CW67" s="56" t="str" cm="1">
        <f t="array" ref="CW67">_xlfn.SWITCH(BZ67,_xlfn.IFNA(CU$2,-99),CU$5,_xlfn.IFNA(CU$3,-99),CU$6,_xlfn.IFNA(CU$4,-99),CU$7,"")</f>
        <v/>
      </c>
      <c r="DA67" s="7">
        <f t="shared" si="50"/>
        <v>0.8</v>
      </c>
      <c r="DB67">
        <f>IF(ROW(Styrkeberegning_G[[#This Row],[X base venstre]])=ROW(Styrkeberegning_G[[#Headers],[X base venstre]])+1,DB$7/(DA$7/$B$67),DB66/(DA66/$B$67))</f>
        <v>-2.8015817870135784</v>
      </c>
      <c r="DC67">
        <f>Styrkeberegning_G[[#This Row],[X base venstre]]*-1</f>
        <v>2.8015817870135784</v>
      </c>
      <c r="DN67" s="54">
        <f t="shared" si="51"/>
        <v>57</v>
      </c>
      <c r="DO67" s="54">
        <f t="shared" si="52"/>
        <v>58</v>
      </c>
      <c r="DP67" s="54">
        <f t="shared" si="53"/>
        <v>8.3358914804227471</v>
      </c>
      <c r="DQ67" s="54" t="e">
        <f t="shared" si="54"/>
        <v>#N/A</v>
      </c>
      <c r="DR67" s="54" t="e">
        <f t="shared" si="55"/>
        <v>#N/A</v>
      </c>
      <c r="DS67" s="54">
        <f t="shared" si="56"/>
        <v>9.1126912559427717E-2</v>
      </c>
      <c r="DT67" s="54" t="e">
        <f t="shared" si="57"/>
        <v>#N/A</v>
      </c>
      <c r="DU67" s="54" t="b">
        <f t="shared" si="58"/>
        <v>0</v>
      </c>
      <c r="DV67" s="54" t="b">
        <f t="shared" si="59"/>
        <v>1</v>
      </c>
      <c r="DW67" s="54" t="b">
        <f t="shared" si="60"/>
        <v>0</v>
      </c>
      <c r="DX67" s="54" t="b">
        <f t="shared" si="61"/>
        <v>1</v>
      </c>
      <c r="DY67" s="54">
        <f t="shared" si="62"/>
        <v>9.1126912559427717E-2</v>
      </c>
      <c r="DZ67" s="54" t="e">
        <f t="shared" si="63"/>
        <v>#N/A</v>
      </c>
      <c r="EA67" s="54">
        <f t="shared" si="64"/>
        <v>9.1126912559427717E-2</v>
      </c>
      <c r="EB67" s="69" t="str">
        <f t="shared" si="65"/>
        <v/>
      </c>
      <c r="EG67" s="54">
        <f t="shared" si="66"/>
        <v>57</v>
      </c>
      <c r="EH67" s="54">
        <f t="shared" si="67"/>
        <v>58</v>
      </c>
      <c r="EI67" s="54">
        <f t="shared" si="68"/>
        <v>-1.7247808220471517</v>
      </c>
      <c r="EJ67" s="54">
        <f t="shared" si="69"/>
        <v>9.014164835694867E-2</v>
      </c>
      <c r="EK67" s="54" t="e">
        <f t="shared" si="70"/>
        <v>#N/A</v>
      </c>
      <c r="EL67" s="54" t="e">
        <f t="shared" si="71"/>
        <v>#N/A</v>
      </c>
      <c r="EM67" s="54" t="e">
        <f t="shared" si="72"/>
        <v>#N/A</v>
      </c>
      <c r="EN67" s="54" t="b">
        <f t="shared" si="73"/>
        <v>0</v>
      </c>
      <c r="EO67" s="54" t="b">
        <f t="shared" si="74"/>
        <v>1</v>
      </c>
      <c r="EP67" s="54" t="b">
        <f t="shared" si="75"/>
        <v>0</v>
      </c>
      <c r="EQ67" s="54" t="b">
        <f t="shared" si="76"/>
        <v>1</v>
      </c>
      <c r="ER67" s="54">
        <f t="shared" si="77"/>
        <v>9.014164835694867E-2</v>
      </c>
      <c r="ES67" s="54" t="e">
        <f t="shared" si="78"/>
        <v>#N/A</v>
      </c>
      <c r="ET67" s="54">
        <f t="shared" si="79"/>
        <v>9.014164835694867E-2</v>
      </c>
      <c r="EU67" s="69" t="str">
        <f t="shared" si="80"/>
        <v/>
      </c>
      <c r="EV6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6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6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67" s="54" t="e" cm="1">
        <f t="array" ref="EY67">IF($CR$3,INDEX(Eu_tabel_a[[#This Row],[Styrke venstre]:[Styrke tosidet]],EY$7),NA())</f>
        <v>#N/A</v>
      </c>
      <c r="EZ67" s="54" t="e">
        <f>IF(EY$3,IF(CHOOSE(EY$7,Eu_tabel_a[[#This Row],[x base]]&gt;0,Eu_tabel_a[[#This Row],[x base]]&lt;0,Eu_tabel_a[[#This Row],[x base]]=0),1,NA()),NA())</f>
        <v>#N/A</v>
      </c>
      <c r="FA67" s="54" t="e">
        <f>IF(CHOOSE(EY$7,Eu_tabel_a[[#This Row],[x base]]&gt;0,Eu_tabel_a[[#This Row],[x base]]&lt;0,Eu_tabel_a[[#This Row],[x base]]=0),Eu_tabel_a[[#This Row],[Styrke, aktiv]],NA())</f>
        <v>#N/A</v>
      </c>
      <c r="FB67" s="54" t="e">
        <f>IFERROR(IF($EY$3,Eu_tabel_a[[#This Row],[Styrke, aktiv]],NA()),NA())</f>
        <v>#N/A</v>
      </c>
      <c r="FC67" s="54" t="e">
        <f>IF(ISNA(Eu_tabel_a[[#This Row],[Sand negativ
Nulhypotese afvises
Korrekt]]),NA(),IF(EY$3,1,NA()))</f>
        <v>#N/A</v>
      </c>
      <c r="FD67" s="55" t="str" cm="1">
        <f t="array" ref="FD67">IFERROR(_xlfn.SWITCH(Eu_tabel_a[[#This Row],[Indeks]],_xlfn.IFNA(FB$2,-99),FB$5,_xlfn.IFNA(FB$3,-99),FB$6,_xlfn.IFNA(FB$4,-99),FB$7,""),"")</f>
        <v/>
      </c>
      <c r="FE67" s="54">
        <f>Eu_tabel_a[[#This Row],[x base]]*SQRT(Eu_a_h0_x*(1-Eu_a_h0_x)/Eu_a_n_x)+Eu_a_h0_x</f>
        <v>0</v>
      </c>
      <c r="FJ67" s="144" t="e">
        <f t="shared" si="18"/>
        <v>#N/A</v>
      </c>
      <c r="FK67" s="152" t="e">
        <f t="shared" si="113"/>
        <v>#DIV/0!</v>
      </c>
      <c r="FL67" s="7" t="e">
        <f t="shared" si="12"/>
        <v>#DIV/0!</v>
      </c>
      <c r="FM67" t="e">
        <f t="shared" si="114"/>
        <v>#DIV/0!</v>
      </c>
      <c r="FN67" s="8" t="e">
        <f t="shared" si="115"/>
        <v>#DIV/0!</v>
      </c>
      <c r="FO67" s="8" t="e">
        <f t="shared" si="116"/>
        <v>#DIV/0!</v>
      </c>
      <c r="FP67" s="151" t="e">
        <f t="shared" si="117"/>
        <v>#DIV/0!</v>
      </c>
      <c r="FQ67" s="144" t="e">
        <f t="shared" ca="1" si="13"/>
        <v>#N/A</v>
      </c>
      <c r="FR67" s="152" t="e" vm="3">
        <f t="shared" ca="1" si="19"/>
        <v>#VALUE!</v>
      </c>
      <c r="FS67" s="7" t="e" vm="3">
        <f t="shared" ca="1" si="14"/>
        <v>#VALUE!</v>
      </c>
      <c r="FT67" t="e" vm="3">
        <f t="shared" ca="1" si="8"/>
        <v>#VALUE!</v>
      </c>
      <c r="FU67" s="8" t="e" vm="3">
        <f t="shared" ca="1" si="9"/>
        <v>#VALUE!</v>
      </c>
      <c r="FV67" s="8" t="e" vm="3">
        <f t="shared" ca="1" si="10"/>
        <v>#VALUE!</v>
      </c>
      <c r="FW67" s="151" t="e" vm="3">
        <f t="shared" ca="1" si="11"/>
        <v>#VALUE!</v>
      </c>
      <c r="FX67" s="144" t="e">
        <f t="shared" si="15"/>
        <v>#N/A</v>
      </c>
      <c r="FY67" s="152" t="e">
        <f t="shared" si="20"/>
        <v>#N/A</v>
      </c>
      <c r="FZ67" s="7" t="e">
        <f t="shared" si="16"/>
        <v>#N/A</v>
      </c>
      <c r="GA67" t="e">
        <f t="shared" si="21"/>
        <v>#N/A</v>
      </c>
      <c r="GB67" s="8" t="e">
        <f t="shared" si="22"/>
        <v>#N/A</v>
      </c>
      <c r="GC67" s="8" t="e">
        <f t="shared" si="23"/>
        <v>#N/A</v>
      </c>
      <c r="GD67" s="151" t="e">
        <f t="shared" si="24"/>
        <v>#N/A</v>
      </c>
      <c r="GE67" s="144" t="e">
        <f t="shared" si="25"/>
        <v>#N/A</v>
      </c>
      <c r="GF67" s="152" t="e">
        <f t="shared" si="26"/>
        <v>#N/A</v>
      </c>
      <c r="GG67" s="7" t="e">
        <f t="shared" si="17"/>
        <v>#N/A</v>
      </c>
      <c r="GH67" t="e">
        <f t="shared" si="27"/>
        <v>#N/A</v>
      </c>
      <c r="GI67" s="8" t="e">
        <f t="shared" si="28"/>
        <v>#N/A</v>
      </c>
      <c r="GJ67" s="8" t="e">
        <f t="shared" si="29"/>
        <v>#N/A</v>
      </c>
      <c r="GK67" s="151" t="e">
        <f t="shared" si="30"/>
        <v>#N/A</v>
      </c>
      <c r="GL67" s="151"/>
      <c r="GM67" s="151"/>
      <c r="GP67" s="54">
        <f t="shared" si="81"/>
        <v>57</v>
      </c>
      <c r="GQ67" s="54">
        <f t="shared" si="82"/>
        <v>58</v>
      </c>
      <c r="GR67" s="54">
        <f t="shared" si="83"/>
        <v>-1.7247808220471517</v>
      </c>
      <c r="GS67" s="54">
        <f t="shared" si="84"/>
        <v>9.014164835694867E-2</v>
      </c>
      <c r="GT67" s="54" t="e">
        <f t="shared" si="85"/>
        <v>#N/A</v>
      </c>
      <c r="GU67" s="54" t="e">
        <f t="shared" si="86"/>
        <v>#N/A</v>
      </c>
      <c r="GV67" s="54" t="e">
        <f t="shared" si="87"/>
        <v>#N/A</v>
      </c>
      <c r="GW67" s="54" t="b">
        <f t="shared" si="88"/>
        <v>0</v>
      </c>
      <c r="GX67" s="54" t="b">
        <f t="shared" si="89"/>
        <v>1</v>
      </c>
      <c r="GY67" s="54" t="b">
        <f t="shared" si="90"/>
        <v>0</v>
      </c>
      <c r="GZ67" s="54" t="b">
        <f t="shared" si="91"/>
        <v>1</v>
      </c>
      <c r="HA67" s="54">
        <f t="shared" si="92"/>
        <v>9.014164835694867E-2</v>
      </c>
      <c r="HB67" s="54" t="e">
        <f t="shared" si="93"/>
        <v>#N/A</v>
      </c>
      <c r="HC67" s="54">
        <f t="shared" si="94"/>
        <v>9.014164835694867E-2</v>
      </c>
      <c r="HD67" s="69" t="str">
        <f t="shared" si="95"/>
        <v/>
      </c>
      <c r="HJ67" s="54">
        <f t="shared" si="96"/>
        <v>57</v>
      </c>
      <c r="HK67" s="54">
        <f t="shared" si="97"/>
        <v>58</v>
      </c>
      <c r="HL67" s="54">
        <f t="shared" si="98"/>
        <v>-2.6708593276120927</v>
      </c>
      <c r="HM67" s="54" t="e">
        <f t="shared" si="99"/>
        <v>#N/A</v>
      </c>
      <c r="HN67" s="54">
        <f t="shared" si="100"/>
        <v>2.3165711177825694E-2</v>
      </c>
      <c r="HO67" s="54" t="e">
        <f t="shared" si="101"/>
        <v>#N/A</v>
      </c>
      <c r="HP67" s="54" t="e">
        <f t="shared" si="102"/>
        <v>#N/A</v>
      </c>
      <c r="HQ67" s="54" t="b">
        <f t="shared" si="103"/>
        <v>1</v>
      </c>
      <c r="HR67" s="54" t="b">
        <f t="shared" si="104"/>
        <v>0</v>
      </c>
      <c r="HS67" s="54" t="b">
        <f t="shared" si="105"/>
        <v>1</v>
      </c>
      <c r="HT67" s="54" t="b">
        <f t="shared" si="106"/>
        <v>0</v>
      </c>
      <c r="HU67" s="54">
        <f t="shared" si="107"/>
        <v>2.3165711177825694E-2</v>
      </c>
      <c r="HV67" s="54">
        <f t="shared" si="108"/>
        <v>2.3165711177825694E-2</v>
      </c>
      <c r="HW67" s="54" t="e">
        <f t="shared" si="109"/>
        <v>#N/A</v>
      </c>
      <c r="HX67" s="69" t="str">
        <f t="shared" si="110"/>
        <v/>
      </c>
    </row>
    <row r="68" spans="1:232" x14ac:dyDescent="0.2">
      <c r="A68" s="57" t="s">
        <v>406</v>
      </c>
      <c r="B68" s="74">
        <v>1</v>
      </c>
      <c r="C68" s="93" t="e" cm="1">
        <f t="array" ref="C68">ABS(INDEX(DB$3:DC$5,CR7,IF(CR7=3,2,CR7))*CS7/SQRT(B69))</f>
        <v>#N/A</v>
      </c>
      <c r="O68" s="57" t="s">
        <v>513</v>
      </c>
      <c r="P68" s="75">
        <v>-0.01</v>
      </c>
      <c r="Q68" s="143" t="e">
        <f>FB5-Eu_a_h0_x</f>
        <v>#N/A</v>
      </c>
      <c r="BL68" s="90" t="s">
        <v>455</v>
      </c>
      <c r="BM68" s="204" t="str" cm="1">
        <f t="array" ref="BM68">IF(NOT($BJ$2),IF(INDEX(E_k_valg[Nulhypotese kan ikke afvises],E_k_aktiv),"Nulhypotese kan ikke afvises","Nulhypotese afvises"),NA())</f>
        <v>Nulhypotese kan ikke afvises</v>
      </c>
      <c r="BZ68" s="54">
        <f t="shared" si="36"/>
        <v>58</v>
      </c>
      <c r="CA68" s="54">
        <f>Eu_tabel_g[[#This Row],[Indeks]]+1</f>
        <v>59</v>
      </c>
      <c r="CB68" s="54">
        <f t="shared" si="37"/>
        <v>-1.7008255328520523</v>
      </c>
      <c r="CC68" s="54">
        <f t="shared" si="38"/>
        <v>9.3917148922940161E-2</v>
      </c>
      <c r="CD68" s="54" t="e">
        <f t="shared" si="39"/>
        <v>#N/A</v>
      </c>
      <c r="CE68" s="54" t="e">
        <f t="shared" si="40"/>
        <v>#N/A</v>
      </c>
      <c r="CF68" s="54" t="e">
        <f t="shared" si="41"/>
        <v>#N/A</v>
      </c>
      <c r="CG68" s="54" t="b">
        <f t="shared" si="42"/>
        <v>0</v>
      </c>
      <c r="CH68" s="54" t="b">
        <f t="shared" si="43"/>
        <v>1</v>
      </c>
      <c r="CI68" s="54" t="b">
        <f t="shared" si="44"/>
        <v>0</v>
      </c>
      <c r="CJ68" s="54" t="b">
        <f t="shared" si="45"/>
        <v>1</v>
      </c>
      <c r="CK68" s="54">
        <f t="shared" si="119"/>
        <v>9.3917148922940161E-2</v>
      </c>
      <c r="CL68" s="54" t="e">
        <f t="shared" si="47"/>
        <v>#N/A</v>
      </c>
      <c r="CM68" s="54">
        <f t="shared" si="48"/>
        <v>9.3917148922940161E-2</v>
      </c>
      <c r="CN68" s="69" t="str">
        <f t="shared" si="49"/>
        <v/>
      </c>
      <c r="CO68" s="54">
        <f>_xlfn.NORM.DIST(_xlfn.NORM.INV(1-Eu_g_konfidensniveau,0,1)-Eu_tabel_g[[#This Row],[x base]],0,1,TRUE)</f>
        <v>0.52231790604596395</v>
      </c>
      <c r="CP68" s="54">
        <f>1-_xlfn.NORM.DIST(_xlfn.NORM.INV(Eu_g_konfidensniveau,0,1)-Eu_tabel_g[[#This Row],[x base]],0,1,TRUE)</f>
        <v>4.1040656259572206E-4</v>
      </c>
      <c r="CQ68" s="54">
        <f>_xlfn.NORM.DIST(_xlfn.NORM.INV((1-Eu_g_konfidensniveau)/2,0,1)-Eu_tabel_g[[#This Row],[x base]],0,1,TRUE)+1-_xlfn.NORM.DIST(_xlfn.NORM.INV(1-(1-Eu_g_konfidensniveau)/2,0,1)-Eu_tabel_g[[#This Row],[x base]],0,1,TRUE)</f>
        <v>0.39788992846045124</v>
      </c>
      <c r="CR68" s="54" t="e" cm="1">
        <f t="array" ref="CR68">IF($CR$3,INDEX(Eu_tabel_g[[#This Row],[Styrke venstre]:[Styrke tosidet]],CR$7),NA())</f>
        <v>#N/A</v>
      </c>
      <c r="CS68" s="89" t="e">
        <f>Eu_tabel_g[[#This Row],[Falsk positiv
Nulhypotese accepteres
Fejltype 1]]</f>
        <v>#N/A</v>
      </c>
      <c r="CT68" s="89" t="e">
        <f>IF(CHOOSE(CR$7,Eu_tabel_g[[#This Row],[x base]]&gt;0,Eu_tabel_g[[#This Row],[x base]]&lt;0,Eu_tabel_g[[#This Row],[x base]]=0),Eu_tabel_g[[#This Row],[Styrke, aktiv]],NA())</f>
        <v>#N/A</v>
      </c>
      <c r="CU68" s="89" t="e">
        <f>IFERROR(IF($CR$3,Eu_tabel_g[[#This Row],[Styrke, aktiv]],NA()),NA())</f>
        <v>#N/A</v>
      </c>
      <c r="CV68" s="89" t="e">
        <f>IF(ISNA(Eu_tabel_g[[#This Row],[Sand negativ
Nulhypotese afvises
Korrekt]]),NA(),IF($CR$3,1,NA()))</f>
        <v>#N/A</v>
      </c>
      <c r="CW68" s="56" t="str" cm="1">
        <f t="array" ref="CW68">_xlfn.SWITCH(BZ68,_xlfn.IFNA(CU$2,-99),CU$5,_xlfn.IFNA(CU$3,-99),CU$6,_xlfn.IFNA(CU$4,-99),CU$7,"")</f>
        <v/>
      </c>
      <c r="DA68" s="7">
        <f t="shared" si="50"/>
        <v>0.8</v>
      </c>
      <c r="DB68">
        <f>IF(ROW(Styrkeberegning_G[[#This Row],[X base venstre]])=ROW(Styrkeberegning_G[[#Headers],[X base venstre]])+1,DB$7/(DA$7/$B$67),DB67/(DA67/$B$67))</f>
        <v>-2.8015817870135784</v>
      </c>
      <c r="DC68">
        <f>Styrkeberegning_G[[#This Row],[X base venstre]]*-1</f>
        <v>2.8015817870135784</v>
      </c>
      <c r="DN68" s="54">
        <f t="shared" si="51"/>
        <v>58</v>
      </c>
      <c r="DO68" s="54">
        <f t="shared" si="52"/>
        <v>59</v>
      </c>
      <c r="DP68" s="54">
        <f t="shared" si="53"/>
        <v>8.4499623368397483</v>
      </c>
      <c r="DQ68" s="54" t="e">
        <f t="shared" si="54"/>
        <v>#N/A</v>
      </c>
      <c r="DR68" s="54" t="e">
        <f t="shared" si="55"/>
        <v>#N/A</v>
      </c>
      <c r="DS68" s="54">
        <f t="shared" si="56"/>
        <v>9.1503715560512691E-2</v>
      </c>
      <c r="DT68" s="54" t="e">
        <f t="shared" si="57"/>
        <v>#N/A</v>
      </c>
      <c r="DU68" s="54" t="b">
        <f t="shared" si="58"/>
        <v>0</v>
      </c>
      <c r="DV68" s="54" t="b">
        <f t="shared" si="59"/>
        <v>1</v>
      </c>
      <c r="DW68" s="54" t="b">
        <f t="shared" si="60"/>
        <v>0</v>
      </c>
      <c r="DX68" s="54" t="b">
        <f t="shared" si="61"/>
        <v>1</v>
      </c>
      <c r="DY68" s="54">
        <f t="shared" si="62"/>
        <v>9.1503715560512691E-2</v>
      </c>
      <c r="DZ68" s="54" t="e">
        <f t="shared" si="63"/>
        <v>#N/A</v>
      </c>
      <c r="EA68" s="54">
        <f t="shared" si="64"/>
        <v>9.1503715560512691E-2</v>
      </c>
      <c r="EB68" s="69" t="str">
        <f t="shared" si="65"/>
        <v/>
      </c>
      <c r="EG68" s="54">
        <f t="shared" si="66"/>
        <v>58</v>
      </c>
      <c r="EH68" s="54">
        <f t="shared" si="67"/>
        <v>59</v>
      </c>
      <c r="EI68" s="54">
        <f t="shared" si="68"/>
        <v>-1.7008255328520523</v>
      </c>
      <c r="EJ68" s="54">
        <f t="shared" si="69"/>
        <v>9.3917148922940161E-2</v>
      </c>
      <c r="EK68" s="54" t="e">
        <f t="shared" si="70"/>
        <v>#N/A</v>
      </c>
      <c r="EL68" s="54" t="e">
        <f t="shared" si="71"/>
        <v>#N/A</v>
      </c>
      <c r="EM68" s="54" t="e">
        <f t="shared" si="72"/>
        <v>#N/A</v>
      </c>
      <c r="EN68" s="54" t="b">
        <f t="shared" si="73"/>
        <v>0</v>
      </c>
      <c r="EO68" s="54" t="b">
        <f t="shared" si="74"/>
        <v>1</v>
      </c>
      <c r="EP68" s="54" t="b">
        <f t="shared" si="75"/>
        <v>0</v>
      </c>
      <c r="EQ68" s="54" t="b">
        <f t="shared" si="76"/>
        <v>1</v>
      </c>
      <c r="ER68" s="54">
        <f t="shared" si="77"/>
        <v>9.3917148922940161E-2</v>
      </c>
      <c r="ES68" s="54" t="e">
        <f t="shared" si="78"/>
        <v>#N/A</v>
      </c>
      <c r="ET68" s="54">
        <f t="shared" si="79"/>
        <v>9.3917148922940161E-2</v>
      </c>
      <c r="EU68" s="69" t="str">
        <f t="shared" si="80"/>
        <v/>
      </c>
      <c r="EV6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6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6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68" s="54" t="e" cm="1">
        <f t="array" ref="EY68">IF($CR$3,INDEX(Eu_tabel_a[[#This Row],[Styrke venstre]:[Styrke tosidet]],EY$7),NA())</f>
        <v>#N/A</v>
      </c>
      <c r="EZ68" s="54" t="e">
        <f>IF(EY$3,IF(CHOOSE(EY$7,Eu_tabel_a[[#This Row],[x base]]&gt;0,Eu_tabel_a[[#This Row],[x base]]&lt;0,Eu_tabel_a[[#This Row],[x base]]=0),1,NA()),NA())</f>
        <v>#N/A</v>
      </c>
      <c r="FA68" s="54" t="e">
        <f>IF(CHOOSE(EY$7,Eu_tabel_a[[#This Row],[x base]]&gt;0,Eu_tabel_a[[#This Row],[x base]]&lt;0,Eu_tabel_a[[#This Row],[x base]]=0),Eu_tabel_a[[#This Row],[Styrke, aktiv]],NA())</f>
        <v>#N/A</v>
      </c>
      <c r="FB68" s="54" t="e">
        <f>IFERROR(IF($EY$3,Eu_tabel_a[[#This Row],[Styrke, aktiv]],NA()),NA())</f>
        <v>#N/A</v>
      </c>
      <c r="FC68" s="54" t="e">
        <f>IF(ISNA(Eu_tabel_a[[#This Row],[Sand negativ
Nulhypotese afvises
Korrekt]]),NA(),IF(EY$3,1,NA()))</f>
        <v>#N/A</v>
      </c>
      <c r="FD68" s="55" t="str" cm="1">
        <f t="array" ref="FD68">IFERROR(_xlfn.SWITCH(Eu_tabel_a[[#This Row],[Indeks]],_xlfn.IFNA(FB$2,-99),FB$5,_xlfn.IFNA(FB$3,-99),FB$6,_xlfn.IFNA(FB$4,-99),FB$7,""),"")</f>
        <v/>
      </c>
      <c r="FE68" s="54">
        <f>Eu_tabel_a[[#This Row],[x base]]*SQRT(Eu_a_h0_x*(1-Eu_a_h0_x)/Eu_a_n_x)+Eu_a_h0_x</f>
        <v>0</v>
      </c>
      <c r="FJ68" s="144" t="e">
        <f t="shared" si="18"/>
        <v>#N/A</v>
      </c>
      <c r="FK68" s="152" t="e">
        <f t="shared" si="113"/>
        <v>#DIV/0!</v>
      </c>
      <c r="FL68" s="7" t="e">
        <f t="shared" si="12"/>
        <v>#DIV/0!</v>
      </c>
      <c r="FM68" t="e">
        <f t="shared" si="114"/>
        <v>#DIV/0!</v>
      </c>
      <c r="FN68" s="8" t="e">
        <f t="shared" si="115"/>
        <v>#DIV/0!</v>
      </c>
      <c r="FO68" s="8" t="e">
        <f t="shared" si="116"/>
        <v>#DIV/0!</v>
      </c>
      <c r="FP68" s="151" t="e">
        <f t="shared" si="117"/>
        <v>#DIV/0!</v>
      </c>
      <c r="FQ68" s="144" t="e">
        <f t="shared" ca="1" si="13"/>
        <v>#N/A</v>
      </c>
      <c r="FR68" s="152" t="e" vm="3">
        <f t="shared" ca="1" si="19"/>
        <v>#VALUE!</v>
      </c>
      <c r="FS68" s="7" t="e" vm="3">
        <f t="shared" ca="1" si="14"/>
        <v>#VALUE!</v>
      </c>
      <c r="FT68" t="e" vm="3">
        <f t="shared" ca="1" si="8"/>
        <v>#VALUE!</v>
      </c>
      <c r="FU68" s="8" t="e" vm="3">
        <f t="shared" ca="1" si="9"/>
        <v>#VALUE!</v>
      </c>
      <c r="FV68" s="8" t="e" vm="3">
        <f t="shared" ca="1" si="10"/>
        <v>#VALUE!</v>
      </c>
      <c r="FW68" s="151" t="e" vm="3">
        <f t="shared" ca="1" si="11"/>
        <v>#VALUE!</v>
      </c>
      <c r="FX68" s="144" t="e">
        <f t="shared" si="15"/>
        <v>#N/A</v>
      </c>
      <c r="FY68" s="152" t="e">
        <f t="shared" si="20"/>
        <v>#N/A</v>
      </c>
      <c r="FZ68" s="7" t="e">
        <f t="shared" si="16"/>
        <v>#N/A</v>
      </c>
      <c r="GA68" t="e">
        <f t="shared" si="21"/>
        <v>#N/A</v>
      </c>
      <c r="GB68" s="8" t="e">
        <f t="shared" si="22"/>
        <v>#N/A</v>
      </c>
      <c r="GC68" s="8" t="e">
        <f t="shared" si="23"/>
        <v>#N/A</v>
      </c>
      <c r="GD68" s="151" t="e">
        <f t="shared" si="24"/>
        <v>#N/A</v>
      </c>
      <c r="GE68" s="144" t="e">
        <f t="shared" si="25"/>
        <v>#N/A</v>
      </c>
      <c r="GF68" s="152" t="e">
        <f t="shared" si="26"/>
        <v>#N/A</v>
      </c>
      <c r="GG68" s="7" t="e">
        <f t="shared" si="17"/>
        <v>#N/A</v>
      </c>
      <c r="GH68" t="e">
        <f t="shared" si="27"/>
        <v>#N/A</v>
      </c>
      <c r="GI68" s="8" t="e">
        <f t="shared" si="28"/>
        <v>#N/A</v>
      </c>
      <c r="GJ68" s="8" t="e">
        <f t="shared" si="29"/>
        <v>#N/A</v>
      </c>
      <c r="GK68" s="151" t="e">
        <f t="shared" si="30"/>
        <v>#N/A</v>
      </c>
      <c r="GL68" s="151"/>
      <c r="GM68" s="151"/>
      <c r="GP68" s="54">
        <f t="shared" si="81"/>
        <v>58</v>
      </c>
      <c r="GQ68" s="54">
        <f t="shared" si="82"/>
        <v>59</v>
      </c>
      <c r="GR68" s="54">
        <f t="shared" si="83"/>
        <v>-1.7008255328520523</v>
      </c>
      <c r="GS68" s="54">
        <f t="shared" si="84"/>
        <v>9.3917148922940161E-2</v>
      </c>
      <c r="GT68" s="54" t="e">
        <f t="shared" si="85"/>
        <v>#N/A</v>
      </c>
      <c r="GU68" s="54" t="e">
        <f t="shared" si="86"/>
        <v>#N/A</v>
      </c>
      <c r="GV68" s="54" t="e">
        <f t="shared" si="87"/>
        <v>#N/A</v>
      </c>
      <c r="GW68" s="54" t="b">
        <f t="shared" si="88"/>
        <v>0</v>
      </c>
      <c r="GX68" s="54" t="b">
        <f t="shared" si="89"/>
        <v>1</v>
      </c>
      <c r="GY68" s="54" t="b">
        <f t="shared" si="90"/>
        <v>0</v>
      </c>
      <c r="GZ68" s="54" t="b">
        <f t="shared" si="91"/>
        <v>1</v>
      </c>
      <c r="HA68" s="54">
        <f t="shared" si="92"/>
        <v>9.3917148922940161E-2</v>
      </c>
      <c r="HB68" s="54" t="e">
        <f t="shared" si="93"/>
        <v>#N/A</v>
      </c>
      <c r="HC68" s="54">
        <f t="shared" si="94"/>
        <v>9.3917148922940161E-2</v>
      </c>
      <c r="HD68" s="69" t="str">
        <f t="shared" si="95"/>
        <v/>
      </c>
      <c r="HJ68" s="54">
        <f t="shared" si="96"/>
        <v>58</v>
      </c>
      <c r="HK68" s="54">
        <f t="shared" si="97"/>
        <v>59</v>
      </c>
      <c r="HL68" s="54">
        <f t="shared" si="98"/>
        <v>-2.633764059173036</v>
      </c>
      <c r="HM68" s="54" t="e">
        <f t="shared" si="99"/>
        <v>#N/A</v>
      </c>
      <c r="HN68" s="54">
        <f t="shared" si="100"/>
        <v>2.4502015153508718E-2</v>
      </c>
      <c r="HO68" s="54" t="e">
        <f t="shared" si="101"/>
        <v>#N/A</v>
      </c>
      <c r="HP68" s="54" t="e">
        <f t="shared" si="102"/>
        <v>#N/A</v>
      </c>
      <c r="HQ68" s="54" t="b">
        <f t="shared" si="103"/>
        <v>1</v>
      </c>
      <c r="HR68" s="54" t="b">
        <f t="shared" si="104"/>
        <v>0</v>
      </c>
      <c r="HS68" s="54" t="b">
        <f t="shared" si="105"/>
        <v>1</v>
      </c>
      <c r="HT68" s="54" t="b">
        <f t="shared" si="106"/>
        <v>0</v>
      </c>
      <c r="HU68" s="54">
        <f t="shared" si="107"/>
        <v>2.4502015153508718E-2</v>
      </c>
      <c r="HV68" s="54">
        <f t="shared" si="108"/>
        <v>2.4502015153508718E-2</v>
      </c>
      <c r="HW68" s="54" t="e">
        <f t="shared" si="109"/>
        <v>#N/A</v>
      </c>
      <c r="HX68" s="69" t="str">
        <f t="shared" si="110"/>
        <v/>
      </c>
    </row>
    <row r="69" spans="1:232" x14ac:dyDescent="0.2">
      <c r="A69" s="57" t="s">
        <v>413</v>
      </c>
      <c r="B69" s="88">
        <v>100</v>
      </c>
      <c r="C69" s="92" t="e" cm="1">
        <f t="array" ref="C69">ROUNDUP((INDEX(DB$3:DC$5,CR7,IF(CR7=3,2,CR7))*CS7/B68)^2,0)</f>
        <v>#N/A</v>
      </c>
      <c r="O69" s="57" t="s">
        <v>512</v>
      </c>
      <c r="P69" s="75">
        <v>0.01</v>
      </c>
      <c r="Q69" s="143" t="e">
        <f>FB7-Eu_a_h0_x</f>
        <v>#N/A</v>
      </c>
      <c r="BZ69" s="54">
        <f t="shared" si="36"/>
        <v>59</v>
      </c>
      <c r="CA69" s="54">
        <f>Eu_tabel_g[[#This Row],[Indeks]]+1</f>
        <v>60</v>
      </c>
      <c r="CB69" s="54">
        <f t="shared" si="37"/>
        <v>-1.6768702436569529</v>
      </c>
      <c r="CC69" s="54">
        <f t="shared" si="38"/>
        <v>9.7794646741325916E-2</v>
      </c>
      <c r="CD69" s="54" t="e">
        <f t="shared" si="39"/>
        <v>#N/A</v>
      </c>
      <c r="CE69" s="54" t="e">
        <f t="shared" si="40"/>
        <v>#N/A</v>
      </c>
      <c r="CF69" s="54" t="e">
        <f t="shared" si="41"/>
        <v>#N/A</v>
      </c>
      <c r="CG69" s="54" t="b">
        <f t="shared" si="42"/>
        <v>0</v>
      </c>
      <c r="CH69" s="54" t="b">
        <f t="shared" si="43"/>
        <v>1</v>
      </c>
      <c r="CI69" s="54" t="b">
        <f t="shared" si="44"/>
        <v>0</v>
      </c>
      <c r="CJ69" s="54" t="b">
        <f t="shared" si="45"/>
        <v>1</v>
      </c>
      <c r="CK69" s="54">
        <f t="shared" si="119"/>
        <v>9.7794646741325916E-2</v>
      </c>
      <c r="CL69" s="54" t="e">
        <f t="shared" si="47"/>
        <v>#N/A</v>
      </c>
      <c r="CM69" s="54">
        <f t="shared" si="48"/>
        <v>9.7794646741325916E-2</v>
      </c>
      <c r="CN69" s="69" t="str">
        <f t="shared" si="49"/>
        <v/>
      </c>
      <c r="CO69" s="54">
        <f>_xlfn.NORM.DIST(_xlfn.NORM.INV(1-Eu_g_konfidensniveau,0,1)-Eu_tabel_g[[#This Row],[x base]],0,1,TRUE)</f>
        <v>0.51277060026207</v>
      </c>
      <c r="CP69" s="54">
        <f>1-_xlfn.NORM.DIST(_xlfn.NORM.INV(Eu_g_konfidensniveau,0,1)-Eu_tabel_g[[#This Row],[x base]],0,1,TRUE)</f>
        <v>4.4731590849211855E-4</v>
      </c>
      <c r="CQ69" s="54">
        <f>_xlfn.NORM.DIST(_xlfn.NORM.INV((1-Eu_g_konfidensniveau)/2,0,1)-Eu_tabel_g[[#This Row],[x base]],0,1,TRUE)+1-_xlfn.NORM.DIST(_xlfn.NORM.INV(1-(1-Eu_g_konfidensniveau)/2,0,1)-Eu_tabel_g[[#This Row],[x base]],0,1,TRUE)</f>
        <v>0.38869049445814396</v>
      </c>
      <c r="CR69" s="54" t="e" cm="1">
        <f t="array" ref="CR69">IF($CR$3,INDEX(Eu_tabel_g[[#This Row],[Styrke venstre]:[Styrke tosidet]],CR$7),NA())</f>
        <v>#N/A</v>
      </c>
      <c r="CS69" s="89" t="e">
        <f>Eu_tabel_g[[#This Row],[Falsk positiv
Nulhypotese accepteres
Fejltype 1]]</f>
        <v>#N/A</v>
      </c>
      <c r="CT69" s="89" t="e">
        <f>IF(CHOOSE(CR$7,Eu_tabel_g[[#This Row],[x base]]&gt;0,Eu_tabel_g[[#This Row],[x base]]&lt;0,Eu_tabel_g[[#This Row],[x base]]=0),Eu_tabel_g[[#This Row],[Styrke, aktiv]],NA())</f>
        <v>#N/A</v>
      </c>
      <c r="CU69" s="89" t="e">
        <f>IFERROR(IF($CR$3,Eu_tabel_g[[#This Row],[Styrke, aktiv]],NA()),NA())</f>
        <v>#N/A</v>
      </c>
      <c r="CV69" s="89" t="e">
        <f>IF(ISNA(Eu_tabel_g[[#This Row],[Sand negativ
Nulhypotese afvises
Korrekt]]),NA(),IF($CR$3,1,NA()))</f>
        <v>#N/A</v>
      </c>
      <c r="CW69" s="56" t="str" cm="1">
        <f t="array" ref="CW69">_xlfn.SWITCH(BZ69,_xlfn.IFNA(CU$2,-99),CU$5,_xlfn.IFNA(CU$3,-99),CU$6,_xlfn.IFNA(CU$4,-99),CU$7,"")</f>
        <v/>
      </c>
      <c r="DA69" s="7">
        <f t="shared" si="50"/>
        <v>0.8</v>
      </c>
      <c r="DB69">
        <f>IF(ROW(Styrkeberegning_G[[#This Row],[X base venstre]])=ROW(Styrkeberegning_G[[#Headers],[X base venstre]])+1,DB$7/(DA$7/$B$67),DB68/(DA68/$B$67))</f>
        <v>-2.8015817870135784</v>
      </c>
      <c r="DC69">
        <f>Styrkeberegning_G[[#This Row],[X base venstre]]*-1</f>
        <v>2.8015817870135784</v>
      </c>
      <c r="DN69" s="54">
        <f t="shared" si="51"/>
        <v>59</v>
      </c>
      <c r="DO69" s="54">
        <f t="shared" si="52"/>
        <v>60</v>
      </c>
      <c r="DP69" s="54">
        <f t="shared" si="53"/>
        <v>8.5640331932567495</v>
      </c>
      <c r="DQ69" s="54" t="e">
        <f t="shared" si="54"/>
        <v>#N/A</v>
      </c>
      <c r="DR69" s="54" t="e">
        <f t="shared" si="55"/>
        <v>#N/A</v>
      </c>
      <c r="DS69" s="54">
        <f t="shared" si="56"/>
        <v>9.1806750655112832E-2</v>
      </c>
      <c r="DT69" s="54" t="e">
        <f t="shared" si="57"/>
        <v>#N/A</v>
      </c>
      <c r="DU69" s="54" t="b">
        <f t="shared" si="58"/>
        <v>0</v>
      </c>
      <c r="DV69" s="54" t="b">
        <f t="shared" si="59"/>
        <v>1</v>
      </c>
      <c r="DW69" s="54" t="b">
        <f t="shared" si="60"/>
        <v>0</v>
      </c>
      <c r="DX69" s="54" t="b">
        <f t="shared" si="61"/>
        <v>1</v>
      </c>
      <c r="DY69" s="54">
        <f t="shared" si="62"/>
        <v>9.1806750655112832E-2</v>
      </c>
      <c r="DZ69" s="54" t="e">
        <f t="shared" si="63"/>
        <v>#N/A</v>
      </c>
      <c r="EA69" s="54">
        <f t="shared" si="64"/>
        <v>9.1806750655112832E-2</v>
      </c>
      <c r="EB69" s="69" t="str">
        <f t="shared" si="65"/>
        <v/>
      </c>
      <c r="EG69" s="54">
        <f t="shared" si="66"/>
        <v>59</v>
      </c>
      <c r="EH69" s="54">
        <f t="shared" si="67"/>
        <v>60</v>
      </c>
      <c r="EI69" s="54">
        <f t="shared" si="68"/>
        <v>-1.6768702436569529</v>
      </c>
      <c r="EJ69" s="54">
        <f t="shared" si="69"/>
        <v>9.7794646741325916E-2</v>
      </c>
      <c r="EK69" s="54" t="e">
        <f t="shared" si="70"/>
        <v>#N/A</v>
      </c>
      <c r="EL69" s="54" t="e">
        <f t="shared" si="71"/>
        <v>#N/A</v>
      </c>
      <c r="EM69" s="54" t="e">
        <f t="shared" si="72"/>
        <v>#N/A</v>
      </c>
      <c r="EN69" s="54" t="b">
        <f t="shared" si="73"/>
        <v>0</v>
      </c>
      <c r="EO69" s="54" t="b">
        <f t="shared" si="74"/>
        <v>1</v>
      </c>
      <c r="EP69" s="54" t="b">
        <f t="shared" si="75"/>
        <v>0</v>
      </c>
      <c r="EQ69" s="54" t="b">
        <f t="shared" si="76"/>
        <v>1</v>
      </c>
      <c r="ER69" s="54">
        <f t="shared" si="77"/>
        <v>9.7794646741325916E-2</v>
      </c>
      <c r="ES69" s="54" t="e">
        <f t="shared" si="78"/>
        <v>#N/A</v>
      </c>
      <c r="ET69" s="54">
        <f t="shared" si="79"/>
        <v>9.7794646741325916E-2</v>
      </c>
      <c r="EU69" s="69" t="str">
        <f t="shared" si="80"/>
        <v/>
      </c>
      <c r="EV6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6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6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69" s="54" t="e" cm="1">
        <f t="array" ref="EY69">IF($CR$3,INDEX(Eu_tabel_a[[#This Row],[Styrke venstre]:[Styrke tosidet]],EY$7),NA())</f>
        <v>#N/A</v>
      </c>
      <c r="EZ69" s="54" t="e">
        <f>IF(EY$3,IF(CHOOSE(EY$7,Eu_tabel_a[[#This Row],[x base]]&gt;0,Eu_tabel_a[[#This Row],[x base]]&lt;0,Eu_tabel_a[[#This Row],[x base]]=0),1,NA()),NA())</f>
        <v>#N/A</v>
      </c>
      <c r="FA69" s="54" t="e">
        <f>IF(CHOOSE(EY$7,Eu_tabel_a[[#This Row],[x base]]&gt;0,Eu_tabel_a[[#This Row],[x base]]&lt;0,Eu_tabel_a[[#This Row],[x base]]=0),Eu_tabel_a[[#This Row],[Styrke, aktiv]],NA())</f>
        <v>#N/A</v>
      </c>
      <c r="FB69" s="54" t="e">
        <f>IFERROR(IF($EY$3,Eu_tabel_a[[#This Row],[Styrke, aktiv]],NA()),NA())</f>
        <v>#N/A</v>
      </c>
      <c r="FC69" s="54" t="e">
        <f>IF(ISNA(Eu_tabel_a[[#This Row],[Sand negativ
Nulhypotese afvises
Korrekt]]),NA(),IF(EY$3,1,NA()))</f>
        <v>#N/A</v>
      </c>
      <c r="FD69" s="55" t="str" cm="1">
        <f t="array" ref="FD69">IFERROR(_xlfn.SWITCH(Eu_tabel_a[[#This Row],[Indeks]],_xlfn.IFNA(FB$2,-99),FB$5,_xlfn.IFNA(FB$3,-99),FB$6,_xlfn.IFNA(FB$4,-99),FB$7,""),"")</f>
        <v/>
      </c>
      <c r="FE69" s="54">
        <f>Eu_tabel_a[[#This Row],[x base]]*SQRT(Eu_a_h0_x*(1-Eu_a_h0_x)/Eu_a_n_x)+Eu_a_h0_x</f>
        <v>0</v>
      </c>
      <c r="FJ69" s="144" t="e">
        <f t="shared" si="18"/>
        <v>#N/A</v>
      </c>
      <c r="FK69" s="152" t="e">
        <f t="shared" si="113"/>
        <v>#DIV/0!</v>
      </c>
      <c r="FL69" s="7" t="e">
        <f t="shared" si="12"/>
        <v>#DIV/0!</v>
      </c>
      <c r="FM69" t="e">
        <f t="shared" si="114"/>
        <v>#DIV/0!</v>
      </c>
      <c r="FN69" s="8" t="e">
        <f t="shared" si="115"/>
        <v>#DIV/0!</v>
      </c>
      <c r="FO69" s="8" t="e">
        <f t="shared" si="116"/>
        <v>#DIV/0!</v>
      </c>
      <c r="FP69" s="151" t="e">
        <f t="shared" si="117"/>
        <v>#DIV/0!</v>
      </c>
      <c r="FQ69" s="144" t="e">
        <f t="shared" ca="1" si="13"/>
        <v>#N/A</v>
      </c>
      <c r="FR69" s="152" t="e" vm="3">
        <f t="shared" ca="1" si="19"/>
        <v>#VALUE!</v>
      </c>
      <c r="FS69" s="7" t="e" vm="3">
        <f t="shared" ca="1" si="14"/>
        <v>#VALUE!</v>
      </c>
      <c r="FT69" t="e" vm="3">
        <f t="shared" ref="FT69:FT132" ca="1" si="120">FR69-FR68</f>
        <v>#VALUE!</v>
      </c>
      <c r="FU69" s="8" t="e" vm="3">
        <f t="shared" ref="FU69:FU132" ca="1" si="121">FS69-FS68</f>
        <v>#VALUE!</v>
      </c>
      <c r="FV69" s="8" t="e" vm="3">
        <f t="shared" ref="FV69:FV132" ca="1" si="122">$P$67-FS68</f>
        <v>#VALUE!</v>
      </c>
      <c r="FW69" s="151" t="e" vm="3">
        <f t="shared" ref="FW69:FW132" ca="1" si="123">FT69/(FU69/FV69)</f>
        <v>#VALUE!</v>
      </c>
      <c r="FX69" s="144" t="e">
        <f t="shared" si="15"/>
        <v>#N/A</v>
      </c>
      <c r="FY69" s="152" t="e">
        <f t="shared" si="20"/>
        <v>#N/A</v>
      </c>
      <c r="FZ69" s="7" t="e">
        <f t="shared" si="16"/>
        <v>#N/A</v>
      </c>
      <c r="GA69" t="e">
        <f t="shared" si="21"/>
        <v>#N/A</v>
      </c>
      <c r="GB69" s="8" t="e">
        <f t="shared" si="22"/>
        <v>#N/A</v>
      </c>
      <c r="GC69" s="8" t="e">
        <f t="shared" si="23"/>
        <v>#N/A</v>
      </c>
      <c r="GD69" s="151" t="e">
        <f t="shared" si="24"/>
        <v>#N/A</v>
      </c>
      <c r="GE69" s="144" t="e">
        <f t="shared" si="25"/>
        <v>#N/A</v>
      </c>
      <c r="GF69" s="152" t="e">
        <f t="shared" si="26"/>
        <v>#N/A</v>
      </c>
      <c r="GG69" s="7" t="e">
        <f t="shared" si="17"/>
        <v>#N/A</v>
      </c>
      <c r="GH69" t="e">
        <f t="shared" si="27"/>
        <v>#N/A</v>
      </c>
      <c r="GI69" s="8" t="e">
        <f t="shared" si="28"/>
        <v>#N/A</v>
      </c>
      <c r="GJ69" s="8" t="e">
        <f t="shared" si="29"/>
        <v>#N/A</v>
      </c>
      <c r="GK69" s="151" t="e">
        <f t="shared" si="30"/>
        <v>#N/A</v>
      </c>
      <c r="GL69" s="151"/>
      <c r="GM69" s="151"/>
      <c r="GP69" s="54">
        <f t="shared" si="81"/>
        <v>59</v>
      </c>
      <c r="GQ69" s="54">
        <f t="shared" si="82"/>
        <v>60</v>
      </c>
      <c r="GR69" s="54">
        <f t="shared" si="83"/>
        <v>-1.6768702436569529</v>
      </c>
      <c r="GS69" s="54">
        <f t="shared" si="84"/>
        <v>9.7794646741325916E-2</v>
      </c>
      <c r="GT69" s="54" t="e">
        <f t="shared" si="85"/>
        <v>#N/A</v>
      </c>
      <c r="GU69" s="54" t="e">
        <f t="shared" si="86"/>
        <v>#N/A</v>
      </c>
      <c r="GV69" s="54" t="e">
        <f t="shared" si="87"/>
        <v>#N/A</v>
      </c>
      <c r="GW69" s="54" t="b">
        <f t="shared" si="88"/>
        <v>0</v>
      </c>
      <c r="GX69" s="54" t="b">
        <f t="shared" si="89"/>
        <v>1</v>
      </c>
      <c r="GY69" s="54" t="b">
        <f t="shared" si="90"/>
        <v>0</v>
      </c>
      <c r="GZ69" s="54" t="b">
        <f t="shared" si="91"/>
        <v>1</v>
      </c>
      <c r="HA69" s="54">
        <f t="shared" si="92"/>
        <v>9.7794646741325916E-2</v>
      </c>
      <c r="HB69" s="54" t="e">
        <f t="shared" si="93"/>
        <v>#N/A</v>
      </c>
      <c r="HC69" s="54">
        <f t="shared" si="94"/>
        <v>9.7794646741325916E-2</v>
      </c>
      <c r="HD69" s="69" t="str">
        <f t="shared" si="95"/>
        <v/>
      </c>
      <c r="HJ69" s="54">
        <f t="shared" si="96"/>
        <v>59</v>
      </c>
      <c r="HK69" s="54">
        <f t="shared" si="97"/>
        <v>60</v>
      </c>
      <c r="HL69" s="54">
        <f t="shared" si="98"/>
        <v>-2.5966687907339789</v>
      </c>
      <c r="HM69" s="54" t="e">
        <f t="shared" si="99"/>
        <v>#N/A</v>
      </c>
      <c r="HN69" s="54">
        <f t="shared" si="100"/>
        <v>2.5915309276453989E-2</v>
      </c>
      <c r="HO69" s="54" t="e">
        <f t="shared" si="101"/>
        <v>#N/A</v>
      </c>
      <c r="HP69" s="54" t="e">
        <f t="shared" si="102"/>
        <v>#N/A</v>
      </c>
      <c r="HQ69" s="54" t="b">
        <f t="shared" si="103"/>
        <v>1</v>
      </c>
      <c r="HR69" s="54" t="b">
        <f t="shared" si="104"/>
        <v>0</v>
      </c>
      <c r="HS69" s="54" t="b">
        <f t="shared" si="105"/>
        <v>1</v>
      </c>
      <c r="HT69" s="54" t="b">
        <f t="shared" si="106"/>
        <v>0</v>
      </c>
      <c r="HU69" s="54">
        <f t="shared" si="107"/>
        <v>2.5915309276453989E-2</v>
      </c>
      <c r="HV69" s="54">
        <f t="shared" si="108"/>
        <v>2.5915309276453989E-2</v>
      </c>
      <c r="HW69" s="54" t="e">
        <f t="shared" si="109"/>
        <v>#N/A</v>
      </c>
      <c r="HX69" s="69" t="str">
        <f t="shared" si="110"/>
        <v/>
      </c>
    </row>
    <row r="70" spans="1:232" x14ac:dyDescent="0.2">
      <c r="BZ70" s="54">
        <f t="shared" si="36"/>
        <v>60</v>
      </c>
      <c r="CA70" s="54">
        <f>Eu_tabel_g[[#This Row],[Indeks]]+1</f>
        <v>61</v>
      </c>
      <c r="CB70" s="54">
        <f t="shared" si="37"/>
        <v>-1.6529149544618535</v>
      </c>
      <c r="CC70" s="54">
        <f t="shared" si="38"/>
        <v>0.10177381209387595</v>
      </c>
      <c r="CD70" s="54" t="e">
        <f t="shared" si="39"/>
        <v>#N/A</v>
      </c>
      <c r="CE70" s="54" t="e">
        <f t="shared" si="40"/>
        <v>#N/A</v>
      </c>
      <c r="CF70" s="54" t="e">
        <f t="shared" si="41"/>
        <v>#N/A</v>
      </c>
      <c r="CG70" s="54" t="b">
        <f t="shared" si="42"/>
        <v>0</v>
      </c>
      <c r="CH70" s="54" t="b">
        <f t="shared" si="43"/>
        <v>1</v>
      </c>
      <c r="CI70" s="54" t="b">
        <f t="shared" si="44"/>
        <v>0</v>
      </c>
      <c r="CJ70" s="54" t="b">
        <f t="shared" si="45"/>
        <v>1</v>
      </c>
      <c r="CK70" s="54">
        <f t="shared" si="119"/>
        <v>0.10177381209387595</v>
      </c>
      <c r="CL70" s="54" t="e">
        <f t="shared" si="47"/>
        <v>#N/A</v>
      </c>
      <c r="CM70" s="54">
        <f t="shared" si="48"/>
        <v>0.10177381209387595</v>
      </c>
      <c r="CN70" s="69" t="str">
        <f t="shared" si="49"/>
        <v/>
      </c>
      <c r="CO70" s="54">
        <f>_xlfn.NORM.DIST(_xlfn.NORM.INV(1-Eu_g_konfidensniveau,0,1)-Eu_tabel_g[[#This Row],[x base]],0,1,TRUE)</f>
        <v>0.50321596954838599</v>
      </c>
      <c r="CP70" s="54">
        <f>1-_xlfn.NORM.DIST(_xlfn.NORM.INV(Eu_g_konfidensniveau,0,1)-Eu_tabel_g[[#This Row],[x base]],0,1,TRUE)</f>
        <v>4.8728209848247772E-4</v>
      </c>
      <c r="CQ70" s="54">
        <f>_xlfn.NORM.DIST(_xlfn.NORM.INV((1-Eu_g_konfidensniveau)/2,0,1)-Eu_tabel_g[[#This Row],[x base]],0,1,TRUE)+1-_xlfn.NORM.DIST(_xlfn.NORM.INV(1-(1-Eu_g_konfidensniveau)/2,0,1)-Eu_tabel_g[[#This Row],[x base]],0,1,TRUE)</f>
        <v>0.37955443451297199</v>
      </c>
      <c r="CR70" s="54" t="e" cm="1">
        <f t="array" ref="CR70">IF($CR$3,INDEX(Eu_tabel_g[[#This Row],[Styrke venstre]:[Styrke tosidet]],CR$7),NA())</f>
        <v>#N/A</v>
      </c>
      <c r="CS70" s="89" t="e">
        <f>Eu_tabel_g[[#This Row],[Falsk positiv
Nulhypotese accepteres
Fejltype 1]]</f>
        <v>#N/A</v>
      </c>
      <c r="CT70" s="89" t="e">
        <f>IF(CHOOSE(CR$7,Eu_tabel_g[[#This Row],[x base]]&gt;0,Eu_tabel_g[[#This Row],[x base]]&lt;0,Eu_tabel_g[[#This Row],[x base]]=0),Eu_tabel_g[[#This Row],[Styrke, aktiv]],NA())</f>
        <v>#N/A</v>
      </c>
      <c r="CU70" s="89" t="e">
        <f>IFERROR(IF($CR$3,Eu_tabel_g[[#This Row],[Styrke, aktiv]],NA()),NA())</f>
        <v>#N/A</v>
      </c>
      <c r="CV70" s="89" t="e">
        <f>IF(ISNA(Eu_tabel_g[[#This Row],[Sand negativ
Nulhypotese afvises
Korrekt]]),NA(),IF($CR$3,1,NA()))</f>
        <v>#N/A</v>
      </c>
      <c r="CW70" s="56" t="str" cm="1">
        <f t="array" ref="CW70">_xlfn.SWITCH(BZ70,_xlfn.IFNA(CU$2,-99),CU$5,_xlfn.IFNA(CU$3,-99),CU$6,_xlfn.IFNA(CU$4,-99),CU$7,"")</f>
        <v/>
      </c>
      <c r="DA70" s="7">
        <f t="shared" si="50"/>
        <v>0.8</v>
      </c>
      <c r="DB70">
        <f>IF(ROW(Styrkeberegning_G[[#This Row],[X base venstre]])=ROW(Styrkeberegning_G[[#Headers],[X base venstre]])+1,DB$7/(DA$7/$B$67),DB69/(DA69/$B$67))</f>
        <v>-2.8015817870135784</v>
      </c>
      <c r="DC70">
        <f>Styrkeberegning_G[[#This Row],[X base venstre]]*-1</f>
        <v>2.8015817870135784</v>
      </c>
      <c r="DN70" s="54">
        <f t="shared" si="51"/>
        <v>60</v>
      </c>
      <c r="DO70" s="54">
        <f t="shared" si="52"/>
        <v>61</v>
      </c>
      <c r="DP70" s="54">
        <f t="shared" si="53"/>
        <v>8.6781040496737507</v>
      </c>
      <c r="DQ70" s="54" t="e">
        <f t="shared" si="54"/>
        <v>#N/A</v>
      </c>
      <c r="DR70" s="54" t="e">
        <f t="shared" si="55"/>
        <v>#N/A</v>
      </c>
      <c r="DS70" s="54">
        <f t="shared" si="56"/>
        <v>9.2037273482789353E-2</v>
      </c>
      <c r="DT70" s="54" t="e">
        <f t="shared" si="57"/>
        <v>#N/A</v>
      </c>
      <c r="DU70" s="54" t="b">
        <f t="shared" si="58"/>
        <v>0</v>
      </c>
      <c r="DV70" s="54" t="b">
        <f t="shared" si="59"/>
        <v>1</v>
      </c>
      <c r="DW70" s="54" t="b">
        <f t="shared" si="60"/>
        <v>0</v>
      </c>
      <c r="DX70" s="54" t="b">
        <f t="shared" si="61"/>
        <v>1</v>
      </c>
      <c r="DY70" s="54">
        <f t="shared" si="62"/>
        <v>9.2037273482789353E-2</v>
      </c>
      <c r="DZ70" s="54" t="e">
        <f t="shared" si="63"/>
        <v>#N/A</v>
      </c>
      <c r="EA70" s="54">
        <f t="shared" si="64"/>
        <v>9.2037273482789353E-2</v>
      </c>
      <c r="EB70" s="69" t="str">
        <f t="shared" si="65"/>
        <v/>
      </c>
      <c r="EG70" s="54">
        <f t="shared" si="66"/>
        <v>60</v>
      </c>
      <c r="EH70" s="54">
        <f t="shared" si="67"/>
        <v>61</v>
      </c>
      <c r="EI70" s="54">
        <f t="shared" si="68"/>
        <v>-1.6529149544618535</v>
      </c>
      <c r="EJ70" s="54">
        <f t="shared" si="69"/>
        <v>0.10177381209387595</v>
      </c>
      <c r="EK70" s="54" t="e">
        <f t="shared" si="70"/>
        <v>#N/A</v>
      </c>
      <c r="EL70" s="54" t="e">
        <f t="shared" si="71"/>
        <v>#N/A</v>
      </c>
      <c r="EM70" s="54" t="e">
        <f t="shared" si="72"/>
        <v>#N/A</v>
      </c>
      <c r="EN70" s="54" t="b">
        <f t="shared" si="73"/>
        <v>0</v>
      </c>
      <c r="EO70" s="54" t="b">
        <f t="shared" si="74"/>
        <v>1</v>
      </c>
      <c r="EP70" s="54" t="b">
        <f t="shared" si="75"/>
        <v>0</v>
      </c>
      <c r="EQ70" s="54" t="b">
        <f t="shared" si="76"/>
        <v>1</v>
      </c>
      <c r="ER70" s="54">
        <f t="shared" si="77"/>
        <v>0.10177381209387595</v>
      </c>
      <c r="ES70" s="54" t="e">
        <f t="shared" si="78"/>
        <v>#N/A</v>
      </c>
      <c r="ET70" s="54">
        <f t="shared" si="79"/>
        <v>0.10177381209387595</v>
      </c>
      <c r="EU70" s="69" t="str">
        <f t="shared" si="80"/>
        <v/>
      </c>
      <c r="EV7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7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7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70" s="54" t="e" cm="1">
        <f t="array" ref="EY70">IF($CR$3,INDEX(Eu_tabel_a[[#This Row],[Styrke venstre]:[Styrke tosidet]],EY$7),NA())</f>
        <v>#N/A</v>
      </c>
      <c r="EZ70" s="54" t="e">
        <f>IF(EY$3,IF(CHOOSE(EY$7,Eu_tabel_a[[#This Row],[x base]]&gt;0,Eu_tabel_a[[#This Row],[x base]]&lt;0,Eu_tabel_a[[#This Row],[x base]]=0),1,NA()),NA())</f>
        <v>#N/A</v>
      </c>
      <c r="FA70" s="54" t="e">
        <f>IF(CHOOSE(EY$7,Eu_tabel_a[[#This Row],[x base]]&gt;0,Eu_tabel_a[[#This Row],[x base]]&lt;0,Eu_tabel_a[[#This Row],[x base]]=0),Eu_tabel_a[[#This Row],[Styrke, aktiv]],NA())</f>
        <v>#N/A</v>
      </c>
      <c r="FB70" s="54" t="e">
        <f>IFERROR(IF($EY$3,Eu_tabel_a[[#This Row],[Styrke, aktiv]],NA()),NA())</f>
        <v>#N/A</v>
      </c>
      <c r="FC70" s="54" t="e">
        <f>IF(ISNA(Eu_tabel_a[[#This Row],[Sand negativ
Nulhypotese afvises
Korrekt]]),NA(),IF(EY$3,1,NA()))</f>
        <v>#N/A</v>
      </c>
      <c r="FD70" s="55" t="str" cm="1">
        <f t="array" ref="FD70">IFERROR(_xlfn.SWITCH(Eu_tabel_a[[#This Row],[Indeks]],_xlfn.IFNA(FB$2,-99),FB$5,_xlfn.IFNA(FB$3,-99),FB$6,_xlfn.IFNA(FB$4,-99),FB$7,""),"")</f>
        <v/>
      </c>
      <c r="FE70" s="54">
        <f>Eu_tabel_a[[#This Row],[x base]]*SQRT(Eu_a_h0_x*(1-Eu_a_h0_x)/Eu_a_n_x)+Eu_a_h0_x</f>
        <v>0</v>
      </c>
      <c r="FJ70" s="144" t="e">
        <f t="shared" si="18"/>
        <v>#N/A</v>
      </c>
      <c r="FK70" s="152" t="e">
        <f t="shared" si="113"/>
        <v>#DIV/0!</v>
      </c>
      <c r="FL70" s="7" t="e">
        <f t="shared" ref="FL70:FL133" si="124">_xlfn.NORM.DIST(-(SQRT(Eu_a_n_x)*(FK70-Eu_a_h0_x)/SQRT(FK70*(1-FK70)))-(_xlfn.NORM.INV(Eu_a_konfidensniveau,0,1)*SQRT((Eu_a_h0_x*(1-Eu_a_h0_x))/(FK70*(1-FK70)))),0,1,TRUE)</f>
        <v>#DIV/0!</v>
      </c>
      <c r="FM70" t="e">
        <f t="shared" si="114"/>
        <v>#DIV/0!</v>
      </c>
      <c r="FN70" s="8" t="e">
        <f t="shared" si="115"/>
        <v>#DIV/0!</v>
      </c>
      <c r="FO70" s="8" t="e">
        <f t="shared" si="116"/>
        <v>#DIV/0!</v>
      </c>
      <c r="FP70" s="151" t="e">
        <f t="shared" si="117"/>
        <v>#DIV/0!</v>
      </c>
      <c r="FQ70" s="144" t="e">
        <f t="shared" ref="FQ70:FQ133" ca="1" si="125">IF(ISERROR(FR70),NA(),ROW(FQ70)-ROW(FQ$5))</f>
        <v>#N/A</v>
      </c>
      <c r="FR70" s="152" t="e" vm="3">
        <f t="shared" ca="1" si="19"/>
        <v>#VALUE!</v>
      </c>
      <c r="FS70" s="7" t="e" vm="3">
        <f t="shared" ref="FS70:FS133" ca="1" si="126">_xlfn.NORM.DIST((SQRT(Eu_a_n_x)*(FR70-Eu_a_h0_x)/SQRT(FR70*(1-FR70)))-(_xlfn.NORM.INV(Eu_a_konfidensniveau,0,1)*SQRT((Eu_a_h0_x*(1-Eu_a_h0_x))/(FR70*(1-FR70)))),0,1,TRUE)</f>
        <v>#VALUE!</v>
      </c>
      <c r="FT70" t="e" vm="3">
        <f t="shared" ca="1" si="120"/>
        <v>#VALUE!</v>
      </c>
      <c r="FU70" s="8" t="e" vm="3">
        <f t="shared" ca="1" si="121"/>
        <v>#VALUE!</v>
      </c>
      <c r="FV70" s="8" t="e" vm="3">
        <f t="shared" ca="1" si="122"/>
        <v>#VALUE!</v>
      </c>
      <c r="FW70" s="151" t="e" vm="3">
        <f t="shared" ca="1" si="123"/>
        <v>#VALUE!</v>
      </c>
      <c r="FX70" s="144" t="e">
        <f t="shared" ref="FX70:FX133" si="127">IF(ISERROR(FY70),NA(),ROW(FX70)-ROW(FX$5))</f>
        <v>#N/A</v>
      </c>
      <c r="FY70" s="152" t="e">
        <f t="shared" si="20"/>
        <v>#N/A</v>
      </c>
      <c r="FZ70" s="7" t="e">
        <f t="shared" ref="FZ70:FZ133" si="128">_xlfn.NORM.DIST(-(SQRT(Eu_a_n_x)*(FY70-Eu_a_h0_x)/SQRT(FY70*(1-FY70)))-(_xlfn.NORM.INV(1-(1-Eu_a_konfidensniveau)/2,0,1)*SQRT((Eu_a_h0_x*(1-Eu_a_h0_x))/(FY70*(1-FY70)))),0,1,TRUE)+_xlfn.NORM.DIST((SQRT(Eu_a_n_x)*(FY70-Eu_a_h0_x)/SQRT(FY70*(1-FY70)))-(_xlfn.NORM.INV(1-(1-Eu_a_konfidensniveau)/2,0,1)*SQRT((Eu_a_h0_x*(1-Eu_a_h0_x))/(FY70*(1-FY70)))),0,1,TRUE)</f>
        <v>#N/A</v>
      </c>
      <c r="GA70" t="e">
        <f t="shared" si="21"/>
        <v>#N/A</v>
      </c>
      <c r="GB70" s="8" t="e">
        <f t="shared" si="22"/>
        <v>#N/A</v>
      </c>
      <c r="GC70" s="8" t="e">
        <f t="shared" si="23"/>
        <v>#N/A</v>
      </c>
      <c r="GD70" s="151" t="e">
        <f t="shared" si="24"/>
        <v>#N/A</v>
      </c>
      <c r="GE70" s="144" t="e">
        <f t="shared" si="25"/>
        <v>#N/A</v>
      </c>
      <c r="GF70" s="152" t="e">
        <f t="shared" si="26"/>
        <v>#N/A</v>
      </c>
      <c r="GG70" s="7" t="e">
        <f t="shared" ref="GG70:GG133" si="129">_xlfn.NORM.DIST(-(SQRT(Eu_a_n_x)*(GF70-Eu_a_h0_x)/SQRT(GF70*(1-GF70)))-(_xlfn.NORM.INV(1-(1-Eu_a_konfidensniveau)/2,0,1)*SQRT((Eu_a_h0_x*(1-Eu_a_h0_x))/(GF70*(1-GF70)))),0,1,TRUE)+_xlfn.NORM.DIST((SQRT(Eu_a_n_x)*(GF70-Eu_a_h0_x)/SQRT(GF70*(1-GF70)))-(_xlfn.NORM.INV(1-(1-Eu_a_konfidensniveau)/2,0,1)*SQRT((Eu_a_h0_x*(1-Eu_a_h0_x))/(GF70*(1-GF70)))),0,1,TRUE)</f>
        <v>#N/A</v>
      </c>
      <c r="GH70" t="e">
        <f t="shared" si="27"/>
        <v>#N/A</v>
      </c>
      <c r="GI70" s="8" t="e">
        <f t="shared" si="28"/>
        <v>#N/A</v>
      </c>
      <c r="GJ70" s="8" t="e">
        <f t="shared" si="29"/>
        <v>#N/A</v>
      </c>
      <c r="GK70" s="151" t="e">
        <f t="shared" si="30"/>
        <v>#N/A</v>
      </c>
      <c r="GL70" s="151"/>
      <c r="GM70" s="151"/>
      <c r="GP70" s="54">
        <f t="shared" si="81"/>
        <v>60</v>
      </c>
      <c r="GQ70" s="54">
        <f t="shared" si="82"/>
        <v>61</v>
      </c>
      <c r="GR70" s="54">
        <f t="shared" si="83"/>
        <v>-1.6529149544618535</v>
      </c>
      <c r="GS70" s="54">
        <f t="shared" si="84"/>
        <v>0.10177381209387595</v>
      </c>
      <c r="GT70" s="54" t="e">
        <f t="shared" si="85"/>
        <v>#N/A</v>
      </c>
      <c r="GU70" s="54" t="e">
        <f t="shared" si="86"/>
        <v>#N/A</v>
      </c>
      <c r="GV70" s="54" t="e">
        <f t="shared" si="87"/>
        <v>#N/A</v>
      </c>
      <c r="GW70" s="54" t="b">
        <f t="shared" si="88"/>
        <v>0</v>
      </c>
      <c r="GX70" s="54" t="b">
        <f t="shared" si="89"/>
        <v>1</v>
      </c>
      <c r="GY70" s="54" t="b">
        <f t="shared" si="90"/>
        <v>0</v>
      </c>
      <c r="GZ70" s="54" t="b">
        <f t="shared" si="91"/>
        <v>1</v>
      </c>
      <c r="HA70" s="54">
        <f t="shared" si="92"/>
        <v>0.10177381209387595</v>
      </c>
      <c r="HB70" s="54" t="e">
        <f t="shared" si="93"/>
        <v>#N/A</v>
      </c>
      <c r="HC70" s="54">
        <f t="shared" si="94"/>
        <v>0.10177381209387595</v>
      </c>
      <c r="HD70" s="69" t="str">
        <f t="shared" si="95"/>
        <v/>
      </c>
      <c r="HJ70" s="54">
        <f t="shared" si="96"/>
        <v>60</v>
      </c>
      <c r="HK70" s="54">
        <f t="shared" si="97"/>
        <v>61</v>
      </c>
      <c r="HL70" s="54">
        <f t="shared" si="98"/>
        <v>-2.5595735222949223</v>
      </c>
      <c r="HM70" s="54" t="e">
        <f t="shared" si="99"/>
        <v>#N/A</v>
      </c>
      <c r="HN70" s="54">
        <f t="shared" si="100"/>
        <v>2.7409711035389889E-2</v>
      </c>
      <c r="HO70" s="54" t="e">
        <f t="shared" si="101"/>
        <v>#N/A</v>
      </c>
      <c r="HP70" s="54" t="e">
        <f t="shared" si="102"/>
        <v>#N/A</v>
      </c>
      <c r="HQ70" s="54" t="b">
        <f t="shared" si="103"/>
        <v>1</v>
      </c>
      <c r="HR70" s="54" t="b">
        <f t="shared" si="104"/>
        <v>0</v>
      </c>
      <c r="HS70" s="54" t="b">
        <f t="shared" si="105"/>
        <v>1</v>
      </c>
      <c r="HT70" s="54" t="b">
        <f t="shared" si="106"/>
        <v>0</v>
      </c>
      <c r="HU70" s="54">
        <f t="shared" si="107"/>
        <v>2.7409711035389889E-2</v>
      </c>
      <c r="HV70" s="54">
        <f t="shared" si="108"/>
        <v>2.7409711035389889E-2</v>
      </c>
      <c r="HW70" s="54" t="e">
        <f t="shared" si="109"/>
        <v>#N/A</v>
      </c>
      <c r="HX70" s="69" t="str">
        <f t="shared" si="110"/>
        <v/>
      </c>
    </row>
    <row r="71" spans="1:232" x14ac:dyDescent="0.2">
      <c r="BZ71" s="54">
        <f t="shared" si="36"/>
        <v>61</v>
      </c>
      <c r="CA71" s="54">
        <f>Eu_tabel_g[[#This Row],[Indeks]]+1</f>
        <v>62</v>
      </c>
      <c r="CB71" s="54">
        <f t="shared" si="37"/>
        <v>-1.6289596652667542</v>
      </c>
      <c r="CC71" s="54">
        <f t="shared" si="38"/>
        <v>0.10585412321974697</v>
      </c>
      <c r="CD71" s="54" t="e">
        <f t="shared" si="39"/>
        <v>#N/A</v>
      </c>
      <c r="CE71" s="54" t="e">
        <f t="shared" si="40"/>
        <v>#N/A</v>
      </c>
      <c r="CF71" s="54" t="e">
        <f t="shared" si="41"/>
        <v>#N/A</v>
      </c>
      <c r="CG71" s="54" t="b">
        <f t="shared" si="42"/>
        <v>0</v>
      </c>
      <c r="CH71" s="54" t="b">
        <f t="shared" si="43"/>
        <v>1</v>
      </c>
      <c r="CI71" s="54" t="b">
        <f t="shared" si="44"/>
        <v>0</v>
      </c>
      <c r="CJ71" s="54" t="b">
        <f t="shared" si="45"/>
        <v>1</v>
      </c>
      <c r="CK71" s="54">
        <f t="shared" si="119"/>
        <v>0.10585412321974697</v>
      </c>
      <c r="CL71" s="54" t="e">
        <f t="shared" si="47"/>
        <v>#N/A</v>
      </c>
      <c r="CM71" s="54">
        <f t="shared" si="48"/>
        <v>0.10585412321974697</v>
      </c>
      <c r="CN71" s="69" t="str">
        <f t="shared" si="49"/>
        <v/>
      </c>
      <c r="CO71" s="54">
        <f>_xlfn.NORM.DIST(_xlfn.NORM.INV(1-Eu_g_konfidensniveau,0,1)-Eu_tabel_g[[#This Row],[x base]],0,1,TRUE)</f>
        <v>0.49365949363636824</v>
      </c>
      <c r="CP71" s="54">
        <f>1-_xlfn.NORM.DIST(_xlfn.NORM.INV(Eu_g_konfidensniveau,0,1)-Eu_tabel_g[[#This Row],[x base]],0,1,TRUE)</f>
        <v>5.3053347540099605E-4</v>
      </c>
      <c r="CQ71" s="54">
        <f>_xlfn.NORM.DIST(_xlfn.NORM.INV((1-Eu_g_konfidensniveau)/2,0,1)-Eu_tabel_g[[#This Row],[x base]],0,1,TRUE)+1-_xlfn.NORM.DIST(_xlfn.NORM.INV(1-(1-Eu_g_konfidensniveau)/2,0,1)-Eu_tabel_g[[#This Row],[x base]],0,1,TRUE)</f>
        <v>0.37048663452232122</v>
      </c>
      <c r="CR71" s="54" t="e" cm="1">
        <f t="array" ref="CR71">IF($CR$3,INDEX(Eu_tabel_g[[#This Row],[Styrke venstre]:[Styrke tosidet]],CR$7),NA())</f>
        <v>#N/A</v>
      </c>
      <c r="CS71" s="89" t="e">
        <f>Eu_tabel_g[[#This Row],[Falsk positiv
Nulhypotese accepteres
Fejltype 1]]</f>
        <v>#N/A</v>
      </c>
      <c r="CT71" s="89" t="e">
        <f>IF(CHOOSE(CR$7,Eu_tabel_g[[#This Row],[x base]]&gt;0,Eu_tabel_g[[#This Row],[x base]]&lt;0,Eu_tabel_g[[#This Row],[x base]]=0),Eu_tabel_g[[#This Row],[Styrke, aktiv]],NA())</f>
        <v>#N/A</v>
      </c>
      <c r="CU71" s="89" t="e">
        <f>IFERROR(IF($CR$3,Eu_tabel_g[[#This Row],[Styrke, aktiv]],NA()),NA())</f>
        <v>#N/A</v>
      </c>
      <c r="CV71" s="89" t="e">
        <f>IF(ISNA(Eu_tabel_g[[#This Row],[Sand negativ
Nulhypotese afvises
Korrekt]]),NA(),IF($CR$3,1,NA()))</f>
        <v>#N/A</v>
      </c>
      <c r="CW71" s="56" t="str" cm="1">
        <f t="array" ref="CW71">_xlfn.SWITCH(BZ71,_xlfn.IFNA(CU$2,-99),CU$5,_xlfn.IFNA(CU$3,-99),CU$6,_xlfn.IFNA(CU$4,-99),CU$7,"")</f>
        <v/>
      </c>
      <c r="DA71" s="7">
        <f t="shared" si="50"/>
        <v>0.8</v>
      </c>
      <c r="DB71">
        <f>IF(ROW(Styrkeberegning_G[[#This Row],[X base venstre]])=ROW(Styrkeberegning_G[[#Headers],[X base venstre]])+1,DB$7/(DA$7/$B$67),DB70/(DA70/$B$67))</f>
        <v>-2.8015817870135784</v>
      </c>
      <c r="DC71">
        <f>Styrkeberegning_G[[#This Row],[X base venstre]]*-1</f>
        <v>2.8015817870135784</v>
      </c>
      <c r="DN71" s="54">
        <f t="shared" si="51"/>
        <v>61</v>
      </c>
      <c r="DO71" s="54">
        <f t="shared" si="52"/>
        <v>62</v>
      </c>
      <c r="DP71" s="54">
        <f t="shared" si="53"/>
        <v>8.7921749060907519</v>
      </c>
      <c r="DQ71" s="54" t="e">
        <f t="shared" si="54"/>
        <v>#N/A</v>
      </c>
      <c r="DR71" s="54" t="e">
        <f t="shared" si="55"/>
        <v>#N/A</v>
      </c>
      <c r="DS71" s="54">
        <f t="shared" si="56"/>
        <v>9.2196656219217965E-2</v>
      </c>
      <c r="DT71" s="54" t="e">
        <f t="shared" si="57"/>
        <v>#N/A</v>
      </c>
      <c r="DU71" s="54" t="b">
        <f t="shared" si="58"/>
        <v>0</v>
      </c>
      <c r="DV71" s="54" t="b">
        <f t="shared" si="59"/>
        <v>1</v>
      </c>
      <c r="DW71" s="54" t="b">
        <f t="shared" si="60"/>
        <v>0</v>
      </c>
      <c r="DX71" s="54" t="b">
        <f t="shared" si="61"/>
        <v>1</v>
      </c>
      <c r="DY71" s="54">
        <f t="shared" si="62"/>
        <v>9.2196656219217965E-2</v>
      </c>
      <c r="DZ71" s="54" t="e">
        <f t="shared" si="63"/>
        <v>#N/A</v>
      </c>
      <c r="EA71" s="54">
        <f t="shared" si="64"/>
        <v>9.2196656219217965E-2</v>
      </c>
      <c r="EB71" s="69" t="str">
        <f t="shared" si="65"/>
        <v/>
      </c>
      <c r="EG71" s="54">
        <f t="shared" si="66"/>
        <v>61</v>
      </c>
      <c r="EH71" s="54">
        <f t="shared" si="67"/>
        <v>62</v>
      </c>
      <c r="EI71" s="54">
        <f t="shared" si="68"/>
        <v>-1.6289596652667542</v>
      </c>
      <c r="EJ71" s="54">
        <f t="shared" si="69"/>
        <v>0.10585412321974697</v>
      </c>
      <c r="EK71" s="54" t="e">
        <f t="shared" si="70"/>
        <v>#N/A</v>
      </c>
      <c r="EL71" s="54" t="e">
        <f t="shared" si="71"/>
        <v>#N/A</v>
      </c>
      <c r="EM71" s="54" t="e">
        <f t="shared" si="72"/>
        <v>#N/A</v>
      </c>
      <c r="EN71" s="54" t="b">
        <f t="shared" si="73"/>
        <v>0</v>
      </c>
      <c r="EO71" s="54" t="b">
        <f t="shared" si="74"/>
        <v>1</v>
      </c>
      <c r="EP71" s="54" t="b">
        <f t="shared" si="75"/>
        <v>0</v>
      </c>
      <c r="EQ71" s="54" t="b">
        <f t="shared" si="76"/>
        <v>1</v>
      </c>
      <c r="ER71" s="54">
        <f t="shared" si="77"/>
        <v>0.10585412321974697</v>
      </c>
      <c r="ES71" s="54" t="e">
        <f t="shared" si="78"/>
        <v>#N/A</v>
      </c>
      <c r="ET71" s="54">
        <f t="shared" si="79"/>
        <v>0.10585412321974697</v>
      </c>
      <c r="EU71" s="69" t="str">
        <f t="shared" si="80"/>
        <v/>
      </c>
      <c r="EV7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7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7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71" s="54" t="e" cm="1">
        <f t="array" ref="EY71">IF($CR$3,INDEX(Eu_tabel_a[[#This Row],[Styrke venstre]:[Styrke tosidet]],EY$7),NA())</f>
        <v>#N/A</v>
      </c>
      <c r="EZ71" s="54" t="e">
        <f>IF(EY$3,IF(CHOOSE(EY$7,Eu_tabel_a[[#This Row],[x base]]&gt;0,Eu_tabel_a[[#This Row],[x base]]&lt;0,Eu_tabel_a[[#This Row],[x base]]=0),1,NA()),NA())</f>
        <v>#N/A</v>
      </c>
      <c r="FA71" s="54" t="e">
        <f>IF(CHOOSE(EY$7,Eu_tabel_a[[#This Row],[x base]]&gt;0,Eu_tabel_a[[#This Row],[x base]]&lt;0,Eu_tabel_a[[#This Row],[x base]]=0),Eu_tabel_a[[#This Row],[Styrke, aktiv]],NA())</f>
        <v>#N/A</v>
      </c>
      <c r="FB71" s="54" t="e">
        <f>IFERROR(IF($EY$3,Eu_tabel_a[[#This Row],[Styrke, aktiv]],NA()),NA())</f>
        <v>#N/A</v>
      </c>
      <c r="FC71" s="54" t="e">
        <f>IF(ISNA(Eu_tabel_a[[#This Row],[Sand negativ
Nulhypotese afvises
Korrekt]]),NA(),IF(EY$3,1,NA()))</f>
        <v>#N/A</v>
      </c>
      <c r="FD71" s="55" t="str" cm="1">
        <f t="array" ref="FD71">IFERROR(_xlfn.SWITCH(Eu_tabel_a[[#This Row],[Indeks]],_xlfn.IFNA(FB$2,-99),FB$5,_xlfn.IFNA(FB$3,-99),FB$6,_xlfn.IFNA(FB$4,-99),FB$7,""),"")</f>
        <v/>
      </c>
      <c r="FE71" s="54">
        <f>Eu_tabel_a[[#This Row],[x base]]*SQRT(Eu_a_h0_x*(1-Eu_a_h0_x)/Eu_a_n_x)+Eu_a_h0_x</f>
        <v>0</v>
      </c>
      <c r="FJ71" s="144" t="e">
        <f t="shared" ref="FJ71:FJ134" si="130">IF(ISERROR(FK71),NA(),ROW(FJ71)-ROW(FJ$5))</f>
        <v>#N/A</v>
      </c>
      <c r="FK71" s="152" t="e">
        <f t="shared" si="113"/>
        <v>#DIV/0!</v>
      </c>
      <c r="FL71" s="7" t="e">
        <f t="shared" si="124"/>
        <v>#DIV/0!</v>
      </c>
      <c r="FM71" t="e">
        <f t="shared" si="114"/>
        <v>#DIV/0!</v>
      </c>
      <c r="FN71" s="8" t="e">
        <f t="shared" si="115"/>
        <v>#DIV/0!</v>
      </c>
      <c r="FO71" s="8" t="e">
        <f t="shared" si="116"/>
        <v>#DIV/0!</v>
      </c>
      <c r="FP71" s="151" t="e">
        <f t="shared" si="117"/>
        <v>#DIV/0!</v>
      </c>
      <c r="FQ71" s="144" t="e">
        <f t="shared" ca="1" si="125"/>
        <v>#N/A</v>
      </c>
      <c r="FR71" s="152" t="e" vm="3">
        <f t="shared" ref="FR71:FR134" ca="1" si="131">FR69+FW70</f>
        <v>#VALUE!</v>
      </c>
      <c r="FS71" s="7" t="e" vm="3">
        <f t="shared" ca="1" si="126"/>
        <v>#VALUE!</v>
      </c>
      <c r="FT71" t="e" vm="3">
        <f t="shared" ca="1" si="120"/>
        <v>#VALUE!</v>
      </c>
      <c r="FU71" s="8" t="e" vm="3">
        <f t="shared" ca="1" si="121"/>
        <v>#VALUE!</v>
      </c>
      <c r="FV71" s="8" t="e" vm="3">
        <f t="shared" ca="1" si="122"/>
        <v>#VALUE!</v>
      </c>
      <c r="FW71" s="151" t="e" vm="3">
        <f t="shared" ca="1" si="123"/>
        <v>#VALUE!</v>
      </c>
      <c r="FX71" s="144" t="e">
        <f t="shared" si="127"/>
        <v>#N/A</v>
      </c>
      <c r="FY71" s="152" t="e">
        <f t="shared" ref="FY71:FY134" si="132">FY69+GD70</f>
        <v>#N/A</v>
      </c>
      <c r="FZ71" s="7" t="e">
        <f t="shared" si="128"/>
        <v>#N/A</v>
      </c>
      <c r="GA71" t="e">
        <f t="shared" ref="GA71:GA134" si="133">FY71-FY70</f>
        <v>#N/A</v>
      </c>
      <c r="GB71" s="8" t="e">
        <f t="shared" ref="GB71:GB134" si="134">FZ71-FZ70</f>
        <v>#N/A</v>
      </c>
      <c r="GC71" s="8" t="e">
        <f t="shared" ref="GC71:GC134" si="135">$P$67-FZ70</f>
        <v>#N/A</v>
      </c>
      <c r="GD71" s="151" t="e">
        <f t="shared" ref="GD71:GD134" si="136">GA71/(GB71/GC71)</f>
        <v>#N/A</v>
      </c>
      <c r="GE71" s="144" t="e">
        <f t="shared" ref="GE71:GE134" si="137">IF(ISERROR(GF71),NA(),ROW(GE71)-ROW(GE$5))</f>
        <v>#N/A</v>
      </c>
      <c r="GF71" s="152" t="e">
        <f t="shared" ref="GF71:GF134" si="138">GF69+GK70</f>
        <v>#N/A</v>
      </c>
      <c r="GG71" s="7" t="e">
        <f t="shared" si="129"/>
        <v>#N/A</v>
      </c>
      <c r="GH71" t="e">
        <f t="shared" ref="GH71:GH134" si="139">GF71-GF70</f>
        <v>#N/A</v>
      </c>
      <c r="GI71" s="8" t="e">
        <f t="shared" ref="GI71:GI134" si="140">GG71-GG70</f>
        <v>#N/A</v>
      </c>
      <c r="GJ71" s="8" t="e">
        <f t="shared" ref="GJ71:GJ134" si="141">$P$67-GG70</f>
        <v>#N/A</v>
      </c>
      <c r="GK71" s="151" t="e">
        <f t="shared" ref="GK71:GK134" si="142">GH71/(GI71/GJ71)</f>
        <v>#N/A</v>
      </c>
      <c r="GL71" s="151"/>
      <c r="GM71" s="151"/>
      <c r="GP71" s="54">
        <f t="shared" si="81"/>
        <v>61</v>
      </c>
      <c r="GQ71" s="54">
        <f t="shared" si="82"/>
        <v>62</v>
      </c>
      <c r="GR71" s="54">
        <f t="shared" si="83"/>
        <v>-1.6289596652667542</v>
      </c>
      <c r="GS71" s="54">
        <f t="shared" si="84"/>
        <v>0.10585412321974697</v>
      </c>
      <c r="GT71" s="54" t="e">
        <f t="shared" si="85"/>
        <v>#N/A</v>
      </c>
      <c r="GU71" s="54" t="e">
        <f t="shared" si="86"/>
        <v>#N/A</v>
      </c>
      <c r="GV71" s="54" t="e">
        <f t="shared" si="87"/>
        <v>#N/A</v>
      </c>
      <c r="GW71" s="54" t="b">
        <f t="shared" si="88"/>
        <v>0</v>
      </c>
      <c r="GX71" s="54" t="b">
        <f t="shared" si="89"/>
        <v>1</v>
      </c>
      <c r="GY71" s="54" t="b">
        <f t="shared" si="90"/>
        <v>0</v>
      </c>
      <c r="GZ71" s="54" t="b">
        <f t="shared" si="91"/>
        <v>1</v>
      </c>
      <c r="HA71" s="54">
        <f t="shared" si="92"/>
        <v>0.10585412321974697</v>
      </c>
      <c r="HB71" s="54" t="e">
        <f t="shared" si="93"/>
        <v>#N/A</v>
      </c>
      <c r="HC71" s="54">
        <f t="shared" si="94"/>
        <v>0.10585412321974697</v>
      </c>
      <c r="HD71" s="69" t="str">
        <f t="shared" si="95"/>
        <v/>
      </c>
      <c r="HJ71" s="54">
        <f t="shared" si="96"/>
        <v>61</v>
      </c>
      <c r="HK71" s="54">
        <f t="shared" si="97"/>
        <v>62</v>
      </c>
      <c r="HL71" s="54">
        <f t="shared" si="98"/>
        <v>-2.5224782538558652</v>
      </c>
      <c r="HM71" s="54" t="e">
        <f t="shared" si="99"/>
        <v>#N/A</v>
      </c>
      <c r="HN71" s="54">
        <f t="shared" si="100"/>
        <v>2.8989506460017089E-2</v>
      </c>
      <c r="HO71" s="54" t="e">
        <f t="shared" si="101"/>
        <v>#N/A</v>
      </c>
      <c r="HP71" s="54" t="e">
        <f t="shared" si="102"/>
        <v>#N/A</v>
      </c>
      <c r="HQ71" s="54" t="b">
        <f t="shared" si="103"/>
        <v>1</v>
      </c>
      <c r="HR71" s="54" t="b">
        <f t="shared" si="104"/>
        <v>0</v>
      </c>
      <c r="HS71" s="54" t="b">
        <f t="shared" si="105"/>
        <v>1</v>
      </c>
      <c r="HT71" s="54" t="b">
        <f t="shared" si="106"/>
        <v>0</v>
      </c>
      <c r="HU71" s="54">
        <f t="shared" si="107"/>
        <v>2.8989506460017089E-2</v>
      </c>
      <c r="HV71" s="54">
        <f t="shared" si="108"/>
        <v>2.8989506460017089E-2</v>
      </c>
      <c r="HW71" s="54" t="e">
        <f t="shared" si="109"/>
        <v>#N/A</v>
      </c>
      <c r="HX71" s="69" t="str">
        <f t="shared" si="110"/>
        <v/>
      </c>
    </row>
    <row r="72" spans="1:232" x14ac:dyDescent="0.2">
      <c r="BZ72" s="54">
        <f t="shared" si="36"/>
        <v>62</v>
      </c>
      <c r="CA72" s="54">
        <f>Eu_tabel_g[[#This Row],[Indeks]]+1</f>
        <v>63</v>
      </c>
      <c r="CB72" s="54">
        <f t="shared" si="37"/>
        <v>-1.605004376071655</v>
      </c>
      <c r="CC72" s="54">
        <f t="shared" si="38"/>
        <v>0.11003485972432274</v>
      </c>
      <c r="CD72" s="54" t="e">
        <f t="shared" si="39"/>
        <v>#N/A</v>
      </c>
      <c r="CE72" s="54" t="e">
        <f t="shared" si="40"/>
        <v>#N/A</v>
      </c>
      <c r="CF72" s="54" t="e">
        <f t="shared" si="41"/>
        <v>#N/A</v>
      </c>
      <c r="CG72" s="54" t="b">
        <f t="shared" si="42"/>
        <v>0</v>
      </c>
      <c r="CH72" s="54" t="b">
        <f t="shared" si="43"/>
        <v>1</v>
      </c>
      <c r="CI72" s="54" t="b">
        <f t="shared" si="44"/>
        <v>0</v>
      </c>
      <c r="CJ72" s="54" t="b">
        <f t="shared" si="45"/>
        <v>1</v>
      </c>
      <c r="CK72" s="54">
        <f t="shared" si="119"/>
        <v>0.11003485972432274</v>
      </c>
      <c r="CL72" s="54" t="e">
        <f t="shared" si="47"/>
        <v>#N/A</v>
      </c>
      <c r="CM72" s="54">
        <f t="shared" si="48"/>
        <v>0.11003485972432274</v>
      </c>
      <c r="CN72" s="69" t="str">
        <f t="shared" si="49"/>
        <v/>
      </c>
      <c r="CO72" s="54">
        <f>_xlfn.NORM.DIST(_xlfn.NORM.INV(1-Eu_g_konfidensniveau,0,1)-Eu_tabel_g[[#This Row],[x base]],0,1,TRUE)</f>
        <v>0.48410665543297465</v>
      </c>
      <c r="CP72" s="54">
        <f>1-_xlfn.NORM.DIST(_xlfn.NORM.INV(Eu_g_konfidensniveau,0,1)-Eu_tabel_g[[#This Row],[x base]],0,1,TRUE)</f>
        <v>5.7731322757204051E-4</v>
      </c>
      <c r="CQ72" s="54">
        <f>_xlfn.NORM.DIST(_xlfn.NORM.INV((1-Eu_g_konfidensniveau)/2,0,1)-Eu_tabel_g[[#This Row],[x base]],0,1,TRUE)+1-_xlfn.NORM.DIST(_xlfn.NORM.INV(1-(1-Eu_g_konfidensniveau)/2,0,1)-Eu_tabel_g[[#This Row],[x base]],0,1,TRUE)</f>
        <v>0.36149187560923901</v>
      </c>
      <c r="CR72" s="54" t="e" cm="1">
        <f t="array" ref="CR72">IF($CR$3,INDEX(Eu_tabel_g[[#This Row],[Styrke venstre]:[Styrke tosidet]],CR$7),NA())</f>
        <v>#N/A</v>
      </c>
      <c r="CS72" s="89" t="e">
        <f>Eu_tabel_g[[#This Row],[Falsk positiv
Nulhypotese accepteres
Fejltype 1]]</f>
        <v>#N/A</v>
      </c>
      <c r="CT72" s="89" t="e">
        <f>IF(CHOOSE(CR$7,Eu_tabel_g[[#This Row],[x base]]&gt;0,Eu_tabel_g[[#This Row],[x base]]&lt;0,Eu_tabel_g[[#This Row],[x base]]=0),Eu_tabel_g[[#This Row],[Styrke, aktiv]],NA())</f>
        <v>#N/A</v>
      </c>
      <c r="CU72" s="89" t="e">
        <f>IFERROR(IF($CR$3,Eu_tabel_g[[#This Row],[Styrke, aktiv]],NA()),NA())</f>
        <v>#N/A</v>
      </c>
      <c r="CV72" s="89" t="e">
        <f>IF(ISNA(Eu_tabel_g[[#This Row],[Sand negativ
Nulhypotese afvises
Korrekt]]),NA(),IF($CR$3,1,NA()))</f>
        <v>#N/A</v>
      </c>
      <c r="CW72" s="56" t="str" cm="1">
        <f t="array" ref="CW72">_xlfn.SWITCH(BZ72,_xlfn.IFNA(CU$2,-99),CU$5,_xlfn.IFNA(CU$3,-99),CU$6,_xlfn.IFNA(CU$4,-99),CU$7,"")</f>
        <v/>
      </c>
      <c r="DA72" s="7">
        <f t="shared" si="50"/>
        <v>0.8</v>
      </c>
      <c r="DB72">
        <f>IF(ROW(Styrkeberegning_G[[#This Row],[X base venstre]])=ROW(Styrkeberegning_G[[#Headers],[X base venstre]])+1,DB$7/(DA$7/$B$67),DB71/(DA71/$B$67))</f>
        <v>-2.8015817870135784</v>
      </c>
      <c r="DC72">
        <f>Styrkeberegning_G[[#This Row],[X base venstre]]*-1</f>
        <v>2.8015817870135784</v>
      </c>
      <c r="DN72" s="54">
        <f t="shared" si="51"/>
        <v>62</v>
      </c>
      <c r="DO72" s="54">
        <f t="shared" si="52"/>
        <v>63</v>
      </c>
      <c r="DP72" s="54">
        <f t="shared" si="53"/>
        <v>8.9062457625077514</v>
      </c>
      <c r="DQ72" s="54" t="e">
        <f t="shared" si="54"/>
        <v>#N/A</v>
      </c>
      <c r="DR72" s="54" t="e">
        <f t="shared" si="55"/>
        <v>#N/A</v>
      </c>
      <c r="DS72" s="54">
        <f t="shared" si="56"/>
        <v>9.228637780978749E-2</v>
      </c>
      <c r="DT72" s="54" t="e">
        <f t="shared" si="57"/>
        <v>#N/A</v>
      </c>
      <c r="DU72" s="54" t="b">
        <f t="shared" si="58"/>
        <v>0</v>
      </c>
      <c r="DV72" s="54" t="b">
        <f t="shared" si="59"/>
        <v>1</v>
      </c>
      <c r="DW72" s="54" t="b">
        <f t="shared" si="60"/>
        <v>0</v>
      </c>
      <c r="DX72" s="54" t="b">
        <f t="shared" si="61"/>
        <v>1</v>
      </c>
      <c r="DY72" s="54">
        <f t="shared" si="62"/>
        <v>9.228637780978749E-2</v>
      </c>
      <c r="DZ72" s="54" t="e">
        <f t="shared" si="63"/>
        <v>#N/A</v>
      </c>
      <c r="EA72" s="54">
        <f t="shared" si="64"/>
        <v>9.228637780978749E-2</v>
      </c>
      <c r="EB72" s="69" t="str">
        <f t="shared" si="65"/>
        <v/>
      </c>
      <c r="EG72" s="54">
        <f t="shared" si="66"/>
        <v>62</v>
      </c>
      <c r="EH72" s="54">
        <f t="shared" si="67"/>
        <v>63</v>
      </c>
      <c r="EI72" s="54">
        <f t="shared" si="68"/>
        <v>-1.605004376071655</v>
      </c>
      <c r="EJ72" s="54">
        <f t="shared" si="69"/>
        <v>0.11003485972432274</v>
      </c>
      <c r="EK72" s="54" t="e">
        <f t="shared" si="70"/>
        <v>#N/A</v>
      </c>
      <c r="EL72" s="54" t="e">
        <f t="shared" si="71"/>
        <v>#N/A</v>
      </c>
      <c r="EM72" s="54" t="e">
        <f t="shared" si="72"/>
        <v>#N/A</v>
      </c>
      <c r="EN72" s="54" t="b">
        <f t="shared" si="73"/>
        <v>0</v>
      </c>
      <c r="EO72" s="54" t="b">
        <f t="shared" si="74"/>
        <v>1</v>
      </c>
      <c r="EP72" s="54" t="b">
        <f t="shared" si="75"/>
        <v>0</v>
      </c>
      <c r="EQ72" s="54" t="b">
        <f t="shared" si="76"/>
        <v>1</v>
      </c>
      <c r="ER72" s="54">
        <f t="shared" si="77"/>
        <v>0.11003485972432274</v>
      </c>
      <c r="ES72" s="54" t="e">
        <f t="shared" si="78"/>
        <v>#N/A</v>
      </c>
      <c r="ET72" s="54">
        <f t="shared" si="79"/>
        <v>0.11003485972432274</v>
      </c>
      <c r="EU72" s="69" t="str">
        <f t="shared" si="80"/>
        <v/>
      </c>
      <c r="EV7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7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7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72" s="54" t="e" cm="1">
        <f t="array" ref="EY72">IF($CR$3,INDEX(Eu_tabel_a[[#This Row],[Styrke venstre]:[Styrke tosidet]],EY$7),NA())</f>
        <v>#N/A</v>
      </c>
      <c r="EZ72" s="54" t="e">
        <f>IF(EY$3,IF(CHOOSE(EY$7,Eu_tabel_a[[#This Row],[x base]]&gt;0,Eu_tabel_a[[#This Row],[x base]]&lt;0,Eu_tabel_a[[#This Row],[x base]]=0),1,NA()),NA())</f>
        <v>#N/A</v>
      </c>
      <c r="FA72" s="54" t="e">
        <f>IF(CHOOSE(EY$7,Eu_tabel_a[[#This Row],[x base]]&gt;0,Eu_tabel_a[[#This Row],[x base]]&lt;0,Eu_tabel_a[[#This Row],[x base]]=0),Eu_tabel_a[[#This Row],[Styrke, aktiv]],NA())</f>
        <v>#N/A</v>
      </c>
      <c r="FB72" s="54" t="e">
        <f>IFERROR(IF($EY$3,Eu_tabel_a[[#This Row],[Styrke, aktiv]],NA()),NA())</f>
        <v>#N/A</v>
      </c>
      <c r="FC72" s="54" t="e">
        <f>IF(ISNA(Eu_tabel_a[[#This Row],[Sand negativ
Nulhypotese afvises
Korrekt]]),NA(),IF(EY$3,1,NA()))</f>
        <v>#N/A</v>
      </c>
      <c r="FD72" s="55" t="str" cm="1">
        <f t="array" ref="FD72">IFERROR(_xlfn.SWITCH(Eu_tabel_a[[#This Row],[Indeks]],_xlfn.IFNA(FB$2,-99),FB$5,_xlfn.IFNA(FB$3,-99),FB$6,_xlfn.IFNA(FB$4,-99),FB$7,""),"")</f>
        <v/>
      </c>
      <c r="FE72" s="54">
        <f>Eu_tabel_a[[#This Row],[x base]]*SQRT(Eu_a_h0_x*(1-Eu_a_h0_x)/Eu_a_n_x)+Eu_a_h0_x</f>
        <v>0</v>
      </c>
      <c r="FJ72" s="144" t="e">
        <f t="shared" si="130"/>
        <v>#N/A</v>
      </c>
      <c r="FK72" s="152" t="e">
        <f t="shared" si="113"/>
        <v>#DIV/0!</v>
      </c>
      <c r="FL72" s="7" t="e">
        <f t="shared" si="124"/>
        <v>#DIV/0!</v>
      </c>
      <c r="FM72" t="e">
        <f t="shared" si="114"/>
        <v>#DIV/0!</v>
      </c>
      <c r="FN72" s="8" t="e">
        <f t="shared" si="115"/>
        <v>#DIV/0!</v>
      </c>
      <c r="FO72" s="8" t="e">
        <f t="shared" si="116"/>
        <v>#DIV/0!</v>
      </c>
      <c r="FP72" s="151" t="e">
        <f t="shared" si="117"/>
        <v>#DIV/0!</v>
      </c>
      <c r="FQ72" s="144" t="e">
        <f t="shared" ca="1" si="125"/>
        <v>#N/A</v>
      </c>
      <c r="FR72" s="152" t="e" vm="3">
        <f t="shared" ca="1" si="131"/>
        <v>#VALUE!</v>
      </c>
      <c r="FS72" s="7" t="e" vm="3">
        <f t="shared" ca="1" si="126"/>
        <v>#VALUE!</v>
      </c>
      <c r="FT72" t="e" vm="3">
        <f t="shared" ca="1" si="120"/>
        <v>#VALUE!</v>
      </c>
      <c r="FU72" s="8" t="e" vm="3">
        <f t="shared" ca="1" si="121"/>
        <v>#VALUE!</v>
      </c>
      <c r="FV72" s="8" t="e" vm="3">
        <f t="shared" ca="1" si="122"/>
        <v>#VALUE!</v>
      </c>
      <c r="FW72" s="151" t="e" vm="3">
        <f t="shared" ca="1" si="123"/>
        <v>#VALUE!</v>
      </c>
      <c r="FX72" s="144" t="e">
        <f t="shared" si="127"/>
        <v>#N/A</v>
      </c>
      <c r="FY72" s="152" t="e">
        <f t="shared" si="132"/>
        <v>#N/A</v>
      </c>
      <c r="FZ72" s="7" t="e">
        <f t="shared" si="128"/>
        <v>#N/A</v>
      </c>
      <c r="GA72" t="e">
        <f t="shared" si="133"/>
        <v>#N/A</v>
      </c>
      <c r="GB72" s="8" t="e">
        <f t="shared" si="134"/>
        <v>#N/A</v>
      </c>
      <c r="GC72" s="8" t="e">
        <f t="shared" si="135"/>
        <v>#N/A</v>
      </c>
      <c r="GD72" s="151" t="e">
        <f t="shared" si="136"/>
        <v>#N/A</v>
      </c>
      <c r="GE72" s="144" t="e">
        <f t="shared" si="137"/>
        <v>#N/A</v>
      </c>
      <c r="GF72" s="152" t="e">
        <f t="shared" si="138"/>
        <v>#N/A</v>
      </c>
      <c r="GG72" s="7" t="e">
        <f t="shared" si="129"/>
        <v>#N/A</v>
      </c>
      <c r="GH72" t="e">
        <f t="shared" si="139"/>
        <v>#N/A</v>
      </c>
      <c r="GI72" s="8" t="e">
        <f t="shared" si="140"/>
        <v>#N/A</v>
      </c>
      <c r="GJ72" s="8" t="e">
        <f t="shared" si="141"/>
        <v>#N/A</v>
      </c>
      <c r="GK72" s="151" t="e">
        <f t="shared" si="142"/>
        <v>#N/A</v>
      </c>
      <c r="GL72" s="151"/>
      <c r="GM72" s="151"/>
      <c r="GP72" s="54">
        <f t="shared" si="81"/>
        <v>62</v>
      </c>
      <c r="GQ72" s="54">
        <f t="shared" si="82"/>
        <v>63</v>
      </c>
      <c r="GR72" s="54">
        <f t="shared" si="83"/>
        <v>-1.605004376071655</v>
      </c>
      <c r="GS72" s="54">
        <f t="shared" si="84"/>
        <v>0.11003485972432274</v>
      </c>
      <c r="GT72" s="54" t="e">
        <f t="shared" si="85"/>
        <v>#N/A</v>
      </c>
      <c r="GU72" s="54" t="e">
        <f t="shared" si="86"/>
        <v>#N/A</v>
      </c>
      <c r="GV72" s="54" t="e">
        <f t="shared" si="87"/>
        <v>#N/A</v>
      </c>
      <c r="GW72" s="54" t="b">
        <f t="shared" si="88"/>
        <v>0</v>
      </c>
      <c r="GX72" s="54" t="b">
        <f t="shared" si="89"/>
        <v>1</v>
      </c>
      <c r="GY72" s="54" t="b">
        <f t="shared" si="90"/>
        <v>0</v>
      </c>
      <c r="GZ72" s="54" t="b">
        <f t="shared" si="91"/>
        <v>1</v>
      </c>
      <c r="HA72" s="54">
        <f t="shared" si="92"/>
        <v>0.11003485972432274</v>
      </c>
      <c r="HB72" s="54" t="e">
        <f t="shared" si="93"/>
        <v>#N/A</v>
      </c>
      <c r="HC72" s="54">
        <f t="shared" si="94"/>
        <v>0.11003485972432274</v>
      </c>
      <c r="HD72" s="69" t="str">
        <f t="shared" si="95"/>
        <v/>
      </c>
      <c r="HJ72" s="54">
        <f t="shared" si="96"/>
        <v>62</v>
      </c>
      <c r="HK72" s="54">
        <f t="shared" si="97"/>
        <v>63</v>
      </c>
      <c r="HL72" s="54">
        <f t="shared" si="98"/>
        <v>-2.4853829854168086</v>
      </c>
      <c r="HM72" s="54" t="e">
        <f t="shared" si="99"/>
        <v>#N/A</v>
      </c>
      <c r="HN72" s="54">
        <f t="shared" si="100"/>
        <v>3.0659150000244034E-2</v>
      </c>
      <c r="HO72" s="54" t="e">
        <f t="shared" si="101"/>
        <v>#N/A</v>
      </c>
      <c r="HP72" s="54" t="e">
        <f t="shared" si="102"/>
        <v>#N/A</v>
      </c>
      <c r="HQ72" s="54" t="b">
        <f t="shared" si="103"/>
        <v>1</v>
      </c>
      <c r="HR72" s="54" t="b">
        <f t="shared" si="104"/>
        <v>0</v>
      </c>
      <c r="HS72" s="54" t="b">
        <f t="shared" si="105"/>
        <v>1</v>
      </c>
      <c r="HT72" s="54" t="b">
        <f t="shared" si="106"/>
        <v>0</v>
      </c>
      <c r="HU72" s="54">
        <f t="shared" si="107"/>
        <v>3.0659150000244034E-2</v>
      </c>
      <c r="HV72" s="54">
        <f t="shared" si="108"/>
        <v>3.0659150000244034E-2</v>
      </c>
      <c r="HW72" s="54" t="e">
        <f t="shared" si="109"/>
        <v>#N/A</v>
      </c>
      <c r="HX72" s="69" t="str">
        <f t="shared" si="110"/>
        <v/>
      </c>
    </row>
    <row r="73" spans="1:232" x14ac:dyDescent="0.2">
      <c r="BZ73" s="54">
        <f t="shared" si="36"/>
        <v>63</v>
      </c>
      <c r="CA73" s="54">
        <f>Eu_tabel_g[[#This Row],[Indeks]]+1</f>
        <v>64</v>
      </c>
      <c r="CB73" s="54">
        <f t="shared" si="37"/>
        <v>-1.5810490868765557</v>
      </c>
      <c r="CC73" s="54">
        <f t="shared" si="38"/>
        <v>0.11431509630296084</v>
      </c>
      <c r="CD73" s="54" t="e">
        <f t="shared" si="39"/>
        <v>#N/A</v>
      </c>
      <c r="CE73" s="54" t="e">
        <f t="shared" si="40"/>
        <v>#N/A</v>
      </c>
      <c r="CF73" s="54" t="e">
        <f t="shared" si="41"/>
        <v>#N/A</v>
      </c>
      <c r="CG73" s="54" t="b">
        <f t="shared" si="42"/>
        <v>0</v>
      </c>
      <c r="CH73" s="54" t="b">
        <f t="shared" si="43"/>
        <v>1</v>
      </c>
      <c r="CI73" s="54" t="b">
        <f t="shared" si="44"/>
        <v>0</v>
      </c>
      <c r="CJ73" s="54" t="b">
        <f t="shared" si="45"/>
        <v>1</v>
      </c>
      <c r="CK73" s="54">
        <f t="shared" si="119"/>
        <v>0.11431509630296084</v>
      </c>
      <c r="CL73" s="54" t="e">
        <f t="shared" si="47"/>
        <v>#N/A</v>
      </c>
      <c r="CM73" s="54">
        <f t="shared" si="48"/>
        <v>0.11431509630296084</v>
      </c>
      <c r="CN73" s="69" t="str">
        <f t="shared" si="49"/>
        <v/>
      </c>
      <c r="CO73" s="54">
        <f>_xlfn.NORM.DIST(_xlfn.NORM.INV(1-Eu_g_konfidensniveau,0,1)-Eu_tabel_g[[#This Row],[x base]],0,1,TRUE)</f>
        <v>0.47456293158522456</v>
      </c>
      <c r="CP73" s="54">
        <f>1-_xlfn.NORM.DIST(_xlfn.NORM.INV(Eu_g_konfidensniveau,0,1)-Eu_tabel_g[[#This Row],[x base]],0,1,TRUE)</f>
        <v>6.2788016889248066E-4</v>
      </c>
      <c r="CQ73" s="54">
        <f>_xlfn.NORM.DIST(_xlfn.NORM.INV((1-Eu_g_konfidensniveau)/2,0,1)-Eu_tabel_g[[#This Row],[x base]],0,1,TRUE)+1-_xlfn.NORM.DIST(_xlfn.NORM.INV(1-(1-Eu_g_konfidensniveau)/2,0,1)-Eu_tabel_g[[#This Row],[x base]],0,1,TRUE)</f>
        <v>0.35257482739793311</v>
      </c>
      <c r="CR73" s="54" t="e" cm="1">
        <f t="array" ref="CR73">IF($CR$3,INDEX(Eu_tabel_g[[#This Row],[Styrke venstre]:[Styrke tosidet]],CR$7),NA())</f>
        <v>#N/A</v>
      </c>
      <c r="CS73" s="89" t="e">
        <f>Eu_tabel_g[[#This Row],[Falsk positiv
Nulhypotese accepteres
Fejltype 1]]</f>
        <v>#N/A</v>
      </c>
      <c r="CT73" s="89" t="e">
        <f>IF(CHOOSE(CR$7,Eu_tabel_g[[#This Row],[x base]]&gt;0,Eu_tabel_g[[#This Row],[x base]]&lt;0,Eu_tabel_g[[#This Row],[x base]]=0),Eu_tabel_g[[#This Row],[Styrke, aktiv]],NA())</f>
        <v>#N/A</v>
      </c>
      <c r="CU73" s="89" t="e">
        <f>IFERROR(IF($CR$3,Eu_tabel_g[[#This Row],[Styrke, aktiv]],NA()),NA())</f>
        <v>#N/A</v>
      </c>
      <c r="CV73" s="89" t="e">
        <f>IF(ISNA(Eu_tabel_g[[#This Row],[Sand negativ
Nulhypotese afvises
Korrekt]]),NA(),IF($CR$3,1,NA()))</f>
        <v>#N/A</v>
      </c>
      <c r="CW73" s="56" t="str" cm="1">
        <f t="array" ref="CW73">_xlfn.SWITCH(BZ73,_xlfn.IFNA(CU$2,-99),CU$5,_xlfn.IFNA(CU$3,-99),CU$6,_xlfn.IFNA(CU$4,-99),CU$7,"")</f>
        <v/>
      </c>
      <c r="DA73" s="7">
        <f t="shared" si="50"/>
        <v>0.8</v>
      </c>
      <c r="DB73">
        <f>IF(ROW(Styrkeberegning_G[[#This Row],[X base venstre]])=ROW(Styrkeberegning_G[[#Headers],[X base venstre]])+1,DB$7/(DA$7/$B$67),DB72/(DA72/$B$67))</f>
        <v>-2.8015817870135784</v>
      </c>
      <c r="DC73">
        <f>Styrkeberegning_G[[#This Row],[X base venstre]]*-1</f>
        <v>2.8015817870135784</v>
      </c>
      <c r="DN73" s="54">
        <f t="shared" si="51"/>
        <v>63</v>
      </c>
      <c r="DO73" s="54">
        <f t="shared" si="52"/>
        <v>64</v>
      </c>
      <c r="DP73" s="54">
        <f t="shared" si="53"/>
        <v>9.0203166189247526</v>
      </c>
      <c r="DQ73" s="54" t="e">
        <f t="shared" si="54"/>
        <v>#N/A</v>
      </c>
      <c r="DR73" s="54" t="e">
        <f t="shared" si="55"/>
        <v>#N/A</v>
      </c>
      <c r="DS73" s="54">
        <f t="shared" si="56"/>
        <v>9.2308014417196882E-2</v>
      </c>
      <c r="DT73" s="54" t="e">
        <f t="shared" si="57"/>
        <v>#N/A</v>
      </c>
      <c r="DU73" s="54" t="b">
        <f t="shared" si="58"/>
        <v>0</v>
      </c>
      <c r="DV73" s="54" t="b">
        <f t="shared" si="59"/>
        <v>1</v>
      </c>
      <c r="DW73" s="54" t="b">
        <f t="shared" si="60"/>
        <v>0</v>
      </c>
      <c r="DX73" s="54" t="b">
        <f t="shared" si="61"/>
        <v>1</v>
      </c>
      <c r="DY73" s="54">
        <f t="shared" si="62"/>
        <v>9.2308014417196882E-2</v>
      </c>
      <c r="DZ73" s="54" t="e">
        <f t="shared" si="63"/>
        <v>#N/A</v>
      </c>
      <c r="EA73" s="54">
        <f t="shared" si="64"/>
        <v>9.2308014417196882E-2</v>
      </c>
      <c r="EB73" s="69" t="str">
        <f t="shared" si="65"/>
        <v/>
      </c>
      <c r="EG73" s="54">
        <f t="shared" si="66"/>
        <v>63</v>
      </c>
      <c r="EH73" s="54">
        <f t="shared" si="67"/>
        <v>64</v>
      </c>
      <c r="EI73" s="54">
        <f t="shared" si="68"/>
        <v>-1.5810490868765557</v>
      </c>
      <c r="EJ73" s="54">
        <f t="shared" si="69"/>
        <v>0.11431509630296084</v>
      </c>
      <c r="EK73" s="54" t="e">
        <f t="shared" si="70"/>
        <v>#N/A</v>
      </c>
      <c r="EL73" s="54" t="e">
        <f t="shared" si="71"/>
        <v>#N/A</v>
      </c>
      <c r="EM73" s="54" t="e">
        <f t="shared" si="72"/>
        <v>#N/A</v>
      </c>
      <c r="EN73" s="54" t="b">
        <f t="shared" si="73"/>
        <v>0</v>
      </c>
      <c r="EO73" s="54" t="b">
        <f t="shared" si="74"/>
        <v>1</v>
      </c>
      <c r="EP73" s="54" t="b">
        <f t="shared" si="75"/>
        <v>0</v>
      </c>
      <c r="EQ73" s="54" t="b">
        <f t="shared" si="76"/>
        <v>1</v>
      </c>
      <c r="ER73" s="54">
        <f t="shared" si="77"/>
        <v>0.11431509630296084</v>
      </c>
      <c r="ES73" s="54" t="e">
        <f t="shared" si="78"/>
        <v>#N/A</v>
      </c>
      <c r="ET73" s="54">
        <f t="shared" si="79"/>
        <v>0.11431509630296084</v>
      </c>
      <c r="EU73" s="69" t="str">
        <f t="shared" si="80"/>
        <v/>
      </c>
      <c r="EV7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7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7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73" s="54" t="e" cm="1">
        <f t="array" ref="EY73">IF($CR$3,INDEX(Eu_tabel_a[[#This Row],[Styrke venstre]:[Styrke tosidet]],EY$7),NA())</f>
        <v>#N/A</v>
      </c>
      <c r="EZ73" s="54" t="e">
        <f>IF(EY$3,IF(CHOOSE(EY$7,Eu_tabel_a[[#This Row],[x base]]&gt;0,Eu_tabel_a[[#This Row],[x base]]&lt;0,Eu_tabel_a[[#This Row],[x base]]=0),1,NA()),NA())</f>
        <v>#N/A</v>
      </c>
      <c r="FA73" s="54" t="e">
        <f>IF(CHOOSE(EY$7,Eu_tabel_a[[#This Row],[x base]]&gt;0,Eu_tabel_a[[#This Row],[x base]]&lt;0,Eu_tabel_a[[#This Row],[x base]]=0),Eu_tabel_a[[#This Row],[Styrke, aktiv]],NA())</f>
        <v>#N/A</v>
      </c>
      <c r="FB73" s="54" t="e">
        <f>IFERROR(IF($EY$3,Eu_tabel_a[[#This Row],[Styrke, aktiv]],NA()),NA())</f>
        <v>#N/A</v>
      </c>
      <c r="FC73" s="54" t="e">
        <f>IF(ISNA(Eu_tabel_a[[#This Row],[Sand negativ
Nulhypotese afvises
Korrekt]]),NA(),IF(EY$3,1,NA()))</f>
        <v>#N/A</v>
      </c>
      <c r="FD73" s="55" t="str" cm="1">
        <f t="array" ref="FD73">IFERROR(_xlfn.SWITCH(Eu_tabel_a[[#This Row],[Indeks]],_xlfn.IFNA(FB$2,-99),FB$5,_xlfn.IFNA(FB$3,-99),FB$6,_xlfn.IFNA(FB$4,-99),FB$7,""),"")</f>
        <v/>
      </c>
      <c r="FE73" s="54">
        <f>Eu_tabel_a[[#This Row],[x base]]*SQRT(Eu_a_h0_x*(1-Eu_a_h0_x)/Eu_a_n_x)+Eu_a_h0_x</f>
        <v>0</v>
      </c>
      <c r="FJ73" s="144" t="e">
        <f t="shared" si="130"/>
        <v>#N/A</v>
      </c>
      <c r="FK73" s="152" t="e">
        <f t="shared" si="113"/>
        <v>#DIV/0!</v>
      </c>
      <c r="FL73" s="7" t="e">
        <f t="shared" si="124"/>
        <v>#DIV/0!</v>
      </c>
      <c r="FM73" t="e">
        <f t="shared" si="114"/>
        <v>#DIV/0!</v>
      </c>
      <c r="FN73" s="8" t="e">
        <f t="shared" si="115"/>
        <v>#DIV/0!</v>
      </c>
      <c r="FO73" s="8" t="e">
        <f t="shared" si="116"/>
        <v>#DIV/0!</v>
      </c>
      <c r="FP73" s="151" t="e">
        <f t="shared" si="117"/>
        <v>#DIV/0!</v>
      </c>
      <c r="FQ73" s="144" t="e">
        <f t="shared" ca="1" si="125"/>
        <v>#N/A</v>
      </c>
      <c r="FR73" s="152" t="e" vm="3">
        <f t="shared" ca="1" si="131"/>
        <v>#VALUE!</v>
      </c>
      <c r="FS73" s="7" t="e" vm="3">
        <f t="shared" ca="1" si="126"/>
        <v>#VALUE!</v>
      </c>
      <c r="FT73" t="e" vm="3">
        <f t="shared" ca="1" si="120"/>
        <v>#VALUE!</v>
      </c>
      <c r="FU73" s="8" t="e" vm="3">
        <f t="shared" ca="1" si="121"/>
        <v>#VALUE!</v>
      </c>
      <c r="FV73" s="8" t="e" vm="3">
        <f t="shared" ca="1" si="122"/>
        <v>#VALUE!</v>
      </c>
      <c r="FW73" s="151" t="e" vm="3">
        <f t="shared" ca="1" si="123"/>
        <v>#VALUE!</v>
      </c>
      <c r="FX73" s="144" t="e">
        <f t="shared" si="127"/>
        <v>#N/A</v>
      </c>
      <c r="FY73" s="152" t="e">
        <f t="shared" si="132"/>
        <v>#N/A</v>
      </c>
      <c r="FZ73" s="7" t="e">
        <f t="shared" si="128"/>
        <v>#N/A</v>
      </c>
      <c r="GA73" t="e">
        <f t="shared" si="133"/>
        <v>#N/A</v>
      </c>
      <c r="GB73" s="8" t="e">
        <f t="shared" si="134"/>
        <v>#N/A</v>
      </c>
      <c r="GC73" s="8" t="e">
        <f t="shared" si="135"/>
        <v>#N/A</v>
      </c>
      <c r="GD73" s="151" t="e">
        <f t="shared" si="136"/>
        <v>#N/A</v>
      </c>
      <c r="GE73" s="144" t="e">
        <f t="shared" si="137"/>
        <v>#N/A</v>
      </c>
      <c r="GF73" s="152" t="e">
        <f t="shared" si="138"/>
        <v>#N/A</v>
      </c>
      <c r="GG73" s="7" t="e">
        <f t="shared" si="129"/>
        <v>#N/A</v>
      </c>
      <c r="GH73" t="e">
        <f t="shared" si="139"/>
        <v>#N/A</v>
      </c>
      <c r="GI73" s="8" t="e">
        <f t="shared" si="140"/>
        <v>#N/A</v>
      </c>
      <c r="GJ73" s="8" t="e">
        <f t="shared" si="141"/>
        <v>#N/A</v>
      </c>
      <c r="GK73" s="151" t="e">
        <f t="shared" si="142"/>
        <v>#N/A</v>
      </c>
      <c r="GL73" s="151"/>
      <c r="GM73" s="151"/>
      <c r="GP73" s="54">
        <f t="shared" si="81"/>
        <v>63</v>
      </c>
      <c r="GQ73" s="54">
        <f t="shared" si="82"/>
        <v>64</v>
      </c>
      <c r="GR73" s="54">
        <f t="shared" si="83"/>
        <v>-1.5810490868765557</v>
      </c>
      <c r="GS73" s="54">
        <f t="shared" si="84"/>
        <v>0.11431509630296084</v>
      </c>
      <c r="GT73" s="54" t="e">
        <f t="shared" si="85"/>
        <v>#N/A</v>
      </c>
      <c r="GU73" s="54" t="e">
        <f t="shared" si="86"/>
        <v>#N/A</v>
      </c>
      <c r="GV73" s="54" t="e">
        <f t="shared" si="87"/>
        <v>#N/A</v>
      </c>
      <c r="GW73" s="54" t="b">
        <f t="shared" si="88"/>
        <v>0</v>
      </c>
      <c r="GX73" s="54" t="b">
        <f t="shared" si="89"/>
        <v>1</v>
      </c>
      <c r="GY73" s="54" t="b">
        <f t="shared" si="90"/>
        <v>0</v>
      </c>
      <c r="GZ73" s="54" t="b">
        <f t="shared" si="91"/>
        <v>1</v>
      </c>
      <c r="HA73" s="54">
        <f t="shared" si="92"/>
        <v>0.11431509630296084</v>
      </c>
      <c r="HB73" s="54" t="e">
        <f t="shared" si="93"/>
        <v>#N/A</v>
      </c>
      <c r="HC73" s="54">
        <f t="shared" si="94"/>
        <v>0.11431509630296084</v>
      </c>
      <c r="HD73" s="69" t="str">
        <f t="shared" si="95"/>
        <v/>
      </c>
      <c r="HJ73" s="54">
        <f t="shared" si="96"/>
        <v>63</v>
      </c>
      <c r="HK73" s="54">
        <f t="shared" si="97"/>
        <v>64</v>
      </c>
      <c r="HL73" s="54">
        <f t="shared" si="98"/>
        <v>-2.4482877169777515</v>
      </c>
      <c r="HM73" s="54" t="e">
        <f t="shared" si="99"/>
        <v>#N/A</v>
      </c>
      <c r="HN73" s="54">
        <f t="shared" si="100"/>
        <v>3.2423263296291388E-2</v>
      </c>
      <c r="HO73" s="54" t="e">
        <f t="shared" si="101"/>
        <v>#N/A</v>
      </c>
      <c r="HP73" s="54" t="e">
        <f t="shared" si="102"/>
        <v>#N/A</v>
      </c>
      <c r="HQ73" s="54" t="b">
        <f t="shared" si="103"/>
        <v>1</v>
      </c>
      <c r="HR73" s="54" t="b">
        <f t="shared" si="104"/>
        <v>0</v>
      </c>
      <c r="HS73" s="54" t="b">
        <f t="shared" si="105"/>
        <v>1</v>
      </c>
      <c r="HT73" s="54" t="b">
        <f t="shared" si="106"/>
        <v>0</v>
      </c>
      <c r="HU73" s="54">
        <f t="shared" si="107"/>
        <v>3.2423263296291388E-2</v>
      </c>
      <c r="HV73" s="54">
        <f t="shared" si="108"/>
        <v>3.2423263296291388E-2</v>
      </c>
      <c r="HW73" s="54" t="e">
        <f t="shared" si="109"/>
        <v>#N/A</v>
      </c>
      <c r="HX73" s="69" t="str">
        <f t="shared" si="110"/>
        <v/>
      </c>
    </row>
    <row r="74" spans="1:232" x14ac:dyDescent="0.2">
      <c r="BZ74" s="54">
        <f t="shared" ref="BZ74:BZ137" si="143">ROW(BZ74)-ROW(BZ$10)</f>
        <v>64</v>
      </c>
      <c r="CA74" s="54">
        <f>Eu_tabel_g[[#This Row],[Indeks]]+1</f>
        <v>65</v>
      </c>
      <c r="CB74" s="54">
        <f t="shared" ref="CB74:CB137" si="144">CB$5+(CB$7-CB$5)/CB$3*BZ74</f>
        <v>-1.5570937976814563</v>
      </c>
      <c r="CC74" s="54">
        <f t="shared" ref="CC74:CC137" si="145">IF(CC$3,_xlfn.NORM.DIST(CB74,CC$5,CC$7,FALSE),NA())</f>
        <v>0.11869369681429402</v>
      </c>
      <c r="CD74" s="54" t="e">
        <f t="shared" ref="CD74:CD137" si="146">IF(CD$3,_xlfn.T.DIST(CB74,CD$5,FALSE),NA())</f>
        <v>#N/A</v>
      </c>
      <c r="CE74" s="54" t="e">
        <f t="shared" ref="CE74:CE137" si="147">IF(CE$3,_xlfn.CHISQ.DIST(CB74,CE$5,FALSE),NA())</f>
        <v>#N/A</v>
      </c>
      <c r="CF74" s="54" t="e">
        <f t="shared" ref="CF74:CF137" si="148">IF(CF$3,_xlfn.F.DIST(CB74,CF$5,CF$7,FALSE),NA())</f>
        <v>#N/A</v>
      </c>
      <c r="CG74" s="54" t="b">
        <f t="shared" ref="CG74:CG137" si="149">CB74&lt;CG$3</f>
        <v>0</v>
      </c>
      <c r="CH74" s="54" t="b">
        <f t="shared" ref="CH74:CH137" si="150">CB74&gt;CG$3</f>
        <v>1</v>
      </c>
      <c r="CI74" s="54" t="b">
        <f t="shared" ref="CI74:CI137" si="151">OR(CB74&lt;CI$3,CB74&gt;CI$5)</f>
        <v>0</v>
      </c>
      <c r="CJ74" s="54" t="b">
        <f t="shared" ref="CJ74:CJ137" si="152">AND(CB74&gt;CI$3,CB74&lt;CI$5)</f>
        <v>1</v>
      </c>
      <c r="CK74" s="54">
        <f t="shared" si="119"/>
        <v>0.11869369681429402</v>
      </c>
      <c r="CL74" s="54" t="e">
        <f t="shared" ref="CL74:CL137" si="153">IF(INDEX(CG74:CJ74,CK$7),CK74,NA())</f>
        <v>#N/A</v>
      </c>
      <c r="CM74" s="54">
        <f t="shared" ref="CM74:CM137" si="154">IF(INDEX(CG74:CJ74,CL$7),CK74,NA())</f>
        <v>0.11869369681429402</v>
      </c>
      <c r="CN74" s="69" t="str">
        <f t="shared" ref="CN74:CN137" si="155">_xlfn.SWITCH(BZ74,CN$2,CN$5,CN$3,CN$6,CN$4,CN$7,"")</f>
        <v/>
      </c>
      <c r="CO74" s="54">
        <f>_xlfn.NORM.DIST(_xlfn.NORM.INV(1-Eu_g_konfidensniveau,0,1)-Eu_tabel_g[[#This Row],[x base]],0,1,TRUE)</f>
        <v>0.46503378306270904</v>
      </c>
      <c r="CP74" s="54">
        <f>1-_xlfn.NORM.DIST(_xlfn.NORM.INV(Eu_g_konfidensniveau,0,1)-Eu_tabel_g[[#This Row],[x base]],0,1,TRUE)</f>
        <v>6.8250954524728957E-4</v>
      </c>
      <c r="CQ74" s="54">
        <f>_xlfn.NORM.DIST(_xlfn.NORM.INV((1-Eu_g_konfidensniveau)/2,0,1)-Eu_tabel_g[[#This Row],[x base]],0,1,TRUE)+1-_xlfn.NORM.DIST(_xlfn.NORM.INV(1-(1-Eu_g_konfidensniveau)/2,0,1)-Eu_tabel_g[[#This Row],[x base]],0,1,TRUE)</f>
        <v>0.34374004164020988</v>
      </c>
      <c r="CR74" s="54" t="e" cm="1">
        <f t="array" ref="CR74">IF($CR$3,INDEX(Eu_tabel_g[[#This Row],[Styrke venstre]:[Styrke tosidet]],CR$7),NA())</f>
        <v>#N/A</v>
      </c>
      <c r="CS74" s="89" t="e">
        <f>Eu_tabel_g[[#This Row],[Falsk positiv
Nulhypotese accepteres
Fejltype 1]]</f>
        <v>#N/A</v>
      </c>
      <c r="CT74" s="89" t="e">
        <f>IF(CHOOSE(CR$7,Eu_tabel_g[[#This Row],[x base]]&gt;0,Eu_tabel_g[[#This Row],[x base]]&lt;0,Eu_tabel_g[[#This Row],[x base]]=0),Eu_tabel_g[[#This Row],[Styrke, aktiv]],NA())</f>
        <v>#N/A</v>
      </c>
      <c r="CU74" s="89" t="e">
        <f>IFERROR(IF($CR$3,Eu_tabel_g[[#This Row],[Styrke, aktiv]],NA()),NA())</f>
        <v>#N/A</v>
      </c>
      <c r="CV74" s="89" t="e">
        <f>IF(ISNA(Eu_tabel_g[[#This Row],[Sand negativ
Nulhypotese afvises
Korrekt]]),NA(),IF($CR$3,1,NA()))</f>
        <v>#N/A</v>
      </c>
      <c r="CW74" s="56" t="str" cm="1">
        <f t="array" ref="CW74">_xlfn.SWITCH(BZ74,_xlfn.IFNA(CU$2,-99),CU$5,_xlfn.IFNA(CU$3,-99),CU$6,_xlfn.IFNA(CU$4,-99),CU$7,"")</f>
        <v/>
      </c>
      <c r="DA74" s="7">
        <f t="shared" ref="DA74:DA137" si="156">_xlfn.NORM.DIST(_xlfn.NORM.INV((1-Eu_g_konfidensniveau)/2,0,1)-DB74,0,1,TRUE)+1-_xlfn.NORM.DIST(_xlfn.NORM.INV(1-(1-Eu_g_konfidensniveau)/2,0,1)-DB74,0,1,TRUE)</f>
        <v>0.8</v>
      </c>
      <c r="DB74">
        <f>IF(ROW(Styrkeberegning_G[[#This Row],[X base venstre]])=ROW(Styrkeberegning_G[[#Headers],[X base venstre]])+1,DB$7/(DA$7/$B$67),DB73/(DA73/$B$67))</f>
        <v>-2.8015817870135784</v>
      </c>
      <c r="DC74">
        <f>Styrkeberegning_G[[#This Row],[X base venstre]]*-1</f>
        <v>2.8015817870135784</v>
      </c>
      <c r="DN74" s="54">
        <f t="shared" ref="DN74:DN137" si="157">ROW(DN74)-ROW(DN$10)</f>
        <v>64</v>
      </c>
      <c r="DO74" s="54">
        <f t="shared" ref="DO74:DO137" si="158">DN74+1</f>
        <v>65</v>
      </c>
      <c r="DP74" s="54">
        <f t="shared" ref="DP74:DP137" si="159">DP$5+(DP$7-DP$5)/DP$3*DN74</f>
        <v>9.1343874753417538</v>
      </c>
      <c r="DQ74" s="54" t="e">
        <f t="shared" ref="DQ74:DQ137" si="160">IF(DQ$3,_xlfn.NORM.DIST(DP74,DQ$5,DQ$7,FALSE),NA())</f>
        <v>#N/A</v>
      </c>
      <c r="DR74" s="54" t="e">
        <f t="shared" ref="DR74:DR137" si="161">IF(DR$3,_xlfn.T.DIST(DP74,DR$5,FALSE),NA())</f>
        <v>#N/A</v>
      </c>
      <c r="DS74" s="54">
        <f t="shared" ref="DS74:DS137" si="162">IF(DS$3,_xlfn.CHISQ.DIST(DP74,DS$5,FALSE),NA())</f>
        <v>9.226323010835695E-2</v>
      </c>
      <c r="DT74" s="54" t="e">
        <f t="shared" ref="DT74:DT137" si="163">IF(DT$3,_xlfn.F.DIST(DP74,DT$5,DT$7,FALSE),NA())</f>
        <v>#N/A</v>
      </c>
      <c r="DU74" s="54" t="b">
        <f t="shared" ref="DU74:DU137" si="164">DP74&lt;DU$3</f>
        <v>0</v>
      </c>
      <c r="DV74" s="54" t="b">
        <f t="shared" ref="DV74:DV137" si="165">DP74&gt;DU$3</f>
        <v>1</v>
      </c>
      <c r="DW74" s="54" t="b">
        <f t="shared" ref="DW74:DW137" si="166">OR(DP74&lt;DW$3,DP74&gt;DW$5)</f>
        <v>0</v>
      </c>
      <c r="DX74" s="54" t="b">
        <f t="shared" ref="DX74:DX137" si="167">AND(DP74&gt;DW$3,DP74&lt;DW$5)</f>
        <v>1</v>
      </c>
      <c r="DY74" s="54">
        <f t="shared" ref="DY74:DY137" si="168">_xlfn.AGGREGATE(9,6,DQ74:DT74)</f>
        <v>9.226323010835695E-2</v>
      </c>
      <c r="DZ74" s="54" t="e">
        <f t="shared" ref="DZ74:DZ137" si="169">IF(INDEX(DU74:DX74,DY$7),DY74,NA())</f>
        <v>#N/A</v>
      </c>
      <c r="EA74" s="54">
        <f t="shared" ref="EA74:EA137" si="170">IF(INDEX(DU74:DX74,DZ$7),DY74,NA())</f>
        <v>9.226323010835695E-2</v>
      </c>
      <c r="EB74" s="69" t="str">
        <f t="shared" ref="EB74:EB137" si="171">_xlfn.SWITCH(DN74,EB$2,EB$5,EB$3,EB$6,EB$4,EB$7,"")</f>
        <v/>
      </c>
      <c r="EG74" s="54">
        <f t="shared" ref="EG74:EG137" si="172">ROW(EG74)-ROW(EG$10)</f>
        <v>64</v>
      </c>
      <c r="EH74" s="54">
        <f t="shared" ref="EH74:EH137" si="173">EG74+1</f>
        <v>65</v>
      </c>
      <c r="EI74" s="54">
        <f t="shared" ref="EI74:EI137" si="174">EI$5+(EI$7-EI$5)/EI$3*EG74</f>
        <v>-1.5570937976814563</v>
      </c>
      <c r="EJ74" s="54">
        <f t="shared" ref="EJ74:EJ137" si="175">IF(EJ$3,_xlfn.NORM.DIST(EI74,EJ$5,EJ$7,FALSE),NA())</f>
        <v>0.11869369681429402</v>
      </c>
      <c r="EK74" s="54" t="e">
        <f t="shared" ref="EK74:EK137" si="176">IF(EK$3,_xlfn.T.DIST(EI74,EK$5,FALSE),NA())</f>
        <v>#N/A</v>
      </c>
      <c r="EL74" s="54" t="e">
        <f t="shared" ref="EL74:EL137" si="177">IF(EL$3,_xlfn.CHISQ.DIST(EI74,EL$5,FALSE),NA())</f>
        <v>#N/A</v>
      </c>
      <c r="EM74" s="54" t="e">
        <f t="shared" ref="EM74:EM137" si="178">IF(EM$3,_xlfn.F.DIST(EI74,EM$5,EM$7,FALSE),NA())</f>
        <v>#N/A</v>
      </c>
      <c r="EN74" s="54" t="b">
        <f t="shared" ref="EN74:EN137" si="179">EI74&lt;EN$3</f>
        <v>0</v>
      </c>
      <c r="EO74" s="54" t="b">
        <f t="shared" ref="EO74:EO137" si="180">EI74&gt;EN$3</f>
        <v>1</v>
      </c>
      <c r="EP74" s="54" t="b">
        <f t="shared" ref="EP74:EP137" si="181">OR(EI74&lt;EP$3,EI74&gt;EP$5)</f>
        <v>0</v>
      </c>
      <c r="EQ74" s="54" t="b">
        <f t="shared" ref="EQ74:EQ137" si="182">AND(EI74&gt;EP$3,EI74&lt;EP$5)</f>
        <v>1</v>
      </c>
      <c r="ER74" s="54">
        <f t="shared" ref="ER74:ER137" si="183">_xlfn.AGGREGATE(9,6,EJ74:EM74)</f>
        <v>0.11869369681429402</v>
      </c>
      <c r="ES74" s="54" t="e">
        <f t="shared" ref="ES74:ES137" si="184">IF(INDEX(EN74:EQ74,ER$7),ER74,NA())</f>
        <v>#N/A</v>
      </c>
      <c r="ET74" s="54">
        <f t="shared" ref="ET74:ET137" si="185">IF(INDEX(EN74:EQ74,ES$7),ER74,NA())</f>
        <v>0.11869369681429402</v>
      </c>
      <c r="EU74" s="69" t="str">
        <f t="shared" ref="EU74:EU137" si="186">_xlfn.SWITCH(EG74,EU$2,EU$5,EU$3,EU$6,EU$4,EU$7,"")</f>
        <v/>
      </c>
      <c r="EV7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7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7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74" s="54" t="e" cm="1">
        <f t="array" ref="EY74">IF($CR$3,INDEX(Eu_tabel_a[[#This Row],[Styrke venstre]:[Styrke tosidet]],EY$7),NA())</f>
        <v>#N/A</v>
      </c>
      <c r="EZ74" s="54" t="e">
        <f>IF(EY$3,IF(CHOOSE(EY$7,Eu_tabel_a[[#This Row],[x base]]&gt;0,Eu_tabel_a[[#This Row],[x base]]&lt;0,Eu_tabel_a[[#This Row],[x base]]=0),1,NA()),NA())</f>
        <v>#N/A</v>
      </c>
      <c r="FA74" s="54" t="e">
        <f>IF(CHOOSE(EY$7,Eu_tabel_a[[#This Row],[x base]]&gt;0,Eu_tabel_a[[#This Row],[x base]]&lt;0,Eu_tabel_a[[#This Row],[x base]]=0),Eu_tabel_a[[#This Row],[Styrke, aktiv]],NA())</f>
        <v>#N/A</v>
      </c>
      <c r="FB74" s="54" t="e">
        <f>IFERROR(IF($EY$3,Eu_tabel_a[[#This Row],[Styrke, aktiv]],NA()),NA())</f>
        <v>#N/A</v>
      </c>
      <c r="FC74" s="54" t="e">
        <f>IF(ISNA(Eu_tabel_a[[#This Row],[Sand negativ
Nulhypotese afvises
Korrekt]]),NA(),IF(EY$3,1,NA()))</f>
        <v>#N/A</v>
      </c>
      <c r="FD74" s="55" t="str" cm="1">
        <f t="array" ref="FD74">IFERROR(_xlfn.SWITCH(Eu_tabel_a[[#This Row],[Indeks]],_xlfn.IFNA(FB$2,-99),FB$5,_xlfn.IFNA(FB$3,-99),FB$6,_xlfn.IFNA(FB$4,-99),FB$7,""),"")</f>
        <v/>
      </c>
      <c r="FE74" s="54">
        <f>Eu_tabel_a[[#This Row],[x base]]*SQRT(Eu_a_h0_x*(1-Eu_a_h0_x)/Eu_a_n_x)+Eu_a_h0_x</f>
        <v>0</v>
      </c>
      <c r="FJ74" s="144" t="e">
        <f t="shared" si="130"/>
        <v>#N/A</v>
      </c>
      <c r="FK74" s="152" t="e">
        <f t="shared" si="113"/>
        <v>#DIV/0!</v>
      </c>
      <c r="FL74" s="7" t="e">
        <f t="shared" si="124"/>
        <v>#DIV/0!</v>
      </c>
      <c r="FM74" t="e">
        <f t="shared" si="114"/>
        <v>#DIV/0!</v>
      </c>
      <c r="FN74" s="8" t="e">
        <f t="shared" si="115"/>
        <v>#DIV/0!</v>
      </c>
      <c r="FO74" s="8" t="e">
        <f t="shared" si="116"/>
        <v>#DIV/0!</v>
      </c>
      <c r="FP74" s="151" t="e">
        <f t="shared" si="117"/>
        <v>#DIV/0!</v>
      </c>
      <c r="FQ74" s="144" t="e">
        <f t="shared" ca="1" si="125"/>
        <v>#N/A</v>
      </c>
      <c r="FR74" s="152" t="e" vm="3">
        <f t="shared" ca="1" si="131"/>
        <v>#VALUE!</v>
      </c>
      <c r="FS74" s="7" t="e" vm="3">
        <f t="shared" ca="1" si="126"/>
        <v>#VALUE!</v>
      </c>
      <c r="FT74" t="e" vm="3">
        <f t="shared" ca="1" si="120"/>
        <v>#VALUE!</v>
      </c>
      <c r="FU74" s="8" t="e" vm="3">
        <f t="shared" ca="1" si="121"/>
        <v>#VALUE!</v>
      </c>
      <c r="FV74" s="8" t="e" vm="3">
        <f t="shared" ca="1" si="122"/>
        <v>#VALUE!</v>
      </c>
      <c r="FW74" s="151" t="e" vm="3">
        <f t="shared" ca="1" si="123"/>
        <v>#VALUE!</v>
      </c>
      <c r="FX74" s="144" t="e">
        <f t="shared" si="127"/>
        <v>#N/A</v>
      </c>
      <c r="FY74" s="152" t="e">
        <f t="shared" si="132"/>
        <v>#N/A</v>
      </c>
      <c r="FZ74" s="7" t="e">
        <f t="shared" si="128"/>
        <v>#N/A</v>
      </c>
      <c r="GA74" t="e">
        <f t="shared" si="133"/>
        <v>#N/A</v>
      </c>
      <c r="GB74" s="8" t="e">
        <f t="shared" si="134"/>
        <v>#N/A</v>
      </c>
      <c r="GC74" s="8" t="e">
        <f t="shared" si="135"/>
        <v>#N/A</v>
      </c>
      <c r="GD74" s="151" t="e">
        <f t="shared" si="136"/>
        <v>#N/A</v>
      </c>
      <c r="GE74" s="144" t="e">
        <f t="shared" si="137"/>
        <v>#N/A</v>
      </c>
      <c r="GF74" s="152" t="e">
        <f t="shared" si="138"/>
        <v>#N/A</v>
      </c>
      <c r="GG74" s="7" t="e">
        <f t="shared" si="129"/>
        <v>#N/A</v>
      </c>
      <c r="GH74" t="e">
        <f t="shared" si="139"/>
        <v>#N/A</v>
      </c>
      <c r="GI74" s="8" t="e">
        <f t="shared" si="140"/>
        <v>#N/A</v>
      </c>
      <c r="GJ74" s="8" t="e">
        <f t="shared" si="141"/>
        <v>#N/A</v>
      </c>
      <c r="GK74" s="151" t="e">
        <f t="shared" si="142"/>
        <v>#N/A</v>
      </c>
      <c r="GL74" s="151"/>
      <c r="GM74" s="151"/>
      <c r="GP74" s="54">
        <f t="shared" ref="GP74:GP137" si="187">ROW(GP74)-ROW(GP$10)</f>
        <v>64</v>
      </c>
      <c r="GQ74" s="54">
        <f t="shared" ref="GQ74:GQ137" si="188">GP74+1</f>
        <v>65</v>
      </c>
      <c r="GR74" s="54">
        <f t="shared" ref="GR74:GR137" si="189">GR$5+(GR$7-GR$5)/GR$3*GP74</f>
        <v>-1.5570937976814563</v>
      </c>
      <c r="GS74" s="54">
        <f t="shared" ref="GS74:GS137" si="190">IF(GS$3,_xlfn.NORM.DIST(GR74,GS$5,GS$7,FALSE),NA())</f>
        <v>0.11869369681429402</v>
      </c>
      <c r="GT74" s="54" t="e">
        <f t="shared" ref="GT74:GT137" si="191">IF(GT$3,_xlfn.T.DIST(GR74,GT$5,FALSE),NA())</f>
        <v>#N/A</v>
      </c>
      <c r="GU74" s="54" t="e">
        <f t="shared" ref="GU74:GU137" si="192">IF(GU$3,_xlfn.CHISQ.DIST(GR74,GU$5,FALSE),NA())</f>
        <v>#N/A</v>
      </c>
      <c r="GV74" s="54" t="e">
        <f t="shared" ref="GV74:GV137" si="193">IF(GV$3,_xlfn.F.DIST(GR74,GV$5,GV$7,FALSE),NA())</f>
        <v>#N/A</v>
      </c>
      <c r="GW74" s="54" t="b">
        <f t="shared" ref="GW74:GW137" si="194">GR74&lt;GW$3</f>
        <v>0</v>
      </c>
      <c r="GX74" s="54" t="b">
        <f t="shared" ref="GX74:GX137" si="195">GR74&gt;GW$3</f>
        <v>1</v>
      </c>
      <c r="GY74" s="54" t="b">
        <f t="shared" ref="GY74:GY137" si="196">OR(GR74&lt;GY$3,GR74&gt;GY$5)</f>
        <v>0</v>
      </c>
      <c r="GZ74" s="54" t="b">
        <f t="shared" ref="GZ74:GZ137" si="197">AND(GR74&gt;GY$3,GR74&lt;GY$5)</f>
        <v>1</v>
      </c>
      <c r="HA74" s="54">
        <f t="shared" ref="HA74:HA137" si="198">_xlfn.AGGREGATE(9,6,GS74:GV74)</f>
        <v>0.11869369681429402</v>
      </c>
      <c r="HB74" s="54" t="e">
        <f t="shared" ref="HB74:HB137" si="199">IF(INDEX(GW74:GZ74,HA$7),HA74,NA())</f>
        <v>#N/A</v>
      </c>
      <c r="HC74" s="54">
        <f t="shared" ref="HC74:HC137" si="200">IF(INDEX(GW74:GZ74,HB$7),HA74,NA())</f>
        <v>0.11869369681429402</v>
      </c>
      <c r="HD74" s="69" t="str">
        <f t="shared" ref="HD74:HD137" si="201">_xlfn.SWITCH(GP74,HD$2,HD$5,HD$3,HD$6,HD$4,HD$7,"")</f>
        <v/>
      </c>
      <c r="HJ74" s="54">
        <f t="shared" ref="HJ74:HJ137" si="202">ROW(HJ74)-ROW(HJ$10)</f>
        <v>64</v>
      </c>
      <c r="HK74" s="54">
        <f t="shared" ref="HK74:HK137" si="203">HJ74+1</f>
        <v>65</v>
      </c>
      <c r="HL74" s="54">
        <f t="shared" ref="HL74:HL137" si="204">HL$5+(HL$7-HL$5)/HL$3*HJ74</f>
        <v>-2.4111924485386949</v>
      </c>
      <c r="HM74" s="54" t="e">
        <f t="shared" ref="HM74:HM137" si="205">IF(HM$3,_xlfn.NORM.DIST(HL74,HM$5,HM$7,FALSE),NA())</f>
        <v>#N/A</v>
      </c>
      <c r="HN74" s="54">
        <f t="shared" ref="HN74:HN137" si="206">IF(HN$3,_xlfn.T.DIST(HL74,HN$5,FALSE),NA())</f>
        <v>3.428663268349693E-2</v>
      </c>
      <c r="HO74" s="54" t="e">
        <f t="shared" ref="HO74:HO137" si="207">IF(HO$3,_xlfn.CHISQ.DIST(HL74,HO$5,FALSE),NA())</f>
        <v>#N/A</v>
      </c>
      <c r="HP74" s="54" t="e">
        <f t="shared" ref="HP74:HP137" si="208">IF(HP$3,_xlfn.F.DIST(HL74,HP$5,HP$7,FALSE),NA())</f>
        <v>#N/A</v>
      </c>
      <c r="HQ74" s="54" t="b">
        <f t="shared" ref="HQ74:HQ137" si="209">HL74&lt;HQ$3</f>
        <v>1</v>
      </c>
      <c r="HR74" s="54" t="b">
        <f t="shared" ref="HR74:HR137" si="210">HL74&gt;HQ$3</f>
        <v>0</v>
      </c>
      <c r="HS74" s="54" t="b">
        <f t="shared" ref="HS74:HS137" si="211">OR(HL74&lt;HS$3,HL74&gt;HS$5)</f>
        <v>1</v>
      </c>
      <c r="HT74" s="54" t="b">
        <f t="shared" ref="HT74:HT137" si="212">AND(HL74&gt;HS$3,HL74&lt;HS$5)</f>
        <v>0</v>
      </c>
      <c r="HU74" s="54">
        <f t="shared" ref="HU74:HU137" si="213">_xlfn.AGGREGATE(9,6,HM74:HP74)</f>
        <v>3.428663268349693E-2</v>
      </c>
      <c r="HV74" s="54">
        <f t="shared" ref="HV74:HV137" si="214">IF(INDEX(HQ74:HT74,HU$7),HU74,NA())</f>
        <v>3.428663268349693E-2</v>
      </c>
      <c r="HW74" s="54" t="e">
        <f t="shared" ref="HW74:HW137" si="215">IF(INDEX(HQ74:HT74,HV$7),HU74,NA())</f>
        <v>#N/A</v>
      </c>
      <c r="HX74" s="69" t="str">
        <f t="shared" ref="HX74:HX137" si="216">_xlfn.SWITCH(HJ74,HX$2,HX$5,HX$3,HX$6,HX$4,HX$7,"")</f>
        <v/>
      </c>
    </row>
    <row r="75" spans="1:232" x14ac:dyDescent="0.2">
      <c r="BZ75" s="54">
        <f t="shared" si="143"/>
        <v>65</v>
      </c>
      <c r="CA75" s="54">
        <f>Eu_tabel_g[[#This Row],[Indeks]]+1</f>
        <v>66</v>
      </c>
      <c r="CB75" s="54">
        <f t="shared" si="144"/>
        <v>-1.5331385084863569</v>
      </c>
      <c r="CC75" s="54">
        <f t="shared" si="145"/>
        <v>0.12316930873768142</v>
      </c>
      <c r="CD75" s="54" t="e">
        <f t="shared" si="146"/>
        <v>#N/A</v>
      </c>
      <c r="CE75" s="54" t="e">
        <f t="shared" si="147"/>
        <v>#N/A</v>
      </c>
      <c r="CF75" s="54" t="e">
        <f t="shared" si="148"/>
        <v>#N/A</v>
      </c>
      <c r="CG75" s="54" t="b">
        <f t="shared" si="149"/>
        <v>0</v>
      </c>
      <c r="CH75" s="54" t="b">
        <f t="shared" si="150"/>
        <v>1</v>
      </c>
      <c r="CI75" s="54" t="b">
        <f t="shared" si="151"/>
        <v>0</v>
      </c>
      <c r="CJ75" s="54" t="b">
        <f t="shared" si="152"/>
        <v>1</v>
      </c>
      <c r="CK75" s="54">
        <f t="shared" si="119"/>
        <v>0.12316930873768142</v>
      </c>
      <c r="CL75" s="54" t="e">
        <f t="shared" si="153"/>
        <v>#N/A</v>
      </c>
      <c r="CM75" s="54">
        <f t="shared" si="154"/>
        <v>0.12316930873768142</v>
      </c>
      <c r="CN75" s="69" t="str">
        <f t="shared" si="155"/>
        <v/>
      </c>
      <c r="CO75" s="54">
        <f>_xlfn.NORM.DIST(_xlfn.NORM.INV(1-Eu_g_konfidensniveau,0,1)-Eu_tabel_g[[#This Row],[x base]],0,1,TRUE)</f>
        <v>0.45552464578503599</v>
      </c>
      <c r="CP75" s="54">
        <f>1-_xlfn.NORM.DIST(_xlfn.NORM.INV(Eu_g_konfidensniveau,0,1)-Eu_tabel_g[[#This Row],[x base]],0,1,TRUE)</f>
        <v>7.4149386699196018E-4</v>
      </c>
      <c r="CQ75" s="54">
        <f>_xlfn.NORM.DIST(_xlfn.NORM.INV((1-Eu_g_konfidensniveau)/2,0,1)-Eu_tabel_g[[#This Row],[x base]],0,1,TRUE)+1-_xlfn.NORM.DIST(_xlfn.NORM.INV(1-(1-Eu_g_konfidensniveau)/2,0,1)-Eu_tabel_g[[#This Row],[x base]],0,1,TRUE)</f>
        <v>0.33499194621031891</v>
      </c>
      <c r="CR75" s="54" t="e" cm="1">
        <f t="array" ref="CR75">IF($CR$3,INDEX(Eu_tabel_g[[#This Row],[Styrke venstre]:[Styrke tosidet]],CR$7),NA())</f>
        <v>#N/A</v>
      </c>
      <c r="CS75" s="89" t="e">
        <f>Eu_tabel_g[[#This Row],[Falsk positiv
Nulhypotese accepteres
Fejltype 1]]</f>
        <v>#N/A</v>
      </c>
      <c r="CT75" s="89" t="e">
        <f>IF(CHOOSE(CR$7,Eu_tabel_g[[#This Row],[x base]]&gt;0,Eu_tabel_g[[#This Row],[x base]]&lt;0,Eu_tabel_g[[#This Row],[x base]]=0),Eu_tabel_g[[#This Row],[Styrke, aktiv]],NA())</f>
        <v>#N/A</v>
      </c>
      <c r="CU75" s="89" t="e">
        <f>IFERROR(IF($CR$3,Eu_tabel_g[[#This Row],[Styrke, aktiv]],NA()),NA())</f>
        <v>#N/A</v>
      </c>
      <c r="CV75" s="89" t="e">
        <f>IF(ISNA(Eu_tabel_g[[#This Row],[Sand negativ
Nulhypotese afvises
Korrekt]]),NA(),IF($CR$3,1,NA()))</f>
        <v>#N/A</v>
      </c>
      <c r="CW75" s="56" t="str" cm="1">
        <f t="array" ref="CW75">_xlfn.SWITCH(BZ75,_xlfn.IFNA(CU$2,-99),CU$5,_xlfn.IFNA(CU$3,-99),CU$6,_xlfn.IFNA(CU$4,-99),CU$7,"")</f>
        <v/>
      </c>
      <c r="DA75" s="7">
        <f t="shared" si="156"/>
        <v>0.8</v>
      </c>
      <c r="DB75">
        <f>IF(ROW(Styrkeberegning_G[[#This Row],[X base venstre]])=ROW(Styrkeberegning_G[[#Headers],[X base venstre]])+1,DB$7/(DA$7/$B$67),DB74/(DA74/$B$67))</f>
        <v>-2.8015817870135784</v>
      </c>
      <c r="DC75">
        <f>Styrkeberegning_G[[#This Row],[X base venstre]]*-1</f>
        <v>2.8015817870135784</v>
      </c>
      <c r="DN75" s="54">
        <f t="shared" si="157"/>
        <v>65</v>
      </c>
      <c r="DO75" s="54">
        <f t="shared" si="158"/>
        <v>66</v>
      </c>
      <c r="DP75" s="54">
        <f t="shared" si="159"/>
        <v>9.248458331758755</v>
      </c>
      <c r="DQ75" s="54" t="e">
        <f t="shared" si="160"/>
        <v>#N/A</v>
      </c>
      <c r="DR75" s="54" t="e">
        <f t="shared" si="161"/>
        <v>#N/A</v>
      </c>
      <c r="DS75" s="54">
        <f t="shared" si="162"/>
        <v>9.2153767802551093E-2</v>
      </c>
      <c r="DT75" s="54" t="e">
        <f t="shared" si="163"/>
        <v>#N/A</v>
      </c>
      <c r="DU75" s="54" t="b">
        <f t="shared" si="164"/>
        <v>0</v>
      </c>
      <c r="DV75" s="54" t="b">
        <f t="shared" si="165"/>
        <v>1</v>
      </c>
      <c r="DW75" s="54" t="b">
        <f t="shared" si="166"/>
        <v>0</v>
      </c>
      <c r="DX75" s="54" t="b">
        <f t="shared" si="167"/>
        <v>1</v>
      </c>
      <c r="DY75" s="54">
        <f t="shared" si="168"/>
        <v>9.2153767802551093E-2</v>
      </c>
      <c r="DZ75" s="54" t="e">
        <f t="shared" si="169"/>
        <v>#N/A</v>
      </c>
      <c r="EA75" s="54">
        <f t="shared" si="170"/>
        <v>9.2153767802551093E-2</v>
      </c>
      <c r="EB75" s="69" t="str">
        <f t="shared" si="171"/>
        <v/>
      </c>
      <c r="EG75" s="54">
        <f t="shared" si="172"/>
        <v>65</v>
      </c>
      <c r="EH75" s="54">
        <f t="shared" si="173"/>
        <v>66</v>
      </c>
      <c r="EI75" s="54">
        <f t="shared" si="174"/>
        <v>-1.5331385084863569</v>
      </c>
      <c r="EJ75" s="54">
        <f t="shared" si="175"/>
        <v>0.12316930873768142</v>
      </c>
      <c r="EK75" s="54" t="e">
        <f t="shared" si="176"/>
        <v>#N/A</v>
      </c>
      <c r="EL75" s="54" t="e">
        <f t="shared" si="177"/>
        <v>#N/A</v>
      </c>
      <c r="EM75" s="54" t="e">
        <f t="shared" si="178"/>
        <v>#N/A</v>
      </c>
      <c r="EN75" s="54" t="b">
        <f t="shared" si="179"/>
        <v>0</v>
      </c>
      <c r="EO75" s="54" t="b">
        <f t="shared" si="180"/>
        <v>1</v>
      </c>
      <c r="EP75" s="54" t="b">
        <f t="shared" si="181"/>
        <v>0</v>
      </c>
      <c r="EQ75" s="54" t="b">
        <f t="shared" si="182"/>
        <v>1</v>
      </c>
      <c r="ER75" s="54">
        <f t="shared" si="183"/>
        <v>0.12316930873768142</v>
      </c>
      <c r="ES75" s="54" t="e">
        <f t="shared" si="184"/>
        <v>#N/A</v>
      </c>
      <c r="ET75" s="54">
        <f t="shared" si="185"/>
        <v>0.12316930873768142</v>
      </c>
      <c r="EU75" s="69" t="str">
        <f t="shared" si="186"/>
        <v/>
      </c>
      <c r="EV7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7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7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75" s="54" t="e" cm="1">
        <f t="array" ref="EY75">IF($CR$3,INDEX(Eu_tabel_a[[#This Row],[Styrke venstre]:[Styrke tosidet]],EY$7),NA())</f>
        <v>#N/A</v>
      </c>
      <c r="EZ75" s="54" t="e">
        <f>IF(EY$3,IF(CHOOSE(EY$7,Eu_tabel_a[[#This Row],[x base]]&gt;0,Eu_tabel_a[[#This Row],[x base]]&lt;0,Eu_tabel_a[[#This Row],[x base]]=0),1,NA()),NA())</f>
        <v>#N/A</v>
      </c>
      <c r="FA75" s="54" t="e">
        <f>IF(CHOOSE(EY$7,Eu_tabel_a[[#This Row],[x base]]&gt;0,Eu_tabel_a[[#This Row],[x base]]&lt;0,Eu_tabel_a[[#This Row],[x base]]=0),Eu_tabel_a[[#This Row],[Styrke, aktiv]],NA())</f>
        <v>#N/A</v>
      </c>
      <c r="FB75" s="54" t="e">
        <f>IFERROR(IF($EY$3,Eu_tabel_a[[#This Row],[Styrke, aktiv]],NA()),NA())</f>
        <v>#N/A</v>
      </c>
      <c r="FC75" s="54" t="e">
        <f>IF(ISNA(Eu_tabel_a[[#This Row],[Sand negativ
Nulhypotese afvises
Korrekt]]),NA(),IF(EY$3,1,NA()))</f>
        <v>#N/A</v>
      </c>
      <c r="FD75" s="55" t="str" cm="1">
        <f t="array" ref="FD75">IFERROR(_xlfn.SWITCH(Eu_tabel_a[[#This Row],[Indeks]],_xlfn.IFNA(FB$2,-99),FB$5,_xlfn.IFNA(FB$3,-99),FB$6,_xlfn.IFNA(FB$4,-99),FB$7,""),"")</f>
        <v/>
      </c>
      <c r="FE75" s="54">
        <f>Eu_tabel_a[[#This Row],[x base]]*SQRT(Eu_a_h0_x*(1-Eu_a_h0_x)/Eu_a_n_x)+Eu_a_h0_x</f>
        <v>0</v>
      </c>
      <c r="FJ75" s="144" t="e">
        <f t="shared" si="130"/>
        <v>#N/A</v>
      </c>
      <c r="FK75" s="152" t="e">
        <f t="shared" si="113"/>
        <v>#DIV/0!</v>
      </c>
      <c r="FL75" s="7" t="e">
        <f t="shared" si="124"/>
        <v>#DIV/0!</v>
      </c>
      <c r="FM75" t="e">
        <f t="shared" si="114"/>
        <v>#DIV/0!</v>
      </c>
      <c r="FN75" s="8" t="e">
        <f t="shared" si="115"/>
        <v>#DIV/0!</v>
      </c>
      <c r="FO75" s="8" t="e">
        <f t="shared" si="116"/>
        <v>#DIV/0!</v>
      </c>
      <c r="FP75" s="151" t="e">
        <f t="shared" si="117"/>
        <v>#DIV/0!</v>
      </c>
      <c r="FQ75" s="144" t="e">
        <f t="shared" ca="1" si="125"/>
        <v>#N/A</v>
      </c>
      <c r="FR75" s="152" t="e" vm="3">
        <f t="shared" ca="1" si="131"/>
        <v>#VALUE!</v>
      </c>
      <c r="FS75" s="7" t="e" vm="3">
        <f t="shared" ca="1" si="126"/>
        <v>#VALUE!</v>
      </c>
      <c r="FT75" t="e" vm="3">
        <f t="shared" ca="1" si="120"/>
        <v>#VALUE!</v>
      </c>
      <c r="FU75" s="8" t="e" vm="3">
        <f t="shared" ca="1" si="121"/>
        <v>#VALUE!</v>
      </c>
      <c r="FV75" s="8" t="e" vm="3">
        <f t="shared" ca="1" si="122"/>
        <v>#VALUE!</v>
      </c>
      <c r="FW75" s="151" t="e" vm="3">
        <f t="shared" ca="1" si="123"/>
        <v>#VALUE!</v>
      </c>
      <c r="FX75" s="144" t="e">
        <f t="shared" si="127"/>
        <v>#N/A</v>
      </c>
      <c r="FY75" s="152" t="e">
        <f t="shared" si="132"/>
        <v>#N/A</v>
      </c>
      <c r="FZ75" s="7" t="e">
        <f t="shared" si="128"/>
        <v>#N/A</v>
      </c>
      <c r="GA75" t="e">
        <f t="shared" si="133"/>
        <v>#N/A</v>
      </c>
      <c r="GB75" s="8" t="e">
        <f t="shared" si="134"/>
        <v>#N/A</v>
      </c>
      <c r="GC75" s="8" t="e">
        <f t="shared" si="135"/>
        <v>#N/A</v>
      </c>
      <c r="GD75" s="151" t="e">
        <f t="shared" si="136"/>
        <v>#N/A</v>
      </c>
      <c r="GE75" s="144" t="e">
        <f t="shared" si="137"/>
        <v>#N/A</v>
      </c>
      <c r="GF75" s="152" t="e">
        <f t="shared" si="138"/>
        <v>#N/A</v>
      </c>
      <c r="GG75" s="7" t="e">
        <f t="shared" si="129"/>
        <v>#N/A</v>
      </c>
      <c r="GH75" t="e">
        <f t="shared" si="139"/>
        <v>#N/A</v>
      </c>
      <c r="GI75" s="8" t="e">
        <f t="shared" si="140"/>
        <v>#N/A</v>
      </c>
      <c r="GJ75" s="8" t="e">
        <f t="shared" si="141"/>
        <v>#N/A</v>
      </c>
      <c r="GK75" s="151" t="e">
        <f t="shared" si="142"/>
        <v>#N/A</v>
      </c>
      <c r="GL75" s="151"/>
      <c r="GM75" s="151"/>
      <c r="GP75" s="54">
        <f t="shared" si="187"/>
        <v>65</v>
      </c>
      <c r="GQ75" s="54">
        <f t="shared" si="188"/>
        <v>66</v>
      </c>
      <c r="GR75" s="54">
        <f t="shared" si="189"/>
        <v>-1.5331385084863569</v>
      </c>
      <c r="GS75" s="54">
        <f t="shared" si="190"/>
        <v>0.12316930873768142</v>
      </c>
      <c r="GT75" s="54" t="e">
        <f t="shared" si="191"/>
        <v>#N/A</v>
      </c>
      <c r="GU75" s="54" t="e">
        <f t="shared" si="192"/>
        <v>#N/A</v>
      </c>
      <c r="GV75" s="54" t="e">
        <f t="shared" si="193"/>
        <v>#N/A</v>
      </c>
      <c r="GW75" s="54" t="b">
        <f t="shared" si="194"/>
        <v>0</v>
      </c>
      <c r="GX75" s="54" t="b">
        <f t="shared" si="195"/>
        <v>1</v>
      </c>
      <c r="GY75" s="54" t="b">
        <f t="shared" si="196"/>
        <v>0</v>
      </c>
      <c r="GZ75" s="54" t="b">
        <f t="shared" si="197"/>
        <v>1</v>
      </c>
      <c r="HA75" s="54">
        <f t="shared" si="198"/>
        <v>0.12316930873768142</v>
      </c>
      <c r="HB75" s="54" t="e">
        <f t="shared" si="199"/>
        <v>#N/A</v>
      </c>
      <c r="HC75" s="54">
        <f t="shared" si="200"/>
        <v>0.12316930873768142</v>
      </c>
      <c r="HD75" s="69" t="str">
        <f t="shared" si="201"/>
        <v/>
      </c>
      <c r="HJ75" s="54">
        <f t="shared" si="202"/>
        <v>65</v>
      </c>
      <c r="HK75" s="54">
        <f t="shared" si="203"/>
        <v>66</v>
      </c>
      <c r="HL75" s="54">
        <f t="shared" si="204"/>
        <v>-2.3740971800996382</v>
      </c>
      <c r="HM75" s="54" t="e">
        <f t="shared" si="205"/>
        <v>#N/A</v>
      </c>
      <c r="HN75" s="54">
        <f t="shared" si="206"/>
        <v>3.6254205263453354E-2</v>
      </c>
      <c r="HO75" s="54" t="e">
        <f t="shared" si="207"/>
        <v>#N/A</v>
      </c>
      <c r="HP75" s="54" t="e">
        <f t="shared" si="208"/>
        <v>#N/A</v>
      </c>
      <c r="HQ75" s="54" t="b">
        <f t="shared" si="209"/>
        <v>1</v>
      </c>
      <c r="HR75" s="54" t="b">
        <f t="shared" si="210"/>
        <v>0</v>
      </c>
      <c r="HS75" s="54" t="b">
        <f t="shared" si="211"/>
        <v>1</v>
      </c>
      <c r="HT75" s="54" t="b">
        <f t="shared" si="212"/>
        <v>0</v>
      </c>
      <c r="HU75" s="54">
        <f t="shared" si="213"/>
        <v>3.6254205263453354E-2</v>
      </c>
      <c r="HV75" s="54">
        <f t="shared" si="214"/>
        <v>3.6254205263453354E-2</v>
      </c>
      <c r="HW75" s="54" t="e">
        <f t="shared" si="215"/>
        <v>#N/A</v>
      </c>
      <c r="HX75" s="69" t="str">
        <f t="shared" si="216"/>
        <v/>
      </c>
    </row>
    <row r="76" spans="1:232" x14ac:dyDescent="0.2">
      <c r="BZ76" s="54">
        <f t="shared" si="143"/>
        <v>66</v>
      </c>
      <c r="CA76" s="54">
        <f>Eu_tabel_g[[#This Row],[Indeks]]+1</f>
        <v>67</v>
      </c>
      <c r="CB76" s="54">
        <f t="shared" si="144"/>
        <v>-1.5091832192912575</v>
      </c>
      <c r="CC76" s="54">
        <f t="shared" si="145"/>
        <v>0.12774035804918907</v>
      </c>
      <c r="CD76" s="54" t="e">
        <f t="shared" si="146"/>
        <v>#N/A</v>
      </c>
      <c r="CE76" s="54" t="e">
        <f t="shared" si="147"/>
        <v>#N/A</v>
      </c>
      <c r="CF76" s="54" t="e">
        <f t="shared" si="148"/>
        <v>#N/A</v>
      </c>
      <c r="CG76" s="54" t="b">
        <f t="shared" si="149"/>
        <v>0</v>
      </c>
      <c r="CH76" s="54" t="b">
        <f t="shared" si="150"/>
        <v>1</v>
      </c>
      <c r="CI76" s="54" t="b">
        <f t="shared" si="151"/>
        <v>0</v>
      </c>
      <c r="CJ76" s="54" t="b">
        <f t="shared" si="152"/>
        <v>1</v>
      </c>
      <c r="CK76" s="54">
        <f t="shared" si="119"/>
        <v>0.12774035804918907</v>
      </c>
      <c r="CL76" s="54" t="e">
        <f t="shared" si="153"/>
        <v>#N/A</v>
      </c>
      <c r="CM76" s="54">
        <f t="shared" si="154"/>
        <v>0.12774035804918907</v>
      </c>
      <c r="CN76" s="69" t="str">
        <f t="shared" si="155"/>
        <v/>
      </c>
      <c r="CO76" s="54">
        <f>_xlfn.NORM.DIST(_xlfn.NORM.INV(1-Eu_g_konfidensniveau,0,1)-Eu_tabel_g[[#This Row],[x base]],0,1,TRUE)</f>
        <v>0.4460409213210163</v>
      </c>
      <c r="CP76" s="54">
        <f>1-_xlfn.NORM.DIST(_xlfn.NORM.INV(Eu_g_konfidensniveau,0,1)-Eu_tabel_g[[#This Row],[x base]],0,1,TRUE)</f>
        <v>8.0514376711926516E-4</v>
      </c>
      <c r="CQ76" s="54">
        <f>_xlfn.NORM.DIST(_xlfn.NORM.INV((1-Eu_g_konfidensniveau)/2,0,1)-Eu_tabel_g[[#This Row],[x base]],0,1,TRUE)+1-_xlfn.NORM.DIST(_xlfn.NORM.INV(1-(1-Eu_g_konfidensniveau)/2,0,1)-Eu_tabel_g[[#This Row],[x base]],0,1,TRUE)</f>
        <v>0.32633483948430808</v>
      </c>
      <c r="CR76" s="54" t="e" cm="1">
        <f t="array" ref="CR76">IF($CR$3,INDEX(Eu_tabel_g[[#This Row],[Styrke venstre]:[Styrke tosidet]],CR$7),NA())</f>
        <v>#N/A</v>
      </c>
      <c r="CS76" s="89" t="e">
        <f>Eu_tabel_g[[#This Row],[Falsk positiv
Nulhypotese accepteres
Fejltype 1]]</f>
        <v>#N/A</v>
      </c>
      <c r="CT76" s="89" t="e">
        <f>IF(CHOOSE(CR$7,Eu_tabel_g[[#This Row],[x base]]&gt;0,Eu_tabel_g[[#This Row],[x base]]&lt;0,Eu_tabel_g[[#This Row],[x base]]=0),Eu_tabel_g[[#This Row],[Styrke, aktiv]],NA())</f>
        <v>#N/A</v>
      </c>
      <c r="CU76" s="89" t="e">
        <f>IFERROR(IF($CR$3,Eu_tabel_g[[#This Row],[Styrke, aktiv]],NA()),NA())</f>
        <v>#N/A</v>
      </c>
      <c r="CV76" s="89" t="e">
        <f>IF(ISNA(Eu_tabel_g[[#This Row],[Sand negativ
Nulhypotese afvises
Korrekt]]),NA(),IF($CR$3,1,NA()))</f>
        <v>#N/A</v>
      </c>
      <c r="CW76" s="56" t="str" cm="1">
        <f t="array" ref="CW76">_xlfn.SWITCH(BZ76,_xlfn.IFNA(CU$2,-99),CU$5,_xlfn.IFNA(CU$3,-99),CU$6,_xlfn.IFNA(CU$4,-99),CU$7,"")</f>
        <v/>
      </c>
      <c r="DA76" s="7">
        <f t="shared" si="156"/>
        <v>0.8</v>
      </c>
      <c r="DB76">
        <f>IF(ROW(Styrkeberegning_G[[#This Row],[X base venstre]])=ROW(Styrkeberegning_G[[#Headers],[X base venstre]])+1,DB$7/(DA$7/$B$67),DB75/(DA75/$B$67))</f>
        <v>-2.8015817870135784</v>
      </c>
      <c r="DC76">
        <f>Styrkeberegning_G[[#This Row],[X base venstre]]*-1</f>
        <v>2.8015817870135784</v>
      </c>
      <c r="DN76" s="54">
        <f t="shared" si="157"/>
        <v>66</v>
      </c>
      <c r="DO76" s="54">
        <f t="shared" si="158"/>
        <v>67</v>
      </c>
      <c r="DP76" s="54">
        <f t="shared" si="159"/>
        <v>9.3625291881757562</v>
      </c>
      <c r="DQ76" s="54" t="e">
        <f t="shared" si="160"/>
        <v>#N/A</v>
      </c>
      <c r="DR76" s="54" t="e">
        <f t="shared" si="161"/>
        <v>#N/A</v>
      </c>
      <c r="DS76" s="54">
        <f t="shared" si="162"/>
        <v>9.198144049966174E-2</v>
      </c>
      <c r="DT76" s="54" t="e">
        <f t="shared" si="163"/>
        <v>#N/A</v>
      </c>
      <c r="DU76" s="54" t="b">
        <f t="shared" si="164"/>
        <v>0</v>
      </c>
      <c r="DV76" s="54" t="b">
        <f t="shared" si="165"/>
        <v>1</v>
      </c>
      <c r="DW76" s="54" t="b">
        <f t="shared" si="166"/>
        <v>0</v>
      </c>
      <c r="DX76" s="54" t="b">
        <f t="shared" si="167"/>
        <v>1</v>
      </c>
      <c r="DY76" s="54">
        <f t="shared" si="168"/>
        <v>9.198144049966174E-2</v>
      </c>
      <c r="DZ76" s="54" t="e">
        <f t="shared" si="169"/>
        <v>#N/A</v>
      </c>
      <c r="EA76" s="54">
        <f t="shared" si="170"/>
        <v>9.198144049966174E-2</v>
      </c>
      <c r="EB76" s="69" t="str">
        <f t="shared" si="171"/>
        <v/>
      </c>
      <c r="EG76" s="54">
        <f t="shared" si="172"/>
        <v>66</v>
      </c>
      <c r="EH76" s="54">
        <f t="shared" si="173"/>
        <v>67</v>
      </c>
      <c r="EI76" s="54">
        <f t="shared" si="174"/>
        <v>-1.5091832192912575</v>
      </c>
      <c r="EJ76" s="54">
        <f t="shared" si="175"/>
        <v>0.12774035804918907</v>
      </c>
      <c r="EK76" s="54" t="e">
        <f t="shared" si="176"/>
        <v>#N/A</v>
      </c>
      <c r="EL76" s="54" t="e">
        <f t="shared" si="177"/>
        <v>#N/A</v>
      </c>
      <c r="EM76" s="54" t="e">
        <f t="shared" si="178"/>
        <v>#N/A</v>
      </c>
      <c r="EN76" s="54" t="b">
        <f t="shared" si="179"/>
        <v>0</v>
      </c>
      <c r="EO76" s="54" t="b">
        <f t="shared" si="180"/>
        <v>1</v>
      </c>
      <c r="EP76" s="54" t="b">
        <f t="shared" si="181"/>
        <v>0</v>
      </c>
      <c r="EQ76" s="54" t="b">
        <f t="shared" si="182"/>
        <v>1</v>
      </c>
      <c r="ER76" s="54">
        <f t="shared" si="183"/>
        <v>0.12774035804918907</v>
      </c>
      <c r="ES76" s="54" t="e">
        <f t="shared" si="184"/>
        <v>#N/A</v>
      </c>
      <c r="ET76" s="54">
        <f t="shared" si="185"/>
        <v>0.12774035804918907</v>
      </c>
      <c r="EU76" s="69" t="str">
        <f t="shared" si="186"/>
        <v/>
      </c>
      <c r="EV7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7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7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76" s="54" t="e" cm="1">
        <f t="array" ref="EY76">IF($CR$3,INDEX(Eu_tabel_a[[#This Row],[Styrke venstre]:[Styrke tosidet]],EY$7),NA())</f>
        <v>#N/A</v>
      </c>
      <c r="EZ76" s="54" t="e">
        <f>IF(EY$3,IF(CHOOSE(EY$7,Eu_tabel_a[[#This Row],[x base]]&gt;0,Eu_tabel_a[[#This Row],[x base]]&lt;0,Eu_tabel_a[[#This Row],[x base]]=0),1,NA()),NA())</f>
        <v>#N/A</v>
      </c>
      <c r="FA76" s="54" t="e">
        <f>IF(CHOOSE(EY$7,Eu_tabel_a[[#This Row],[x base]]&gt;0,Eu_tabel_a[[#This Row],[x base]]&lt;0,Eu_tabel_a[[#This Row],[x base]]=0),Eu_tabel_a[[#This Row],[Styrke, aktiv]],NA())</f>
        <v>#N/A</v>
      </c>
      <c r="FB76" s="54" t="e">
        <f>IFERROR(IF($EY$3,Eu_tabel_a[[#This Row],[Styrke, aktiv]],NA()),NA())</f>
        <v>#N/A</v>
      </c>
      <c r="FC76" s="54" t="e">
        <f>IF(ISNA(Eu_tabel_a[[#This Row],[Sand negativ
Nulhypotese afvises
Korrekt]]),NA(),IF(EY$3,1,NA()))</f>
        <v>#N/A</v>
      </c>
      <c r="FD76" s="55" t="str" cm="1">
        <f t="array" ref="FD76">IFERROR(_xlfn.SWITCH(Eu_tabel_a[[#This Row],[Indeks]],_xlfn.IFNA(FB$2,-99),FB$5,_xlfn.IFNA(FB$3,-99),FB$6,_xlfn.IFNA(FB$4,-99),FB$7,""),"")</f>
        <v/>
      </c>
      <c r="FE76" s="54">
        <f>Eu_tabel_a[[#This Row],[x base]]*SQRT(Eu_a_h0_x*(1-Eu_a_h0_x)/Eu_a_n_x)+Eu_a_h0_x</f>
        <v>0</v>
      </c>
      <c r="FJ76" s="144" t="e">
        <f t="shared" si="130"/>
        <v>#N/A</v>
      </c>
      <c r="FK76" s="152" t="e">
        <f t="shared" si="113"/>
        <v>#DIV/0!</v>
      </c>
      <c r="FL76" s="7" t="e">
        <f t="shared" si="124"/>
        <v>#DIV/0!</v>
      </c>
      <c r="FM76" t="e">
        <f t="shared" si="114"/>
        <v>#DIV/0!</v>
      </c>
      <c r="FN76" s="8" t="e">
        <f t="shared" si="115"/>
        <v>#DIV/0!</v>
      </c>
      <c r="FO76" s="8" t="e">
        <f t="shared" si="116"/>
        <v>#DIV/0!</v>
      </c>
      <c r="FP76" s="151" t="e">
        <f t="shared" si="117"/>
        <v>#DIV/0!</v>
      </c>
      <c r="FQ76" s="144" t="e">
        <f t="shared" ca="1" si="125"/>
        <v>#N/A</v>
      </c>
      <c r="FR76" s="152" t="e" vm="3">
        <f t="shared" ca="1" si="131"/>
        <v>#VALUE!</v>
      </c>
      <c r="FS76" s="7" t="e" vm="3">
        <f t="shared" ca="1" si="126"/>
        <v>#VALUE!</v>
      </c>
      <c r="FT76" t="e" vm="3">
        <f t="shared" ca="1" si="120"/>
        <v>#VALUE!</v>
      </c>
      <c r="FU76" s="8" t="e" vm="3">
        <f t="shared" ca="1" si="121"/>
        <v>#VALUE!</v>
      </c>
      <c r="FV76" s="8" t="e" vm="3">
        <f t="shared" ca="1" si="122"/>
        <v>#VALUE!</v>
      </c>
      <c r="FW76" s="151" t="e" vm="3">
        <f t="shared" ca="1" si="123"/>
        <v>#VALUE!</v>
      </c>
      <c r="FX76" s="144" t="e">
        <f t="shared" si="127"/>
        <v>#N/A</v>
      </c>
      <c r="FY76" s="152" t="e">
        <f t="shared" si="132"/>
        <v>#N/A</v>
      </c>
      <c r="FZ76" s="7" t="e">
        <f t="shared" si="128"/>
        <v>#N/A</v>
      </c>
      <c r="GA76" t="e">
        <f t="shared" si="133"/>
        <v>#N/A</v>
      </c>
      <c r="GB76" s="8" t="e">
        <f t="shared" si="134"/>
        <v>#N/A</v>
      </c>
      <c r="GC76" s="8" t="e">
        <f t="shared" si="135"/>
        <v>#N/A</v>
      </c>
      <c r="GD76" s="151" t="e">
        <f t="shared" si="136"/>
        <v>#N/A</v>
      </c>
      <c r="GE76" s="144" t="e">
        <f t="shared" si="137"/>
        <v>#N/A</v>
      </c>
      <c r="GF76" s="152" t="e">
        <f t="shared" si="138"/>
        <v>#N/A</v>
      </c>
      <c r="GG76" s="7" t="e">
        <f t="shared" si="129"/>
        <v>#N/A</v>
      </c>
      <c r="GH76" t="e">
        <f t="shared" si="139"/>
        <v>#N/A</v>
      </c>
      <c r="GI76" s="8" t="e">
        <f t="shared" si="140"/>
        <v>#N/A</v>
      </c>
      <c r="GJ76" s="8" t="e">
        <f t="shared" si="141"/>
        <v>#N/A</v>
      </c>
      <c r="GK76" s="151" t="e">
        <f t="shared" si="142"/>
        <v>#N/A</v>
      </c>
      <c r="GL76" s="151"/>
      <c r="GM76" s="151"/>
      <c r="GP76" s="54">
        <f t="shared" si="187"/>
        <v>66</v>
      </c>
      <c r="GQ76" s="54">
        <f t="shared" si="188"/>
        <v>67</v>
      </c>
      <c r="GR76" s="54">
        <f t="shared" si="189"/>
        <v>-1.5091832192912575</v>
      </c>
      <c r="GS76" s="54">
        <f t="shared" si="190"/>
        <v>0.12774035804918907</v>
      </c>
      <c r="GT76" s="54" t="e">
        <f t="shared" si="191"/>
        <v>#N/A</v>
      </c>
      <c r="GU76" s="54" t="e">
        <f t="shared" si="192"/>
        <v>#N/A</v>
      </c>
      <c r="GV76" s="54" t="e">
        <f t="shared" si="193"/>
        <v>#N/A</v>
      </c>
      <c r="GW76" s="54" t="b">
        <f t="shared" si="194"/>
        <v>0</v>
      </c>
      <c r="GX76" s="54" t="b">
        <f t="shared" si="195"/>
        <v>1</v>
      </c>
      <c r="GY76" s="54" t="b">
        <f t="shared" si="196"/>
        <v>0</v>
      </c>
      <c r="GZ76" s="54" t="b">
        <f t="shared" si="197"/>
        <v>1</v>
      </c>
      <c r="HA76" s="54">
        <f t="shared" si="198"/>
        <v>0.12774035804918907</v>
      </c>
      <c r="HB76" s="54" t="e">
        <f t="shared" si="199"/>
        <v>#N/A</v>
      </c>
      <c r="HC76" s="54">
        <f t="shared" si="200"/>
        <v>0.12774035804918907</v>
      </c>
      <c r="HD76" s="69" t="str">
        <f t="shared" si="201"/>
        <v/>
      </c>
      <c r="HJ76" s="54">
        <f t="shared" si="202"/>
        <v>66</v>
      </c>
      <c r="HK76" s="54">
        <f t="shared" si="203"/>
        <v>67</v>
      </c>
      <c r="HL76" s="54">
        <f t="shared" si="204"/>
        <v>-2.3370019116605811</v>
      </c>
      <c r="HM76" s="54" t="e">
        <f t="shared" si="205"/>
        <v>#N/A</v>
      </c>
      <c r="HN76" s="54">
        <f t="shared" si="206"/>
        <v>3.8331083360961797E-2</v>
      </c>
      <c r="HO76" s="54" t="e">
        <f t="shared" si="207"/>
        <v>#N/A</v>
      </c>
      <c r="HP76" s="54" t="e">
        <f t="shared" si="208"/>
        <v>#N/A</v>
      </c>
      <c r="HQ76" s="54" t="b">
        <f t="shared" si="209"/>
        <v>1</v>
      </c>
      <c r="HR76" s="54" t="b">
        <f t="shared" si="210"/>
        <v>0</v>
      </c>
      <c r="HS76" s="54" t="b">
        <f t="shared" si="211"/>
        <v>1</v>
      </c>
      <c r="HT76" s="54" t="b">
        <f t="shared" si="212"/>
        <v>0</v>
      </c>
      <c r="HU76" s="54">
        <f t="shared" si="213"/>
        <v>3.8331083360961797E-2</v>
      </c>
      <c r="HV76" s="54">
        <f t="shared" si="214"/>
        <v>3.8331083360961797E-2</v>
      </c>
      <c r="HW76" s="54" t="e">
        <f t="shared" si="215"/>
        <v>#N/A</v>
      </c>
      <c r="HX76" s="69" t="str">
        <f t="shared" si="216"/>
        <v/>
      </c>
    </row>
    <row r="77" spans="1:232" x14ac:dyDescent="0.2">
      <c r="BZ77" s="54">
        <f t="shared" si="143"/>
        <v>67</v>
      </c>
      <c r="CA77" s="54">
        <f>Eu_tabel_g[[#This Row],[Indeks]]+1</f>
        <v>68</v>
      </c>
      <c r="CB77" s="54">
        <f t="shared" si="144"/>
        <v>-1.4852279300961584</v>
      </c>
      <c r="CC77" s="54">
        <f t="shared" si="145"/>
        <v>0.13240504455009261</v>
      </c>
      <c r="CD77" s="54" t="e">
        <f t="shared" si="146"/>
        <v>#N/A</v>
      </c>
      <c r="CE77" s="54" t="e">
        <f t="shared" si="147"/>
        <v>#N/A</v>
      </c>
      <c r="CF77" s="54" t="e">
        <f t="shared" si="148"/>
        <v>#N/A</v>
      </c>
      <c r="CG77" s="54" t="b">
        <f t="shared" si="149"/>
        <v>0</v>
      </c>
      <c r="CH77" s="54" t="b">
        <f t="shared" si="150"/>
        <v>1</v>
      </c>
      <c r="CI77" s="54" t="b">
        <f t="shared" si="151"/>
        <v>0</v>
      </c>
      <c r="CJ77" s="54" t="b">
        <f t="shared" si="152"/>
        <v>1</v>
      </c>
      <c r="CK77" s="54">
        <f t="shared" si="119"/>
        <v>0.13240504455009261</v>
      </c>
      <c r="CL77" s="54" t="e">
        <f t="shared" si="153"/>
        <v>#N/A</v>
      </c>
      <c r="CM77" s="54">
        <f t="shared" si="154"/>
        <v>0.13240504455009261</v>
      </c>
      <c r="CN77" s="69" t="str">
        <f t="shared" si="155"/>
        <v/>
      </c>
      <c r="CO77" s="54">
        <f>_xlfn.NORM.DIST(_xlfn.NORM.INV(1-Eu_g_konfidensniveau,0,1)-Eu_tabel_g[[#This Row],[x base]],0,1,TRUE)</f>
        <v>0.43658796768610664</v>
      </c>
      <c r="CP77" s="54">
        <f>1-_xlfn.NORM.DIST(_xlfn.NORM.INV(Eu_g_konfidensniveau,0,1)-Eu_tabel_g[[#This Row],[x base]],0,1,TRUE)</f>
        <v>8.7378888461064896E-4</v>
      </c>
      <c r="CQ77" s="54">
        <f>_xlfn.NORM.DIST(_xlfn.NORM.INV((1-Eu_g_konfidensniveau)/2,0,1)-Eu_tabel_g[[#This Row],[x base]],0,1,TRUE)+1-_xlfn.NORM.DIST(_xlfn.NORM.INV(1-(1-Eu_g_konfidensniveau)/2,0,1)-Eu_tabel_g[[#This Row],[x base]],0,1,TRUE)</f>
        <v>0.31777288511858404</v>
      </c>
      <c r="CR77" s="54" t="e" cm="1">
        <f t="array" ref="CR77">IF($CR$3,INDEX(Eu_tabel_g[[#This Row],[Styrke venstre]:[Styrke tosidet]],CR$7),NA())</f>
        <v>#N/A</v>
      </c>
      <c r="CS77" s="89" t="e">
        <f>Eu_tabel_g[[#This Row],[Falsk positiv
Nulhypotese accepteres
Fejltype 1]]</f>
        <v>#N/A</v>
      </c>
      <c r="CT77" s="89" t="e">
        <f>IF(CHOOSE(CR$7,Eu_tabel_g[[#This Row],[x base]]&gt;0,Eu_tabel_g[[#This Row],[x base]]&lt;0,Eu_tabel_g[[#This Row],[x base]]=0),Eu_tabel_g[[#This Row],[Styrke, aktiv]],NA())</f>
        <v>#N/A</v>
      </c>
      <c r="CU77" s="89" t="e">
        <f>IFERROR(IF($CR$3,Eu_tabel_g[[#This Row],[Styrke, aktiv]],NA()),NA())</f>
        <v>#N/A</v>
      </c>
      <c r="CV77" s="89" t="e">
        <f>IF(ISNA(Eu_tabel_g[[#This Row],[Sand negativ
Nulhypotese afvises
Korrekt]]),NA(),IF($CR$3,1,NA()))</f>
        <v>#N/A</v>
      </c>
      <c r="CW77" s="56" t="str" cm="1">
        <f t="array" ref="CW77">_xlfn.SWITCH(BZ77,_xlfn.IFNA(CU$2,-99),CU$5,_xlfn.IFNA(CU$3,-99),CU$6,_xlfn.IFNA(CU$4,-99),CU$7,"")</f>
        <v/>
      </c>
      <c r="DA77" s="7">
        <f t="shared" si="156"/>
        <v>0.8</v>
      </c>
      <c r="DB77">
        <f>IF(ROW(Styrkeberegning_G[[#This Row],[X base venstre]])=ROW(Styrkeberegning_G[[#Headers],[X base venstre]])+1,DB$7/(DA$7/$B$67),DB76/(DA76/$B$67))</f>
        <v>-2.8015817870135784</v>
      </c>
      <c r="DC77">
        <f>Styrkeberegning_G[[#This Row],[X base venstre]]*-1</f>
        <v>2.8015817870135784</v>
      </c>
      <c r="DN77" s="54">
        <f t="shared" si="157"/>
        <v>67</v>
      </c>
      <c r="DO77" s="54">
        <f t="shared" si="158"/>
        <v>68</v>
      </c>
      <c r="DP77" s="54">
        <f t="shared" si="159"/>
        <v>9.4766000445927574</v>
      </c>
      <c r="DQ77" s="54" t="e">
        <f t="shared" si="160"/>
        <v>#N/A</v>
      </c>
      <c r="DR77" s="54" t="e">
        <f t="shared" si="161"/>
        <v>#N/A</v>
      </c>
      <c r="DS77" s="54">
        <f t="shared" si="162"/>
        <v>9.1748122804320709E-2</v>
      </c>
      <c r="DT77" s="54" t="e">
        <f t="shared" si="163"/>
        <v>#N/A</v>
      </c>
      <c r="DU77" s="54" t="b">
        <f t="shared" si="164"/>
        <v>0</v>
      </c>
      <c r="DV77" s="54" t="b">
        <f t="shared" si="165"/>
        <v>1</v>
      </c>
      <c r="DW77" s="54" t="b">
        <f t="shared" si="166"/>
        <v>0</v>
      </c>
      <c r="DX77" s="54" t="b">
        <f t="shared" si="167"/>
        <v>1</v>
      </c>
      <c r="DY77" s="54">
        <f t="shared" si="168"/>
        <v>9.1748122804320709E-2</v>
      </c>
      <c r="DZ77" s="54" t="e">
        <f t="shared" si="169"/>
        <v>#N/A</v>
      </c>
      <c r="EA77" s="54">
        <f t="shared" si="170"/>
        <v>9.1748122804320709E-2</v>
      </c>
      <c r="EB77" s="69" t="str">
        <f t="shared" si="171"/>
        <v/>
      </c>
      <c r="EG77" s="54">
        <f t="shared" si="172"/>
        <v>67</v>
      </c>
      <c r="EH77" s="54">
        <f t="shared" si="173"/>
        <v>68</v>
      </c>
      <c r="EI77" s="54">
        <f t="shared" si="174"/>
        <v>-1.4852279300961584</v>
      </c>
      <c r="EJ77" s="54">
        <f t="shared" si="175"/>
        <v>0.13240504455009261</v>
      </c>
      <c r="EK77" s="54" t="e">
        <f t="shared" si="176"/>
        <v>#N/A</v>
      </c>
      <c r="EL77" s="54" t="e">
        <f t="shared" si="177"/>
        <v>#N/A</v>
      </c>
      <c r="EM77" s="54" t="e">
        <f t="shared" si="178"/>
        <v>#N/A</v>
      </c>
      <c r="EN77" s="54" t="b">
        <f t="shared" si="179"/>
        <v>0</v>
      </c>
      <c r="EO77" s="54" t="b">
        <f t="shared" si="180"/>
        <v>1</v>
      </c>
      <c r="EP77" s="54" t="b">
        <f t="shared" si="181"/>
        <v>0</v>
      </c>
      <c r="EQ77" s="54" t="b">
        <f t="shared" si="182"/>
        <v>1</v>
      </c>
      <c r="ER77" s="54">
        <f t="shared" si="183"/>
        <v>0.13240504455009261</v>
      </c>
      <c r="ES77" s="54" t="e">
        <f t="shared" si="184"/>
        <v>#N/A</v>
      </c>
      <c r="ET77" s="54">
        <f t="shared" si="185"/>
        <v>0.13240504455009261</v>
      </c>
      <c r="EU77" s="69" t="str">
        <f t="shared" si="186"/>
        <v/>
      </c>
      <c r="EV7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7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7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77" s="54" t="e" cm="1">
        <f t="array" ref="EY77">IF($CR$3,INDEX(Eu_tabel_a[[#This Row],[Styrke venstre]:[Styrke tosidet]],EY$7),NA())</f>
        <v>#N/A</v>
      </c>
      <c r="EZ77" s="54" t="e">
        <f>IF(EY$3,IF(CHOOSE(EY$7,Eu_tabel_a[[#This Row],[x base]]&gt;0,Eu_tabel_a[[#This Row],[x base]]&lt;0,Eu_tabel_a[[#This Row],[x base]]=0),1,NA()),NA())</f>
        <v>#N/A</v>
      </c>
      <c r="FA77" s="54" t="e">
        <f>IF(CHOOSE(EY$7,Eu_tabel_a[[#This Row],[x base]]&gt;0,Eu_tabel_a[[#This Row],[x base]]&lt;0,Eu_tabel_a[[#This Row],[x base]]=0),Eu_tabel_a[[#This Row],[Styrke, aktiv]],NA())</f>
        <v>#N/A</v>
      </c>
      <c r="FB77" s="54" t="e">
        <f>IFERROR(IF($EY$3,Eu_tabel_a[[#This Row],[Styrke, aktiv]],NA()),NA())</f>
        <v>#N/A</v>
      </c>
      <c r="FC77" s="54" t="e">
        <f>IF(ISNA(Eu_tabel_a[[#This Row],[Sand negativ
Nulhypotese afvises
Korrekt]]),NA(),IF(EY$3,1,NA()))</f>
        <v>#N/A</v>
      </c>
      <c r="FD77" s="55" t="str" cm="1">
        <f t="array" ref="FD77">IFERROR(_xlfn.SWITCH(Eu_tabel_a[[#This Row],[Indeks]],_xlfn.IFNA(FB$2,-99),FB$5,_xlfn.IFNA(FB$3,-99),FB$6,_xlfn.IFNA(FB$4,-99),FB$7,""),"")</f>
        <v/>
      </c>
      <c r="FE77" s="54">
        <f>Eu_tabel_a[[#This Row],[x base]]*SQRT(Eu_a_h0_x*(1-Eu_a_h0_x)/Eu_a_n_x)+Eu_a_h0_x</f>
        <v>0</v>
      </c>
      <c r="FJ77" s="144" t="e">
        <f t="shared" si="130"/>
        <v>#N/A</v>
      </c>
      <c r="FK77" s="152" t="e">
        <f t="shared" si="113"/>
        <v>#DIV/0!</v>
      </c>
      <c r="FL77" s="7" t="e">
        <f t="shared" si="124"/>
        <v>#DIV/0!</v>
      </c>
      <c r="FM77" t="e">
        <f t="shared" si="114"/>
        <v>#DIV/0!</v>
      </c>
      <c r="FN77" s="8" t="e">
        <f t="shared" si="115"/>
        <v>#DIV/0!</v>
      </c>
      <c r="FO77" s="8" t="e">
        <f t="shared" si="116"/>
        <v>#DIV/0!</v>
      </c>
      <c r="FP77" s="151" t="e">
        <f t="shared" si="117"/>
        <v>#DIV/0!</v>
      </c>
      <c r="FQ77" s="144" t="e">
        <f t="shared" ca="1" si="125"/>
        <v>#N/A</v>
      </c>
      <c r="FR77" s="152" t="e" vm="3">
        <f t="shared" ca="1" si="131"/>
        <v>#VALUE!</v>
      </c>
      <c r="FS77" s="7" t="e" vm="3">
        <f t="shared" ca="1" si="126"/>
        <v>#VALUE!</v>
      </c>
      <c r="FT77" t="e" vm="3">
        <f t="shared" ca="1" si="120"/>
        <v>#VALUE!</v>
      </c>
      <c r="FU77" s="8" t="e" vm="3">
        <f t="shared" ca="1" si="121"/>
        <v>#VALUE!</v>
      </c>
      <c r="FV77" s="8" t="e" vm="3">
        <f t="shared" ca="1" si="122"/>
        <v>#VALUE!</v>
      </c>
      <c r="FW77" s="151" t="e" vm="3">
        <f t="shared" ca="1" si="123"/>
        <v>#VALUE!</v>
      </c>
      <c r="FX77" s="144" t="e">
        <f t="shared" si="127"/>
        <v>#N/A</v>
      </c>
      <c r="FY77" s="152" t="e">
        <f t="shared" si="132"/>
        <v>#N/A</v>
      </c>
      <c r="FZ77" s="7" t="e">
        <f t="shared" si="128"/>
        <v>#N/A</v>
      </c>
      <c r="GA77" t="e">
        <f t="shared" si="133"/>
        <v>#N/A</v>
      </c>
      <c r="GB77" s="8" t="e">
        <f t="shared" si="134"/>
        <v>#N/A</v>
      </c>
      <c r="GC77" s="8" t="e">
        <f t="shared" si="135"/>
        <v>#N/A</v>
      </c>
      <c r="GD77" s="151" t="e">
        <f t="shared" si="136"/>
        <v>#N/A</v>
      </c>
      <c r="GE77" s="144" t="e">
        <f t="shared" si="137"/>
        <v>#N/A</v>
      </c>
      <c r="GF77" s="152" t="e">
        <f t="shared" si="138"/>
        <v>#N/A</v>
      </c>
      <c r="GG77" s="7" t="e">
        <f t="shared" si="129"/>
        <v>#N/A</v>
      </c>
      <c r="GH77" t="e">
        <f t="shared" si="139"/>
        <v>#N/A</v>
      </c>
      <c r="GI77" s="8" t="e">
        <f t="shared" si="140"/>
        <v>#N/A</v>
      </c>
      <c r="GJ77" s="8" t="e">
        <f t="shared" si="141"/>
        <v>#N/A</v>
      </c>
      <c r="GK77" s="151" t="e">
        <f t="shared" si="142"/>
        <v>#N/A</v>
      </c>
      <c r="GL77" s="151"/>
      <c r="GM77" s="151"/>
      <c r="GP77" s="54">
        <f t="shared" si="187"/>
        <v>67</v>
      </c>
      <c r="GQ77" s="54">
        <f t="shared" si="188"/>
        <v>68</v>
      </c>
      <c r="GR77" s="54">
        <f t="shared" si="189"/>
        <v>-1.4852279300961584</v>
      </c>
      <c r="GS77" s="54">
        <f t="shared" si="190"/>
        <v>0.13240504455009261</v>
      </c>
      <c r="GT77" s="54" t="e">
        <f t="shared" si="191"/>
        <v>#N/A</v>
      </c>
      <c r="GU77" s="54" t="e">
        <f t="shared" si="192"/>
        <v>#N/A</v>
      </c>
      <c r="GV77" s="54" t="e">
        <f t="shared" si="193"/>
        <v>#N/A</v>
      </c>
      <c r="GW77" s="54" t="b">
        <f t="shared" si="194"/>
        <v>0</v>
      </c>
      <c r="GX77" s="54" t="b">
        <f t="shared" si="195"/>
        <v>1</v>
      </c>
      <c r="GY77" s="54" t="b">
        <f t="shared" si="196"/>
        <v>0</v>
      </c>
      <c r="GZ77" s="54" t="b">
        <f t="shared" si="197"/>
        <v>1</v>
      </c>
      <c r="HA77" s="54">
        <f t="shared" si="198"/>
        <v>0.13240504455009261</v>
      </c>
      <c r="HB77" s="54" t="e">
        <f t="shared" si="199"/>
        <v>#N/A</v>
      </c>
      <c r="HC77" s="54">
        <f t="shared" si="200"/>
        <v>0.13240504455009261</v>
      </c>
      <c r="HD77" s="69" t="str">
        <f t="shared" si="201"/>
        <v/>
      </c>
      <c r="HJ77" s="54">
        <f t="shared" si="202"/>
        <v>67</v>
      </c>
      <c r="HK77" s="54">
        <f t="shared" si="203"/>
        <v>68</v>
      </c>
      <c r="HL77" s="54">
        <f t="shared" si="204"/>
        <v>-2.2999066432215245</v>
      </c>
      <c r="HM77" s="54" t="e">
        <f t="shared" si="205"/>
        <v>#N/A</v>
      </c>
      <c r="HN77" s="54">
        <f t="shared" si="206"/>
        <v>4.0522517174392161E-2</v>
      </c>
      <c r="HO77" s="54" t="e">
        <f t="shared" si="207"/>
        <v>#N/A</v>
      </c>
      <c r="HP77" s="54" t="e">
        <f t="shared" si="208"/>
        <v>#N/A</v>
      </c>
      <c r="HQ77" s="54" t="b">
        <f t="shared" si="209"/>
        <v>1</v>
      </c>
      <c r="HR77" s="54" t="b">
        <f t="shared" si="210"/>
        <v>0</v>
      </c>
      <c r="HS77" s="54" t="b">
        <f t="shared" si="211"/>
        <v>1</v>
      </c>
      <c r="HT77" s="54" t="b">
        <f t="shared" si="212"/>
        <v>0</v>
      </c>
      <c r="HU77" s="54">
        <f t="shared" si="213"/>
        <v>4.0522517174392161E-2</v>
      </c>
      <c r="HV77" s="54">
        <f t="shared" si="214"/>
        <v>4.0522517174392161E-2</v>
      </c>
      <c r="HW77" s="54" t="e">
        <f t="shared" si="215"/>
        <v>#N/A</v>
      </c>
      <c r="HX77" s="69" t="str">
        <f t="shared" si="216"/>
        <v/>
      </c>
    </row>
    <row r="78" spans="1:232" x14ac:dyDescent="0.2">
      <c r="BZ78" s="54">
        <f t="shared" si="143"/>
        <v>68</v>
      </c>
      <c r="CA78" s="54">
        <f>Eu_tabel_g[[#This Row],[Indeks]]+1</f>
        <v>69</v>
      </c>
      <c r="CB78" s="54">
        <f t="shared" si="144"/>
        <v>-1.461272640901059</v>
      </c>
      <c r="CC78" s="54">
        <f t="shared" si="145"/>
        <v>0.13716133768133662</v>
      </c>
      <c r="CD78" s="54" t="e">
        <f t="shared" si="146"/>
        <v>#N/A</v>
      </c>
      <c r="CE78" s="54" t="e">
        <f t="shared" si="147"/>
        <v>#N/A</v>
      </c>
      <c r="CF78" s="54" t="e">
        <f t="shared" si="148"/>
        <v>#N/A</v>
      </c>
      <c r="CG78" s="54" t="b">
        <f t="shared" si="149"/>
        <v>0</v>
      </c>
      <c r="CH78" s="54" t="b">
        <f t="shared" si="150"/>
        <v>1</v>
      </c>
      <c r="CI78" s="54" t="b">
        <f t="shared" si="151"/>
        <v>0</v>
      </c>
      <c r="CJ78" s="54" t="b">
        <f t="shared" si="152"/>
        <v>1</v>
      </c>
      <c r="CK78" s="54">
        <f t="shared" si="119"/>
        <v>0.13716133768133662</v>
      </c>
      <c r="CL78" s="54" t="e">
        <f t="shared" si="153"/>
        <v>#N/A</v>
      </c>
      <c r="CM78" s="54">
        <f t="shared" si="154"/>
        <v>0.13716133768133662</v>
      </c>
      <c r="CN78" s="69" t="str">
        <f t="shared" si="155"/>
        <v/>
      </c>
      <c r="CO78" s="54">
        <f>_xlfn.NORM.DIST(_xlfn.NORM.INV(1-Eu_g_konfidensniveau,0,1)-Eu_tabel_g[[#This Row],[x base]],0,1,TRUE)</f>
        <v>0.42717109026423261</v>
      </c>
      <c r="CP78" s="54">
        <f>1-_xlfn.NORM.DIST(_xlfn.NORM.INV(Eu_g_konfidensniveau,0,1)-Eu_tabel_g[[#This Row],[x base]],0,1,TRUE)</f>
        <v>9.4777877233520602E-4</v>
      </c>
      <c r="CQ78" s="54">
        <f>_xlfn.NORM.DIST(_xlfn.NORM.INV((1-Eu_g_konfidensniveau)/2,0,1)-Eu_tabel_g[[#This Row],[x base]],0,1,TRUE)+1-_xlfn.NORM.DIST(_xlfn.NORM.INV(1-(1-Eu_g_konfidensniveau)/2,0,1)-Eu_tabel_g[[#This Row],[x base]],0,1,TRUE)</f>
        <v>0.30931010724091768</v>
      </c>
      <c r="CR78" s="54" t="e" cm="1">
        <f t="array" ref="CR78">IF($CR$3,INDEX(Eu_tabel_g[[#This Row],[Styrke venstre]:[Styrke tosidet]],CR$7),NA())</f>
        <v>#N/A</v>
      </c>
      <c r="CS78" s="89" t="e">
        <f>Eu_tabel_g[[#This Row],[Falsk positiv
Nulhypotese accepteres
Fejltype 1]]</f>
        <v>#N/A</v>
      </c>
      <c r="CT78" s="89" t="e">
        <f>IF(CHOOSE(CR$7,Eu_tabel_g[[#This Row],[x base]]&gt;0,Eu_tabel_g[[#This Row],[x base]]&lt;0,Eu_tabel_g[[#This Row],[x base]]=0),Eu_tabel_g[[#This Row],[Styrke, aktiv]],NA())</f>
        <v>#N/A</v>
      </c>
      <c r="CU78" s="89" t="e">
        <f>IFERROR(IF($CR$3,Eu_tabel_g[[#This Row],[Styrke, aktiv]],NA()),NA())</f>
        <v>#N/A</v>
      </c>
      <c r="CV78" s="89" t="e">
        <f>IF(ISNA(Eu_tabel_g[[#This Row],[Sand negativ
Nulhypotese afvises
Korrekt]]),NA(),IF($CR$3,1,NA()))</f>
        <v>#N/A</v>
      </c>
      <c r="CW78" s="56" t="str" cm="1">
        <f t="array" ref="CW78">_xlfn.SWITCH(BZ78,_xlfn.IFNA(CU$2,-99),CU$5,_xlfn.IFNA(CU$3,-99),CU$6,_xlfn.IFNA(CU$4,-99),CU$7,"")</f>
        <v/>
      </c>
      <c r="DA78" s="7">
        <f t="shared" si="156"/>
        <v>0.8</v>
      </c>
      <c r="DB78">
        <f>IF(ROW(Styrkeberegning_G[[#This Row],[X base venstre]])=ROW(Styrkeberegning_G[[#Headers],[X base venstre]])+1,DB$7/(DA$7/$B$67),DB77/(DA77/$B$67))</f>
        <v>-2.8015817870135784</v>
      </c>
      <c r="DC78">
        <f>Styrkeberegning_G[[#This Row],[X base venstre]]*-1</f>
        <v>2.8015817870135784</v>
      </c>
      <c r="DN78" s="54">
        <f t="shared" si="157"/>
        <v>68</v>
      </c>
      <c r="DO78" s="54">
        <f t="shared" si="158"/>
        <v>69</v>
      </c>
      <c r="DP78" s="54">
        <f t="shared" si="159"/>
        <v>9.5906709010097586</v>
      </c>
      <c r="DQ78" s="54" t="e">
        <f t="shared" si="160"/>
        <v>#N/A</v>
      </c>
      <c r="DR78" s="54" t="e">
        <f t="shared" si="161"/>
        <v>#N/A</v>
      </c>
      <c r="DS78" s="54">
        <f t="shared" si="162"/>
        <v>9.1455742759090727E-2</v>
      </c>
      <c r="DT78" s="54" t="e">
        <f t="shared" si="163"/>
        <v>#N/A</v>
      </c>
      <c r="DU78" s="54" t="b">
        <f t="shared" si="164"/>
        <v>0</v>
      </c>
      <c r="DV78" s="54" t="b">
        <f t="shared" si="165"/>
        <v>1</v>
      </c>
      <c r="DW78" s="54" t="b">
        <f t="shared" si="166"/>
        <v>0</v>
      </c>
      <c r="DX78" s="54" t="b">
        <f t="shared" si="167"/>
        <v>1</v>
      </c>
      <c r="DY78" s="54">
        <f t="shared" si="168"/>
        <v>9.1455742759090727E-2</v>
      </c>
      <c r="DZ78" s="54" t="e">
        <f t="shared" si="169"/>
        <v>#N/A</v>
      </c>
      <c r="EA78" s="54">
        <f t="shared" si="170"/>
        <v>9.1455742759090727E-2</v>
      </c>
      <c r="EB78" s="69" t="str">
        <f t="shared" si="171"/>
        <v/>
      </c>
      <c r="EG78" s="54">
        <f t="shared" si="172"/>
        <v>68</v>
      </c>
      <c r="EH78" s="54">
        <f t="shared" si="173"/>
        <v>69</v>
      </c>
      <c r="EI78" s="54">
        <f t="shared" si="174"/>
        <v>-1.461272640901059</v>
      </c>
      <c r="EJ78" s="54">
        <f t="shared" si="175"/>
        <v>0.13716133768133662</v>
      </c>
      <c r="EK78" s="54" t="e">
        <f t="shared" si="176"/>
        <v>#N/A</v>
      </c>
      <c r="EL78" s="54" t="e">
        <f t="shared" si="177"/>
        <v>#N/A</v>
      </c>
      <c r="EM78" s="54" t="e">
        <f t="shared" si="178"/>
        <v>#N/A</v>
      </c>
      <c r="EN78" s="54" t="b">
        <f t="shared" si="179"/>
        <v>0</v>
      </c>
      <c r="EO78" s="54" t="b">
        <f t="shared" si="180"/>
        <v>1</v>
      </c>
      <c r="EP78" s="54" t="b">
        <f t="shared" si="181"/>
        <v>0</v>
      </c>
      <c r="EQ78" s="54" t="b">
        <f t="shared" si="182"/>
        <v>1</v>
      </c>
      <c r="ER78" s="54">
        <f t="shared" si="183"/>
        <v>0.13716133768133662</v>
      </c>
      <c r="ES78" s="54" t="e">
        <f t="shared" si="184"/>
        <v>#N/A</v>
      </c>
      <c r="ET78" s="54">
        <f t="shared" si="185"/>
        <v>0.13716133768133662</v>
      </c>
      <c r="EU78" s="69" t="str">
        <f t="shared" si="186"/>
        <v/>
      </c>
      <c r="EV7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7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7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78" s="54" t="e" cm="1">
        <f t="array" ref="EY78">IF($CR$3,INDEX(Eu_tabel_a[[#This Row],[Styrke venstre]:[Styrke tosidet]],EY$7),NA())</f>
        <v>#N/A</v>
      </c>
      <c r="EZ78" s="54" t="e">
        <f>IF(EY$3,IF(CHOOSE(EY$7,Eu_tabel_a[[#This Row],[x base]]&gt;0,Eu_tabel_a[[#This Row],[x base]]&lt;0,Eu_tabel_a[[#This Row],[x base]]=0),1,NA()),NA())</f>
        <v>#N/A</v>
      </c>
      <c r="FA78" s="54" t="e">
        <f>IF(CHOOSE(EY$7,Eu_tabel_a[[#This Row],[x base]]&gt;0,Eu_tabel_a[[#This Row],[x base]]&lt;0,Eu_tabel_a[[#This Row],[x base]]=0),Eu_tabel_a[[#This Row],[Styrke, aktiv]],NA())</f>
        <v>#N/A</v>
      </c>
      <c r="FB78" s="54" t="e">
        <f>IFERROR(IF($EY$3,Eu_tabel_a[[#This Row],[Styrke, aktiv]],NA()),NA())</f>
        <v>#N/A</v>
      </c>
      <c r="FC78" s="54" t="e">
        <f>IF(ISNA(Eu_tabel_a[[#This Row],[Sand negativ
Nulhypotese afvises
Korrekt]]),NA(),IF(EY$3,1,NA()))</f>
        <v>#N/A</v>
      </c>
      <c r="FD78" s="55" t="str" cm="1">
        <f t="array" ref="FD78">IFERROR(_xlfn.SWITCH(Eu_tabel_a[[#This Row],[Indeks]],_xlfn.IFNA(FB$2,-99),FB$5,_xlfn.IFNA(FB$3,-99),FB$6,_xlfn.IFNA(FB$4,-99),FB$7,""),"")</f>
        <v/>
      </c>
      <c r="FE78" s="54">
        <f>Eu_tabel_a[[#This Row],[x base]]*SQRT(Eu_a_h0_x*(1-Eu_a_h0_x)/Eu_a_n_x)+Eu_a_h0_x</f>
        <v>0</v>
      </c>
      <c r="FJ78" s="144" t="e">
        <f t="shared" si="130"/>
        <v>#N/A</v>
      </c>
      <c r="FK78" s="152" t="e">
        <f t="shared" si="113"/>
        <v>#DIV/0!</v>
      </c>
      <c r="FL78" s="7" t="e">
        <f t="shared" si="124"/>
        <v>#DIV/0!</v>
      </c>
      <c r="FM78" t="e">
        <f t="shared" si="114"/>
        <v>#DIV/0!</v>
      </c>
      <c r="FN78" s="8" t="e">
        <f t="shared" si="115"/>
        <v>#DIV/0!</v>
      </c>
      <c r="FO78" s="8" t="e">
        <f t="shared" si="116"/>
        <v>#DIV/0!</v>
      </c>
      <c r="FP78" s="151" t="e">
        <f t="shared" si="117"/>
        <v>#DIV/0!</v>
      </c>
      <c r="FQ78" s="144" t="e">
        <f t="shared" ca="1" si="125"/>
        <v>#N/A</v>
      </c>
      <c r="FR78" s="152" t="e" vm="3">
        <f t="shared" ca="1" si="131"/>
        <v>#VALUE!</v>
      </c>
      <c r="FS78" s="7" t="e" vm="3">
        <f t="shared" ca="1" si="126"/>
        <v>#VALUE!</v>
      </c>
      <c r="FT78" t="e" vm="3">
        <f t="shared" ca="1" si="120"/>
        <v>#VALUE!</v>
      </c>
      <c r="FU78" s="8" t="e" vm="3">
        <f t="shared" ca="1" si="121"/>
        <v>#VALUE!</v>
      </c>
      <c r="FV78" s="8" t="e" vm="3">
        <f t="shared" ca="1" si="122"/>
        <v>#VALUE!</v>
      </c>
      <c r="FW78" s="151" t="e" vm="3">
        <f t="shared" ca="1" si="123"/>
        <v>#VALUE!</v>
      </c>
      <c r="FX78" s="144" t="e">
        <f t="shared" si="127"/>
        <v>#N/A</v>
      </c>
      <c r="FY78" s="152" t="e">
        <f t="shared" si="132"/>
        <v>#N/A</v>
      </c>
      <c r="FZ78" s="7" t="e">
        <f t="shared" si="128"/>
        <v>#N/A</v>
      </c>
      <c r="GA78" t="e">
        <f t="shared" si="133"/>
        <v>#N/A</v>
      </c>
      <c r="GB78" s="8" t="e">
        <f t="shared" si="134"/>
        <v>#N/A</v>
      </c>
      <c r="GC78" s="8" t="e">
        <f t="shared" si="135"/>
        <v>#N/A</v>
      </c>
      <c r="GD78" s="151" t="e">
        <f t="shared" si="136"/>
        <v>#N/A</v>
      </c>
      <c r="GE78" s="144" t="e">
        <f t="shared" si="137"/>
        <v>#N/A</v>
      </c>
      <c r="GF78" s="152" t="e">
        <f t="shared" si="138"/>
        <v>#N/A</v>
      </c>
      <c r="GG78" s="7" t="e">
        <f t="shared" si="129"/>
        <v>#N/A</v>
      </c>
      <c r="GH78" t="e">
        <f t="shared" si="139"/>
        <v>#N/A</v>
      </c>
      <c r="GI78" s="8" t="e">
        <f t="shared" si="140"/>
        <v>#N/A</v>
      </c>
      <c r="GJ78" s="8" t="e">
        <f t="shared" si="141"/>
        <v>#N/A</v>
      </c>
      <c r="GK78" s="151" t="e">
        <f t="shared" si="142"/>
        <v>#N/A</v>
      </c>
      <c r="GL78" s="151"/>
      <c r="GM78" s="151"/>
      <c r="GP78" s="54">
        <f t="shared" si="187"/>
        <v>68</v>
      </c>
      <c r="GQ78" s="54">
        <f t="shared" si="188"/>
        <v>69</v>
      </c>
      <c r="GR78" s="54">
        <f t="shared" si="189"/>
        <v>-1.461272640901059</v>
      </c>
      <c r="GS78" s="54">
        <f t="shared" si="190"/>
        <v>0.13716133768133662</v>
      </c>
      <c r="GT78" s="54" t="e">
        <f t="shared" si="191"/>
        <v>#N/A</v>
      </c>
      <c r="GU78" s="54" t="e">
        <f t="shared" si="192"/>
        <v>#N/A</v>
      </c>
      <c r="GV78" s="54" t="e">
        <f t="shared" si="193"/>
        <v>#N/A</v>
      </c>
      <c r="GW78" s="54" t="b">
        <f t="shared" si="194"/>
        <v>0</v>
      </c>
      <c r="GX78" s="54" t="b">
        <f t="shared" si="195"/>
        <v>1</v>
      </c>
      <c r="GY78" s="54" t="b">
        <f t="shared" si="196"/>
        <v>0</v>
      </c>
      <c r="GZ78" s="54" t="b">
        <f t="shared" si="197"/>
        <v>1</v>
      </c>
      <c r="HA78" s="54">
        <f t="shared" si="198"/>
        <v>0.13716133768133662</v>
      </c>
      <c r="HB78" s="54" t="e">
        <f t="shared" si="199"/>
        <v>#N/A</v>
      </c>
      <c r="HC78" s="54">
        <f t="shared" si="200"/>
        <v>0.13716133768133662</v>
      </c>
      <c r="HD78" s="69" t="str">
        <f t="shared" si="201"/>
        <v/>
      </c>
      <c r="HJ78" s="54">
        <f t="shared" si="202"/>
        <v>68</v>
      </c>
      <c r="HK78" s="54">
        <f t="shared" si="203"/>
        <v>69</v>
      </c>
      <c r="HL78" s="54">
        <f t="shared" si="204"/>
        <v>-2.2628113747824674</v>
      </c>
      <c r="HM78" s="54" t="e">
        <f t="shared" si="205"/>
        <v>#N/A</v>
      </c>
      <c r="HN78" s="54">
        <f t="shared" si="206"/>
        <v>4.2833895415660274E-2</v>
      </c>
      <c r="HO78" s="54" t="e">
        <f t="shared" si="207"/>
        <v>#N/A</v>
      </c>
      <c r="HP78" s="54" t="e">
        <f t="shared" si="208"/>
        <v>#N/A</v>
      </c>
      <c r="HQ78" s="54" t="b">
        <f t="shared" si="209"/>
        <v>1</v>
      </c>
      <c r="HR78" s="54" t="b">
        <f t="shared" si="210"/>
        <v>0</v>
      </c>
      <c r="HS78" s="54" t="b">
        <f t="shared" si="211"/>
        <v>1</v>
      </c>
      <c r="HT78" s="54" t="b">
        <f t="shared" si="212"/>
        <v>0</v>
      </c>
      <c r="HU78" s="54">
        <f t="shared" si="213"/>
        <v>4.2833895415660274E-2</v>
      </c>
      <c r="HV78" s="54">
        <f t="shared" si="214"/>
        <v>4.2833895415660274E-2</v>
      </c>
      <c r="HW78" s="54" t="e">
        <f t="shared" si="215"/>
        <v>#N/A</v>
      </c>
      <c r="HX78" s="69" t="str">
        <f t="shared" si="216"/>
        <v/>
      </c>
    </row>
    <row r="79" spans="1:232" x14ac:dyDescent="0.2">
      <c r="BZ79" s="54">
        <f t="shared" si="143"/>
        <v>69</v>
      </c>
      <c r="CA79" s="54">
        <f>Eu_tabel_g[[#This Row],[Indeks]]+1</f>
        <v>70</v>
      </c>
      <c r="CB79" s="54">
        <f t="shared" si="144"/>
        <v>-1.4373173517059596</v>
      </c>
      <c r="CC79" s="54">
        <f t="shared" si="145"/>
        <v>0.14200697285664771</v>
      </c>
      <c r="CD79" s="54" t="e">
        <f t="shared" si="146"/>
        <v>#N/A</v>
      </c>
      <c r="CE79" s="54" t="e">
        <f t="shared" si="147"/>
        <v>#N/A</v>
      </c>
      <c r="CF79" s="54" t="e">
        <f t="shared" si="148"/>
        <v>#N/A</v>
      </c>
      <c r="CG79" s="54" t="b">
        <f t="shared" si="149"/>
        <v>0</v>
      </c>
      <c r="CH79" s="54" t="b">
        <f t="shared" si="150"/>
        <v>1</v>
      </c>
      <c r="CI79" s="54" t="b">
        <f t="shared" si="151"/>
        <v>0</v>
      </c>
      <c r="CJ79" s="54" t="b">
        <f t="shared" si="152"/>
        <v>1</v>
      </c>
      <c r="CK79" s="54">
        <f t="shared" si="119"/>
        <v>0.14200697285664771</v>
      </c>
      <c r="CL79" s="54" t="e">
        <f t="shared" si="153"/>
        <v>#N/A</v>
      </c>
      <c r="CM79" s="54">
        <f t="shared" si="154"/>
        <v>0.14200697285664771</v>
      </c>
      <c r="CN79" s="69" t="str">
        <f t="shared" si="155"/>
        <v/>
      </c>
      <c r="CO79" s="54">
        <f>_xlfn.NORM.DIST(_xlfn.NORM.INV(1-Eu_g_konfidensniveau,0,1)-Eu_tabel_g[[#This Row],[x base]],0,1,TRUE)</f>
        <v>0.41779553287962068</v>
      </c>
      <c r="CP79" s="54">
        <f>1-_xlfn.NORM.DIST(_xlfn.NORM.INV(Eu_g_konfidensniveau,0,1)-Eu_tabel_g[[#This Row],[x base]],0,1,TRUE)</f>
        <v>1.0274838287291921E-3</v>
      </c>
      <c r="CQ79" s="54">
        <f>_xlfn.NORM.DIST(_xlfn.NORM.INV((1-Eu_g_konfidensniveau)/2,0,1)-Eu_tabel_g[[#This Row],[x base]],0,1,TRUE)+1-_xlfn.NORM.DIST(_xlfn.NORM.INV(1-(1-Eu_g_konfidensniveau)/2,0,1)-Eu_tabel_g[[#This Row],[x base]],0,1,TRUE)</f>
        <v>0.30095038606562374</v>
      </c>
      <c r="CR79" s="54" t="e" cm="1">
        <f t="array" ref="CR79">IF($CR$3,INDEX(Eu_tabel_g[[#This Row],[Styrke venstre]:[Styrke tosidet]],CR$7),NA())</f>
        <v>#N/A</v>
      </c>
      <c r="CS79" s="89" t="e">
        <f>Eu_tabel_g[[#This Row],[Falsk positiv
Nulhypotese accepteres
Fejltype 1]]</f>
        <v>#N/A</v>
      </c>
      <c r="CT79" s="89" t="e">
        <f>IF(CHOOSE(CR$7,Eu_tabel_g[[#This Row],[x base]]&gt;0,Eu_tabel_g[[#This Row],[x base]]&lt;0,Eu_tabel_g[[#This Row],[x base]]=0),Eu_tabel_g[[#This Row],[Styrke, aktiv]],NA())</f>
        <v>#N/A</v>
      </c>
      <c r="CU79" s="89" t="e">
        <f>IFERROR(IF($CR$3,Eu_tabel_g[[#This Row],[Styrke, aktiv]],NA()),NA())</f>
        <v>#N/A</v>
      </c>
      <c r="CV79" s="89" t="e">
        <f>IF(ISNA(Eu_tabel_g[[#This Row],[Sand negativ
Nulhypotese afvises
Korrekt]]),NA(),IF($CR$3,1,NA()))</f>
        <v>#N/A</v>
      </c>
      <c r="CW79" s="56" t="str" cm="1">
        <f t="array" ref="CW79">_xlfn.SWITCH(BZ79,_xlfn.IFNA(CU$2,-99),CU$5,_xlfn.IFNA(CU$3,-99),CU$6,_xlfn.IFNA(CU$4,-99),CU$7,"")</f>
        <v/>
      </c>
      <c r="DA79" s="7">
        <f t="shared" si="156"/>
        <v>0.8</v>
      </c>
      <c r="DB79">
        <f>IF(ROW(Styrkeberegning_G[[#This Row],[X base venstre]])=ROW(Styrkeberegning_G[[#Headers],[X base venstre]])+1,DB$7/(DA$7/$B$67),DB78/(DA78/$B$67))</f>
        <v>-2.8015817870135784</v>
      </c>
      <c r="DC79">
        <f>Styrkeberegning_G[[#This Row],[X base venstre]]*-1</f>
        <v>2.8015817870135784</v>
      </c>
      <c r="DN79" s="54">
        <f t="shared" si="157"/>
        <v>69</v>
      </c>
      <c r="DO79" s="54">
        <f t="shared" si="158"/>
        <v>70</v>
      </c>
      <c r="DP79" s="54">
        <f t="shared" si="159"/>
        <v>9.7047417574267598</v>
      </c>
      <c r="DQ79" s="54" t="e">
        <f t="shared" si="160"/>
        <v>#N/A</v>
      </c>
      <c r="DR79" s="54" t="e">
        <f t="shared" si="161"/>
        <v>#N/A</v>
      </c>
      <c r="DS79" s="54">
        <f t="shared" si="162"/>
        <v>9.1106273997226025E-2</v>
      </c>
      <c r="DT79" s="54" t="e">
        <f t="shared" si="163"/>
        <v>#N/A</v>
      </c>
      <c r="DU79" s="54" t="b">
        <f t="shared" si="164"/>
        <v>0</v>
      </c>
      <c r="DV79" s="54" t="b">
        <f t="shared" si="165"/>
        <v>1</v>
      </c>
      <c r="DW79" s="54" t="b">
        <f t="shared" si="166"/>
        <v>0</v>
      </c>
      <c r="DX79" s="54" t="b">
        <f t="shared" si="167"/>
        <v>1</v>
      </c>
      <c r="DY79" s="54">
        <f t="shared" si="168"/>
        <v>9.1106273997226025E-2</v>
      </c>
      <c r="DZ79" s="54" t="e">
        <f t="shared" si="169"/>
        <v>#N/A</v>
      </c>
      <c r="EA79" s="54">
        <f t="shared" si="170"/>
        <v>9.1106273997226025E-2</v>
      </c>
      <c r="EB79" s="69" t="str">
        <f t="shared" si="171"/>
        <v/>
      </c>
      <c r="EG79" s="54">
        <f t="shared" si="172"/>
        <v>69</v>
      </c>
      <c r="EH79" s="54">
        <f t="shared" si="173"/>
        <v>70</v>
      </c>
      <c r="EI79" s="54">
        <f t="shared" si="174"/>
        <v>-1.4373173517059596</v>
      </c>
      <c r="EJ79" s="54">
        <f t="shared" si="175"/>
        <v>0.14200697285664771</v>
      </c>
      <c r="EK79" s="54" t="e">
        <f t="shared" si="176"/>
        <v>#N/A</v>
      </c>
      <c r="EL79" s="54" t="e">
        <f t="shared" si="177"/>
        <v>#N/A</v>
      </c>
      <c r="EM79" s="54" t="e">
        <f t="shared" si="178"/>
        <v>#N/A</v>
      </c>
      <c r="EN79" s="54" t="b">
        <f t="shared" si="179"/>
        <v>0</v>
      </c>
      <c r="EO79" s="54" t="b">
        <f t="shared" si="180"/>
        <v>1</v>
      </c>
      <c r="EP79" s="54" t="b">
        <f t="shared" si="181"/>
        <v>0</v>
      </c>
      <c r="EQ79" s="54" t="b">
        <f t="shared" si="182"/>
        <v>1</v>
      </c>
      <c r="ER79" s="54">
        <f t="shared" si="183"/>
        <v>0.14200697285664771</v>
      </c>
      <c r="ES79" s="54" t="e">
        <f t="shared" si="184"/>
        <v>#N/A</v>
      </c>
      <c r="ET79" s="54">
        <f t="shared" si="185"/>
        <v>0.14200697285664771</v>
      </c>
      <c r="EU79" s="69" t="str">
        <f t="shared" si="186"/>
        <v/>
      </c>
      <c r="EV7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7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7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79" s="54" t="e" cm="1">
        <f t="array" ref="EY79">IF($CR$3,INDEX(Eu_tabel_a[[#This Row],[Styrke venstre]:[Styrke tosidet]],EY$7),NA())</f>
        <v>#N/A</v>
      </c>
      <c r="EZ79" s="54" t="e">
        <f>IF(EY$3,IF(CHOOSE(EY$7,Eu_tabel_a[[#This Row],[x base]]&gt;0,Eu_tabel_a[[#This Row],[x base]]&lt;0,Eu_tabel_a[[#This Row],[x base]]=0),1,NA()),NA())</f>
        <v>#N/A</v>
      </c>
      <c r="FA79" s="54" t="e">
        <f>IF(CHOOSE(EY$7,Eu_tabel_a[[#This Row],[x base]]&gt;0,Eu_tabel_a[[#This Row],[x base]]&lt;0,Eu_tabel_a[[#This Row],[x base]]=0),Eu_tabel_a[[#This Row],[Styrke, aktiv]],NA())</f>
        <v>#N/A</v>
      </c>
      <c r="FB79" s="54" t="e">
        <f>IFERROR(IF($EY$3,Eu_tabel_a[[#This Row],[Styrke, aktiv]],NA()),NA())</f>
        <v>#N/A</v>
      </c>
      <c r="FC79" s="54" t="e">
        <f>IF(ISNA(Eu_tabel_a[[#This Row],[Sand negativ
Nulhypotese afvises
Korrekt]]),NA(),IF(EY$3,1,NA()))</f>
        <v>#N/A</v>
      </c>
      <c r="FD79" s="55" t="str" cm="1">
        <f t="array" ref="FD79">IFERROR(_xlfn.SWITCH(Eu_tabel_a[[#This Row],[Indeks]],_xlfn.IFNA(FB$2,-99),FB$5,_xlfn.IFNA(FB$3,-99),FB$6,_xlfn.IFNA(FB$4,-99),FB$7,""),"")</f>
        <v/>
      </c>
      <c r="FE79" s="54">
        <f>Eu_tabel_a[[#This Row],[x base]]*SQRT(Eu_a_h0_x*(1-Eu_a_h0_x)/Eu_a_n_x)+Eu_a_h0_x</f>
        <v>0</v>
      </c>
      <c r="FJ79" s="144" t="e">
        <f t="shared" si="130"/>
        <v>#N/A</v>
      </c>
      <c r="FK79" s="152" t="e">
        <f t="shared" si="113"/>
        <v>#DIV/0!</v>
      </c>
      <c r="FL79" s="7" t="e">
        <f t="shared" si="124"/>
        <v>#DIV/0!</v>
      </c>
      <c r="FM79" t="e">
        <f t="shared" si="114"/>
        <v>#DIV/0!</v>
      </c>
      <c r="FN79" s="8" t="e">
        <f t="shared" si="115"/>
        <v>#DIV/0!</v>
      </c>
      <c r="FO79" s="8" t="e">
        <f t="shared" si="116"/>
        <v>#DIV/0!</v>
      </c>
      <c r="FP79" s="151" t="e">
        <f t="shared" si="117"/>
        <v>#DIV/0!</v>
      </c>
      <c r="FQ79" s="144" t="e">
        <f t="shared" ca="1" si="125"/>
        <v>#N/A</v>
      </c>
      <c r="FR79" s="152" t="e" vm="3">
        <f t="shared" ca="1" si="131"/>
        <v>#VALUE!</v>
      </c>
      <c r="FS79" s="7" t="e" vm="3">
        <f t="shared" ca="1" si="126"/>
        <v>#VALUE!</v>
      </c>
      <c r="FT79" t="e" vm="3">
        <f t="shared" ca="1" si="120"/>
        <v>#VALUE!</v>
      </c>
      <c r="FU79" s="8" t="e" vm="3">
        <f t="shared" ca="1" si="121"/>
        <v>#VALUE!</v>
      </c>
      <c r="FV79" s="8" t="e" vm="3">
        <f t="shared" ca="1" si="122"/>
        <v>#VALUE!</v>
      </c>
      <c r="FW79" s="151" t="e" vm="3">
        <f t="shared" ca="1" si="123"/>
        <v>#VALUE!</v>
      </c>
      <c r="FX79" s="144" t="e">
        <f t="shared" si="127"/>
        <v>#N/A</v>
      </c>
      <c r="FY79" s="152" t="e">
        <f t="shared" si="132"/>
        <v>#N/A</v>
      </c>
      <c r="FZ79" s="7" t="e">
        <f t="shared" si="128"/>
        <v>#N/A</v>
      </c>
      <c r="GA79" t="e">
        <f t="shared" si="133"/>
        <v>#N/A</v>
      </c>
      <c r="GB79" s="8" t="e">
        <f t="shared" si="134"/>
        <v>#N/A</v>
      </c>
      <c r="GC79" s="8" t="e">
        <f t="shared" si="135"/>
        <v>#N/A</v>
      </c>
      <c r="GD79" s="151" t="e">
        <f t="shared" si="136"/>
        <v>#N/A</v>
      </c>
      <c r="GE79" s="144" t="e">
        <f t="shared" si="137"/>
        <v>#N/A</v>
      </c>
      <c r="GF79" s="152" t="e">
        <f t="shared" si="138"/>
        <v>#N/A</v>
      </c>
      <c r="GG79" s="7" t="e">
        <f t="shared" si="129"/>
        <v>#N/A</v>
      </c>
      <c r="GH79" t="e">
        <f t="shared" si="139"/>
        <v>#N/A</v>
      </c>
      <c r="GI79" s="8" t="e">
        <f t="shared" si="140"/>
        <v>#N/A</v>
      </c>
      <c r="GJ79" s="8" t="e">
        <f t="shared" si="141"/>
        <v>#N/A</v>
      </c>
      <c r="GK79" s="151" t="e">
        <f t="shared" si="142"/>
        <v>#N/A</v>
      </c>
      <c r="GL79" s="151"/>
      <c r="GM79" s="151"/>
      <c r="GP79" s="54">
        <f t="shared" si="187"/>
        <v>69</v>
      </c>
      <c r="GQ79" s="54">
        <f t="shared" si="188"/>
        <v>70</v>
      </c>
      <c r="GR79" s="54">
        <f t="shared" si="189"/>
        <v>-1.4373173517059596</v>
      </c>
      <c r="GS79" s="54">
        <f t="shared" si="190"/>
        <v>0.14200697285664771</v>
      </c>
      <c r="GT79" s="54" t="e">
        <f t="shared" si="191"/>
        <v>#N/A</v>
      </c>
      <c r="GU79" s="54" t="e">
        <f t="shared" si="192"/>
        <v>#N/A</v>
      </c>
      <c r="GV79" s="54" t="e">
        <f t="shared" si="193"/>
        <v>#N/A</v>
      </c>
      <c r="GW79" s="54" t="b">
        <f t="shared" si="194"/>
        <v>0</v>
      </c>
      <c r="GX79" s="54" t="b">
        <f t="shared" si="195"/>
        <v>1</v>
      </c>
      <c r="GY79" s="54" t="b">
        <f t="shared" si="196"/>
        <v>0</v>
      </c>
      <c r="GZ79" s="54" t="b">
        <f t="shared" si="197"/>
        <v>1</v>
      </c>
      <c r="HA79" s="54">
        <f t="shared" si="198"/>
        <v>0.14200697285664771</v>
      </c>
      <c r="HB79" s="54" t="e">
        <f t="shared" si="199"/>
        <v>#N/A</v>
      </c>
      <c r="HC79" s="54">
        <f t="shared" si="200"/>
        <v>0.14200697285664771</v>
      </c>
      <c r="HD79" s="69" t="str">
        <f t="shared" si="201"/>
        <v/>
      </c>
      <c r="HJ79" s="54">
        <f t="shared" si="202"/>
        <v>69</v>
      </c>
      <c r="HK79" s="54">
        <f t="shared" si="203"/>
        <v>70</v>
      </c>
      <c r="HL79" s="54">
        <f t="shared" si="204"/>
        <v>-2.2257161063434108</v>
      </c>
      <c r="HM79" s="54" t="e">
        <f t="shared" si="205"/>
        <v>#N/A</v>
      </c>
      <c r="HN79" s="54">
        <f t="shared" si="206"/>
        <v>4.5270733725450971E-2</v>
      </c>
      <c r="HO79" s="54" t="e">
        <f t="shared" si="207"/>
        <v>#N/A</v>
      </c>
      <c r="HP79" s="54" t="e">
        <f t="shared" si="208"/>
        <v>#N/A</v>
      </c>
      <c r="HQ79" s="54" t="b">
        <f t="shared" si="209"/>
        <v>1</v>
      </c>
      <c r="HR79" s="54" t="b">
        <f t="shared" si="210"/>
        <v>0</v>
      </c>
      <c r="HS79" s="54" t="b">
        <f t="shared" si="211"/>
        <v>1</v>
      </c>
      <c r="HT79" s="54" t="b">
        <f t="shared" si="212"/>
        <v>0</v>
      </c>
      <c r="HU79" s="54">
        <f t="shared" si="213"/>
        <v>4.5270733725450971E-2</v>
      </c>
      <c r="HV79" s="54">
        <f t="shared" si="214"/>
        <v>4.5270733725450971E-2</v>
      </c>
      <c r="HW79" s="54" t="e">
        <f t="shared" si="215"/>
        <v>#N/A</v>
      </c>
      <c r="HX79" s="69" t="str">
        <f t="shared" si="216"/>
        <v/>
      </c>
    </row>
    <row r="80" spans="1:232" x14ac:dyDescent="0.2">
      <c r="BZ80" s="54">
        <f t="shared" si="143"/>
        <v>70</v>
      </c>
      <c r="CA80" s="54">
        <f>Eu_tabel_g[[#This Row],[Indeks]]+1</f>
        <v>71</v>
      </c>
      <c r="CB80" s="54">
        <f t="shared" si="144"/>
        <v>-1.4133620625108603</v>
      </c>
      <c r="CC80" s="54">
        <f t="shared" si="145"/>
        <v>0.14693944834608266</v>
      </c>
      <c r="CD80" s="54" t="e">
        <f t="shared" si="146"/>
        <v>#N/A</v>
      </c>
      <c r="CE80" s="54" t="e">
        <f t="shared" si="147"/>
        <v>#N/A</v>
      </c>
      <c r="CF80" s="54" t="e">
        <f t="shared" si="148"/>
        <v>#N/A</v>
      </c>
      <c r="CG80" s="54" t="b">
        <f t="shared" si="149"/>
        <v>0</v>
      </c>
      <c r="CH80" s="54" t="b">
        <f t="shared" si="150"/>
        <v>1</v>
      </c>
      <c r="CI80" s="54" t="b">
        <f t="shared" si="151"/>
        <v>0</v>
      </c>
      <c r="CJ80" s="54" t="b">
        <f t="shared" si="152"/>
        <v>1</v>
      </c>
      <c r="CK80" s="54">
        <f t="shared" si="119"/>
        <v>0.14693944834608266</v>
      </c>
      <c r="CL80" s="54" t="e">
        <f t="shared" si="153"/>
        <v>#N/A</v>
      </c>
      <c r="CM80" s="54">
        <f t="shared" si="154"/>
        <v>0.14693944834608266</v>
      </c>
      <c r="CN80" s="69" t="str">
        <f t="shared" si="155"/>
        <v/>
      </c>
      <c r="CO80" s="54">
        <f>_xlfn.NORM.DIST(_xlfn.NORM.INV(1-Eu_g_konfidensniveau,0,1)-Eu_tabel_g[[#This Row],[x base]],0,1,TRUE)</f>
        <v>0.4084664690436639</v>
      </c>
      <c r="CP80" s="54">
        <f>1-_xlfn.NORM.DIST(_xlfn.NORM.INV(Eu_g_konfidensniveau,0,1)-Eu_tabel_g[[#This Row],[x base]],0,1,TRUE)</f>
        <v>1.1132962523361378E-3</v>
      </c>
      <c r="CQ80" s="54">
        <f>_xlfn.NORM.DIST(_xlfn.NORM.INV((1-Eu_g_konfidensniveau)/2,0,1)-Eu_tabel_g[[#This Row],[x base]],0,1,TRUE)+1-_xlfn.NORM.DIST(_xlfn.NORM.INV(1-(1-Eu_g_konfidensniveau)/2,0,1)-Eu_tabel_g[[#This Row],[x base]],0,1,TRUE)</f>
        <v>0.29269745394311342</v>
      </c>
      <c r="CR80" s="54" t="e" cm="1">
        <f t="array" ref="CR80">IF($CR$3,INDEX(Eu_tabel_g[[#This Row],[Styrke venstre]:[Styrke tosidet]],CR$7),NA())</f>
        <v>#N/A</v>
      </c>
      <c r="CS80" s="89" t="e">
        <f>Eu_tabel_g[[#This Row],[Falsk positiv
Nulhypotese accepteres
Fejltype 1]]</f>
        <v>#N/A</v>
      </c>
      <c r="CT80" s="89" t="e">
        <f>IF(CHOOSE(CR$7,Eu_tabel_g[[#This Row],[x base]]&gt;0,Eu_tabel_g[[#This Row],[x base]]&lt;0,Eu_tabel_g[[#This Row],[x base]]=0),Eu_tabel_g[[#This Row],[Styrke, aktiv]],NA())</f>
        <v>#N/A</v>
      </c>
      <c r="CU80" s="89" t="e">
        <f>IFERROR(IF($CR$3,Eu_tabel_g[[#This Row],[Styrke, aktiv]],NA()),NA())</f>
        <v>#N/A</v>
      </c>
      <c r="CV80" s="89" t="e">
        <f>IF(ISNA(Eu_tabel_g[[#This Row],[Sand negativ
Nulhypotese afvises
Korrekt]]),NA(),IF($CR$3,1,NA()))</f>
        <v>#N/A</v>
      </c>
      <c r="CW80" s="56" t="str" cm="1">
        <f t="array" ref="CW80">_xlfn.SWITCH(BZ80,_xlfn.IFNA(CU$2,-99),CU$5,_xlfn.IFNA(CU$3,-99),CU$6,_xlfn.IFNA(CU$4,-99),CU$7,"")</f>
        <v/>
      </c>
      <c r="DA80" s="7">
        <f t="shared" si="156"/>
        <v>0.8</v>
      </c>
      <c r="DB80">
        <f>IF(ROW(Styrkeberegning_G[[#This Row],[X base venstre]])=ROW(Styrkeberegning_G[[#Headers],[X base venstre]])+1,DB$7/(DA$7/$B$67),DB79/(DA79/$B$67))</f>
        <v>-2.8015817870135784</v>
      </c>
      <c r="DC80">
        <f>Styrkeberegning_G[[#This Row],[X base venstre]]*-1</f>
        <v>2.8015817870135784</v>
      </c>
      <c r="DN80" s="54">
        <f t="shared" si="157"/>
        <v>70</v>
      </c>
      <c r="DO80" s="54">
        <f t="shared" si="158"/>
        <v>71</v>
      </c>
      <c r="DP80" s="54">
        <f t="shared" si="159"/>
        <v>9.818812613843761</v>
      </c>
      <c r="DQ80" s="54" t="e">
        <f t="shared" si="160"/>
        <v>#N/A</v>
      </c>
      <c r="DR80" s="54" t="e">
        <f t="shared" si="161"/>
        <v>#N/A</v>
      </c>
      <c r="DS80" s="54">
        <f t="shared" si="162"/>
        <v>9.0701728223188074E-2</v>
      </c>
      <c r="DT80" s="54" t="e">
        <f t="shared" si="163"/>
        <v>#N/A</v>
      </c>
      <c r="DU80" s="54" t="b">
        <f t="shared" si="164"/>
        <v>0</v>
      </c>
      <c r="DV80" s="54" t="b">
        <f t="shared" si="165"/>
        <v>1</v>
      </c>
      <c r="DW80" s="54" t="b">
        <f t="shared" si="166"/>
        <v>0</v>
      </c>
      <c r="DX80" s="54" t="b">
        <f t="shared" si="167"/>
        <v>1</v>
      </c>
      <c r="DY80" s="54">
        <f t="shared" si="168"/>
        <v>9.0701728223188074E-2</v>
      </c>
      <c r="DZ80" s="54" t="e">
        <f t="shared" si="169"/>
        <v>#N/A</v>
      </c>
      <c r="EA80" s="54">
        <f t="shared" si="170"/>
        <v>9.0701728223188074E-2</v>
      </c>
      <c r="EB80" s="69" t="str">
        <f t="shared" si="171"/>
        <v/>
      </c>
      <c r="EG80" s="54">
        <f t="shared" si="172"/>
        <v>70</v>
      </c>
      <c r="EH80" s="54">
        <f t="shared" si="173"/>
        <v>71</v>
      </c>
      <c r="EI80" s="54">
        <f t="shared" si="174"/>
        <v>-1.4133620625108603</v>
      </c>
      <c r="EJ80" s="54">
        <f t="shared" si="175"/>
        <v>0.14693944834608266</v>
      </c>
      <c r="EK80" s="54" t="e">
        <f t="shared" si="176"/>
        <v>#N/A</v>
      </c>
      <c r="EL80" s="54" t="e">
        <f t="shared" si="177"/>
        <v>#N/A</v>
      </c>
      <c r="EM80" s="54" t="e">
        <f t="shared" si="178"/>
        <v>#N/A</v>
      </c>
      <c r="EN80" s="54" t="b">
        <f t="shared" si="179"/>
        <v>0</v>
      </c>
      <c r="EO80" s="54" t="b">
        <f t="shared" si="180"/>
        <v>1</v>
      </c>
      <c r="EP80" s="54" t="b">
        <f t="shared" si="181"/>
        <v>0</v>
      </c>
      <c r="EQ80" s="54" t="b">
        <f t="shared" si="182"/>
        <v>1</v>
      </c>
      <c r="ER80" s="54">
        <f t="shared" si="183"/>
        <v>0.14693944834608266</v>
      </c>
      <c r="ES80" s="54" t="e">
        <f t="shared" si="184"/>
        <v>#N/A</v>
      </c>
      <c r="ET80" s="54">
        <f t="shared" si="185"/>
        <v>0.14693944834608266</v>
      </c>
      <c r="EU80" s="69" t="str">
        <f t="shared" si="186"/>
        <v/>
      </c>
      <c r="EV8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8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8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80" s="54" t="e" cm="1">
        <f t="array" ref="EY80">IF($CR$3,INDEX(Eu_tabel_a[[#This Row],[Styrke venstre]:[Styrke tosidet]],EY$7),NA())</f>
        <v>#N/A</v>
      </c>
      <c r="EZ80" s="54" t="e">
        <f>IF(EY$3,IF(CHOOSE(EY$7,Eu_tabel_a[[#This Row],[x base]]&gt;0,Eu_tabel_a[[#This Row],[x base]]&lt;0,Eu_tabel_a[[#This Row],[x base]]=0),1,NA()),NA())</f>
        <v>#N/A</v>
      </c>
      <c r="FA80" s="54" t="e">
        <f>IF(CHOOSE(EY$7,Eu_tabel_a[[#This Row],[x base]]&gt;0,Eu_tabel_a[[#This Row],[x base]]&lt;0,Eu_tabel_a[[#This Row],[x base]]=0),Eu_tabel_a[[#This Row],[Styrke, aktiv]],NA())</f>
        <v>#N/A</v>
      </c>
      <c r="FB80" s="54" t="e">
        <f>IFERROR(IF($EY$3,Eu_tabel_a[[#This Row],[Styrke, aktiv]],NA()),NA())</f>
        <v>#N/A</v>
      </c>
      <c r="FC80" s="54" t="e">
        <f>IF(ISNA(Eu_tabel_a[[#This Row],[Sand negativ
Nulhypotese afvises
Korrekt]]),NA(),IF(EY$3,1,NA()))</f>
        <v>#N/A</v>
      </c>
      <c r="FD80" s="55" t="str" cm="1">
        <f t="array" ref="FD80">IFERROR(_xlfn.SWITCH(Eu_tabel_a[[#This Row],[Indeks]],_xlfn.IFNA(FB$2,-99),FB$5,_xlfn.IFNA(FB$3,-99),FB$6,_xlfn.IFNA(FB$4,-99),FB$7,""),"")</f>
        <v/>
      </c>
      <c r="FE80" s="54">
        <f>Eu_tabel_a[[#This Row],[x base]]*SQRT(Eu_a_h0_x*(1-Eu_a_h0_x)/Eu_a_n_x)+Eu_a_h0_x</f>
        <v>0</v>
      </c>
      <c r="FJ80" s="144" t="e">
        <f t="shared" si="130"/>
        <v>#N/A</v>
      </c>
      <c r="FK80" s="152" t="e">
        <f t="shared" si="113"/>
        <v>#DIV/0!</v>
      </c>
      <c r="FL80" s="7" t="e">
        <f t="shared" si="124"/>
        <v>#DIV/0!</v>
      </c>
      <c r="FM80" t="e">
        <f t="shared" si="114"/>
        <v>#DIV/0!</v>
      </c>
      <c r="FN80" s="8" t="e">
        <f t="shared" si="115"/>
        <v>#DIV/0!</v>
      </c>
      <c r="FO80" s="8" t="e">
        <f t="shared" si="116"/>
        <v>#DIV/0!</v>
      </c>
      <c r="FP80" s="151" t="e">
        <f t="shared" si="117"/>
        <v>#DIV/0!</v>
      </c>
      <c r="FQ80" s="144" t="e">
        <f t="shared" ca="1" si="125"/>
        <v>#N/A</v>
      </c>
      <c r="FR80" s="152" t="e" vm="3">
        <f t="shared" ca="1" si="131"/>
        <v>#VALUE!</v>
      </c>
      <c r="FS80" s="7" t="e" vm="3">
        <f t="shared" ca="1" si="126"/>
        <v>#VALUE!</v>
      </c>
      <c r="FT80" t="e" vm="3">
        <f t="shared" ca="1" si="120"/>
        <v>#VALUE!</v>
      </c>
      <c r="FU80" s="8" t="e" vm="3">
        <f t="shared" ca="1" si="121"/>
        <v>#VALUE!</v>
      </c>
      <c r="FV80" s="8" t="e" vm="3">
        <f t="shared" ca="1" si="122"/>
        <v>#VALUE!</v>
      </c>
      <c r="FW80" s="151" t="e" vm="3">
        <f t="shared" ca="1" si="123"/>
        <v>#VALUE!</v>
      </c>
      <c r="FX80" s="144" t="e">
        <f t="shared" si="127"/>
        <v>#N/A</v>
      </c>
      <c r="FY80" s="152" t="e">
        <f t="shared" si="132"/>
        <v>#N/A</v>
      </c>
      <c r="FZ80" s="7" t="e">
        <f t="shared" si="128"/>
        <v>#N/A</v>
      </c>
      <c r="GA80" t="e">
        <f t="shared" si="133"/>
        <v>#N/A</v>
      </c>
      <c r="GB80" s="8" t="e">
        <f t="shared" si="134"/>
        <v>#N/A</v>
      </c>
      <c r="GC80" s="8" t="e">
        <f t="shared" si="135"/>
        <v>#N/A</v>
      </c>
      <c r="GD80" s="151" t="e">
        <f t="shared" si="136"/>
        <v>#N/A</v>
      </c>
      <c r="GE80" s="144" t="e">
        <f t="shared" si="137"/>
        <v>#N/A</v>
      </c>
      <c r="GF80" s="152" t="e">
        <f t="shared" si="138"/>
        <v>#N/A</v>
      </c>
      <c r="GG80" s="7" t="e">
        <f t="shared" si="129"/>
        <v>#N/A</v>
      </c>
      <c r="GH80" t="e">
        <f t="shared" si="139"/>
        <v>#N/A</v>
      </c>
      <c r="GI80" s="8" t="e">
        <f t="shared" si="140"/>
        <v>#N/A</v>
      </c>
      <c r="GJ80" s="8" t="e">
        <f t="shared" si="141"/>
        <v>#N/A</v>
      </c>
      <c r="GK80" s="151" t="e">
        <f t="shared" si="142"/>
        <v>#N/A</v>
      </c>
      <c r="GL80" s="151"/>
      <c r="GM80" s="151"/>
      <c r="GP80" s="54">
        <f t="shared" si="187"/>
        <v>70</v>
      </c>
      <c r="GQ80" s="54">
        <f t="shared" si="188"/>
        <v>71</v>
      </c>
      <c r="GR80" s="54">
        <f t="shared" si="189"/>
        <v>-1.4133620625108603</v>
      </c>
      <c r="GS80" s="54">
        <f t="shared" si="190"/>
        <v>0.14693944834608266</v>
      </c>
      <c r="GT80" s="54" t="e">
        <f t="shared" si="191"/>
        <v>#N/A</v>
      </c>
      <c r="GU80" s="54" t="e">
        <f t="shared" si="192"/>
        <v>#N/A</v>
      </c>
      <c r="GV80" s="54" t="e">
        <f t="shared" si="193"/>
        <v>#N/A</v>
      </c>
      <c r="GW80" s="54" t="b">
        <f t="shared" si="194"/>
        <v>0</v>
      </c>
      <c r="GX80" s="54" t="b">
        <f t="shared" si="195"/>
        <v>1</v>
      </c>
      <c r="GY80" s="54" t="b">
        <f t="shared" si="196"/>
        <v>0</v>
      </c>
      <c r="GZ80" s="54" t="b">
        <f t="shared" si="197"/>
        <v>1</v>
      </c>
      <c r="HA80" s="54">
        <f t="shared" si="198"/>
        <v>0.14693944834608266</v>
      </c>
      <c r="HB80" s="54" t="e">
        <f t="shared" si="199"/>
        <v>#N/A</v>
      </c>
      <c r="HC80" s="54">
        <f t="shared" si="200"/>
        <v>0.14693944834608266</v>
      </c>
      <c r="HD80" s="69" t="str">
        <f t="shared" si="201"/>
        <v/>
      </c>
      <c r="HJ80" s="54">
        <f t="shared" si="202"/>
        <v>70</v>
      </c>
      <c r="HK80" s="54">
        <f t="shared" si="203"/>
        <v>71</v>
      </c>
      <c r="HL80" s="54">
        <f t="shared" si="204"/>
        <v>-2.1886208379043537</v>
      </c>
      <c r="HM80" s="54" t="e">
        <f t="shared" si="205"/>
        <v>#N/A</v>
      </c>
      <c r="HN80" s="54">
        <f t="shared" si="206"/>
        <v>4.7838660639883103E-2</v>
      </c>
      <c r="HO80" s="54" t="e">
        <f t="shared" si="207"/>
        <v>#N/A</v>
      </c>
      <c r="HP80" s="54" t="e">
        <f t="shared" si="208"/>
        <v>#N/A</v>
      </c>
      <c r="HQ80" s="54" t="b">
        <f t="shared" si="209"/>
        <v>1</v>
      </c>
      <c r="HR80" s="54" t="b">
        <f t="shared" si="210"/>
        <v>0</v>
      </c>
      <c r="HS80" s="54" t="b">
        <f t="shared" si="211"/>
        <v>1</v>
      </c>
      <c r="HT80" s="54" t="b">
        <f t="shared" si="212"/>
        <v>0</v>
      </c>
      <c r="HU80" s="54">
        <f t="shared" si="213"/>
        <v>4.7838660639883103E-2</v>
      </c>
      <c r="HV80" s="54">
        <f t="shared" si="214"/>
        <v>4.7838660639883103E-2</v>
      </c>
      <c r="HW80" s="54" t="e">
        <f t="shared" si="215"/>
        <v>#N/A</v>
      </c>
      <c r="HX80" s="69" t="str">
        <f t="shared" si="216"/>
        <v/>
      </c>
    </row>
    <row r="81" spans="78:232" x14ac:dyDescent="0.2">
      <c r="BZ81" s="54">
        <f t="shared" si="143"/>
        <v>71</v>
      </c>
      <c r="CA81" s="54">
        <f>Eu_tabel_g[[#This Row],[Indeks]]+1</f>
        <v>72</v>
      </c>
      <c r="CB81" s="54">
        <f t="shared" si="144"/>
        <v>-1.3894067733157609</v>
      </c>
      <c r="CC81" s="54">
        <f t="shared" si="145"/>
        <v>0.15195602274069356</v>
      </c>
      <c r="CD81" s="54" t="e">
        <f t="shared" si="146"/>
        <v>#N/A</v>
      </c>
      <c r="CE81" s="54" t="e">
        <f t="shared" si="147"/>
        <v>#N/A</v>
      </c>
      <c r="CF81" s="54" t="e">
        <f t="shared" si="148"/>
        <v>#N/A</v>
      </c>
      <c r="CG81" s="54" t="b">
        <f t="shared" si="149"/>
        <v>0</v>
      </c>
      <c r="CH81" s="54" t="b">
        <f t="shared" si="150"/>
        <v>1</v>
      </c>
      <c r="CI81" s="54" t="b">
        <f t="shared" si="151"/>
        <v>0</v>
      </c>
      <c r="CJ81" s="54" t="b">
        <f t="shared" si="152"/>
        <v>1</v>
      </c>
      <c r="CK81" s="54">
        <f t="shared" si="119"/>
        <v>0.15195602274069356</v>
      </c>
      <c r="CL81" s="54" t="e">
        <f t="shared" si="153"/>
        <v>#N/A</v>
      </c>
      <c r="CM81" s="54">
        <f t="shared" si="154"/>
        <v>0.15195602274069356</v>
      </c>
      <c r="CN81" s="69" t="str">
        <f t="shared" si="155"/>
        <v/>
      </c>
      <c r="CO81" s="54">
        <f>_xlfn.NORM.DIST(_xlfn.NORM.INV(1-Eu_g_konfidensniveau,0,1)-Eu_tabel_g[[#This Row],[x base]],0,1,TRUE)</f>
        <v>0.39918899340115521</v>
      </c>
      <c r="CP81" s="54">
        <f>1-_xlfn.NORM.DIST(_xlfn.NORM.INV(Eu_g_konfidensniveau,0,1)-Eu_tabel_g[[#This Row],[x base]],0,1,TRUE)</f>
        <v>1.2056310181406404E-3</v>
      </c>
      <c r="CQ81" s="54">
        <f>_xlfn.NORM.DIST(_xlfn.NORM.INV((1-Eu_g_konfidensniveau)/2,0,1)-Eu_tabel_g[[#This Row],[x base]],0,1,TRUE)+1-_xlfn.NORM.DIST(_xlfn.NORM.INV(1-(1-Eu_g_konfidensniveau)/2,0,1)-Eu_tabel_g[[#This Row],[x base]],0,1,TRUE)</f>
        <v>0.2845548918524472</v>
      </c>
      <c r="CR81" s="54" t="e" cm="1">
        <f t="array" ref="CR81">IF($CR$3,INDEX(Eu_tabel_g[[#This Row],[Styrke venstre]:[Styrke tosidet]],CR$7),NA())</f>
        <v>#N/A</v>
      </c>
      <c r="CS81" s="89" t="e">
        <f>Eu_tabel_g[[#This Row],[Falsk positiv
Nulhypotese accepteres
Fejltype 1]]</f>
        <v>#N/A</v>
      </c>
      <c r="CT81" s="89" t="e">
        <f>IF(CHOOSE(CR$7,Eu_tabel_g[[#This Row],[x base]]&gt;0,Eu_tabel_g[[#This Row],[x base]]&lt;0,Eu_tabel_g[[#This Row],[x base]]=0),Eu_tabel_g[[#This Row],[Styrke, aktiv]],NA())</f>
        <v>#N/A</v>
      </c>
      <c r="CU81" s="89" t="e">
        <f>IFERROR(IF($CR$3,Eu_tabel_g[[#This Row],[Styrke, aktiv]],NA()),NA())</f>
        <v>#N/A</v>
      </c>
      <c r="CV81" s="89" t="e">
        <f>IF(ISNA(Eu_tabel_g[[#This Row],[Sand negativ
Nulhypotese afvises
Korrekt]]),NA(),IF($CR$3,1,NA()))</f>
        <v>#N/A</v>
      </c>
      <c r="CW81" s="56" t="str" cm="1">
        <f t="array" ref="CW81">_xlfn.SWITCH(BZ81,_xlfn.IFNA(CU$2,-99),CU$5,_xlfn.IFNA(CU$3,-99),CU$6,_xlfn.IFNA(CU$4,-99),CU$7,"")</f>
        <v/>
      </c>
      <c r="DA81" s="7">
        <f t="shared" si="156"/>
        <v>0.8</v>
      </c>
      <c r="DB81">
        <f>IF(ROW(Styrkeberegning_G[[#This Row],[X base venstre]])=ROW(Styrkeberegning_G[[#Headers],[X base venstre]])+1,DB$7/(DA$7/$B$67),DB80/(DA80/$B$67))</f>
        <v>-2.8015817870135784</v>
      </c>
      <c r="DC81">
        <f>Styrkeberegning_G[[#This Row],[X base venstre]]*-1</f>
        <v>2.8015817870135784</v>
      </c>
      <c r="DN81" s="54">
        <f t="shared" si="157"/>
        <v>71</v>
      </c>
      <c r="DO81" s="54">
        <f t="shared" si="158"/>
        <v>72</v>
      </c>
      <c r="DP81" s="54">
        <f t="shared" si="159"/>
        <v>9.9328834702607622</v>
      </c>
      <c r="DQ81" s="54" t="e">
        <f t="shared" si="160"/>
        <v>#N/A</v>
      </c>
      <c r="DR81" s="54" t="e">
        <f t="shared" si="161"/>
        <v>#N/A</v>
      </c>
      <c r="DS81" s="54">
        <f t="shared" si="162"/>
        <v>9.024414802690281E-2</v>
      </c>
      <c r="DT81" s="54" t="e">
        <f t="shared" si="163"/>
        <v>#N/A</v>
      </c>
      <c r="DU81" s="54" t="b">
        <f t="shared" si="164"/>
        <v>0</v>
      </c>
      <c r="DV81" s="54" t="b">
        <f t="shared" si="165"/>
        <v>1</v>
      </c>
      <c r="DW81" s="54" t="b">
        <f t="shared" si="166"/>
        <v>0</v>
      </c>
      <c r="DX81" s="54" t="b">
        <f t="shared" si="167"/>
        <v>1</v>
      </c>
      <c r="DY81" s="54">
        <f t="shared" si="168"/>
        <v>9.024414802690281E-2</v>
      </c>
      <c r="DZ81" s="54" t="e">
        <f t="shared" si="169"/>
        <v>#N/A</v>
      </c>
      <c r="EA81" s="54">
        <f t="shared" si="170"/>
        <v>9.024414802690281E-2</v>
      </c>
      <c r="EB81" s="69" t="str">
        <f t="shared" si="171"/>
        <v/>
      </c>
      <c r="EG81" s="54">
        <f t="shared" si="172"/>
        <v>71</v>
      </c>
      <c r="EH81" s="54">
        <f t="shared" si="173"/>
        <v>72</v>
      </c>
      <c r="EI81" s="54">
        <f t="shared" si="174"/>
        <v>-1.3894067733157609</v>
      </c>
      <c r="EJ81" s="54">
        <f t="shared" si="175"/>
        <v>0.15195602274069356</v>
      </c>
      <c r="EK81" s="54" t="e">
        <f t="shared" si="176"/>
        <v>#N/A</v>
      </c>
      <c r="EL81" s="54" t="e">
        <f t="shared" si="177"/>
        <v>#N/A</v>
      </c>
      <c r="EM81" s="54" t="e">
        <f t="shared" si="178"/>
        <v>#N/A</v>
      </c>
      <c r="EN81" s="54" t="b">
        <f t="shared" si="179"/>
        <v>0</v>
      </c>
      <c r="EO81" s="54" t="b">
        <f t="shared" si="180"/>
        <v>1</v>
      </c>
      <c r="EP81" s="54" t="b">
        <f t="shared" si="181"/>
        <v>0</v>
      </c>
      <c r="EQ81" s="54" t="b">
        <f t="shared" si="182"/>
        <v>1</v>
      </c>
      <c r="ER81" s="54">
        <f t="shared" si="183"/>
        <v>0.15195602274069356</v>
      </c>
      <c r="ES81" s="54" t="e">
        <f t="shared" si="184"/>
        <v>#N/A</v>
      </c>
      <c r="ET81" s="54">
        <f t="shared" si="185"/>
        <v>0.15195602274069356</v>
      </c>
      <c r="EU81" s="69" t="str">
        <f t="shared" si="186"/>
        <v/>
      </c>
      <c r="EV8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8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8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81" s="54" t="e" cm="1">
        <f t="array" ref="EY81">IF($CR$3,INDEX(Eu_tabel_a[[#This Row],[Styrke venstre]:[Styrke tosidet]],EY$7),NA())</f>
        <v>#N/A</v>
      </c>
      <c r="EZ81" s="54" t="e">
        <f>IF(EY$3,IF(CHOOSE(EY$7,Eu_tabel_a[[#This Row],[x base]]&gt;0,Eu_tabel_a[[#This Row],[x base]]&lt;0,Eu_tabel_a[[#This Row],[x base]]=0),1,NA()),NA())</f>
        <v>#N/A</v>
      </c>
      <c r="FA81" s="54" t="e">
        <f>IF(CHOOSE(EY$7,Eu_tabel_a[[#This Row],[x base]]&gt;0,Eu_tabel_a[[#This Row],[x base]]&lt;0,Eu_tabel_a[[#This Row],[x base]]=0),Eu_tabel_a[[#This Row],[Styrke, aktiv]],NA())</f>
        <v>#N/A</v>
      </c>
      <c r="FB81" s="54" t="e">
        <f>IFERROR(IF($EY$3,Eu_tabel_a[[#This Row],[Styrke, aktiv]],NA()),NA())</f>
        <v>#N/A</v>
      </c>
      <c r="FC81" s="54" t="e">
        <f>IF(ISNA(Eu_tabel_a[[#This Row],[Sand negativ
Nulhypotese afvises
Korrekt]]),NA(),IF(EY$3,1,NA()))</f>
        <v>#N/A</v>
      </c>
      <c r="FD81" s="55" t="str" cm="1">
        <f t="array" ref="FD81">IFERROR(_xlfn.SWITCH(Eu_tabel_a[[#This Row],[Indeks]],_xlfn.IFNA(FB$2,-99),FB$5,_xlfn.IFNA(FB$3,-99),FB$6,_xlfn.IFNA(FB$4,-99),FB$7,""),"")</f>
        <v/>
      </c>
      <c r="FE81" s="54">
        <f>Eu_tabel_a[[#This Row],[x base]]*SQRT(Eu_a_h0_x*(1-Eu_a_h0_x)/Eu_a_n_x)+Eu_a_h0_x</f>
        <v>0</v>
      </c>
      <c r="FJ81" s="144" t="e">
        <f t="shared" si="130"/>
        <v>#N/A</v>
      </c>
      <c r="FK81" s="152" t="e">
        <f t="shared" si="113"/>
        <v>#DIV/0!</v>
      </c>
      <c r="FL81" s="7" t="e">
        <f t="shared" si="124"/>
        <v>#DIV/0!</v>
      </c>
      <c r="FM81" t="e">
        <f t="shared" si="114"/>
        <v>#DIV/0!</v>
      </c>
      <c r="FN81" s="8" t="e">
        <f t="shared" si="115"/>
        <v>#DIV/0!</v>
      </c>
      <c r="FO81" s="8" t="e">
        <f t="shared" si="116"/>
        <v>#DIV/0!</v>
      </c>
      <c r="FP81" s="151" t="e">
        <f t="shared" si="117"/>
        <v>#DIV/0!</v>
      </c>
      <c r="FQ81" s="144" t="e">
        <f t="shared" ca="1" si="125"/>
        <v>#N/A</v>
      </c>
      <c r="FR81" s="152" t="e" vm="3">
        <f t="shared" ca="1" si="131"/>
        <v>#VALUE!</v>
      </c>
      <c r="FS81" s="7" t="e" vm="3">
        <f t="shared" ca="1" si="126"/>
        <v>#VALUE!</v>
      </c>
      <c r="FT81" t="e" vm="3">
        <f t="shared" ca="1" si="120"/>
        <v>#VALUE!</v>
      </c>
      <c r="FU81" s="8" t="e" vm="3">
        <f t="shared" ca="1" si="121"/>
        <v>#VALUE!</v>
      </c>
      <c r="FV81" s="8" t="e" vm="3">
        <f t="shared" ca="1" si="122"/>
        <v>#VALUE!</v>
      </c>
      <c r="FW81" s="151" t="e" vm="3">
        <f t="shared" ca="1" si="123"/>
        <v>#VALUE!</v>
      </c>
      <c r="FX81" s="144" t="e">
        <f t="shared" si="127"/>
        <v>#N/A</v>
      </c>
      <c r="FY81" s="152" t="e">
        <f t="shared" si="132"/>
        <v>#N/A</v>
      </c>
      <c r="FZ81" s="7" t="e">
        <f t="shared" si="128"/>
        <v>#N/A</v>
      </c>
      <c r="GA81" t="e">
        <f t="shared" si="133"/>
        <v>#N/A</v>
      </c>
      <c r="GB81" s="8" t="e">
        <f t="shared" si="134"/>
        <v>#N/A</v>
      </c>
      <c r="GC81" s="8" t="e">
        <f t="shared" si="135"/>
        <v>#N/A</v>
      </c>
      <c r="GD81" s="151" t="e">
        <f t="shared" si="136"/>
        <v>#N/A</v>
      </c>
      <c r="GE81" s="144" t="e">
        <f t="shared" si="137"/>
        <v>#N/A</v>
      </c>
      <c r="GF81" s="152" t="e">
        <f t="shared" si="138"/>
        <v>#N/A</v>
      </c>
      <c r="GG81" s="7" t="e">
        <f t="shared" si="129"/>
        <v>#N/A</v>
      </c>
      <c r="GH81" t="e">
        <f t="shared" si="139"/>
        <v>#N/A</v>
      </c>
      <c r="GI81" s="8" t="e">
        <f t="shared" si="140"/>
        <v>#N/A</v>
      </c>
      <c r="GJ81" s="8" t="e">
        <f t="shared" si="141"/>
        <v>#N/A</v>
      </c>
      <c r="GK81" s="151" t="e">
        <f t="shared" si="142"/>
        <v>#N/A</v>
      </c>
      <c r="GL81" s="151"/>
      <c r="GM81" s="151"/>
      <c r="GP81" s="54">
        <f t="shared" si="187"/>
        <v>71</v>
      </c>
      <c r="GQ81" s="54">
        <f t="shared" si="188"/>
        <v>72</v>
      </c>
      <c r="GR81" s="54">
        <f t="shared" si="189"/>
        <v>-1.3894067733157609</v>
      </c>
      <c r="GS81" s="54">
        <f t="shared" si="190"/>
        <v>0.15195602274069356</v>
      </c>
      <c r="GT81" s="54" t="e">
        <f t="shared" si="191"/>
        <v>#N/A</v>
      </c>
      <c r="GU81" s="54" t="e">
        <f t="shared" si="192"/>
        <v>#N/A</v>
      </c>
      <c r="GV81" s="54" t="e">
        <f t="shared" si="193"/>
        <v>#N/A</v>
      </c>
      <c r="GW81" s="54" t="b">
        <f t="shared" si="194"/>
        <v>0</v>
      </c>
      <c r="GX81" s="54" t="b">
        <f t="shared" si="195"/>
        <v>1</v>
      </c>
      <c r="GY81" s="54" t="b">
        <f t="shared" si="196"/>
        <v>0</v>
      </c>
      <c r="GZ81" s="54" t="b">
        <f t="shared" si="197"/>
        <v>1</v>
      </c>
      <c r="HA81" s="54">
        <f t="shared" si="198"/>
        <v>0.15195602274069356</v>
      </c>
      <c r="HB81" s="54" t="e">
        <f t="shared" si="199"/>
        <v>#N/A</v>
      </c>
      <c r="HC81" s="54">
        <f t="shared" si="200"/>
        <v>0.15195602274069356</v>
      </c>
      <c r="HD81" s="69" t="str">
        <f t="shared" si="201"/>
        <v/>
      </c>
      <c r="HJ81" s="54">
        <f t="shared" si="202"/>
        <v>71</v>
      </c>
      <c r="HK81" s="54">
        <f t="shared" si="203"/>
        <v>72</v>
      </c>
      <c r="HL81" s="54">
        <f t="shared" si="204"/>
        <v>-2.151525569465297</v>
      </c>
      <c r="HM81" s="54" t="e">
        <f t="shared" si="205"/>
        <v>#N/A</v>
      </c>
      <c r="HN81" s="54">
        <f t="shared" si="206"/>
        <v>5.0543400876907167E-2</v>
      </c>
      <c r="HO81" s="54" t="e">
        <f t="shared" si="207"/>
        <v>#N/A</v>
      </c>
      <c r="HP81" s="54" t="e">
        <f t="shared" si="208"/>
        <v>#N/A</v>
      </c>
      <c r="HQ81" s="54" t="b">
        <f t="shared" si="209"/>
        <v>1</v>
      </c>
      <c r="HR81" s="54" t="b">
        <f t="shared" si="210"/>
        <v>0</v>
      </c>
      <c r="HS81" s="54" t="b">
        <f t="shared" si="211"/>
        <v>1</v>
      </c>
      <c r="HT81" s="54" t="b">
        <f t="shared" si="212"/>
        <v>0</v>
      </c>
      <c r="HU81" s="54">
        <f t="shared" si="213"/>
        <v>5.0543400876907167E-2</v>
      </c>
      <c r="HV81" s="54">
        <f t="shared" si="214"/>
        <v>5.0543400876907167E-2</v>
      </c>
      <c r="HW81" s="54" t="e">
        <f t="shared" si="215"/>
        <v>#N/A</v>
      </c>
      <c r="HX81" s="69" t="str">
        <f t="shared" si="216"/>
        <v/>
      </c>
    </row>
    <row r="82" spans="78:232" x14ac:dyDescent="0.2">
      <c r="BZ82" s="54">
        <f t="shared" si="143"/>
        <v>72</v>
      </c>
      <c r="CA82" s="54">
        <f>Eu_tabel_g[[#This Row],[Indeks]]+1</f>
        <v>73</v>
      </c>
      <c r="CB82" s="54">
        <f t="shared" si="144"/>
        <v>-1.3654514841206618</v>
      </c>
      <c r="CC82" s="54">
        <f t="shared" si="145"/>
        <v>0.1570537130277106</v>
      </c>
      <c r="CD82" s="54" t="e">
        <f t="shared" si="146"/>
        <v>#N/A</v>
      </c>
      <c r="CE82" s="54" t="e">
        <f t="shared" si="147"/>
        <v>#N/A</v>
      </c>
      <c r="CF82" s="54" t="e">
        <f t="shared" si="148"/>
        <v>#N/A</v>
      </c>
      <c r="CG82" s="54" t="b">
        <f t="shared" si="149"/>
        <v>0</v>
      </c>
      <c r="CH82" s="54" t="b">
        <f t="shared" si="150"/>
        <v>1</v>
      </c>
      <c r="CI82" s="54" t="b">
        <f t="shared" si="151"/>
        <v>0</v>
      </c>
      <c r="CJ82" s="54" t="b">
        <f t="shared" si="152"/>
        <v>1</v>
      </c>
      <c r="CK82" s="54">
        <f t="shared" si="119"/>
        <v>0.1570537130277106</v>
      </c>
      <c r="CL82" s="54" t="e">
        <f t="shared" si="153"/>
        <v>#N/A</v>
      </c>
      <c r="CM82" s="54">
        <f t="shared" si="154"/>
        <v>0.1570537130277106</v>
      </c>
      <c r="CN82" s="69" t="str">
        <f t="shared" si="155"/>
        <v/>
      </c>
      <c r="CO82" s="54">
        <f>_xlfn.NORM.DIST(_xlfn.NORM.INV(1-Eu_g_konfidensniveau,0,1)-Eu_tabel_g[[#This Row],[x base]],0,1,TRUE)</f>
        <v>0.38996811339942744</v>
      </c>
      <c r="CP82" s="54">
        <f>1-_xlfn.NORM.DIST(_xlfn.NORM.INV(Eu_g_konfidensniveau,0,1)-Eu_tabel_g[[#This Row],[x base]],0,1,TRUE)</f>
        <v>1.3049268744640408E-3</v>
      </c>
      <c r="CQ82" s="54">
        <f>_xlfn.NORM.DIST(_xlfn.NORM.INV((1-Eu_g_konfidensniveau)/2,0,1)-Eu_tabel_g[[#This Row],[x base]],0,1,TRUE)+1-_xlfn.NORM.DIST(_xlfn.NORM.INV(1-(1-Eu_g_konfidensniveau)/2,0,1)-Eu_tabel_g[[#This Row],[x base]],0,1,TRUE)</f>
        <v>0.27652612634393015</v>
      </c>
      <c r="CR82" s="54" t="e" cm="1">
        <f t="array" ref="CR82">IF($CR$3,INDEX(Eu_tabel_g[[#This Row],[Styrke venstre]:[Styrke tosidet]],CR$7),NA())</f>
        <v>#N/A</v>
      </c>
      <c r="CS82" s="89" t="e">
        <f>Eu_tabel_g[[#This Row],[Falsk positiv
Nulhypotese accepteres
Fejltype 1]]</f>
        <v>#N/A</v>
      </c>
      <c r="CT82" s="89" t="e">
        <f>IF(CHOOSE(CR$7,Eu_tabel_g[[#This Row],[x base]]&gt;0,Eu_tabel_g[[#This Row],[x base]]&lt;0,Eu_tabel_g[[#This Row],[x base]]=0),Eu_tabel_g[[#This Row],[Styrke, aktiv]],NA())</f>
        <v>#N/A</v>
      </c>
      <c r="CU82" s="89" t="e">
        <f>IFERROR(IF($CR$3,Eu_tabel_g[[#This Row],[Styrke, aktiv]],NA()),NA())</f>
        <v>#N/A</v>
      </c>
      <c r="CV82" s="89" t="e">
        <f>IF(ISNA(Eu_tabel_g[[#This Row],[Sand negativ
Nulhypotese afvises
Korrekt]]),NA(),IF($CR$3,1,NA()))</f>
        <v>#N/A</v>
      </c>
      <c r="CW82" s="56" t="str" cm="1">
        <f t="array" ref="CW82">_xlfn.SWITCH(BZ82,_xlfn.IFNA(CU$2,-99),CU$5,_xlfn.IFNA(CU$3,-99),CU$6,_xlfn.IFNA(CU$4,-99),CU$7,"")</f>
        <v/>
      </c>
      <c r="DA82" s="7">
        <f t="shared" si="156"/>
        <v>0.8</v>
      </c>
      <c r="DB82">
        <f>IF(ROW(Styrkeberegning_G[[#This Row],[X base venstre]])=ROW(Styrkeberegning_G[[#Headers],[X base venstre]])+1,DB$7/(DA$7/$B$67),DB81/(DA81/$B$67))</f>
        <v>-2.8015817870135784</v>
      </c>
      <c r="DC82">
        <f>Styrkeberegning_G[[#This Row],[X base venstre]]*-1</f>
        <v>2.8015817870135784</v>
      </c>
      <c r="DN82" s="54">
        <f t="shared" si="157"/>
        <v>72</v>
      </c>
      <c r="DO82" s="54">
        <f t="shared" si="158"/>
        <v>73</v>
      </c>
      <c r="DP82" s="54">
        <f t="shared" si="159"/>
        <v>10.046954326677763</v>
      </c>
      <c r="DQ82" s="54" t="e">
        <f t="shared" si="160"/>
        <v>#N/A</v>
      </c>
      <c r="DR82" s="54" t="e">
        <f t="shared" si="161"/>
        <v>#N/A</v>
      </c>
      <c r="DS82" s="54">
        <f t="shared" si="162"/>
        <v>8.9735600035729654E-2</v>
      </c>
      <c r="DT82" s="54" t="e">
        <f t="shared" si="163"/>
        <v>#N/A</v>
      </c>
      <c r="DU82" s="54" t="b">
        <f t="shared" si="164"/>
        <v>0</v>
      </c>
      <c r="DV82" s="54" t="b">
        <f t="shared" si="165"/>
        <v>1</v>
      </c>
      <c r="DW82" s="54" t="b">
        <f t="shared" si="166"/>
        <v>0</v>
      </c>
      <c r="DX82" s="54" t="b">
        <f t="shared" si="167"/>
        <v>1</v>
      </c>
      <c r="DY82" s="54">
        <f t="shared" si="168"/>
        <v>8.9735600035729654E-2</v>
      </c>
      <c r="DZ82" s="54" t="e">
        <f t="shared" si="169"/>
        <v>#N/A</v>
      </c>
      <c r="EA82" s="54">
        <f t="shared" si="170"/>
        <v>8.9735600035729654E-2</v>
      </c>
      <c r="EB82" s="69" t="str">
        <f t="shared" si="171"/>
        <v/>
      </c>
      <c r="EG82" s="54">
        <f t="shared" si="172"/>
        <v>72</v>
      </c>
      <c r="EH82" s="54">
        <f t="shared" si="173"/>
        <v>73</v>
      </c>
      <c r="EI82" s="54">
        <f t="shared" si="174"/>
        <v>-1.3654514841206618</v>
      </c>
      <c r="EJ82" s="54">
        <f t="shared" si="175"/>
        <v>0.1570537130277106</v>
      </c>
      <c r="EK82" s="54" t="e">
        <f t="shared" si="176"/>
        <v>#N/A</v>
      </c>
      <c r="EL82" s="54" t="e">
        <f t="shared" si="177"/>
        <v>#N/A</v>
      </c>
      <c r="EM82" s="54" t="e">
        <f t="shared" si="178"/>
        <v>#N/A</v>
      </c>
      <c r="EN82" s="54" t="b">
        <f t="shared" si="179"/>
        <v>0</v>
      </c>
      <c r="EO82" s="54" t="b">
        <f t="shared" si="180"/>
        <v>1</v>
      </c>
      <c r="EP82" s="54" t="b">
        <f t="shared" si="181"/>
        <v>0</v>
      </c>
      <c r="EQ82" s="54" t="b">
        <f t="shared" si="182"/>
        <v>1</v>
      </c>
      <c r="ER82" s="54">
        <f t="shared" si="183"/>
        <v>0.1570537130277106</v>
      </c>
      <c r="ES82" s="54" t="e">
        <f t="shared" si="184"/>
        <v>#N/A</v>
      </c>
      <c r="ET82" s="54">
        <f t="shared" si="185"/>
        <v>0.1570537130277106</v>
      </c>
      <c r="EU82" s="69" t="str">
        <f t="shared" si="186"/>
        <v/>
      </c>
      <c r="EV8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8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8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82" s="54" t="e" cm="1">
        <f t="array" ref="EY82">IF($CR$3,INDEX(Eu_tabel_a[[#This Row],[Styrke venstre]:[Styrke tosidet]],EY$7),NA())</f>
        <v>#N/A</v>
      </c>
      <c r="EZ82" s="54" t="e">
        <f>IF(EY$3,IF(CHOOSE(EY$7,Eu_tabel_a[[#This Row],[x base]]&gt;0,Eu_tabel_a[[#This Row],[x base]]&lt;0,Eu_tabel_a[[#This Row],[x base]]=0),1,NA()),NA())</f>
        <v>#N/A</v>
      </c>
      <c r="FA82" s="54" t="e">
        <f>IF(CHOOSE(EY$7,Eu_tabel_a[[#This Row],[x base]]&gt;0,Eu_tabel_a[[#This Row],[x base]]&lt;0,Eu_tabel_a[[#This Row],[x base]]=0),Eu_tabel_a[[#This Row],[Styrke, aktiv]],NA())</f>
        <v>#N/A</v>
      </c>
      <c r="FB82" s="54" t="e">
        <f>IFERROR(IF($EY$3,Eu_tabel_a[[#This Row],[Styrke, aktiv]],NA()),NA())</f>
        <v>#N/A</v>
      </c>
      <c r="FC82" s="54" t="e">
        <f>IF(ISNA(Eu_tabel_a[[#This Row],[Sand negativ
Nulhypotese afvises
Korrekt]]),NA(),IF(EY$3,1,NA()))</f>
        <v>#N/A</v>
      </c>
      <c r="FD82" s="55" t="str" cm="1">
        <f t="array" ref="FD82">IFERROR(_xlfn.SWITCH(Eu_tabel_a[[#This Row],[Indeks]],_xlfn.IFNA(FB$2,-99),FB$5,_xlfn.IFNA(FB$3,-99),FB$6,_xlfn.IFNA(FB$4,-99),FB$7,""),"")</f>
        <v/>
      </c>
      <c r="FE82" s="54">
        <f>Eu_tabel_a[[#This Row],[x base]]*SQRT(Eu_a_h0_x*(1-Eu_a_h0_x)/Eu_a_n_x)+Eu_a_h0_x</f>
        <v>0</v>
      </c>
      <c r="FJ82" s="144" t="e">
        <f t="shared" si="130"/>
        <v>#N/A</v>
      </c>
      <c r="FK82" s="152" t="e">
        <f t="shared" si="113"/>
        <v>#DIV/0!</v>
      </c>
      <c r="FL82" s="7" t="e">
        <f t="shared" si="124"/>
        <v>#DIV/0!</v>
      </c>
      <c r="FM82" t="e">
        <f t="shared" si="114"/>
        <v>#DIV/0!</v>
      </c>
      <c r="FN82" s="8" t="e">
        <f t="shared" si="115"/>
        <v>#DIV/0!</v>
      </c>
      <c r="FO82" s="8" t="e">
        <f t="shared" si="116"/>
        <v>#DIV/0!</v>
      </c>
      <c r="FP82" s="151" t="e">
        <f t="shared" si="117"/>
        <v>#DIV/0!</v>
      </c>
      <c r="FQ82" s="144" t="e">
        <f t="shared" ca="1" si="125"/>
        <v>#N/A</v>
      </c>
      <c r="FR82" s="152" t="e" vm="3">
        <f t="shared" ca="1" si="131"/>
        <v>#VALUE!</v>
      </c>
      <c r="FS82" s="7" t="e" vm="3">
        <f t="shared" ca="1" si="126"/>
        <v>#VALUE!</v>
      </c>
      <c r="FT82" t="e" vm="3">
        <f t="shared" ca="1" si="120"/>
        <v>#VALUE!</v>
      </c>
      <c r="FU82" s="8" t="e" vm="3">
        <f t="shared" ca="1" si="121"/>
        <v>#VALUE!</v>
      </c>
      <c r="FV82" s="8" t="e" vm="3">
        <f t="shared" ca="1" si="122"/>
        <v>#VALUE!</v>
      </c>
      <c r="FW82" s="151" t="e" vm="3">
        <f t="shared" ca="1" si="123"/>
        <v>#VALUE!</v>
      </c>
      <c r="FX82" s="144" t="e">
        <f t="shared" si="127"/>
        <v>#N/A</v>
      </c>
      <c r="FY82" s="152" t="e">
        <f t="shared" si="132"/>
        <v>#N/A</v>
      </c>
      <c r="FZ82" s="7" t="e">
        <f t="shared" si="128"/>
        <v>#N/A</v>
      </c>
      <c r="GA82" t="e">
        <f t="shared" si="133"/>
        <v>#N/A</v>
      </c>
      <c r="GB82" s="8" t="e">
        <f t="shared" si="134"/>
        <v>#N/A</v>
      </c>
      <c r="GC82" s="8" t="e">
        <f t="shared" si="135"/>
        <v>#N/A</v>
      </c>
      <c r="GD82" s="151" t="e">
        <f t="shared" si="136"/>
        <v>#N/A</v>
      </c>
      <c r="GE82" s="144" t="e">
        <f t="shared" si="137"/>
        <v>#N/A</v>
      </c>
      <c r="GF82" s="152" t="e">
        <f t="shared" si="138"/>
        <v>#N/A</v>
      </c>
      <c r="GG82" s="7" t="e">
        <f t="shared" si="129"/>
        <v>#N/A</v>
      </c>
      <c r="GH82" t="e">
        <f t="shared" si="139"/>
        <v>#N/A</v>
      </c>
      <c r="GI82" s="8" t="e">
        <f t="shared" si="140"/>
        <v>#N/A</v>
      </c>
      <c r="GJ82" s="8" t="e">
        <f t="shared" si="141"/>
        <v>#N/A</v>
      </c>
      <c r="GK82" s="151" t="e">
        <f t="shared" si="142"/>
        <v>#N/A</v>
      </c>
      <c r="GL82" s="151"/>
      <c r="GM82" s="151"/>
      <c r="GP82" s="54">
        <f t="shared" si="187"/>
        <v>72</v>
      </c>
      <c r="GQ82" s="54">
        <f t="shared" si="188"/>
        <v>73</v>
      </c>
      <c r="GR82" s="54">
        <f t="shared" si="189"/>
        <v>-1.3654514841206618</v>
      </c>
      <c r="GS82" s="54">
        <f t="shared" si="190"/>
        <v>0.1570537130277106</v>
      </c>
      <c r="GT82" s="54" t="e">
        <f t="shared" si="191"/>
        <v>#N/A</v>
      </c>
      <c r="GU82" s="54" t="e">
        <f t="shared" si="192"/>
        <v>#N/A</v>
      </c>
      <c r="GV82" s="54" t="e">
        <f t="shared" si="193"/>
        <v>#N/A</v>
      </c>
      <c r="GW82" s="54" t="b">
        <f t="shared" si="194"/>
        <v>0</v>
      </c>
      <c r="GX82" s="54" t="b">
        <f t="shared" si="195"/>
        <v>1</v>
      </c>
      <c r="GY82" s="54" t="b">
        <f t="shared" si="196"/>
        <v>0</v>
      </c>
      <c r="GZ82" s="54" t="b">
        <f t="shared" si="197"/>
        <v>1</v>
      </c>
      <c r="HA82" s="54">
        <f t="shared" si="198"/>
        <v>0.1570537130277106</v>
      </c>
      <c r="HB82" s="54" t="e">
        <f t="shared" si="199"/>
        <v>#N/A</v>
      </c>
      <c r="HC82" s="54">
        <f t="shared" si="200"/>
        <v>0.1570537130277106</v>
      </c>
      <c r="HD82" s="69" t="str">
        <f t="shared" si="201"/>
        <v/>
      </c>
      <c r="HJ82" s="54">
        <f t="shared" si="202"/>
        <v>72</v>
      </c>
      <c r="HK82" s="54">
        <f t="shared" si="203"/>
        <v>73</v>
      </c>
      <c r="HL82" s="54">
        <f t="shared" si="204"/>
        <v>-2.11443030102624</v>
      </c>
      <c r="HM82" s="54" t="e">
        <f t="shared" si="205"/>
        <v>#N/A</v>
      </c>
      <c r="HN82" s="54">
        <f t="shared" si="206"/>
        <v>5.3390755704805393E-2</v>
      </c>
      <c r="HO82" s="54" t="e">
        <f t="shared" si="207"/>
        <v>#N/A</v>
      </c>
      <c r="HP82" s="54" t="e">
        <f t="shared" si="208"/>
        <v>#N/A</v>
      </c>
      <c r="HQ82" s="54" t="b">
        <f t="shared" si="209"/>
        <v>1</v>
      </c>
      <c r="HR82" s="54" t="b">
        <f t="shared" si="210"/>
        <v>0</v>
      </c>
      <c r="HS82" s="54" t="b">
        <f t="shared" si="211"/>
        <v>1</v>
      </c>
      <c r="HT82" s="54" t="b">
        <f t="shared" si="212"/>
        <v>0</v>
      </c>
      <c r="HU82" s="54">
        <f t="shared" si="213"/>
        <v>5.3390755704805393E-2</v>
      </c>
      <c r="HV82" s="54">
        <f t="shared" si="214"/>
        <v>5.3390755704805393E-2</v>
      </c>
      <c r="HW82" s="54" t="e">
        <f t="shared" si="215"/>
        <v>#N/A</v>
      </c>
      <c r="HX82" s="69" t="str">
        <f t="shared" si="216"/>
        <v/>
      </c>
    </row>
    <row r="83" spans="78:232" x14ac:dyDescent="0.2">
      <c r="BZ83" s="54">
        <f t="shared" si="143"/>
        <v>73</v>
      </c>
      <c r="CA83" s="54">
        <f>Eu_tabel_g[[#This Row],[Indeks]]+1</f>
        <v>74</v>
      </c>
      <c r="CB83" s="54">
        <f t="shared" si="144"/>
        <v>-1.3414961949255624</v>
      </c>
      <c r="CC83" s="54">
        <f t="shared" si="145"/>
        <v>0.16222929330418059</v>
      </c>
      <c r="CD83" s="54" t="e">
        <f t="shared" si="146"/>
        <v>#N/A</v>
      </c>
      <c r="CE83" s="54" t="e">
        <f t="shared" si="147"/>
        <v>#N/A</v>
      </c>
      <c r="CF83" s="54" t="e">
        <f t="shared" si="148"/>
        <v>#N/A</v>
      </c>
      <c r="CG83" s="54" t="b">
        <f t="shared" si="149"/>
        <v>0</v>
      </c>
      <c r="CH83" s="54" t="b">
        <f t="shared" si="150"/>
        <v>1</v>
      </c>
      <c r="CI83" s="54" t="b">
        <f t="shared" si="151"/>
        <v>0</v>
      </c>
      <c r="CJ83" s="54" t="b">
        <f t="shared" si="152"/>
        <v>1</v>
      </c>
      <c r="CK83" s="54">
        <f t="shared" si="119"/>
        <v>0.16222929330418059</v>
      </c>
      <c r="CL83" s="54" t="e">
        <f t="shared" si="153"/>
        <v>#N/A</v>
      </c>
      <c r="CM83" s="54">
        <f t="shared" si="154"/>
        <v>0.16222929330418059</v>
      </c>
      <c r="CN83" s="69" t="str">
        <f t="shared" si="155"/>
        <v/>
      </c>
      <c r="CO83" s="54">
        <f>_xlfn.NORM.DIST(_xlfn.NORM.INV(1-Eu_g_konfidensniveau,0,1)-Eu_tabel_g[[#This Row],[x base]],0,1,TRUE)</f>
        <v>0.38080874120305858</v>
      </c>
      <c r="CP83" s="54">
        <f>1-_xlfn.NORM.DIST(_xlfn.NORM.INV(Eu_g_konfidensniveau,0,1)-Eu_tabel_g[[#This Row],[x base]],0,1,TRUE)</f>
        <v>1.4116473590257694E-3</v>
      </c>
      <c r="CQ83" s="54">
        <f>_xlfn.NORM.DIST(_xlfn.NORM.INV((1-Eu_g_konfidensniveau)/2,0,1)-Eu_tabel_g[[#This Row],[x base]],0,1,TRUE)+1-_xlfn.NORM.DIST(_xlfn.NORM.INV(1-(1-Eu_g_konfidensniveau)/2,0,1)-Eu_tabel_g[[#This Row],[x base]],0,1,TRUE)</f>
        <v>0.26861442693718107</v>
      </c>
      <c r="CR83" s="54" t="e" cm="1">
        <f t="array" ref="CR83">IF($CR$3,INDEX(Eu_tabel_g[[#This Row],[Styrke venstre]:[Styrke tosidet]],CR$7),NA())</f>
        <v>#N/A</v>
      </c>
      <c r="CS83" s="89" t="e">
        <f>Eu_tabel_g[[#This Row],[Falsk positiv
Nulhypotese accepteres
Fejltype 1]]</f>
        <v>#N/A</v>
      </c>
      <c r="CT83" s="89" t="e">
        <f>IF(CHOOSE(CR$7,Eu_tabel_g[[#This Row],[x base]]&gt;0,Eu_tabel_g[[#This Row],[x base]]&lt;0,Eu_tabel_g[[#This Row],[x base]]=0),Eu_tabel_g[[#This Row],[Styrke, aktiv]],NA())</f>
        <v>#N/A</v>
      </c>
      <c r="CU83" s="89" t="e">
        <f>IFERROR(IF($CR$3,Eu_tabel_g[[#This Row],[Styrke, aktiv]],NA()),NA())</f>
        <v>#N/A</v>
      </c>
      <c r="CV83" s="89" t="e">
        <f>IF(ISNA(Eu_tabel_g[[#This Row],[Sand negativ
Nulhypotese afvises
Korrekt]]),NA(),IF($CR$3,1,NA()))</f>
        <v>#N/A</v>
      </c>
      <c r="CW83" s="56" t="str" cm="1">
        <f t="array" ref="CW83">_xlfn.SWITCH(BZ83,_xlfn.IFNA(CU$2,-99),CU$5,_xlfn.IFNA(CU$3,-99),CU$6,_xlfn.IFNA(CU$4,-99),CU$7,"")</f>
        <v/>
      </c>
      <c r="DA83" s="7">
        <f t="shared" si="156"/>
        <v>0.8</v>
      </c>
      <c r="DB83">
        <f>IF(ROW(Styrkeberegning_G[[#This Row],[X base venstre]])=ROW(Styrkeberegning_G[[#Headers],[X base venstre]])+1,DB$7/(DA$7/$B$67),DB82/(DA82/$B$67))</f>
        <v>-2.8015817870135784</v>
      </c>
      <c r="DC83">
        <f>Styrkeberegning_G[[#This Row],[X base venstre]]*-1</f>
        <v>2.8015817870135784</v>
      </c>
      <c r="DN83" s="54">
        <f t="shared" si="157"/>
        <v>73</v>
      </c>
      <c r="DO83" s="54">
        <f t="shared" si="158"/>
        <v>74</v>
      </c>
      <c r="DP83" s="54">
        <f t="shared" si="159"/>
        <v>10.161025183094763</v>
      </c>
      <c r="DQ83" s="54" t="e">
        <f t="shared" si="160"/>
        <v>#N/A</v>
      </c>
      <c r="DR83" s="54" t="e">
        <f t="shared" si="161"/>
        <v>#N/A</v>
      </c>
      <c r="DS83" s="54">
        <f t="shared" si="162"/>
        <v>8.9178168406266661E-2</v>
      </c>
      <c r="DT83" s="54" t="e">
        <f t="shared" si="163"/>
        <v>#N/A</v>
      </c>
      <c r="DU83" s="54" t="b">
        <f t="shared" si="164"/>
        <v>0</v>
      </c>
      <c r="DV83" s="54" t="b">
        <f t="shared" si="165"/>
        <v>1</v>
      </c>
      <c r="DW83" s="54" t="b">
        <f t="shared" si="166"/>
        <v>0</v>
      </c>
      <c r="DX83" s="54" t="b">
        <f t="shared" si="167"/>
        <v>1</v>
      </c>
      <c r="DY83" s="54">
        <f t="shared" si="168"/>
        <v>8.9178168406266661E-2</v>
      </c>
      <c r="DZ83" s="54" t="e">
        <f t="shared" si="169"/>
        <v>#N/A</v>
      </c>
      <c r="EA83" s="54">
        <f t="shared" si="170"/>
        <v>8.9178168406266661E-2</v>
      </c>
      <c r="EB83" s="69" t="str">
        <f t="shared" si="171"/>
        <v/>
      </c>
      <c r="EG83" s="54">
        <f t="shared" si="172"/>
        <v>73</v>
      </c>
      <c r="EH83" s="54">
        <f t="shared" si="173"/>
        <v>74</v>
      </c>
      <c r="EI83" s="54">
        <f t="shared" si="174"/>
        <v>-1.3414961949255624</v>
      </c>
      <c r="EJ83" s="54">
        <f t="shared" si="175"/>
        <v>0.16222929330418059</v>
      </c>
      <c r="EK83" s="54" t="e">
        <f t="shared" si="176"/>
        <v>#N/A</v>
      </c>
      <c r="EL83" s="54" t="e">
        <f t="shared" si="177"/>
        <v>#N/A</v>
      </c>
      <c r="EM83" s="54" t="e">
        <f t="shared" si="178"/>
        <v>#N/A</v>
      </c>
      <c r="EN83" s="54" t="b">
        <f t="shared" si="179"/>
        <v>0</v>
      </c>
      <c r="EO83" s="54" t="b">
        <f t="shared" si="180"/>
        <v>1</v>
      </c>
      <c r="EP83" s="54" t="b">
        <f t="shared" si="181"/>
        <v>0</v>
      </c>
      <c r="EQ83" s="54" t="b">
        <f t="shared" si="182"/>
        <v>1</v>
      </c>
      <c r="ER83" s="54">
        <f t="shared" si="183"/>
        <v>0.16222929330418059</v>
      </c>
      <c r="ES83" s="54" t="e">
        <f t="shared" si="184"/>
        <v>#N/A</v>
      </c>
      <c r="ET83" s="54">
        <f t="shared" si="185"/>
        <v>0.16222929330418059</v>
      </c>
      <c r="EU83" s="69" t="str">
        <f t="shared" si="186"/>
        <v/>
      </c>
      <c r="EV8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8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8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83" s="54" t="e" cm="1">
        <f t="array" ref="EY83">IF($CR$3,INDEX(Eu_tabel_a[[#This Row],[Styrke venstre]:[Styrke tosidet]],EY$7),NA())</f>
        <v>#N/A</v>
      </c>
      <c r="EZ83" s="54" t="e">
        <f>IF(EY$3,IF(CHOOSE(EY$7,Eu_tabel_a[[#This Row],[x base]]&gt;0,Eu_tabel_a[[#This Row],[x base]]&lt;0,Eu_tabel_a[[#This Row],[x base]]=0),1,NA()),NA())</f>
        <v>#N/A</v>
      </c>
      <c r="FA83" s="54" t="e">
        <f>IF(CHOOSE(EY$7,Eu_tabel_a[[#This Row],[x base]]&gt;0,Eu_tabel_a[[#This Row],[x base]]&lt;0,Eu_tabel_a[[#This Row],[x base]]=0),Eu_tabel_a[[#This Row],[Styrke, aktiv]],NA())</f>
        <v>#N/A</v>
      </c>
      <c r="FB83" s="54" t="e">
        <f>IFERROR(IF($EY$3,Eu_tabel_a[[#This Row],[Styrke, aktiv]],NA()),NA())</f>
        <v>#N/A</v>
      </c>
      <c r="FC83" s="54" t="e">
        <f>IF(ISNA(Eu_tabel_a[[#This Row],[Sand negativ
Nulhypotese afvises
Korrekt]]),NA(),IF(EY$3,1,NA()))</f>
        <v>#N/A</v>
      </c>
      <c r="FD83" s="55" t="str" cm="1">
        <f t="array" ref="FD83">IFERROR(_xlfn.SWITCH(Eu_tabel_a[[#This Row],[Indeks]],_xlfn.IFNA(FB$2,-99),FB$5,_xlfn.IFNA(FB$3,-99),FB$6,_xlfn.IFNA(FB$4,-99),FB$7,""),"")</f>
        <v/>
      </c>
      <c r="FE83" s="54">
        <f>Eu_tabel_a[[#This Row],[x base]]*SQRT(Eu_a_h0_x*(1-Eu_a_h0_x)/Eu_a_n_x)+Eu_a_h0_x</f>
        <v>0</v>
      </c>
      <c r="FJ83" s="144" t="e">
        <f t="shared" si="130"/>
        <v>#N/A</v>
      </c>
      <c r="FK83" s="152" t="e">
        <f t="shared" si="113"/>
        <v>#DIV/0!</v>
      </c>
      <c r="FL83" s="7" t="e">
        <f t="shared" si="124"/>
        <v>#DIV/0!</v>
      </c>
      <c r="FM83" t="e">
        <f t="shared" si="114"/>
        <v>#DIV/0!</v>
      </c>
      <c r="FN83" s="8" t="e">
        <f t="shared" si="115"/>
        <v>#DIV/0!</v>
      </c>
      <c r="FO83" s="8" t="e">
        <f t="shared" si="116"/>
        <v>#DIV/0!</v>
      </c>
      <c r="FP83" s="151" t="e">
        <f t="shared" si="117"/>
        <v>#DIV/0!</v>
      </c>
      <c r="FQ83" s="144" t="e">
        <f t="shared" ca="1" si="125"/>
        <v>#N/A</v>
      </c>
      <c r="FR83" s="152" t="e" vm="3">
        <f t="shared" ca="1" si="131"/>
        <v>#VALUE!</v>
      </c>
      <c r="FS83" s="7" t="e" vm="3">
        <f t="shared" ca="1" si="126"/>
        <v>#VALUE!</v>
      </c>
      <c r="FT83" t="e" vm="3">
        <f t="shared" ca="1" si="120"/>
        <v>#VALUE!</v>
      </c>
      <c r="FU83" s="8" t="e" vm="3">
        <f t="shared" ca="1" si="121"/>
        <v>#VALUE!</v>
      </c>
      <c r="FV83" s="8" t="e" vm="3">
        <f t="shared" ca="1" si="122"/>
        <v>#VALUE!</v>
      </c>
      <c r="FW83" s="151" t="e" vm="3">
        <f t="shared" ca="1" si="123"/>
        <v>#VALUE!</v>
      </c>
      <c r="FX83" s="144" t="e">
        <f t="shared" si="127"/>
        <v>#N/A</v>
      </c>
      <c r="FY83" s="152" t="e">
        <f t="shared" si="132"/>
        <v>#N/A</v>
      </c>
      <c r="FZ83" s="7" t="e">
        <f t="shared" si="128"/>
        <v>#N/A</v>
      </c>
      <c r="GA83" t="e">
        <f t="shared" si="133"/>
        <v>#N/A</v>
      </c>
      <c r="GB83" s="8" t="e">
        <f t="shared" si="134"/>
        <v>#N/A</v>
      </c>
      <c r="GC83" s="8" t="e">
        <f t="shared" si="135"/>
        <v>#N/A</v>
      </c>
      <c r="GD83" s="151" t="e">
        <f t="shared" si="136"/>
        <v>#N/A</v>
      </c>
      <c r="GE83" s="144" t="e">
        <f t="shared" si="137"/>
        <v>#N/A</v>
      </c>
      <c r="GF83" s="152" t="e">
        <f t="shared" si="138"/>
        <v>#N/A</v>
      </c>
      <c r="GG83" s="7" t="e">
        <f t="shared" si="129"/>
        <v>#N/A</v>
      </c>
      <c r="GH83" t="e">
        <f t="shared" si="139"/>
        <v>#N/A</v>
      </c>
      <c r="GI83" s="8" t="e">
        <f t="shared" si="140"/>
        <v>#N/A</v>
      </c>
      <c r="GJ83" s="8" t="e">
        <f t="shared" si="141"/>
        <v>#N/A</v>
      </c>
      <c r="GK83" s="151" t="e">
        <f t="shared" si="142"/>
        <v>#N/A</v>
      </c>
      <c r="GL83" s="151"/>
      <c r="GM83" s="151"/>
      <c r="GP83" s="54">
        <f t="shared" si="187"/>
        <v>73</v>
      </c>
      <c r="GQ83" s="54">
        <f t="shared" si="188"/>
        <v>74</v>
      </c>
      <c r="GR83" s="54">
        <f t="shared" si="189"/>
        <v>-1.3414961949255624</v>
      </c>
      <c r="GS83" s="54">
        <f t="shared" si="190"/>
        <v>0.16222929330418059</v>
      </c>
      <c r="GT83" s="54" t="e">
        <f t="shared" si="191"/>
        <v>#N/A</v>
      </c>
      <c r="GU83" s="54" t="e">
        <f t="shared" si="192"/>
        <v>#N/A</v>
      </c>
      <c r="GV83" s="54" t="e">
        <f t="shared" si="193"/>
        <v>#N/A</v>
      </c>
      <c r="GW83" s="54" t="b">
        <f t="shared" si="194"/>
        <v>0</v>
      </c>
      <c r="GX83" s="54" t="b">
        <f t="shared" si="195"/>
        <v>1</v>
      </c>
      <c r="GY83" s="54" t="b">
        <f t="shared" si="196"/>
        <v>0</v>
      </c>
      <c r="GZ83" s="54" t="b">
        <f t="shared" si="197"/>
        <v>1</v>
      </c>
      <c r="HA83" s="54">
        <f t="shared" si="198"/>
        <v>0.16222929330418059</v>
      </c>
      <c r="HB83" s="54" t="e">
        <f t="shared" si="199"/>
        <v>#N/A</v>
      </c>
      <c r="HC83" s="54">
        <f t="shared" si="200"/>
        <v>0.16222929330418059</v>
      </c>
      <c r="HD83" s="69" t="str">
        <f t="shared" si="201"/>
        <v/>
      </c>
      <c r="HJ83" s="54">
        <f t="shared" si="202"/>
        <v>73</v>
      </c>
      <c r="HK83" s="54">
        <f t="shared" si="203"/>
        <v>74</v>
      </c>
      <c r="HL83" s="54">
        <f t="shared" si="204"/>
        <v>-2.0773350325871833</v>
      </c>
      <c r="HM83" s="54" t="e">
        <f t="shared" si="205"/>
        <v>#N/A</v>
      </c>
      <c r="HN83" s="54">
        <f t="shared" si="206"/>
        <v>5.6386580151706368E-2</v>
      </c>
      <c r="HO83" s="54" t="e">
        <f t="shared" si="207"/>
        <v>#N/A</v>
      </c>
      <c r="HP83" s="54" t="e">
        <f t="shared" si="208"/>
        <v>#N/A</v>
      </c>
      <c r="HQ83" s="54" t="b">
        <f t="shared" si="209"/>
        <v>1</v>
      </c>
      <c r="HR83" s="54" t="b">
        <f t="shared" si="210"/>
        <v>0</v>
      </c>
      <c r="HS83" s="54" t="b">
        <f t="shared" si="211"/>
        <v>1</v>
      </c>
      <c r="HT83" s="54" t="b">
        <f t="shared" si="212"/>
        <v>0</v>
      </c>
      <c r="HU83" s="54">
        <f t="shared" si="213"/>
        <v>5.6386580151706368E-2</v>
      </c>
      <c r="HV83" s="54">
        <f t="shared" si="214"/>
        <v>5.6386580151706368E-2</v>
      </c>
      <c r="HW83" s="54" t="e">
        <f t="shared" si="215"/>
        <v>#N/A</v>
      </c>
      <c r="HX83" s="69" t="str">
        <f t="shared" si="216"/>
        <v/>
      </c>
    </row>
    <row r="84" spans="78:232" x14ac:dyDescent="0.2">
      <c r="BZ84" s="54">
        <f t="shared" si="143"/>
        <v>74</v>
      </c>
      <c r="CA84" s="54">
        <f>Eu_tabel_g[[#This Row],[Indeks]]+1</f>
        <v>75</v>
      </c>
      <c r="CB84" s="54">
        <f t="shared" si="144"/>
        <v>-1.317540905730463</v>
      </c>
      <c r="CC84" s="54">
        <f t="shared" si="145"/>
        <v>0.16747929415535215</v>
      </c>
      <c r="CD84" s="54" t="e">
        <f t="shared" si="146"/>
        <v>#N/A</v>
      </c>
      <c r="CE84" s="54" t="e">
        <f t="shared" si="147"/>
        <v>#N/A</v>
      </c>
      <c r="CF84" s="54" t="e">
        <f t="shared" si="148"/>
        <v>#N/A</v>
      </c>
      <c r="CG84" s="54" t="b">
        <f t="shared" si="149"/>
        <v>0</v>
      </c>
      <c r="CH84" s="54" t="b">
        <f t="shared" si="150"/>
        <v>1</v>
      </c>
      <c r="CI84" s="54" t="b">
        <f t="shared" si="151"/>
        <v>0</v>
      </c>
      <c r="CJ84" s="54" t="b">
        <f t="shared" si="152"/>
        <v>1</v>
      </c>
      <c r="CK84" s="54">
        <f t="shared" si="119"/>
        <v>0.16747929415535215</v>
      </c>
      <c r="CL84" s="54" t="e">
        <f t="shared" si="153"/>
        <v>#N/A</v>
      </c>
      <c r="CM84" s="54">
        <f t="shared" si="154"/>
        <v>0.16747929415535215</v>
      </c>
      <c r="CN84" s="69" t="str">
        <f t="shared" si="155"/>
        <v/>
      </c>
      <c r="CO84" s="54">
        <f>_xlfn.NORM.DIST(_xlfn.NORM.INV(1-Eu_g_konfidensniveau,0,1)-Eu_tabel_g[[#This Row],[x base]],0,1,TRUE)</f>
        <v>0.37171568587583337</v>
      </c>
      <c r="CP84" s="54">
        <f>1-_xlfn.NORM.DIST(_xlfn.NORM.INV(Eu_g_konfidensniveau,0,1)-Eu_tabel_g[[#This Row],[x base]],0,1,TRUE)</f>
        <v>1.526281832596954E-3</v>
      </c>
      <c r="CQ84" s="54">
        <f>_xlfn.NORM.DIST(_xlfn.NORM.INV((1-Eu_g_konfidensniveau)/2,0,1)-Eu_tabel_g[[#This Row],[x base]],0,1,TRUE)+1-_xlfn.NORM.DIST(_xlfn.NORM.INV(1-(1-Eu_g_konfidensniveau)/2,0,1)-Eu_tabel_g[[#This Row],[x base]],0,1,TRUE)</f>
        <v>0.26082290397850771</v>
      </c>
      <c r="CR84" s="54" t="e" cm="1">
        <f t="array" ref="CR84">IF($CR$3,INDEX(Eu_tabel_g[[#This Row],[Styrke venstre]:[Styrke tosidet]],CR$7),NA())</f>
        <v>#N/A</v>
      </c>
      <c r="CS84" s="89" t="e">
        <f>Eu_tabel_g[[#This Row],[Falsk positiv
Nulhypotese accepteres
Fejltype 1]]</f>
        <v>#N/A</v>
      </c>
      <c r="CT84" s="89" t="e">
        <f>IF(CHOOSE(CR$7,Eu_tabel_g[[#This Row],[x base]]&gt;0,Eu_tabel_g[[#This Row],[x base]]&lt;0,Eu_tabel_g[[#This Row],[x base]]=0),Eu_tabel_g[[#This Row],[Styrke, aktiv]],NA())</f>
        <v>#N/A</v>
      </c>
      <c r="CU84" s="89" t="e">
        <f>IFERROR(IF($CR$3,Eu_tabel_g[[#This Row],[Styrke, aktiv]],NA()),NA())</f>
        <v>#N/A</v>
      </c>
      <c r="CV84" s="89" t="e">
        <f>IF(ISNA(Eu_tabel_g[[#This Row],[Sand negativ
Nulhypotese afvises
Korrekt]]),NA(),IF($CR$3,1,NA()))</f>
        <v>#N/A</v>
      </c>
      <c r="CW84" s="56" t="str" cm="1">
        <f t="array" ref="CW84">_xlfn.SWITCH(BZ84,_xlfn.IFNA(CU$2,-99),CU$5,_xlfn.IFNA(CU$3,-99),CU$6,_xlfn.IFNA(CU$4,-99),CU$7,"")</f>
        <v/>
      </c>
      <c r="DA84" s="7">
        <f t="shared" si="156"/>
        <v>0.8</v>
      </c>
      <c r="DB84">
        <f>IF(ROW(Styrkeberegning_G[[#This Row],[X base venstre]])=ROW(Styrkeberegning_G[[#Headers],[X base venstre]])+1,DB$7/(DA$7/$B$67),DB83/(DA83/$B$67))</f>
        <v>-2.8015817870135784</v>
      </c>
      <c r="DC84">
        <f>Styrkeberegning_G[[#This Row],[X base venstre]]*-1</f>
        <v>2.8015817870135784</v>
      </c>
      <c r="DN84" s="54">
        <f t="shared" si="157"/>
        <v>74</v>
      </c>
      <c r="DO84" s="54">
        <f t="shared" si="158"/>
        <v>75</v>
      </c>
      <c r="DP84" s="54">
        <f t="shared" si="159"/>
        <v>10.275096039511764</v>
      </c>
      <c r="DQ84" s="54" t="e">
        <f t="shared" si="160"/>
        <v>#N/A</v>
      </c>
      <c r="DR84" s="54" t="e">
        <f t="shared" si="161"/>
        <v>#N/A</v>
      </c>
      <c r="DS84" s="54">
        <f t="shared" si="162"/>
        <v>8.857394865643009E-2</v>
      </c>
      <c r="DT84" s="54" t="e">
        <f t="shared" si="163"/>
        <v>#N/A</v>
      </c>
      <c r="DU84" s="54" t="b">
        <f t="shared" si="164"/>
        <v>0</v>
      </c>
      <c r="DV84" s="54" t="b">
        <f t="shared" si="165"/>
        <v>1</v>
      </c>
      <c r="DW84" s="54" t="b">
        <f t="shared" si="166"/>
        <v>0</v>
      </c>
      <c r="DX84" s="54" t="b">
        <f t="shared" si="167"/>
        <v>1</v>
      </c>
      <c r="DY84" s="54">
        <f t="shared" si="168"/>
        <v>8.857394865643009E-2</v>
      </c>
      <c r="DZ84" s="54" t="e">
        <f t="shared" si="169"/>
        <v>#N/A</v>
      </c>
      <c r="EA84" s="54">
        <f t="shared" si="170"/>
        <v>8.857394865643009E-2</v>
      </c>
      <c r="EB84" s="69" t="str">
        <f t="shared" si="171"/>
        <v/>
      </c>
      <c r="EG84" s="54">
        <f t="shared" si="172"/>
        <v>74</v>
      </c>
      <c r="EH84" s="54">
        <f t="shared" si="173"/>
        <v>75</v>
      </c>
      <c r="EI84" s="54">
        <f t="shared" si="174"/>
        <v>-1.317540905730463</v>
      </c>
      <c r="EJ84" s="54">
        <f t="shared" si="175"/>
        <v>0.16747929415535215</v>
      </c>
      <c r="EK84" s="54" t="e">
        <f t="shared" si="176"/>
        <v>#N/A</v>
      </c>
      <c r="EL84" s="54" t="e">
        <f t="shared" si="177"/>
        <v>#N/A</v>
      </c>
      <c r="EM84" s="54" t="e">
        <f t="shared" si="178"/>
        <v>#N/A</v>
      </c>
      <c r="EN84" s="54" t="b">
        <f t="shared" si="179"/>
        <v>0</v>
      </c>
      <c r="EO84" s="54" t="b">
        <f t="shared" si="180"/>
        <v>1</v>
      </c>
      <c r="EP84" s="54" t="b">
        <f t="shared" si="181"/>
        <v>0</v>
      </c>
      <c r="EQ84" s="54" t="b">
        <f t="shared" si="182"/>
        <v>1</v>
      </c>
      <c r="ER84" s="54">
        <f t="shared" si="183"/>
        <v>0.16747929415535215</v>
      </c>
      <c r="ES84" s="54" t="e">
        <f t="shared" si="184"/>
        <v>#N/A</v>
      </c>
      <c r="ET84" s="54">
        <f t="shared" si="185"/>
        <v>0.16747929415535215</v>
      </c>
      <c r="EU84" s="69" t="str">
        <f t="shared" si="186"/>
        <v/>
      </c>
      <c r="EV8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8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8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84" s="54" t="e" cm="1">
        <f t="array" ref="EY84">IF($CR$3,INDEX(Eu_tabel_a[[#This Row],[Styrke venstre]:[Styrke tosidet]],EY$7),NA())</f>
        <v>#N/A</v>
      </c>
      <c r="EZ84" s="54" t="e">
        <f>IF(EY$3,IF(CHOOSE(EY$7,Eu_tabel_a[[#This Row],[x base]]&gt;0,Eu_tabel_a[[#This Row],[x base]]&lt;0,Eu_tabel_a[[#This Row],[x base]]=0),1,NA()),NA())</f>
        <v>#N/A</v>
      </c>
      <c r="FA84" s="54" t="e">
        <f>IF(CHOOSE(EY$7,Eu_tabel_a[[#This Row],[x base]]&gt;0,Eu_tabel_a[[#This Row],[x base]]&lt;0,Eu_tabel_a[[#This Row],[x base]]=0),Eu_tabel_a[[#This Row],[Styrke, aktiv]],NA())</f>
        <v>#N/A</v>
      </c>
      <c r="FB84" s="54" t="e">
        <f>IFERROR(IF($EY$3,Eu_tabel_a[[#This Row],[Styrke, aktiv]],NA()),NA())</f>
        <v>#N/A</v>
      </c>
      <c r="FC84" s="54" t="e">
        <f>IF(ISNA(Eu_tabel_a[[#This Row],[Sand negativ
Nulhypotese afvises
Korrekt]]),NA(),IF(EY$3,1,NA()))</f>
        <v>#N/A</v>
      </c>
      <c r="FD84" s="55" t="str" cm="1">
        <f t="array" ref="FD84">IFERROR(_xlfn.SWITCH(Eu_tabel_a[[#This Row],[Indeks]],_xlfn.IFNA(FB$2,-99),FB$5,_xlfn.IFNA(FB$3,-99),FB$6,_xlfn.IFNA(FB$4,-99),FB$7,""),"")</f>
        <v/>
      </c>
      <c r="FE84" s="54">
        <f>Eu_tabel_a[[#This Row],[x base]]*SQRT(Eu_a_h0_x*(1-Eu_a_h0_x)/Eu_a_n_x)+Eu_a_h0_x</f>
        <v>0</v>
      </c>
      <c r="FJ84" s="144" t="e">
        <f t="shared" si="130"/>
        <v>#N/A</v>
      </c>
      <c r="FK84" s="152" t="e">
        <f t="shared" si="113"/>
        <v>#DIV/0!</v>
      </c>
      <c r="FL84" s="7" t="e">
        <f t="shared" si="124"/>
        <v>#DIV/0!</v>
      </c>
      <c r="FM84" t="e">
        <f t="shared" si="114"/>
        <v>#DIV/0!</v>
      </c>
      <c r="FN84" s="8" t="e">
        <f t="shared" si="115"/>
        <v>#DIV/0!</v>
      </c>
      <c r="FO84" s="8" t="e">
        <f t="shared" si="116"/>
        <v>#DIV/0!</v>
      </c>
      <c r="FP84" s="151" t="e">
        <f t="shared" si="117"/>
        <v>#DIV/0!</v>
      </c>
      <c r="FQ84" s="144" t="e">
        <f t="shared" ca="1" si="125"/>
        <v>#N/A</v>
      </c>
      <c r="FR84" s="152" t="e" vm="3">
        <f t="shared" ca="1" si="131"/>
        <v>#VALUE!</v>
      </c>
      <c r="FS84" s="7" t="e" vm="3">
        <f t="shared" ca="1" si="126"/>
        <v>#VALUE!</v>
      </c>
      <c r="FT84" t="e" vm="3">
        <f t="shared" ca="1" si="120"/>
        <v>#VALUE!</v>
      </c>
      <c r="FU84" s="8" t="e" vm="3">
        <f t="shared" ca="1" si="121"/>
        <v>#VALUE!</v>
      </c>
      <c r="FV84" s="8" t="e" vm="3">
        <f t="shared" ca="1" si="122"/>
        <v>#VALUE!</v>
      </c>
      <c r="FW84" s="151" t="e" vm="3">
        <f t="shared" ca="1" si="123"/>
        <v>#VALUE!</v>
      </c>
      <c r="FX84" s="144" t="e">
        <f t="shared" si="127"/>
        <v>#N/A</v>
      </c>
      <c r="FY84" s="152" t="e">
        <f t="shared" si="132"/>
        <v>#N/A</v>
      </c>
      <c r="FZ84" s="7" t="e">
        <f t="shared" si="128"/>
        <v>#N/A</v>
      </c>
      <c r="GA84" t="e">
        <f t="shared" si="133"/>
        <v>#N/A</v>
      </c>
      <c r="GB84" s="8" t="e">
        <f t="shared" si="134"/>
        <v>#N/A</v>
      </c>
      <c r="GC84" s="8" t="e">
        <f t="shared" si="135"/>
        <v>#N/A</v>
      </c>
      <c r="GD84" s="151" t="e">
        <f t="shared" si="136"/>
        <v>#N/A</v>
      </c>
      <c r="GE84" s="144" t="e">
        <f t="shared" si="137"/>
        <v>#N/A</v>
      </c>
      <c r="GF84" s="152" t="e">
        <f t="shared" si="138"/>
        <v>#N/A</v>
      </c>
      <c r="GG84" s="7" t="e">
        <f t="shared" si="129"/>
        <v>#N/A</v>
      </c>
      <c r="GH84" t="e">
        <f t="shared" si="139"/>
        <v>#N/A</v>
      </c>
      <c r="GI84" s="8" t="e">
        <f t="shared" si="140"/>
        <v>#N/A</v>
      </c>
      <c r="GJ84" s="8" t="e">
        <f t="shared" si="141"/>
        <v>#N/A</v>
      </c>
      <c r="GK84" s="151" t="e">
        <f t="shared" si="142"/>
        <v>#N/A</v>
      </c>
      <c r="GL84" s="151"/>
      <c r="GM84" s="151"/>
      <c r="GP84" s="54">
        <f t="shared" si="187"/>
        <v>74</v>
      </c>
      <c r="GQ84" s="54">
        <f t="shared" si="188"/>
        <v>75</v>
      </c>
      <c r="GR84" s="54">
        <f t="shared" si="189"/>
        <v>-1.317540905730463</v>
      </c>
      <c r="GS84" s="54">
        <f t="shared" si="190"/>
        <v>0.16747929415535215</v>
      </c>
      <c r="GT84" s="54" t="e">
        <f t="shared" si="191"/>
        <v>#N/A</v>
      </c>
      <c r="GU84" s="54" t="e">
        <f t="shared" si="192"/>
        <v>#N/A</v>
      </c>
      <c r="GV84" s="54" t="e">
        <f t="shared" si="193"/>
        <v>#N/A</v>
      </c>
      <c r="GW84" s="54" t="b">
        <f t="shared" si="194"/>
        <v>0</v>
      </c>
      <c r="GX84" s="54" t="b">
        <f t="shared" si="195"/>
        <v>1</v>
      </c>
      <c r="GY84" s="54" t="b">
        <f t="shared" si="196"/>
        <v>0</v>
      </c>
      <c r="GZ84" s="54" t="b">
        <f t="shared" si="197"/>
        <v>1</v>
      </c>
      <c r="HA84" s="54">
        <f t="shared" si="198"/>
        <v>0.16747929415535215</v>
      </c>
      <c r="HB84" s="54" t="e">
        <f t="shared" si="199"/>
        <v>#N/A</v>
      </c>
      <c r="HC84" s="54">
        <f t="shared" si="200"/>
        <v>0.16747929415535215</v>
      </c>
      <c r="HD84" s="69" t="str">
        <f t="shared" si="201"/>
        <v/>
      </c>
      <c r="HJ84" s="54">
        <f t="shared" si="202"/>
        <v>74</v>
      </c>
      <c r="HK84" s="54">
        <f t="shared" si="203"/>
        <v>75</v>
      </c>
      <c r="HL84" s="54">
        <f t="shared" si="204"/>
        <v>-2.0402397641481262</v>
      </c>
      <c r="HM84" s="54" t="e">
        <f t="shared" si="205"/>
        <v>#N/A</v>
      </c>
      <c r="HN84" s="54">
        <f t="shared" si="206"/>
        <v>5.9536756814595811E-2</v>
      </c>
      <c r="HO84" s="54" t="e">
        <f t="shared" si="207"/>
        <v>#N/A</v>
      </c>
      <c r="HP84" s="54" t="e">
        <f t="shared" si="208"/>
        <v>#N/A</v>
      </c>
      <c r="HQ84" s="54" t="b">
        <f t="shared" si="209"/>
        <v>1</v>
      </c>
      <c r="HR84" s="54" t="b">
        <f t="shared" si="210"/>
        <v>0</v>
      </c>
      <c r="HS84" s="54" t="b">
        <f t="shared" si="211"/>
        <v>1</v>
      </c>
      <c r="HT84" s="54" t="b">
        <f t="shared" si="212"/>
        <v>0</v>
      </c>
      <c r="HU84" s="54">
        <f t="shared" si="213"/>
        <v>5.9536756814595811E-2</v>
      </c>
      <c r="HV84" s="54">
        <f t="shared" si="214"/>
        <v>5.9536756814595811E-2</v>
      </c>
      <c r="HW84" s="54" t="e">
        <f t="shared" si="215"/>
        <v>#N/A</v>
      </c>
      <c r="HX84" s="69" t="str">
        <f t="shared" si="216"/>
        <v/>
      </c>
    </row>
    <row r="85" spans="78:232" x14ac:dyDescent="0.2">
      <c r="BZ85" s="54">
        <f t="shared" si="143"/>
        <v>75</v>
      </c>
      <c r="CA85" s="54">
        <f>Eu_tabel_g[[#This Row],[Indeks]]+1</f>
        <v>76</v>
      </c>
      <c r="CB85" s="54">
        <f t="shared" si="144"/>
        <v>-1.2935856165353636</v>
      </c>
      <c r="CC85" s="54">
        <f t="shared" si="145"/>
        <v>0.17280000272227752</v>
      </c>
      <c r="CD85" s="54" t="e">
        <f t="shared" si="146"/>
        <v>#N/A</v>
      </c>
      <c r="CE85" s="54" t="e">
        <f t="shared" si="147"/>
        <v>#N/A</v>
      </c>
      <c r="CF85" s="54" t="e">
        <f t="shared" si="148"/>
        <v>#N/A</v>
      </c>
      <c r="CG85" s="54" t="b">
        <f t="shared" si="149"/>
        <v>0</v>
      </c>
      <c r="CH85" s="54" t="b">
        <f t="shared" si="150"/>
        <v>1</v>
      </c>
      <c r="CI85" s="54" t="b">
        <f t="shared" si="151"/>
        <v>0</v>
      </c>
      <c r="CJ85" s="54" t="b">
        <f t="shared" si="152"/>
        <v>1</v>
      </c>
      <c r="CK85" s="54">
        <f t="shared" si="119"/>
        <v>0.17280000272227752</v>
      </c>
      <c r="CL85" s="54" t="e">
        <f t="shared" si="153"/>
        <v>#N/A</v>
      </c>
      <c r="CM85" s="54">
        <f t="shared" si="154"/>
        <v>0.17280000272227752</v>
      </c>
      <c r="CN85" s="69" t="str">
        <f t="shared" si="155"/>
        <v/>
      </c>
      <c r="CO85" s="54">
        <f>_xlfn.NORM.DIST(_xlfn.NORM.INV(1-Eu_g_konfidensniveau,0,1)-Eu_tabel_g[[#This Row],[x base]],0,1,TRUE)</f>
        <v>0.36269364585060193</v>
      </c>
      <c r="CP85" s="54">
        <f>1-_xlfn.NORM.DIST(_xlfn.NORM.INV(Eu_g_konfidensniveau,0,1)-Eu_tabel_g[[#This Row],[x base]],0,1,TRUE)</f>
        <v>1.6493465284941333E-3</v>
      </c>
      <c r="CQ85" s="54">
        <f>_xlfn.NORM.DIST(_xlfn.NORM.INV((1-Eu_g_konfidensniveau)/2,0,1)-Eu_tabel_g[[#This Row],[x base]],0,1,TRUE)+1-_xlfn.NORM.DIST(_xlfn.NORM.INV(1-(1-Eu_g_konfidensniveau)/2,0,1)-Eu_tabel_g[[#This Row],[x base]],0,1,TRUE)</f>
        <v>0.25315450695979325</v>
      </c>
      <c r="CR85" s="54" t="e" cm="1">
        <f t="array" ref="CR85">IF($CR$3,INDEX(Eu_tabel_g[[#This Row],[Styrke venstre]:[Styrke tosidet]],CR$7),NA())</f>
        <v>#N/A</v>
      </c>
      <c r="CS85" s="89" t="e">
        <f>Eu_tabel_g[[#This Row],[Falsk positiv
Nulhypotese accepteres
Fejltype 1]]</f>
        <v>#N/A</v>
      </c>
      <c r="CT85" s="89" t="e">
        <f>IF(CHOOSE(CR$7,Eu_tabel_g[[#This Row],[x base]]&gt;0,Eu_tabel_g[[#This Row],[x base]]&lt;0,Eu_tabel_g[[#This Row],[x base]]=0),Eu_tabel_g[[#This Row],[Styrke, aktiv]],NA())</f>
        <v>#N/A</v>
      </c>
      <c r="CU85" s="89" t="e">
        <f>IFERROR(IF($CR$3,Eu_tabel_g[[#This Row],[Styrke, aktiv]],NA()),NA())</f>
        <v>#N/A</v>
      </c>
      <c r="CV85" s="89" t="e">
        <f>IF(ISNA(Eu_tabel_g[[#This Row],[Sand negativ
Nulhypotese afvises
Korrekt]]),NA(),IF($CR$3,1,NA()))</f>
        <v>#N/A</v>
      </c>
      <c r="CW85" s="56" t="str" cm="1">
        <f t="array" ref="CW85">_xlfn.SWITCH(BZ85,_xlfn.IFNA(CU$2,-99),CU$5,_xlfn.IFNA(CU$3,-99),CU$6,_xlfn.IFNA(CU$4,-99),CU$7,"")</f>
        <v/>
      </c>
      <c r="DA85" s="7">
        <f t="shared" si="156"/>
        <v>0.8</v>
      </c>
      <c r="DB85">
        <f>IF(ROW(Styrkeberegning_G[[#This Row],[X base venstre]])=ROW(Styrkeberegning_G[[#Headers],[X base venstre]])+1,DB$7/(DA$7/$B$67),DB84/(DA84/$B$67))</f>
        <v>-2.8015817870135784</v>
      </c>
      <c r="DC85">
        <f>Styrkeberegning_G[[#This Row],[X base venstre]]*-1</f>
        <v>2.8015817870135784</v>
      </c>
      <c r="DN85" s="54">
        <f t="shared" si="157"/>
        <v>75</v>
      </c>
      <c r="DO85" s="54">
        <f t="shared" si="158"/>
        <v>76</v>
      </c>
      <c r="DP85" s="54">
        <f t="shared" si="159"/>
        <v>10.389166895928765</v>
      </c>
      <c r="DQ85" s="54" t="e">
        <f t="shared" si="160"/>
        <v>#N/A</v>
      </c>
      <c r="DR85" s="54" t="e">
        <f t="shared" si="161"/>
        <v>#N/A</v>
      </c>
      <c r="DS85" s="54">
        <f t="shared" si="162"/>
        <v>8.7925041836716789E-2</v>
      </c>
      <c r="DT85" s="54" t="e">
        <f t="shared" si="163"/>
        <v>#N/A</v>
      </c>
      <c r="DU85" s="54" t="b">
        <f t="shared" si="164"/>
        <v>0</v>
      </c>
      <c r="DV85" s="54" t="b">
        <f t="shared" si="165"/>
        <v>1</v>
      </c>
      <c r="DW85" s="54" t="b">
        <f t="shared" si="166"/>
        <v>0</v>
      </c>
      <c r="DX85" s="54" t="b">
        <f t="shared" si="167"/>
        <v>1</v>
      </c>
      <c r="DY85" s="54">
        <f t="shared" si="168"/>
        <v>8.7925041836716789E-2</v>
      </c>
      <c r="DZ85" s="54" t="e">
        <f t="shared" si="169"/>
        <v>#N/A</v>
      </c>
      <c r="EA85" s="54">
        <f t="shared" si="170"/>
        <v>8.7925041836716789E-2</v>
      </c>
      <c r="EB85" s="69">
        <f t="shared" si="171"/>
        <v>4.3070000000000004</v>
      </c>
      <c r="EG85" s="54">
        <f t="shared" si="172"/>
        <v>75</v>
      </c>
      <c r="EH85" s="54">
        <f t="shared" si="173"/>
        <v>76</v>
      </c>
      <c r="EI85" s="54">
        <f t="shared" si="174"/>
        <v>-1.2935856165353636</v>
      </c>
      <c r="EJ85" s="54">
        <f t="shared" si="175"/>
        <v>0.17280000272227752</v>
      </c>
      <c r="EK85" s="54" t="e">
        <f t="shared" si="176"/>
        <v>#N/A</v>
      </c>
      <c r="EL85" s="54" t="e">
        <f t="shared" si="177"/>
        <v>#N/A</v>
      </c>
      <c r="EM85" s="54" t="e">
        <f t="shared" si="178"/>
        <v>#N/A</v>
      </c>
      <c r="EN85" s="54" t="b">
        <f t="shared" si="179"/>
        <v>0</v>
      </c>
      <c r="EO85" s="54" t="b">
        <f t="shared" si="180"/>
        <v>1</v>
      </c>
      <c r="EP85" s="54" t="b">
        <f t="shared" si="181"/>
        <v>0</v>
      </c>
      <c r="EQ85" s="54" t="b">
        <f t="shared" si="182"/>
        <v>1</v>
      </c>
      <c r="ER85" s="54">
        <f t="shared" si="183"/>
        <v>0.17280000272227752</v>
      </c>
      <c r="ES85" s="54" t="e">
        <f t="shared" si="184"/>
        <v>#N/A</v>
      </c>
      <c r="ET85" s="54">
        <f t="shared" si="185"/>
        <v>0.17280000272227752</v>
      </c>
      <c r="EU85" s="69" t="str">
        <f t="shared" si="186"/>
        <v/>
      </c>
      <c r="EV8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8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8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85" s="54" t="e" cm="1">
        <f t="array" ref="EY85">IF($CR$3,INDEX(Eu_tabel_a[[#This Row],[Styrke venstre]:[Styrke tosidet]],EY$7),NA())</f>
        <v>#N/A</v>
      </c>
      <c r="EZ85" s="54" t="e">
        <f>IF(EY$3,IF(CHOOSE(EY$7,Eu_tabel_a[[#This Row],[x base]]&gt;0,Eu_tabel_a[[#This Row],[x base]]&lt;0,Eu_tabel_a[[#This Row],[x base]]=0),1,NA()),NA())</f>
        <v>#N/A</v>
      </c>
      <c r="FA85" s="54" t="e">
        <f>IF(CHOOSE(EY$7,Eu_tabel_a[[#This Row],[x base]]&gt;0,Eu_tabel_a[[#This Row],[x base]]&lt;0,Eu_tabel_a[[#This Row],[x base]]=0),Eu_tabel_a[[#This Row],[Styrke, aktiv]],NA())</f>
        <v>#N/A</v>
      </c>
      <c r="FB85" s="54" t="e">
        <f>IFERROR(IF($EY$3,Eu_tabel_a[[#This Row],[Styrke, aktiv]],NA()),NA())</f>
        <v>#N/A</v>
      </c>
      <c r="FC85" s="54" t="e">
        <f>IF(ISNA(Eu_tabel_a[[#This Row],[Sand negativ
Nulhypotese afvises
Korrekt]]),NA(),IF(EY$3,1,NA()))</f>
        <v>#N/A</v>
      </c>
      <c r="FD85" s="55" t="str" cm="1">
        <f t="array" ref="FD85">IFERROR(_xlfn.SWITCH(Eu_tabel_a[[#This Row],[Indeks]],_xlfn.IFNA(FB$2,-99),FB$5,_xlfn.IFNA(FB$3,-99),FB$6,_xlfn.IFNA(FB$4,-99),FB$7,""),"")</f>
        <v/>
      </c>
      <c r="FE85" s="54">
        <f>Eu_tabel_a[[#This Row],[x base]]*SQRT(Eu_a_h0_x*(1-Eu_a_h0_x)/Eu_a_n_x)+Eu_a_h0_x</f>
        <v>0</v>
      </c>
      <c r="FJ85" s="144" t="e">
        <f t="shared" si="130"/>
        <v>#N/A</v>
      </c>
      <c r="FK85" s="152" t="e">
        <f t="shared" si="113"/>
        <v>#DIV/0!</v>
      </c>
      <c r="FL85" s="7" t="e">
        <f t="shared" si="124"/>
        <v>#DIV/0!</v>
      </c>
      <c r="FM85" t="e">
        <f t="shared" si="114"/>
        <v>#DIV/0!</v>
      </c>
      <c r="FN85" s="8" t="e">
        <f t="shared" si="115"/>
        <v>#DIV/0!</v>
      </c>
      <c r="FO85" s="8" t="e">
        <f t="shared" si="116"/>
        <v>#DIV/0!</v>
      </c>
      <c r="FP85" s="151" t="e">
        <f t="shared" si="117"/>
        <v>#DIV/0!</v>
      </c>
      <c r="FQ85" s="144" t="e">
        <f t="shared" ca="1" si="125"/>
        <v>#N/A</v>
      </c>
      <c r="FR85" s="152" t="e" vm="3">
        <f t="shared" ca="1" si="131"/>
        <v>#VALUE!</v>
      </c>
      <c r="FS85" s="7" t="e" vm="3">
        <f t="shared" ca="1" si="126"/>
        <v>#VALUE!</v>
      </c>
      <c r="FT85" t="e" vm="3">
        <f t="shared" ca="1" si="120"/>
        <v>#VALUE!</v>
      </c>
      <c r="FU85" s="8" t="e" vm="3">
        <f t="shared" ca="1" si="121"/>
        <v>#VALUE!</v>
      </c>
      <c r="FV85" s="8" t="e" vm="3">
        <f t="shared" ca="1" si="122"/>
        <v>#VALUE!</v>
      </c>
      <c r="FW85" s="151" t="e" vm="3">
        <f t="shared" ca="1" si="123"/>
        <v>#VALUE!</v>
      </c>
      <c r="FX85" s="144" t="e">
        <f t="shared" si="127"/>
        <v>#N/A</v>
      </c>
      <c r="FY85" s="152" t="e">
        <f t="shared" si="132"/>
        <v>#N/A</v>
      </c>
      <c r="FZ85" s="7" t="e">
        <f t="shared" si="128"/>
        <v>#N/A</v>
      </c>
      <c r="GA85" t="e">
        <f t="shared" si="133"/>
        <v>#N/A</v>
      </c>
      <c r="GB85" s="8" t="e">
        <f t="shared" si="134"/>
        <v>#N/A</v>
      </c>
      <c r="GC85" s="8" t="e">
        <f t="shared" si="135"/>
        <v>#N/A</v>
      </c>
      <c r="GD85" s="151" t="e">
        <f t="shared" si="136"/>
        <v>#N/A</v>
      </c>
      <c r="GE85" s="144" t="e">
        <f t="shared" si="137"/>
        <v>#N/A</v>
      </c>
      <c r="GF85" s="152" t="e">
        <f t="shared" si="138"/>
        <v>#N/A</v>
      </c>
      <c r="GG85" s="7" t="e">
        <f t="shared" si="129"/>
        <v>#N/A</v>
      </c>
      <c r="GH85" t="e">
        <f t="shared" si="139"/>
        <v>#N/A</v>
      </c>
      <c r="GI85" s="8" t="e">
        <f t="shared" si="140"/>
        <v>#N/A</v>
      </c>
      <c r="GJ85" s="8" t="e">
        <f t="shared" si="141"/>
        <v>#N/A</v>
      </c>
      <c r="GK85" s="151" t="e">
        <f t="shared" si="142"/>
        <v>#N/A</v>
      </c>
      <c r="GL85" s="151"/>
      <c r="GM85" s="151"/>
      <c r="GP85" s="54">
        <f t="shared" si="187"/>
        <v>75</v>
      </c>
      <c r="GQ85" s="54">
        <f t="shared" si="188"/>
        <v>76</v>
      </c>
      <c r="GR85" s="54">
        <f t="shared" si="189"/>
        <v>-1.2935856165353636</v>
      </c>
      <c r="GS85" s="54">
        <f t="shared" si="190"/>
        <v>0.17280000272227752</v>
      </c>
      <c r="GT85" s="54" t="e">
        <f t="shared" si="191"/>
        <v>#N/A</v>
      </c>
      <c r="GU85" s="54" t="e">
        <f t="shared" si="192"/>
        <v>#N/A</v>
      </c>
      <c r="GV85" s="54" t="e">
        <f t="shared" si="193"/>
        <v>#N/A</v>
      </c>
      <c r="GW85" s="54" t="b">
        <f t="shared" si="194"/>
        <v>0</v>
      </c>
      <c r="GX85" s="54" t="b">
        <f t="shared" si="195"/>
        <v>1</v>
      </c>
      <c r="GY85" s="54" t="b">
        <f t="shared" si="196"/>
        <v>0</v>
      </c>
      <c r="GZ85" s="54" t="b">
        <f t="shared" si="197"/>
        <v>1</v>
      </c>
      <c r="HA85" s="54">
        <f t="shared" si="198"/>
        <v>0.17280000272227752</v>
      </c>
      <c r="HB85" s="54" t="e">
        <f t="shared" si="199"/>
        <v>#N/A</v>
      </c>
      <c r="HC85" s="54">
        <f t="shared" si="200"/>
        <v>0.17280000272227752</v>
      </c>
      <c r="HD85" s="69" t="str">
        <f t="shared" si="201"/>
        <v/>
      </c>
      <c r="HJ85" s="54">
        <f t="shared" si="202"/>
        <v>75</v>
      </c>
      <c r="HK85" s="54">
        <f t="shared" si="203"/>
        <v>76</v>
      </c>
      <c r="HL85" s="54">
        <f t="shared" si="204"/>
        <v>-2.0031444957090696</v>
      </c>
      <c r="HM85" s="54" t="e">
        <f t="shared" si="205"/>
        <v>#N/A</v>
      </c>
      <c r="HN85" s="54">
        <f t="shared" si="206"/>
        <v>6.2847166029487478E-2</v>
      </c>
      <c r="HO85" s="54" t="e">
        <f t="shared" si="207"/>
        <v>#N/A</v>
      </c>
      <c r="HP85" s="54" t="e">
        <f t="shared" si="208"/>
        <v>#N/A</v>
      </c>
      <c r="HQ85" s="54" t="b">
        <f t="shared" si="209"/>
        <v>1</v>
      </c>
      <c r="HR85" s="54" t="b">
        <f t="shared" si="210"/>
        <v>0</v>
      </c>
      <c r="HS85" s="54" t="b">
        <f t="shared" si="211"/>
        <v>1</v>
      </c>
      <c r="HT85" s="54" t="b">
        <f t="shared" si="212"/>
        <v>0</v>
      </c>
      <c r="HU85" s="54">
        <f t="shared" si="213"/>
        <v>6.2847166029487478E-2</v>
      </c>
      <c r="HV85" s="54">
        <f t="shared" si="214"/>
        <v>6.2847166029487478E-2</v>
      </c>
      <c r="HW85" s="54" t="e">
        <f t="shared" si="215"/>
        <v>#N/A</v>
      </c>
      <c r="HX85" s="69" t="str">
        <f t="shared" si="216"/>
        <v/>
      </c>
    </row>
    <row r="86" spans="78:232" x14ac:dyDescent="0.2">
      <c r="BZ86" s="54">
        <f t="shared" si="143"/>
        <v>76</v>
      </c>
      <c r="CA86" s="54">
        <f>Eu_tabel_g[[#This Row],[Indeks]]+1</f>
        <v>77</v>
      </c>
      <c r="CB86" s="54">
        <f t="shared" si="144"/>
        <v>-1.2696303273402643</v>
      </c>
      <c r="CC86" s="54">
        <f t="shared" si="145"/>
        <v>0.17818746348109932</v>
      </c>
      <c r="CD86" s="54" t="e">
        <f t="shared" si="146"/>
        <v>#N/A</v>
      </c>
      <c r="CE86" s="54" t="e">
        <f t="shared" si="147"/>
        <v>#N/A</v>
      </c>
      <c r="CF86" s="54" t="e">
        <f t="shared" si="148"/>
        <v>#N/A</v>
      </c>
      <c r="CG86" s="54" t="b">
        <f t="shared" si="149"/>
        <v>0</v>
      </c>
      <c r="CH86" s="54" t="b">
        <f t="shared" si="150"/>
        <v>1</v>
      </c>
      <c r="CI86" s="54" t="b">
        <f t="shared" si="151"/>
        <v>0</v>
      </c>
      <c r="CJ86" s="54" t="b">
        <f t="shared" si="152"/>
        <v>1</v>
      </c>
      <c r="CK86" s="54">
        <f t="shared" si="119"/>
        <v>0.17818746348109932</v>
      </c>
      <c r="CL86" s="54" t="e">
        <f t="shared" si="153"/>
        <v>#N/A</v>
      </c>
      <c r="CM86" s="54">
        <f t="shared" si="154"/>
        <v>0.17818746348109932</v>
      </c>
      <c r="CN86" s="69" t="str">
        <f t="shared" si="155"/>
        <v/>
      </c>
      <c r="CO86" s="54">
        <f>_xlfn.NORM.DIST(_xlfn.NORM.INV(1-Eu_g_konfidensniveau,0,1)-Eu_tabel_g[[#This Row],[x base]],0,1,TRUE)</f>
        <v>0.35374720170655227</v>
      </c>
      <c r="CP86" s="54">
        <f>1-_xlfn.NORM.DIST(_xlfn.NORM.INV(Eu_g_konfidensniveau,0,1)-Eu_tabel_g[[#This Row],[x base]],0,1,TRUE)</f>
        <v>1.7813856159707431E-3</v>
      </c>
      <c r="CQ86" s="54">
        <f>_xlfn.NORM.DIST(_xlfn.NORM.INV((1-Eu_g_konfidensniveau)/2,0,1)-Eu_tabel_g[[#This Row],[x base]],0,1,TRUE)+1-_xlfn.NORM.DIST(_xlfn.NORM.INV(1-(1-Eu_g_konfidensniveau)/2,0,1)-Eu_tabel_g[[#This Row],[x base]],0,1,TRUE)</f>
        <v>0.24561202329949883</v>
      </c>
      <c r="CR86" s="54" t="e" cm="1">
        <f t="array" ref="CR86">IF($CR$3,INDEX(Eu_tabel_g[[#This Row],[Styrke venstre]:[Styrke tosidet]],CR$7),NA())</f>
        <v>#N/A</v>
      </c>
      <c r="CS86" s="89" t="e">
        <f>Eu_tabel_g[[#This Row],[Falsk positiv
Nulhypotese accepteres
Fejltype 1]]</f>
        <v>#N/A</v>
      </c>
      <c r="CT86" s="89" t="e">
        <f>IF(CHOOSE(CR$7,Eu_tabel_g[[#This Row],[x base]]&gt;0,Eu_tabel_g[[#This Row],[x base]]&lt;0,Eu_tabel_g[[#This Row],[x base]]=0),Eu_tabel_g[[#This Row],[Styrke, aktiv]],NA())</f>
        <v>#N/A</v>
      </c>
      <c r="CU86" s="89" t="e">
        <f>IFERROR(IF($CR$3,Eu_tabel_g[[#This Row],[Styrke, aktiv]],NA()),NA())</f>
        <v>#N/A</v>
      </c>
      <c r="CV86" s="89" t="e">
        <f>IF(ISNA(Eu_tabel_g[[#This Row],[Sand negativ
Nulhypotese afvises
Korrekt]]),NA(),IF($CR$3,1,NA()))</f>
        <v>#N/A</v>
      </c>
      <c r="CW86" s="56" t="str" cm="1">
        <f t="array" ref="CW86">_xlfn.SWITCH(BZ86,_xlfn.IFNA(CU$2,-99),CU$5,_xlfn.IFNA(CU$3,-99),CU$6,_xlfn.IFNA(CU$4,-99),CU$7,"")</f>
        <v/>
      </c>
      <c r="DA86" s="7">
        <f t="shared" si="156"/>
        <v>0.8</v>
      </c>
      <c r="DB86">
        <f>IF(ROW(Styrkeberegning_G[[#This Row],[X base venstre]])=ROW(Styrkeberegning_G[[#Headers],[X base venstre]])+1,DB$7/(DA$7/$B$67),DB85/(DA85/$B$67))</f>
        <v>-2.8015817870135784</v>
      </c>
      <c r="DC86">
        <f>Styrkeberegning_G[[#This Row],[X base venstre]]*-1</f>
        <v>2.8015817870135784</v>
      </c>
      <c r="DN86" s="54">
        <f t="shared" si="157"/>
        <v>76</v>
      </c>
      <c r="DO86" s="54">
        <f t="shared" si="158"/>
        <v>77</v>
      </c>
      <c r="DP86" s="54">
        <f t="shared" si="159"/>
        <v>10.503237752345767</v>
      </c>
      <c r="DQ86" s="54" t="e">
        <f t="shared" si="160"/>
        <v>#N/A</v>
      </c>
      <c r="DR86" s="54" t="e">
        <f t="shared" si="161"/>
        <v>#N/A</v>
      </c>
      <c r="DS86" s="54">
        <f t="shared" si="162"/>
        <v>8.7233549038172459E-2</v>
      </c>
      <c r="DT86" s="54" t="e">
        <f t="shared" si="163"/>
        <v>#N/A</v>
      </c>
      <c r="DU86" s="54" t="b">
        <f t="shared" si="164"/>
        <v>0</v>
      </c>
      <c r="DV86" s="54" t="b">
        <f t="shared" si="165"/>
        <v>1</v>
      </c>
      <c r="DW86" s="54" t="b">
        <f t="shared" si="166"/>
        <v>0</v>
      </c>
      <c r="DX86" s="54" t="b">
        <f t="shared" si="167"/>
        <v>1</v>
      </c>
      <c r="DY86" s="54">
        <f t="shared" si="168"/>
        <v>8.7233549038172459E-2</v>
      </c>
      <c r="DZ86" s="54" t="e">
        <f t="shared" si="169"/>
        <v>#N/A</v>
      </c>
      <c r="EA86" s="54">
        <f t="shared" si="170"/>
        <v>8.7233549038172459E-2</v>
      </c>
      <c r="EB86" s="69" t="str">
        <f t="shared" si="171"/>
        <v/>
      </c>
      <c r="EG86" s="54">
        <f t="shared" si="172"/>
        <v>76</v>
      </c>
      <c r="EH86" s="54">
        <f t="shared" si="173"/>
        <v>77</v>
      </c>
      <c r="EI86" s="54">
        <f t="shared" si="174"/>
        <v>-1.2696303273402643</v>
      </c>
      <c r="EJ86" s="54">
        <f t="shared" si="175"/>
        <v>0.17818746348109932</v>
      </c>
      <c r="EK86" s="54" t="e">
        <f t="shared" si="176"/>
        <v>#N/A</v>
      </c>
      <c r="EL86" s="54" t="e">
        <f t="shared" si="177"/>
        <v>#N/A</v>
      </c>
      <c r="EM86" s="54" t="e">
        <f t="shared" si="178"/>
        <v>#N/A</v>
      </c>
      <c r="EN86" s="54" t="b">
        <f t="shared" si="179"/>
        <v>0</v>
      </c>
      <c r="EO86" s="54" t="b">
        <f t="shared" si="180"/>
        <v>1</v>
      </c>
      <c r="EP86" s="54" t="b">
        <f t="shared" si="181"/>
        <v>0</v>
      </c>
      <c r="EQ86" s="54" t="b">
        <f t="shared" si="182"/>
        <v>1</v>
      </c>
      <c r="ER86" s="54">
        <f t="shared" si="183"/>
        <v>0.17818746348109932</v>
      </c>
      <c r="ES86" s="54" t="e">
        <f t="shared" si="184"/>
        <v>#N/A</v>
      </c>
      <c r="ET86" s="54">
        <f t="shared" si="185"/>
        <v>0.17818746348109932</v>
      </c>
      <c r="EU86" s="69" t="str">
        <f t="shared" si="186"/>
        <v/>
      </c>
      <c r="EV8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8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8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86" s="54" t="e" cm="1">
        <f t="array" ref="EY86">IF($CR$3,INDEX(Eu_tabel_a[[#This Row],[Styrke venstre]:[Styrke tosidet]],EY$7),NA())</f>
        <v>#N/A</v>
      </c>
      <c r="EZ86" s="54" t="e">
        <f>IF(EY$3,IF(CHOOSE(EY$7,Eu_tabel_a[[#This Row],[x base]]&gt;0,Eu_tabel_a[[#This Row],[x base]]&lt;0,Eu_tabel_a[[#This Row],[x base]]=0),1,NA()),NA())</f>
        <v>#N/A</v>
      </c>
      <c r="FA86" s="54" t="e">
        <f>IF(CHOOSE(EY$7,Eu_tabel_a[[#This Row],[x base]]&gt;0,Eu_tabel_a[[#This Row],[x base]]&lt;0,Eu_tabel_a[[#This Row],[x base]]=0),Eu_tabel_a[[#This Row],[Styrke, aktiv]],NA())</f>
        <v>#N/A</v>
      </c>
      <c r="FB86" s="54" t="e">
        <f>IFERROR(IF($EY$3,Eu_tabel_a[[#This Row],[Styrke, aktiv]],NA()),NA())</f>
        <v>#N/A</v>
      </c>
      <c r="FC86" s="54" t="e">
        <f>IF(ISNA(Eu_tabel_a[[#This Row],[Sand negativ
Nulhypotese afvises
Korrekt]]),NA(),IF(EY$3,1,NA()))</f>
        <v>#N/A</v>
      </c>
      <c r="FD86" s="55" t="str" cm="1">
        <f t="array" ref="FD86">IFERROR(_xlfn.SWITCH(Eu_tabel_a[[#This Row],[Indeks]],_xlfn.IFNA(FB$2,-99),FB$5,_xlfn.IFNA(FB$3,-99),FB$6,_xlfn.IFNA(FB$4,-99),FB$7,""),"")</f>
        <v/>
      </c>
      <c r="FE86" s="54">
        <f>Eu_tabel_a[[#This Row],[x base]]*SQRT(Eu_a_h0_x*(1-Eu_a_h0_x)/Eu_a_n_x)+Eu_a_h0_x</f>
        <v>0</v>
      </c>
      <c r="FJ86" s="144" t="e">
        <f t="shared" si="130"/>
        <v>#N/A</v>
      </c>
      <c r="FK86" s="152" t="e">
        <f t="shared" si="113"/>
        <v>#DIV/0!</v>
      </c>
      <c r="FL86" s="7" t="e">
        <f t="shared" si="124"/>
        <v>#DIV/0!</v>
      </c>
      <c r="FM86" t="e">
        <f t="shared" si="114"/>
        <v>#DIV/0!</v>
      </c>
      <c r="FN86" s="8" t="e">
        <f t="shared" si="115"/>
        <v>#DIV/0!</v>
      </c>
      <c r="FO86" s="8" t="e">
        <f t="shared" si="116"/>
        <v>#DIV/0!</v>
      </c>
      <c r="FP86" s="151" t="e">
        <f t="shared" si="117"/>
        <v>#DIV/0!</v>
      </c>
      <c r="FQ86" s="144" t="e">
        <f t="shared" ca="1" si="125"/>
        <v>#N/A</v>
      </c>
      <c r="FR86" s="152" t="e" vm="3">
        <f t="shared" ca="1" si="131"/>
        <v>#VALUE!</v>
      </c>
      <c r="FS86" s="7" t="e" vm="3">
        <f t="shared" ca="1" si="126"/>
        <v>#VALUE!</v>
      </c>
      <c r="FT86" t="e" vm="3">
        <f t="shared" ca="1" si="120"/>
        <v>#VALUE!</v>
      </c>
      <c r="FU86" s="8" t="e" vm="3">
        <f t="shared" ca="1" si="121"/>
        <v>#VALUE!</v>
      </c>
      <c r="FV86" s="8" t="e" vm="3">
        <f t="shared" ca="1" si="122"/>
        <v>#VALUE!</v>
      </c>
      <c r="FW86" s="151" t="e" vm="3">
        <f t="shared" ca="1" si="123"/>
        <v>#VALUE!</v>
      </c>
      <c r="FX86" s="144" t="e">
        <f t="shared" si="127"/>
        <v>#N/A</v>
      </c>
      <c r="FY86" s="152" t="e">
        <f t="shared" si="132"/>
        <v>#N/A</v>
      </c>
      <c r="FZ86" s="7" t="e">
        <f t="shared" si="128"/>
        <v>#N/A</v>
      </c>
      <c r="GA86" t="e">
        <f t="shared" si="133"/>
        <v>#N/A</v>
      </c>
      <c r="GB86" s="8" t="e">
        <f t="shared" si="134"/>
        <v>#N/A</v>
      </c>
      <c r="GC86" s="8" t="e">
        <f t="shared" si="135"/>
        <v>#N/A</v>
      </c>
      <c r="GD86" s="151" t="e">
        <f t="shared" si="136"/>
        <v>#N/A</v>
      </c>
      <c r="GE86" s="144" t="e">
        <f t="shared" si="137"/>
        <v>#N/A</v>
      </c>
      <c r="GF86" s="152" t="e">
        <f t="shared" si="138"/>
        <v>#N/A</v>
      </c>
      <c r="GG86" s="7" t="e">
        <f t="shared" si="129"/>
        <v>#N/A</v>
      </c>
      <c r="GH86" t="e">
        <f t="shared" si="139"/>
        <v>#N/A</v>
      </c>
      <c r="GI86" s="8" t="e">
        <f t="shared" si="140"/>
        <v>#N/A</v>
      </c>
      <c r="GJ86" s="8" t="e">
        <f t="shared" si="141"/>
        <v>#N/A</v>
      </c>
      <c r="GK86" s="151" t="e">
        <f t="shared" si="142"/>
        <v>#N/A</v>
      </c>
      <c r="GL86" s="151"/>
      <c r="GM86" s="151"/>
      <c r="GP86" s="54">
        <f t="shared" si="187"/>
        <v>76</v>
      </c>
      <c r="GQ86" s="54">
        <f t="shared" si="188"/>
        <v>77</v>
      </c>
      <c r="GR86" s="54">
        <f t="shared" si="189"/>
        <v>-1.2696303273402643</v>
      </c>
      <c r="GS86" s="54">
        <f t="shared" si="190"/>
        <v>0.17818746348109932</v>
      </c>
      <c r="GT86" s="54" t="e">
        <f t="shared" si="191"/>
        <v>#N/A</v>
      </c>
      <c r="GU86" s="54" t="e">
        <f t="shared" si="192"/>
        <v>#N/A</v>
      </c>
      <c r="GV86" s="54" t="e">
        <f t="shared" si="193"/>
        <v>#N/A</v>
      </c>
      <c r="GW86" s="54" t="b">
        <f t="shared" si="194"/>
        <v>0</v>
      </c>
      <c r="GX86" s="54" t="b">
        <f t="shared" si="195"/>
        <v>1</v>
      </c>
      <c r="GY86" s="54" t="b">
        <f t="shared" si="196"/>
        <v>0</v>
      </c>
      <c r="GZ86" s="54" t="b">
        <f t="shared" si="197"/>
        <v>1</v>
      </c>
      <c r="HA86" s="54">
        <f t="shared" si="198"/>
        <v>0.17818746348109932</v>
      </c>
      <c r="HB86" s="54" t="e">
        <f t="shared" si="199"/>
        <v>#N/A</v>
      </c>
      <c r="HC86" s="54">
        <f t="shared" si="200"/>
        <v>0.17818746348109932</v>
      </c>
      <c r="HD86" s="69" t="str">
        <f t="shared" si="201"/>
        <v/>
      </c>
      <c r="HJ86" s="54">
        <f t="shared" si="202"/>
        <v>76</v>
      </c>
      <c r="HK86" s="54">
        <f t="shared" si="203"/>
        <v>77</v>
      </c>
      <c r="HL86" s="54">
        <f t="shared" si="204"/>
        <v>-1.9660492272700125</v>
      </c>
      <c r="HM86" s="54" t="e">
        <f t="shared" si="205"/>
        <v>#N/A</v>
      </c>
      <c r="HN86" s="54">
        <f t="shared" si="206"/>
        <v>6.6323652171868364E-2</v>
      </c>
      <c r="HO86" s="54" t="e">
        <f t="shared" si="207"/>
        <v>#N/A</v>
      </c>
      <c r="HP86" s="54" t="e">
        <f t="shared" si="208"/>
        <v>#N/A</v>
      </c>
      <c r="HQ86" s="54" t="b">
        <f t="shared" si="209"/>
        <v>1</v>
      </c>
      <c r="HR86" s="54" t="b">
        <f t="shared" si="210"/>
        <v>0</v>
      </c>
      <c r="HS86" s="54" t="b">
        <f t="shared" si="211"/>
        <v>1</v>
      </c>
      <c r="HT86" s="54" t="b">
        <f t="shared" si="212"/>
        <v>0</v>
      </c>
      <c r="HU86" s="54">
        <f t="shared" si="213"/>
        <v>6.6323652171868364E-2</v>
      </c>
      <c r="HV86" s="54">
        <f t="shared" si="214"/>
        <v>6.6323652171868364E-2</v>
      </c>
      <c r="HW86" s="54" t="e">
        <f t="shared" si="215"/>
        <v>#N/A</v>
      </c>
      <c r="HX86" s="69" t="str">
        <f t="shared" si="216"/>
        <v/>
      </c>
    </row>
    <row r="87" spans="78:232" x14ac:dyDescent="0.2">
      <c r="BZ87" s="54">
        <f t="shared" si="143"/>
        <v>77</v>
      </c>
      <c r="CA87" s="54">
        <f>Eu_tabel_g[[#This Row],[Indeks]]+1</f>
        <v>78</v>
      </c>
      <c r="CB87" s="54">
        <f t="shared" si="144"/>
        <v>-1.2456750381451651</v>
      </c>
      <c r="CC87" s="54">
        <f t="shared" si="145"/>
        <v>0.18363747975432293</v>
      </c>
      <c r="CD87" s="54" t="e">
        <f t="shared" si="146"/>
        <v>#N/A</v>
      </c>
      <c r="CE87" s="54" t="e">
        <f t="shared" si="147"/>
        <v>#N/A</v>
      </c>
      <c r="CF87" s="54" t="e">
        <f t="shared" si="148"/>
        <v>#N/A</v>
      </c>
      <c r="CG87" s="54" t="b">
        <f t="shared" si="149"/>
        <v>0</v>
      </c>
      <c r="CH87" s="54" t="b">
        <f t="shared" si="150"/>
        <v>1</v>
      </c>
      <c r="CI87" s="54" t="b">
        <f t="shared" si="151"/>
        <v>0</v>
      </c>
      <c r="CJ87" s="54" t="b">
        <f t="shared" si="152"/>
        <v>1</v>
      </c>
      <c r="CK87" s="54">
        <f t="shared" si="119"/>
        <v>0.18363747975432293</v>
      </c>
      <c r="CL87" s="54" t="e">
        <f t="shared" si="153"/>
        <v>#N/A</v>
      </c>
      <c r="CM87" s="54">
        <f t="shared" si="154"/>
        <v>0.18363747975432293</v>
      </c>
      <c r="CN87" s="69" t="str">
        <f t="shared" si="155"/>
        <v/>
      </c>
      <c r="CO87" s="54">
        <f>_xlfn.NORM.DIST(_xlfn.NORM.INV(1-Eu_g_konfidensniveau,0,1)-Eu_tabel_g[[#This Row],[x base]],0,1,TRUE)</f>
        <v>0.34488080927221865</v>
      </c>
      <c r="CP87" s="54">
        <f>1-_xlfn.NORM.DIST(_xlfn.NORM.INV(Eu_g_konfidensniveau,0,1)-Eu_tabel_g[[#This Row],[x base]],0,1,TRUE)</f>
        <v>1.9229722753726364E-3</v>
      </c>
      <c r="CQ87" s="54">
        <f>_xlfn.NORM.DIST(_xlfn.NORM.INV((1-Eu_g_konfidensniveau)/2,0,1)-Eu_tabel_g[[#This Row],[x base]],0,1,TRUE)+1-_xlfn.NORM.DIST(_xlfn.NORM.INV(1-(1-Eu_g_konfidensniveau)/2,0,1)-Eu_tabel_g[[#This Row],[x base]],0,1,TRUE)</f>
        <v>0.23819807758479328</v>
      </c>
      <c r="CR87" s="54" t="e" cm="1">
        <f t="array" ref="CR87">IF($CR$3,INDEX(Eu_tabel_g[[#This Row],[Styrke venstre]:[Styrke tosidet]],CR$7),NA())</f>
        <v>#N/A</v>
      </c>
      <c r="CS87" s="89" t="e">
        <f>Eu_tabel_g[[#This Row],[Falsk positiv
Nulhypotese accepteres
Fejltype 1]]</f>
        <v>#N/A</v>
      </c>
      <c r="CT87" s="89" t="e">
        <f>IF(CHOOSE(CR$7,Eu_tabel_g[[#This Row],[x base]]&gt;0,Eu_tabel_g[[#This Row],[x base]]&lt;0,Eu_tabel_g[[#This Row],[x base]]=0),Eu_tabel_g[[#This Row],[Styrke, aktiv]],NA())</f>
        <v>#N/A</v>
      </c>
      <c r="CU87" s="89" t="e">
        <f>IFERROR(IF($CR$3,Eu_tabel_g[[#This Row],[Styrke, aktiv]],NA()),NA())</f>
        <v>#N/A</v>
      </c>
      <c r="CV87" s="89" t="e">
        <f>IF(ISNA(Eu_tabel_g[[#This Row],[Sand negativ
Nulhypotese afvises
Korrekt]]),NA(),IF($CR$3,1,NA()))</f>
        <v>#N/A</v>
      </c>
      <c r="CW87" s="56" t="str" cm="1">
        <f t="array" ref="CW87">_xlfn.SWITCH(BZ87,_xlfn.IFNA(CU$2,-99),CU$5,_xlfn.IFNA(CU$3,-99),CU$6,_xlfn.IFNA(CU$4,-99),CU$7,"")</f>
        <v/>
      </c>
      <c r="DA87" s="7">
        <f t="shared" si="156"/>
        <v>0.8</v>
      </c>
      <c r="DB87">
        <f>IF(ROW(Styrkeberegning_G[[#This Row],[X base venstre]])=ROW(Styrkeberegning_G[[#Headers],[X base venstre]])+1,DB$7/(DA$7/$B$67),DB86/(DA86/$B$67))</f>
        <v>-2.8015817870135784</v>
      </c>
      <c r="DC87">
        <f>Styrkeberegning_G[[#This Row],[X base venstre]]*-1</f>
        <v>2.8015817870135784</v>
      </c>
      <c r="DN87" s="54">
        <f t="shared" si="157"/>
        <v>77</v>
      </c>
      <c r="DO87" s="54">
        <f t="shared" si="158"/>
        <v>78</v>
      </c>
      <c r="DP87" s="54">
        <f t="shared" si="159"/>
        <v>10.617308608762768</v>
      </c>
      <c r="DQ87" s="54" t="e">
        <f t="shared" si="160"/>
        <v>#N/A</v>
      </c>
      <c r="DR87" s="54" t="e">
        <f t="shared" si="161"/>
        <v>#N/A</v>
      </c>
      <c r="DS87" s="54">
        <f t="shared" si="162"/>
        <v>8.6501566233345414E-2</v>
      </c>
      <c r="DT87" s="54" t="e">
        <f t="shared" si="163"/>
        <v>#N/A</v>
      </c>
      <c r="DU87" s="54" t="b">
        <f t="shared" si="164"/>
        <v>0</v>
      </c>
      <c r="DV87" s="54" t="b">
        <f t="shared" si="165"/>
        <v>1</v>
      </c>
      <c r="DW87" s="54" t="b">
        <f t="shared" si="166"/>
        <v>0</v>
      </c>
      <c r="DX87" s="54" t="b">
        <f t="shared" si="167"/>
        <v>1</v>
      </c>
      <c r="DY87" s="54">
        <f t="shared" si="168"/>
        <v>8.6501566233345414E-2</v>
      </c>
      <c r="DZ87" s="54" t="e">
        <f t="shared" si="169"/>
        <v>#N/A</v>
      </c>
      <c r="EA87" s="54">
        <f t="shared" si="170"/>
        <v>8.6501566233345414E-2</v>
      </c>
      <c r="EB87" s="69" t="str">
        <f t="shared" si="171"/>
        <v/>
      </c>
      <c r="EG87" s="54">
        <f t="shared" si="172"/>
        <v>77</v>
      </c>
      <c r="EH87" s="54">
        <f t="shared" si="173"/>
        <v>78</v>
      </c>
      <c r="EI87" s="54">
        <f t="shared" si="174"/>
        <v>-1.2456750381451651</v>
      </c>
      <c r="EJ87" s="54">
        <f t="shared" si="175"/>
        <v>0.18363747975432293</v>
      </c>
      <c r="EK87" s="54" t="e">
        <f t="shared" si="176"/>
        <v>#N/A</v>
      </c>
      <c r="EL87" s="54" t="e">
        <f t="shared" si="177"/>
        <v>#N/A</v>
      </c>
      <c r="EM87" s="54" t="e">
        <f t="shared" si="178"/>
        <v>#N/A</v>
      </c>
      <c r="EN87" s="54" t="b">
        <f t="shared" si="179"/>
        <v>0</v>
      </c>
      <c r="EO87" s="54" t="b">
        <f t="shared" si="180"/>
        <v>1</v>
      </c>
      <c r="EP87" s="54" t="b">
        <f t="shared" si="181"/>
        <v>0</v>
      </c>
      <c r="EQ87" s="54" t="b">
        <f t="shared" si="182"/>
        <v>1</v>
      </c>
      <c r="ER87" s="54">
        <f t="shared" si="183"/>
        <v>0.18363747975432293</v>
      </c>
      <c r="ES87" s="54" t="e">
        <f t="shared" si="184"/>
        <v>#N/A</v>
      </c>
      <c r="ET87" s="54">
        <f t="shared" si="185"/>
        <v>0.18363747975432293</v>
      </c>
      <c r="EU87" s="69" t="str">
        <f t="shared" si="186"/>
        <v/>
      </c>
      <c r="EV8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8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8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87" s="54" t="e" cm="1">
        <f t="array" ref="EY87">IF($CR$3,INDEX(Eu_tabel_a[[#This Row],[Styrke venstre]:[Styrke tosidet]],EY$7),NA())</f>
        <v>#N/A</v>
      </c>
      <c r="EZ87" s="54" t="e">
        <f>IF(EY$3,IF(CHOOSE(EY$7,Eu_tabel_a[[#This Row],[x base]]&gt;0,Eu_tabel_a[[#This Row],[x base]]&lt;0,Eu_tabel_a[[#This Row],[x base]]=0),1,NA()),NA())</f>
        <v>#N/A</v>
      </c>
      <c r="FA87" s="54" t="e">
        <f>IF(CHOOSE(EY$7,Eu_tabel_a[[#This Row],[x base]]&gt;0,Eu_tabel_a[[#This Row],[x base]]&lt;0,Eu_tabel_a[[#This Row],[x base]]=0),Eu_tabel_a[[#This Row],[Styrke, aktiv]],NA())</f>
        <v>#N/A</v>
      </c>
      <c r="FB87" s="54" t="e">
        <f>IFERROR(IF($EY$3,Eu_tabel_a[[#This Row],[Styrke, aktiv]],NA()),NA())</f>
        <v>#N/A</v>
      </c>
      <c r="FC87" s="54" t="e">
        <f>IF(ISNA(Eu_tabel_a[[#This Row],[Sand negativ
Nulhypotese afvises
Korrekt]]),NA(),IF(EY$3,1,NA()))</f>
        <v>#N/A</v>
      </c>
      <c r="FD87" s="55" t="str" cm="1">
        <f t="array" ref="FD87">IFERROR(_xlfn.SWITCH(Eu_tabel_a[[#This Row],[Indeks]],_xlfn.IFNA(FB$2,-99),FB$5,_xlfn.IFNA(FB$3,-99),FB$6,_xlfn.IFNA(FB$4,-99),FB$7,""),"")</f>
        <v/>
      </c>
      <c r="FE87" s="54">
        <f>Eu_tabel_a[[#This Row],[x base]]*SQRT(Eu_a_h0_x*(1-Eu_a_h0_x)/Eu_a_n_x)+Eu_a_h0_x</f>
        <v>0</v>
      </c>
      <c r="FJ87" s="144" t="e">
        <f t="shared" si="130"/>
        <v>#N/A</v>
      </c>
      <c r="FK87" s="152" t="e">
        <f t="shared" si="113"/>
        <v>#DIV/0!</v>
      </c>
      <c r="FL87" s="7" t="e">
        <f t="shared" si="124"/>
        <v>#DIV/0!</v>
      </c>
      <c r="FM87" t="e">
        <f t="shared" si="114"/>
        <v>#DIV/0!</v>
      </c>
      <c r="FN87" s="8" t="e">
        <f t="shared" si="115"/>
        <v>#DIV/0!</v>
      </c>
      <c r="FO87" s="8" t="e">
        <f t="shared" si="116"/>
        <v>#DIV/0!</v>
      </c>
      <c r="FP87" s="151" t="e">
        <f t="shared" si="117"/>
        <v>#DIV/0!</v>
      </c>
      <c r="FQ87" s="144" t="e">
        <f t="shared" ca="1" si="125"/>
        <v>#N/A</v>
      </c>
      <c r="FR87" s="152" t="e" vm="3">
        <f t="shared" ca="1" si="131"/>
        <v>#VALUE!</v>
      </c>
      <c r="FS87" s="7" t="e" vm="3">
        <f t="shared" ca="1" si="126"/>
        <v>#VALUE!</v>
      </c>
      <c r="FT87" t="e" vm="3">
        <f t="shared" ca="1" si="120"/>
        <v>#VALUE!</v>
      </c>
      <c r="FU87" s="8" t="e" vm="3">
        <f t="shared" ca="1" si="121"/>
        <v>#VALUE!</v>
      </c>
      <c r="FV87" s="8" t="e" vm="3">
        <f t="shared" ca="1" si="122"/>
        <v>#VALUE!</v>
      </c>
      <c r="FW87" s="151" t="e" vm="3">
        <f t="shared" ca="1" si="123"/>
        <v>#VALUE!</v>
      </c>
      <c r="FX87" s="144" t="e">
        <f t="shared" si="127"/>
        <v>#N/A</v>
      </c>
      <c r="FY87" s="152" t="e">
        <f t="shared" si="132"/>
        <v>#N/A</v>
      </c>
      <c r="FZ87" s="7" t="e">
        <f t="shared" si="128"/>
        <v>#N/A</v>
      </c>
      <c r="GA87" t="e">
        <f t="shared" si="133"/>
        <v>#N/A</v>
      </c>
      <c r="GB87" s="8" t="e">
        <f t="shared" si="134"/>
        <v>#N/A</v>
      </c>
      <c r="GC87" s="8" t="e">
        <f t="shared" si="135"/>
        <v>#N/A</v>
      </c>
      <c r="GD87" s="151" t="e">
        <f t="shared" si="136"/>
        <v>#N/A</v>
      </c>
      <c r="GE87" s="144" t="e">
        <f t="shared" si="137"/>
        <v>#N/A</v>
      </c>
      <c r="GF87" s="152" t="e">
        <f t="shared" si="138"/>
        <v>#N/A</v>
      </c>
      <c r="GG87" s="7" t="e">
        <f t="shared" si="129"/>
        <v>#N/A</v>
      </c>
      <c r="GH87" t="e">
        <f t="shared" si="139"/>
        <v>#N/A</v>
      </c>
      <c r="GI87" s="8" t="e">
        <f t="shared" si="140"/>
        <v>#N/A</v>
      </c>
      <c r="GJ87" s="8" t="e">
        <f t="shared" si="141"/>
        <v>#N/A</v>
      </c>
      <c r="GK87" s="151" t="e">
        <f t="shared" si="142"/>
        <v>#N/A</v>
      </c>
      <c r="GL87" s="151"/>
      <c r="GM87" s="151"/>
      <c r="GP87" s="54">
        <f t="shared" si="187"/>
        <v>77</v>
      </c>
      <c r="GQ87" s="54">
        <f t="shared" si="188"/>
        <v>78</v>
      </c>
      <c r="GR87" s="54">
        <f t="shared" si="189"/>
        <v>-1.2456750381451651</v>
      </c>
      <c r="GS87" s="54">
        <f t="shared" si="190"/>
        <v>0.18363747975432293</v>
      </c>
      <c r="GT87" s="54" t="e">
        <f t="shared" si="191"/>
        <v>#N/A</v>
      </c>
      <c r="GU87" s="54" t="e">
        <f t="shared" si="192"/>
        <v>#N/A</v>
      </c>
      <c r="GV87" s="54" t="e">
        <f t="shared" si="193"/>
        <v>#N/A</v>
      </c>
      <c r="GW87" s="54" t="b">
        <f t="shared" si="194"/>
        <v>0</v>
      </c>
      <c r="GX87" s="54" t="b">
        <f t="shared" si="195"/>
        <v>1</v>
      </c>
      <c r="GY87" s="54" t="b">
        <f t="shared" si="196"/>
        <v>0</v>
      </c>
      <c r="GZ87" s="54" t="b">
        <f t="shared" si="197"/>
        <v>1</v>
      </c>
      <c r="HA87" s="54">
        <f t="shared" si="198"/>
        <v>0.18363747975432293</v>
      </c>
      <c r="HB87" s="54" t="e">
        <f t="shared" si="199"/>
        <v>#N/A</v>
      </c>
      <c r="HC87" s="54">
        <f t="shared" si="200"/>
        <v>0.18363747975432293</v>
      </c>
      <c r="HD87" s="69" t="str">
        <f t="shared" si="201"/>
        <v/>
      </c>
      <c r="HJ87" s="54">
        <f t="shared" si="202"/>
        <v>77</v>
      </c>
      <c r="HK87" s="54">
        <f t="shared" si="203"/>
        <v>78</v>
      </c>
      <c r="HL87" s="54">
        <f t="shared" si="204"/>
        <v>-1.9289539588309559</v>
      </c>
      <c r="HM87" s="54" t="e">
        <f t="shared" si="205"/>
        <v>#N/A</v>
      </c>
      <c r="HN87" s="54">
        <f t="shared" si="206"/>
        <v>6.9971985868934911E-2</v>
      </c>
      <c r="HO87" s="54" t="e">
        <f t="shared" si="207"/>
        <v>#N/A</v>
      </c>
      <c r="HP87" s="54" t="e">
        <f t="shared" si="208"/>
        <v>#N/A</v>
      </c>
      <c r="HQ87" s="54" t="b">
        <f t="shared" si="209"/>
        <v>1</v>
      </c>
      <c r="HR87" s="54" t="b">
        <f t="shared" si="210"/>
        <v>0</v>
      </c>
      <c r="HS87" s="54" t="b">
        <f t="shared" si="211"/>
        <v>1</v>
      </c>
      <c r="HT87" s="54" t="b">
        <f t="shared" si="212"/>
        <v>0</v>
      </c>
      <c r="HU87" s="54">
        <f t="shared" si="213"/>
        <v>6.9971985868934911E-2</v>
      </c>
      <c r="HV87" s="54">
        <f t="shared" si="214"/>
        <v>6.9971985868934911E-2</v>
      </c>
      <c r="HW87" s="54" t="e">
        <f t="shared" si="215"/>
        <v>#N/A</v>
      </c>
      <c r="HX87" s="69" t="str">
        <f t="shared" si="216"/>
        <v/>
      </c>
    </row>
    <row r="88" spans="78:232" x14ac:dyDescent="0.2">
      <c r="BZ88" s="54">
        <f t="shared" si="143"/>
        <v>78</v>
      </c>
      <c r="CA88" s="54">
        <f>Eu_tabel_g[[#This Row],[Indeks]]+1</f>
        <v>79</v>
      </c>
      <c r="CB88" s="54">
        <f t="shared" si="144"/>
        <v>-1.2217197489500657</v>
      </c>
      <c r="CC88" s="54">
        <f t="shared" si="145"/>
        <v>0.18914561597203963</v>
      </c>
      <c r="CD88" s="54" t="e">
        <f t="shared" si="146"/>
        <v>#N/A</v>
      </c>
      <c r="CE88" s="54" t="e">
        <f t="shared" si="147"/>
        <v>#N/A</v>
      </c>
      <c r="CF88" s="54" t="e">
        <f t="shared" si="148"/>
        <v>#N/A</v>
      </c>
      <c r="CG88" s="54" t="b">
        <f t="shared" si="149"/>
        <v>0</v>
      </c>
      <c r="CH88" s="54" t="b">
        <f t="shared" si="150"/>
        <v>1</v>
      </c>
      <c r="CI88" s="54" t="b">
        <f t="shared" si="151"/>
        <v>0</v>
      </c>
      <c r="CJ88" s="54" t="b">
        <f t="shared" si="152"/>
        <v>1</v>
      </c>
      <c r="CK88" s="54">
        <f t="shared" si="119"/>
        <v>0.18914561597203963</v>
      </c>
      <c r="CL88" s="54" t="e">
        <f t="shared" si="153"/>
        <v>#N/A</v>
      </c>
      <c r="CM88" s="54">
        <f t="shared" si="154"/>
        <v>0.18914561597203963</v>
      </c>
      <c r="CN88" s="69" t="str">
        <f t="shared" si="155"/>
        <v/>
      </c>
      <c r="CO88" s="54">
        <f>_xlfn.NORM.DIST(_xlfn.NORM.INV(1-Eu_g_konfidensniveau,0,1)-Eu_tabel_g[[#This Row],[x base]],0,1,TRUE)</f>
        <v>0.33609879307128609</v>
      </c>
      <c r="CP88" s="54">
        <f>1-_xlfn.NORM.DIST(_xlfn.NORM.INV(Eu_g_konfidensniveau,0,1)-Eu_tabel_g[[#This Row],[x base]],0,1,TRUE)</f>
        <v>2.0747097827240601E-3</v>
      </c>
      <c r="CQ88" s="54">
        <f>_xlfn.NORM.DIST(_xlfn.NORM.INV((1-Eu_g_konfidensniveau)/2,0,1)-Eu_tabel_g[[#This Row],[x base]],0,1,TRUE)+1-_xlfn.NORM.DIST(_xlfn.NORM.INV(1-(1-Eu_g_konfidensniveau)/2,0,1)-Eu_tabel_g[[#This Row],[x base]],0,1,TRUE)</f>
        <v>0.23091513127223462</v>
      </c>
      <c r="CR88" s="54" t="e" cm="1">
        <f t="array" ref="CR88">IF($CR$3,INDEX(Eu_tabel_g[[#This Row],[Styrke venstre]:[Styrke tosidet]],CR$7),NA())</f>
        <v>#N/A</v>
      </c>
      <c r="CS88" s="89" t="e">
        <f>Eu_tabel_g[[#This Row],[Falsk positiv
Nulhypotese accepteres
Fejltype 1]]</f>
        <v>#N/A</v>
      </c>
      <c r="CT88" s="89" t="e">
        <f>IF(CHOOSE(CR$7,Eu_tabel_g[[#This Row],[x base]]&gt;0,Eu_tabel_g[[#This Row],[x base]]&lt;0,Eu_tabel_g[[#This Row],[x base]]=0),Eu_tabel_g[[#This Row],[Styrke, aktiv]],NA())</f>
        <v>#N/A</v>
      </c>
      <c r="CU88" s="89" t="e">
        <f>IFERROR(IF($CR$3,Eu_tabel_g[[#This Row],[Styrke, aktiv]],NA()),NA())</f>
        <v>#N/A</v>
      </c>
      <c r="CV88" s="89" t="e">
        <f>IF(ISNA(Eu_tabel_g[[#This Row],[Sand negativ
Nulhypotese afvises
Korrekt]]),NA(),IF($CR$3,1,NA()))</f>
        <v>#N/A</v>
      </c>
      <c r="CW88" s="56" t="str" cm="1">
        <f t="array" ref="CW88">_xlfn.SWITCH(BZ88,_xlfn.IFNA(CU$2,-99),CU$5,_xlfn.IFNA(CU$3,-99),CU$6,_xlfn.IFNA(CU$4,-99),CU$7,"")</f>
        <v/>
      </c>
      <c r="DA88" s="7">
        <f t="shared" si="156"/>
        <v>0.8</v>
      </c>
      <c r="DB88">
        <f>IF(ROW(Styrkeberegning_G[[#This Row],[X base venstre]])=ROW(Styrkeberegning_G[[#Headers],[X base venstre]])+1,DB$7/(DA$7/$B$67),DB87/(DA87/$B$67))</f>
        <v>-2.8015817870135784</v>
      </c>
      <c r="DC88">
        <f>Styrkeberegning_G[[#This Row],[X base venstre]]*-1</f>
        <v>2.8015817870135784</v>
      </c>
      <c r="DN88" s="54">
        <f t="shared" si="157"/>
        <v>78</v>
      </c>
      <c r="DO88" s="54">
        <f t="shared" si="158"/>
        <v>79</v>
      </c>
      <c r="DP88" s="54">
        <f t="shared" si="159"/>
        <v>10.731379465179769</v>
      </c>
      <c r="DQ88" s="54" t="e">
        <f t="shared" si="160"/>
        <v>#N/A</v>
      </c>
      <c r="DR88" s="54" t="e">
        <f t="shared" si="161"/>
        <v>#N/A</v>
      </c>
      <c r="DS88" s="54">
        <f t="shared" si="162"/>
        <v>8.5731179445392575E-2</v>
      </c>
      <c r="DT88" s="54" t="e">
        <f t="shared" si="163"/>
        <v>#N/A</v>
      </c>
      <c r="DU88" s="54" t="b">
        <f t="shared" si="164"/>
        <v>0</v>
      </c>
      <c r="DV88" s="54" t="b">
        <f t="shared" si="165"/>
        <v>1</v>
      </c>
      <c r="DW88" s="54" t="b">
        <f t="shared" si="166"/>
        <v>0</v>
      </c>
      <c r="DX88" s="54" t="b">
        <f t="shared" si="167"/>
        <v>1</v>
      </c>
      <c r="DY88" s="54">
        <f t="shared" si="168"/>
        <v>8.5731179445392575E-2</v>
      </c>
      <c r="DZ88" s="54" t="e">
        <f t="shared" si="169"/>
        <v>#N/A</v>
      </c>
      <c r="EA88" s="54">
        <f t="shared" si="170"/>
        <v>8.5731179445392575E-2</v>
      </c>
      <c r="EB88" s="69" t="str">
        <f t="shared" si="171"/>
        <v/>
      </c>
      <c r="EG88" s="54">
        <f t="shared" si="172"/>
        <v>78</v>
      </c>
      <c r="EH88" s="54">
        <f t="shared" si="173"/>
        <v>79</v>
      </c>
      <c r="EI88" s="54">
        <f t="shared" si="174"/>
        <v>-1.2217197489500657</v>
      </c>
      <c r="EJ88" s="54">
        <f t="shared" si="175"/>
        <v>0.18914561597203963</v>
      </c>
      <c r="EK88" s="54" t="e">
        <f t="shared" si="176"/>
        <v>#N/A</v>
      </c>
      <c r="EL88" s="54" t="e">
        <f t="shared" si="177"/>
        <v>#N/A</v>
      </c>
      <c r="EM88" s="54" t="e">
        <f t="shared" si="178"/>
        <v>#N/A</v>
      </c>
      <c r="EN88" s="54" t="b">
        <f t="shared" si="179"/>
        <v>0</v>
      </c>
      <c r="EO88" s="54" t="b">
        <f t="shared" si="180"/>
        <v>1</v>
      </c>
      <c r="EP88" s="54" t="b">
        <f t="shared" si="181"/>
        <v>0</v>
      </c>
      <c r="EQ88" s="54" t="b">
        <f t="shared" si="182"/>
        <v>1</v>
      </c>
      <c r="ER88" s="54">
        <f t="shared" si="183"/>
        <v>0.18914561597203963</v>
      </c>
      <c r="ES88" s="54" t="e">
        <f t="shared" si="184"/>
        <v>#N/A</v>
      </c>
      <c r="ET88" s="54">
        <f t="shared" si="185"/>
        <v>0.18914561597203963</v>
      </c>
      <c r="EU88" s="69" t="str">
        <f t="shared" si="186"/>
        <v/>
      </c>
      <c r="EV8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8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8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88" s="54" t="e" cm="1">
        <f t="array" ref="EY88">IF($CR$3,INDEX(Eu_tabel_a[[#This Row],[Styrke venstre]:[Styrke tosidet]],EY$7),NA())</f>
        <v>#N/A</v>
      </c>
      <c r="EZ88" s="54" t="e">
        <f>IF(EY$3,IF(CHOOSE(EY$7,Eu_tabel_a[[#This Row],[x base]]&gt;0,Eu_tabel_a[[#This Row],[x base]]&lt;0,Eu_tabel_a[[#This Row],[x base]]=0),1,NA()),NA())</f>
        <v>#N/A</v>
      </c>
      <c r="FA88" s="54" t="e">
        <f>IF(CHOOSE(EY$7,Eu_tabel_a[[#This Row],[x base]]&gt;0,Eu_tabel_a[[#This Row],[x base]]&lt;0,Eu_tabel_a[[#This Row],[x base]]=0),Eu_tabel_a[[#This Row],[Styrke, aktiv]],NA())</f>
        <v>#N/A</v>
      </c>
      <c r="FB88" s="54" t="e">
        <f>IFERROR(IF($EY$3,Eu_tabel_a[[#This Row],[Styrke, aktiv]],NA()),NA())</f>
        <v>#N/A</v>
      </c>
      <c r="FC88" s="54" t="e">
        <f>IF(ISNA(Eu_tabel_a[[#This Row],[Sand negativ
Nulhypotese afvises
Korrekt]]),NA(),IF(EY$3,1,NA()))</f>
        <v>#N/A</v>
      </c>
      <c r="FD88" s="55" t="str" cm="1">
        <f t="array" ref="FD88">IFERROR(_xlfn.SWITCH(Eu_tabel_a[[#This Row],[Indeks]],_xlfn.IFNA(FB$2,-99),FB$5,_xlfn.IFNA(FB$3,-99),FB$6,_xlfn.IFNA(FB$4,-99),FB$7,""),"")</f>
        <v/>
      </c>
      <c r="FE88" s="54">
        <f>Eu_tabel_a[[#This Row],[x base]]*SQRT(Eu_a_h0_x*(1-Eu_a_h0_x)/Eu_a_n_x)+Eu_a_h0_x</f>
        <v>0</v>
      </c>
      <c r="FJ88" s="144" t="e">
        <f t="shared" si="130"/>
        <v>#N/A</v>
      </c>
      <c r="FK88" s="152" t="e">
        <f t="shared" si="113"/>
        <v>#DIV/0!</v>
      </c>
      <c r="FL88" s="7" t="e">
        <f t="shared" si="124"/>
        <v>#DIV/0!</v>
      </c>
      <c r="FM88" t="e">
        <f t="shared" si="114"/>
        <v>#DIV/0!</v>
      </c>
      <c r="FN88" s="8" t="e">
        <f t="shared" si="115"/>
        <v>#DIV/0!</v>
      </c>
      <c r="FO88" s="8" t="e">
        <f t="shared" si="116"/>
        <v>#DIV/0!</v>
      </c>
      <c r="FP88" s="151" t="e">
        <f t="shared" si="117"/>
        <v>#DIV/0!</v>
      </c>
      <c r="FQ88" s="144" t="e">
        <f t="shared" ca="1" si="125"/>
        <v>#N/A</v>
      </c>
      <c r="FR88" s="152" t="e" vm="3">
        <f t="shared" ca="1" si="131"/>
        <v>#VALUE!</v>
      </c>
      <c r="FS88" s="7" t="e" vm="3">
        <f t="shared" ca="1" si="126"/>
        <v>#VALUE!</v>
      </c>
      <c r="FT88" t="e" vm="3">
        <f t="shared" ca="1" si="120"/>
        <v>#VALUE!</v>
      </c>
      <c r="FU88" s="8" t="e" vm="3">
        <f t="shared" ca="1" si="121"/>
        <v>#VALUE!</v>
      </c>
      <c r="FV88" s="8" t="e" vm="3">
        <f t="shared" ca="1" si="122"/>
        <v>#VALUE!</v>
      </c>
      <c r="FW88" s="151" t="e" vm="3">
        <f t="shared" ca="1" si="123"/>
        <v>#VALUE!</v>
      </c>
      <c r="FX88" s="144" t="e">
        <f t="shared" si="127"/>
        <v>#N/A</v>
      </c>
      <c r="FY88" s="152" t="e">
        <f t="shared" si="132"/>
        <v>#N/A</v>
      </c>
      <c r="FZ88" s="7" t="e">
        <f t="shared" si="128"/>
        <v>#N/A</v>
      </c>
      <c r="GA88" t="e">
        <f t="shared" si="133"/>
        <v>#N/A</v>
      </c>
      <c r="GB88" s="8" t="e">
        <f t="shared" si="134"/>
        <v>#N/A</v>
      </c>
      <c r="GC88" s="8" t="e">
        <f t="shared" si="135"/>
        <v>#N/A</v>
      </c>
      <c r="GD88" s="151" t="e">
        <f t="shared" si="136"/>
        <v>#N/A</v>
      </c>
      <c r="GE88" s="144" t="e">
        <f t="shared" si="137"/>
        <v>#N/A</v>
      </c>
      <c r="GF88" s="152" t="e">
        <f t="shared" si="138"/>
        <v>#N/A</v>
      </c>
      <c r="GG88" s="7" t="e">
        <f t="shared" si="129"/>
        <v>#N/A</v>
      </c>
      <c r="GH88" t="e">
        <f t="shared" si="139"/>
        <v>#N/A</v>
      </c>
      <c r="GI88" s="8" t="e">
        <f t="shared" si="140"/>
        <v>#N/A</v>
      </c>
      <c r="GJ88" s="8" t="e">
        <f t="shared" si="141"/>
        <v>#N/A</v>
      </c>
      <c r="GK88" s="151" t="e">
        <f t="shared" si="142"/>
        <v>#N/A</v>
      </c>
      <c r="GL88" s="151"/>
      <c r="GM88" s="151"/>
      <c r="GP88" s="54">
        <f t="shared" si="187"/>
        <v>78</v>
      </c>
      <c r="GQ88" s="54">
        <f t="shared" si="188"/>
        <v>79</v>
      </c>
      <c r="GR88" s="54">
        <f t="shared" si="189"/>
        <v>-1.2217197489500657</v>
      </c>
      <c r="GS88" s="54">
        <f t="shared" si="190"/>
        <v>0.18914561597203963</v>
      </c>
      <c r="GT88" s="54" t="e">
        <f t="shared" si="191"/>
        <v>#N/A</v>
      </c>
      <c r="GU88" s="54" t="e">
        <f t="shared" si="192"/>
        <v>#N/A</v>
      </c>
      <c r="GV88" s="54" t="e">
        <f t="shared" si="193"/>
        <v>#N/A</v>
      </c>
      <c r="GW88" s="54" t="b">
        <f t="shared" si="194"/>
        <v>0</v>
      </c>
      <c r="GX88" s="54" t="b">
        <f t="shared" si="195"/>
        <v>1</v>
      </c>
      <c r="GY88" s="54" t="b">
        <f t="shared" si="196"/>
        <v>0</v>
      </c>
      <c r="GZ88" s="54" t="b">
        <f t="shared" si="197"/>
        <v>1</v>
      </c>
      <c r="HA88" s="54">
        <f t="shared" si="198"/>
        <v>0.18914561597203963</v>
      </c>
      <c r="HB88" s="54" t="e">
        <f t="shared" si="199"/>
        <v>#N/A</v>
      </c>
      <c r="HC88" s="54">
        <f t="shared" si="200"/>
        <v>0.18914561597203963</v>
      </c>
      <c r="HD88" s="69" t="str">
        <f t="shared" si="201"/>
        <v/>
      </c>
      <c r="HJ88" s="54">
        <f t="shared" si="202"/>
        <v>78</v>
      </c>
      <c r="HK88" s="54">
        <f t="shared" si="203"/>
        <v>79</v>
      </c>
      <c r="HL88" s="54">
        <f t="shared" si="204"/>
        <v>-1.8918586903918988</v>
      </c>
      <c r="HM88" s="54" t="e">
        <f t="shared" si="205"/>
        <v>#N/A</v>
      </c>
      <c r="HN88" s="54">
        <f t="shared" si="206"/>
        <v>7.3797821923210979E-2</v>
      </c>
      <c r="HO88" s="54" t="e">
        <f t="shared" si="207"/>
        <v>#N/A</v>
      </c>
      <c r="HP88" s="54" t="e">
        <f t="shared" si="208"/>
        <v>#N/A</v>
      </c>
      <c r="HQ88" s="54" t="b">
        <f t="shared" si="209"/>
        <v>1</v>
      </c>
      <c r="HR88" s="54" t="b">
        <f t="shared" si="210"/>
        <v>0</v>
      </c>
      <c r="HS88" s="54" t="b">
        <f t="shared" si="211"/>
        <v>1</v>
      </c>
      <c r="HT88" s="54" t="b">
        <f t="shared" si="212"/>
        <v>0</v>
      </c>
      <c r="HU88" s="54">
        <f t="shared" si="213"/>
        <v>7.3797821923210979E-2</v>
      </c>
      <c r="HV88" s="54">
        <f t="shared" si="214"/>
        <v>7.3797821923210979E-2</v>
      </c>
      <c r="HW88" s="54" t="e">
        <f t="shared" si="215"/>
        <v>#N/A</v>
      </c>
      <c r="HX88" s="69" t="str">
        <f t="shared" si="216"/>
        <v/>
      </c>
    </row>
    <row r="89" spans="78:232" x14ac:dyDescent="0.2">
      <c r="BZ89" s="54">
        <f t="shared" si="143"/>
        <v>79</v>
      </c>
      <c r="CA89" s="54">
        <f>Eu_tabel_g[[#This Row],[Indeks]]+1</f>
        <v>80</v>
      </c>
      <c r="CB89" s="54">
        <f t="shared" si="144"/>
        <v>-1.1977644597549664</v>
      </c>
      <c r="CC89" s="54">
        <f t="shared" si="145"/>
        <v>0.19470720069857361</v>
      </c>
      <c r="CD89" s="54" t="e">
        <f t="shared" si="146"/>
        <v>#N/A</v>
      </c>
      <c r="CE89" s="54" t="e">
        <f t="shared" si="147"/>
        <v>#N/A</v>
      </c>
      <c r="CF89" s="54" t="e">
        <f t="shared" si="148"/>
        <v>#N/A</v>
      </c>
      <c r="CG89" s="54" t="b">
        <f t="shared" si="149"/>
        <v>0</v>
      </c>
      <c r="CH89" s="54" t="b">
        <f t="shared" si="150"/>
        <v>1</v>
      </c>
      <c r="CI89" s="54" t="b">
        <f t="shared" si="151"/>
        <v>0</v>
      </c>
      <c r="CJ89" s="54" t="b">
        <f t="shared" si="152"/>
        <v>1</v>
      </c>
      <c r="CK89" s="54">
        <f t="shared" si="119"/>
        <v>0.19470720069857361</v>
      </c>
      <c r="CL89" s="54" t="e">
        <f t="shared" si="153"/>
        <v>#N/A</v>
      </c>
      <c r="CM89" s="54">
        <f t="shared" si="154"/>
        <v>0.19470720069857361</v>
      </c>
      <c r="CN89" s="69" t="str">
        <f t="shared" si="155"/>
        <v/>
      </c>
      <c r="CO89" s="54">
        <f>_xlfn.NORM.DIST(_xlfn.NORM.INV(1-Eu_g_konfidensniveau,0,1)-Eu_tabel_g[[#This Row],[x base]],0,1,TRUE)</f>
        <v>0.32740534012693789</v>
      </c>
      <c r="CP89" s="54">
        <f>1-_xlfn.NORM.DIST(_xlfn.NORM.INV(Eu_g_konfidensniveau,0,1)-Eu_tabel_g[[#This Row],[x base]],0,1,TRUE)</f>
        <v>2.2372326012062294E-3</v>
      </c>
      <c r="CQ89" s="54">
        <f>_xlfn.NORM.DIST(_xlfn.NORM.INV((1-Eu_g_konfidensniveau)/2,0,1)-Eu_tabel_g[[#This Row],[x base]],0,1,TRUE)+1-_xlfn.NORM.DIST(_xlfn.NORM.INV(1-(1-Eu_g_konfidensniveau)/2,0,1)-Eu_tabel_g[[#This Row],[x base]],0,1,TRUE)</f>
        <v>0.22376548284288711</v>
      </c>
      <c r="CR89" s="54" t="e" cm="1">
        <f t="array" ref="CR89">IF($CR$3,INDEX(Eu_tabel_g[[#This Row],[Styrke venstre]:[Styrke tosidet]],CR$7),NA())</f>
        <v>#N/A</v>
      </c>
      <c r="CS89" s="89" t="e">
        <f>Eu_tabel_g[[#This Row],[Falsk positiv
Nulhypotese accepteres
Fejltype 1]]</f>
        <v>#N/A</v>
      </c>
      <c r="CT89" s="89" t="e">
        <f>IF(CHOOSE(CR$7,Eu_tabel_g[[#This Row],[x base]]&gt;0,Eu_tabel_g[[#This Row],[x base]]&lt;0,Eu_tabel_g[[#This Row],[x base]]=0),Eu_tabel_g[[#This Row],[Styrke, aktiv]],NA())</f>
        <v>#N/A</v>
      </c>
      <c r="CU89" s="89" t="e">
        <f>IFERROR(IF($CR$3,Eu_tabel_g[[#This Row],[Styrke, aktiv]],NA()),NA())</f>
        <v>#N/A</v>
      </c>
      <c r="CV89" s="89" t="e">
        <f>IF(ISNA(Eu_tabel_g[[#This Row],[Sand negativ
Nulhypotese afvises
Korrekt]]),NA(),IF($CR$3,1,NA()))</f>
        <v>#N/A</v>
      </c>
      <c r="CW89" s="56" t="str" cm="1">
        <f t="array" ref="CW89">_xlfn.SWITCH(BZ89,_xlfn.IFNA(CU$2,-99),CU$5,_xlfn.IFNA(CU$3,-99),CU$6,_xlfn.IFNA(CU$4,-99),CU$7,"")</f>
        <v/>
      </c>
      <c r="DA89" s="7">
        <f t="shared" si="156"/>
        <v>0.8</v>
      </c>
      <c r="DB89">
        <f>IF(ROW(Styrkeberegning_G[[#This Row],[X base venstre]])=ROW(Styrkeberegning_G[[#Headers],[X base venstre]])+1,DB$7/(DA$7/$B$67),DB88/(DA88/$B$67))</f>
        <v>-2.8015817870135784</v>
      </c>
      <c r="DC89">
        <f>Styrkeberegning_G[[#This Row],[X base venstre]]*-1</f>
        <v>2.8015817870135784</v>
      </c>
      <c r="DN89" s="54">
        <f t="shared" si="157"/>
        <v>79</v>
      </c>
      <c r="DO89" s="54">
        <f t="shared" si="158"/>
        <v>80</v>
      </c>
      <c r="DP89" s="54">
        <f t="shared" si="159"/>
        <v>10.84545032159677</v>
      </c>
      <c r="DQ89" s="54" t="e">
        <f t="shared" si="160"/>
        <v>#N/A</v>
      </c>
      <c r="DR89" s="54" t="e">
        <f t="shared" si="161"/>
        <v>#N/A</v>
      </c>
      <c r="DS89" s="54">
        <f t="shared" si="162"/>
        <v>8.4924460239516705E-2</v>
      </c>
      <c r="DT89" s="54" t="e">
        <f t="shared" si="163"/>
        <v>#N/A</v>
      </c>
      <c r="DU89" s="54" t="b">
        <f t="shared" si="164"/>
        <v>0</v>
      </c>
      <c r="DV89" s="54" t="b">
        <f t="shared" si="165"/>
        <v>1</v>
      </c>
      <c r="DW89" s="54" t="b">
        <f t="shared" si="166"/>
        <v>0</v>
      </c>
      <c r="DX89" s="54" t="b">
        <f t="shared" si="167"/>
        <v>1</v>
      </c>
      <c r="DY89" s="54">
        <f t="shared" si="168"/>
        <v>8.4924460239516705E-2</v>
      </c>
      <c r="DZ89" s="54" t="e">
        <f t="shared" si="169"/>
        <v>#N/A</v>
      </c>
      <c r="EA89" s="54">
        <f t="shared" si="170"/>
        <v>8.4924460239516705E-2</v>
      </c>
      <c r="EB89" s="69" t="str">
        <f t="shared" si="171"/>
        <v/>
      </c>
      <c r="EG89" s="54">
        <f t="shared" si="172"/>
        <v>79</v>
      </c>
      <c r="EH89" s="54">
        <f t="shared" si="173"/>
        <v>80</v>
      </c>
      <c r="EI89" s="54">
        <f t="shared" si="174"/>
        <v>-1.1977644597549664</v>
      </c>
      <c r="EJ89" s="54">
        <f t="shared" si="175"/>
        <v>0.19470720069857361</v>
      </c>
      <c r="EK89" s="54" t="e">
        <f t="shared" si="176"/>
        <v>#N/A</v>
      </c>
      <c r="EL89" s="54" t="e">
        <f t="shared" si="177"/>
        <v>#N/A</v>
      </c>
      <c r="EM89" s="54" t="e">
        <f t="shared" si="178"/>
        <v>#N/A</v>
      </c>
      <c r="EN89" s="54" t="b">
        <f t="shared" si="179"/>
        <v>0</v>
      </c>
      <c r="EO89" s="54" t="b">
        <f t="shared" si="180"/>
        <v>1</v>
      </c>
      <c r="EP89" s="54" t="b">
        <f t="shared" si="181"/>
        <v>0</v>
      </c>
      <c r="EQ89" s="54" t="b">
        <f t="shared" si="182"/>
        <v>1</v>
      </c>
      <c r="ER89" s="54">
        <f t="shared" si="183"/>
        <v>0.19470720069857361</v>
      </c>
      <c r="ES89" s="54" t="e">
        <f t="shared" si="184"/>
        <v>#N/A</v>
      </c>
      <c r="ET89" s="54">
        <f t="shared" si="185"/>
        <v>0.19470720069857361</v>
      </c>
      <c r="EU89" s="69" t="str">
        <f t="shared" si="186"/>
        <v/>
      </c>
      <c r="EV8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8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8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89" s="54" t="e" cm="1">
        <f t="array" ref="EY89">IF($CR$3,INDEX(Eu_tabel_a[[#This Row],[Styrke venstre]:[Styrke tosidet]],EY$7),NA())</f>
        <v>#N/A</v>
      </c>
      <c r="EZ89" s="54" t="e">
        <f>IF(EY$3,IF(CHOOSE(EY$7,Eu_tabel_a[[#This Row],[x base]]&gt;0,Eu_tabel_a[[#This Row],[x base]]&lt;0,Eu_tabel_a[[#This Row],[x base]]=0),1,NA()),NA())</f>
        <v>#N/A</v>
      </c>
      <c r="FA89" s="54" t="e">
        <f>IF(CHOOSE(EY$7,Eu_tabel_a[[#This Row],[x base]]&gt;0,Eu_tabel_a[[#This Row],[x base]]&lt;0,Eu_tabel_a[[#This Row],[x base]]=0),Eu_tabel_a[[#This Row],[Styrke, aktiv]],NA())</f>
        <v>#N/A</v>
      </c>
      <c r="FB89" s="54" t="e">
        <f>IFERROR(IF($EY$3,Eu_tabel_a[[#This Row],[Styrke, aktiv]],NA()),NA())</f>
        <v>#N/A</v>
      </c>
      <c r="FC89" s="54" t="e">
        <f>IF(ISNA(Eu_tabel_a[[#This Row],[Sand negativ
Nulhypotese afvises
Korrekt]]),NA(),IF(EY$3,1,NA()))</f>
        <v>#N/A</v>
      </c>
      <c r="FD89" s="55" t="str" cm="1">
        <f t="array" ref="FD89">IFERROR(_xlfn.SWITCH(Eu_tabel_a[[#This Row],[Indeks]],_xlfn.IFNA(FB$2,-99),FB$5,_xlfn.IFNA(FB$3,-99),FB$6,_xlfn.IFNA(FB$4,-99),FB$7,""),"")</f>
        <v/>
      </c>
      <c r="FE89" s="54">
        <f>Eu_tabel_a[[#This Row],[x base]]*SQRT(Eu_a_h0_x*(1-Eu_a_h0_x)/Eu_a_n_x)+Eu_a_h0_x</f>
        <v>0</v>
      </c>
      <c r="FJ89" s="144" t="e">
        <f t="shared" si="130"/>
        <v>#N/A</v>
      </c>
      <c r="FK89" s="152" t="e">
        <f t="shared" si="113"/>
        <v>#DIV/0!</v>
      </c>
      <c r="FL89" s="7" t="e">
        <f t="shared" si="124"/>
        <v>#DIV/0!</v>
      </c>
      <c r="FM89" t="e">
        <f t="shared" si="114"/>
        <v>#DIV/0!</v>
      </c>
      <c r="FN89" s="8" t="e">
        <f t="shared" si="115"/>
        <v>#DIV/0!</v>
      </c>
      <c r="FO89" s="8" t="e">
        <f t="shared" si="116"/>
        <v>#DIV/0!</v>
      </c>
      <c r="FP89" s="151" t="e">
        <f t="shared" si="117"/>
        <v>#DIV/0!</v>
      </c>
      <c r="FQ89" s="144" t="e">
        <f t="shared" ca="1" si="125"/>
        <v>#N/A</v>
      </c>
      <c r="FR89" s="152" t="e" vm="3">
        <f t="shared" ca="1" si="131"/>
        <v>#VALUE!</v>
      </c>
      <c r="FS89" s="7" t="e" vm="3">
        <f t="shared" ca="1" si="126"/>
        <v>#VALUE!</v>
      </c>
      <c r="FT89" t="e" vm="3">
        <f t="shared" ca="1" si="120"/>
        <v>#VALUE!</v>
      </c>
      <c r="FU89" s="8" t="e" vm="3">
        <f t="shared" ca="1" si="121"/>
        <v>#VALUE!</v>
      </c>
      <c r="FV89" s="8" t="e" vm="3">
        <f t="shared" ca="1" si="122"/>
        <v>#VALUE!</v>
      </c>
      <c r="FW89" s="151" t="e" vm="3">
        <f t="shared" ca="1" si="123"/>
        <v>#VALUE!</v>
      </c>
      <c r="FX89" s="144" t="e">
        <f t="shared" si="127"/>
        <v>#N/A</v>
      </c>
      <c r="FY89" s="152" t="e">
        <f t="shared" si="132"/>
        <v>#N/A</v>
      </c>
      <c r="FZ89" s="7" t="e">
        <f t="shared" si="128"/>
        <v>#N/A</v>
      </c>
      <c r="GA89" t="e">
        <f t="shared" si="133"/>
        <v>#N/A</v>
      </c>
      <c r="GB89" s="8" t="e">
        <f t="shared" si="134"/>
        <v>#N/A</v>
      </c>
      <c r="GC89" s="8" t="e">
        <f t="shared" si="135"/>
        <v>#N/A</v>
      </c>
      <c r="GD89" s="151" t="e">
        <f t="shared" si="136"/>
        <v>#N/A</v>
      </c>
      <c r="GE89" s="144" t="e">
        <f t="shared" si="137"/>
        <v>#N/A</v>
      </c>
      <c r="GF89" s="152" t="e">
        <f t="shared" si="138"/>
        <v>#N/A</v>
      </c>
      <c r="GG89" s="7" t="e">
        <f t="shared" si="129"/>
        <v>#N/A</v>
      </c>
      <c r="GH89" t="e">
        <f t="shared" si="139"/>
        <v>#N/A</v>
      </c>
      <c r="GI89" s="8" t="e">
        <f t="shared" si="140"/>
        <v>#N/A</v>
      </c>
      <c r="GJ89" s="8" t="e">
        <f t="shared" si="141"/>
        <v>#N/A</v>
      </c>
      <c r="GK89" s="151" t="e">
        <f t="shared" si="142"/>
        <v>#N/A</v>
      </c>
      <c r="GL89" s="151"/>
      <c r="GM89" s="151"/>
      <c r="GP89" s="54">
        <f t="shared" si="187"/>
        <v>79</v>
      </c>
      <c r="GQ89" s="54">
        <f t="shared" si="188"/>
        <v>80</v>
      </c>
      <c r="GR89" s="54">
        <f t="shared" si="189"/>
        <v>-1.1977644597549664</v>
      </c>
      <c r="GS89" s="54">
        <f t="shared" si="190"/>
        <v>0.19470720069857361</v>
      </c>
      <c r="GT89" s="54" t="e">
        <f t="shared" si="191"/>
        <v>#N/A</v>
      </c>
      <c r="GU89" s="54" t="e">
        <f t="shared" si="192"/>
        <v>#N/A</v>
      </c>
      <c r="GV89" s="54" t="e">
        <f t="shared" si="193"/>
        <v>#N/A</v>
      </c>
      <c r="GW89" s="54" t="b">
        <f t="shared" si="194"/>
        <v>0</v>
      </c>
      <c r="GX89" s="54" t="b">
        <f t="shared" si="195"/>
        <v>1</v>
      </c>
      <c r="GY89" s="54" t="b">
        <f t="shared" si="196"/>
        <v>0</v>
      </c>
      <c r="GZ89" s="54" t="b">
        <f t="shared" si="197"/>
        <v>1</v>
      </c>
      <c r="HA89" s="54">
        <f t="shared" si="198"/>
        <v>0.19470720069857361</v>
      </c>
      <c r="HB89" s="54" t="e">
        <f t="shared" si="199"/>
        <v>#N/A</v>
      </c>
      <c r="HC89" s="54">
        <f t="shared" si="200"/>
        <v>0.19470720069857361</v>
      </c>
      <c r="HD89" s="69" t="str">
        <f t="shared" si="201"/>
        <v/>
      </c>
      <c r="HJ89" s="54">
        <f t="shared" si="202"/>
        <v>79</v>
      </c>
      <c r="HK89" s="54">
        <f t="shared" si="203"/>
        <v>80</v>
      </c>
      <c r="HL89" s="54">
        <f t="shared" si="204"/>
        <v>-1.8547634219528422</v>
      </c>
      <c r="HM89" s="54" t="e">
        <f t="shared" si="205"/>
        <v>#N/A</v>
      </c>
      <c r="HN89" s="54">
        <f t="shared" si="206"/>
        <v>7.7806652771627821E-2</v>
      </c>
      <c r="HO89" s="54" t="e">
        <f t="shared" si="207"/>
        <v>#N/A</v>
      </c>
      <c r="HP89" s="54" t="e">
        <f t="shared" si="208"/>
        <v>#N/A</v>
      </c>
      <c r="HQ89" s="54" t="b">
        <f t="shared" si="209"/>
        <v>1</v>
      </c>
      <c r="HR89" s="54" t="b">
        <f t="shared" si="210"/>
        <v>0</v>
      </c>
      <c r="HS89" s="54" t="b">
        <f t="shared" si="211"/>
        <v>1</v>
      </c>
      <c r="HT89" s="54" t="b">
        <f t="shared" si="212"/>
        <v>0</v>
      </c>
      <c r="HU89" s="54">
        <f t="shared" si="213"/>
        <v>7.7806652771627821E-2</v>
      </c>
      <c r="HV89" s="54">
        <f t="shared" si="214"/>
        <v>7.7806652771627821E-2</v>
      </c>
      <c r="HW89" s="54" t="e">
        <f t="shared" si="215"/>
        <v>#N/A</v>
      </c>
      <c r="HX89" s="69" t="str">
        <f t="shared" si="216"/>
        <v/>
      </c>
    </row>
    <row r="90" spans="78:232" x14ac:dyDescent="0.2">
      <c r="BZ90" s="54">
        <f t="shared" si="143"/>
        <v>80</v>
      </c>
      <c r="CA90" s="54">
        <f>Eu_tabel_g[[#This Row],[Indeks]]+1</f>
        <v>81</v>
      </c>
      <c r="CB90" s="54">
        <f t="shared" si="144"/>
        <v>-1.173809170559867</v>
      </c>
      <c r="CC90" s="54">
        <f t="shared" si="145"/>
        <v>0.20031733043738451</v>
      </c>
      <c r="CD90" s="54" t="e">
        <f t="shared" si="146"/>
        <v>#N/A</v>
      </c>
      <c r="CE90" s="54" t="e">
        <f t="shared" si="147"/>
        <v>#N/A</v>
      </c>
      <c r="CF90" s="54" t="e">
        <f t="shared" si="148"/>
        <v>#N/A</v>
      </c>
      <c r="CG90" s="54" t="b">
        <f t="shared" si="149"/>
        <v>0</v>
      </c>
      <c r="CH90" s="54" t="b">
        <f t="shared" si="150"/>
        <v>1</v>
      </c>
      <c r="CI90" s="54" t="b">
        <f t="shared" si="151"/>
        <v>0</v>
      </c>
      <c r="CJ90" s="54" t="b">
        <f t="shared" si="152"/>
        <v>1</v>
      </c>
      <c r="CK90" s="54">
        <f t="shared" si="119"/>
        <v>0.20031733043738451</v>
      </c>
      <c r="CL90" s="54" t="e">
        <f t="shared" si="153"/>
        <v>#N/A</v>
      </c>
      <c r="CM90" s="54">
        <f t="shared" si="154"/>
        <v>0.20031733043738451</v>
      </c>
      <c r="CN90" s="69" t="str">
        <f t="shared" si="155"/>
        <v/>
      </c>
      <c r="CO90" s="54">
        <f>_xlfn.NORM.DIST(_xlfn.NORM.INV(1-Eu_g_konfidensniveau,0,1)-Eu_tabel_g[[#This Row],[x base]],0,1,TRUE)</f>
        <v>0.31880449413911849</v>
      </c>
      <c r="CP90" s="54">
        <f>1-_xlfn.NORM.DIST(_xlfn.NORM.INV(Eu_g_konfidensniveau,0,1)-Eu_tabel_g[[#This Row],[x base]],0,1,TRUE)</f>
        <v>2.4112074767851377E-3</v>
      </c>
      <c r="CQ90" s="54">
        <f>_xlfn.NORM.DIST(_xlfn.NORM.INV((1-Eu_g_konfidensniveau)/2,0,1)-Eu_tabel_g[[#This Row],[x base]],0,1,TRUE)+1-_xlfn.NORM.DIST(_xlfn.NORM.INV(1-(1-Eu_g_konfidensniveau)/2,0,1)-Eu_tabel_g[[#This Row],[x base]],0,1,TRUE)</f>
        <v>0.21675126840622105</v>
      </c>
      <c r="CR90" s="54" t="e" cm="1">
        <f t="array" ref="CR90">IF($CR$3,INDEX(Eu_tabel_g[[#This Row],[Styrke venstre]:[Styrke tosidet]],CR$7),NA())</f>
        <v>#N/A</v>
      </c>
      <c r="CS90" s="89" t="e">
        <f>Eu_tabel_g[[#This Row],[Falsk positiv
Nulhypotese accepteres
Fejltype 1]]</f>
        <v>#N/A</v>
      </c>
      <c r="CT90" s="89" t="e">
        <f>IF(CHOOSE(CR$7,Eu_tabel_g[[#This Row],[x base]]&gt;0,Eu_tabel_g[[#This Row],[x base]]&lt;0,Eu_tabel_g[[#This Row],[x base]]=0),Eu_tabel_g[[#This Row],[Styrke, aktiv]],NA())</f>
        <v>#N/A</v>
      </c>
      <c r="CU90" s="89" t="e">
        <f>IFERROR(IF($CR$3,Eu_tabel_g[[#This Row],[Styrke, aktiv]],NA()),NA())</f>
        <v>#N/A</v>
      </c>
      <c r="CV90" s="89" t="e">
        <f>IF(ISNA(Eu_tabel_g[[#This Row],[Sand negativ
Nulhypotese afvises
Korrekt]]),NA(),IF($CR$3,1,NA()))</f>
        <v>#N/A</v>
      </c>
      <c r="CW90" s="56" t="str" cm="1">
        <f t="array" ref="CW90">_xlfn.SWITCH(BZ90,_xlfn.IFNA(CU$2,-99),CU$5,_xlfn.IFNA(CU$3,-99),CU$6,_xlfn.IFNA(CU$4,-99),CU$7,"")</f>
        <v/>
      </c>
      <c r="DA90" s="7">
        <f t="shared" si="156"/>
        <v>0.8</v>
      </c>
      <c r="DB90">
        <f>IF(ROW(Styrkeberegning_G[[#This Row],[X base venstre]])=ROW(Styrkeberegning_G[[#Headers],[X base venstre]])+1,DB$7/(DA$7/$B$67),DB89/(DA89/$B$67))</f>
        <v>-2.8015817870135784</v>
      </c>
      <c r="DC90">
        <f>Styrkeberegning_G[[#This Row],[X base venstre]]*-1</f>
        <v>2.8015817870135784</v>
      </c>
      <c r="DN90" s="54">
        <f t="shared" si="157"/>
        <v>80</v>
      </c>
      <c r="DO90" s="54">
        <f t="shared" si="158"/>
        <v>81</v>
      </c>
      <c r="DP90" s="54">
        <f t="shared" si="159"/>
        <v>10.959521178013771</v>
      </c>
      <c r="DQ90" s="54" t="e">
        <f t="shared" si="160"/>
        <v>#N/A</v>
      </c>
      <c r="DR90" s="54" t="e">
        <f t="shared" si="161"/>
        <v>#N/A</v>
      </c>
      <c r="DS90" s="54">
        <f t="shared" si="162"/>
        <v>8.4083461530043563E-2</v>
      </c>
      <c r="DT90" s="54" t="e">
        <f t="shared" si="163"/>
        <v>#N/A</v>
      </c>
      <c r="DU90" s="54" t="b">
        <f t="shared" si="164"/>
        <v>0</v>
      </c>
      <c r="DV90" s="54" t="b">
        <f t="shared" si="165"/>
        <v>1</v>
      </c>
      <c r="DW90" s="54" t="b">
        <f t="shared" si="166"/>
        <v>0</v>
      </c>
      <c r="DX90" s="54" t="b">
        <f t="shared" si="167"/>
        <v>1</v>
      </c>
      <c r="DY90" s="54">
        <f t="shared" si="168"/>
        <v>8.4083461530043563E-2</v>
      </c>
      <c r="DZ90" s="54" t="e">
        <f t="shared" si="169"/>
        <v>#N/A</v>
      </c>
      <c r="EA90" s="54">
        <f t="shared" si="170"/>
        <v>8.4083461530043563E-2</v>
      </c>
      <c r="EB90" s="69" t="str">
        <f t="shared" si="171"/>
        <v/>
      </c>
      <c r="EG90" s="54">
        <f t="shared" si="172"/>
        <v>80</v>
      </c>
      <c r="EH90" s="54">
        <f t="shared" si="173"/>
        <v>81</v>
      </c>
      <c r="EI90" s="54">
        <f t="shared" si="174"/>
        <v>-1.173809170559867</v>
      </c>
      <c r="EJ90" s="54">
        <f t="shared" si="175"/>
        <v>0.20031733043738451</v>
      </c>
      <c r="EK90" s="54" t="e">
        <f t="shared" si="176"/>
        <v>#N/A</v>
      </c>
      <c r="EL90" s="54" t="e">
        <f t="shared" si="177"/>
        <v>#N/A</v>
      </c>
      <c r="EM90" s="54" t="e">
        <f t="shared" si="178"/>
        <v>#N/A</v>
      </c>
      <c r="EN90" s="54" t="b">
        <f t="shared" si="179"/>
        <v>0</v>
      </c>
      <c r="EO90" s="54" t="b">
        <f t="shared" si="180"/>
        <v>1</v>
      </c>
      <c r="EP90" s="54" t="b">
        <f t="shared" si="181"/>
        <v>0</v>
      </c>
      <c r="EQ90" s="54" t="b">
        <f t="shared" si="182"/>
        <v>1</v>
      </c>
      <c r="ER90" s="54">
        <f t="shared" si="183"/>
        <v>0.20031733043738451</v>
      </c>
      <c r="ES90" s="54" t="e">
        <f t="shared" si="184"/>
        <v>#N/A</v>
      </c>
      <c r="ET90" s="54">
        <f t="shared" si="185"/>
        <v>0.20031733043738451</v>
      </c>
      <c r="EU90" s="69" t="str">
        <f t="shared" si="186"/>
        <v/>
      </c>
      <c r="EV9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9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9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90" s="54" t="e" cm="1">
        <f t="array" ref="EY90">IF($CR$3,INDEX(Eu_tabel_a[[#This Row],[Styrke venstre]:[Styrke tosidet]],EY$7),NA())</f>
        <v>#N/A</v>
      </c>
      <c r="EZ90" s="54" t="e">
        <f>IF(EY$3,IF(CHOOSE(EY$7,Eu_tabel_a[[#This Row],[x base]]&gt;0,Eu_tabel_a[[#This Row],[x base]]&lt;0,Eu_tabel_a[[#This Row],[x base]]=0),1,NA()),NA())</f>
        <v>#N/A</v>
      </c>
      <c r="FA90" s="54" t="e">
        <f>IF(CHOOSE(EY$7,Eu_tabel_a[[#This Row],[x base]]&gt;0,Eu_tabel_a[[#This Row],[x base]]&lt;0,Eu_tabel_a[[#This Row],[x base]]=0),Eu_tabel_a[[#This Row],[Styrke, aktiv]],NA())</f>
        <v>#N/A</v>
      </c>
      <c r="FB90" s="54" t="e">
        <f>IFERROR(IF($EY$3,Eu_tabel_a[[#This Row],[Styrke, aktiv]],NA()),NA())</f>
        <v>#N/A</v>
      </c>
      <c r="FC90" s="54" t="e">
        <f>IF(ISNA(Eu_tabel_a[[#This Row],[Sand negativ
Nulhypotese afvises
Korrekt]]),NA(),IF(EY$3,1,NA()))</f>
        <v>#N/A</v>
      </c>
      <c r="FD90" s="55" t="str" cm="1">
        <f t="array" ref="FD90">IFERROR(_xlfn.SWITCH(Eu_tabel_a[[#This Row],[Indeks]],_xlfn.IFNA(FB$2,-99),FB$5,_xlfn.IFNA(FB$3,-99),FB$6,_xlfn.IFNA(FB$4,-99),FB$7,""),"")</f>
        <v/>
      </c>
      <c r="FE90" s="54">
        <f>Eu_tabel_a[[#This Row],[x base]]*SQRT(Eu_a_h0_x*(1-Eu_a_h0_x)/Eu_a_n_x)+Eu_a_h0_x</f>
        <v>0</v>
      </c>
      <c r="FJ90" s="144" t="e">
        <f t="shared" si="130"/>
        <v>#N/A</v>
      </c>
      <c r="FK90" s="152" t="e">
        <f t="shared" si="113"/>
        <v>#DIV/0!</v>
      </c>
      <c r="FL90" s="7" t="e">
        <f t="shared" si="124"/>
        <v>#DIV/0!</v>
      </c>
      <c r="FM90" t="e">
        <f t="shared" si="114"/>
        <v>#DIV/0!</v>
      </c>
      <c r="FN90" s="8" t="e">
        <f t="shared" si="115"/>
        <v>#DIV/0!</v>
      </c>
      <c r="FO90" s="8" t="e">
        <f t="shared" si="116"/>
        <v>#DIV/0!</v>
      </c>
      <c r="FP90" s="151" t="e">
        <f t="shared" si="117"/>
        <v>#DIV/0!</v>
      </c>
      <c r="FQ90" s="144" t="e">
        <f t="shared" ca="1" si="125"/>
        <v>#N/A</v>
      </c>
      <c r="FR90" s="152" t="e" vm="3">
        <f t="shared" ca="1" si="131"/>
        <v>#VALUE!</v>
      </c>
      <c r="FS90" s="7" t="e" vm="3">
        <f t="shared" ca="1" si="126"/>
        <v>#VALUE!</v>
      </c>
      <c r="FT90" t="e" vm="3">
        <f t="shared" ca="1" si="120"/>
        <v>#VALUE!</v>
      </c>
      <c r="FU90" s="8" t="e" vm="3">
        <f t="shared" ca="1" si="121"/>
        <v>#VALUE!</v>
      </c>
      <c r="FV90" s="8" t="e" vm="3">
        <f t="shared" ca="1" si="122"/>
        <v>#VALUE!</v>
      </c>
      <c r="FW90" s="151" t="e" vm="3">
        <f t="shared" ca="1" si="123"/>
        <v>#VALUE!</v>
      </c>
      <c r="FX90" s="144" t="e">
        <f t="shared" si="127"/>
        <v>#N/A</v>
      </c>
      <c r="FY90" s="152" t="e">
        <f t="shared" si="132"/>
        <v>#N/A</v>
      </c>
      <c r="FZ90" s="7" t="e">
        <f t="shared" si="128"/>
        <v>#N/A</v>
      </c>
      <c r="GA90" t="e">
        <f t="shared" si="133"/>
        <v>#N/A</v>
      </c>
      <c r="GB90" s="8" t="e">
        <f t="shared" si="134"/>
        <v>#N/A</v>
      </c>
      <c r="GC90" s="8" t="e">
        <f t="shared" si="135"/>
        <v>#N/A</v>
      </c>
      <c r="GD90" s="151" t="e">
        <f t="shared" si="136"/>
        <v>#N/A</v>
      </c>
      <c r="GE90" s="144" t="e">
        <f t="shared" si="137"/>
        <v>#N/A</v>
      </c>
      <c r="GF90" s="152" t="e">
        <f t="shared" si="138"/>
        <v>#N/A</v>
      </c>
      <c r="GG90" s="7" t="e">
        <f t="shared" si="129"/>
        <v>#N/A</v>
      </c>
      <c r="GH90" t="e">
        <f t="shared" si="139"/>
        <v>#N/A</v>
      </c>
      <c r="GI90" s="8" t="e">
        <f t="shared" si="140"/>
        <v>#N/A</v>
      </c>
      <c r="GJ90" s="8" t="e">
        <f t="shared" si="141"/>
        <v>#N/A</v>
      </c>
      <c r="GK90" s="151" t="e">
        <f t="shared" si="142"/>
        <v>#N/A</v>
      </c>
      <c r="GL90" s="151"/>
      <c r="GM90" s="151"/>
      <c r="GP90" s="54">
        <f t="shared" si="187"/>
        <v>80</v>
      </c>
      <c r="GQ90" s="54">
        <f t="shared" si="188"/>
        <v>81</v>
      </c>
      <c r="GR90" s="54">
        <f t="shared" si="189"/>
        <v>-1.173809170559867</v>
      </c>
      <c r="GS90" s="54">
        <f t="shared" si="190"/>
        <v>0.20031733043738451</v>
      </c>
      <c r="GT90" s="54" t="e">
        <f t="shared" si="191"/>
        <v>#N/A</v>
      </c>
      <c r="GU90" s="54" t="e">
        <f t="shared" si="192"/>
        <v>#N/A</v>
      </c>
      <c r="GV90" s="54" t="e">
        <f t="shared" si="193"/>
        <v>#N/A</v>
      </c>
      <c r="GW90" s="54" t="b">
        <f t="shared" si="194"/>
        <v>0</v>
      </c>
      <c r="GX90" s="54" t="b">
        <f t="shared" si="195"/>
        <v>1</v>
      </c>
      <c r="GY90" s="54" t="b">
        <f t="shared" si="196"/>
        <v>0</v>
      </c>
      <c r="GZ90" s="54" t="b">
        <f t="shared" si="197"/>
        <v>1</v>
      </c>
      <c r="HA90" s="54">
        <f t="shared" si="198"/>
        <v>0.20031733043738451</v>
      </c>
      <c r="HB90" s="54" t="e">
        <f t="shared" si="199"/>
        <v>#N/A</v>
      </c>
      <c r="HC90" s="54">
        <f t="shared" si="200"/>
        <v>0.20031733043738451</v>
      </c>
      <c r="HD90" s="69" t="str">
        <f t="shared" si="201"/>
        <v/>
      </c>
      <c r="HJ90" s="54">
        <f t="shared" si="202"/>
        <v>80</v>
      </c>
      <c r="HK90" s="54">
        <f t="shared" si="203"/>
        <v>81</v>
      </c>
      <c r="HL90" s="54">
        <f t="shared" si="204"/>
        <v>-1.8176681535137851</v>
      </c>
      <c r="HM90" s="54" t="e">
        <f t="shared" si="205"/>
        <v>#N/A</v>
      </c>
      <c r="HN90" s="54">
        <f t="shared" si="206"/>
        <v>8.2003757335797206E-2</v>
      </c>
      <c r="HO90" s="54" t="e">
        <f t="shared" si="207"/>
        <v>#N/A</v>
      </c>
      <c r="HP90" s="54" t="e">
        <f t="shared" si="208"/>
        <v>#N/A</v>
      </c>
      <c r="HQ90" s="54" t="b">
        <f t="shared" si="209"/>
        <v>1</v>
      </c>
      <c r="HR90" s="54" t="b">
        <f t="shared" si="210"/>
        <v>0</v>
      </c>
      <c r="HS90" s="54" t="b">
        <f t="shared" si="211"/>
        <v>1</v>
      </c>
      <c r="HT90" s="54" t="b">
        <f t="shared" si="212"/>
        <v>0</v>
      </c>
      <c r="HU90" s="54">
        <f t="shared" si="213"/>
        <v>8.2003757335797206E-2</v>
      </c>
      <c r="HV90" s="54">
        <f t="shared" si="214"/>
        <v>8.2003757335797206E-2</v>
      </c>
      <c r="HW90" s="54" t="e">
        <f t="shared" si="215"/>
        <v>#N/A</v>
      </c>
      <c r="HX90" s="69" t="str">
        <f t="shared" si="216"/>
        <v/>
      </c>
    </row>
    <row r="91" spans="78:232" x14ac:dyDescent="0.2">
      <c r="BZ91" s="54">
        <f t="shared" si="143"/>
        <v>81</v>
      </c>
      <c r="CA91" s="54">
        <f>Eu_tabel_g[[#This Row],[Indeks]]+1</f>
        <v>82</v>
      </c>
      <c r="CB91" s="54">
        <f t="shared" si="144"/>
        <v>-1.1498538813647676</v>
      </c>
      <c r="CC91" s="54">
        <f t="shared" si="145"/>
        <v>0.2059708742242739</v>
      </c>
      <c r="CD91" s="54" t="e">
        <f t="shared" si="146"/>
        <v>#N/A</v>
      </c>
      <c r="CE91" s="54" t="e">
        <f t="shared" si="147"/>
        <v>#N/A</v>
      </c>
      <c r="CF91" s="54" t="e">
        <f t="shared" si="148"/>
        <v>#N/A</v>
      </c>
      <c r="CG91" s="54" t="b">
        <f t="shared" si="149"/>
        <v>0</v>
      </c>
      <c r="CH91" s="54" t="b">
        <f t="shared" si="150"/>
        <v>1</v>
      </c>
      <c r="CI91" s="54" t="b">
        <f t="shared" si="151"/>
        <v>0</v>
      </c>
      <c r="CJ91" s="54" t="b">
        <f t="shared" si="152"/>
        <v>1</v>
      </c>
      <c r="CK91" s="54">
        <f t="shared" si="119"/>
        <v>0.2059708742242739</v>
      </c>
      <c r="CL91" s="54" t="e">
        <f t="shared" si="153"/>
        <v>#N/A</v>
      </c>
      <c r="CM91" s="54">
        <f t="shared" si="154"/>
        <v>0.2059708742242739</v>
      </c>
      <c r="CN91" s="69" t="str">
        <f t="shared" si="155"/>
        <v/>
      </c>
      <c r="CO91" s="54">
        <f>_xlfn.NORM.DIST(_xlfn.NORM.INV(1-Eu_g_konfidensniveau,0,1)-Eu_tabel_g[[#This Row],[x base]],0,1,TRUE)</f>
        <v>0.31030015004767664</v>
      </c>
      <c r="CP91" s="54">
        <f>1-_xlfn.NORM.DIST(_xlfn.NORM.INV(Eu_g_konfidensniveau,0,1)-Eu_tabel_g[[#This Row],[x base]],0,1,TRUE)</f>
        <v>2.5973345350299715E-3</v>
      </c>
      <c r="CQ91" s="54">
        <f>_xlfn.NORM.DIST(_xlfn.NORM.INV((1-Eu_g_konfidensniveau)/2,0,1)-Eu_tabel_g[[#This Row],[x base]],0,1,TRUE)+1-_xlfn.NORM.DIST(_xlfn.NORM.INV(1-(1-Eu_g_konfidensniveau)/2,0,1)-Eu_tabel_g[[#This Row],[x base]],0,1,TRUE)</f>
        <v>0.20987446274566912</v>
      </c>
      <c r="CR91" s="54" t="e" cm="1">
        <f t="array" ref="CR91">IF($CR$3,INDEX(Eu_tabel_g[[#This Row],[Styrke venstre]:[Styrke tosidet]],CR$7),NA())</f>
        <v>#N/A</v>
      </c>
      <c r="CS91" s="89" t="e">
        <f>Eu_tabel_g[[#This Row],[Falsk positiv
Nulhypotese accepteres
Fejltype 1]]</f>
        <v>#N/A</v>
      </c>
      <c r="CT91" s="89" t="e">
        <f>IF(CHOOSE(CR$7,Eu_tabel_g[[#This Row],[x base]]&gt;0,Eu_tabel_g[[#This Row],[x base]]&lt;0,Eu_tabel_g[[#This Row],[x base]]=0),Eu_tabel_g[[#This Row],[Styrke, aktiv]],NA())</f>
        <v>#N/A</v>
      </c>
      <c r="CU91" s="89" t="e">
        <f>IFERROR(IF($CR$3,Eu_tabel_g[[#This Row],[Styrke, aktiv]],NA()),NA())</f>
        <v>#N/A</v>
      </c>
      <c r="CV91" s="89" t="e">
        <f>IF(ISNA(Eu_tabel_g[[#This Row],[Sand negativ
Nulhypotese afvises
Korrekt]]),NA(),IF($CR$3,1,NA()))</f>
        <v>#N/A</v>
      </c>
      <c r="CW91" s="56" t="str" cm="1">
        <f t="array" ref="CW91">_xlfn.SWITCH(BZ91,_xlfn.IFNA(CU$2,-99),CU$5,_xlfn.IFNA(CU$3,-99),CU$6,_xlfn.IFNA(CU$4,-99),CU$7,"")</f>
        <v/>
      </c>
      <c r="DA91" s="7">
        <f t="shared" si="156"/>
        <v>0.8</v>
      </c>
      <c r="DB91">
        <f>IF(ROW(Styrkeberegning_G[[#This Row],[X base venstre]])=ROW(Styrkeberegning_G[[#Headers],[X base venstre]])+1,DB$7/(DA$7/$B$67),DB90/(DA90/$B$67))</f>
        <v>-2.8015817870135784</v>
      </c>
      <c r="DC91">
        <f>Styrkeberegning_G[[#This Row],[X base venstre]]*-1</f>
        <v>2.8015817870135784</v>
      </c>
      <c r="DN91" s="54">
        <f t="shared" si="157"/>
        <v>81</v>
      </c>
      <c r="DO91" s="54">
        <f t="shared" si="158"/>
        <v>82</v>
      </c>
      <c r="DP91" s="54">
        <f t="shared" si="159"/>
        <v>11.073592034430773</v>
      </c>
      <c r="DQ91" s="54" t="e">
        <f t="shared" si="160"/>
        <v>#N/A</v>
      </c>
      <c r="DR91" s="54" t="e">
        <f t="shared" si="161"/>
        <v>#N/A</v>
      </c>
      <c r="DS91" s="54">
        <f t="shared" si="162"/>
        <v>8.3210213695687846E-2</v>
      </c>
      <c r="DT91" s="54" t="e">
        <f t="shared" si="163"/>
        <v>#N/A</v>
      </c>
      <c r="DU91" s="54" t="b">
        <f t="shared" si="164"/>
        <v>0</v>
      </c>
      <c r="DV91" s="54" t="b">
        <f t="shared" si="165"/>
        <v>1</v>
      </c>
      <c r="DW91" s="54" t="b">
        <f t="shared" si="166"/>
        <v>0</v>
      </c>
      <c r="DX91" s="54" t="b">
        <f t="shared" si="167"/>
        <v>1</v>
      </c>
      <c r="DY91" s="54">
        <f t="shared" si="168"/>
        <v>8.3210213695687846E-2</v>
      </c>
      <c r="DZ91" s="54" t="e">
        <f t="shared" si="169"/>
        <v>#N/A</v>
      </c>
      <c r="EA91" s="54">
        <f t="shared" si="170"/>
        <v>8.3210213695687846E-2</v>
      </c>
      <c r="EB91" s="69" t="str">
        <f t="shared" si="171"/>
        <v/>
      </c>
      <c r="EG91" s="54">
        <f t="shared" si="172"/>
        <v>81</v>
      </c>
      <c r="EH91" s="54">
        <f t="shared" si="173"/>
        <v>82</v>
      </c>
      <c r="EI91" s="54">
        <f t="shared" si="174"/>
        <v>-1.1498538813647676</v>
      </c>
      <c r="EJ91" s="54">
        <f t="shared" si="175"/>
        <v>0.2059708742242739</v>
      </c>
      <c r="EK91" s="54" t="e">
        <f t="shared" si="176"/>
        <v>#N/A</v>
      </c>
      <c r="EL91" s="54" t="e">
        <f t="shared" si="177"/>
        <v>#N/A</v>
      </c>
      <c r="EM91" s="54" t="e">
        <f t="shared" si="178"/>
        <v>#N/A</v>
      </c>
      <c r="EN91" s="54" t="b">
        <f t="shared" si="179"/>
        <v>0</v>
      </c>
      <c r="EO91" s="54" t="b">
        <f t="shared" si="180"/>
        <v>1</v>
      </c>
      <c r="EP91" s="54" t="b">
        <f t="shared" si="181"/>
        <v>0</v>
      </c>
      <c r="EQ91" s="54" t="b">
        <f t="shared" si="182"/>
        <v>1</v>
      </c>
      <c r="ER91" s="54">
        <f t="shared" si="183"/>
        <v>0.2059708742242739</v>
      </c>
      <c r="ES91" s="54" t="e">
        <f t="shared" si="184"/>
        <v>#N/A</v>
      </c>
      <c r="ET91" s="54">
        <f t="shared" si="185"/>
        <v>0.2059708742242739</v>
      </c>
      <c r="EU91" s="69" t="str">
        <f t="shared" si="186"/>
        <v/>
      </c>
      <c r="EV9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9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9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91" s="54" t="e" cm="1">
        <f t="array" ref="EY91">IF($CR$3,INDEX(Eu_tabel_a[[#This Row],[Styrke venstre]:[Styrke tosidet]],EY$7),NA())</f>
        <v>#N/A</v>
      </c>
      <c r="EZ91" s="54" t="e">
        <f>IF(EY$3,IF(CHOOSE(EY$7,Eu_tabel_a[[#This Row],[x base]]&gt;0,Eu_tabel_a[[#This Row],[x base]]&lt;0,Eu_tabel_a[[#This Row],[x base]]=0),1,NA()),NA())</f>
        <v>#N/A</v>
      </c>
      <c r="FA91" s="54" t="e">
        <f>IF(CHOOSE(EY$7,Eu_tabel_a[[#This Row],[x base]]&gt;0,Eu_tabel_a[[#This Row],[x base]]&lt;0,Eu_tabel_a[[#This Row],[x base]]=0),Eu_tabel_a[[#This Row],[Styrke, aktiv]],NA())</f>
        <v>#N/A</v>
      </c>
      <c r="FB91" s="54" t="e">
        <f>IFERROR(IF($EY$3,Eu_tabel_a[[#This Row],[Styrke, aktiv]],NA()),NA())</f>
        <v>#N/A</v>
      </c>
      <c r="FC91" s="54" t="e">
        <f>IF(ISNA(Eu_tabel_a[[#This Row],[Sand negativ
Nulhypotese afvises
Korrekt]]),NA(),IF(EY$3,1,NA()))</f>
        <v>#N/A</v>
      </c>
      <c r="FD91" s="55" t="str" cm="1">
        <f t="array" ref="FD91">IFERROR(_xlfn.SWITCH(Eu_tabel_a[[#This Row],[Indeks]],_xlfn.IFNA(FB$2,-99),FB$5,_xlfn.IFNA(FB$3,-99),FB$6,_xlfn.IFNA(FB$4,-99),FB$7,""),"")</f>
        <v/>
      </c>
      <c r="FE91" s="54">
        <f>Eu_tabel_a[[#This Row],[x base]]*SQRT(Eu_a_h0_x*(1-Eu_a_h0_x)/Eu_a_n_x)+Eu_a_h0_x</f>
        <v>0</v>
      </c>
      <c r="FJ91" s="144" t="e">
        <f t="shared" si="130"/>
        <v>#N/A</v>
      </c>
      <c r="FK91" s="152" t="e">
        <f t="shared" si="113"/>
        <v>#DIV/0!</v>
      </c>
      <c r="FL91" s="7" t="e">
        <f t="shared" si="124"/>
        <v>#DIV/0!</v>
      </c>
      <c r="FM91" t="e">
        <f t="shared" si="114"/>
        <v>#DIV/0!</v>
      </c>
      <c r="FN91" s="8" t="e">
        <f t="shared" si="115"/>
        <v>#DIV/0!</v>
      </c>
      <c r="FO91" s="8" t="e">
        <f t="shared" si="116"/>
        <v>#DIV/0!</v>
      </c>
      <c r="FP91" s="151" t="e">
        <f t="shared" si="117"/>
        <v>#DIV/0!</v>
      </c>
      <c r="FQ91" s="144" t="e">
        <f t="shared" ca="1" si="125"/>
        <v>#N/A</v>
      </c>
      <c r="FR91" s="152" t="e" vm="3">
        <f t="shared" ca="1" si="131"/>
        <v>#VALUE!</v>
      </c>
      <c r="FS91" s="7" t="e" vm="3">
        <f t="shared" ca="1" si="126"/>
        <v>#VALUE!</v>
      </c>
      <c r="FT91" t="e" vm="3">
        <f t="shared" ca="1" si="120"/>
        <v>#VALUE!</v>
      </c>
      <c r="FU91" s="8" t="e" vm="3">
        <f t="shared" ca="1" si="121"/>
        <v>#VALUE!</v>
      </c>
      <c r="FV91" s="8" t="e" vm="3">
        <f t="shared" ca="1" si="122"/>
        <v>#VALUE!</v>
      </c>
      <c r="FW91" s="151" t="e" vm="3">
        <f t="shared" ca="1" si="123"/>
        <v>#VALUE!</v>
      </c>
      <c r="FX91" s="144" t="e">
        <f t="shared" si="127"/>
        <v>#N/A</v>
      </c>
      <c r="FY91" s="152" t="e">
        <f t="shared" si="132"/>
        <v>#N/A</v>
      </c>
      <c r="FZ91" s="7" t="e">
        <f t="shared" si="128"/>
        <v>#N/A</v>
      </c>
      <c r="GA91" t="e">
        <f t="shared" si="133"/>
        <v>#N/A</v>
      </c>
      <c r="GB91" s="8" t="e">
        <f t="shared" si="134"/>
        <v>#N/A</v>
      </c>
      <c r="GC91" s="8" t="e">
        <f t="shared" si="135"/>
        <v>#N/A</v>
      </c>
      <c r="GD91" s="151" t="e">
        <f t="shared" si="136"/>
        <v>#N/A</v>
      </c>
      <c r="GE91" s="144" t="e">
        <f t="shared" si="137"/>
        <v>#N/A</v>
      </c>
      <c r="GF91" s="152" t="e">
        <f t="shared" si="138"/>
        <v>#N/A</v>
      </c>
      <c r="GG91" s="7" t="e">
        <f t="shared" si="129"/>
        <v>#N/A</v>
      </c>
      <c r="GH91" t="e">
        <f t="shared" si="139"/>
        <v>#N/A</v>
      </c>
      <c r="GI91" s="8" t="e">
        <f t="shared" si="140"/>
        <v>#N/A</v>
      </c>
      <c r="GJ91" s="8" t="e">
        <f t="shared" si="141"/>
        <v>#N/A</v>
      </c>
      <c r="GK91" s="151" t="e">
        <f t="shared" si="142"/>
        <v>#N/A</v>
      </c>
      <c r="GL91" s="151"/>
      <c r="GM91" s="151"/>
      <c r="GP91" s="54">
        <f t="shared" si="187"/>
        <v>81</v>
      </c>
      <c r="GQ91" s="54">
        <f t="shared" si="188"/>
        <v>82</v>
      </c>
      <c r="GR91" s="54">
        <f t="shared" si="189"/>
        <v>-1.1498538813647676</v>
      </c>
      <c r="GS91" s="54">
        <f t="shared" si="190"/>
        <v>0.2059708742242739</v>
      </c>
      <c r="GT91" s="54" t="e">
        <f t="shared" si="191"/>
        <v>#N/A</v>
      </c>
      <c r="GU91" s="54" t="e">
        <f t="shared" si="192"/>
        <v>#N/A</v>
      </c>
      <c r="GV91" s="54" t="e">
        <f t="shared" si="193"/>
        <v>#N/A</v>
      </c>
      <c r="GW91" s="54" t="b">
        <f t="shared" si="194"/>
        <v>0</v>
      </c>
      <c r="GX91" s="54" t="b">
        <f t="shared" si="195"/>
        <v>1</v>
      </c>
      <c r="GY91" s="54" t="b">
        <f t="shared" si="196"/>
        <v>0</v>
      </c>
      <c r="GZ91" s="54" t="b">
        <f t="shared" si="197"/>
        <v>1</v>
      </c>
      <c r="HA91" s="54">
        <f t="shared" si="198"/>
        <v>0.2059708742242739</v>
      </c>
      <c r="HB91" s="54" t="e">
        <f t="shared" si="199"/>
        <v>#N/A</v>
      </c>
      <c r="HC91" s="54">
        <f t="shared" si="200"/>
        <v>0.2059708742242739</v>
      </c>
      <c r="HD91" s="69" t="str">
        <f t="shared" si="201"/>
        <v/>
      </c>
      <c r="HJ91" s="54">
        <f t="shared" si="202"/>
        <v>81</v>
      </c>
      <c r="HK91" s="54">
        <f t="shared" si="203"/>
        <v>82</v>
      </c>
      <c r="HL91" s="54">
        <f t="shared" si="204"/>
        <v>-1.7805728850747284</v>
      </c>
      <c r="HM91" s="54" t="e">
        <f t="shared" si="205"/>
        <v>#N/A</v>
      </c>
      <c r="HN91" s="54">
        <f t="shared" si="206"/>
        <v>8.6394145158752933E-2</v>
      </c>
      <c r="HO91" s="54" t="e">
        <f t="shared" si="207"/>
        <v>#N/A</v>
      </c>
      <c r="HP91" s="54" t="e">
        <f t="shared" si="208"/>
        <v>#N/A</v>
      </c>
      <c r="HQ91" s="54" t="b">
        <f t="shared" si="209"/>
        <v>1</v>
      </c>
      <c r="HR91" s="54" t="b">
        <f t="shared" si="210"/>
        <v>0</v>
      </c>
      <c r="HS91" s="54" t="b">
        <f t="shared" si="211"/>
        <v>1</v>
      </c>
      <c r="HT91" s="54" t="b">
        <f t="shared" si="212"/>
        <v>0</v>
      </c>
      <c r="HU91" s="54">
        <f t="shared" si="213"/>
        <v>8.6394145158752933E-2</v>
      </c>
      <c r="HV91" s="54">
        <f t="shared" si="214"/>
        <v>8.6394145158752933E-2</v>
      </c>
      <c r="HW91" s="54" t="e">
        <f t="shared" si="215"/>
        <v>#N/A</v>
      </c>
      <c r="HX91" s="69" t="str">
        <f t="shared" si="216"/>
        <v/>
      </c>
    </row>
    <row r="92" spans="78:232" x14ac:dyDescent="0.2">
      <c r="BZ92" s="54">
        <f t="shared" si="143"/>
        <v>82</v>
      </c>
      <c r="CA92" s="54">
        <f>Eu_tabel_g[[#This Row],[Indeks]]+1</f>
        <v>83</v>
      </c>
      <c r="CB92" s="54">
        <f t="shared" si="144"/>
        <v>-1.1258985921696685</v>
      </c>
      <c r="CC92" s="54">
        <f t="shared" si="145"/>
        <v>0.21166247901603158</v>
      </c>
      <c r="CD92" s="54" t="e">
        <f t="shared" si="146"/>
        <v>#N/A</v>
      </c>
      <c r="CE92" s="54" t="e">
        <f t="shared" si="147"/>
        <v>#N/A</v>
      </c>
      <c r="CF92" s="54" t="e">
        <f t="shared" si="148"/>
        <v>#N/A</v>
      </c>
      <c r="CG92" s="54" t="b">
        <f t="shared" si="149"/>
        <v>0</v>
      </c>
      <c r="CH92" s="54" t="b">
        <f t="shared" si="150"/>
        <v>1</v>
      </c>
      <c r="CI92" s="54" t="b">
        <f t="shared" si="151"/>
        <v>0</v>
      </c>
      <c r="CJ92" s="54" t="b">
        <f t="shared" si="152"/>
        <v>1</v>
      </c>
      <c r="CK92" s="54">
        <f t="shared" si="119"/>
        <v>0.21166247901603158</v>
      </c>
      <c r="CL92" s="54" t="e">
        <f t="shared" si="153"/>
        <v>#N/A</v>
      </c>
      <c r="CM92" s="54">
        <f t="shared" si="154"/>
        <v>0.21166247901603158</v>
      </c>
      <c r="CN92" s="69" t="str">
        <f t="shared" si="155"/>
        <v/>
      </c>
      <c r="CO92" s="54">
        <f>_xlfn.NORM.DIST(_xlfn.NORM.INV(1-Eu_g_konfidensniveau,0,1)-Eu_tabel_g[[#This Row],[x base]],0,1,TRUE)</f>
        <v>0.30189604899289568</v>
      </c>
      <c r="CP92" s="54">
        <f>1-_xlfn.NORM.DIST(_xlfn.NORM.INV(Eu_g_konfidensniveau,0,1)-Eu_tabel_g[[#This Row],[x base]],0,1,TRUE)</f>
        <v>2.7963483759521068E-3</v>
      </c>
      <c r="CQ92" s="54">
        <f>_xlfn.NORM.DIST(_xlfn.NORM.INV((1-Eu_g_konfidensniveau)/2,0,1)-Eu_tabel_g[[#This Row],[x base]],0,1,TRUE)+1-_xlfn.NORM.DIST(_xlfn.NORM.INV(1-(1-Eu_g_konfidensniveau)/2,0,1)-Eu_tabel_g[[#This Row],[x base]],0,1,TRUE)</f>
        <v>0.20313688079726311</v>
      </c>
      <c r="CR92" s="54" t="e" cm="1">
        <f t="array" ref="CR92">IF($CR$3,INDEX(Eu_tabel_g[[#This Row],[Styrke venstre]:[Styrke tosidet]],CR$7),NA())</f>
        <v>#N/A</v>
      </c>
      <c r="CS92" s="89" t="e">
        <f>Eu_tabel_g[[#This Row],[Falsk positiv
Nulhypotese accepteres
Fejltype 1]]</f>
        <v>#N/A</v>
      </c>
      <c r="CT92" s="89" t="e">
        <f>IF(CHOOSE(CR$7,Eu_tabel_g[[#This Row],[x base]]&gt;0,Eu_tabel_g[[#This Row],[x base]]&lt;0,Eu_tabel_g[[#This Row],[x base]]=0),Eu_tabel_g[[#This Row],[Styrke, aktiv]],NA())</f>
        <v>#N/A</v>
      </c>
      <c r="CU92" s="89" t="e">
        <f>IFERROR(IF($CR$3,Eu_tabel_g[[#This Row],[Styrke, aktiv]],NA()),NA())</f>
        <v>#N/A</v>
      </c>
      <c r="CV92" s="89" t="e">
        <f>IF(ISNA(Eu_tabel_g[[#This Row],[Sand negativ
Nulhypotese afvises
Korrekt]]),NA(),IF($CR$3,1,NA()))</f>
        <v>#N/A</v>
      </c>
      <c r="CW92" s="56" t="str" cm="1">
        <f t="array" ref="CW92">_xlfn.SWITCH(BZ92,_xlfn.IFNA(CU$2,-99),CU$5,_xlfn.IFNA(CU$3,-99),CU$6,_xlfn.IFNA(CU$4,-99),CU$7,"")</f>
        <v/>
      </c>
      <c r="DA92" s="7">
        <f t="shared" si="156"/>
        <v>0.8</v>
      </c>
      <c r="DB92">
        <f>IF(ROW(Styrkeberegning_G[[#This Row],[X base venstre]])=ROW(Styrkeberegning_G[[#Headers],[X base venstre]])+1,DB$7/(DA$7/$B$67),DB91/(DA91/$B$67))</f>
        <v>-2.8015817870135784</v>
      </c>
      <c r="DC92">
        <f>Styrkeberegning_G[[#This Row],[X base venstre]]*-1</f>
        <v>2.8015817870135784</v>
      </c>
      <c r="DN92" s="54">
        <f t="shared" si="157"/>
        <v>82</v>
      </c>
      <c r="DO92" s="54">
        <f t="shared" si="158"/>
        <v>83</v>
      </c>
      <c r="DP92" s="54">
        <f t="shared" si="159"/>
        <v>11.187662890847772</v>
      </c>
      <c r="DQ92" s="54" t="e">
        <f t="shared" si="160"/>
        <v>#N/A</v>
      </c>
      <c r="DR92" s="54" t="e">
        <f t="shared" si="161"/>
        <v>#N/A</v>
      </c>
      <c r="DS92" s="54">
        <f t="shared" si="162"/>
        <v>8.230672099489951E-2</v>
      </c>
      <c r="DT92" s="54" t="e">
        <f t="shared" si="163"/>
        <v>#N/A</v>
      </c>
      <c r="DU92" s="54" t="b">
        <f t="shared" si="164"/>
        <v>0</v>
      </c>
      <c r="DV92" s="54" t="b">
        <f t="shared" si="165"/>
        <v>1</v>
      </c>
      <c r="DW92" s="54" t="b">
        <f t="shared" si="166"/>
        <v>0</v>
      </c>
      <c r="DX92" s="54" t="b">
        <f t="shared" si="167"/>
        <v>1</v>
      </c>
      <c r="DY92" s="54">
        <f t="shared" si="168"/>
        <v>8.230672099489951E-2</v>
      </c>
      <c r="DZ92" s="54" t="e">
        <f t="shared" si="169"/>
        <v>#N/A</v>
      </c>
      <c r="EA92" s="54">
        <f t="shared" si="170"/>
        <v>8.230672099489951E-2</v>
      </c>
      <c r="EB92" s="69" t="str">
        <f t="shared" si="171"/>
        <v/>
      </c>
      <c r="EG92" s="54">
        <f t="shared" si="172"/>
        <v>82</v>
      </c>
      <c r="EH92" s="54">
        <f t="shared" si="173"/>
        <v>83</v>
      </c>
      <c r="EI92" s="54">
        <f t="shared" si="174"/>
        <v>-1.1258985921696685</v>
      </c>
      <c r="EJ92" s="54">
        <f t="shared" si="175"/>
        <v>0.21166247901603158</v>
      </c>
      <c r="EK92" s="54" t="e">
        <f t="shared" si="176"/>
        <v>#N/A</v>
      </c>
      <c r="EL92" s="54" t="e">
        <f t="shared" si="177"/>
        <v>#N/A</v>
      </c>
      <c r="EM92" s="54" t="e">
        <f t="shared" si="178"/>
        <v>#N/A</v>
      </c>
      <c r="EN92" s="54" t="b">
        <f t="shared" si="179"/>
        <v>0</v>
      </c>
      <c r="EO92" s="54" t="b">
        <f t="shared" si="180"/>
        <v>1</v>
      </c>
      <c r="EP92" s="54" t="b">
        <f t="shared" si="181"/>
        <v>0</v>
      </c>
      <c r="EQ92" s="54" t="b">
        <f t="shared" si="182"/>
        <v>1</v>
      </c>
      <c r="ER92" s="54">
        <f t="shared" si="183"/>
        <v>0.21166247901603158</v>
      </c>
      <c r="ES92" s="54" t="e">
        <f t="shared" si="184"/>
        <v>#N/A</v>
      </c>
      <c r="ET92" s="54">
        <f t="shared" si="185"/>
        <v>0.21166247901603158</v>
      </c>
      <c r="EU92" s="69" t="str">
        <f t="shared" si="186"/>
        <v/>
      </c>
      <c r="EV9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9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9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92" s="54" t="e" cm="1">
        <f t="array" ref="EY92">IF($CR$3,INDEX(Eu_tabel_a[[#This Row],[Styrke venstre]:[Styrke tosidet]],EY$7),NA())</f>
        <v>#N/A</v>
      </c>
      <c r="EZ92" s="54" t="e">
        <f>IF(EY$3,IF(CHOOSE(EY$7,Eu_tabel_a[[#This Row],[x base]]&gt;0,Eu_tabel_a[[#This Row],[x base]]&lt;0,Eu_tabel_a[[#This Row],[x base]]=0),1,NA()),NA())</f>
        <v>#N/A</v>
      </c>
      <c r="FA92" s="54" t="e">
        <f>IF(CHOOSE(EY$7,Eu_tabel_a[[#This Row],[x base]]&gt;0,Eu_tabel_a[[#This Row],[x base]]&lt;0,Eu_tabel_a[[#This Row],[x base]]=0),Eu_tabel_a[[#This Row],[Styrke, aktiv]],NA())</f>
        <v>#N/A</v>
      </c>
      <c r="FB92" s="54" t="e">
        <f>IFERROR(IF($EY$3,Eu_tabel_a[[#This Row],[Styrke, aktiv]],NA()),NA())</f>
        <v>#N/A</v>
      </c>
      <c r="FC92" s="54" t="e">
        <f>IF(ISNA(Eu_tabel_a[[#This Row],[Sand negativ
Nulhypotese afvises
Korrekt]]),NA(),IF(EY$3,1,NA()))</f>
        <v>#N/A</v>
      </c>
      <c r="FD92" s="55" t="str" cm="1">
        <f t="array" ref="FD92">IFERROR(_xlfn.SWITCH(Eu_tabel_a[[#This Row],[Indeks]],_xlfn.IFNA(FB$2,-99),FB$5,_xlfn.IFNA(FB$3,-99),FB$6,_xlfn.IFNA(FB$4,-99),FB$7,""),"")</f>
        <v/>
      </c>
      <c r="FE92" s="54">
        <f>Eu_tabel_a[[#This Row],[x base]]*SQRT(Eu_a_h0_x*(1-Eu_a_h0_x)/Eu_a_n_x)+Eu_a_h0_x</f>
        <v>0</v>
      </c>
      <c r="FJ92" s="144" t="e">
        <f t="shared" si="130"/>
        <v>#N/A</v>
      </c>
      <c r="FK92" s="152" t="e">
        <f t="shared" si="113"/>
        <v>#DIV/0!</v>
      </c>
      <c r="FL92" s="7" t="e">
        <f t="shared" si="124"/>
        <v>#DIV/0!</v>
      </c>
      <c r="FM92" t="e">
        <f t="shared" si="114"/>
        <v>#DIV/0!</v>
      </c>
      <c r="FN92" s="8" t="e">
        <f t="shared" si="115"/>
        <v>#DIV/0!</v>
      </c>
      <c r="FO92" s="8" t="e">
        <f t="shared" si="116"/>
        <v>#DIV/0!</v>
      </c>
      <c r="FP92" s="151" t="e">
        <f t="shared" si="117"/>
        <v>#DIV/0!</v>
      </c>
      <c r="FQ92" s="144" t="e">
        <f t="shared" ca="1" si="125"/>
        <v>#N/A</v>
      </c>
      <c r="FR92" s="152" t="e" vm="3">
        <f t="shared" ca="1" si="131"/>
        <v>#VALUE!</v>
      </c>
      <c r="FS92" s="7" t="e" vm="3">
        <f t="shared" ca="1" si="126"/>
        <v>#VALUE!</v>
      </c>
      <c r="FT92" t="e" vm="3">
        <f t="shared" ca="1" si="120"/>
        <v>#VALUE!</v>
      </c>
      <c r="FU92" s="8" t="e" vm="3">
        <f t="shared" ca="1" si="121"/>
        <v>#VALUE!</v>
      </c>
      <c r="FV92" s="8" t="e" vm="3">
        <f t="shared" ca="1" si="122"/>
        <v>#VALUE!</v>
      </c>
      <c r="FW92" s="151" t="e" vm="3">
        <f t="shared" ca="1" si="123"/>
        <v>#VALUE!</v>
      </c>
      <c r="FX92" s="144" t="e">
        <f t="shared" si="127"/>
        <v>#N/A</v>
      </c>
      <c r="FY92" s="152" t="e">
        <f t="shared" si="132"/>
        <v>#N/A</v>
      </c>
      <c r="FZ92" s="7" t="e">
        <f t="shared" si="128"/>
        <v>#N/A</v>
      </c>
      <c r="GA92" t="e">
        <f t="shared" si="133"/>
        <v>#N/A</v>
      </c>
      <c r="GB92" s="8" t="e">
        <f t="shared" si="134"/>
        <v>#N/A</v>
      </c>
      <c r="GC92" s="8" t="e">
        <f t="shared" si="135"/>
        <v>#N/A</v>
      </c>
      <c r="GD92" s="151" t="e">
        <f t="shared" si="136"/>
        <v>#N/A</v>
      </c>
      <c r="GE92" s="144" t="e">
        <f t="shared" si="137"/>
        <v>#N/A</v>
      </c>
      <c r="GF92" s="152" t="e">
        <f t="shared" si="138"/>
        <v>#N/A</v>
      </c>
      <c r="GG92" s="7" t="e">
        <f t="shared" si="129"/>
        <v>#N/A</v>
      </c>
      <c r="GH92" t="e">
        <f t="shared" si="139"/>
        <v>#N/A</v>
      </c>
      <c r="GI92" s="8" t="e">
        <f t="shared" si="140"/>
        <v>#N/A</v>
      </c>
      <c r="GJ92" s="8" t="e">
        <f t="shared" si="141"/>
        <v>#N/A</v>
      </c>
      <c r="GK92" s="151" t="e">
        <f t="shared" si="142"/>
        <v>#N/A</v>
      </c>
      <c r="GL92" s="151"/>
      <c r="GM92" s="151"/>
      <c r="GP92" s="54">
        <f t="shared" si="187"/>
        <v>82</v>
      </c>
      <c r="GQ92" s="54">
        <f t="shared" si="188"/>
        <v>83</v>
      </c>
      <c r="GR92" s="54">
        <f t="shared" si="189"/>
        <v>-1.1258985921696685</v>
      </c>
      <c r="GS92" s="54">
        <f t="shared" si="190"/>
        <v>0.21166247901603158</v>
      </c>
      <c r="GT92" s="54" t="e">
        <f t="shared" si="191"/>
        <v>#N/A</v>
      </c>
      <c r="GU92" s="54" t="e">
        <f t="shared" si="192"/>
        <v>#N/A</v>
      </c>
      <c r="GV92" s="54" t="e">
        <f t="shared" si="193"/>
        <v>#N/A</v>
      </c>
      <c r="GW92" s="54" t="b">
        <f t="shared" si="194"/>
        <v>0</v>
      </c>
      <c r="GX92" s="54" t="b">
        <f t="shared" si="195"/>
        <v>1</v>
      </c>
      <c r="GY92" s="54" t="b">
        <f t="shared" si="196"/>
        <v>0</v>
      </c>
      <c r="GZ92" s="54" t="b">
        <f t="shared" si="197"/>
        <v>1</v>
      </c>
      <c r="HA92" s="54">
        <f t="shared" si="198"/>
        <v>0.21166247901603158</v>
      </c>
      <c r="HB92" s="54" t="e">
        <f t="shared" si="199"/>
        <v>#N/A</v>
      </c>
      <c r="HC92" s="54">
        <f t="shared" si="200"/>
        <v>0.21166247901603158</v>
      </c>
      <c r="HD92" s="69" t="str">
        <f t="shared" si="201"/>
        <v/>
      </c>
      <c r="HJ92" s="54">
        <f t="shared" si="202"/>
        <v>82</v>
      </c>
      <c r="HK92" s="54">
        <f t="shared" si="203"/>
        <v>83</v>
      </c>
      <c r="HL92" s="54">
        <f t="shared" si="204"/>
        <v>-1.7434776166356718</v>
      </c>
      <c r="HM92" s="54" t="e">
        <f t="shared" si="205"/>
        <v>#N/A</v>
      </c>
      <c r="HN92" s="54">
        <f t="shared" si="206"/>
        <v>9.0982495771573788E-2</v>
      </c>
      <c r="HO92" s="54" t="e">
        <f t="shared" si="207"/>
        <v>#N/A</v>
      </c>
      <c r="HP92" s="54" t="e">
        <f t="shared" si="208"/>
        <v>#N/A</v>
      </c>
      <c r="HQ92" s="54" t="b">
        <f t="shared" si="209"/>
        <v>1</v>
      </c>
      <c r="HR92" s="54" t="b">
        <f t="shared" si="210"/>
        <v>0</v>
      </c>
      <c r="HS92" s="54" t="b">
        <f t="shared" si="211"/>
        <v>1</v>
      </c>
      <c r="HT92" s="54" t="b">
        <f t="shared" si="212"/>
        <v>0</v>
      </c>
      <c r="HU92" s="54">
        <f t="shared" si="213"/>
        <v>9.0982495771573788E-2</v>
      </c>
      <c r="HV92" s="54">
        <f t="shared" si="214"/>
        <v>9.0982495771573788E-2</v>
      </c>
      <c r="HW92" s="54" t="e">
        <f t="shared" si="215"/>
        <v>#N/A</v>
      </c>
      <c r="HX92" s="69" t="str">
        <f t="shared" si="216"/>
        <v/>
      </c>
    </row>
    <row r="93" spans="78:232" x14ac:dyDescent="0.2">
      <c r="BZ93" s="54">
        <f t="shared" si="143"/>
        <v>83</v>
      </c>
      <c r="CA93" s="54">
        <f>Eu_tabel_g[[#This Row],[Indeks]]+1</f>
        <v>84</v>
      </c>
      <c r="CB93" s="54">
        <f t="shared" si="144"/>
        <v>-1.1019433029745691</v>
      </c>
      <c r="CC93" s="54">
        <f t="shared" si="145"/>
        <v>0.21738657587862623</v>
      </c>
      <c r="CD93" s="54" t="e">
        <f t="shared" si="146"/>
        <v>#N/A</v>
      </c>
      <c r="CE93" s="54" t="e">
        <f t="shared" si="147"/>
        <v>#N/A</v>
      </c>
      <c r="CF93" s="54" t="e">
        <f t="shared" si="148"/>
        <v>#N/A</v>
      </c>
      <c r="CG93" s="54" t="b">
        <f t="shared" si="149"/>
        <v>0</v>
      </c>
      <c r="CH93" s="54" t="b">
        <f t="shared" si="150"/>
        <v>1</v>
      </c>
      <c r="CI93" s="54" t="b">
        <f t="shared" si="151"/>
        <v>0</v>
      </c>
      <c r="CJ93" s="54" t="b">
        <f t="shared" si="152"/>
        <v>1</v>
      </c>
      <c r="CK93" s="54">
        <f t="shared" si="119"/>
        <v>0.21738657587862623</v>
      </c>
      <c r="CL93" s="54" t="e">
        <f t="shared" si="153"/>
        <v>#N/A</v>
      </c>
      <c r="CM93" s="54">
        <f t="shared" si="154"/>
        <v>0.21738657587862623</v>
      </c>
      <c r="CN93" s="69" t="str">
        <f t="shared" si="155"/>
        <v/>
      </c>
      <c r="CO93" s="54">
        <f>_xlfn.NORM.DIST(_xlfn.NORM.INV(1-Eu_g_konfidensniveau,0,1)-Eu_tabel_g[[#This Row],[x base]],0,1,TRUE)</f>
        <v>0.29359577368343998</v>
      </c>
      <c r="CP93" s="54">
        <f>1-_xlfn.NORM.DIST(_xlfn.NORM.INV(Eu_g_konfidensniveau,0,1)-Eu_tabel_g[[#This Row],[x base]],0,1,TRUE)</f>
        <v>3.009019163477511E-3</v>
      </c>
      <c r="CQ93" s="54">
        <f>_xlfn.NORM.DIST(_xlfn.NORM.INV((1-Eu_g_konfidensniveau)/2,0,1)-Eu_tabel_g[[#This Row],[x base]],0,1,TRUE)+1-_xlfn.NORM.DIST(_xlfn.NORM.INV(1-(1-Eu_g_konfidensniveau)/2,0,1)-Eu_tabel_g[[#This Row],[x base]],0,1,TRUE)</f>
        <v>0.19654017955137137</v>
      </c>
      <c r="CR93" s="54" t="e" cm="1">
        <f t="array" ref="CR93">IF($CR$3,INDEX(Eu_tabel_g[[#This Row],[Styrke venstre]:[Styrke tosidet]],CR$7),NA())</f>
        <v>#N/A</v>
      </c>
      <c r="CS93" s="89" t="e">
        <f>Eu_tabel_g[[#This Row],[Falsk positiv
Nulhypotese accepteres
Fejltype 1]]</f>
        <v>#N/A</v>
      </c>
      <c r="CT93" s="89" t="e">
        <f>IF(CHOOSE(CR$7,Eu_tabel_g[[#This Row],[x base]]&gt;0,Eu_tabel_g[[#This Row],[x base]]&lt;0,Eu_tabel_g[[#This Row],[x base]]=0),Eu_tabel_g[[#This Row],[Styrke, aktiv]],NA())</f>
        <v>#N/A</v>
      </c>
      <c r="CU93" s="89" t="e">
        <f>IFERROR(IF($CR$3,Eu_tabel_g[[#This Row],[Styrke, aktiv]],NA()),NA())</f>
        <v>#N/A</v>
      </c>
      <c r="CV93" s="89" t="e">
        <f>IF(ISNA(Eu_tabel_g[[#This Row],[Sand negativ
Nulhypotese afvises
Korrekt]]),NA(),IF($CR$3,1,NA()))</f>
        <v>#N/A</v>
      </c>
      <c r="CW93" s="56" t="str" cm="1">
        <f t="array" ref="CW93">_xlfn.SWITCH(BZ93,_xlfn.IFNA(CU$2,-99),CU$5,_xlfn.IFNA(CU$3,-99),CU$6,_xlfn.IFNA(CU$4,-99),CU$7,"")</f>
        <v/>
      </c>
      <c r="DA93" s="7">
        <f t="shared" si="156"/>
        <v>0.8</v>
      </c>
      <c r="DB93">
        <f>IF(ROW(Styrkeberegning_G[[#This Row],[X base venstre]])=ROW(Styrkeberegning_G[[#Headers],[X base venstre]])+1,DB$7/(DA$7/$B$67),DB92/(DA92/$B$67))</f>
        <v>-2.8015817870135784</v>
      </c>
      <c r="DC93">
        <f>Styrkeberegning_G[[#This Row],[X base venstre]]*-1</f>
        <v>2.8015817870135784</v>
      </c>
      <c r="DN93" s="54">
        <f t="shared" si="157"/>
        <v>83</v>
      </c>
      <c r="DO93" s="54">
        <f t="shared" si="158"/>
        <v>84</v>
      </c>
      <c r="DP93" s="54">
        <f t="shared" si="159"/>
        <v>11.301733747264773</v>
      </c>
      <c r="DQ93" s="54" t="e">
        <f t="shared" si="160"/>
        <v>#N/A</v>
      </c>
      <c r="DR93" s="54" t="e">
        <f t="shared" si="161"/>
        <v>#N/A</v>
      </c>
      <c r="DS93" s="54">
        <f t="shared" si="162"/>
        <v>8.1374958272621298E-2</v>
      </c>
      <c r="DT93" s="54" t="e">
        <f t="shared" si="163"/>
        <v>#N/A</v>
      </c>
      <c r="DU93" s="54" t="b">
        <f t="shared" si="164"/>
        <v>0</v>
      </c>
      <c r="DV93" s="54" t="b">
        <f t="shared" si="165"/>
        <v>1</v>
      </c>
      <c r="DW93" s="54" t="b">
        <f t="shared" si="166"/>
        <v>0</v>
      </c>
      <c r="DX93" s="54" t="b">
        <f t="shared" si="167"/>
        <v>1</v>
      </c>
      <c r="DY93" s="54">
        <f t="shared" si="168"/>
        <v>8.1374958272621298E-2</v>
      </c>
      <c r="DZ93" s="54" t="e">
        <f t="shared" si="169"/>
        <v>#N/A</v>
      </c>
      <c r="EA93" s="54">
        <f t="shared" si="170"/>
        <v>8.1374958272621298E-2</v>
      </c>
      <c r="EB93" s="69" t="str">
        <f t="shared" si="171"/>
        <v/>
      </c>
      <c r="EG93" s="54">
        <f t="shared" si="172"/>
        <v>83</v>
      </c>
      <c r="EH93" s="54">
        <f t="shared" si="173"/>
        <v>84</v>
      </c>
      <c r="EI93" s="54">
        <f t="shared" si="174"/>
        <v>-1.1019433029745691</v>
      </c>
      <c r="EJ93" s="54">
        <f t="shared" si="175"/>
        <v>0.21738657587862623</v>
      </c>
      <c r="EK93" s="54" t="e">
        <f t="shared" si="176"/>
        <v>#N/A</v>
      </c>
      <c r="EL93" s="54" t="e">
        <f t="shared" si="177"/>
        <v>#N/A</v>
      </c>
      <c r="EM93" s="54" t="e">
        <f t="shared" si="178"/>
        <v>#N/A</v>
      </c>
      <c r="EN93" s="54" t="b">
        <f t="shared" si="179"/>
        <v>0</v>
      </c>
      <c r="EO93" s="54" t="b">
        <f t="shared" si="180"/>
        <v>1</v>
      </c>
      <c r="EP93" s="54" t="b">
        <f t="shared" si="181"/>
        <v>0</v>
      </c>
      <c r="EQ93" s="54" t="b">
        <f t="shared" si="182"/>
        <v>1</v>
      </c>
      <c r="ER93" s="54">
        <f t="shared" si="183"/>
        <v>0.21738657587862623</v>
      </c>
      <c r="ES93" s="54" t="e">
        <f t="shared" si="184"/>
        <v>#N/A</v>
      </c>
      <c r="ET93" s="54">
        <f t="shared" si="185"/>
        <v>0.21738657587862623</v>
      </c>
      <c r="EU93" s="69" t="str">
        <f t="shared" si="186"/>
        <v/>
      </c>
      <c r="EV9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9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9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93" s="54" t="e" cm="1">
        <f t="array" ref="EY93">IF($CR$3,INDEX(Eu_tabel_a[[#This Row],[Styrke venstre]:[Styrke tosidet]],EY$7),NA())</f>
        <v>#N/A</v>
      </c>
      <c r="EZ93" s="54" t="e">
        <f>IF(EY$3,IF(CHOOSE(EY$7,Eu_tabel_a[[#This Row],[x base]]&gt;0,Eu_tabel_a[[#This Row],[x base]]&lt;0,Eu_tabel_a[[#This Row],[x base]]=0),1,NA()),NA())</f>
        <v>#N/A</v>
      </c>
      <c r="FA93" s="54" t="e">
        <f>IF(CHOOSE(EY$7,Eu_tabel_a[[#This Row],[x base]]&gt;0,Eu_tabel_a[[#This Row],[x base]]&lt;0,Eu_tabel_a[[#This Row],[x base]]=0),Eu_tabel_a[[#This Row],[Styrke, aktiv]],NA())</f>
        <v>#N/A</v>
      </c>
      <c r="FB93" s="54" t="e">
        <f>IFERROR(IF($EY$3,Eu_tabel_a[[#This Row],[Styrke, aktiv]],NA()),NA())</f>
        <v>#N/A</v>
      </c>
      <c r="FC93" s="54" t="e">
        <f>IF(ISNA(Eu_tabel_a[[#This Row],[Sand negativ
Nulhypotese afvises
Korrekt]]),NA(),IF(EY$3,1,NA()))</f>
        <v>#N/A</v>
      </c>
      <c r="FD93" s="55" t="str" cm="1">
        <f t="array" ref="FD93">IFERROR(_xlfn.SWITCH(Eu_tabel_a[[#This Row],[Indeks]],_xlfn.IFNA(FB$2,-99),FB$5,_xlfn.IFNA(FB$3,-99),FB$6,_xlfn.IFNA(FB$4,-99),FB$7,""),"")</f>
        <v/>
      </c>
      <c r="FE93" s="54">
        <f>Eu_tabel_a[[#This Row],[x base]]*SQRT(Eu_a_h0_x*(1-Eu_a_h0_x)/Eu_a_n_x)+Eu_a_h0_x</f>
        <v>0</v>
      </c>
      <c r="FJ93" s="144" t="e">
        <f t="shared" si="130"/>
        <v>#N/A</v>
      </c>
      <c r="FK93" s="152" t="e">
        <f t="shared" si="113"/>
        <v>#DIV/0!</v>
      </c>
      <c r="FL93" s="7" t="e">
        <f t="shared" si="124"/>
        <v>#DIV/0!</v>
      </c>
      <c r="FM93" t="e">
        <f t="shared" si="114"/>
        <v>#DIV/0!</v>
      </c>
      <c r="FN93" s="8" t="e">
        <f t="shared" si="115"/>
        <v>#DIV/0!</v>
      </c>
      <c r="FO93" s="8" t="e">
        <f t="shared" si="116"/>
        <v>#DIV/0!</v>
      </c>
      <c r="FP93" s="151" t="e">
        <f t="shared" si="117"/>
        <v>#DIV/0!</v>
      </c>
      <c r="FQ93" s="144" t="e">
        <f t="shared" ca="1" si="125"/>
        <v>#N/A</v>
      </c>
      <c r="FR93" s="152" t="e" vm="3">
        <f t="shared" ca="1" si="131"/>
        <v>#VALUE!</v>
      </c>
      <c r="FS93" s="7" t="e" vm="3">
        <f t="shared" ca="1" si="126"/>
        <v>#VALUE!</v>
      </c>
      <c r="FT93" t="e" vm="3">
        <f t="shared" ca="1" si="120"/>
        <v>#VALUE!</v>
      </c>
      <c r="FU93" s="8" t="e" vm="3">
        <f t="shared" ca="1" si="121"/>
        <v>#VALUE!</v>
      </c>
      <c r="FV93" s="8" t="e" vm="3">
        <f t="shared" ca="1" si="122"/>
        <v>#VALUE!</v>
      </c>
      <c r="FW93" s="151" t="e" vm="3">
        <f t="shared" ca="1" si="123"/>
        <v>#VALUE!</v>
      </c>
      <c r="FX93" s="144" t="e">
        <f t="shared" si="127"/>
        <v>#N/A</v>
      </c>
      <c r="FY93" s="152" t="e">
        <f t="shared" si="132"/>
        <v>#N/A</v>
      </c>
      <c r="FZ93" s="7" t="e">
        <f t="shared" si="128"/>
        <v>#N/A</v>
      </c>
      <c r="GA93" t="e">
        <f t="shared" si="133"/>
        <v>#N/A</v>
      </c>
      <c r="GB93" s="8" t="e">
        <f t="shared" si="134"/>
        <v>#N/A</v>
      </c>
      <c r="GC93" s="8" t="e">
        <f t="shared" si="135"/>
        <v>#N/A</v>
      </c>
      <c r="GD93" s="151" t="e">
        <f t="shared" si="136"/>
        <v>#N/A</v>
      </c>
      <c r="GE93" s="144" t="e">
        <f t="shared" si="137"/>
        <v>#N/A</v>
      </c>
      <c r="GF93" s="152" t="e">
        <f t="shared" si="138"/>
        <v>#N/A</v>
      </c>
      <c r="GG93" s="7" t="e">
        <f t="shared" si="129"/>
        <v>#N/A</v>
      </c>
      <c r="GH93" t="e">
        <f t="shared" si="139"/>
        <v>#N/A</v>
      </c>
      <c r="GI93" s="8" t="e">
        <f t="shared" si="140"/>
        <v>#N/A</v>
      </c>
      <c r="GJ93" s="8" t="e">
        <f t="shared" si="141"/>
        <v>#N/A</v>
      </c>
      <c r="GK93" s="151" t="e">
        <f t="shared" si="142"/>
        <v>#N/A</v>
      </c>
      <c r="GL93" s="151"/>
      <c r="GM93" s="151"/>
      <c r="GP93" s="54">
        <f t="shared" si="187"/>
        <v>83</v>
      </c>
      <c r="GQ93" s="54">
        <f t="shared" si="188"/>
        <v>84</v>
      </c>
      <c r="GR93" s="54">
        <f t="shared" si="189"/>
        <v>-1.1019433029745691</v>
      </c>
      <c r="GS93" s="54">
        <f t="shared" si="190"/>
        <v>0.21738657587862623</v>
      </c>
      <c r="GT93" s="54" t="e">
        <f t="shared" si="191"/>
        <v>#N/A</v>
      </c>
      <c r="GU93" s="54" t="e">
        <f t="shared" si="192"/>
        <v>#N/A</v>
      </c>
      <c r="GV93" s="54" t="e">
        <f t="shared" si="193"/>
        <v>#N/A</v>
      </c>
      <c r="GW93" s="54" t="b">
        <f t="shared" si="194"/>
        <v>0</v>
      </c>
      <c r="GX93" s="54" t="b">
        <f t="shared" si="195"/>
        <v>1</v>
      </c>
      <c r="GY93" s="54" t="b">
        <f t="shared" si="196"/>
        <v>0</v>
      </c>
      <c r="GZ93" s="54" t="b">
        <f t="shared" si="197"/>
        <v>1</v>
      </c>
      <c r="HA93" s="54">
        <f t="shared" si="198"/>
        <v>0.21738657587862623</v>
      </c>
      <c r="HB93" s="54" t="e">
        <f t="shared" si="199"/>
        <v>#N/A</v>
      </c>
      <c r="HC93" s="54">
        <f t="shared" si="200"/>
        <v>0.21738657587862623</v>
      </c>
      <c r="HD93" s="69" t="str">
        <f t="shared" si="201"/>
        <v/>
      </c>
      <c r="HJ93" s="54">
        <f t="shared" si="202"/>
        <v>83</v>
      </c>
      <c r="HK93" s="54">
        <f t="shared" si="203"/>
        <v>84</v>
      </c>
      <c r="HL93" s="54">
        <f t="shared" si="204"/>
        <v>-1.7063823481966147</v>
      </c>
      <c r="HM93" s="54" t="e">
        <f t="shared" si="205"/>
        <v>#N/A</v>
      </c>
      <c r="HN93" s="54">
        <f t="shared" si="206"/>
        <v>9.5773093290658348E-2</v>
      </c>
      <c r="HO93" s="54" t="e">
        <f t="shared" si="207"/>
        <v>#N/A</v>
      </c>
      <c r="HP93" s="54" t="e">
        <f t="shared" si="208"/>
        <v>#N/A</v>
      </c>
      <c r="HQ93" s="54" t="b">
        <f t="shared" si="209"/>
        <v>1</v>
      </c>
      <c r="HR93" s="54" t="b">
        <f t="shared" si="210"/>
        <v>0</v>
      </c>
      <c r="HS93" s="54" t="b">
        <f t="shared" si="211"/>
        <v>1</v>
      </c>
      <c r="HT93" s="54" t="b">
        <f t="shared" si="212"/>
        <v>0</v>
      </c>
      <c r="HU93" s="54">
        <f t="shared" si="213"/>
        <v>9.5773093290658348E-2</v>
      </c>
      <c r="HV93" s="54">
        <f t="shared" si="214"/>
        <v>9.5773093290658348E-2</v>
      </c>
      <c r="HW93" s="54" t="e">
        <f t="shared" si="215"/>
        <v>#N/A</v>
      </c>
      <c r="HX93" s="69" t="str">
        <f t="shared" si="216"/>
        <v/>
      </c>
    </row>
    <row r="94" spans="78:232" x14ac:dyDescent="0.2">
      <c r="BZ94" s="54">
        <f t="shared" si="143"/>
        <v>84</v>
      </c>
      <c r="CA94" s="54">
        <f>Eu_tabel_g[[#This Row],[Indeks]]+1</f>
        <v>85</v>
      </c>
      <c r="CB94" s="54">
        <f t="shared" si="144"/>
        <v>-1.07798801377947</v>
      </c>
      <c r="CC94" s="54">
        <f t="shared" si="145"/>
        <v>0.22313738697590677</v>
      </c>
      <c r="CD94" s="54" t="e">
        <f t="shared" si="146"/>
        <v>#N/A</v>
      </c>
      <c r="CE94" s="54" t="e">
        <f t="shared" si="147"/>
        <v>#N/A</v>
      </c>
      <c r="CF94" s="54" t="e">
        <f t="shared" si="148"/>
        <v>#N/A</v>
      </c>
      <c r="CG94" s="54" t="b">
        <f t="shared" si="149"/>
        <v>0</v>
      </c>
      <c r="CH94" s="54" t="b">
        <f t="shared" si="150"/>
        <v>1</v>
      </c>
      <c r="CI94" s="54" t="b">
        <f t="shared" si="151"/>
        <v>0</v>
      </c>
      <c r="CJ94" s="54" t="b">
        <f t="shared" si="152"/>
        <v>1</v>
      </c>
      <c r="CK94" s="54">
        <f t="shared" ref="CK94:CK125" si="217">_xlfn.AGGREGATE(9,6,CC94:CF94)</f>
        <v>0.22313738697590677</v>
      </c>
      <c r="CL94" s="54" t="e">
        <f t="shared" si="153"/>
        <v>#N/A</v>
      </c>
      <c r="CM94" s="54">
        <f t="shared" si="154"/>
        <v>0.22313738697590677</v>
      </c>
      <c r="CN94" s="69" t="str">
        <f t="shared" si="155"/>
        <v/>
      </c>
      <c r="CO94" s="54">
        <f>_xlfn.NORM.DIST(_xlfn.NORM.INV(1-Eu_g_konfidensniveau,0,1)-Eu_tabel_g[[#This Row],[x base]],0,1,TRUE)</f>
        <v>0.28540274418023875</v>
      </c>
      <c r="CP94" s="54">
        <f>1-_xlfn.NORM.DIST(_xlfn.NORM.INV(Eu_g_konfidensniveau,0,1)-Eu_tabel_g[[#This Row],[x base]],0,1,TRUE)</f>
        <v>3.2361537059482082E-3</v>
      </c>
      <c r="CQ94" s="54">
        <f>_xlfn.NORM.DIST(_xlfn.NORM.INV((1-Eu_g_konfidensniveau)/2,0,1)-Eu_tabel_g[[#This Row],[x base]],0,1,TRUE)+1-_xlfn.NORM.DIST(_xlfn.NORM.INV(1-(1-Eu_g_konfidensniveau)/2,0,1)-Eu_tabel_g[[#This Row],[x base]],0,1,TRUE)</f>
        <v>0.19008586036622488</v>
      </c>
      <c r="CR94" s="54" t="e" cm="1">
        <f t="array" ref="CR94">IF($CR$3,INDEX(Eu_tabel_g[[#This Row],[Styrke venstre]:[Styrke tosidet]],CR$7),NA())</f>
        <v>#N/A</v>
      </c>
      <c r="CS94" s="89" t="e">
        <f>Eu_tabel_g[[#This Row],[Falsk positiv
Nulhypotese accepteres
Fejltype 1]]</f>
        <v>#N/A</v>
      </c>
      <c r="CT94" s="89" t="e">
        <f>IF(CHOOSE(CR$7,Eu_tabel_g[[#This Row],[x base]]&gt;0,Eu_tabel_g[[#This Row],[x base]]&lt;0,Eu_tabel_g[[#This Row],[x base]]=0),Eu_tabel_g[[#This Row],[Styrke, aktiv]],NA())</f>
        <v>#N/A</v>
      </c>
      <c r="CU94" s="89" t="e">
        <f>IFERROR(IF($CR$3,Eu_tabel_g[[#This Row],[Styrke, aktiv]],NA()),NA())</f>
        <v>#N/A</v>
      </c>
      <c r="CV94" s="89" t="e">
        <f>IF(ISNA(Eu_tabel_g[[#This Row],[Sand negativ
Nulhypotese afvises
Korrekt]]),NA(),IF($CR$3,1,NA()))</f>
        <v>#N/A</v>
      </c>
      <c r="CW94" s="56" t="str" cm="1">
        <f t="array" ref="CW94">_xlfn.SWITCH(BZ94,_xlfn.IFNA(CU$2,-99),CU$5,_xlfn.IFNA(CU$3,-99),CU$6,_xlfn.IFNA(CU$4,-99),CU$7,"")</f>
        <v/>
      </c>
      <c r="DA94" s="7">
        <f t="shared" si="156"/>
        <v>0.8</v>
      </c>
      <c r="DB94">
        <f>IF(ROW(Styrkeberegning_G[[#This Row],[X base venstre]])=ROW(Styrkeberegning_G[[#Headers],[X base venstre]])+1,DB$7/(DA$7/$B$67),DB93/(DA93/$B$67))</f>
        <v>-2.8015817870135784</v>
      </c>
      <c r="DC94">
        <f>Styrkeberegning_G[[#This Row],[X base venstre]]*-1</f>
        <v>2.8015817870135784</v>
      </c>
      <c r="DN94" s="54">
        <f t="shared" si="157"/>
        <v>84</v>
      </c>
      <c r="DO94" s="54">
        <f t="shared" si="158"/>
        <v>85</v>
      </c>
      <c r="DP94" s="54">
        <f t="shared" si="159"/>
        <v>11.415804603681774</v>
      </c>
      <c r="DQ94" s="54" t="e">
        <f t="shared" si="160"/>
        <v>#N/A</v>
      </c>
      <c r="DR94" s="54" t="e">
        <f t="shared" si="161"/>
        <v>#N/A</v>
      </c>
      <c r="DS94" s="54">
        <f t="shared" si="162"/>
        <v>8.0416867949317919E-2</v>
      </c>
      <c r="DT94" s="54" t="e">
        <f t="shared" si="163"/>
        <v>#N/A</v>
      </c>
      <c r="DU94" s="54" t="b">
        <f t="shared" si="164"/>
        <v>0</v>
      </c>
      <c r="DV94" s="54" t="b">
        <f t="shared" si="165"/>
        <v>1</v>
      </c>
      <c r="DW94" s="54" t="b">
        <f t="shared" si="166"/>
        <v>0</v>
      </c>
      <c r="DX94" s="54" t="b">
        <f t="shared" si="167"/>
        <v>1</v>
      </c>
      <c r="DY94" s="54">
        <f t="shared" si="168"/>
        <v>8.0416867949317919E-2</v>
      </c>
      <c r="DZ94" s="54" t="e">
        <f t="shared" si="169"/>
        <v>#N/A</v>
      </c>
      <c r="EA94" s="54">
        <f t="shared" si="170"/>
        <v>8.0416867949317919E-2</v>
      </c>
      <c r="EB94" s="69" t="str">
        <f t="shared" si="171"/>
        <v/>
      </c>
      <c r="EG94" s="54">
        <f t="shared" si="172"/>
        <v>84</v>
      </c>
      <c r="EH94" s="54">
        <f t="shared" si="173"/>
        <v>85</v>
      </c>
      <c r="EI94" s="54">
        <f t="shared" si="174"/>
        <v>-1.07798801377947</v>
      </c>
      <c r="EJ94" s="54">
        <f t="shared" si="175"/>
        <v>0.22313738697590677</v>
      </c>
      <c r="EK94" s="54" t="e">
        <f t="shared" si="176"/>
        <v>#N/A</v>
      </c>
      <c r="EL94" s="54" t="e">
        <f t="shared" si="177"/>
        <v>#N/A</v>
      </c>
      <c r="EM94" s="54" t="e">
        <f t="shared" si="178"/>
        <v>#N/A</v>
      </c>
      <c r="EN94" s="54" t="b">
        <f t="shared" si="179"/>
        <v>0</v>
      </c>
      <c r="EO94" s="54" t="b">
        <f t="shared" si="180"/>
        <v>1</v>
      </c>
      <c r="EP94" s="54" t="b">
        <f t="shared" si="181"/>
        <v>0</v>
      </c>
      <c r="EQ94" s="54" t="b">
        <f t="shared" si="182"/>
        <v>1</v>
      </c>
      <c r="ER94" s="54">
        <f t="shared" si="183"/>
        <v>0.22313738697590677</v>
      </c>
      <c r="ES94" s="54" t="e">
        <f t="shared" si="184"/>
        <v>#N/A</v>
      </c>
      <c r="ET94" s="54">
        <f t="shared" si="185"/>
        <v>0.22313738697590677</v>
      </c>
      <c r="EU94" s="69" t="str">
        <f t="shared" si="186"/>
        <v/>
      </c>
      <c r="EV9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9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9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94" s="54" t="e" cm="1">
        <f t="array" ref="EY94">IF($CR$3,INDEX(Eu_tabel_a[[#This Row],[Styrke venstre]:[Styrke tosidet]],EY$7),NA())</f>
        <v>#N/A</v>
      </c>
      <c r="EZ94" s="54" t="e">
        <f>IF(EY$3,IF(CHOOSE(EY$7,Eu_tabel_a[[#This Row],[x base]]&gt;0,Eu_tabel_a[[#This Row],[x base]]&lt;0,Eu_tabel_a[[#This Row],[x base]]=0),1,NA()),NA())</f>
        <v>#N/A</v>
      </c>
      <c r="FA94" s="54" t="e">
        <f>IF(CHOOSE(EY$7,Eu_tabel_a[[#This Row],[x base]]&gt;0,Eu_tabel_a[[#This Row],[x base]]&lt;0,Eu_tabel_a[[#This Row],[x base]]=0),Eu_tabel_a[[#This Row],[Styrke, aktiv]],NA())</f>
        <v>#N/A</v>
      </c>
      <c r="FB94" s="54" t="e">
        <f>IFERROR(IF($EY$3,Eu_tabel_a[[#This Row],[Styrke, aktiv]],NA()),NA())</f>
        <v>#N/A</v>
      </c>
      <c r="FC94" s="54" t="e">
        <f>IF(ISNA(Eu_tabel_a[[#This Row],[Sand negativ
Nulhypotese afvises
Korrekt]]),NA(),IF(EY$3,1,NA()))</f>
        <v>#N/A</v>
      </c>
      <c r="FD94" s="55" t="str" cm="1">
        <f t="array" ref="FD94">IFERROR(_xlfn.SWITCH(Eu_tabel_a[[#This Row],[Indeks]],_xlfn.IFNA(FB$2,-99),FB$5,_xlfn.IFNA(FB$3,-99),FB$6,_xlfn.IFNA(FB$4,-99),FB$7,""),"")</f>
        <v/>
      </c>
      <c r="FE94" s="54">
        <f>Eu_tabel_a[[#This Row],[x base]]*SQRT(Eu_a_h0_x*(1-Eu_a_h0_x)/Eu_a_n_x)+Eu_a_h0_x</f>
        <v>0</v>
      </c>
      <c r="FJ94" s="144" t="e">
        <f t="shared" si="130"/>
        <v>#N/A</v>
      </c>
      <c r="FK94" s="152" t="e">
        <f t="shared" si="113"/>
        <v>#DIV/0!</v>
      </c>
      <c r="FL94" s="7" t="e">
        <f t="shared" si="124"/>
        <v>#DIV/0!</v>
      </c>
      <c r="FM94" t="e">
        <f t="shared" si="114"/>
        <v>#DIV/0!</v>
      </c>
      <c r="FN94" s="8" t="e">
        <f t="shared" si="115"/>
        <v>#DIV/0!</v>
      </c>
      <c r="FO94" s="8" t="e">
        <f t="shared" si="116"/>
        <v>#DIV/0!</v>
      </c>
      <c r="FP94" s="151" t="e">
        <f t="shared" si="117"/>
        <v>#DIV/0!</v>
      </c>
      <c r="FQ94" s="144" t="e">
        <f t="shared" ca="1" si="125"/>
        <v>#N/A</v>
      </c>
      <c r="FR94" s="152" t="e" vm="3">
        <f t="shared" ca="1" si="131"/>
        <v>#VALUE!</v>
      </c>
      <c r="FS94" s="7" t="e" vm="3">
        <f t="shared" ca="1" si="126"/>
        <v>#VALUE!</v>
      </c>
      <c r="FT94" t="e" vm="3">
        <f t="shared" ca="1" si="120"/>
        <v>#VALUE!</v>
      </c>
      <c r="FU94" s="8" t="e" vm="3">
        <f t="shared" ca="1" si="121"/>
        <v>#VALUE!</v>
      </c>
      <c r="FV94" s="8" t="e" vm="3">
        <f t="shared" ca="1" si="122"/>
        <v>#VALUE!</v>
      </c>
      <c r="FW94" s="151" t="e" vm="3">
        <f t="shared" ca="1" si="123"/>
        <v>#VALUE!</v>
      </c>
      <c r="FX94" s="144" t="e">
        <f t="shared" si="127"/>
        <v>#N/A</v>
      </c>
      <c r="FY94" s="152" t="e">
        <f t="shared" si="132"/>
        <v>#N/A</v>
      </c>
      <c r="FZ94" s="7" t="e">
        <f t="shared" si="128"/>
        <v>#N/A</v>
      </c>
      <c r="GA94" t="e">
        <f t="shared" si="133"/>
        <v>#N/A</v>
      </c>
      <c r="GB94" s="8" t="e">
        <f t="shared" si="134"/>
        <v>#N/A</v>
      </c>
      <c r="GC94" s="8" t="e">
        <f t="shared" si="135"/>
        <v>#N/A</v>
      </c>
      <c r="GD94" s="151" t="e">
        <f t="shared" si="136"/>
        <v>#N/A</v>
      </c>
      <c r="GE94" s="144" t="e">
        <f t="shared" si="137"/>
        <v>#N/A</v>
      </c>
      <c r="GF94" s="152" t="e">
        <f t="shared" si="138"/>
        <v>#N/A</v>
      </c>
      <c r="GG94" s="7" t="e">
        <f t="shared" si="129"/>
        <v>#N/A</v>
      </c>
      <c r="GH94" t="e">
        <f t="shared" si="139"/>
        <v>#N/A</v>
      </c>
      <c r="GI94" s="8" t="e">
        <f t="shared" si="140"/>
        <v>#N/A</v>
      </c>
      <c r="GJ94" s="8" t="e">
        <f t="shared" si="141"/>
        <v>#N/A</v>
      </c>
      <c r="GK94" s="151" t="e">
        <f t="shared" si="142"/>
        <v>#N/A</v>
      </c>
      <c r="GL94" s="151"/>
      <c r="GM94" s="151"/>
      <c r="GP94" s="54">
        <f t="shared" si="187"/>
        <v>84</v>
      </c>
      <c r="GQ94" s="54">
        <f t="shared" si="188"/>
        <v>85</v>
      </c>
      <c r="GR94" s="54">
        <f t="shared" si="189"/>
        <v>-1.07798801377947</v>
      </c>
      <c r="GS94" s="54">
        <f t="shared" si="190"/>
        <v>0.22313738697590677</v>
      </c>
      <c r="GT94" s="54" t="e">
        <f t="shared" si="191"/>
        <v>#N/A</v>
      </c>
      <c r="GU94" s="54" t="e">
        <f t="shared" si="192"/>
        <v>#N/A</v>
      </c>
      <c r="GV94" s="54" t="e">
        <f t="shared" si="193"/>
        <v>#N/A</v>
      </c>
      <c r="GW94" s="54" t="b">
        <f t="shared" si="194"/>
        <v>0</v>
      </c>
      <c r="GX94" s="54" t="b">
        <f t="shared" si="195"/>
        <v>1</v>
      </c>
      <c r="GY94" s="54" t="b">
        <f t="shared" si="196"/>
        <v>0</v>
      </c>
      <c r="GZ94" s="54" t="b">
        <f t="shared" si="197"/>
        <v>1</v>
      </c>
      <c r="HA94" s="54">
        <f t="shared" si="198"/>
        <v>0.22313738697590677</v>
      </c>
      <c r="HB94" s="54" t="e">
        <f t="shared" si="199"/>
        <v>#N/A</v>
      </c>
      <c r="HC94" s="54">
        <f t="shared" si="200"/>
        <v>0.22313738697590677</v>
      </c>
      <c r="HD94" s="69" t="str">
        <f t="shared" si="201"/>
        <v/>
      </c>
      <c r="HJ94" s="54">
        <f t="shared" si="202"/>
        <v>84</v>
      </c>
      <c r="HK94" s="54">
        <f t="shared" si="203"/>
        <v>85</v>
      </c>
      <c r="HL94" s="54">
        <f t="shared" si="204"/>
        <v>-1.6692870797575581</v>
      </c>
      <c r="HM94" s="54" t="e">
        <f t="shared" si="205"/>
        <v>#N/A</v>
      </c>
      <c r="HN94" s="54">
        <f t="shared" si="206"/>
        <v>0.10076975631354264</v>
      </c>
      <c r="HO94" s="54" t="e">
        <f t="shared" si="207"/>
        <v>#N/A</v>
      </c>
      <c r="HP94" s="54" t="e">
        <f t="shared" si="208"/>
        <v>#N/A</v>
      </c>
      <c r="HQ94" s="54" t="b">
        <f t="shared" si="209"/>
        <v>1</v>
      </c>
      <c r="HR94" s="54" t="b">
        <f t="shared" si="210"/>
        <v>0</v>
      </c>
      <c r="HS94" s="54" t="b">
        <f t="shared" si="211"/>
        <v>0</v>
      </c>
      <c r="HT94" s="54" t="b">
        <f t="shared" si="212"/>
        <v>1</v>
      </c>
      <c r="HU94" s="54">
        <f t="shared" si="213"/>
        <v>0.10076975631354264</v>
      </c>
      <c r="HV94" s="54">
        <f t="shared" si="214"/>
        <v>0.10076975631354264</v>
      </c>
      <c r="HW94" s="54" t="e">
        <f t="shared" si="215"/>
        <v>#N/A</v>
      </c>
      <c r="HX94" s="69" t="str">
        <f t="shared" si="216"/>
        <v/>
      </c>
    </row>
    <row r="95" spans="78:232" x14ac:dyDescent="0.2">
      <c r="BZ95" s="54">
        <f t="shared" si="143"/>
        <v>85</v>
      </c>
      <c r="CA95" s="54">
        <f>Eu_tabel_g[[#This Row],[Indeks]]+1</f>
        <v>86</v>
      </c>
      <c r="CB95" s="54">
        <f t="shared" si="144"/>
        <v>-1.0540327245843706</v>
      </c>
      <c r="CC95" s="54">
        <f t="shared" si="145"/>
        <v>0.22890893335654983</v>
      </c>
      <c r="CD95" s="54" t="e">
        <f t="shared" si="146"/>
        <v>#N/A</v>
      </c>
      <c r="CE95" s="54" t="e">
        <f t="shared" si="147"/>
        <v>#N/A</v>
      </c>
      <c r="CF95" s="54" t="e">
        <f t="shared" si="148"/>
        <v>#N/A</v>
      </c>
      <c r="CG95" s="54" t="b">
        <f t="shared" si="149"/>
        <v>0</v>
      </c>
      <c r="CH95" s="54" t="b">
        <f t="shared" si="150"/>
        <v>1</v>
      </c>
      <c r="CI95" s="54" t="b">
        <f t="shared" si="151"/>
        <v>0</v>
      </c>
      <c r="CJ95" s="54" t="b">
        <f t="shared" si="152"/>
        <v>1</v>
      </c>
      <c r="CK95" s="54">
        <f t="shared" si="217"/>
        <v>0.22890893335654983</v>
      </c>
      <c r="CL95" s="54" t="e">
        <f t="shared" si="153"/>
        <v>#N/A</v>
      </c>
      <c r="CM95" s="54">
        <f t="shared" si="154"/>
        <v>0.22890893335654983</v>
      </c>
      <c r="CN95" s="69" t="str">
        <f t="shared" si="155"/>
        <v/>
      </c>
      <c r="CO95" s="54">
        <f>_xlfn.NORM.DIST(_xlfn.NORM.INV(1-Eu_g_konfidensniveau,0,1)-Eu_tabel_g[[#This Row],[x base]],0,1,TRUE)</f>
        <v>0.27732021410330299</v>
      </c>
      <c r="CP95" s="54">
        <f>1-_xlfn.NORM.DIST(_xlfn.NORM.INV(Eu_g_konfidensniveau,0,1)-Eu_tabel_g[[#This Row],[x base]],0,1,TRUE)</f>
        <v>3.4785965238283145E-3</v>
      </c>
      <c r="CQ95" s="54">
        <f>_xlfn.NORM.DIST(_xlfn.NORM.INV((1-Eu_g_konfidensniveau)/2,0,1)-Eu_tabel_g[[#This Row],[x base]],0,1,TRUE)+1-_xlfn.NORM.DIST(_xlfn.NORM.INV(1-(1-Eu_g_konfidensniveau)/2,0,1)-Eu_tabel_g[[#This Row],[x base]],0,1,TRUE)</f>
        <v>0.1837752716806117</v>
      </c>
      <c r="CR95" s="54" t="e" cm="1">
        <f t="array" ref="CR95">IF($CR$3,INDEX(Eu_tabel_g[[#This Row],[Styrke venstre]:[Styrke tosidet]],CR$7),NA())</f>
        <v>#N/A</v>
      </c>
      <c r="CS95" s="89" t="e">
        <f>Eu_tabel_g[[#This Row],[Falsk positiv
Nulhypotese accepteres
Fejltype 1]]</f>
        <v>#N/A</v>
      </c>
      <c r="CT95" s="89" t="e">
        <f>IF(CHOOSE(CR$7,Eu_tabel_g[[#This Row],[x base]]&gt;0,Eu_tabel_g[[#This Row],[x base]]&lt;0,Eu_tabel_g[[#This Row],[x base]]=0),Eu_tabel_g[[#This Row],[Styrke, aktiv]],NA())</f>
        <v>#N/A</v>
      </c>
      <c r="CU95" s="89" t="e">
        <f>IFERROR(IF($CR$3,Eu_tabel_g[[#This Row],[Styrke, aktiv]],NA()),NA())</f>
        <v>#N/A</v>
      </c>
      <c r="CV95" s="89" t="e">
        <f>IF(ISNA(Eu_tabel_g[[#This Row],[Sand negativ
Nulhypotese afvises
Korrekt]]),NA(),IF($CR$3,1,NA()))</f>
        <v>#N/A</v>
      </c>
      <c r="CW95" s="56" t="str" cm="1">
        <f t="array" ref="CW95">_xlfn.SWITCH(BZ95,_xlfn.IFNA(CU$2,-99),CU$5,_xlfn.IFNA(CU$3,-99),CU$6,_xlfn.IFNA(CU$4,-99),CU$7,"")</f>
        <v/>
      </c>
      <c r="DA95" s="7">
        <f t="shared" si="156"/>
        <v>0.8</v>
      </c>
      <c r="DB95">
        <f>IF(ROW(Styrkeberegning_G[[#This Row],[X base venstre]])=ROW(Styrkeberegning_G[[#Headers],[X base venstre]])+1,DB$7/(DA$7/$B$67),DB94/(DA94/$B$67))</f>
        <v>-2.8015817870135784</v>
      </c>
      <c r="DC95">
        <f>Styrkeberegning_G[[#This Row],[X base venstre]]*-1</f>
        <v>2.8015817870135784</v>
      </c>
      <c r="DN95" s="54">
        <f t="shared" si="157"/>
        <v>85</v>
      </c>
      <c r="DO95" s="54">
        <f t="shared" si="158"/>
        <v>86</v>
      </c>
      <c r="DP95" s="54">
        <f t="shared" si="159"/>
        <v>11.529875460098776</v>
      </c>
      <c r="DQ95" s="54" t="e">
        <f t="shared" si="160"/>
        <v>#N/A</v>
      </c>
      <c r="DR95" s="54" t="e">
        <f t="shared" si="161"/>
        <v>#N/A</v>
      </c>
      <c r="DS95" s="54">
        <f t="shared" si="162"/>
        <v>7.9434357282748405E-2</v>
      </c>
      <c r="DT95" s="54" t="e">
        <f t="shared" si="163"/>
        <v>#N/A</v>
      </c>
      <c r="DU95" s="54" t="b">
        <f t="shared" si="164"/>
        <v>0</v>
      </c>
      <c r="DV95" s="54" t="b">
        <f t="shared" si="165"/>
        <v>1</v>
      </c>
      <c r="DW95" s="54" t="b">
        <f t="shared" si="166"/>
        <v>0</v>
      </c>
      <c r="DX95" s="54" t="b">
        <f t="shared" si="167"/>
        <v>1</v>
      </c>
      <c r="DY95" s="54">
        <f t="shared" si="168"/>
        <v>7.9434357282748405E-2</v>
      </c>
      <c r="DZ95" s="54" t="e">
        <f t="shared" si="169"/>
        <v>#N/A</v>
      </c>
      <c r="EA95" s="54">
        <f t="shared" si="170"/>
        <v>7.9434357282748405E-2</v>
      </c>
      <c r="EB95" s="69" t="str">
        <f t="shared" si="171"/>
        <v/>
      </c>
      <c r="EG95" s="54">
        <f t="shared" si="172"/>
        <v>85</v>
      </c>
      <c r="EH95" s="54">
        <f t="shared" si="173"/>
        <v>86</v>
      </c>
      <c r="EI95" s="54">
        <f t="shared" si="174"/>
        <v>-1.0540327245843706</v>
      </c>
      <c r="EJ95" s="54">
        <f t="shared" si="175"/>
        <v>0.22890893335654983</v>
      </c>
      <c r="EK95" s="54" t="e">
        <f t="shared" si="176"/>
        <v>#N/A</v>
      </c>
      <c r="EL95" s="54" t="e">
        <f t="shared" si="177"/>
        <v>#N/A</v>
      </c>
      <c r="EM95" s="54" t="e">
        <f t="shared" si="178"/>
        <v>#N/A</v>
      </c>
      <c r="EN95" s="54" t="b">
        <f t="shared" si="179"/>
        <v>0</v>
      </c>
      <c r="EO95" s="54" t="b">
        <f t="shared" si="180"/>
        <v>1</v>
      </c>
      <c r="EP95" s="54" t="b">
        <f t="shared" si="181"/>
        <v>0</v>
      </c>
      <c r="EQ95" s="54" t="b">
        <f t="shared" si="182"/>
        <v>1</v>
      </c>
      <c r="ER95" s="54">
        <f t="shared" si="183"/>
        <v>0.22890893335654983</v>
      </c>
      <c r="ES95" s="54" t="e">
        <f t="shared" si="184"/>
        <v>#N/A</v>
      </c>
      <c r="ET95" s="54">
        <f t="shared" si="185"/>
        <v>0.22890893335654983</v>
      </c>
      <c r="EU95" s="69" t="str">
        <f t="shared" si="186"/>
        <v/>
      </c>
      <c r="EV9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9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9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95" s="54" t="e" cm="1">
        <f t="array" ref="EY95">IF($CR$3,INDEX(Eu_tabel_a[[#This Row],[Styrke venstre]:[Styrke tosidet]],EY$7),NA())</f>
        <v>#N/A</v>
      </c>
      <c r="EZ95" s="54" t="e">
        <f>IF(EY$3,IF(CHOOSE(EY$7,Eu_tabel_a[[#This Row],[x base]]&gt;0,Eu_tabel_a[[#This Row],[x base]]&lt;0,Eu_tabel_a[[#This Row],[x base]]=0),1,NA()),NA())</f>
        <v>#N/A</v>
      </c>
      <c r="FA95" s="54" t="e">
        <f>IF(CHOOSE(EY$7,Eu_tabel_a[[#This Row],[x base]]&gt;0,Eu_tabel_a[[#This Row],[x base]]&lt;0,Eu_tabel_a[[#This Row],[x base]]=0),Eu_tabel_a[[#This Row],[Styrke, aktiv]],NA())</f>
        <v>#N/A</v>
      </c>
      <c r="FB95" s="54" t="e">
        <f>IFERROR(IF($EY$3,Eu_tabel_a[[#This Row],[Styrke, aktiv]],NA()),NA())</f>
        <v>#N/A</v>
      </c>
      <c r="FC95" s="54" t="e">
        <f>IF(ISNA(Eu_tabel_a[[#This Row],[Sand negativ
Nulhypotese afvises
Korrekt]]),NA(),IF(EY$3,1,NA()))</f>
        <v>#N/A</v>
      </c>
      <c r="FD95" s="55" t="str" cm="1">
        <f t="array" ref="FD95">IFERROR(_xlfn.SWITCH(Eu_tabel_a[[#This Row],[Indeks]],_xlfn.IFNA(FB$2,-99),FB$5,_xlfn.IFNA(FB$3,-99),FB$6,_xlfn.IFNA(FB$4,-99),FB$7,""),"")</f>
        <v/>
      </c>
      <c r="FE95" s="54">
        <f>Eu_tabel_a[[#This Row],[x base]]*SQRT(Eu_a_h0_x*(1-Eu_a_h0_x)/Eu_a_n_x)+Eu_a_h0_x</f>
        <v>0</v>
      </c>
      <c r="FJ95" s="144" t="e">
        <f t="shared" si="130"/>
        <v>#N/A</v>
      </c>
      <c r="FK95" s="152" t="e">
        <f t="shared" ref="FK95:FK158" si="218">FK93+FP94</f>
        <v>#DIV/0!</v>
      </c>
      <c r="FL95" s="7" t="e">
        <f t="shared" si="124"/>
        <v>#DIV/0!</v>
      </c>
      <c r="FM95" t="e">
        <f t="shared" ref="FM95:FM158" si="219">FK95-FK94</f>
        <v>#DIV/0!</v>
      </c>
      <c r="FN95" s="8" t="e">
        <f t="shared" ref="FN95:FN158" si="220">FL95-FL94</f>
        <v>#DIV/0!</v>
      </c>
      <c r="FO95" s="8" t="e">
        <f t="shared" ref="FO95:FO158" si="221">$P$67-FL94</f>
        <v>#DIV/0!</v>
      </c>
      <c r="FP95" s="151" t="e">
        <f t="shared" ref="FP95:FP158" si="222">FM95/(FN95/FO95)</f>
        <v>#DIV/0!</v>
      </c>
      <c r="FQ95" s="144" t="e">
        <f t="shared" ca="1" si="125"/>
        <v>#N/A</v>
      </c>
      <c r="FR95" s="152" t="e" vm="3">
        <f t="shared" ca="1" si="131"/>
        <v>#VALUE!</v>
      </c>
      <c r="FS95" s="7" t="e" vm="3">
        <f t="shared" ca="1" si="126"/>
        <v>#VALUE!</v>
      </c>
      <c r="FT95" t="e" vm="3">
        <f t="shared" ca="1" si="120"/>
        <v>#VALUE!</v>
      </c>
      <c r="FU95" s="8" t="e" vm="3">
        <f t="shared" ca="1" si="121"/>
        <v>#VALUE!</v>
      </c>
      <c r="FV95" s="8" t="e" vm="3">
        <f t="shared" ca="1" si="122"/>
        <v>#VALUE!</v>
      </c>
      <c r="FW95" s="151" t="e" vm="3">
        <f t="shared" ca="1" si="123"/>
        <v>#VALUE!</v>
      </c>
      <c r="FX95" s="144" t="e">
        <f t="shared" si="127"/>
        <v>#N/A</v>
      </c>
      <c r="FY95" s="152" t="e">
        <f t="shared" si="132"/>
        <v>#N/A</v>
      </c>
      <c r="FZ95" s="7" t="e">
        <f t="shared" si="128"/>
        <v>#N/A</v>
      </c>
      <c r="GA95" t="e">
        <f t="shared" si="133"/>
        <v>#N/A</v>
      </c>
      <c r="GB95" s="8" t="e">
        <f t="shared" si="134"/>
        <v>#N/A</v>
      </c>
      <c r="GC95" s="8" t="e">
        <f t="shared" si="135"/>
        <v>#N/A</v>
      </c>
      <c r="GD95" s="151" t="e">
        <f t="shared" si="136"/>
        <v>#N/A</v>
      </c>
      <c r="GE95" s="144" t="e">
        <f t="shared" si="137"/>
        <v>#N/A</v>
      </c>
      <c r="GF95" s="152" t="e">
        <f t="shared" si="138"/>
        <v>#N/A</v>
      </c>
      <c r="GG95" s="7" t="e">
        <f t="shared" si="129"/>
        <v>#N/A</v>
      </c>
      <c r="GH95" t="e">
        <f t="shared" si="139"/>
        <v>#N/A</v>
      </c>
      <c r="GI95" s="8" t="e">
        <f t="shared" si="140"/>
        <v>#N/A</v>
      </c>
      <c r="GJ95" s="8" t="e">
        <f t="shared" si="141"/>
        <v>#N/A</v>
      </c>
      <c r="GK95" s="151" t="e">
        <f t="shared" si="142"/>
        <v>#N/A</v>
      </c>
      <c r="GL95" s="151"/>
      <c r="GM95" s="151"/>
      <c r="GP95" s="54">
        <f t="shared" si="187"/>
        <v>85</v>
      </c>
      <c r="GQ95" s="54">
        <f t="shared" si="188"/>
        <v>86</v>
      </c>
      <c r="GR95" s="54">
        <f t="shared" si="189"/>
        <v>-1.0540327245843706</v>
      </c>
      <c r="GS95" s="54">
        <f t="shared" si="190"/>
        <v>0.22890893335654983</v>
      </c>
      <c r="GT95" s="54" t="e">
        <f t="shared" si="191"/>
        <v>#N/A</v>
      </c>
      <c r="GU95" s="54" t="e">
        <f t="shared" si="192"/>
        <v>#N/A</v>
      </c>
      <c r="GV95" s="54" t="e">
        <f t="shared" si="193"/>
        <v>#N/A</v>
      </c>
      <c r="GW95" s="54" t="b">
        <f t="shared" si="194"/>
        <v>0</v>
      </c>
      <c r="GX95" s="54" t="b">
        <f t="shared" si="195"/>
        <v>1</v>
      </c>
      <c r="GY95" s="54" t="b">
        <f t="shared" si="196"/>
        <v>0</v>
      </c>
      <c r="GZ95" s="54" t="b">
        <f t="shared" si="197"/>
        <v>1</v>
      </c>
      <c r="HA95" s="54">
        <f t="shared" si="198"/>
        <v>0.22890893335654983</v>
      </c>
      <c r="HB95" s="54" t="e">
        <f t="shared" si="199"/>
        <v>#N/A</v>
      </c>
      <c r="HC95" s="54">
        <f t="shared" si="200"/>
        <v>0.22890893335654983</v>
      </c>
      <c r="HD95" s="69" t="str">
        <f t="shared" si="201"/>
        <v/>
      </c>
      <c r="HJ95" s="54">
        <f t="shared" si="202"/>
        <v>85</v>
      </c>
      <c r="HK95" s="54">
        <f t="shared" si="203"/>
        <v>86</v>
      </c>
      <c r="HL95" s="54">
        <f t="shared" si="204"/>
        <v>-1.632191811318501</v>
      </c>
      <c r="HM95" s="54" t="e">
        <f t="shared" si="205"/>
        <v>#N/A</v>
      </c>
      <c r="HN95" s="54">
        <f t="shared" si="206"/>
        <v>0.10597576325843158</v>
      </c>
      <c r="HO95" s="54" t="e">
        <f t="shared" si="207"/>
        <v>#N/A</v>
      </c>
      <c r="HP95" s="54" t="e">
        <f t="shared" si="208"/>
        <v>#N/A</v>
      </c>
      <c r="HQ95" s="54" t="b">
        <f t="shared" si="209"/>
        <v>1</v>
      </c>
      <c r="HR95" s="54" t="b">
        <f t="shared" si="210"/>
        <v>0</v>
      </c>
      <c r="HS95" s="54" t="b">
        <f t="shared" si="211"/>
        <v>0</v>
      </c>
      <c r="HT95" s="54" t="b">
        <f t="shared" si="212"/>
        <v>1</v>
      </c>
      <c r="HU95" s="54">
        <f t="shared" si="213"/>
        <v>0.10597576325843158</v>
      </c>
      <c r="HV95" s="54">
        <f t="shared" si="214"/>
        <v>0.10597576325843158</v>
      </c>
      <c r="HW95" s="54" t="e">
        <f t="shared" si="215"/>
        <v>#N/A</v>
      </c>
      <c r="HX95" s="69" t="str">
        <f t="shared" si="216"/>
        <v/>
      </c>
    </row>
    <row r="96" spans="78:232" x14ac:dyDescent="0.2">
      <c r="BZ96" s="54">
        <f t="shared" si="143"/>
        <v>86</v>
      </c>
      <c r="CA96" s="54">
        <f>Eu_tabel_g[[#This Row],[Indeks]]+1</f>
        <v>87</v>
      </c>
      <c r="CB96" s="54">
        <f t="shared" si="144"/>
        <v>-1.0300774353892712</v>
      </c>
      <c r="CC96" s="54">
        <f t="shared" si="145"/>
        <v>0.23469504353367848</v>
      </c>
      <c r="CD96" s="54" t="e">
        <f t="shared" si="146"/>
        <v>#N/A</v>
      </c>
      <c r="CE96" s="54" t="e">
        <f t="shared" si="147"/>
        <v>#N/A</v>
      </c>
      <c r="CF96" s="54" t="e">
        <f t="shared" si="148"/>
        <v>#N/A</v>
      </c>
      <c r="CG96" s="54" t="b">
        <f t="shared" si="149"/>
        <v>0</v>
      </c>
      <c r="CH96" s="54" t="b">
        <f t="shared" si="150"/>
        <v>1</v>
      </c>
      <c r="CI96" s="54" t="b">
        <f t="shared" si="151"/>
        <v>0</v>
      </c>
      <c r="CJ96" s="54" t="b">
        <f t="shared" si="152"/>
        <v>1</v>
      </c>
      <c r="CK96" s="54">
        <f t="shared" si="217"/>
        <v>0.23469504353367848</v>
      </c>
      <c r="CL96" s="54" t="e">
        <f t="shared" si="153"/>
        <v>#N/A</v>
      </c>
      <c r="CM96" s="54">
        <f t="shared" si="154"/>
        <v>0.23469504353367848</v>
      </c>
      <c r="CN96" s="69" t="str">
        <f t="shared" si="155"/>
        <v/>
      </c>
      <c r="CO96" s="54">
        <f>_xlfn.NORM.DIST(_xlfn.NORM.INV(1-Eu_g_konfidensniveau,0,1)-Eu_tabel_g[[#This Row],[x base]],0,1,TRUE)</f>
        <v>0.26935126726694236</v>
      </c>
      <c r="CP96" s="54">
        <f>1-_xlfn.NORM.DIST(_xlfn.NORM.INV(Eu_g_konfidensniveau,0,1)-Eu_tabel_g[[#This Row],[x base]],0,1,TRUE)</f>
        <v>3.7372309005786475E-3</v>
      </c>
      <c r="CQ96" s="54">
        <f>_xlfn.NORM.DIST(_xlfn.NORM.INV((1-Eu_g_konfidensniveau)/2,0,1)-Eu_tabel_g[[#This Row],[x base]],0,1,TRUE)+1-_xlfn.NORM.DIST(_xlfn.NORM.INV(1-(1-Eu_g_konfidensniveau)/2,0,1)-Eu_tabel_g[[#This Row],[x base]],0,1,TRUE)</f>
        <v>0.17760961211190851</v>
      </c>
      <c r="CR96" s="54" t="e" cm="1">
        <f t="array" ref="CR96">IF($CR$3,INDEX(Eu_tabel_g[[#This Row],[Styrke venstre]:[Styrke tosidet]],CR$7),NA())</f>
        <v>#N/A</v>
      </c>
      <c r="CS96" s="89" t="e">
        <f>Eu_tabel_g[[#This Row],[Falsk positiv
Nulhypotese accepteres
Fejltype 1]]</f>
        <v>#N/A</v>
      </c>
      <c r="CT96" s="89" t="e">
        <f>IF(CHOOSE(CR$7,Eu_tabel_g[[#This Row],[x base]]&gt;0,Eu_tabel_g[[#This Row],[x base]]&lt;0,Eu_tabel_g[[#This Row],[x base]]=0),Eu_tabel_g[[#This Row],[Styrke, aktiv]],NA())</f>
        <v>#N/A</v>
      </c>
      <c r="CU96" s="89" t="e">
        <f>IFERROR(IF($CR$3,Eu_tabel_g[[#This Row],[Styrke, aktiv]],NA()),NA())</f>
        <v>#N/A</v>
      </c>
      <c r="CV96" s="89" t="e">
        <f>IF(ISNA(Eu_tabel_g[[#This Row],[Sand negativ
Nulhypotese afvises
Korrekt]]),NA(),IF($CR$3,1,NA()))</f>
        <v>#N/A</v>
      </c>
      <c r="CW96" s="56" t="str" cm="1">
        <f t="array" ref="CW96">_xlfn.SWITCH(BZ96,_xlfn.IFNA(CU$2,-99),CU$5,_xlfn.IFNA(CU$3,-99),CU$6,_xlfn.IFNA(CU$4,-99),CU$7,"")</f>
        <v/>
      </c>
      <c r="DA96" s="7">
        <f t="shared" si="156"/>
        <v>0.8</v>
      </c>
      <c r="DB96">
        <f>IF(ROW(Styrkeberegning_G[[#This Row],[X base venstre]])=ROW(Styrkeberegning_G[[#Headers],[X base venstre]])+1,DB$7/(DA$7/$B$67),DB95/(DA95/$B$67))</f>
        <v>-2.8015817870135784</v>
      </c>
      <c r="DC96">
        <f>Styrkeberegning_G[[#This Row],[X base venstre]]*-1</f>
        <v>2.8015817870135784</v>
      </c>
      <c r="DN96" s="54">
        <f t="shared" si="157"/>
        <v>86</v>
      </c>
      <c r="DO96" s="54">
        <f t="shared" si="158"/>
        <v>87</v>
      </c>
      <c r="DP96" s="54">
        <f t="shared" si="159"/>
        <v>11.643946316515777</v>
      </c>
      <c r="DQ96" s="54" t="e">
        <f t="shared" si="160"/>
        <v>#N/A</v>
      </c>
      <c r="DR96" s="54" t="e">
        <f t="shared" si="161"/>
        <v>#N/A</v>
      </c>
      <c r="DS96" s="54">
        <f t="shared" si="162"/>
        <v>7.842929589264333E-2</v>
      </c>
      <c r="DT96" s="54" t="e">
        <f t="shared" si="163"/>
        <v>#N/A</v>
      </c>
      <c r="DU96" s="54" t="b">
        <f t="shared" si="164"/>
        <v>0</v>
      </c>
      <c r="DV96" s="54" t="b">
        <f t="shared" si="165"/>
        <v>1</v>
      </c>
      <c r="DW96" s="54" t="b">
        <f t="shared" si="166"/>
        <v>0</v>
      </c>
      <c r="DX96" s="54" t="b">
        <f t="shared" si="167"/>
        <v>1</v>
      </c>
      <c r="DY96" s="54">
        <f t="shared" si="168"/>
        <v>7.842929589264333E-2</v>
      </c>
      <c r="DZ96" s="54" t="e">
        <f t="shared" si="169"/>
        <v>#N/A</v>
      </c>
      <c r="EA96" s="54">
        <f t="shared" si="170"/>
        <v>7.842929589264333E-2</v>
      </c>
      <c r="EB96" s="69" t="str">
        <f t="shared" si="171"/>
        <v/>
      </c>
      <c r="EG96" s="54">
        <f t="shared" si="172"/>
        <v>86</v>
      </c>
      <c r="EH96" s="54">
        <f t="shared" si="173"/>
        <v>87</v>
      </c>
      <c r="EI96" s="54">
        <f t="shared" si="174"/>
        <v>-1.0300774353892712</v>
      </c>
      <c r="EJ96" s="54">
        <f t="shared" si="175"/>
        <v>0.23469504353367848</v>
      </c>
      <c r="EK96" s="54" t="e">
        <f t="shared" si="176"/>
        <v>#N/A</v>
      </c>
      <c r="EL96" s="54" t="e">
        <f t="shared" si="177"/>
        <v>#N/A</v>
      </c>
      <c r="EM96" s="54" t="e">
        <f t="shared" si="178"/>
        <v>#N/A</v>
      </c>
      <c r="EN96" s="54" t="b">
        <f t="shared" si="179"/>
        <v>0</v>
      </c>
      <c r="EO96" s="54" t="b">
        <f t="shared" si="180"/>
        <v>1</v>
      </c>
      <c r="EP96" s="54" t="b">
        <f t="shared" si="181"/>
        <v>0</v>
      </c>
      <c r="EQ96" s="54" t="b">
        <f t="shared" si="182"/>
        <v>1</v>
      </c>
      <c r="ER96" s="54">
        <f t="shared" si="183"/>
        <v>0.23469504353367848</v>
      </c>
      <c r="ES96" s="54" t="e">
        <f t="shared" si="184"/>
        <v>#N/A</v>
      </c>
      <c r="ET96" s="54">
        <f t="shared" si="185"/>
        <v>0.23469504353367848</v>
      </c>
      <c r="EU96" s="69" t="str">
        <f t="shared" si="186"/>
        <v/>
      </c>
      <c r="EV9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9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9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96" s="54" t="e" cm="1">
        <f t="array" ref="EY96">IF($CR$3,INDEX(Eu_tabel_a[[#This Row],[Styrke venstre]:[Styrke tosidet]],EY$7),NA())</f>
        <v>#N/A</v>
      </c>
      <c r="EZ96" s="54" t="e">
        <f>IF(EY$3,IF(CHOOSE(EY$7,Eu_tabel_a[[#This Row],[x base]]&gt;0,Eu_tabel_a[[#This Row],[x base]]&lt;0,Eu_tabel_a[[#This Row],[x base]]=0),1,NA()),NA())</f>
        <v>#N/A</v>
      </c>
      <c r="FA96" s="54" t="e">
        <f>IF(CHOOSE(EY$7,Eu_tabel_a[[#This Row],[x base]]&gt;0,Eu_tabel_a[[#This Row],[x base]]&lt;0,Eu_tabel_a[[#This Row],[x base]]=0),Eu_tabel_a[[#This Row],[Styrke, aktiv]],NA())</f>
        <v>#N/A</v>
      </c>
      <c r="FB96" s="54" t="e">
        <f>IFERROR(IF($EY$3,Eu_tabel_a[[#This Row],[Styrke, aktiv]],NA()),NA())</f>
        <v>#N/A</v>
      </c>
      <c r="FC96" s="54" t="e">
        <f>IF(ISNA(Eu_tabel_a[[#This Row],[Sand negativ
Nulhypotese afvises
Korrekt]]),NA(),IF(EY$3,1,NA()))</f>
        <v>#N/A</v>
      </c>
      <c r="FD96" s="55" t="str" cm="1">
        <f t="array" ref="FD96">IFERROR(_xlfn.SWITCH(Eu_tabel_a[[#This Row],[Indeks]],_xlfn.IFNA(FB$2,-99),FB$5,_xlfn.IFNA(FB$3,-99),FB$6,_xlfn.IFNA(FB$4,-99),FB$7,""),"")</f>
        <v/>
      </c>
      <c r="FE96" s="54">
        <f>Eu_tabel_a[[#This Row],[x base]]*SQRT(Eu_a_h0_x*(1-Eu_a_h0_x)/Eu_a_n_x)+Eu_a_h0_x</f>
        <v>0</v>
      </c>
      <c r="FJ96" s="144" t="e">
        <f t="shared" si="130"/>
        <v>#N/A</v>
      </c>
      <c r="FK96" s="152" t="e">
        <f t="shared" si="218"/>
        <v>#DIV/0!</v>
      </c>
      <c r="FL96" s="7" t="e">
        <f t="shared" si="124"/>
        <v>#DIV/0!</v>
      </c>
      <c r="FM96" t="e">
        <f t="shared" si="219"/>
        <v>#DIV/0!</v>
      </c>
      <c r="FN96" s="8" t="e">
        <f t="shared" si="220"/>
        <v>#DIV/0!</v>
      </c>
      <c r="FO96" s="8" t="e">
        <f t="shared" si="221"/>
        <v>#DIV/0!</v>
      </c>
      <c r="FP96" s="151" t="e">
        <f t="shared" si="222"/>
        <v>#DIV/0!</v>
      </c>
      <c r="FQ96" s="144" t="e">
        <f t="shared" ca="1" si="125"/>
        <v>#N/A</v>
      </c>
      <c r="FR96" s="152" t="e" vm="3">
        <f t="shared" ca="1" si="131"/>
        <v>#VALUE!</v>
      </c>
      <c r="FS96" s="7" t="e" vm="3">
        <f t="shared" ca="1" si="126"/>
        <v>#VALUE!</v>
      </c>
      <c r="FT96" t="e" vm="3">
        <f t="shared" ca="1" si="120"/>
        <v>#VALUE!</v>
      </c>
      <c r="FU96" s="8" t="e" vm="3">
        <f t="shared" ca="1" si="121"/>
        <v>#VALUE!</v>
      </c>
      <c r="FV96" s="8" t="e" vm="3">
        <f t="shared" ca="1" si="122"/>
        <v>#VALUE!</v>
      </c>
      <c r="FW96" s="151" t="e" vm="3">
        <f t="shared" ca="1" si="123"/>
        <v>#VALUE!</v>
      </c>
      <c r="FX96" s="144" t="e">
        <f t="shared" si="127"/>
        <v>#N/A</v>
      </c>
      <c r="FY96" s="152" t="e">
        <f t="shared" si="132"/>
        <v>#N/A</v>
      </c>
      <c r="FZ96" s="7" t="e">
        <f t="shared" si="128"/>
        <v>#N/A</v>
      </c>
      <c r="GA96" t="e">
        <f t="shared" si="133"/>
        <v>#N/A</v>
      </c>
      <c r="GB96" s="8" t="e">
        <f t="shared" si="134"/>
        <v>#N/A</v>
      </c>
      <c r="GC96" s="8" t="e">
        <f t="shared" si="135"/>
        <v>#N/A</v>
      </c>
      <c r="GD96" s="151" t="e">
        <f t="shared" si="136"/>
        <v>#N/A</v>
      </c>
      <c r="GE96" s="144" t="e">
        <f t="shared" si="137"/>
        <v>#N/A</v>
      </c>
      <c r="GF96" s="152" t="e">
        <f t="shared" si="138"/>
        <v>#N/A</v>
      </c>
      <c r="GG96" s="7" t="e">
        <f t="shared" si="129"/>
        <v>#N/A</v>
      </c>
      <c r="GH96" t="e">
        <f t="shared" si="139"/>
        <v>#N/A</v>
      </c>
      <c r="GI96" s="8" t="e">
        <f t="shared" si="140"/>
        <v>#N/A</v>
      </c>
      <c r="GJ96" s="8" t="e">
        <f t="shared" si="141"/>
        <v>#N/A</v>
      </c>
      <c r="GK96" s="151" t="e">
        <f t="shared" si="142"/>
        <v>#N/A</v>
      </c>
      <c r="GL96" s="151"/>
      <c r="GM96" s="151"/>
      <c r="GP96" s="54">
        <f t="shared" si="187"/>
        <v>86</v>
      </c>
      <c r="GQ96" s="54">
        <f t="shared" si="188"/>
        <v>87</v>
      </c>
      <c r="GR96" s="54">
        <f t="shared" si="189"/>
        <v>-1.0300774353892712</v>
      </c>
      <c r="GS96" s="54">
        <f t="shared" si="190"/>
        <v>0.23469504353367848</v>
      </c>
      <c r="GT96" s="54" t="e">
        <f t="shared" si="191"/>
        <v>#N/A</v>
      </c>
      <c r="GU96" s="54" t="e">
        <f t="shared" si="192"/>
        <v>#N/A</v>
      </c>
      <c r="GV96" s="54" t="e">
        <f t="shared" si="193"/>
        <v>#N/A</v>
      </c>
      <c r="GW96" s="54" t="b">
        <f t="shared" si="194"/>
        <v>0</v>
      </c>
      <c r="GX96" s="54" t="b">
        <f t="shared" si="195"/>
        <v>1</v>
      </c>
      <c r="GY96" s="54" t="b">
        <f t="shared" si="196"/>
        <v>0</v>
      </c>
      <c r="GZ96" s="54" t="b">
        <f t="shared" si="197"/>
        <v>1</v>
      </c>
      <c r="HA96" s="54">
        <f t="shared" si="198"/>
        <v>0.23469504353367848</v>
      </c>
      <c r="HB96" s="54" t="e">
        <f t="shared" si="199"/>
        <v>#N/A</v>
      </c>
      <c r="HC96" s="54">
        <f t="shared" si="200"/>
        <v>0.23469504353367848</v>
      </c>
      <c r="HD96" s="69" t="str">
        <f t="shared" si="201"/>
        <v/>
      </c>
      <c r="HJ96" s="54">
        <f t="shared" si="202"/>
        <v>86</v>
      </c>
      <c r="HK96" s="54">
        <f t="shared" si="203"/>
        <v>87</v>
      </c>
      <c r="HL96" s="54">
        <f t="shared" si="204"/>
        <v>-1.5950965428794444</v>
      </c>
      <c r="HM96" s="54" t="e">
        <f t="shared" si="205"/>
        <v>#N/A</v>
      </c>
      <c r="HN96" s="54">
        <f t="shared" si="206"/>
        <v>0.11139377338028286</v>
      </c>
      <c r="HO96" s="54" t="e">
        <f t="shared" si="207"/>
        <v>#N/A</v>
      </c>
      <c r="HP96" s="54" t="e">
        <f t="shared" si="208"/>
        <v>#N/A</v>
      </c>
      <c r="HQ96" s="54" t="b">
        <f t="shared" si="209"/>
        <v>1</v>
      </c>
      <c r="HR96" s="54" t="b">
        <f t="shared" si="210"/>
        <v>0</v>
      </c>
      <c r="HS96" s="54" t="b">
        <f t="shared" si="211"/>
        <v>0</v>
      </c>
      <c r="HT96" s="54" t="b">
        <f t="shared" si="212"/>
        <v>1</v>
      </c>
      <c r="HU96" s="54">
        <f t="shared" si="213"/>
        <v>0.11139377338028286</v>
      </c>
      <c r="HV96" s="54">
        <f t="shared" si="214"/>
        <v>0.11139377338028286</v>
      </c>
      <c r="HW96" s="54" t="e">
        <f t="shared" si="215"/>
        <v>#N/A</v>
      </c>
      <c r="HX96" s="69" t="str">
        <f t="shared" si="216"/>
        <v/>
      </c>
    </row>
    <row r="97" spans="78:232" x14ac:dyDescent="0.2">
      <c r="BZ97" s="54">
        <f t="shared" si="143"/>
        <v>87</v>
      </c>
      <c r="CA97" s="54">
        <f>Eu_tabel_g[[#This Row],[Indeks]]+1</f>
        <v>88</v>
      </c>
      <c r="CB97" s="54">
        <f t="shared" si="144"/>
        <v>-1.0061221461941718</v>
      </c>
      <c r="CC97" s="54">
        <f t="shared" si="145"/>
        <v>0.24048936284820582</v>
      </c>
      <c r="CD97" s="54" t="e">
        <f t="shared" si="146"/>
        <v>#N/A</v>
      </c>
      <c r="CE97" s="54" t="e">
        <f t="shared" si="147"/>
        <v>#N/A</v>
      </c>
      <c r="CF97" s="54" t="e">
        <f t="shared" si="148"/>
        <v>#N/A</v>
      </c>
      <c r="CG97" s="54" t="b">
        <f t="shared" si="149"/>
        <v>0</v>
      </c>
      <c r="CH97" s="54" t="b">
        <f t="shared" si="150"/>
        <v>1</v>
      </c>
      <c r="CI97" s="54" t="b">
        <f t="shared" si="151"/>
        <v>0</v>
      </c>
      <c r="CJ97" s="54" t="b">
        <f t="shared" si="152"/>
        <v>1</v>
      </c>
      <c r="CK97" s="54">
        <f t="shared" si="217"/>
        <v>0.24048936284820582</v>
      </c>
      <c r="CL97" s="54" t="e">
        <f t="shared" si="153"/>
        <v>#N/A</v>
      </c>
      <c r="CM97" s="54">
        <f t="shared" si="154"/>
        <v>0.24048936284820582</v>
      </c>
      <c r="CN97" s="69" t="str">
        <f t="shared" si="155"/>
        <v/>
      </c>
      <c r="CO97" s="54">
        <f>_xlfn.NORM.DIST(_xlfn.NORM.INV(1-Eu_g_konfidensniveau,0,1)-Eu_tabel_g[[#This Row],[x base]],0,1,TRUE)</f>
        <v>0.2614988147473114</v>
      </c>
      <c r="CP97" s="54">
        <f>1-_xlfn.NORM.DIST(_xlfn.NORM.INV(Eu_g_konfidensniveau,0,1)-Eu_tabel_g[[#This Row],[x base]],0,1,TRUE)</f>
        <v>4.0129799124446475E-3</v>
      </c>
      <c r="CQ97" s="54">
        <f>_xlfn.NORM.DIST(_xlfn.NORM.INV((1-Eu_g_konfidensniveau)/2,0,1)-Eu_tabel_g[[#This Row],[x base]],0,1,TRUE)+1-_xlfn.NORM.DIST(_xlfn.NORM.INV(1-(1-Eu_g_konfidensniveau)/2,0,1)-Eu_tabel_g[[#This Row],[x base]],0,1,TRUE)</f>
        <v>0.17158993392443589</v>
      </c>
      <c r="CR97" s="54" t="e" cm="1">
        <f t="array" ref="CR97">IF($CR$3,INDEX(Eu_tabel_g[[#This Row],[Styrke venstre]:[Styrke tosidet]],CR$7),NA())</f>
        <v>#N/A</v>
      </c>
      <c r="CS97" s="89" t="e">
        <f>Eu_tabel_g[[#This Row],[Falsk positiv
Nulhypotese accepteres
Fejltype 1]]</f>
        <v>#N/A</v>
      </c>
      <c r="CT97" s="89" t="e">
        <f>IF(CHOOSE(CR$7,Eu_tabel_g[[#This Row],[x base]]&gt;0,Eu_tabel_g[[#This Row],[x base]]&lt;0,Eu_tabel_g[[#This Row],[x base]]=0),Eu_tabel_g[[#This Row],[Styrke, aktiv]],NA())</f>
        <v>#N/A</v>
      </c>
      <c r="CU97" s="89" t="e">
        <f>IFERROR(IF($CR$3,Eu_tabel_g[[#This Row],[Styrke, aktiv]],NA()),NA())</f>
        <v>#N/A</v>
      </c>
      <c r="CV97" s="89" t="e">
        <f>IF(ISNA(Eu_tabel_g[[#This Row],[Sand negativ
Nulhypotese afvises
Korrekt]]),NA(),IF($CR$3,1,NA()))</f>
        <v>#N/A</v>
      </c>
      <c r="CW97" s="56" t="str" cm="1">
        <f t="array" ref="CW97">_xlfn.SWITCH(BZ97,_xlfn.IFNA(CU$2,-99),CU$5,_xlfn.IFNA(CU$3,-99),CU$6,_xlfn.IFNA(CU$4,-99),CU$7,"")</f>
        <v/>
      </c>
      <c r="DA97" s="7">
        <f t="shared" si="156"/>
        <v>0.8</v>
      </c>
      <c r="DB97">
        <f>IF(ROW(Styrkeberegning_G[[#This Row],[X base venstre]])=ROW(Styrkeberegning_G[[#Headers],[X base venstre]])+1,DB$7/(DA$7/$B$67),DB96/(DA96/$B$67))</f>
        <v>-2.8015817870135784</v>
      </c>
      <c r="DC97">
        <f>Styrkeberegning_G[[#This Row],[X base venstre]]*-1</f>
        <v>2.8015817870135784</v>
      </c>
      <c r="DN97" s="54">
        <f t="shared" si="157"/>
        <v>87</v>
      </c>
      <c r="DO97" s="54">
        <f t="shared" si="158"/>
        <v>88</v>
      </c>
      <c r="DP97" s="54">
        <f t="shared" si="159"/>
        <v>11.758017172932778</v>
      </c>
      <c r="DQ97" s="54" t="e">
        <f t="shared" si="160"/>
        <v>#N/A</v>
      </c>
      <c r="DR97" s="54" t="e">
        <f t="shared" si="161"/>
        <v>#N/A</v>
      </c>
      <c r="DS97" s="54">
        <f t="shared" si="162"/>
        <v>7.7403513538207847E-2</v>
      </c>
      <c r="DT97" s="54" t="e">
        <f t="shared" si="163"/>
        <v>#N/A</v>
      </c>
      <c r="DU97" s="54" t="b">
        <f t="shared" si="164"/>
        <v>0</v>
      </c>
      <c r="DV97" s="54" t="b">
        <f t="shared" si="165"/>
        <v>1</v>
      </c>
      <c r="DW97" s="54" t="b">
        <f t="shared" si="166"/>
        <v>0</v>
      </c>
      <c r="DX97" s="54" t="b">
        <f t="shared" si="167"/>
        <v>1</v>
      </c>
      <c r="DY97" s="54">
        <f t="shared" si="168"/>
        <v>7.7403513538207847E-2</v>
      </c>
      <c r="DZ97" s="54" t="e">
        <f t="shared" si="169"/>
        <v>#N/A</v>
      </c>
      <c r="EA97" s="54">
        <f t="shared" si="170"/>
        <v>7.7403513538207847E-2</v>
      </c>
      <c r="EB97" s="69" t="str">
        <f t="shared" si="171"/>
        <v/>
      </c>
      <c r="EG97" s="54">
        <f t="shared" si="172"/>
        <v>87</v>
      </c>
      <c r="EH97" s="54">
        <f t="shared" si="173"/>
        <v>88</v>
      </c>
      <c r="EI97" s="54">
        <f t="shared" si="174"/>
        <v>-1.0061221461941718</v>
      </c>
      <c r="EJ97" s="54">
        <f t="shared" si="175"/>
        <v>0.24048936284820582</v>
      </c>
      <c r="EK97" s="54" t="e">
        <f t="shared" si="176"/>
        <v>#N/A</v>
      </c>
      <c r="EL97" s="54" t="e">
        <f t="shared" si="177"/>
        <v>#N/A</v>
      </c>
      <c r="EM97" s="54" t="e">
        <f t="shared" si="178"/>
        <v>#N/A</v>
      </c>
      <c r="EN97" s="54" t="b">
        <f t="shared" si="179"/>
        <v>0</v>
      </c>
      <c r="EO97" s="54" t="b">
        <f t="shared" si="180"/>
        <v>1</v>
      </c>
      <c r="EP97" s="54" t="b">
        <f t="shared" si="181"/>
        <v>0</v>
      </c>
      <c r="EQ97" s="54" t="b">
        <f t="shared" si="182"/>
        <v>1</v>
      </c>
      <c r="ER97" s="54">
        <f t="shared" si="183"/>
        <v>0.24048936284820582</v>
      </c>
      <c r="ES97" s="54" t="e">
        <f t="shared" si="184"/>
        <v>#N/A</v>
      </c>
      <c r="ET97" s="54">
        <f t="shared" si="185"/>
        <v>0.24048936284820582</v>
      </c>
      <c r="EU97" s="69" t="str">
        <f t="shared" si="186"/>
        <v/>
      </c>
      <c r="EV9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9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9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97" s="54" t="e" cm="1">
        <f t="array" ref="EY97">IF($CR$3,INDEX(Eu_tabel_a[[#This Row],[Styrke venstre]:[Styrke tosidet]],EY$7),NA())</f>
        <v>#N/A</v>
      </c>
      <c r="EZ97" s="54" t="e">
        <f>IF(EY$3,IF(CHOOSE(EY$7,Eu_tabel_a[[#This Row],[x base]]&gt;0,Eu_tabel_a[[#This Row],[x base]]&lt;0,Eu_tabel_a[[#This Row],[x base]]=0),1,NA()),NA())</f>
        <v>#N/A</v>
      </c>
      <c r="FA97" s="54" t="e">
        <f>IF(CHOOSE(EY$7,Eu_tabel_a[[#This Row],[x base]]&gt;0,Eu_tabel_a[[#This Row],[x base]]&lt;0,Eu_tabel_a[[#This Row],[x base]]=0),Eu_tabel_a[[#This Row],[Styrke, aktiv]],NA())</f>
        <v>#N/A</v>
      </c>
      <c r="FB97" s="54" t="e">
        <f>IFERROR(IF($EY$3,Eu_tabel_a[[#This Row],[Styrke, aktiv]],NA()),NA())</f>
        <v>#N/A</v>
      </c>
      <c r="FC97" s="54" t="e">
        <f>IF(ISNA(Eu_tabel_a[[#This Row],[Sand negativ
Nulhypotese afvises
Korrekt]]),NA(),IF(EY$3,1,NA()))</f>
        <v>#N/A</v>
      </c>
      <c r="FD97" s="55" t="str" cm="1">
        <f t="array" ref="FD97">IFERROR(_xlfn.SWITCH(Eu_tabel_a[[#This Row],[Indeks]],_xlfn.IFNA(FB$2,-99),FB$5,_xlfn.IFNA(FB$3,-99),FB$6,_xlfn.IFNA(FB$4,-99),FB$7,""),"")</f>
        <v/>
      </c>
      <c r="FE97" s="54">
        <f>Eu_tabel_a[[#This Row],[x base]]*SQRT(Eu_a_h0_x*(1-Eu_a_h0_x)/Eu_a_n_x)+Eu_a_h0_x</f>
        <v>0</v>
      </c>
      <c r="FJ97" s="144" t="e">
        <f t="shared" si="130"/>
        <v>#N/A</v>
      </c>
      <c r="FK97" s="152" t="e">
        <f t="shared" si="218"/>
        <v>#DIV/0!</v>
      </c>
      <c r="FL97" s="7" t="e">
        <f t="shared" si="124"/>
        <v>#DIV/0!</v>
      </c>
      <c r="FM97" t="e">
        <f t="shared" si="219"/>
        <v>#DIV/0!</v>
      </c>
      <c r="FN97" s="8" t="e">
        <f t="shared" si="220"/>
        <v>#DIV/0!</v>
      </c>
      <c r="FO97" s="8" t="e">
        <f t="shared" si="221"/>
        <v>#DIV/0!</v>
      </c>
      <c r="FP97" s="151" t="e">
        <f t="shared" si="222"/>
        <v>#DIV/0!</v>
      </c>
      <c r="FQ97" s="144" t="e">
        <f t="shared" ca="1" si="125"/>
        <v>#N/A</v>
      </c>
      <c r="FR97" s="152" t="e" vm="3">
        <f t="shared" ca="1" si="131"/>
        <v>#VALUE!</v>
      </c>
      <c r="FS97" s="7" t="e" vm="3">
        <f t="shared" ca="1" si="126"/>
        <v>#VALUE!</v>
      </c>
      <c r="FT97" t="e" vm="3">
        <f t="shared" ca="1" si="120"/>
        <v>#VALUE!</v>
      </c>
      <c r="FU97" s="8" t="e" vm="3">
        <f t="shared" ca="1" si="121"/>
        <v>#VALUE!</v>
      </c>
      <c r="FV97" s="8" t="e" vm="3">
        <f t="shared" ca="1" si="122"/>
        <v>#VALUE!</v>
      </c>
      <c r="FW97" s="151" t="e" vm="3">
        <f t="shared" ca="1" si="123"/>
        <v>#VALUE!</v>
      </c>
      <c r="FX97" s="144" t="e">
        <f t="shared" si="127"/>
        <v>#N/A</v>
      </c>
      <c r="FY97" s="152" t="e">
        <f t="shared" si="132"/>
        <v>#N/A</v>
      </c>
      <c r="FZ97" s="7" t="e">
        <f t="shared" si="128"/>
        <v>#N/A</v>
      </c>
      <c r="GA97" t="e">
        <f t="shared" si="133"/>
        <v>#N/A</v>
      </c>
      <c r="GB97" s="8" t="e">
        <f t="shared" si="134"/>
        <v>#N/A</v>
      </c>
      <c r="GC97" s="8" t="e">
        <f t="shared" si="135"/>
        <v>#N/A</v>
      </c>
      <c r="GD97" s="151" t="e">
        <f t="shared" si="136"/>
        <v>#N/A</v>
      </c>
      <c r="GE97" s="144" t="e">
        <f t="shared" si="137"/>
        <v>#N/A</v>
      </c>
      <c r="GF97" s="152" t="e">
        <f t="shared" si="138"/>
        <v>#N/A</v>
      </c>
      <c r="GG97" s="7" t="e">
        <f t="shared" si="129"/>
        <v>#N/A</v>
      </c>
      <c r="GH97" t="e">
        <f t="shared" si="139"/>
        <v>#N/A</v>
      </c>
      <c r="GI97" s="8" t="e">
        <f t="shared" si="140"/>
        <v>#N/A</v>
      </c>
      <c r="GJ97" s="8" t="e">
        <f t="shared" si="141"/>
        <v>#N/A</v>
      </c>
      <c r="GK97" s="151" t="e">
        <f t="shared" si="142"/>
        <v>#N/A</v>
      </c>
      <c r="GL97" s="151"/>
      <c r="GM97" s="151"/>
      <c r="GP97" s="54">
        <f t="shared" si="187"/>
        <v>87</v>
      </c>
      <c r="GQ97" s="54">
        <f t="shared" si="188"/>
        <v>88</v>
      </c>
      <c r="GR97" s="54">
        <f t="shared" si="189"/>
        <v>-1.0061221461941718</v>
      </c>
      <c r="GS97" s="54">
        <f t="shared" si="190"/>
        <v>0.24048936284820582</v>
      </c>
      <c r="GT97" s="54" t="e">
        <f t="shared" si="191"/>
        <v>#N/A</v>
      </c>
      <c r="GU97" s="54" t="e">
        <f t="shared" si="192"/>
        <v>#N/A</v>
      </c>
      <c r="GV97" s="54" t="e">
        <f t="shared" si="193"/>
        <v>#N/A</v>
      </c>
      <c r="GW97" s="54" t="b">
        <f t="shared" si="194"/>
        <v>0</v>
      </c>
      <c r="GX97" s="54" t="b">
        <f t="shared" si="195"/>
        <v>1</v>
      </c>
      <c r="GY97" s="54" t="b">
        <f t="shared" si="196"/>
        <v>0</v>
      </c>
      <c r="GZ97" s="54" t="b">
        <f t="shared" si="197"/>
        <v>1</v>
      </c>
      <c r="HA97" s="54">
        <f t="shared" si="198"/>
        <v>0.24048936284820582</v>
      </c>
      <c r="HB97" s="54" t="e">
        <f t="shared" si="199"/>
        <v>#N/A</v>
      </c>
      <c r="HC97" s="54">
        <f t="shared" si="200"/>
        <v>0.24048936284820582</v>
      </c>
      <c r="HD97" s="69" t="str">
        <f t="shared" si="201"/>
        <v/>
      </c>
      <c r="HJ97" s="54">
        <f t="shared" si="202"/>
        <v>87</v>
      </c>
      <c r="HK97" s="54">
        <f t="shared" si="203"/>
        <v>88</v>
      </c>
      <c r="HL97" s="54">
        <f t="shared" si="204"/>
        <v>-1.5580012744403873</v>
      </c>
      <c r="HM97" s="54" t="e">
        <f t="shared" si="205"/>
        <v>#N/A</v>
      </c>
      <c r="HN97" s="54">
        <f t="shared" si="206"/>
        <v>0.11702574379435818</v>
      </c>
      <c r="HO97" s="54" t="e">
        <f t="shared" si="207"/>
        <v>#N/A</v>
      </c>
      <c r="HP97" s="54" t="e">
        <f t="shared" si="208"/>
        <v>#N/A</v>
      </c>
      <c r="HQ97" s="54" t="b">
        <f t="shared" si="209"/>
        <v>1</v>
      </c>
      <c r="HR97" s="54" t="b">
        <f t="shared" si="210"/>
        <v>0</v>
      </c>
      <c r="HS97" s="54" t="b">
        <f t="shared" si="211"/>
        <v>0</v>
      </c>
      <c r="HT97" s="54" t="b">
        <f t="shared" si="212"/>
        <v>1</v>
      </c>
      <c r="HU97" s="54">
        <f t="shared" si="213"/>
        <v>0.11702574379435818</v>
      </c>
      <c r="HV97" s="54">
        <f t="shared" si="214"/>
        <v>0.11702574379435818</v>
      </c>
      <c r="HW97" s="54" t="e">
        <f t="shared" si="215"/>
        <v>#N/A</v>
      </c>
      <c r="HX97" s="69" t="str">
        <f t="shared" si="216"/>
        <v/>
      </c>
    </row>
    <row r="98" spans="78:232" x14ac:dyDescent="0.2">
      <c r="BZ98" s="54">
        <f t="shared" si="143"/>
        <v>88</v>
      </c>
      <c r="CA98" s="54">
        <f>Eu_tabel_g[[#This Row],[Indeks]]+1</f>
        <v>89</v>
      </c>
      <c r="CB98" s="54">
        <f t="shared" si="144"/>
        <v>-0.98216685699907247</v>
      </c>
      <c r="CC98" s="54">
        <f t="shared" si="145"/>
        <v>0.24628536360353334</v>
      </c>
      <c r="CD98" s="54" t="e">
        <f t="shared" si="146"/>
        <v>#N/A</v>
      </c>
      <c r="CE98" s="54" t="e">
        <f t="shared" si="147"/>
        <v>#N/A</v>
      </c>
      <c r="CF98" s="54" t="e">
        <f t="shared" si="148"/>
        <v>#N/A</v>
      </c>
      <c r="CG98" s="54" t="b">
        <f t="shared" si="149"/>
        <v>0</v>
      </c>
      <c r="CH98" s="54" t="b">
        <f t="shared" si="150"/>
        <v>1</v>
      </c>
      <c r="CI98" s="54" t="b">
        <f t="shared" si="151"/>
        <v>0</v>
      </c>
      <c r="CJ98" s="54" t="b">
        <f t="shared" si="152"/>
        <v>1</v>
      </c>
      <c r="CK98" s="54">
        <f t="shared" si="217"/>
        <v>0.24628536360353334</v>
      </c>
      <c r="CL98" s="54" t="e">
        <f t="shared" si="153"/>
        <v>#N/A</v>
      </c>
      <c r="CM98" s="54">
        <f t="shared" si="154"/>
        <v>0.24628536360353334</v>
      </c>
      <c r="CN98" s="69" t="str">
        <f t="shared" si="155"/>
        <v/>
      </c>
      <c r="CO98" s="54">
        <f>_xlfn.NORM.DIST(_xlfn.NORM.INV(1-Eu_g_konfidensniveau,0,1)-Eu_tabel_g[[#This Row],[x base]],0,1,TRUE)</f>
        <v>0.25376559238468432</v>
      </c>
      <c r="CP98" s="54">
        <f>1-_xlfn.NORM.DIST(_xlfn.NORM.INV(Eu_g_konfidensniveau,0,1)-Eu_tabel_g[[#This Row],[x base]],0,1,TRUE)</f>
        <v>4.3068074326911843E-3</v>
      </c>
      <c r="CQ98" s="54">
        <f>_xlfn.NORM.DIST(_xlfn.NORM.INV((1-Eu_g_konfidensniveau)/2,0,1)-Eu_tabel_g[[#This Row],[x base]],0,1,TRUE)+1-_xlfn.NORM.DIST(_xlfn.NORM.INV(1-(1-Eu_g_konfidensniveau)/2,0,1)-Eu_tabel_g[[#This Row],[x base]],0,1,TRUE)</f>
        <v>0.16571714685203198</v>
      </c>
      <c r="CR98" s="54" t="e" cm="1">
        <f t="array" ref="CR98">IF($CR$3,INDEX(Eu_tabel_g[[#This Row],[Styrke venstre]:[Styrke tosidet]],CR$7),NA())</f>
        <v>#N/A</v>
      </c>
      <c r="CS98" s="89" t="e">
        <f>Eu_tabel_g[[#This Row],[Falsk positiv
Nulhypotese accepteres
Fejltype 1]]</f>
        <v>#N/A</v>
      </c>
      <c r="CT98" s="89" t="e">
        <f>IF(CHOOSE(CR$7,Eu_tabel_g[[#This Row],[x base]]&gt;0,Eu_tabel_g[[#This Row],[x base]]&lt;0,Eu_tabel_g[[#This Row],[x base]]=0),Eu_tabel_g[[#This Row],[Styrke, aktiv]],NA())</f>
        <v>#N/A</v>
      </c>
      <c r="CU98" s="89" t="e">
        <f>IFERROR(IF($CR$3,Eu_tabel_g[[#This Row],[Styrke, aktiv]],NA()),NA())</f>
        <v>#N/A</v>
      </c>
      <c r="CV98" s="89" t="e">
        <f>IF(ISNA(Eu_tabel_g[[#This Row],[Sand negativ
Nulhypotese afvises
Korrekt]]),NA(),IF($CR$3,1,NA()))</f>
        <v>#N/A</v>
      </c>
      <c r="CW98" s="56" t="str" cm="1">
        <f t="array" ref="CW98">_xlfn.SWITCH(BZ98,_xlfn.IFNA(CU$2,-99),CU$5,_xlfn.IFNA(CU$3,-99),CU$6,_xlfn.IFNA(CU$4,-99),CU$7,"")</f>
        <v/>
      </c>
      <c r="DA98" s="7">
        <f t="shared" si="156"/>
        <v>0.8</v>
      </c>
      <c r="DB98">
        <f>IF(ROW(Styrkeberegning_G[[#This Row],[X base venstre]])=ROW(Styrkeberegning_G[[#Headers],[X base venstre]])+1,DB$7/(DA$7/$B$67),DB97/(DA97/$B$67))</f>
        <v>-2.8015817870135784</v>
      </c>
      <c r="DC98">
        <f>Styrkeberegning_G[[#This Row],[X base venstre]]*-1</f>
        <v>2.8015817870135784</v>
      </c>
      <c r="DN98" s="54">
        <f t="shared" si="157"/>
        <v>88</v>
      </c>
      <c r="DO98" s="54">
        <f t="shared" si="158"/>
        <v>89</v>
      </c>
      <c r="DP98" s="54">
        <f t="shared" si="159"/>
        <v>11.872088029349779</v>
      </c>
      <c r="DQ98" s="54" t="e">
        <f t="shared" si="160"/>
        <v>#N/A</v>
      </c>
      <c r="DR98" s="54" t="e">
        <f t="shared" si="161"/>
        <v>#N/A</v>
      </c>
      <c r="DS98" s="54">
        <f t="shared" si="162"/>
        <v>7.635879813819707E-2</v>
      </c>
      <c r="DT98" s="54" t="e">
        <f t="shared" si="163"/>
        <v>#N/A</v>
      </c>
      <c r="DU98" s="54" t="b">
        <f t="shared" si="164"/>
        <v>0</v>
      </c>
      <c r="DV98" s="54" t="b">
        <f t="shared" si="165"/>
        <v>1</v>
      </c>
      <c r="DW98" s="54" t="b">
        <f t="shared" si="166"/>
        <v>0</v>
      </c>
      <c r="DX98" s="54" t="b">
        <f t="shared" si="167"/>
        <v>1</v>
      </c>
      <c r="DY98" s="54">
        <f t="shared" si="168"/>
        <v>7.635879813819707E-2</v>
      </c>
      <c r="DZ98" s="54" t="e">
        <f t="shared" si="169"/>
        <v>#N/A</v>
      </c>
      <c r="EA98" s="54">
        <f t="shared" si="170"/>
        <v>7.635879813819707E-2</v>
      </c>
      <c r="EB98" s="69" t="str">
        <f t="shared" si="171"/>
        <v/>
      </c>
      <c r="EG98" s="54">
        <f t="shared" si="172"/>
        <v>88</v>
      </c>
      <c r="EH98" s="54">
        <f t="shared" si="173"/>
        <v>89</v>
      </c>
      <c r="EI98" s="54">
        <f t="shared" si="174"/>
        <v>-0.98216685699907247</v>
      </c>
      <c r="EJ98" s="54">
        <f t="shared" si="175"/>
        <v>0.24628536360353334</v>
      </c>
      <c r="EK98" s="54" t="e">
        <f t="shared" si="176"/>
        <v>#N/A</v>
      </c>
      <c r="EL98" s="54" t="e">
        <f t="shared" si="177"/>
        <v>#N/A</v>
      </c>
      <c r="EM98" s="54" t="e">
        <f t="shared" si="178"/>
        <v>#N/A</v>
      </c>
      <c r="EN98" s="54" t="b">
        <f t="shared" si="179"/>
        <v>0</v>
      </c>
      <c r="EO98" s="54" t="b">
        <f t="shared" si="180"/>
        <v>1</v>
      </c>
      <c r="EP98" s="54" t="b">
        <f t="shared" si="181"/>
        <v>0</v>
      </c>
      <c r="EQ98" s="54" t="b">
        <f t="shared" si="182"/>
        <v>1</v>
      </c>
      <c r="ER98" s="54">
        <f t="shared" si="183"/>
        <v>0.24628536360353334</v>
      </c>
      <c r="ES98" s="54" t="e">
        <f t="shared" si="184"/>
        <v>#N/A</v>
      </c>
      <c r="ET98" s="54">
        <f t="shared" si="185"/>
        <v>0.24628536360353334</v>
      </c>
      <c r="EU98" s="69" t="str">
        <f t="shared" si="186"/>
        <v/>
      </c>
      <c r="EV9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9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9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98" s="54" t="e" cm="1">
        <f t="array" ref="EY98">IF($CR$3,INDEX(Eu_tabel_a[[#This Row],[Styrke venstre]:[Styrke tosidet]],EY$7),NA())</f>
        <v>#N/A</v>
      </c>
      <c r="EZ98" s="54" t="e">
        <f>IF(EY$3,IF(CHOOSE(EY$7,Eu_tabel_a[[#This Row],[x base]]&gt;0,Eu_tabel_a[[#This Row],[x base]]&lt;0,Eu_tabel_a[[#This Row],[x base]]=0),1,NA()),NA())</f>
        <v>#N/A</v>
      </c>
      <c r="FA98" s="54" t="e">
        <f>IF(CHOOSE(EY$7,Eu_tabel_a[[#This Row],[x base]]&gt;0,Eu_tabel_a[[#This Row],[x base]]&lt;0,Eu_tabel_a[[#This Row],[x base]]=0),Eu_tabel_a[[#This Row],[Styrke, aktiv]],NA())</f>
        <v>#N/A</v>
      </c>
      <c r="FB98" s="54" t="e">
        <f>IFERROR(IF($EY$3,Eu_tabel_a[[#This Row],[Styrke, aktiv]],NA()),NA())</f>
        <v>#N/A</v>
      </c>
      <c r="FC98" s="54" t="e">
        <f>IF(ISNA(Eu_tabel_a[[#This Row],[Sand negativ
Nulhypotese afvises
Korrekt]]),NA(),IF(EY$3,1,NA()))</f>
        <v>#N/A</v>
      </c>
      <c r="FD98" s="55" t="str" cm="1">
        <f t="array" ref="FD98">IFERROR(_xlfn.SWITCH(Eu_tabel_a[[#This Row],[Indeks]],_xlfn.IFNA(FB$2,-99),FB$5,_xlfn.IFNA(FB$3,-99),FB$6,_xlfn.IFNA(FB$4,-99),FB$7,""),"")</f>
        <v/>
      </c>
      <c r="FE98" s="54">
        <f>Eu_tabel_a[[#This Row],[x base]]*SQRT(Eu_a_h0_x*(1-Eu_a_h0_x)/Eu_a_n_x)+Eu_a_h0_x</f>
        <v>0</v>
      </c>
      <c r="FJ98" s="144" t="e">
        <f t="shared" si="130"/>
        <v>#N/A</v>
      </c>
      <c r="FK98" s="152" t="e">
        <f t="shared" si="218"/>
        <v>#DIV/0!</v>
      </c>
      <c r="FL98" s="7" t="e">
        <f t="shared" si="124"/>
        <v>#DIV/0!</v>
      </c>
      <c r="FM98" t="e">
        <f t="shared" si="219"/>
        <v>#DIV/0!</v>
      </c>
      <c r="FN98" s="8" t="e">
        <f t="shared" si="220"/>
        <v>#DIV/0!</v>
      </c>
      <c r="FO98" s="8" t="e">
        <f t="shared" si="221"/>
        <v>#DIV/0!</v>
      </c>
      <c r="FP98" s="151" t="e">
        <f t="shared" si="222"/>
        <v>#DIV/0!</v>
      </c>
      <c r="FQ98" s="144" t="e">
        <f t="shared" ca="1" si="125"/>
        <v>#N/A</v>
      </c>
      <c r="FR98" s="152" t="e" vm="3">
        <f t="shared" ca="1" si="131"/>
        <v>#VALUE!</v>
      </c>
      <c r="FS98" s="7" t="e" vm="3">
        <f t="shared" ca="1" si="126"/>
        <v>#VALUE!</v>
      </c>
      <c r="FT98" t="e" vm="3">
        <f t="shared" ca="1" si="120"/>
        <v>#VALUE!</v>
      </c>
      <c r="FU98" s="8" t="e" vm="3">
        <f t="shared" ca="1" si="121"/>
        <v>#VALUE!</v>
      </c>
      <c r="FV98" s="8" t="e" vm="3">
        <f t="shared" ca="1" si="122"/>
        <v>#VALUE!</v>
      </c>
      <c r="FW98" s="151" t="e" vm="3">
        <f t="shared" ca="1" si="123"/>
        <v>#VALUE!</v>
      </c>
      <c r="FX98" s="144" t="e">
        <f t="shared" si="127"/>
        <v>#N/A</v>
      </c>
      <c r="FY98" s="152" t="e">
        <f t="shared" si="132"/>
        <v>#N/A</v>
      </c>
      <c r="FZ98" s="7" t="e">
        <f t="shared" si="128"/>
        <v>#N/A</v>
      </c>
      <c r="GA98" t="e">
        <f t="shared" si="133"/>
        <v>#N/A</v>
      </c>
      <c r="GB98" s="8" t="e">
        <f t="shared" si="134"/>
        <v>#N/A</v>
      </c>
      <c r="GC98" s="8" t="e">
        <f t="shared" si="135"/>
        <v>#N/A</v>
      </c>
      <c r="GD98" s="151" t="e">
        <f t="shared" si="136"/>
        <v>#N/A</v>
      </c>
      <c r="GE98" s="144" t="e">
        <f t="shared" si="137"/>
        <v>#N/A</v>
      </c>
      <c r="GF98" s="152" t="e">
        <f t="shared" si="138"/>
        <v>#N/A</v>
      </c>
      <c r="GG98" s="7" t="e">
        <f t="shared" si="129"/>
        <v>#N/A</v>
      </c>
      <c r="GH98" t="e">
        <f t="shared" si="139"/>
        <v>#N/A</v>
      </c>
      <c r="GI98" s="8" t="e">
        <f t="shared" si="140"/>
        <v>#N/A</v>
      </c>
      <c r="GJ98" s="8" t="e">
        <f t="shared" si="141"/>
        <v>#N/A</v>
      </c>
      <c r="GK98" s="151" t="e">
        <f t="shared" si="142"/>
        <v>#N/A</v>
      </c>
      <c r="GL98" s="151"/>
      <c r="GM98" s="151"/>
      <c r="GP98" s="54">
        <f t="shared" si="187"/>
        <v>88</v>
      </c>
      <c r="GQ98" s="54">
        <f t="shared" si="188"/>
        <v>89</v>
      </c>
      <c r="GR98" s="54">
        <f t="shared" si="189"/>
        <v>-0.98216685699907247</v>
      </c>
      <c r="GS98" s="54">
        <f t="shared" si="190"/>
        <v>0.24628536360353334</v>
      </c>
      <c r="GT98" s="54" t="e">
        <f t="shared" si="191"/>
        <v>#N/A</v>
      </c>
      <c r="GU98" s="54" t="e">
        <f t="shared" si="192"/>
        <v>#N/A</v>
      </c>
      <c r="GV98" s="54" t="e">
        <f t="shared" si="193"/>
        <v>#N/A</v>
      </c>
      <c r="GW98" s="54" t="b">
        <f t="shared" si="194"/>
        <v>0</v>
      </c>
      <c r="GX98" s="54" t="b">
        <f t="shared" si="195"/>
        <v>1</v>
      </c>
      <c r="GY98" s="54" t="b">
        <f t="shared" si="196"/>
        <v>0</v>
      </c>
      <c r="GZ98" s="54" t="b">
        <f t="shared" si="197"/>
        <v>1</v>
      </c>
      <c r="HA98" s="54">
        <f t="shared" si="198"/>
        <v>0.24628536360353334</v>
      </c>
      <c r="HB98" s="54" t="e">
        <f t="shared" si="199"/>
        <v>#N/A</v>
      </c>
      <c r="HC98" s="54">
        <f t="shared" si="200"/>
        <v>0.24628536360353334</v>
      </c>
      <c r="HD98" s="69" t="str">
        <f t="shared" si="201"/>
        <v/>
      </c>
      <c r="HJ98" s="54">
        <f t="shared" si="202"/>
        <v>88</v>
      </c>
      <c r="HK98" s="54">
        <f t="shared" si="203"/>
        <v>89</v>
      </c>
      <c r="HL98" s="54">
        <f t="shared" si="204"/>
        <v>-1.5209060060013306</v>
      </c>
      <c r="HM98" s="54" t="e">
        <f t="shared" si="205"/>
        <v>#N/A</v>
      </c>
      <c r="HN98" s="54">
        <f t="shared" si="206"/>
        <v>0.12287284294637515</v>
      </c>
      <c r="HO98" s="54" t="e">
        <f t="shared" si="207"/>
        <v>#N/A</v>
      </c>
      <c r="HP98" s="54" t="e">
        <f t="shared" si="208"/>
        <v>#N/A</v>
      </c>
      <c r="HQ98" s="54" t="b">
        <f t="shared" si="209"/>
        <v>1</v>
      </c>
      <c r="HR98" s="54" t="b">
        <f t="shared" si="210"/>
        <v>0</v>
      </c>
      <c r="HS98" s="54" t="b">
        <f t="shared" si="211"/>
        <v>0</v>
      </c>
      <c r="HT98" s="54" t="b">
        <f t="shared" si="212"/>
        <v>1</v>
      </c>
      <c r="HU98" s="54">
        <f t="shared" si="213"/>
        <v>0.12287284294637515</v>
      </c>
      <c r="HV98" s="54">
        <f t="shared" si="214"/>
        <v>0.12287284294637515</v>
      </c>
      <c r="HW98" s="54" t="e">
        <f t="shared" si="215"/>
        <v>#N/A</v>
      </c>
      <c r="HX98" s="69" t="str">
        <f t="shared" si="216"/>
        <v/>
      </c>
    </row>
    <row r="99" spans="78:232" x14ac:dyDescent="0.2">
      <c r="BZ99" s="54">
        <f t="shared" si="143"/>
        <v>89</v>
      </c>
      <c r="CA99" s="54">
        <f>Eu_tabel_g[[#This Row],[Indeks]]+1</f>
        <v>90</v>
      </c>
      <c r="CB99" s="54">
        <f t="shared" si="144"/>
        <v>-0.9582115678039731</v>
      </c>
      <c r="CC99" s="54">
        <f t="shared" si="145"/>
        <v>0.25207635595578487</v>
      </c>
      <c r="CD99" s="54" t="e">
        <f t="shared" si="146"/>
        <v>#N/A</v>
      </c>
      <c r="CE99" s="54" t="e">
        <f t="shared" si="147"/>
        <v>#N/A</v>
      </c>
      <c r="CF99" s="54" t="e">
        <f t="shared" si="148"/>
        <v>#N/A</v>
      </c>
      <c r="CG99" s="54" t="b">
        <f t="shared" si="149"/>
        <v>0</v>
      </c>
      <c r="CH99" s="54" t="b">
        <f t="shared" si="150"/>
        <v>1</v>
      </c>
      <c r="CI99" s="54" t="b">
        <f t="shared" si="151"/>
        <v>0</v>
      </c>
      <c r="CJ99" s="54" t="b">
        <f t="shared" si="152"/>
        <v>1</v>
      </c>
      <c r="CK99" s="54">
        <f t="shared" si="217"/>
        <v>0.25207635595578487</v>
      </c>
      <c r="CL99" s="54" t="e">
        <f t="shared" si="153"/>
        <v>#N/A</v>
      </c>
      <c r="CM99" s="54">
        <f t="shared" si="154"/>
        <v>0.25207635595578487</v>
      </c>
      <c r="CN99" s="69" t="str">
        <f t="shared" si="155"/>
        <v/>
      </c>
      <c r="CO99" s="54">
        <f>_xlfn.NORM.DIST(_xlfn.NORM.INV(1-Eu_g_konfidensniveau,0,1)-Eu_tabel_g[[#This Row],[x base]],0,1,TRUE)</f>
        <v>0.24615415872133867</v>
      </c>
      <c r="CP99" s="54">
        <f>1-_xlfn.NORM.DIST(_xlfn.NORM.INV(Eu_g_konfidensniveau,0,1)-Eu_tabel_g[[#This Row],[x base]],0,1,TRUE)</f>
        <v>4.6197191056137621E-3</v>
      </c>
      <c r="CQ99" s="54">
        <f>_xlfn.NORM.DIST(_xlfn.NORM.INV((1-Eu_g_konfidensniveau)/2,0,1)-Eu_tabel_g[[#This Row],[x base]],0,1,TRUE)+1-_xlfn.NORM.DIST(_xlfn.NORM.INV(1-(1-Eu_g_konfidensniveau)/2,0,1)-Eu_tabel_g[[#This Row],[x base]],0,1,TRUE)</f>
        <v>0.15999202225771347</v>
      </c>
      <c r="CR99" s="54" t="e" cm="1">
        <f t="array" ref="CR99">IF($CR$3,INDEX(Eu_tabel_g[[#This Row],[Styrke venstre]:[Styrke tosidet]],CR$7),NA())</f>
        <v>#N/A</v>
      </c>
      <c r="CS99" s="89" t="e">
        <f>Eu_tabel_g[[#This Row],[Falsk positiv
Nulhypotese accepteres
Fejltype 1]]</f>
        <v>#N/A</v>
      </c>
      <c r="CT99" s="89" t="e">
        <f>IF(CHOOSE(CR$7,Eu_tabel_g[[#This Row],[x base]]&gt;0,Eu_tabel_g[[#This Row],[x base]]&lt;0,Eu_tabel_g[[#This Row],[x base]]=0),Eu_tabel_g[[#This Row],[Styrke, aktiv]],NA())</f>
        <v>#N/A</v>
      </c>
      <c r="CU99" s="89" t="e">
        <f>IFERROR(IF($CR$3,Eu_tabel_g[[#This Row],[Styrke, aktiv]],NA()),NA())</f>
        <v>#N/A</v>
      </c>
      <c r="CV99" s="89" t="e">
        <f>IF(ISNA(Eu_tabel_g[[#This Row],[Sand negativ
Nulhypotese afvises
Korrekt]]),NA(),IF($CR$3,1,NA()))</f>
        <v>#N/A</v>
      </c>
      <c r="CW99" s="56" t="str" cm="1">
        <f t="array" ref="CW99">_xlfn.SWITCH(BZ99,_xlfn.IFNA(CU$2,-99),CU$5,_xlfn.IFNA(CU$3,-99),CU$6,_xlfn.IFNA(CU$4,-99),CU$7,"")</f>
        <v/>
      </c>
      <c r="DA99" s="7">
        <f t="shared" si="156"/>
        <v>0.8</v>
      </c>
      <c r="DB99">
        <f>IF(ROW(Styrkeberegning_G[[#This Row],[X base venstre]])=ROW(Styrkeberegning_G[[#Headers],[X base venstre]])+1,DB$7/(DA$7/$B$67),DB98/(DA98/$B$67))</f>
        <v>-2.8015817870135784</v>
      </c>
      <c r="DC99">
        <f>Styrkeberegning_G[[#This Row],[X base venstre]]*-1</f>
        <v>2.8015817870135784</v>
      </c>
      <c r="DN99" s="54">
        <f t="shared" si="157"/>
        <v>89</v>
      </c>
      <c r="DO99" s="54">
        <f t="shared" si="158"/>
        <v>90</v>
      </c>
      <c r="DP99" s="54">
        <f t="shared" si="159"/>
        <v>11.98615888576678</v>
      </c>
      <c r="DQ99" s="54" t="e">
        <f t="shared" si="160"/>
        <v>#N/A</v>
      </c>
      <c r="DR99" s="54" t="e">
        <f t="shared" si="161"/>
        <v>#N/A</v>
      </c>
      <c r="DS99" s="54">
        <f t="shared" si="162"/>
        <v>7.5296894023195615E-2</v>
      </c>
      <c r="DT99" s="54" t="e">
        <f t="shared" si="163"/>
        <v>#N/A</v>
      </c>
      <c r="DU99" s="54" t="b">
        <f t="shared" si="164"/>
        <v>0</v>
      </c>
      <c r="DV99" s="54" t="b">
        <f t="shared" si="165"/>
        <v>1</v>
      </c>
      <c r="DW99" s="54" t="b">
        <f t="shared" si="166"/>
        <v>0</v>
      </c>
      <c r="DX99" s="54" t="b">
        <f t="shared" si="167"/>
        <v>1</v>
      </c>
      <c r="DY99" s="54">
        <f t="shared" si="168"/>
        <v>7.5296894023195615E-2</v>
      </c>
      <c r="DZ99" s="54" t="e">
        <f t="shared" si="169"/>
        <v>#N/A</v>
      </c>
      <c r="EA99" s="54">
        <f t="shared" si="170"/>
        <v>7.5296894023195615E-2</v>
      </c>
      <c r="EB99" s="69" t="str">
        <f t="shared" si="171"/>
        <v/>
      </c>
      <c r="EG99" s="54">
        <f t="shared" si="172"/>
        <v>89</v>
      </c>
      <c r="EH99" s="54">
        <f t="shared" si="173"/>
        <v>90</v>
      </c>
      <c r="EI99" s="54">
        <f t="shared" si="174"/>
        <v>-0.9582115678039731</v>
      </c>
      <c r="EJ99" s="54">
        <f t="shared" si="175"/>
        <v>0.25207635595578487</v>
      </c>
      <c r="EK99" s="54" t="e">
        <f t="shared" si="176"/>
        <v>#N/A</v>
      </c>
      <c r="EL99" s="54" t="e">
        <f t="shared" si="177"/>
        <v>#N/A</v>
      </c>
      <c r="EM99" s="54" t="e">
        <f t="shared" si="178"/>
        <v>#N/A</v>
      </c>
      <c r="EN99" s="54" t="b">
        <f t="shared" si="179"/>
        <v>0</v>
      </c>
      <c r="EO99" s="54" t="b">
        <f t="shared" si="180"/>
        <v>1</v>
      </c>
      <c r="EP99" s="54" t="b">
        <f t="shared" si="181"/>
        <v>0</v>
      </c>
      <c r="EQ99" s="54" t="b">
        <f t="shared" si="182"/>
        <v>1</v>
      </c>
      <c r="ER99" s="54">
        <f t="shared" si="183"/>
        <v>0.25207635595578487</v>
      </c>
      <c r="ES99" s="54" t="e">
        <f t="shared" si="184"/>
        <v>#N/A</v>
      </c>
      <c r="ET99" s="54">
        <f t="shared" si="185"/>
        <v>0.25207635595578487</v>
      </c>
      <c r="EU99" s="69" t="str">
        <f t="shared" si="186"/>
        <v/>
      </c>
      <c r="EV9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9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9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99" s="54" t="e" cm="1">
        <f t="array" ref="EY99">IF($CR$3,INDEX(Eu_tabel_a[[#This Row],[Styrke venstre]:[Styrke tosidet]],EY$7),NA())</f>
        <v>#N/A</v>
      </c>
      <c r="EZ99" s="54" t="e">
        <f>IF(EY$3,IF(CHOOSE(EY$7,Eu_tabel_a[[#This Row],[x base]]&gt;0,Eu_tabel_a[[#This Row],[x base]]&lt;0,Eu_tabel_a[[#This Row],[x base]]=0),1,NA()),NA())</f>
        <v>#N/A</v>
      </c>
      <c r="FA99" s="54" t="e">
        <f>IF(CHOOSE(EY$7,Eu_tabel_a[[#This Row],[x base]]&gt;0,Eu_tabel_a[[#This Row],[x base]]&lt;0,Eu_tabel_a[[#This Row],[x base]]=0),Eu_tabel_a[[#This Row],[Styrke, aktiv]],NA())</f>
        <v>#N/A</v>
      </c>
      <c r="FB99" s="54" t="e">
        <f>IFERROR(IF($EY$3,Eu_tabel_a[[#This Row],[Styrke, aktiv]],NA()),NA())</f>
        <v>#N/A</v>
      </c>
      <c r="FC99" s="54" t="e">
        <f>IF(ISNA(Eu_tabel_a[[#This Row],[Sand negativ
Nulhypotese afvises
Korrekt]]),NA(),IF(EY$3,1,NA()))</f>
        <v>#N/A</v>
      </c>
      <c r="FD99" s="55" t="str" cm="1">
        <f t="array" ref="FD99">IFERROR(_xlfn.SWITCH(Eu_tabel_a[[#This Row],[Indeks]],_xlfn.IFNA(FB$2,-99),FB$5,_xlfn.IFNA(FB$3,-99),FB$6,_xlfn.IFNA(FB$4,-99),FB$7,""),"")</f>
        <v/>
      </c>
      <c r="FE99" s="54">
        <f>Eu_tabel_a[[#This Row],[x base]]*SQRT(Eu_a_h0_x*(1-Eu_a_h0_x)/Eu_a_n_x)+Eu_a_h0_x</f>
        <v>0</v>
      </c>
      <c r="FJ99" s="144" t="e">
        <f t="shared" si="130"/>
        <v>#N/A</v>
      </c>
      <c r="FK99" s="152" t="e">
        <f t="shared" si="218"/>
        <v>#DIV/0!</v>
      </c>
      <c r="FL99" s="7" t="e">
        <f t="shared" si="124"/>
        <v>#DIV/0!</v>
      </c>
      <c r="FM99" t="e">
        <f t="shared" si="219"/>
        <v>#DIV/0!</v>
      </c>
      <c r="FN99" s="8" t="e">
        <f t="shared" si="220"/>
        <v>#DIV/0!</v>
      </c>
      <c r="FO99" s="8" t="e">
        <f t="shared" si="221"/>
        <v>#DIV/0!</v>
      </c>
      <c r="FP99" s="151" t="e">
        <f t="shared" si="222"/>
        <v>#DIV/0!</v>
      </c>
      <c r="FQ99" s="144" t="e">
        <f t="shared" ca="1" si="125"/>
        <v>#N/A</v>
      </c>
      <c r="FR99" s="152" t="e" vm="3">
        <f t="shared" ca="1" si="131"/>
        <v>#VALUE!</v>
      </c>
      <c r="FS99" s="7" t="e" vm="3">
        <f t="shared" ca="1" si="126"/>
        <v>#VALUE!</v>
      </c>
      <c r="FT99" t="e" vm="3">
        <f t="shared" ca="1" si="120"/>
        <v>#VALUE!</v>
      </c>
      <c r="FU99" s="8" t="e" vm="3">
        <f t="shared" ca="1" si="121"/>
        <v>#VALUE!</v>
      </c>
      <c r="FV99" s="8" t="e" vm="3">
        <f t="shared" ca="1" si="122"/>
        <v>#VALUE!</v>
      </c>
      <c r="FW99" s="151" t="e" vm="3">
        <f t="shared" ca="1" si="123"/>
        <v>#VALUE!</v>
      </c>
      <c r="FX99" s="144" t="e">
        <f t="shared" si="127"/>
        <v>#N/A</v>
      </c>
      <c r="FY99" s="152" t="e">
        <f t="shared" si="132"/>
        <v>#N/A</v>
      </c>
      <c r="FZ99" s="7" t="e">
        <f t="shared" si="128"/>
        <v>#N/A</v>
      </c>
      <c r="GA99" t="e">
        <f t="shared" si="133"/>
        <v>#N/A</v>
      </c>
      <c r="GB99" s="8" t="e">
        <f t="shared" si="134"/>
        <v>#N/A</v>
      </c>
      <c r="GC99" s="8" t="e">
        <f t="shared" si="135"/>
        <v>#N/A</v>
      </c>
      <c r="GD99" s="151" t="e">
        <f t="shared" si="136"/>
        <v>#N/A</v>
      </c>
      <c r="GE99" s="144" t="e">
        <f t="shared" si="137"/>
        <v>#N/A</v>
      </c>
      <c r="GF99" s="152" t="e">
        <f t="shared" si="138"/>
        <v>#N/A</v>
      </c>
      <c r="GG99" s="7" t="e">
        <f t="shared" si="129"/>
        <v>#N/A</v>
      </c>
      <c r="GH99" t="e">
        <f t="shared" si="139"/>
        <v>#N/A</v>
      </c>
      <c r="GI99" s="8" t="e">
        <f t="shared" si="140"/>
        <v>#N/A</v>
      </c>
      <c r="GJ99" s="8" t="e">
        <f t="shared" si="141"/>
        <v>#N/A</v>
      </c>
      <c r="GK99" s="151" t="e">
        <f t="shared" si="142"/>
        <v>#N/A</v>
      </c>
      <c r="GL99" s="151"/>
      <c r="GM99" s="151"/>
      <c r="GP99" s="54">
        <f t="shared" si="187"/>
        <v>89</v>
      </c>
      <c r="GQ99" s="54">
        <f t="shared" si="188"/>
        <v>90</v>
      </c>
      <c r="GR99" s="54">
        <f t="shared" si="189"/>
        <v>-0.9582115678039731</v>
      </c>
      <c r="GS99" s="54">
        <f t="shared" si="190"/>
        <v>0.25207635595578487</v>
      </c>
      <c r="GT99" s="54" t="e">
        <f t="shared" si="191"/>
        <v>#N/A</v>
      </c>
      <c r="GU99" s="54" t="e">
        <f t="shared" si="192"/>
        <v>#N/A</v>
      </c>
      <c r="GV99" s="54" t="e">
        <f t="shared" si="193"/>
        <v>#N/A</v>
      </c>
      <c r="GW99" s="54" t="b">
        <f t="shared" si="194"/>
        <v>0</v>
      </c>
      <c r="GX99" s="54" t="b">
        <f t="shared" si="195"/>
        <v>1</v>
      </c>
      <c r="GY99" s="54" t="b">
        <f t="shared" si="196"/>
        <v>0</v>
      </c>
      <c r="GZ99" s="54" t="b">
        <f t="shared" si="197"/>
        <v>1</v>
      </c>
      <c r="HA99" s="54">
        <f t="shared" si="198"/>
        <v>0.25207635595578487</v>
      </c>
      <c r="HB99" s="54" t="e">
        <f t="shared" si="199"/>
        <v>#N/A</v>
      </c>
      <c r="HC99" s="54">
        <f t="shared" si="200"/>
        <v>0.25207635595578487</v>
      </c>
      <c r="HD99" s="69" t="str">
        <f t="shared" si="201"/>
        <v/>
      </c>
      <c r="HJ99" s="54">
        <f t="shared" si="202"/>
        <v>89</v>
      </c>
      <c r="HK99" s="54">
        <f t="shared" si="203"/>
        <v>90</v>
      </c>
      <c r="HL99" s="54">
        <f t="shared" si="204"/>
        <v>-1.4838107375622736</v>
      </c>
      <c r="HM99" s="54" t="e">
        <f t="shared" si="205"/>
        <v>#N/A</v>
      </c>
      <c r="HN99" s="54">
        <f t="shared" si="206"/>
        <v>0.12893536108620499</v>
      </c>
      <c r="HO99" s="54" t="e">
        <f t="shared" si="207"/>
        <v>#N/A</v>
      </c>
      <c r="HP99" s="54" t="e">
        <f t="shared" si="208"/>
        <v>#N/A</v>
      </c>
      <c r="HQ99" s="54" t="b">
        <f t="shared" si="209"/>
        <v>1</v>
      </c>
      <c r="HR99" s="54" t="b">
        <f t="shared" si="210"/>
        <v>0</v>
      </c>
      <c r="HS99" s="54" t="b">
        <f t="shared" si="211"/>
        <v>0</v>
      </c>
      <c r="HT99" s="54" t="b">
        <f t="shared" si="212"/>
        <v>1</v>
      </c>
      <c r="HU99" s="54">
        <f t="shared" si="213"/>
        <v>0.12893536108620499</v>
      </c>
      <c r="HV99" s="54">
        <f t="shared" si="214"/>
        <v>0.12893536108620499</v>
      </c>
      <c r="HW99" s="54" t="e">
        <f t="shared" si="215"/>
        <v>#N/A</v>
      </c>
      <c r="HX99" s="69" t="str">
        <f t="shared" si="216"/>
        <v/>
      </c>
    </row>
    <row r="100" spans="78:232" x14ac:dyDescent="0.2">
      <c r="BZ100" s="54">
        <f t="shared" si="143"/>
        <v>90</v>
      </c>
      <c r="CA100" s="54">
        <f>Eu_tabel_g[[#This Row],[Indeks]]+1</f>
        <v>91</v>
      </c>
      <c r="CB100" s="54">
        <f t="shared" si="144"/>
        <v>-0.93425627860887372</v>
      </c>
      <c r="CC100" s="54">
        <f t="shared" si="145"/>
        <v>0.25785549954028941</v>
      </c>
      <c r="CD100" s="54" t="e">
        <f t="shared" si="146"/>
        <v>#N/A</v>
      </c>
      <c r="CE100" s="54" t="e">
        <f t="shared" si="147"/>
        <v>#N/A</v>
      </c>
      <c r="CF100" s="54" t="e">
        <f t="shared" si="148"/>
        <v>#N/A</v>
      </c>
      <c r="CG100" s="54" t="b">
        <f t="shared" si="149"/>
        <v>0</v>
      </c>
      <c r="CH100" s="54" t="b">
        <f t="shared" si="150"/>
        <v>1</v>
      </c>
      <c r="CI100" s="54" t="b">
        <f t="shared" si="151"/>
        <v>0</v>
      </c>
      <c r="CJ100" s="54" t="b">
        <f t="shared" si="152"/>
        <v>1</v>
      </c>
      <c r="CK100" s="54">
        <f t="shared" si="217"/>
        <v>0.25785549954028941</v>
      </c>
      <c r="CL100" s="54" t="e">
        <f t="shared" si="153"/>
        <v>#N/A</v>
      </c>
      <c r="CM100" s="54">
        <f t="shared" si="154"/>
        <v>0.25785549954028941</v>
      </c>
      <c r="CN100" s="69" t="str">
        <f t="shared" si="155"/>
        <v/>
      </c>
      <c r="CO100" s="54">
        <f>_xlfn.NORM.DIST(_xlfn.NORM.INV(1-Eu_g_konfidensniveau,0,1)-Eu_tabel_g[[#This Row],[x base]],0,1,TRUE)</f>
        <v>0.23866689337442779</v>
      </c>
      <c r="CP100" s="54">
        <f>1-_xlfn.NORM.DIST(_xlfn.NORM.INV(Eu_g_konfidensniveau,0,1)-Eu_tabel_g[[#This Row],[x base]],0,1,TRUE)</f>
        <v>4.9527632854500236E-3</v>
      </c>
      <c r="CQ100" s="54">
        <f>_xlfn.NORM.DIST(_xlfn.NORM.INV((1-Eu_g_konfidensniveau)/2,0,1)-Eu_tabel_g[[#This Row],[x base]],0,1,TRUE)+1-_xlfn.NORM.DIST(_xlfn.NORM.INV(1-(1-Eu_g_konfidensniveau)/2,0,1)-Eu_tabel_g[[#This Row],[x base]],0,1,TRUE)</f>
        <v>0.15441519761232758</v>
      </c>
      <c r="CR100" s="54" t="e" cm="1">
        <f t="array" ref="CR100">IF($CR$3,INDEX(Eu_tabel_g[[#This Row],[Styrke venstre]:[Styrke tosidet]],CR$7),NA())</f>
        <v>#N/A</v>
      </c>
      <c r="CS100" s="89" t="e">
        <f>Eu_tabel_g[[#This Row],[Falsk positiv
Nulhypotese accepteres
Fejltype 1]]</f>
        <v>#N/A</v>
      </c>
      <c r="CT100" s="89" t="e">
        <f>IF(CHOOSE(CR$7,Eu_tabel_g[[#This Row],[x base]]&gt;0,Eu_tabel_g[[#This Row],[x base]]&lt;0,Eu_tabel_g[[#This Row],[x base]]=0),Eu_tabel_g[[#This Row],[Styrke, aktiv]],NA())</f>
        <v>#N/A</v>
      </c>
      <c r="CU100" s="89" t="e">
        <f>IFERROR(IF($CR$3,Eu_tabel_g[[#This Row],[Styrke, aktiv]],NA()),NA())</f>
        <v>#N/A</v>
      </c>
      <c r="CV100" s="89" t="e">
        <f>IF(ISNA(Eu_tabel_g[[#This Row],[Sand negativ
Nulhypotese afvises
Korrekt]]),NA(),IF($CR$3,1,NA()))</f>
        <v>#N/A</v>
      </c>
      <c r="CW100" s="56" t="str" cm="1">
        <f t="array" ref="CW100">_xlfn.SWITCH(BZ100,_xlfn.IFNA(CU$2,-99),CU$5,_xlfn.IFNA(CU$3,-99),CU$6,_xlfn.IFNA(CU$4,-99),CU$7,"")</f>
        <v/>
      </c>
      <c r="DA100" s="7">
        <f t="shared" si="156"/>
        <v>0.8</v>
      </c>
      <c r="DB100">
        <f>IF(ROW(Styrkeberegning_G[[#This Row],[X base venstre]])=ROW(Styrkeberegning_G[[#Headers],[X base venstre]])+1,DB$7/(DA$7/$B$67),DB99/(DA99/$B$67))</f>
        <v>-2.8015817870135784</v>
      </c>
      <c r="DC100">
        <f>Styrkeberegning_G[[#This Row],[X base venstre]]*-1</f>
        <v>2.8015817870135784</v>
      </c>
      <c r="DN100" s="54">
        <f t="shared" si="157"/>
        <v>90</v>
      </c>
      <c r="DO100" s="54">
        <f t="shared" si="158"/>
        <v>91</v>
      </c>
      <c r="DP100" s="54">
        <f t="shared" si="159"/>
        <v>12.10022974218378</v>
      </c>
      <c r="DQ100" s="54" t="e">
        <f t="shared" si="160"/>
        <v>#N/A</v>
      </c>
      <c r="DR100" s="54" t="e">
        <f t="shared" si="161"/>
        <v>#N/A</v>
      </c>
      <c r="DS100" s="54">
        <f t="shared" si="162"/>
        <v>7.4219500409672207E-2</v>
      </c>
      <c r="DT100" s="54" t="e">
        <f t="shared" si="163"/>
        <v>#N/A</v>
      </c>
      <c r="DU100" s="54" t="b">
        <f t="shared" si="164"/>
        <v>0</v>
      </c>
      <c r="DV100" s="54" t="b">
        <f t="shared" si="165"/>
        <v>1</v>
      </c>
      <c r="DW100" s="54" t="b">
        <f t="shared" si="166"/>
        <v>0</v>
      </c>
      <c r="DX100" s="54" t="b">
        <f t="shared" si="167"/>
        <v>1</v>
      </c>
      <c r="DY100" s="54">
        <f t="shared" si="168"/>
        <v>7.4219500409672207E-2</v>
      </c>
      <c r="DZ100" s="54" t="e">
        <f t="shared" si="169"/>
        <v>#N/A</v>
      </c>
      <c r="EA100" s="54">
        <f t="shared" si="170"/>
        <v>7.4219500409672207E-2</v>
      </c>
      <c r="EB100" s="69" t="str">
        <f t="shared" si="171"/>
        <v/>
      </c>
      <c r="EG100" s="54">
        <f t="shared" si="172"/>
        <v>90</v>
      </c>
      <c r="EH100" s="54">
        <f t="shared" si="173"/>
        <v>91</v>
      </c>
      <c r="EI100" s="54">
        <f t="shared" si="174"/>
        <v>-0.93425627860887372</v>
      </c>
      <c r="EJ100" s="54">
        <f t="shared" si="175"/>
        <v>0.25785549954028941</v>
      </c>
      <c r="EK100" s="54" t="e">
        <f t="shared" si="176"/>
        <v>#N/A</v>
      </c>
      <c r="EL100" s="54" t="e">
        <f t="shared" si="177"/>
        <v>#N/A</v>
      </c>
      <c r="EM100" s="54" t="e">
        <f t="shared" si="178"/>
        <v>#N/A</v>
      </c>
      <c r="EN100" s="54" t="b">
        <f t="shared" si="179"/>
        <v>0</v>
      </c>
      <c r="EO100" s="54" t="b">
        <f t="shared" si="180"/>
        <v>1</v>
      </c>
      <c r="EP100" s="54" t="b">
        <f t="shared" si="181"/>
        <v>0</v>
      </c>
      <c r="EQ100" s="54" t="b">
        <f t="shared" si="182"/>
        <v>1</v>
      </c>
      <c r="ER100" s="54">
        <f t="shared" si="183"/>
        <v>0.25785549954028941</v>
      </c>
      <c r="ES100" s="54" t="e">
        <f t="shared" si="184"/>
        <v>#N/A</v>
      </c>
      <c r="ET100" s="54">
        <f t="shared" si="185"/>
        <v>0.25785549954028941</v>
      </c>
      <c r="EU100" s="69" t="str">
        <f t="shared" si="186"/>
        <v/>
      </c>
      <c r="EV10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0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0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00" s="54" t="e" cm="1">
        <f t="array" ref="EY100">IF($CR$3,INDEX(Eu_tabel_a[[#This Row],[Styrke venstre]:[Styrke tosidet]],EY$7),NA())</f>
        <v>#N/A</v>
      </c>
      <c r="EZ100" s="54" t="e">
        <f>IF(EY$3,IF(CHOOSE(EY$7,Eu_tabel_a[[#This Row],[x base]]&gt;0,Eu_tabel_a[[#This Row],[x base]]&lt;0,Eu_tabel_a[[#This Row],[x base]]=0),1,NA()),NA())</f>
        <v>#N/A</v>
      </c>
      <c r="FA100" s="54" t="e">
        <f>IF(CHOOSE(EY$7,Eu_tabel_a[[#This Row],[x base]]&gt;0,Eu_tabel_a[[#This Row],[x base]]&lt;0,Eu_tabel_a[[#This Row],[x base]]=0),Eu_tabel_a[[#This Row],[Styrke, aktiv]],NA())</f>
        <v>#N/A</v>
      </c>
      <c r="FB100" s="54" t="e">
        <f>IFERROR(IF($EY$3,Eu_tabel_a[[#This Row],[Styrke, aktiv]],NA()),NA())</f>
        <v>#N/A</v>
      </c>
      <c r="FC100" s="54" t="e">
        <f>IF(ISNA(Eu_tabel_a[[#This Row],[Sand negativ
Nulhypotese afvises
Korrekt]]),NA(),IF(EY$3,1,NA()))</f>
        <v>#N/A</v>
      </c>
      <c r="FD100" s="55" t="str" cm="1">
        <f t="array" ref="FD100">IFERROR(_xlfn.SWITCH(Eu_tabel_a[[#This Row],[Indeks]],_xlfn.IFNA(FB$2,-99),FB$5,_xlfn.IFNA(FB$3,-99),FB$6,_xlfn.IFNA(FB$4,-99),FB$7,""),"")</f>
        <v/>
      </c>
      <c r="FE100" s="54">
        <f>Eu_tabel_a[[#This Row],[x base]]*SQRT(Eu_a_h0_x*(1-Eu_a_h0_x)/Eu_a_n_x)+Eu_a_h0_x</f>
        <v>0</v>
      </c>
      <c r="FJ100" s="144" t="e">
        <f t="shared" si="130"/>
        <v>#N/A</v>
      </c>
      <c r="FK100" s="152" t="e">
        <f t="shared" si="218"/>
        <v>#DIV/0!</v>
      </c>
      <c r="FL100" s="7" t="e">
        <f t="shared" si="124"/>
        <v>#DIV/0!</v>
      </c>
      <c r="FM100" t="e">
        <f t="shared" si="219"/>
        <v>#DIV/0!</v>
      </c>
      <c r="FN100" s="8" t="e">
        <f t="shared" si="220"/>
        <v>#DIV/0!</v>
      </c>
      <c r="FO100" s="8" t="e">
        <f t="shared" si="221"/>
        <v>#DIV/0!</v>
      </c>
      <c r="FP100" s="151" t="e">
        <f t="shared" si="222"/>
        <v>#DIV/0!</v>
      </c>
      <c r="FQ100" s="144" t="e">
        <f t="shared" ca="1" si="125"/>
        <v>#N/A</v>
      </c>
      <c r="FR100" s="152" t="e" vm="3">
        <f t="shared" ca="1" si="131"/>
        <v>#VALUE!</v>
      </c>
      <c r="FS100" s="7" t="e" vm="3">
        <f t="shared" ca="1" si="126"/>
        <v>#VALUE!</v>
      </c>
      <c r="FT100" t="e" vm="3">
        <f t="shared" ca="1" si="120"/>
        <v>#VALUE!</v>
      </c>
      <c r="FU100" s="8" t="e" vm="3">
        <f t="shared" ca="1" si="121"/>
        <v>#VALUE!</v>
      </c>
      <c r="FV100" s="8" t="e" vm="3">
        <f t="shared" ca="1" si="122"/>
        <v>#VALUE!</v>
      </c>
      <c r="FW100" s="151" t="e" vm="3">
        <f t="shared" ca="1" si="123"/>
        <v>#VALUE!</v>
      </c>
      <c r="FX100" s="144" t="e">
        <f t="shared" si="127"/>
        <v>#N/A</v>
      </c>
      <c r="FY100" s="152" t="e">
        <f t="shared" si="132"/>
        <v>#N/A</v>
      </c>
      <c r="FZ100" s="7" t="e">
        <f t="shared" si="128"/>
        <v>#N/A</v>
      </c>
      <c r="GA100" t="e">
        <f t="shared" si="133"/>
        <v>#N/A</v>
      </c>
      <c r="GB100" s="8" t="e">
        <f t="shared" si="134"/>
        <v>#N/A</v>
      </c>
      <c r="GC100" s="8" t="e">
        <f t="shared" si="135"/>
        <v>#N/A</v>
      </c>
      <c r="GD100" s="151" t="e">
        <f t="shared" si="136"/>
        <v>#N/A</v>
      </c>
      <c r="GE100" s="144" t="e">
        <f t="shared" si="137"/>
        <v>#N/A</v>
      </c>
      <c r="GF100" s="152" t="e">
        <f t="shared" si="138"/>
        <v>#N/A</v>
      </c>
      <c r="GG100" s="7" t="e">
        <f t="shared" si="129"/>
        <v>#N/A</v>
      </c>
      <c r="GH100" t="e">
        <f t="shared" si="139"/>
        <v>#N/A</v>
      </c>
      <c r="GI100" s="8" t="e">
        <f t="shared" si="140"/>
        <v>#N/A</v>
      </c>
      <c r="GJ100" s="8" t="e">
        <f t="shared" si="141"/>
        <v>#N/A</v>
      </c>
      <c r="GK100" s="151" t="e">
        <f t="shared" si="142"/>
        <v>#N/A</v>
      </c>
      <c r="GL100" s="151"/>
      <c r="GM100" s="151"/>
      <c r="GP100" s="54">
        <f t="shared" si="187"/>
        <v>90</v>
      </c>
      <c r="GQ100" s="54">
        <f t="shared" si="188"/>
        <v>91</v>
      </c>
      <c r="GR100" s="54">
        <f t="shared" si="189"/>
        <v>-0.93425627860887372</v>
      </c>
      <c r="GS100" s="54">
        <f t="shared" si="190"/>
        <v>0.25785549954028941</v>
      </c>
      <c r="GT100" s="54" t="e">
        <f t="shared" si="191"/>
        <v>#N/A</v>
      </c>
      <c r="GU100" s="54" t="e">
        <f t="shared" si="192"/>
        <v>#N/A</v>
      </c>
      <c r="GV100" s="54" t="e">
        <f t="shared" si="193"/>
        <v>#N/A</v>
      </c>
      <c r="GW100" s="54" t="b">
        <f t="shared" si="194"/>
        <v>0</v>
      </c>
      <c r="GX100" s="54" t="b">
        <f t="shared" si="195"/>
        <v>1</v>
      </c>
      <c r="GY100" s="54" t="b">
        <f t="shared" si="196"/>
        <v>0</v>
      </c>
      <c r="GZ100" s="54" t="b">
        <f t="shared" si="197"/>
        <v>1</v>
      </c>
      <c r="HA100" s="54">
        <f t="shared" si="198"/>
        <v>0.25785549954028941</v>
      </c>
      <c r="HB100" s="54" t="e">
        <f t="shared" si="199"/>
        <v>#N/A</v>
      </c>
      <c r="HC100" s="54">
        <f t="shared" si="200"/>
        <v>0.25785549954028941</v>
      </c>
      <c r="HD100" s="69" t="str">
        <f t="shared" si="201"/>
        <v/>
      </c>
      <c r="HJ100" s="54">
        <f t="shared" si="202"/>
        <v>90</v>
      </c>
      <c r="HK100" s="54">
        <f t="shared" si="203"/>
        <v>91</v>
      </c>
      <c r="HL100" s="54">
        <f t="shared" si="204"/>
        <v>-1.4467154691232169</v>
      </c>
      <c r="HM100" s="54" t="e">
        <f t="shared" si="205"/>
        <v>#N/A</v>
      </c>
      <c r="HN100" s="54">
        <f t="shared" si="206"/>
        <v>0.13521261842852653</v>
      </c>
      <c r="HO100" s="54" t="e">
        <f t="shared" si="207"/>
        <v>#N/A</v>
      </c>
      <c r="HP100" s="54" t="e">
        <f t="shared" si="208"/>
        <v>#N/A</v>
      </c>
      <c r="HQ100" s="54" t="b">
        <f t="shared" si="209"/>
        <v>1</v>
      </c>
      <c r="HR100" s="54" t="b">
        <f t="shared" si="210"/>
        <v>0</v>
      </c>
      <c r="HS100" s="54" t="b">
        <f t="shared" si="211"/>
        <v>0</v>
      </c>
      <c r="HT100" s="54" t="b">
        <f t="shared" si="212"/>
        <v>1</v>
      </c>
      <c r="HU100" s="54">
        <f t="shared" si="213"/>
        <v>0.13521261842852653</v>
      </c>
      <c r="HV100" s="54">
        <f t="shared" si="214"/>
        <v>0.13521261842852653</v>
      </c>
      <c r="HW100" s="54" t="e">
        <f t="shared" si="215"/>
        <v>#N/A</v>
      </c>
      <c r="HX100" s="69" t="str">
        <f t="shared" si="216"/>
        <v/>
      </c>
    </row>
    <row r="101" spans="78:232" x14ac:dyDescent="0.2">
      <c r="BZ101" s="54">
        <f t="shared" si="143"/>
        <v>91</v>
      </c>
      <c r="CA101" s="54">
        <f>Eu_tabel_g[[#This Row],[Indeks]]+1</f>
        <v>92</v>
      </c>
      <c r="CB101" s="54">
        <f t="shared" si="144"/>
        <v>-0.91030098941377435</v>
      </c>
      <c r="CC101" s="54">
        <f t="shared" si="145"/>
        <v>0.26361581581156529</v>
      </c>
      <c r="CD101" s="54" t="e">
        <f t="shared" si="146"/>
        <v>#N/A</v>
      </c>
      <c r="CE101" s="54" t="e">
        <f t="shared" si="147"/>
        <v>#N/A</v>
      </c>
      <c r="CF101" s="54" t="e">
        <f t="shared" si="148"/>
        <v>#N/A</v>
      </c>
      <c r="CG101" s="54" t="b">
        <f t="shared" si="149"/>
        <v>0</v>
      </c>
      <c r="CH101" s="54" t="b">
        <f t="shared" si="150"/>
        <v>1</v>
      </c>
      <c r="CI101" s="54" t="b">
        <f t="shared" si="151"/>
        <v>0</v>
      </c>
      <c r="CJ101" s="54" t="b">
        <f t="shared" si="152"/>
        <v>1</v>
      </c>
      <c r="CK101" s="54">
        <f t="shared" si="217"/>
        <v>0.26361581581156529</v>
      </c>
      <c r="CL101" s="54" t="e">
        <f t="shared" si="153"/>
        <v>#N/A</v>
      </c>
      <c r="CM101" s="54">
        <f t="shared" si="154"/>
        <v>0.26361581581156529</v>
      </c>
      <c r="CN101" s="69" t="str">
        <f t="shared" si="155"/>
        <v/>
      </c>
      <c r="CO101" s="54">
        <f>_xlfn.NORM.DIST(_xlfn.NORM.INV(1-Eu_g_konfidensniveau,0,1)-Eu_tabel_g[[#This Row],[x base]],0,1,TRUE)</f>
        <v>0.23130599584174627</v>
      </c>
      <c r="CP101" s="54">
        <f>1-_xlfn.NORM.DIST(_xlfn.NORM.INV(Eu_g_konfidensniveau,0,1)-Eu_tabel_g[[#This Row],[x base]],0,1,TRUE)</f>
        <v>5.3070319351234962E-3</v>
      </c>
      <c r="CQ101" s="54">
        <f>_xlfn.NORM.DIST(_xlfn.NORM.INV((1-Eu_g_konfidensniveau)/2,0,1)-Eu_tabel_g[[#This Row],[x base]],0,1,TRUE)+1-_xlfn.NORM.DIST(_xlfn.NORM.INV(1-(1-Eu_g_konfidensniveau)/2,0,1)-Eu_tabel_g[[#This Row],[x base]],0,1,TRUE)</f>
        <v>0.1489871812732273</v>
      </c>
      <c r="CR101" s="54" t="e" cm="1">
        <f t="array" ref="CR101">IF($CR$3,INDEX(Eu_tabel_g[[#This Row],[Styrke venstre]:[Styrke tosidet]],CR$7),NA())</f>
        <v>#N/A</v>
      </c>
      <c r="CS101" s="89" t="e">
        <f>Eu_tabel_g[[#This Row],[Falsk positiv
Nulhypotese accepteres
Fejltype 1]]</f>
        <v>#N/A</v>
      </c>
      <c r="CT101" s="89" t="e">
        <f>IF(CHOOSE(CR$7,Eu_tabel_g[[#This Row],[x base]]&gt;0,Eu_tabel_g[[#This Row],[x base]]&lt;0,Eu_tabel_g[[#This Row],[x base]]=0),Eu_tabel_g[[#This Row],[Styrke, aktiv]],NA())</f>
        <v>#N/A</v>
      </c>
      <c r="CU101" s="89" t="e">
        <f>IFERROR(IF($CR$3,Eu_tabel_g[[#This Row],[Styrke, aktiv]],NA()),NA())</f>
        <v>#N/A</v>
      </c>
      <c r="CV101" s="89" t="e">
        <f>IF(ISNA(Eu_tabel_g[[#This Row],[Sand negativ
Nulhypotese afvises
Korrekt]]),NA(),IF($CR$3,1,NA()))</f>
        <v>#N/A</v>
      </c>
      <c r="CW101" s="56" t="str" cm="1">
        <f t="array" ref="CW101">_xlfn.SWITCH(BZ101,_xlfn.IFNA(CU$2,-99),CU$5,_xlfn.IFNA(CU$3,-99),CU$6,_xlfn.IFNA(CU$4,-99),CU$7,"")</f>
        <v/>
      </c>
      <c r="DA101" s="7">
        <f t="shared" si="156"/>
        <v>0.8</v>
      </c>
      <c r="DB101">
        <f>IF(ROW(Styrkeberegning_G[[#This Row],[X base venstre]])=ROW(Styrkeberegning_G[[#Headers],[X base venstre]])+1,DB$7/(DA$7/$B$67),DB100/(DA100/$B$67))</f>
        <v>-2.8015817870135784</v>
      </c>
      <c r="DC101">
        <f>Styrkeberegning_G[[#This Row],[X base venstre]]*-1</f>
        <v>2.8015817870135784</v>
      </c>
      <c r="DN101" s="54">
        <f t="shared" si="157"/>
        <v>91</v>
      </c>
      <c r="DO101" s="54">
        <f t="shared" si="158"/>
        <v>92</v>
      </c>
      <c r="DP101" s="54">
        <f t="shared" si="159"/>
        <v>12.214300598600781</v>
      </c>
      <c r="DQ101" s="54" t="e">
        <f t="shared" si="160"/>
        <v>#N/A</v>
      </c>
      <c r="DR101" s="54" t="e">
        <f t="shared" si="161"/>
        <v>#N/A</v>
      </c>
      <c r="DS101" s="54">
        <f t="shared" si="162"/>
        <v>7.3128270085369887E-2</v>
      </c>
      <c r="DT101" s="54" t="e">
        <f t="shared" si="163"/>
        <v>#N/A</v>
      </c>
      <c r="DU101" s="54" t="b">
        <f t="shared" si="164"/>
        <v>0</v>
      </c>
      <c r="DV101" s="54" t="b">
        <f t="shared" si="165"/>
        <v>1</v>
      </c>
      <c r="DW101" s="54" t="b">
        <f t="shared" si="166"/>
        <v>0</v>
      </c>
      <c r="DX101" s="54" t="b">
        <f t="shared" si="167"/>
        <v>1</v>
      </c>
      <c r="DY101" s="54">
        <f t="shared" si="168"/>
        <v>7.3128270085369887E-2</v>
      </c>
      <c r="DZ101" s="54" t="e">
        <f t="shared" si="169"/>
        <v>#N/A</v>
      </c>
      <c r="EA101" s="54">
        <f t="shared" si="170"/>
        <v>7.3128270085369887E-2</v>
      </c>
      <c r="EB101" s="69" t="str">
        <f t="shared" si="171"/>
        <v/>
      </c>
      <c r="EG101" s="54">
        <f t="shared" si="172"/>
        <v>91</v>
      </c>
      <c r="EH101" s="54">
        <f t="shared" si="173"/>
        <v>92</v>
      </c>
      <c r="EI101" s="54">
        <f t="shared" si="174"/>
        <v>-0.91030098941377435</v>
      </c>
      <c r="EJ101" s="54">
        <f t="shared" si="175"/>
        <v>0.26361581581156529</v>
      </c>
      <c r="EK101" s="54" t="e">
        <f t="shared" si="176"/>
        <v>#N/A</v>
      </c>
      <c r="EL101" s="54" t="e">
        <f t="shared" si="177"/>
        <v>#N/A</v>
      </c>
      <c r="EM101" s="54" t="e">
        <f t="shared" si="178"/>
        <v>#N/A</v>
      </c>
      <c r="EN101" s="54" t="b">
        <f t="shared" si="179"/>
        <v>0</v>
      </c>
      <c r="EO101" s="54" t="b">
        <f t="shared" si="180"/>
        <v>1</v>
      </c>
      <c r="EP101" s="54" t="b">
        <f t="shared" si="181"/>
        <v>0</v>
      </c>
      <c r="EQ101" s="54" t="b">
        <f t="shared" si="182"/>
        <v>1</v>
      </c>
      <c r="ER101" s="54">
        <f t="shared" si="183"/>
        <v>0.26361581581156529</v>
      </c>
      <c r="ES101" s="54" t="e">
        <f t="shared" si="184"/>
        <v>#N/A</v>
      </c>
      <c r="ET101" s="54">
        <f t="shared" si="185"/>
        <v>0.26361581581156529</v>
      </c>
      <c r="EU101" s="69" t="str">
        <f t="shared" si="186"/>
        <v/>
      </c>
      <c r="EV10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0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0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01" s="54" t="e" cm="1">
        <f t="array" ref="EY101">IF($CR$3,INDEX(Eu_tabel_a[[#This Row],[Styrke venstre]:[Styrke tosidet]],EY$7),NA())</f>
        <v>#N/A</v>
      </c>
      <c r="EZ101" s="54" t="e">
        <f>IF(EY$3,IF(CHOOSE(EY$7,Eu_tabel_a[[#This Row],[x base]]&gt;0,Eu_tabel_a[[#This Row],[x base]]&lt;0,Eu_tabel_a[[#This Row],[x base]]=0),1,NA()),NA())</f>
        <v>#N/A</v>
      </c>
      <c r="FA101" s="54" t="e">
        <f>IF(CHOOSE(EY$7,Eu_tabel_a[[#This Row],[x base]]&gt;0,Eu_tabel_a[[#This Row],[x base]]&lt;0,Eu_tabel_a[[#This Row],[x base]]=0),Eu_tabel_a[[#This Row],[Styrke, aktiv]],NA())</f>
        <v>#N/A</v>
      </c>
      <c r="FB101" s="54" t="e">
        <f>IFERROR(IF($EY$3,Eu_tabel_a[[#This Row],[Styrke, aktiv]],NA()),NA())</f>
        <v>#N/A</v>
      </c>
      <c r="FC101" s="54" t="e">
        <f>IF(ISNA(Eu_tabel_a[[#This Row],[Sand negativ
Nulhypotese afvises
Korrekt]]),NA(),IF(EY$3,1,NA()))</f>
        <v>#N/A</v>
      </c>
      <c r="FD101" s="55" t="str" cm="1">
        <f t="array" ref="FD101">IFERROR(_xlfn.SWITCH(Eu_tabel_a[[#This Row],[Indeks]],_xlfn.IFNA(FB$2,-99),FB$5,_xlfn.IFNA(FB$3,-99),FB$6,_xlfn.IFNA(FB$4,-99),FB$7,""),"")</f>
        <v/>
      </c>
      <c r="FE101" s="54">
        <f>Eu_tabel_a[[#This Row],[x base]]*SQRT(Eu_a_h0_x*(1-Eu_a_h0_x)/Eu_a_n_x)+Eu_a_h0_x</f>
        <v>0</v>
      </c>
      <c r="FJ101" s="144" t="e">
        <f t="shared" si="130"/>
        <v>#N/A</v>
      </c>
      <c r="FK101" s="152" t="e">
        <f t="shared" si="218"/>
        <v>#DIV/0!</v>
      </c>
      <c r="FL101" s="7" t="e">
        <f t="shared" si="124"/>
        <v>#DIV/0!</v>
      </c>
      <c r="FM101" t="e">
        <f t="shared" si="219"/>
        <v>#DIV/0!</v>
      </c>
      <c r="FN101" s="8" t="e">
        <f t="shared" si="220"/>
        <v>#DIV/0!</v>
      </c>
      <c r="FO101" s="8" t="e">
        <f t="shared" si="221"/>
        <v>#DIV/0!</v>
      </c>
      <c r="FP101" s="151" t="e">
        <f t="shared" si="222"/>
        <v>#DIV/0!</v>
      </c>
      <c r="FQ101" s="144" t="e">
        <f t="shared" ca="1" si="125"/>
        <v>#N/A</v>
      </c>
      <c r="FR101" s="152" t="e" vm="3">
        <f t="shared" ca="1" si="131"/>
        <v>#VALUE!</v>
      </c>
      <c r="FS101" s="7" t="e" vm="3">
        <f t="shared" ca="1" si="126"/>
        <v>#VALUE!</v>
      </c>
      <c r="FT101" t="e" vm="3">
        <f t="shared" ca="1" si="120"/>
        <v>#VALUE!</v>
      </c>
      <c r="FU101" s="8" t="e" vm="3">
        <f t="shared" ca="1" si="121"/>
        <v>#VALUE!</v>
      </c>
      <c r="FV101" s="8" t="e" vm="3">
        <f t="shared" ca="1" si="122"/>
        <v>#VALUE!</v>
      </c>
      <c r="FW101" s="151" t="e" vm="3">
        <f t="shared" ca="1" si="123"/>
        <v>#VALUE!</v>
      </c>
      <c r="FX101" s="144" t="e">
        <f t="shared" si="127"/>
        <v>#N/A</v>
      </c>
      <c r="FY101" s="152" t="e">
        <f t="shared" si="132"/>
        <v>#N/A</v>
      </c>
      <c r="FZ101" s="7" t="e">
        <f t="shared" si="128"/>
        <v>#N/A</v>
      </c>
      <c r="GA101" t="e">
        <f t="shared" si="133"/>
        <v>#N/A</v>
      </c>
      <c r="GB101" s="8" t="e">
        <f t="shared" si="134"/>
        <v>#N/A</v>
      </c>
      <c r="GC101" s="8" t="e">
        <f t="shared" si="135"/>
        <v>#N/A</v>
      </c>
      <c r="GD101" s="151" t="e">
        <f t="shared" si="136"/>
        <v>#N/A</v>
      </c>
      <c r="GE101" s="144" t="e">
        <f t="shared" si="137"/>
        <v>#N/A</v>
      </c>
      <c r="GF101" s="152" t="e">
        <f t="shared" si="138"/>
        <v>#N/A</v>
      </c>
      <c r="GG101" s="7" t="e">
        <f t="shared" si="129"/>
        <v>#N/A</v>
      </c>
      <c r="GH101" t="e">
        <f t="shared" si="139"/>
        <v>#N/A</v>
      </c>
      <c r="GI101" s="8" t="e">
        <f t="shared" si="140"/>
        <v>#N/A</v>
      </c>
      <c r="GJ101" s="8" t="e">
        <f t="shared" si="141"/>
        <v>#N/A</v>
      </c>
      <c r="GK101" s="151" t="e">
        <f t="shared" si="142"/>
        <v>#N/A</v>
      </c>
      <c r="GL101" s="151"/>
      <c r="GM101" s="151"/>
      <c r="GP101" s="54">
        <f t="shared" si="187"/>
        <v>91</v>
      </c>
      <c r="GQ101" s="54">
        <f t="shared" si="188"/>
        <v>92</v>
      </c>
      <c r="GR101" s="54">
        <f t="shared" si="189"/>
        <v>-0.91030098941377435</v>
      </c>
      <c r="GS101" s="54">
        <f t="shared" si="190"/>
        <v>0.26361581581156529</v>
      </c>
      <c r="GT101" s="54" t="e">
        <f t="shared" si="191"/>
        <v>#N/A</v>
      </c>
      <c r="GU101" s="54" t="e">
        <f t="shared" si="192"/>
        <v>#N/A</v>
      </c>
      <c r="GV101" s="54" t="e">
        <f t="shared" si="193"/>
        <v>#N/A</v>
      </c>
      <c r="GW101" s="54" t="b">
        <f t="shared" si="194"/>
        <v>0</v>
      </c>
      <c r="GX101" s="54" t="b">
        <f t="shared" si="195"/>
        <v>1</v>
      </c>
      <c r="GY101" s="54" t="b">
        <f t="shared" si="196"/>
        <v>0</v>
      </c>
      <c r="GZ101" s="54" t="b">
        <f t="shared" si="197"/>
        <v>1</v>
      </c>
      <c r="HA101" s="54">
        <f t="shared" si="198"/>
        <v>0.26361581581156529</v>
      </c>
      <c r="HB101" s="54" t="e">
        <f t="shared" si="199"/>
        <v>#N/A</v>
      </c>
      <c r="HC101" s="54">
        <f t="shared" si="200"/>
        <v>0.26361581581156529</v>
      </c>
      <c r="HD101" s="69" t="str">
        <f t="shared" si="201"/>
        <v/>
      </c>
      <c r="HJ101" s="54">
        <f t="shared" si="202"/>
        <v>91</v>
      </c>
      <c r="HK101" s="54">
        <f t="shared" si="203"/>
        <v>92</v>
      </c>
      <c r="HL101" s="54">
        <f t="shared" si="204"/>
        <v>-1.4096202006841598</v>
      </c>
      <c r="HM101" s="54" t="e">
        <f t="shared" si="205"/>
        <v>#N/A</v>
      </c>
      <c r="HN101" s="54">
        <f t="shared" si="206"/>
        <v>0.14170287181765592</v>
      </c>
      <c r="HO101" s="54" t="e">
        <f t="shared" si="207"/>
        <v>#N/A</v>
      </c>
      <c r="HP101" s="54" t="e">
        <f t="shared" si="208"/>
        <v>#N/A</v>
      </c>
      <c r="HQ101" s="54" t="b">
        <f t="shared" si="209"/>
        <v>1</v>
      </c>
      <c r="HR101" s="54" t="b">
        <f t="shared" si="210"/>
        <v>0</v>
      </c>
      <c r="HS101" s="54" t="b">
        <f t="shared" si="211"/>
        <v>0</v>
      </c>
      <c r="HT101" s="54" t="b">
        <f t="shared" si="212"/>
        <v>1</v>
      </c>
      <c r="HU101" s="54">
        <f t="shared" si="213"/>
        <v>0.14170287181765592</v>
      </c>
      <c r="HV101" s="54">
        <f t="shared" si="214"/>
        <v>0.14170287181765592</v>
      </c>
      <c r="HW101" s="54" t="e">
        <f t="shared" si="215"/>
        <v>#N/A</v>
      </c>
      <c r="HX101" s="69" t="str">
        <f t="shared" si="216"/>
        <v/>
      </c>
    </row>
    <row r="102" spans="78:232" x14ac:dyDescent="0.2">
      <c r="BZ102" s="54">
        <f t="shared" si="143"/>
        <v>92</v>
      </c>
      <c r="CA102" s="54">
        <f>Eu_tabel_g[[#This Row],[Indeks]]+1</f>
        <v>93</v>
      </c>
      <c r="CB102" s="54">
        <f t="shared" si="144"/>
        <v>-0.88634570021867498</v>
      </c>
      <c r="CC102" s="54">
        <f t="shared" si="145"/>
        <v>0.26935020107061902</v>
      </c>
      <c r="CD102" s="54" t="e">
        <f t="shared" si="146"/>
        <v>#N/A</v>
      </c>
      <c r="CE102" s="54" t="e">
        <f t="shared" si="147"/>
        <v>#N/A</v>
      </c>
      <c r="CF102" s="54" t="e">
        <f t="shared" si="148"/>
        <v>#N/A</v>
      </c>
      <c r="CG102" s="54" t="b">
        <f t="shared" si="149"/>
        <v>0</v>
      </c>
      <c r="CH102" s="54" t="b">
        <f t="shared" si="150"/>
        <v>1</v>
      </c>
      <c r="CI102" s="54" t="b">
        <f t="shared" si="151"/>
        <v>0</v>
      </c>
      <c r="CJ102" s="54" t="b">
        <f t="shared" si="152"/>
        <v>1</v>
      </c>
      <c r="CK102" s="54">
        <f t="shared" si="217"/>
        <v>0.26935020107061902</v>
      </c>
      <c r="CL102" s="54" t="e">
        <f t="shared" si="153"/>
        <v>#N/A</v>
      </c>
      <c r="CM102" s="54">
        <f t="shared" si="154"/>
        <v>0.26935020107061902</v>
      </c>
      <c r="CN102" s="69" t="str">
        <f t="shared" si="155"/>
        <v/>
      </c>
      <c r="CO102" s="54">
        <f>_xlfn.NORM.DIST(_xlfn.NORM.INV(1-Eu_g_konfidensniveau,0,1)-Eu_tabel_g[[#This Row],[x base]],0,1,TRUE)</f>
        <v>0.22407348473684655</v>
      </c>
      <c r="CP102" s="54">
        <f>1-_xlfn.NORM.DIST(_xlfn.NORM.INV(Eu_g_konfidensniveau,0,1)-Eu_tabel_g[[#This Row],[x base]],0,1,TRUE)</f>
        <v>5.6836614795620077E-3</v>
      </c>
      <c r="CQ102" s="54">
        <f>_xlfn.NORM.DIST(_xlfn.NORM.INV((1-Eu_g_konfidensniveau)/2,0,1)-Eu_tabel_g[[#This Row],[x base]],0,1,TRUE)+1-_xlfn.NORM.DIST(_xlfn.NORM.INV(1-(1-Eu_g_konfidensniveau)/2,0,1)-Eu_tabel_g[[#This Row],[x base]],0,1,TRUE)</f>
        <v>0.14370835754319311</v>
      </c>
      <c r="CR102" s="54" t="e" cm="1">
        <f t="array" ref="CR102">IF($CR$3,INDEX(Eu_tabel_g[[#This Row],[Styrke venstre]:[Styrke tosidet]],CR$7),NA())</f>
        <v>#N/A</v>
      </c>
      <c r="CS102" s="89" t="e">
        <f>Eu_tabel_g[[#This Row],[Falsk positiv
Nulhypotese accepteres
Fejltype 1]]</f>
        <v>#N/A</v>
      </c>
      <c r="CT102" s="89" t="e">
        <f>IF(CHOOSE(CR$7,Eu_tabel_g[[#This Row],[x base]]&gt;0,Eu_tabel_g[[#This Row],[x base]]&lt;0,Eu_tabel_g[[#This Row],[x base]]=0),Eu_tabel_g[[#This Row],[Styrke, aktiv]],NA())</f>
        <v>#N/A</v>
      </c>
      <c r="CU102" s="89" t="e">
        <f>IFERROR(IF($CR$3,Eu_tabel_g[[#This Row],[Styrke, aktiv]],NA()),NA())</f>
        <v>#N/A</v>
      </c>
      <c r="CV102" s="89" t="e">
        <f>IF(ISNA(Eu_tabel_g[[#This Row],[Sand negativ
Nulhypotese afvises
Korrekt]]),NA(),IF($CR$3,1,NA()))</f>
        <v>#N/A</v>
      </c>
      <c r="CW102" s="56" t="str" cm="1">
        <f t="array" ref="CW102">_xlfn.SWITCH(BZ102,_xlfn.IFNA(CU$2,-99),CU$5,_xlfn.IFNA(CU$3,-99),CU$6,_xlfn.IFNA(CU$4,-99),CU$7,"")</f>
        <v/>
      </c>
      <c r="DA102" s="7">
        <f t="shared" si="156"/>
        <v>0.8</v>
      </c>
      <c r="DB102">
        <f>IF(ROW(Styrkeberegning_G[[#This Row],[X base venstre]])=ROW(Styrkeberegning_G[[#Headers],[X base venstre]])+1,DB$7/(DA$7/$B$67),DB101/(DA101/$B$67))</f>
        <v>-2.8015817870135784</v>
      </c>
      <c r="DC102">
        <f>Styrkeberegning_G[[#This Row],[X base venstre]]*-1</f>
        <v>2.8015817870135784</v>
      </c>
      <c r="DN102" s="54">
        <f t="shared" si="157"/>
        <v>92</v>
      </c>
      <c r="DO102" s="54">
        <f t="shared" si="158"/>
        <v>93</v>
      </c>
      <c r="DP102" s="54">
        <f t="shared" si="159"/>
        <v>12.328371455017782</v>
      </c>
      <c r="DQ102" s="54" t="e">
        <f t="shared" si="160"/>
        <v>#N/A</v>
      </c>
      <c r="DR102" s="54" t="e">
        <f t="shared" si="161"/>
        <v>#N/A</v>
      </c>
      <c r="DS102" s="54">
        <f t="shared" si="162"/>
        <v>7.2024808295626394E-2</v>
      </c>
      <c r="DT102" s="54" t="e">
        <f t="shared" si="163"/>
        <v>#N/A</v>
      </c>
      <c r="DU102" s="54" t="b">
        <f t="shared" si="164"/>
        <v>0</v>
      </c>
      <c r="DV102" s="54" t="b">
        <f t="shared" si="165"/>
        <v>1</v>
      </c>
      <c r="DW102" s="54" t="b">
        <f t="shared" si="166"/>
        <v>0</v>
      </c>
      <c r="DX102" s="54" t="b">
        <f t="shared" si="167"/>
        <v>1</v>
      </c>
      <c r="DY102" s="54">
        <f t="shared" si="168"/>
        <v>7.2024808295626394E-2</v>
      </c>
      <c r="DZ102" s="54" t="e">
        <f t="shared" si="169"/>
        <v>#N/A</v>
      </c>
      <c r="EA102" s="54">
        <f t="shared" si="170"/>
        <v>7.2024808295626394E-2</v>
      </c>
      <c r="EB102" s="69" t="str">
        <f t="shared" si="171"/>
        <v/>
      </c>
      <c r="EG102" s="54">
        <f t="shared" si="172"/>
        <v>92</v>
      </c>
      <c r="EH102" s="54">
        <f t="shared" si="173"/>
        <v>93</v>
      </c>
      <c r="EI102" s="54">
        <f t="shared" si="174"/>
        <v>-0.88634570021867498</v>
      </c>
      <c r="EJ102" s="54">
        <f t="shared" si="175"/>
        <v>0.26935020107061902</v>
      </c>
      <c r="EK102" s="54" t="e">
        <f t="shared" si="176"/>
        <v>#N/A</v>
      </c>
      <c r="EL102" s="54" t="e">
        <f t="shared" si="177"/>
        <v>#N/A</v>
      </c>
      <c r="EM102" s="54" t="e">
        <f t="shared" si="178"/>
        <v>#N/A</v>
      </c>
      <c r="EN102" s="54" t="b">
        <f t="shared" si="179"/>
        <v>0</v>
      </c>
      <c r="EO102" s="54" t="b">
        <f t="shared" si="180"/>
        <v>1</v>
      </c>
      <c r="EP102" s="54" t="b">
        <f t="shared" si="181"/>
        <v>0</v>
      </c>
      <c r="EQ102" s="54" t="b">
        <f t="shared" si="182"/>
        <v>1</v>
      </c>
      <c r="ER102" s="54">
        <f t="shared" si="183"/>
        <v>0.26935020107061902</v>
      </c>
      <c r="ES102" s="54" t="e">
        <f t="shared" si="184"/>
        <v>#N/A</v>
      </c>
      <c r="ET102" s="54">
        <f t="shared" si="185"/>
        <v>0.26935020107061902</v>
      </c>
      <c r="EU102" s="69" t="str">
        <f t="shared" si="186"/>
        <v/>
      </c>
      <c r="EV10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0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0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02" s="54" t="e" cm="1">
        <f t="array" ref="EY102">IF($CR$3,INDEX(Eu_tabel_a[[#This Row],[Styrke venstre]:[Styrke tosidet]],EY$7),NA())</f>
        <v>#N/A</v>
      </c>
      <c r="EZ102" s="54" t="e">
        <f>IF(EY$3,IF(CHOOSE(EY$7,Eu_tabel_a[[#This Row],[x base]]&gt;0,Eu_tabel_a[[#This Row],[x base]]&lt;0,Eu_tabel_a[[#This Row],[x base]]=0),1,NA()),NA())</f>
        <v>#N/A</v>
      </c>
      <c r="FA102" s="54" t="e">
        <f>IF(CHOOSE(EY$7,Eu_tabel_a[[#This Row],[x base]]&gt;0,Eu_tabel_a[[#This Row],[x base]]&lt;0,Eu_tabel_a[[#This Row],[x base]]=0),Eu_tabel_a[[#This Row],[Styrke, aktiv]],NA())</f>
        <v>#N/A</v>
      </c>
      <c r="FB102" s="54" t="e">
        <f>IFERROR(IF($EY$3,Eu_tabel_a[[#This Row],[Styrke, aktiv]],NA()),NA())</f>
        <v>#N/A</v>
      </c>
      <c r="FC102" s="54" t="e">
        <f>IF(ISNA(Eu_tabel_a[[#This Row],[Sand negativ
Nulhypotese afvises
Korrekt]]),NA(),IF(EY$3,1,NA()))</f>
        <v>#N/A</v>
      </c>
      <c r="FD102" s="55" t="str" cm="1">
        <f t="array" ref="FD102">IFERROR(_xlfn.SWITCH(Eu_tabel_a[[#This Row],[Indeks]],_xlfn.IFNA(FB$2,-99),FB$5,_xlfn.IFNA(FB$3,-99),FB$6,_xlfn.IFNA(FB$4,-99),FB$7,""),"")</f>
        <v/>
      </c>
      <c r="FE102" s="54">
        <f>Eu_tabel_a[[#This Row],[x base]]*SQRT(Eu_a_h0_x*(1-Eu_a_h0_x)/Eu_a_n_x)+Eu_a_h0_x</f>
        <v>0</v>
      </c>
      <c r="FJ102" s="144" t="e">
        <f t="shared" si="130"/>
        <v>#N/A</v>
      </c>
      <c r="FK102" s="152" t="e">
        <f t="shared" si="218"/>
        <v>#DIV/0!</v>
      </c>
      <c r="FL102" s="7" t="e">
        <f t="shared" si="124"/>
        <v>#DIV/0!</v>
      </c>
      <c r="FM102" t="e">
        <f t="shared" si="219"/>
        <v>#DIV/0!</v>
      </c>
      <c r="FN102" s="8" t="e">
        <f t="shared" si="220"/>
        <v>#DIV/0!</v>
      </c>
      <c r="FO102" s="8" t="e">
        <f t="shared" si="221"/>
        <v>#DIV/0!</v>
      </c>
      <c r="FP102" s="151" t="e">
        <f t="shared" si="222"/>
        <v>#DIV/0!</v>
      </c>
      <c r="FQ102" s="144" t="e">
        <f t="shared" ca="1" si="125"/>
        <v>#N/A</v>
      </c>
      <c r="FR102" s="152" t="e" vm="3">
        <f t="shared" ca="1" si="131"/>
        <v>#VALUE!</v>
      </c>
      <c r="FS102" s="7" t="e" vm="3">
        <f t="shared" ca="1" si="126"/>
        <v>#VALUE!</v>
      </c>
      <c r="FT102" t="e" vm="3">
        <f t="shared" ca="1" si="120"/>
        <v>#VALUE!</v>
      </c>
      <c r="FU102" s="8" t="e" vm="3">
        <f t="shared" ca="1" si="121"/>
        <v>#VALUE!</v>
      </c>
      <c r="FV102" s="8" t="e" vm="3">
        <f t="shared" ca="1" si="122"/>
        <v>#VALUE!</v>
      </c>
      <c r="FW102" s="151" t="e" vm="3">
        <f t="shared" ca="1" si="123"/>
        <v>#VALUE!</v>
      </c>
      <c r="FX102" s="144" t="e">
        <f t="shared" si="127"/>
        <v>#N/A</v>
      </c>
      <c r="FY102" s="152" t="e">
        <f t="shared" si="132"/>
        <v>#N/A</v>
      </c>
      <c r="FZ102" s="7" t="e">
        <f t="shared" si="128"/>
        <v>#N/A</v>
      </c>
      <c r="GA102" t="e">
        <f t="shared" si="133"/>
        <v>#N/A</v>
      </c>
      <c r="GB102" s="8" t="e">
        <f t="shared" si="134"/>
        <v>#N/A</v>
      </c>
      <c r="GC102" s="8" t="e">
        <f t="shared" si="135"/>
        <v>#N/A</v>
      </c>
      <c r="GD102" s="151" t="e">
        <f t="shared" si="136"/>
        <v>#N/A</v>
      </c>
      <c r="GE102" s="144" t="e">
        <f t="shared" si="137"/>
        <v>#N/A</v>
      </c>
      <c r="GF102" s="152" t="e">
        <f t="shared" si="138"/>
        <v>#N/A</v>
      </c>
      <c r="GG102" s="7" t="e">
        <f t="shared" si="129"/>
        <v>#N/A</v>
      </c>
      <c r="GH102" t="e">
        <f t="shared" si="139"/>
        <v>#N/A</v>
      </c>
      <c r="GI102" s="8" t="e">
        <f t="shared" si="140"/>
        <v>#N/A</v>
      </c>
      <c r="GJ102" s="8" t="e">
        <f t="shared" si="141"/>
        <v>#N/A</v>
      </c>
      <c r="GK102" s="151" t="e">
        <f t="shared" si="142"/>
        <v>#N/A</v>
      </c>
      <c r="GL102" s="151"/>
      <c r="GM102" s="151"/>
      <c r="GP102" s="54">
        <f t="shared" si="187"/>
        <v>92</v>
      </c>
      <c r="GQ102" s="54">
        <f t="shared" si="188"/>
        <v>93</v>
      </c>
      <c r="GR102" s="54">
        <f t="shared" si="189"/>
        <v>-0.88634570021867498</v>
      </c>
      <c r="GS102" s="54">
        <f t="shared" si="190"/>
        <v>0.26935020107061902</v>
      </c>
      <c r="GT102" s="54" t="e">
        <f t="shared" si="191"/>
        <v>#N/A</v>
      </c>
      <c r="GU102" s="54" t="e">
        <f t="shared" si="192"/>
        <v>#N/A</v>
      </c>
      <c r="GV102" s="54" t="e">
        <f t="shared" si="193"/>
        <v>#N/A</v>
      </c>
      <c r="GW102" s="54" t="b">
        <f t="shared" si="194"/>
        <v>0</v>
      </c>
      <c r="GX102" s="54" t="b">
        <f t="shared" si="195"/>
        <v>1</v>
      </c>
      <c r="GY102" s="54" t="b">
        <f t="shared" si="196"/>
        <v>0</v>
      </c>
      <c r="GZ102" s="54" t="b">
        <f t="shared" si="197"/>
        <v>1</v>
      </c>
      <c r="HA102" s="54">
        <f t="shared" si="198"/>
        <v>0.26935020107061902</v>
      </c>
      <c r="HB102" s="54" t="e">
        <f t="shared" si="199"/>
        <v>#N/A</v>
      </c>
      <c r="HC102" s="54">
        <f t="shared" si="200"/>
        <v>0.26935020107061902</v>
      </c>
      <c r="HD102" s="69" t="str">
        <f t="shared" si="201"/>
        <v/>
      </c>
      <c r="HJ102" s="54">
        <f t="shared" si="202"/>
        <v>92</v>
      </c>
      <c r="HK102" s="54">
        <f t="shared" si="203"/>
        <v>93</v>
      </c>
      <c r="HL102" s="54">
        <f t="shared" si="204"/>
        <v>-1.3725249322451032</v>
      </c>
      <c r="HM102" s="54" t="e">
        <f t="shared" si="205"/>
        <v>#N/A</v>
      </c>
      <c r="HN102" s="54">
        <f t="shared" si="206"/>
        <v>0.1484032208531284</v>
      </c>
      <c r="HO102" s="54" t="e">
        <f t="shared" si="207"/>
        <v>#N/A</v>
      </c>
      <c r="HP102" s="54" t="e">
        <f t="shared" si="208"/>
        <v>#N/A</v>
      </c>
      <c r="HQ102" s="54" t="b">
        <f t="shared" si="209"/>
        <v>1</v>
      </c>
      <c r="HR102" s="54" t="b">
        <f t="shared" si="210"/>
        <v>0</v>
      </c>
      <c r="HS102" s="54" t="b">
        <f t="shared" si="211"/>
        <v>0</v>
      </c>
      <c r="HT102" s="54" t="b">
        <f t="shared" si="212"/>
        <v>1</v>
      </c>
      <c r="HU102" s="54">
        <f t="shared" si="213"/>
        <v>0.1484032208531284</v>
      </c>
      <c r="HV102" s="54">
        <f t="shared" si="214"/>
        <v>0.1484032208531284</v>
      </c>
      <c r="HW102" s="54" t="e">
        <f t="shared" si="215"/>
        <v>#N/A</v>
      </c>
      <c r="HX102" s="69" t="str">
        <f t="shared" si="216"/>
        <v/>
      </c>
    </row>
    <row r="103" spans="78:232" x14ac:dyDescent="0.2">
      <c r="BZ103" s="54">
        <f t="shared" si="143"/>
        <v>93</v>
      </c>
      <c r="CA103" s="54">
        <f>Eu_tabel_g[[#This Row],[Indeks]]+1</f>
        <v>94</v>
      </c>
      <c r="CB103" s="54">
        <f t="shared" si="144"/>
        <v>-0.86239041102357561</v>
      </c>
      <c r="CC103" s="54">
        <f t="shared" si="145"/>
        <v>0.27505144014997257</v>
      </c>
      <c r="CD103" s="54" t="e">
        <f t="shared" si="146"/>
        <v>#N/A</v>
      </c>
      <c r="CE103" s="54" t="e">
        <f t="shared" si="147"/>
        <v>#N/A</v>
      </c>
      <c r="CF103" s="54" t="e">
        <f t="shared" si="148"/>
        <v>#N/A</v>
      </c>
      <c r="CG103" s="54" t="b">
        <f t="shared" si="149"/>
        <v>0</v>
      </c>
      <c r="CH103" s="54" t="b">
        <f t="shared" si="150"/>
        <v>1</v>
      </c>
      <c r="CI103" s="54" t="b">
        <f t="shared" si="151"/>
        <v>0</v>
      </c>
      <c r="CJ103" s="54" t="b">
        <f t="shared" si="152"/>
        <v>1</v>
      </c>
      <c r="CK103" s="54">
        <f t="shared" si="217"/>
        <v>0.27505144014997257</v>
      </c>
      <c r="CL103" s="54" t="e">
        <f t="shared" si="153"/>
        <v>#N/A</v>
      </c>
      <c r="CM103" s="54">
        <f t="shared" si="154"/>
        <v>0.27505144014997257</v>
      </c>
      <c r="CN103" s="69" t="str">
        <f t="shared" si="155"/>
        <v/>
      </c>
      <c r="CO103" s="54">
        <f>_xlfn.NORM.DIST(_xlfn.NORM.INV(1-Eu_g_konfidensniveau,0,1)-Eu_tabel_g[[#This Row],[x base]],0,1,TRUE)</f>
        <v>0.2169711974485582</v>
      </c>
      <c r="CP103" s="54">
        <f>1-_xlfn.NORM.DIST(_xlfn.NORM.INV(Eu_g_konfidensniveau,0,1)-Eu_tabel_g[[#This Row],[x base]],0,1,TRUE)</f>
        <v>6.0838336081612265E-3</v>
      </c>
      <c r="CQ103" s="54">
        <f>_xlfn.NORM.DIST(_xlfn.NORM.INV((1-Eu_g_konfidensniveau)/2,0,1)-Eu_tabel_g[[#This Row],[x base]],0,1,TRUE)+1-_xlfn.NORM.DIST(_xlfn.NORM.INV(1-(1-Eu_g_konfidensniveau)/2,0,1)-Eu_tabel_g[[#This Row],[x base]],0,1,TRUE)</f>
        <v>0.13857899198909518</v>
      </c>
      <c r="CR103" s="54" t="e" cm="1">
        <f t="array" ref="CR103">IF($CR$3,INDEX(Eu_tabel_g[[#This Row],[Styrke venstre]:[Styrke tosidet]],CR$7),NA())</f>
        <v>#N/A</v>
      </c>
      <c r="CS103" s="89" t="e">
        <f>Eu_tabel_g[[#This Row],[Falsk positiv
Nulhypotese accepteres
Fejltype 1]]</f>
        <v>#N/A</v>
      </c>
      <c r="CT103" s="89" t="e">
        <f>IF(CHOOSE(CR$7,Eu_tabel_g[[#This Row],[x base]]&gt;0,Eu_tabel_g[[#This Row],[x base]]&lt;0,Eu_tabel_g[[#This Row],[x base]]=0),Eu_tabel_g[[#This Row],[Styrke, aktiv]],NA())</f>
        <v>#N/A</v>
      </c>
      <c r="CU103" s="89" t="e">
        <f>IFERROR(IF($CR$3,Eu_tabel_g[[#This Row],[Styrke, aktiv]],NA()),NA())</f>
        <v>#N/A</v>
      </c>
      <c r="CV103" s="89" t="e">
        <f>IF(ISNA(Eu_tabel_g[[#This Row],[Sand negativ
Nulhypotese afvises
Korrekt]]),NA(),IF($CR$3,1,NA()))</f>
        <v>#N/A</v>
      </c>
      <c r="CW103" s="56" t="str" cm="1">
        <f t="array" ref="CW103">_xlfn.SWITCH(BZ103,_xlfn.IFNA(CU$2,-99),CU$5,_xlfn.IFNA(CU$3,-99),CU$6,_xlfn.IFNA(CU$4,-99),CU$7,"")</f>
        <v/>
      </c>
      <c r="DA103" s="7">
        <f t="shared" si="156"/>
        <v>0.8</v>
      </c>
      <c r="DB103">
        <f>IF(ROW(Styrkeberegning_G[[#This Row],[X base venstre]])=ROW(Styrkeberegning_G[[#Headers],[X base venstre]])+1,DB$7/(DA$7/$B$67),DB102/(DA102/$B$67))</f>
        <v>-2.8015817870135784</v>
      </c>
      <c r="DC103">
        <f>Styrkeberegning_G[[#This Row],[X base venstre]]*-1</f>
        <v>2.8015817870135784</v>
      </c>
      <c r="DN103" s="54">
        <f t="shared" si="157"/>
        <v>93</v>
      </c>
      <c r="DO103" s="54">
        <f t="shared" si="158"/>
        <v>94</v>
      </c>
      <c r="DP103" s="54">
        <f t="shared" si="159"/>
        <v>12.442442311434784</v>
      </c>
      <c r="DQ103" s="54" t="e">
        <f t="shared" si="160"/>
        <v>#N/A</v>
      </c>
      <c r="DR103" s="54" t="e">
        <f t="shared" si="161"/>
        <v>#N/A</v>
      </c>
      <c r="DS103" s="54">
        <f t="shared" si="162"/>
        <v>7.0910671820293661E-2</v>
      </c>
      <c r="DT103" s="54" t="e">
        <f t="shared" si="163"/>
        <v>#N/A</v>
      </c>
      <c r="DU103" s="54" t="b">
        <f t="shared" si="164"/>
        <v>0</v>
      </c>
      <c r="DV103" s="54" t="b">
        <f t="shared" si="165"/>
        <v>1</v>
      </c>
      <c r="DW103" s="54" t="b">
        <f t="shared" si="166"/>
        <v>0</v>
      </c>
      <c r="DX103" s="54" t="b">
        <f t="shared" si="167"/>
        <v>1</v>
      </c>
      <c r="DY103" s="54">
        <f t="shared" si="168"/>
        <v>7.0910671820293661E-2</v>
      </c>
      <c r="DZ103" s="54" t="e">
        <f t="shared" si="169"/>
        <v>#N/A</v>
      </c>
      <c r="EA103" s="54">
        <f t="shared" si="170"/>
        <v>7.0910671820293661E-2</v>
      </c>
      <c r="EB103" s="69" t="str">
        <f t="shared" si="171"/>
        <v/>
      </c>
      <c r="EG103" s="54">
        <f t="shared" si="172"/>
        <v>93</v>
      </c>
      <c r="EH103" s="54">
        <f t="shared" si="173"/>
        <v>94</v>
      </c>
      <c r="EI103" s="54">
        <f t="shared" si="174"/>
        <v>-0.86239041102357561</v>
      </c>
      <c r="EJ103" s="54">
        <f t="shared" si="175"/>
        <v>0.27505144014997257</v>
      </c>
      <c r="EK103" s="54" t="e">
        <f t="shared" si="176"/>
        <v>#N/A</v>
      </c>
      <c r="EL103" s="54" t="e">
        <f t="shared" si="177"/>
        <v>#N/A</v>
      </c>
      <c r="EM103" s="54" t="e">
        <f t="shared" si="178"/>
        <v>#N/A</v>
      </c>
      <c r="EN103" s="54" t="b">
        <f t="shared" si="179"/>
        <v>0</v>
      </c>
      <c r="EO103" s="54" t="b">
        <f t="shared" si="180"/>
        <v>1</v>
      </c>
      <c r="EP103" s="54" t="b">
        <f t="shared" si="181"/>
        <v>0</v>
      </c>
      <c r="EQ103" s="54" t="b">
        <f t="shared" si="182"/>
        <v>1</v>
      </c>
      <c r="ER103" s="54">
        <f t="shared" si="183"/>
        <v>0.27505144014997257</v>
      </c>
      <c r="ES103" s="54" t="e">
        <f t="shared" si="184"/>
        <v>#N/A</v>
      </c>
      <c r="ET103" s="54">
        <f t="shared" si="185"/>
        <v>0.27505144014997257</v>
      </c>
      <c r="EU103" s="69" t="str">
        <f t="shared" si="186"/>
        <v/>
      </c>
      <c r="EV10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0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0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03" s="54" t="e" cm="1">
        <f t="array" ref="EY103">IF($CR$3,INDEX(Eu_tabel_a[[#This Row],[Styrke venstre]:[Styrke tosidet]],EY$7),NA())</f>
        <v>#N/A</v>
      </c>
      <c r="EZ103" s="54" t="e">
        <f>IF(EY$3,IF(CHOOSE(EY$7,Eu_tabel_a[[#This Row],[x base]]&gt;0,Eu_tabel_a[[#This Row],[x base]]&lt;0,Eu_tabel_a[[#This Row],[x base]]=0),1,NA()),NA())</f>
        <v>#N/A</v>
      </c>
      <c r="FA103" s="54" t="e">
        <f>IF(CHOOSE(EY$7,Eu_tabel_a[[#This Row],[x base]]&gt;0,Eu_tabel_a[[#This Row],[x base]]&lt;0,Eu_tabel_a[[#This Row],[x base]]=0),Eu_tabel_a[[#This Row],[Styrke, aktiv]],NA())</f>
        <v>#N/A</v>
      </c>
      <c r="FB103" s="54" t="e">
        <f>IFERROR(IF($EY$3,Eu_tabel_a[[#This Row],[Styrke, aktiv]],NA()),NA())</f>
        <v>#N/A</v>
      </c>
      <c r="FC103" s="54" t="e">
        <f>IF(ISNA(Eu_tabel_a[[#This Row],[Sand negativ
Nulhypotese afvises
Korrekt]]),NA(),IF(EY$3,1,NA()))</f>
        <v>#N/A</v>
      </c>
      <c r="FD103" s="55" t="str" cm="1">
        <f t="array" ref="FD103">IFERROR(_xlfn.SWITCH(Eu_tabel_a[[#This Row],[Indeks]],_xlfn.IFNA(FB$2,-99),FB$5,_xlfn.IFNA(FB$3,-99),FB$6,_xlfn.IFNA(FB$4,-99),FB$7,""),"")</f>
        <v/>
      </c>
      <c r="FE103" s="54">
        <f>Eu_tabel_a[[#This Row],[x base]]*SQRT(Eu_a_h0_x*(1-Eu_a_h0_x)/Eu_a_n_x)+Eu_a_h0_x</f>
        <v>0</v>
      </c>
      <c r="FJ103" s="144" t="e">
        <f t="shared" si="130"/>
        <v>#N/A</v>
      </c>
      <c r="FK103" s="152" t="e">
        <f t="shared" si="218"/>
        <v>#DIV/0!</v>
      </c>
      <c r="FL103" s="7" t="e">
        <f t="shared" si="124"/>
        <v>#DIV/0!</v>
      </c>
      <c r="FM103" t="e">
        <f t="shared" si="219"/>
        <v>#DIV/0!</v>
      </c>
      <c r="FN103" s="8" t="e">
        <f t="shared" si="220"/>
        <v>#DIV/0!</v>
      </c>
      <c r="FO103" s="8" t="e">
        <f t="shared" si="221"/>
        <v>#DIV/0!</v>
      </c>
      <c r="FP103" s="151" t="e">
        <f t="shared" si="222"/>
        <v>#DIV/0!</v>
      </c>
      <c r="FQ103" s="144" t="e">
        <f t="shared" ca="1" si="125"/>
        <v>#N/A</v>
      </c>
      <c r="FR103" s="152" t="e" vm="3">
        <f t="shared" ca="1" si="131"/>
        <v>#VALUE!</v>
      </c>
      <c r="FS103" s="7" t="e" vm="3">
        <f t="shared" ca="1" si="126"/>
        <v>#VALUE!</v>
      </c>
      <c r="FT103" t="e" vm="3">
        <f t="shared" ca="1" si="120"/>
        <v>#VALUE!</v>
      </c>
      <c r="FU103" s="8" t="e" vm="3">
        <f t="shared" ca="1" si="121"/>
        <v>#VALUE!</v>
      </c>
      <c r="FV103" s="8" t="e" vm="3">
        <f t="shared" ca="1" si="122"/>
        <v>#VALUE!</v>
      </c>
      <c r="FW103" s="151" t="e" vm="3">
        <f t="shared" ca="1" si="123"/>
        <v>#VALUE!</v>
      </c>
      <c r="FX103" s="144" t="e">
        <f t="shared" si="127"/>
        <v>#N/A</v>
      </c>
      <c r="FY103" s="152" t="e">
        <f t="shared" si="132"/>
        <v>#N/A</v>
      </c>
      <c r="FZ103" s="7" t="e">
        <f t="shared" si="128"/>
        <v>#N/A</v>
      </c>
      <c r="GA103" t="e">
        <f t="shared" si="133"/>
        <v>#N/A</v>
      </c>
      <c r="GB103" s="8" t="e">
        <f t="shared" si="134"/>
        <v>#N/A</v>
      </c>
      <c r="GC103" s="8" t="e">
        <f t="shared" si="135"/>
        <v>#N/A</v>
      </c>
      <c r="GD103" s="151" t="e">
        <f t="shared" si="136"/>
        <v>#N/A</v>
      </c>
      <c r="GE103" s="144" t="e">
        <f t="shared" si="137"/>
        <v>#N/A</v>
      </c>
      <c r="GF103" s="152" t="e">
        <f t="shared" si="138"/>
        <v>#N/A</v>
      </c>
      <c r="GG103" s="7" t="e">
        <f t="shared" si="129"/>
        <v>#N/A</v>
      </c>
      <c r="GH103" t="e">
        <f t="shared" si="139"/>
        <v>#N/A</v>
      </c>
      <c r="GI103" s="8" t="e">
        <f t="shared" si="140"/>
        <v>#N/A</v>
      </c>
      <c r="GJ103" s="8" t="e">
        <f t="shared" si="141"/>
        <v>#N/A</v>
      </c>
      <c r="GK103" s="151" t="e">
        <f t="shared" si="142"/>
        <v>#N/A</v>
      </c>
      <c r="GL103" s="151"/>
      <c r="GM103" s="151"/>
      <c r="GP103" s="54">
        <f t="shared" si="187"/>
        <v>93</v>
      </c>
      <c r="GQ103" s="54">
        <f t="shared" si="188"/>
        <v>94</v>
      </c>
      <c r="GR103" s="54">
        <f t="shared" si="189"/>
        <v>-0.86239041102357561</v>
      </c>
      <c r="GS103" s="54">
        <f t="shared" si="190"/>
        <v>0.27505144014997257</v>
      </c>
      <c r="GT103" s="54" t="e">
        <f t="shared" si="191"/>
        <v>#N/A</v>
      </c>
      <c r="GU103" s="54" t="e">
        <f t="shared" si="192"/>
        <v>#N/A</v>
      </c>
      <c r="GV103" s="54" t="e">
        <f t="shared" si="193"/>
        <v>#N/A</v>
      </c>
      <c r="GW103" s="54" t="b">
        <f t="shared" si="194"/>
        <v>0</v>
      </c>
      <c r="GX103" s="54" t="b">
        <f t="shared" si="195"/>
        <v>1</v>
      </c>
      <c r="GY103" s="54" t="b">
        <f t="shared" si="196"/>
        <v>0</v>
      </c>
      <c r="GZ103" s="54" t="b">
        <f t="shared" si="197"/>
        <v>1</v>
      </c>
      <c r="HA103" s="54">
        <f t="shared" si="198"/>
        <v>0.27505144014997257</v>
      </c>
      <c r="HB103" s="54" t="e">
        <f t="shared" si="199"/>
        <v>#N/A</v>
      </c>
      <c r="HC103" s="54">
        <f t="shared" si="200"/>
        <v>0.27505144014997257</v>
      </c>
      <c r="HD103" s="69" t="str">
        <f t="shared" si="201"/>
        <v/>
      </c>
      <c r="HJ103" s="54">
        <f t="shared" si="202"/>
        <v>93</v>
      </c>
      <c r="HK103" s="54">
        <f t="shared" si="203"/>
        <v>94</v>
      </c>
      <c r="HL103" s="54">
        <f t="shared" si="204"/>
        <v>-1.3354296638060461</v>
      </c>
      <c r="HM103" s="54" t="e">
        <f t="shared" si="205"/>
        <v>#N/A</v>
      </c>
      <c r="HN103" s="54">
        <f t="shared" si="206"/>
        <v>0.15530951457528158</v>
      </c>
      <c r="HO103" s="54" t="e">
        <f t="shared" si="207"/>
        <v>#N/A</v>
      </c>
      <c r="HP103" s="54" t="e">
        <f t="shared" si="208"/>
        <v>#N/A</v>
      </c>
      <c r="HQ103" s="54" t="b">
        <f t="shared" si="209"/>
        <v>1</v>
      </c>
      <c r="HR103" s="54" t="b">
        <f t="shared" si="210"/>
        <v>0</v>
      </c>
      <c r="HS103" s="54" t="b">
        <f t="shared" si="211"/>
        <v>0</v>
      </c>
      <c r="HT103" s="54" t="b">
        <f t="shared" si="212"/>
        <v>1</v>
      </c>
      <c r="HU103" s="54">
        <f t="shared" si="213"/>
        <v>0.15530951457528158</v>
      </c>
      <c r="HV103" s="54">
        <f t="shared" si="214"/>
        <v>0.15530951457528158</v>
      </c>
      <c r="HW103" s="54" t="e">
        <f t="shared" si="215"/>
        <v>#N/A</v>
      </c>
      <c r="HX103" s="69" t="str">
        <f t="shared" si="216"/>
        <v/>
      </c>
    </row>
    <row r="104" spans="78:232" x14ac:dyDescent="0.2">
      <c r="BZ104" s="54">
        <f t="shared" si="143"/>
        <v>94</v>
      </c>
      <c r="CA104" s="54">
        <f>Eu_tabel_g[[#This Row],[Indeks]]+1</f>
        <v>95</v>
      </c>
      <c r="CB104" s="54">
        <f t="shared" si="144"/>
        <v>-0.83843512182847668</v>
      </c>
      <c r="CC104" s="54">
        <f t="shared" si="145"/>
        <v>0.28071222072349411</v>
      </c>
      <c r="CD104" s="54" t="e">
        <f t="shared" si="146"/>
        <v>#N/A</v>
      </c>
      <c r="CE104" s="54" t="e">
        <f t="shared" si="147"/>
        <v>#N/A</v>
      </c>
      <c r="CF104" s="54" t="e">
        <f t="shared" si="148"/>
        <v>#N/A</v>
      </c>
      <c r="CG104" s="54" t="b">
        <f t="shared" si="149"/>
        <v>0</v>
      </c>
      <c r="CH104" s="54" t="b">
        <f t="shared" si="150"/>
        <v>1</v>
      </c>
      <c r="CI104" s="54" t="b">
        <f t="shared" si="151"/>
        <v>0</v>
      </c>
      <c r="CJ104" s="54" t="b">
        <f t="shared" si="152"/>
        <v>1</v>
      </c>
      <c r="CK104" s="54">
        <f t="shared" si="217"/>
        <v>0.28071222072349411</v>
      </c>
      <c r="CL104" s="54" t="e">
        <f t="shared" si="153"/>
        <v>#N/A</v>
      </c>
      <c r="CM104" s="54">
        <f t="shared" si="154"/>
        <v>0.28071222072349411</v>
      </c>
      <c r="CN104" s="69" t="str">
        <f t="shared" si="155"/>
        <v/>
      </c>
      <c r="CO104" s="54">
        <f>_xlfn.NORM.DIST(_xlfn.NORM.INV(1-Eu_g_konfidensniveau,0,1)-Eu_tabel_g[[#This Row],[x base]],0,1,TRUE)</f>
        <v>0.21000079021859852</v>
      </c>
      <c r="CP104" s="54">
        <f>1-_xlfn.NORM.DIST(_xlfn.NORM.INV(Eu_g_konfidensniveau,0,1)-Eu_tabel_g[[#This Row],[x base]],0,1,TRUE)</f>
        <v>6.5087760207921397E-3</v>
      </c>
      <c r="CQ104" s="54">
        <f>_xlfn.NORM.DIST(_xlfn.NORM.INV((1-Eu_g_konfidensniveau)/2,0,1)-Eu_tabel_g[[#This Row],[x base]],0,1,TRUE)+1-_xlfn.NORM.DIST(_xlfn.NORM.INV(1-(1-Eu_g_konfidensniveau)/2,0,1)-Eu_tabel_g[[#This Row],[x base]],0,1,TRUE)</f>
        <v>0.13359923699915444</v>
      </c>
      <c r="CR104" s="54" t="e" cm="1">
        <f t="array" ref="CR104">IF($CR$3,INDEX(Eu_tabel_g[[#This Row],[Styrke venstre]:[Styrke tosidet]],CR$7),NA())</f>
        <v>#N/A</v>
      </c>
      <c r="CS104" s="89" t="e">
        <f>Eu_tabel_g[[#This Row],[Falsk positiv
Nulhypotese accepteres
Fejltype 1]]</f>
        <v>#N/A</v>
      </c>
      <c r="CT104" s="89" t="e">
        <f>IF(CHOOSE(CR$7,Eu_tabel_g[[#This Row],[x base]]&gt;0,Eu_tabel_g[[#This Row],[x base]]&lt;0,Eu_tabel_g[[#This Row],[x base]]=0),Eu_tabel_g[[#This Row],[Styrke, aktiv]],NA())</f>
        <v>#N/A</v>
      </c>
      <c r="CU104" s="89" t="e">
        <f>IFERROR(IF($CR$3,Eu_tabel_g[[#This Row],[Styrke, aktiv]],NA()),NA())</f>
        <v>#N/A</v>
      </c>
      <c r="CV104" s="89" t="e">
        <f>IF(ISNA(Eu_tabel_g[[#This Row],[Sand negativ
Nulhypotese afvises
Korrekt]]),NA(),IF($CR$3,1,NA()))</f>
        <v>#N/A</v>
      </c>
      <c r="CW104" s="56" t="str" cm="1">
        <f t="array" ref="CW104">_xlfn.SWITCH(BZ104,_xlfn.IFNA(CU$2,-99),CU$5,_xlfn.IFNA(CU$3,-99),CU$6,_xlfn.IFNA(CU$4,-99),CU$7,"")</f>
        <v/>
      </c>
      <c r="DA104" s="7">
        <f t="shared" si="156"/>
        <v>0.8</v>
      </c>
      <c r="DB104">
        <f>IF(ROW(Styrkeberegning_G[[#This Row],[X base venstre]])=ROW(Styrkeberegning_G[[#Headers],[X base venstre]])+1,DB$7/(DA$7/$B$67),DB103/(DA103/$B$67))</f>
        <v>-2.8015817870135784</v>
      </c>
      <c r="DC104">
        <f>Styrkeberegning_G[[#This Row],[X base venstre]]*-1</f>
        <v>2.8015817870135784</v>
      </c>
      <c r="DN104" s="54">
        <f t="shared" si="157"/>
        <v>94</v>
      </c>
      <c r="DO104" s="54">
        <f t="shared" si="158"/>
        <v>95</v>
      </c>
      <c r="DP104" s="54">
        <f t="shared" si="159"/>
        <v>12.556513167851785</v>
      </c>
      <c r="DQ104" s="54" t="e">
        <f t="shared" si="160"/>
        <v>#N/A</v>
      </c>
      <c r="DR104" s="54" t="e">
        <f t="shared" si="161"/>
        <v>#N/A</v>
      </c>
      <c r="DS104" s="54">
        <f t="shared" si="162"/>
        <v>6.9787368231036304E-2</v>
      </c>
      <c r="DT104" s="54" t="e">
        <f t="shared" si="163"/>
        <v>#N/A</v>
      </c>
      <c r="DU104" s="54" t="b">
        <f t="shared" si="164"/>
        <v>0</v>
      </c>
      <c r="DV104" s="54" t="b">
        <f t="shared" si="165"/>
        <v>1</v>
      </c>
      <c r="DW104" s="54" t="b">
        <f t="shared" si="166"/>
        <v>0</v>
      </c>
      <c r="DX104" s="54" t="b">
        <f t="shared" si="167"/>
        <v>1</v>
      </c>
      <c r="DY104" s="54">
        <f t="shared" si="168"/>
        <v>6.9787368231036304E-2</v>
      </c>
      <c r="DZ104" s="54" t="e">
        <f t="shared" si="169"/>
        <v>#N/A</v>
      </c>
      <c r="EA104" s="54">
        <f t="shared" si="170"/>
        <v>6.9787368231036304E-2</v>
      </c>
      <c r="EB104" s="69" t="str">
        <f t="shared" si="171"/>
        <v/>
      </c>
      <c r="EG104" s="54">
        <f t="shared" si="172"/>
        <v>94</v>
      </c>
      <c r="EH104" s="54">
        <f t="shared" si="173"/>
        <v>95</v>
      </c>
      <c r="EI104" s="54">
        <f t="shared" si="174"/>
        <v>-0.83843512182847668</v>
      </c>
      <c r="EJ104" s="54">
        <f t="shared" si="175"/>
        <v>0.28071222072349411</v>
      </c>
      <c r="EK104" s="54" t="e">
        <f t="shared" si="176"/>
        <v>#N/A</v>
      </c>
      <c r="EL104" s="54" t="e">
        <f t="shared" si="177"/>
        <v>#N/A</v>
      </c>
      <c r="EM104" s="54" t="e">
        <f t="shared" si="178"/>
        <v>#N/A</v>
      </c>
      <c r="EN104" s="54" t="b">
        <f t="shared" si="179"/>
        <v>0</v>
      </c>
      <c r="EO104" s="54" t="b">
        <f t="shared" si="180"/>
        <v>1</v>
      </c>
      <c r="EP104" s="54" t="b">
        <f t="shared" si="181"/>
        <v>0</v>
      </c>
      <c r="EQ104" s="54" t="b">
        <f t="shared" si="182"/>
        <v>1</v>
      </c>
      <c r="ER104" s="54">
        <f t="shared" si="183"/>
        <v>0.28071222072349411</v>
      </c>
      <c r="ES104" s="54" t="e">
        <f t="shared" si="184"/>
        <v>#N/A</v>
      </c>
      <c r="ET104" s="54">
        <f t="shared" si="185"/>
        <v>0.28071222072349411</v>
      </c>
      <c r="EU104" s="69" t="str">
        <f t="shared" si="186"/>
        <v/>
      </c>
      <c r="EV10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0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0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04" s="54" t="e" cm="1">
        <f t="array" ref="EY104">IF($CR$3,INDEX(Eu_tabel_a[[#This Row],[Styrke venstre]:[Styrke tosidet]],EY$7),NA())</f>
        <v>#N/A</v>
      </c>
      <c r="EZ104" s="54" t="e">
        <f>IF(EY$3,IF(CHOOSE(EY$7,Eu_tabel_a[[#This Row],[x base]]&gt;0,Eu_tabel_a[[#This Row],[x base]]&lt;0,Eu_tabel_a[[#This Row],[x base]]=0),1,NA()),NA())</f>
        <v>#N/A</v>
      </c>
      <c r="FA104" s="54" t="e">
        <f>IF(CHOOSE(EY$7,Eu_tabel_a[[#This Row],[x base]]&gt;0,Eu_tabel_a[[#This Row],[x base]]&lt;0,Eu_tabel_a[[#This Row],[x base]]=0),Eu_tabel_a[[#This Row],[Styrke, aktiv]],NA())</f>
        <v>#N/A</v>
      </c>
      <c r="FB104" s="54" t="e">
        <f>IFERROR(IF($EY$3,Eu_tabel_a[[#This Row],[Styrke, aktiv]],NA()),NA())</f>
        <v>#N/A</v>
      </c>
      <c r="FC104" s="54" t="e">
        <f>IF(ISNA(Eu_tabel_a[[#This Row],[Sand negativ
Nulhypotese afvises
Korrekt]]),NA(),IF(EY$3,1,NA()))</f>
        <v>#N/A</v>
      </c>
      <c r="FD104" s="55" t="str" cm="1">
        <f t="array" ref="FD104">IFERROR(_xlfn.SWITCH(Eu_tabel_a[[#This Row],[Indeks]],_xlfn.IFNA(FB$2,-99),FB$5,_xlfn.IFNA(FB$3,-99),FB$6,_xlfn.IFNA(FB$4,-99),FB$7,""),"")</f>
        <v/>
      </c>
      <c r="FE104" s="54">
        <f>Eu_tabel_a[[#This Row],[x base]]*SQRT(Eu_a_h0_x*(1-Eu_a_h0_x)/Eu_a_n_x)+Eu_a_h0_x</f>
        <v>0</v>
      </c>
      <c r="FJ104" s="144" t="e">
        <f t="shared" si="130"/>
        <v>#N/A</v>
      </c>
      <c r="FK104" s="152" t="e">
        <f t="shared" si="218"/>
        <v>#DIV/0!</v>
      </c>
      <c r="FL104" s="7" t="e">
        <f t="shared" si="124"/>
        <v>#DIV/0!</v>
      </c>
      <c r="FM104" t="e">
        <f t="shared" si="219"/>
        <v>#DIV/0!</v>
      </c>
      <c r="FN104" s="8" t="e">
        <f t="shared" si="220"/>
        <v>#DIV/0!</v>
      </c>
      <c r="FO104" s="8" t="e">
        <f t="shared" si="221"/>
        <v>#DIV/0!</v>
      </c>
      <c r="FP104" s="151" t="e">
        <f t="shared" si="222"/>
        <v>#DIV/0!</v>
      </c>
      <c r="FQ104" s="144" t="e">
        <f t="shared" ca="1" si="125"/>
        <v>#N/A</v>
      </c>
      <c r="FR104" s="152" t="e" vm="3">
        <f t="shared" ca="1" si="131"/>
        <v>#VALUE!</v>
      </c>
      <c r="FS104" s="7" t="e" vm="3">
        <f t="shared" ca="1" si="126"/>
        <v>#VALUE!</v>
      </c>
      <c r="FT104" t="e" vm="3">
        <f t="shared" ca="1" si="120"/>
        <v>#VALUE!</v>
      </c>
      <c r="FU104" s="8" t="e" vm="3">
        <f t="shared" ca="1" si="121"/>
        <v>#VALUE!</v>
      </c>
      <c r="FV104" s="8" t="e" vm="3">
        <f t="shared" ca="1" si="122"/>
        <v>#VALUE!</v>
      </c>
      <c r="FW104" s="151" t="e" vm="3">
        <f t="shared" ca="1" si="123"/>
        <v>#VALUE!</v>
      </c>
      <c r="FX104" s="144" t="e">
        <f t="shared" si="127"/>
        <v>#N/A</v>
      </c>
      <c r="FY104" s="152" t="e">
        <f t="shared" si="132"/>
        <v>#N/A</v>
      </c>
      <c r="FZ104" s="7" t="e">
        <f t="shared" si="128"/>
        <v>#N/A</v>
      </c>
      <c r="GA104" t="e">
        <f t="shared" si="133"/>
        <v>#N/A</v>
      </c>
      <c r="GB104" s="8" t="e">
        <f t="shared" si="134"/>
        <v>#N/A</v>
      </c>
      <c r="GC104" s="8" t="e">
        <f t="shared" si="135"/>
        <v>#N/A</v>
      </c>
      <c r="GD104" s="151" t="e">
        <f t="shared" si="136"/>
        <v>#N/A</v>
      </c>
      <c r="GE104" s="144" t="e">
        <f t="shared" si="137"/>
        <v>#N/A</v>
      </c>
      <c r="GF104" s="152" t="e">
        <f t="shared" si="138"/>
        <v>#N/A</v>
      </c>
      <c r="GG104" s="7" t="e">
        <f t="shared" si="129"/>
        <v>#N/A</v>
      </c>
      <c r="GH104" t="e">
        <f t="shared" si="139"/>
        <v>#N/A</v>
      </c>
      <c r="GI104" s="8" t="e">
        <f t="shared" si="140"/>
        <v>#N/A</v>
      </c>
      <c r="GJ104" s="8" t="e">
        <f t="shared" si="141"/>
        <v>#N/A</v>
      </c>
      <c r="GK104" s="151" t="e">
        <f t="shared" si="142"/>
        <v>#N/A</v>
      </c>
      <c r="GL104" s="151"/>
      <c r="GM104" s="151"/>
      <c r="GP104" s="54">
        <f t="shared" si="187"/>
        <v>94</v>
      </c>
      <c r="GQ104" s="54">
        <f t="shared" si="188"/>
        <v>95</v>
      </c>
      <c r="GR104" s="54">
        <f t="shared" si="189"/>
        <v>-0.83843512182847668</v>
      </c>
      <c r="GS104" s="54">
        <f t="shared" si="190"/>
        <v>0.28071222072349411</v>
      </c>
      <c r="GT104" s="54" t="e">
        <f t="shared" si="191"/>
        <v>#N/A</v>
      </c>
      <c r="GU104" s="54" t="e">
        <f t="shared" si="192"/>
        <v>#N/A</v>
      </c>
      <c r="GV104" s="54" t="e">
        <f t="shared" si="193"/>
        <v>#N/A</v>
      </c>
      <c r="GW104" s="54" t="b">
        <f t="shared" si="194"/>
        <v>0</v>
      </c>
      <c r="GX104" s="54" t="b">
        <f t="shared" si="195"/>
        <v>1</v>
      </c>
      <c r="GY104" s="54" t="b">
        <f t="shared" si="196"/>
        <v>0</v>
      </c>
      <c r="GZ104" s="54" t="b">
        <f t="shared" si="197"/>
        <v>1</v>
      </c>
      <c r="HA104" s="54">
        <f t="shared" si="198"/>
        <v>0.28071222072349411</v>
      </c>
      <c r="HB104" s="54" t="e">
        <f t="shared" si="199"/>
        <v>#N/A</v>
      </c>
      <c r="HC104" s="54">
        <f t="shared" si="200"/>
        <v>0.28071222072349411</v>
      </c>
      <c r="HD104" s="69" t="str">
        <f t="shared" si="201"/>
        <v/>
      </c>
      <c r="HJ104" s="54">
        <f t="shared" si="202"/>
        <v>94</v>
      </c>
      <c r="HK104" s="54">
        <f t="shared" si="203"/>
        <v>95</v>
      </c>
      <c r="HL104" s="54">
        <f t="shared" si="204"/>
        <v>-1.2983343953669895</v>
      </c>
      <c r="HM104" s="54" t="e">
        <f t="shared" si="205"/>
        <v>#N/A</v>
      </c>
      <c r="HN104" s="54">
        <f t="shared" si="206"/>
        <v>0.16241625995329936</v>
      </c>
      <c r="HO104" s="54" t="e">
        <f t="shared" si="207"/>
        <v>#N/A</v>
      </c>
      <c r="HP104" s="54" t="e">
        <f t="shared" si="208"/>
        <v>#N/A</v>
      </c>
      <c r="HQ104" s="54" t="b">
        <f t="shared" si="209"/>
        <v>1</v>
      </c>
      <c r="HR104" s="54" t="b">
        <f t="shared" si="210"/>
        <v>0</v>
      </c>
      <c r="HS104" s="54" t="b">
        <f t="shared" si="211"/>
        <v>0</v>
      </c>
      <c r="HT104" s="54" t="b">
        <f t="shared" si="212"/>
        <v>1</v>
      </c>
      <c r="HU104" s="54">
        <f t="shared" si="213"/>
        <v>0.16241625995329936</v>
      </c>
      <c r="HV104" s="54">
        <f t="shared" si="214"/>
        <v>0.16241625995329936</v>
      </c>
      <c r="HW104" s="54" t="e">
        <f t="shared" si="215"/>
        <v>#N/A</v>
      </c>
      <c r="HX104" s="69" t="str">
        <f t="shared" si="216"/>
        <v/>
      </c>
    </row>
    <row r="105" spans="78:232" x14ac:dyDescent="0.2">
      <c r="BZ105" s="54">
        <f t="shared" si="143"/>
        <v>95</v>
      </c>
      <c r="CA105" s="54">
        <f>Eu_tabel_g[[#This Row],[Indeks]]+1</f>
        <v>96</v>
      </c>
      <c r="CB105" s="54">
        <f t="shared" si="144"/>
        <v>-0.81447983263337731</v>
      </c>
      <c r="CC105" s="54">
        <f t="shared" si="145"/>
        <v>0.28632514820484678</v>
      </c>
      <c r="CD105" s="54" t="e">
        <f t="shared" si="146"/>
        <v>#N/A</v>
      </c>
      <c r="CE105" s="54" t="e">
        <f t="shared" si="147"/>
        <v>#N/A</v>
      </c>
      <c r="CF105" s="54" t="e">
        <f t="shared" si="148"/>
        <v>#N/A</v>
      </c>
      <c r="CG105" s="54" t="b">
        <f t="shared" si="149"/>
        <v>0</v>
      </c>
      <c r="CH105" s="54" t="b">
        <f t="shared" si="150"/>
        <v>1</v>
      </c>
      <c r="CI105" s="54" t="b">
        <f t="shared" si="151"/>
        <v>0</v>
      </c>
      <c r="CJ105" s="54" t="b">
        <f t="shared" si="152"/>
        <v>1</v>
      </c>
      <c r="CK105" s="54">
        <f t="shared" si="217"/>
        <v>0.28632514820484678</v>
      </c>
      <c r="CL105" s="54" t="e">
        <f t="shared" si="153"/>
        <v>#N/A</v>
      </c>
      <c r="CM105" s="54">
        <f t="shared" si="154"/>
        <v>0.28632514820484678</v>
      </c>
      <c r="CN105" s="69" t="str">
        <f t="shared" si="155"/>
        <v/>
      </c>
      <c r="CO105" s="54">
        <f>_xlfn.NORM.DIST(_xlfn.NORM.INV(1-Eu_g_konfidensniveau,0,1)-Eu_tabel_g[[#This Row],[x base]],0,1,TRUE)</f>
        <v>0.2031637386296424</v>
      </c>
      <c r="CP105" s="54">
        <f>1-_xlfn.NORM.DIST(_xlfn.NORM.INV(Eu_g_konfidensniveau,0,1)-Eu_tabel_g[[#This Row],[x base]],0,1,TRUE)</f>
        <v>6.959763111603845E-3</v>
      </c>
      <c r="CQ105" s="54">
        <f>_xlfn.NORM.DIST(_xlfn.NORM.INV((1-Eu_g_konfidensniveau)/2,0,1)-Eu_tabel_g[[#This Row],[x base]],0,1,TRUE)+1-_xlfn.NORM.DIST(_xlfn.NORM.INV(1-(1-Eu_g_konfidensniveau)/2,0,1)-Eu_tabel_g[[#This Row],[x base]],0,1,TRUE)</f>
        <v>0.12876913755707786</v>
      </c>
      <c r="CR105" s="54" t="e" cm="1">
        <f t="array" ref="CR105">IF($CR$3,INDEX(Eu_tabel_g[[#This Row],[Styrke venstre]:[Styrke tosidet]],CR$7),NA())</f>
        <v>#N/A</v>
      </c>
      <c r="CS105" s="89" t="e">
        <f>Eu_tabel_g[[#This Row],[Falsk positiv
Nulhypotese accepteres
Fejltype 1]]</f>
        <v>#N/A</v>
      </c>
      <c r="CT105" s="89" t="e">
        <f>IF(CHOOSE(CR$7,Eu_tabel_g[[#This Row],[x base]]&gt;0,Eu_tabel_g[[#This Row],[x base]]&lt;0,Eu_tabel_g[[#This Row],[x base]]=0),Eu_tabel_g[[#This Row],[Styrke, aktiv]],NA())</f>
        <v>#N/A</v>
      </c>
      <c r="CU105" s="89" t="e">
        <f>IFERROR(IF($CR$3,Eu_tabel_g[[#This Row],[Styrke, aktiv]],NA()),NA())</f>
        <v>#N/A</v>
      </c>
      <c r="CV105" s="89" t="e">
        <f>IF(ISNA(Eu_tabel_g[[#This Row],[Sand negativ
Nulhypotese afvises
Korrekt]]),NA(),IF($CR$3,1,NA()))</f>
        <v>#N/A</v>
      </c>
      <c r="CW105" s="56" t="str" cm="1">
        <f t="array" ref="CW105">_xlfn.SWITCH(BZ105,_xlfn.IFNA(CU$2,-99),CU$5,_xlfn.IFNA(CU$3,-99),CU$6,_xlfn.IFNA(CU$4,-99),CU$7,"")</f>
        <v/>
      </c>
      <c r="DA105" s="7">
        <f t="shared" si="156"/>
        <v>0.8</v>
      </c>
      <c r="DB105">
        <f>IF(ROW(Styrkeberegning_G[[#This Row],[X base venstre]])=ROW(Styrkeberegning_G[[#Headers],[X base venstre]])+1,DB$7/(DA$7/$B$67),DB104/(DA104/$B$67))</f>
        <v>-2.8015817870135784</v>
      </c>
      <c r="DC105">
        <f>Styrkeberegning_G[[#This Row],[X base venstre]]*-1</f>
        <v>2.8015817870135784</v>
      </c>
      <c r="DN105" s="54">
        <f t="shared" si="157"/>
        <v>95</v>
      </c>
      <c r="DO105" s="54">
        <f t="shared" si="158"/>
        <v>96</v>
      </c>
      <c r="DP105" s="54">
        <f t="shared" si="159"/>
        <v>12.670584024268786</v>
      </c>
      <c r="DQ105" s="54" t="e">
        <f t="shared" si="160"/>
        <v>#N/A</v>
      </c>
      <c r="DR105" s="54" t="e">
        <f t="shared" si="161"/>
        <v>#N/A</v>
      </c>
      <c r="DS105" s="54">
        <f t="shared" si="162"/>
        <v>6.8656355318932036E-2</v>
      </c>
      <c r="DT105" s="54" t="e">
        <f t="shared" si="163"/>
        <v>#N/A</v>
      </c>
      <c r="DU105" s="54" t="b">
        <f t="shared" si="164"/>
        <v>0</v>
      </c>
      <c r="DV105" s="54" t="b">
        <f t="shared" si="165"/>
        <v>1</v>
      </c>
      <c r="DW105" s="54" t="b">
        <f t="shared" si="166"/>
        <v>0</v>
      </c>
      <c r="DX105" s="54" t="b">
        <f t="shared" si="167"/>
        <v>1</v>
      </c>
      <c r="DY105" s="54">
        <f t="shared" si="168"/>
        <v>6.8656355318932036E-2</v>
      </c>
      <c r="DZ105" s="54" t="e">
        <f t="shared" si="169"/>
        <v>#N/A</v>
      </c>
      <c r="EA105" s="54">
        <f t="shared" si="170"/>
        <v>6.8656355318932036E-2</v>
      </c>
      <c r="EB105" s="69" t="str">
        <f t="shared" si="171"/>
        <v/>
      </c>
      <c r="EG105" s="54">
        <f t="shared" si="172"/>
        <v>95</v>
      </c>
      <c r="EH105" s="54">
        <f t="shared" si="173"/>
        <v>96</v>
      </c>
      <c r="EI105" s="54">
        <f t="shared" si="174"/>
        <v>-0.81447983263337731</v>
      </c>
      <c r="EJ105" s="54">
        <f t="shared" si="175"/>
        <v>0.28632514820484678</v>
      </c>
      <c r="EK105" s="54" t="e">
        <f t="shared" si="176"/>
        <v>#N/A</v>
      </c>
      <c r="EL105" s="54" t="e">
        <f t="shared" si="177"/>
        <v>#N/A</v>
      </c>
      <c r="EM105" s="54" t="e">
        <f t="shared" si="178"/>
        <v>#N/A</v>
      </c>
      <c r="EN105" s="54" t="b">
        <f t="shared" si="179"/>
        <v>0</v>
      </c>
      <c r="EO105" s="54" t="b">
        <f t="shared" si="180"/>
        <v>1</v>
      </c>
      <c r="EP105" s="54" t="b">
        <f t="shared" si="181"/>
        <v>0</v>
      </c>
      <c r="EQ105" s="54" t="b">
        <f t="shared" si="182"/>
        <v>1</v>
      </c>
      <c r="ER105" s="54">
        <f t="shared" si="183"/>
        <v>0.28632514820484678</v>
      </c>
      <c r="ES105" s="54" t="e">
        <f t="shared" si="184"/>
        <v>#N/A</v>
      </c>
      <c r="ET105" s="54">
        <f t="shared" si="185"/>
        <v>0.28632514820484678</v>
      </c>
      <c r="EU105" s="69" t="str">
        <f t="shared" si="186"/>
        <v/>
      </c>
      <c r="EV10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0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0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05" s="54" t="e" cm="1">
        <f t="array" ref="EY105">IF($CR$3,INDEX(Eu_tabel_a[[#This Row],[Styrke venstre]:[Styrke tosidet]],EY$7),NA())</f>
        <v>#N/A</v>
      </c>
      <c r="EZ105" s="54" t="e">
        <f>IF(EY$3,IF(CHOOSE(EY$7,Eu_tabel_a[[#This Row],[x base]]&gt;0,Eu_tabel_a[[#This Row],[x base]]&lt;0,Eu_tabel_a[[#This Row],[x base]]=0),1,NA()),NA())</f>
        <v>#N/A</v>
      </c>
      <c r="FA105" s="54" t="e">
        <f>IF(CHOOSE(EY$7,Eu_tabel_a[[#This Row],[x base]]&gt;0,Eu_tabel_a[[#This Row],[x base]]&lt;0,Eu_tabel_a[[#This Row],[x base]]=0),Eu_tabel_a[[#This Row],[Styrke, aktiv]],NA())</f>
        <v>#N/A</v>
      </c>
      <c r="FB105" s="54" t="e">
        <f>IFERROR(IF($EY$3,Eu_tabel_a[[#This Row],[Styrke, aktiv]],NA()),NA())</f>
        <v>#N/A</v>
      </c>
      <c r="FC105" s="54" t="e">
        <f>IF(ISNA(Eu_tabel_a[[#This Row],[Sand negativ
Nulhypotese afvises
Korrekt]]),NA(),IF(EY$3,1,NA()))</f>
        <v>#N/A</v>
      </c>
      <c r="FD105" s="55" t="str" cm="1">
        <f t="array" ref="FD105">IFERROR(_xlfn.SWITCH(Eu_tabel_a[[#This Row],[Indeks]],_xlfn.IFNA(FB$2,-99),FB$5,_xlfn.IFNA(FB$3,-99),FB$6,_xlfn.IFNA(FB$4,-99),FB$7,""),"")</f>
        <v/>
      </c>
      <c r="FE105" s="54">
        <f>Eu_tabel_a[[#This Row],[x base]]*SQRT(Eu_a_h0_x*(1-Eu_a_h0_x)/Eu_a_n_x)+Eu_a_h0_x</f>
        <v>0</v>
      </c>
      <c r="FJ105" s="144" t="e">
        <f t="shared" si="130"/>
        <v>#N/A</v>
      </c>
      <c r="FK105" s="152" t="e">
        <f t="shared" si="218"/>
        <v>#DIV/0!</v>
      </c>
      <c r="FL105" s="7" t="e">
        <f t="shared" si="124"/>
        <v>#DIV/0!</v>
      </c>
      <c r="FM105" t="e">
        <f t="shared" si="219"/>
        <v>#DIV/0!</v>
      </c>
      <c r="FN105" s="8" t="e">
        <f t="shared" si="220"/>
        <v>#DIV/0!</v>
      </c>
      <c r="FO105" s="8" t="e">
        <f t="shared" si="221"/>
        <v>#DIV/0!</v>
      </c>
      <c r="FP105" s="151" t="e">
        <f t="shared" si="222"/>
        <v>#DIV/0!</v>
      </c>
      <c r="FQ105" s="144" t="e">
        <f t="shared" ca="1" si="125"/>
        <v>#N/A</v>
      </c>
      <c r="FR105" s="152" t="e" vm="3">
        <f t="shared" ca="1" si="131"/>
        <v>#VALUE!</v>
      </c>
      <c r="FS105" s="7" t="e" vm="3">
        <f t="shared" ca="1" si="126"/>
        <v>#VALUE!</v>
      </c>
      <c r="FT105" t="e" vm="3">
        <f t="shared" ca="1" si="120"/>
        <v>#VALUE!</v>
      </c>
      <c r="FU105" s="8" t="e" vm="3">
        <f t="shared" ca="1" si="121"/>
        <v>#VALUE!</v>
      </c>
      <c r="FV105" s="8" t="e" vm="3">
        <f t="shared" ca="1" si="122"/>
        <v>#VALUE!</v>
      </c>
      <c r="FW105" s="151" t="e" vm="3">
        <f t="shared" ca="1" si="123"/>
        <v>#VALUE!</v>
      </c>
      <c r="FX105" s="144" t="e">
        <f t="shared" si="127"/>
        <v>#N/A</v>
      </c>
      <c r="FY105" s="152" t="e">
        <f t="shared" si="132"/>
        <v>#N/A</v>
      </c>
      <c r="FZ105" s="7" t="e">
        <f t="shared" si="128"/>
        <v>#N/A</v>
      </c>
      <c r="GA105" t="e">
        <f t="shared" si="133"/>
        <v>#N/A</v>
      </c>
      <c r="GB105" s="8" t="e">
        <f t="shared" si="134"/>
        <v>#N/A</v>
      </c>
      <c r="GC105" s="8" t="e">
        <f t="shared" si="135"/>
        <v>#N/A</v>
      </c>
      <c r="GD105" s="151" t="e">
        <f t="shared" si="136"/>
        <v>#N/A</v>
      </c>
      <c r="GE105" s="144" t="e">
        <f t="shared" si="137"/>
        <v>#N/A</v>
      </c>
      <c r="GF105" s="152" t="e">
        <f t="shared" si="138"/>
        <v>#N/A</v>
      </c>
      <c r="GG105" s="7" t="e">
        <f t="shared" si="129"/>
        <v>#N/A</v>
      </c>
      <c r="GH105" t="e">
        <f t="shared" si="139"/>
        <v>#N/A</v>
      </c>
      <c r="GI105" s="8" t="e">
        <f t="shared" si="140"/>
        <v>#N/A</v>
      </c>
      <c r="GJ105" s="8" t="e">
        <f t="shared" si="141"/>
        <v>#N/A</v>
      </c>
      <c r="GK105" s="151" t="e">
        <f t="shared" si="142"/>
        <v>#N/A</v>
      </c>
      <c r="GL105" s="151"/>
      <c r="GM105" s="151"/>
      <c r="GP105" s="54">
        <f t="shared" si="187"/>
        <v>95</v>
      </c>
      <c r="GQ105" s="54">
        <f t="shared" si="188"/>
        <v>96</v>
      </c>
      <c r="GR105" s="54">
        <f t="shared" si="189"/>
        <v>-0.81447983263337731</v>
      </c>
      <c r="GS105" s="54">
        <f t="shared" si="190"/>
        <v>0.28632514820484678</v>
      </c>
      <c r="GT105" s="54" t="e">
        <f t="shared" si="191"/>
        <v>#N/A</v>
      </c>
      <c r="GU105" s="54" t="e">
        <f t="shared" si="192"/>
        <v>#N/A</v>
      </c>
      <c r="GV105" s="54" t="e">
        <f t="shared" si="193"/>
        <v>#N/A</v>
      </c>
      <c r="GW105" s="54" t="b">
        <f t="shared" si="194"/>
        <v>0</v>
      </c>
      <c r="GX105" s="54" t="b">
        <f t="shared" si="195"/>
        <v>1</v>
      </c>
      <c r="GY105" s="54" t="b">
        <f t="shared" si="196"/>
        <v>0</v>
      </c>
      <c r="GZ105" s="54" t="b">
        <f t="shared" si="197"/>
        <v>1</v>
      </c>
      <c r="HA105" s="54">
        <f t="shared" si="198"/>
        <v>0.28632514820484678</v>
      </c>
      <c r="HB105" s="54" t="e">
        <f t="shared" si="199"/>
        <v>#N/A</v>
      </c>
      <c r="HC105" s="54">
        <f t="shared" si="200"/>
        <v>0.28632514820484678</v>
      </c>
      <c r="HD105" s="69" t="str">
        <f t="shared" si="201"/>
        <v/>
      </c>
      <c r="HJ105" s="54">
        <f t="shared" si="202"/>
        <v>95</v>
      </c>
      <c r="HK105" s="54">
        <f t="shared" si="203"/>
        <v>96</v>
      </c>
      <c r="HL105" s="54">
        <f t="shared" si="204"/>
        <v>-1.2612391269279324</v>
      </c>
      <c r="HM105" s="54" t="e">
        <f t="shared" si="205"/>
        <v>#N/A</v>
      </c>
      <c r="HN105" s="54">
        <f t="shared" si="206"/>
        <v>0.16971653355867566</v>
      </c>
      <c r="HO105" s="54" t="e">
        <f t="shared" si="207"/>
        <v>#N/A</v>
      </c>
      <c r="HP105" s="54" t="e">
        <f t="shared" si="208"/>
        <v>#N/A</v>
      </c>
      <c r="HQ105" s="54" t="b">
        <f t="shared" si="209"/>
        <v>1</v>
      </c>
      <c r="HR105" s="54" t="b">
        <f t="shared" si="210"/>
        <v>0</v>
      </c>
      <c r="HS105" s="54" t="b">
        <f t="shared" si="211"/>
        <v>0</v>
      </c>
      <c r="HT105" s="54" t="b">
        <f t="shared" si="212"/>
        <v>1</v>
      </c>
      <c r="HU105" s="54">
        <f t="shared" si="213"/>
        <v>0.16971653355867566</v>
      </c>
      <c r="HV105" s="54">
        <f t="shared" si="214"/>
        <v>0.16971653355867566</v>
      </c>
      <c r="HW105" s="54" t="e">
        <f t="shared" si="215"/>
        <v>#N/A</v>
      </c>
      <c r="HX105" s="69" t="str">
        <f t="shared" si="216"/>
        <v/>
      </c>
    </row>
    <row r="106" spans="78:232" x14ac:dyDescent="0.2">
      <c r="BZ106" s="54">
        <f t="shared" si="143"/>
        <v>96</v>
      </c>
      <c r="CA106" s="54">
        <f>Eu_tabel_g[[#This Row],[Indeks]]+1</f>
        <v>97</v>
      </c>
      <c r="CB106" s="54">
        <f t="shared" si="144"/>
        <v>-0.79052454343827794</v>
      </c>
      <c r="CC106" s="54">
        <f t="shared" si="145"/>
        <v>0.29188276119520318</v>
      </c>
      <c r="CD106" s="54" t="e">
        <f t="shared" si="146"/>
        <v>#N/A</v>
      </c>
      <c r="CE106" s="54" t="e">
        <f t="shared" si="147"/>
        <v>#N/A</v>
      </c>
      <c r="CF106" s="54" t="e">
        <f t="shared" si="148"/>
        <v>#N/A</v>
      </c>
      <c r="CG106" s="54" t="b">
        <f t="shared" si="149"/>
        <v>0</v>
      </c>
      <c r="CH106" s="54" t="b">
        <f t="shared" si="150"/>
        <v>1</v>
      </c>
      <c r="CI106" s="54" t="b">
        <f t="shared" si="151"/>
        <v>0</v>
      </c>
      <c r="CJ106" s="54" t="b">
        <f t="shared" si="152"/>
        <v>1</v>
      </c>
      <c r="CK106" s="54">
        <f t="shared" si="217"/>
        <v>0.29188276119520318</v>
      </c>
      <c r="CL106" s="54" t="e">
        <f t="shared" si="153"/>
        <v>#N/A</v>
      </c>
      <c r="CM106" s="54">
        <f t="shared" si="154"/>
        <v>0.29188276119520318</v>
      </c>
      <c r="CN106" s="69" t="str">
        <f t="shared" si="155"/>
        <v/>
      </c>
      <c r="CO106" s="54">
        <f>_xlfn.NORM.DIST(_xlfn.NORM.INV(1-Eu_g_konfidensniveau,0,1)-Eu_tabel_g[[#This Row],[x base]],0,1,TRUE)</f>
        <v>0.19646133849496453</v>
      </c>
      <c r="CP106" s="54">
        <f>1-_xlfn.NORM.DIST(_xlfn.NORM.INV(Eu_g_konfidensniveau,0,1)-Eu_tabel_g[[#This Row],[x base]],0,1,TRUE)</f>
        <v>7.4381165847303699E-3</v>
      </c>
      <c r="CQ106" s="54">
        <f>_xlfn.NORM.DIST(_xlfn.NORM.INV((1-Eu_g_konfidensniveau)/2,0,1)-Eu_tabel_g[[#This Row],[x base]],0,1,TRUE)+1-_xlfn.NORM.DIST(_xlfn.NORM.INV(1-(1-Eu_g_konfidensniveau)/2,0,1)-Eu_tabel_g[[#This Row],[x base]],0,1,TRUE)</f>
        <v>0.12408863721087593</v>
      </c>
      <c r="CR106" s="54" t="e" cm="1">
        <f t="array" ref="CR106">IF($CR$3,INDEX(Eu_tabel_g[[#This Row],[Styrke venstre]:[Styrke tosidet]],CR$7),NA())</f>
        <v>#N/A</v>
      </c>
      <c r="CS106" s="89" t="e">
        <f>Eu_tabel_g[[#This Row],[Falsk positiv
Nulhypotese accepteres
Fejltype 1]]</f>
        <v>#N/A</v>
      </c>
      <c r="CT106" s="89" t="e">
        <f>IF(CHOOSE(CR$7,Eu_tabel_g[[#This Row],[x base]]&gt;0,Eu_tabel_g[[#This Row],[x base]]&lt;0,Eu_tabel_g[[#This Row],[x base]]=0),Eu_tabel_g[[#This Row],[Styrke, aktiv]],NA())</f>
        <v>#N/A</v>
      </c>
      <c r="CU106" s="89" t="e">
        <f>IFERROR(IF($CR$3,Eu_tabel_g[[#This Row],[Styrke, aktiv]],NA()),NA())</f>
        <v>#N/A</v>
      </c>
      <c r="CV106" s="89" t="e">
        <f>IF(ISNA(Eu_tabel_g[[#This Row],[Sand negativ
Nulhypotese afvises
Korrekt]]),NA(),IF($CR$3,1,NA()))</f>
        <v>#N/A</v>
      </c>
      <c r="CW106" s="56" t="str" cm="1">
        <f t="array" ref="CW106">_xlfn.SWITCH(BZ106,_xlfn.IFNA(CU$2,-99),CU$5,_xlfn.IFNA(CU$3,-99),CU$6,_xlfn.IFNA(CU$4,-99),CU$7,"")</f>
        <v/>
      </c>
      <c r="DA106" s="7">
        <f t="shared" si="156"/>
        <v>0.8</v>
      </c>
      <c r="DB106">
        <f>IF(ROW(Styrkeberegning_G[[#This Row],[X base venstre]])=ROW(Styrkeberegning_G[[#Headers],[X base venstre]])+1,DB$7/(DA$7/$B$67),DB105/(DA105/$B$67))</f>
        <v>-2.8015817870135784</v>
      </c>
      <c r="DC106">
        <f>Styrkeberegning_G[[#This Row],[X base venstre]]*-1</f>
        <v>2.8015817870135784</v>
      </c>
      <c r="DN106" s="54">
        <f t="shared" si="157"/>
        <v>96</v>
      </c>
      <c r="DO106" s="54">
        <f t="shared" si="158"/>
        <v>97</v>
      </c>
      <c r="DP106" s="54">
        <f t="shared" si="159"/>
        <v>12.784654880685787</v>
      </c>
      <c r="DQ106" s="54" t="e">
        <f t="shared" si="160"/>
        <v>#N/A</v>
      </c>
      <c r="DR106" s="54" t="e">
        <f t="shared" si="161"/>
        <v>#N/A</v>
      </c>
      <c r="DS106" s="54">
        <f t="shared" si="162"/>
        <v>6.7519040682468889E-2</v>
      </c>
      <c r="DT106" s="54" t="e">
        <f t="shared" si="163"/>
        <v>#N/A</v>
      </c>
      <c r="DU106" s="54" t="b">
        <f t="shared" si="164"/>
        <v>0</v>
      </c>
      <c r="DV106" s="54" t="b">
        <f t="shared" si="165"/>
        <v>1</v>
      </c>
      <c r="DW106" s="54" t="b">
        <f t="shared" si="166"/>
        <v>0</v>
      </c>
      <c r="DX106" s="54" t="b">
        <f t="shared" si="167"/>
        <v>1</v>
      </c>
      <c r="DY106" s="54">
        <f t="shared" si="168"/>
        <v>6.7519040682468889E-2</v>
      </c>
      <c r="DZ106" s="54" t="e">
        <f t="shared" si="169"/>
        <v>#N/A</v>
      </c>
      <c r="EA106" s="54">
        <f t="shared" si="170"/>
        <v>6.7519040682468889E-2</v>
      </c>
      <c r="EB106" s="69" t="str">
        <f t="shared" si="171"/>
        <v/>
      </c>
      <c r="EG106" s="54">
        <f t="shared" si="172"/>
        <v>96</v>
      </c>
      <c r="EH106" s="54">
        <f t="shared" si="173"/>
        <v>97</v>
      </c>
      <c r="EI106" s="54">
        <f t="shared" si="174"/>
        <v>-0.79052454343827794</v>
      </c>
      <c r="EJ106" s="54">
        <f t="shared" si="175"/>
        <v>0.29188276119520318</v>
      </c>
      <c r="EK106" s="54" t="e">
        <f t="shared" si="176"/>
        <v>#N/A</v>
      </c>
      <c r="EL106" s="54" t="e">
        <f t="shared" si="177"/>
        <v>#N/A</v>
      </c>
      <c r="EM106" s="54" t="e">
        <f t="shared" si="178"/>
        <v>#N/A</v>
      </c>
      <c r="EN106" s="54" t="b">
        <f t="shared" si="179"/>
        <v>0</v>
      </c>
      <c r="EO106" s="54" t="b">
        <f t="shared" si="180"/>
        <v>1</v>
      </c>
      <c r="EP106" s="54" t="b">
        <f t="shared" si="181"/>
        <v>0</v>
      </c>
      <c r="EQ106" s="54" t="b">
        <f t="shared" si="182"/>
        <v>1</v>
      </c>
      <c r="ER106" s="54">
        <f t="shared" si="183"/>
        <v>0.29188276119520318</v>
      </c>
      <c r="ES106" s="54" t="e">
        <f t="shared" si="184"/>
        <v>#N/A</v>
      </c>
      <c r="ET106" s="54">
        <f t="shared" si="185"/>
        <v>0.29188276119520318</v>
      </c>
      <c r="EU106" s="69" t="str">
        <f t="shared" si="186"/>
        <v/>
      </c>
      <c r="EV10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0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0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06" s="54" t="e" cm="1">
        <f t="array" ref="EY106">IF($CR$3,INDEX(Eu_tabel_a[[#This Row],[Styrke venstre]:[Styrke tosidet]],EY$7),NA())</f>
        <v>#N/A</v>
      </c>
      <c r="EZ106" s="54" t="e">
        <f>IF(EY$3,IF(CHOOSE(EY$7,Eu_tabel_a[[#This Row],[x base]]&gt;0,Eu_tabel_a[[#This Row],[x base]]&lt;0,Eu_tabel_a[[#This Row],[x base]]=0),1,NA()),NA())</f>
        <v>#N/A</v>
      </c>
      <c r="FA106" s="54" t="e">
        <f>IF(CHOOSE(EY$7,Eu_tabel_a[[#This Row],[x base]]&gt;0,Eu_tabel_a[[#This Row],[x base]]&lt;0,Eu_tabel_a[[#This Row],[x base]]=0),Eu_tabel_a[[#This Row],[Styrke, aktiv]],NA())</f>
        <v>#N/A</v>
      </c>
      <c r="FB106" s="54" t="e">
        <f>IFERROR(IF($EY$3,Eu_tabel_a[[#This Row],[Styrke, aktiv]],NA()),NA())</f>
        <v>#N/A</v>
      </c>
      <c r="FC106" s="54" t="e">
        <f>IF(ISNA(Eu_tabel_a[[#This Row],[Sand negativ
Nulhypotese afvises
Korrekt]]),NA(),IF(EY$3,1,NA()))</f>
        <v>#N/A</v>
      </c>
      <c r="FD106" s="55" t="str" cm="1">
        <f t="array" ref="FD106">IFERROR(_xlfn.SWITCH(Eu_tabel_a[[#This Row],[Indeks]],_xlfn.IFNA(FB$2,-99),FB$5,_xlfn.IFNA(FB$3,-99),FB$6,_xlfn.IFNA(FB$4,-99),FB$7,""),"")</f>
        <v/>
      </c>
      <c r="FE106" s="54">
        <f>Eu_tabel_a[[#This Row],[x base]]*SQRT(Eu_a_h0_x*(1-Eu_a_h0_x)/Eu_a_n_x)+Eu_a_h0_x</f>
        <v>0</v>
      </c>
      <c r="FJ106" s="144" t="e">
        <f t="shared" si="130"/>
        <v>#N/A</v>
      </c>
      <c r="FK106" s="152" t="e">
        <f t="shared" si="218"/>
        <v>#DIV/0!</v>
      </c>
      <c r="FL106" s="7" t="e">
        <f t="shared" si="124"/>
        <v>#DIV/0!</v>
      </c>
      <c r="FM106" t="e">
        <f t="shared" si="219"/>
        <v>#DIV/0!</v>
      </c>
      <c r="FN106" s="8" t="e">
        <f t="shared" si="220"/>
        <v>#DIV/0!</v>
      </c>
      <c r="FO106" s="8" t="e">
        <f t="shared" si="221"/>
        <v>#DIV/0!</v>
      </c>
      <c r="FP106" s="151" t="e">
        <f t="shared" si="222"/>
        <v>#DIV/0!</v>
      </c>
      <c r="FQ106" s="144" t="e">
        <f t="shared" ca="1" si="125"/>
        <v>#N/A</v>
      </c>
      <c r="FR106" s="152" t="e" vm="3">
        <f t="shared" ca="1" si="131"/>
        <v>#VALUE!</v>
      </c>
      <c r="FS106" s="7" t="e" vm="3">
        <f t="shared" ca="1" si="126"/>
        <v>#VALUE!</v>
      </c>
      <c r="FT106" t="e" vm="3">
        <f t="shared" ca="1" si="120"/>
        <v>#VALUE!</v>
      </c>
      <c r="FU106" s="8" t="e" vm="3">
        <f t="shared" ca="1" si="121"/>
        <v>#VALUE!</v>
      </c>
      <c r="FV106" s="8" t="e" vm="3">
        <f t="shared" ca="1" si="122"/>
        <v>#VALUE!</v>
      </c>
      <c r="FW106" s="151" t="e" vm="3">
        <f t="shared" ca="1" si="123"/>
        <v>#VALUE!</v>
      </c>
      <c r="FX106" s="144" t="e">
        <f t="shared" si="127"/>
        <v>#N/A</v>
      </c>
      <c r="FY106" s="152" t="e">
        <f t="shared" si="132"/>
        <v>#N/A</v>
      </c>
      <c r="FZ106" s="7" t="e">
        <f t="shared" si="128"/>
        <v>#N/A</v>
      </c>
      <c r="GA106" t="e">
        <f t="shared" si="133"/>
        <v>#N/A</v>
      </c>
      <c r="GB106" s="8" t="e">
        <f t="shared" si="134"/>
        <v>#N/A</v>
      </c>
      <c r="GC106" s="8" t="e">
        <f t="shared" si="135"/>
        <v>#N/A</v>
      </c>
      <c r="GD106" s="151" t="e">
        <f t="shared" si="136"/>
        <v>#N/A</v>
      </c>
      <c r="GE106" s="144" t="e">
        <f t="shared" si="137"/>
        <v>#N/A</v>
      </c>
      <c r="GF106" s="152" t="e">
        <f t="shared" si="138"/>
        <v>#N/A</v>
      </c>
      <c r="GG106" s="7" t="e">
        <f t="shared" si="129"/>
        <v>#N/A</v>
      </c>
      <c r="GH106" t="e">
        <f t="shared" si="139"/>
        <v>#N/A</v>
      </c>
      <c r="GI106" s="8" t="e">
        <f t="shared" si="140"/>
        <v>#N/A</v>
      </c>
      <c r="GJ106" s="8" t="e">
        <f t="shared" si="141"/>
        <v>#N/A</v>
      </c>
      <c r="GK106" s="151" t="e">
        <f t="shared" si="142"/>
        <v>#N/A</v>
      </c>
      <c r="GL106" s="151"/>
      <c r="GM106" s="151"/>
      <c r="GP106" s="54">
        <f t="shared" si="187"/>
        <v>96</v>
      </c>
      <c r="GQ106" s="54">
        <f t="shared" si="188"/>
        <v>97</v>
      </c>
      <c r="GR106" s="54">
        <f t="shared" si="189"/>
        <v>-0.79052454343827794</v>
      </c>
      <c r="GS106" s="54">
        <f t="shared" si="190"/>
        <v>0.29188276119520318</v>
      </c>
      <c r="GT106" s="54" t="e">
        <f t="shared" si="191"/>
        <v>#N/A</v>
      </c>
      <c r="GU106" s="54" t="e">
        <f t="shared" si="192"/>
        <v>#N/A</v>
      </c>
      <c r="GV106" s="54" t="e">
        <f t="shared" si="193"/>
        <v>#N/A</v>
      </c>
      <c r="GW106" s="54" t="b">
        <f t="shared" si="194"/>
        <v>0</v>
      </c>
      <c r="GX106" s="54" t="b">
        <f t="shared" si="195"/>
        <v>1</v>
      </c>
      <c r="GY106" s="54" t="b">
        <f t="shared" si="196"/>
        <v>0</v>
      </c>
      <c r="GZ106" s="54" t="b">
        <f t="shared" si="197"/>
        <v>1</v>
      </c>
      <c r="HA106" s="54">
        <f t="shared" si="198"/>
        <v>0.29188276119520318</v>
      </c>
      <c r="HB106" s="54" t="e">
        <f t="shared" si="199"/>
        <v>#N/A</v>
      </c>
      <c r="HC106" s="54">
        <f t="shared" si="200"/>
        <v>0.29188276119520318</v>
      </c>
      <c r="HD106" s="69" t="str">
        <f t="shared" si="201"/>
        <v/>
      </c>
      <c r="HJ106" s="54">
        <f t="shared" si="202"/>
        <v>96</v>
      </c>
      <c r="HK106" s="54">
        <f t="shared" si="203"/>
        <v>97</v>
      </c>
      <c r="HL106" s="54">
        <f t="shared" si="204"/>
        <v>-1.2241438584888757</v>
      </c>
      <c r="HM106" s="54" t="e">
        <f t="shared" si="205"/>
        <v>#N/A</v>
      </c>
      <c r="HN106" s="54">
        <f t="shared" si="206"/>
        <v>0.17720189794105068</v>
      </c>
      <c r="HO106" s="54" t="e">
        <f t="shared" si="207"/>
        <v>#N/A</v>
      </c>
      <c r="HP106" s="54" t="e">
        <f t="shared" si="208"/>
        <v>#N/A</v>
      </c>
      <c r="HQ106" s="54" t="b">
        <f t="shared" si="209"/>
        <v>1</v>
      </c>
      <c r="HR106" s="54" t="b">
        <f t="shared" si="210"/>
        <v>0</v>
      </c>
      <c r="HS106" s="54" t="b">
        <f t="shared" si="211"/>
        <v>0</v>
      </c>
      <c r="HT106" s="54" t="b">
        <f t="shared" si="212"/>
        <v>1</v>
      </c>
      <c r="HU106" s="54">
        <f t="shared" si="213"/>
        <v>0.17720189794105068</v>
      </c>
      <c r="HV106" s="54">
        <f t="shared" si="214"/>
        <v>0.17720189794105068</v>
      </c>
      <c r="HW106" s="54" t="e">
        <f t="shared" si="215"/>
        <v>#N/A</v>
      </c>
      <c r="HX106" s="69" t="str">
        <f t="shared" si="216"/>
        <v/>
      </c>
    </row>
    <row r="107" spans="78:232" x14ac:dyDescent="0.2">
      <c r="BZ107" s="54">
        <f t="shared" si="143"/>
        <v>97</v>
      </c>
      <c r="CA107" s="54">
        <f>Eu_tabel_g[[#This Row],[Indeks]]+1</f>
        <v>98</v>
      </c>
      <c r="CB107" s="54">
        <f t="shared" si="144"/>
        <v>-0.76656925424317857</v>
      </c>
      <c r="CC107" s="54">
        <f t="shared" si="145"/>
        <v>0.29737754743782796</v>
      </c>
      <c r="CD107" s="54" t="e">
        <f t="shared" si="146"/>
        <v>#N/A</v>
      </c>
      <c r="CE107" s="54" t="e">
        <f t="shared" si="147"/>
        <v>#N/A</v>
      </c>
      <c r="CF107" s="54" t="e">
        <f t="shared" si="148"/>
        <v>#N/A</v>
      </c>
      <c r="CG107" s="54" t="b">
        <f t="shared" si="149"/>
        <v>0</v>
      </c>
      <c r="CH107" s="54" t="b">
        <f t="shared" si="150"/>
        <v>1</v>
      </c>
      <c r="CI107" s="54" t="b">
        <f t="shared" si="151"/>
        <v>0</v>
      </c>
      <c r="CJ107" s="54" t="b">
        <f t="shared" si="152"/>
        <v>1</v>
      </c>
      <c r="CK107" s="54">
        <f t="shared" si="217"/>
        <v>0.29737754743782796</v>
      </c>
      <c r="CL107" s="54" t="e">
        <f t="shared" si="153"/>
        <v>#N/A</v>
      </c>
      <c r="CM107" s="54">
        <f t="shared" si="154"/>
        <v>0.29737754743782796</v>
      </c>
      <c r="CN107" s="69" t="str">
        <f t="shared" si="155"/>
        <v/>
      </c>
      <c r="CO107" s="54">
        <f>_xlfn.NORM.DIST(_xlfn.NORM.INV(1-Eu_g_konfidensniveau,0,1)-Eu_tabel_g[[#This Row],[x base]],0,1,TRUE)</f>
        <v>0.18989470713955475</v>
      </c>
      <c r="CP107" s="54">
        <f>1-_xlfn.NORM.DIST(_xlfn.NORM.INV(Eu_g_konfidensniveau,0,1)-Eu_tabel_g[[#This Row],[x base]],0,1,TRUE)</f>
        <v>7.9452059958896593E-3</v>
      </c>
      <c r="CQ107" s="54">
        <f>_xlfn.NORM.DIST(_xlfn.NORM.INV((1-Eu_g_konfidensniveau)/2,0,1)-Eu_tabel_g[[#This Row],[x base]],0,1,TRUE)+1-_xlfn.NORM.DIST(_xlfn.NORM.INV(1-(1-Eu_g_konfidensniveau)/2,0,1)-Eu_tabel_g[[#This Row],[x base]],0,1,TRUE)</f>
        <v>0.1195575842137484</v>
      </c>
      <c r="CR107" s="54" t="e" cm="1">
        <f t="array" ref="CR107">IF($CR$3,INDEX(Eu_tabel_g[[#This Row],[Styrke venstre]:[Styrke tosidet]],CR$7),NA())</f>
        <v>#N/A</v>
      </c>
      <c r="CS107" s="89" t="e">
        <f>Eu_tabel_g[[#This Row],[Falsk positiv
Nulhypotese accepteres
Fejltype 1]]</f>
        <v>#N/A</v>
      </c>
      <c r="CT107" s="89" t="e">
        <f>IF(CHOOSE(CR$7,Eu_tabel_g[[#This Row],[x base]]&gt;0,Eu_tabel_g[[#This Row],[x base]]&lt;0,Eu_tabel_g[[#This Row],[x base]]=0),Eu_tabel_g[[#This Row],[Styrke, aktiv]],NA())</f>
        <v>#N/A</v>
      </c>
      <c r="CU107" s="89" t="e">
        <f>IFERROR(IF($CR$3,Eu_tabel_g[[#This Row],[Styrke, aktiv]],NA()),NA())</f>
        <v>#N/A</v>
      </c>
      <c r="CV107" s="89" t="e">
        <f>IF(ISNA(Eu_tabel_g[[#This Row],[Sand negativ
Nulhypotese afvises
Korrekt]]),NA(),IF($CR$3,1,NA()))</f>
        <v>#N/A</v>
      </c>
      <c r="CW107" s="56" t="str" cm="1">
        <f t="array" ref="CW107">_xlfn.SWITCH(BZ107,_xlfn.IFNA(CU$2,-99),CU$5,_xlfn.IFNA(CU$3,-99),CU$6,_xlfn.IFNA(CU$4,-99),CU$7,"")</f>
        <v/>
      </c>
      <c r="DA107" s="7">
        <f t="shared" si="156"/>
        <v>0.8</v>
      </c>
      <c r="DB107">
        <f>IF(ROW(Styrkeberegning_G[[#This Row],[X base venstre]])=ROW(Styrkeberegning_G[[#Headers],[X base venstre]])+1,DB$7/(DA$7/$B$67),DB106/(DA106/$B$67))</f>
        <v>-2.8015817870135784</v>
      </c>
      <c r="DC107">
        <f>Styrkeberegning_G[[#This Row],[X base venstre]]*-1</f>
        <v>2.8015817870135784</v>
      </c>
      <c r="DN107" s="54">
        <f t="shared" si="157"/>
        <v>97</v>
      </c>
      <c r="DO107" s="54">
        <f t="shared" si="158"/>
        <v>98</v>
      </c>
      <c r="DP107" s="54">
        <f t="shared" si="159"/>
        <v>12.898725737102788</v>
      </c>
      <c r="DQ107" s="54" t="e">
        <f t="shared" si="160"/>
        <v>#N/A</v>
      </c>
      <c r="DR107" s="54" t="e">
        <f t="shared" si="161"/>
        <v>#N/A</v>
      </c>
      <c r="DS107" s="54">
        <f t="shared" si="162"/>
        <v>6.6376781466230855E-2</v>
      </c>
      <c r="DT107" s="54" t="e">
        <f t="shared" si="163"/>
        <v>#N/A</v>
      </c>
      <c r="DU107" s="54" t="b">
        <f t="shared" si="164"/>
        <v>0</v>
      </c>
      <c r="DV107" s="54" t="b">
        <f t="shared" si="165"/>
        <v>1</v>
      </c>
      <c r="DW107" s="54" t="b">
        <f t="shared" si="166"/>
        <v>0</v>
      </c>
      <c r="DX107" s="54" t="b">
        <f t="shared" si="167"/>
        <v>1</v>
      </c>
      <c r="DY107" s="54">
        <f t="shared" si="168"/>
        <v>6.6376781466230855E-2</v>
      </c>
      <c r="DZ107" s="54" t="e">
        <f t="shared" si="169"/>
        <v>#N/A</v>
      </c>
      <c r="EA107" s="54">
        <f t="shared" si="170"/>
        <v>6.6376781466230855E-2</v>
      </c>
      <c r="EB107" s="69" t="str">
        <f t="shared" si="171"/>
        <v/>
      </c>
      <c r="EG107" s="54">
        <f t="shared" si="172"/>
        <v>97</v>
      </c>
      <c r="EH107" s="54">
        <f t="shared" si="173"/>
        <v>98</v>
      </c>
      <c r="EI107" s="54">
        <f t="shared" si="174"/>
        <v>-0.76656925424317857</v>
      </c>
      <c r="EJ107" s="54">
        <f t="shared" si="175"/>
        <v>0.29737754743782796</v>
      </c>
      <c r="EK107" s="54" t="e">
        <f t="shared" si="176"/>
        <v>#N/A</v>
      </c>
      <c r="EL107" s="54" t="e">
        <f t="shared" si="177"/>
        <v>#N/A</v>
      </c>
      <c r="EM107" s="54" t="e">
        <f t="shared" si="178"/>
        <v>#N/A</v>
      </c>
      <c r="EN107" s="54" t="b">
        <f t="shared" si="179"/>
        <v>0</v>
      </c>
      <c r="EO107" s="54" t="b">
        <f t="shared" si="180"/>
        <v>1</v>
      </c>
      <c r="EP107" s="54" t="b">
        <f t="shared" si="181"/>
        <v>0</v>
      </c>
      <c r="EQ107" s="54" t="b">
        <f t="shared" si="182"/>
        <v>1</v>
      </c>
      <c r="ER107" s="54">
        <f t="shared" si="183"/>
        <v>0.29737754743782796</v>
      </c>
      <c r="ES107" s="54" t="e">
        <f t="shared" si="184"/>
        <v>#N/A</v>
      </c>
      <c r="ET107" s="54">
        <f t="shared" si="185"/>
        <v>0.29737754743782796</v>
      </c>
      <c r="EU107" s="69" t="str">
        <f t="shared" si="186"/>
        <v/>
      </c>
      <c r="EV10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0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0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07" s="54" t="e" cm="1">
        <f t="array" ref="EY107">IF($CR$3,INDEX(Eu_tabel_a[[#This Row],[Styrke venstre]:[Styrke tosidet]],EY$7),NA())</f>
        <v>#N/A</v>
      </c>
      <c r="EZ107" s="54" t="e">
        <f>IF(EY$3,IF(CHOOSE(EY$7,Eu_tabel_a[[#This Row],[x base]]&gt;0,Eu_tabel_a[[#This Row],[x base]]&lt;0,Eu_tabel_a[[#This Row],[x base]]=0),1,NA()),NA())</f>
        <v>#N/A</v>
      </c>
      <c r="FA107" s="54" t="e">
        <f>IF(CHOOSE(EY$7,Eu_tabel_a[[#This Row],[x base]]&gt;0,Eu_tabel_a[[#This Row],[x base]]&lt;0,Eu_tabel_a[[#This Row],[x base]]=0),Eu_tabel_a[[#This Row],[Styrke, aktiv]],NA())</f>
        <v>#N/A</v>
      </c>
      <c r="FB107" s="54" t="e">
        <f>IFERROR(IF($EY$3,Eu_tabel_a[[#This Row],[Styrke, aktiv]],NA()),NA())</f>
        <v>#N/A</v>
      </c>
      <c r="FC107" s="54" t="e">
        <f>IF(ISNA(Eu_tabel_a[[#This Row],[Sand negativ
Nulhypotese afvises
Korrekt]]),NA(),IF(EY$3,1,NA()))</f>
        <v>#N/A</v>
      </c>
      <c r="FD107" s="55" t="str" cm="1">
        <f t="array" ref="FD107">IFERROR(_xlfn.SWITCH(Eu_tabel_a[[#This Row],[Indeks]],_xlfn.IFNA(FB$2,-99),FB$5,_xlfn.IFNA(FB$3,-99),FB$6,_xlfn.IFNA(FB$4,-99),FB$7,""),"")</f>
        <v/>
      </c>
      <c r="FE107" s="54">
        <f>Eu_tabel_a[[#This Row],[x base]]*SQRT(Eu_a_h0_x*(1-Eu_a_h0_x)/Eu_a_n_x)+Eu_a_h0_x</f>
        <v>0</v>
      </c>
      <c r="FJ107" s="144" t="e">
        <f t="shared" si="130"/>
        <v>#N/A</v>
      </c>
      <c r="FK107" s="152" t="e">
        <f t="shared" si="218"/>
        <v>#DIV/0!</v>
      </c>
      <c r="FL107" s="7" t="e">
        <f t="shared" si="124"/>
        <v>#DIV/0!</v>
      </c>
      <c r="FM107" t="e">
        <f t="shared" si="219"/>
        <v>#DIV/0!</v>
      </c>
      <c r="FN107" s="8" t="e">
        <f t="shared" si="220"/>
        <v>#DIV/0!</v>
      </c>
      <c r="FO107" s="8" t="e">
        <f t="shared" si="221"/>
        <v>#DIV/0!</v>
      </c>
      <c r="FP107" s="151" t="e">
        <f t="shared" si="222"/>
        <v>#DIV/0!</v>
      </c>
      <c r="FQ107" s="144" t="e">
        <f t="shared" ca="1" si="125"/>
        <v>#N/A</v>
      </c>
      <c r="FR107" s="152" t="e" vm="3">
        <f t="shared" ca="1" si="131"/>
        <v>#VALUE!</v>
      </c>
      <c r="FS107" s="7" t="e" vm="3">
        <f t="shared" ca="1" si="126"/>
        <v>#VALUE!</v>
      </c>
      <c r="FT107" t="e" vm="3">
        <f t="shared" ca="1" si="120"/>
        <v>#VALUE!</v>
      </c>
      <c r="FU107" s="8" t="e" vm="3">
        <f t="shared" ca="1" si="121"/>
        <v>#VALUE!</v>
      </c>
      <c r="FV107" s="8" t="e" vm="3">
        <f t="shared" ca="1" si="122"/>
        <v>#VALUE!</v>
      </c>
      <c r="FW107" s="151" t="e" vm="3">
        <f t="shared" ca="1" si="123"/>
        <v>#VALUE!</v>
      </c>
      <c r="FX107" s="144" t="e">
        <f t="shared" si="127"/>
        <v>#N/A</v>
      </c>
      <c r="FY107" s="152" t="e">
        <f t="shared" si="132"/>
        <v>#N/A</v>
      </c>
      <c r="FZ107" s="7" t="e">
        <f t="shared" si="128"/>
        <v>#N/A</v>
      </c>
      <c r="GA107" t="e">
        <f t="shared" si="133"/>
        <v>#N/A</v>
      </c>
      <c r="GB107" s="8" t="e">
        <f t="shared" si="134"/>
        <v>#N/A</v>
      </c>
      <c r="GC107" s="8" t="e">
        <f t="shared" si="135"/>
        <v>#N/A</v>
      </c>
      <c r="GD107" s="151" t="e">
        <f t="shared" si="136"/>
        <v>#N/A</v>
      </c>
      <c r="GE107" s="144" t="e">
        <f t="shared" si="137"/>
        <v>#N/A</v>
      </c>
      <c r="GF107" s="152" t="e">
        <f t="shared" si="138"/>
        <v>#N/A</v>
      </c>
      <c r="GG107" s="7" t="e">
        <f t="shared" si="129"/>
        <v>#N/A</v>
      </c>
      <c r="GH107" t="e">
        <f t="shared" si="139"/>
        <v>#N/A</v>
      </c>
      <c r="GI107" s="8" t="e">
        <f t="shared" si="140"/>
        <v>#N/A</v>
      </c>
      <c r="GJ107" s="8" t="e">
        <f t="shared" si="141"/>
        <v>#N/A</v>
      </c>
      <c r="GK107" s="151" t="e">
        <f t="shared" si="142"/>
        <v>#N/A</v>
      </c>
      <c r="GL107" s="151"/>
      <c r="GM107" s="151"/>
      <c r="GP107" s="54">
        <f t="shared" si="187"/>
        <v>97</v>
      </c>
      <c r="GQ107" s="54">
        <f t="shared" si="188"/>
        <v>98</v>
      </c>
      <c r="GR107" s="54">
        <f t="shared" si="189"/>
        <v>-0.76656925424317857</v>
      </c>
      <c r="GS107" s="54">
        <f t="shared" si="190"/>
        <v>0.29737754743782796</v>
      </c>
      <c r="GT107" s="54" t="e">
        <f t="shared" si="191"/>
        <v>#N/A</v>
      </c>
      <c r="GU107" s="54" t="e">
        <f t="shared" si="192"/>
        <v>#N/A</v>
      </c>
      <c r="GV107" s="54" t="e">
        <f t="shared" si="193"/>
        <v>#N/A</v>
      </c>
      <c r="GW107" s="54" t="b">
        <f t="shared" si="194"/>
        <v>0</v>
      </c>
      <c r="GX107" s="54" t="b">
        <f t="shared" si="195"/>
        <v>1</v>
      </c>
      <c r="GY107" s="54" t="b">
        <f t="shared" si="196"/>
        <v>0</v>
      </c>
      <c r="GZ107" s="54" t="b">
        <f t="shared" si="197"/>
        <v>1</v>
      </c>
      <c r="HA107" s="54">
        <f t="shared" si="198"/>
        <v>0.29737754743782796</v>
      </c>
      <c r="HB107" s="54" t="e">
        <f t="shared" si="199"/>
        <v>#N/A</v>
      </c>
      <c r="HC107" s="54">
        <f t="shared" si="200"/>
        <v>0.29737754743782796</v>
      </c>
      <c r="HD107" s="69" t="str">
        <f t="shared" si="201"/>
        <v/>
      </c>
      <c r="HJ107" s="54">
        <f t="shared" si="202"/>
        <v>97</v>
      </c>
      <c r="HK107" s="54">
        <f t="shared" si="203"/>
        <v>98</v>
      </c>
      <c r="HL107" s="54">
        <f t="shared" si="204"/>
        <v>-1.1870485900498191</v>
      </c>
      <c r="HM107" s="54" t="e">
        <f t="shared" si="205"/>
        <v>#N/A</v>
      </c>
      <c r="HN107" s="54">
        <f t="shared" si="206"/>
        <v>0.18486232434663522</v>
      </c>
      <c r="HO107" s="54" t="e">
        <f t="shared" si="207"/>
        <v>#N/A</v>
      </c>
      <c r="HP107" s="54" t="e">
        <f t="shared" si="208"/>
        <v>#N/A</v>
      </c>
      <c r="HQ107" s="54" t="b">
        <f t="shared" si="209"/>
        <v>1</v>
      </c>
      <c r="HR107" s="54" t="b">
        <f t="shared" si="210"/>
        <v>0</v>
      </c>
      <c r="HS107" s="54" t="b">
        <f t="shared" si="211"/>
        <v>0</v>
      </c>
      <c r="HT107" s="54" t="b">
        <f t="shared" si="212"/>
        <v>1</v>
      </c>
      <c r="HU107" s="54">
        <f t="shared" si="213"/>
        <v>0.18486232434663522</v>
      </c>
      <c r="HV107" s="54">
        <f t="shared" si="214"/>
        <v>0.18486232434663522</v>
      </c>
      <c r="HW107" s="54" t="e">
        <f t="shared" si="215"/>
        <v>#N/A</v>
      </c>
      <c r="HX107" s="69" t="str">
        <f t="shared" si="216"/>
        <v/>
      </c>
    </row>
    <row r="108" spans="78:232" x14ac:dyDescent="0.2">
      <c r="BZ108" s="54">
        <f t="shared" si="143"/>
        <v>98</v>
      </c>
      <c r="CA108" s="54">
        <f>Eu_tabel_g[[#This Row],[Indeks]]+1</f>
        <v>99</v>
      </c>
      <c r="CB108" s="54">
        <f t="shared" si="144"/>
        <v>-0.74261396504807919</v>
      </c>
      <c r="CC108" s="54">
        <f t="shared" si="145"/>
        <v>0.30280196023421319</v>
      </c>
      <c r="CD108" s="54" t="e">
        <f t="shared" si="146"/>
        <v>#N/A</v>
      </c>
      <c r="CE108" s="54" t="e">
        <f t="shared" si="147"/>
        <v>#N/A</v>
      </c>
      <c r="CF108" s="54" t="e">
        <f t="shared" si="148"/>
        <v>#N/A</v>
      </c>
      <c r="CG108" s="54" t="b">
        <f t="shared" si="149"/>
        <v>0</v>
      </c>
      <c r="CH108" s="54" t="b">
        <f t="shared" si="150"/>
        <v>1</v>
      </c>
      <c r="CI108" s="54" t="b">
        <f t="shared" si="151"/>
        <v>0</v>
      </c>
      <c r="CJ108" s="54" t="b">
        <f t="shared" si="152"/>
        <v>1</v>
      </c>
      <c r="CK108" s="54">
        <f t="shared" si="217"/>
        <v>0.30280196023421319</v>
      </c>
      <c r="CL108" s="54" t="e">
        <f t="shared" si="153"/>
        <v>#N/A</v>
      </c>
      <c r="CM108" s="54">
        <f t="shared" si="154"/>
        <v>0.30280196023421319</v>
      </c>
      <c r="CN108" s="69" t="str">
        <f t="shared" si="155"/>
        <v/>
      </c>
      <c r="CO108" s="54">
        <f>_xlfn.NORM.DIST(_xlfn.NORM.INV(1-Eu_g_konfidensniveau,0,1)-Eu_tabel_g[[#This Row],[x base]],0,1,TRUE)</f>
        <v>0.18346478506147446</v>
      </c>
      <c r="CP108" s="54">
        <f>1-_xlfn.NORM.DIST(_xlfn.NORM.INV(Eu_g_konfidensniveau,0,1)-Eu_tabel_g[[#This Row],[x base]],0,1,TRUE)</f>
        <v>8.4824492137562935E-3</v>
      </c>
      <c r="CQ108" s="54">
        <f>_xlfn.NORM.DIST(_xlfn.NORM.INV((1-Eu_g_konfidensniveau)/2,0,1)-Eu_tabel_g[[#This Row],[x base]],0,1,TRUE)+1-_xlfn.NORM.DIST(_xlfn.NORM.INV(1-(1-Eu_g_konfidensniveau)/2,0,1)-Eu_tabel_g[[#This Row],[x base]],0,1,TRUE)</f>
        <v>0.11517573781410373</v>
      </c>
      <c r="CR108" s="54" t="e" cm="1">
        <f t="array" ref="CR108">IF($CR$3,INDEX(Eu_tabel_g[[#This Row],[Styrke venstre]:[Styrke tosidet]],CR$7),NA())</f>
        <v>#N/A</v>
      </c>
      <c r="CS108" s="89" t="e">
        <f>Eu_tabel_g[[#This Row],[Falsk positiv
Nulhypotese accepteres
Fejltype 1]]</f>
        <v>#N/A</v>
      </c>
      <c r="CT108" s="89" t="e">
        <f>IF(CHOOSE(CR$7,Eu_tabel_g[[#This Row],[x base]]&gt;0,Eu_tabel_g[[#This Row],[x base]]&lt;0,Eu_tabel_g[[#This Row],[x base]]=0),Eu_tabel_g[[#This Row],[Styrke, aktiv]],NA())</f>
        <v>#N/A</v>
      </c>
      <c r="CU108" s="89" t="e">
        <f>IFERROR(IF($CR$3,Eu_tabel_g[[#This Row],[Styrke, aktiv]],NA()),NA())</f>
        <v>#N/A</v>
      </c>
      <c r="CV108" s="89" t="e">
        <f>IF(ISNA(Eu_tabel_g[[#This Row],[Sand negativ
Nulhypotese afvises
Korrekt]]),NA(),IF($CR$3,1,NA()))</f>
        <v>#N/A</v>
      </c>
      <c r="CW108" s="56" t="str" cm="1">
        <f t="array" ref="CW108">_xlfn.SWITCH(BZ108,_xlfn.IFNA(CU$2,-99),CU$5,_xlfn.IFNA(CU$3,-99),CU$6,_xlfn.IFNA(CU$4,-99),CU$7,"")</f>
        <v/>
      </c>
      <c r="DA108" s="7">
        <f t="shared" si="156"/>
        <v>0.8</v>
      </c>
      <c r="DB108">
        <f>IF(ROW(Styrkeberegning_G[[#This Row],[X base venstre]])=ROW(Styrkeberegning_G[[#Headers],[X base venstre]])+1,DB$7/(DA$7/$B$67),DB107/(DA107/$B$67))</f>
        <v>-2.8015817870135784</v>
      </c>
      <c r="DC108">
        <f>Styrkeberegning_G[[#This Row],[X base venstre]]*-1</f>
        <v>2.8015817870135784</v>
      </c>
      <c r="DN108" s="54">
        <f t="shared" si="157"/>
        <v>98</v>
      </c>
      <c r="DO108" s="54">
        <f t="shared" si="158"/>
        <v>99</v>
      </c>
      <c r="DP108" s="54">
        <f t="shared" si="159"/>
        <v>13.01279659351979</v>
      </c>
      <c r="DQ108" s="54" t="e">
        <f t="shared" si="160"/>
        <v>#N/A</v>
      </c>
      <c r="DR108" s="54" t="e">
        <f t="shared" si="161"/>
        <v>#N/A</v>
      </c>
      <c r="DS108" s="54">
        <f t="shared" si="162"/>
        <v>6.5230884240782203E-2</v>
      </c>
      <c r="DT108" s="54" t="e">
        <f t="shared" si="163"/>
        <v>#N/A</v>
      </c>
      <c r="DU108" s="54" t="b">
        <f t="shared" si="164"/>
        <v>0</v>
      </c>
      <c r="DV108" s="54" t="b">
        <f t="shared" si="165"/>
        <v>1</v>
      </c>
      <c r="DW108" s="54" t="b">
        <f t="shared" si="166"/>
        <v>0</v>
      </c>
      <c r="DX108" s="54" t="b">
        <f t="shared" si="167"/>
        <v>1</v>
      </c>
      <c r="DY108" s="54">
        <f t="shared" si="168"/>
        <v>6.5230884240782203E-2</v>
      </c>
      <c r="DZ108" s="54" t="e">
        <f t="shared" si="169"/>
        <v>#N/A</v>
      </c>
      <c r="EA108" s="54">
        <f t="shared" si="170"/>
        <v>6.5230884240782203E-2</v>
      </c>
      <c r="EB108" s="69" t="str">
        <f t="shared" si="171"/>
        <v/>
      </c>
      <c r="EG108" s="54">
        <f t="shared" si="172"/>
        <v>98</v>
      </c>
      <c r="EH108" s="54">
        <f t="shared" si="173"/>
        <v>99</v>
      </c>
      <c r="EI108" s="54">
        <f t="shared" si="174"/>
        <v>-0.74261396504807919</v>
      </c>
      <c r="EJ108" s="54">
        <f t="shared" si="175"/>
        <v>0.30280196023421319</v>
      </c>
      <c r="EK108" s="54" t="e">
        <f t="shared" si="176"/>
        <v>#N/A</v>
      </c>
      <c r="EL108" s="54" t="e">
        <f t="shared" si="177"/>
        <v>#N/A</v>
      </c>
      <c r="EM108" s="54" t="e">
        <f t="shared" si="178"/>
        <v>#N/A</v>
      </c>
      <c r="EN108" s="54" t="b">
        <f t="shared" si="179"/>
        <v>0</v>
      </c>
      <c r="EO108" s="54" t="b">
        <f t="shared" si="180"/>
        <v>1</v>
      </c>
      <c r="EP108" s="54" t="b">
        <f t="shared" si="181"/>
        <v>0</v>
      </c>
      <c r="EQ108" s="54" t="b">
        <f t="shared" si="182"/>
        <v>1</v>
      </c>
      <c r="ER108" s="54">
        <f t="shared" si="183"/>
        <v>0.30280196023421319</v>
      </c>
      <c r="ES108" s="54" t="e">
        <f t="shared" si="184"/>
        <v>#N/A</v>
      </c>
      <c r="ET108" s="54">
        <f t="shared" si="185"/>
        <v>0.30280196023421319</v>
      </c>
      <c r="EU108" s="69" t="str">
        <f t="shared" si="186"/>
        <v/>
      </c>
      <c r="EV10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0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0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08" s="54" t="e" cm="1">
        <f t="array" ref="EY108">IF($CR$3,INDEX(Eu_tabel_a[[#This Row],[Styrke venstre]:[Styrke tosidet]],EY$7),NA())</f>
        <v>#N/A</v>
      </c>
      <c r="EZ108" s="54" t="e">
        <f>IF(EY$3,IF(CHOOSE(EY$7,Eu_tabel_a[[#This Row],[x base]]&gt;0,Eu_tabel_a[[#This Row],[x base]]&lt;0,Eu_tabel_a[[#This Row],[x base]]=0),1,NA()),NA())</f>
        <v>#N/A</v>
      </c>
      <c r="FA108" s="54" t="e">
        <f>IF(CHOOSE(EY$7,Eu_tabel_a[[#This Row],[x base]]&gt;0,Eu_tabel_a[[#This Row],[x base]]&lt;0,Eu_tabel_a[[#This Row],[x base]]=0),Eu_tabel_a[[#This Row],[Styrke, aktiv]],NA())</f>
        <v>#N/A</v>
      </c>
      <c r="FB108" s="54" t="e">
        <f>IFERROR(IF($EY$3,Eu_tabel_a[[#This Row],[Styrke, aktiv]],NA()),NA())</f>
        <v>#N/A</v>
      </c>
      <c r="FC108" s="54" t="e">
        <f>IF(ISNA(Eu_tabel_a[[#This Row],[Sand negativ
Nulhypotese afvises
Korrekt]]),NA(),IF(EY$3,1,NA()))</f>
        <v>#N/A</v>
      </c>
      <c r="FD108" s="55" t="str" cm="1">
        <f t="array" ref="FD108">IFERROR(_xlfn.SWITCH(Eu_tabel_a[[#This Row],[Indeks]],_xlfn.IFNA(FB$2,-99),FB$5,_xlfn.IFNA(FB$3,-99),FB$6,_xlfn.IFNA(FB$4,-99),FB$7,""),"")</f>
        <v/>
      </c>
      <c r="FE108" s="54">
        <f>Eu_tabel_a[[#This Row],[x base]]*SQRT(Eu_a_h0_x*(1-Eu_a_h0_x)/Eu_a_n_x)+Eu_a_h0_x</f>
        <v>0</v>
      </c>
      <c r="FJ108" s="144" t="e">
        <f t="shared" si="130"/>
        <v>#N/A</v>
      </c>
      <c r="FK108" s="152" t="e">
        <f t="shared" si="218"/>
        <v>#DIV/0!</v>
      </c>
      <c r="FL108" s="7" t="e">
        <f t="shared" si="124"/>
        <v>#DIV/0!</v>
      </c>
      <c r="FM108" t="e">
        <f t="shared" si="219"/>
        <v>#DIV/0!</v>
      </c>
      <c r="FN108" s="8" t="e">
        <f t="shared" si="220"/>
        <v>#DIV/0!</v>
      </c>
      <c r="FO108" s="8" t="e">
        <f t="shared" si="221"/>
        <v>#DIV/0!</v>
      </c>
      <c r="FP108" s="151" t="e">
        <f t="shared" si="222"/>
        <v>#DIV/0!</v>
      </c>
      <c r="FQ108" s="144" t="e">
        <f t="shared" ca="1" si="125"/>
        <v>#N/A</v>
      </c>
      <c r="FR108" s="152" t="e" vm="3">
        <f t="shared" ca="1" si="131"/>
        <v>#VALUE!</v>
      </c>
      <c r="FS108" s="7" t="e" vm="3">
        <f t="shared" ca="1" si="126"/>
        <v>#VALUE!</v>
      </c>
      <c r="FT108" t="e" vm="3">
        <f t="shared" ca="1" si="120"/>
        <v>#VALUE!</v>
      </c>
      <c r="FU108" s="8" t="e" vm="3">
        <f t="shared" ca="1" si="121"/>
        <v>#VALUE!</v>
      </c>
      <c r="FV108" s="8" t="e" vm="3">
        <f t="shared" ca="1" si="122"/>
        <v>#VALUE!</v>
      </c>
      <c r="FW108" s="151" t="e" vm="3">
        <f t="shared" ca="1" si="123"/>
        <v>#VALUE!</v>
      </c>
      <c r="FX108" s="144" t="e">
        <f t="shared" si="127"/>
        <v>#N/A</v>
      </c>
      <c r="FY108" s="152" t="e">
        <f t="shared" si="132"/>
        <v>#N/A</v>
      </c>
      <c r="FZ108" s="7" t="e">
        <f t="shared" si="128"/>
        <v>#N/A</v>
      </c>
      <c r="GA108" t="e">
        <f t="shared" si="133"/>
        <v>#N/A</v>
      </c>
      <c r="GB108" s="8" t="e">
        <f t="shared" si="134"/>
        <v>#N/A</v>
      </c>
      <c r="GC108" s="8" t="e">
        <f t="shared" si="135"/>
        <v>#N/A</v>
      </c>
      <c r="GD108" s="151" t="e">
        <f t="shared" si="136"/>
        <v>#N/A</v>
      </c>
      <c r="GE108" s="144" t="e">
        <f t="shared" si="137"/>
        <v>#N/A</v>
      </c>
      <c r="GF108" s="152" t="e">
        <f t="shared" si="138"/>
        <v>#N/A</v>
      </c>
      <c r="GG108" s="7" t="e">
        <f t="shared" si="129"/>
        <v>#N/A</v>
      </c>
      <c r="GH108" t="e">
        <f t="shared" si="139"/>
        <v>#N/A</v>
      </c>
      <c r="GI108" s="8" t="e">
        <f t="shared" si="140"/>
        <v>#N/A</v>
      </c>
      <c r="GJ108" s="8" t="e">
        <f t="shared" si="141"/>
        <v>#N/A</v>
      </c>
      <c r="GK108" s="151" t="e">
        <f t="shared" si="142"/>
        <v>#N/A</v>
      </c>
      <c r="GL108" s="151"/>
      <c r="GM108" s="151"/>
      <c r="GP108" s="54">
        <f t="shared" si="187"/>
        <v>98</v>
      </c>
      <c r="GQ108" s="54">
        <f t="shared" si="188"/>
        <v>99</v>
      </c>
      <c r="GR108" s="54">
        <f t="shared" si="189"/>
        <v>-0.74261396504807919</v>
      </c>
      <c r="GS108" s="54">
        <f t="shared" si="190"/>
        <v>0.30280196023421319</v>
      </c>
      <c r="GT108" s="54" t="e">
        <f t="shared" si="191"/>
        <v>#N/A</v>
      </c>
      <c r="GU108" s="54" t="e">
        <f t="shared" si="192"/>
        <v>#N/A</v>
      </c>
      <c r="GV108" s="54" t="e">
        <f t="shared" si="193"/>
        <v>#N/A</v>
      </c>
      <c r="GW108" s="54" t="b">
        <f t="shared" si="194"/>
        <v>0</v>
      </c>
      <c r="GX108" s="54" t="b">
        <f t="shared" si="195"/>
        <v>1</v>
      </c>
      <c r="GY108" s="54" t="b">
        <f t="shared" si="196"/>
        <v>0</v>
      </c>
      <c r="GZ108" s="54" t="b">
        <f t="shared" si="197"/>
        <v>1</v>
      </c>
      <c r="HA108" s="54">
        <f t="shared" si="198"/>
        <v>0.30280196023421319</v>
      </c>
      <c r="HB108" s="54" t="e">
        <f t="shared" si="199"/>
        <v>#N/A</v>
      </c>
      <c r="HC108" s="54">
        <f t="shared" si="200"/>
        <v>0.30280196023421319</v>
      </c>
      <c r="HD108" s="69" t="str">
        <f t="shared" si="201"/>
        <v/>
      </c>
      <c r="HJ108" s="54">
        <f t="shared" si="202"/>
        <v>98</v>
      </c>
      <c r="HK108" s="54">
        <f t="shared" si="203"/>
        <v>99</v>
      </c>
      <c r="HL108" s="54">
        <f t="shared" si="204"/>
        <v>-1.149953321610762</v>
      </c>
      <c r="HM108" s="54" t="e">
        <f t="shared" si="205"/>
        <v>#N/A</v>
      </c>
      <c r="HN108" s="54">
        <f t="shared" si="206"/>
        <v>0.19268612352727205</v>
      </c>
      <c r="HO108" s="54" t="e">
        <f t="shared" si="207"/>
        <v>#N/A</v>
      </c>
      <c r="HP108" s="54" t="e">
        <f t="shared" si="208"/>
        <v>#N/A</v>
      </c>
      <c r="HQ108" s="54" t="b">
        <f t="shared" si="209"/>
        <v>1</v>
      </c>
      <c r="HR108" s="54" t="b">
        <f t="shared" si="210"/>
        <v>0</v>
      </c>
      <c r="HS108" s="54" t="b">
        <f t="shared" si="211"/>
        <v>0</v>
      </c>
      <c r="HT108" s="54" t="b">
        <f t="shared" si="212"/>
        <v>1</v>
      </c>
      <c r="HU108" s="54">
        <f t="shared" si="213"/>
        <v>0.19268612352727205</v>
      </c>
      <c r="HV108" s="54">
        <f t="shared" si="214"/>
        <v>0.19268612352727205</v>
      </c>
      <c r="HW108" s="54" t="e">
        <f t="shared" si="215"/>
        <v>#N/A</v>
      </c>
      <c r="HX108" s="69" t="str">
        <f t="shared" si="216"/>
        <v/>
      </c>
    </row>
    <row r="109" spans="78:232" x14ac:dyDescent="0.2">
      <c r="BZ109" s="54">
        <f t="shared" si="143"/>
        <v>99</v>
      </c>
      <c r="CA109" s="54">
        <f>Eu_tabel_g[[#This Row],[Indeks]]+1</f>
        <v>100</v>
      </c>
      <c r="CB109" s="54">
        <f t="shared" si="144"/>
        <v>-0.71865867585297982</v>
      </c>
      <c r="CC109" s="54">
        <f t="shared" si="145"/>
        <v>0.30814843527368829</v>
      </c>
      <c r="CD109" s="54" t="e">
        <f t="shared" si="146"/>
        <v>#N/A</v>
      </c>
      <c r="CE109" s="54" t="e">
        <f t="shared" si="147"/>
        <v>#N/A</v>
      </c>
      <c r="CF109" s="54" t="e">
        <f t="shared" si="148"/>
        <v>#N/A</v>
      </c>
      <c r="CG109" s="54" t="b">
        <f t="shared" si="149"/>
        <v>0</v>
      </c>
      <c r="CH109" s="54" t="b">
        <f t="shared" si="150"/>
        <v>1</v>
      </c>
      <c r="CI109" s="54" t="b">
        <f t="shared" si="151"/>
        <v>0</v>
      </c>
      <c r="CJ109" s="54" t="b">
        <f t="shared" si="152"/>
        <v>1</v>
      </c>
      <c r="CK109" s="54">
        <f t="shared" si="217"/>
        <v>0.30814843527368829</v>
      </c>
      <c r="CL109" s="54" t="e">
        <f t="shared" si="153"/>
        <v>#N/A</v>
      </c>
      <c r="CM109" s="54">
        <f t="shared" si="154"/>
        <v>0.30814843527368829</v>
      </c>
      <c r="CN109" s="69" t="str">
        <f t="shared" si="155"/>
        <v/>
      </c>
      <c r="CO109" s="54">
        <f>_xlfn.NORM.DIST(_xlfn.NORM.INV(1-Eu_g_konfidensniveau,0,1)-Eu_tabel_g[[#This Row],[x base]],0,1,TRUE)</f>
        <v>0.17717233796114054</v>
      </c>
      <c r="CP109" s="54">
        <f>1-_xlfn.NORM.DIST(_xlfn.NORM.INV(Eu_g_konfidensniveau,0,1)-Eu_tabel_g[[#This Row],[x base]],0,1,TRUE)</f>
        <v>9.0513127949021221E-3</v>
      </c>
      <c r="CQ109" s="54">
        <f>_xlfn.NORM.DIST(_xlfn.NORM.INV((1-Eu_g_konfidensniveau)/2,0,1)-Eu_tabel_g[[#This Row],[x base]],0,1,TRUE)+1-_xlfn.NORM.DIST(_xlfn.NORM.INV(1-(1-Eu_g_konfidensniveau)/2,0,1)-Eu_tabel_g[[#This Row],[x base]],0,1,TRUE)</f>
        <v>0.11094277467154023</v>
      </c>
      <c r="CR109" s="54" t="e" cm="1">
        <f t="array" ref="CR109">IF($CR$3,INDEX(Eu_tabel_g[[#This Row],[Styrke venstre]:[Styrke tosidet]],CR$7),NA())</f>
        <v>#N/A</v>
      </c>
      <c r="CS109" s="89" t="e">
        <f>Eu_tabel_g[[#This Row],[Falsk positiv
Nulhypotese accepteres
Fejltype 1]]</f>
        <v>#N/A</v>
      </c>
      <c r="CT109" s="89" t="e">
        <f>IF(CHOOSE(CR$7,Eu_tabel_g[[#This Row],[x base]]&gt;0,Eu_tabel_g[[#This Row],[x base]]&lt;0,Eu_tabel_g[[#This Row],[x base]]=0),Eu_tabel_g[[#This Row],[Styrke, aktiv]],NA())</f>
        <v>#N/A</v>
      </c>
      <c r="CU109" s="89" t="e">
        <f>IFERROR(IF($CR$3,Eu_tabel_g[[#This Row],[Styrke, aktiv]],NA()),NA())</f>
        <v>#N/A</v>
      </c>
      <c r="CV109" s="89" t="e">
        <f>IF(ISNA(Eu_tabel_g[[#This Row],[Sand negativ
Nulhypotese afvises
Korrekt]]),NA(),IF($CR$3,1,NA()))</f>
        <v>#N/A</v>
      </c>
      <c r="CW109" s="56" t="str" cm="1">
        <f t="array" ref="CW109">_xlfn.SWITCH(BZ109,_xlfn.IFNA(CU$2,-99),CU$5,_xlfn.IFNA(CU$3,-99),CU$6,_xlfn.IFNA(CU$4,-99),CU$7,"")</f>
        <v/>
      </c>
      <c r="DA109" s="7">
        <f t="shared" si="156"/>
        <v>0.8</v>
      </c>
      <c r="DB109">
        <f>IF(ROW(Styrkeberegning_G[[#This Row],[X base venstre]])=ROW(Styrkeberegning_G[[#Headers],[X base venstre]])+1,DB$7/(DA$7/$B$67),DB108/(DA108/$B$67))</f>
        <v>-2.8015817870135784</v>
      </c>
      <c r="DC109">
        <f>Styrkeberegning_G[[#This Row],[X base venstre]]*-1</f>
        <v>2.8015817870135784</v>
      </c>
      <c r="DN109" s="54">
        <f t="shared" si="157"/>
        <v>99</v>
      </c>
      <c r="DO109" s="54">
        <f t="shared" si="158"/>
        <v>100</v>
      </c>
      <c r="DP109" s="54">
        <f t="shared" si="159"/>
        <v>13.126867449936789</v>
      </c>
      <c r="DQ109" s="54" t="e">
        <f t="shared" si="160"/>
        <v>#N/A</v>
      </c>
      <c r="DR109" s="54" t="e">
        <f t="shared" si="161"/>
        <v>#N/A</v>
      </c>
      <c r="DS109" s="54">
        <f t="shared" si="162"/>
        <v>6.4082605014498681E-2</v>
      </c>
      <c r="DT109" s="54" t="e">
        <f t="shared" si="163"/>
        <v>#N/A</v>
      </c>
      <c r="DU109" s="54" t="b">
        <f t="shared" si="164"/>
        <v>0</v>
      </c>
      <c r="DV109" s="54" t="b">
        <f t="shared" si="165"/>
        <v>1</v>
      </c>
      <c r="DW109" s="54" t="b">
        <f t="shared" si="166"/>
        <v>0</v>
      </c>
      <c r="DX109" s="54" t="b">
        <f t="shared" si="167"/>
        <v>1</v>
      </c>
      <c r="DY109" s="54">
        <f t="shared" si="168"/>
        <v>6.4082605014498681E-2</v>
      </c>
      <c r="DZ109" s="54" t="e">
        <f t="shared" si="169"/>
        <v>#N/A</v>
      </c>
      <c r="EA109" s="54">
        <f t="shared" si="170"/>
        <v>6.4082605014498681E-2</v>
      </c>
      <c r="EB109" s="69" t="str">
        <f t="shared" si="171"/>
        <v/>
      </c>
      <c r="EG109" s="54">
        <f t="shared" si="172"/>
        <v>99</v>
      </c>
      <c r="EH109" s="54">
        <f t="shared" si="173"/>
        <v>100</v>
      </c>
      <c r="EI109" s="54">
        <f t="shared" si="174"/>
        <v>-0.71865867585297982</v>
      </c>
      <c r="EJ109" s="54">
        <f t="shared" si="175"/>
        <v>0.30814843527368829</v>
      </c>
      <c r="EK109" s="54" t="e">
        <f t="shared" si="176"/>
        <v>#N/A</v>
      </c>
      <c r="EL109" s="54" t="e">
        <f t="shared" si="177"/>
        <v>#N/A</v>
      </c>
      <c r="EM109" s="54" t="e">
        <f t="shared" si="178"/>
        <v>#N/A</v>
      </c>
      <c r="EN109" s="54" t="b">
        <f t="shared" si="179"/>
        <v>0</v>
      </c>
      <c r="EO109" s="54" t="b">
        <f t="shared" si="180"/>
        <v>1</v>
      </c>
      <c r="EP109" s="54" t="b">
        <f t="shared" si="181"/>
        <v>0</v>
      </c>
      <c r="EQ109" s="54" t="b">
        <f t="shared" si="182"/>
        <v>1</v>
      </c>
      <c r="ER109" s="54">
        <f t="shared" si="183"/>
        <v>0.30814843527368829</v>
      </c>
      <c r="ES109" s="54" t="e">
        <f t="shared" si="184"/>
        <v>#N/A</v>
      </c>
      <c r="ET109" s="54">
        <f t="shared" si="185"/>
        <v>0.30814843527368829</v>
      </c>
      <c r="EU109" s="69" t="str">
        <f t="shared" si="186"/>
        <v/>
      </c>
      <c r="EV10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0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0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09" s="54" t="e" cm="1">
        <f t="array" ref="EY109">IF($CR$3,INDEX(Eu_tabel_a[[#This Row],[Styrke venstre]:[Styrke tosidet]],EY$7),NA())</f>
        <v>#N/A</v>
      </c>
      <c r="EZ109" s="54" t="e">
        <f>IF(EY$3,IF(CHOOSE(EY$7,Eu_tabel_a[[#This Row],[x base]]&gt;0,Eu_tabel_a[[#This Row],[x base]]&lt;0,Eu_tabel_a[[#This Row],[x base]]=0),1,NA()),NA())</f>
        <v>#N/A</v>
      </c>
      <c r="FA109" s="54" t="e">
        <f>IF(CHOOSE(EY$7,Eu_tabel_a[[#This Row],[x base]]&gt;0,Eu_tabel_a[[#This Row],[x base]]&lt;0,Eu_tabel_a[[#This Row],[x base]]=0),Eu_tabel_a[[#This Row],[Styrke, aktiv]],NA())</f>
        <v>#N/A</v>
      </c>
      <c r="FB109" s="54" t="e">
        <f>IFERROR(IF($EY$3,Eu_tabel_a[[#This Row],[Styrke, aktiv]],NA()),NA())</f>
        <v>#N/A</v>
      </c>
      <c r="FC109" s="54" t="e">
        <f>IF(ISNA(Eu_tabel_a[[#This Row],[Sand negativ
Nulhypotese afvises
Korrekt]]),NA(),IF(EY$3,1,NA()))</f>
        <v>#N/A</v>
      </c>
      <c r="FD109" s="55" t="str" cm="1">
        <f t="array" ref="FD109">IFERROR(_xlfn.SWITCH(Eu_tabel_a[[#This Row],[Indeks]],_xlfn.IFNA(FB$2,-99),FB$5,_xlfn.IFNA(FB$3,-99),FB$6,_xlfn.IFNA(FB$4,-99),FB$7,""),"")</f>
        <v/>
      </c>
      <c r="FE109" s="54">
        <f>Eu_tabel_a[[#This Row],[x base]]*SQRT(Eu_a_h0_x*(1-Eu_a_h0_x)/Eu_a_n_x)+Eu_a_h0_x</f>
        <v>0</v>
      </c>
      <c r="FJ109" s="144" t="e">
        <f t="shared" si="130"/>
        <v>#N/A</v>
      </c>
      <c r="FK109" s="152" t="e">
        <f t="shared" si="218"/>
        <v>#DIV/0!</v>
      </c>
      <c r="FL109" s="7" t="e">
        <f t="shared" si="124"/>
        <v>#DIV/0!</v>
      </c>
      <c r="FM109" t="e">
        <f t="shared" si="219"/>
        <v>#DIV/0!</v>
      </c>
      <c r="FN109" s="8" t="e">
        <f t="shared" si="220"/>
        <v>#DIV/0!</v>
      </c>
      <c r="FO109" s="8" t="e">
        <f t="shared" si="221"/>
        <v>#DIV/0!</v>
      </c>
      <c r="FP109" s="151" t="e">
        <f t="shared" si="222"/>
        <v>#DIV/0!</v>
      </c>
      <c r="FQ109" s="144" t="e">
        <f t="shared" ca="1" si="125"/>
        <v>#N/A</v>
      </c>
      <c r="FR109" s="152" t="e" vm="3">
        <f t="shared" ca="1" si="131"/>
        <v>#VALUE!</v>
      </c>
      <c r="FS109" s="7" t="e" vm="3">
        <f t="shared" ca="1" si="126"/>
        <v>#VALUE!</v>
      </c>
      <c r="FT109" t="e" vm="3">
        <f t="shared" ca="1" si="120"/>
        <v>#VALUE!</v>
      </c>
      <c r="FU109" s="8" t="e" vm="3">
        <f t="shared" ca="1" si="121"/>
        <v>#VALUE!</v>
      </c>
      <c r="FV109" s="8" t="e" vm="3">
        <f t="shared" ca="1" si="122"/>
        <v>#VALUE!</v>
      </c>
      <c r="FW109" s="151" t="e" vm="3">
        <f t="shared" ca="1" si="123"/>
        <v>#VALUE!</v>
      </c>
      <c r="FX109" s="144" t="e">
        <f t="shared" si="127"/>
        <v>#N/A</v>
      </c>
      <c r="FY109" s="152" t="e">
        <f t="shared" si="132"/>
        <v>#N/A</v>
      </c>
      <c r="FZ109" s="7" t="e">
        <f t="shared" si="128"/>
        <v>#N/A</v>
      </c>
      <c r="GA109" t="e">
        <f t="shared" si="133"/>
        <v>#N/A</v>
      </c>
      <c r="GB109" s="8" t="e">
        <f t="shared" si="134"/>
        <v>#N/A</v>
      </c>
      <c r="GC109" s="8" t="e">
        <f t="shared" si="135"/>
        <v>#N/A</v>
      </c>
      <c r="GD109" s="151" t="e">
        <f t="shared" si="136"/>
        <v>#N/A</v>
      </c>
      <c r="GE109" s="144" t="e">
        <f t="shared" si="137"/>
        <v>#N/A</v>
      </c>
      <c r="GF109" s="152" t="e">
        <f t="shared" si="138"/>
        <v>#N/A</v>
      </c>
      <c r="GG109" s="7" t="e">
        <f t="shared" si="129"/>
        <v>#N/A</v>
      </c>
      <c r="GH109" t="e">
        <f t="shared" si="139"/>
        <v>#N/A</v>
      </c>
      <c r="GI109" s="8" t="e">
        <f t="shared" si="140"/>
        <v>#N/A</v>
      </c>
      <c r="GJ109" s="8" t="e">
        <f t="shared" si="141"/>
        <v>#N/A</v>
      </c>
      <c r="GK109" s="151" t="e">
        <f t="shared" si="142"/>
        <v>#N/A</v>
      </c>
      <c r="GL109" s="151"/>
      <c r="GM109" s="151"/>
      <c r="GP109" s="54">
        <f t="shared" si="187"/>
        <v>99</v>
      </c>
      <c r="GQ109" s="54">
        <f t="shared" si="188"/>
        <v>100</v>
      </c>
      <c r="GR109" s="54">
        <f t="shared" si="189"/>
        <v>-0.71865867585297982</v>
      </c>
      <c r="GS109" s="54">
        <f t="shared" si="190"/>
        <v>0.30814843527368829</v>
      </c>
      <c r="GT109" s="54" t="e">
        <f t="shared" si="191"/>
        <v>#N/A</v>
      </c>
      <c r="GU109" s="54" t="e">
        <f t="shared" si="192"/>
        <v>#N/A</v>
      </c>
      <c r="GV109" s="54" t="e">
        <f t="shared" si="193"/>
        <v>#N/A</v>
      </c>
      <c r="GW109" s="54" t="b">
        <f t="shared" si="194"/>
        <v>0</v>
      </c>
      <c r="GX109" s="54" t="b">
        <f t="shared" si="195"/>
        <v>1</v>
      </c>
      <c r="GY109" s="54" t="b">
        <f t="shared" si="196"/>
        <v>0</v>
      </c>
      <c r="GZ109" s="54" t="b">
        <f t="shared" si="197"/>
        <v>1</v>
      </c>
      <c r="HA109" s="54">
        <f t="shared" si="198"/>
        <v>0.30814843527368829</v>
      </c>
      <c r="HB109" s="54" t="e">
        <f t="shared" si="199"/>
        <v>#N/A</v>
      </c>
      <c r="HC109" s="54">
        <f t="shared" si="200"/>
        <v>0.30814843527368829</v>
      </c>
      <c r="HD109" s="69" t="str">
        <f t="shared" si="201"/>
        <v/>
      </c>
      <c r="HJ109" s="54">
        <f t="shared" si="202"/>
        <v>99</v>
      </c>
      <c r="HK109" s="54">
        <f t="shared" si="203"/>
        <v>100</v>
      </c>
      <c r="HL109" s="54">
        <f t="shared" si="204"/>
        <v>-1.1128580531717054</v>
      </c>
      <c r="HM109" s="54" t="e">
        <f t="shared" si="205"/>
        <v>#N/A</v>
      </c>
      <c r="HN109" s="54">
        <f t="shared" si="206"/>
        <v>0.20065988647559618</v>
      </c>
      <c r="HO109" s="54" t="e">
        <f t="shared" si="207"/>
        <v>#N/A</v>
      </c>
      <c r="HP109" s="54" t="e">
        <f t="shared" si="208"/>
        <v>#N/A</v>
      </c>
      <c r="HQ109" s="54" t="b">
        <f t="shared" si="209"/>
        <v>1</v>
      </c>
      <c r="HR109" s="54" t="b">
        <f t="shared" si="210"/>
        <v>0</v>
      </c>
      <c r="HS109" s="54" t="b">
        <f t="shared" si="211"/>
        <v>0</v>
      </c>
      <c r="HT109" s="54" t="b">
        <f t="shared" si="212"/>
        <v>1</v>
      </c>
      <c r="HU109" s="54">
        <f t="shared" si="213"/>
        <v>0.20065988647559618</v>
      </c>
      <c r="HV109" s="54">
        <f t="shared" si="214"/>
        <v>0.20065988647559618</v>
      </c>
      <c r="HW109" s="54" t="e">
        <f t="shared" si="215"/>
        <v>#N/A</v>
      </c>
      <c r="HX109" s="69" t="str">
        <f t="shared" si="216"/>
        <v/>
      </c>
    </row>
    <row r="110" spans="78:232" x14ac:dyDescent="0.2">
      <c r="BZ110" s="54">
        <f t="shared" si="143"/>
        <v>100</v>
      </c>
      <c r="CA110" s="54">
        <f>Eu_tabel_g[[#This Row],[Indeks]]+1</f>
        <v>101</v>
      </c>
      <c r="CB110" s="54">
        <f t="shared" si="144"/>
        <v>-0.69470338665788045</v>
      </c>
      <c r="CC110" s="54">
        <f t="shared" si="145"/>
        <v>0.31340940782583288</v>
      </c>
      <c r="CD110" s="54" t="e">
        <f t="shared" si="146"/>
        <v>#N/A</v>
      </c>
      <c r="CE110" s="54" t="e">
        <f t="shared" si="147"/>
        <v>#N/A</v>
      </c>
      <c r="CF110" s="54" t="e">
        <f t="shared" si="148"/>
        <v>#N/A</v>
      </c>
      <c r="CG110" s="54" t="b">
        <f t="shared" si="149"/>
        <v>0</v>
      </c>
      <c r="CH110" s="54" t="b">
        <f t="shared" si="150"/>
        <v>1</v>
      </c>
      <c r="CI110" s="54" t="b">
        <f t="shared" si="151"/>
        <v>0</v>
      </c>
      <c r="CJ110" s="54" t="b">
        <f t="shared" si="152"/>
        <v>1</v>
      </c>
      <c r="CK110" s="54">
        <f t="shared" si="217"/>
        <v>0.31340940782583288</v>
      </c>
      <c r="CL110" s="54" t="e">
        <f t="shared" si="153"/>
        <v>#N/A</v>
      </c>
      <c r="CM110" s="54">
        <f t="shared" si="154"/>
        <v>0.31340940782583288</v>
      </c>
      <c r="CN110" s="69" t="str">
        <f t="shared" si="155"/>
        <v/>
      </c>
      <c r="CO110" s="54">
        <f>_xlfn.NORM.DIST(_xlfn.NORM.INV(1-Eu_g_konfidensniveau,0,1)-Eu_tabel_g[[#This Row],[x base]],0,1,TRUE)</f>
        <v>0.17101795912522497</v>
      </c>
      <c r="CP110" s="54">
        <f>1-_xlfn.NORM.DIST(_xlfn.NORM.INV(Eu_g_konfidensniveau,0,1)-Eu_tabel_g[[#This Row],[x base]],0,1,TRUE)</f>
        <v>9.6533122660337201E-3</v>
      </c>
      <c r="CQ110" s="54">
        <f>_xlfn.NORM.DIST(_xlfn.NORM.INV((1-Eu_g_konfidensniveau)/2,0,1)-Eu_tabel_g[[#This Row],[x base]],0,1,TRUE)+1-_xlfn.NORM.DIST(_xlfn.NORM.INV(1-(1-Eu_g_konfidensniveau)/2,0,1)-Eu_tabel_g[[#This Row],[x base]],0,1,TRUE)</f>
        <v>0.10685829537543157</v>
      </c>
      <c r="CR110" s="54" t="e" cm="1">
        <f t="array" ref="CR110">IF($CR$3,INDEX(Eu_tabel_g[[#This Row],[Styrke venstre]:[Styrke tosidet]],CR$7),NA())</f>
        <v>#N/A</v>
      </c>
      <c r="CS110" s="89" t="e">
        <f>Eu_tabel_g[[#This Row],[Falsk positiv
Nulhypotese accepteres
Fejltype 1]]</f>
        <v>#N/A</v>
      </c>
      <c r="CT110" s="89" t="e">
        <f>IF(CHOOSE(CR$7,Eu_tabel_g[[#This Row],[x base]]&gt;0,Eu_tabel_g[[#This Row],[x base]]&lt;0,Eu_tabel_g[[#This Row],[x base]]=0),Eu_tabel_g[[#This Row],[Styrke, aktiv]],NA())</f>
        <v>#N/A</v>
      </c>
      <c r="CU110" s="89" t="e">
        <f>IFERROR(IF($CR$3,Eu_tabel_g[[#This Row],[Styrke, aktiv]],NA()),NA())</f>
        <v>#N/A</v>
      </c>
      <c r="CV110" s="89" t="e">
        <f>IF(ISNA(Eu_tabel_g[[#This Row],[Sand negativ
Nulhypotese afvises
Korrekt]]),NA(),IF($CR$3,1,NA()))</f>
        <v>#N/A</v>
      </c>
      <c r="CW110" s="56" t="str" cm="1">
        <f t="array" ref="CW110">_xlfn.SWITCH(BZ110,_xlfn.IFNA(CU$2,-99),CU$5,_xlfn.IFNA(CU$3,-99),CU$6,_xlfn.IFNA(CU$4,-99),CU$7,"")</f>
        <v/>
      </c>
      <c r="DA110" s="7">
        <f t="shared" si="156"/>
        <v>0.8</v>
      </c>
      <c r="DB110">
        <f>IF(ROW(Styrkeberegning_G[[#This Row],[X base venstre]])=ROW(Styrkeberegning_G[[#Headers],[X base venstre]])+1,DB$7/(DA$7/$B$67),DB109/(DA109/$B$67))</f>
        <v>-2.8015817870135784</v>
      </c>
      <c r="DC110">
        <f>Styrkeberegning_G[[#This Row],[X base venstre]]*-1</f>
        <v>2.8015817870135784</v>
      </c>
      <c r="DN110" s="54">
        <f t="shared" si="157"/>
        <v>100</v>
      </c>
      <c r="DO110" s="54">
        <f t="shared" si="158"/>
        <v>101</v>
      </c>
      <c r="DP110" s="54">
        <f t="shared" si="159"/>
        <v>13.24093830635379</v>
      </c>
      <c r="DQ110" s="54" t="e">
        <f t="shared" si="160"/>
        <v>#N/A</v>
      </c>
      <c r="DR110" s="54" t="e">
        <f t="shared" si="161"/>
        <v>#N/A</v>
      </c>
      <c r="DS110" s="54">
        <f t="shared" si="162"/>
        <v>6.293314936834786E-2</v>
      </c>
      <c r="DT110" s="54" t="e">
        <f t="shared" si="163"/>
        <v>#N/A</v>
      </c>
      <c r="DU110" s="54" t="b">
        <f t="shared" si="164"/>
        <v>0</v>
      </c>
      <c r="DV110" s="54" t="b">
        <f t="shared" si="165"/>
        <v>1</v>
      </c>
      <c r="DW110" s="54" t="b">
        <f t="shared" si="166"/>
        <v>0</v>
      </c>
      <c r="DX110" s="54" t="b">
        <f t="shared" si="167"/>
        <v>1</v>
      </c>
      <c r="DY110" s="54">
        <f t="shared" si="168"/>
        <v>6.293314936834786E-2</v>
      </c>
      <c r="DZ110" s="54" t="e">
        <f t="shared" si="169"/>
        <v>#N/A</v>
      </c>
      <c r="EA110" s="54">
        <f t="shared" si="170"/>
        <v>6.293314936834786E-2</v>
      </c>
      <c r="EB110" s="69" t="str">
        <f t="shared" si="171"/>
        <v/>
      </c>
      <c r="EG110" s="54">
        <f t="shared" si="172"/>
        <v>100</v>
      </c>
      <c r="EH110" s="54">
        <f t="shared" si="173"/>
        <v>101</v>
      </c>
      <c r="EI110" s="54">
        <f t="shared" si="174"/>
        <v>-0.69470338665788045</v>
      </c>
      <c r="EJ110" s="54">
        <f t="shared" si="175"/>
        <v>0.31340940782583288</v>
      </c>
      <c r="EK110" s="54" t="e">
        <f t="shared" si="176"/>
        <v>#N/A</v>
      </c>
      <c r="EL110" s="54" t="e">
        <f t="shared" si="177"/>
        <v>#N/A</v>
      </c>
      <c r="EM110" s="54" t="e">
        <f t="shared" si="178"/>
        <v>#N/A</v>
      </c>
      <c r="EN110" s="54" t="b">
        <f t="shared" si="179"/>
        <v>0</v>
      </c>
      <c r="EO110" s="54" t="b">
        <f t="shared" si="180"/>
        <v>1</v>
      </c>
      <c r="EP110" s="54" t="b">
        <f t="shared" si="181"/>
        <v>0</v>
      </c>
      <c r="EQ110" s="54" t="b">
        <f t="shared" si="182"/>
        <v>1</v>
      </c>
      <c r="ER110" s="54">
        <f t="shared" si="183"/>
        <v>0.31340940782583288</v>
      </c>
      <c r="ES110" s="54" t="e">
        <f t="shared" si="184"/>
        <v>#N/A</v>
      </c>
      <c r="ET110" s="54">
        <f t="shared" si="185"/>
        <v>0.31340940782583288</v>
      </c>
      <c r="EU110" s="69" t="str">
        <f t="shared" si="186"/>
        <v/>
      </c>
      <c r="EV11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1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1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10" s="54" t="e" cm="1">
        <f t="array" ref="EY110">IF($CR$3,INDEX(Eu_tabel_a[[#This Row],[Styrke venstre]:[Styrke tosidet]],EY$7),NA())</f>
        <v>#N/A</v>
      </c>
      <c r="EZ110" s="54" t="e">
        <f>IF(EY$3,IF(CHOOSE(EY$7,Eu_tabel_a[[#This Row],[x base]]&gt;0,Eu_tabel_a[[#This Row],[x base]]&lt;0,Eu_tabel_a[[#This Row],[x base]]=0),1,NA()),NA())</f>
        <v>#N/A</v>
      </c>
      <c r="FA110" s="54" t="e">
        <f>IF(CHOOSE(EY$7,Eu_tabel_a[[#This Row],[x base]]&gt;0,Eu_tabel_a[[#This Row],[x base]]&lt;0,Eu_tabel_a[[#This Row],[x base]]=0),Eu_tabel_a[[#This Row],[Styrke, aktiv]],NA())</f>
        <v>#N/A</v>
      </c>
      <c r="FB110" s="54" t="e">
        <f>IFERROR(IF($EY$3,Eu_tabel_a[[#This Row],[Styrke, aktiv]],NA()),NA())</f>
        <v>#N/A</v>
      </c>
      <c r="FC110" s="54" t="e">
        <f>IF(ISNA(Eu_tabel_a[[#This Row],[Sand negativ
Nulhypotese afvises
Korrekt]]),NA(),IF(EY$3,1,NA()))</f>
        <v>#N/A</v>
      </c>
      <c r="FD110" s="55" t="str" cm="1">
        <f t="array" ref="FD110">IFERROR(_xlfn.SWITCH(Eu_tabel_a[[#This Row],[Indeks]],_xlfn.IFNA(FB$2,-99),FB$5,_xlfn.IFNA(FB$3,-99),FB$6,_xlfn.IFNA(FB$4,-99),FB$7,""),"")</f>
        <v/>
      </c>
      <c r="FE110" s="54">
        <f>Eu_tabel_a[[#This Row],[x base]]*SQRT(Eu_a_h0_x*(1-Eu_a_h0_x)/Eu_a_n_x)+Eu_a_h0_x</f>
        <v>0</v>
      </c>
      <c r="FJ110" s="144" t="e">
        <f t="shared" si="130"/>
        <v>#N/A</v>
      </c>
      <c r="FK110" s="152" t="e">
        <f t="shared" si="218"/>
        <v>#DIV/0!</v>
      </c>
      <c r="FL110" s="7" t="e">
        <f t="shared" si="124"/>
        <v>#DIV/0!</v>
      </c>
      <c r="FM110" t="e">
        <f t="shared" si="219"/>
        <v>#DIV/0!</v>
      </c>
      <c r="FN110" s="8" t="e">
        <f t="shared" si="220"/>
        <v>#DIV/0!</v>
      </c>
      <c r="FO110" s="8" t="e">
        <f t="shared" si="221"/>
        <v>#DIV/0!</v>
      </c>
      <c r="FP110" s="151" t="e">
        <f t="shared" si="222"/>
        <v>#DIV/0!</v>
      </c>
      <c r="FQ110" s="144" t="e">
        <f t="shared" ca="1" si="125"/>
        <v>#N/A</v>
      </c>
      <c r="FR110" s="152" t="e" vm="3">
        <f t="shared" ca="1" si="131"/>
        <v>#VALUE!</v>
      </c>
      <c r="FS110" s="7" t="e" vm="3">
        <f t="shared" ca="1" si="126"/>
        <v>#VALUE!</v>
      </c>
      <c r="FT110" t="e" vm="3">
        <f t="shared" ca="1" si="120"/>
        <v>#VALUE!</v>
      </c>
      <c r="FU110" s="8" t="e" vm="3">
        <f t="shared" ca="1" si="121"/>
        <v>#VALUE!</v>
      </c>
      <c r="FV110" s="8" t="e" vm="3">
        <f t="shared" ca="1" si="122"/>
        <v>#VALUE!</v>
      </c>
      <c r="FW110" s="151" t="e" vm="3">
        <f t="shared" ca="1" si="123"/>
        <v>#VALUE!</v>
      </c>
      <c r="FX110" s="144" t="e">
        <f t="shared" si="127"/>
        <v>#N/A</v>
      </c>
      <c r="FY110" s="152" t="e">
        <f t="shared" si="132"/>
        <v>#N/A</v>
      </c>
      <c r="FZ110" s="7" t="e">
        <f t="shared" si="128"/>
        <v>#N/A</v>
      </c>
      <c r="GA110" t="e">
        <f t="shared" si="133"/>
        <v>#N/A</v>
      </c>
      <c r="GB110" s="8" t="e">
        <f t="shared" si="134"/>
        <v>#N/A</v>
      </c>
      <c r="GC110" s="8" t="e">
        <f t="shared" si="135"/>
        <v>#N/A</v>
      </c>
      <c r="GD110" s="151" t="e">
        <f t="shared" si="136"/>
        <v>#N/A</v>
      </c>
      <c r="GE110" s="144" t="e">
        <f t="shared" si="137"/>
        <v>#N/A</v>
      </c>
      <c r="GF110" s="152" t="e">
        <f t="shared" si="138"/>
        <v>#N/A</v>
      </c>
      <c r="GG110" s="7" t="e">
        <f t="shared" si="129"/>
        <v>#N/A</v>
      </c>
      <c r="GH110" t="e">
        <f t="shared" si="139"/>
        <v>#N/A</v>
      </c>
      <c r="GI110" s="8" t="e">
        <f t="shared" si="140"/>
        <v>#N/A</v>
      </c>
      <c r="GJ110" s="8" t="e">
        <f t="shared" si="141"/>
        <v>#N/A</v>
      </c>
      <c r="GK110" s="151" t="e">
        <f t="shared" si="142"/>
        <v>#N/A</v>
      </c>
      <c r="GL110" s="151"/>
      <c r="GM110" s="151"/>
      <c r="GP110" s="54">
        <f t="shared" si="187"/>
        <v>100</v>
      </c>
      <c r="GQ110" s="54">
        <f t="shared" si="188"/>
        <v>101</v>
      </c>
      <c r="GR110" s="54">
        <f t="shared" si="189"/>
        <v>-0.69470338665788045</v>
      </c>
      <c r="GS110" s="54">
        <f t="shared" si="190"/>
        <v>0.31340940782583288</v>
      </c>
      <c r="GT110" s="54" t="e">
        <f t="shared" si="191"/>
        <v>#N/A</v>
      </c>
      <c r="GU110" s="54" t="e">
        <f t="shared" si="192"/>
        <v>#N/A</v>
      </c>
      <c r="GV110" s="54" t="e">
        <f t="shared" si="193"/>
        <v>#N/A</v>
      </c>
      <c r="GW110" s="54" t="b">
        <f t="shared" si="194"/>
        <v>0</v>
      </c>
      <c r="GX110" s="54" t="b">
        <f t="shared" si="195"/>
        <v>1</v>
      </c>
      <c r="GY110" s="54" t="b">
        <f t="shared" si="196"/>
        <v>0</v>
      </c>
      <c r="GZ110" s="54" t="b">
        <f t="shared" si="197"/>
        <v>1</v>
      </c>
      <c r="HA110" s="54">
        <f t="shared" si="198"/>
        <v>0.31340940782583288</v>
      </c>
      <c r="HB110" s="54" t="e">
        <f t="shared" si="199"/>
        <v>#N/A</v>
      </c>
      <c r="HC110" s="54">
        <f t="shared" si="200"/>
        <v>0.31340940782583288</v>
      </c>
      <c r="HD110" s="69" t="str">
        <f t="shared" si="201"/>
        <v/>
      </c>
      <c r="HJ110" s="54">
        <f t="shared" si="202"/>
        <v>100</v>
      </c>
      <c r="HK110" s="54">
        <f t="shared" si="203"/>
        <v>101</v>
      </c>
      <c r="HL110" s="54">
        <f t="shared" si="204"/>
        <v>-1.0757627847326483</v>
      </c>
      <c r="HM110" s="54" t="e">
        <f t="shared" si="205"/>
        <v>#N/A</v>
      </c>
      <c r="HN110" s="54">
        <f t="shared" si="206"/>
        <v>0.20876843698347813</v>
      </c>
      <c r="HO110" s="54" t="e">
        <f t="shared" si="207"/>
        <v>#N/A</v>
      </c>
      <c r="HP110" s="54" t="e">
        <f t="shared" si="208"/>
        <v>#N/A</v>
      </c>
      <c r="HQ110" s="54" t="b">
        <f t="shared" si="209"/>
        <v>1</v>
      </c>
      <c r="HR110" s="54" t="b">
        <f t="shared" si="210"/>
        <v>0</v>
      </c>
      <c r="HS110" s="54" t="b">
        <f t="shared" si="211"/>
        <v>0</v>
      </c>
      <c r="HT110" s="54" t="b">
        <f t="shared" si="212"/>
        <v>1</v>
      </c>
      <c r="HU110" s="54">
        <f t="shared" si="213"/>
        <v>0.20876843698347813</v>
      </c>
      <c r="HV110" s="54">
        <f t="shared" si="214"/>
        <v>0.20876843698347813</v>
      </c>
      <c r="HW110" s="54" t="e">
        <f t="shared" si="215"/>
        <v>#N/A</v>
      </c>
      <c r="HX110" s="69" t="str">
        <f t="shared" si="216"/>
        <v/>
      </c>
    </row>
    <row r="111" spans="78:232" x14ac:dyDescent="0.2">
      <c r="BZ111" s="54">
        <f t="shared" si="143"/>
        <v>101</v>
      </c>
      <c r="CA111" s="54">
        <f>Eu_tabel_g[[#This Row],[Indeks]]+1</f>
        <v>102</v>
      </c>
      <c r="CB111" s="54">
        <f t="shared" si="144"/>
        <v>-0.67074809746278108</v>
      </c>
      <c r="CC111" s="54">
        <f t="shared" si="145"/>
        <v>0.31857733024261109</v>
      </c>
      <c r="CD111" s="54" t="e">
        <f t="shared" si="146"/>
        <v>#N/A</v>
      </c>
      <c r="CE111" s="54" t="e">
        <f t="shared" si="147"/>
        <v>#N/A</v>
      </c>
      <c r="CF111" s="54" t="e">
        <f t="shared" si="148"/>
        <v>#N/A</v>
      </c>
      <c r="CG111" s="54" t="b">
        <f t="shared" si="149"/>
        <v>0</v>
      </c>
      <c r="CH111" s="54" t="b">
        <f t="shared" si="150"/>
        <v>1</v>
      </c>
      <c r="CI111" s="54" t="b">
        <f t="shared" si="151"/>
        <v>0</v>
      </c>
      <c r="CJ111" s="54" t="b">
        <f t="shared" si="152"/>
        <v>1</v>
      </c>
      <c r="CK111" s="54">
        <f t="shared" si="217"/>
        <v>0.31857733024261109</v>
      </c>
      <c r="CL111" s="54" t="e">
        <f t="shared" si="153"/>
        <v>#N/A</v>
      </c>
      <c r="CM111" s="54">
        <f t="shared" si="154"/>
        <v>0.31857733024261109</v>
      </c>
      <c r="CN111" s="69" t="str">
        <f t="shared" si="155"/>
        <v/>
      </c>
      <c r="CO111" s="54">
        <f>_xlfn.NORM.DIST(_xlfn.NORM.INV(1-Eu_g_konfidensniveau,0,1)-Eu_tabel_g[[#This Row],[x base]],0,1,TRUE)</f>
        <v>0.16500207215092594</v>
      </c>
      <c r="CP111" s="54">
        <f>1-_xlfn.NORM.DIST(_xlfn.NORM.INV(Eu_g_konfidensniveau,0,1)-Eu_tabel_g[[#This Row],[x base]],0,1,TRUE)</f>
        <v>1.0290012307210827E-2</v>
      </c>
      <c r="CQ111" s="54">
        <f>_xlfn.NORM.DIST(_xlfn.NORM.INV((1-Eu_g_konfidensniveau)/2,0,1)-Eu_tabel_g[[#This Row],[x base]],0,1,TRUE)+1-_xlfn.NORM.DIST(_xlfn.NORM.INV(1-(1-Eu_g_konfidensniveau)/2,0,1)-Eu_tabel_g[[#This Row],[x base]],0,1,TRUE)</f>
        <v>0.10292183104268382</v>
      </c>
      <c r="CR111" s="54" t="e" cm="1">
        <f t="array" ref="CR111">IF($CR$3,INDEX(Eu_tabel_g[[#This Row],[Styrke venstre]:[Styrke tosidet]],CR$7),NA())</f>
        <v>#N/A</v>
      </c>
      <c r="CS111" s="89" t="e">
        <f>Eu_tabel_g[[#This Row],[Falsk positiv
Nulhypotese accepteres
Fejltype 1]]</f>
        <v>#N/A</v>
      </c>
      <c r="CT111" s="89" t="e">
        <f>IF(CHOOSE(CR$7,Eu_tabel_g[[#This Row],[x base]]&gt;0,Eu_tabel_g[[#This Row],[x base]]&lt;0,Eu_tabel_g[[#This Row],[x base]]=0),Eu_tabel_g[[#This Row],[Styrke, aktiv]],NA())</f>
        <v>#N/A</v>
      </c>
      <c r="CU111" s="89" t="e">
        <f>IFERROR(IF($CR$3,Eu_tabel_g[[#This Row],[Styrke, aktiv]],NA()),NA())</f>
        <v>#N/A</v>
      </c>
      <c r="CV111" s="89" t="e">
        <f>IF(ISNA(Eu_tabel_g[[#This Row],[Sand negativ
Nulhypotese afvises
Korrekt]]),NA(),IF($CR$3,1,NA()))</f>
        <v>#N/A</v>
      </c>
      <c r="CW111" s="56" t="str" cm="1">
        <f t="array" ref="CW111">_xlfn.SWITCH(BZ111,_xlfn.IFNA(CU$2,-99),CU$5,_xlfn.IFNA(CU$3,-99),CU$6,_xlfn.IFNA(CU$4,-99),CU$7,"")</f>
        <v/>
      </c>
      <c r="DA111" s="7">
        <f t="shared" si="156"/>
        <v>0.8</v>
      </c>
      <c r="DB111">
        <f>IF(ROW(Styrkeberegning_G[[#This Row],[X base venstre]])=ROW(Styrkeberegning_G[[#Headers],[X base venstre]])+1,DB$7/(DA$7/$B$67),DB110/(DA110/$B$67))</f>
        <v>-2.8015817870135784</v>
      </c>
      <c r="DC111">
        <f>Styrkeberegning_G[[#This Row],[X base venstre]]*-1</f>
        <v>2.8015817870135784</v>
      </c>
      <c r="DN111" s="54">
        <f t="shared" si="157"/>
        <v>101</v>
      </c>
      <c r="DO111" s="54">
        <f t="shared" si="158"/>
        <v>102</v>
      </c>
      <c r="DP111" s="54">
        <f t="shared" si="159"/>
        <v>13.355009162770791</v>
      </c>
      <c r="DQ111" s="54" t="e">
        <f t="shared" si="160"/>
        <v>#N/A</v>
      </c>
      <c r="DR111" s="54" t="e">
        <f t="shared" si="161"/>
        <v>#N/A</v>
      </c>
      <c r="DS111" s="54">
        <f t="shared" si="162"/>
        <v>6.1783672704887396E-2</v>
      </c>
      <c r="DT111" s="54" t="e">
        <f t="shared" si="163"/>
        <v>#N/A</v>
      </c>
      <c r="DU111" s="54" t="b">
        <f t="shared" si="164"/>
        <v>0</v>
      </c>
      <c r="DV111" s="54" t="b">
        <f t="shared" si="165"/>
        <v>1</v>
      </c>
      <c r="DW111" s="54" t="b">
        <f t="shared" si="166"/>
        <v>0</v>
      </c>
      <c r="DX111" s="54" t="b">
        <f t="shared" si="167"/>
        <v>1</v>
      </c>
      <c r="DY111" s="54">
        <f t="shared" si="168"/>
        <v>6.1783672704887396E-2</v>
      </c>
      <c r="DZ111" s="54" t="e">
        <f t="shared" si="169"/>
        <v>#N/A</v>
      </c>
      <c r="EA111" s="54">
        <f t="shared" si="170"/>
        <v>6.1783672704887396E-2</v>
      </c>
      <c r="EB111" s="69" t="str">
        <f t="shared" si="171"/>
        <v/>
      </c>
      <c r="EG111" s="54">
        <f t="shared" si="172"/>
        <v>101</v>
      </c>
      <c r="EH111" s="54">
        <f t="shared" si="173"/>
        <v>102</v>
      </c>
      <c r="EI111" s="54">
        <f t="shared" si="174"/>
        <v>-0.67074809746278108</v>
      </c>
      <c r="EJ111" s="54">
        <f t="shared" si="175"/>
        <v>0.31857733024261109</v>
      </c>
      <c r="EK111" s="54" t="e">
        <f t="shared" si="176"/>
        <v>#N/A</v>
      </c>
      <c r="EL111" s="54" t="e">
        <f t="shared" si="177"/>
        <v>#N/A</v>
      </c>
      <c r="EM111" s="54" t="e">
        <f t="shared" si="178"/>
        <v>#N/A</v>
      </c>
      <c r="EN111" s="54" t="b">
        <f t="shared" si="179"/>
        <v>0</v>
      </c>
      <c r="EO111" s="54" t="b">
        <f t="shared" si="180"/>
        <v>1</v>
      </c>
      <c r="EP111" s="54" t="b">
        <f t="shared" si="181"/>
        <v>0</v>
      </c>
      <c r="EQ111" s="54" t="b">
        <f t="shared" si="182"/>
        <v>1</v>
      </c>
      <c r="ER111" s="54">
        <f t="shared" si="183"/>
        <v>0.31857733024261109</v>
      </c>
      <c r="ES111" s="54" t="e">
        <f t="shared" si="184"/>
        <v>#N/A</v>
      </c>
      <c r="ET111" s="54">
        <f t="shared" si="185"/>
        <v>0.31857733024261109</v>
      </c>
      <c r="EU111" s="69" t="str">
        <f t="shared" si="186"/>
        <v/>
      </c>
      <c r="EV11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1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1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11" s="54" t="e" cm="1">
        <f t="array" ref="EY111">IF($CR$3,INDEX(Eu_tabel_a[[#This Row],[Styrke venstre]:[Styrke tosidet]],EY$7),NA())</f>
        <v>#N/A</v>
      </c>
      <c r="EZ111" s="54" t="e">
        <f>IF(EY$3,IF(CHOOSE(EY$7,Eu_tabel_a[[#This Row],[x base]]&gt;0,Eu_tabel_a[[#This Row],[x base]]&lt;0,Eu_tabel_a[[#This Row],[x base]]=0),1,NA()),NA())</f>
        <v>#N/A</v>
      </c>
      <c r="FA111" s="54" t="e">
        <f>IF(CHOOSE(EY$7,Eu_tabel_a[[#This Row],[x base]]&gt;0,Eu_tabel_a[[#This Row],[x base]]&lt;0,Eu_tabel_a[[#This Row],[x base]]=0),Eu_tabel_a[[#This Row],[Styrke, aktiv]],NA())</f>
        <v>#N/A</v>
      </c>
      <c r="FB111" s="54" t="e">
        <f>IFERROR(IF($EY$3,Eu_tabel_a[[#This Row],[Styrke, aktiv]],NA()),NA())</f>
        <v>#N/A</v>
      </c>
      <c r="FC111" s="54" t="e">
        <f>IF(ISNA(Eu_tabel_a[[#This Row],[Sand negativ
Nulhypotese afvises
Korrekt]]),NA(),IF(EY$3,1,NA()))</f>
        <v>#N/A</v>
      </c>
      <c r="FD111" s="55" t="str" cm="1">
        <f t="array" ref="FD111">IFERROR(_xlfn.SWITCH(Eu_tabel_a[[#This Row],[Indeks]],_xlfn.IFNA(FB$2,-99),FB$5,_xlfn.IFNA(FB$3,-99),FB$6,_xlfn.IFNA(FB$4,-99),FB$7,""),"")</f>
        <v/>
      </c>
      <c r="FE111" s="54">
        <f>Eu_tabel_a[[#This Row],[x base]]*SQRT(Eu_a_h0_x*(1-Eu_a_h0_x)/Eu_a_n_x)+Eu_a_h0_x</f>
        <v>0</v>
      </c>
      <c r="FJ111" s="144" t="e">
        <f t="shared" si="130"/>
        <v>#N/A</v>
      </c>
      <c r="FK111" s="152" t="e">
        <f t="shared" si="218"/>
        <v>#DIV/0!</v>
      </c>
      <c r="FL111" s="7" t="e">
        <f t="shared" si="124"/>
        <v>#DIV/0!</v>
      </c>
      <c r="FM111" t="e">
        <f t="shared" si="219"/>
        <v>#DIV/0!</v>
      </c>
      <c r="FN111" s="8" t="e">
        <f t="shared" si="220"/>
        <v>#DIV/0!</v>
      </c>
      <c r="FO111" s="8" t="e">
        <f t="shared" si="221"/>
        <v>#DIV/0!</v>
      </c>
      <c r="FP111" s="151" t="e">
        <f t="shared" si="222"/>
        <v>#DIV/0!</v>
      </c>
      <c r="FQ111" s="144" t="e">
        <f t="shared" ca="1" si="125"/>
        <v>#N/A</v>
      </c>
      <c r="FR111" s="152" t="e" vm="3">
        <f t="shared" ca="1" si="131"/>
        <v>#VALUE!</v>
      </c>
      <c r="FS111" s="7" t="e" vm="3">
        <f t="shared" ca="1" si="126"/>
        <v>#VALUE!</v>
      </c>
      <c r="FT111" t="e" vm="3">
        <f t="shared" ca="1" si="120"/>
        <v>#VALUE!</v>
      </c>
      <c r="FU111" s="8" t="e" vm="3">
        <f t="shared" ca="1" si="121"/>
        <v>#VALUE!</v>
      </c>
      <c r="FV111" s="8" t="e" vm="3">
        <f t="shared" ca="1" si="122"/>
        <v>#VALUE!</v>
      </c>
      <c r="FW111" s="151" t="e" vm="3">
        <f t="shared" ca="1" si="123"/>
        <v>#VALUE!</v>
      </c>
      <c r="FX111" s="144" t="e">
        <f t="shared" si="127"/>
        <v>#N/A</v>
      </c>
      <c r="FY111" s="152" t="e">
        <f t="shared" si="132"/>
        <v>#N/A</v>
      </c>
      <c r="FZ111" s="7" t="e">
        <f t="shared" si="128"/>
        <v>#N/A</v>
      </c>
      <c r="GA111" t="e">
        <f t="shared" si="133"/>
        <v>#N/A</v>
      </c>
      <c r="GB111" s="8" t="e">
        <f t="shared" si="134"/>
        <v>#N/A</v>
      </c>
      <c r="GC111" s="8" t="e">
        <f t="shared" si="135"/>
        <v>#N/A</v>
      </c>
      <c r="GD111" s="151" t="e">
        <f t="shared" si="136"/>
        <v>#N/A</v>
      </c>
      <c r="GE111" s="144" t="e">
        <f t="shared" si="137"/>
        <v>#N/A</v>
      </c>
      <c r="GF111" s="152" t="e">
        <f t="shared" si="138"/>
        <v>#N/A</v>
      </c>
      <c r="GG111" s="7" t="e">
        <f t="shared" si="129"/>
        <v>#N/A</v>
      </c>
      <c r="GH111" t="e">
        <f t="shared" si="139"/>
        <v>#N/A</v>
      </c>
      <c r="GI111" s="8" t="e">
        <f t="shared" si="140"/>
        <v>#N/A</v>
      </c>
      <c r="GJ111" s="8" t="e">
        <f t="shared" si="141"/>
        <v>#N/A</v>
      </c>
      <c r="GK111" s="151" t="e">
        <f t="shared" si="142"/>
        <v>#N/A</v>
      </c>
      <c r="GL111" s="151"/>
      <c r="GM111" s="151"/>
      <c r="GP111" s="54">
        <f t="shared" si="187"/>
        <v>101</v>
      </c>
      <c r="GQ111" s="54">
        <f t="shared" si="188"/>
        <v>102</v>
      </c>
      <c r="GR111" s="54">
        <f t="shared" si="189"/>
        <v>-0.67074809746278108</v>
      </c>
      <c r="GS111" s="54">
        <f t="shared" si="190"/>
        <v>0.31857733024261109</v>
      </c>
      <c r="GT111" s="54" t="e">
        <f t="shared" si="191"/>
        <v>#N/A</v>
      </c>
      <c r="GU111" s="54" t="e">
        <f t="shared" si="192"/>
        <v>#N/A</v>
      </c>
      <c r="GV111" s="54" t="e">
        <f t="shared" si="193"/>
        <v>#N/A</v>
      </c>
      <c r="GW111" s="54" t="b">
        <f t="shared" si="194"/>
        <v>0</v>
      </c>
      <c r="GX111" s="54" t="b">
        <f t="shared" si="195"/>
        <v>1</v>
      </c>
      <c r="GY111" s="54" t="b">
        <f t="shared" si="196"/>
        <v>0</v>
      </c>
      <c r="GZ111" s="54" t="b">
        <f t="shared" si="197"/>
        <v>1</v>
      </c>
      <c r="HA111" s="54">
        <f t="shared" si="198"/>
        <v>0.31857733024261109</v>
      </c>
      <c r="HB111" s="54" t="e">
        <f t="shared" si="199"/>
        <v>#N/A</v>
      </c>
      <c r="HC111" s="54">
        <f t="shared" si="200"/>
        <v>0.31857733024261109</v>
      </c>
      <c r="HD111" s="69" t="str">
        <f t="shared" si="201"/>
        <v/>
      </c>
      <c r="HJ111" s="54">
        <f t="shared" si="202"/>
        <v>101</v>
      </c>
      <c r="HK111" s="54">
        <f t="shared" si="203"/>
        <v>102</v>
      </c>
      <c r="HL111" s="54">
        <f t="shared" si="204"/>
        <v>-1.0386675162935917</v>
      </c>
      <c r="HM111" s="54" t="e">
        <f t="shared" si="205"/>
        <v>#N/A</v>
      </c>
      <c r="HN111" s="54">
        <f t="shared" si="206"/>
        <v>0.21699479795162499</v>
      </c>
      <c r="HO111" s="54" t="e">
        <f t="shared" si="207"/>
        <v>#N/A</v>
      </c>
      <c r="HP111" s="54" t="e">
        <f t="shared" si="208"/>
        <v>#N/A</v>
      </c>
      <c r="HQ111" s="54" t="b">
        <f t="shared" si="209"/>
        <v>1</v>
      </c>
      <c r="HR111" s="54" t="b">
        <f t="shared" si="210"/>
        <v>0</v>
      </c>
      <c r="HS111" s="54" t="b">
        <f t="shared" si="211"/>
        <v>0</v>
      </c>
      <c r="HT111" s="54" t="b">
        <f t="shared" si="212"/>
        <v>1</v>
      </c>
      <c r="HU111" s="54">
        <f t="shared" si="213"/>
        <v>0.21699479795162499</v>
      </c>
      <c r="HV111" s="54">
        <f t="shared" si="214"/>
        <v>0.21699479795162499</v>
      </c>
      <c r="HW111" s="54" t="e">
        <f t="shared" si="215"/>
        <v>#N/A</v>
      </c>
      <c r="HX111" s="69" t="str">
        <f t="shared" si="216"/>
        <v/>
      </c>
    </row>
    <row r="112" spans="78:232" x14ac:dyDescent="0.2">
      <c r="BZ112" s="54">
        <f t="shared" si="143"/>
        <v>102</v>
      </c>
      <c r="CA112" s="54">
        <f>Eu_tabel_g[[#This Row],[Indeks]]+1</f>
        <v>103</v>
      </c>
      <c r="CB112" s="54">
        <f t="shared" si="144"/>
        <v>-0.64679280826768171</v>
      </c>
      <c r="CC112" s="54">
        <f t="shared" si="145"/>
        <v>0.32364468971493993</v>
      </c>
      <c r="CD112" s="54" t="e">
        <f t="shared" si="146"/>
        <v>#N/A</v>
      </c>
      <c r="CE112" s="54" t="e">
        <f t="shared" si="147"/>
        <v>#N/A</v>
      </c>
      <c r="CF112" s="54" t="e">
        <f t="shared" si="148"/>
        <v>#N/A</v>
      </c>
      <c r="CG112" s="54" t="b">
        <f t="shared" si="149"/>
        <v>0</v>
      </c>
      <c r="CH112" s="54" t="b">
        <f t="shared" si="150"/>
        <v>1</v>
      </c>
      <c r="CI112" s="54" t="b">
        <f t="shared" si="151"/>
        <v>0</v>
      </c>
      <c r="CJ112" s="54" t="b">
        <f t="shared" si="152"/>
        <v>1</v>
      </c>
      <c r="CK112" s="54">
        <f t="shared" si="217"/>
        <v>0.32364468971493993</v>
      </c>
      <c r="CL112" s="54" t="e">
        <f t="shared" si="153"/>
        <v>#N/A</v>
      </c>
      <c r="CM112" s="54">
        <f t="shared" si="154"/>
        <v>0.32364468971493993</v>
      </c>
      <c r="CN112" s="69" t="str">
        <f t="shared" si="155"/>
        <v/>
      </c>
      <c r="CO112" s="54">
        <f>_xlfn.NORM.DIST(_xlfn.NORM.INV(1-Eu_g_konfidensniveau,0,1)-Eu_tabel_g[[#This Row],[x base]],0,1,TRUE)</f>
        <v>0.15912493399551048</v>
      </c>
      <c r="CP112" s="54">
        <f>1-_xlfn.NORM.DIST(_xlfn.NORM.INV(Eu_g_konfidensniveau,0,1)-Eu_tabel_g[[#This Row],[x base]],0,1,TRUE)</f>
        <v>1.0963026829707734E-2</v>
      </c>
      <c r="CQ112" s="54">
        <f>_xlfn.NORM.DIST(_xlfn.NORM.INV((1-Eu_g_konfidensniveau)/2,0,1)-Eu_tabel_g[[#This Row],[x base]],0,1,TRUE)+1-_xlfn.NORM.DIST(_xlfn.NORM.INV(1-(1-Eu_g_konfidensniveau)/2,0,1)-Eu_tabel_g[[#This Row],[x base]],0,1,TRUE)</f>
        <v>9.9132849971210413E-2</v>
      </c>
      <c r="CR112" s="54" t="e" cm="1">
        <f t="array" ref="CR112">IF($CR$3,INDEX(Eu_tabel_g[[#This Row],[Styrke venstre]:[Styrke tosidet]],CR$7),NA())</f>
        <v>#N/A</v>
      </c>
      <c r="CS112" s="89" t="e">
        <f>Eu_tabel_g[[#This Row],[Falsk positiv
Nulhypotese accepteres
Fejltype 1]]</f>
        <v>#N/A</v>
      </c>
      <c r="CT112" s="89" t="e">
        <f>IF(CHOOSE(CR$7,Eu_tabel_g[[#This Row],[x base]]&gt;0,Eu_tabel_g[[#This Row],[x base]]&lt;0,Eu_tabel_g[[#This Row],[x base]]=0),Eu_tabel_g[[#This Row],[Styrke, aktiv]],NA())</f>
        <v>#N/A</v>
      </c>
      <c r="CU112" s="89" t="e">
        <f>IFERROR(IF($CR$3,Eu_tabel_g[[#This Row],[Styrke, aktiv]],NA()),NA())</f>
        <v>#N/A</v>
      </c>
      <c r="CV112" s="89" t="e">
        <f>IF(ISNA(Eu_tabel_g[[#This Row],[Sand negativ
Nulhypotese afvises
Korrekt]]),NA(),IF($CR$3,1,NA()))</f>
        <v>#N/A</v>
      </c>
      <c r="CW112" s="56" t="str" cm="1">
        <f t="array" ref="CW112">_xlfn.SWITCH(BZ112,_xlfn.IFNA(CU$2,-99),CU$5,_xlfn.IFNA(CU$3,-99),CU$6,_xlfn.IFNA(CU$4,-99),CU$7,"")</f>
        <v/>
      </c>
      <c r="DA112" s="7">
        <f t="shared" si="156"/>
        <v>0.8</v>
      </c>
      <c r="DB112">
        <f>IF(ROW(Styrkeberegning_G[[#This Row],[X base venstre]])=ROW(Styrkeberegning_G[[#Headers],[X base venstre]])+1,DB$7/(DA$7/$B$67),DB111/(DA111/$B$67))</f>
        <v>-2.8015817870135784</v>
      </c>
      <c r="DC112">
        <f>Styrkeberegning_G[[#This Row],[X base venstre]]*-1</f>
        <v>2.8015817870135784</v>
      </c>
      <c r="DN112" s="54">
        <f t="shared" si="157"/>
        <v>102</v>
      </c>
      <c r="DO112" s="54">
        <f t="shared" si="158"/>
        <v>103</v>
      </c>
      <c r="DP112" s="54">
        <f t="shared" si="159"/>
        <v>13.469080019187793</v>
      </c>
      <c r="DQ112" s="54" t="e">
        <f t="shared" si="160"/>
        <v>#N/A</v>
      </c>
      <c r="DR112" s="54" t="e">
        <f t="shared" si="161"/>
        <v>#N/A</v>
      </c>
      <c r="DS112" s="54">
        <f t="shared" si="162"/>
        <v>6.0635280603029251E-2</v>
      </c>
      <c r="DT112" s="54" t="e">
        <f t="shared" si="163"/>
        <v>#N/A</v>
      </c>
      <c r="DU112" s="54" t="b">
        <f t="shared" si="164"/>
        <v>0</v>
      </c>
      <c r="DV112" s="54" t="b">
        <f t="shared" si="165"/>
        <v>1</v>
      </c>
      <c r="DW112" s="54" t="b">
        <f t="shared" si="166"/>
        <v>0</v>
      </c>
      <c r="DX112" s="54" t="b">
        <f t="shared" si="167"/>
        <v>1</v>
      </c>
      <c r="DY112" s="54">
        <f t="shared" si="168"/>
        <v>6.0635280603029251E-2</v>
      </c>
      <c r="DZ112" s="54" t="e">
        <f t="shared" si="169"/>
        <v>#N/A</v>
      </c>
      <c r="EA112" s="54">
        <f t="shared" si="170"/>
        <v>6.0635280603029251E-2</v>
      </c>
      <c r="EB112" s="69" t="str">
        <f t="shared" si="171"/>
        <v/>
      </c>
      <c r="EG112" s="54">
        <f t="shared" si="172"/>
        <v>102</v>
      </c>
      <c r="EH112" s="54">
        <f t="shared" si="173"/>
        <v>103</v>
      </c>
      <c r="EI112" s="54">
        <f t="shared" si="174"/>
        <v>-0.64679280826768171</v>
      </c>
      <c r="EJ112" s="54">
        <f t="shared" si="175"/>
        <v>0.32364468971493993</v>
      </c>
      <c r="EK112" s="54" t="e">
        <f t="shared" si="176"/>
        <v>#N/A</v>
      </c>
      <c r="EL112" s="54" t="e">
        <f t="shared" si="177"/>
        <v>#N/A</v>
      </c>
      <c r="EM112" s="54" t="e">
        <f t="shared" si="178"/>
        <v>#N/A</v>
      </c>
      <c r="EN112" s="54" t="b">
        <f t="shared" si="179"/>
        <v>0</v>
      </c>
      <c r="EO112" s="54" t="b">
        <f t="shared" si="180"/>
        <v>1</v>
      </c>
      <c r="EP112" s="54" t="b">
        <f t="shared" si="181"/>
        <v>0</v>
      </c>
      <c r="EQ112" s="54" t="b">
        <f t="shared" si="182"/>
        <v>1</v>
      </c>
      <c r="ER112" s="54">
        <f t="shared" si="183"/>
        <v>0.32364468971493993</v>
      </c>
      <c r="ES112" s="54" t="e">
        <f t="shared" si="184"/>
        <v>#N/A</v>
      </c>
      <c r="ET112" s="54">
        <f t="shared" si="185"/>
        <v>0.32364468971493993</v>
      </c>
      <c r="EU112" s="69" t="str">
        <f t="shared" si="186"/>
        <v/>
      </c>
      <c r="EV11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1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1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12" s="54" t="e" cm="1">
        <f t="array" ref="EY112">IF($CR$3,INDEX(Eu_tabel_a[[#This Row],[Styrke venstre]:[Styrke tosidet]],EY$7),NA())</f>
        <v>#N/A</v>
      </c>
      <c r="EZ112" s="54" t="e">
        <f>IF(EY$3,IF(CHOOSE(EY$7,Eu_tabel_a[[#This Row],[x base]]&gt;0,Eu_tabel_a[[#This Row],[x base]]&lt;0,Eu_tabel_a[[#This Row],[x base]]=0),1,NA()),NA())</f>
        <v>#N/A</v>
      </c>
      <c r="FA112" s="54" t="e">
        <f>IF(CHOOSE(EY$7,Eu_tabel_a[[#This Row],[x base]]&gt;0,Eu_tabel_a[[#This Row],[x base]]&lt;0,Eu_tabel_a[[#This Row],[x base]]=0),Eu_tabel_a[[#This Row],[Styrke, aktiv]],NA())</f>
        <v>#N/A</v>
      </c>
      <c r="FB112" s="54" t="e">
        <f>IFERROR(IF($EY$3,Eu_tabel_a[[#This Row],[Styrke, aktiv]],NA()),NA())</f>
        <v>#N/A</v>
      </c>
      <c r="FC112" s="54" t="e">
        <f>IF(ISNA(Eu_tabel_a[[#This Row],[Sand negativ
Nulhypotese afvises
Korrekt]]),NA(),IF(EY$3,1,NA()))</f>
        <v>#N/A</v>
      </c>
      <c r="FD112" s="55" t="str" cm="1">
        <f t="array" ref="FD112">IFERROR(_xlfn.SWITCH(Eu_tabel_a[[#This Row],[Indeks]],_xlfn.IFNA(FB$2,-99),FB$5,_xlfn.IFNA(FB$3,-99),FB$6,_xlfn.IFNA(FB$4,-99),FB$7,""),"")</f>
        <v/>
      </c>
      <c r="FE112" s="54">
        <f>Eu_tabel_a[[#This Row],[x base]]*SQRT(Eu_a_h0_x*(1-Eu_a_h0_x)/Eu_a_n_x)+Eu_a_h0_x</f>
        <v>0</v>
      </c>
      <c r="FJ112" s="144" t="e">
        <f t="shared" si="130"/>
        <v>#N/A</v>
      </c>
      <c r="FK112" s="152" t="e">
        <f t="shared" si="218"/>
        <v>#DIV/0!</v>
      </c>
      <c r="FL112" s="7" t="e">
        <f t="shared" si="124"/>
        <v>#DIV/0!</v>
      </c>
      <c r="FM112" t="e">
        <f t="shared" si="219"/>
        <v>#DIV/0!</v>
      </c>
      <c r="FN112" s="8" t="e">
        <f t="shared" si="220"/>
        <v>#DIV/0!</v>
      </c>
      <c r="FO112" s="8" t="e">
        <f t="shared" si="221"/>
        <v>#DIV/0!</v>
      </c>
      <c r="FP112" s="151" t="e">
        <f t="shared" si="222"/>
        <v>#DIV/0!</v>
      </c>
      <c r="FQ112" s="144" t="e">
        <f t="shared" ca="1" si="125"/>
        <v>#N/A</v>
      </c>
      <c r="FR112" s="152" t="e" vm="3">
        <f t="shared" ca="1" si="131"/>
        <v>#VALUE!</v>
      </c>
      <c r="FS112" s="7" t="e" vm="3">
        <f t="shared" ca="1" si="126"/>
        <v>#VALUE!</v>
      </c>
      <c r="FT112" t="e" vm="3">
        <f t="shared" ca="1" si="120"/>
        <v>#VALUE!</v>
      </c>
      <c r="FU112" s="8" t="e" vm="3">
        <f t="shared" ca="1" si="121"/>
        <v>#VALUE!</v>
      </c>
      <c r="FV112" s="8" t="e" vm="3">
        <f t="shared" ca="1" si="122"/>
        <v>#VALUE!</v>
      </c>
      <c r="FW112" s="151" t="e" vm="3">
        <f t="shared" ca="1" si="123"/>
        <v>#VALUE!</v>
      </c>
      <c r="FX112" s="144" t="e">
        <f t="shared" si="127"/>
        <v>#N/A</v>
      </c>
      <c r="FY112" s="152" t="e">
        <f t="shared" si="132"/>
        <v>#N/A</v>
      </c>
      <c r="FZ112" s="7" t="e">
        <f t="shared" si="128"/>
        <v>#N/A</v>
      </c>
      <c r="GA112" t="e">
        <f t="shared" si="133"/>
        <v>#N/A</v>
      </c>
      <c r="GB112" s="8" t="e">
        <f t="shared" si="134"/>
        <v>#N/A</v>
      </c>
      <c r="GC112" s="8" t="e">
        <f t="shared" si="135"/>
        <v>#N/A</v>
      </c>
      <c r="GD112" s="151" t="e">
        <f t="shared" si="136"/>
        <v>#N/A</v>
      </c>
      <c r="GE112" s="144" t="e">
        <f t="shared" si="137"/>
        <v>#N/A</v>
      </c>
      <c r="GF112" s="152" t="e">
        <f t="shared" si="138"/>
        <v>#N/A</v>
      </c>
      <c r="GG112" s="7" t="e">
        <f t="shared" si="129"/>
        <v>#N/A</v>
      </c>
      <c r="GH112" t="e">
        <f t="shared" si="139"/>
        <v>#N/A</v>
      </c>
      <c r="GI112" s="8" t="e">
        <f t="shared" si="140"/>
        <v>#N/A</v>
      </c>
      <c r="GJ112" s="8" t="e">
        <f t="shared" si="141"/>
        <v>#N/A</v>
      </c>
      <c r="GK112" s="151" t="e">
        <f t="shared" si="142"/>
        <v>#N/A</v>
      </c>
      <c r="GL112" s="151"/>
      <c r="GM112" s="151"/>
      <c r="GP112" s="54">
        <f t="shared" si="187"/>
        <v>102</v>
      </c>
      <c r="GQ112" s="54">
        <f t="shared" si="188"/>
        <v>103</v>
      </c>
      <c r="GR112" s="54">
        <f t="shared" si="189"/>
        <v>-0.64679280826768171</v>
      </c>
      <c r="GS112" s="54">
        <f t="shared" si="190"/>
        <v>0.32364468971493993</v>
      </c>
      <c r="GT112" s="54" t="e">
        <f t="shared" si="191"/>
        <v>#N/A</v>
      </c>
      <c r="GU112" s="54" t="e">
        <f t="shared" si="192"/>
        <v>#N/A</v>
      </c>
      <c r="GV112" s="54" t="e">
        <f t="shared" si="193"/>
        <v>#N/A</v>
      </c>
      <c r="GW112" s="54" t="b">
        <f t="shared" si="194"/>
        <v>0</v>
      </c>
      <c r="GX112" s="54" t="b">
        <f t="shared" si="195"/>
        <v>1</v>
      </c>
      <c r="GY112" s="54" t="b">
        <f t="shared" si="196"/>
        <v>0</v>
      </c>
      <c r="GZ112" s="54" t="b">
        <f t="shared" si="197"/>
        <v>1</v>
      </c>
      <c r="HA112" s="54">
        <f t="shared" si="198"/>
        <v>0.32364468971493993</v>
      </c>
      <c r="HB112" s="54" t="e">
        <f t="shared" si="199"/>
        <v>#N/A</v>
      </c>
      <c r="HC112" s="54">
        <f t="shared" si="200"/>
        <v>0.32364468971493993</v>
      </c>
      <c r="HD112" s="69" t="str">
        <f t="shared" si="201"/>
        <v/>
      </c>
      <c r="HJ112" s="54">
        <f t="shared" si="202"/>
        <v>102</v>
      </c>
      <c r="HK112" s="54">
        <f t="shared" si="203"/>
        <v>103</v>
      </c>
      <c r="HL112" s="54">
        <f t="shared" si="204"/>
        <v>-1.0015722478545346</v>
      </c>
      <c r="HM112" s="54" t="e">
        <f t="shared" si="205"/>
        <v>#N/A</v>
      </c>
      <c r="HN112" s="54">
        <f t="shared" si="206"/>
        <v>0.22532017337259727</v>
      </c>
      <c r="HO112" s="54" t="e">
        <f t="shared" si="207"/>
        <v>#N/A</v>
      </c>
      <c r="HP112" s="54" t="e">
        <f t="shared" si="208"/>
        <v>#N/A</v>
      </c>
      <c r="HQ112" s="54" t="b">
        <f t="shared" si="209"/>
        <v>1</v>
      </c>
      <c r="HR112" s="54" t="b">
        <f t="shared" si="210"/>
        <v>0</v>
      </c>
      <c r="HS112" s="54" t="b">
        <f t="shared" si="211"/>
        <v>0</v>
      </c>
      <c r="HT112" s="54" t="b">
        <f t="shared" si="212"/>
        <v>1</v>
      </c>
      <c r="HU112" s="54">
        <f t="shared" si="213"/>
        <v>0.22532017337259727</v>
      </c>
      <c r="HV112" s="54">
        <f t="shared" si="214"/>
        <v>0.22532017337259727</v>
      </c>
      <c r="HW112" s="54" t="e">
        <f t="shared" si="215"/>
        <v>#N/A</v>
      </c>
      <c r="HX112" s="69" t="str">
        <f t="shared" si="216"/>
        <v/>
      </c>
    </row>
    <row r="113" spans="78:232" x14ac:dyDescent="0.2">
      <c r="BZ113" s="54">
        <f t="shared" si="143"/>
        <v>103</v>
      </c>
      <c r="CA113" s="54">
        <f>Eu_tabel_g[[#This Row],[Indeks]]+1</f>
        <v>104</v>
      </c>
      <c r="CB113" s="54">
        <f t="shared" si="144"/>
        <v>-0.62283751907258234</v>
      </c>
      <c r="CC113" s="54">
        <f t="shared" si="145"/>
        <v>0.3286040262264141</v>
      </c>
      <c r="CD113" s="54" t="e">
        <f t="shared" si="146"/>
        <v>#N/A</v>
      </c>
      <c r="CE113" s="54" t="e">
        <f t="shared" si="147"/>
        <v>#N/A</v>
      </c>
      <c r="CF113" s="54" t="e">
        <f t="shared" si="148"/>
        <v>#N/A</v>
      </c>
      <c r="CG113" s="54" t="b">
        <f t="shared" si="149"/>
        <v>0</v>
      </c>
      <c r="CH113" s="54" t="b">
        <f t="shared" si="150"/>
        <v>1</v>
      </c>
      <c r="CI113" s="54" t="b">
        <f t="shared" si="151"/>
        <v>0</v>
      </c>
      <c r="CJ113" s="54" t="b">
        <f t="shared" si="152"/>
        <v>1</v>
      </c>
      <c r="CK113" s="54">
        <f t="shared" si="217"/>
        <v>0.3286040262264141</v>
      </c>
      <c r="CL113" s="54" t="e">
        <f t="shared" si="153"/>
        <v>#N/A</v>
      </c>
      <c r="CM113" s="54">
        <f t="shared" si="154"/>
        <v>0.3286040262264141</v>
      </c>
      <c r="CN113" s="69" t="str">
        <f t="shared" si="155"/>
        <v/>
      </c>
      <c r="CO113" s="54">
        <f>_xlfn.NORM.DIST(_xlfn.NORM.INV(1-Eu_g_konfidensniveau,0,1)-Eu_tabel_g[[#This Row],[x base]],0,1,TRUE)</f>
        <v>0.15338663833525562</v>
      </c>
      <c r="CP113" s="54">
        <f>1-_xlfn.NORM.DIST(_xlfn.NORM.INV(Eu_g_konfidensniveau,0,1)-Eu_tabel_g[[#This Row],[x base]],0,1,TRUE)</f>
        <v>1.1674018942185449E-2</v>
      </c>
      <c r="CQ113" s="54">
        <f>_xlfn.NORM.DIST(_xlfn.NORM.INV((1-Eu_g_konfidensniveau)/2,0,1)-Eu_tabel_g[[#This Row],[x base]],0,1,TRUE)+1-_xlfn.NORM.DIST(_xlfn.NORM.INV(1-(1-Eu_g_konfidensniveau)/2,0,1)-Eu_tabel_g[[#This Row],[x base]],0,1,TRUE)</f>
        <v>9.5490764325729005E-2</v>
      </c>
      <c r="CR113" s="54" t="e" cm="1">
        <f t="array" ref="CR113">IF($CR$3,INDEX(Eu_tabel_g[[#This Row],[Styrke venstre]:[Styrke tosidet]],CR$7),NA())</f>
        <v>#N/A</v>
      </c>
      <c r="CS113" s="89" t="e">
        <f>Eu_tabel_g[[#This Row],[Falsk positiv
Nulhypotese accepteres
Fejltype 1]]</f>
        <v>#N/A</v>
      </c>
      <c r="CT113" s="89" t="e">
        <f>IF(CHOOSE(CR$7,Eu_tabel_g[[#This Row],[x base]]&gt;0,Eu_tabel_g[[#This Row],[x base]]&lt;0,Eu_tabel_g[[#This Row],[x base]]=0),Eu_tabel_g[[#This Row],[Styrke, aktiv]],NA())</f>
        <v>#N/A</v>
      </c>
      <c r="CU113" s="89" t="e">
        <f>IFERROR(IF($CR$3,Eu_tabel_g[[#This Row],[Styrke, aktiv]],NA()),NA())</f>
        <v>#N/A</v>
      </c>
      <c r="CV113" s="89" t="e">
        <f>IF(ISNA(Eu_tabel_g[[#This Row],[Sand negativ
Nulhypotese afvises
Korrekt]]),NA(),IF($CR$3,1,NA()))</f>
        <v>#N/A</v>
      </c>
      <c r="CW113" s="56" t="str" cm="1">
        <f t="array" ref="CW113">_xlfn.SWITCH(BZ113,_xlfn.IFNA(CU$2,-99),CU$5,_xlfn.IFNA(CU$3,-99),CU$6,_xlfn.IFNA(CU$4,-99),CU$7,"")</f>
        <v/>
      </c>
      <c r="DA113" s="7">
        <f t="shared" si="156"/>
        <v>0.8</v>
      </c>
      <c r="DB113">
        <f>IF(ROW(Styrkeberegning_G[[#This Row],[X base venstre]])=ROW(Styrkeberegning_G[[#Headers],[X base venstre]])+1,DB$7/(DA$7/$B$67),DB112/(DA112/$B$67))</f>
        <v>-2.8015817870135784</v>
      </c>
      <c r="DC113">
        <f>Styrkeberegning_G[[#This Row],[X base venstre]]*-1</f>
        <v>2.8015817870135784</v>
      </c>
      <c r="DN113" s="54">
        <f t="shared" si="157"/>
        <v>103</v>
      </c>
      <c r="DO113" s="54">
        <f t="shared" si="158"/>
        <v>104</v>
      </c>
      <c r="DP113" s="54">
        <f t="shared" si="159"/>
        <v>13.583150875604794</v>
      </c>
      <c r="DQ113" s="54" t="e">
        <f t="shared" si="160"/>
        <v>#N/A</v>
      </c>
      <c r="DR113" s="54" t="e">
        <f t="shared" si="161"/>
        <v>#N/A</v>
      </c>
      <c r="DS113" s="54">
        <f t="shared" si="162"/>
        <v>5.9489029270404468E-2</v>
      </c>
      <c r="DT113" s="54" t="e">
        <f t="shared" si="163"/>
        <v>#N/A</v>
      </c>
      <c r="DU113" s="54" t="b">
        <f t="shared" si="164"/>
        <v>0</v>
      </c>
      <c r="DV113" s="54" t="b">
        <f t="shared" si="165"/>
        <v>1</v>
      </c>
      <c r="DW113" s="54" t="b">
        <f t="shared" si="166"/>
        <v>0</v>
      </c>
      <c r="DX113" s="54" t="b">
        <f t="shared" si="167"/>
        <v>1</v>
      </c>
      <c r="DY113" s="54">
        <f t="shared" si="168"/>
        <v>5.9489029270404468E-2</v>
      </c>
      <c r="DZ113" s="54" t="e">
        <f t="shared" si="169"/>
        <v>#N/A</v>
      </c>
      <c r="EA113" s="54">
        <f t="shared" si="170"/>
        <v>5.9489029270404468E-2</v>
      </c>
      <c r="EB113" s="69" t="str">
        <f t="shared" si="171"/>
        <v/>
      </c>
      <c r="EG113" s="54">
        <f t="shared" si="172"/>
        <v>103</v>
      </c>
      <c r="EH113" s="54">
        <f t="shared" si="173"/>
        <v>104</v>
      </c>
      <c r="EI113" s="54">
        <f t="shared" si="174"/>
        <v>-0.62283751907258234</v>
      </c>
      <c r="EJ113" s="54">
        <f t="shared" si="175"/>
        <v>0.3286040262264141</v>
      </c>
      <c r="EK113" s="54" t="e">
        <f t="shared" si="176"/>
        <v>#N/A</v>
      </c>
      <c r="EL113" s="54" t="e">
        <f t="shared" si="177"/>
        <v>#N/A</v>
      </c>
      <c r="EM113" s="54" t="e">
        <f t="shared" si="178"/>
        <v>#N/A</v>
      </c>
      <c r="EN113" s="54" t="b">
        <f t="shared" si="179"/>
        <v>0</v>
      </c>
      <c r="EO113" s="54" t="b">
        <f t="shared" si="180"/>
        <v>1</v>
      </c>
      <c r="EP113" s="54" t="b">
        <f t="shared" si="181"/>
        <v>0</v>
      </c>
      <c r="EQ113" s="54" t="b">
        <f t="shared" si="182"/>
        <v>1</v>
      </c>
      <c r="ER113" s="54">
        <f t="shared" si="183"/>
        <v>0.3286040262264141</v>
      </c>
      <c r="ES113" s="54" t="e">
        <f t="shared" si="184"/>
        <v>#N/A</v>
      </c>
      <c r="ET113" s="54">
        <f t="shared" si="185"/>
        <v>0.3286040262264141</v>
      </c>
      <c r="EU113" s="69" t="str">
        <f t="shared" si="186"/>
        <v/>
      </c>
      <c r="EV11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1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1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13" s="54" t="e" cm="1">
        <f t="array" ref="EY113">IF($CR$3,INDEX(Eu_tabel_a[[#This Row],[Styrke venstre]:[Styrke tosidet]],EY$7),NA())</f>
        <v>#N/A</v>
      </c>
      <c r="EZ113" s="54" t="e">
        <f>IF(EY$3,IF(CHOOSE(EY$7,Eu_tabel_a[[#This Row],[x base]]&gt;0,Eu_tabel_a[[#This Row],[x base]]&lt;0,Eu_tabel_a[[#This Row],[x base]]=0),1,NA()),NA())</f>
        <v>#N/A</v>
      </c>
      <c r="FA113" s="54" t="e">
        <f>IF(CHOOSE(EY$7,Eu_tabel_a[[#This Row],[x base]]&gt;0,Eu_tabel_a[[#This Row],[x base]]&lt;0,Eu_tabel_a[[#This Row],[x base]]=0),Eu_tabel_a[[#This Row],[Styrke, aktiv]],NA())</f>
        <v>#N/A</v>
      </c>
      <c r="FB113" s="54" t="e">
        <f>IFERROR(IF($EY$3,Eu_tabel_a[[#This Row],[Styrke, aktiv]],NA()),NA())</f>
        <v>#N/A</v>
      </c>
      <c r="FC113" s="54" t="e">
        <f>IF(ISNA(Eu_tabel_a[[#This Row],[Sand negativ
Nulhypotese afvises
Korrekt]]),NA(),IF(EY$3,1,NA()))</f>
        <v>#N/A</v>
      </c>
      <c r="FD113" s="55" t="str" cm="1">
        <f t="array" ref="FD113">IFERROR(_xlfn.SWITCH(Eu_tabel_a[[#This Row],[Indeks]],_xlfn.IFNA(FB$2,-99),FB$5,_xlfn.IFNA(FB$3,-99),FB$6,_xlfn.IFNA(FB$4,-99),FB$7,""),"")</f>
        <v/>
      </c>
      <c r="FE113" s="54">
        <f>Eu_tabel_a[[#This Row],[x base]]*SQRT(Eu_a_h0_x*(1-Eu_a_h0_x)/Eu_a_n_x)+Eu_a_h0_x</f>
        <v>0</v>
      </c>
      <c r="FJ113" s="144" t="e">
        <f t="shared" si="130"/>
        <v>#N/A</v>
      </c>
      <c r="FK113" s="152" t="e">
        <f t="shared" si="218"/>
        <v>#DIV/0!</v>
      </c>
      <c r="FL113" s="7" t="e">
        <f t="shared" si="124"/>
        <v>#DIV/0!</v>
      </c>
      <c r="FM113" t="e">
        <f t="shared" si="219"/>
        <v>#DIV/0!</v>
      </c>
      <c r="FN113" s="8" t="e">
        <f t="shared" si="220"/>
        <v>#DIV/0!</v>
      </c>
      <c r="FO113" s="8" t="e">
        <f t="shared" si="221"/>
        <v>#DIV/0!</v>
      </c>
      <c r="FP113" s="151" t="e">
        <f t="shared" si="222"/>
        <v>#DIV/0!</v>
      </c>
      <c r="FQ113" s="144" t="e">
        <f t="shared" ca="1" si="125"/>
        <v>#N/A</v>
      </c>
      <c r="FR113" s="152" t="e" vm="3">
        <f t="shared" ca="1" si="131"/>
        <v>#VALUE!</v>
      </c>
      <c r="FS113" s="7" t="e" vm="3">
        <f t="shared" ca="1" si="126"/>
        <v>#VALUE!</v>
      </c>
      <c r="FT113" t="e" vm="3">
        <f t="shared" ca="1" si="120"/>
        <v>#VALUE!</v>
      </c>
      <c r="FU113" s="8" t="e" vm="3">
        <f t="shared" ca="1" si="121"/>
        <v>#VALUE!</v>
      </c>
      <c r="FV113" s="8" t="e" vm="3">
        <f t="shared" ca="1" si="122"/>
        <v>#VALUE!</v>
      </c>
      <c r="FW113" s="151" t="e" vm="3">
        <f t="shared" ca="1" si="123"/>
        <v>#VALUE!</v>
      </c>
      <c r="FX113" s="144" t="e">
        <f t="shared" si="127"/>
        <v>#N/A</v>
      </c>
      <c r="FY113" s="152" t="e">
        <f t="shared" si="132"/>
        <v>#N/A</v>
      </c>
      <c r="FZ113" s="7" t="e">
        <f t="shared" si="128"/>
        <v>#N/A</v>
      </c>
      <c r="GA113" t="e">
        <f t="shared" si="133"/>
        <v>#N/A</v>
      </c>
      <c r="GB113" s="8" t="e">
        <f t="shared" si="134"/>
        <v>#N/A</v>
      </c>
      <c r="GC113" s="8" t="e">
        <f t="shared" si="135"/>
        <v>#N/A</v>
      </c>
      <c r="GD113" s="151" t="e">
        <f t="shared" si="136"/>
        <v>#N/A</v>
      </c>
      <c r="GE113" s="144" t="e">
        <f t="shared" si="137"/>
        <v>#N/A</v>
      </c>
      <c r="GF113" s="152" t="e">
        <f t="shared" si="138"/>
        <v>#N/A</v>
      </c>
      <c r="GG113" s="7" t="e">
        <f t="shared" si="129"/>
        <v>#N/A</v>
      </c>
      <c r="GH113" t="e">
        <f t="shared" si="139"/>
        <v>#N/A</v>
      </c>
      <c r="GI113" s="8" t="e">
        <f t="shared" si="140"/>
        <v>#N/A</v>
      </c>
      <c r="GJ113" s="8" t="e">
        <f t="shared" si="141"/>
        <v>#N/A</v>
      </c>
      <c r="GK113" s="151" t="e">
        <f t="shared" si="142"/>
        <v>#N/A</v>
      </c>
      <c r="GL113" s="151"/>
      <c r="GM113" s="151"/>
      <c r="GP113" s="54">
        <f t="shared" si="187"/>
        <v>103</v>
      </c>
      <c r="GQ113" s="54">
        <f t="shared" si="188"/>
        <v>104</v>
      </c>
      <c r="GR113" s="54">
        <f t="shared" si="189"/>
        <v>-0.62283751907258234</v>
      </c>
      <c r="GS113" s="54">
        <f t="shared" si="190"/>
        <v>0.3286040262264141</v>
      </c>
      <c r="GT113" s="54" t="e">
        <f t="shared" si="191"/>
        <v>#N/A</v>
      </c>
      <c r="GU113" s="54" t="e">
        <f t="shared" si="192"/>
        <v>#N/A</v>
      </c>
      <c r="GV113" s="54" t="e">
        <f t="shared" si="193"/>
        <v>#N/A</v>
      </c>
      <c r="GW113" s="54" t="b">
        <f t="shared" si="194"/>
        <v>0</v>
      </c>
      <c r="GX113" s="54" t="b">
        <f t="shared" si="195"/>
        <v>1</v>
      </c>
      <c r="GY113" s="54" t="b">
        <f t="shared" si="196"/>
        <v>0</v>
      </c>
      <c r="GZ113" s="54" t="b">
        <f t="shared" si="197"/>
        <v>1</v>
      </c>
      <c r="HA113" s="54">
        <f t="shared" si="198"/>
        <v>0.3286040262264141</v>
      </c>
      <c r="HB113" s="54" t="e">
        <f t="shared" si="199"/>
        <v>#N/A</v>
      </c>
      <c r="HC113" s="54">
        <f t="shared" si="200"/>
        <v>0.3286040262264141</v>
      </c>
      <c r="HD113" s="69" t="str">
        <f t="shared" si="201"/>
        <v/>
      </c>
      <c r="HJ113" s="54">
        <f t="shared" si="202"/>
        <v>103</v>
      </c>
      <c r="HK113" s="54">
        <f t="shared" si="203"/>
        <v>104</v>
      </c>
      <c r="HL113" s="54">
        <f t="shared" si="204"/>
        <v>-0.96447697941547794</v>
      </c>
      <c r="HM113" s="54" t="e">
        <f t="shared" si="205"/>
        <v>#N/A</v>
      </c>
      <c r="HN113" s="54">
        <f t="shared" si="206"/>
        <v>0.23372394786255571</v>
      </c>
      <c r="HO113" s="54" t="e">
        <f t="shared" si="207"/>
        <v>#N/A</v>
      </c>
      <c r="HP113" s="54" t="e">
        <f t="shared" si="208"/>
        <v>#N/A</v>
      </c>
      <c r="HQ113" s="54" t="b">
        <f t="shared" si="209"/>
        <v>1</v>
      </c>
      <c r="HR113" s="54" t="b">
        <f t="shared" si="210"/>
        <v>0</v>
      </c>
      <c r="HS113" s="54" t="b">
        <f t="shared" si="211"/>
        <v>0</v>
      </c>
      <c r="HT113" s="54" t="b">
        <f t="shared" si="212"/>
        <v>1</v>
      </c>
      <c r="HU113" s="54">
        <f t="shared" si="213"/>
        <v>0.23372394786255571</v>
      </c>
      <c r="HV113" s="54">
        <f t="shared" si="214"/>
        <v>0.23372394786255571</v>
      </c>
      <c r="HW113" s="54" t="e">
        <f t="shared" si="215"/>
        <v>#N/A</v>
      </c>
      <c r="HX113" s="69" t="str">
        <f t="shared" si="216"/>
        <v/>
      </c>
    </row>
    <row r="114" spans="78:232" x14ac:dyDescent="0.2">
      <c r="BZ114" s="54">
        <f t="shared" si="143"/>
        <v>104</v>
      </c>
      <c r="CA114" s="54">
        <f>Eu_tabel_g[[#This Row],[Indeks]]+1</f>
        <v>105</v>
      </c>
      <c r="CB114" s="54">
        <f t="shared" si="144"/>
        <v>-0.59888222987748341</v>
      </c>
      <c r="CC114" s="54">
        <f t="shared" si="145"/>
        <v>0.3334479506451507</v>
      </c>
      <c r="CD114" s="54" t="e">
        <f t="shared" si="146"/>
        <v>#N/A</v>
      </c>
      <c r="CE114" s="54" t="e">
        <f t="shared" si="147"/>
        <v>#N/A</v>
      </c>
      <c r="CF114" s="54" t="e">
        <f t="shared" si="148"/>
        <v>#N/A</v>
      </c>
      <c r="CG114" s="54" t="b">
        <f t="shared" si="149"/>
        <v>0</v>
      </c>
      <c r="CH114" s="54" t="b">
        <f t="shared" si="150"/>
        <v>1</v>
      </c>
      <c r="CI114" s="54" t="b">
        <f t="shared" si="151"/>
        <v>0</v>
      </c>
      <c r="CJ114" s="54" t="b">
        <f t="shared" si="152"/>
        <v>1</v>
      </c>
      <c r="CK114" s="54">
        <f t="shared" si="217"/>
        <v>0.3334479506451507</v>
      </c>
      <c r="CL114" s="54" t="e">
        <f t="shared" si="153"/>
        <v>#N/A</v>
      </c>
      <c r="CM114" s="54">
        <f t="shared" si="154"/>
        <v>0.3334479506451507</v>
      </c>
      <c r="CN114" s="69" t="str">
        <f t="shared" si="155"/>
        <v/>
      </c>
      <c r="CO114" s="54">
        <f>_xlfn.NORM.DIST(_xlfn.NORM.INV(1-Eu_g_konfidensniveau,0,1)-Eu_tabel_g[[#This Row],[x base]],0,1,TRUE)</f>
        <v>0.14778711921721879</v>
      </c>
      <c r="CP114" s="54">
        <f>1-_xlfn.NORM.DIST(_xlfn.NORM.INV(Eu_g_konfidensniveau,0,1)-Eu_tabel_g[[#This Row],[x base]],0,1,TRUE)</f>
        <v>1.2424700798871258E-2</v>
      </c>
      <c r="CQ114" s="54">
        <f>_xlfn.NORM.DIST(_xlfn.NORM.INV((1-Eu_g_konfidensniveau)/2,0,1)-Eu_tabel_g[[#This Row],[x base]],0,1,TRUE)+1-_xlfn.NORM.DIST(_xlfn.NORM.INV(1-(1-Eu_g_konfidensniveau)/2,0,1)-Eu_tabel_g[[#This Row],[x base]],0,1,TRUE)</f>
        <v>9.1994936832619389E-2</v>
      </c>
      <c r="CR114" s="54" t="e" cm="1">
        <f t="array" ref="CR114">IF($CR$3,INDEX(Eu_tabel_g[[#This Row],[Styrke venstre]:[Styrke tosidet]],CR$7),NA())</f>
        <v>#N/A</v>
      </c>
      <c r="CS114" s="89" t="e">
        <f>Eu_tabel_g[[#This Row],[Falsk positiv
Nulhypotese accepteres
Fejltype 1]]</f>
        <v>#N/A</v>
      </c>
      <c r="CT114" s="89" t="e">
        <f>IF(CHOOSE(CR$7,Eu_tabel_g[[#This Row],[x base]]&gt;0,Eu_tabel_g[[#This Row],[x base]]&lt;0,Eu_tabel_g[[#This Row],[x base]]=0),Eu_tabel_g[[#This Row],[Styrke, aktiv]],NA())</f>
        <v>#N/A</v>
      </c>
      <c r="CU114" s="89" t="e">
        <f>IFERROR(IF($CR$3,Eu_tabel_g[[#This Row],[Styrke, aktiv]],NA()),NA())</f>
        <v>#N/A</v>
      </c>
      <c r="CV114" s="89" t="e">
        <f>IF(ISNA(Eu_tabel_g[[#This Row],[Sand negativ
Nulhypotese afvises
Korrekt]]),NA(),IF($CR$3,1,NA()))</f>
        <v>#N/A</v>
      </c>
      <c r="CW114" s="56" t="str" cm="1">
        <f t="array" ref="CW114">_xlfn.SWITCH(BZ114,_xlfn.IFNA(CU$2,-99),CU$5,_xlfn.IFNA(CU$3,-99),CU$6,_xlfn.IFNA(CU$4,-99),CU$7,"")</f>
        <v/>
      </c>
      <c r="DA114" s="7">
        <f t="shared" si="156"/>
        <v>0.8</v>
      </c>
      <c r="DB114">
        <f>IF(ROW(Styrkeberegning_G[[#This Row],[X base venstre]])=ROW(Styrkeberegning_G[[#Headers],[X base venstre]])+1,DB$7/(DA$7/$B$67),DB113/(DA113/$B$67))</f>
        <v>-2.8015817870135784</v>
      </c>
      <c r="DC114">
        <f>Styrkeberegning_G[[#This Row],[X base venstre]]*-1</f>
        <v>2.8015817870135784</v>
      </c>
      <c r="DN114" s="54">
        <f t="shared" si="157"/>
        <v>104</v>
      </c>
      <c r="DO114" s="54">
        <f t="shared" si="158"/>
        <v>105</v>
      </c>
      <c r="DP114" s="54">
        <f t="shared" si="159"/>
        <v>13.697221732021795</v>
      </c>
      <c r="DQ114" s="54" t="e">
        <f t="shared" si="160"/>
        <v>#N/A</v>
      </c>
      <c r="DR114" s="54" t="e">
        <f t="shared" si="161"/>
        <v>#N/A</v>
      </c>
      <c r="DS114" s="54">
        <f t="shared" si="162"/>
        <v>5.834592608545798E-2</v>
      </c>
      <c r="DT114" s="54" t="e">
        <f t="shared" si="163"/>
        <v>#N/A</v>
      </c>
      <c r="DU114" s="54" t="b">
        <f t="shared" si="164"/>
        <v>0</v>
      </c>
      <c r="DV114" s="54" t="b">
        <f t="shared" si="165"/>
        <v>1</v>
      </c>
      <c r="DW114" s="54" t="b">
        <f t="shared" si="166"/>
        <v>0</v>
      </c>
      <c r="DX114" s="54" t="b">
        <f t="shared" si="167"/>
        <v>1</v>
      </c>
      <c r="DY114" s="54">
        <f t="shared" si="168"/>
        <v>5.834592608545798E-2</v>
      </c>
      <c r="DZ114" s="54" t="e">
        <f t="shared" si="169"/>
        <v>#N/A</v>
      </c>
      <c r="EA114" s="54">
        <f t="shared" si="170"/>
        <v>5.834592608545798E-2</v>
      </c>
      <c r="EB114" s="69" t="str">
        <f t="shared" si="171"/>
        <v/>
      </c>
      <c r="EG114" s="54">
        <f t="shared" si="172"/>
        <v>104</v>
      </c>
      <c r="EH114" s="54">
        <f t="shared" si="173"/>
        <v>105</v>
      </c>
      <c r="EI114" s="54">
        <f t="shared" si="174"/>
        <v>-0.59888222987748341</v>
      </c>
      <c r="EJ114" s="54">
        <f t="shared" si="175"/>
        <v>0.3334479506451507</v>
      </c>
      <c r="EK114" s="54" t="e">
        <f t="shared" si="176"/>
        <v>#N/A</v>
      </c>
      <c r="EL114" s="54" t="e">
        <f t="shared" si="177"/>
        <v>#N/A</v>
      </c>
      <c r="EM114" s="54" t="e">
        <f t="shared" si="178"/>
        <v>#N/A</v>
      </c>
      <c r="EN114" s="54" t="b">
        <f t="shared" si="179"/>
        <v>0</v>
      </c>
      <c r="EO114" s="54" t="b">
        <f t="shared" si="180"/>
        <v>1</v>
      </c>
      <c r="EP114" s="54" t="b">
        <f t="shared" si="181"/>
        <v>0</v>
      </c>
      <c r="EQ114" s="54" t="b">
        <f t="shared" si="182"/>
        <v>1</v>
      </c>
      <c r="ER114" s="54">
        <f t="shared" si="183"/>
        <v>0.3334479506451507</v>
      </c>
      <c r="ES114" s="54" t="e">
        <f t="shared" si="184"/>
        <v>#N/A</v>
      </c>
      <c r="ET114" s="54">
        <f t="shared" si="185"/>
        <v>0.3334479506451507</v>
      </c>
      <c r="EU114" s="69" t="str">
        <f t="shared" si="186"/>
        <v/>
      </c>
      <c r="EV11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1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1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14" s="54" t="e" cm="1">
        <f t="array" ref="EY114">IF($CR$3,INDEX(Eu_tabel_a[[#This Row],[Styrke venstre]:[Styrke tosidet]],EY$7),NA())</f>
        <v>#N/A</v>
      </c>
      <c r="EZ114" s="54" t="e">
        <f>IF(EY$3,IF(CHOOSE(EY$7,Eu_tabel_a[[#This Row],[x base]]&gt;0,Eu_tabel_a[[#This Row],[x base]]&lt;0,Eu_tabel_a[[#This Row],[x base]]=0),1,NA()),NA())</f>
        <v>#N/A</v>
      </c>
      <c r="FA114" s="54" t="e">
        <f>IF(CHOOSE(EY$7,Eu_tabel_a[[#This Row],[x base]]&gt;0,Eu_tabel_a[[#This Row],[x base]]&lt;0,Eu_tabel_a[[#This Row],[x base]]=0),Eu_tabel_a[[#This Row],[Styrke, aktiv]],NA())</f>
        <v>#N/A</v>
      </c>
      <c r="FB114" s="54" t="e">
        <f>IFERROR(IF($EY$3,Eu_tabel_a[[#This Row],[Styrke, aktiv]],NA()),NA())</f>
        <v>#N/A</v>
      </c>
      <c r="FC114" s="54" t="e">
        <f>IF(ISNA(Eu_tabel_a[[#This Row],[Sand negativ
Nulhypotese afvises
Korrekt]]),NA(),IF(EY$3,1,NA()))</f>
        <v>#N/A</v>
      </c>
      <c r="FD114" s="55" t="str" cm="1">
        <f t="array" ref="FD114">IFERROR(_xlfn.SWITCH(Eu_tabel_a[[#This Row],[Indeks]],_xlfn.IFNA(FB$2,-99),FB$5,_xlfn.IFNA(FB$3,-99),FB$6,_xlfn.IFNA(FB$4,-99),FB$7,""),"")</f>
        <v/>
      </c>
      <c r="FE114" s="54">
        <f>Eu_tabel_a[[#This Row],[x base]]*SQRT(Eu_a_h0_x*(1-Eu_a_h0_x)/Eu_a_n_x)+Eu_a_h0_x</f>
        <v>0</v>
      </c>
      <c r="FJ114" s="144" t="e">
        <f t="shared" si="130"/>
        <v>#N/A</v>
      </c>
      <c r="FK114" s="152" t="e">
        <f t="shared" si="218"/>
        <v>#DIV/0!</v>
      </c>
      <c r="FL114" s="7" t="e">
        <f t="shared" si="124"/>
        <v>#DIV/0!</v>
      </c>
      <c r="FM114" t="e">
        <f t="shared" si="219"/>
        <v>#DIV/0!</v>
      </c>
      <c r="FN114" s="8" t="e">
        <f t="shared" si="220"/>
        <v>#DIV/0!</v>
      </c>
      <c r="FO114" s="8" t="e">
        <f t="shared" si="221"/>
        <v>#DIV/0!</v>
      </c>
      <c r="FP114" s="151" t="e">
        <f t="shared" si="222"/>
        <v>#DIV/0!</v>
      </c>
      <c r="FQ114" s="144" t="e">
        <f t="shared" ca="1" si="125"/>
        <v>#N/A</v>
      </c>
      <c r="FR114" s="152" t="e" vm="3">
        <f t="shared" ca="1" si="131"/>
        <v>#VALUE!</v>
      </c>
      <c r="FS114" s="7" t="e" vm="3">
        <f t="shared" ca="1" si="126"/>
        <v>#VALUE!</v>
      </c>
      <c r="FT114" t="e" vm="3">
        <f t="shared" ca="1" si="120"/>
        <v>#VALUE!</v>
      </c>
      <c r="FU114" s="8" t="e" vm="3">
        <f t="shared" ca="1" si="121"/>
        <v>#VALUE!</v>
      </c>
      <c r="FV114" s="8" t="e" vm="3">
        <f t="shared" ca="1" si="122"/>
        <v>#VALUE!</v>
      </c>
      <c r="FW114" s="151" t="e" vm="3">
        <f t="shared" ca="1" si="123"/>
        <v>#VALUE!</v>
      </c>
      <c r="FX114" s="144" t="e">
        <f t="shared" si="127"/>
        <v>#N/A</v>
      </c>
      <c r="FY114" s="152" t="e">
        <f t="shared" si="132"/>
        <v>#N/A</v>
      </c>
      <c r="FZ114" s="7" t="e">
        <f t="shared" si="128"/>
        <v>#N/A</v>
      </c>
      <c r="GA114" t="e">
        <f t="shared" si="133"/>
        <v>#N/A</v>
      </c>
      <c r="GB114" s="8" t="e">
        <f t="shared" si="134"/>
        <v>#N/A</v>
      </c>
      <c r="GC114" s="8" t="e">
        <f t="shared" si="135"/>
        <v>#N/A</v>
      </c>
      <c r="GD114" s="151" t="e">
        <f t="shared" si="136"/>
        <v>#N/A</v>
      </c>
      <c r="GE114" s="144" t="e">
        <f t="shared" si="137"/>
        <v>#N/A</v>
      </c>
      <c r="GF114" s="152" t="e">
        <f t="shared" si="138"/>
        <v>#N/A</v>
      </c>
      <c r="GG114" s="7" t="e">
        <f t="shared" si="129"/>
        <v>#N/A</v>
      </c>
      <c r="GH114" t="e">
        <f t="shared" si="139"/>
        <v>#N/A</v>
      </c>
      <c r="GI114" s="8" t="e">
        <f t="shared" si="140"/>
        <v>#N/A</v>
      </c>
      <c r="GJ114" s="8" t="e">
        <f t="shared" si="141"/>
        <v>#N/A</v>
      </c>
      <c r="GK114" s="151" t="e">
        <f t="shared" si="142"/>
        <v>#N/A</v>
      </c>
      <c r="GL114" s="151"/>
      <c r="GM114" s="151"/>
      <c r="GP114" s="54">
        <f t="shared" si="187"/>
        <v>104</v>
      </c>
      <c r="GQ114" s="54">
        <f t="shared" si="188"/>
        <v>105</v>
      </c>
      <c r="GR114" s="54">
        <f t="shared" si="189"/>
        <v>-0.59888222987748341</v>
      </c>
      <c r="GS114" s="54">
        <f t="shared" si="190"/>
        <v>0.3334479506451507</v>
      </c>
      <c r="GT114" s="54" t="e">
        <f t="shared" si="191"/>
        <v>#N/A</v>
      </c>
      <c r="GU114" s="54" t="e">
        <f t="shared" si="192"/>
        <v>#N/A</v>
      </c>
      <c r="GV114" s="54" t="e">
        <f t="shared" si="193"/>
        <v>#N/A</v>
      </c>
      <c r="GW114" s="54" t="b">
        <f t="shared" si="194"/>
        <v>0</v>
      </c>
      <c r="GX114" s="54" t="b">
        <f t="shared" si="195"/>
        <v>1</v>
      </c>
      <c r="GY114" s="54" t="b">
        <f t="shared" si="196"/>
        <v>0</v>
      </c>
      <c r="GZ114" s="54" t="b">
        <f t="shared" si="197"/>
        <v>1</v>
      </c>
      <c r="HA114" s="54">
        <f t="shared" si="198"/>
        <v>0.3334479506451507</v>
      </c>
      <c r="HB114" s="54" t="e">
        <f t="shared" si="199"/>
        <v>#N/A</v>
      </c>
      <c r="HC114" s="54">
        <f t="shared" si="200"/>
        <v>0.3334479506451507</v>
      </c>
      <c r="HD114" s="69" t="str">
        <f t="shared" si="201"/>
        <v/>
      </c>
      <c r="HJ114" s="54">
        <f t="shared" si="202"/>
        <v>104</v>
      </c>
      <c r="HK114" s="54">
        <f t="shared" si="203"/>
        <v>105</v>
      </c>
      <c r="HL114" s="54">
        <f t="shared" si="204"/>
        <v>-0.92738171097642086</v>
      </c>
      <c r="HM114" s="54" t="e">
        <f t="shared" si="205"/>
        <v>#N/A</v>
      </c>
      <c r="HN114" s="54">
        <f t="shared" si="206"/>
        <v>0.24218370552426591</v>
      </c>
      <c r="HO114" s="54" t="e">
        <f t="shared" si="207"/>
        <v>#N/A</v>
      </c>
      <c r="HP114" s="54" t="e">
        <f t="shared" si="208"/>
        <v>#N/A</v>
      </c>
      <c r="HQ114" s="54" t="b">
        <f t="shared" si="209"/>
        <v>1</v>
      </c>
      <c r="HR114" s="54" t="b">
        <f t="shared" si="210"/>
        <v>0</v>
      </c>
      <c r="HS114" s="54" t="b">
        <f t="shared" si="211"/>
        <v>0</v>
      </c>
      <c r="HT114" s="54" t="b">
        <f t="shared" si="212"/>
        <v>1</v>
      </c>
      <c r="HU114" s="54">
        <f t="shared" si="213"/>
        <v>0.24218370552426591</v>
      </c>
      <c r="HV114" s="54">
        <f t="shared" si="214"/>
        <v>0.24218370552426591</v>
      </c>
      <c r="HW114" s="54" t="e">
        <f t="shared" si="215"/>
        <v>#N/A</v>
      </c>
      <c r="HX114" s="69" t="str">
        <f t="shared" si="216"/>
        <v/>
      </c>
    </row>
    <row r="115" spans="78:232" x14ac:dyDescent="0.2">
      <c r="BZ115" s="54">
        <f t="shared" si="143"/>
        <v>105</v>
      </c>
      <c r="CA115" s="54">
        <f>Eu_tabel_g[[#This Row],[Indeks]]+1</f>
        <v>106</v>
      </c>
      <c r="CB115" s="54">
        <f t="shared" si="144"/>
        <v>-0.57492694068238404</v>
      </c>
      <c r="CC115" s="54">
        <f t="shared" si="145"/>
        <v>0.33816916289320309</v>
      </c>
      <c r="CD115" s="54" t="e">
        <f t="shared" si="146"/>
        <v>#N/A</v>
      </c>
      <c r="CE115" s="54" t="e">
        <f t="shared" si="147"/>
        <v>#N/A</v>
      </c>
      <c r="CF115" s="54" t="e">
        <f t="shared" si="148"/>
        <v>#N/A</v>
      </c>
      <c r="CG115" s="54" t="b">
        <f t="shared" si="149"/>
        <v>0</v>
      </c>
      <c r="CH115" s="54" t="b">
        <f t="shared" si="150"/>
        <v>1</v>
      </c>
      <c r="CI115" s="54" t="b">
        <f t="shared" si="151"/>
        <v>0</v>
      </c>
      <c r="CJ115" s="54" t="b">
        <f t="shared" si="152"/>
        <v>1</v>
      </c>
      <c r="CK115" s="54">
        <f t="shared" si="217"/>
        <v>0.33816916289320309</v>
      </c>
      <c r="CL115" s="54" t="e">
        <f t="shared" si="153"/>
        <v>#N/A</v>
      </c>
      <c r="CM115" s="54">
        <f t="shared" si="154"/>
        <v>0.33816916289320309</v>
      </c>
      <c r="CN115" s="69" t="str">
        <f t="shared" si="155"/>
        <v/>
      </c>
      <c r="CO115" s="54">
        <f>_xlfn.NORM.DIST(_xlfn.NORM.INV(1-Eu_g_konfidensniveau,0,1)-Eu_tabel_g[[#This Row],[x base]],0,1,TRUE)</f>
        <v>0.14232615498665233</v>
      </c>
      <c r="CP115" s="54">
        <f>1-_xlfn.NORM.DIST(_xlfn.NORM.INV(Eu_g_konfidensniveau,0,1)-Eu_tabel_g[[#This Row],[x base]],0,1,TRUE)</f>
        <v>1.3216833323501209E-2</v>
      </c>
      <c r="CQ115" s="54">
        <f>_xlfn.NORM.DIST(_xlfn.NORM.INV((1-Eu_g_konfidensniveau)/2,0,1)-Eu_tabel_g[[#This Row],[x base]],0,1,TRUE)+1-_xlfn.NORM.DIST(_xlfn.NORM.INV(1-(1-Eu_g_konfidensniveau)/2,0,1)-Eu_tabel_g[[#This Row],[x base]],0,1,TRUE)</f>
        <v>8.8644687460783023E-2</v>
      </c>
      <c r="CR115" s="54" t="e" cm="1">
        <f t="array" ref="CR115">IF($CR$3,INDEX(Eu_tabel_g[[#This Row],[Styrke venstre]:[Styrke tosidet]],CR$7),NA())</f>
        <v>#N/A</v>
      </c>
      <c r="CS115" s="89" t="e">
        <f>Eu_tabel_g[[#This Row],[Falsk positiv
Nulhypotese accepteres
Fejltype 1]]</f>
        <v>#N/A</v>
      </c>
      <c r="CT115" s="89" t="e">
        <f>IF(CHOOSE(CR$7,Eu_tabel_g[[#This Row],[x base]]&gt;0,Eu_tabel_g[[#This Row],[x base]]&lt;0,Eu_tabel_g[[#This Row],[x base]]=0),Eu_tabel_g[[#This Row],[Styrke, aktiv]],NA())</f>
        <v>#N/A</v>
      </c>
      <c r="CU115" s="89" t="e">
        <f>IFERROR(IF($CR$3,Eu_tabel_g[[#This Row],[Styrke, aktiv]],NA()),NA())</f>
        <v>#N/A</v>
      </c>
      <c r="CV115" s="89" t="e">
        <f>IF(ISNA(Eu_tabel_g[[#This Row],[Sand negativ
Nulhypotese afvises
Korrekt]]),NA(),IF($CR$3,1,NA()))</f>
        <v>#N/A</v>
      </c>
      <c r="CW115" s="56" t="str" cm="1">
        <f t="array" ref="CW115">_xlfn.SWITCH(BZ115,_xlfn.IFNA(CU$2,-99),CU$5,_xlfn.IFNA(CU$3,-99),CU$6,_xlfn.IFNA(CU$4,-99),CU$7,"")</f>
        <v/>
      </c>
      <c r="DA115" s="7">
        <f t="shared" si="156"/>
        <v>0.8</v>
      </c>
      <c r="DB115">
        <f>IF(ROW(Styrkeberegning_G[[#This Row],[X base venstre]])=ROW(Styrkeberegning_G[[#Headers],[X base venstre]])+1,DB$7/(DA$7/$B$67),DB114/(DA114/$B$67))</f>
        <v>-2.8015817870135784</v>
      </c>
      <c r="DC115">
        <f>Styrkeberegning_G[[#This Row],[X base venstre]]*-1</f>
        <v>2.8015817870135784</v>
      </c>
      <c r="DN115" s="54">
        <f t="shared" si="157"/>
        <v>105</v>
      </c>
      <c r="DO115" s="54">
        <f t="shared" si="158"/>
        <v>106</v>
      </c>
      <c r="DP115" s="54">
        <f t="shared" si="159"/>
        <v>13.811292588438796</v>
      </c>
      <c r="DQ115" s="54" t="e">
        <f t="shared" si="160"/>
        <v>#N/A</v>
      </c>
      <c r="DR115" s="54" t="e">
        <f t="shared" si="161"/>
        <v>#N/A</v>
      </c>
      <c r="DS115" s="54">
        <f t="shared" si="162"/>
        <v>5.7206930221701147E-2</v>
      </c>
      <c r="DT115" s="54" t="e">
        <f t="shared" si="163"/>
        <v>#N/A</v>
      </c>
      <c r="DU115" s="54" t="b">
        <f t="shared" si="164"/>
        <v>0</v>
      </c>
      <c r="DV115" s="54" t="b">
        <f t="shared" si="165"/>
        <v>1</v>
      </c>
      <c r="DW115" s="54" t="b">
        <f t="shared" si="166"/>
        <v>0</v>
      </c>
      <c r="DX115" s="54" t="b">
        <f t="shared" si="167"/>
        <v>1</v>
      </c>
      <c r="DY115" s="54">
        <f t="shared" si="168"/>
        <v>5.7206930221701147E-2</v>
      </c>
      <c r="DZ115" s="54" t="e">
        <f t="shared" si="169"/>
        <v>#N/A</v>
      </c>
      <c r="EA115" s="54">
        <f t="shared" si="170"/>
        <v>5.7206930221701147E-2</v>
      </c>
      <c r="EB115" s="69" t="str">
        <f t="shared" si="171"/>
        <v/>
      </c>
      <c r="EG115" s="54">
        <f t="shared" si="172"/>
        <v>105</v>
      </c>
      <c r="EH115" s="54">
        <f t="shared" si="173"/>
        <v>106</v>
      </c>
      <c r="EI115" s="54">
        <f t="shared" si="174"/>
        <v>-0.57492694068238404</v>
      </c>
      <c r="EJ115" s="54">
        <f t="shared" si="175"/>
        <v>0.33816916289320309</v>
      </c>
      <c r="EK115" s="54" t="e">
        <f t="shared" si="176"/>
        <v>#N/A</v>
      </c>
      <c r="EL115" s="54" t="e">
        <f t="shared" si="177"/>
        <v>#N/A</v>
      </c>
      <c r="EM115" s="54" t="e">
        <f t="shared" si="178"/>
        <v>#N/A</v>
      </c>
      <c r="EN115" s="54" t="b">
        <f t="shared" si="179"/>
        <v>0</v>
      </c>
      <c r="EO115" s="54" t="b">
        <f t="shared" si="180"/>
        <v>1</v>
      </c>
      <c r="EP115" s="54" t="b">
        <f t="shared" si="181"/>
        <v>0</v>
      </c>
      <c r="EQ115" s="54" t="b">
        <f t="shared" si="182"/>
        <v>1</v>
      </c>
      <c r="ER115" s="54">
        <f t="shared" si="183"/>
        <v>0.33816916289320309</v>
      </c>
      <c r="ES115" s="54" t="e">
        <f t="shared" si="184"/>
        <v>#N/A</v>
      </c>
      <c r="ET115" s="54">
        <f t="shared" si="185"/>
        <v>0.33816916289320309</v>
      </c>
      <c r="EU115" s="69" t="str">
        <f t="shared" si="186"/>
        <v/>
      </c>
      <c r="EV11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1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1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15" s="54" t="e" cm="1">
        <f t="array" ref="EY115">IF($CR$3,INDEX(Eu_tabel_a[[#This Row],[Styrke venstre]:[Styrke tosidet]],EY$7),NA())</f>
        <v>#N/A</v>
      </c>
      <c r="EZ115" s="54" t="e">
        <f>IF(EY$3,IF(CHOOSE(EY$7,Eu_tabel_a[[#This Row],[x base]]&gt;0,Eu_tabel_a[[#This Row],[x base]]&lt;0,Eu_tabel_a[[#This Row],[x base]]=0),1,NA()),NA())</f>
        <v>#N/A</v>
      </c>
      <c r="FA115" s="54" t="e">
        <f>IF(CHOOSE(EY$7,Eu_tabel_a[[#This Row],[x base]]&gt;0,Eu_tabel_a[[#This Row],[x base]]&lt;0,Eu_tabel_a[[#This Row],[x base]]=0),Eu_tabel_a[[#This Row],[Styrke, aktiv]],NA())</f>
        <v>#N/A</v>
      </c>
      <c r="FB115" s="54" t="e">
        <f>IFERROR(IF($EY$3,Eu_tabel_a[[#This Row],[Styrke, aktiv]],NA()),NA())</f>
        <v>#N/A</v>
      </c>
      <c r="FC115" s="54" t="e">
        <f>IF(ISNA(Eu_tabel_a[[#This Row],[Sand negativ
Nulhypotese afvises
Korrekt]]),NA(),IF(EY$3,1,NA()))</f>
        <v>#N/A</v>
      </c>
      <c r="FD115" s="55" t="str" cm="1">
        <f t="array" ref="FD115">IFERROR(_xlfn.SWITCH(Eu_tabel_a[[#This Row],[Indeks]],_xlfn.IFNA(FB$2,-99),FB$5,_xlfn.IFNA(FB$3,-99),FB$6,_xlfn.IFNA(FB$4,-99),FB$7,""),"")</f>
        <v/>
      </c>
      <c r="FE115" s="54">
        <f>Eu_tabel_a[[#This Row],[x base]]*SQRT(Eu_a_h0_x*(1-Eu_a_h0_x)/Eu_a_n_x)+Eu_a_h0_x</f>
        <v>0</v>
      </c>
      <c r="FJ115" s="144" t="e">
        <f t="shared" si="130"/>
        <v>#N/A</v>
      </c>
      <c r="FK115" s="152" t="e">
        <f t="shared" si="218"/>
        <v>#DIV/0!</v>
      </c>
      <c r="FL115" s="7" t="e">
        <f t="shared" si="124"/>
        <v>#DIV/0!</v>
      </c>
      <c r="FM115" t="e">
        <f t="shared" si="219"/>
        <v>#DIV/0!</v>
      </c>
      <c r="FN115" s="8" t="e">
        <f t="shared" si="220"/>
        <v>#DIV/0!</v>
      </c>
      <c r="FO115" s="8" t="e">
        <f t="shared" si="221"/>
        <v>#DIV/0!</v>
      </c>
      <c r="FP115" s="151" t="e">
        <f t="shared" si="222"/>
        <v>#DIV/0!</v>
      </c>
      <c r="FQ115" s="144" t="e">
        <f t="shared" ca="1" si="125"/>
        <v>#N/A</v>
      </c>
      <c r="FR115" s="152" t="e" vm="3">
        <f t="shared" ca="1" si="131"/>
        <v>#VALUE!</v>
      </c>
      <c r="FS115" s="7" t="e" vm="3">
        <f t="shared" ca="1" si="126"/>
        <v>#VALUE!</v>
      </c>
      <c r="FT115" t="e" vm="3">
        <f t="shared" ca="1" si="120"/>
        <v>#VALUE!</v>
      </c>
      <c r="FU115" s="8" t="e" vm="3">
        <f t="shared" ca="1" si="121"/>
        <v>#VALUE!</v>
      </c>
      <c r="FV115" s="8" t="e" vm="3">
        <f t="shared" ca="1" si="122"/>
        <v>#VALUE!</v>
      </c>
      <c r="FW115" s="151" t="e" vm="3">
        <f t="shared" ca="1" si="123"/>
        <v>#VALUE!</v>
      </c>
      <c r="FX115" s="144" t="e">
        <f t="shared" si="127"/>
        <v>#N/A</v>
      </c>
      <c r="FY115" s="152" t="e">
        <f t="shared" si="132"/>
        <v>#N/A</v>
      </c>
      <c r="FZ115" s="7" t="e">
        <f t="shared" si="128"/>
        <v>#N/A</v>
      </c>
      <c r="GA115" t="e">
        <f t="shared" si="133"/>
        <v>#N/A</v>
      </c>
      <c r="GB115" s="8" t="e">
        <f t="shared" si="134"/>
        <v>#N/A</v>
      </c>
      <c r="GC115" s="8" t="e">
        <f t="shared" si="135"/>
        <v>#N/A</v>
      </c>
      <c r="GD115" s="151" t="e">
        <f t="shared" si="136"/>
        <v>#N/A</v>
      </c>
      <c r="GE115" s="144" t="e">
        <f t="shared" si="137"/>
        <v>#N/A</v>
      </c>
      <c r="GF115" s="152" t="e">
        <f t="shared" si="138"/>
        <v>#N/A</v>
      </c>
      <c r="GG115" s="7" t="e">
        <f t="shared" si="129"/>
        <v>#N/A</v>
      </c>
      <c r="GH115" t="e">
        <f t="shared" si="139"/>
        <v>#N/A</v>
      </c>
      <c r="GI115" s="8" t="e">
        <f t="shared" si="140"/>
        <v>#N/A</v>
      </c>
      <c r="GJ115" s="8" t="e">
        <f t="shared" si="141"/>
        <v>#N/A</v>
      </c>
      <c r="GK115" s="151" t="e">
        <f t="shared" si="142"/>
        <v>#N/A</v>
      </c>
      <c r="GL115" s="151"/>
      <c r="GM115" s="151"/>
      <c r="GP115" s="54">
        <f t="shared" si="187"/>
        <v>105</v>
      </c>
      <c r="GQ115" s="54">
        <f t="shared" si="188"/>
        <v>106</v>
      </c>
      <c r="GR115" s="54">
        <f t="shared" si="189"/>
        <v>-0.57492694068238404</v>
      </c>
      <c r="GS115" s="54">
        <f t="shared" si="190"/>
        <v>0.33816916289320309</v>
      </c>
      <c r="GT115" s="54" t="e">
        <f t="shared" si="191"/>
        <v>#N/A</v>
      </c>
      <c r="GU115" s="54" t="e">
        <f t="shared" si="192"/>
        <v>#N/A</v>
      </c>
      <c r="GV115" s="54" t="e">
        <f t="shared" si="193"/>
        <v>#N/A</v>
      </c>
      <c r="GW115" s="54" t="b">
        <f t="shared" si="194"/>
        <v>0</v>
      </c>
      <c r="GX115" s="54" t="b">
        <f t="shared" si="195"/>
        <v>1</v>
      </c>
      <c r="GY115" s="54" t="b">
        <f t="shared" si="196"/>
        <v>0</v>
      </c>
      <c r="GZ115" s="54" t="b">
        <f t="shared" si="197"/>
        <v>1</v>
      </c>
      <c r="HA115" s="54">
        <f t="shared" si="198"/>
        <v>0.33816916289320309</v>
      </c>
      <c r="HB115" s="54" t="e">
        <f t="shared" si="199"/>
        <v>#N/A</v>
      </c>
      <c r="HC115" s="54">
        <f t="shared" si="200"/>
        <v>0.33816916289320309</v>
      </c>
      <c r="HD115" s="69" t="str">
        <f t="shared" si="201"/>
        <v/>
      </c>
      <c r="HJ115" s="54">
        <f t="shared" si="202"/>
        <v>105</v>
      </c>
      <c r="HK115" s="54">
        <f t="shared" si="203"/>
        <v>106</v>
      </c>
      <c r="HL115" s="54">
        <f t="shared" si="204"/>
        <v>-0.89028644253736422</v>
      </c>
      <c r="HM115" s="54" t="e">
        <f t="shared" si="205"/>
        <v>#N/A</v>
      </c>
      <c r="HN115" s="54">
        <f t="shared" si="206"/>
        <v>0.25067526978144983</v>
      </c>
      <c r="HO115" s="54" t="e">
        <f t="shared" si="207"/>
        <v>#N/A</v>
      </c>
      <c r="HP115" s="54" t="e">
        <f t="shared" si="208"/>
        <v>#N/A</v>
      </c>
      <c r="HQ115" s="54" t="b">
        <f t="shared" si="209"/>
        <v>1</v>
      </c>
      <c r="HR115" s="54" t="b">
        <f t="shared" si="210"/>
        <v>0</v>
      </c>
      <c r="HS115" s="54" t="b">
        <f t="shared" si="211"/>
        <v>0</v>
      </c>
      <c r="HT115" s="54" t="b">
        <f t="shared" si="212"/>
        <v>1</v>
      </c>
      <c r="HU115" s="54">
        <f t="shared" si="213"/>
        <v>0.25067526978144983</v>
      </c>
      <c r="HV115" s="54">
        <f t="shared" si="214"/>
        <v>0.25067526978144983</v>
      </c>
      <c r="HW115" s="54" t="e">
        <f t="shared" si="215"/>
        <v>#N/A</v>
      </c>
      <c r="HX115" s="69" t="str">
        <f t="shared" si="216"/>
        <v/>
      </c>
    </row>
    <row r="116" spans="78:232" x14ac:dyDescent="0.2">
      <c r="BZ116" s="54">
        <f t="shared" si="143"/>
        <v>106</v>
      </c>
      <c r="CA116" s="54">
        <f>Eu_tabel_g[[#This Row],[Indeks]]+1</f>
        <v>107</v>
      </c>
      <c r="CB116" s="54">
        <f t="shared" si="144"/>
        <v>-0.55097165148728466</v>
      </c>
      <c r="CC116" s="54">
        <f t="shared" si="145"/>
        <v>0.34276047013173222</v>
      </c>
      <c r="CD116" s="54" t="e">
        <f t="shared" si="146"/>
        <v>#N/A</v>
      </c>
      <c r="CE116" s="54" t="e">
        <f t="shared" si="147"/>
        <v>#N/A</v>
      </c>
      <c r="CF116" s="54" t="e">
        <f t="shared" si="148"/>
        <v>#N/A</v>
      </c>
      <c r="CG116" s="54" t="b">
        <f t="shared" si="149"/>
        <v>0</v>
      </c>
      <c r="CH116" s="54" t="b">
        <f t="shared" si="150"/>
        <v>1</v>
      </c>
      <c r="CI116" s="54" t="b">
        <f t="shared" si="151"/>
        <v>0</v>
      </c>
      <c r="CJ116" s="54" t="b">
        <f t="shared" si="152"/>
        <v>1</v>
      </c>
      <c r="CK116" s="54">
        <f t="shared" si="217"/>
        <v>0.34276047013173222</v>
      </c>
      <c r="CL116" s="54" t="e">
        <f t="shared" si="153"/>
        <v>#N/A</v>
      </c>
      <c r="CM116" s="54">
        <f t="shared" si="154"/>
        <v>0.34276047013173222</v>
      </c>
      <c r="CN116" s="69" t="str">
        <f t="shared" si="155"/>
        <v/>
      </c>
      <c r="CO116" s="54">
        <f>_xlfn.NORM.DIST(_xlfn.NORM.INV(1-Eu_g_konfidensniveau,0,1)-Eu_tabel_g[[#This Row],[x base]],0,1,TRUE)</f>
        <v>0.13700337247235039</v>
      </c>
      <c r="CP116" s="54">
        <f>1-_xlfn.NORM.DIST(_xlfn.NORM.INV(Eu_g_konfidensniveau,0,1)-Eu_tabel_g[[#This Row],[x base]],0,1,TRUE)</f>
        <v>1.4052225802867691E-2</v>
      </c>
      <c r="CQ116" s="54">
        <f>_xlfn.NORM.DIST(_xlfn.NORM.INV((1-Eu_g_konfidensniveau)/2,0,1)-Eu_tabel_g[[#This Row],[x base]],0,1,TRUE)+1-_xlfn.NORM.DIST(_xlfn.NORM.INV(1-(1-Eu_g_konfidensniveau)/2,0,1)-Eu_tabel_g[[#This Row],[x base]],0,1,TRUE)</f>
        <v>8.5439300065713875E-2</v>
      </c>
      <c r="CR116" s="54" t="e" cm="1">
        <f t="array" ref="CR116">IF($CR$3,INDEX(Eu_tabel_g[[#This Row],[Styrke venstre]:[Styrke tosidet]],CR$7),NA())</f>
        <v>#N/A</v>
      </c>
      <c r="CS116" s="89" t="e">
        <f>Eu_tabel_g[[#This Row],[Falsk positiv
Nulhypotese accepteres
Fejltype 1]]</f>
        <v>#N/A</v>
      </c>
      <c r="CT116" s="89" t="e">
        <f>IF(CHOOSE(CR$7,Eu_tabel_g[[#This Row],[x base]]&gt;0,Eu_tabel_g[[#This Row],[x base]]&lt;0,Eu_tabel_g[[#This Row],[x base]]=0),Eu_tabel_g[[#This Row],[Styrke, aktiv]],NA())</f>
        <v>#N/A</v>
      </c>
      <c r="CU116" s="89" t="e">
        <f>IFERROR(IF($CR$3,Eu_tabel_g[[#This Row],[Styrke, aktiv]],NA()),NA())</f>
        <v>#N/A</v>
      </c>
      <c r="CV116" s="89" t="e">
        <f>IF(ISNA(Eu_tabel_g[[#This Row],[Sand negativ
Nulhypotese afvises
Korrekt]]),NA(),IF($CR$3,1,NA()))</f>
        <v>#N/A</v>
      </c>
      <c r="CW116" s="56" t="str" cm="1">
        <f t="array" ref="CW116">_xlfn.SWITCH(BZ116,_xlfn.IFNA(CU$2,-99),CU$5,_xlfn.IFNA(CU$3,-99),CU$6,_xlfn.IFNA(CU$4,-99),CU$7,"")</f>
        <v/>
      </c>
      <c r="DA116" s="7">
        <f t="shared" si="156"/>
        <v>0.8</v>
      </c>
      <c r="DB116">
        <f>IF(ROW(Styrkeberegning_G[[#This Row],[X base venstre]])=ROW(Styrkeberegning_G[[#Headers],[X base venstre]])+1,DB$7/(DA$7/$B$67),DB115/(DA115/$B$67))</f>
        <v>-2.8015817870135784</v>
      </c>
      <c r="DC116">
        <f>Styrkeberegning_G[[#This Row],[X base venstre]]*-1</f>
        <v>2.8015817870135784</v>
      </c>
      <c r="DN116" s="54">
        <f t="shared" si="157"/>
        <v>106</v>
      </c>
      <c r="DO116" s="54">
        <f t="shared" si="158"/>
        <v>107</v>
      </c>
      <c r="DP116" s="54">
        <f t="shared" si="159"/>
        <v>13.925363444855797</v>
      </c>
      <c r="DQ116" s="54" t="e">
        <f t="shared" si="160"/>
        <v>#N/A</v>
      </c>
      <c r="DR116" s="54" t="e">
        <f t="shared" si="161"/>
        <v>#N/A</v>
      </c>
      <c r="DS116" s="54">
        <f t="shared" si="162"/>
        <v>5.6072953346852777E-2</v>
      </c>
      <c r="DT116" s="54" t="e">
        <f t="shared" si="163"/>
        <v>#N/A</v>
      </c>
      <c r="DU116" s="54" t="b">
        <f t="shared" si="164"/>
        <v>0</v>
      </c>
      <c r="DV116" s="54" t="b">
        <f t="shared" si="165"/>
        <v>1</v>
      </c>
      <c r="DW116" s="54" t="b">
        <f t="shared" si="166"/>
        <v>0</v>
      </c>
      <c r="DX116" s="54" t="b">
        <f t="shared" si="167"/>
        <v>1</v>
      </c>
      <c r="DY116" s="54">
        <f t="shared" si="168"/>
        <v>5.6072953346852777E-2</v>
      </c>
      <c r="DZ116" s="54" t="e">
        <f t="shared" si="169"/>
        <v>#N/A</v>
      </c>
      <c r="EA116" s="54">
        <f t="shared" si="170"/>
        <v>5.6072953346852777E-2</v>
      </c>
      <c r="EB116" s="69" t="str">
        <f t="shared" si="171"/>
        <v/>
      </c>
      <c r="EG116" s="54">
        <f t="shared" si="172"/>
        <v>106</v>
      </c>
      <c r="EH116" s="54">
        <f t="shared" si="173"/>
        <v>107</v>
      </c>
      <c r="EI116" s="54">
        <f t="shared" si="174"/>
        <v>-0.55097165148728466</v>
      </c>
      <c r="EJ116" s="54">
        <f t="shared" si="175"/>
        <v>0.34276047013173222</v>
      </c>
      <c r="EK116" s="54" t="e">
        <f t="shared" si="176"/>
        <v>#N/A</v>
      </c>
      <c r="EL116" s="54" t="e">
        <f t="shared" si="177"/>
        <v>#N/A</v>
      </c>
      <c r="EM116" s="54" t="e">
        <f t="shared" si="178"/>
        <v>#N/A</v>
      </c>
      <c r="EN116" s="54" t="b">
        <f t="shared" si="179"/>
        <v>0</v>
      </c>
      <c r="EO116" s="54" t="b">
        <f t="shared" si="180"/>
        <v>1</v>
      </c>
      <c r="EP116" s="54" t="b">
        <f t="shared" si="181"/>
        <v>0</v>
      </c>
      <c r="EQ116" s="54" t="b">
        <f t="shared" si="182"/>
        <v>1</v>
      </c>
      <c r="ER116" s="54">
        <f t="shared" si="183"/>
        <v>0.34276047013173222</v>
      </c>
      <c r="ES116" s="54" t="e">
        <f t="shared" si="184"/>
        <v>#N/A</v>
      </c>
      <c r="ET116" s="54">
        <f t="shared" si="185"/>
        <v>0.34276047013173222</v>
      </c>
      <c r="EU116" s="69" t="str">
        <f t="shared" si="186"/>
        <v/>
      </c>
      <c r="EV11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1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1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16" s="54" t="e" cm="1">
        <f t="array" ref="EY116">IF($CR$3,INDEX(Eu_tabel_a[[#This Row],[Styrke venstre]:[Styrke tosidet]],EY$7),NA())</f>
        <v>#N/A</v>
      </c>
      <c r="EZ116" s="54" t="e">
        <f>IF(EY$3,IF(CHOOSE(EY$7,Eu_tabel_a[[#This Row],[x base]]&gt;0,Eu_tabel_a[[#This Row],[x base]]&lt;0,Eu_tabel_a[[#This Row],[x base]]=0),1,NA()),NA())</f>
        <v>#N/A</v>
      </c>
      <c r="FA116" s="54" t="e">
        <f>IF(CHOOSE(EY$7,Eu_tabel_a[[#This Row],[x base]]&gt;0,Eu_tabel_a[[#This Row],[x base]]&lt;0,Eu_tabel_a[[#This Row],[x base]]=0),Eu_tabel_a[[#This Row],[Styrke, aktiv]],NA())</f>
        <v>#N/A</v>
      </c>
      <c r="FB116" s="54" t="e">
        <f>IFERROR(IF($EY$3,Eu_tabel_a[[#This Row],[Styrke, aktiv]],NA()),NA())</f>
        <v>#N/A</v>
      </c>
      <c r="FC116" s="54" t="e">
        <f>IF(ISNA(Eu_tabel_a[[#This Row],[Sand negativ
Nulhypotese afvises
Korrekt]]),NA(),IF(EY$3,1,NA()))</f>
        <v>#N/A</v>
      </c>
      <c r="FD116" s="55" t="str" cm="1">
        <f t="array" ref="FD116">IFERROR(_xlfn.SWITCH(Eu_tabel_a[[#This Row],[Indeks]],_xlfn.IFNA(FB$2,-99),FB$5,_xlfn.IFNA(FB$3,-99),FB$6,_xlfn.IFNA(FB$4,-99),FB$7,""),"")</f>
        <v/>
      </c>
      <c r="FE116" s="54">
        <f>Eu_tabel_a[[#This Row],[x base]]*SQRT(Eu_a_h0_x*(1-Eu_a_h0_x)/Eu_a_n_x)+Eu_a_h0_x</f>
        <v>0</v>
      </c>
      <c r="FJ116" s="144" t="e">
        <f t="shared" si="130"/>
        <v>#N/A</v>
      </c>
      <c r="FK116" s="152" t="e">
        <f t="shared" si="218"/>
        <v>#DIV/0!</v>
      </c>
      <c r="FL116" s="7" t="e">
        <f t="shared" si="124"/>
        <v>#DIV/0!</v>
      </c>
      <c r="FM116" t="e">
        <f t="shared" si="219"/>
        <v>#DIV/0!</v>
      </c>
      <c r="FN116" s="8" t="e">
        <f t="shared" si="220"/>
        <v>#DIV/0!</v>
      </c>
      <c r="FO116" s="8" t="e">
        <f t="shared" si="221"/>
        <v>#DIV/0!</v>
      </c>
      <c r="FP116" s="151" t="e">
        <f t="shared" si="222"/>
        <v>#DIV/0!</v>
      </c>
      <c r="FQ116" s="144" t="e">
        <f t="shared" ca="1" si="125"/>
        <v>#N/A</v>
      </c>
      <c r="FR116" s="152" t="e" vm="3">
        <f t="shared" ca="1" si="131"/>
        <v>#VALUE!</v>
      </c>
      <c r="FS116" s="7" t="e" vm="3">
        <f t="shared" ca="1" si="126"/>
        <v>#VALUE!</v>
      </c>
      <c r="FT116" t="e" vm="3">
        <f t="shared" ca="1" si="120"/>
        <v>#VALUE!</v>
      </c>
      <c r="FU116" s="8" t="e" vm="3">
        <f t="shared" ca="1" si="121"/>
        <v>#VALUE!</v>
      </c>
      <c r="FV116" s="8" t="e" vm="3">
        <f t="shared" ca="1" si="122"/>
        <v>#VALUE!</v>
      </c>
      <c r="FW116" s="151" t="e" vm="3">
        <f t="shared" ca="1" si="123"/>
        <v>#VALUE!</v>
      </c>
      <c r="FX116" s="144" t="e">
        <f t="shared" si="127"/>
        <v>#N/A</v>
      </c>
      <c r="FY116" s="152" t="e">
        <f t="shared" si="132"/>
        <v>#N/A</v>
      </c>
      <c r="FZ116" s="7" t="e">
        <f t="shared" si="128"/>
        <v>#N/A</v>
      </c>
      <c r="GA116" t="e">
        <f t="shared" si="133"/>
        <v>#N/A</v>
      </c>
      <c r="GB116" s="8" t="e">
        <f t="shared" si="134"/>
        <v>#N/A</v>
      </c>
      <c r="GC116" s="8" t="e">
        <f t="shared" si="135"/>
        <v>#N/A</v>
      </c>
      <c r="GD116" s="151" t="e">
        <f t="shared" si="136"/>
        <v>#N/A</v>
      </c>
      <c r="GE116" s="144" t="e">
        <f t="shared" si="137"/>
        <v>#N/A</v>
      </c>
      <c r="GF116" s="152" t="e">
        <f t="shared" si="138"/>
        <v>#N/A</v>
      </c>
      <c r="GG116" s="7" t="e">
        <f t="shared" si="129"/>
        <v>#N/A</v>
      </c>
      <c r="GH116" t="e">
        <f t="shared" si="139"/>
        <v>#N/A</v>
      </c>
      <c r="GI116" s="8" t="e">
        <f t="shared" si="140"/>
        <v>#N/A</v>
      </c>
      <c r="GJ116" s="8" t="e">
        <f t="shared" si="141"/>
        <v>#N/A</v>
      </c>
      <c r="GK116" s="151" t="e">
        <f t="shared" si="142"/>
        <v>#N/A</v>
      </c>
      <c r="GL116" s="151"/>
      <c r="GM116" s="151"/>
      <c r="GP116" s="54">
        <f t="shared" si="187"/>
        <v>106</v>
      </c>
      <c r="GQ116" s="54">
        <f t="shared" si="188"/>
        <v>107</v>
      </c>
      <c r="GR116" s="54">
        <f t="shared" si="189"/>
        <v>-0.55097165148728466</v>
      </c>
      <c r="GS116" s="54">
        <f t="shared" si="190"/>
        <v>0.34276047013173222</v>
      </c>
      <c r="GT116" s="54" t="e">
        <f t="shared" si="191"/>
        <v>#N/A</v>
      </c>
      <c r="GU116" s="54" t="e">
        <f t="shared" si="192"/>
        <v>#N/A</v>
      </c>
      <c r="GV116" s="54" t="e">
        <f t="shared" si="193"/>
        <v>#N/A</v>
      </c>
      <c r="GW116" s="54" t="b">
        <f t="shared" si="194"/>
        <v>0</v>
      </c>
      <c r="GX116" s="54" t="b">
        <f t="shared" si="195"/>
        <v>1</v>
      </c>
      <c r="GY116" s="54" t="b">
        <f t="shared" si="196"/>
        <v>0</v>
      </c>
      <c r="GZ116" s="54" t="b">
        <f t="shared" si="197"/>
        <v>1</v>
      </c>
      <c r="HA116" s="54">
        <f t="shared" si="198"/>
        <v>0.34276047013173222</v>
      </c>
      <c r="HB116" s="54" t="e">
        <f t="shared" si="199"/>
        <v>#N/A</v>
      </c>
      <c r="HC116" s="54">
        <f t="shared" si="200"/>
        <v>0.34276047013173222</v>
      </c>
      <c r="HD116" s="69" t="str">
        <f t="shared" si="201"/>
        <v/>
      </c>
      <c r="HJ116" s="54">
        <f t="shared" si="202"/>
        <v>106</v>
      </c>
      <c r="HK116" s="54">
        <f t="shared" si="203"/>
        <v>107</v>
      </c>
      <c r="HL116" s="54">
        <f t="shared" si="204"/>
        <v>-0.85319117409830714</v>
      </c>
      <c r="HM116" s="54" t="e">
        <f t="shared" si="205"/>
        <v>#N/A</v>
      </c>
      <c r="HN116" s="54">
        <f t="shared" si="206"/>
        <v>0.25917276562967623</v>
      </c>
      <c r="HO116" s="54" t="e">
        <f t="shared" si="207"/>
        <v>#N/A</v>
      </c>
      <c r="HP116" s="54" t="e">
        <f t="shared" si="208"/>
        <v>#N/A</v>
      </c>
      <c r="HQ116" s="54" t="b">
        <f t="shared" si="209"/>
        <v>1</v>
      </c>
      <c r="HR116" s="54" t="b">
        <f t="shared" si="210"/>
        <v>0</v>
      </c>
      <c r="HS116" s="54" t="b">
        <f t="shared" si="211"/>
        <v>0</v>
      </c>
      <c r="HT116" s="54" t="b">
        <f t="shared" si="212"/>
        <v>1</v>
      </c>
      <c r="HU116" s="54">
        <f t="shared" si="213"/>
        <v>0.25917276562967623</v>
      </c>
      <c r="HV116" s="54">
        <f t="shared" si="214"/>
        <v>0.25917276562967623</v>
      </c>
      <c r="HW116" s="54" t="e">
        <f t="shared" si="215"/>
        <v>#N/A</v>
      </c>
      <c r="HX116" s="69" t="str">
        <f t="shared" si="216"/>
        <v/>
      </c>
    </row>
    <row r="117" spans="78:232" x14ac:dyDescent="0.2">
      <c r="BZ117" s="54">
        <f t="shared" si="143"/>
        <v>107</v>
      </c>
      <c r="CA117" s="54">
        <f>Eu_tabel_g[[#This Row],[Indeks]]+1</f>
        <v>108</v>
      </c>
      <c r="CB117" s="54">
        <f t="shared" si="144"/>
        <v>-0.52701636229218529</v>
      </c>
      <c r="CC117" s="54">
        <f t="shared" si="145"/>
        <v>0.34721480489913414</v>
      </c>
      <c r="CD117" s="54" t="e">
        <f t="shared" si="146"/>
        <v>#N/A</v>
      </c>
      <c r="CE117" s="54" t="e">
        <f t="shared" si="147"/>
        <v>#N/A</v>
      </c>
      <c r="CF117" s="54" t="e">
        <f t="shared" si="148"/>
        <v>#N/A</v>
      </c>
      <c r="CG117" s="54" t="b">
        <f t="shared" si="149"/>
        <v>0</v>
      </c>
      <c r="CH117" s="54" t="b">
        <f t="shared" si="150"/>
        <v>1</v>
      </c>
      <c r="CI117" s="54" t="b">
        <f t="shared" si="151"/>
        <v>0</v>
      </c>
      <c r="CJ117" s="54" t="b">
        <f t="shared" si="152"/>
        <v>1</v>
      </c>
      <c r="CK117" s="54">
        <f t="shared" si="217"/>
        <v>0.34721480489913414</v>
      </c>
      <c r="CL117" s="54" t="e">
        <f t="shared" si="153"/>
        <v>#N/A</v>
      </c>
      <c r="CM117" s="54">
        <f t="shared" si="154"/>
        <v>0.34721480489913414</v>
      </c>
      <c r="CN117" s="69" t="str">
        <f t="shared" si="155"/>
        <v/>
      </c>
      <c r="CO117" s="54">
        <f>_xlfn.NORM.DIST(_xlfn.NORM.INV(1-Eu_g_konfidensniveau,0,1)-Eu_tabel_g[[#This Row],[x base]],0,1,TRUE)</f>
        <v>0.13181825141176104</v>
      </c>
      <c r="CP117" s="54">
        <f>1-_xlfn.NORM.DIST(_xlfn.NORM.INV(Eu_g_konfidensniveau,0,1)-Eu_tabel_g[[#This Row],[x base]],0,1,TRUE)</f>
        <v>1.4932735343932468E-2</v>
      </c>
      <c r="CQ117" s="54">
        <f>_xlfn.NORM.DIST(_xlfn.NORM.INV((1-Eu_g_konfidensniveau)/2,0,1)-Eu_tabel_g[[#This Row],[x base]],0,1,TRUE)+1-_xlfn.NORM.DIST(_xlfn.NORM.INV(1-(1-Eu_g_konfidensniveau)/2,0,1)-Eu_tabel_g[[#This Row],[x base]],0,1,TRUE)</f>
        <v>8.2378028974324891E-2</v>
      </c>
      <c r="CR117" s="54" t="e" cm="1">
        <f t="array" ref="CR117">IF($CR$3,INDEX(Eu_tabel_g[[#This Row],[Styrke venstre]:[Styrke tosidet]],CR$7),NA())</f>
        <v>#N/A</v>
      </c>
      <c r="CS117" s="89" t="e">
        <f>Eu_tabel_g[[#This Row],[Falsk positiv
Nulhypotese accepteres
Fejltype 1]]</f>
        <v>#N/A</v>
      </c>
      <c r="CT117" s="89" t="e">
        <f>IF(CHOOSE(CR$7,Eu_tabel_g[[#This Row],[x base]]&gt;0,Eu_tabel_g[[#This Row],[x base]]&lt;0,Eu_tabel_g[[#This Row],[x base]]=0),Eu_tabel_g[[#This Row],[Styrke, aktiv]],NA())</f>
        <v>#N/A</v>
      </c>
      <c r="CU117" s="89" t="e">
        <f>IFERROR(IF($CR$3,Eu_tabel_g[[#This Row],[Styrke, aktiv]],NA()),NA())</f>
        <v>#N/A</v>
      </c>
      <c r="CV117" s="89" t="e">
        <f>IF(ISNA(Eu_tabel_g[[#This Row],[Sand negativ
Nulhypotese afvises
Korrekt]]),NA(),IF($CR$3,1,NA()))</f>
        <v>#N/A</v>
      </c>
      <c r="CW117" s="56" t="str" cm="1">
        <f t="array" ref="CW117">_xlfn.SWITCH(BZ117,_xlfn.IFNA(CU$2,-99),CU$5,_xlfn.IFNA(CU$3,-99),CU$6,_xlfn.IFNA(CU$4,-99),CU$7,"")</f>
        <v/>
      </c>
      <c r="DA117" s="7">
        <f t="shared" si="156"/>
        <v>0.8</v>
      </c>
      <c r="DB117">
        <f>IF(ROW(Styrkeberegning_G[[#This Row],[X base venstre]])=ROW(Styrkeberegning_G[[#Headers],[X base venstre]])+1,DB$7/(DA$7/$B$67),DB116/(DA116/$B$67))</f>
        <v>-2.8015817870135784</v>
      </c>
      <c r="DC117">
        <f>Styrkeberegning_G[[#This Row],[X base venstre]]*-1</f>
        <v>2.8015817870135784</v>
      </c>
      <c r="DN117" s="54">
        <f t="shared" si="157"/>
        <v>107</v>
      </c>
      <c r="DO117" s="54">
        <f t="shared" si="158"/>
        <v>108</v>
      </c>
      <c r="DP117" s="54">
        <f t="shared" si="159"/>
        <v>14.039434301272797</v>
      </c>
      <c r="DQ117" s="54" t="e">
        <f t="shared" si="160"/>
        <v>#N/A</v>
      </c>
      <c r="DR117" s="54" t="e">
        <f t="shared" si="161"/>
        <v>#N/A</v>
      </c>
      <c r="DS117" s="54">
        <f t="shared" si="162"/>
        <v>5.494486038990349E-2</v>
      </c>
      <c r="DT117" s="54" t="e">
        <f t="shared" si="163"/>
        <v>#N/A</v>
      </c>
      <c r="DU117" s="54" t="b">
        <f t="shared" si="164"/>
        <v>0</v>
      </c>
      <c r="DV117" s="54" t="b">
        <f t="shared" si="165"/>
        <v>1</v>
      </c>
      <c r="DW117" s="54" t="b">
        <f t="shared" si="166"/>
        <v>0</v>
      </c>
      <c r="DX117" s="54" t="b">
        <f t="shared" si="167"/>
        <v>1</v>
      </c>
      <c r="DY117" s="54">
        <f t="shared" si="168"/>
        <v>5.494486038990349E-2</v>
      </c>
      <c r="DZ117" s="54" t="e">
        <f t="shared" si="169"/>
        <v>#N/A</v>
      </c>
      <c r="EA117" s="54">
        <f t="shared" si="170"/>
        <v>5.494486038990349E-2</v>
      </c>
      <c r="EB117" s="69" t="str">
        <f t="shared" si="171"/>
        <v/>
      </c>
      <c r="EG117" s="54">
        <f t="shared" si="172"/>
        <v>107</v>
      </c>
      <c r="EH117" s="54">
        <f t="shared" si="173"/>
        <v>108</v>
      </c>
      <c r="EI117" s="54">
        <f t="shared" si="174"/>
        <v>-0.52701636229218529</v>
      </c>
      <c r="EJ117" s="54">
        <f t="shared" si="175"/>
        <v>0.34721480489913414</v>
      </c>
      <c r="EK117" s="54" t="e">
        <f t="shared" si="176"/>
        <v>#N/A</v>
      </c>
      <c r="EL117" s="54" t="e">
        <f t="shared" si="177"/>
        <v>#N/A</v>
      </c>
      <c r="EM117" s="54" t="e">
        <f t="shared" si="178"/>
        <v>#N/A</v>
      </c>
      <c r="EN117" s="54" t="b">
        <f t="shared" si="179"/>
        <v>0</v>
      </c>
      <c r="EO117" s="54" t="b">
        <f t="shared" si="180"/>
        <v>1</v>
      </c>
      <c r="EP117" s="54" t="b">
        <f t="shared" si="181"/>
        <v>0</v>
      </c>
      <c r="EQ117" s="54" t="b">
        <f t="shared" si="182"/>
        <v>1</v>
      </c>
      <c r="ER117" s="54">
        <f t="shared" si="183"/>
        <v>0.34721480489913414</v>
      </c>
      <c r="ES117" s="54" t="e">
        <f t="shared" si="184"/>
        <v>#N/A</v>
      </c>
      <c r="ET117" s="54">
        <f t="shared" si="185"/>
        <v>0.34721480489913414</v>
      </c>
      <c r="EU117" s="69" t="str">
        <f t="shared" si="186"/>
        <v/>
      </c>
      <c r="EV11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1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1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17" s="54" t="e" cm="1">
        <f t="array" ref="EY117">IF($CR$3,INDEX(Eu_tabel_a[[#This Row],[Styrke venstre]:[Styrke tosidet]],EY$7),NA())</f>
        <v>#N/A</v>
      </c>
      <c r="EZ117" s="54" t="e">
        <f>IF(EY$3,IF(CHOOSE(EY$7,Eu_tabel_a[[#This Row],[x base]]&gt;0,Eu_tabel_a[[#This Row],[x base]]&lt;0,Eu_tabel_a[[#This Row],[x base]]=0),1,NA()),NA())</f>
        <v>#N/A</v>
      </c>
      <c r="FA117" s="54" t="e">
        <f>IF(CHOOSE(EY$7,Eu_tabel_a[[#This Row],[x base]]&gt;0,Eu_tabel_a[[#This Row],[x base]]&lt;0,Eu_tabel_a[[#This Row],[x base]]=0),Eu_tabel_a[[#This Row],[Styrke, aktiv]],NA())</f>
        <v>#N/A</v>
      </c>
      <c r="FB117" s="54" t="e">
        <f>IFERROR(IF($EY$3,Eu_tabel_a[[#This Row],[Styrke, aktiv]],NA()),NA())</f>
        <v>#N/A</v>
      </c>
      <c r="FC117" s="54" t="e">
        <f>IF(ISNA(Eu_tabel_a[[#This Row],[Sand negativ
Nulhypotese afvises
Korrekt]]),NA(),IF(EY$3,1,NA()))</f>
        <v>#N/A</v>
      </c>
      <c r="FD117" s="55" t="str" cm="1">
        <f t="array" ref="FD117">IFERROR(_xlfn.SWITCH(Eu_tabel_a[[#This Row],[Indeks]],_xlfn.IFNA(FB$2,-99),FB$5,_xlfn.IFNA(FB$3,-99),FB$6,_xlfn.IFNA(FB$4,-99),FB$7,""),"")</f>
        <v/>
      </c>
      <c r="FE117" s="54">
        <f>Eu_tabel_a[[#This Row],[x base]]*SQRT(Eu_a_h0_x*(1-Eu_a_h0_x)/Eu_a_n_x)+Eu_a_h0_x</f>
        <v>0</v>
      </c>
      <c r="FJ117" s="144" t="e">
        <f t="shared" si="130"/>
        <v>#N/A</v>
      </c>
      <c r="FK117" s="152" t="e">
        <f t="shared" si="218"/>
        <v>#DIV/0!</v>
      </c>
      <c r="FL117" s="7" t="e">
        <f t="shared" si="124"/>
        <v>#DIV/0!</v>
      </c>
      <c r="FM117" t="e">
        <f t="shared" si="219"/>
        <v>#DIV/0!</v>
      </c>
      <c r="FN117" s="8" t="e">
        <f t="shared" si="220"/>
        <v>#DIV/0!</v>
      </c>
      <c r="FO117" s="8" t="e">
        <f t="shared" si="221"/>
        <v>#DIV/0!</v>
      </c>
      <c r="FP117" s="151" t="e">
        <f t="shared" si="222"/>
        <v>#DIV/0!</v>
      </c>
      <c r="FQ117" s="144" t="e">
        <f t="shared" ca="1" si="125"/>
        <v>#N/A</v>
      </c>
      <c r="FR117" s="152" t="e" vm="3">
        <f t="shared" ca="1" si="131"/>
        <v>#VALUE!</v>
      </c>
      <c r="FS117" s="7" t="e" vm="3">
        <f t="shared" ca="1" si="126"/>
        <v>#VALUE!</v>
      </c>
      <c r="FT117" t="e" vm="3">
        <f t="shared" ca="1" si="120"/>
        <v>#VALUE!</v>
      </c>
      <c r="FU117" s="8" t="e" vm="3">
        <f t="shared" ca="1" si="121"/>
        <v>#VALUE!</v>
      </c>
      <c r="FV117" s="8" t="e" vm="3">
        <f t="shared" ca="1" si="122"/>
        <v>#VALUE!</v>
      </c>
      <c r="FW117" s="151" t="e" vm="3">
        <f t="shared" ca="1" si="123"/>
        <v>#VALUE!</v>
      </c>
      <c r="FX117" s="144" t="e">
        <f t="shared" si="127"/>
        <v>#N/A</v>
      </c>
      <c r="FY117" s="152" t="e">
        <f t="shared" si="132"/>
        <v>#N/A</v>
      </c>
      <c r="FZ117" s="7" t="e">
        <f t="shared" si="128"/>
        <v>#N/A</v>
      </c>
      <c r="GA117" t="e">
        <f t="shared" si="133"/>
        <v>#N/A</v>
      </c>
      <c r="GB117" s="8" t="e">
        <f t="shared" si="134"/>
        <v>#N/A</v>
      </c>
      <c r="GC117" s="8" t="e">
        <f t="shared" si="135"/>
        <v>#N/A</v>
      </c>
      <c r="GD117" s="151" t="e">
        <f t="shared" si="136"/>
        <v>#N/A</v>
      </c>
      <c r="GE117" s="144" t="e">
        <f t="shared" si="137"/>
        <v>#N/A</v>
      </c>
      <c r="GF117" s="152" t="e">
        <f t="shared" si="138"/>
        <v>#N/A</v>
      </c>
      <c r="GG117" s="7" t="e">
        <f t="shared" si="129"/>
        <v>#N/A</v>
      </c>
      <c r="GH117" t="e">
        <f t="shared" si="139"/>
        <v>#N/A</v>
      </c>
      <c r="GI117" s="8" t="e">
        <f t="shared" si="140"/>
        <v>#N/A</v>
      </c>
      <c r="GJ117" s="8" t="e">
        <f t="shared" si="141"/>
        <v>#N/A</v>
      </c>
      <c r="GK117" s="151" t="e">
        <f t="shared" si="142"/>
        <v>#N/A</v>
      </c>
      <c r="GL117" s="151"/>
      <c r="GM117" s="151"/>
      <c r="GP117" s="54">
        <f t="shared" si="187"/>
        <v>107</v>
      </c>
      <c r="GQ117" s="54">
        <f t="shared" si="188"/>
        <v>108</v>
      </c>
      <c r="GR117" s="54">
        <f t="shared" si="189"/>
        <v>-0.52701636229218529</v>
      </c>
      <c r="GS117" s="54">
        <f t="shared" si="190"/>
        <v>0.34721480489913414</v>
      </c>
      <c r="GT117" s="54" t="e">
        <f t="shared" si="191"/>
        <v>#N/A</v>
      </c>
      <c r="GU117" s="54" t="e">
        <f t="shared" si="192"/>
        <v>#N/A</v>
      </c>
      <c r="GV117" s="54" t="e">
        <f t="shared" si="193"/>
        <v>#N/A</v>
      </c>
      <c r="GW117" s="54" t="b">
        <f t="shared" si="194"/>
        <v>0</v>
      </c>
      <c r="GX117" s="54" t="b">
        <f t="shared" si="195"/>
        <v>1</v>
      </c>
      <c r="GY117" s="54" t="b">
        <f t="shared" si="196"/>
        <v>0</v>
      </c>
      <c r="GZ117" s="54" t="b">
        <f t="shared" si="197"/>
        <v>1</v>
      </c>
      <c r="HA117" s="54">
        <f t="shared" si="198"/>
        <v>0.34721480489913414</v>
      </c>
      <c r="HB117" s="54" t="e">
        <f t="shared" si="199"/>
        <v>#N/A</v>
      </c>
      <c r="HC117" s="54">
        <f t="shared" si="200"/>
        <v>0.34721480489913414</v>
      </c>
      <c r="HD117" s="69" t="str">
        <f t="shared" si="201"/>
        <v/>
      </c>
      <c r="HJ117" s="54">
        <f t="shared" si="202"/>
        <v>107</v>
      </c>
      <c r="HK117" s="54">
        <f t="shared" si="203"/>
        <v>108</v>
      </c>
      <c r="HL117" s="54">
        <f t="shared" si="204"/>
        <v>-0.8160959056592505</v>
      </c>
      <c r="HM117" s="54" t="e">
        <f t="shared" si="205"/>
        <v>#N/A</v>
      </c>
      <c r="HN117" s="54">
        <f t="shared" si="206"/>
        <v>0.26764870550000192</v>
      </c>
      <c r="HO117" s="54" t="e">
        <f t="shared" si="207"/>
        <v>#N/A</v>
      </c>
      <c r="HP117" s="54" t="e">
        <f t="shared" si="208"/>
        <v>#N/A</v>
      </c>
      <c r="HQ117" s="54" t="b">
        <f t="shared" si="209"/>
        <v>1</v>
      </c>
      <c r="HR117" s="54" t="b">
        <f t="shared" si="210"/>
        <v>0</v>
      </c>
      <c r="HS117" s="54" t="b">
        <f t="shared" si="211"/>
        <v>0</v>
      </c>
      <c r="HT117" s="54" t="b">
        <f t="shared" si="212"/>
        <v>1</v>
      </c>
      <c r="HU117" s="54">
        <f t="shared" si="213"/>
        <v>0.26764870550000192</v>
      </c>
      <c r="HV117" s="54">
        <f t="shared" si="214"/>
        <v>0.26764870550000192</v>
      </c>
      <c r="HW117" s="54" t="e">
        <f t="shared" si="215"/>
        <v>#N/A</v>
      </c>
      <c r="HX117" s="69" t="str">
        <f t="shared" si="216"/>
        <v/>
      </c>
    </row>
    <row r="118" spans="78:232" x14ac:dyDescent="0.2">
      <c r="BZ118" s="54">
        <f t="shared" si="143"/>
        <v>108</v>
      </c>
      <c r="CA118" s="54">
        <f>Eu_tabel_g[[#This Row],[Indeks]]+1</f>
        <v>109</v>
      </c>
      <c r="CB118" s="54">
        <f t="shared" si="144"/>
        <v>-0.50306107309708592</v>
      </c>
      <c r="CC118" s="54">
        <f t="shared" si="145"/>
        <v>0.35152524313860362</v>
      </c>
      <c r="CD118" s="54" t="e">
        <f t="shared" si="146"/>
        <v>#N/A</v>
      </c>
      <c r="CE118" s="54" t="e">
        <f t="shared" si="147"/>
        <v>#N/A</v>
      </c>
      <c r="CF118" s="54" t="e">
        <f t="shared" si="148"/>
        <v>#N/A</v>
      </c>
      <c r="CG118" s="54" t="b">
        <f t="shared" si="149"/>
        <v>0</v>
      </c>
      <c r="CH118" s="54" t="b">
        <f t="shared" si="150"/>
        <v>1</v>
      </c>
      <c r="CI118" s="54" t="b">
        <f t="shared" si="151"/>
        <v>0</v>
      </c>
      <c r="CJ118" s="54" t="b">
        <f t="shared" si="152"/>
        <v>1</v>
      </c>
      <c r="CK118" s="54">
        <f t="shared" si="217"/>
        <v>0.35152524313860362</v>
      </c>
      <c r="CL118" s="54" t="e">
        <f t="shared" si="153"/>
        <v>#N/A</v>
      </c>
      <c r="CM118" s="54">
        <f t="shared" si="154"/>
        <v>0.35152524313860362</v>
      </c>
      <c r="CN118" s="69" t="str">
        <f t="shared" si="155"/>
        <v/>
      </c>
      <c r="CO118" s="54">
        <f>_xlfn.NORM.DIST(_xlfn.NORM.INV(1-Eu_g_konfidensniveau,0,1)-Eu_tabel_g[[#This Row],[x base]],0,1,TRUE)</f>
        <v>0.12677012909733829</v>
      </c>
      <c r="CP118" s="54">
        <f>1-_xlfn.NORM.DIST(_xlfn.NORM.INV(Eu_g_konfidensniveau,0,1)-Eu_tabel_g[[#This Row],[x base]],0,1,TRUE)</f>
        <v>1.5860266188613248E-2</v>
      </c>
      <c r="CQ118" s="54">
        <f>_xlfn.NORM.DIST(_xlfn.NORM.INV((1-Eu_g_konfidensniveau)/2,0,1)-Eu_tabel_g[[#This Row],[x base]],0,1,TRUE)+1-_xlfn.NORM.DIST(_xlfn.NORM.INV(1-(1-Eu_g_konfidensniveau)/2,0,1)-Eu_tabel_g[[#This Row],[x base]],0,1,TRUE)</f>
        <v>7.9460105488476707E-2</v>
      </c>
      <c r="CR118" s="54" t="e" cm="1">
        <f t="array" ref="CR118">IF($CR$3,INDEX(Eu_tabel_g[[#This Row],[Styrke venstre]:[Styrke tosidet]],CR$7),NA())</f>
        <v>#N/A</v>
      </c>
      <c r="CS118" s="89" t="e">
        <f>Eu_tabel_g[[#This Row],[Falsk positiv
Nulhypotese accepteres
Fejltype 1]]</f>
        <v>#N/A</v>
      </c>
      <c r="CT118" s="89" t="e">
        <f>IF(CHOOSE(CR$7,Eu_tabel_g[[#This Row],[x base]]&gt;0,Eu_tabel_g[[#This Row],[x base]]&lt;0,Eu_tabel_g[[#This Row],[x base]]=0),Eu_tabel_g[[#This Row],[Styrke, aktiv]],NA())</f>
        <v>#N/A</v>
      </c>
      <c r="CU118" s="89" t="e">
        <f>IFERROR(IF($CR$3,Eu_tabel_g[[#This Row],[Styrke, aktiv]],NA()),NA())</f>
        <v>#N/A</v>
      </c>
      <c r="CV118" s="89" t="e">
        <f>IF(ISNA(Eu_tabel_g[[#This Row],[Sand negativ
Nulhypotese afvises
Korrekt]]),NA(),IF($CR$3,1,NA()))</f>
        <v>#N/A</v>
      </c>
      <c r="CW118" s="56" t="str" cm="1">
        <f t="array" ref="CW118">_xlfn.SWITCH(BZ118,_xlfn.IFNA(CU$2,-99),CU$5,_xlfn.IFNA(CU$3,-99),CU$6,_xlfn.IFNA(CU$4,-99),CU$7,"")</f>
        <v/>
      </c>
      <c r="DA118" s="7">
        <f t="shared" si="156"/>
        <v>0.8</v>
      </c>
      <c r="DB118">
        <f>IF(ROW(Styrkeberegning_G[[#This Row],[X base venstre]])=ROW(Styrkeberegning_G[[#Headers],[X base venstre]])+1,DB$7/(DA$7/$B$67),DB117/(DA117/$B$67))</f>
        <v>-2.8015817870135784</v>
      </c>
      <c r="DC118">
        <f>Styrkeberegning_G[[#This Row],[X base venstre]]*-1</f>
        <v>2.8015817870135784</v>
      </c>
      <c r="DN118" s="54">
        <f t="shared" si="157"/>
        <v>108</v>
      </c>
      <c r="DO118" s="54">
        <f t="shared" si="158"/>
        <v>109</v>
      </c>
      <c r="DP118" s="54">
        <f t="shared" si="159"/>
        <v>14.153505157689798</v>
      </c>
      <c r="DQ118" s="54" t="e">
        <f t="shared" si="160"/>
        <v>#N/A</v>
      </c>
      <c r="DR118" s="54" t="e">
        <f t="shared" si="161"/>
        <v>#N/A</v>
      </c>
      <c r="DS118" s="54">
        <f t="shared" si="162"/>
        <v>5.3823470369441753E-2</v>
      </c>
      <c r="DT118" s="54" t="e">
        <f t="shared" si="163"/>
        <v>#N/A</v>
      </c>
      <c r="DU118" s="54" t="b">
        <f t="shared" si="164"/>
        <v>0</v>
      </c>
      <c r="DV118" s="54" t="b">
        <f t="shared" si="165"/>
        <v>1</v>
      </c>
      <c r="DW118" s="54" t="b">
        <f t="shared" si="166"/>
        <v>0</v>
      </c>
      <c r="DX118" s="54" t="b">
        <f t="shared" si="167"/>
        <v>1</v>
      </c>
      <c r="DY118" s="54">
        <f t="shared" si="168"/>
        <v>5.3823470369441753E-2</v>
      </c>
      <c r="DZ118" s="54" t="e">
        <f t="shared" si="169"/>
        <v>#N/A</v>
      </c>
      <c r="EA118" s="54">
        <f t="shared" si="170"/>
        <v>5.3823470369441753E-2</v>
      </c>
      <c r="EB118" s="69" t="str">
        <f t="shared" si="171"/>
        <v/>
      </c>
      <c r="EG118" s="54">
        <f t="shared" si="172"/>
        <v>108</v>
      </c>
      <c r="EH118" s="54">
        <f t="shared" si="173"/>
        <v>109</v>
      </c>
      <c r="EI118" s="54">
        <f t="shared" si="174"/>
        <v>-0.50306107309708592</v>
      </c>
      <c r="EJ118" s="54">
        <f t="shared" si="175"/>
        <v>0.35152524313860362</v>
      </c>
      <c r="EK118" s="54" t="e">
        <f t="shared" si="176"/>
        <v>#N/A</v>
      </c>
      <c r="EL118" s="54" t="e">
        <f t="shared" si="177"/>
        <v>#N/A</v>
      </c>
      <c r="EM118" s="54" t="e">
        <f t="shared" si="178"/>
        <v>#N/A</v>
      </c>
      <c r="EN118" s="54" t="b">
        <f t="shared" si="179"/>
        <v>0</v>
      </c>
      <c r="EO118" s="54" t="b">
        <f t="shared" si="180"/>
        <v>1</v>
      </c>
      <c r="EP118" s="54" t="b">
        <f t="shared" si="181"/>
        <v>0</v>
      </c>
      <c r="EQ118" s="54" t="b">
        <f t="shared" si="182"/>
        <v>1</v>
      </c>
      <c r="ER118" s="54">
        <f t="shared" si="183"/>
        <v>0.35152524313860362</v>
      </c>
      <c r="ES118" s="54" t="e">
        <f t="shared" si="184"/>
        <v>#N/A</v>
      </c>
      <c r="ET118" s="54">
        <f t="shared" si="185"/>
        <v>0.35152524313860362</v>
      </c>
      <c r="EU118" s="69" t="str">
        <f t="shared" si="186"/>
        <v/>
      </c>
      <c r="EV11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1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1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18" s="54" t="e" cm="1">
        <f t="array" ref="EY118">IF($CR$3,INDEX(Eu_tabel_a[[#This Row],[Styrke venstre]:[Styrke tosidet]],EY$7),NA())</f>
        <v>#N/A</v>
      </c>
      <c r="EZ118" s="54" t="e">
        <f>IF(EY$3,IF(CHOOSE(EY$7,Eu_tabel_a[[#This Row],[x base]]&gt;0,Eu_tabel_a[[#This Row],[x base]]&lt;0,Eu_tabel_a[[#This Row],[x base]]=0),1,NA()),NA())</f>
        <v>#N/A</v>
      </c>
      <c r="FA118" s="54" t="e">
        <f>IF(CHOOSE(EY$7,Eu_tabel_a[[#This Row],[x base]]&gt;0,Eu_tabel_a[[#This Row],[x base]]&lt;0,Eu_tabel_a[[#This Row],[x base]]=0),Eu_tabel_a[[#This Row],[Styrke, aktiv]],NA())</f>
        <v>#N/A</v>
      </c>
      <c r="FB118" s="54" t="e">
        <f>IFERROR(IF($EY$3,Eu_tabel_a[[#This Row],[Styrke, aktiv]],NA()),NA())</f>
        <v>#N/A</v>
      </c>
      <c r="FC118" s="54" t="e">
        <f>IF(ISNA(Eu_tabel_a[[#This Row],[Sand negativ
Nulhypotese afvises
Korrekt]]),NA(),IF(EY$3,1,NA()))</f>
        <v>#N/A</v>
      </c>
      <c r="FD118" s="55" t="str" cm="1">
        <f t="array" ref="FD118">IFERROR(_xlfn.SWITCH(Eu_tabel_a[[#This Row],[Indeks]],_xlfn.IFNA(FB$2,-99),FB$5,_xlfn.IFNA(FB$3,-99),FB$6,_xlfn.IFNA(FB$4,-99),FB$7,""),"")</f>
        <v/>
      </c>
      <c r="FE118" s="54">
        <f>Eu_tabel_a[[#This Row],[x base]]*SQRT(Eu_a_h0_x*(1-Eu_a_h0_x)/Eu_a_n_x)+Eu_a_h0_x</f>
        <v>0</v>
      </c>
      <c r="FJ118" s="144" t="e">
        <f t="shared" si="130"/>
        <v>#N/A</v>
      </c>
      <c r="FK118" s="152" t="e">
        <f t="shared" si="218"/>
        <v>#DIV/0!</v>
      </c>
      <c r="FL118" s="7" t="e">
        <f t="shared" si="124"/>
        <v>#DIV/0!</v>
      </c>
      <c r="FM118" t="e">
        <f t="shared" si="219"/>
        <v>#DIV/0!</v>
      </c>
      <c r="FN118" s="8" t="e">
        <f t="shared" si="220"/>
        <v>#DIV/0!</v>
      </c>
      <c r="FO118" s="8" t="e">
        <f t="shared" si="221"/>
        <v>#DIV/0!</v>
      </c>
      <c r="FP118" s="151" t="e">
        <f t="shared" si="222"/>
        <v>#DIV/0!</v>
      </c>
      <c r="FQ118" s="144" t="e">
        <f t="shared" ca="1" si="125"/>
        <v>#N/A</v>
      </c>
      <c r="FR118" s="152" t="e" vm="3">
        <f t="shared" ca="1" si="131"/>
        <v>#VALUE!</v>
      </c>
      <c r="FS118" s="7" t="e" vm="3">
        <f t="shared" ca="1" si="126"/>
        <v>#VALUE!</v>
      </c>
      <c r="FT118" t="e" vm="3">
        <f t="shared" ca="1" si="120"/>
        <v>#VALUE!</v>
      </c>
      <c r="FU118" s="8" t="e" vm="3">
        <f t="shared" ca="1" si="121"/>
        <v>#VALUE!</v>
      </c>
      <c r="FV118" s="8" t="e" vm="3">
        <f t="shared" ca="1" si="122"/>
        <v>#VALUE!</v>
      </c>
      <c r="FW118" s="151" t="e" vm="3">
        <f t="shared" ca="1" si="123"/>
        <v>#VALUE!</v>
      </c>
      <c r="FX118" s="144" t="e">
        <f t="shared" si="127"/>
        <v>#N/A</v>
      </c>
      <c r="FY118" s="152" t="e">
        <f t="shared" si="132"/>
        <v>#N/A</v>
      </c>
      <c r="FZ118" s="7" t="e">
        <f t="shared" si="128"/>
        <v>#N/A</v>
      </c>
      <c r="GA118" t="e">
        <f t="shared" si="133"/>
        <v>#N/A</v>
      </c>
      <c r="GB118" s="8" t="e">
        <f t="shared" si="134"/>
        <v>#N/A</v>
      </c>
      <c r="GC118" s="8" t="e">
        <f t="shared" si="135"/>
        <v>#N/A</v>
      </c>
      <c r="GD118" s="151" t="e">
        <f t="shared" si="136"/>
        <v>#N/A</v>
      </c>
      <c r="GE118" s="144" t="e">
        <f t="shared" si="137"/>
        <v>#N/A</v>
      </c>
      <c r="GF118" s="152" t="e">
        <f t="shared" si="138"/>
        <v>#N/A</v>
      </c>
      <c r="GG118" s="7" t="e">
        <f t="shared" si="129"/>
        <v>#N/A</v>
      </c>
      <c r="GH118" t="e">
        <f t="shared" si="139"/>
        <v>#N/A</v>
      </c>
      <c r="GI118" s="8" t="e">
        <f t="shared" si="140"/>
        <v>#N/A</v>
      </c>
      <c r="GJ118" s="8" t="e">
        <f t="shared" si="141"/>
        <v>#N/A</v>
      </c>
      <c r="GK118" s="151" t="e">
        <f t="shared" si="142"/>
        <v>#N/A</v>
      </c>
      <c r="GL118" s="151"/>
      <c r="GM118" s="151"/>
      <c r="GP118" s="54">
        <f t="shared" si="187"/>
        <v>108</v>
      </c>
      <c r="GQ118" s="54">
        <f t="shared" si="188"/>
        <v>109</v>
      </c>
      <c r="GR118" s="54">
        <f t="shared" si="189"/>
        <v>-0.50306107309708592</v>
      </c>
      <c r="GS118" s="54">
        <f t="shared" si="190"/>
        <v>0.35152524313860362</v>
      </c>
      <c r="GT118" s="54" t="e">
        <f t="shared" si="191"/>
        <v>#N/A</v>
      </c>
      <c r="GU118" s="54" t="e">
        <f t="shared" si="192"/>
        <v>#N/A</v>
      </c>
      <c r="GV118" s="54" t="e">
        <f t="shared" si="193"/>
        <v>#N/A</v>
      </c>
      <c r="GW118" s="54" t="b">
        <f t="shared" si="194"/>
        <v>0</v>
      </c>
      <c r="GX118" s="54" t="b">
        <f t="shared" si="195"/>
        <v>1</v>
      </c>
      <c r="GY118" s="54" t="b">
        <f t="shared" si="196"/>
        <v>0</v>
      </c>
      <c r="GZ118" s="54" t="b">
        <f t="shared" si="197"/>
        <v>1</v>
      </c>
      <c r="HA118" s="54">
        <f t="shared" si="198"/>
        <v>0.35152524313860362</v>
      </c>
      <c r="HB118" s="54" t="e">
        <f t="shared" si="199"/>
        <v>#N/A</v>
      </c>
      <c r="HC118" s="54">
        <f t="shared" si="200"/>
        <v>0.35152524313860362</v>
      </c>
      <c r="HD118" s="69" t="str">
        <f t="shared" si="201"/>
        <v/>
      </c>
      <c r="HJ118" s="54">
        <f t="shared" si="202"/>
        <v>108</v>
      </c>
      <c r="HK118" s="54">
        <f t="shared" si="203"/>
        <v>109</v>
      </c>
      <c r="HL118" s="54">
        <f t="shared" si="204"/>
        <v>-0.77900063722019386</v>
      </c>
      <c r="HM118" s="54" t="e">
        <f t="shared" si="205"/>
        <v>#N/A</v>
      </c>
      <c r="HN118" s="54">
        <f t="shared" si="206"/>
        <v>0.27607409962841173</v>
      </c>
      <c r="HO118" s="54" t="e">
        <f t="shared" si="207"/>
        <v>#N/A</v>
      </c>
      <c r="HP118" s="54" t="e">
        <f t="shared" si="208"/>
        <v>#N/A</v>
      </c>
      <c r="HQ118" s="54" t="b">
        <f t="shared" si="209"/>
        <v>1</v>
      </c>
      <c r="HR118" s="54" t="b">
        <f t="shared" si="210"/>
        <v>0</v>
      </c>
      <c r="HS118" s="54" t="b">
        <f t="shared" si="211"/>
        <v>0</v>
      </c>
      <c r="HT118" s="54" t="b">
        <f t="shared" si="212"/>
        <v>1</v>
      </c>
      <c r="HU118" s="54">
        <f t="shared" si="213"/>
        <v>0.27607409962841173</v>
      </c>
      <c r="HV118" s="54">
        <f t="shared" si="214"/>
        <v>0.27607409962841173</v>
      </c>
      <c r="HW118" s="54" t="e">
        <f t="shared" si="215"/>
        <v>#N/A</v>
      </c>
      <c r="HX118" s="69" t="str">
        <f t="shared" si="216"/>
        <v/>
      </c>
    </row>
    <row r="119" spans="78:232" x14ac:dyDescent="0.2">
      <c r="BZ119" s="54">
        <f t="shared" si="143"/>
        <v>109</v>
      </c>
      <c r="CA119" s="54">
        <f>Eu_tabel_g[[#This Row],[Indeks]]+1</f>
        <v>110</v>
      </c>
      <c r="CB119" s="54">
        <f t="shared" si="144"/>
        <v>-0.47910578390198655</v>
      </c>
      <c r="CC119" s="54">
        <f t="shared" si="145"/>
        <v>0.35568502205117924</v>
      </c>
      <c r="CD119" s="54" t="e">
        <f t="shared" si="146"/>
        <v>#N/A</v>
      </c>
      <c r="CE119" s="54" t="e">
        <f t="shared" si="147"/>
        <v>#N/A</v>
      </c>
      <c r="CF119" s="54" t="e">
        <f t="shared" si="148"/>
        <v>#N/A</v>
      </c>
      <c r="CG119" s="54" t="b">
        <f t="shared" si="149"/>
        <v>0</v>
      </c>
      <c r="CH119" s="54" t="b">
        <f t="shared" si="150"/>
        <v>1</v>
      </c>
      <c r="CI119" s="54" t="b">
        <f t="shared" si="151"/>
        <v>0</v>
      </c>
      <c r="CJ119" s="54" t="b">
        <f t="shared" si="152"/>
        <v>1</v>
      </c>
      <c r="CK119" s="54">
        <f t="shared" si="217"/>
        <v>0.35568502205117924</v>
      </c>
      <c r="CL119" s="54" t="e">
        <f t="shared" si="153"/>
        <v>#N/A</v>
      </c>
      <c r="CM119" s="54">
        <f t="shared" si="154"/>
        <v>0.35568502205117924</v>
      </c>
      <c r="CN119" s="69" t="str">
        <f t="shared" si="155"/>
        <v/>
      </c>
      <c r="CO119" s="54">
        <f>_xlfn.NORM.DIST(_xlfn.NORM.INV(1-Eu_g_konfidensniveau,0,1)-Eu_tabel_g[[#This Row],[x base]],0,1,TRUE)</f>
        <v>0.12185820522532056</v>
      </c>
      <c r="CP119" s="54">
        <f>1-_xlfn.NORM.DIST(_xlfn.NORM.INV(Eu_g_konfidensniveau,0,1)-Eu_tabel_g[[#This Row],[x base]],0,1,TRUE)</f>
        <v>1.6836768880534203E-2</v>
      </c>
      <c r="CQ119" s="54">
        <f>_xlfn.NORM.DIST(_xlfn.NORM.INV((1-Eu_g_konfidensniveau)/2,0,1)-Eu_tabel_g[[#This Row],[x base]],0,1,TRUE)+1-_xlfn.NORM.DIST(_xlfn.NORM.INV(1-(1-Eu_g_konfidensniveau)/2,0,1)-Eu_tabel_g[[#This Row],[x base]],0,1,TRUE)</f>
        <v>7.6684744285610007E-2</v>
      </c>
      <c r="CR119" s="54" t="e" cm="1">
        <f t="array" ref="CR119">IF($CR$3,INDEX(Eu_tabel_g[[#This Row],[Styrke venstre]:[Styrke tosidet]],CR$7),NA())</f>
        <v>#N/A</v>
      </c>
      <c r="CS119" s="89" t="e">
        <f>Eu_tabel_g[[#This Row],[Falsk positiv
Nulhypotese accepteres
Fejltype 1]]</f>
        <v>#N/A</v>
      </c>
      <c r="CT119" s="89" t="e">
        <f>IF(CHOOSE(CR$7,Eu_tabel_g[[#This Row],[x base]]&gt;0,Eu_tabel_g[[#This Row],[x base]]&lt;0,Eu_tabel_g[[#This Row],[x base]]=0),Eu_tabel_g[[#This Row],[Styrke, aktiv]],NA())</f>
        <v>#N/A</v>
      </c>
      <c r="CU119" s="89" t="e">
        <f>IFERROR(IF($CR$3,Eu_tabel_g[[#This Row],[Styrke, aktiv]],NA()),NA())</f>
        <v>#N/A</v>
      </c>
      <c r="CV119" s="89" t="e">
        <f>IF(ISNA(Eu_tabel_g[[#This Row],[Sand negativ
Nulhypotese afvises
Korrekt]]),NA(),IF($CR$3,1,NA()))</f>
        <v>#N/A</v>
      </c>
      <c r="CW119" s="56" t="str" cm="1">
        <f t="array" ref="CW119">_xlfn.SWITCH(BZ119,_xlfn.IFNA(CU$2,-99),CU$5,_xlfn.IFNA(CU$3,-99),CU$6,_xlfn.IFNA(CU$4,-99),CU$7,"")</f>
        <v/>
      </c>
      <c r="DA119" s="7">
        <f t="shared" si="156"/>
        <v>0.8</v>
      </c>
      <c r="DB119">
        <f>IF(ROW(Styrkeberegning_G[[#This Row],[X base venstre]])=ROW(Styrkeberegning_G[[#Headers],[X base venstre]])+1,DB$7/(DA$7/$B$67),DB118/(DA118/$B$67))</f>
        <v>-2.8015817870135784</v>
      </c>
      <c r="DC119">
        <f>Styrkeberegning_G[[#This Row],[X base venstre]]*-1</f>
        <v>2.8015817870135784</v>
      </c>
      <c r="DN119" s="54">
        <f t="shared" si="157"/>
        <v>109</v>
      </c>
      <c r="DO119" s="54">
        <f t="shared" si="158"/>
        <v>110</v>
      </c>
      <c r="DP119" s="54">
        <f t="shared" si="159"/>
        <v>14.267576014106799</v>
      </c>
      <c r="DQ119" s="54" t="e">
        <f t="shared" si="160"/>
        <v>#N/A</v>
      </c>
      <c r="DR119" s="54" t="e">
        <f t="shared" si="161"/>
        <v>#N/A</v>
      </c>
      <c r="DS119" s="54">
        <f t="shared" si="162"/>
        <v>5.2709557276885192E-2</v>
      </c>
      <c r="DT119" s="54" t="e">
        <f t="shared" si="163"/>
        <v>#N/A</v>
      </c>
      <c r="DU119" s="54" t="b">
        <f t="shared" si="164"/>
        <v>0</v>
      </c>
      <c r="DV119" s="54" t="b">
        <f t="shared" si="165"/>
        <v>1</v>
      </c>
      <c r="DW119" s="54" t="b">
        <f t="shared" si="166"/>
        <v>0</v>
      </c>
      <c r="DX119" s="54" t="b">
        <f t="shared" si="167"/>
        <v>1</v>
      </c>
      <c r="DY119" s="54">
        <f t="shared" si="168"/>
        <v>5.2709557276885192E-2</v>
      </c>
      <c r="DZ119" s="54" t="e">
        <f t="shared" si="169"/>
        <v>#N/A</v>
      </c>
      <c r="EA119" s="54">
        <f t="shared" si="170"/>
        <v>5.2709557276885192E-2</v>
      </c>
      <c r="EB119" s="69" t="str">
        <f t="shared" si="171"/>
        <v/>
      </c>
      <c r="EG119" s="54">
        <f t="shared" si="172"/>
        <v>109</v>
      </c>
      <c r="EH119" s="54">
        <f t="shared" si="173"/>
        <v>110</v>
      </c>
      <c r="EI119" s="54">
        <f t="shared" si="174"/>
        <v>-0.47910578390198655</v>
      </c>
      <c r="EJ119" s="54">
        <f t="shared" si="175"/>
        <v>0.35568502205117924</v>
      </c>
      <c r="EK119" s="54" t="e">
        <f t="shared" si="176"/>
        <v>#N/A</v>
      </c>
      <c r="EL119" s="54" t="e">
        <f t="shared" si="177"/>
        <v>#N/A</v>
      </c>
      <c r="EM119" s="54" t="e">
        <f t="shared" si="178"/>
        <v>#N/A</v>
      </c>
      <c r="EN119" s="54" t="b">
        <f t="shared" si="179"/>
        <v>0</v>
      </c>
      <c r="EO119" s="54" t="b">
        <f t="shared" si="180"/>
        <v>1</v>
      </c>
      <c r="EP119" s="54" t="b">
        <f t="shared" si="181"/>
        <v>0</v>
      </c>
      <c r="EQ119" s="54" t="b">
        <f t="shared" si="182"/>
        <v>1</v>
      </c>
      <c r="ER119" s="54">
        <f t="shared" si="183"/>
        <v>0.35568502205117924</v>
      </c>
      <c r="ES119" s="54" t="e">
        <f t="shared" si="184"/>
        <v>#N/A</v>
      </c>
      <c r="ET119" s="54">
        <f t="shared" si="185"/>
        <v>0.35568502205117924</v>
      </c>
      <c r="EU119" s="69" t="str">
        <f t="shared" si="186"/>
        <v/>
      </c>
      <c r="EV11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1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1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19" s="54" t="e" cm="1">
        <f t="array" ref="EY119">IF($CR$3,INDEX(Eu_tabel_a[[#This Row],[Styrke venstre]:[Styrke tosidet]],EY$7),NA())</f>
        <v>#N/A</v>
      </c>
      <c r="EZ119" s="54" t="e">
        <f>IF(EY$3,IF(CHOOSE(EY$7,Eu_tabel_a[[#This Row],[x base]]&gt;0,Eu_tabel_a[[#This Row],[x base]]&lt;0,Eu_tabel_a[[#This Row],[x base]]=0),1,NA()),NA())</f>
        <v>#N/A</v>
      </c>
      <c r="FA119" s="54" t="e">
        <f>IF(CHOOSE(EY$7,Eu_tabel_a[[#This Row],[x base]]&gt;0,Eu_tabel_a[[#This Row],[x base]]&lt;0,Eu_tabel_a[[#This Row],[x base]]=0),Eu_tabel_a[[#This Row],[Styrke, aktiv]],NA())</f>
        <v>#N/A</v>
      </c>
      <c r="FB119" s="54" t="e">
        <f>IFERROR(IF($EY$3,Eu_tabel_a[[#This Row],[Styrke, aktiv]],NA()),NA())</f>
        <v>#N/A</v>
      </c>
      <c r="FC119" s="54" t="e">
        <f>IF(ISNA(Eu_tabel_a[[#This Row],[Sand negativ
Nulhypotese afvises
Korrekt]]),NA(),IF(EY$3,1,NA()))</f>
        <v>#N/A</v>
      </c>
      <c r="FD119" s="55" t="str" cm="1">
        <f t="array" ref="FD119">IFERROR(_xlfn.SWITCH(Eu_tabel_a[[#This Row],[Indeks]],_xlfn.IFNA(FB$2,-99),FB$5,_xlfn.IFNA(FB$3,-99),FB$6,_xlfn.IFNA(FB$4,-99),FB$7,""),"")</f>
        <v/>
      </c>
      <c r="FE119" s="54">
        <f>Eu_tabel_a[[#This Row],[x base]]*SQRT(Eu_a_h0_x*(1-Eu_a_h0_x)/Eu_a_n_x)+Eu_a_h0_x</f>
        <v>0</v>
      </c>
      <c r="FJ119" s="144" t="e">
        <f t="shared" si="130"/>
        <v>#N/A</v>
      </c>
      <c r="FK119" s="152" t="e">
        <f t="shared" si="218"/>
        <v>#DIV/0!</v>
      </c>
      <c r="FL119" s="7" t="e">
        <f t="shared" si="124"/>
        <v>#DIV/0!</v>
      </c>
      <c r="FM119" t="e">
        <f t="shared" si="219"/>
        <v>#DIV/0!</v>
      </c>
      <c r="FN119" s="8" t="e">
        <f t="shared" si="220"/>
        <v>#DIV/0!</v>
      </c>
      <c r="FO119" s="8" t="e">
        <f t="shared" si="221"/>
        <v>#DIV/0!</v>
      </c>
      <c r="FP119" s="151" t="e">
        <f t="shared" si="222"/>
        <v>#DIV/0!</v>
      </c>
      <c r="FQ119" s="144" t="e">
        <f t="shared" ca="1" si="125"/>
        <v>#N/A</v>
      </c>
      <c r="FR119" s="152" t="e" vm="3">
        <f t="shared" ca="1" si="131"/>
        <v>#VALUE!</v>
      </c>
      <c r="FS119" s="7" t="e" vm="3">
        <f t="shared" ca="1" si="126"/>
        <v>#VALUE!</v>
      </c>
      <c r="FT119" t="e" vm="3">
        <f t="shared" ca="1" si="120"/>
        <v>#VALUE!</v>
      </c>
      <c r="FU119" s="8" t="e" vm="3">
        <f t="shared" ca="1" si="121"/>
        <v>#VALUE!</v>
      </c>
      <c r="FV119" s="8" t="e" vm="3">
        <f t="shared" ca="1" si="122"/>
        <v>#VALUE!</v>
      </c>
      <c r="FW119" s="151" t="e" vm="3">
        <f t="shared" ca="1" si="123"/>
        <v>#VALUE!</v>
      </c>
      <c r="FX119" s="144" t="e">
        <f t="shared" si="127"/>
        <v>#N/A</v>
      </c>
      <c r="FY119" s="152" t="e">
        <f t="shared" si="132"/>
        <v>#N/A</v>
      </c>
      <c r="FZ119" s="7" t="e">
        <f t="shared" si="128"/>
        <v>#N/A</v>
      </c>
      <c r="GA119" t="e">
        <f t="shared" si="133"/>
        <v>#N/A</v>
      </c>
      <c r="GB119" s="8" t="e">
        <f t="shared" si="134"/>
        <v>#N/A</v>
      </c>
      <c r="GC119" s="8" t="e">
        <f t="shared" si="135"/>
        <v>#N/A</v>
      </c>
      <c r="GD119" s="151" t="e">
        <f t="shared" si="136"/>
        <v>#N/A</v>
      </c>
      <c r="GE119" s="144" t="e">
        <f t="shared" si="137"/>
        <v>#N/A</v>
      </c>
      <c r="GF119" s="152" t="e">
        <f t="shared" si="138"/>
        <v>#N/A</v>
      </c>
      <c r="GG119" s="7" t="e">
        <f t="shared" si="129"/>
        <v>#N/A</v>
      </c>
      <c r="GH119" t="e">
        <f t="shared" si="139"/>
        <v>#N/A</v>
      </c>
      <c r="GI119" s="8" t="e">
        <f t="shared" si="140"/>
        <v>#N/A</v>
      </c>
      <c r="GJ119" s="8" t="e">
        <f t="shared" si="141"/>
        <v>#N/A</v>
      </c>
      <c r="GK119" s="151" t="e">
        <f t="shared" si="142"/>
        <v>#N/A</v>
      </c>
      <c r="GL119" s="151"/>
      <c r="GM119" s="151"/>
      <c r="GP119" s="54">
        <f t="shared" si="187"/>
        <v>109</v>
      </c>
      <c r="GQ119" s="54">
        <f t="shared" si="188"/>
        <v>110</v>
      </c>
      <c r="GR119" s="54">
        <f t="shared" si="189"/>
        <v>-0.47910578390198655</v>
      </c>
      <c r="GS119" s="54">
        <f t="shared" si="190"/>
        <v>0.35568502205117924</v>
      </c>
      <c r="GT119" s="54" t="e">
        <f t="shared" si="191"/>
        <v>#N/A</v>
      </c>
      <c r="GU119" s="54" t="e">
        <f t="shared" si="192"/>
        <v>#N/A</v>
      </c>
      <c r="GV119" s="54" t="e">
        <f t="shared" si="193"/>
        <v>#N/A</v>
      </c>
      <c r="GW119" s="54" t="b">
        <f t="shared" si="194"/>
        <v>0</v>
      </c>
      <c r="GX119" s="54" t="b">
        <f t="shared" si="195"/>
        <v>1</v>
      </c>
      <c r="GY119" s="54" t="b">
        <f t="shared" si="196"/>
        <v>0</v>
      </c>
      <c r="GZ119" s="54" t="b">
        <f t="shared" si="197"/>
        <v>1</v>
      </c>
      <c r="HA119" s="54">
        <f t="shared" si="198"/>
        <v>0.35568502205117924</v>
      </c>
      <c r="HB119" s="54" t="e">
        <f t="shared" si="199"/>
        <v>#N/A</v>
      </c>
      <c r="HC119" s="54">
        <f t="shared" si="200"/>
        <v>0.35568502205117924</v>
      </c>
      <c r="HD119" s="69" t="str">
        <f t="shared" si="201"/>
        <v/>
      </c>
      <c r="HJ119" s="54">
        <f t="shared" si="202"/>
        <v>109</v>
      </c>
      <c r="HK119" s="54">
        <f t="shared" si="203"/>
        <v>110</v>
      </c>
      <c r="HL119" s="54">
        <f t="shared" si="204"/>
        <v>-0.74190536878113633</v>
      </c>
      <c r="HM119" s="54" t="e">
        <f t="shared" si="205"/>
        <v>#N/A</v>
      </c>
      <c r="HN119" s="54">
        <f t="shared" si="206"/>
        <v>0.28441859146828474</v>
      </c>
      <c r="HO119" s="54" t="e">
        <f t="shared" si="207"/>
        <v>#N/A</v>
      </c>
      <c r="HP119" s="54" t="e">
        <f t="shared" si="208"/>
        <v>#N/A</v>
      </c>
      <c r="HQ119" s="54" t="b">
        <f t="shared" si="209"/>
        <v>1</v>
      </c>
      <c r="HR119" s="54" t="b">
        <f t="shared" si="210"/>
        <v>0</v>
      </c>
      <c r="HS119" s="54" t="b">
        <f t="shared" si="211"/>
        <v>0</v>
      </c>
      <c r="HT119" s="54" t="b">
        <f t="shared" si="212"/>
        <v>1</v>
      </c>
      <c r="HU119" s="54">
        <f t="shared" si="213"/>
        <v>0.28441859146828474</v>
      </c>
      <c r="HV119" s="54">
        <f t="shared" si="214"/>
        <v>0.28441859146828474</v>
      </c>
      <c r="HW119" s="54" t="e">
        <f t="shared" si="215"/>
        <v>#N/A</v>
      </c>
      <c r="HX119" s="69" t="str">
        <f t="shared" si="216"/>
        <v/>
      </c>
    </row>
    <row r="120" spans="78:232" x14ac:dyDescent="0.2">
      <c r="BZ120" s="54">
        <f t="shared" si="143"/>
        <v>110</v>
      </c>
      <c r="CA120" s="54">
        <f>Eu_tabel_g[[#This Row],[Indeks]]+1</f>
        <v>111</v>
      </c>
      <c r="CB120" s="54">
        <f t="shared" si="144"/>
        <v>-0.45515049470688718</v>
      </c>
      <c r="CC120" s="54">
        <f t="shared" si="145"/>
        <v>0.35968755771017369</v>
      </c>
      <c r="CD120" s="54" t="e">
        <f t="shared" si="146"/>
        <v>#N/A</v>
      </c>
      <c r="CE120" s="54" t="e">
        <f t="shared" si="147"/>
        <v>#N/A</v>
      </c>
      <c r="CF120" s="54" t="e">
        <f t="shared" si="148"/>
        <v>#N/A</v>
      </c>
      <c r="CG120" s="54" t="b">
        <f t="shared" si="149"/>
        <v>0</v>
      </c>
      <c r="CH120" s="54" t="b">
        <f t="shared" si="150"/>
        <v>1</v>
      </c>
      <c r="CI120" s="54" t="b">
        <f t="shared" si="151"/>
        <v>0</v>
      </c>
      <c r="CJ120" s="54" t="b">
        <f t="shared" si="152"/>
        <v>1</v>
      </c>
      <c r="CK120" s="54">
        <f t="shared" si="217"/>
        <v>0.35968755771017369</v>
      </c>
      <c r="CL120" s="54" t="e">
        <f t="shared" si="153"/>
        <v>#N/A</v>
      </c>
      <c r="CM120" s="54">
        <f t="shared" si="154"/>
        <v>0.35968755771017369</v>
      </c>
      <c r="CN120" s="69" t="str">
        <f t="shared" si="155"/>
        <v/>
      </c>
      <c r="CO120" s="54">
        <f>_xlfn.NORM.DIST(_xlfn.NORM.INV(1-Eu_g_konfidensniveau,0,1)-Eu_tabel_g[[#This Row],[x base]],0,1,TRUE)</f>
        <v>0.11708154692792394</v>
      </c>
      <c r="CP120" s="54">
        <f>1-_xlfn.NORM.DIST(_xlfn.NORM.INV(Eu_g_konfidensniveau,0,1)-Eu_tabel_g[[#This Row],[x base]],0,1,TRUE)</f>
        <v>1.7864239278245098E-2</v>
      </c>
      <c r="CQ120" s="54">
        <f>_xlfn.NORM.DIST(_xlfn.NORM.INV((1-Eu_g_konfidensniveau)/2,0,1)-Eu_tabel_g[[#This Row],[x base]],0,1,TRUE)+1-_xlfn.NORM.DIST(_xlfn.NORM.INV(1-(1-Eu_g_konfidensniveau)/2,0,1)-Eu_tabel_g[[#This Row],[x base]],0,1,TRUE)</f>
        <v>7.4051149695403939E-2</v>
      </c>
      <c r="CR120" s="54" t="e" cm="1">
        <f t="array" ref="CR120">IF($CR$3,INDEX(Eu_tabel_g[[#This Row],[Styrke venstre]:[Styrke tosidet]],CR$7),NA())</f>
        <v>#N/A</v>
      </c>
      <c r="CS120" s="89" t="e">
        <f>Eu_tabel_g[[#This Row],[Falsk positiv
Nulhypotese accepteres
Fejltype 1]]</f>
        <v>#N/A</v>
      </c>
      <c r="CT120" s="89" t="e">
        <f>IF(CHOOSE(CR$7,Eu_tabel_g[[#This Row],[x base]]&gt;0,Eu_tabel_g[[#This Row],[x base]]&lt;0,Eu_tabel_g[[#This Row],[x base]]=0),Eu_tabel_g[[#This Row],[Styrke, aktiv]],NA())</f>
        <v>#N/A</v>
      </c>
      <c r="CU120" s="89" t="e">
        <f>IFERROR(IF($CR$3,Eu_tabel_g[[#This Row],[Styrke, aktiv]],NA()),NA())</f>
        <v>#N/A</v>
      </c>
      <c r="CV120" s="89" t="e">
        <f>IF(ISNA(Eu_tabel_g[[#This Row],[Sand negativ
Nulhypotese afvises
Korrekt]]),NA(),IF($CR$3,1,NA()))</f>
        <v>#N/A</v>
      </c>
      <c r="CW120" s="56" t="str" cm="1">
        <f t="array" ref="CW120">_xlfn.SWITCH(BZ120,_xlfn.IFNA(CU$2,-99),CU$5,_xlfn.IFNA(CU$3,-99),CU$6,_xlfn.IFNA(CU$4,-99),CU$7,"")</f>
        <v/>
      </c>
      <c r="DA120" s="7">
        <f t="shared" si="156"/>
        <v>0.8</v>
      </c>
      <c r="DB120">
        <f>IF(ROW(Styrkeberegning_G[[#This Row],[X base venstre]])=ROW(Styrkeberegning_G[[#Headers],[X base venstre]])+1,DB$7/(DA$7/$B$67),DB119/(DA119/$B$67))</f>
        <v>-2.8015817870135784</v>
      </c>
      <c r="DC120">
        <f>Styrkeberegning_G[[#This Row],[X base venstre]]*-1</f>
        <v>2.8015817870135784</v>
      </c>
      <c r="DN120" s="54">
        <f t="shared" si="157"/>
        <v>110</v>
      </c>
      <c r="DO120" s="54">
        <f t="shared" si="158"/>
        <v>111</v>
      </c>
      <c r="DP120" s="54">
        <f t="shared" si="159"/>
        <v>14.381646870523801</v>
      </c>
      <c r="DQ120" s="54" t="e">
        <f t="shared" si="160"/>
        <v>#N/A</v>
      </c>
      <c r="DR120" s="54" t="e">
        <f t="shared" si="161"/>
        <v>#N/A</v>
      </c>
      <c r="DS120" s="54">
        <f t="shared" si="162"/>
        <v>5.1603851008559944E-2</v>
      </c>
      <c r="DT120" s="54" t="e">
        <f t="shared" si="163"/>
        <v>#N/A</v>
      </c>
      <c r="DU120" s="54" t="b">
        <f t="shared" si="164"/>
        <v>0</v>
      </c>
      <c r="DV120" s="54" t="b">
        <f t="shared" si="165"/>
        <v>1</v>
      </c>
      <c r="DW120" s="54" t="b">
        <f t="shared" si="166"/>
        <v>0</v>
      </c>
      <c r="DX120" s="54" t="b">
        <f t="shared" si="167"/>
        <v>1</v>
      </c>
      <c r="DY120" s="54">
        <f t="shared" si="168"/>
        <v>5.1603851008559944E-2</v>
      </c>
      <c r="DZ120" s="54" t="e">
        <f t="shared" si="169"/>
        <v>#N/A</v>
      </c>
      <c r="EA120" s="54">
        <f t="shared" si="170"/>
        <v>5.1603851008559944E-2</v>
      </c>
      <c r="EB120" s="69" t="str">
        <f t="shared" si="171"/>
        <v/>
      </c>
      <c r="EG120" s="54">
        <f t="shared" si="172"/>
        <v>110</v>
      </c>
      <c r="EH120" s="54">
        <f t="shared" si="173"/>
        <v>111</v>
      </c>
      <c r="EI120" s="54">
        <f t="shared" si="174"/>
        <v>-0.45515049470688718</v>
      </c>
      <c r="EJ120" s="54">
        <f t="shared" si="175"/>
        <v>0.35968755771017369</v>
      </c>
      <c r="EK120" s="54" t="e">
        <f t="shared" si="176"/>
        <v>#N/A</v>
      </c>
      <c r="EL120" s="54" t="e">
        <f t="shared" si="177"/>
        <v>#N/A</v>
      </c>
      <c r="EM120" s="54" t="e">
        <f t="shared" si="178"/>
        <v>#N/A</v>
      </c>
      <c r="EN120" s="54" t="b">
        <f t="shared" si="179"/>
        <v>0</v>
      </c>
      <c r="EO120" s="54" t="b">
        <f t="shared" si="180"/>
        <v>1</v>
      </c>
      <c r="EP120" s="54" t="b">
        <f t="shared" si="181"/>
        <v>0</v>
      </c>
      <c r="EQ120" s="54" t="b">
        <f t="shared" si="182"/>
        <v>1</v>
      </c>
      <c r="ER120" s="54">
        <f t="shared" si="183"/>
        <v>0.35968755771017369</v>
      </c>
      <c r="ES120" s="54" t="e">
        <f t="shared" si="184"/>
        <v>#N/A</v>
      </c>
      <c r="ET120" s="54">
        <f t="shared" si="185"/>
        <v>0.35968755771017369</v>
      </c>
      <c r="EU120" s="69" t="str">
        <f t="shared" si="186"/>
        <v/>
      </c>
      <c r="EV12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2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2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20" s="54" t="e" cm="1">
        <f t="array" ref="EY120">IF($CR$3,INDEX(Eu_tabel_a[[#This Row],[Styrke venstre]:[Styrke tosidet]],EY$7),NA())</f>
        <v>#N/A</v>
      </c>
      <c r="EZ120" s="54" t="e">
        <f>IF(EY$3,IF(CHOOSE(EY$7,Eu_tabel_a[[#This Row],[x base]]&gt;0,Eu_tabel_a[[#This Row],[x base]]&lt;0,Eu_tabel_a[[#This Row],[x base]]=0),1,NA()),NA())</f>
        <v>#N/A</v>
      </c>
      <c r="FA120" s="54" t="e">
        <f>IF(CHOOSE(EY$7,Eu_tabel_a[[#This Row],[x base]]&gt;0,Eu_tabel_a[[#This Row],[x base]]&lt;0,Eu_tabel_a[[#This Row],[x base]]=0),Eu_tabel_a[[#This Row],[Styrke, aktiv]],NA())</f>
        <v>#N/A</v>
      </c>
      <c r="FB120" s="54" t="e">
        <f>IFERROR(IF($EY$3,Eu_tabel_a[[#This Row],[Styrke, aktiv]],NA()),NA())</f>
        <v>#N/A</v>
      </c>
      <c r="FC120" s="54" t="e">
        <f>IF(ISNA(Eu_tabel_a[[#This Row],[Sand negativ
Nulhypotese afvises
Korrekt]]),NA(),IF(EY$3,1,NA()))</f>
        <v>#N/A</v>
      </c>
      <c r="FD120" s="55" t="str" cm="1">
        <f t="array" ref="FD120">IFERROR(_xlfn.SWITCH(Eu_tabel_a[[#This Row],[Indeks]],_xlfn.IFNA(FB$2,-99),FB$5,_xlfn.IFNA(FB$3,-99),FB$6,_xlfn.IFNA(FB$4,-99),FB$7,""),"")</f>
        <v/>
      </c>
      <c r="FE120" s="54">
        <f>Eu_tabel_a[[#This Row],[x base]]*SQRT(Eu_a_h0_x*(1-Eu_a_h0_x)/Eu_a_n_x)+Eu_a_h0_x</f>
        <v>0</v>
      </c>
      <c r="FJ120" s="144" t="e">
        <f t="shared" si="130"/>
        <v>#N/A</v>
      </c>
      <c r="FK120" s="152" t="e">
        <f t="shared" si="218"/>
        <v>#DIV/0!</v>
      </c>
      <c r="FL120" s="7" t="e">
        <f t="shared" si="124"/>
        <v>#DIV/0!</v>
      </c>
      <c r="FM120" t="e">
        <f t="shared" si="219"/>
        <v>#DIV/0!</v>
      </c>
      <c r="FN120" s="8" t="e">
        <f t="shared" si="220"/>
        <v>#DIV/0!</v>
      </c>
      <c r="FO120" s="8" t="e">
        <f t="shared" si="221"/>
        <v>#DIV/0!</v>
      </c>
      <c r="FP120" s="151" t="e">
        <f t="shared" si="222"/>
        <v>#DIV/0!</v>
      </c>
      <c r="FQ120" s="144" t="e">
        <f t="shared" ca="1" si="125"/>
        <v>#N/A</v>
      </c>
      <c r="FR120" s="152" t="e" vm="3">
        <f t="shared" ca="1" si="131"/>
        <v>#VALUE!</v>
      </c>
      <c r="FS120" s="7" t="e" vm="3">
        <f t="shared" ca="1" si="126"/>
        <v>#VALUE!</v>
      </c>
      <c r="FT120" t="e" vm="3">
        <f t="shared" ca="1" si="120"/>
        <v>#VALUE!</v>
      </c>
      <c r="FU120" s="8" t="e" vm="3">
        <f t="shared" ca="1" si="121"/>
        <v>#VALUE!</v>
      </c>
      <c r="FV120" s="8" t="e" vm="3">
        <f t="shared" ca="1" si="122"/>
        <v>#VALUE!</v>
      </c>
      <c r="FW120" s="151" t="e" vm="3">
        <f t="shared" ca="1" si="123"/>
        <v>#VALUE!</v>
      </c>
      <c r="FX120" s="144" t="e">
        <f t="shared" si="127"/>
        <v>#N/A</v>
      </c>
      <c r="FY120" s="152" t="e">
        <f t="shared" si="132"/>
        <v>#N/A</v>
      </c>
      <c r="FZ120" s="7" t="e">
        <f t="shared" si="128"/>
        <v>#N/A</v>
      </c>
      <c r="GA120" t="e">
        <f t="shared" si="133"/>
        <v>#N/A</v>
      </c>
      <c r="GB120" s="8" t="e">
        <f t="shared" si="134"/>
        <v>#N/A</v>
      </c>
      <c r="GC120" s="8" t="e">
        <f t="shared" si="135"/>
        <v>#N/A</v>
      </c>
      <c r="GD120" s="151" t="e">
        <f t="shared" si="136"/>
        <v>#N/A</v>
      </c>
      <c r="GE120" s="144" t="e">
        <f t="shared" si="137"/>
        <v>#N/A</v>
      </c>
      <c r="GF120" s="152" t="e">
        <f t="shared" si="138"/>
        <v>#N/A</v>
      </c>
      <c r="GG120" s="7" t="e">
        <f t="shared" si="129"/>
        <v>#N/A</v>
      </c>
      <c r="GH120" t="e">
        <f t="shared" si="139"/>
        <v>#N/A</v>
      </c>
      <c r="GI120" s="8" t="e">
        <f t="shared" si="140"/>
        <v>#N/A</v>
      </c>
      <c r="GJ120" s="8" t="e">
        <f t="shared" si="141"/>
        <v>#N/A</v>
      </c>
      <c r="GK120" s="151" t="e">
        <f t="shared" si="142"/>
        <v>#N/A</v>
      </c>
      <c r="GL120" s="151"/>
      <c r="GM120" s="151"/>
      <c r="GP120" s="54">
        <f t="shared" si="187"/>
        <v>110</v>
      </c>
      <c r="GQ120" s="54">
        <f t="shared" si="188"/>
        <v>111</v>
      </c>
      <c r="GR120" s="54">
        <f t="shared" si="189"/>
        <v>-0.45515049470688718</v>
      </c>
      <c r="GS120" s="54">
        <f t="shared" si="190"/>
        <v>0.35968755771017369</v>
      </c>
      <c r="GT120" s="54" t="e">
        <f t="shared" si="191"/>
        <v>#N/A</v>
      </c>
      <c r="GU120" s="54" t="e">
        <f t="shared" si="192"/>
        <v>#N/A</v>
      </c>
      <c r="GV120" s="54" t="e">
        <f t="shared" si="193"/>
        <v>#N/A</v>
      </c>
      <c r="GW120" s="54" t="b">
        <f t="shared" si="194"/>
        <v>0</v>
      </c>
      <c r="GX120" s="54" t="b">
        <f t="shared" si="195"/>
        <v>1</v>
      </c>
      <c r="GY120" s="54" t="b">
        <f t="shared" si="196"/>
        <v>0</v>
      </c>
      <c r="GZ120" s="54" t="b">
        <f t="shared" si="197"/>
        <v>1</v>
      </c>
      <c r="HA120" s="54">
        <f t="shared" si="198"/>
        <v>0.35968755771017369</v>
      </c>
      <c r="HB120" s="54" t="e">
        <f t="shared" si="199"/>
        <v>#N/A</v>
      </c>
      <c r="HC120" s="54">
        <f t="shared" si="200"/>
        <v>0.35968755771017369</v>
      </c>
      <c r="HD120" s="69" t="str">
        <f t="shared" si="201"/>
        <v/>
      </c>
      <c r="HJ120" s="54">
        <f t="shared" si="202"/>
        <v>110</v>
      </c>
      <c r="HK120" s="54">
        <f t="shared" si="203"/>
        <v>111</v>
      </c>
      <c r="HL120" s="54">
        <f t="shared" si="204"/>
        <v>-0.70481010034207969</v>
      </c>
      <c r="HM120" s="54" t="e">
        <f t="shared" si="205"/>
        <v>#N/A</v>
      </c>
      <c r="HN120" s="54">
        <f t="shared" si="206"/>
        <v>0.29265061827805422</v>
      </c>
      <c r="HO120" s="54" t="e">
        <f t="shared" si="207"/>
        <v>#N/A</v>
      </c>
      <c r="HP120" s="54" t="e">
        <f t="shared" si="208"/>
        <v>#N/A</v>
      </c>
      <c r="HQ120" s="54" t="b">
        <f t="shared" si="209"/>
        <v>1</v>
      </c>
      <c r="HR120" s="54" t="b">
        <f t="shared" si="210"/>
        <v>0</v>
      </c>
      <c r="HS120" s="54" t="b">
        <f t="shared" si="211"/>
        <v>0</v>
      </c>
      <c r="HT120" s="54" t="b">
        <f t="shared" si="212"/>
        <v>1</v>
      </c>
      <c r="HU120" s="54">
        <f t="shared" si="213"/>
        <v>0.29265061827805422</v>
      </c>
      <c r="HV120" s="54">
        <f t="shared" si="214"/>
        <v>0.29265061827805422</v>
      </c>
      <c r="HW120" s="54" t="e">
        <f t="shared" si="215"/>
        <v>#N/A</v>
      </c>
      <c r="HX120" s="69" t="str">
        <f t="shared" si="216"/>
        <v/>
      </c>
    </row>
    <row r="121" spans="78:232" x14ac:dyDescent="0.2">
      <c r="BZ121" s="54">
        <f t="shared" si="143"/>
        <v>111</v>
      </c>
      <c r="CA121" s="54">
        <f>Eu_tabel_g[[#This Row],[Indeks]]+1</f>
        <v>112</v>
      </c>
      <c r="CB121" s="54">
        <f t="shared" si="144"/>
        <v>-0.4311952055117878</v>
      </c>
      <c r="CC121" s="54">
        <f t="shared" si="145"/>
        <v>0.36352646237304004</v>
      </c>
      <c r="CD121" s="54" t="e">
        <f t="shared" si="146"/>
        <v>#N/A</v>
      </c>
      <c r="CE121" s="54" t="e">
        <f t="shared" si="147"/>
        <v>#N/A</v>
      </c>
      <c r="CF121" s="54" t="e">
        <f t="shared" si="148"/>
        <v>#N/A</v>
      </c>
      <c r="CG121" s="54" t="b">
        <f t="shared" si="149"/>
        <v>0</v>
      </c>
      <c r="CH121" s="54" t="b">
        <f t="shared" si="150"/>
        <v>1</v>
      </c>
      <c r="CI121" s="54" t="b">
        <f t="shared" si="151"/>
        <v>0</v>
      </c>
      <c r="CJ121" s="54" t="b">
        <f t="shared" si="152"/>
        <v>1</v>
      </c>
      <c r="CK121" s="54">
        <f t="shared" si="217"/>
        <v>0.36352646237304004</v>
      </c>
      <c r="CL121" s="54" t="e">
        <f t="shared" si="153"/>
        <v>#N/A</v>
      </c>
      <c r="CM121" s="54">
        <f t="shared" si="154"/>
        <v>0.36352646237304004</v>
      </c>
      <c r="CN121" s="69" t="str">
        <f t="shared" si="155"/>
        <v/>
      </c>
      <c r="CO121" s="54">
        <f>_xlfn.NORM.DIST(_xlfn.NORM.INV(1-Eu_g_konfidensniveau,0,1)-Eu_tabel_g[[#This Row],[x base]],0,1,TRUE)</f>
        <v>0.11243909396981623</v>
      </c>
      <c r="CP121" s="54">
        <f>1-_xlfn.NORM.DIST(_xlfn.NORM.INV(Eu_g_konfidensniveau,0,1)-Eu_tabel_g[[#This Row],[x base]],0,1,TRUE)</f>
        <v>1.894471740966297E-2</v>
      </c>
      <c r="CQ121" s="54">
        <f>_xlfn.NORM.DIST(_xlfn.NORM.INV((1-Eu_g_konfidensniveau)/2,0,1)-Eu_tabel_g[[#This Row],[x base]],0,1,TRUE)+1-_xlfn.NORM.DIST(_xlfn.NORM.INV(1-(1-Eu_g_konfidensniveau)/2,0,1)-Eu_tabel_g[[#This Row],[x base]],0,1,TRUE)</f>
        <v>7.1558521831954436E-2</v>
      </c>
      <c r="CR121" s="54" t="e" cm="1">
        <f t="array" ref="CR121">IF($CR$3,INDEX(Eu_tabel_g[[#This Row],[Styrke venstre]:[Styrke tosidet]],CR$7),NA())</f>
        <v>#N/A</v>
      </c>
      <c r="CS121" s="89" t="e">
        <f>Eu_tabel_g[[#This Row],[Falsk positiv
Nulhypotese accepteres
Fejltype 1]]</f>
        <v>#N/A</v>
      </c>
      <c r="CT121" s="89" t="e">
        <f>IF(CHOOSE(CR$7,Eu_tabel_g[[#This Row],[x base]]&gt;0,Eu_tabel_g[[#This Row],[x base]]&lt;0,Eu_tabel_g[[#This Row],[x base]]=0),Eu_tabel_g[[#This Row],[Styrke, aktiv]],NA())</f>
        <v>#N/A</v>
      </c>
      <c r="CU121" s="89" t="e">
        <f>IFERROR(IF($CR$3,Eu_tabel_g[[#This Row],[Styrke, aktiv]],NA()),NA())</f>
        <v>#N/A</v>
      </c>
      <c r="CV121" s="89" t="e">
        <f>IF(ISNA(Eu_tabel_g[[#This Row],[Sand negativ
Nulhypotese afvises
Korrekt]]),NA(),IF($CR$3,1,NA()))</f>
        <v>#N/A</v>
      </c>
      <c r="CW121" s="56" t="str" cm="1">
        <f t="array" ref="CW121">_xlfn.SWITCH(BZ121,_xlfn.IFNA(CU$2,-99),CU$5,_xlfn.IFNA(CU$3,-99),CU$6,_xlfn.IFNA(CU$4,-99),CU$7,"")</f>
        <v/>
      </c>
      <c r="DA121" s="7">
        <f t="shared" si="156"/>
        <v>0.8</v>
      </c>
      <c r="DB121">
        <f>IF(ROW(Styrkeberegning_G[[#This Row],[X base venstre]])=ROW(Styrkeberegning_G[[#Headers],[X base venstre]])+1,DB$7/(DA$7/$B$67),DB120/(DA120/$B$67))</f>
        <v>-2.8015817870135784</v>
      </c>
      <c r="DC121">
        <f>Styrkeberegning_G[[#This Row],[X base venstre]]*-1</f>
        <v>2.8015817870135784</v>
      </c>
      <c r="DN121" s="54">
        <f t="shared" si="157"/>
        <v>111</v>
      </c>
      <c r="DO121" s="54">
        <f t="shared" si="158"/>
        <v>112</v>
      </c>
      <c r="DP121" s="54">
        <f t="shared" si="159"/>
        <v>14.495717726940802</v>
      </c>
      <c r="DQ121" s="54" t="e">
        <f t="shared" si="160"/>
        <v>#N/A</v>
      </c>
      <c r="DR121" s="54" t="e">
        <f t="shared" si="161"/>
        <v>#N/A</v>
      </c>
      <c r="DS121" s="54">
        <f t="shared" si="162"/>
        <v>5.0507038340871085E-2</v>
      </c>
      <c r="DT121" s="54" t="e">
        <f t="shared" si="163"/>
        <v>#N/A</v>
      </c>
      <c r="DU121" s="54" t="b">
        <f t="shared" si="164"/>
        <v>0</v>
      </c>
      <c r="DV121" s="54" t="b">
        <f t="shared" si="165"/>
        <v>1</v>
      </c>
      <c r="DW121" s="54" t="b">
        <f t="shared" si="166"/>
        <v>0</v>
      </c>
      <c r="DX121" s="54" t="b">
        <f t="shared" si="167"/>
        <v>1</v>
      </c>
      <c r="DY121" s="54">
        <f t="shared" si="168"/>
        <v>5.0507038340871085E-2</v>
      </c>
      <c r="DZ121" s="54" t="e">
        <f t="shared" si="169"/>
        <v>#N/A</v>
      </c>
      <c r="EA121" s="54">
        <f t="shared" si="170"/>
        <v>5.0507038340871085E-2</v>
      </c>
      <c r="EB121" s="69" t="str">
        <f t="shared" si="171"/>
        <v/>
      </c>
      <c r="EG121" s="54">
        <f t="shared" si="172"/>
        <v>111</v>
      </c>
      <c r="EH121" s="54">
        <f t="shared" si="173"/>
        <v>112</v>
      </c>
      <c r="EI121" s="54">
        <f t="shared" si="174"/>
        <v>-0.4311952055117878</v>
      </c>
      <c r="EJ121" s="54">
        <f t="shared" si="175"/>
        <v>0.36352646237304004</v>
      </c>
      <c r="EK121" s="54" t="e">
        <f t="shared" si="176"/>
        <v>#N/A</v>
      </c>
      <c r="EL121" s="54" t="e">
        <f t="shared" si="177"/>
        <v>#N/A</v>
      </c>
      <c r="EM121" s="54" t="e">
        <f t="shared" si="178"/>
        <v>#N/A</v>
      </c>
      <c r="EN121" s="54" t="b">
        <f t="shared" si="179"/>
        <v>0</v>
      </c>
      <c r="EO121" s="54" t="b">
        <f t="shared" si="180"/>
        <v>1</v>
      </c>
      <c r="EP121" s="54" t="b">
        <f t="shared" si="181"/>
        <v>0</v>
      </c>
      <c r="EQ121" s="54" t="b">
        <f t="shared" si="182"/>
        <v>1</v>
      </c>
      <c r="ER121" s="54">
        <f t="shared" si="183"/>
        <v>0.36352646237304004</v>
      </c>
      <c r="ES121" s="54" t="e">
        <f t="shared" si="184"/>
        <v>#N/A</v>
      </c>
      <c r="ET121" s="54">
        <f t="shared" si="185"/>
        <v>0.36352646237304004</v>
      </c>
      <c r="EU121" s="69" t="str">
        <f t="shared" si="186"/>
        <v/>
      </c>
      <c r="EV12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2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2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21" s="54" t="e" cm="1">
        <f t="array" ref="EY121">IF($CR$3,INDEX(Eu_tabel_a[[#This Row],[Styrke venstre]:[Styrke tosidet]],EY$7),NA())</f>
        <v>#N/A</v>
      </c>
      <c r="EZ121" s="54" t="e">
        <f>IF(EY$3,IF(CHOOSE(EY$7,Eu_tabel_a[[#This Row],[x base]]&gt;0,Eu_tabel_a[[#This Row],[x base]]&lt;0,Eu_tabel_a[[#This Row],[x base]]=0),1,NA()),NA())</f>
        <v>#N/A</v>
      </c>
      <c r="FA121" s="54" t="e">
        <f>IF(CHOOSE(EY$7,Eu_tabel_a[[#This Row],[x base]]&gt;0,Eu_tabel_a[[#This Row],[x base]]&lt;0,Eu_tabel_a[[#This Row],[x base]]=0),Eu_tabel_a[[#This Row],[Styrke, aktiv]],NA())</f>
        <v>#N/A</v>
      </c>
      <c r="FB121" s="54" t="e">
        <f>IFERROR(IF($EY$3,Eu_tabel_a[[#This Row],[Styrke, aktiv]],NA()),NA())</f>
        <v>#N/A</v>
      </c>
      <c r="FC121" s="54" t="e">
        <f>IF(ISNA(Eu_tabel_a[[#This Row],[Sand negativ
Nulhypotese afvises
Korrekt]]),NA(),IF(EY$3,1,NA()))</f>
        <v>#N/A</v>
      </c>
      <c r="FD121" s="55" t="str" cm="1">
        <f t="array" ref="FD121">IFERROR(_xlfn.SWITCH(Eu_tabel_a[[#This Row],[Indeks]],_xlfn.IFNA(FB$2,-99),FB$5,_xlfn.IFNA(FB$3,-99),FB$6,_xlfn.IFNA(FB$4,-99),FB$7,""),"")</f>
        <v/>
      </c>
      <c r="FE121" s="54">
        <f>Eu_tabel_a[[#This Row],[x base]]*SQRT(Eu_a_h0_x*(1-Eu_a_h0_x)/Eu_a_n_x)+Eu_a_h0_x</f>
        <v>0</v>
      </c>
      <c r="FJ121" s="144" t="e">
        <f t="shared" si="130"/>
        <v>#N/A</v>
      </c>
      <c r="FK121" s="152" t="e">
        <f t="shared" si="218"/>
        <v>#DIV/0!</v>
      </c>
      <c r="FL121" s="7" t="e">
        <f t="shared" si="124"/>
        <v>#DIV/0!</v>
      </c>
      <c r="FM121" t="e">
        <f t="shared" si="219"/>
        <v>#DIV/0!</v>
      </c>
      <c r="FN121" s="8" t="e">
        <f t="shared" si="220"/>
        <v>#DIV/0!</v>
      </c>
      <c r="FO121" s="8" t="e">
        <f t="shared" si="221"/>
        <v>#DIV/0!</v>
      </c>
      <c r="FP121" s="151" t="e">
        <f t="shared" si="222"/>
        <v>#DIV/0!</v>
      </c>
      <c r="FQ121" s="144" t="e">
        <f t="shared" ca="1" si="125"/>
        <v>#N/A</v>
      </c>
      <c r="FR121" s="152" t="e" vm="3">
        <f t="shared" ca="1" si="131"/>
        <v>#VALUE!</v>
      </c>
      <c r="FS121" s="7" t="e" vm="3">
        <f t="shared" ca="1" si="126"/>
        <v>#VALUE!</v>
      </c>
      <c r="FT121" t="e" vm="3">
        <f t="shared" ca="1" si="120"/>
        <v>#VALUE!</v>
      </c>
      <c r="FU121" s="8" t="e" vm="3">
        <f t="shared" ca="1" si="121"/>
        <v>#VALUE!</v>
      </c>
      <c r="FV121" s="8" t="e" vm="3">
        <f t="shared" ca="1" si="122"/>
        <v>#VALUE!</v>
      </c>
      <c r="FW121" s="151" t="e" vm="3">
        <f t="shared" ca="1" si="123"/>
        <v>#VALUE!</v>
      </c>
      <c r="FX121" s="144" t="e">
        <f t="shared" si="127"/>
        <v>#N/A</v>
      </c>
      <c r="FY121" s="152" t="e">
        <f t="shared" si="132"/>
        <v>#N/A</v>
      </c>
      <c r="FZ121" s="7" t="e">
        <f t="shared" si="128"/>
        <v>#N/A</v>
      </c>
      <c r="GA121" t="e">
        <f t="shared" si="133"/>
        <v>#N/A</v>
      </c>
      <c r="GB121" s="8" t="e">
        <f t="shared" si="134"/>
        <v>#N/A</v>
      </c>
      <c r="GC121" s="8" t="e">
        <f t="shared" si="135"/>
        <v>#N/A</v>
      </c>
      <c r="GD121" s="151" t="e">
        <f t="shared" si="136"/>
        <v>#N/A</v>
      </c>
      <c r="GE121" s="144" t="e">
        <f t="shared" si="137"/>
        <v>#N/A</v>
      </c>
      <c r="GF121" s="152" t="e">
        <f t="shared" si="138"/>
        <v>#N/A</v>
      </c>
      <c r="GG121" s="7" t="e">
        <f t="shared" si="129"/>
        <v>#N/A</v>
      </c>
      <c r="GH121" t="e">
        <f t="shared" si="139"/>
        <v>#N/A</v>
      </c>
      <c r="GI121" s="8" t="e">
        <f t="shared" si="140"/>
        <v>#N/A</v>
      </c>
      <c r="GJ121" s="8" t="e">
        <f t="shared" si="141"/>
        <v>#N/A</v>
      </c>
      <c r="GK121" s="151" t="e">
        <f t="shared" si="142"/>
        <v>#N/A</v>
      </c>
      <c r="GL121" s="151"/>
      <c r="GM121" s="151"/>
      <c r="GP121" s="54">
        <f t="shared" si="187"/>
        <v>111</v>
      </c>
      <c r="GQ121" s="54">
        <f t="shared" si="188"/>
        <v>112</v>
      </c>
      <c r="GR121" s="54">
        <f t="shared" si="189"/>
        <v>-0.4311952055117878</v>
      </c>
      <c r="GS121" s="54">
        <f t="shared" si="190"/>
        <v>0.36352646237304004</v>
      </c>
      <c r="GT121" s="54" t="e">
        <f t="shared" si="191"/>
        <v>#N/A</v>
      </c>
      <c r="GU121" s="54" t="e">
        <f t="shared" si="192"/>
        <v>#N/A</v>
      </c>
      <c r="GV121" s="54" t="e">
        <f t="shared" si="193"/>
        <v>#N/A</v>
      </c>
      <c r="GW121" s="54" t="b">
        <f t="shared" si="194"/>
        <v>0</v>
      </c>
      <c r="GX121" s="54" t="b">
        <f t="shared" si="195"/>
        <v>1</v>
      </c>
      <c r="GY121" s="54" t="b">
        <f t="shared" si="196"/>
        <v>0</v>
      </c>
      <c r="GZ121" s="54" t="b">
        <f t="shared" si="197"/>
        <v>1</v>
      </c>
      <c r="HA121" s="54">
        <f t="shared" si="198"/>
        <v>0.36352646237304004</v>
      </c>
      <c r="HB121" s="54" t="e">
        <f t="shared" si="199"/>
        <v>#N/A</v>
      </c>
      <c r="HC121" s="54">
        <f t="shared" si="200"/>
        <v>0.36352646237304004</v>
      </c>
      <c r="HD121" s="69" t="str">
        <f t="shared" si="201"/>
        <v/>
      </c>
      <c r="HJ121" s="54">
        <f t="shared" si="202"/>
        <v>111</v>
      </c>
      <c r="HK121" s="54">
        <f t="shared" si="203"/>
        <v>112</v>
      </c>
      <c r="HL121" s="54">
        <f t="shared" si="204"/>
        <v>-0.66771483190302305</v>
      </c>
      <c r="HM121" s="54" t="e">
        <f t="shared" si="205"/>
        <v>#N/A</v>
      </c>
      <c r="HN121" s="54">
        <f t="shared" si="206"/>
        <v>0.30073759656733073</v>
      </c>
      <c r="HO121" s="54" t="e">
        <f t="shared" si="207"/>
        <v>#N/A</v>
      </c>
      <c r="HP121" s="54" t="e">
        <f t="shared" si="208"/>
        <v>#N/A</v>
      </c>
      <c r="HQ121" s="54" t="b">
        <f t="shared" si="209"/>
        <v>1</v>
      </c>
      <c r="HR121" s="54" t="b">
        <f t="shared" si="210"/>
        <v>0</v>
      </c>
      <c r="HS121" s="54" t="b">
        <f t="shared" si="211"/>
        <v>0</v>
      </c>
      <c r="HT121" s="54" t="b">
        <f t="shared" si="212"/>
        <v>1</v>
      </c>
      <c r="HU121" s="54">
        <f t="shared" si="213"/>
        <v>0.30073759656733073</v>
      </c>
      <c r="HV121" s="54">
        <f t="shared" si="214"/>
        <v>0.30073759656733073</v>
      </c>
      <c r="HW121" s="54" t="e">
        <f t="shared" si="215"/>
        <v>#N/A</v>
      </c>
      <c r="HX121" s="69" t="str">
        <f t="shared" si="216"/>
        <v/>
      </c>
    </row>
    <row r="122" spans="78:232" x14ac:dyDescent="0.2">
      <c r="BZ122" s="54">
        <f t="shared" si="143"/>
        <v>112</v>
      </c>
      <c r="CA122" s="54">
        <f>Eu_tabel_g[[#This Row],[Indeks]]+1</f>
        <v>113</v>
      </c>
      <c r="CB122" s="54">
        <f t="shared" si="144"/>
        <v>-0.40723991631668843</v>
      </c>
      <c r="CC122" s="54">
        <f t="shared" si="145"/>
        <v>0.36719556142717458</v>
      </c>
      <c r="CD122" s="54" t="e">
        <f t="shared" si="146"/>
        <v>#N/A</v>
      </c>
      <c r="CE122" s="54" t="e">
        <f t="shared" si="147"/>
        <v>#N/A</v>
      </c>
      <c r="CF122" s="54" t="e">
        <f t="shared" si="148"/>
        <v>#N/A</v>
      </c>
      <c r="CG122" s="54" t="b">
        <f t="shared" si="149"/>
        <v>0</v>
      </c>
      <c r="CH122" s="54" t="b">
        <f t="shared" si="150"/>
        <v>1</v>
      </c>
      <c r="CI122" s="54" t="b">
        <f t="shared" si="151"/>
        <v>0</v>
      </c>
      <c r="CJ122" s="54" t="b">
        <f t="shared" si="152"/>
        <v>1</v>
      </c>
      <c r="CK122" s="54">
        <f t="shared" si="217"/>
        <v>0.36719556142717458</v>
      </c>
      <c r="CL122" s="54" t="e">
        <f t="shared" si="153"/>
        <v>#N/A</v>
      </c>
      <c r="CM122" s="54">
        <f t="shared" si="154"/>
        <v>0.36719556142717458</v>
      </c>
      <c r="CN122" s="69" t="str">
        <f t="shared" si="155"/>
        <v/>
      </c>
      <c r="CO122" s="54">
        <f>_xlfn.NORM.DIST(_xlfn.NORM.INV(1-Eu_g_konfidensniveau,0,1)-Eu_tabel_g[[#This Row],[x base]],0,1,TRUE)</f>
        <v>0.10792966408969765</v>
      </c>
      <c r="CP122" s="54">
        <f>1-_xlfn.NORM.DIST(_xlfn.NORM.INV(Eu_g_konfidensniveau,0,1)-Eu_tabel_g[[#This Row],[x base]],0,1,TRUE)</f>
        <v>2.0080286162773131E-2</v>
      </c>
      <c r="CQ122" s="54">
        <f>_xlfn.NORM.DIST(_xlfn.NORM.INV((1-Eu_g_konfidensniveau)/2,0,1)-Eu_tabel_g[[#This Row],[x base]],0,1,TRUE)+1-_xlfn.NORM.DIST(_xlfn.NORM.INV(1-(1-Eu_g_konfidensniveau)/2,0,1)-Eu_tabel_g[[#This Row],[x base]],0,1,TRUE)</f>
        <v>6.9206062561586679E-2</v>
      </c>
      <c r="CR122" s="54" t="e" cm="1">
        <f t="array" ref="CR122">IF($CR$3,INDEX(Eu_tabel_g[[#This Row],[Styrke venstre]:[Styrke tosidet]],CR$7),NA())</f>
        <v>#N/A</v>
      </c>
      <c r="CS122" s="89" t="e">
        <f>Eu_tabel_g[[#This Row],[Falsk positiv
Nulhypotese accepteres
Fejltype 1]]</f>
        <v>#N/A</v>
      </c>
      <c r="CT122" s="89" t="e">
        <f>IF(CHOOSE(CR$7,Eu_tabel_g[[#This Row],[x base]]&gt;0,Eu_tabel_g[[#This Row],[x base]]&lt;0,Eu_tabel_g[[#This Row],[x base]]=0),Eu_tabel_g[[#This Row],[Styrke, aktiv]],NA())</f>
        <v>#N/A</v>
      </c>
      <c r="CU122" s="89" t="e">
        <f>IFERROR(IF($CR$3,Eu_tabel_g[[#This Row],[Styrke, aktiv]],NA()),NA())</f>
        <v>#N/A</v>
      </c>
      <c r="CV122" s="89" t="e">
        <f>IF(ISNA(Eu_tabel_g[[#This Row],[Sand negativ
Nulhypotese afvises
Korrekt]]),NA(),IF($CR$3,1,NA()))</f>
        <v>#N/A</v>
      </c>
      <c r="CW122" s="56" t="str" cm="1">
        <f t="array" ref="CW122">_xlfn.SWITCH(BZ122,_xlfn.IFNA(CU$2,-99),CU$5,_xlfn.IFNA(CU$3,-99),CU$6,_xlfn.IFNA(CU$4,-99),CU$7,"")</f>
        <v/>
      </c>
      <c r="DA122" s="7">
        <f t="shared" si="156"/>
        <v>0.8</v>
      </c>
      <c r="DB122">
        <f>IF(ROW(Styrkeberegning_G[[#This Row],[X base venstre]])=ROW(Styrkeberegning_G[[#Headers],[X base venstre]])+1,DB$7/(DA$7/$B$67),DB121/(DA121/$B$67))</f>
        <v>-2.8015817870135784</v>
      </c>
      <c r="DC122">
        <f>Styrkeberegning_G[[#This Row],[X base venstre]]*-1</f>
        <v>2.8015817870135784</v>
      </c>
      <c r="DN122" s="54">
        <f t="shared" si="157"/>
        <v>112</v>
      </c>
      <c r="DO122" s="54">
        <f t="shared" si="158"/>
        <v>113</v>
      </c>
      <c r="DP122" s="54">
        <f t="shared" si="159"/>
        <v>14.609788583357803</v>
      </c>
      <c r="DQ122" s="54" t="e">
        <f t="shared" si="160"/>
        <v>#N/A</v>
      </c>
      <c r="DR122" s="54" t="e">
        <f t="shared" si="161"/>
        <v>#N/A</v>
      </c>
      <c r="DS122" s="54">
        <f t="shared" si="162"/>
        <v>4.9419763943099951E-2</v>
      </c>
      <c r="DT122" s="54" t="e">
        <f t="shared" si="163"/>
        <v>#N/A</v>
      </c>
      <c r="DU122" s="54" t="b">
        <f t="shared" si="164"/>
        <v>0</v>
      </c>
      <c r="DV122" s="54" t="b">
        <f t="shared" si="165"/>
        <v>1</v>
      </c>
      <c r="DW122" s="54" t="b">
        <f t="shared" si="166"/>
        <v>0</v>
      </c>
      <c r="DX122" s="54" t="b">
        <f t="shared" si="167"/>
        <v>1</v>
      </c>
      <c r="DY122" s="54">
        <f t="shared" si="168"/>
        <v>4.9419763943099951E-2</v>
      </c>
      <c r="DZ122" s="54" t="e">
        <f t="shared" si="169"/>
        <v>#N/A</v>
      </c>
      <c r="EA122" s="54">
        <f t="shared" si="170"/>
        <v>4.9419763943099951E-2</v>
      </c>
      <c r="EB122" s="69" t="str">
        <f t="shared" si="171"/>
        <v/>
      </c>
      <c r="EG122" s="54">
        <f t="shared" si="172"/>
        <v>112</v>
      </c>
      <c r="EH122" s="54">
        <f t="shared" si="173"/>
        <v>113</v>
      </c>
      <c r="EI122" s="54">
        <f t="shared" si="174"/>
        <v>-0.40723991631668843</v>
      </c>
      <c r="EJ122" s="54">
        <f t="shared" si="175"/>
        <v>0.36719556142717458</v>
      </c>
      <c r="EK122" s="54" t="e">
        <f t="shared" si="176"/>
        <v>#N/A</v>
      </c>
      <c r="EL122" s="54" t="e">
        <f t="shared" si="177"/>
        <v>#N/A</v>
      </c>
      <c r="EM122" s="54" t="e">
        <f t="shared" si="178"/>
        <v>#N/A</v>
      </c>
      <c r="EN122" s="54" t="b">
        <f t="shared" si="179"/>
        <v>0</v>
      </c>
      <c r="EO122" s="54" t="b">
        <f t="shared" si="180"/>
        <v>1</v>
      </c>
      <c r="EP122" s="54" t="b">
        <f t="shared" si="181"/>
        <v>0</v>
      </c>
      <c r="EQ122" s="54" t="b">
        <f t="shared" si="182"/>
        <v>1</v>
      </c>
      <c r="ER122" s="54">
        <f t="shared" si="183"/>
        <v>0.36719556142717458</v>
      </c>
      <c r="ES122" s="54" t="e">
        <f t="shared" si="184"/>
        <v>#N/A</v>
      </c>
      <c r="ET122" s="54">
        <f t="shared" si="185"/>
        <v>0.36719556142717458</v>
      </c>
      <c r="EU122" s="69" t="str">
        <f t="shared" si="186"/>
        <v/>
      </c>
      <c r="EV12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2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2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22" s="54" t="e" cm="1">
        <f t="array" ref="EY122">IF($CR$3,INDEX(Eu_tabel_a[[#This Row],[Styrke venstre]:[Styrke tosidet]],EY$7),NA())</f>
        <v>#N/A</v>
      </c>
      <c r="EZ122" s="54" t="e">
        <f>IF(EY$3,IF(CHOOSE(EY$7,Eu_tabel_a[[#This Row],[x base]]&gt;0,Eu_tabel_a[[#This Row],[x base]]&lt;0,Eu_tabel_a[[#This Row],[x base]]=0),1,NA()),NA())</f>
        <v>#N/A</v>
      </c>
      <c r="FA122" s="54" t="e">
        <f>IF(CHOOSE(EY$7,Eu_tabel_a[[#This Row],[x base]]&gt;0,Eu_tabel_a[[#This Row],[x base]]&lt;0,Eu_tabel_a[[#This Row],[x base]]=0),Eu_tabel_a[[#This Row],[Styrke, aktiv]],NA())</f>
        <v>#N/A</v>
      </c>
      <c r="FB122" s="54" t="e">
        <f>IFERROR(IF($EY$3,Eu_tabel_a[[#This Row],[Styrke, aktiv]],NA()),NA())</f>
        <v>#N/A</v>
      </c>
      <c r="FC122" s="54" t="e">
        <f>IF(ISNA(Eu_tabel_a[[#This Row],[Sand negativ
Nulhypotese afvises
Korrekt]]),NA(),IF(EY$3,1,NA()))</f>
        <v>#N/A</v>
      </c>
      <c r="FD122" s="55" t="str" cm="1">
        <f t="array" ref="FD122">IFERROR(_xlfn.SWITCH(Eu_tabel_a[[#This Row],[Indeks]],_xlfn.IFNA(FB$2,-99),FB$5,_xlfn.IFNA(FB$3,-99),FB$6,_xlfn.IFNA(FB$4,-99),FB$7,""),"")</f>
        <v/>
      </c>
      <c r="FE122" s="54">
        <f>Eu_tabel_a[[#This Row],[x base]]*SQRT(Eu_a_h0_x*(1-Eu_a_h0_x)/Eu_a_n_x)+Eu_a_h0_x</f>
        <v>0</v>
      </c>
      <c r="FJ122" s="144" t="e">
        <f t="shared" si="130"/>
        <v>#N/A</v>
      </c>
      <c r="FK122" s="152" t="e">
        <f t="shared" si="218"/>
        <v>#DIV/0!</v>
      </c>
      <c r="FL122" s="7" t="e">
        <f t="shared" si="124"/>
        <v>#DIV/0!</v>
      </c>
      <c r="FM122" t="e">
        <f t="shared" si="219"/>
        <v>#DIV/0!</v>
      </c>
      <c r="FN122" s="8" t="e">
        <f t="shared" si="220"/>
        <v>#DIV/0!</v>
      </c>
      <c r="FO122" s="8" t="e">
        <f t="shared" si="221"/>
        <v>#DIV/0!</v>
      </c>
      <c r="FP122" s="151" t="e">
        <f t="shared" si="222"/>
        <v>#DIV/0!</v>
      </c>
      <c r="FQ122" s="144" t="e">
        <f t="shared" ca="1" si="125"/>
        <v>#N/A</v>
      </c>
      <c r="FR122" s="152" t="e" vm="3">
        <f t="shared" ca="1" si="131"/>
        <v>#VALUE!</v>
      </c>
      <c r="FS122" s="7" t="e" vm="3">
        <f t="shared" ca="1" si="126"/>
        <v>#VALUE!</v>
      </c>
      <c r="FT122" t="e" vm="3">
        <f t="shared" ca="1" si="120"/>
        <v>#VALUE!</v>
      </c>
      <c r="FU122" s="8" t="e" vm="3">
        <f t="shared" ca="1" si="121"/>
        <v>#VALUE!</v>
      </c>
      <c r="FV122" s="8" t="e" vm="3">
        <f t="shared" ca="1" si="122"/>
        <v>#VALUE!</v>
      </c>
      <c r="FW122" s="151" t="e" vm="3">
        <f t="shared" ca="1" si="123"/>
        <v>#VALUE!</v>
      </c>
      <c r="FX122" s="144" t="e">
        <f t="shared" si="127"/>
        <v>#N/A</v>
      </c>
      <c r="FY122" s="152" t="e">
        <f t="shared" si="132"/>
        <v>#N/A</v>
      </c>
      <c r="FZ122" s="7" t="e">
        <f t="shared" si="128"/>
        <v>#N/A</v>
      </c>
      <c r="GA122" t="e">
        <f t="shared" si="133"/>
        <v>#N/A</v>
      </c>
      <c r="GB122" s="8" t="e">
        <f t="shared" si="134"/>
        <v>#N/A</v>
      </c>
      <c r="GC122" s="8" t="e">
        <f t="shared" si="135"/>
        <v>#N/A</v>
      </c>
      <c r="GD122" s="151" t="e">
        <f t="shared" si="136"/>
        <v>#N/A</v>
      </c>
      <c r="GE122" s="144" t="e">
        <f t="shared" si="137"/>
        <v>#N/A</v>
      </c>
      <c r="GF122" s="152" t="e">
        <f t="shared" si="138"/>
        <v>#N/A</v>
      </c>
      <c r="GG122" s="7" t="e">
        <f t="shared" si="129"/>
        <v>#N/A</v>
      </c>
      <c r="GH122" t="e">
        <f t="shared" si="139"/>
        <v>#N/A</v>
      </c>
      <c r="GI122" s="8" t="e">
        <f t="shared" si="140"/>
        <v>#N/A</v>
      </c>
      <c r="GJ122" s="8" t="e">
        <f t="shared" si="141"/>
        <v>#N/A</v>
      </c>
      <c r="GK122" s="151" t="e">
        <f t="shared" si="142"/>
        <v>#N/A</v>
      </c>
      <c r="GL122" s="151"/>
      <c r="GM122" s="151"/>
      <c r="GP122" s="54">
        <f t="shared" si="187"/>
        <v>112</v>
      </c>
      <c r="GQ122" s="54">
        <f t="shared" si="188"/>
        <v>113</v>
      </c>
      <c r="GR122" s="54">
        <f t="shared" si="189"/>
        <v>-0.40723991631668843</v>
      </c>
      <c r="GS122" s="54">
        <f t="shared" si="190"/>
        <v>0.36719556142717458</v>
      </c>
      <c r="GT122" s="54" t="e">
        <f t="shared" si="191"/>
        <v>#N/A</v>
      </c>
      <c r="GU122" s="54" t="e">
        <f t="shared" si="192"/>
        <v>#N/A</v>
      </c>
      <c r="GV122" s="54" t="e">
        <f t="shared" si="193"/>
        <v>#N/A</v>
      </c>
      <c r="GW122" s="54" t="b">
        <f t="shared" si="194"/>
        <v>0</v>
      </c>
      <c r="GX122" s="54" t="b">
        <f t="shared" si="195"/>
        <v>1</v>
      </c>
      <c r="GY122" s="54" t="b">
        <f t="shared" si="196"/>
        <v>0</v>
      </c>
      <c r="GZ122" s="54" t="b">
        <f t="shared" si="197"/>
        <v>1</v>
      </c>
      <c r="HA122" s="54">
        <f t="shared" si="198"/>
        <v>0.36719556142717458</v>
      </c>
      <c r="HB122" s="54" t="e">
        <f t="shared" si="199"/>
        <v>#N/A</v>
      </c>
      <c r="HC122" s="54">
        <f t="shared" si="200"/>
        <v>0.36719556142717458</v>
      </c>
      <c r="HD122" s="69" t="str">
        <f t="shared" si="201"/>
        <v/>
      </c>
      <c r="HJ122" s="54">
        <f t="shared" si="202"/>
        <v>112</v>
      </c>
      <c r="HK122" s="54">
        <f t="shared" si="203"/>
        <v>113</v>
      </c>
      <c r="HL122" s="54">
        <f t="shared" si="204"/>
        <v>-0.63061956346396641</v>
      </c>
      <c r="HM122" s="54" t="e">
        <f t="shared" si="205"/>
        <v>#N/A</v>
      </c>
      <c r="HN122" s="54">
        <f t="shared" si="206"/>
        <v>0.30864613159943455</v>
      </c>
      <c r="HO122" s="54" t="e">
        <f t="shared" si="207"/>
        <v>#N/A</v>
      </c>
      <c r="HP122" s="54" t="e">
        <f t="shared" si="208"/>
        <v>#N/A</v>
      </c>
      <c r="HQ122" s="54" t="b">
        <f t="shared" si="209"/>
        <v>1</v>
      </c>
      <c r="HR122" s="54" t="b">
        <f t="shared" si="210"/>
        <v>0</v>
      </c>
      <c r="HS122" s="54" t="b">
        <f t="shared" si="211"/>
        <v>0</v>
      </c>
      <c r="HT122" s="54" t="b">
        <f t="shared" si="212"/>
        <v>1</v>
      </c>
      <c r="HU122" s="54">
        <f t="shared" si="213"/>
        <v>0.30864613159943455</v>
      </c>
      <c r="HV122" s="54">
        <f t="shared" si="214"/>
        <v>0.30864613159943455</v>
      </c>
      <c r="HW122" s="54" t="e">
        <f t="shared" si="215"/>
        <v>#N/A</v>
      </c>
      <c r="HX122" s="69" t="str">
        <f t="shared" si="216"/>
        <v/>
      </c>
    </row>
    <row r="123" spans="78:232" x14ac:dyDescent="0.2">
      <c r="BZ123" s="54">
        <f t="shared" si="143"/>
        <v>113</v>
      </c>
      <c r="CA123" s="54">
        <f>Eu_tabel_g[[#This Row],[Indeks]]+1</f>
        <v>114</v>
      </c>
      <c r="CB123" s="54">
        <f t="shared" si="144"/>
        <v>-0.38328462712158906</v>
      </c>
      <c r="CC123" s="54">
        <f t="shared" si="145"/>
        <v>0.37068890990689796</v>
      </c>
      <c r="CD123" s="54" t="e">
        <f t="shared" si="146"/>
        <v>#N/A</v>
      </c>
      <c r="CE123" s="54" t="e">
        <f t="shared" si="147"/>
        <v>#N/A</v>
      </c>
      <c r="CF123" s="54" t="e">
        <f t="shared" si="148"/>
        <v>#N/A</v>
      </c>
      <c r="CG123" s="54" t="b">
        <f t="shared" si="149"/>
        <v>0</v>
      </c>
      <c r="CH123" s="54" t="b">
        <f t="shared" si="150"/>
        <v>1</v>
      </c>
      <c r="CI123" s="54" t="b">
        <f t="shared" si="151"/>
        <v>0</v>
      </c>
      <c r="CJ123" s="54" t="b">
        <f t="shared" si="152"/>
        <v>1</v>
      </c>
      <c r="CK123" s="54">
        <f t="shared" si="217"/>
        <v>0.37068890990689796</v>
      </c>
      <c r="CL123" s="54" t="e">
        <f t="shared" si="153"/>
        <v>#N/A</v>
      </c>
      <c r="CM123" s="54">
        <f t="shared" si="154"/>
        <v>0.37068890990689796</v>
      </c>
      <c r="CN123" s="69" t="str">
        <f t="shared" si="155"/>
        <v/>
      </c>
      <c r="CO123" s="54">
        <f>_xlfn.NORM.DIST(_xlfn.NORM.INV(1-Eu_g_konfidensniveau,0,1)-Eu_tabel_g[[#This Row],[x base]],0,1,TRUE)</f>
        <v>0.10355195846784909</v>
      </c>
      <c r="CP123" s="54">
        <f>1-_xlfn.NORM.DIST(_xlfn.NORM.INV(Eu_g_konfidensniveau,0,1)-Eu_tabel_g[[#This Row],[x base]],0,1,TRUE)</f>
        <v>2.1273069807946188E-2</v>
      </c>
      <c r="CQ123" s="54">
        <f>_xlfn.NORM.DIST(_xlfn.NORM.INV((1-Eu_g_konfidensniveau)/2,0,1)-Eu_tabel_g[[#This Row],[x base]],0,1,TRUE)+1-_xlfn.NORM.DIST(_xlfn.NORM.INV(1-(1-Eu_g_konfidensniveau)/2,0,1)-Eu_tabel_g[[#This Row],[x base]],0,1,TRUE)</f>
        <v>6.6992981287097075E-2</v>
      </c>
      <c r="CR123" s="54" t="e" cm="1">
        <f t="array" ref="CR123">IF($CR$3,INDEX(Eu_tabel_g[[#This Row],[Styrke venstre]:[Styrke tosidet]],CR$7),NA())</f>
        <v>#N/A</v>
      </c>
      <c r="CS123" s="89" t="e">
        <f>Eu_tabel_g[[#This Row],[Falsk positiv
Nulhypotese accepteres
Fejltype 1]]</f>
        <v>#N/A</v>
      </c>
      <c r="CT123" s="89" t="e">
        <f>IF(CHOOSE(CR$7,Eu_tabel_g[[#This Row],[x base]]&gt;0,Eu_tabel_g[[#This Row],[x base]]&lt;0,Eu_tabel_g[[#This Row],[x base]]=0),Eu_tabel_g[[#This Row],[Styrke, aktiv]],NA())</f>
        <v>#N/A</v>
      </c>
      <c r="CU123" s="89" t="e">
        <f>IFERROR(IF($CR$3,Eu_tabel_g[[#This Row],[Styrke, aktiv]],NA()),NA())</f>
        <v>#N/A</v>
      </c>
      <c r="CV123" s="89" t="e">
        <f>IF(ISNA(Eu_tabel_g[[#This Row],[Sand negativ
Nulhypotese afvises
Korrekt]]),NA(),IF($CR$3,1,NA()))</f>
        <v>#N/A</v>
      </c>
      <c r="CW123" s="56" t="str" cm="1">
        <f t="array" ref="CW123">_xlfn.SWITCH(BZ123,_xlfn.IFNA(CU$2,-99),CU$5,_xlfn.IFNA(CU$3,-99),CU$6,_xlfn.IFNA(CU$4,-99),CU$7,"")</f>
        <v/>
      </c>
      <c r="DA123" s="7">
        <f t="shared" si="156"/>
        <v>0.8</v>
      </c>
      <c r="DB123">
        <f>IF(ROW(Styrkeberegning_G[[#This Row],[X base venstre]])=ROW(Styrkeberegning_G[[#Headers],[X base venstre]])+1,DB$7/(DA$7/$B$67),DB122/(DA122/$B$67))</f>
        <v>-2.8015817870135784</v>
      </c>
      <c r="DC123">
        <f>Styrkeberegning_G[[#This Row],[X base venstre]]*-1</f>
        <v>2.8015817870135784</v>
      </c>
      <c r="DN123" s="54">
        <f t="shared" si="157"/>
        <v>113</v>
      </c>
      <c r="DO123" s="54">
        <f t="shared" si="158"/>
        <v>114</v>
      </c>
      <c r="DP123" s="54">
        <f t="shared" si="159"/>
        <v>14.723859439774804</v>
      </c>
      <c r="DQ123" s="54" t="e">
        <f t="shared" si="160"/>
        <v>#N/A</v>
      </c>
      <c r="DR123" s="54" t="e">
        <f t="shared" si="161"/>
        <v>#N/A</v>
      </c>
      <c r="DS123" s="54">
        <f t="shared" si="162"/>
        <v>4.8342631422654346E-2</v>
      </c>
      <c r="DT123" s="54" t="e">
        <f t="shared" si="163"/>
        <v>#N/A</v>
      </c>
      <c r="DU123" s="54" t="b">
        <f t="shared" si="164"/>
        <v>0</v>
      </c>
      <c r="DV123" s="54" t="b">
        <f t="shared" si="165"/>
        <v>1</v>
      </c>
      <c r="DW123" s="54" t="b">
        <f t="shared" si="166"/>
        <v>0</v>
      </c>
      <c r="DX123" s="54" t="b">
        <f t="shared" si="167"/>
        <v>1</v>
      </c>
      <c r="DY123" s="54">
        <f t="shared" si="168"/>
        <v>4.8342631422654346E-2</v>
      </c>
      <c r="DZ123" s="54" t="e">
        <f t="shared" si="169"/>
        <v>#N/A</v>
      </c>
      <c r="EA123" s="54">
        <f t="shared" si="170"/>
        <v>4.8342631422654346E-2</v>
      </c>
      <c r="EB123" s="69" t="str">
        <f t="shared" si="171"/>
        <v/>
      </c>
      <c r="EG123" s="54">
        <f t="shared" si="172"/>
        <v>113</v>
      </c>
      <c r="EH123" s="54">
        <f t="shared" si="173"/>
        <v>114</v>
      </c>
      <c r="EI123" s="54">
        <f t="shared" si="174"/>
        <v>-0.38328462712158906</v>
      </c>
      <c r="EJ123" s="54">
        <f t="shared" si="175"/>
        <v>0.37068890990689796</v>
      </c>
      <c r="EK123" s="54" t="e">
        <f t="shared" si="176"/>
        <v>#N/A</v>
      </c>
      <c r="EL123" s="54" t="e">
        <f t="shared" si="177"/>
        <v>#N/A</v>
      </c>
      <c r="EM123" s="54" t="e">
        <f t="shared" si="178"/>
        <v>#N/A</v>
      </c>
      <c r="EN123" s="54" t="b">
        <f t="shared" si="179"/>
        <v>0</v>
      </c>
      <c r="EO123" s="54" t="b">
        <f t="shared" si="180"/>
        <v>1</v>
      </c>
      <c r="EP123" s="54" t="b">
        <f t="shared" si="181"/>
        <v>0</v>
      </c>
      <c r="EQ123" s="54" t="b">
        <f t="shared" si="182"/>
        <v>1</v>
      </c>
      <c r="ER123" s="54">
        <f t="shared" si="183"/>
        <v>0.37068890990689796</v>
      </c>
      <c r="ES123" s="54" t="e">
        <f t="shared" si="184"/>
        <v>#N/A</v>
      </c>
      <c r="ET123" s="54">
        <f t="shared" si="185"/>
        <v>0.37068890990689796</v>
      </c>
      <c r="EU123" s="69" t="str">
        <f t="shared" si="186"/>
        <v/>
      </c>
      <c r="EV12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2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2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23" s="54" t="e" cm="1">
        <f t="array" ref="EY123">IF($CR$3,INDEX(Eu_tabel_a[[#This Row],[Styrke venstre]:[Styrke tosidet]],EY$7),NA())</f>
        <v>#N/A</v>
      </c>
      <c r="EZ123" s="54" t="e">
        <f>IF(EY$3,IF(CHOOSE(EY$7,Eu_tabel_a[[#This Row],[x base]]&gt;0,Eu_tabel_a[[#This Row],[x base]]&lt;0,Eu_tabel_a[[#This Row],[x base]]=0),1,NA()),NA())</f>
        <v>#N/A</v>
      </c>
      <c r="FA123" s="54" t="e">
        <f>IF(CHOOSE(EY$7,Eu_tabel_a[[#This Row],[x base]]&gt;0,Eu_tabel_a[[#This Row],[x base]]&lt;0,Eu_tabel_a[[#This Row],[x base]]=0),Eu_tabel_a[[#This Row],[Styrke, aktiv]],NA())</f>
        <v>#N/A</v>
      </c>
      <c r="FB123" s="54" t="e">
        <f>IFERROR(IF($EY$3,Eu_tabel_a[[#This Row],[Styrke, aktiv]],NA()),NA())</f>
        <v>#N/A</v>
      </c>
      <c r="FC123" s="54" t="e">
        <f>IF(ISNA(Eu_tabel_a[[#This Row],[Sand negativ
Nulhypotese afvises
Korrekt]]),NA(),IF(EY$3,1,NA()))</f>
        <v>#N/A</v>
      </c>
      <c r="FD123" s="55" t="str" cm="1">
        <f t="array" ref="FD123">IFERROR(_xlfn.SWITCH(Eu_tabel_a[[#This Row],[Indeks]],_xlfn.IFNA(FB$2,-99),FB$5,_xlfn.IFNA(FB$3,-99),FB$6,_xlfn.IFNA(FB$4,-99),FB$7,""),"")</f>
        <v/>
      </c>
      <c r="FE123" s="54">
        <f>Eu_tabel_a[[#This Row],[x base]]*SQRT(Eu_a_h0_x*(1-Eu_a_h0_x)/Eu_a_n_x)+Eu_a_h0_x</f>
        <v>0</v>
      </c>
      <c r="FJ123" s="144" t="e">
        <f t="shared" si="130"/>
        <v>#N/A</v>
      </c>
      <c r="FK123" s="152" t="e">
        <f t="shared" si="218"/>
        <v>#DIV/0!</v>
      </c>
      <c r="FL123" s="7" t="e">
        <f t="shared" si="124"/>
        <v>#DIV/0!</v>
      </c>
      <c r="FM123" t="e">
        <f t="shared" si="219"/>
        <v>#DIV/0!</v>
      </c>
      <c r="FN123" s="8" t="e">
        <f t="shared" si="220"/>
        <v>#DIV/0!</v>
      </c>
      <c r="FO123" s="8" t="e">
        <f t="shared" si="221"/>
        <v>#DIV/0!</v>
      </c>
      <c r="FP123" s="151" t="e">
        <f t="shared" si="222"/>
        <v>#DIV/0!</v>
      </c>
      <c r="FQ123" s="144" t="e">
        <f t="shared" ca="1" si="125"/>
        <v>#N/A</v>
      </c>
      <c r="FR123" s="152" t="e" vm="3">
        <f t="shared" ca="1" si="131"/>
        <v>#VALUE!</v>
      </c>
      <c r="FS123" s="7" t="e" vm="3">
        <f t="shared" ca="1" si="126"/>
        <v>#VALUE!</v>
      </c>
      <c r="FT123" t="e" vm="3">
        <f t="shared" ca="1" si="120"/>
        <v>#VALUE!</v>
      </c>
      <c r="FU123" s="8" t="e" vm="3">
        <f t="shared" ca="1" si="121"/>
        <v>#VALUE!</v>
      </c>
      <c r="FV123" s="8" t="e" vm="3">
        <f t="shared" ca="1" si="122"/>
        <v>#VALUE!</v>
      </c>
      <c r="FW123" s="151" t="e" vm="3">
        <f t="shared" ca="1" si="123"/>
        <v>#VALUE!</v>
      </c>
      <c r="FX123" s="144" t="e">
        <f t="shared" si="127"/>
        <v>#N/A</v>
      </c>
      <c r="FY123" s="152" t="e">
        <f t="shared" si="132"/>
        <v>#N/A</v>
      </c>
      <c r="FZ123" s="7" t="e">
        <f t="shared" si="128"/>
        <v>#N/A</v>
      </c>
      <c r="GA123" t="e">
        <f t="shared" si="133"/>
        <v>#N/A</v>
      </c>
      <c r="GB123" s="8" t="e">
        <f t="shared" si="134"/>
        <v>#N/A</v>
      </c>
      <c r="GC123" s="8" t="e">
        <f t="shared" si="135"/>
        <v>#N/A</v>
      </c>
      <c r="GD123" s="151" t="e">
        <f t="shared" si="136"/>
        <v>#N/A</v>
      </c>
      <c r="GE123" s="144" t="e">
        <f t="shared" si="137"/>
        <v>#N/A</v>
      </c>
      <c r="GF123" s="152" t="e">
        <f t="shared" si="138"/>
        <v>#N/A</v>
      </c>
      <c r="GG123" s="7" t="e">
        <f t="shared" si="129"/>
        <v>#N/A</v>
      </c>
      <c r="GH123" t="e">
        <f t="shared" si="139"/>
        <v>#N/A</v>
      </c>
      <c r="GI123" s="8" t="e">
        <f t="shared" si="140"/>
        <v>#N/A</v>
      </c>
      <c r="GJ123" s="8" t="e">
        <f t="shared" si="141"/>
        <v>#N/A</v>
      </c>
      <c r="GK123" s="151" t="e">
        <f t="shared" si="142"/>
        <v>#N/A</v>
      </c>
      <c r="GL123" s="151"/>
      <c r="GM123" s="151"/>
      <c r="GP123" s="54">
        <f t="shared" si="187"/>
        <v>113</v>
      </c>
      <c r="GQ123" s="54">
        <f t="shared" si="188"/>
        <v>114</v>
      </c>
      <c r="GR123" s="54">
        <f t="shared" si="189"/>
        <v>-0.38328462712158906</v>
      </c>
      <c r="GS123" s="54">
        <f t="shared" si="190"/>
        <v>0.37068890990689796</v>
      </c>
      <c r="GT123" s="54" t="e">
        <f t="shared" si="191"/>
        <v>#N/A</v>
      </c>
      <c r="GU123" s="54" t="e">
        <f t="shared" si="192"/>
        <v>#N/A</v>
      </c>
      <c r="GV123" s="54" t="e">
        <f t="shared" si="193"/>
        <v>#N/A</v>
      </c>
      <c r="GW123" s="54" t="b">
        <f t="shared" si="194"/>
        <v>0</v>
      </c>
      <c r="GX123" s="54" t="b">
        <f t="shared" si="195"/>
        <v>1</v>
      </c>
      <c r="GY123" s="54" t="b">
        <f t="shared" si="196"/>
        <v>0</v>
      </c>
      <c r="GZ123" s="54" t="b">
        <f t="shared" si="197"/>
        <v>1</v>
      </c>
      <c r="HA123" s="54">
        <f t="shared" si="198"/>
        <v>0.37068890990689796</v>
      </c>
      <c r="HB123" s="54" t="e">
        <f t="shared" si="199"/>
        <v>#N/A</v>
      </c>
      <c r="HC123" s="54">
        <f t="shared" si="200"/>
        <v>0.37068890990689796</v>
      </c>
      <c r="HD123" s="69" t="str">
        <f t="shared" si="201"/>
        <v/>
      </c>
      <c r="HJ123" s="54">
        <f t="shared" si="202"/>
        <v>113</v>
      </c>
      <c r="HK123" s="54">
        <f t="shared" si="203"/>
        <v>114</v>
      </c>
      <c r="HL123" s="54">
        <f t="shared" si="204"/>
        <v>-0.59352429502490978</v>
      </c>
      <c r="HM123" s="54" t="e">
        <f t="shared" si="205"/>
        <v>#N/A</v>
      </c>
      <c r="HN123" s="54">
        <f t="shared" si="206"/>
        <v>0.3163422496360116</v>
      </c>
      <c r="HO123" s="54" t="e">
        <f t="shared" si="207"/>
        <v>#N/A</v>
      </c>
      <c r="HP123" s="54" t="e">
        <f t="shared" si="208"/>
        <v>#N/A</v>
      </c>
      <c r="HQ123" s="54" t="b">
        <f t="shared" si="209"/>
        <v>1</v>
      </c>
      <c r="HR123" s="54" t="b">
        <f t="shared" si="210"/>
        <v>0</v>
      </c>
      <c r="HS123" s="54" t="b">
        <f t="shared" si="211"/>
        <v>0</v>
      </c>
      <c r="HT123" s="54" t="b">
        <f t="shared" si="212"/>
        <v>1</v>
      </c>
      <c r="HU123" s="54">
        <f t="shared" si="213"/>
        <v>0.3163422496360116</v>
      </c>
      <c r="HV123" s="54">
        <f t="shared" si="214"/>
        <v>0.3163422496360116</v>
      </c>
      <c r="HW123" s="54" t="e">
        <f t="shared" si="215"/>
        <v>#N/A</v>
      </c>
      <c r="HX123" s="69" t="str">
        <f t="shared" si="216"/>
        <v/>
      </c>
    </row>
    <row r="124" spans="78:232" x14ac:dyDescent="0.2">
      <c r="BZ124" s="54">
        <f t="shared" si="143"/>
        <v>114</v>
      </c>
      <c r="CA124" s="54">
        <f>Eu_tabel_g[[#This Row],[Indeks]]+1</f>
        <v>115</v>
      </c>
      <c r="CB124" s="54">
        <f t="shared" si="144"/>
        <v>-0.35932933792649013</v>
      </c>
      <c r="CC124" s="54">
        <f t="shared" si="145"/>
        <v>0.37400080851990369</v>
      </c>
      <c r="CD124" s="54" t="e">
        <f t="shared" si="146"/>
        <v>#N/A</v>
      </c>
      <c r="CE124" s="54" t="e">
        <f t="shared" si="147"/>
        <v>#N/A</v>
      </c>
      <c r="CF124" s="54" t="e">
        <f t="shared" si="148"/>
        <v>#N/A</v>
      </c>
      <c r="CG124" s="54" t="b">
        <f t="shared" si="149"/>
        <v>0</v>
      </c>
      <c r="CH124" s="54" t="b">
        <f t="shared" si="150"/>
        <v>1</v>
      </c>
      <c r="CI124" s="54" t="b">
        <f t="shared" si="151"/>
        <v>0</v>
      </c>
      <c r="CJ124" s="54" t="b">
        <f t="shared" si="152"/>
        <v>1</v>
      </c>
      <c r="CK124" s="54">
        <f t="shared" si="217"/>
        <v>0.37400080851990369</v>
      </c>
      <c r="CL124" s="54" t="e">
        <f t="shared" si="153"/>
        <v>#N/A</v>
      </c>
      <c r="CM124" s="54">
        <f t="shared" si="154"/>
        <v>0.37400080851990369</v>
      </c>
      <c r="CN124" s="69" t="str">
        <f t="shared" si="155"/>
        <v/>
      </c>
      <c r="CO124" s="54">
        <f>_xlfn.NORM.DIST(_xlfn.NORM.INV(1-Eu_g_konfidensniveau,0,1)-Eu_tabel_g[[#This Row],[x base]],0,1,TRUE)</f>
        <v>9.9304567300618568E-2</v>
      </c>
      <c r="CP124" s="54">
        <f>1-_xlfn.NORM.DIST(_xlfn.NORM.INV(Eu_g_konfidensniveau,0,1)-Eu_tabel_g[[#This Row],[x base]],0,1,TRUE)</f>
        <v>2.2525232347582635E-2</v>
      </c>
      <c r="CQ124" s="54">
        <f>_xlfn.NORM.DIST(_xlfn.NORM.INV((1-Eu_g_konfidensniveau)/2,0,1)-Eu_tabel_g[[#This Row],[x base]],0,1,TRUE)+1-_xlfn.NORM.DIST(_xlfn.NORM.INV(1-(1-Eu_g_konfidensniveau)/2,0,1)-Eu_tabel_g[[#This Row],[x base]],0,1,TRUE)</f>
        <v>6.4918500529934198E-2</v>
      </c>
      <c r="CR124" s="54" t="e" cm="1">
        <f t="array" ref="CR124">IF($CR$3,INDEX(Eu_tabel_g[[#This Row],[Styrke venstre]:[Styrke tosidet]],CR$7),NA())</f>
        <v>#N/A</v>
      </c>
      <c r="CS124" s="89" t="e">
        <f>Eu_tabel_g[[#This Row],[Falsk positiv
Nulhypotese accepteres
Fejltype 1]]</f>
        <v>#N/A</v>
      </c>
      <c r="CT124" s="89" t="e">
        <f>IF(CHOOSE(CR$7,Eu_tabel_g[[#This Row],[x base]]&gt;0,Eu_tabel_g[[#This Row],[x base]]&lt;0,Eu_tabel_g[[#This Row],[x base]]=0),Eu_tabel_g[[#This Row],[Styrke, aktiv]],NA())</f>
        <v>#N/A</v>
      </c>
      <c r="CU124" s="89" t="e">
        <f>IFERROR(IF($CR$3,Eu_tabel_g[[#This Row],[Styrke, aktiv]],NA()),NA())</f>
        <v>#N/A</v>
      </c>
      <c r="CV124" s="89" t="e">
        <f>IF(ISNA(Eu_tabel_g[[#This Row],[Sand negativ
Nulhypotese afvises
Korrekt]]),NA(),IF($CR$3,1,NA()))</f>
        <v>#N/A</v>
      </c>
      <c r="CW124" s="56" t="str" cm="1">
        <f t="array" ref="CW124">_xlfn.SWITCH(BZ124,_xlfn.IFNA(CU$2,-99),CU$5,_xlfn.IFNA(CU$3,-99),CU$6,_xlfn.IFNA(CU$4,-99),CU$7,"")</f>
        <v/>
      </c>
      <c r="DA124" s="7">
        <f t="shared" si="156"/>
        <v>0.8</v>
      </c>
      <c r="DB124">
        <f>IF(ROW(Styrkeberegning_G[[#This Row],[X base venstre]])=ROW(Styrkeberegning_G[[#Headers],[X base venstre]])+1,DB$7/(DA$7/$B$67),DB123/(DA123/$B$67))</f>
        <v>-2.8015817870135784</v>
      </c>
      <c r="DC124">
        <f>Styrkeberegning_G[[#This Row],[X base venstre]]*-1</f>
        <v>2.8015817870135784</v>
      </c>
      <c r="DN124" s="54">
        <f t="shared" si="157"/>
        <v>114</v>
      </c>
      <c r="DO124" s="54">
        <f t="shared" si="158"/>
        <v>115</v>
      </c>
      <c r="DP124" s="54">
        <f t="shared" si="159"/>
        <v>14.837930296191805</v>
      </c>
      <c r="DQ124" s="54" t="e">
        <f t="shared" si="160"/>
        <v>#N/A</v>
      </c>
      <c r="DR124" s="54" t="e">
        <f t="shared" si="161"/>
        <v>#N/A</v>
      </c>
      <c r="DS124" s="54">
        <f t="shared" si="162"/>
        <v>4.7276204397881473E-2</v>
      </c>
      <c r="DT124" s="54" t="e">
        <f t="shared" si="163"/>
        <v>#N/A</v>
      </c>
      <c r="DU124" s="54" t="b">
        <f t="shared" si="164"/>
        <v>0</v>
      </c>
      <c r="DV124" s="54" t="b">
        <f t="shared" si="165"/>
        <v>1</v>
      </c>
      <c r="DW124" s="54" t="b">
        <f t="shared" si="166"/>
        <v>0</v>
      </c>
      <c r="DX124" s="54" t="b">
        <f t="shared" si="167"/>
        <v>1</v>
      </c>
      <c r="DY124" s="54">
        <f t="shared" si="168"/>
        <v>4.7276204397881473E-2</v>
      </c>
      <c r="DZ124" s="54" t="e">
        <f t="shared" si="169"/>
        <v>#N/A</v>
      </c>
      <c r="EA124" s="54">
        <f t="shared" si="170"/>
        <v>4.7276204397881473E-2</v>
      </c>
      <c r="EB124" s="69" t="str">
        <f t="shared" si="171"/>
        <v/>
      </c>
      <c r="EG124" s="54">
        <f t="shared" si="172"/>
        <v>114</v>
      </c>
      <c r="EH124" s="54">
        <f t="shared" si="173"/>
        <v>115</v>
      </c>
      <c r="EI124" s="54">
        <f t="shared" si="174"/>
        <v>-0.35932933792649013</v>
      </c>
      <c r="EJ124" s="54">
        <f t="shared" si="175"/>
        <v>0.37400080851990369</v>
      </c>
      <c r="EK124" s="54" t="e">
        <f t="shared" si="176"/>
        <v>#N/A</v>
      </c>
      <c r="EL124" s="54" t="e">
        <f t="shared" si="177"/>
        <v>#N/A</v>
      </c>
      <c r="EM124" s="54" t="e">
        <f t="shared" si="178"/>
        <v>#N/A</v>
      </c>
      <c r="EN124" s="54" t="b">
        <f t="shared" si="179"/>
        <v>0</v>
      </c>
      <c r="EO124" s="54" t="b">
        <f t="shared" si="180"/>
        <v>1</v>
      </c>
      <c r="EP124" s="54" t="b">
        <f t="shared" si="181"/>
        <v>0</v>
      </c>
      <c r="EQ124" s="54" t="b">
        <f t="shared" si="182"/>
        <v>1</v>
      </c>
      <c r="ER124" s="54">
        <f t="shared" si="183"/>
        <v>0.37400080851990369</v>
      </c>
      <c r="ES124" s="54" t="e">
        <f t="shared" si="184"/>
        <v>#N/A</v>
      </c>
      <c r="ET124" s="54">
        <f t="shared" si="185"/>
        <v>0.37400080851990369</v>
      </c>
      <c r="EU124" s="69" t="str">
        <f t="shared" si="186"/>
        <v/>
      </c>
      <c r="EV12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2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2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24" s="54" t="e" cm="1">
        <f t="array" ref="EY124">IF($CR$3,INDEX(Eu_tabel_a[[#This Row],[Styrke venstre]:[Styrke tosidet]],EY$7),NA())</f>
        <v>#N/A</v>
      </c>
      <c r="EZ124" s="54" t="e">
        <f>IF(EY$3,IF(CHOOSE(EY$7,Eu_tabel_a[[#This Row],[x base]]&gt;0,Eu_tabel_a[[#This Row],[x base]]&lt;0,Eu_tabel_a[[#This Row],[x base]]=0),1,NA()),NA())</f>
        <v>#N/A</v>
      </c>
      <c r="FA124" s="54" t="e">
        <f>IF(CHOOSE(EY$7,Eu_tabel_a[[#This Row],[x base]]&gt;0,Eu_tabel_a[[#This Row],[x base]]&lt;0,Eu_tabel_a[[#This Row],[x base]]=0),Eu_tabel_a[[#This Row],[Styrke, aktiv]],NA())</f>
        <v>#N/A</v>
      </c>
      <c r="FB124" s="54" t="e">
        <f>IFERROR(IF($EY$3,Eu_tabel_a[[#This Row],[Styrke, aktiv]],NA()),NA())</f>
        <v>#N/A</v>
      </c>
      <c r="FC124" s="54" t="e">
        <f>IF(ISNA(Eu_tabel_a[[#This Row],[Sand negativ
Nulhypotese afvises
Korrekt]]),NA(),IF(EY$3,1,NA()))</f>
        <v>#N/A</v>
      </c>
      <c r="FD124" s="55" t="str" cm="1">
        <f t="array" ref="FD124">IFERROR(_xlfn.SWITCH(Eu_tabel_a[[#This Row],[Indeks]],_xlfn.IFNA(FB$2,-99),FB$5,_xlfn.IFNA(FB$3,-99),FB$6,_xlfn.IFNA(FB$4,-99),FB$7,""),"")</f>
        <v/>
      </c>
      <c r="FE124" s="54">
        <f>Eu_tabel_a[[#This Row],[x base]]*SQRT(Eu_a_h0_x*(1-Eu_a_h0_x)/Eu_a_n_x)+Eu_a_h0_x</f>
        <v>0</v>
      </c>
      <c r="FJ124" s="144" t="e">
        <f t="shared" si="130"/>
        <v>#N/A</v>
      </c>
      <c r="FK124" s="152" t="e">
        <f t="shared" si="218"/>
        <v>#DIV/0!</v>
      </c>
      <c r="FL124" s="7" t="e">
        <f t="shared" si="124"/>
        <v>#DIV/0!</v>
      </c>
      <c r="FM124" t="e">
        <f t="shared" si="219"/>
        <v>#DIV/0!</v>
      </c>
      <c r="FN124" s="8" t="e">
        <f t="shared" si="220"/>
        <v>#DIV/0!</v>
      </c>
      <c r="FO124" s="8" t="e">
        <f t="shared" si="221"/>
        <v>#DIV/0!</v>
      </c>
      <c r="FP124" s="151" t="e">
        <f t="shared" si="222"/>
        <v>#DIV/0!</v>
      </c>
      <c r="FQ124" s="144" t="e">
        <f t="shared" ca="1" si="125"/>
        <v>#N/A</v>
      </c>
      <c r="FR124" s="152" t="e" vm="3">
        <f t="shared" ca="1" si="131"/>
        <v>#VALUE!</v>
      </c>
      <c r="FS124" s="7" t="e" vm="3">
        <f t="shared" ca="1" si="126"/>
        <v>#VALUE!</v>
      </c>
      <c r="FT124" t="e" vm="3">
        <f t="shared" ca="1" si="120"/>
        <v>#VALUE!</v>
      </c>
      <c r="FU124" s="8" t="e" vm="3">
        <f t="shared" ca="1" si="121"/>
        <v>#VALUE!</v>
      </c>
      <c r="FV124" s="8" t="e" vm="3">
        <f t="shared" ca="1" si="122"/>
        <v>#VALUE!</v>
      </c>
      <c r="FW124" s="151" t="e" vm="3">
        <f t="shared" ca="1" si="123"/>
        <v>#VALUE!</v>
      </c>
      <c r="FX124" s="144" t="e">
        <f t="shared" si="127"/>
        <v>#N/A</v>
      </c>
      <c r="FY124" s="152" t="e">
        <f t="shared" si="132"/>
        <v>#N/A</v>
      </c>
      <c r="FZ124" s="7" t="e">
        <f t="shared" si="128"/>
        <v>#N/A</v>
      </c>
      <c r="GA124" t="e">
        <f t="shared" si="133"/>
        <v>#N/A</v>
      </c>
      <c r="GB124" s="8" t="e">
        <f t="shared" si="134"/>
        <v>#N/A</v>
      </c>
      <c r="GC124" s="8" t="e">
        <f t="shared" si="135"/>
        <v>#N/A</v>
      </c>
      <c r="GD124" s="151" t="e">
        <f t="shared" si="136"/>
        <v>#N/A</v>
      </c>
      <c r="GE124" s="144" t="e">
        <f t="shared" si="137"/>
        <v>#N/A</v>
      </c>
      <c r="GF124" s="152" t="e">
        <f t="shared" si="138"/>
        <v>#N/A</v>
      </c>
      <c r="GG124" s="7" t="e">
        <f t="shared" si="129"/>
        <v>#N/A</v>
      </c>
      <c r="GH124" t="e">
        <f t="shared" si="139"/>
        <v>#N/A</v>
      </c>
      <c r="GI124" s="8" t="e">
        <f t="shared" si="140"/>
        <v>#N/A</v>
      </c>
      <c r="GJ124" s="8" t="e">
        <f t="shared" si="141"/>
        <v>#N/A</v>
      </c>
      <c r="GK124" s="151" t="e">
        <f t="shared" si="142"/>
        <v>#N/A</v>
      </c>
      <c r="GL124" s="151"/>
      <c r="GM124" s="151"/>
      <c r="GP124" s="54">
        <f t="shared" si="187"/>
        <v>114</v>
      </c>
      <c r="GQ124" s="54">
        <f t="shared" si="188"/>
        <v>115</v>
      </c>
      <c r="GR124" s="54">
        <f t="shared" si="189"/>
        <v>-0.35932933792649013</v>
      </c>
      <c r="GS124" s="54">
        <f t="shared" si="190"/>
        <v>0.37400080851990369</v>
      </c>
      <c r="GT124" s="54" t="e">
        <f t="shared" si="191"/>
        <v>#N/A</v>
      </c>
      <c r="GU124" s="54" t="e">
        <f t="shared" si="192"/>
        <v>#N/A</v>
      </c>
      <c r="GV124" s="54" t="e">
        <f t="shared" si="193"/>
        <v>#N/A</v>
      </c>
      <c r="GW124" s="54" t="b">
        <f t="shared" si="194"/>
        <v>0</v>
      </c>
      <c r="GX124" s="54" t="b">
        <f t="shared" si="195"/>
        <v>1</v>
      </c>
      <c r="GY124" s="54" t="b">
        <f t="shared" si="196"/>
        <v>0</v>
      </c>
      <c r="GZ124" s="54" t="b">
        <f t="shared" si="197"/>
        <v>1</v>
      </c>
      <c r="HA124" s="54">
        <f t="shared" si="198"/>
        <v>0.37400080851990369</v>
      </c>
      <c r="HB124" s="54" t="e">
        <f t="shared" si="199"/>
        <v>#N/A</v>
      </c>
      <c r="HC124" s="54">
        <f t="shared" si="200"/>
        <v>0.37400080851990369</v>
      </c>
      <c r="HD124" s="69" t="str">
        <f t="shared" si="201"/>
        <v/>
      </c>
      <c r="HJ124" s="54">
        <f t="shared" si="202"/>
        <v>114</v>
      </c>
      <c r="HK124" s="54">
        <f t="shared" si="203"/>
        <v>115</v>
      </c>
      <c r="HL124" s="54">
        <f t="shared" si="204"/>
        <v>-0.55642902658585225</v>
      </c>
      <c r="HM124" s="54" t="e">
        <f t="shared" si="205"/>
        <v>#N/A</v>
      </c>
      <c r="HN124" s="54">
        <f t="shared" si="206"/>
        <v>0.32379165108150787</v>
      </c>
      <c r="HO124" s="54" t="e">
        <f t="shared" si="207"/>
        <v>#N/A</v>
      </c>
      <c r="HP124" s="54" t="e">
        <f t="shared" si="208"/>
        <v>#N/A</v>
      </c>
      <c r="HQ124" s="54" t="b">
        <f t="shared" si="209"/>
        <v>1</v>
      </c>
      <c r="HR124" s="54" t="b">
        <f t="shared" si="210"/>
        <v>0</v>
      </c>
      <c r="HS124" s="54" t="b">
        <f t="shared" si="211"/>
        <v>0</v>
      </c>
      <c r="HT124" s="54" t="b">
        <f t="shared" si="212"/>
        <v>1</v>
      </c>
      <c r="HU124" s="54">
        <f t="shared" si="213"/>
        <v>0.32379165108150787</v>
      </c>
      <c r="HV124" s="54">
        <f t="shared" si="214"/>
        <v>0.32379165108150787</v>
      </c>
      <c r="HW124" s="54" t="e">
        <f t="shared" si="215"/>
        <v>#N/A</v>
      </c>
      <c r="HX124" s="69" t="str">
        <f t="shared" si="216"/>
        <v/>
      </c>
    </row>
    <row r="125" spans="78:232" x14ac:dyDescent="0.2">
      <c r="BZ125" s="54">
        <f t="shared" si="143"/>
        <v>115</v>
      </c>
      <c r="CA125" s="54">
        <f>Eu_tabel_g[[#This Row],[Indeks]]+1</f>
        <v>116</v>
      </c>
      <c r="CB125" s="54">
        <f t="shared" si="144"/>
        <v>-0.33537404873139076</v>
      </c>
      <c r="CC125" s="54">
        <f t="shared" si="145"/>
        <v>0.37712581912279941</v>
      </c>
      <c r="CD125" s="54" t="e">
        <f t="shared" si="146"/>
        <v>#N/A</v>
      </c>
      <c r="CE125" s="54" t="e">
        <f t="shared" si="147"/>
        <v>#N/A</v>
      </c>
      <c r="CF125" s="54" t="e">
        <f t="shared" si="148"/>
        <v>#N/A</v>
      </c>
      <c r="CG125" s="54" t="b">
        <f t="shared" si="149"/>
        <v>0</v>
      </c>
      <c r="CH125" s="54" t="b">
        <f t="shared" si="150"/>
        <v>1</v>
      </c>
      <c r="CI125" s="54" t="b">
        <f t="shared" si="151"/>
        <v>0</v>
      </c>
      <c r="CJ125" s="54" t="b">
        <f t="shared" si="152"/>
        <v>1</v>
      </c>
      <c r="CK125" s="54">
        <f t="shared" si="217"/>
        <v>0.37712581912279941</v>
      </c>
      <c r="CL125" s="54" t="e">
        <f t="shared" si="153"/>
        <v>#N/A</v>
      </c>
      <c r="CM125" s="54">
        <f t="shared" si="154"/>
        <v>0.37712581912279941</v>
      </c>
      <c r="CN125" s="69" t="str">
        <f t="shared" si="155"/>
        <v/>
      </c>
      <c r="CO125" s="54">
        <f>_xlfn.NORM.DIST(_xlfn.NORM.INV(1-Eu_g_konfidensniveau,0,1)-Eu_tabel_g[[#This Row],[x base]],0,1,TRUE)</f>
        <v>9.5185975462999145E-2</v>
      </c>
      <c r="CP125" s="54">
        <f>1-_xlfn.NORM.DIST(_xlfn.NORM.INV(Eu_g_konfidensniveau,0,1)-Eu_tabel_g[[#This Row],[x base]],0,1,TRUE)</f>
        <v>2.3838975689185804E-2</v>
      </c>
      <c r="CQ125" s="54">
        <f>_xlfn.NORM.DIST(_xlfn.NORM.INV((1-Eu_g_konfidensniveau)/2,0,1)-Eu_tabel_g[[#This Row],[x base]],0,1,TRUE)+1-_xlfn.NORM.DIST(_xlfn.NORM.INV(1-(1-Eu_g_konfidensniveau)/2,0,1)-Eu_tabel_g[[#This Row],[x base]],0,1,TRUE)</f>
        <v>6.2981861292597308E-2</v>
      </c>
      <c r="CR125" s="54" t="e" cm="1">
        <f t="array" ref="CR125">IF($CR$3,INDEX(Eu_tabel_g[[#This Row],[Styrke venstre]:[Styrke tosidet]],CR$7),NA())</f>
        <v>#N/A</v>
      </c>
      <c r="CS125" s="89" t="e">
        <f>Eu_tabel_g[[#This Row],[Falsk positiv
Nulhypotese accepteres
Fejltype 1]]</f>
        <v>#N/A</v>
      </c>
      <c r="CT125" s="89" t="e">
        <f>IF(CHOOSE(CR$7,Eu_tabel_g[[#This Row],[x base]]&gt;0,Eu_tabel_g[[#This Row],[x base]]&lt;0,Eu_tabel_g[[#This Row],[x base]]=0),Eu_tabel_g[[#This Row],[Styrke, aktiv]],NA())</f>
        <v>#N/A</v>
      </c>
      <c r="CU125" s="89" t="e">
        <f>IFERROR(IF($CR$3,Eu_tabel_g[[#This Row],[Styrke, aktiv]],NA()),NA())</f>
        <v>#N/A</v>
      </c>
      <c r="CV125" s="89" t="e">
        <f>IF(ISNA(Eu_tabel_g[[#This Row],[Sand negativ
Nulhypotese afvises
Korrekt]]),NA(),IF($CR$3,1,NA()))</f>
        <v>#N/A</v>
      </c>
      <c r="CW125" s="56" t="str" cm="1">
        <f t="array" ref="CW125">_xlfn.SWITCH(BZ125,_xlfn.IFNA(CU$2,-99),CU$5,_xlfn.IFNA(CU$3,-99),CU$6,_xlfn.IFNA(CU$4,-99),CU$7,"")</f>
        <v/>
      </c>
      <c r="DA125" s="7">
        <f t="shared" si="156"/>
        <v>0.8</v>
      </c>
      <c r="DB125">
        <f>IF(ROW(Styrkeberegning_G[[#This Row],[X base venstre]])=ROW(Styrkeberegning_G[[#Headers],[X base venstre]])+1,DB$7/(DA$7/$B$67),DB124/(DA124/$B$67))</f>
        <v>-2.8015817870135784</v>
      </c>
      <c r="DC125">
        <f>Styrkeberegning_G[[#This Row],[X base venstre]]*-1</f>
        <v>2.8015817870135784</v>
      </c>
      <c r="DN125" s="54">
        <f t="shared" si="157"/>
        <v>115</v>
      </c>
      <c r="DO125" s="54">
        <f t="shared" si="158"/>
        <v>116</v>
      </c>
      <c r="DP125" s="54">
        <f t="shared" si="159"/>
        <v>14.952001152608807</v>
      </c>
      <c r="DQ125" s="54" t="e">
        <f t="shared" si="160"/>
        <v>#N/A</v>
      </c>
      <c r="DR125" s="54" t="e">
        <f t="shared" si="161"/>
        <v>#N/A</v>
      </c>
      <c r="DS125" s="54">
        <f t="shared" si="162"/>
        <v>4.6221007593830528E-2</v>
      </c>
      <c r="DT125" s="54" t="e">
        <f t="shared" si="163"/>
        <v>#N/A</v>
      </c>
      <c r="DU125" s="54" t="b">
        <f t="shared" si="164"/>
        <v>0</v>
      </c>
      <c r="DV125" s="54" t="b">
        <f t="shared" si="165"/>
        <v>1</v>
      </c>
      <c r="DW125" s="54" t="b">
        <f t="shared" si="166"/>
        <v>0</v>
      </c>
      <c r="DX125" s="54" t="b">
        <f t="shared" si="167"/>
        <v>1</v>
      </c>
      <c r="DY125" s="54">
        <f t="shared" si="168"/>
        <v>4.6221007593830528E-2</v>
      </c>
      <c r="DZ125" s="54" t="e">
        <f t="shared" si="169"/>
        <v>#N/A</v>
      </c>
      <c r="EA125" s="54">
        <f t="shared" si="170"/>
        <v>4.6221007593830528E-2</v>
      </c>
      <c r="EB125" s="69" t="str">
        <f t="shared" si="171"/>
        <v/>
      </c>
      <c r="EG125" s="54">
        <f t="shared" si="172"/>
        <v>115</v>
      </c>
      <c r="EH125" s="54">
        <f t="shared" si="173"/>
        <v>116</v>
      </c>
      <c r="EI125" s="54">
        <f t="shared" si="174"/>
        <v>-0.33537404873139076</v>
      </c>
      <c r="EJ125" s="54">
        <f t="shared" si="175"/>
        <v>0.37712581912279941</v>
      </c>
      <c r="EK125" s="54" t="e">
        <f t="shared" si="176"/>
        <v>#N/A</v>
      </c>
      <c r="EL125" s="54" t="e">
        <f t="shared" si="177"/>
        <v>#N/A</v>
      </c>
      <c r="EM125" s="54" t="e">
        <f t="shared" si="178"/>
        <v>#N/A</v>
      </c>
      <c r="EN125" s="54" t="b">
        <f t="shared" si="179"/>
        <v>0</v>
      </c>
      <c r="EO125" s="54" t="b">
        <f t="shared" si="180"/>
        <v>1</v>
      </c>
      <c r="EP125" s="54" t="b">
        <f t="shared" si="181"/>
        <v>0</v>
      </c>
      <c r="EQ125" s="54" t="b">
        <f t="shared" si="182"/>
        <v>1</v>
      </c>
      <c r="ER125" s="54">
        <f t="shared" si="183"/>
        <v>0.37712581912279941</v>
      </c>
      <c r="ES125" s="54" t="e">
        <f t="shared" si="184"/>
        <v>#N/A</v>
      </c>
      <c r="ET125" s="54">
        <f t="shared" si="185"/>
        <v>0.37712581912279941</v>
      </c>
      <c r="EU125" s="69" t="str">
        <f t="shared" si="186"/>
        <v/>
      </c>
      <c r="EV12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2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2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25" s="54" t="e" cm="1">
        <f t="array" ref="EY125">IF($CR$3,INDEX(Eu_tabel_a[[#This Row],[Styrke venstre]:[Styrke tosidet]],EY$7),NA())</f>
        <v>#N/A</v>
      </c>
      <c r="EZ125" s="54" t="e">
        <f>IF(EY$3,IF(CHOOSE(EY$7,Eu_tabel_a[[#This Row],[x base]]&gt;0,Eu_tabel_a[[#This Row],[x base]]&lt;0,Eu_tabel_a[[#This Row],[x base]]=0),1,NA()),NA())</f>
        <v>#N/A</v>
      </c>
      <c r="FA125" s="54" t="e">
        <f>IF(CHOOSE(EY$7,Eu_tabel_a[[#This Row],[x base]]&gt;0,Eu_tabel_a[[#This Row],[x base]]&lt;0,Eu_tabel_a[[#This Row],[x base]]=0),Eu_tabel_a[[#This Row],[Styrke, aktiv]],NA())</f>
        <v>#N/A</v>
      </c>
      <c r="FB125" s="54" t="e">
        <f>IFERROR(IF($EY$3,Eu_tabel_a[[#This Row],[Styrke, aktiv]],NA()),NA())</f>
        <v>#N/A</v>
      </c>
      <c r="FC125" s="54" t="e">
        <f>IF(ISNA(Eu_tabel_a[[#This Row],[Sand negativ
Nulhypotese afvises
Korrekt]]),NA(),IF(EY$3,1,NA()))</f>
        <v>#N/A</v>
      </c>
      <c r="FD125" s="55" t="str" cm="1">
        <f t="array" ref="FD125">IFERROR(_xlfn.SWITCH(Eu_tabel_a[[#This Row],[Indeks]],_xlfn.IFNA(FB$2,-99),FB$5,_xlfn.IFNA(FB$3,-99),FB$6,_xlfn.IFNA(FB$4,-99),FB$7,""),"")</f>
        <v/>
      </c>
      <c r="FE125" s="54">
        <f>Eu_tabel_a[[#This Row],[x base]]*SQRT(Eu_a_h0_x*(1-Eu_a_h0_x)/Eu_a_n_x)+Eu_a_h0_x</f>
        <v>0</v>
      </c>
      <c r="FJ125" s="144" t="e">
        <f t="shared" si="130"/>
        <v>#N/A</v>
      </c>
      <c r="FK125" s="152" t="e">
        <f t="shared" si="218"/>
        <v>#DIV/0!</v>
      </c>
      <c r="FL125" s="7" t="e">
        <f t="shared" si="124"/>
        <v>#DIV/0!</v>
      </c>
      <c r="FM125" t="e">
        <f t="shared" si="219"/>
        <v>#DIV/0!</v>
      </c>
      <c r="FN125" s="8" t="e">
        <f t="shared" si="220"/>
        <v>#DIV/0!</v>
      </c>
      <c r="FO125" s="8" t="e">
        <f t="shared" si="221"/>
        <v>#DIV/0!</v>
      </c>
      <c r="FP125" s="151" t="e">
        <f t="shared" si="222"/>
        <v>#DIV/0!</v>
      </c>
      <c r="FQ125" s="144" t="e">
        <f t="shared" ca="1" si="125"/>
        <v>#N/A</v>
      </c>
      <c r="FR125" s="152" t="e" vm="3">
        <f t="shared" ca="1" si="131"/>
        <v>#VALUE!</v>
      </c>
      <c r="FS125" s="7" t="e" vm="3">
        <f t="shared" ca="1" si="126"/>
        <v>#VALUE!</v>
      </c>
      <c r="FT125" t="e" vm="3">
        <f t="shared" ca="1" si="120"/>
        <v>#VALUE!</v>
      </c>
      <c r="FU125" s="8" t="e" vm="3">
        <f t="shared" ca="1" si="121"/>
        <v>#VALUE!</v>
      </c>
      <c r="FV125" s="8" t="e" vm="3">
        <f t="shared" ca="1" si="122"/>
        <v>#VALUE!</v>
      </c>
      <c r="FW125" s="151" t="e" vm="3">
        <f t="shared" ca="1" si="123"/>
        <v>#VALUE!</v>
      </c>
      <c r="FX125" s="144" t="e">
        <f t="shared" si="127"/>
        <v>#N/A</v>
      </c>
      <c r="FY125" s="152" t="e">
        <f t="shared" si="132"/>
        <v>#N/A</v>
      </c>
      <c r="FZ125" s="7" t="e">
        <f t="shared" si="128"/>
        <v>#N/A</v>
      </c>
      <c r="GA125" t="e">
        <f t="shared" si="133"/>
        <v>#N/A</v>
      </c>
      <c r="GB125" s="8" t="e">
        <f t="shared" si="134"/>
        <v>#N/A</v>
      </c>
      <c r="GC125" s="8" t="e">
        <f t="shared" si="135"/>
        <v>#N/A</v>
      </c>
      <c r="GD125" s="151" t="e">
        <f t="shared" si="136"/>
        <v>#N/A</v>
      </c>
      <c r="GE125" s="144" t="e">
        <f t="shared" si="137"/>
        <v>#N/A</v>
      </c>
      <c r="GF125" s="152" t="e">
        <f t="shared" si="138"/>
        <v>#N/A</v>
      </c>
      <c r="GG125" s="7" t="e">
        <f t="shared" si="129"/>
        <v>#N/A</v>
      </c>
      <c r="GH125" t="e">
        <f t="shared" si="139"/>
        <v>#N/A</v>
      </c>
      <c r="GI125" s="8" t="e">
        <f t="shared" si="140"/>
        <v>#N/A</v>
      </c>
      <c r="GJ125" s="8" t="e">
        <f t="shared" si="141"/>
        <v>#N/A</v>
      </c>
      <c r="GK125" s="151" t="e">
        <f t="shared" si="142"/>
        <v>#N/A</v>
      </c>
      <c r="GL125" s="151"/>
      <c r="GM125" s="151"/>
      <c r="GP125" s="54">
        <f t="shared" si="187"/>
        <v>115</v>
      </c>
      <c r="GQ125" s="54">
        <f t="shared" si="188"/>
        <v>116</v>
      </c>
      <c r="GR125" s="54">
        <f t="shared" si="189"/>
        <v>-0.33537404873139076</v>
      </c>
      <c r="GS125" s="54">
        <f t="shared" si="190"/>
        <v>0.37712581912279941</v>
      </c>
      <c r="GT125" s="54" t="e">
        <f t="shared" si="191"/>
        <v>#N/A</v>
      </c>
      <c r="GU125" s="54" t="e">
        <f t="shared" si="192"/>
        <v>#N/A</v>
      </c>
      <c r="GV125" s="54" t="e">
        <f t="shared" si="193"/>
        <v>#N/A</v>
      </c>
      <c r="GW125" s="54" t="b">
        <f t="shared" si="194"/>
        <v>0</v>
      </c>
      <c r="GX125" s="54" t="b">
        <f t="shared" si="195"/>
        <v>1</v>
      </c>
      <c r="GY125" s="54" t="b">
        <f t="shared" si="196"/>
        <v>0</v>
      </c>
      <c r="GZ125" s="54" t="b">
        <f t="shared" si="197"/>
        <v>1</v>
      </c>
      <c r="HA125" s="54">
        <f t="shared" si="198"/>
        <v>0.37712581912279941</v>
      </c>
      <c r="HB125" s="54" t="e">
        <f t="shared" si="199"/>
        <v>#N/A</v>
      </c>
      <c r="HC125" s="54">
        <f t="shared" si="200"/>
        <v>0.37712581912279941</v>
      </c>
      <c r="HD125" s="69" t="str">
        <f t="shared" si="201"/>
        <v/>
      </c>
      <c r="HJ125" s="54">
        <f t="shared" si="202"/>
        <v>115</v>
      </c>
      <c r="HK125" s="54">
        <f t="shared" si="203"/>
        <v>116</v>
      </c>
      <c r="HL125" s="54">
        <f t="shared" si="204"/>
        <v>-0.51933375814679561</v>
      </c>
      <c r="HM125" s="54" t="e">
        <f t="shared" si="205"/>
        <v>#N/A</v>
      </c>
      <c r="HN125" s="54">
        <f t="shared" si="206"/>
        <v>0.33095998215482658</v>
      </c>
      <c r="HO125" s="54" t="e">
        <f t="shared" si="207"/>
        <v>#N/A</v>
      </c>
      <c r="HP125" s="54" t="e">
        <f t="shared" si="208"/>
        <v>#N/A</v>
      </c>
      <c r="HQ125" s="54" t="b">
        <f t="shared" si="209"/>
        <v>1</v>
      </c>
      <c r="HR125" s="54" t="b">
        <f t="shared" si="210"/>
        <v>0</v>
      </c>
      <c r="HS125" s="54" t="b">
        <f t="shared" si="211"/>
        <v>0</v>
      </c>
      <c r="HT125" s="54" t="b">
        <f t="shared" si="212"/>
        <v>1</v>
      </c>
      <c r="HU125" s="54">
        <f t="shared" si="213"/>
        <v>0.33095998215482658</v>
      </c>
      <c r="HV125" s="54">
        <f t="shared" si="214"/>
        <v>0.33095998215482658</v>
      </c>
      <c r="HW125" s="54" t="e">
        <f t="shared" si="215"/>
        <v>#N/A</v>
      </c>
      <c r="HX125" s="69" t="str">
        <f t="shared" si="216"/>
        <v/>
      </c>
    </row>
    <row r="126" spans="78:232" x14ac:dyDescent="0.2">
      <c r="BZ126" s="54">
        <f t="shared" si="143"/>
        <v>116</v>
      </c>
      <c r="CA126" s="54">
        <f>Eu_tabel_g[[#This Row],[Indeks]]+1</f>
        <v>117</v>
      </c>
      <c r="CB126" s="54">
        <f t="shared" si="144"/>
        <v>-0.31141875953629139</v>
      </c>
      <c r="CC126" s="54">
        <f t="shared" si="145"/>
        <v>0.38005877958699552</v>
      </c>
      <c r="CD126" s="54" t="e">
        <f t="shared" si="146"/>
        <v>#N/A</v>
      </c>
      <c r="CE126" s="54" t="e">
        <f t="shared" si="147"/>
        <v>#N/A</v>
      </c>
      <c r="CF126" s="54" t="e">
        <f t="shared" si="148"/>
        <v>#N/A</v>
      </c>
      <c r="CG126" s="54" t="b">
        <f t="shared" si="149"/>
        <v>0</v>
      </c>
      <c r="CH126" s="54" t="b">
        <f t="shared" si="150"/>
        <v>1</v>
      </c>
      <c r="CI126" s="54" t="b">
        <f t="shared" si="151"/>
        <v>0</v>
      </c>
      <c r="CJ126" s="54" t="b">
        <f t="shared" si="152"/>
        <v>1</v>
      </c>
      <c r="CK126" s="54">
        <f t="shared" ref="CK126:CK157" si="223">_xlfn.AGGREGATE(9,6,CC126:CF126)</f>
        <v>0.38005877958699552</v>
      </c>
      <c r="CL126" s="54" t="e">
        <f t="shared" si="153"/>
        <v>#N/A</v>
      </c>
      <c r="CM126" s="54">
        <f t="shared" si="154"/>
        <v>0.38005877958699552</v>
      </c>
      <c r="CN126" s="69" t="str">
        <f t="shared" si="155"/>
        <v/>
      </c>
      <c r="CO126" s="54">
        <f>_xlfn.NORM.DIST(_xlfn.NORM.INV(1-Eu_g_konfidensniveau,0,1)-Eu_tabel_g[[#This Row],[x base]],0,1,TRUE)</f>
        <v>9.1194568240704876E-2</v>
      </c>
      <c r="CP126" s="54">
        <f>1-_xlfn.NORM.DIST(_xlfn.NORM.INV(Eu_g_konfidensniveau,0,1)-Eu_tabel_g[[#This Row],[x base]],0,1,TRUE)</f>
        <v>2.5216537638391379E-2</v>
      </c>
      <c r="CQ126" s="54">
        <f>_xlfn.NORM.DIST(_xlfn.NORM.INV((1-Eu_g_konfidensniveau)/2,0,1)-Eu_tabel_g[[#This Row],[x base]],0,1,TRUE)+1-_xlfn.NORM.DIST(_xlfn.NORM.INV(1-(1-Eu_g_konfidensniveau)/2,0,1)-Eu_tabel_g[[#This Row],[x base]],0,1,TRUE)</f>
        <v>6.1182328184333556E-2</v>
      </c>
      <c r="CR126" s="54" t="e" cm="1">
        <f t="array" ref="CR126">IF($CR$3,INDEX(Eu_tabel_g[[#This Row],[Styrke venstre]:[Styrke tosidet]],CR$7),NA())</f>
        <v>#N/A</v>
      </c>
      <c r="CS126" s="89" t="e">
        <f>Eu_tabel_g[[#This Row],[Falsk positiv
Nulhypotese accepteres
Fejltype 1]]</f>
        <v>#N/A</v>
      </c>
      <c r="CT126" s="89" t="e">
        <f>IF(CHOOSE(CR$7,Eu_tabel_g[[#This Row],[x base]]&gt;0,Eu_tabel_g[[#This Row],[x base]]&lt;0,Eu_tabel_g[[#This Row],[x base]]=0),Eu_tabel_g[[#This Row],[Styrke, aktiv]],NA())</f>
        <v>#N/A</v>
      </c>
      <c r="CU126" s="89" t="e">
        <f>IFERROR(IF($CR$3,Eu_tabel_g[[#This Row],[Styrke, aktiv]],NA()),NA())</f>
        <v>#N/A</v>
      </c>
      <c r="CV126" s="89" t="e">
        <f>IF(ISNA(Eu_tabel_g[[#This Row],[Sand negativ
Nulhypotese afvises
Korrekt]]),NA(),IF($CR$3,1,NA()))</f>
        <v>#N/A</v>
      </c>
      <c r="CW126" s="56" t="str" cm="1">
        <f t="array" ref="CW126">_xlfn.SWITCH(BZ126,_xlfn.IFNA(CU$2,-99),CU$5,_xlfn.IFNA(CU$3,-99),CU$6,_xlfn.IFNA(CU$4,-99),CU$7,"")</f>
        <v/>
      </c>
      <c r="DA126" s="7">
        <f t="shared" si="156"/>
        <v>0.8</v>
      </c>
      <c r="DB126">
        <f>IF(ROW(Styrkeberegning_G[[#This Row],[X base venstre]])=ROW(Styrkeberegning_G[[#Headers],[X base venstre]])+1,DB$7/(DA$7/$B$67),DB125/(DA125/$B$67))</f>
        <v>-2.8015817870135784</v>
      </c>
      <c r="DC126">
        <f>Styrkeberegning_G[[#This Row],[X base venstre]]*-1</f>
        <v>2.8015817870135784</v>
      </c>
      <c r="DN126" s="54">
        <f t="shared" si="157"/>
        <v>116</v>
      </c>
      <c r="DO126" s="54">
        <f t="shared" si="158"/>
        <v>117</v>
      </c>
      <c r="DP126" s="54">
        <f t="shared" si="159"/>
        <v>15.066072009025806</v>
      </c>
      <c r="DQ126" s="54" t="e">
        <f t="shared" si="160"/>
        <v>#N/A</v>
      </c>
      <c r="DR126" s="54" t="e">
        <f t="shared" si="161"/>
        <v>#N/A</v>
      </c>
      <c r="DS126" s="54">
        <f t="shared" si="162"/>
        <v>4.5177527956623796E-2</v>
      </c>
      <c r="DT126" s="54" t="e">
        <f t="shared" si="163"/>
        <v>#N/A</v>
      </c>
      <c r="DU126" s="54" t="b">
        <f t="shared" si="164"/>
        <v>0</v>
      </c>
      <c r="DV126" s="54" t="b">
        <f t="shared" si="165"/>
        <v>1</v>
      </c>
      <c r="DW126" s="54" t="b">
        <f t="shared" si="166"/>
        <v>0</v>
      </c>
      <c r="DX126" s="54" t="b">
        <f t="shared" si="167"/>
        <v>1</v>
      </c>
      <c r="DY126" s="54">
        <f t="shared" si="168"/>
        <v>4.5177527956623796E-2</v>
      </c>
      <c r="DZ126" s="54" t="e">
        <f t="shared" si="169"/>
        <v>#N/A</v>
      </c>
      <c r="EA126" s="54">
        <f t="shared" si="170"/>
        <v>4.5177527956623796E-2</v>
      </c>
      <c r="EB126" s="69" t="str">
        <f t="shared" si="171"/>
        <v/>
      </c>
      <c r="EG126" s="54">
        <f t="shared" si="172"/>
        <v>116</v>
      </c>
      <c r="EH126" s="54">
        <f t="shared" si="173"/>
        <v>117</v>
      </c>
      <c r="EI126" s="54">
        <f t="shared" si="174"/>
        <v>-0.31141875953629139</v>
      </c>
      <c r="EJ126" s="54">
        <f t="shared" si="175"/>
        <v>0.38005877958699552</v>
      </c>
      <c r="EK126" s="54" t="e">
        <f t="shared" si="176"/>
        <v>#N/A</v>
      </c>
      <c r="EL126" s="54" t="e">
        <f t="shared" si="177"/>
        <v>#N/A</v>
      </c>
      <c r="EM126" s="54" t="e">
        <f t="shared" si="178"/>
        <v>#N/A</v>
      </c>
      <c r="EN126" s="54" t="b">
        <f t="shared" si="179"/>
        <v>0</v>
      </c>
      <c r="EO126" s="54" t="b">
        <f t="shared" si="180"/>
        <v>1</v>
      </c>
      <c r="EP126" s="54" t="b">
        <f t="shared" si="181"/>
        <v>0</v>
      </c>
      <c r="EQ126" s="54" t="b">
        <f t="shared" si="182"/>
        <v>1</v>
      </c>
      <c r="ER126" s="54">
        <f t="shared" si="183"/>
        <v>0.38005877958699552</v>
      </c>
      <c r="ES126" s="54" t="e">
        <f t="shared" si="184"/>
        <v>#N/A</v>
      </c>
      <c r="ET126" s="54">
        <f t="shared" si="185"/>
        <v>0.38005877958699552</v>
      </c>
      <c r="EU126" s="69" t="str">
        <f t="shared" si="186"/>
        <v/>
      </c>
      <c r="EV12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2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2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26" s="54" t="e" cm="1">
        <f t="array" ref="EY126">IF($CR$3,INDEX(Eu_tabel_a[[#This Row],[Styrke venstre]:[Styrke tosidet]],EY$7),NA())</f>
        <v>#N/A</v>
      </c>
      <c r="EZ126" s="54" t="e">
        <f>IF(EY$3,IF(CHOOSE(EY$7,Eu_tabel_a[[#This Row],[x base]]&gt;0,Eu_tabel_a[[#This Row],[x base]]&lt;0,Eu_tabel_a[[#This Row],[x base]]=0),1,NA()),NA())</f>
        <v>#N/A</v>
      </c>
      <c r="FA126" s="54" t="e">
        <f>IF(CHOOSE(EY$7,Eu_tabel_a[[#This Row],[x base]]&gt;0,Eu_tabel_a[[#This Row],[x base]]&lt;0,Eu_tabel_a[[#This Row],[x base]]=0),Eu_tabel_a[[#This Row],[Styrke, aktiv]],NA())</f>
        <v>#N/A</v>
      </c>
      <c r="FB126" s="54" t="e">
        <f>IFERROR(IF($EY$3,Eu_tabel_a[[#This Row],[Styrke, aktiv]],NA()),NA())</f>
        <v>#N/A</v>
      </c>
      <c r="FC126" s="54" t="e">
        <f>IF(ISNA(Eu_tabel_a[[#This Row],[Sand negativ
Nulhypotese afvises
Korrekt]]),NA(),IF(EY$3,1,NA()))</f>
        <v>#N/A</v>
      </c>
      <c r="FD126" s="55" t="str" cm="1">
        <f t="array" ref="FD126">IFERROR(_xlfn.SWITCH(Eu_tabel_a[[#This Row],[Indeks]],_xlfn.IFNA(FB$2,-99),FB$5,_xlfn.IFNA(FB$3,-99),FB$6,_xlfn.IFNA(FB$4,-99),FB$7,""),"")</f>
        <v/>
      </c>
      <c r="FE126" s="54">
        <f>Eu_tabel_a[[#This Row],[x base]]*SQRT(Eu_a_h0_x*(1-Eu_a_h0_x)/Eu_a_n_x)+Eu_a_h0_x</f>
        <v>0</v>
      </c>
      <c r="FJ126" s="144" t="e">
        <f t="shared" si="130"/>
        <v>#N/A</v>
      </c>
      <c r="FK126" s="152" t="e">
        <f t="shared" si="218"/>
        <v>#DIV/0!</v>
      </c>
      <c r="FL126" s="7" t="e">
        <f t="shared" si="124"/>
        <v>#DIV/0!</v>
      </c>
      <c r="FM126" t="e">
        <f t="shared" si="219"/>
        <v>#DIV/0!</v>
      </c>
      <c r="FN126" s="8" t="e">
        <f t="shared" si="220"/>
        <v>#DIV/0!</v>
      </c>
      <c r="FO126" s="8" t="e">
        <f t="shared" si="221"/>
        <v>#DIV/0!</v>
      </c>
      <c r="FP126" s="151" t="e">
        <f t="shared" si="222"/>
        <v>#DIV/0!</v>
      </c>
      <c r="FQ126" s="144" t="e">
        <f t="shared" ca="1" si="125"/>
        <v>#N/A</v>
      </c>
      <c r="FR126" s="152" t="e" vm="3">
        <f t="shared" ca="1" si="131"/>
        <v>#VALUE!</v>
      </c>
      <c r="FS126" s="7" t="e" vm="3">
        <f t="shared" ca="1" si="126"/>
        <v>#VALUE!</v>
      </c>
      <c r="FT126" t="e" vm="3">
        <f t="shared" ca="1" si="120"/>
        <v>#VALUE!</v>
      </c>
      <c r="FU126" s="8" t="e" vm="3">
        <f t="shared" ca="1" si="121"/>
        <v>#VALUE!</v>
      </c>
      <c r="FV126" s="8" t="e" vm="3">
        <f t="shared" ca="1" si="122"/>
        <v>#VALUE!</v>
      </c>
      <c r="FW126" s="151" t="e" vm="3">
        <f t="shared" ca="1" si="123"/>
        <v>#VALUE!</v>
      </c>
      <c r="FX126" s="144" t="e">
        <f t="shared" si="127"/>
        <v>#N/A</v>
      </c>
      <c r="FY126" s="152" t="e">
        <f t="shared" si="132"/>
        <v>#N/A</v>
      </c>
      <c r="FZ126" s="7" t="e">
        <f t="shared" si="128"/>
        <v>#N/A</v>
      </c>
      <c r="GA126" t="e">
        <f t="shared" si="133"/>
        <v>#N/A</v>
      </c>
      <c r="GB126" s="8" t="e">
        <f t="shared" si="134"/>
        <v>#N/A</v>
      </c>
      <c r="GC126" s="8" t="e">
        <f t="shared" si="135"/>
        <v>#N/A</v>
      </c>
      <c r="GD126" s="151" t="e">
        <f t="shared" si="136"/>
        <v>#N/A</v>
      </c>
      <c r="GE126" s="144" t="e">
        <f t="shared" si="137"/>
        <v>#N/A</v>
      </c>
      <c r="GF126" s="152" t="e">
        <f t="shared" si="138"/>
        <v>#N/A</v>
      </c>
      <c r="GG126" s="7" t="e">
        <f t="shared" si="129"/>
        <v>#N/A</v>
      </c>
      <c r="GH126" t="e">
        <f t="shared" si="139"/>
        <v>#N/A</v>
      </c>
      <c r="GI126" s="8" t="e">
        <f t="shared" si="140"/>
        <v>#N/A</v>
      </c>
      <c r="GJ126" s="8" t="e">
        <f t="shared" si="141"/>
        <v>#N/A</v>
      </c>
      <c r="GK126" s="151" t="e">
        <f t="shared" si="142"/>
        <v>#N/A</v>
      </c>
      <c r="GL126" s="151"/>
      <c r="GM126" s="151"/>
      <c r="GP126" s="54">
        <f t="shared" si="187"/>
        <v>116</v>
      </c>
      <c r="GQ126" s="54">
        <f t="shared" si="188"/>
        <v>117</v>
      </c>
      <c r="GR126" s="54">
        <f t="shared" si="189"/>
        <v>-0.31141875953629139</v>
      </c>
      <c r="GS126" s="54">
        <f t="shared" si="190"/>
        <v>0.38005877958699552</v>
      </c>
      <c r="GT126" s="54" t="e">
        <f t="shared" si="191"/>
        <v>#N/A</v>
      </c>
      <c r="GU126" s="54" t="e">
        <f t="shared" si="192"/>
        <v>#N/A</v>
      </c>
      <c r="GV126" s="54" t="e">
        <f t="shared" si="193"/>
        <v>#N/A</v>
      </c>
      <c r="GW126" s="54" t="b">
        <f t="shared" si="194"/>
        <v>0</v>
      </c>
      <c r="GX126" s="54" t="b">
        <f t="shared" si="195"/>
        <v>1</v>
      </c>
      <c r="GY126" s="54" t="b">
        <f t="shared" si="196"/>
        <v>0</v>
      </c>
      <c r="GZ126" s="54" t="b">
        <f t="shared" si="197"/>
        <v>1</v>
      </c>
      <c r="HA126" s="54">
        <f t="shared" si="198"/>
        <v>0.38005877958699552</v>
      </c>
      <c r="HB126" s="54" t="e">
        <f t="shared" si="199"/>
        <v>#N/A</v>
      </c>
      <c r="HC126" s="54">
        <f t="shared" si="200"/>
        <v>0.38005877958699552</v>
      </c>
      <c r="HD126" s="69" t="str">
        <f t="shared" si="201"/>
        <v/>
      </c>
      <c r="HJ126" s="54">
        <f t="shared" si="202"/>
        <v>116</v>
      </c>
      <c r="HK126" s="54">
        <f t="shared" si="203"/>
        <v>117</v>
      </c>
      <c r="HL126" s="54">
        <f t="shared" si="204"/>
        <v>-0.48223848970773897</v>
      </c>
      <c r="HM126" s="54" t="e">
        <f t="shared" si="205"/>
        <v>#N/A</v>
      </c>
      <c r="HN126" s="54">
        <f t="shared" si="206"/>
        <v>0.3378131221968852</v>
      </c>
      <c r="HO126" s="54" t="e">
        <f t="shared" si="207"/>
        <v>#N/A</v>
      </c>
      <c r="HP126" s="54" t="e">
        <f t="shared" si="208"/>
        <v>#N/A</v>
      </c>
      <c r="HQ126" s="54" t="b">
        <f t="shared" si="209"/>
        <v>1</v>
      </c>
      <c r="HR126" s="54" t="b">
        <f t="shared" si="210"/>
        <v>0</v>
      </c>
      <c r="HS126" s="54" t="b">
        <f t="shared" si="211"/>
        <v>0</v>
      </c>
      <c r="HT126" s="54" t="b">
        <f t="shared" si="212"/>
        <v>1</v>
      </c>
      <c r="HU126" s="54">
        <f t="shared" si="213"/>
        <v>0.3378131221968852</v>
      </c>
      <c r="HV126" s="54">
        <f t="shared" si="214"/>
        <v>0.3378131221968852</v>
      </c>
      <c r="HW126" s="54" t="e">
        <f t="shared" si="215"/>
        <v>#N/A</v>
      </c>
      <c r="HX126" s="69" t="str">
        <f t="shared" si="216"/>
        <v/>
      </c>
    </row>
    <row r="127" spans="78:232" x14ac:dyDescent="0.2">
      <c r="BZ127" s="54">
        <f t="shared" si="143"/>
        <v>117</v>
      </c>
      <c r="CA127" s="54">
        <f>Eu_tabel_g[[#This Row],[Indeks]]+1</f>
        <v>118</v>
      </c>
      <c r="CB127" s="54">
        <f t="shared" si="144"/>
        <v>-0.28746347034119202</v>
      </c>
      <c r="CC127" s="54">
        <f t="shared" si="145"/>
        <v>0.38279481799811688</v>
      </c>
      <c r="CD127" s="54" t="e">
        <f t="shared" si="146"/>
        <v>#N/A</v>
      </c>
      <c r="CE127" s="54" t="e">
        <f t="shared" si="147"/>
        <v>#N/A</v>
      </c>
      <c r="CF127" s="54" t="e">
        <f t="shared" si="148"/>
        <v>#N/A</v>
      </c>
      <c r="CG127" s="54" t="b">
        <f t="shared" si="149"/>
        <v>0</v>
      </c>
      <c r="CH127" s="54" t="b">
        <f t="shared" si="150"/>
        <v>1</v>
      </c>
      <c r="CI127" s="54" t="b">
        <f t="shared" si="151"/>
        <v>0</v>
      </c>
      <c r="CJ127" s="54" t="b">
        <f t="shared" si="152"/>
        <v>1</v>
      </c>
      <c r="CK127" s="54">
        <f t="shared" si="223"/>
        <v>0.38279481799811688</v>
      </c>
      <c r="CL127" s="54" t="e">
        <f t="shared" si="153"/>
        <v>#N/A</v>
      </c>
      <c r="CM127" s="54">
        <f t="shared" si="154"/>
        <v>0.38279481799811688</v>
      </c>
      <c r="CN127" s="69" t="str">
        <f t="shared" si="155"/>
        <v/>
      </c>
      <c r="CO127" s="54">
        <f>_xlfn.NORM.DIST(_xlfn.NORM.INV(1-Eu_g_konfidensniveau,0,1)-Eu_tabel_g[[#This Row],[x base]],0,1,TRUE)</f>
        <v>8.732863711346614E-2</v>
      </c>
      <c r="CP127" s="54">
        <f>1-_xlfn.NORM.DIST(_xlfn.NORM.INV(Eu_g_konfidensniveau,0,1)-Eu_tabel_g[[#This Row],[x base]],0,1,TRUE)</f>
        <v>2.6660189708944237E-2</v>
      </c>
      <c r="CQ127" s="54">
        <f>_xlfn.NORM.DIST(_xlfn.NORM.INV((1-Eu_g_konfidensniveau)/2,0,1)-Eu_tabel_g[[#This Row],[x base]],0,1,TRUE)+1-_xlfn.NORM.DIST(_xlfn.NORM.INV(1-(1-Eu_g_konfidensniveau)/2,0,1)-Eu_tabel_g[[#This Row],[x base]],0,1,TRUE)</f>
        <v>5.9519194294059163E-2</v>
      </c>
      <c r="CR127" s="54" t="e" cm="1">
        <f t="array" ref="CR127">IF($CR$3,INDEX(Eu_tabel_g[[#This Row],[Styrke venstre]:[Styrke tosidet]],CR$7),NA())</f>
        <v>#N/A</v>
      </c>
      <c r="CS127" s="89" t="e">
        <f>Eu_tabel_g[[#This Row],[Falsk positiv
Nulhypotese accepteres
Fejltype 1]]</f>
        <v>#N/A</v>
      </c>
      <c r="CT127" s="89" t="e">
        <f>IF(CHOOSE(CR$7,Eu_tabel_g[[#This Row],[x base]]&gt;0,Eu_tabel_g[[#This Row],[x base]]&lt;0,Eu_tabel_g[[#This Row],[x base]]=0),Eu_tabel_g[[#This Row],[Styrke, aktiv]],NA())</f>
        <v>#N/A</v>
      </c>
      <c r="CU127" s="89" t="e">
        <f>IFERROR(IF($CR$3,Eu_tabel_g[[#This Row],[Styrke, aktiv]],NA()),NA())</f>
        <v>#N/A</v>
      </c>
      <c r="CV127" s="89" t="e">
        <f>IF(ISNA(Eu_tabel_g[[#This Row],[Sand negativ
Nulhypotese afvises
Korrekt]]),NA(),IF($CR$3,1,NA()))</f>
        <v>#N/A</v>
      </c>
      <c r="CW127" s="56" t="str" cm="1">
        <f t="array" ref="CW127">_xlfn.SWITCH(BZ127,_xlfn.IFNA(CU$2,-99),CU$5,_xlfn.IFNA(CU$3,-99),CU$6,_xlfn.IFNA(CU$4,-99),CU$7,"")</f>
        <v/>
      </c>
      <c r="DA127" s="7">
        <f t="shared" si="156"/>
        <v>0.8</v>
      </c>
      <c r="DB127">
        <f>IF(ROW(Styrkeberegning_G[[#This Row],[X base venstre]])=ROW(Styrkeberegning_G[[#Headers],[X base venstre]])+1,DB$7/(DA$7/$B$67),DB126/(DA126/$B$67))</f>
        <v>-2.8015817870135784</v>
      </c>
      <c r="DC127">
        <f>Styrkeberegning_G[[#This Row],[X base venstre]]*-1</f>
        <v>2.8015817870135784</v>
      </c>
      <c r="DN127" s="54">
        <f t="shared" si="157"/>
        <v>117</v>
      </c>
      <c r="DO127" s="54">
        <f t="shared" si="158"/>
        <v>118</v>
      </c>
      <c r="DP127" s="54">
        <f t="shared" si="159"/>
        <v>15.180142865442807</v>
      </c>
      <c r="DQ127" s="54" t="e">
        <f t="shared" si="160"/>
        <v>#N/A</v>
      </c>
      <c r="DR127" s="54" t="e">
        <f t="shared" si="161"/>
        <v>#N/A</v>
      </c>
      <c r="DS127" s="54">
        <f t="shared" si="162"/>
        <v>4.4146215782358278E-2</v>
      </c>
      <c r="DT127" s="54" t="e">
        <f t="shared" si="163"/>
        <v>#N/A</v>
      </c>
      <c r="DU127" s="54" t="b">
        <f t="shared" si="164"/>
        <v>0</v>
      </c>
      <c r="DV127" s="54" t="b">
        <f t="shared" si="165"/>
        <v>1</v>
      </c>
      <c r="DW127" s="54" t="b">
        <f t="shared" si="166"/>
        <v>0</v>
      </c>
      <c r="DX127" s="54" t="b">
        <f t="shared" si="167"/>
        <v>1</v>
      </c>
      <c r="DY127" s="54">
        <f t="shared" si="168"/>
        <v>4.4146215782358278E-2</v>
      </c>
      <c r="DZ127" s="54" t="e">
        <f t="shared" si="169"/>
        <v>#N/A</v>
      </c>
      <c r="EA127" s="54">
        <f t="shared" si="170"/>
        <v>4.4146215782358278E-2</v>
      </c>
      <c r="EB127" s="69" t="str">
        <f t="shared" si="171"/>
        <v/>
      </c>
      <c r="EG127" s="54">
        <f t="shared" si="172"/>
        <v>117</v>
      </c>
      <c r="EH127" s="54">
        <f t="shared" si="173"/>
        <v>118</v>
      </c>
      <c r="EI127" s="54">
        <f t="shared" si="174"/>
        <v>-0.28746347034119202</v>
      </c>
      <c r="EJ127" s="54">
        <f t="shared" si="175"/>
        <v>0.38279481799811688</v>
      </c>
      <c r="EK127" s="54" t="e">
        <f t="shared" si="176"/>
        <v>#N/A</v>
      </c>
      <c r="EL127" s="54" t="e">
        <f t="shared" si="177"/>
        <v>#N/A</v>
      </c>
      <c r="EM127" s="54" t="e">
        <f t="shared" si="178"/>
        <v>#N/A</v>
      </c>
      <c r="EN127" s="54" t="b">
        <f t="shared" si="179"/>
        <v>0</v>
      </c>
      <c r="EO127" s="54" t="b">
        <f t="shared" si="180"/>
        <v>1</v>
      </c>
      <c r="EP127" s="54" t="b">
        <f t="shared" si="181"/>
        <v>0</v>
      </c>
      <c r="EQ127" s="54" t="b">
        <f t="shared" si="182"/>
        <v>1</v>
      </c>
      <c r="ER127" s="54">
        <f t="shared" si="183"/>
        <v>0.38279481799811688</v>
      </c>
      <c r="ES127" s="54" t="e">
        <f t="shared" si="184"/>
        <v>#N/A</v>
      </c>
      <c r="ET127" s="54">
        <f t="shared" si="185"/>
        <v>0.38279481799811688</v>
      </c>
      <c r="EU127" s="69" t="str">
        <f t="shared" si="186"/>
        <v/>
      </c>
      <c r="EV12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2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2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27" s="54" t="e" cm="1">
        <f t="array" ref="EY127">IF($CR$3,INDEX(Eu_tabel_a[[#This Row],[Styrke venstre]:[Styrke tosidet]],EY$7),NA())</f>
        <v>#N/A</v>
      </c>
      <c r="EZ127" s="54" t="e">
        <f>IF(EY$3,IF(CHOOSE(EY$7,Eu_tabel_a[[#This Row],[x base]]&gt;0,Eu_tabel_a[[#This Row],[x base]]&lt;0,Eu_tabel_a[[#This Row],[x base]]=0),1,NA()),NA())</f>
        <v>#N/A</v>
      </c>
      <c r="FA127" s="54" t="e">
        <f>IF(CHOOSE(EY$7,Eu_tabel_a[[#This Row],[x base]]&gt;0,Eu_tabel_a[[#This Row],[x base]]&lt;0,Eu_tabel_a[[#This Row],[x base]]=0),Eu_tabel_a[[#This Row],[Styrke, aktiv]],NA())</f>
        <v>#N/A</v>
      </c>
      <c r="FB127" s="54" t="e">
        <f>IFERROR(IF($EY$3,Eu_tabel_a[[#This Row],[Styrke, aktiv]],NA()),NA())</f>
        <v>#N/A</v>
      </c>
      <c r="FC127" s="54" t="e">
        <f>IF(ISNA(Eu_tabel_a[[#This Row],[Sand negativ
Nulhypotese afvises
Korrekt]]),NA(),IF(EY$3,1,NA()))</f>
        <v>#N/A</v>
      </c>
      <c r="FD127" s="55" t="str" cm="1">
        <f t="array" ref="FD127">IFERROR(_xlfn.SWITCH(Eu_tabel_a[[#This Row],[Indeks]],_xlfn.IFNA(FB$2,-99),FB$5,_xlfn.IFNA(FB$3,-99),FB$6,_xlfn.IFNA(FB$4,-99),FB$7,""),"")</f>
        <v/>
      </c>
      <c r="FE127" s="54">
        <f>Eu_tabel_a[[#This Row],[x base]]*SQRT(Eu_a_h0_x*(1-Eu_a_h0_x)/Eu_a_n_x)+Eu_a_h0_x</f>
        <v>0</v>
      </c>
      <c r="FJ127" s="144" t="e">
        <f t="shared" si="130"/>
        <v>#N/A</v>
      </c>
      <c r="FK127" s="152" t="e">
        <f t="shared" si="218"/>
        <v>#DIV/0!</v>
      </c>
      <c r="FL127" s="7" t="e">
        <f t="shared" si="124"/>
        <v>#DIV/0!</v>
      </c>
      <c r="FM127" t="e">
        <f t="shared" si="219"/>
        <v>#DIV/0!</v>
      </c>
      <c r="FN127" s="8" t="e">
        <f t="shared" si="220"/>
        <v>#DIV/0!</v>
      </c>
      <c r="FO127" s="8" t="e">
        <f t="shared" si="221"/>
        <v>#DIV/0!</v>
      </c>
      <c r="FP127" s="151" t="e">
        <f t="shared" si="222"/>
        <v>#DIV/0!</v>
      </c>
      <c r="FQ127" s="144" t="e">
        <f t="shared" ca="1" si="125"/>
        <v>#N/A</v>
      </c>
      <c r="FR127" s="152" t="e" vm="3">
        <f t="shared" ca="1" si="131"/>
        <v>#VALUE!</v>
      </c>
      <c r="FS127" s="7" t="e" vm="3">
        <f t="shared" ca="1" si="126"/>
        <v>#VALUE!</v>
      </c>
      <c r="FT127" t="e" vm="3">
        <f t="shared" ca="1" si="120"/>
        <v>#VALUE!</v>
      </c>
      <c r="FU127" s="8" t="e" vm="3">
        <f t="shared" ca="1" si="121"/>
        <v>#VALUE!</v>
      </c>
      <c r="FV127" s="8" t="e" vm="3">
        <f t="shared" ca="1" si="122"/>
        <v>#VALUE!</v>
      </c>
      <c r="FW127" s="151" t="e" vm="3">
        <f t="shared" ca="1" si="123"/>
        <v>#VALUE!</v>
      </c>
      <c r="FX127" s="144" t="e">
        <f t="shared" si="127"/>
        <v>#N/A</v>
      </c>
      <c r="FY127" s="152" t="e">
        <f t="shared" si="132"/>
        <v>#N/A</v>
      </c>
      <c r="FZ127" s="7" t="e">
        <f t="shared" si="128"/>
        <v>#N/A</v>
      </c>
      <c r="GA127" t="e">
        <f t="shared" si="133"/>
        <v>#N/A</v>
      </c>
      <c r="GB127" s="8" t="e">
        <f t="shared" si="134"/>
        <v>#N/A</v>
      </c>
      <c r="GC127" s="8" t="e">
        <f t="shared" si="135"/>
        <v>#N/A</v>
      </c>
      <c r="GD127" s="151" t="e">
        <f t="shared" si="136"/>
        <v>#N/A</v>
      </c>
      <c r="GE127" s="144" t="e">
        <f t="shared" si="137"/>
        <v>#N/A</v>
      </c>
      <c r="GF127" s="152" t="e">
        <f t="shared" si="138"/>
        <v>#N/A</v>
      </c>
      <c r="GG127" s="7" t="e">
        <f t="shared" si="129"/>
        <v>#N/A</v>
      </c>
      <c r="GH127" t="e">
        <f t="shared" si="139"/>
        <v>#N/A</v>
      </c>
      <c r="GI127" s="8" t="e">
        <f t="shared" si="140"/>
        <v>#N/A</v>
      </c>
      <c r="GJ127" s="8" t="e">
        <f t="shared" si="141"/>
        <v>#N/A</v>
      </c>
      <c r="GK127" s="151" t="e">
        <f t="shared" si="142"/>
        <v>#N/A</v>
      </c>
      <c r="GL127" s="151"/>
      <c r="GM127" s="151"/>
      <c r="GP127" s="54">
        <f t="shared" si="187"/>
        <v>117</v>
      </c>
      <c r="GQ127" s="54">
        <f t="shared" si="188"/>
        <v>118</v>
      </c>
      <c r="GR127" s="54">
        <f t="shared" si="189"/>
        <v>-0.28746347034119202</v>
      </c>
      <c r="GS127" s="54">
        <f t="shared" si="190"/>
        <v>0.38279481799811688</v>
      </c>
      <c r="GT127" s="54" t="e">
        <f t="shared" si="191"/>
        <v>#N/A</v>
      </c>
      <c r="GU127" s="54" t="e">
        <f t="shared" si="192"/>
        <v>#N/A</v>
      </c>
      <c r="GV127" s="54" t="e">
        <f t="shared" si="193"/>
        <v>#N/A</v>
      </c>
      <c r="GW127" s="54" t="b">
        <f t="shared" si="194"/>
        <v>0</v>
      </c>
      <c r="GX127" s="54" t="b">
        <f t="shared" si="195"/>
        <v>1</v>
      </c>
      <c r="GY127" s="54" t="b">
        <f t="shared" si="196"/>
        <v>0</v>
      </c>
      <c r="GZ127" s="54" t="b">
        <f t="shared" si="197"/>
        <v>1</v>
      </c>
      <c r="HA127" s="54">
        <f t="shared" si="198"/>
        <v>0.38279481799811688</v>
      </c>
      <c r="HB127" s="54" t="e">
        <f t="shared" si="199"/>
        <v>#N/A</v>
      </c>
      <c r="HC127" s="54">
        <f t="shared" si="200"/>
        <v>0.38279481799811688</v>
      </c>
      <c r="HD127" s="69" t="str">
        <f t="shared" si="201"/>
        <v/>
      </c>
      <c r="HJ127" s="54">
        <f t="shared" si="202"/>
        <v>117</v>
      </c>
      <c r="HK127" s="54">
        <f t="shared" si="203"/>
        <v>118</v>
      </c>
      <c r="HL127" s="54">
        <f t="shared" si="204"/>
        <v>-0.44514322126868233</v>
      </c>
      <c r="HM127" s="54" t="e">
        <f t="shared" si="205"/>
        <v>#N/A</v>
      </c>
      <c r="HN127" s="54">
        <f t="shared" si="206"/>
        <v>0.34431748323144512</v>
      </c>
      <c r="HO127" s="54" t="e">
        <f t="shared" si="207"/>
        <v>#N/A</v>
      </c>
      <c r="HP127" s="54" t="e">
        <f t="shared" si="208"/>
        <v>#N/A</v>
      </c>
      <c r="HQ127" s="54" t="b">
        <f t="shared" si="209"/>
        <v>1</v>
      </c>
      <c r="HR127" s="54" t="b">
        <f t="shared" si="210"/>
        <v>0</v>
      </c>
      <c r="HS127" s="54" t="b">
        <f t="shared" si="211"/>
        <v>0</v>
      </c>
      <c r="HT127" s="54" t="b">
        <f t="shared" si="212"/>
        <v>1</v>
      </c>
      <c r="HU127" s="54">
        <f t="shared" si="213"/>
        <v>0.34431748323144512</v>
      </c>
      <c r="HV127" s="54">
        <f t="shared" si="214"/>
        <v>0.34431748323144512</v>
      </c>
      <c r="HW127" s="54" t="e">
        <f t="shared" si="215"/>
        <v>#N/A</v>
      </c>
      <c r="HX127" s="69" t="str">
        <f t="shared" si="216"/>
        <v/>
      </c>
    </row>
    <row r="128" spans="78:232" x14ac:dyDescent="0.2">
      <c r="BZ128" s="54">
        <f t="shared" si="143"/>
        <v>118</v>
      </c>
      <c r="CA128" s="54">
        <f>Eu_tabel_g[[#This Row],[Indeks]]+1</f>
        <v>119</v>
      </c>
      <c r="CB128" s="54">
        <f t="shared" si="144"/>
        <v>-0.26350818114609265</v>
      </c>
      <c r="CC128" s="54">
        <f t="shared" si="145"/>
        <v>0.38532936613430413</v>
      </c>
      <c r="CD128" s="54" t="e">
        <f t="shared" si="146"/>
        <v>#N/A</v>
      </c>
      <c r="CE128" s="54" t="e">
        <f t="shared" si="147"/>
        <v>#N/A</v>
      </c>
      <c r="CF128" s="54" t="e">
        <f t="shared" si="148"/>
        <v>#N/A</v>
      </c>
      <c r="CG128" s="54" t="b">
        <f t="shared" si="149"/>
        <v>0</v>
      </c>
      <c r="CH128" s="54" t="b">
        <f t="shared" si="150"/>
        <v>1</v>
      </c>
      <c r="CI128" s="54" t="b">
        <f t="shared" si="151"/>
        <v>0</v>
      </c>
      <c r="CJ128" s="54" t="b">
        <f t="shared" si="152"/>
        <v>1</v>
      </c>
      <c r="CK128" s="54">
        <f t="shared" si="223"/>
        <v>0.38532936613430413</v>
      </c>
      <c r="CL128" s="54" t="e">
        <f t="shared" si="153"/>
        <v>#N/A</v>
      </c>
      <c r="CM128" s="54">
        <f t="shared" si="154"/>
        <v>0.38532936613430413</v>
      </c>
      <c r="CN128" s="69" t="str">
        <f t="shared" si="155"/>
        <v/>
      </c>
      <c r="CO128" s="54">
        <f>_xlfn.NORM.DIST(_xlfn.NORM.INV(1-Eu_g_konfidensniveau,0,1)-Eu_tabel_g[[#This Row],[x base]],0,1,TRUE)</f>
        <v>8.358638557164863E-2</v>
      </c>
      <c r="CP128" s="54">
        <f>1-_xlfn.NORM.DIST(_xlfn.NORM.INV(Eu_g_konfidensniveau,0,1)-Eu_tabel_g[[#This Row],[x base]],0,1,TRUE)</f>
        <v>2.8172234747108615E-2</v>
      </c>
      <c r="CQ128" s="54">
        <f>_xlfn.NORM.DIST(_xlfn.NORM.INV((1-Eu_g_konfidensniveau)/2,0,1)-Eu_tabel_g[[#This Row],[x base]],0,1,TRUE)+1-_xlfn.NORM.DIST(_xlfn.NORM.INV(1-(1-Eu_g_konfidensniveau)/2,0,1)-Eu_tabel_g[[#This Row],[x base]],0,1,TRUE)</f>
        <v>5.7991785795311168E-2</v>
      </c>
      <c r="CR128" s="54" t="e" cm="1">
        <f t="array" ref="CR128">IF($CR$3,INDEX(Eu_tabel_g[[#This Row],[Styrke venstre]:[Styrke tosidet]],CR$7),NA())</f>
        <v>#N/A</v>
      </c>
      <c r="CS128" s="89" t="e">
        <f>Eu_tabel_g[[#This Row],[Falsk positiv
Nulhypotese accepteres
Fejltype 1]]</f>
        <v>#N/A</v>
      </c>
      <c r="CT128" s="89" t="e">
        <f>IF(CHOOSE(CR$7,Eu_tabel_g[[#This Row],[x base]]&gt;0,Eu_tabel_g[[#This Row],[x base]]&lt;0,Eu_tabel_g[[#This Row],[x base]]=0),Eu_tabel_g[[#This Row],[Styrke, aktiv]],NA())</f>
        <v>#N/A</v>
      </c>
      <c r="CU128" s="89" t="e">
        <f>IFERROR(IF($CR$3,Eu_tabel_g[[#This Row],[Styrke, aktiv]],NA()),NA())</f>
        <v>#N/A</v>
      </c>
      <c r="CV128" s="89" t="e">
        <f>IF(ISNA(Eu_tabel_g[[#This Row],[Sand negativ
Nulhypotese afvises
Korrekt]]),NA(),IF($CR$3,1,NA()))</f>
        <v>#N/A</v>
      </c>
      <c r="CW128" s="56" t="str" cm="1">
        <f t="array" ref="CW128">_xlfn.SWITCH(BZ128,_xlfn.IFNA(CU$2,-99),CU$5,_xlfn.IFNA(CU$3,-99),CU$6,_xlfn.IFNA(CU$4,-99),CU$7,"")</f>
        <v/>
      </c>
      <c r="DA128" s="7">
        <f t="shared" si="156"/>
        <v>0.8</v>
      </c>
      <c r="DB128">
        <f>IF(ROW(Styrkeberegning_G[[#This Row],[X base venstre]])=ROW(Styrkeberegning_G[[#Headers],[X base venstre]])+1,DB$7/(DA$7/$B$67),DB127/(DA127/$B$67))</f>
        <v>-2.8015817870135784</v>
      </c>
      <c r="DC128">
        <f>Styrkeberegning_G[[#This Row],[X base venstre]]*-1</f>
        <v>2.8015817870135784</v>
      </c>
      <c r="DN128" s="54">
        <f t="shared" si="157"/>
        <v>118</v>
      </c>
      <c r="DO128" s="54">
        <f t="shared" si="158"/>
        <v>119</v>
      </c>
      <c r="DP128" s="54">
        <f t="shared" si="159"/>
        <v>15.294213721859808</v>
      </c>
      <c r="DQ128" s="54" t="e">
        <f t="shared" si="160"/>
        <v>#N/A</v>
      </c>
      <c r="DR128" s="54" t="e">
        <f t="shared" si="161"/>
        <v>#N/A</v>
      </c>
      <c r="DS128" s="54">
        <f t="shared" si="162"/>
        <v>4.3127485856716836E-2</v>
      </c>
      <c r="DT128" s="54" t="e">
        <f t="shared" si="163"/>
        <v>#N/A</v>
      </c>
      <c r="DU128" s="54" t="b">
        <f t="shared" si="164"/>
        <v>0</v>
      </c>
      <c r="DV128" s="54" t="b">
        <f t="shared" si="165"/>
        <v>1</v>
      </c>
      <c r="DW128" s="54" t="b">
        <f t="shared" si="166"/>
        <v>0</v>
      </c>
      <c r="DX128" s="54" t="b">
        <f t="shared" si="167"/>
        <v>1</v>
      </c>
      <c r="DY128" s="54">
        <f t="shared" si="168"/>
        <v>4.3127485856716836E-2</v>
      </c>
      <c r="DZ128" s="54" t="e">
        <f t="shared" si="169"/>
        <v>#N/A</v>
      </c>
      <c r="EA128" s="54">
        <f t="shared" si="170"/>
        <v>4.3127485856716836E-2</v>
      </c>
      <c r="EB128" s="69" t="str">
        <f t="shared" si="171"/>
        <v/>
      </c>
      <c r="EG128" s="54">
        <f t="shared" si="172"/>
        <v>118</v>
      </c>
      <c r="EH128" s="54">
        <f t="shared" si="173"/>
        <v>119</v>
      </c>
      <c r="EI128" s="54">
        <f t="shared" si="174"/>
        <v>-0.26350818114609265</v>
      </c>
      <c r="EJ128" s="54">
        <f t="shared" si="175"/>
        <v>0.38532936613430413</v>
      </c>
      <c r="EK128" s="54" t="e">
        <f t="shared" si="176"/>
        <v>#N/A</v>
      </c>
      <c r="EL128" s="54" t="e">
        <f t="shared" si="177"/>
        <v>#N/A</v>
      </c>
      <c r="EM128" s="54" t="e">
        <f t="shared" si="178"/>
        <v>#N/A</v>
      </c>
      <c r="EN128" s="54" t="b">
        <f t="shared" si="179"/>
        <v>0</v>
      </c>
      <c r="EO128" s="54" t="b">
        <f t="shared" si="180"/>
        <v>1</v>
      </c>
      <c r="EP128" s="54" t="b">
        <f t="shared" si="181"/>
        <v>0</v>
      </c>
      <c r="EQ128" s="54" t="b">
        <f t="shared" si="182"/>
        <v>1</v>
      </c>
      <c r="ER128" s="54">
        <f t="shared" si="183"/>
        <v>0.38532936613430413</v>
      </c>
      <c r="ES128" s="54" t="e">
        <f t="shared" si="184"/>
        <v>#N/A</v>
      </c>
      <c r="ET128" s="54">
        <f t="shared" si="185"/>
        <v>0.38532936613430413</v>
      </c>
      <c r="EU128" s="69" t="str">
        <f t="shared" si="186"/>
        <v/>
      </c>
      <c r="EV12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2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2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28" s="54" t="e" cm="1">
        <f t="array" ref="EY128">IF($CR$3,INDEX(Eu_tabel_a[[#This Row],[Styrke venstre]:[Styrke tosidet]],EY$7),NA())</f>
        <v>#N/A</v>
      </c>
      <c r="EZ128" s="54" t="e">
        <f>IF(EY$3,IF(CHOOSE(EY$7,Eu_tabel_a[[#This Row],[x base]]&gt;0,Eu_tabel_a[[#This Row],[x base]]&lt;0,Eu_tabel_a[[#This Row],[x base]]=0),1,NA()),NA())</f>
        <v>#N/A</v>
      </c>
      <c r="FA128" s="54" t="e">
        <f>IF(CHOOSE(EY$7,Eu_tabel_a[[#This Row],[x base]]&gt;0,Eu_tabel_a[[#This Row],[x base]]&lt;0,Eu_tabel_a[[#This Row],[x base]]=0),Eu_tabel_a[[#This Row],[Styrke, aktiv]],NA())</f>
        <v>#N/A</v>
      </c>
      <c r="FB128" s="54" t="e">
        <f>IFERROR(IF($EY$3,Eu_tabel_a[[#This Row],[Styrke, aktiv]],NA()),NA())</f>
        <v>#N/A</v>
      </c>
      <c r="FC128" s="54" t="e">
        <f>IF(ISNA(Eu_tabel_a[[#This Row],[Sand negativ
Nulhypotese afvises
Korrekt]]),NA(),IF(EY$3,1,NA()))</f>
        <v>#N/A</v>
      </c>
      <c r="FD128" s="55" t="str" cm="1">
        <f t="array" ref="FD128">IFERROR(_xlfn.SWITCH(Eu_tabel_a[[#This Row],[Indeks]],_xlfn.IFNA(FB$2,-99),FB$5,_xlfn.IFNA(FB$3,-99),FB$6,_xlfn.IFNA(FB$4,-99),FB$7,""),"")</f>
        <v/>
      </c>
      <c r="FE128" s="54">
        <f>Eu_tabel_a[[#This Row],[x base]]*SQRT(Eu_a_h0_x*(1-Eu_a_h0_x)/Eu_a_n_x)+Eu_a_h0_x</f>
        <v>0</v>
      </c>
      <c r="FJ128" s="144" t="e">
        <f t="shared" si="130"/>
        <v>#N/A</v>
      </c>
      <c r="FK128" s="152" t="e">
        <f t="shared" si="218"/>
        <v>#DIV/0!</v>
      </c>
      <c r="FL128" s="7" t="e">
        <f t="shared" si="124"/>
        <v>#DIV/0!</v>
      </c>
      <c r="FM128" t="e">
        <f t="shared" si="219"/>
        <v>#DIV/0!</v>
      </c>
      <c r="FN128" s="8" t="e">
        <f t="shared" si="220"/>
        <v>#DIV/0!</v>
      </c>
      <c r="FO128" s="8" t="e">
        <f t="shared" si="221"/>
        <v>#DIV/0!</v>
      </c>
      <c r="FP128" s="151" t="e">
        <f t="shared" si="222"/>
        <v>#DIV/0!</v>
      </c>
      <c r="FQ128" s="144" t="e">
        <f t="shared" ca="1" si="125"/>
        <v>#N/A</v>
      </c>
      <c r="FR128" s="152" t="e" vm="3">
        <f t="shared" ca="1" si="131"/>
        <v>#VALUE!</v>
      </c>
      <c r="FS128" s="7" t="e" vm="3">
        <f t="shared" ca="1" si="126"/>
        <v>#VALUE!</v>
      </c>
      <c r="FT128" t="e" vm="3">
        <f t="shared" ca="1" si="120"/>
        <v>#VALUE!</v>
      </c>
      <c r="FU128" s="8" t="e" vm="3">
        <f t="shared" ca="1" si="121"/>
        <v>#VALUE!</v>
      </c>
      <c r="FV128" s="8" t="e" vm="3">
        <f t="shared" ca="1" si="122"/>
        <v>#VALUE!</v>
      </c>
      <c r="FW128" s="151" t="e" vm="3">
        <f t="shared" ca="1" si="123"/>
        <v>#VALUE!</v>
      </c>
      <c r="FX128" s="144" t="e">
        <f t="shared" si="127"/>
        <v>#N/A</v>
      </c>
      <c r="FY128" s="152" t="e">
        <f t="shared" si="132"/>
        <v>#N/A</v>
      </c>
      <c r="FZ128" s="7" t="e">
        <f t="shared" si="128"/>
        <v>#N/A</v>
      </c>
      <c r="GA128" t="e">
        <f t="shared" si="133"/>
        <v>#N/A</v>
      </c>
      <c r="GB128" s="8" t="e">
        <f t="shared" si="134"/>
        <v>#N/A</v>
      </c>
      <c r="GC128" s="8" t="e">
        <f t="shared" si="135"/>
        <v>#N/A</v>
      </c>
      <c r="GD128" s="151" t="e">
        <f t="shared" si="136"/>
        <v>#N/A</v>
      </c>
      <c r="GE128" s="144" t="e">
        <f t="shared" si="137"/>
        <v>#N/A</v>
      </c>
      <c r="GF128" s="152" t="e">
        <f t="shared" si="138"/>
        <v>#N/A</v>
      </c>
      <c r="GG128" s="7" t="e">
        <f t="shared" si="129"/>
        <v>#N/A</v>
      </c>
      <c r="GH128" t="e">
        <f t="shared" si="139"/>
        <v>#N/A</v>
      </c>
      <c r="GI128" s="8" t="e">
        <f t="shared" si="140"/>
        <v>#N/A</v>
      </c>
      <c r="GJ128" s="8" t="e">
        <f t="shared" si="141"/>
        <v>#N/A</v>
      </c>
      <c r="GK128" s="151" t="e">
        <f t="shared" si="142"/>
        <v>#N/A</v>
      </c>
      <c r="GL128" s="151"/>
      <c r="GM128" s="151"/>
      <c r="GP128" s="54">
        <f t="shared" si="187"/>
        <v>118</v>
      </c>
      <c r="GQ128" s="54">
        <f t="shared" si="188"/>
        <v>119</v>
      </c>
      <c r="GR128" s="54">
        <f t="shared" si="189"/>
        <v>-0.26350818114609265</v>
      </c>
      <c r="GS128" s="54">
        <f t="shared" si="190"/>
        <v>0.38532936613430413</v>
      </c>
      <c r="GT128" s="54" t="e">
        <f t="shared" si="191"/>
        <v>#N/A</v>
      </c>
      <c r="GU128" s="54" t="e">
        <f t="shared" si="192"/>
        <v>#N/A</v>
      </c>
      <c r="GV128" s="54" t="e">
        <f t="shared" si="193"/>
        <v>#N/A</v>
      </c>
      <c r="GW128" s="54" t="b">
        <f t="shared" si="194"/>
        <v>0</v>
      </c>
      <c r="GX128" s="54" t="b">
        <f t="shared" si="195"/>
        <v>1</v>
      </c>
      <c r="GY128" s="54" t="b">
        <f t="shared" si="196"/>
        <v>0</v>
      </c>
      <c r="GZ128" s="54" t="b">
        <f t="shared" si="197"/>
        <v>1</v>
      </c>
      <c r="HA128" s="54">
        <f t="shared" si="198"/>
        <v>0.38532936613430413</v>
      </c>
      <c r="HB128" s="54" t="e">
        <f t="shared" si="199"/>
        <v>#N/A</v>
      </c>
      <c r="HC128" s="54">
        <f t="shared" si="200"/>
        <v>0.38532936613430413</v>
      </c>
      <c r="HD128" s="69" t="str">
        <f t="shared" si="201"/>
        <v/>
      </c>
      <c r="HJ128" s="54">
        <f t="shared" si="202"/>
        <v>118</v>
      </c>
      <c r="HK128" s="54">
        <f t="shared" si="203"/>
        <v>119</v>
      </c>
      <c r="HL128" s="54">
        <f t="shared" si="204"/>
        <v>-0.4080479528296248</v>
      </c>
      <c r="HM128" s="54" t="e">
        <f t="shared" si="205"/>
        <v>#N/A</v>
      </c>
      <c r="HN128" s="54">
        <f t="shared" si="206"/>
        <v>0.35044031794837699</v>
      </c>
      <c r="HO128" s="54" t="e">
        <f t="shared" si="207"/>
        <v>#N/A</v>
      </c>
      <c r="HP128" s="54" t="e">
        <f t="shared" si="208"/>
        <v>#N/A</v>
      </c>
      <c r="HQ128" s="54" t="b">
        <f t="shared" si="209"/>
        <v>1</v>
      </c>
      <c r="HR128" s="54" t="b">
        <f t="shared" si="210"/>
        <v>0</v>
      </c>
      <c r="HS128" s="54" t="b">
        <f t="shared" si="211"/>
        <v>0</v>
      </c>
      <c r="HT128" s="54" t="b">
        <f t="shared" si="212"/>
        <v>1</v>
      </c>
      <c r="HU128" s="54">
        <f t="shared" si="213"/>
        <v>0.35044031794837699</v>
      </c>
      <c r="HV128" s="54">
        <f t="shared" si="214"/>
        <v>0.35044031794837699</v>
      </c>
      <c r="HW128" s="54" t="e">
        <f t="shared" si="215"/>
        <v>#N/A</v>
      </c>
      <c r="HX128" s="69" t="str">
        <f t="shared" si="216"/>
        <v/>
      </c>
    </row>
    <row r="129" spans="78:232" x14ac:dyDescent="0.2">
      <c r="BZ129" s="54">
        <f t="shared" si="143"/>
        <v>119</v>
      </c>
      <c r="CA129" s="54">
        <f>Eu_tabel_g[[#This Row],[Indeks]]+1</f>
        <v>120</v>
      </c>
      <c r="CB129" s="54">
        <f t="shared" si="144"/>
        <v>-0.23955289195099327</v>
      </c>
      <c r="CC129" s="54">
        <f t="shared" si="145"/>
        <v>0.38765817217124104</v>
      </c>
      <c r="CD129" s="54" t="e">
        <f t="shared" si="146"/>
        <v>#N/A</v>
      </c>
      <c r="CE129" s="54" t="e">
        <f t="shared" si="147"/>
        <v>#N/A</v>
      </c>
      <c r="CF129" s="54" t="e">
        <f t="shared" si="148"/>
        <v>#N/A</v>
      </c>
      <c r="CG129" s="54" t="b">
        <f t="shared" si="149"/>
        <v>0</v>
      </c>
      <c r="CH129" s="54" t="b">
        <f t="shared" si="150"/>
        <v>1</v>
      </c>
      <c r="CI129" s="54" t="b">
        <f t="shared" si="151"/>
        <v>0</v>
      </c>
      <c r="CJ129" s="54" t="b">
        <f t="shared" si="152"/>
        <v>1</v>
      </c>
      <c r="CK129" s="54">
        <f t="shared" si="223"/>
        <v>0.38765817217124104</v>
      </c>
      <c r="CL129" s="54" t="e">
        <f t="shared" si="153"/>
        <v>#N/A</v>
      </c>
      <c r="CM129" s="54">
        <f t="shared" si="154"/>
        <v>0.38765817217124104</v>
      </c>
      <c r="CN129" s="69" t="str">
        <f t="shared" si="155"/>
        <v/>
      </c>
      <c r="CO129" s="54">
        <f>_xlfn.NORM.DIST(_xlfn.NORM.INV(1-Eu_g_konfidensniveau,0,1)-Eu_tabel_g[[#This Row],[x base]],0,1,TRUE)</f>
        <v>7.9965934948739603E-2</v>
      </c>
      <c r="CP129" s="54">
        <f>1-_xlfn.NORM.DIST(_xlfn.NORM.INV(Eu_g_konfidensniveau,0,1)-Eu_tabel_g[[#This Row],[x base]],0,1,TRUE)</f>
        <v>2.9755004368531734E-2</v>
      </c>
      <c r="CQ129" s="54">
        <f>_xlfn.NORM.DIST(_xlfn.NORM.INV((1-Eu_g_konfidensniveau)/2,0,1)-Eu_tabel_g[[#This Row],[x base]],0,1,TRUE)+1-_xlfn.NORM.DIST(_xlfn.NORM.INV(1-(1-Eu_g_konfidensniveau)/2,0,1)-Eu_tabel_g[[#This Row],[x base]],0,1,TRUE)</f>
        <v>5.6599466268946075E-2</v>
      </c>
      <c r="CR129" s="54" t="e" cm="1">
        <f t="array" ref="CR129">IF($CR$3,INDEX(Eu_tabel_g[[#This Row],[Styrke venstre]:[Styrke tosidet]],CR$7),NA())</f>
        <v>#N/A</v>
      </c>
      <c r="CS129" s="89" t="e">
        <f>Eu_tabel_g[[#This Row],[Falsk positiv
Nulhypotese accepteres
Fejltype 1]]</f>
        <v>#N/A</v>
      </c>
      <c r="CT129" s="89" t="e">
        <f>IF(CHOOSE(CR$7,Eu_tabel_g[[#This Row],[x base]]&gt;0,Eu_tabel_g[[#This Row],[x base]]&lt;0,Eu_tabel_g[[#This Row],[x base]]=0),Eu_tabel_g[[#This Row],[Styrke, aktiv]],NA())</f>
        <v>#N/A</v>
      </c>
      <c r="CU129" s="89" t="e">
        <f>IFERROR(IF($CR$3,Eu_tabel_g[[#This Row],[Styrke, aktiv]],NA()),NA())</f>
        <v>#N/A</v>
      </c>
      <c r="CV129" s="89" t="e">
        <f>IF(ISNA(Eu_tabel_g[[#This Row],[Sand negativ
Nulhypotese afvises
Korrekt]]),NA(),IF($CR$3,1,NA()))</f>
        <v>#N/A</v>
      </c>
      <c r="CW129" s="56" t="str" cm="1">
        <f t="array" ref="CW129">_xlfn.SWITCH(BZ129,_xlfn.IFNA(CU$2,-99),CU$5,_xlfn.IFNA(CU$3,-99),CU$6,_xlfn.IFNA(CU$4,-99),CU$7,"")</f>
        <v/>
      </c>
      <c r="DA129" s="7">
        <f t="shared" si="156"/>
        <v>0.8</v>
      </c>
      <c r="DB129">
        <f>IF(ROW(Styrkeberegning_G[[#This Row],[X base venstre]])=ROW(Styrkeberegning_G[[#Headers],[X base venstre]])+1,DB$7/(DA$7/$B$67),DB128/(DA128/$B$67))</f>
        <v>-2.8015817870135784</v>
      </c>
      <c r="DC129">
        <f>Styrkeberegning_G[[#This Row],[X base venstre]]*-1</f>
        <v>2.8015817870135784</v>
      </c>
      <c r="DN129" s="54">
        <f t="shared" si="157"/>
        <v>119</v>
      </c>
      <c r="DO129" s="54">
        <f t="shared" si="158"/>
        <v>120</v>
      </c>
      <c r="DP129" s="54">
        <f t="shared" si="159"/>
        <v>15.40828457827681</v>
      </c>
      <c r="DQ129" s="54" t="e">
        <f t="shared" si="160"/>
        <v>#N/A</v>
      </c>
      <c r="DR129" s="54" t="e">
        <f t="shared" si="161"/>
        <v>#N/A</v>
      </c>
      <c r="DS129" s="54">
        <f t="shared" si="162"/>
        <v>4.2121718601716034E-2</v>
      </c>
      <c r="DT129" s="54" t="e">
        <f t="shared" si="163"/>
        <v>#N/A</v>
      </c>
      <c r="DU129" s="54" t="b">
        <f t="shared" si="164"/>
        <v>0</v>
      </c>
      <c r="DV129" s="54" t="b">
        <f t="shared" si="165"/>
        <v>1</v>
      </c>
      <c r="DW129" s="54" t="b">
        <f t="shared" si="166"/>
        <v>0</v>
      </c>
      <c r="DX129" s="54" t="b">
        <f t="shared" si="167"/>
        <v>1</v>
      </c>
      <c r="DY129" s="54">
        <f t="shared" si="168"/>
        <v>4.2121718601716034E-2</v>
      </c>
      <c r="DZ129" s="54" t="e">
        <f t="shared" si="169"/>
        <v>#N/A</v>
      </c>
      <c r="EA129" s="54">
        <f t="shared" si="170"/>
        <v>4.2121718601716034E-2</v>
      </c>
      <c r="EB129" s="69" t="str">
        <f t="shared" si="171"/>
        <v/>
      </c>
      <c r="EG129" s="54">
        <f t="shared" si="172"/>
        <v>119</v>
      </c>
      <c r="EH129" s="54">
        <f t="shared" si="173"/>
        <v>120</v>
      </c>
      <c r="EI129" s="54">
        <f t="shared" si="174"/>
        <v>-0.23955289195099327</v>
      </c>
      <c r="EJ129" s="54">
        <f t="shared" si="175"/>
        <v>0.38765817217124104</v>
      </c>
      <c r="EK129" s="54" t="e">
        <f t="shared" si="176"/>
        <v>#N/A</v>
      </c>
      <c r="EL129" s="54" t="e">
        <f t="shared" si="177"/>
        <v>#N/A</v>
      </c>
      <c r="EM129" s="54" t="e">
        <f t="shared" si="178"/>
        <v>#N/A</v>
      </c>
      <c r="EN129" s="54" t="b">
        <f t="shared" si="179"/>
        <v>0</v>
      </c>
      <c r="EO129" s="54" t="b">
        <f t="shared" si="180"/>
        <v>1</v>
      </c>
      <c r="EP129" s="54" t="b">
        <f t="shared" si="181"/>
        <v>0</v>
      </c>
      <c r="EQ129" s="54" t="b">
        <f t="shared" si="182"/>
        <v>1</v>
      </c>
      <c r="ER129" s="54">
        <f t="shared" si="183"/>
        <v>0.38765817217124104</v>
      </c>
      <c r="ES129" s="54" t="e">
        <f t="shared" si="184"/>
        <v>#N/A</v>
      </c>
      <c r="ET129" s="54">
        <f t="shared" si="185"/>
        <v>0.38765817217124104</v>
      </c>
      <c r="EU129" s="69" t="str">
        <f t="shared" si="186"/>
        <v/>
      </c>
      <c r="EV12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2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2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29" s="54" t="e" cm="1">
        <f t="array" ref="EY129">IF($CR$3,INDEX(Eu_tabel_a[[#This Row],[Styrke venstre]:[Styrke tosidet]],EY$7),NA())</f>
        <v>#N/A</v>
      </c>
      <c r="EZ129" s="54" t="e">
        <f>IF(EY$3,IF(CHOOSE(EY$7,Eu_tabel_a[[#This Row],[x base]]&gt;0,Eu_tabel_a[[#This Row],[x base]]&lt;0,Eu_tabel_a[[#This Row],[x base]]=0),1,NA()),NA())</f>
        <v>#N/A</v>
      </c>
      <c r="FA129" s="54" t="e">
        <f>IF(CHOOSE(EY$7,Eu_tabel_a[[#This Row],[x base]]&gt;0,Eu_tabel_a[[#This Row],[x base]]&lt;0,Eu_tabel_a[[#This Row],[x base]]=0),Eu_tabel_a[[#This Row],[Styrke, aktiv]],NA())</f>
        <v>#N/A</v>
      </c>
      <c r="FB129" s="54" t="e">
        <f>IFERROR(IF($EY$3,Eu_tabel_a[[#This Row],[Styrke, aktiv]],NA()),NA())</f>
        <v>#N/A</v>
      </c>
      <c r="FC129" s="54" t="e">
        <f>IF(ISNA(Eu_tabel_a[[#This Row],[Sand negativ
Nulhypotese afvises
Korrekt]]),NA(),IF(EY$3,1,NA()))</f>
        <v>#N/A</v>
      </c>
      <c r="FD129" s="55" t="str" cm="1">
        <f t="array" ref="FD129">IFERROR(_xlfn.SWITCH(Eu_tabel_a[[#This Row],[Indeks]],_xlfn.IFNA(FB$2,-99),FB$5,_xlfn.IFNA(FB$3,-99),FB$6,_xlfn.IFNA(FB$4,-99),FB$7,""),"")</f>
        <v/>
      </c>
      <c r="FE129" s="54">
        <f>Eu_tabel_a[[#This Row],[x base]]*SQRT(Eu_a_h0_x*(1-Eu_a_h0_x)/Eu_a_n_x)+Eu_a_h0_x</f>
        <v>0</v>
      </c>
      <c r="FJ129" s="144" t="e">
        <f t="shared" si="130"/>
        <v>#N/A</v>
      </c>
      <c r="FK129" s="152" t="e">
        <f t="shared" si="218"/>
        <v>#DIV/0!</v>
      </c>
      <c r="FL129" s="7" t="e">
        <f t="shared" si="124"/>
        <v>#DIV/0!</v>
      </c>
      <c r="FM129" t="e">
        <f t="shared" si="219"/>
        <v>#DIV/0!</v>
      </c>
      <c r="FN129" s="8" t="e">
        <f t="shared" si="220"/>
        <v>#DIV/0!</v>
      </c>
      <c r="FO129" s="8" t="e">
        <f t="shared" si="221"/>
        <v>#DIV/0!</v>
      </c>
      <c r="FP129" s="151" t="e">
        <f t="shared" si="222"/>
        <v>#DIV/0!</v>
      </c>
      <c r="FQ129" s="144" t="e">
        <f t="shared" ca="1" si="125"/>
        <v>#N/A</v>
      </c>
      <c r="FR129" s="152" t="e" vm="3">
        <f t="shared" ca="1" si="131"/>
        <v>#VALUE!</v>
      </c>
      <c r="FS129" s="7" t="e" vm="3">
        <f t="shared" ca="1" si="126"/>
        <v>#VALUE!</v>
      </c>
      <c r="FT129" t="e" vm="3">
        <f t="shared" ca="1" si="120"/>
        <v>#VALUE!</v>
      </c>
      <c r="FU129" s="8" t="e" vm="3">
        <f t="shared" ca="1" si="121"/>
        <v>#VALUE!</v>
      </c>
      <c r="FV129" s="8" t="e" vm="3">
        <f t="shared" ca="1" si="122"/>
        <v>#VALUE!</v>
      </c>
      <c r="FW129" s="151" t="e" vm="3">
        <f t="shared" ca="1" si="123"/>
        <v>#VALUE!</v>
      </c>
      <c r="FX129" s="144" t="e">
        <f t="shared" si="127"/>
        <v>#N/A</v>
      </c>
      <c r="FY129" s="152" t="e">
        <f t="shared" si="132"/>
        <v>#N/A</v>
      </c>
      <c r="FZ129" s="7" t="e">
        <f t="shared" si="128"/>
        <v>#N/A</v>
      </c>
      <c r="GA129" t="e">
        <f t="shared" si="133"/>
        <v>#N/A</v>
      </c>
      <c r="GB129" s="8" t="e">
        <f t="shared" si="134"/>
        <v>#N/A</v>
      </c>
      <c r="GC129" s="8" t="e">
        <f t="shared" si="135"/>
        <v>#N/A</v>
      </c>
      <c r="GD129" s="151" t="e">
        <f t="shared" si="136"/>
        <v>#N/A</v>
      </c>
      <c r="GE129" s="144" t="e">
        <f t="shared" si="137"/>
        <v>#N/A</v>
      </c>
      <c r="GF129" s="152" t="e">
        <f t="shared" si="138"/>
        <v>#N/A</v>
      </c>
      <c r="GG129" s="7" t="e">
        <f t="shared" si="129"/>
        <v>#N/A</v>
      </c>
      <c r="GH129" t="e">
        <f t="shared" si="139"/>
        <v>#N/A</v>
      </c>
      <c r="GI129" s="8" t="e">
        <f t="shared" si="140"/>
        <v>#N/A</v>
      </c>
      <c r="GJ129" s="8" t="e">
        <f t="shared" si="141"/>
        <v>#N/A</v>
      </c>
      <c r="GK129" s="151" t="e">
        <f t="shared" si="142"/>
        <v>#N/A</v>
      </c>
      <c r="GL129" s="151"/>
      <c r="GM129" s="151"/>
      <c r="GP129" s="54">
        <f t="shared" si="187"/>
        <v>119</v>
      </c>
      <c r="GQ129" s="54">
        <f t="shared" si="188"/>
        <v>120</v>
      </c>
      <c r="GR129" s="54">
        <f t="shared" si="189"/>
        <v>-0.23955289195099327</v>
      </c>
      <c r="GS129" s="54">
        <f t="shared" si="190"/>
        <v>0.38765817217124104</v>
      </c>
      <c r="GT129" s="54" t="e">
        <f t="shared" si="191"/>
        <v>#N/A</v>
      </c>
      <c r="GU129" s="54" t="e">
        <f t="shared" si="192"/>
        <v>#N/A</v>
      </c>
      <c r="GV129" s="54" t="e">
        <f t="shared" si="193"/>
        <v>#N/A</v>
      </c>
      <c r="GW129" s="54" t="b">
        <f t="shared" si="194"/>
        <v>0</v>
      </c>
      <c r="GX129" s="54" t="b">
        <f t="shared" si="195"/>
        <v>1</v>
      </c>
      <c r="GY129" s="54" t="b">
        <f t="shared" si="196"/>
        <v>0</v>
      </c>
      <c r="GZ129" s="54" t="b">
        <f t="shared" si="197"/>
        <v>1</v>
      </c>
      <c r="HA129" s="54">
        <f t="shared" si="198"/>
        <v>0.38765817217124104</v>
      </c>
      <c r="HB129" s="54" t="e">
        <f t="shared" si="199"/>
        <v>#N/A</v>
      </c>
      <c r="HC129" s="54">
        <f t="shared" si="200"/>
        <v>0.38765817217124104</v>
      </c>
      <c r="HD129" s="69" t="str">
        <f t="shared" si="201"/>
        <v/>
      </c>
      <c r="HJ129" s="54">
        <f t="shared" si="202"/>
        <v>119</v>
      </c>
      <c r="HK129" s="54">
        <f t="shared" si="203"/>
        <v>120</v>
      </c>
      <c r="HL129" s="54">
        <f t="shared" si="204"/>
        <v>-0.37095268439056817</v>
      </c>
      <c r="HM129" s="54" t="e">
        <f t="shared" si="205"/>
        <v>#N/A</v>
      </c>
      <c r="HN129" s="54">
        <f t="shared" si="206"/>
        <v>0.35615003188924521</v>
      </c>
      <c r="HO129" s="54" t="e">
        <f t="shared" si="207"/>
        <v>#N/A</v>
      </c>
      <c r="HP129" s="54" t="e">
        <f t="shared" si="208"/>
        <v>#N/A</v>
      </c>
      <c r="HQ129" s="54" t="b">
        <f t="shared" si="209"/>
        <v>1</v>
      </c>
      <c r="HR129" s="54" t="b">
        <f t="shared" si="210"/>
        <v>0</v>
      </c>
      <c r="HS129" s="54" t="b">
        <f t="shared" si="211"/>
        <v>0</v>
      </c>
      <c r="HT129" s="54" t="b">
        <f t="shared" si="212"/>
        <v>1</v>
      </c>
      <c r="HU129" s="54">
        <f t="shared" si="213"/>
        <v>0.35615003188924521</v>
      </c>
      <c r="HV129" s="54">
        <f t="shared" si="214"/>
        <v>0.35615003188924521</v>
      </c>
      <c r="HW129" s="54" t="e">
        <f t="shared" si="215"/>
        <v>#N/A</v>
      </c>
      <c r="HX129" s="69" t="str">
        <f t="shared" si="216"/>
        <v/>
      </c>
    </row>
    <row r="130" spans="78:232" x14ac:dyDescent="0.2">
      <c r="BZ130" s="54">
        <f t="shared" si="143"/>
        <v>120</v>
      </c>
      <c r="CA130" s="54">
        <f>Eu_tabel_g[[#This Row],[Indeks]]+1</f>
        <v>121</v>
      </c>
      <c r="CB130" s="54">
        <f t="shared" si="144"/>
        <v>-0.2155976027558939</v>
      </c>
      <c r="CC130" s="54">
        <f t="shared" si="145"/>
        <v>0.38977731256446624</v>
      </c>
      <c r="CD130" s="54" t="e">
        <f t="shared" si="146"/>
        <v>#N/A</v>
      </c>
      <c r="CE130" s="54" t="e">
        <f t="shared" si="147"/>
        <v>#N/A</v>
      </c>
      <c r="CF130" s="54" t="e">
        <f t="shared" si="148"/>
        <v>#N/A</v>
      </c>
      <c r="CG130" s="54" t="b">
        <f t="shared" si="149"/>
        <v>0</v>
      </c>
      <c r="CH130" s="54" t="b">
        <f t="shared" si="150"/>
        <v>1</v>
      </c>
      <c r="CI130" s="54" t="b">
        <f t="shared" si="151"/>
        <v>0</v>
      </c>
      <c r="CJ130" s="54" t="b">
        <f t="shared" si="152"/>
        <v>1</v>
      </c>
      <c r="CK130" s="54">
        <f t="shared" si="223"/>
        <v>0.38977731256446624</v>
      </c>
      <c r="CL130" s="54" t="e">
        <f t="shared" si="153"/>
        <v>#N/A</v>
      </c>
      <c r="CM130" s="54">
        <f t="shared" si="154"/>
        <v>0.38977731256446624</v>
      </c>
      <c r="CN130" s="69" t="str">
        <f t="shared" si="155"/>
        <v/>
      </c>
      <c r="CO130" s="54">
        <f>_xlfn.NORM.DIST(_xlfn.NORM.INV(1-Eu_g_konfidensniveau,0,1)-Eu_tabel_g[[#This Row],[x base]],0,1,TRUE)</f>
        <v>7.6465330252738495E-2</v>
      </c>
      <c r="CP130" s="54">
        <f>1-_xlfn.NORM.DIST(_xlfn.NORM.INV(Eu_g_konfidensniveau,0,1)-Eu_tabel_g[[#This Row],[x base]],0,1,TRUE)</f>
        <v>3.141085620614481E-2</v>
      </c>
      <c r="CQ130" s="54">
        <f>_xlfn.NORM.DIST(_xlfn.NORM.INV((1-Eu_g_konfidensniveau)/2,0,1)-Eu_tabel_g[[#This Row],[x base]],0,1,TRUE)+1-_xlfn.NORM.DIST(_xlfn.NORM.INV(1-(1-Eu_g_konfidensniveau)/2,0,1)-Eu_tabel_g[[#This Row],[x base]],0,1,TRUE)</f>
        <v>5.534164073024217E-2</v>
      </c>
      <c r="CR130" s="54" t="e" cm="1">
        <f t="array" ref="CR130">IF($CR$3,INDEX(Eu_tabel_g[[#This Row],[Styrke venstre]:[Styrke tosidet]],CR$7),NA())</f>
        <v>#N/A</v>
      </c>
      <c r="CS130" s="89" t="e">
        <f>Eu_tabel_g[[#This Row],[Falsk positiv
Nulhypotese accepteres
Fejltype 1]]</f>
        <v>#N/A</v>
      </c>
      <c r="CT130" s="89" t="e">
        <f>IF(CHOOSE(CR$7,Eu_tabel_g[[#This Row],[x base]]&gt;0,Eu_tabel_g[[#This Row],[x base]]&lt;0,Eu_tabel_g[[#This Row],[x base]]=0),Eu_tabel_g[[#This Row],[Styrke, aktiv]],NA())</f>
        <v>#N/A</v>
      </c>
      <c r="CU130" s="89" t="e">
        <f>IFERROR(IF($CR$3,Eu_tabel_g[[#This Row],[Styrke, aktiv]],NA()),NA())</f>
        <v>#N/A</v>
      </c>
      <c r="CV130" s="89" t="e">
        <f>IF(ISNA(Eu_tabel_g[[#This Row],[Sand negativ
Nulhypotese afvises
Korrekt]]),NA(),IF($CR$3,1,NA()))</f>
        <v>#N/A</v>
      </c>
      <c r="CW130" s="56" t="str" cm="1">
        <f t="array" ref="CW130">_xlfn.SWITCH(BZ130,_xlfn.IFNA(CU$2,-99),CU$5,_xlfn.IFNA(CU$3,-99),CU$6,_xlfn.IFNA(CU$4,-99),CU$7,"")</f>
        <v/>
      </c>
      <c r="DA130" s="7">
        <f t="shared" si="156"/>
        <v>0.8</v>
      </c>
      <c r="DB130">
        <f>IF(ROW(Styrkeberegning_G[[#This Row],[X base venstre]])=ROW(Styrkeberegning_G[[#Headers],[X base venstre]])+1,DB$7/(DA$7/$B$67),DB129/(DA129/$B$67))</f>
        <v>-2.8015817870135784</v>
      </c>
      <c r="DC130">
        <f>Styrkeberegning_G[[#This Row],[X base venstre]]*-1</f>
        <v>2.8015817870135784</v>
      </c>
      <c r="DN130" s="54">
        <f t="shared" si="157"/>
        <v>120</v>
      </c>
      <c r="DO130" s="54">
        <f t="shared" si="158"/>
        <v>121</v>
      </c>
      <c r="DP130" s="54">
        <f t="shared" si="159"/>
        <v>15.522355434693811</v>
      </c>
      <c r="DQ130" s="54" t="e">
        <f t="shared" si="160"/>
        <v>#N/A</v>
      </c>
      <c r="DR130" s="54" t="e">
        <f t="shared" si="161"/>
        <v>#N/A</v>
      </c>
      <c r="DS130" s="54">
        <f t="shared" si="162"/>
        <v>4.1129261226258734E-2</v>
      </c>
      <c r="DT130" s="54" t="e">
        <f t="shared" si="163"/>
        <v>#N/A</v>
      </c>
      <c r="DU130" s="54" t="b">
        <f t="shared" si="164"/>
        <v>0</v>
      </c>
      <c r="DV130" s="54" t="b">
        <f t="shared" si="165"/>
        <v>1</v>
      </c>
      <c r="DW130" s="54" t="b">
        <f t="shared" si="166"/>
        <v>0</v>
      </c>
      <c r="DX130" s="54" t="b">
        <f t="shared" si="167"/>
        <v>1</v>
      </c>
      <c r="DY130" s="54">
        <f t="shared" si="168"/>
        <v>4.1129261226258734E-2</v>
      </c>
      <c r="DZ130" s="54" t="e">
        <f t="shared" si="169"/>
        <v>#N/A</v>
      </c>
      <c r="EA130" s="54">
        <f t="shared" si="170"/>
        <v>4.1129261226258734E-2</v>
      </c>
      <c r="EB130" s="69" t="str">
        <f t="shared" si="171"/>
        <v/>
      </c>
      <c r="EG130" s="54">
        <f t="shared" si="172"/>
        <v>120</v>
      </c>
      <c r="EH130" s="54">
        <f t="shared" si="173"/>
        <v>121</v>
      </c>
      <c r="EI130" s="54">
        <f t="shared" si="174"/>
        <v>-0.2155976027558939</v>
      </c>
      <c r="EJ130" s="54">
        <f t="shared" si="175"/>
        <v>0.38977731256446624</v>
      </c>
      <c r="EK130" s="54" t="e">
        <f t="shared" si="176"/>
        <v>#N/A</v>
      </c>
      <c r="EL130" s="54" t="e">
        <f t="shared" si="177"/>
        <v>#N/A</v>
      </c>
      <c r="EM130" s="54" t="e">
        <f t="shared" si="178"/>
        <v>#N/A</v>
      </c>
      <c r="EN130" s="54" t="b">
        <f t="shared" si="179"/>
        <v>0</v>
      </c>
      <c r="EO130" s="54" t="b">
        <f t="shared" si="180"/>
        <v>1</v>
      </c>
      <c r="EP130" s="54" t="b">
        <f t="shared" si="181"/>
        <v>0</v>
      </c>
      <c r="EQ130" s="54" t="b">
        <f t="shared" si="182"/>
        <v>1</v>
      </c>
      <c r="ER130" s="54">
        <f t="shared" si="183"/>
        <v>0.38977731256446624</v>
      </c>
      <c r="ES130" s="54" t="e">
        <f t="shared" si="184"/>
        <v>#N/A</v>
      </c>
      <c r="ET130" s="54">
        <f t="shared" si="185"/>
        <v>0.38977731256446624</v>
      </c>
      <c r="EU130" s="69" t="str">
        <f t="shared" si="186"/>
        <v/>
      </c>
      <c r="EV13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3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3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30" s="54" t="e" cm="1">
        <f t="array" ref="EY130">IF($CR$3,INDEX(Eu_tabel_a[[#This Row],[Styrke venstre]:[Styrke tosidet]],EY$7),NA())</f>
        <v>#N/A</v>
      </c>
      <c r="EZ130" s="54" t="e">
        <f>IF(EY$3,IF(CHOOSE(EY$7,Eu_tabel_a[[#This Row],[x base]]&gt;0,Eu_tabel_a[[#This Row],[x base]]&lt;0,Eu_tabel_a[[#This Row],[x base]]=0),1,NA()),NA())</f>
        <v>#N/A</v>
      </c>
      <c r="FA130" s="54" t="e">
        <f>IF(CHOOSE(EY$7,Eu_tabel_a[[#This Row],[x base]]&gt;0,Eu_tabel_a[[#This Row],[x base]]&lt;0,Eu_tabel_a[[#This Row],[x base]]=0),Eu_tabel_a[[#This Row],[Styrke, aktiv]],NA())</f>
        <v>#N/A</v>
      </c>
      <c r="FB130" s="54" t="e">
        <f>IFERROR(IF($EY$3,Eu_tabel_a[[#This Row],[Styrke, aktiv]],NA()),NA())</f>
        <v>#N/A</v>
      </c>
      <c r="FC130" s="54" t="e">
        <f>IF(ISNA(Eu_tabel_a[[#This Row],[Sand negativ
Nulhypotese afvises
Korrekt]]),NA(),IF(EY$3,1,NA()))</f>
        <v>#N/A</v>
      </c>
      <c r="FD130" s="55" t="str" cm="1">
        <f t="array" ref="FD130">IFERROR(_xlfn.SWITCH(Eu_tabel_a[[#This Row],[Indeks]],_xlfn.IFNA(FB$2,-99),FB$5,_xlfn.IFNA(FB$3,-99),FB$6,_xlfn.IFNA(FB$4,-99),FB$7,""),"")</f>
        <v/>
      </c>
      <c r="FE130" s="54">
        <f>Eu_tabel_a[[#This Row],[x base]]*SQRT(Eu_a_h0_x*(1-Eu_a_h0_x)/Eu_a_n_x)+Eu_a_h0_x</f>
        <v>0</v>
      </c>
      <c r="FJ130" s="144" t="e">
        <f t="shared" si="130"/>
        <v>#N/A</v>
      </c>
      <c r="FK130" s="152" t="e">
        <f t="shared" si="218"/>
        <v>#DIV/0!</v>
      </c>
      <c r="FL130" s="7" t="e">
        <f t="shared" si="124"/>
        <v>#DIV/0!</v>
      </c>
      <c r="FM130" t="e">
        <f t="shared" si="219"/>
        <v>#DIV/0!</v>
      </c>
      <c r="FN130" s="8" t="e">
        <f t="shared" si="220"/>
        <v>#DIV/0!</v>
      </c>
      <c r="FO130" s="8" t="e">
        <f t="shared" si="221"/>
        <v>#DIV/0!</v>
      </c>
      <c r="FP130" s="151" t="e">
        <f t="shared" si="222"/>
        <v>#DIV/0!</v>
      </c>
      <c r="FQ130" s="144" t="e">
        <f t="shared" ca="1" si="125"/>
        <v>#N/A</v>
      </c>
      <c r="FR130" s="152" t="e" vm="3">
        <f t="shared" ca="1" si="131"/>
        <v>#VALUE!</v>
      </c>
      <c r="FS130" s="7" t="e" vm="3">
        <f t="shared" ca="1" si="126"/>
        <v>#VALUE!</v>
      </c>
      <c r="FT130" t="e" vm="3">
        <f t="shared" ca="1" si="120"/>
        <v>#VALUE!</v>
      </c>
      <c r="FU130" s="8" t="e" vm="3">
        <f t="shared" ca="1" si="121"/>
        <v>#VALUE!</v>
      </c>
      <c r="FV130" s="8" t="e" vm="3">
        <f t="shared" ca="1" si="122"/>
        <v>#VALUE!</v>
      </c>
      <c r="FW130" s="151" t="e" vm="3">
        <f t="shared" ca="1" si="123"/>
        <v>#VALUE!</v>
      </c>
      <c r="FX130" s="144" t="e">
        <f t="shared" si="127"/>
        <v>#N/A</v>
      </c>
      <c r="FY130" s="152" t="e">
        <f t="shared" si="132"/>
        <v>#N/A</v>
      </c>
      <c r="FZ130" s="7" t="e">
        <f t="shared" si="128"/>
        <v>#N/A</v>
      </c>
      <c r="GA130" t="e">
        <f t="shared" si="133"/>
        <v>#N/A</v>
      </c>
      <c r="GB130" s="8" t="e">
        <f t="shared" si="134"/>
        <v>#N/A</v>
      </c>
      <c r="GC130" s="8" t="e">
        <f t="shared" si="135"/>
        <v>#N/A</v>
      </c>
      <c r="GD130" s="151" t="e">
        <f t="shared" si="136"/>
        <v>#N/A</v>
      </c>
      <c r="GE130" s="144" t="e">
        <f t="shared" si="137"/>
        <v>#N/A</v>
      </c>
      <c r="GF130" s="152" t="e">
        <f t="shared" si="138"/>
        <v>#N/A</v>
      </c>
      <c r="GG130" s="7" t="e">
        <f t="shared" si="129"/>
        <v>#N/A</v>
      </c>
      <c r="GH130" t="e">
        <f t="shared" si="139"/>
        <v>#N/A</v>
      </c>
      <c r="GI130" s="8" t="e">
        <f t="shared" si="140"/>
        <v>#N/A</v>
      </c>
      <c r="GJ130" s="8" t="e">
        <f t="shared" si="141"/>
        <v>#N/A</v>
      </c>
      <c r="GK130" s="151" t="e">
        <f t="shared" si="142"/>
        <v>#N/A</v>
      </c>
      <c r="GL130" s="151"/>
      <c r="GM130" s="151"/>
      <c r="GP130" s="54">
        <f t="shared" si="187"/>
        <v>120</v>
      </c>
      <c r="GQ130" s="54">
        <f t="shared" si="188"/>
        <v>121</v>
      </c>
      <c r="GR130" s="54">
        <f t="shared" si="189"/>
        <v>-0.2155976027558939</v>
      </c>
      <c r="GS130" s="54">
        <f t="shared" si="190"/>
        <v>0.38977731256446624</v>
      </c>
      <c r="GT130" s="54" t="e">
        <f t="shared" si="191"/>
        <v>#N/A</v>
      </c>
      <c r="GU130" s="54" t="e">
        <f t="shared" si="192"/>
        <v>#N/A</v>
      </c>
      <c r="GV130" s="54" t="e">
        <f t="shared" si="193"/>
        <v>#N/A</v>
      </c>
      <c r="GW130" s="54" t="b">
        <f t="shared" si="194"/>
        <v>0</v>
      </c>
      <c r="GX130" s="54" t="b">
        <f t="shared" si="195"/>
        <v>1</v>
      </c>
      <c r="GY130" s="54" t="b">
        <f t="shared" si="196"/>
        <v>0</v>
      </c>
      <c r="GZ130" s="54" t="b">
        <f t="shared" si="197"/>
        <v>1</v>
      </c>
      <c r="HA130" s="54">
        <f t="shared" si="198"/>
        <v>0.38977731256446624</v>
      </c>
      <c r="HB130" s="54" t="e">
        <f t="shared" si="199"/>
        <v>#N/A</v>
      </c>
      <c r="HC130" s="54">
        <f t="shared" si="200"/>
        <v>0.38977731256446624</v>
      </c>
      <c r="HD130" s="69" t="str">
        <f t="shared" si="201"/>
        <v/>
      </c>
      <c r="HJ130" s="54">
        <f t="shared" si="202"/>
        <v>120</v>
      </c>
      <c r="HK130" s="54">
        <f t="shared" si="203"/>
        <v>121</v>
      </c>
      <c r="HL130" s="54">
        <f t="shared" si="204"/>
        <v>-0.33385741595151153</v>
      </c>
      <c r="HM130" s="54" t="e">
        <f t="shared" si="205"/>
        <v>#N/A</v>
      </c>
      <c r="HN130" s="54">
        <f t="shared" si="206"/>
        <v>0.36141649529983938</v>
      </c>
      <c r="HO130" s="54" t="e">
        <f t="shared" si="207"/>
        <v>#N/A</v>
      </c>
      <c r="HP130" s="54" t="e">
        <f t="shared" si="208"/>
        <v>#N/A</v>
      </c>
      <c r="HQ130" s="54" t="b">
        <f t="shared" si="209"/>
        <v>1</v>
      </c>
      <c r="HR130" s="54" t="b">
        <f t="shared" si="210"/>
        <v>0</v>
      </c>
      <c r="HS130" s="54" t="b">
        <f t="shared" si="211"/>
        <v>0</v>
      </c>
      <c r="HT130" s="54" t="b">
        <f t="shared" si="212"/>
        <v>1</v>
      </c>
      <c r="HU130" s="54">
        <f t="shared" si="213"/>
        <v>0.36141649529983938</v>
      </c>
      <c r="HV130" s="54">
        <f t="shared" si="214"/>
        <v>0.36141649529983938</v>
      </c>
      <c r="HW130" s="54" t="e">
        <f t="shared" si="215"/>
        <v>#N/A</v>
      </c>
      <c r="HX130" s="69" t="str">
        <f t="shared" si="216"/>
        <v/>
      </c>
    </row>
    <row r="131" spans="78:232" x14ac:dyDescent="0.2">
      <c r="BZ131" s="54">
        <f t="shared" si="143"/>
        <v>121</v>
      </c>
      <c r="CA131" s="54">
        <f>Eu_tabel_g[[#This Row],[Indeks]]+1</f>
        <v>122</v>
      </c>
      <c r="CB131" s="54">
        <f t="shared" si="144"/>
        <v>-0.19164231356079453</v>
      </c>
      <c r="CC131" s="54">
        <f t="shared" si="145"/>
        <v>0.39168320306250204</v>
      </c>
      <c r="CD131" s="54" t="e">
        <f t="shared" si="146"/>
        <v>#N/A</v>
      </c>
      <c r="CE131" s="54" t="e">
        <f t="shared" si="147"/>
        <v>#N/A</v>
      </c>
      <c r="CF131" s="54" t="e">
        <f t="shared" si="148"/>
        <v>#N/A</v>
      </c>
      <c r="CG131" s="54" t="b">
        <f t="shared" si="149"/>
        <v>0</v>
      </c>
      <c r="CH131" s="54" t="b">
        <f t="shared" si="150"/>
        <v>1</v>
      </c>
      <c r="CI131" s="54" t="b">
        <f t="shared" si="151"/>
        <v>0</v>
      </c>
      <c r="CJ131" s="54" t="b">
        <f t="shared" si="152"/>
        <v>1</v>
      </c>
      <c r="CK131" s="54">
        <f t="shared" si="223"/>
        <v>0.39168320306250204</v>
      </c>
      <c r="CL131" s="54" t="e">
        <f t="shared" si="153"/>
        <v>#N/A</v>
      </c>
      <c r="CM131" s="54">
        <f t="shared" si="154"/>
        <v>0.39168320306250204</v>
      </c>
      <c r="CN131" s="69" t="str">
        <f t="shared" si="155"/>
        <v/>
      </c>
      <c r="CO131" s="54">
        <f>_xlfn.NORM.DIST(_xlfn.NORM.INV(1-Eu_g_konfidensniveau,0,1)-Eu_tabel_g[[#This Row],[x base]],0,1,TRUE)</f>
        <v>7.3082545980037106E-2</v>
      </c>
      <c r="CP131" s="54">
        <f>1-_xlfn.NORM.DIST(_xlfn.NORM.INV(Eu_g_konfidensniveau,0,1)-Eu_tabel_g[[#This Row],[x base]],0,1,TRUE)</f>
        <v>3.3142170968285201E-2</v>
      </c>
      <c r="CQ131" s="54">
        <f>_xlfn.NORM.DIST(_xlfn.NORM.INV((1-Eu_g_konfidensniveau)/2,0,1)-Eu_tabel_g[[#This Row],[x base]],0,1,TRUE)+1-_xlfn.NORM.DIST(_xlfn.NORM.INV(1-(1-Eu_g_konfidensniveau)/2,0,1)-Eu_tabel_g[[#This Row],[x base]],0,1,TRUE)</f>
        <v>5.4217759348040184E-2</v>
      </c>
      <c r="CR131" s="54" t="e" cm="1">
        <f t="array" ref="CR131">IF($CR$3,INDEX(Eu_tabel_g[[#This Row],[Styrke venstre]:[Styrke tosidet]],CR$7),NA())</f>
        <v>#N/A</v>
      </c>
      <c r="CS131" s="89" t="e">
        <f>Eu_tabel_g[[#This Row],[Falsk positiv
Nulhypotese accepteres
Fejltype 1]]</f>
        <v>#N/A</v>
      </c>
      <c r="CT131" s="89" t="e">
        <f>IF(CHOOSE(CR$7,Eu_tabel_g[[#This Row],[x base]]&gt;0,Eu_tabel_g[[#This Row],[x base]]&lt;0,Eu_tabel_g[[#This Row],[x base]]=0),Eu_tabel_g[[#This Row],[Styrke, aktiv]],NA())</f>
        <v>#N/A</v>
      </c>
      <c r="CU131" s="89" t="e">
        <f>IFERROR(IF($CR$3,Eu_tabel_g[[#This Row],[Styrke, aktiv]],NA()),NA())</f>
        <v>#N/A</v>
      </c>
      <c r="CV131" s="89" t="e">
        <f>IF(ISNA(Eu_tabel_g[[#This Row],[Sand negativ
Nulhypotese afvises
Korrekt]]),NA(),IF($CR$3,1,NA()))</f>
        <v>#N/A</v>
      </c>
      <c r="CW131" s="56" t="str" cm="1">
        <f t="array" ref="CW131">_xlfn.SWITCH(BZ131,_xlfn.IFNA(CU$2,-99),CU$5,_xlfn.IFNA(CU$3,-99),CU$6,_xlfn.IFNA(CU$4,-99),CU$7,"")</f>
        <v/>
      </c>
      <c r="DA131" s="7">
        <f t="shared" si="156"/>
        <v>0.8</v>
      </c>
      <c r="DB131">
        <f>IF(ROW(Styrkeberegning_G[[#This Row],[X base venstre]])=ROW(Styrkeberegning_G[[#Headers],[X base venstre]])+1,DB$7/(DA$7/$B$67),DB130/(DA130/$B$67))</f>
        <v>-2.8015817870135784</v>
      </c>
      <c r="DC131">
        <f>Styrkeberegning_G[[#This Row],[X base venstre]]*-1</f>
        <v>2.8015817870135784</v>
      </c>
      <c r="DN131" s="54">
        <f t="shared" si="157"/>
        <v>121</v>
      </c>
      <c r="DO131" s="54">
        <f t="shared" si="158"/>
        <v>122</v>
      </c>
      <c r="DP131" s="54">
        <f t="shared" si="159"/>
        <v>15.636426291110812</v>
      </c>
      <c r="DQ131" s="54" t="e">
        <f t="shared" si="160"/>
        <v>#N/A</v>
      </c>
      <c r="DR131" s="54" t="e">
        <f t="shared" si="161"/>
        <v>#N/A</v>
      </c>
      <c r="DS131" s="54">
        <f t="shared" si="162"/>
        <v>4.0150428877391404E-2</v>
      </c>
      <c r="DT131" s="54" t="e">
        <f t="shared" si="163"/>
        <v>#N/A</v>
      </c>
      <c r="DU131" s="54" t="b">
        <f t="shared" si="164"/>
        <v>0</v>
      </c>
      <c r="DV131" s="54" t="b">
        <f t="shared" si="165"/>
        <v>1</v>
      </c>
      <c r="DW131" s="54" t="b">
        <f t="shared" si="166"/>
        <v>0</v>
      </c>
      <c r="DX131" s="54" t="b">
        <f t="shared" si="167"/>
        <v>1</v>
      </c>
      <c r="DY131" s="54">
        <f t="shared" si="168"/>
        <v>4.0150428877391404E-2</v>
      </c>
      <c r="DZ131" s="54" t="e">
        <f t="shared" si="169"/>
        <v>#N/A</v>
      </c>
      <c r="EA131" s="54">
        <f t="shared" si="170"/>
        <v>4.0150428877391404E-2</v>
      </c>
      <c r="EB131" s="69" t="str">
        <f t="shared" si="171"/>
        <v/>
      </c>
      <c r="EG131" s="54">
        <f t="shared" si="172"/>
        <v>121</v>
      </c>
      <c r="EH131" s="54">
        <f t="shared" si="173"/>
        <v>122</v>
      </c>
      <c r="EI131" s="54">
        <f t="shared" si="174"/>
        <v>-0.19164231356079453</v>
      </c>
      <c r="EJ131" s="54">
        <f t="shared" si="175"/>
        <v>0.39168320306250204</v>
      </c>
      <c r="EK131" s="54" t="e">
        <f t="shared" si="176"/>
        <v>#N/A</v>
      </c>
      <c r="EL131" s="54" t="e">
        <f t="shared" si="177"/>
        <v>#N/A</v>
      </c>
      <c r="EM131" s="54" t="e">
        <f t="shared" si="178"/>
        <v>#N/A</v>
      </c>
      <c r="EN131" s="54" t="b">
        <f t="shared" si="179"/>
        <v>0</v>
      </c>
      <c r="EO131" s="54" t="b">
        <f t="shared" si="180"/>
        <v>1</v>
      </c>
      <c r="EP131" s="54" t="b">
        <f t="shared" si="181"/>
        <v>0</v>
      </c>
      <c r="EQ131" s="54" t="b">
        <f t="shared" si="182"/>
        <v>1</v>
      </c>
      <c r="ER131" s="54">
        <f t="shared" si="183"/>
        <v>0.39168320306250204</v>
      </c>
      <c r="ES131" s="54" t="e">
        <f t="shared" si="184"/>
        <v>#N/A</v>
      </c>
      <c r="ET131" s="54">
        <f t="shared" si="185"/>
        <v>0.39168320306250204</v>
      </c>
      <c r="EU131" s="69" t="str">
        <f t="shared" si="186"/>
        <v/>
      </c>
      <c r="EV13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3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3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31" s="54" t="e" cm="1">
        <f t="array" ref="EY131">IF($CR$3,INDEX(Eu_tabel_a[[#This Row],[Styrke venstre]:[Styrke tosidet]],EY$7),NA())</f>
        <v>#N/A</v>
      </c>
      <c r="EZ131" s="54" t="e">
        <f>IF(EY$3,IF(CHOOSE(EY$7,Eu_tabel_a[[#This Row],[x base]]&gt;0,Eu_tabel_a[[#This Row],[x base]]&lt;0,Eu_tabel_a[[#This Row],[x base]]=0),1,NA()),NA())</f>
        <v>#N/A</v>
      </c>
      <c r="FA131" s="54" t="e">
        <f>IF(CHOOSE(EY$7,Eu_tabel_a[[#This Row],[x base]]&gt;0,Eu_tabel_a[[#This Row],[x base]]&lt;0,Eu_tabel_a[[#This Row],[x base]]=0),Eu_tabel_a[[#This Row],[Styrke, aktiv]],NA())</f>
        <v>#N/A</v>
      </c>
      <c r="FB131" s="54" t="e">
        <f>IFERROR(IF($EY$3,Eu_tabel_a[[#This Row],[Styrke, aktiv]],NA()),NA())</f>
        <v>#N/A</v>
      </c>
      <c r="FC131" s="54" t="e">
        <f>IF(ISNA(Eu_tabel_a[[#This Row],[Sand negativ
Nulhypotese afvises
Korrekt]]),NA(),IF(EY$3,1,NA()))</f>
        <v>#N/A</v>
      </c>
      <c r="FD131" s="55" t="str" cm="1">
        <f t="array" ref="FD131">IFERROR(_xlfn.SWITCH(Eu_tabel_a[[#This Row],[Indeks]],_xlfn.IFNA(FB$2,-99),FB$5,_xlfn.IFNA(FB$3,-99),FB$6,_xlfn.IFNA(FB$4,-99),FB$7,""),"")</f>
        <v/>
      </c>
      <c r="FE131" s="54">
        <f>Eu_tabel_a[[#This Row],[x base]]*SQRT(Eu_a_h0_x*(1-Eu_a_h0_x)/Eu_a_n_x)+Eu_a_h0_x</f>
        <v>0</v>
      </c>
      <c r="FJ131" s="144" t="e">
        <f t="shared" si="130"/>
        <v>#N/A</v>
      </c>
      <c r="FK131" s="152" t="e">
        <f t="shared" si="218"/>
        <v>#DIV/0!</v>
      </c>
      <c r="FL131" s="7" t="e">
        <f t="shared" si="124"/>
        <v>#DIV/0!</v>
      </c>
      <c r="FM131" t="e">
        <f t="shared" si="219"/>
        <v>#DIV/0!</v>
      </c>
      <c r="FN131" s="8" t="e">
        <f t="shared" si="220"/>
        <v>#DIV/0!</v>
      </c>
      <c r="FO131" s="8" t="e">
        <f t="shared" si="221"/>
        <v>#DIV/0!</v>
      </c>
      <c r="FP131" s="151" t="e">
        <f t="shared" si="222"/>
        <v>#DIV/0!</v>
      </c>
      <c r="FQ131" s="144" t="e">
        <f t="shared" ca="1" si="125"/>
        <v>#N/A</v>
      </c>
      <c r="FR131" s="152" t="e" vm="3">
        <f t="shared" ca="1" si="131"/>
        <v>#VALUE!</v>
      </c>
      <c r="FS131" s="7" t="e" vm="3">
        <f t="shared" ca="1" si="126"/>
        <v>#VALUE!</v>
      </c>
      <c r="FT131" t="e" vm="3">
        <f t="shared" ca="1" si="120"/>
        <v>#VALUE!</v>
      </c>
      <c r="FU131" s="8" t="e" vm="3">
        <f t="shared" ca="1" si="121"/>
        <v>#VALUE!</v>
      </c>
      <c r="FV131" s="8" t="e" vm="3">
        <f t="shared" ca="1" si="122"/>
        <v>#VALUE!</v>
      </c>
      <c r="FW131" s="151" t="e" vm="3">
        <f t="shared" ca="1" si="123"/>
        <v>#VALUE!</v>
      </c>
      <c r="FX131" s="144" t="e">
        <f t="shared" si="127"/>
        <v>#N/A</v>
      </c>
      <c r="FY131" s="152" t="e">
        <f t="shared" si="132"/>
        <v>#N/A</v>
      </c>
      <c r="FZ131" s="7" t="e">
        <f t="shared" si="128"/>
        <v>#N/A</v>
      </c>
      <c r="GA131" t="e">
        <f t="shared" si="133"/>
        <v>#N/A</v>
      </c>
      <c r="GB131" s="8" t="e">
        <f t="shared" si="134"/>
        <v>#N/A</v>
      </c>
      <c r="GC131" s="8" t="e">
        <f t="shared" si="135"/>
        <v>#N/A</v>
      </c>
      <c r="GD131" s="151" t="e">
        <f t="shared" si="136"/>
        <v>#N/A</v>
      </c>
      <c r="GE131" s="144" t="e">
        <f t="shared" si="137"/>
        <v>#N/A</v>
      </c>
      <c r="GF131" s="152" t="e">
        <f t="shared" si="138"/>
        <v>#N/A</v>
      </c>
      <c r="GG131" s="7" t="e">
        <f t="shared" si="129"/>
        <v>#N/A</v>
      </c>
      <c r="GH131" t="e">
        <f t="shared" si="139"/>
        <v>#N/A</v>
      </c>
      <c r="GI131" s="8" t="e">
        <f t="shared" si="140"/>
        <v>#N/A</v>
      </c>
      <c r="GJ131" s="8" t="e">
        <f t="shared" si="141"/>
        <v>#N/A</v>
      </c>
      <c r="GK131" s="151" t="e">
        <f t="shared" si="142"/>
        <v>#N/A</v>
      </c>
      <c r="GL131" s="151"/>
      <c r="GM131" s="151"/>
      <c r="GP131" s="54">
        <f t="shared" si="187"/>
        <v>121</v>
      </c>
      <c r="GQ131" s="54">
        <f t="shared" si="188"/>
        <v>122</v>
      </c>
      <c r="GR131" s="54">
        <f t="shared" si="189"/>
        <v>-0.19164231356079453</v>
      </c>
      <c r="GS131" s="54">
        <f t="shared" si="190"/>
        <v>0.39168320306250204</v>
      </c>
      <c r="GT131" s="54" t="e">
        <f t="shared" si="191"/>
        <v>#N/A</v>
      </c>
      <c r="GU131" s="54" t="e">
        <f t="shared" si="192"/>
        <v>#N/A</v>
      </c>
      <c r="GV131" s="54" t="e">
        <f t="shared" si="193"/>
        <v>#N/A</v>
      </c>
      <c r="GW131" s="54" t="b">
        <f t="shared" si="194"/>
        <v>0</v>
      </c>
      <c r="GX131" s="54" t="b">
        <f t="shared" si="195"/>
        <v>1</v>
      </c>
      <c r="GY131" s="54" t="b">
        <f t="shared" si="196"/>
        <v>0</v>
      </c>
      <c r="GZ131" s="54" t="b">
        <f t="shared" si="197"/>
        <v>1</v>
      </c>
      <c r="HA131" s="54">
        <f t="shared" si="198"/>
        <v>0.39168320306250204</v>
      </c>
      <c r="HB131" s="54" t="e">
        <f t="shared" si="199"/>
        <v>#N/A</v>
      </c>
      <c r="HC131" s="54">
        <f t="shared" si="200"/>
        <v>0.39168320306250204</v>
      </c>
      <c r="HD131" s="69" t="str">
        <f t="shared" si="201"/>
        <v/>
      </c>
      <c r="HJ131" s="54">
        <f t="shared" si="202"/>
        <v>121</v>
      </c>
      <c r="HK131" s="54">
        <f t="shared" si="203"/>
        <v>122</v>
      </c>
      <c r="HL131" s="54">
        <f t="shared" si="204"/>
        <v>-0.29676214751245489</v>
      </c>
      <c r="HM131" s="54" t="e">
        <f t="shared" si="205"/>
        <v>#N/A</v>
      </c>
      <c r="HN131" s="54">
        <f t="shared" si="206"/>
        <v>0.36621134988680171</v>
      </c>
      <c r="HO131" s="54" t="e">
        <f t="shared" si="207"/>
        <v>#N/A</v>
      </c>
      <c r="HP131" s="54" t="e">
        <f t="shared" si="208"/>
        <v>#N/A</v>
      </c>
      <c r="HQ131" s="54" t="b">
        <f t="shared" si="209"/>
        <v>1</v>
      </c>
      <c r="HR131" s="54" t="b">
        <f t="shared" si="210"/>
        <v>0</v>
      </c>
      <c r="HS131" s="54" t="b">
        <f t="shared" si="211"/>
        <v>0</v>
      </c>
      <c r="HT131" s="54" t="b">
        <f t="shared" si="212"/>
        <v>1</v>
      </c>
      <c r="HU131" s="54">
        <f t="shared" si="213"/>
        <v>0.36621134988680171</v>
      </c>
      <c r="HV131" s="54">
        <f t="shared" si="214"/>
        <v>0.36621134988680171</v>
      </c>
      <c r="HW131" s="54" t="e">
        <f t="shared" si="215"/>
        <v>#N/A</v>
      </c>
      <c r="HX131" s="69" t="str">
        <f t="shared" si="216"/>
        <v/>
      </c>
    </row>
    <row r="132" spans="78:232" x14ac:dyDescent="0.2">
      <c r="BZ132" s="54">
        <f t="shared" si="143"/>
        <v>122</v>
      </c>
      <c r="CA132" s="54">
        <f>Eu_tabel_g[[#This Row],[Indeks]]+1</f>
        <v>123</v>
      </c>
      <c r="CB132" s="54">
        <f t="shared" si="144"/>
        <v>-0.16768702436569516</v>
      </c>
      <c r="CC132" s="54">
        <f t="shared" si="145"/>
        <v>0.39337260880753866</v>
      </c>
      <c r="CD132" s="54" t="e">
        <f t="shared" si="146"/>
        <v>#N/A</v>
      </c>
      <c r="CE132" s="54" t="e">
        <f t="shared" si="147"/>
        <v>#N/A</v>
      </c>
      <c r="CF132" s="54" t="e">
        <f t="shared" si="148"/>
        <v>#N/A</v>
      </c>
      <c r="CG132" s="54" t="b">
        <f t="shared" si="149"/>
        <v>0</v>
      </c>
      <c r="CH132" s="54" t="b">
        <f t="shared" si="150"/>
        <v>1</v>
      </c>
      <c r="CI132" s="54" t="b">
        <f t="shared" si="151"/>
        <v>0</v>
      </c>
      <c r="CJ132" s="54" t="b">
        <f t="shared" si="152"/>
        <v>1</v>
      </c>
      <c r="CK132" s="54">
        <f t="shared" si="223"/>
        <v>0.39337260880753866</v>
      </c>
      <c r="CL132" s="54" t="e">
        <f t="shared" si="153"/>
        <v>#N/A</v>
      </c>
      <c r="CM132" s="54">
        <f t="shared" si="154"/>
        <v>0.39337260880753866</v>
      </c>
      <c r="CN132" s="69" t="str">
        <f t="shared" si="155"/>
        <v/>
      </c>
      <c r="CO132" s="54">
        <f>_xlfn.NORM.DIST(_xlfn.NORM.INV(1-Eu_g_konfidensniveau,0,1)-Eu_tabel_g[[#This Row],[x base]],0,1,TRUE)</f>
        <v>6.9815491895966419E-2</v>
      </c>
      <c r="CP132" s="54">
        <f>1-_xlfn.NORM.DIST(_xlfn.NORM.INV(Eu_g_konfidensniveau,0,1)-Eu_tabel_g[[#This Row],[x base]],0,1,TRUE)</f>
        <v>3.4951349306852841E-2</v>
      </c>
      <c r="CQ132" s="54">
        <f>_xlfn.NORM.DIST(_xlfn.NORM.INV((1-Eu_g_konfidensniveau)/2,0,1)-Eu_tabel_g[[#This Row],[x base]],0,1,TRUE)+1-_xlfn.NORM.DIST(_xlfn.NORM.INV(1-(1-Eu_g_konfidensniveau)/2,0,1)-Eu_tabel_g[[#This Row],[x base]],0,1,TRUE)</f>
        <v>5.322732084453996E-2</v>
      </c>
      <c r="CR132" s="54" t="e" cm="1">
        <f t="array" ref="CR132">IF($CR$3,INDEX(Eu_tabel_g[[#This Row],[Styrke venstre]:[Styrke tosidet]],CR$7),NA())</f>
        <v>#N/A</v>
      </c>
      <c r="CS132" s="89" t="e">
        <f>Eu_tabel_g[[#This Row],[Falsk positiv
Nulhypotese accepteres
Fejltype 1]]</f>
        <v>#N/A</v>
      </c>
      <c r="CT132" s="89" t="e">
        <f>IF(CHOOSE(CR$7,Eu_tabel_g[[#This Row],[x base]]&gt;0,Eu_tabel_g[[#This Row],[x base]]&lt;0,Eu_tabel_g[[#This Row],[x base]]=0),Eu_tabel_g[[#This Row],[Styrke, aktiv]],NA())</f>
        <v>#N/A</v>
      </c>
      <c r="CU132" s="89" t="e">
        <f>IFERROR(IF($CR$3,Eu_tabel_g[[#This Row],[Styrke, aktiv]],NA()),NA())</f>
        <v>#N/A</v>
      </c>
      <c r="CV132" s="89" t="e">
        <f>IF(ISNA(Eu_tabel_g[[#This Row],[Sand negativ
Nulhypotese afvises
Korrekt]]),NA(),IF($CR$3,1,NA()))</f>
        <v>#N/A</v>
      </c>
      <c r="CW132" s="56" t="str" cm="1">
        <f t="array" ref="CW132">_xlfn.SWITCH(BZ132,_xlfn.IFNA(CU$2,-99),CU$5,_xlfn.IFNA(CU$3,-99),CU$6,_xlfn.IFNA(CU$4,-99),CU$7,"")</f>
        <v/>
      </c>
      <c r="DA132" s="7">
        <f t="shared" si="156"/>
        <v>0.8</v>
      </c>
      <c r="DB132">
        <f>IF(ROW(Styrkeberegning_G[[#This Row],[X base venstre]])=ROW(Styrkeberegning_G[[#Headers],[X base venstre]])+1,DB$7/(DA$7/$B$67),DB131/(DA131/$B$67))</f>
        <v>-2.8015817870135784</v>
      </c>
      <c r="DC132">
        <f>Styrkeberegning_G[[#This Row],[X base venstre]]*-1</f>
        <v>2.8015817870135784</v>
      </c>
      <c r="DN132" s="54">
        <f t="shared" si="157"/>
        <v>122</v>
      </c>
      <c r="DO132" s="54">
        <f t="shared" si="158"/>
        <v>123</v>
      </c>
      <c r="DP132" s="54">
        <f t="shared" si="159"/>
        <v>15.750497147527813</v>
      </c>
      <c r="DQ132" s="54" t="e">
        <f t="shared" si="160"/>
        <v>#N/A</v>
      </c>
      <c r="DR132" s="54" t="e">
        <f t="shared" si="161"/>
        <v>#N/A</v>
      </c>
      <c r="DS132" s="54">
        <f t="shared" si="162"/>
        <v>3.9185505789390514E-2</v>
      </c>
      <c r="DT132" s="54" t="e">
        <f t="shared" si="163"/>
        <v>#N/A</v>
      </c>
      <c r="DU132" s="54" t="b">
        <f t="shared" si="164"/>
        <v>0</v>
      </c>
      <c r="DV132" s="54" t="b">
        <f t="shared" si="165"/>
        <v>1</v>
      </c>
      <c r="DW132" s="54" t="b">
        <f t="shared" si="166"/>
        <v>0</v>
      </c>
      <c r="DX132" s="54" t="b">
        <f t="shared" si="167"/>
        <v>1</v>
      </c>
      <c r="DY132" s="54">
        <f t="shared" si="168"/>
        <v>3.9185505789390514E-2</v>
      </c>
      <c r="DZ132" s="54" t="e">
        <f t="shared" si="169"/>
        <v>#N/A</v>
      </c>
      <c r="EA132" s="54">
        <f t="shared" si="170"/>
        <v>3.9185505789390514E-2</v>
      </c>
      <c r="EB132" s="69" t="str">
        <f t="shared" si="171"/>
        <v/>
      </c>
      <c r="EG132" s="54">
        <f t="shared" si="172"/>
        <v>122</v>
      </c>
      <c r="EH132" s="54">
        <f t="shared" si="173"/>
        <v>123</v>
      </c>
      <c r="EI132" s="54">
        <f t="shared" si="174"/>
        <v>-0.16768702436569516</v>
      </c>
      <c r="EJ132" s="54">
        <f t="shared" si="175"/>
        <v>0.39337260880753866</v>
      </c>
      <c r="EK132" s="54" t="e">
        <f t="shared" si="176"/>
        <v>#N/A</v>
      </c>
      <c r="EL132" s="54" t="e">
        <f t="shared" si="177"/>
        <v>#N/A</v>
      </c>
      <c r="EM132" s="54" t="e">
        <f t="shared" si="178"/>
        <v>#N/A</v>
      </c>
      <c r="EN132" s="54" t="b">
        <f t="shared" si="179"/>
        <v>0</v>
      </c>
      <c r="EO132" s="54" t="b">
        <f t="shared" si="180"/>
        <v>1</v>
      </c>
      <c r="EP132" s="54" t="b">
        <f t="shared" si="181"/>
        <v>0</v>
      </c>
      <c r="EQ132" s="54" t="b">
        <f t="shared" si="182"/>
        <v>1</v>
      </c>
      <c r="ER132" s="54">
        <f t="shared" si="183"/>
        <v>0.39337260880753866</v>
      </c>
      <c r="ES132" s="54" t="e">
        <f t="shared" si="184"/>
        <v>#N/A</v>
      </c>
      <c r="ET132" s="54">
        <f t="shared" si="185"/>
        <v>0.39337260880753866</v>
      </c>
      <c r="EU132" s="69" t="str">
        <f t="shared" si="186"/>
        <v/>
      </c>
      <c r="EV13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3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3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32" s="54" t="e" cm="1">
        <f t="array" ref="EY132">IF($CR$3,INDEX(Eu_tabel_a[[#This Row],[Styrke venstre]:[Styrke tosidet]],EY$7),NA())</f>
        <v>#N/A</v>
      </c>
      <c r="EZ132" s="54" t="e">
        <f>IF(EY$3,IF(CHOOSE(EY$7,Eu_tabel_a[[#This Row],[x base]]&gt;0,Eu_tabel_a[[#This Row],[x base]]&lt;0,Eu_tabel_a[[#This Row],[x base]]=0),1,NA()),NA())</f>
        <v>#N/A</v>
      </c>
      <c r="FA132" s="54" t="e">
        <f>IF(CHOOSE(EY$7,Eu_tabel_a[[#This Row],[x base]]&gt;0,Eu_tabel_a[[#This Row],[x base]]&lt;0,Eu_tabel_a[[#This Row],[x base]]=0),Eu_tabel_a[[#This Row],[Styrke, aktiv]],NA())</f>
        <v>#N/A</v>
      </c>
      <c r="FB132" s="54" t="e">
        <f>IFERROR(IF($EY$3,Eu_tabel_a[[#This Row],[Styrke, aktiv]],NA()),NA())</f>
        <v>#N/A</v>
      </c>
      <c r="FC132" s="54" t="e">
        <f>IF(ISNA(Eu_tabel_a[[#This Row],[Sand negativ
Nulhypotese afvises
Korrekt]]),NA(),IF(EY$3,1,NA()))</f>
        <v>#N/A</v>
      </c>
      <c r="FD132" s="55" t="str" cm="1">
        <f t="array" ref="FD132">IFERROR(_xlfn.SWITCH(Eu_tabel_a[[#This Row],[Indeks]],_xlfn.IFNA(FB$2,-99),FB$5,_xlfn.IFNA(FB$3,-99),FB$6,_xlfn.IFNA(FB$4,-99),FB$7,""),"")</f>
        <v/>
      </c>
      <c r="FE132" s="54">
        <f>Eu_tabel_a[[#This Row],[x base]]*SQRT(Eu_a_h0_x*(1-Eu_a_h0_x)/Eu_a_n_x)+Eu_a_h0_x</f>
        <v>0</v>
      </c>
      <c r="FJ132" s="144" t="e">
        <f t="shared" si="130"/>
        <v>#N/A</v>
      </c>
      <c r="FK132" s="152" t="e">
        <f t="shared" si="218"/>
        <v>#DIV/0!</v>
      </c>
      <c r="FL132" s="7" t="e">
        <f t="shared" si="124"/>
        <v>#DIV/0!</v>
      </c>
      <c r="FM132" t="e">
        <f t="shared" si="219"/>
        <v>#DIV/0!</v>
      </c>
      <c r="FN132" s="8" t="e">
        <f t="shared" si="220"/>
        <v>#DIV/0!</v>
      </c>
      <c r="FO132" s="8" t="e">
        <f t="shared" si="221"/>
        <v>#DIV/0!</v>
      </c>
      <c r="FP132" s="151" t="e">
        <f t="shared" si="222"/>
        <v>#DIV/0!</v>
      </c>
      <c r="FQ132" s="144" t="e">
        <f t="shared" ca="1" si="125"/>
        <v>#N/A</v>
      </c>
      <c r="FR132" s="152" t="e" vm="3">
        <f t="shared" ca="1" si="131"/>
        <v>#VALUE!</v>
      </c>
      <c r="FS132" s="7" t="e" vm="3">
        <f t="shared" ca="1" si="126"/>
        <v>#VALUE!</v>
      </c>
      <c r="FT132" t="e" vm="3">
        <f t="shared" ca="1" si="120"/>
        <v>#VALUE!</v>
      </c>
      <c r="FU132" s="8" t="e" vm="3">
        <f t="shared" ca="1" si="121"/>
        <v>#VALUE!</v>
      </c>
      <c r="FV132" s="8" t="e" vm="3">
        <f t="shared" ca="1" si="122"/>
        <v>#VALUE!</v>
      </c>
      <c r="FW132" s="151" t="e" vm="3">
        <f t="shared" ca="1" si="123"/>
        <v>#VALUE!</v>
      </c>
      <c r="FX132" s="144" t="e">
        <f t="shared" si="127"/>
        <v>#N/A</v>
      </c>
      <c r="FY132" s="152" t="e">
        <f t="shared" si="132"/>
        <v>#N/A</v>
      </c>
      <c r="FZ132" s="7" t="e">
        <f t="shared" si="128"/>
        <v>#N/A</v>
      </c>
      <c r="GA132" t="e">
        <f t="shared" si="133"/>
        <v>#N/A</v>
      </c>
      <c r="GB132" s="8" t="e">
        <f t="shared" si="134"/>
        <v>#N/A</v>
      </c>
      <c r="GC132" s="8" t="e">
        <f t="shared" si="135"/>
        <v>#N/A</v>
      </c>
      <c r="GD132" s="151" t="e">
        <f t="shared" si="136"/>
        <v>#N/A</v>
      </c>
      <c r="GE132" s="144" t="e">
        <f t="shared" si="137"/>
        <v>#N/A</v>
      </c>
      <c r="GF132" s="152" t="e">
        <f t="shared" si="138"/>
        <v>#N/A</v>
      </c>
      <c r="GG132" s="7" t="e">
        <f t="shared" si="129"/>
        <v>#N/A</v>
      </c>
      <c r="GH132" t="e">
        <f t="shared" si="139"/>
        <v>#N/A</v>
      </c>
      <c r="GI132" s="8" t="e">
        <f t="shared" si="140"/>
        <v>#N/A</v>
      </c>
      <c r="GJ132" s="8" t="e">
        <f t="shared" si="141"/>
        <v>#N/A</v>
      </c>
      <c r="GK132" s="151" t="e">
        <f t="shared" si="142"/>
        <v>#N/A</v>
      </c>
      <c r="GL132" s="151"/>
      <c r="GM132" s="151"/>
      <c r="GP132" s="54">
        <f t="shared" si="187"/>
        <v>122</v>
      </c>
      <c r="GQ132" s="54">
        <f t="shared" si="188"/>
        <v>123</v>
      </c>
      <c r="GR132" s="54">
        <f t="shared" si="189"/>
        <v>-0.16768702436569516</v>
      </c>
      <c r="GS132" s="54">
        <f t="shared" si="190"/>
        <v>0.39337260880753866</v>
      </c>
      <c r="GT132" s="54" t="e">
        <f t="shared" si="191"/>
        <v>#N/A</v>
      </c>
      <c r="GU132" s="54" t="e">
        <f t="shared" si="192"/>
        <v>#N/A</v>
      </c>
      <c r="GV132" s="54" t="e">
        <f t="shared" si="193"/>
        <v>#N/A</v>
      </c>
      <c r="GW132" s="54" t="b">
        <f t="shared" si="194"/>
        <v>0</v>
      </c>
      <c r="GX132" s="54" t="b">
        <f t="shared" si="195"/>
        <v>1</v>
      </c>
      <c r="GY132" s="54" t="b">
        <f t="shared" si="196"/>
        <v>0</v>
      </c>
      <c r="GZ132" s="54" t="b">
        <f t="shared" si="197"/>
        <v>1</v>
      </c>
      <c r="HA132" s="54">
        <f t="shared" si="198"/>
        <v>0.39337260880753866</v>
      </c>
      <c r="HB132" s="54" t="e">
        <f t="shared" si="199"/>
        <v>#N/A</v>
      </c>
      <c r="HC132" s="54">
        <f t="shared" si="200"/>
        <v>0.39337260880753866</v>
      </c>
      <c r="HD132" s="69" t="str">
        <f t="shared" si="201"/>
        <v/>
      </c>
      <c r="HJ132" s="54">
        <f t="shared" si="202"/>
        <v>122</v>
      </c>
      <c r="HK132" s="54">
        <f t="shared" si="203"/>
        <v>123</v>
      </c>
      <c r="HL132" s="54">
        <f t="shared" si="204"/>
        <v>-0.25966687907339736</v>
      </c>
      <c r="HM132" s="54" t="e">
        <f t="shared" si="205"/>
        <v>#N/A</v>
      </c>
      <c r="HN132" s="54">
        <f t="shared" si="206"/>
        <v>0.37050830558756809</v>
      </c>
      <c r="HO132" s="54" t="e">
        <f t="shared" si="207"/>
        <v>#N/A</v>
      </c>
      <c r="HP132" s="54" t="e">
        <f t="shared" si="208"/>
        <v>#N/A</v>
      </c>
      <c r="HQ132" s="54" t="b">
        <f t="shared" si="209"/>
        <v>1</v>
      </c>
      <c r="HR132" s="54" t="b">
        <f t="shared" si="210"/>
        <v>0</v>
      </c>
      <c r="HS132" s="54" t="b">
        <f t="shared" si="211"/>
        <v>0</v>
      </c>
      <c r="HT132" s="54" t="b">
        <f t="shared" si="212"/>
        <v>1</v>
      </c>
      <c r="HU132" s="54">
        <f t="shared" si="213"/>
        <v>0.37050830558756809</v>
      </c>
      <c r="HV132" s="54">
        <f t="shared" si="214"/>
        <v>0.37050830558756809</v>
      </c>
      <c r="HW132" s="54" t="e">
        <f t="shared" si="215"/>
        <v>#N/A</v>
      </c>
      <c r="HX132" s="69" t="str">
        <f t="shared" si="216"/>
        <v/>
      </c>
    </row>
    <row r="133" spans="78:232" x14ac:dyDescent="0.2">
      <c r="BZ133" s="54">
        <f t="shared" si="143"/>
        <v>123</v>
      </c>
      <c r="CA133" s="54">
        <f>Eu_tabel_g[[#This Row],[Indeks]]+1</f>
        <v>124</v>
      </c>
      <c r="CB133" s="54">
        <f t="shared" si="144"/>
        <v>-0.14373173517059579</v>
      </c>
      <c r="CC133" s="54">
        <f t="shared" si="145"/>
        <v>0.39484265348383518</v>
      </c>
      <c r="CD133" s="54" t="e">
        <f t="shared" si="146"/>
        <v>#N/A</v>
      </c>
      <c r="CE133" s="54" t="e">
        <f t="shared" si="147"/>
        <v>#N/A</v>
      </c>
      <c r="CF133" s="54" t="e">
        <f t="shared" si="148"/>
        <v>#N/A</v>
      </c>
      <c r="CG133" s="54" t="b">
        <f t="shared" si="149"/>
        <v>0</v>
      </c>
      <c r="CH133" s="54" t="b">
        <f t="shared" si="150"/>
        <v>1</v>
      </c>
      <c r="CI133" s="54" t="b">
        <f t="shared" si="151"/>
        <v>0</v>
      </c>
      <c r="CJ133" s="54" t="b">
        <f t="shared" si="152"/>
        <v>1</v>
      </c>
      <c r="CK133" s="54">
        <f t="shared" si="223"/>
        <v>0.39484265348383518</v>
      </c>
      <c r="CL133" s="54" t="e">
        <f t="shared" si="153"/>
        <v>#N/A</v>
      </c>
      <c r="CM133" s="54">
        <f t="shared" si="154"/>
        <v>0.39484265348383518</v>
      </c>
      <c r="CN133" s="69" t="str">
        <f t="shared" si="155"/>
        <v/>
      </c>
      <c r="CO133" s="54">
        <f>_xlfn.NORM.DIST(_xlfn.NORM.INV(1-Eu_g_konfidensniveau,0,1)-Eu_tabel_g[[#This Row],[x base]],0,1,TRUE)</f>
        <v>6.6662018766824135E-2</v>
      </c>
      <c r="CP133" s="54">
        <f>1-_xlfn.NORM.DIST(_xlfn.NORM.INV(Eu_g_konfidensniveau,0,1)-Eu_tabel_g[[#This Row],[x base]],0,1,TRUE)</f>
        <v>3.6840808495973154E-2</v>
      </c>
      <c r="CQ133" s="54">
        <f>_xlfn.NORM.DIST(_xlfn.NORM.INV((1-Eu_g_konfidensniveau)/2,0,1)-Eu_tabel_g[[#This Row],[x base]],0,1,TRUE)+1-_xlfn.NORM.DIST(_xlfn.NORM.INV(1-(1-Eu_g_konfidensniveau)/2,0,1)-Eu_tabel_g[[#This Row],[x base]],0,1,TRUE)</f>
        <v>5.2369875565396407E-2</v>
      </c>
      <c r="CR133" s="54" t="e" cm="1">
        <f t="array" ref="CR133">IF($CR$3,INDEX(Eu_tabel_g[[#This Row],[Styrke venstre]:[Styrke tosidet]],CR$7),NA())</f>
        <v>#N/A</v>
      </c>
      <c r="CS133" s="89" t="e">
        <f>Eu_tabel_g[[#This Row],[Falsk positiv
Nulhypotese accepteres
Fejltype 1]]</f>
        <v>#N/A</v>
      </c>
      <c r="CT133" s="89" t="e">
        <f>IF(CHOOSE(CR$7,Eu_tabel_g[[#This Row],[x base]]&gt;0,Eu_tabel_g[[#This Row],[x base]]&lt;0,Eu_tabel_g[[#This Row],[x base]]=0),Eu_tabel_g[[#This Row],[Styrke, aktiv]],NA())</f>
        <v>#N/A</v>
      </c>
      <c r="CU133" s="89" t="e">
        <f>IFERROR(IF($CR$3,Eu_tabel_g[[#This Row],[Styrke, aktiv]],NA()),NA())</f>
        <v>#N/A</v>
      </c>
      <c r="CV133" s="89" t="e">
        <f>IF(ISNA(Eu_tabel_g[[#This Row],[Sand negativ
Nulhypotese afvises
Korrekt]]),NA(),IF($CR$3,1,NA()))</f>
        <v>#N/A</v>
      </c>
      <c r="CW133" s="56" t="str" cm="1">
        <f t="array" ref="CW133">_xlfn.SWITCH(BZ133,_xlfn.IFNA(CU$2,-99),CU$5,_xlfn.IFNA(CU$3,-99),CU$6,_xlfn.IFNA(CU$4,-99),CU$7,"")</f>
        <v/>
      </c>
      <c r="DA133" s="7">
        <f t="shared" si="156"/>
        <v>0.8</v>
      </c>
      <c r="DB133">
        <f>IF(ROW(Styrkeberegning_G[[#This Row],[X base venstre]])=ROW(Styrkeberegning_G[[#Headers],[X base venstre]])+1,DB$7/(DA$7/$B$67),DB132/(DA132/$B$67))</f>
        <v>-2.8015817870135784</v>
      </c>
      <c r="DC133">
        <f>Styrkeberegning_G[[#This Row],[X base venstre]]*-1</f>
        <v>2.8015817870135784</v>
      </c>
      <c r="DN133" s="54">
        <f t="shared" si="157"/>
        <v>123</v>
      </c>
      <c r="DO133" s="54">
        <f t="shared" si="158"/>
        <v>124</v>
      </c>
      <c r="DP133" s="54">
        <f t="shared" si="159"/>
        <v>15.864568003944814</v>
      </c>
      <c r="DQ133" s="54" t="e">
        <f t="shared" si="160"/>
        <v>#N/A</v>
      </c>
      <c r="DR133" s="54" t="e">
        <f t="shared" si="161"/>
        <v>#N/A</v>
      </c>
      <c r="DS133" s="54">
        <f t="shared" si="162"/>
        <v>3.8234746428017247E-2</v>
      </c>
      <c r="DT133" s="54" t="e">
        <f t="shared" si="163"/>
        <v>#N/A</v>
      </c>
      <c r="DU133" s="54" t="b">
        <f t="shared" si="164"/>
        <v>0</v>
      </c>
      <c r="DV133" s="54" t="b">
        <f t="shared" si="165"/>
        <v>1</v>
      </c>
      <c r="DW133" s="54" t="b">
        <f t="shared" si="166"/>
        <v>0</v>
      </c>
      <c r="DX133" s="54" t="b">
        <f t="shared" si="167"/>
        <v>1</v>
      </c>
      <c r="DY133" s="54">
        <f t="shared" si="168"/>
        <v>3.8234746428017247E-2</v>
      </c>
      <c r="DZ133" s="54" t="e">
        <f t="shared" si="169"/>
        <v>#N/A</v>
      </c>
      <c r="EA133" s="54">
        <f t="shared" si="170"/>
        <v>3.8234746428017247E-2</v>
      </c>
      <c r="EB133" s="69" t="str">
        <f t="shared" si="171"/>
        <v/>
      </c>
      <c r="EG133" s="54">
        <f t="shared" si="172"/>
        <v>123</v>
      </c>
      <c r="EH133" s="54">
        <f t="shared" si="173"/>
        <v>124</v>
      </c>
      <c r="EI133" s="54">
        <f t="shared" si="174"/>
        <v>-0.14373173517059579</v>
      </c>
      <c r="EJ133" s="54">
        <f t="shared" si="175"/>
        <v>0.39484265348383518</v>
      </c>
      <c r="EK133" s="54" t="e">
        <f t="shared" si="176"/>
        <v>#N/A</v>
      </c>
      <c r="EL133" s="54" t="e">
        <f t="shared" si="177"/>
        <v>#N/A</v>
      </c>
      <c r="EM133" s="54" t="e">
        <f t="shared" si="178"/>
        <v>#N/A</v>
      </c>
      <c r="EN133" s="54" t="b">
        <f t="shared" si="179"/>
        <v>0</v>
      </c>
      <c r="EO133" s="54" t="b">
        <f t="shared" si="180"/>
        <v>1</v>
      </c>
      <c r="EP133" s="54" t="b">
        <f t="shared" si="181"/>
        <v>0</v>
      </c>
      <c r="EQ133" s="54" t="b">
        <f t="shared" si="182"/>
        <v>1</v>
      </c>
      <c r="ER133" s="54">
        <f t="shared" si="183"/>
        <v>0.39484265348383518</v>
      </c>
      <c r="ES133" s="54" t="e">
        <f t="shared" si="184"/>
        <v>#N/A</v>
      </c>
      <c r="ET133" s="54">
        <f t="shared" si="185"/>
        <v>0.39484265348383518</v>
      </c>
      <c r="EU133" s="69" t="str">
        <f t="shared" si="186"/>
        <v/>
      </c>
      <c r="EV13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3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3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33" s="54" t="e" cm="1">
        <f t="array" ref="EY133">IF($CR$3,INDEX(Eu_tabel_a[[#This Row],[Styrke venstre]:[Styrke tosidet]],EY$7),NA())</f>
        <v>#N/A</v>
      </c>
      <c r="EZ133" s="54" t="e">
        <f>IF(EY$3,IF(CHOOSE(EY$7,Eu_tabel_a[[#This Row],[x base]]&gt;0,Eu_tabel_a[[#This Row],[x base]]&lt;0,Eu_tabel_a[[#This Row],[x base]]=0),1,NA()),NA())</f>
        <v>#N/A</v>
      </c>
      <c r="FA133" s="54" t="e">
        <f>IF(CHOOSE(EY$7,Eu_tabel_a[[#This Row],[x base]]&gt;0,Eu_tabel_a[[#This Row],[x base]]&lt;0,Eu_tabel_a[[#This Row],[x base]]=0),Eu_tabel_a[[#This Row],[Styrke, aktiv]],NA())</f>
        <v>#N/A</v>
      </c>
      <c r="FB133" s="54" t="e">
        <f>IFERROR(IF($EY$3,Eu_tabel_a[[#This Row],[Styrke, aktiv]],NA()),NA())</f>
        <v>#N/A</v>
      </c>
      <c r="FC133" s="54" t="e">
        <f>IF(ISNA(Eu_tabel_a[[#This Row],[Sand negativ
Nulhypotese afvises
Korrekt]]),NA(),IF(EY$3,1,NA()))</f>
        <v>#N/A</v>
      </c>
      <c r="FD133" s="55" t="str" cm="1">
        <f t="array" ref="FD133">IFERROR(_xlfn.SWITCH(Eu_tabel_a[[#This Row],[Indeks]],_xlfn.IFNA(FB$2,-99),FB$5,_xlfn.IFNA(FB$3,-99),FB$6,_xlfn.IFNA(FB$4,-99),FB$7,""),"")</f>
        <v/>
      </c>
      <c r="FE133" s="54">
        <f>Eu_tabel_a[[#This Row],[x base]]*SQRT(Eu_a_h0_x*(1-Eu_a_h0_x)/Eu_a_n_x)+Eu_a_h0_x</f>
        <v>0</v>
      </c>
      <c r="FJ133" s="144" t="e">
        <f t="shared" si="130"/>
        <v>#N/A</v>
      </c>
      <c r="FK133" s="152" t="e">
        <f t="shared" si="218"/>
        <v>#DIV/0!</v>
      </c>
      <c r="FL133" s="7" t="e">
        <f t="shared" si="124"/>
        <v>#DIV/0!</v>
      </c>
      <c r="FM133" t="e">
        <f t="shared" si="219"/>
        <v>#DIV/0!</v>
      </c>
      <c r="FN133" s="8" t="e">
        <f t="shared" si="220"/>
        <v>#DIV/0!</v>
      </c>
      <c r="FO133" s="8" t="e">
        <f t="shared" si="221"/>
        <v>#DIV/0!</v>
      </c>
      <c r="FP133" s="151" t="e">
        <f t="shared" si="222"/>
        <v>#DIV/0!</v>
      </c>
      <c r="FQ133" s="144" t="e">
        <f t="shared" ca="1" si="125"/>
        <v>#N/A</v>
      </c>
      <c r="FR133" s="152" t="e" vm="3">
        <f t="shared" ca="1" si="131"/>
        <v>#VALUE!</v>
      </c>
      <c r="FS133" s="7" t="e" vm="3">
        <f t="shared" ca="1" si="126"/>
        <v>#VALUE!</v>
      </c>
      <c r="FT133" t="e" vm="3">
        <f t="shared" ref="FT133:FT196" ca="1" si="224">FR133-FR132</f>
        <v>#VALUE!</v>
      </c>
      <c r="FU133" s="8" t="e" vm="3">
        <f t="shared" ref="FU133:FU196" ca="1" si="225">FS133-FS132</f>
        <v>#VALUE!</v>
      </c>
      <c r="FV133" s="8" t="e" vm="3">
        <f t="shared" ref="FV133:FV196" ca="1" si="226">$P$67-FS132</f>
        <v>#VALUE!</v>
      </c>
      <c r="FW133" s="151" t="e" vm="3">
        <f t="shared" ref="FW133:FW196" ca="1" si="227">FT133/(FU133/FV133)</f>
        <v>#VALUE!</v>
      </c>
      <c r="FX133" s="144" t="e">
        <f t="shared" si="127"/>
        <v>#N/A</v>
      </c>
      <c r="FY133" s="152" t="e">
        <f t="shared" si="132"/>
        <v>#N/A</v>
      </c>
      <c r="FZ133" s="7" t="e">
        <f t="shared" si="128"/>
        <v>#N/A</v>
      </c>
      <c r="GA133" t="e">
        <f t="shared" si="133"/>
        <v>#N/A</v>
      </c>
      <c r="GB133" s="8" t="e">
        <f t="shared" si="134"/>
        <v>#N/A</v>
      </c>
      <c r="GC133" s="8" t="e">
        <f t="shared" si="135"/>
        <v>#N/A</v>
      </c>
      <c r="GD133" s="151" t="e">
        <f t="shared" si="136"/>
        <v>#N/A</v>
      </c>
      <c r="GE133" s="144" t="e">
        <f t="shared" si="137"/>
        <v>#N/A</v>
      </c>
      <c r="GF133" s="152" t="e">
        <f t="shared" si="138"/>
        <v>#N/A</v>
      </c>
      <c r="GG133" s="7" t="e">
        <f t="shared" si="129"/>
        <v>#N/A</v>
      </c>
      <c r="GH133" t="e">
        <f t="shared" si="139"/>
        <v>#N/A</v>
      </c>
      <c r="GI133" s="8" t="e">
        <f t="shared" si="140"/>
        <v>#N/A</v>
      </c>
      <c r="GJ133" s="8" t="e">
        <f t="shared" si="141"/>
        <v>#N/A</v>
      </c>
      <c r="GK133" s="151" t="e">
        <f t="shared" si="142"/>
        <v>#N/A</v>
      </c>
      <c r="GL133" s="151"/>
      <c r="GM133" s="151"/>
      <c r="GP133" s="54">
        <f t="shared" si="187"/>
        <v>123</v>
      </c>
      <c r="GQ133" s="54">
        <f t="shared" si="188"/>
        <v>124</v>
      </c>
      <c r="GR133" s="54">
        <f t="shared" si="189"/>
        <v>-0.14373173517059579</v>
      </c>
      <c r="GS133" s="54">
        <f t="shared" si="190"/>
        <v>0.39484265348383518</v>
      </c>
      <c r="GT133" s="54" t="e">
        <f t="shared" si="191"/>
        <v>#N/A</v>
      </c>
      <c r="GU133" s="54" t="e">
        <f t="shared" si="192"/>
        <v>#N/A</v>
      </c>
      <c r="GV133" s="54" t="e">
        <f t="shared" si="193"/>
        <v>#N/A</v>
      </c>
      <c r="GW133" s="54" t="b">
        <f t="shared" si="194"/>
        <v>0</v>
      </c>
      <c r="GX133" s="54" t="b">
        <f t="shared" si="195"/>
        <v>1</v>
      </c>
      <c r="GY133" s="54" t="b">
        <f t="shared" si="196"/>
        <v>0</v>
      </c>
      <c r="GZ133" s="54" t="b">
        <f t="shared" si="197"/>
        <v>1</v>
      </c>
      <c r="HA133" s="54">
        <f t="shared" si="198"/>
        <v>0.39484265348383518</v>
      </c>
      <c r="HB133" s="54" t="e">
        <f t="shared" si="199"/>
        <v>#N/A</v>
      </c>
      <c r="HC133" s="54">
        <f t="shared" si="200"/>
        <v>0.39484265348383518</v>
      </c>
      <c r="HD133" s="69" t="str">
        <f t="shared" si="201"/>
        <v/>
      </c>
      <c r="HJ133" s="54">
        <f t="shared" si="202"/>
        <v>123</v>
      </c>
      <c r="HK133" s="54">
        <f t="shared" si="203"/>
        <v>124</v>
      </c>
      <c r="HL133" s="54">
        <f t="shared" si="204"/>
        <v>-0.22257161063434072</v>
      </c>
      <c r="HM133" s="54" t="e">
        <f t="shared" si="205"/>
        <v>#N/A</v>
      </c>
      <c r="HN133" s="54">
        <f t="shared" si="206"/>
        <v>0.37428342244366131</v>
      </c>
      <c r="HO133" s="54" t="e">
        <f t="shared" si="207"/>
        <v>#N/A</v>
      </c>
      <c r="HP133" s="54" t="e">
        <f t="shared" si="208"/>
        <v>#N/A</v>
      </c>
      <c r="HQ133" s="54" t="b">
        <f t="shared" si="209"/>
        <v>1</v>
      </c>
      <c r="HR133" s="54" t="b">
        <f t="shared" si="210"/>
        <v>0</v>
      </c>
      <c r="HS133" s="54" t="b">
        <f t="shared" si="211"/>
        <v>0</v>
      </c>
      <c r="HT133" s="54" t="b">
        <f t="shared" si="212"/>
        <v>1</v>
      </c>
      <c r="HU133" s="54">
        <f t="shared" si="213"/>
        <v>0.37428342244366131</v>
      </c>
      <c r="HV133" s="54">
        <f t="shared" si="214"/>
        <v>0.37428342244366131</v>
      </c>
      <c r="HW133" s="54" t="e">
        <f t="shared" si="215"/>
        <v>#N/A</v>
      </c>
      <c r="HX133" s="69" t="str">
        <f t="shared" si="216"/>
        <v/>
      </c>
    </row>
    <row r="134" spans="78:232" x14ac:dyDescent="0.2">
      <c r="BZ134" s="54">
        <f t="shared" si="143"/>
        <v>124</v>
      </c>
      <c r="CA134" s="54">
        <f>Eu_tabel_g[[#This Row],[Indeks]]+1</f>
        <v>125</v>
      </c>
      <c r="CB134" s="54">
        <f t="shared" si="144"/>
        <v>-0.11977644597549686</v>
      </c>
      <c r="CC134" s="54">
        <f t="shared" si="145"/>
        <v>0.39609082747762636</v>
      </c>
      <c r="CD134" s="54" t="e">
        <f t="shared" si="146"/>
        <v>#N/A</v>
      </c>
      <c r="CE134" s="54" t="e">
        <f t="shared" si="147"/>
        <v>#N/A</v>
      </c>
      <c r="CF134" s="54" t="e">
        <f t="shared" si="148"/>
        <v>#N/A</v>
      </c>
      <c r="CG134" s="54" t="b">
        <f t="shared" si="149"/>
        <v>0</v>
      </c>
      <c r="CH134" s="54" t="b">
        <f t="shared" si="150"/>
        <v>1</v>
      </c>
      <c r="CI134" s="54" t="b">
        <f t="shared" si="151"/>
        <v>0</v>
      </c>
      <c r="CJ134" s="54" t="b">
        <f t="shared" si="152"/>
        <v>1</v>
      </c>
      <c r="CK134" s="54">
        <f t="shared" si="223"/>
        <v>0.39609082747762636</v>
      </c>
      <c r="CL134" s="54" t="e">
        <f t="shared" si="153"/>
        <v>#N/A</v>
      </c>
      <c r="CM134" s="54">
        <f t="shared" si="154"/>
        <v>0.39609082747762636</v>
      </c>
      <c r="CN134" s="69" t="str">
        <f t="shared" si="155"/>
        <v/>
      </c>
      <c r="CO134" s="54">
        <f>_xlfn.NORM.DIST(_xlfn.NORM.INV(1-Eu_g_konfidensniveau,0,1)-Eu_tabel_g[[#This Row],[x base]],0,1,TRUE)</f>
        <v>6.3619924028872746E-2</v>
      </c>
      <c r="CP134" s="54">
        <f>1-_xlfn.NORM.DIST(_xlfn.NORM.INV(Eu_g_konfidensniveau,0,1)-Eu_tabel_g[[#This Row],[x base]],0,1,TRUE)</f>
        <v>3.8812978922329044E-2</v>
      </c>
      <c r="CQ134" s="54">
        <f>_xlfn.NORM.DIST(_xlfn.NORM.INV((1-Eu_g_konfidensniveau)/2,0,1)-Eu_tabel_g[[#This Row],[x base]],0,1,TRUE)+1-_xlfn.NORM.DIST(_xlfn.NORM.INV(1-(1-Eu_g_konfidensniveau)/2,0,1)-Eu_tabel_g[[#This Row],[x base]],0,1,TRUE)</f>
        <v>5.1645028210794308E-2</v>
      </c>
      <c r="CR134" s="54" t="e" cm="1">
        <f t="array" ref="CR134">IF($CR$3,INDEX(Eu_tabel_g[[#This Row],[Styrke venstre]:[Styrke tosidet]],CR$7),NA())</f>
        <v>#N/A</v>
      </c>
      <c r="CS134" s="89" t="e">
        <f>Eu_tabel_g[[#This Row],[Falsk positiv
Nulhypotese accepteres
Fejltype 1]]</f>
        <v>#N/A</v>
      </c>
      <c r="CT134" s="89" t="e">
        <f>IF(CHOOSE(CR$7,Eu_tabel_g[[#This Row],[x base]]&gt;0,Eu_tabel_g[[#This Row],[x base]]&lt;0,Eu_tabel_g[[#This Row],[x base]]=0),Eu_tabel_g[[#This Row],[Styrke, aktiv]],NA())</f>
        <v>#N/A</v>
      </c>
      <c r="CU134" s="89" t="e">
        <f>IFERROR(IF($CR$3,Eu_tabel_g[[#This Row],[Styrke, aktiv]],NA()),NA())</f>
        <v>#N/A</v>
      </c>
      <c r="CV134" s="89" t="e">
        <f>IF(ISNA(Eu_tabel_g[[#This Row],[Sand negativ
Nulhypotese afvises
Korrekt]]),NA(),IF($CR$3,1,NA()))</f>
        <v>#N/A</v>
      </c>
      <c r="CW134" s="56" t="str" cm="1">
        <f t="array" ref="CW134">_xlfn.SWITCH(BZ134,_xlfn.IFNA(CU$2,-99),CU$5,_xlfn.IFNA(CU$3,-99),CU$6,_xlfn.IFNA(CU$4,-99),CU$7,"")</f>
        <v/>
      </c>
      <c r="DA134" s="7">
        <f t="shared" si="156"/>
        <v>0.8</v>
      </c>
      <c r="DB134">
        <f>IF(ROW(Styrkeberegning_G[[#This Row],[X base venstre]])=ROW(Styrkeberegning_G[[#Headers],[X base venstre]])+1,DB$7/(DA$7/$B$67),DB133/(DA133/$B$67))</f>
        <v>-2.8015817870135784</v>
      </c>
      <c r="DC134">
        <f>Styrkeberegning_G[[#This Row],[X base venstre]]*-1</f>
        <v>2.8015817870135784</v>
      </c>
      <c r="DN134" s="54">
        <f t="shared" si="157"/>
        <v>124</v>
      </c>
      <c r="DO134" s="54">
        <f t="shared" si="158"/>
        <v>125</v>
      </c>
      <c r="DP134" s="54">
        <f t="shared" si="159"/>
        <v>15.978638860361814</v>
      </c>
      <c r="DQ134" s="54" t="e">
        <f t="shared" si="160"/>
        <v>#N/A</v>
      </c>
      <c r="DR134" s="54" t="e">
        <f t="shared" si="161"/>
        <v>#N/A</v>
      </c>
      <c r="DS134" s="54">
        <f t="shared" si="162"/>
        <v>3.7298376627487174E-2</v>
      </c>
      <c r="DT134" s="54" t="e">
        <f t="shared" si="163"/>
        <v>#N/A</v>
      </c>
      <c r="DU134" s="54" t="b">
        <f t="shared" si="164"/>
        <v>0</v>
      </c>
      <c r="DV134" s="54" t="b">
        <f t="shared" si="165"/>
        <v>1</v>
      </c>
      <c r="DW134" s="54" t="b">
        <f t="shared" si="166"/>
        <v>0</v>
      </c>
      <c r="DX134" s="54" t="b">
        <f t="shared" si="167"/>
        <v>1</v>
      </c>
      <c r="DY134" s="54">
        <f t="shared" si="168"/>
        <v>3.7298376627487174E-2</v>
      </c>
      <c r="DZ134" s="54" t="e">
        <f t="shared" si="169"/>
        <v>#N/A</v>
      </c>
      <c r="EA134" s="54">
        <f t="shared" si="170"/>
        <v>3.7298376627487174E-2</v>
      </c>
      <c r="EB134" s="69" t="str">
        <f t="shared" si="171"/>
        <v/>
      </c>
      <c r="EG134" s="54">
        <f t="shared" si="172"/>
        <v>124</v>
      </c>
      <c r="EH134" s="54">
        <f t="shared" si="173"/>
        <v>125</v>
      </c>
      <c r="EI134" s="54">
        <f t="shared" si="174"/>
        <v>-0.11977644597549686</v>
      </c>
      <c r="EJ134" s="54">
        <f t="shared" si="175"/>
        <v>0.39609082747762636</v>
      </c>
      <c r="EK134" s="54" t="e">
        <f t="shared" si="176"/>
        <v>#N/A</v>
      </c>
      <c r="EL134" s="54" t="e">
        <f t="shared" si="177"/>
        <v>#N/A</v>
      </c>
      <c r="EM134" s="54" t="e">
        <f t="shared" si="178"/>
        <v>#N/A</v>
      </c>
      <c r="EN134" s="54" t="b">
        <f t="shared" si="179"/>
        <v>0</v>
      </c>
      <c r="EO134" s="54" t="b">
        <f t="shared" si="180"/>
        <v>1</v>
      </c>
      <c r="EP134" s="54" t="b">
        <f t="shared" si="181"/>
        <v>0</v>
      </c>
      <c r="EQ134" s="54" t="b">
        <f t="shared" si="182"/>
        <v>1</v>
      </c>
      <c r="ER134" s="54">
        <f t="shared" si="183"/>
        <v>0.39609082747762636</v>
      </c>
      <c r="ES134" s="54" t="e">
        <f t="shared" si="184"/>
        <v>#N/A</v>
      </c>
      <c r="ET134" s="54">
        <f t="shared" si="185"/>
        <v>0.39609082747762636</v>
      </c>
      <c r="EU134" s="69" t="str">
        <f t="shared" si="186"/>
        <v/>
      </c>
      <c r="EV13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3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3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34" s="54" t="e" cm="1">
        <f t="array" ref="EY134">IF($CR$3,INDEX(Eu_tabel_a[[#This Row],[Styrke venstre]:[Styrke tosidet]],EY$7),NA())</f>
        <v>#N/A</v>
      </c>
      <c r="EZ134" s="54" t="e">
        <f>IF(EY$3,IF(CHOOSE(EY$7,Eu_tabel_a[[#This Row],[x base]]&gt;0,Eu_tabel_a[[#This Row],[x base]]&lt;0,Eu_tabel_a[[#This Row],[x base]]=0),1,NA()),NA())</f>
        <v>#N/A</v>
      </c>
      <c r="FA134" s="54" t="e">
        <f>IF(CHOOSE(EY$7,Eu_tabel_a[[#This Row],[x base]]&gt;0,Eu_tabel_a[[#This Row],[x base]]&lt;0,Eu_tabel_a[[#This Row],[x base]]=0),Eu_tabel_a[[#This Row],[Styrke, aktiv]],NA())</f>
        <v>#N/A</v>
      </c>
      <c r="FB134" s="54" t="e">
        <f>IFERROR(IF($EY$3,Eu_tabel_a[[#This Row],[Styrke, aktiv]],NA()),NA())</f>
        <v>#N/A</v>
      </c>
      <c r="FC134" s="54" t="e">
        <f>IF(ISNA(Eu_tabel_a[[#This Row],[Sand negativ
Nulhypotese afvises
Korrekt]]),NA(),IF(EY$3,1,NA()))</f>
        <v>#N/A</v>
      </c>
      <c r="FD134" s="55" t="str" cm="1">
        <f t="array" ref="FD134">IFERROR(_xlfn.SWITCH(Eu_tabel_a[[#This Row],[Indeks]],_xlfn.IFNA(FB$2,-99),FB$5,_xlfn.IFNA(FB$3,-99),FB$6,_xlfn.IFNA(FB$4,-99),FB$7,""),"")</f>
        <v/>
      </c>
      <c r="FE134" s="54">
        <f>Eu_tabel_a[[#This Row],[x base]]*SQRT(Eu_a_h0_x*(1-Eu_a_h0_x)/Eu_a_n_x)+Eu_a_h0_x</f>
        <v>0</v>
      </c>
      <c r="FJ134" s="144" t="e">
        <f t="shared" si="130"/>
        <v>#N/A</v>
      </c>
      <c r="FK134" s="152" t="e">
        <f t="shared" si="218"/>
        <v>#DIV/0!</v>
      </c>
      <c r="FL134" s="7" t="e">
        <f t="shared" ref="FL134:FL197" si="228">_xlfn.NORM.DIST(-(SQRT(Eu_a_n_x)*(FK134-Eu_a_h0_x)/SQRT(FK134*(1-FK134)))-(_xlfn.NORM.INV(Eu_a_konfidensniveau,0,1)*SQRT((Eu_a_h0_x*(1-Eu_a_h0_x))/(FK134*(1-FK134)))),0,1,TRUE)</f>
        <v>#DIV/0!</v>
      </c>
      <c r="FM134" t="e">
        <f t="shared" si="219"/>
        <v>#DIV/0!</v>
      </c>
      <c r="FN134" s="8" t="e">
        <f t="shared" si="220"/>
        <v>#DIV/0!</v>
      </c>
      <c r="FO134" s="8" t="e">
        <f t="shared" si="221"/>
        <v>#DIV/0!</v>
      </c>
      <c r="FP134" s="151" t="e">
        <f t="shared" si="222"/>
        <v>#DIV/0!</v>
      </c>
      <c r="FQ134" s="144" t="e">
        <f t="shared" ref="FQ134:FQ197" ca="1" si="229">IF(ISERROR(FR134),NA(),ROW(FQ134)-ROW(FQ$5))</f>
        <v>#N/A</v>
      </c>
      <c r="FR134" s="152" t="e" vm="3">
        <f t="shared" ca="1" si="131"/>
        <v>#VALUE!</v>
      </c>
      <c r="FS134" s="7" t="e" vm="3">
        <f t="shared" ref="FS134:FS197" ca="1" si="230">_xlfn.NORM.DIST((SQRT(Eu_a_n_x)*(FR134-Eu_a_h0_x)/SQRT(FR134*(1-FR134)))-(_xlfn.NORM.INV(Eu_a_konfidensniveau,0,1)*SQRT((Eu_a_h0_x*(1-Eu_a_h0_x))/(FR134*(1-FR134)))),0,1,TRUE)</f>
        <v>#VALUE!</v>
      </c>
      <c r="FT134" t="e" vm="3">
        <f t="shared" ca="1" si="224"/>
        <v>#VALUE!</v>
      </c>
      <c r="FU134" s="8" t="e" vm="3">
        <f t="shared" ca="1" si="225"/>
        <v>#VALUE!</v>
      </c>
      <c r="FV134" s="8" t="e" vm="3">
        <f t="shared" ca="1" si="226"/>
        <v>#VALUE!</v>
      </c>
      <c r="FW134" s="151" t="e" vm="3">
        <f t="shared" ca="1" si="227"/>
        <v>#VALUE!</v>
      </c>
      <c r="FX134" s="144" t="e">
        <f t="shared" ref="FX134:FX197" si="231">IF(ISERROR(FY134),NA(),ROW(FX134)-ROW(FX$5))</f>
        <v>#N/A</v>
      </c>
      <c r="FY134" s="152" t="e">
        <f t="shared" si="132"/>
        <v>#N/A</v>
      </c>
      <c r="FZ134" s="7" t="e">
        <f t="shared" ref="FZ134:FZ197" si="232">_xlfn.NORM.DIST(-(SQRT(Eu_a_n_x)*(FY134-Eu_a_h0_x)/SQRT(FY134*(1-FY134)))-(_xlfn.NORM.INV(1-(1-Eu_a_konfidensniveau)/2,0,1)*SQRT((Eu_a_h0_x*(1-Eu_a_h0_x))/(FY134*(1-FY134)))),0,1,TRUE)+_xlfn.NORM.DIST((SQRT(Eu_a_n_x)*(FY134-Eu_a_h0_x)/SQRT(FY134*(1-FY134)))-(_xlfn.NORM.INV(1-(1-Eu_a_konfidensniveau)/2,0,1)*SQRT((Eu_a_h0_x*(1-Eu_a_h0_x))/(FY134*(1-FY134)))),0,1,TRUE)</f>
        <v>#N/A</v>
      </c>
      <c r="GA134" t="e">
        <f t="shared" si="133"/>
        <v>#N/A</v>
      </c>
      <c r="GB134" s="8" t="e">
        <f t="shared" si="134"/>
        <v>#N/A</v>
      </c>
      <c r="GC134" s="8" t="e">
        <f t="shared" si="135"/>
        <v>#N/A</v>
      </c>
      <c r="GD134" s="151" t="e">
        <f t="shared" si="136"/>
        <v>#N/A</v>
      </c>
      <c r="GE134" s="144" t="e">
        <f t="shared" si="137"/>
        <v>#N/A</v>
      </c>
      <c r="GF134" s="152" t="e">
        <f t="shared" si="138"/>
        <v>#N/A</v>
      </c>
      <c r="GG134" s="7" t="e">
        <f t="shared" ref="GG134:GG197" si="233">_xlfn.NORM.DIST(-(SQRT(Eu_a_n_x)*(GF134-Eu_a_h0_x)/SQRT(GF134*(1-GF134)))-(_xlfn.NORM.INV(1-(1-Eu_a_konfidensniveau)/2,0,1)*SQRT((Eu_a_h0_x*(1-Eu_a_h0_x))/(GF134*(1-GF134)))),0,1,TRUE)+_xlfn.NORM.DIST((SQRT(Eu_a_n_x)*(GF134-Eu_a_h0_x)/SQRT(GF134*(1-GF134)))-(_xlfn.NORM.INV(1-(1-Eu_a_konfidensniveau)/2,0,1)*SQRT((Eu_a_h0_x*(1-Eu_a_h0_x))/(GF134*(1-GF134)))),0,1,TRUE)</f>
        <v>#N/A</v>
      </c>
      <c r="GH134" t="e">
        <f t="shared" si="139"/>
        <v>#N/A</v>
      </c>
      <c r="GI134" s="8" t="e">
        <f t="shared" si="140"/>
        <v>#N/A</v>
      </c>
      <c r="GJ134" s="8" t="e">
        <f t="shared" si="141"/>
        <v>#N/A</v>
      </c>
      <c r="GK134" s="151" t="e">
        <f t="shared" si="142"/>
        <v>#N/A</v>
      </c>
      <c r="GL134" s="151"/>
      <c r="GM134" s="151"/>
      <c r="GP134" s="54">
        <f t="shared" si="187"/>
        <v>124</v>
      </c>
      <c r="GQ134" s="54">
        <f t="shared" si="188"/>
        <v>125</v>
      </c>
      <c r="GR134" s="54">
        <f t="shared" si="189"/>
        <v>-0.11977644597549686</v>
      </c>
      <c r="GS134" s="54">
        <f t="shared" si="190"/>
        <v>0.39609082747762636</v>
      </c>
      <c r="GT134" s="54" t="e">
        <f t="shared" si="191"/>
        <v>#N/A</v>
      </c>
      <c r="GU134" s="54" t="e">
        <f t="shared" si="192"/>
        <v>#N/A</v>
      </c>
      <c r="GV134" s="54" t="e">
        <f t="shared" si="193"/>
        <v>#N/A</v>
      </c>
      <c r="GW134" s="54" t="b">
        <f t="shared" si="194"/>
        <v>0</v>
      </c>
      <c r="GX134" s="54" t="b">
        <f t="shared" si="195"/>
        <v>1</v>
      </c>
      <c r="GY134" s="54" t="b">
        <f t="shared" si="196"/>
        <v>0</v>
      </c>
      <c r="GZ134" s="54" t="b">
        <f t="shared" si="197"/>
        <v>1</v>
      </c>
      <c r="HA134" s="54">
        <f t="shared" si="198"/>
        <v>0.39609082747762636</v>
      </c>
      <c r="HB134" s="54" t="e">
        <f t="shared" si="199"/>
        <v>#N/A</v>
      </c>
      <c r="HC134" s="54">
        <f t="shared" si="200"/>
        <v>0.39609082747762636</v>
      </c>
      <c r="HD134" s="69" t="str">
        <f t="shared" si="201"/>
        <v/>
      </c>
      <c r="HJ134" s="54">
        <f t="shared" si="202"/>
        <v>124</v>
      </c>
      <c r="HK134" s="54">
        <f t="shared" si="203"/>
        <v>125</v>
      </c>
      <c r="HL134" s="54">
        <f t="shared" si="204"/>
        <v>-0.18547634219528408</v>
      </c>
      <c r="HM134" s="54" t="e">
        <f t="shared" si="205"/>
        <v>#N/A</v>
      </c>
      <c r="HN134" s="54">
        <f t="shared" si="206"/>
        <v>0.37751537276303793</v>
      </c>
      <c r="HO134" s="54" t="e">
        <f t="shared" si="207"/>
        <v>#N/A</v>
      </c>
      <c r="HP134" s="54" t="e">
        <f t="shared" si="208"/>
        <v>#N/A</v>
      </c>
      <c r="HQ134" s="54" t="b">
        <f t="shared" si="209"/>
        <v>1</v>
      </c>
      <c r="HR134" s="54" t="b">
        <f t="shared" si="210"/>
        <v>0</v>
      </c>
      <c r="HS134" s="54" t="b">
        <f t="shared" si="211"/>
        <v>0</v>
      </c>
      <c r="HT134" s="54" t="b">
        <f t="shared" si="212"/>
        <v>1</v>
      </c>
      <c r="HU134" s="54">
        <f t="shared" si="213"/>
        <v>0.37751537276303793</v>
      </c>
      <c r="HV134" s="54">
        <f t="shared" si="214"/>
        <v>0.37751537276303793</v>
      </c>
      <c r="HW134" s="54" t="e">
        <f t="shared" si="215"/>
        <v>#N/A</v>
      </c>
      <c r="HX134" s="69" t="str">
        <f t="shared" si="216"/>
        <v/>
      </c>
    </row>
    <row r="135" spans="78:232" x14ac:dyDescent="0.2">
      <c r="BZ135" s="54">
        <f t="shared" si="143"/>
        <v>125</v>
      </c>
      <c r="CA135" s="54">
        <f>Eu_tabel_g[[#This Row],[Indeks]]+1</f>
        <v>126</v>
      </c>
      <c r="CB135" s="54">
        <f t="shared" si="144"/>
        <v>-9.5821156780397487E-2</v>
      </c>
      <c r="CC135" s="54">
        <f t="shared" si="145"/>
        <v>0.39711499501613434</v>
      </c>
      <c r="CD135" s="54" t="e">
        <f t="shared" si="146"/>
        <v>#N/A</v>
      </c>
      <c r="CE135" s="54" t="e">
        <f t="shared" si="147"/>
        <v>#N/A</v>
      </c>
      <c r="CF135" s="54" t="e">
        <f t="shared" si="148"/>
        <v>#N/A</v>
      </c>
      <c r="CG135" s="54" t="b">
        <f t="shared" si="149"/>
        <v>0</v>
      </c>
      <c r="CH135" s="54" t="b">
        <f t="shared" si="150"/>
        <v>1</v>
      </c>
      <c r="CI135" s="54" t="b">
        <f t="shared" si="151"/>
        <v>0</v>
      </c>
      <c r="CJ135" s="54" t="b">
        <f t="shared" si="152"/>
        <v>1</v>
      </c>
      <c r="CK135" s="54">
        <f t="shared" si="223"/>
        <v>0.39711499501613434</v>
      </c>
      <c r="CL135" s="54" t="e">
        <f t="shared" si="153"/>
        <v>#N/A</v>
      </c>
      <c r="CM135" s="54">
        <f t="shared" si="154"/>
        <v>0.39711499501613434</v>
      </c>
      <c r="CN135" s="69" t="str">
        <f t="shared" si="155"/>
        <v/>
      </c>
      <c r="CO135" s="54">
        <f>_xlfn.NORM.DIST(_xlfn.NORM.INV(1-Eu_g_konfidensniveau,0,1)-Eu_tabel_g[[#This Row],[x base]],0,1,TRUE)</f>
        <v>6.068695738050528E-2</v>
      </c>
      <c r="CP135" s="54">
        <f>1-_xlfn.NORM.DIST(_xlfn.NORM.INV(Eu_g_konfidensniveau,0,1)-Eu_tabel_g[[#This Row],[x base]],0,1,TRUE)</f>
        <v>4.0870300389037606E-2</v>
      </c>
      <c r="CQ135" s="54">
        <f>_xlfn.NORM.DIST(_xlfn.NORM.INV((1-Eu_g_konfidensniveau)/2,0,1)-Eu_tabel_g[[#This Row],[x base]],0,1,TRUE)+1-_xlfn.NORM.DIST(_xlfn.NORM.INV(1-(1-Eu_g_konfidensniveau)/2,0,1)-Eu_tabel_g[[#This Row],[x base]],0,1,TRUE)</f>
        <v>5.1052440219235939E-2</v>
      </c>
      <c r="CR135" s="54" t="e" cm="1">
        <f t="array" ref="CR135">IF($CR$3,INDEX(Eu_tabel_g[[#This Row],[Styrke venstre]:[Styrke tosidet]],CR$7),NA())</f>
        <v>#N/A</v>
      </c>
      <c r="CS135" s="89" t="e">
        <f>Eu_tabel_g[[#This Row],[Falsk positiv
Nulhypotese accepteres
Fejltype 1]]</f>
        <v>#N/A</v>
      </c>
      <c r="CT135" s="89" t="e">
        <f>IF(CHOOSE(CR$7,Eu_tabel_g[[#This Row],[x base]]&gt;0,Eu_tabel_g[[#This Row],[x base]]&lt;0,Eu_tabel_g[[#This Row],[x base]]=0),Eu_tabel_g[[#This Row],[Styrke, aktiv]],NA())</f>
        <v>#N/A</v>
      </c>
      <c r="CU135" s="89" t="e">
        <f>IFERROR(IF($CR$3,Eu_tabel_g[[#This Row],[Styrke, aktiv]],NA()),NA())</f>
        <v>#N/A</v>
      </c>
      <c r="CV135" s="89" t="e">
        <f>IF(ISNA(Eu_tabel_g[[#This Row],[Sand negativ
Nulhypotese afvises
Korrekt]]),NA(),IF($CR$3,1,NA()))</f>
        <v>#N/A</v>
      </c>
      <c r="CW135" s="56" t="str" cm="1">
        <f t="array" ref="CW135">_xlfn.SWITCH(BZ135,_xlfn.IFNA(CU$2,-99),CU$5,_xlfn.IFNA(CU$3,-99),CU$6,_xlfn.IFNA(CU$4,-99),CU$7,"")</f>
        <v/>
      </c>
      <c r="DA135" s="7">
        <f t="shared" si="156"/>
        <v>0.8</v>
      </c>
      <c r="DB135">
        <f>IF(ROW(Styrkeberegning_G[[#This Row],[X base venstre]])=ROW(Styrkeberegning_G[[#Headers],[X base venstre]])+1,DB$7/(DA$7/$B$67),DB134/(DA134/$B$67))</f>
        <v>-2.8015817870135784</v>
      </c>
      <c r="DC135">
        <f>Styrkeberegning_G[[#This Row],[X base venstre]]*-1</f>
        <v>2.8015817870135784</v>
      </c>
      <c r="DN135" s="54">
        <f t="shared" si="157"/>
        <v>125</v>
      </c>
      <c r="DO135" s="54">
        <f t="shared" si="158"/>
        <v>126</v>
      </c>
      <c r="DP135" s="54">
        <f t="shared" si="159"/>
        <v>16.092709716778813</v>
      </c>
      <c r="DQ135" s="54" t="e">
        <f t="shared" si="160"/>
        <v>#N/A</v>
      </c>
      <c r="DR135" s="54" t="e">
        <f t="shared" si="161"/>
        <v>#N/A</v>
      </c>
      <c r="DS135" s="54">
        <f t="shared" si="162"/>
        <v>3.6376594717899113E-2</v>
      </c>
      <c r="DT135" s="54" t="e">
        <f t="shared" si="163"/>
        <v>#N/A</v>
      </c>
      <c r="DU135" s="54" t="b">
        <f t="shared" si="164"/>
        <v>0</v>
      </c>
      <c r="DV135" s="54" t="b">
        <f t="shared" si="165"/>
        <v>1</v>
      </c>
      <c r="DW135" s="54" t="b">
        <f t="shared" si="166"/>
        <v>0</v>
      </c>
      <c r="DX135" s="54" t="b">
        <f t="shared" si="167"/>
        <v>1</v>
      </c>
      <c r="DY135" s="54">
        <f t="shared" si="168"/>
        <v>3.6376594717899113E-2</v>
      </c>
      <c r="DZ135" s="54" t="e">
        <f t="shared" si="169"/>
        <v>#N/A</v>
      </c>
      <c r="EA135" s="54">
        <f t="shared" si="170"/>
        <v>3.6376594717899113E-2</v>
      </c>
      <c r="EB135" s="69" t="str">
        <f t="shared" si="171"/>
        <v/>
      </c>
      <c r="EG135" s="54">
        <f t="shared" si="172"/>
        <v>125</v>
      </c>
      <c r="EH135" s="54">
        <f t="shared" si="173"/>
        <v>126</v>
      </c>
      <c r="EI135" s="54">
        <f t="shared" si="174"/>
        <v>-9.5821156780397487E-2</v>
      </c>
      <c r="EJ135" s="54">
        <f t="shared" si="175"/>
        <v>0.39711499501613434</v>
      </c>
      <c r="EK135" s="54" t="e">
        <f t="shared" si="176"/>
        <v>#N/A</v>
      </c>
      <c r="EL135" s="54" t="e">
        <f t="shared" si="177"/>
        <v>#N/A</v>
      </c>
      <c r="EM135" s="54" t="e">
        <f t="shared" si="178"/>
        <v>#N/A</v>
      </c>
      <c r="EN135" s="54" t="b">
        <f t="shared" si="179"/>
        <v>0</v>
      </c>
      <c r="EO135" s="54" t="b">
        <f t="shared" si="180"/>
        <v>1</v>
      </c>
      <c r="EP135" s="54" t="b">
        <f t="shared" si="181"/>
        <v>0</v>
      </c>
      <c r="EQ135" s="54" t="b">
        <f t="shared" si="182"/>
        <v>1</v>
      </c>
      <c r="ER135" s="54">
        <f t="shared" si="183"/>
        <v>0.39711499501613434</v>
      </c>
      <c r="ES135" s="54" t="e">
        <f t="shared" si="184"/>
        <v>#N/A</v>
      </c>
      <c r="ET135" s="54">
        <f t="shared" si="185"/>
        <v>0.39711499501613434</v>
      </c>
      <c r="EU135" s="69" t="str">
        <f t="shared" si="186"/>
        <v/>
      </c>
      <c r="EV13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3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3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35" s="54" t="e" cm="1">
        <f t="array" ref="EY135">IF($CR$3,INDEX(Eu_tabel_a[[#This Row],[Styrke venstre]:[Styrke tosidet]],EY$7),NA())</f>
        <v>#N/A</v>
      </c>
      <c r="EZ135" s="54" t="e">
        <f>IF(EY$3,IF(CHOOSE(EY$7,Eu_tabel_a[[#This Row],[x base]]&gt;0,Eu_tabel_a[[#This Row],[x base]]&lt;0,Eu_tabel_a[[#This Row],[x base]]=0),1,NA()),NA())</f>
        <v>#N/A</v>
      </c>
      <c r="FA135" s="54" t="e">
        <f>IF(CHOOSE(EY$7,Eu_tabel_a[[#This Row],[x base]]&gt;0,Eu_tabel_a[[#This Row],[x base]]&lt;0,Eu_tabel_a[[#This Row],[x base]]=0),Eu_tabel_a[[#This Row],[Styrke, aktiv]],NA())</f>
        <v>#N/A</v>
      </c>
      <c r="FB135" s="54" t="e">
        <f>IFERROR(IF($EY$3,Eu_tabel_a[[#This Row],[Styrke, aktiv]],NA()),NA())</f>
        <v>#N/A</v>
      </c>
      <c r="FC135" s="54" t="e">
        <f>IF(ISNA(Eu_tabel_a[[#This Row],[Sand negativ
Nulhypotese afvises
Korrekt]]),NA(),IF(EY$3,1,NA()))</f>
        <v>#N/A</v>
      </c>
      <c r="FD135" s="55" t="str" cm="1">
        <f t="array" ref="FD135">IFERROR(_xlfn.SWITCH(Eu_tabel_a[[#This Row],[Indeks]],_xlfn.IFNA(FB$2,-99),FB$5,_xlfn.IFNA(FB$3,-99),FB$6,_xlfn.IFNA(FB$4,-99),FB$7,""),"")</f>
        <v/>
      </c>
      <c r="FE135" s="54">
        <f>Eu_tabel_a[[#This Row],[x base]]*SQRT(Eu_a_h0_x*(1-Eu_a_h0_x)/Eu_a_n_x)+Eu_a_h0_x</f>
        <v>0</v>
      </c>
      <c r="FJ135" s="144" t="e">
        <f t="shared" ref="FJ135:FJ198" si="234">IF(ISERROR(FK135),NA(),ROW(FJ135)-ROW(FJ$5))</f>
        <v>#N/A</v>
      </c>
      <c r="FK135" s="152" t="e">
        <f t="shared" si="218"/>
        <v>#DIV/0!</v>
      </c>
      <c r="FL135" s="7" t="e">
        <f t="shared" si="228"/>
        <v>#DIV/0!</v>
      </c>
      <c r="FM135" t="e">
        <f t="shared" si="219"/>
        <v>#DIV/0!</v>
      </c>
      <c r="FN135" s="8" t="e">
        <f t="shared" si="220"/>
        <v>#DIV/0!</v>
      </c>
      <c r="FO135" s="8" t="e">
        <f t="shared" si="221"/>
        <v>#DIV/0!</v>
      </c>
      <c r="FP135" s="151" t="e">
        <f t="shared" si="222"/>
        <v>#DIV/0!</v>
      </c>
      <c r="FQ135" s="144" t="e">
        <f t="shared" ca="1" si="229"/>
        <v>#N/A</v>
      </c>
      <c r="FR135" s="152" t="e" vm="3">
        <f t="shared" ref="FR135:FR198" ca="1" si="235">FR133+FW134</f>
        <v>#VALUE!</v>
      </c>
      <c r="FS135" s="7" t="e" vm="3">
        <f t="shared" ca="1" si="230"/>
        <v>#VALUE!</v>
      </c>
      <c r="FT135" t="e" vm="3">
        <f t="shared" ca="1" si="224"/>
        <v>#VALUE!</v>
      </c>
      <c r="FU135" s="8" t="e" vm="3">
        <f t="shared" ca="1" si="225"/>
        <v>#VALUE!</v>
      </c>
      <c r="FV135" s="8" t="e" vm="3">
        <f t="shared" ca="1" si="226"/>
        <v>#VALUE!</v>
      </c>
      <c r="FW135" s="151" t="e" vm="3">
        <f t="shared" ca="1" si="227"/>
        <v>#VALUE!</v>
      </c>
      <c r="FX135" s="144" t="e">
        <f t="shared" si="231"/>
        <v>#N/A</v>
      </c>
      <c r="FY135" s="152" t="e">
        <f t="shared" ref="FY135:FY198" si="236">FY133+GD134</f>
        <v>#N/A</v>
      </c>
      <c r="FZ135" s="7" t="e">
        <f t="shared" si="232"/>
        <v>#N/A</v>
      </c>
      <c r="GA135" t="e">
        <f t="shared" ref="GA135:GA198" si="237">FY135-FY134</f>
        <v>#N/A</v>
      </c>
      <c r="GB135" s="8" t="e">
        <f t="shared" ref="GB135:GB198" si="238">FZ135-FZ134</f>
        <v>#N/A</v>
      </c>
      <c r="GC135" s="8" t="e">
        <f t="shared" ref="GC135:GC198" si="239">$P$67-FZ134</f>
        <v>#N/A</v>
      </c>
      <c r="GD135" s="151" t="e">
        <f t="shared" ref="GD135:GD198" si="240">GA135/(GB135/GC135)</f>
        <v>#N/A</v>
      </c>
      <c r="GE135" s="144" t="e">
        <f t="shared" ref="GE135:GE198" si="241">IF(ISERROR(GF135),NA(),ROW(GE135)-ROW(GE$5))</f>
        <v>#N/A</v>
      </c>
      <c r="GF135" s="152" t="e">
        <f t="shared" ref="GF135:GF198" si="242">GF133+GK134</f>
        <v>#N/A</v>
      </c>
      <c r="GG135" s="7" t="e">
        <f t="shared" si="233"/>
        <v>#N/A</v>
      </c>
      <c r="GH135" t="e">
        <f t="shared" ref="GH135:GH198" si="243">GF135-GF134</f>
        <v>#N/A</v>
      </c>
      <c r="GI135" s="8" t="e">
        <f t="shared" ref="GI135:GI198" si="244">GG135-GG134</f>
        <v>#N/A</v>
      </c>
      <c r="GJ135" s="8" t="e">
        <f t="shared" ref="GJ135:GJ198" si="245">$P$67-GG134</f>
        <v>#N/A</v>
      </c>
      <c r="GK135" s="151" t="e">
        <f t="shared" ref="GK135:GK198" si="246">GH135/(GI135/GJ135)</f>
        <v>#N/A</v>
      </c>
      <c r="GL135" s="151"/>
      <c r="GM135" s="151"/>
      <c r="GP135" s="54">
        <f t="shared" si="187"/>
        <v>125</v>
      </c>
      <c r="GQ135" s="54">
        <f t="shared" si="188"/>
        <v>126</v>
      </c>
      <c r="GR135" s="54">
        <f t="shared" si="189"/>
        <v>-9.5821156780397487E-2</v>
      </c>
      <c r="GS135" s="54">
        <f t="shared" si="190"/>
        <v>0.39711499501613434</v>
      </c>
      <c r="GT135" s="54" t="e">
        <f t="shared" si="191"/>
        <v>#N/A</v>
      </c>
      <c r="GU135" s="54" t="e">
        <f t="shared" si="192"/>
        <v>#N/A</v>
      </c>
      <c r="GV135" s="54" t="e">
        <f t="shared" si="193"/>
        <v>#N/A</v>
      </c>
      <c r="GW135" s="54" t="b">
        <f t="shared" si="194"/>
        <v>0</v>
      </c>
      <c r="GX135" s="54" t="b">
        <f t="shared" si="195"/>
        <v>1</v>
      </c>
      <c r="GY135" s="54" t="b">
        <f t="shared" si="196"/>
        <v>0</v>
      </c>
      <c r="GZ135" s="54" t="b">
        <f t="shared" si="197"/>
        <v>1</v>
      </c>
      <c r="HA135" s="54">
        <f t="shared" si="198"/>
        <v>0.39711499501613434</v>
      </c>
      <c r="HB135" s="54" t="e">
        <f t="shared" si="199"/>
        <v>#N/A</v>
      </c>
      <c r="HC135" s="54">
        <f t="shared" si="200"/>
        <v>0.39711499501613434</v>
      </c>
      <c r="HD135" s="69" t="str">
        <f t="shared" si="201"/>
        <v/>
      </c>
      <c r="HJ135" s="54">
        <f t="shared" si="202"/>
        <v>125</v>
      </c>
      <c r="HK135" s="54">
        <f t="shared" si="203"/>
        <v>126</v>
      </c>
      <c r="HL135" s="54">
        <f t="shared" si="204"/>
        <v>-0.14838107375622744</v>
      </c>
      <c r="HM135" s="54" t="e">
        <f t="shared" si="205"/>
        <v>#N/A</v>
      </c>
      <c r="HN135" s="54">
        <f t="shared" si="206"/>
        <v>0.38018567897028177</v>
      </c>
      <c r="HO135" s="54" t="e">
        <f t="shared" si="207"/>
        <v>#N/A</v>
      </c>
      <c r="HP135" s="54" t="e">
        <f t="shared" si="208"/>
        <v>#N/A</v>
      </c>
      <c r="HQ135" s="54" t="b">
        <f t="shared" si="209"/>
        <v>1</v>
      </c>
      <c r="HR135" s="54" t="b">
        <f t="shared" si="210"/>
        <v>0</v>
      </c>
      <c r="HS135" s="54" t="b">
        <f t="shared" si="211"/>
        <v>0</v>
      </c>
      <c r="HT135" s="54" t="b">
        <f t="shared" si="212"/>
        <v>1</v>
      </c>
      <c r="HU135" s="54">
        <f t="shared" si="213"/>
        <v>0.38018567897028177</v>
      </c>
      <c r="HV135" s="54">
        <f t="shared" si="214"/>
        <v>0.38018567897028177</v>
      </c>
      <c r="HW135" s="54" t="e">
        <f t="shared" si="215"/>
        <v>#N/A</v>
      </c>
      <c r="HX135" s="69" t="str">
        <f t="shared" si="216"/>
        <v/>
      </c>
    </row>
    <row r="136" spans="78:232" x14ac:dyDescent="0.2">
      <c r="BZ136" s="54">
        <f t="shared" si="143"/>
        <v>126</v>
      </c>
      <c r="CA136" s="54">
        <f>Eu_tabel_g[[#This Row],[Indeks]]+1</f>
        <v>127</v>
      </c>
      <c r="CB136" s="54">
        <f t="shared" si="144"/>
        <v>-7.1865867585298115E-2</v>
      </c>
      <c r="CC136" s="54">
        <f t="shared" si="145"/>
        <v>0.39791340025725958</v>
      </c>
      <c r="CD136" s="54" t="e">
        <f t="shared" si="146"/>
        <v>#N/A</v>
      </c>
      <c r="CE136" s="54" t="e">
        <f t="shared" si="147"/>
        <v>#N/A</v>
      </c>
      <c r="CF136" s="54" t="e">
        <f t="shared" si="148"/>
        <v>#N/A</v>
      </c>
      <c r="CG136" s="54" t="b">
        <f t="shared" si="149"/>
        <v>0</v>
      </c>
      <c r="CH136" s="54" t="b">
        <f t="shared" si="150"/>
        <v>1</v>
      </c>
      <c r="CI136" s="54" t="b">
        <f t="shared" si="151"/>
        <v>0</v>
      </c>
      <c r="CJ136" s="54" t="b">
        <f t="shared" si="152"/>
        <v>1</v>
      </c>
      <c r="CK136" s="54">
        <f t="shared" si="223"/>
        <v>0.39791340025725958</v>
      </c>
      <c r="CL136" s="54" t="e">
        <f t="shared" si="153"/>
        <v>#N/A</v>
      </c>
      <c r="CM136" s="54">
        <f t="shared" si="154"/>
        <v>0.39791340025725958</v>
      </c>
      <c r="CN136" s="69" t="str">
        <f t="shared" si="155"/>
        <v/>
      </c>
      <c r="CO136" s="54">
        <f>_xlfn.NORM.DIST(_xlfn.NORM.INV(1-Eu_g_konfidensniveau,0,1)-Eu_tabel_g[[#This Row],[x base]],0,1,TRUE)</f>
        <v>5.7860826284518954E-2</v>
      </c>
      <c r="CP136" s="54">
        <f>1-_xlfn.NORM.DIST(_xlfn.NORM.INV(Eu_g_konfidensniveau,0,1)-Eu_tabel_g[[#This Row],[x base]],0,1,TRUE)</f>
        <v>4.3015218235686214E-2</v>
      </c>
      <c r="CQ136" s="54">
        <f>_xlfn.NORM.DIST(_xlfn.NORM.INV((1-Eu_g_konfidensniveau)/2,0,1)-Eu_tabel_g[[#This Row],[x base]],0,1,TRUE)+1-_xlfn.NORM.DIST(_xlfn.NORM.INV(1-(1-Eu_g_konfidensniveau)/2,0,1)-Eu_tabel_g[[#This Row],[x base]],0,1,TRUE)</f>
        <v>5.0591831796844566E-2</v>
      </c>
      <c r="CR136" s="54" t="e" cm="1">
        <f t="array" ref="CR136">IF($CR$3,INDEX(Eu_tabel_g[[#This Row],[Styrke venstre]:[Styrke tosidet]],CR$7),NA())</f>
        <v>#N/A</v>
      </c>
      <c r="CS136" s="89" t="e">
        <f>Eu_tabel_g[[#This Row],[Falsk positiv
Nulhypotese accepteres
Fejltype 1]]</f>
        <v>#N/A</v>
      </c>
      <c r="CT136" s="89" t="e">
        <f>IF(CHOOSE(CR$7,Eu_tabel_g[[#This Row],[x base]]&gt;0,Eu_tabel_g[[#This Row],[x base]]&lt;0,Eu_tabel_g[[#This Row],[x base]]=0),Eu_tabel_g[[#This Row],[Styrke, aktiv]],NA())</f>
        <v>#N/A</v>
      </c>
      <c r="CU136" s="89" t="e">
        <f>IFERROR(IF($CR$3,Eu_tabel_g[[#This Row],[Styrke, aktiv]],NA()),NA())</f>
        <v>#N/A</v>
      </c>
      <c r="CV136" s="89" t="e">
        <f>IF(ISNA(Eu_tabel_g[[#This Row],[Sand negativ
Nulhypotese afvises
Korrekt]]),NA(),IF($CR$3,1,NA()))</f>
        <v>#N/A</v>
      </c>
      <c r="CW136" s="56" t="str" cm="1">
        <f t="array" ref="CW136">_xlfn.SWITCH(BZ136,_xlfn.IFNA(CU$2,-99),CU$5,_xlfn.IFNA(CU$3,-99),CU$6,_xlfn.IFNA(CU$4,-99),CU$7,"")</f>
        <v/>
      </c>
      <c r="DA136" s="7">
        <f t="shared" si="156"/>
        <v>0.8</v>
      </c>
      <c r="DB136">
        <f>IF(ROW(Styrkeberegning_G[[#This Row],[X base venstre]])=ROW(Styrkeberegning_G[[#Headers],[X base venstre]])+1,DB$7/(DA$7/$B$67),DB135/(DA135/$B$67))</f>
        <v>-2.8015817870135784</v>
      </c>
      <c r="DC136">
        <f>Styrkeberegning_G[[#This Row],[X base venstre]]*-1</f>
        <v>2.8015817870135784</v>
      </c>
      <c r="DN136" s="54">
        <f t="shared" si="157"/>
        <v>126</v>
      </c>
      <c r="DO136" s="54">
        <f t="shared" si="158"/>
        <v>127</v>
      </c>
      <c r="DP136" s="54">
        <f t="shared" si="159"/>
        <v>16.206780573195815</v>
      </c>
      <c r="DQ136" s="54" t="e">
        <f t="shared" si="160"/>
        <v>#N/A</v>
      </c>
      <c r="DR136" s="54" t="e">
        <f t="shared" si="161"/>
        <v>#N/A</v>
      </c>
      <c r="DS136" s="54">
        <f t="shared" si="162"/>
        <v>3.5469572641058468E-2</v>
      </c>
      <c r="DT136" s="54" t="e">
        <f t="shared" si="163"/>
        <v>#N/A</v>
      </c>
      <c r="DU136" s="54" t="b">
        <f t="shared" si="164"/>
        <v>0</v>
      </c>
      <c r="DV136" s="54" t="b">
        <f t="shared" si="165"/>
        <v>1</v>
      </c>
      <c r="DW136" s="54" t="b">
        <f t="shared" si="166"/>
        <v>0</v>
      </c>
      <c r="DX136" s="54" t="b">
        <f t="shared" si="167"/>
        <v>1</v>
      </c>
      <c r="DY136" s="54">
        <f t="shared" si="168"/>
        <v>3.5469572641058468E-2</v>
      </c>
      <c r="DZ136" s="54" t="e">
        <f t="shared" si="169"/>
        <v>#N/A</v>
      </c>
      <c r="EA136" s="54">
        <f t="shared" si="170"/>
        <v>3.5469572641058468E-2</v>
      </c>
      <c r="EB136" s="69" t="str">
        <f t="shared" si="171"/>
        <v/>
      </c>
      <c r="EG136" s="54">
        <f t="shared" si="172"/>
        <v>126</v>
      </c>
      <c r="EH136" s="54">
        <f t="shared" si="173"/>
        <v>127</v>
      </c>
      <c r="EI136" s="54">
        <f t="shared" si="174"/>
        <v>-7.1865867585298115E-2</v>
      </c>
      <c r="EJ136" s="54">
        <f t="shared" si="175"/>
        <v>0.39791340025725958</v>
      </c>
      <c r="EK136" s="54" t="e">
        <f t="shared" si="176"/>
        <v>#N/A</v>
      </c>
      <c r="EL136" s="54" t="e">
        <f t="shared" si="177"/>
        <v>#N/A</v>
      </c>
      <c r="EM136" s="54" t="e">
        <f t="shared" si="178"/>
        <v>#N/A</v>
      </c>
      <c r="EN136" s="54" t="b">
        <f t="shared" si="179"/>
        <v>0</v>
      </c>
      <c r="EO136" s="54" t="b">
        <f t="shared" si="180"/>
        <v>1</v>
      </c>
      <c r="EP136" s="54" t="b">
        <f t="shared" si="181"/>
        <v>0</v>
      </c>
      <c r="EQ136" s="54" t="b">
        <f t="shared" si="182"/>
        <v>1</v>
      </c>
      <c r="ER136" s="54">
        <f t="shared" si="183"/>
        <v>0.39791340025725958</v>
      </c>
      <c r="ES136" s="54" t="e">
        <f t="shared" si="184"/>
        <v>#N/A</v>
      </c>
      <c r="ET136" s="54">
        <f t="shared" si="185"/>
        <v>0.39791340025725958</v>
      </c>
      <c r="EU136" s="69" t="str">
        <f t="shared" si="186"/>
        <v/>
      </c>
      <c r="EV13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3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3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36" s="54" t="e" cm="1">
        <f t="array" ref="EY136">IF($CR$3,INDEX(Eu_tabel_a[[#This Row],[Styrke venstre]:[Styrke tosidet]],EY$7),NA())</f>
        <v>#N/A</v>
      </c>
      <c r="EZ136" s="54" t="e">
        <f>IF(EY$3,IF(CHOOSE(EY$7,Eu_tabel_a[[#This Row],[x base]]&gt;0,Eu_tabel_a[[#This Row],[x base]]&lt;0,Eu_tabel_a[[#This Row],[x base]]=0),1,NA()),NA())</f>
        <v>#N/A</v>
      </c>
      <c r="FA136" s="54" t="e">
        <f>IF(CHOOSE(EY$7,Eu_tabel_a[[#This Row],[x base]]&gt;0,Eu_tabel_a[[#This Row],[x base]]&lt;0,Eu_tabel_a[[#This Row],[x base]]=0),Eu_tabel_a[[#This Row],[Styrke, aktiv]],NA())</f>
        <v>#N/A</v>
      </c>
      <c r="FB136" s="54" t="e">
        <f>IFERROR(IF($EY$3,Eu_tabel_a[[#This Row],[Styrke, aktiv]],NA()),NA())</f>
        <v>#N/A</v>
      </c>
      <c r="FC136" s="54" t="e">
        <f>IF(ISNA(Eu_tabel_a[[#This Row],[Sand negativ
Nulhypotese afvises
Korrekt]]),NA(),IF(EY$3,1,NA()))</f>
        <v>#N/A</v>
      </c>
      <c r="FD136" s="55" t="str" cm="1">
        <f t="array" ref="FD136">IFERROR(_xlfn.SWITCH(Eu_tabel_a[[#This Row],[Indeks]],_xlfn.IFNA(FB$2,-99),FB$5,_xlfn.IFNA(FB$3,-99),FB$6,_xlfn.IFNA(FB$4,-99),FB$7,""),"")</f>
        <v/>
      </c>
      <c r="FE136" s="54">
        <f>Eu_tabel_a[[#This Row],[x base]]*SQRT(Eu_a_h0_x*(1-Eu_a_h0_x)/Eu_a_n_x)+Eu_a_h0_x</f>
        <v>0</v>
      </c>
      <c r="FJ136" s="144" t="e">
        <f t="shared" si="234"/>
        <v>#N/A</v>
      </c>
      <c r="FK136" s="152" t="e">
        <f t="shared" si="218"/>
        <v>#DIV/0!</v>
      </c>
      <c r="FL136" s="7" t="e">
        <f t="shared" si="228"/>
        <v>#DIV/0!</v>
      </c>
      <c r="FM136" t="e">
        <f t="shared" si="219"/>
        <v>#DIV/0!</v>
      </c>
      <c r="FN136" s="8" t="e">
        <f t="shared" si="220"/>
        <v>#DIV/0!</v>
      </c>
      <c r="FO136" s="8" t="e">
        <f t="shared" si="221"/>
        <v>#DIV/0!</v>
      </c>
      <c r="FP136" s="151" t="e">
        <f t="shared" si="222"/>
        <v>#DIV/0!</v>
      </c>
      <c r="FQ136" s="144" t="e">
        <f t="shared" ca="1" si="229"/>
        <v>#N/A</v>
      </c>
      <c r="FR136" s="152" t="e" vm="3">
        <f t="shared" ca="1" si="235"/>
        <v>#VALUE!</v>
      </c>
      <c r="FS136" s="7" t="e" vm="3">
        <f t="shared" ca="1" si="230"/>
        <v>#VALUE!</v>
      </c>
      <c r="FT136" t="e" vm="3">
        <f t="shared" ca="1" si="224"/>
        <v>#VALUE!</v>
      </c>
      <c r="FU136" s="8" t="e" vm="3">
        <f t="shared" ca="1" si="225"/>
        <v>#VALUE!</v>
      </c>
      <c r="FV136" s="8" t="e" vm="3">
        <f t="shared" ca="1" si="226"/>
        <v>#VALUE!</v>
      </c>
      <c r="FW136" s="151" t="e" vm="3">
        <f t="shared" ca="1" si="227"/>
        <v>#VALUE!</v>
      </c>
      <c r="FX136" s="144" t="e">
        <f t="shared" si="231"/>
        <v>#N/A</v>
      </c>
      <c r="FY136" s="152" t="e">
        <f t="shared" si="236"/>
        <v>#N/A</v>
      </c>
      <c r="FZ136" s="7" t="e">
        <f t="shared" si="232"/>
        <v>#N/A</v>
      </c>
      <c r="GA136" t="e">
        <f t="shared" si="237"/>
        <v>#N/A</v>
      </c>
      <c r="GB136" s="8" t="e">
        <f t="shared" si="238"/>
        <v>#N/A</v>
      </c>
      <c r="GC136" s="8" t="e">
        <f t="shared" si="239"/>
        <v>#N/A</v>
      </c>
      <c r="GD136" s="151" t="e">
        <f t="shared" si="240"/>
        <v>#N/A</v>
      </c>
      <c r="GE136" s="144" t="e">
        <f t="shared" si="241"/>
        <v>#N/A</v>
      </c>
      <c r="GF136" s="152" t="e">
        <f t="shared" si="242"/>
        <v>#N/A</v>
      </c>
      <c r="GG136" s="7" t="e">
        <f t="shared" si="233"/>
        <v>#N/A</v>
      </c>
      <c r="GH136" t="e">
        <f t="shared" si="243"/>
        <v>#N/A</v>
      </c>
      <c r="GI136" s="8" t="e">
        <f t="shared" si="244"/>
        <v>#N/A</v>
      </c>
      <c r="GJ136" s="8" t="e">
        <f t="shared" si="245"/>
        <v>#N/A</v>
      </c>
      <c r="GK136" s="151" t="e">
        <f t="shared" si="246"/>
        <v>#N/A</v>
      </c>
      <c r="GL136" s="151"/>
      <c r="GM136" s="151"/>
      <c r="GP136" s="54">
        <f t="shared" si="187"/>
        <v>126</v>
      </c>
      <c r="GQ136" s="54">
        <f t="shared" si="188"/>
        <v>127</v>
      </c>
      <c r="GR136" s="54">
        <f t="shared" si="189"/>
        <v>-7.1865867585298115E-2</v>
      </c>
      <c r="GS136" s="54">
        <f t="shared" si="190"/>
        <v>0.39791340025725958</v>
      </c>
      <c r="GT136" s="54" t="e">
        <f t="shared" si="191"/>
        <v>#N/A</v>
      </c>
      <c r="GU136" s="54" t="e">
        <f t="shared" si="192"/>
        <v>#N/A</v>
      </c>
      <c r="GV136" s="54" t="e">
        <f t="shared" si="193"/>
        <v>#N/A</v>
      </c>
      <c r="GW136" s="54" t="b">
        <f t="shared" si="194"/>
        <v>0</v>
      </c>
      <c r="GX136" s="54" t="b">
        <f t="shared" si="195"/>
        <v>1</v>
      </c>
      <c r="GY136" s="54" t="b">
        <f t="shared" si="196"/>
        <v>0</v>
      </c>
      <c r="GZ136" s="54" t="b">
        <f t="shared" si="197"/>
        <v>1</v>
      </c>
      <c r="HA136" s="54">
        <f t="shared" si="198"/>
        <v>0.39791340025725958</v>
      </c>
      <c r="HB136" s="54" t="e">
        <f t="shared" si="199"/>
        <v>#N/A</v>
      </c>
      <c r="HC136" s="54">
        <f t="shared" si="200"/>
        <v>0.39791340025725958</v>
      </c>
      <c r="HD136" s="69" t="str">
        <f t="shared" si="201"/>
        <v/>
      </c>
      <c r="HJ136" s="54">
        <f t="shared" si="202"/>
        <v>126</v>
      </c>
      <c r="HK136" s="54">
        <f t="shared" si="203"/>
        <v>127</v>
      </c>
      <c r="HL136" s="54">
        <f t="shared" si="204"/>
        <v>-0.11128580531716992</v>
      </c>
      <c r="HM136" s="54" t="e">
        <f t="shared" si="205"/>
        <v>#N/A</v>
      </c>
      <c r="HN136" s="54">
        <f t="shared" si="206"/>
        <v>0.38227892287272441</v>
      </c>
      <c r="HO136" s="54" t="e">
        <f t="shared" si="207"/>
        <v>#N/A</v>
      </c>
      <c r="HP136" s="54" t="e">
        <f t="shared" si="208"/>
        <v>#N/A</v>
      </c>
      <c r="HQ136" s="54" t="b">
        <f t="shared" si="209"/>
        <v>1</v>
      </c>
      <c r="HR136" s="54" t="b">
        <f t="shared" si="210"/>
        <v>0</v>
      </c>
      <c r="HS136" s="54" t="b">
        <f t="shared" si="211"/>
        <v>0</v>
      </c>
      <c r="HT136" s="54" t="b">
        <f t="shared" si="212"/>
        <v>1</v>
      </c>
      <c r="HU136" s="54">
        <f t="shared" si="213"/>
        <v>0.38227892287272441</v>
      </c>
      <c r="HV136" s="54">
        <f t="shared" si="214"/>
        <v>0.38227892287272441</v>
      </c>
      <c r="HW136" s="54" t="e">
        <f t="shared" si="215"/>
        <v>#N/A</v>
      </c>
      <c r="HX136" s="69" t="str">
        <f t="shared" si="216"/>
        <v/>
      </c>
    </row>
    <row r="137" spans="78:232" x14ac:dyDescent="0.2">
      <c r="BZ137" s="54">
        <f t="shared" si="143"/>
        <v>127</v>
      </c>
      <c r="CA137" s="54">
        <f>Eu_tabel_g[[#This Row],[Indeks]]+1</f>
        <v>128</v>
      </c>
      <c r="CB137" s="54">
        <f t="shared" si="144"/>
        <v>-4.7910578390198744E-2</v>
      </c>
      <c r="CC137" s="54">
        <f t="shared" si="145"/>
        <v>0.39848467230564738</v>
      </c>
      <c r="CD137" s="54" t="e">
        <f t="shared" si="146"/>
        <v>#N/A</v>
      </c>
      <c r="CE137" s="54" t="e">
        <f t="shared" si="147"/>
        <v>#N/A</v>
      </c>
      <c r="CF137" s="54" t="e">
        <f t="shared" si="148"/>
        <v>#N/A</v>
      </c>
      <c r="CG137" s="54" t="b">
        <f t="shared" si="149"/>
        <v>0</v>
      </c>
      <c r="CH137" s="54" t="b">
        <f t="shared" si="150"/>
        <v>1</v>
      </c>
      <c r="CI137" s="54" t="b">
        <f t="shared" si="151"/>
        <v>0</v>
      </c>
      <c r="CJ137" s="54" t="b">
        <f t="shared" si="152"/>
        <v>1</v>
      </c>
      <c r="CK137" s="54">
        <f t="shared" si="223"/>
        <v>0.39848467230564738</v>
      </c>
      <c r="CL137" s="54" t="e">
        <f t="shared" si="153"/>
        <v>#N/A</v>
      </c>
      <c r="CM137" s="54">
        <f t="shared" si="154"/>
        <v>0.39848467230564738</v>
      </c>
      <c r="CN137" s="69" t="str">
        <f t="shared" si="155"/>
        <v/>
      </c>
      <c r="CO137" s="54">
        <f>_xlfn.NORM.DIST(_xlfn.NORM.INV(1-Eu_g_konfidensniveau,0,1)-Eu_tabel_g[[#This Row],[x base]],0,1,TRUE)</f>
        <v>5.5139201368197548E-2</v>
      </c>
      <c r="CP137" s="54">
        <f>1-_xlfn.NORM.DIST(_xlfn.NORM.INV(Eu_g_konfidensniveau,0,1)-Eu_tabel_g[[#This Row],[x base]],0,1,TRUE)</f>
        <v>4.5250179277904423E-2</v>
      </c>
      <c r="CQ137" s="54">
        <f>_xlfn.NORM.DIST(_xlfn.NORM.INV((1-Eu_g_konfidensniveau)/2,0,1)-Eu_tabel_g[[#This Row],[x base]],0,1,TRUE)+1-_xlfn.NORM.DIST(_xlfn.NORM.INV(1-(1-Eu_g_konfidensniveau)/2,0,1)-Eu_tabel_g[[#This Row],[x base]],0,1,TRUE)</f>
        <v>5.0262983586075727E-2</v>
      </c>
      <c r="CR137" s="54" t="e" cm="1">
        <f t="array" ref="CR137">IF($CR$3,INDEX(Eu_tabel_g[[#This Row],[Styrke venstre]:[Styrke tosidet]],CR$7),NA())</f>
        <v>#N/A</v>
      </c>
      <c r="CS137" s="89" t="e">
        <f>Eu_tabel_g[[#This Row],[Falsk positiv
Nulhypotese accepteres
Fejltype 1]]</f>
        <v>#N/A</v>
      </c>
      <c r="CT137" s="89" t="e">
        <f>IF(CHOOSE(CR$7,Eu_tabel_g[[#This Row],[x base]]&gt;0,Eu_tabel_g[[#This Row],[x base]]&lt;0,Eu_tabel_g[[#This Row],[x base]]=0),Eu_tabel_g[[#This Row],[Styrke, aktiv]],NA())</f>
        <v>#N/A</v>
      </c>
      <c r="CU137" s="89" t="e">
        <f>IFERROR(IF($CR$3,Eu_tabel_g[[#This Row],[Styrke, aktiv]],NA()),NA())</f>
        <v>#N/A</v>
      </c>
      <c r="CV137" s="89" t="e">
        <f>IF(ISNA(Eu_tabel_g[[#This Row],[Sand negativ
Nulhypotese afvises
Korrekt]]),NA(),IF($CR$3,1,NA()))</f>
        <v>#N/A</v>
      </c>
      <c r="CW137" s="56" t="str" cm="1">
        <f t="array" ref="CW137">_xlfn.SWITCH(BZ137,_xlfn.IFNA(CU$2,-99),CU$5,_xlfn.IFNA(CU$3,-99),CU$6,_xlfn.IFNA(CU$4,-99),CU$7,"")</f>
        <v/>
      </c>
      <c r="DA137" s="7">
        <f t="shared" si="156"/>
        <v>0.8</v>
      </c>
      <c r="DB137">
        <f>IF(ROW(Styrkeberegning_G[[#This Row],[X base venstre]])=ROW(Styrkeberegning_G[[#Headers],[X base venstre]])+1,DB$7/(DA$7/$B$67),DB136/(DA136/$B$67))</f>
        <v>-2.8015817870135784</v>
      </c>
      <c r="DC137">
        <f>Styrkeberegning_G[[#This Row],[X base venstre]]*-1</f>
        <v>2.8015817870135784</v>
      </c>
      <c r="DN137" s="54">
        <f t="shared" si="157"/>
        <v>127</v>
      </c>
      <c r="DO137" s="54">
        <f t="shared" si="158"/>
        <v>128</v>
      </c>
      <c r="DP137" s="54">
        <f t="shared" si="159"/>
        <v>16.320851429612816</v>
      </c>
      <c r="DQ137" s="54" t="e">
        <f t="shared" si="160"/>
        <v>#N/A</v>
      </c>
      <c r="DR137" s="54" t="e">
        <f t="shared" si="161"/>
        <v>#N/A</v>
      </c>
      <c r="DS137" s="54">
        <f t="shared" si="162"/>
        <v>3.4577457052810151E-2</v>
      </c>
      <c r="DT137" s="54" t="e">
        <f t="shared" si="163"/>
        <v>#N/A</v>
      </c>
      <c r="DU137" s="54" t="b">
        <f t="shared" si="164"/>
        <v>0</v>
      </c>
      <c r="DV137" s="54" t="b">
        <f t="shared" si="165"/>
        <v>1</v>
      </c>
      <c r="DW137" s="54" t="b">
        <f t="shared" si="166"/>
        <v>0</v>
      </c>
      <c r="DX137" s="54" t="b">
        <f t="shared" si="167"/>
        <v>1</v>
      </c>
      <c r="DY137" s="54">
        <f t="shared" si="168"/>
        <v>3.4577457052810151E-2</v>
      </c>
      <c r="DZ137" s="54" t="e">
        <f t="shared" si="169"/>
        <v>#N/A</v>
      </c>
      <c r="EA137" s="54">
        <f t="shared" si="170"/>
        <v>3.4577457052810151E-2</v>
      </c>
      <c r="EB137" s="69" t="str">
        <f t="shared" si="171"/>
        <v/>
      </c>
      <c r="EG137" s="54">
        <f t="shared" si="172"/>
        <v>127</v>
      </c>
      <c r="EH137" s="54">
        <f t="shared" si="173"/>
        <v>128</v>
      </c>
      <c r="EI137" s="54">
        <f t="shared" si="174"/>
        <v>-4.7910578390198744E-2</v>
      </c>
      <c r="EJ137" s="54">
        <f t="shared" si="175"/>
        <v>0.39848467230564738</v>
      </c>
      <c r="EK137" s="54" t="e">
        <f t="shared" si="176"/>
        <v>#N/A</v>
      </c>
      <c r="EL137" s="54" t="e">
        <f t="shared" si="177"/>
        <v>#N/A</v>
      </c>
      <c r="EM137" s="54" t="e">
        <f t="shared" si="178"/>
        <v>#N/A</v>
      </c>
      <c r="EN137" s="54" t="b">
        <f t="shared" si="179"/>
        <v>0</v>
      </c>
      <c r="EO137" s="54" t="b">
        <f t="shared" si="180"/>
        <v>1</v>
      </c>
      <c r="EP137" s="54" t="b">
        <f t="shared" si="181"/>
        <v>0</v>
      </c>
      <c r="EQ137" s="54" t="b">
        <f t="shared" si="182"/>
        <v>1</v>
      </c>
      <c r="ER137" s="54">
        <f t="shared" si="183"/>
        <v>0.39848467230564738</v>
      </c>
      <c r="ES137" s="54" t="e">
        <f t="shared" si="184"/>
        <v>#N/A</v>
      </c>
      <c r="ET137" s="54">
        <f t="shared" si="185"/>
        <v>0.39848467230564738</v>
      </c>
      <c r="EU137" s="69" t="str">
        <f t="shared" si="186"/>
        <v/>
      </c>
      <c r="EV13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3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3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37" s="54" t="e" cm="1">
        <f t="array" ref="EY137">IF($CR$3,INDEX(Eu_tabel_a[[#This Row],[Styrke venstre]:[Styrke tosidet]],EY$7),NA())</f>
        <v>#N/A</v>
      </c>
      <c r="EZ137" s="54" t="e">
        <f>IF(EY$3,IF(CHOOSE(EY$7,Eu_tabel_a[[#This Row],[x base]]&gt;0,Eu_tabel_a[[#This Row],[x base]]&lt;0,Eu_tabel_a[[#This Row],[x base]]=0),1,NA()),NA())</f>
        <v>#N/A</v>
      </c>
      <c r="FA137" s="54" t="e">
        <f>IF(CHOOSE(EY$7,Eu_tabel_a[[#This Row],[x base]]&gt;0,Eu_tabel_a[[#This Row],[x base]]&lt;0,Eu_tabel_a[[#This Row],[x base]]=0),Eu_tabel_a[[#This Row],[Styrke, aktiv]],NA())</f>
        <v>#N/A</v>
      </c>
      <c r="FB137" s="54" t="e">
        <f>IFERROR(IF($EY$3,Eu_tabel_a[[#This Row],[Styrke, aktiv]],NA()),NA())</f>
        <v>#N/A</v>
      </c>
      <c r="FC137" s="54" t="e">
        <f>IF(ISNA(Eu_tabel_a[[#This Row],[Sand negativ
Nulhypotese afvises
Korrekt]]),NA(),IF(EY$3,1,NA()))</f>
        <v>#N/A</v>
      </c>
      <c r="FD137" s="55" t="str" cm="1">
        <f t="array" ref="FD137">IFERROR(_xlfn.SWITCH(Eu_tabel_a[[#This Row],[Indeks]],_xlfn.IFNA(FB$2,-99),FB$5,_xlfn.IFNA(FB$3,-99),FB$6,_xlfn.IFNA(FB$4,-99),FB$7,""),"")</f>
        <v/>
      </c>
      <c r="FE137" s="54">
        <f>Eu_tabel_a[[#This Row],[x base]]*SQRT(Eu_a_h0_x*(1-Eu_a_h0_x)/Eu_a_n_x)+Eu_a_h0_x</f>
        <v>0</v>
      </c>
      <c r="FJ137" s="144" t="e">
        <f t="shared" si="234"/>
        <v>#N/A</v>
      </c>
      <c r="FK137" s="152" t="e">
        <f t="shared" si="218"/>
        <v>#DIV/0!</v>
      </c>
      <c r="FL137" s="7" t="e">
        <f t="shared" si="228"/>
        <v>#DIV/0!</v>
      </c>
      <c r="FM137" t="e">
        <f t="shared" si="219"/>
        <v>#DIV/0!</v>
      </c>
      <c r="FN137" s="8" t="e">
        <f t="shared" si="220"/>
        <v>#DIV/0!</v>
      </c>
      <c r="FO137" s="8" t="e">
        <f t="shared" si="221"/>
        <v>#DIV/0!</v>
      </c>
      <c r="FP137" s="151" t="e">
        <f t="shared" si="222"/>
        <v>#DIV/0!</v>
      </c>
      <c r="FQ137" s="144" t="e">
        <f t="shared" ca="1" si="229"/>
        <v>#N/A</v>
      </c>
      <c r="FR137" s="152" t="e" vm="3">
        <f t="shared" ca="1" si="235"/>
        <v>#VALUE!</v>
      </c>
      <c r="FS137" s="7" t="e" vm="3">
        <f t="shared" ca="1" si="230"/>
        <v>#VALUE!</v>
      </c>
      <c r="FT137" t="e" vm="3">
        <f t="shared" ca="1" si="224"/>
        <v>#VALUE!</v>
      </c>
      <c r="FU137" s="8" t="e" vm="3">
        <f t="shared" ca="1" si="225"/>
        <v>#VALUE!</v>
      </c>
      <c r="FV137" s="8" t="e" vm="3">
        <f t="shared" ca="1" si="226"/>
        <v>#VALUE!</v>
      </c>
      <c r="FW137" s="151" t="e" vm="3">
        <f t="shared" ca="1" si="227"/>
        <v>#VALUE!</v>
      </c>
      <c r="FX137" s="144" t="e">
        <f t="shared" si="231"/>
        <v>#N/A</v>
      </c>
      <c r="FY137" s="152" t="e">
        <f t="shared" si="236"/>
        <v>#N/A</v>
      </c>
      <c r="FZ137" s="7" t="e">
        <f t="shared" si="232"/>
        <v>#N/A</v>
      </c>
      <c r="GA137" t="e">
        <f t="shared" si="237"/>
        <v>#N/A</v>
      </c>
      <c r="GB137" s="8" t="e">
        <f t="shared" si="238"/>
        <v>#N/A</v>
      </c>
      <c r="GC137" s="8" t="e">
        <f t="shared" si="239"/>
        <v>#N/A</v>
      </c>
      <c r="GD137" s="151" t="e">
        <f t="shared" si="240"/>
        <v>#N/A</v>
      </c>
      <c r="GE137" s="144" t="e">
        <f t="shared" si="241"/>
        <v>#N/A</v>
      </c>
      <c r="GF137" s="152" t="e">
        <f t="shared" si="242"/>
        <v>#N/A</v>
      </c>
      <c r="GG137" s="7" t="e">
        <f t="shared" si="233"/>
        <v>#N/A</v>
      </c>
      <c r="GH137" t="e">
        <f t="shared" si="243"/>
        <v>#N/A</v>
      </c>
      <c r="GI137" s="8" t="e">
        <f t="shared" si="244"/>
        <v>#N/A</v>
      </c>
      <c r="GJ137" s="8" t="e">
        <f t="shared" si="245"/>
        <v>#N/A</v>
      </c>
      <c r="GK137" s="151" t="e">
        <f t="shared" si="246"/>
        <v>#N/A</v>
      </c>
      <c r="GL137" s="151"/>
      <c r="GM137" s="151"/>
      <c r="GP137" s="54">
        <f t="shared" si="187"/>
        <v>127</v>
      </c>
      <c r="GQ137" s="54">
        <f t="shared" si="188"/>
        <v>128</v>
      </c>
      <c r="GR137" s="54">
        <f t="shared" si="189"/>
        <v>-4.7910578390198744E-2</v>
      </c>
      <c r="GS137" s="54">
        <f t="shared" si="190"/>
        <v>0.39848467230564738</v>
      </c>
      <c r="GT137" s="54" t="e">
        <f t="shared" si="191"/>
        <v>#N/A</v>
      </c>
      <c r="GU137" s="54" t="e">
        <f t="shared" si="192"/>
        <v>#N/A</v>
      </c>
      <c r="GV137" s="54" t="e">
        <f t="shared" si="193"/>
        <v>#N/A</v>
      </c>
      <c r="GW137" s="54" t="b">
        <f t="shared" si="194"/>
        <v>0</v>
      </c>
      <c r="GX137" s="54" t="b">
        <f t="shared" si="195"/>
        <v>1</v>
      </c>
      <c r="GY137" s="54" t="b">
        <f t="shared" si="196"/>
        <v>0</v>
      </c>
      <c r="GZ137" s="54" t="b">
        <f t="shared" si="197"/>
        <v>1</v>
      </c>
      <c r="HA137" s="54">
        <f t="shared" si="198"/>
        <v>0.39848467230564738</v>
      </c>
      <c r="HB137" s="54" t="e">
        <f t="shared" si="199"/>
        <v>#N/A</v>
      </c>
      <c r="HC137" s="54">
        <f t="shared" si="200"/>
        <v>0.39848467230564738</v>
      </c>
      <c r="HD137" s="69" t="str">
        <f t="shared" si="201"/>
        <v/>
      </c>
      <c r="HJ137" s="54">
        <f t="shared" si="202"/>
        <v>127</v>
      </c>
      <c r="HK137" s="54">
        <f t="shared" si="203"/>
        <v>128</v>
      </c>
      <c r="HL137" s="54">
        <f t="shared" si="204"/>
        <v>-7.4190536878113278E-2</v>
      </c>
      <c r="HM137" s="54" t="e">
        <f t="shared" si="205"/>
        <v>#N/A</v>
      </c>
      <c r="HN137" s="54">
        <f t="shared" si="206"/>
        <v>0.38378292251089163</v>
      </c>
      <c r="HO137" s="54" t="e">
        <f t="shared" si="207"/>
        <v>#N/A</v>
      </c>
      <c r="HP137" s="54" t="e">
        <f t="shared" si="208"/>
        <v>#N/A</v>
      </c>
      <c r="HQ137" s="54" t="b">
        <f t="shared" si="209"/>
        <v>1</v>
      </c>
      <c r="HR137" s="54" t="b">
        <f t="shared" si="210"/>
        <v>0</v>
      </c>
      <c r="HS137" s="54" t="b">
        <f t="shared" si="211"/>
        <v>0</v>
      </c>
      <c r="HT137" s="54" t="b">
        <f t="shared" si="212"/>
        <v>1</v>
      </c>
      <c r="HU137" s="54">
        <f t="shared" si="213"/>
        <v>0.38378292251089163</v>
      </c>
      <c r="HV137" s="54">
        <f t="shared" si="214"/>
        <v>0.38378292251089163</v>
      </c>
      <c r="HW137" s="54" t="e">
        <f t="shared" si="215"/>
        <v>#N/A</v>
      </c>
      <c r="HX137" s="69" t="str">
        <f t="shared" si="216"/>
        <v/>
      </c>
    </row>
    <row r="138" spans="78:232" x14ac:dyDescent="0.2">
      <c r="BZ138" s="54">
        <f t="shared" ref="BZ138:BZ201" si="247">ROW(BZ138)-ROW(BZ$10)</f>
        <v>128</v>
      </c>
      <c r="CA138" s="54">
        <f>Eu_tabel_g[[#This Row],[Indeks]]+1</f>
        <v>129</v>
      </c>
      <c r="CB138" s="54">
        <f t="shared" ref="CB138:CB201" si="248">CB$5+(CB$7-CB$5)/CB$3*BZ138</f>
        <v>-2.3955289195099372E-2</v>
      </c>
      <c r="CC138" s="54">
        <f t="shared" ref="CC138:CC201" si="249">IF(CC$3,_xlfn.NORM.DIST(CB138,CC$5,CC$7,FALSE),NA())</f>
        <v>0.39882782913507253</v>
      </c>
      <c r="CD138" s="54" t="e">
        <f t="shared" ref="CD138:CD201" si="250">IF(CD$3,_xlfn.T.DIST(CB138,CD$5,FALSE),NA())</f>
        <v>#N/A</v>
      </c>
      <c r="CE138" s="54" t="e">
        <f t="shared" ref="CE138:CE201" si="251">IF(CE$3,_xlfn.CHISQ.DIST(CB138,CE$5,FALSE),NA())</f>
        <v>#N/A</v>
      </c>
      <c r="CF138" s="54" t="e">
        <f t="shared" ref="CF138:CF201" si="252">IF(CF$3,_xlfn.F.DIST(CB138,CF$5,CF$7,FALSE),NA())</f>
        <v>#N/A</v>
      </c>
      <c r="CG138" s="54" t="b">
        <f t="shared" ref="CG138:CG201" si="253">CB138&lt;CG$3</f>
        <v>0</v>
      </c>
      <c r="CH138" s="54" t="b">
        <f t="shared" ref="CH138:CH201" si="254">CB138&gt;CG$3</f>
        <v>1</v>
      </c>
      <c r="CI138" s="54" t="b">
        <f t="shared" ref="CI138:CI201" si="255">OR(CB138&lt;CI$3,CB138&gt;CI$5)</f>
        <v>0</v>
      </c>
      <c r="CJ138" s="54" t="b">
        <f t="shared" ref="CJ138:CJ201" si="256">AND(CB138&gt;CI$3,CB138&lt;CI$5)</f>
        <v>1</v>
      </c>
      <c r="CK138" s="54">
        <f t="shared" si="223"/>
        <v>0.39882782913507253</v>
      </c>
      <c r="CL138" s="54" t="e">
        <f t="shared" ref="CL138:CL201" si="257">IF(INDEX(CG138:CJ138,CK$7),CK138,NA())</f>
        <v>#N/A</v>
      </c>
      <c r="CM138" s="54">
        <f t="shared" ref="CM138:CM201" si="258">IF(INDEX(CG138:CJ138,CL$7),CK138,NA())</f>
        <v>0.39882782913507253</v>
      </c>
      <c r="CN138" s="69" t="str">
        <f t="shared" ref="CN138:CN201" si="259">_xlfn.SWITCH(BZ138,CN$2,CN$5,CN$3,CN$6,CN$4,CN$7,"")</f>
        <v/>
      </c>
      <c r="CO138" s="54">
        <f>_xlfn.NORM.DIST(_xlfn.NORM.INV(1-Eu_g_konfidensniveau,0,1)-Eu_tabel_g[[#This Row],[x base]],0,1,TRUE)</f>
        <v>5.2519721709693296E-2</v>
      </c>
      <c r="CP138" s="54">
        <f>1-_xlfn.NORM.DIST(_xlfn.NORM.INV(Eu_g_konfidensniveau,0,1)-Eu_tabel_g[[#This Row],[x base]],0,1,TRUE)</f>
        <v>4.7577627570627001E-2</v>
      </c>
      <c r="CQ138" s="54">
        <f>_xlfn.NORM.DIST(_xlfn.NORM.INV((1-Eu_g_konfidensniveau)/2,0,1)-Eu_tabel_g[[#This Row],[x base]],0,1,TRUE)+1-_xlfn.NORM.DIST(_xlfn.NORM.INV(1-(1-Eu_g_konfidensniveau)/2,0,1)-Eu_tabel_g[[#This Row],[x base]],0,1,TRUE)</f>
        <v>5.0065737968822299E-2</v>
      </c>
      <c r="CR138" s="54" t="e" cm="1">
        <f t="array" ref="CR138">IF($CR$3,INDEX(Eu_tabel_g[[#This Row],[Styrke venstre]:[Styrke tosidet]],CR$7),NA())</f>
        <v>#N/A</v>
      </c>
      <c r="CS138" s="89" t="e">
        <f>Eu_tabel_g[[#This Row],[Falsk positiv
Nulhypotese accepteres
Fejltype 1]]</f>
        <v>#N/A</v>
      </c>
      <c r="CT138" s="89" t="e">
        <f>IF(CHOOSE(CR$7,Eu_tabel_g[[#This Row],[x base]]&gt;0,Eu_tabel_g[[#This Row],[x base]]&lt;0,Eu_tabel_g[[#This Row],[x base]]=0),Eu_tabel_g[[#This Row],[Styrke, aktiv]],NA())</f>
        <v>#N/A</v>
      </c>
      <c r="CU138" s="89" t="e">
        <f>IFERROR(IF($CR$3,Eu_tabel_g[[#This Row],[Styrke, aktiv]],NA()),NA())</f>
        <v>#N/A</v>
      </c>
      <c r="CV138" s="89" t="e">
        <f>IF(ISNA(Eu_tabel_g[[#This Row],[Sand negativ
Nulhypotese afvises
Korrekt]]),NA(),IF($CR$3,1,NA()))</f>
        <v>#N/A</v>
      </c>
      <c r="CW138" s="56" t="str" cm="1">
        <f t="array" ref="CW138">_xlfn.SWITCH(BZ138,_xlfn.IFNA(CU$2,-99),CU$5,_xlfn.IFNA(CU$3,-99),CU$6,_xlfn.IFNA(CU$4,-99),CU$7,"")</f>
        <v/>
      </c>
      <c r="DA138" s="7">
        <f t="shared" ref="DA138:DA201" si="260">_xlfn.NORM.DIST(_xlfn.NORM.INV((1-Eu_g_konfidensniveau)/2,0,1)-DB138,0,1,TRUE)+1-_xlfn.NORM.DIST(_xlfn.NORM.INV(1-(1-Eu_g_konfidensniveau)/2,0,1)-DB138,0,1,TRUE)</f>
        <v>0.8</v>
      </c>
      <c r="DB138">
        <f>IF(ROW(Styrkeberegning_G[[#This Row],[X base venstre]])=ROW(Styrkeberegning_G[[#Headers],[X base venstre]])+1,DB$7/(DA$7/$B$67),DB137/(DA137/$B$67))</f>
        <v>-2.8015817870135784</v>
      </c>
      <c r="DC138">
        <f>Styrkeberegning_G[[#This Row],[X base venstre]]*-1</f>
        <v>2.8015817870135784</v>
      </c>
      <c r="DN138" s="54">
        <f t="shared" ref="DN138:DN201" si="261">ROW(DN138)-ROW(DN$10)</f>
        <v>128</v>
      </c>
      <c r="DO138" s="54">
        <f t="shared" ref="DO138:DO201" si="262">DN138+1</f>
        <v>129</v>
      </c>
      <c r="DP138" s="54">
        <f t="shared" ref="DP138:DP201" si="263">DP$5+(DP$7-DP$5)/DP$3*DN138</f>
        <v>16.434922286029817</v>
      </c>
      <c r="DQ138" s="54" t="e">
        <f t="shared" ref="DQ138:DQ201" si="264">IF(DQ$3,_xlfn.NORM.DIST(DP138,DQ$5,DQ$7,FALSE),NA())</f>
        <v>#N/A</v>
      </c>
      <c r="DR138" s="54" t="e">
        <f t="shared" ref="DR138:DR201" si="265">IF(DR$3,_xlfn.T.DIST(DP138,DR$5,FALSE),NA())</f>
        <v>#N/A</v>
      </c>
      <c r="DS138" s="54">
        <f t="shared" ref="DS138:DS201" si="266">IF(DS$3,_xlfn.CHISQ.DIST(DP138,DS$5,FALSE),NA())</f>
        <v>3.3700370410170197E-2</v>
      </c>
      <c r="DT138" s="54" t="e">
        <f t="shared" ref="DT138:DT201" si="267">IF(DT$3,_xlfn.F.DIST(DP138,DT$5,DT$7,FALSE),NA())</f>
        <v>#N/A</v>
      </c>
      <c r="DU138" s="54" t="b">
        <f t="shared" ref="DU138:DU201" si="268">DP138&lt;DU$3</f>
        <v>0</v>
      </c>
      <c r="DV138" s="54" t="b">
        <f t="shared" ref="DV138:DV201" si="269">DP138&gt;DU$3</f>
        <v>1</v>
      </c>
      <c r="DW138" s="54" t="b">
        <f t="shared" ref="DW138:DW201" si="270">OR(DP138&lt;DW$3,DP138&gt;DW$5)</f>
        <v>0</v>
      </c>
      <c r="DX138" s="54" t="b">
        <f t="shared" ref="DX138:DX201" si="271">AND(DP138&gt;DW$3,DP138&lt;DW$5)</f>
        <v>1</v>
      </c>
      <c r="DY138" s="54">
        <f t="shared" ref="DY138:DY201" si="272">_xlfn.AGGREGATE(9,6,DQ138:DT138)</f>
        <v>3.3700370410170197E-2</v>
      </c>
      <c r="DZ138" s="54" t="e">
        <f t="shared" ref="DZ138:DZ201" si="273">IF(INDEX(DU138:DX138,DY$7),DY138,NA())</f>
        <v>#N/A</v>
      </c>
      <c r="EA138" s="54">
        <f t="shared" ref="EA138:EA201" si="274">IF(INDEX(DU138:DX138,DZ$7),DY138,NA())</f>
        <v>3.3700370410170197E-2</v>
      </c>
      <c r="EB138" s="69" t="str">
        <f t="shared" ref="EB138:EB201" si="275">_xlfn.SWITCH(DN138,EB$2,EB$5,EB$3,EB$6,EB$4,EB$7,"")</f>
        <v/>
      </c>
      <c r="EG138" s="54">
        <f t="shared" ref="EG138:EG201" si="276">ROW(EG138)-ROW(EG$10)</f>
        <v>128</v>
      </c>
      <c r="EH138" s="54">
        <f t="shared" ref="EH138:EH201" si="277">EG138+1</f>
        <v>129</v>
      </c>
      <c r="EI138" s="54">
        <f t="shared" ref="EI138:EI201" si="278">EI$5+(EI$7-EI$5)/EI$3*EG138</f>
        <v>-2.3955289195099372E-2</v>
      </c>
      <c r="EJ138" s="54">
        <f t="shared" ref="EJ138:EJ201" si="279">IF(EJ$3,_xlfn.NORM.DIST(EI138,EJ$5,EJ$7,FALSE),NA())</f>
        <v>0.39882782913507253</v>
      </c>
      <c r="EK138" s="54" t="e">
        <f t="shared" ref="EK138:EK201" si="280">IF(EK$3,_xlfn.T.DIST(EI138,EK$5,FALSE),NA())</f>
        <v>#N/A</v>
      </c>
      <c r="EL138" s="54" t="e">
        <f t="shared" ref="EL138:EL201" si="281">IF(EL$3,_xlfn.CHISQ.DIST(EI138,EL$5,FALSE),NA())</f>
        <v>#N/A</v>
      </c>
      <c r="EM138" s="54" t="e">
        <f t="shared" ref="EM138:EM201" si="282">IF(EM$3,_xlfn.F.DIST(EI138,EM$5,EM$7,FALSE),NA())</f>
        <v>#N/A</v>
      </c>
      <c r="EN138" s="54" t="b">
        <f t="shared" ref="EN138:EN201" si="283">EI138&lt;EN$3</f>
        <v>0</v>
      </c>
      <c r="EO138" s="54" t="b">
        <f t="shared" ref="EO138:EO201" si="284">EI138&gt;EN$3</f>
        <v>1</v>
      </c>
      <c r="EP138" s="54" t="b">
        <f t="shared" ref="EP138:EP201" si="285">OR(EI138&lt;EP$3,EI138&gt;EP$5)</f>
        <v>0</v>
      </c>
      <c r="EQ138" s="54" t="b">
        <f t="shared" ref="EQ138:EQ201" si="286">AND(EI138&gt;EP$3,EI138&lt;EP$5)</f>
        <v>1</v>
      </c>
      <c r="ER138" s="54">
        <f t="shared" ref="ER138:ER201" si="287">_xlfn.AGGREGATE(9,6,EJ138:EM138)</f>
        <v>0.39882782913507253</v>
      </c>
      <c r="ES138" s="54" t="e">
        <f t="shared" ref="ES138:ES201" si="288">IF(INDEX(EN138:EQ138,ER$7),ER138,NA())</f>
        <v>#N/A</v>
      </c>
      <c r="ET138" s="54">
        <f t="shared" ref="ET138:ET201" si="289">IF(INDEX(EN138:EQ138,ES$7),ER138,NA())</f>
        <v>0.39882782913507253</v>
      </c>
      <c r="EU138" s="69" t="str">
        <f t="shared" ref="EU138:EU201" si="290">_xlfn.SWITCH(EG138,EU$2,EU$5,EU$3,EU$6,EU$4,EU$7,"")</f>
        <v/>
      </c>
      <c r="EV13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3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3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38" s="54" t="e" cm="1">
        <f t="array" ref="EY138">IF($CR$3,INDEX(Eu_tabel_a[[#This Row],[Styrke venstre]:[Styrke tosidet]],EY$7),NA())</f>
        <v>#N/A</v>
      </c>
      <c r="EZ138" s="54" t="e">
        <f>IF(EY$3,IF(CHOOSE(EY$7,Eu_tabel_a[[#This Row],[x base]]&gt;0,Eu_tabel_a[[#This Row],[x base]]&lt;0,Eu_tabel_a[[#This Row],[x base]]=0),1,NA()),NA())</f>
        <v>#N/A</v>
      </c>
      <c r="FA138" s="54" t="e">
        <f>IF(CHOOSE(EY$7,Eu_tabel_a[[#This Row],[x base]]&gt;0,Eu_tabel_a[[#This Row],[x base]]&lt;0,Eu_tabel_a[[#This Row],[x base]]=0),Eu_tabel_a[[#This Row],[Styrke, aktiv]],NA())</f>
        <v>#N/A</v>
      </c>
      <c r="FB138" s="54" t="e">
        <f>IFERROR(IF($EY$3,Eu_tabel_a[[#This Row],[Styrke, aktiv]],NA()),NA())</f>
        <v>#N/A</v>
      </c>
      <c r="FC138" s="54" t="e">
        <f>IF(ISNA(Eu_tabel_a[[#This Row],[Sand negativ
Nulhypotese afvises
Korrekt]]),NA(),IF(EY$3,1,NA()))</f>
        <v>#N/A</v>
      </c>
      <c r="FD138" s="55" t="str" cm="1">
        <f t="array" ref="FD138">IFERROR(_xlfn.SWITCH(Eu_tabel_a[[#This Row],[Indeks]],_xlfn.IFNA(FB$2,-99),FB$5,_xlfn.IFNA(FB$3,-99),FB$6,_xlfn.IFNA(FB$4,-99),FB$7,""),"")</f>
        <v/>
      </c>
      <c r="FE138" s="54">
        <f>Eu_tabel_a[[#This Row],[x base]]*SQRT(Eu_a_h0_x*(1-Eu_a_h0_x)/Eu_a_n_x)+Eu_a_h0_x</f>
        <v>0</v>
      </c>
      <c r="FJ138" s="144" t="e">
        <f t="shared" si="234"/>
        <v>#N/A</v>
      </c>
      <c r="FK138" s="152" t="e">
        <f t="shared" si="218"/>
        <v>#DIV/0!</v>
      </c>
      <c r="FL138" s="7" t="e">
        <f t="shared" si="228"/>
        <v>#DIV/0!</v>
      </c>
      <c r="FM138" t="e">
        <f t="shared" si="219"/>
        <v>#DIV/0!</v>
      </c>
      <c r="FN138" s="8" t="e">
        <f t="shared" si="220"/>
        <v>#DIV/0!</v>
      </c>
      <c r="FO138" s="8" t="e">
        <f t="shared" si="221"/>
        <v>#DIV/0!</v>
      </c>
      <c r="FP138" s="151" t="e">
        <f t="shared" si="222"/>
        <v>#DIV/0!</v>
      </c>
      <c r="FQ138" s="144" t="e">
        <f t="shared" ca="1" si="229"/>
        <v>#N/A</v>
      </c>
      <c r="FR138" s="152" t="e" vm="3">
        <f t="shared" ca="1" si="235"/>
        <v>#VALUE!</v>
      </c>
      <c r="FS138" s="7" t="e" vm="3">
        <f t="shared" ca="1" si="230"/>
        <v>#VALUE!</v>
      </c>
      <c r="FT138" t="e" vm="3">
        <f t="shared" ca="1" si="224"/>
        <v>#VALUE!</v>
      </c>
      <c r="FU138" s="8" t="e" vm="3">
        <f t="shared" ca="1" si="225"/>
        <v>#VALUE!</v>
      </c>
      <c r="FV138" s="8" t="e" vm="3">
        <f t="shared" ca="1" si="226"/>
        <v>#VALUE!</v>
      </c>
      <c r="FW138" s="151" t="e" vm="3">
        <f t="shared" ca="1" si="227"/>
        <v>#VALUE!</v>
      </c>
      <c r="FX138" s="144" t="e">
        <f t="shared" si="231"/>
        <v>#N/A</v>
      </c>
      <c r="FY138" s="152" t="e">
        <f t="shared" si="236"/>
        <v>#N/A</v>
      </c>
      <c r="FZ138" s="7" t="e">
        <f t="shared" si="232"/>
        <v>#N/A</v>
      </c>
      <c r="GA138" t="e">
        <f t="shared" si="237"/>
        <v>#N/A</v>
      </c>
      <c r="GB138" s="8" t="e">
        <f t="shared" si="238"/>
        <v>#N/A</v>
      </c>
      <c r="GC138" s="8" t="e">
        <f t="shared" si="239"/>
        <v>#N/A</v>
      </c>
      <c r="GD138" s="151" t="e">
        <f t="shared" si="240"/>
        <v>#N/A</v>
      </c>
      <c r="GE138" s="144" t="e">
        <f t="shared" si="241"/>
        <v>#N/A</v>
      </c>
      <c r="GF138" s="152" t="e">
        <f t="shared" si="242"/>
        <v>#N/A</v>
      </c>
      <c r="GG138" s="7" t="e">
        <f t="shared" si="233"/>
        <v>#N/A</v>
      </c>
      <c r="GH138" t="e">
        <f t="shared" si="243"/>
        <v>#N/A</v>
      </c>
      <c r="GI138" s="8" t="e">
        <f t="shared" si="244"/>
        <v>#N/A</v>
      </c>
      <c r="GJ138" s="8" t="e">
        <f t="shared" si="245"/>
        <v>#N/A</v>
      </c>
      <c r="GK138" s="151" t="e">
        <f t="shared" si="246"/>
        <v>#N/A</v>
      </c>
      <c r="GL138" s="151"/>
      <c r="GM138" s="151"/>
      <c r="GP138" s="54">
        <f t="shared" ref="GP138:GP201" si="291">ROW(GP138)-ROW(GP$10)</f>
        <v>128</v>
      </c>
      <c r="GQ138" s="54">
        <f t="shared" ref="GQ138:GQ201" si="292">GP138+1</f>
        <v>129</v>
      </c>
      <c r="GR138" s="54">
        <f t="shared" ref="GR138:GR201" si="293">GR$5+(GR$7-GR$5)/GR$3*GP138</f>
        <v>-2.3955289195099372E-2</v>
      </c>
      <c r="GS138" s="54">
        <f t="shared" ref="GS138:GS201" si="294">IF(GS$3,_xlfn.NORM.DIST(GR138,GS$5,GS$7,FALSE),NA())</f>
        <v>0.39882782913507253</v>
      </c>
      <c r="GT138" s="54" t="e">
        <f t="shared" ref="GT138:GT201" si="295">IF(GT$3,_xlfn.T.DIST(GR138,GT$5,FALSE),NA())</f>
        <v>#N/A</v>
      </c>
      <c r="GU138" s="54" t="e">
        <f t="shared" ref="GU138:GU201" si="296">IF(GU$3,_xlfn.CHISQ.DIST(GR138,GU$5,FALSE),NA())</f>
        <v>#N/A</v>
      </c>
      <c r="GV138" s="54" t="e">
        <f t="shared" ref="GV138:GV201" si="297">IF(GV$3,_xlfn.F.DIST(GR138,GV$5,GV$7,FALSE),NA())</f>
        <v>#N/A</v>
      </c>
      <c r="GW138" s="54" t="b">
        <f t="shared" ref="GW138:GW201" si="298">GR138&lt;GW$3</f>
        <v>0</v>
      </c>
      <c r="GX138" s="54" t="b">
        <f t="shared" ref="GX138:GX201" si="299">GR138&gt;GW$3</f>
        <v>1</v>
      </c>
      <c r="GY138" s="54" t="b">
        <f t="shared" ref="GY138:GY201" si="300">OR(GR138&lt;GY$3,GR138&gt;GY$5)</f>
        <v>0</v>
      </c>
      <c r="GZ138" s="54" t="b">
        <f t="shared" ref="GZ138:GZ201" si="301">AND(GR138&gt;GY$3,GR138&lt;GY$5)</f>
        <v>1</v>
      </c>
      <c r="HA138" s="54">
        <f t="shared" ref="HA138:HA201" si="302">_xlfn.AGGREGATE(9,6,GS138:GV138)</f>
        <v>0.39882782913507253</v>
      </c>
      <c r="HB138" s="54" t="e">
        <f t="shared" ref="HB138:HB201" si="303">IF(INDEX(GW138:GZ138,HA$7),HA138,NA())</f>
        <v>#N/A</v>
      </c>
      <c r="HC138" s="54">
        <f t="shared" ref="HC138:HC201" si="304">IF(INDEX(GW138:GZ138,HB$7),HA138,NA())</f>
        <v>0.39882782913507253</v>
      </c>
      <c r="HD138" s="69" t="str">
        <f t="shared" ref="HD138:HD201" si="305">_xlfn.SWITCH(GP138,HD$2,HD$5,HD$3,HD$6,HD$4,HD$7,"")</f>
        <v/>
      </c>
      <c r="HJ138" s="54">
        <f t="shared" ref="HJ138:HJ201" si="306">ROW(HJ138)-ROW(HJ$10)</f>
        <v>128</v>
      </c>
      <c r="HK138" s="54">
        <f t="shared" ref="HK138:HK201" si="307">HJ138+1</f>
        <v>129</v>
      </c>
      <c r="HL138" s="54">
        <f t="shared" ref="HL138:HL201" si="308">HL$5+(HL$7-HL$5)/HL$3*HJ138</f>
        <v>-3.7095268439056639E-2</v>
      </c>
      <c r="HM138" s="54" t="e">
        <f t="shared" ref="HM138:HM201" si="309">IF(HM$3,_xlfn.NORM.DIST(HL138,HM$5,HM$7,FALSE),NA())</f>
        <v>#N/A</v>
      </c>
      <c r="HN138" s="54">
        <f t="shared" ref="HN138:HN201" si="310">IF(HN$3,_xlfn.T.DIST(HL138,HN$5,FALSE),NA())</f>
        <v>0.38468887330394552</v>
      </c>
      <c r="HO138" s="54" t="e">
        <f t="shared" ref="HO138:HO201" si="311">IF(HO$3,_xlfn.CHISQ.DIST(HL138,HO$5,FALSE),NA())</f>
        <v>#N/A</v>
      </c>
      <c r="HP138" s="54" t="e">
        <f t="shared" ref="HP138:HP201" si="312">IF(HP$3,_xlfn.F.DIST(HL138,HP$5,HP$7,FALSE),NA())</f>
        <v>#N/A</v>
      </c>
      <c r="HQ138" s="54" t="b">
        <f t="shared" ref="HQ138:HQ201" si="313">HL138&lt;HQ$3</f>
        <v>1</v>
      </c>
      <c r="HR138" s="54" t="b">
        <f t="shared" ref="HR138:HR201" si="314">HL138&gt;HQ$3</f>
        <v>0</v>
      </c>
      <c r="HS138" s="54" t="b">
        <f t="shared" ref="HS138:HS201" si="315">OR(HL138&lt;HS$3,HL138&gt;HS$5)</f>
        <v>0</v>
      </c>
      <c r="HT138" s="54" t="b">
        <f t="shared" ref="HT138:HT201" si="316">AND(HL138&gt;HS$3,HL138&lt;HS$5)</f>
        <v>1</v>
      </c>
      <c r="HU138" s="54">
        <f t="shared" ref="HU138:HU201" si="317">_xlfn.AGGREGATE(9,6,HM138:HP138)</f>
        <v>0.38468887330394552</v>
      </c>
      <c r="HV138" s="54">
        <f t="shared" ref="HV138:HV201" si="318">IF(INDEX(HQ138:HT138,HU$7),HU138,NA())</f>
        <v>0.38468887330394552</v>
      </c>
      <c r="HW138" s="54" t="e">
        <f t="shared" ref="HW138:HW201" si="319">IF(INDEX(HQ138:HT138,HV$7),HU138,NA())</f>
        <v>#N/A</v>
      </c>
      <c r="HX138" s="69" t="str">
        <f t="shared" ref="HX138:HX201" si="320">_xlfn.SWITCH(HJ138,HX$2,HX$5,HX$3,HX$6,HX$4,HX$7,"")</f>
        <v/>
      </c>
    </row>
    <row r="139" spans="78:232" x14ac:dyDescent="0.2">
      <c r="BZ139" s="54">
        <f t="shared" si="247"/>
        <v>129</v>
      </c>
      <c r="CA139" s="54">
        <f>Eu_tabel_g[[#This Row],[Indeks]]+1</f>
        <v>130</v>
      </c>
      <c r="CB139" s="54">
        <f t="shared" si="248"/>
        <v>0</v>
      </c>
      <c r="CC139" s="54">
        <f t="shared" si="249"/>
        <v>0.3989422804014327</v>
      </c>
      <c r="CD139" s="54" t="e">
        <f t="shared" si="250"/>
        <v>#N/A</v>
      </c>
      <c r="CE139" s="54" t="e">
        <f t="shared" si="251"/>
        <v>#N/A</v>
      </c>
      <c r="CF139" s="54" t="e">
        <f t="shared" si="252"/>
        <v>#N/A</v>
      </c>
      <c r="CG139" s="54" t="b">
        <f t="shared" si="253"/>
        <v>0</v>
      </c>
      <c r="CH139" s="54" t="b">
        <f t="shared" si="254"/>
        <v>1</v>
      </c>
      <c r="CI139" s="54" t="b">
        <f t="shared" si="255"/>
        <v>0</v>
      </c>
      <c r="CJ139" s="54" t="b">
        <f t="shared" si="256"/>
        <v>1</v>
      </c>
      <c r="CK139" s="54">
        <f t="shared" si="223"/>
        <v>0.3989422804014327</v>
      </c>
      <c r="CL139" s="54" t="e">
        <f t="shared" si="257"/>
        <v>#N/A</v>
      </c>
      <c r="CM139" s="54">
        <f t="shared" si="258"/>
        <v>0.3989422804014327</v>
      </c>
      <c r="CN139" s="69">
        <f t="shared" si="259"/>
        <v>1.8540000000000001</v>
      </c>
      <c r="CO139" s="54">
        <f>_xlfn.NORM.DIST(_xlfn.NORM.INV(1-Eu_g_konfidensniveau,0,1)-Eu_tabel_g[[#This Row],[x base]],0,1,TRUE)</f>
        <v>5.0000000000000121E-2</v>
      </c>
      <c r="CP139" s="54">
        <f>1-_xlfn.NORM.DIST(_xlfn.NORM.INV(Eu_g_konfidensniveau,0,1)-Eu_tabel_g[[#This Row],[x base]],0,1,TRUE)</f>
        <v>5.0000000000000155E-2</v>
      </c>
      <c r="CQ139" s="54">
        <f>_xlfn.NORM.DIST(_xlfn.NORM.INV((1-Eu_g_konfidensniveau)/2,0,1)-Eu_tabel_g[[#This Row],[x base]],0,1,TRUE)+1-_xlfn.NORM.DIST(_xlfn.NORM.INV(1-(1-Eu_g_konfidensniveau)/2,0,1)-Eu_tabel_g[[#This Row],[x base]],0,1,TRUE)</f>
        <v>5.0000000000000155E-2</v>
      </c>
      <c r="CR139" s="54" t="e" cm="1">
        <f t="array" ref="CR139">IF($CR$3,INDEX(Eu_tabel_g[[#This Row],[Styrke venstre]:[Styrke tosidet]],CR$7),NA())</f>
        <v>#N/A</v>
      </c>
      <c r="CS139" s="89" t="e">
        <f>Eu_tabel_g[[#This Row],[Falsk positiv
Nulhypotese accepteres
Fejltype 1]]</f>
        <v>#N/A</v>
      </c>
      <c r="CT139" s="89" t="e">
        <f>IF(CHOOSE(CR$7,Eu_tabel_g[[#This Row],[x base]]&gt;0,Eu_tabel_g[[#This Row],[x base]]&lt;0,Eu_tabel_g[[#This Row],[x base]]=0),Eu_tabel_g[[#This Row],[Styrke, aktiv]],NA())</f>
        <v>#N/A</v>
      </c>
      <c r="CU139" s="89" t="e">
        <f>IFERROR(IF($CR$3,Eu_tabel_g[[#This Row],[Styrke, aktiv]],NA()),NA())</f>
        <v>#N/A</v>
      </c>
      <c r="CV139" s="89" t="e">
        <f>IF(ISNA(Eu_tabel_g[[#This Row],[Sand negativ
Nulhypotese afvises
Korrekt]]),NA(),IF($CR$3,1,NA()))</f>
        <v>#N/A</v>
      </c>
      <c r="CW139" s="56" cm="1">
        <f t="array" ref="CW139">_xlfn.SWITCH(BZ139,_xlfn.IFNA(CU$2,-99),CU$5,_xlfn.IFNA(CU$3,-99),CU$6,_xlfn.IFNA(CU$4,-99),CU$7,"")</f>
        <v>0</v>
      </c>
      <c r="DA139" s="7">
        <f t="shared" si="260"/>
        <v>0.8</v>
      </c>
      <c r="DB139">
        <f>IF(ROW(Styrkeberegning_G[[#This Row],[X base venstre]])=ROW(Styrkeberegning_G[[#Headers],[X base venstre]])+1,DB$7/(DA$7/$B$67),DB138/(DA138/$B$67))</f>
        <v>-2.8015817870135784</v>
      </c>
      <c r="DC139">
        <f>Styrkeberegning_G[[#This Row],[X base venstre]]*-1</f>
        <v>2.8015817870135784</v>
      </c>
      <c r="DN139" s="54">
        <f t="shared" si="261"/>
        <v>129</v>
      </c>
      <c r="DO139" s="54">
        <f t="shared" si="262"/>
        <v>130</v>
      </c>
      <c r="DP139" s="54">
        <f t="shared" si="263"/>
        <v>16.548993142446818</v>
      </c>
      <c r="DQ139" s="54" t="e">
        <f t="shared" si="264"/>
        <v>#N/A</v>
      </c>
      <c r="DR139" s="54" t="e">
        <f t="shared" si="265"/>
        <v>#N/A</v>
      </c>
      <c r="DS139" s="54">
        <f t="shared" si="266"/>
        <v>3.2838412041709814E-2</v>
      </c>
      <c r="DT139" s="54" t="e">
        <f t="shared" si="267"/>
        <v>#N/A</v>
      </c>
      <c r="DU139" s="54" t="b">
        <f t="shared" si="268"/>
        <v>0</v>
      </c>
      <c r="DV139" s="54" t="b">
        <f t="shared" si="269"/>
        <v>1</v>
      </c>
      <c r="DW139" s="54" t="b">
        <f t="shared" si="270"/>
        <v>0</v>
      </c>
      <c r="DX139" s="54" t="b">
        <f t="shared" si="271"/>
        <v>1</v>
      </c>
      <c r="DY139" s="54">
        <f t="shared" si="272"/>
        <v>3.2838412041709814E-2</v>
      </c>
      <c r="DZ139" s="54" t="e">
        <f t="shared" si="273"/>
        <v>#N/A</v>
      </c>
      <c r="EA139" s="54">
        <f t="shared" si="274"/>
        <v>3.2838412041709814E-2</v>
      </c>
      <c r="EB139" s="69" t="str">
        <f t="shared" si="275"/>
        <v/>
      </c>
      <c r="EG139" s="54">
        <f t="shared" si="276"/>
        <v>129</v>
      </c>
      <c r="EH139" s="54">
        <f t="shared" si="277"/>
        <v>130</v>
      </c>
      <c r="EI139" s="54">
        <f t="shared" si="278"/>
        <v>0</v>
      </c>
      <c r="EJ139" s="54">
        <f t="shared" si="279"/>
        <v>0.3989422804014327</v>
      </c>
      <c r="EK139" s="54" t="e">
        <f t="shared" si="280"/>
        <v>#N/A</v>
      </c>
      <c r="EL139" s="54" t="e">
        <f t="shared" si="281"/>
        <v>#N/A</v>
      </c>
      <c r="EM139" s="54" t="e">
        <f t="shared" si="282"/>
        <v>#N/A</v>
      </c>
      <c r="EN139" s="54" t="b">
        <f t="shared" si="283"/>
        <v>0</v>
      </c>
      <c r="EO139" s="54" t="b">
        <f t="shared" si="284"/>
        <v>1</v>
      </c>
      <c r="EP139" s="54" t="b">
        <f t="shared" si="285"/>
        <v>0</v>
      </c>
      <c r="EQ139" s="54" t="b">
        <f t="shared" si="286"/>
        <v>1</v>
      </c>
      <c r="ER139" s="54">
        <f t="shared" si="287"/>
        <v>0.3989422804014327</v>
      </c>
      <c r="ES139" s="54" t="e">
        <f t="shared" si="288"/>
        <v>#N/A</v>
      </c>
      <c r="ET139" s="54">
        <f t="shared" si="289"/>
        <v>0.3989422804014327</v>
      </c>
      <c r="EU139" s="69" t="str">
        <f t="shared" si="290"/>
        <v>41.667%</v>
      </c>
      <c r="EV13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3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3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39" s="54" t="e" cm="1">
        <f t="array" ref="EY139">IF($CR$3,INDEX(Eu_tabel_a[[#This Row],[Styrke venstre]:[Styrke tosidet]],EY$7),NA())</f>
        <v>#N/A</v>
      </c>
      <c r="EZ139" s="54" t="e">
        <f>IF(EY$3,IF(CHOOSE(EY$7,Eu_tabel_a[[#This Row],[x base]]&gt;0,Eu_tabel_a[[#This Row],[x base]]&lt;0,Eu_tabel_a[[#This Row],[x base]]=0),1,NA()),NA())</f>
        <v>#N/A</v>
      </c>
      <c r="FA139" s="54" t="e">
        <f>IF(CHOOSE(EY$7,Eu_tabel_a[[#This Row],[x base]]&gt;0,Eu_tabel_a[[#This Row],[x base]]&lt;0,Eu_tabel_a[[#This Row],[x base]]=0),Eu_tabel_a[[#This Row],[Styrke, aktiv]],NA())</f>
        <v>#N/A</v>
      </c>
      <c r="FB139" s="54" t="e">
        <f>IFERROR(IF($EY$3,Eu_tabel_a[[#This Row],[Styrke, aktiv]],NA()),NA())</f>
        <v>#N/A</v>
      </c>
      <c r="FC139" s="54" t="e">
        <f>IF(ISNA(Eu_tabel_a[[#This Row],[Sand negativ
Nulhypotese afvises
Korrekt]]),NA(),IF(EY$3,1,NA()))</f>
        <v>#N/A</v>
      </c>
      <c r="FD139" s="55" cm="1">
        <f t="array" ref="FD139">IFERROR(_xlfn.SWITCH(Eu_tabel_a[[#This Row],[Indeks]],_xlfn.IFNA(FB$2,-99),FB$5,_xlfn.IFNA(FB$3,-99),FB$6,_xlfn.IFNA(FB$4,-99),FB$7,""),"")</f>
        <v>0</v>
      </c>
      <c r="FE139" s="54">
        <f>Eu_tabel_a[[#This Row],[x base]]*SQRT(Eu_a_h0_x*(1-Eu_a_h0_x)/Eu_a_n_x)+Eu_a_h0_x</f>
        <v>0</v>
      </c>
      <c r="FJ139" s="144" t="e">
        <f t="shared" si="234"/>
        <v>#N/A</v>
      </c>
      <c r="FK139" s="152" t="e">
        <f t="shared" si="218"/>
        <v>#DIV/0!</v>
      </c>
      <c r="FL139" s="7" t="e">
        <f t="shared" si="228"/>
        <v>#DIV/0!</v>
      </c>
      <c r="FM139" t="e">
        <f t="shared" si="219"/>
        <v>#DIV/0!</v>
      </c>
      <c r="FN139" s="8" t="e">
        <f t="shared" si="220"/>
        <v>#DIV/0!</v>
      </c>
      <c r="FO139" s="8" t="e">
        <f t="shared" si="221"/>
        <v>#DIV/0!</v>
      </c>
      <c r="FP139" s="151" t="e">
        <f t="shared" si="222"/>
        <v>#DIV/0!</v>
      </c>
      <c r="FQ139" s="144" t="e">
        <f t="shared" ca="1" si="229"/>
        <v>#N/A</v>
      </c>
      <c r="FR139" s="152" t="e" vm="3">
        <f t="shared" ca="1" si="235"/>
        <v>#VALUE!</v>
      </c>
      <c r="FS139" s="7" t="e" vm="3">
        <f t="shared" ca="1" si="230"/>
        <v>#VALUE!</v>
      </c>
      <c r="FT139" t="e" vm="3">
        <f t="shared" ca="1" si="224"/>
        <v>#VALUE!</v>
      </c>
      <c r="FU139" s="8" t="e" vm="3">
        <f t="shared" ca="1" si="225"/>
        <v>#VALUE!</v>
      </c>
      <c r="FV139" s="8" t="e" vm="3">
        <f t="shared" ca="1" si="226"/>
        <v>#VALUE!</v>
      </c>
      <c r="FW139" s="151" t="e" vm="3">
        <f t="shared" ca="1" si="227"/>
        <v>#VALUE!</v>
      </c>
      <c r="FX139" s="144" t="e">
        <f t="shared" si="231"/>
        <v>#N/A</v>
      </c>
      <c r="FY139" s="152" t="e">
        <f t="shared" si="236"/>
        <v>#N/A</v>
      </c>
      <c r="FZ139" s="7" t="e">
        <f t="shared" si="232"/>
        <v>#N/A</v>
      </c>
      <c r="GA139" t="e">
        <f t="shared" si="237"/>
        <v>#N/A</v>
      </c>
      <c r="GB139" s="8" t="e">
        <f t="shared" si="238"/>
        <v>#N/A</v>
      </c>
      <c r="GC139" s="8" t="e">
        <f t="shared" si="239"/>
        <v>#N/A</v>
      </c>
      <c r="GD139" s="151" t="e">
        <f t="shared" si="240"/>
        <v>#N/A</v>
      </c>
      <c r="GE139" s="144" t="e">
        <f t="shared" si="241"/>
        <v>#N/A</v>
      </c>
      <c r="GF139" s="152" t="e">
        <f t="shared" si="242"/>
        <v>#N/A</v>
      </c>
      <c r="GG139" s="7" t="e">
        <f t="shared" si="233"/>
        <v>#N/A</v>
      </c>
      <c r="GH139" t="e">
        <f t="shared" si="243"/>
        <v>#N/A</v>
      </c>
      <c r="GI139" s="8" t="e">
        <f t="shared" si="244"/>
        <v>#N/A</v>
      </c>
      <c r="GJ139" s="8" t="e">
        <f t="shared" si="245"/>
        <v>#N/A</v>
      </c>
      <c r="GK139" s="151" t="e">
        <f t="shared" si="246"/>
        <v>#N/A</v>
      </c>
      <c r="GL139" s="151"/>
      <c r="GM139" s="151"/>
      <c r="GP139" s="54">
        <f t="shared" si="291"/>
        <v>129</v>
      </c>
      <c r="GQ139" s="54">
        <f t="shared" si="292"/>
        <v>130</v>
      </c>
      <c r="GR139" s="54">
        <f t="shared" si="293"/>
        <v>0</v>
      </c>
      <c r="GS139" s="54">
        <f t="shared" si="294"/>
        <v>0.3989422804014327</v>
      </c>
      <c r="GT139" s="54" t="e">
        <f t="shared" si="295"/>
        <v>#N/A</v>
      </c>
      <c r="GU139" s="54" t="e">
        <f t="shared" si="296"/>
        <v>#N/A</v>
      </c>
      <c r="GV139" s="54" t="e">
        <f t="shared" si="297"/>
        <v>#N/A</v>
      </c>
      <c r="GW139" s="54" t="b">
        <f t="shared" si="298"/>
        <v>0</v>
      </c>
      <c r="GX139" s="54" t="b">
        <f t="shared" si="299"/>
        <v>1</v>
      </c>
      <c r="GY139" s="54" t="b">
        <f t="shared" si="300"/>
        <v>0</v>
      </c>
      <c r="GZ139" s="54" t="b">
        <f t="shared" si="301"/>
        <v>1</v>
      </c>
      <c r="HA139" s="54">
        <f t="shared" si="302"/>
        <v>0.3989422804014327</v>
      </c>
      <c r="HB139" s="54" t="e">
        <f t="shared" si="303"/>
        <v>#N/A</v>
      </c>
      <c r="HC139" s="54">
        <f t="shared" si="304"/>
        <v>0.3989422804014327</v>
      </c>
      <c r="HD139" s="69">
        <f t="shared" si="305"/>
        <v>1.8540000000000001</v>
      </c>
      <c r="HJ139" s="54">
        <f t="shared" si="306"/>
        <v>129</v>
      </c>
      <c r="HK139" s="54">
        <f t="shared" si="307"/>
        <v>130</v>
      </c>
      <c r="HL139" s="54">
        <f t="shared" si="308"/>
        <v>0</v>
      </c>
      <c r="HM139" s="54" t="e">
        <f t="shared" si="309"/>
        <v>#N/A</v>
      </c>
      <c r="HN139" s="54">
        <f t="shared" si="310"/>
        <v>0.38499145083226738</v>
      </c>
      <c r="HO139" s="54" t="e">
        <f t="shared" si="311"/>
        <v>#N/A</v>
      </c>
      <c r="HP139" s="54" t="e">
        <f t="shared" si="312"/>
        <v>#N/A</v>
      </c>
      <c r="HQ139" s="54" t="b">
        <f t="shared" si="313"/>
        <v>1</v>
      </c>
      <c r="HR139" s="54" t="b">
        <f t="shared" si="314"/>
        <v>0</v>
      </c>
      <c r="HS139" s="54" t="b">
        <f t="shared" si="315"/>
        <v>0</v>
      </c>
      <c r="HT139" s="54" t="b">
        <f t="shared" si="316"/>
        <v>1</v>
      </c>
      <c r="HU139" s="54">
        <f t="shared" si="317"/>
        <v>0.38499145083226738</v>
      </c>
      <c r="HV139" s="54">
        <f t="shared" si="318"/>
        <v>0.38499145083226738</v>
      </c>
      <c r="HW139" s="54" t="e">
        <f t="shared" si="319"/>
        <v>#N/A</v>
      </c>
      <c r="HX139" s="69">
        <f t="shared" si="320"/>
        <v>0</v>
      </c>
    </row>
    <row r="140" spans="78:232" x14ac:dyDescent="0.2">
      <c r="BZ140" s="54">
        <f t="shared" si="247"/>
        <v>130</v>
      </c>
      <c r="CA140" s="54">
        <f>Eu_tabel_g[[#This Row],[Indeks]]+1</f>
        <v>131</v>
      </c>
      <c r="CB140" s="54">
        <f t="shared" si="248"/>
        <v>2.3955289195099372E-2</v>
      </c>
      <c r="CC140" s="54">
        <f t="shared" si="249"/>
        <v>0.39882782913507253</v>
      </c>
      <c r="CD140" s="54" t="e">
        <f t="shared" si="250"/>
        <v>#N/A</v>
      </c>
      <c r="CE140" s="54" t="e">
        <f t="shared" si="251"/>
        <v>#N/A</v>
      </c>
      <c r="CF140" s="54" t="e">
        <f t="shared" si="252"/>
        <v>#N/A</v>
      </c>
      <c r="CG140" s="54" t="b">
        <f t="shared" si="253"/>
        <v>0</v>
      </c>
      <c r="CH140" s="54" t="b">
        <f t="shared" si="254"/>
        <v>1</v>
      </c>
      <c r="CI140" s="54" t="b">
        <f t="shared" si="255"/>
        <v>0</v>
      </c>
      <c r="CJ140" s="54" t="b">
        <f t="shared" si="256"/>
        <v>1</v>
      </c>
      <c r="CK140" s="54">
        <f t="shared" si="223"/>
        <v>0.39882782913507253</v>
      </c>
      <c r="CL140" s="54" t="e">
        <f t="shared" si="257"/>
        <v>#N/A</v>
      </c>
      <c r="CM140" s="54">
        <f t="shared" si="258"/>
        <v>0.39882782913507253</v>
      </c>
      <c r="CN140" s="69" t="str">
        <f t="shared" si="259"/>
        <v/>
      </c>
      <c r="CO140" s="54">
        <f>_xlfn.NORM.DIST(_xlfn.NORM.INV(1-Eu_g_konfidensniveau,0,1)-Eu_tabel_g[[#This Row],[x base]],0,1,TRUE)</f>
        <v>4.7577627570626967E-2</v>
      </c>
      <c r="CP140" s="54">
        <f>1-_xlfn.NORM.DIST(_xlfn.NORM.INV(Eu_g_konfidensniveau,0,1)-Eu_tabel_g[[#This Row],[x base]],0,1,TRUE)</f>
        <v>5.2519721709693323E-2</v>
      </c>
      <c r="CQ140" s="54">
        <f>_xlfn.NORM.DIST(_xlfn.NORM.INV((1-Eu_g_konfidensniveau)/2,0,1)-Eu_tabel_g[[#This Row],[x base]],0,1,TRUE)+1-_xlfn.NORM.DIST(_xlfn.NORM.INV(1-(1-Eu_g_konfidensniveau)/2,0,1)-Eu_tabel_g[[#This Row],[x base]],0,1,TRUE)</f>
        <v>5.0065737968822299E-2</v>
      </c>
      <c r="CR140" s="54" t="e" cm="1">
        <f t="array" ref="CR140">IF($CR$3,INDEX(Eu_tabel_g[[#This Row],[Styrke venstre]:[Styrke tosidet]],CR$7),NA())</f>
        <v>#N/A</v>
      </c>
      <c r="CS140" s="89" t="e">
        <f>Eu_tabel_g[[#This Row],[Falsk positiv
Nulhypotese accepteres
Fejltype 1]]</f>
        <v>#N/A</v>
      </c>
      <c r="CT140" s="89" t="e">
        <f>IF(CHOOSE(CR$7,Eu_tabel_g[[#This Row],[x base]]&gt;0,Eu_tabel_g[[#This Row],[x base]]&lt;0,Eu_tabel_g[[#This Row],[x base]]=0),Eu_tabel_g[[#This Row],[Styrke, aktiv]],NA())</f>
        <v>#N/A</v>
      </c>
      <c r="CU140" s="89" t="e">
        <f>IFERROR(IF($CR$3,Eu_tabel_g[[#This Row],[Styrke, aktiv]],NA()),NA())</f>
        <v>#N/A</v>
      </c>
      <c r="CV140" s="89" t="e">
        <f>IF(ISNA(Eu_tabel_g[[#This Row],[Sand negativ
Nulhypotese afvises
Korrekt]]),NA(),IF($CR$3,1,NA()))</f>
        <v>#N/A</v>
      </c>
      <c r="CW140" s="56" t="str" cm="1">
        <f t="array" ref="CW140">_xlfn.SWITCH(BZ140,_xlfn.IFNA(CU$2,-99),CU$5,_xlfn.IFNA(CU$3,-99),CU$6,_xlfn.IFNA(CU$4,-99),CU$7,"")</f>
        <v/>
      </c>
      <c r="DA140" s="7">
        <f t="shared" si="260"/>
        <v>0.8</v>
      </c>
      <c r="DB140">
        <f>IF(ROW(Styrkeberegning_G[[#This Row],[X base venstre]])=ROW(Styrkeberegning_G[[#Headers],[X base venstre]])+1,DB$7/(DA$7/$B$67),DB139/(DA139/$B$67))</f>
        <v>-2.8015817870135784</v>
      </c>
      <c r="DC140">
        <f>Styrkeberegning_G[[#This Row],[X base venstre]]*-1</f>
        <v>2.8015817870135784</v>
      </c>
      <c r="DN140" s="54">
        <f t="shared" si="261"/>
        <v>130</v>
      </c>
      <c r="DO140" s="54">
        <f t="shared" si="262"/>
        <v>131</v>
      </c>
      <c r="DP140" s="54">
        <f t="shared" si="263"/>
        <v>16.663063998863819</v>
      </c>
      <c r="DQ140" s="54" t="e">
        <f t="shared" si="264"/>
        <v>#N/A</v>
      </c>
      <c r="DR140" s="54" t="e">
        <f t="shared" si="265"/>
        <v>#N/A</v>
      </c>
      <c r="DS140" s="54">
        <f t="shared" si="266"/>
        <v>3.1991659199801618E-2</v>
      </c>
      <c r="DT140" s="54" t="e">
        <f t="shared" si="267"/>
        <v>#N/A</v>
      </c>
      <c r="DU140" s="54" t="b">
        <f t="shared" si="268"/>
        <v>0</v>
      </c>
      <c r="DV140" s="54" t="b">
        <f t="shared" si="269"/>
        <v>1</v>
      </c>
      <c r="DW140" s="54" t="b">
        <f t="shared" si="270"/>
        <v>0</v>
      </c>
      <c r="DX140" s="54" t="b">
        <f t="shared" si="271"/>
        <v>1</v>
      </c>
      <c r="DY140" s="54">
        <f t="shared" si="272"/>
        <v>3.1991659199801618E-2</v>
      </c>
      <c r="DZ140" s="54" t="e">
        <f t="shared" si="273"/>
        <v>#N/A</v>
      </c>
      <c r="EA140" s="54">
        <f t="shared" si="274"/>
        <v>3.1991659199801618E-2</v>
      </c>
      <c r="EB140" s="69" t="str">
        <f t="shared" si="275"/>
        <v/>
      </c>
      <c r="EG140" s="54">
        <f t="shared" si="276"/>
        <v>130</v>
      </c>
      <c r="EH140" s="54">
        <f t="shared" si="277"/>
        <v>131</v>
      </c>
      <c r="EI140" s="54">
        <f t="shared" si="278"/>
        <v>2.3955289195099372E-2</v>
      </c>
      <c r="EJ140" s="54">
        <f t="shared" si="279"/>
        <v>0.39882782913507253</v>
      </c>
      <c r="EK140" s="54" t="e">
        <f t="shared" si="280"/>
        <v>#N/A</v>
      </c>
      <c r="EL140" s="54" t="e">
        <f t="shared" si="281"/>
        <v>#N/A</v>
      </c>
      <c r="EM140" s="54" t="e">
        <f t="shared" si="282"/>
        <v>#N/A</v>
      </c>
      <c r="EN140" s="54" t="b">
        <f t="shared" si="283"/>
        <v>0</v>
      </c>
      <c r="EO140" s="54" t="b">
        <f t="shared" si="284"/>
        <v>1</v>
      </c>
      <c r="EP140" s="54" t="b">
        <f t="shared" si="285"/>
        <v>0</v>
      </c>
      <c r="EQ140" s="54" t="b">
        <f t="shared" si="286"/>
        <v>1</v>
      </c>
      <c r="ER140" s="54">
        <f t="shared" si="287"/>
        <v>0.39882782913507253</v>
      </c>
      <c r="ES140" s="54" t="e">
        <f t="shared" si="288"/>
        <v>#N/A</v>
      </c>
      <c r="ET140" s="54">
        <f t="shared" si="289"/>
        <v>0.39882782913507253</v>
      </c>
      <c r="EU140" s="69" t="str">
        <f t="shared" si="290"/>
        <v/>
      </c>
      <c r="EV14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4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4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40" s="54" t="e" cm="1">
        <f t="array" ref="EY140">IF($CR$3,INDEX(Eu_tabel_a[[#This Row],[Styrke venstre]:[Styrke tosidet]],EY$7),NA())</f>
        <v>#N/A</v>
      </c>
      <c r="EZ140" s="54" t="e">
        <f>IF(EY$3,IF(CHOOSE(EY$7,Eu_tabel_a[[#This Row],[x base]]&gt;0,Eu_tabel_a[[#This Row],[x base]]&lt;0,Eu_tabel_a[[#This Row],[x base]]=0),1,NA()),NA())</f>
        <v>#N/A</v>
      </c>
      <c r="FA140" s="54" t="e">
        <f>IF(CHOOSE(EY$7,Eu_tabel_a[[#This Row],[x base]]&gt;0,Eu_tabel_a[[#This Row],[x base]]&lt;0,Eu_tabel_a[[#This Row],[x base]]=0),Eu_tabel_a[[#This Row],[Styrke, aktiv]],NA())</f>
        <v>#N/A</v>
      </c>
      <c r="FB140" s="54" t="e">
        <f>IFERROR(IF($EY$3,Eu_tabel_a[[#This Row],[Styrke, aktiv]],NA()),NA())</f>
        <v>#N/A</v>
      </c>
      <c r="FC140" s="54" t="e">
        <f>IF(ISNA(Eu_tabel_a[[#This Row],[Sand negativ
Nulhypotese afvises
Korrekt]]),NA(),IF(EY$3,1,NA()))</f>
        <v>#N/A</v>
      </c>
      <c r="FD140" s="55" t="str" cm="1">
        <f t="array" ref="FD140">IFERROR(_xlfn.SWITCH(Eu_tabel_a[[#This Row],[Indeks]],_xlfn.IFNA(FB$2,-99),FB$5,_xlfn.IFNA(FB$3,-99),FB$6,_xlfn.IFNA(FB$4,-99),FB$7,""),"")</f>
        <v/>
      </c>
      <c r="FE140" s="54">
        <f>Eu_tabel_a[[#This Row],[x base]]*SQRT(Eu_a_h0_x*(1-Eu_a_h0_x)/Eu_a_n_x)+Eu_a_h0_x</f>
        <v>0</v>
      </c>
      <c r="FJ140" s="144" t="e">
        <f t="shared" si="234"/>
        <v>#N/A</v>
      </c>
      <c r="FK140" s="152" t="e">
        <f t="shared" si="218"/>
        <v>#DIV/0!</v>
      </c>
      <c r="FL140" s="7" t="e">
        <f t="shared" si="228"/>
        <v>#DIV/0!</v>
      </c>
      <c r="FM140" t="e">
        <f t="shared" si="219"/>
        <v>#DIV/0!</v>
      </c>
      <c r="FN140" s="8" t="e">
        <f t="shared" si="220"/>
        <v>#DIV/0!</v>
      </c>
      <c r="FO140" s="8" t="e">
        <f t="shared" si="221"/>
        <v>#DIV/0!</v>
      </c>
      <c r="FP140" s="151" t="e">
        <f t="shared" si="222"/>
        <v>#DIV/0!</v>
      </c>
      <c r="FQ140" s="144" t="e">
        <f t="shared" ca="1" si="229"/>
        <v>#N/A</v>
      </c>
      <c r="FR140" s="152" t="e" vm="3">
        <f t="shared" ca="1" si="235"/>
        <v>#VALUE!</v>
      </c>
      <c r="FS140" s="7" t="e" vm="3">
        <f t="shared" ca="1" si="230"/>
        <v>#VALUE!</v>
      </c>
      <c r="FT140" t="e" vm="3">
        <f t="shared" ca="1" si="224"/>
        <v>#VALUE!</v>
      </c>
      <c r="FU140" s="8" t="e" vm="3">
        <f t="shared" ca="1" si="225"/>
        <v>#VALUE!</v>
      </c>
      <c r="FV140" s="8" t="e" vm="3">
        <f t="shared" ca="1" si="226"/>
        <v>#VALUE!</v>
      </c>
      <c r="FW140" s="151" t="e" vm="3">
        <f t="shared" ca="1" si="227"/>
        <v>#VALUE!</v>
      </c>
      <c r="FX140" s="144" t="e">
        <f t="shared" si="231"/>
        <v>#N/A</v>
      </c>
      <c r="FY140" s="152" t="e">
        <f t="shared" si="236"/>
        <v>#N/A</v>
      </c>
      <c r="FZ140" s="7" t="e">
        <f t="shared" si="232"/>
        <v>#N/A</v>
      </c>
      <c r="GA140" t="e">
        <f t="shared" si="237"/>
        <v>#N/A</v>
      </c>
      <c r="GB140" s="8" t="e">
        <f t="shared" si="238"/>
        <v>#N/A</v>
      </c>
      <c r="GC140" s="8" t="e">
        <f t="shared" si="239"/>
        <v>#N/A</v>
      </c>
      <c r="GD140" s="151" t="e">
        <f t="shared" si="240"/>
        <v>#N/A</v>
      </c>
      <c r="GE140" s="144" t="e">
        <f t="shared" si="241"/>
        <v>#N/A</v>
      </c>
      <c r="GF140" s="152" t="e">
        <f t="shared" si="242"/>
        <v>#N/A</v>
      </c>
      <c r="GG140" s="7" t="e">
        <f t="shared" si="233"/>
        <v>#N/A</v>
      </c>
      <c r="GH140" t="e">
        <f t="shared" si="243"/>
        <v>#N/A</v>
      </c>
      <c r="GI140" s="8" t="e">
        <f t="shared" si="244"/>
        <v>#N/A</v>
      </c>
      <c r="GJ140" s="8" t="e">
        <f t="shared" si="245"/>
        <v>#N/A</v>
      </c>
      <c r="GK140" s="151" t="e">
        <f t="shared" si="246"/>
        <v>#N/A</v>
      </c>
      <c r="GL140" s="151"/>
      <c r="GM140" s="151"/>
      <c r="GP140" s="54">
        <f t="shared" si="291"/>
        <v>130</v>
      </c>
      <c r="GQ140" s="54">
        <f t="shared" si="292"/>
        <v>131</v>
      </c>
      <c r="GR140" s="54">
        <f t="shared" si="293"/>
        <v>2.3955289195099372E-2</v>
      </c>
      <c r="GS140" s="54">
        <f t="shared" si="294"/>
        <v>0.39882782913507253</v>
      </c>
      <c r="GT140" s="54" t="e">
        <f t="shared" si="295"/>
        <v>#N/A</v>
      </c>
      <c r="GU140" s="54" t="e">
        <f t="shared" si="296"/>
        <v>#N/A</v>
      </c>
      <c r="GV140" s="54" t="e">
        <f t="shared" si="297"/>
        <v>#N/A</v>
      </c>
      <c r="GW140" s="54" t="b">
        <f t="shared" si="298"/>
        <v>0</v>
      </c>
      <c r="GX140" s="54" t="b">
        <f t="shared" si="299"/>
        <v>1</v>
      </c>
      <c r="GY140" s="54" t="b">
        <f t="shared" si="300"/>
        <v>0</v>
      </c>
      <c r="GZ140" s="54" t="b">
        <f t="shared" si="301"/>
        <v>1</v>
      </c>
      <c r="HA140" s="54">
        <f t="shared" si="302"/>
        <v>0.39882782913507253</v>
      </c>
      <c r="HB140" s="54" t="e">
        <f t="shared" si="303"/>
        <v>#N/A</v>
      </c>
      <c r="HC140" s="54">
        <f t="shared" si="304"/>
        <v>0.39882782913507253</v>
      </c>
      <c r="HD140" s="69" t="str">
        <f t="shared" si="305"/>
        <v/>
      </c>
      <c r="HJ140" s="54">
        <f t="shared" si="306"/>
        <v>130</v>
      </c>
      <c r="HK140" s="54">
        <f t="shared" si="307"/>
        <v>131</v>
      </c>
      <c r="HL140" s="54">
        <f t="shared" si="308"/>
        <v>3.7095268439056639E-2</v>
      </c>
      <c r="HM140" s="54" t="e">
        <f t="shared" si="309"/>
        <v>#N/A</v>
      </c>
      <c r="HN140" s="54">
        <f t="shared" si="310"/>
        <v>0.38468887330394552</v>
      </c>
      <c r="HO140" s="54" t="e">
        <f t="shared" si="311"/>
        <v>#N/A</v>
      </c>
      <c r="HP140" s="54" t="e">
        <f t="shared" si="312"/>
        <v>#N/A</v>
      </c>
      <c r="HQ140" s="54" t="b">
        <f t="shared" si="313"/>
        <v>1</v>
      </c>
      <c r="HR140" s="54" t="b">
        <f t="shared" si="314"/>
        <v>0</v>
      </c>
      <c r="HS140" s="54" t="b">
        <f t="shared" si="315"/>
        <v>0</v>
      </c>
      <c r="HT140" s="54" t="b">
        <f t="shared" si="316"/>
        <v>1</v>
      </c>
      <c r="HU140" s="54">
        <f t="shared" si="317"/>
        <v>0.38468887330394552</v>
      </c>
      <c r="HV140" s="54">
        <f t="shared" si="318"/>
        <v>0.38468887330394552</v>
      </c>
      <c r="HW140" s="54" t="e">
        <f t="shared" si="319"/>
        <v>#N/A</v>
      </c>
      <c r="HX140" s="69" t="str">
        <f t="shared" si="320"/>
        <v/>
      </c>
    </row>
    <row r="141" spans="78:232" x14ac:dyDescent="0.2">
      <c r="BZ141" s="54">
        <f t="shared" si="247"/>
        <v>131</v>
      </c>
      <c r="CA141" s="54">
        <f>Eu_tabel_g[[#This Row],[Indeks]]+1</f>
        <v>132</v>
      </c>
      <c r="CB141" s="54">
        <f t="shared" si="248"/>
        <v>4.7910578390198744E-2</v>
      </c>
      <c r="CC141" s="54">
        <f t="shared" si="249"/>
        <v>0.39848467230564738</v>
      </c>
      <c r="CD141" s="54" t="e">
        <f t="shared" si="250"/>
        <v>#N/A</v>
      </c>
      <c r="CE141" s="54" t="e">
        <f t="shared" si="251"/>
        <v>#N/A</v>
      </c>
      <c r="CF141" s="54" t="e">
        <f t="shared" si="252"/>
        <v>#N/A</v>
      </c>
      <c r="CG141" s="54" t="b">
        <f t="shared" si="253"/>
        <v>0</v>
      </c>
      <c r="CH141" s="54" t="b">
        <f t="shared" si="254"/>
        <v>1</v>
      </c>
      <c r="CI141" s="54" t="b">
        <f t="shared" si="255"/>
        <v>0</v>
      </c>
      <c r="CJ141" s="54" t="b">
        <f t="shared" si="256"/>
        <v>1</v>
      </c>
      <c r="CK141" s="54">
        <f t="shared" si="223"/>
        <v>0.39848467230564738</v>
      </c>
      <c r="CL141" s="54" t="e">
        <f t="shared" si="257"/>
        <v>#N/A</v>
      </c>
      <c r="CM141" s="54">
        <f t="shared" si="258"/>
        <v>0.39848467230564738</v>
      </c>
      <c r="CN141" s="69" t="str">
        <f t="shared" si="259"/>
        <v/>
      </c>
      <c r="CO141" s="54">
        <f>_xlfn.NORM.DIST(_xlfn.NORM.INV(1-Eu_g_konfidensniveau,0,1)-Eu_tabel_g[[#This Row],[x base]],0,1,TRUE)</f>
        <v>4.5250179277904451E-2</v>
      </c>
      <c r="CP141" s="54">
        <f>1-_xlfn.NORM.DIST(_xlfn.NORM.INV(Eu_g_konfidensniveau,0,1)-Eu_tabel_g[[#This Row],[x base]],0,1,TRUE)</f>
        <v>5.5139201368197499E-2</v>
      </c>
      <c r="CQ141" s="54">
        <f>_xlfn.NORM.DIST(_xlfn.NORM.INV((1-Eu_g_konfidensniveau)/2,0,1)-Eu_tabel_g[[#This Row],[x base]],0,1,TRUE)+1-_xlfn.NORM.DIST(_xlfn.NORM.INV(1-(1-Eu_g_konfidensniveau)/2,0,1)-Eu_tabel_g[[#This Row],[x base]],0,1,TRUE)</f>
        <v>5.0262983586075727E-2</v>
      </c>
      <c r="CR141" s="54" t="e" cm="1">
        <f t="array" ref="CR141">IF($CR$3,INDEX(Eu_tabel_g[[#This Row],[Styrke venstre]:[Styrke tosidet]],CR$7),NA())</f>
        <v>#N/A</v>
      </c>
      <c r="CS141" s="89" t="e">
        <f>Eu_tabel_g[[#This Row],[Falsk positiv
Nulhypotese accepteres
Fejltype 1]]</f>
        <v>#N/A</v>
      </c>
      <c r="CT141" s="89" t="e">
        <f>IF(CHOOSE(CR$7,Eu_tabel_g[[#This Row],[x base]]&gt;0,Eu_tabel_g[[#This Row],[x base]]&lt;0,Eu_tabel_g[[#This Row],[x base]]=0),Eu_tabel_g[[#This Row],[Styrke, aktiv]],NA())</f>
        <v>#N/A</v>
      </c>
      <c r="CU141" s="89" t="e">
        <f>IFERROR(IF($CR$3,Eu_tabel_g[[#This Row],[Styrke, aktiv]],NA()),NA())</f>
        <v>#N/A</v>
      </c>
      <c r="CV141" s="89" t="e">
        <f>IF(ISNA(Eu_tabel_g[[#This Row],[Sand negativ
Nulhypotese afvises
Korrekt]]),NA(),IF($CR$3,1,NA()))</f>
        <v>#N/A</v>
      </c>
      <c r="CW141" s="56" t="str" cm="1">
        <f t="array" ref="CW141">_xlfn.SWITCH(BZ141,_xlfn.IFNA(CU$2,-99),CU$5,_xlfn.IFNA(CU$3,-99),CU$6,_xlfn.IFNA(CU$4,-99),CU$7,"")</f>
        <v/>
      </c>
      <c r="DA141" s="7">
        <f t="shared" si="260"/>
        <v>0.8</v>
      </c>
      <c r="DB141">
        <f>IF(ROW(Styrkeberegning_G[[#This Row],[X base venstre]])=ROW(Styrkeberegning_G[[#Headers],[X base venstre]])+1,DB$7/(DA$7/$B$67),DB140/(DA140/$B$67))</f>
        <v>-2.8015817870135784</v>
      </c>
      <c r="DC141">
        <f>Styrkeberegning_G[[#This Row],[X base venstre]]*-1</f>
        <v>2.8015817870135784</v>
      </c>
      <c r="DN141" s="54">
        <f t="shared" si="261"/>
        <v>131</v>
      </c>
      <c r="DO141" s="54">
        <f t="shared" si="262"/>
        <v>132</v>
      </c>
      <c r="DP141" s="54">
        <f t="shared" si="263"/>
        <v>16.777134855280821</v>
      </c>
      <c r="DQ141" s="54" t="e">
        <f t="shared" si="264"/>
        <v>#N/A</v>
      </c>
      <c r="DR141" s="54" t="e">
        <f t="shared" si="265"/>
        <v>#N/A</v>
      </c>
      <c r="DS141" s="54">
        <f t="shared" si="266"/>
        <v>3.1160168093486602E-2</v>
      </c>
      <c r="DT141" s="54" t="e">
        <f t="shared" si="267"/>
        <v>#N/A</v>
      </c>
      <c r="DU141" s="54" t="b">
        <f t="shared" si="268"/>
        <v>0</v>
      </c>
      <c r="DV141" s="54" t="b">
        <f t="shared" si="269"/>
        <v>1</v>
      </c>
      <c r="DW141" s="54" t="b">
        <f t="shared" si="270"/>
        <v>0</v>
      </c>
      <c r="DX141" s="54" t="b">
        <f t="shared" si="271"/>
        <v>1</v>
      </c>
      <c r="DY141" s="54">
        <f t="shared" si="272"/>
        <v>3.1160168093486602E-2</v>
      </c>
      <c r="DZ141" s="54" t="e">
        <f t="shared" si="273"/>
        <v>#N/A</v>
      </c>
      <c r="EA141" s="54">
        <f t="shared" si="274"/>
        <v>3.1160168093486602E-2</v>
      </c>
      <c r="EB141" s="69" t="str">
        <f t="shared" si="275"/>
        <v/>
      </c>
      <c r="EG141" s="54">
        <f t="shared" si="276"/>
        <v>131</v>
      </c>
      <c r="EH141" s="54">
        <f t="shared" si="277"/>
        <v>132</v>
      </c>
      <c r="EI141" s="54">
        <f t="shared" si="278"/>
        <v>4.7910578390198744E-2</v>
      </c>
      <c r="EJ141" s="54">
        <f t="shared" si="279"/>
        <v>0.39848467230564738</v>
      </c>
      <c r="EK141" s="54" t="e">
        <f t="shared" si="280"/>
        <v>#N/A</v>
      </c>
      <c r="EL141" s="54" t="e">
        <f t="shared" si="281"/>
        <v>#N/A</v>
      </c>
      <c r="EM141" s="54" t="e">
        <f t="shared" si="282"/>
        <v>#N/A</v>
      </c>
      <c r="EN141" s="54" t="b">
        <f t="shared" si="283"/>
        <v>0</v>
      </c>
      <c r="EO141" s="54" t="b">
        <f t="shared" si="284"/>
        <v>1</v>
      </c>
      <c r="EP141" s="54" t="b">
        <f t="shared" si="285"/>
        <v>0</v>
      </c>
      <c r="EQ141" s="54" t="b">
        <f t="shared" si="286"/>
        <v>1</v>
      </c>
      <c r="ER141" s="54">
        <f t="shared" si="287"/>
        <v>0.39848467230564738</v>
      </c>
      <c r="ES141" s="54" t="e">
        <f t="shared" si="288"/>
        <v>#N/A</v>
      </c>
      <c r="ET141" s="54">
        <f t="shared" si="289"/>
        <v>0.39848467230564738</v>
      </c>
      <c r="EU141" s="69" t="str">
        <f t="shared" si="290"/>
        <v/>
      </c>
      <c r="EV14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4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4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41" s="54" t="e" cm="1">
        <f t="array" ref="EY141">IF($CR$3,INDEX(Eu_tabel_a[[#This Row],[Styrke venstre]:[Styrke tosidet]],EY$7),NA())</f>
        <v>#N/A</v>
      </c>
      <c r="EZ141" s="54" t="e">
        <f>IF(EY$3,IF(CHOOSE(EY$7,Eu_tabel_a[[#This Row],[x base]]&gt;0,Eu_tabel_a[[#This Row],[x base]]&lt;0,Eu_tabel_a[[#This Row],[x base]]=0),1,NA()),NA())</f>
        <v>#N/A</v>
      </c>
      <c r="FA141" s="54" t="e">
        <f>IF(CHOOSE(EY$7,Eu_tabel_a[[#This Row],[x base]]&gt;0,Eu_tabel_a[[#This Row],[x base]]&lt;0,Eu_tabel_a[[#This Row],[x base]]=0),Eu_tabel_a[[#This Row],[Styrke, aktiv]],NA())</f>
        <v>#N/A</v>
      </c>
      <c r="FB141" s="54" t="e">
        <f>IFERROR(IF($EY$3,Eu_tabel_a[[#This Row],[Styrke, aktiv]],NA()),NA())</f>
        <v>#N/A</v>
      </c>
      <c r="FC141" s="54" t="e">
        <f>IF(ISNA(Eu_tabel_a[[#This Row],[Sand negativ
Nulhypotese afvises
Korrekt]]),NA(),IF(EY$3,1,NA()))</f>
        <v>#N/A</v>
      </c>
      <c r="FD141" s="55" t="str" cm="1">
        <f t="array" ref="FD141">IFERROR(_xlfn.SWITCH(Eu_tabel_a[[#This Row],[Indeks]],_xlfn.IFNA(FB$2,-99),FB$5,_xlfn.IFNA(FB$3,-99),FB$6,_xlfn.IFNA(FB$4,-99),FB$7,""),"")</f>
        <v/>
      </c>
      <c r="FE141" s="54">
        <f>Eu_tabel_a[[#This Row],[x base]]*SQRT(Eu_a_h0_x*(1-Eu_a_h0_x)/Eu_a_n_x)+Eu_a_h0_x</f>
        <v>0</v>
      </c>
      <c r="FJ141" s="144" t="e">
        <f t="shared" si="234"/>
        <v>#N/A</v>
      </c>
      <c r="FK141" s="152" t="e">
        <f t="shared" si="218"/>
        <v>#DIV/0!</v>
      </c>
      <c r="FL141" s="7" t="e">
        <f t="shared" si="228"/>
        <v>#DIV/0!</v>
      </c>
      <c r="FM141" t="e">
        <f t="shared" si="219"/>
        <v>#DIV/0!</v>
      </c>
      <c r="FN141" s="8" t="e">
        <f t="shared" si="220"/>
        <v>#DIV/0!</v>
      </c>
      <c r="FO141" s="8" t="e">
        <f t="shared" si="221"/>
        <v>#DIV/0!</v>
      </c>
      <c r="FP141" s="151" t="e">
        <f t="shared" si="222"/>
        <v>#DIV/0!</v>
      </c>
      <c r="FQ141" s="144" t="e">
        <f t="shared" ca="1" si="229"/>
        <v>#N/A</v>
      </c>
      <c r="FR141" s="152" t="e" vm="3">
        <f t="shared" ca="1" si="235"/>
        <v>#VALUE!</v>
      </c>
      <c r="FS141" s="7" t="e" vm="3">
        <f t="shared" ca="1" si="230"/>
        <v>#VALUE!</v>
      </c>
      <c r="FT141" t="e" vm="3">
        <f t="shared" ca="1" si="224"/>
        <v>#VALUE!</v>
      </c>
      <c r="FU141" s="8" t="e" vm="3">
        <f t="shared" ca="1" si="225"/>
        <v>#VALUE!</v>
      </c>
      <c r="FV141" s="8" t="e" vm="3">
        <f t="shared" ca="1" si="226"/>
        <v>#VALUE!</v>
      </c>
      <c r="FW141" s="151" t="e" vm="3">
        <f t="shared" ca="1" si="227"/>
        <v>#VALUE!</v>
      </c>
      <c r="FX141" s="144" t="e">
        <f t="shared" si="231"/>
        <v>#N/A</v>
      </c>
      <c r="FY141" s="152" t="e">
        <f t="shared" si="236"/>
        <v>#N/A</v>
      </c>
      <c r="FZ141" s="7" t="e">
        <f t="shared" si="232"/>
        <v>#N/A</v>
      </c>
      <c r="GA141" t="e">
        <f t="shared" si="237"/>
        <v>#N/A</v>
      </c>
      <c r="GB141" s="8" t="e">
        <f t="shared" si="238"/>
        <v>#N/A</v>
      </c>
      <c r="GC141" s="8" t="e">
        <f t="shared" si="239"/>
        <v>#N/A</v>
      </c>
      <c r="GD141" s="151" t="e">
        <f t="shared" si="240"/>
        <v>#N/A</v>
      </c>
      <c r="GE141" s="144" t="e">
        <f t="shared" si="241"/>
        <v>#N/A</v>
      </c>
      <c r="GF141" s="152" t="e">
        <f t="shared" si="242"/>
        <v>#N/A</v>
      </c>
      <c r="GG141" s="7" t="e">
        <f t="shared" si="233"/>
        <v>#N/A</v>
      </c>
      <c r="GH141" t="e">
        <f t="shared" si="243"/>
        <v>#N/A</v>
      </c>
      <c r="GI141" s="8" t="e">
        <f t="shared" si="244"/>
        <v>#N/A</v>
      </c>
      <c r="GJ141" s="8" t="e">
        <f t="shared" si="245"/>
        <v>#N/A</v>
      </c>
      <c r="GK141" s="151" t="e">
        <f t="shared" si="246"/>
        <v>#N/A</v>
      </c>
      <c r="GL141" s="151"/>
      <c r="GM141" s="151"/>
      <c r="GP141" s="54">
        <f t="shared" si="291"/>
        <v>131</v>
      </c>
      <c r="GQ141" s="54">
        <f t="shared" si="292"/>
        <v>132</v>
      </c>
      <c r="GR141" s="54">
        <f t="shared" si="293"/>
        <v>4.7910578390198744E-2</v>
      </c>
      <c r="GS141" s="54">
        <f t="shared" si="294"/>
        <v>0.39848467230564738</v>
      </c>
      <c r="GT141" s="54" t="e">
        <f t="shared" si="295"/>
        <v>#N/A</v>
      </c>
      <c r="GU141" s="54" t="e">
        <f t="shared" si="296"/>
        <v>#N/A</v>
      </c>
      <c r="GV141" s="54" t="e">
        <f t="shared" si="297"/>
        <v>#N/A</v>
      </c>
      <c r="GW141" s="54" t="b">
        <f t="shared" si="298"/>
        <v>0</v>
      </c>
      <c r="GX141" s="54" t="b">
        <f t="shared" si="299"/>
        <v>1</v>
      </c>
      <c r="GY141" s="54" t="b">
        <f t="shared" si="300"/>
        <v>0</v>
      </c>
      <c r="GZ141" s="54" t="b">
        <f t="shared" si="301"/>
        <v>1</v>
      </c>
      <c r="HA141" s="54">
        <f t="shared" si="302"/>
        <v>0.39848467230564738</v>
      </c>
      <c r="HB141" s="54" t="e">
        <f t="shared" si="303"/>
        <v>#N/A</v>
      </c>
      <c r="HC141" s="54">
        <f t="shared" si="304"/>
        <v>0.39848467230564738</v>
      </c>
      <c r="HD141" s="69" t="str">
        <f t="shared" si="305"/>
        <v/>
      </c>
      <c r="HJ141" s="54">
        <f t="shared" si="306"/>
        <v>131</v>
      </c>
      <c r="HK141" s="54">
        <f t="shared" si="307"/>
        <v>132</v>
      </c>
      <c r="HL141" s="54">
        <f t="shared" si="308"/>
        <v>7.4190536878114166E-2</v>
      </c>
      <c r="HM141" s="54" t="e">
        <f t="shared" si="309"/>
        <v>#N/A</v>
      </c>
      <c r="HN141" s="54">
        <f t="shared" si="310"/>
        <v>0.38378292251089163</v>
      </c>
      <c r="HO141" s="54" t="e">
        <f t="shared" si="311"/>
        <v>#N/A</v>
      </c>
      <c r="HP141" s="54" t="e">
        <f t="shared" si="312"/>
        <v>#N/A</v>
      </c>
      <c r="HQ141" s="54" t="b">
        <f t="shared" si="313"/>
        <v>1</v>
      </c>
      <c r="HR141" s="54" t="b">
        <f t="shared" si="314"/>
        <v>0</v>
      </c>
      <c r="HS141" s="54" t="b">
        <f t="shared" si="315"/>
        <v>0</v>
      </c>
      <c r="HT141" s="54" t="b">
        <f t="shared" si="316"/>
        <v>1</v>
      </c>
      <c r="HU141" s="54">
        <f t="shared" si="317"/>
        <v>0.38378292251089163</v>
      </c>
      <c r="HV141" s="54">
        <f t="shared" si="318"/>
        <v>0.38378292251089163</v>
      </c>
      <c r="HW141" s="54" t="e">
        <f t="shared" si="319"/>
        <v>#N/A</v>
      </c>
      <c r="HX141" s="69" t="str">
        <f t="shared" si="320"/>
        <v/>
      </c>
    </row>
    <row r="142" spans="78:232" x14ac:dyDescent="0.2">
      <c r="BZ142" s="54">
        <f t="shared" si="247"/>
        <v>132</v>
      </c>
      <c r="CA142" s="54">
        <f>Eu_tabel_g[[#This Row],[Indeks]]+1</f>
        <v>133</v>
      </c>
      <c r="CB142" s="54">
        <f t="shared" si="248"/>
        <v>7.1865867585298115E-2</v>
      </c>
      <c r="CC142" s="54">
        <f t="shared" si="249"/>
        <v>0.39791340025725958</v>
      </c>
      <c r="CD142" s="54" t="e">
        <f t="shared" si="250"/>
        <v>#N/A</v>
      </c>
      <c r="CE142" s="54" t="e">
        <f t="shared" si="251"/>
        <v>#N/A</v>
      </c>
      <c r="CF142" s="54" t="e">
        <f t="shared" si="252"/>
        <v>#N/A</v>
      </c>
      <c r="CG142" s="54" t="b">
        <f t="shared" si="253"/>
        <v>0</v>
      </c>
      <c r="CH142" s="54" t="b">
        <f t="shared" si="254"/>
        <v>1</v>
      </c>
      <c r="CI142" s="54" t="b">
        <f t="shared" si="255"/>
        <v>0</v>
      </c>
      <c r="CJ142" s="54" t="b">
        <f t="shared" si="256"/>
        <v>1</v>
      </c>
      <c r="CK142" s="54">
        <f t="shared" si="223"/>
        <v>0.39791340025725958</v>
      </c>
      <c r="CL142" s="54" t="e">
        <f t="shared" si="257"/>
        <v>#N/A</v>
      </c>
      <c r="CM142" s="54">
        <f t="shared" si="258"/>
        <v>0.39791340025725958</v>
      </c>
      <c r="CN142" s="69" t="str">
        <f t="shared" si="259"/>
        <v/>
      </c>
      <c r="CO142" s="54">
        <f>_xlfn.NORM.DIST(_xlfn.NORM.INV(1-Eu_g_konfidensniveau,0,1)-Eu_tabel_g[[#This Row],[x base]],0,1,TRUE)</f>
        <v>4.3015218235686256E-2</v>
      </c>
      <c r="CP142" s="54">
        <f>1-_xlfn.NORM.DIST(_xlfn.NORM.INV(Eu_g_konfidensniveau,0,1)-Eu_tabel_g[[#This Row],[x base]],0,1,TRUE)</f>
        <v>5.786082628451894E-2</v>
      </c>
      <c r="CQ142" s="54">
        <f>_xlfn.NORM.DIST(_xlfn.NORM.INV((1-Eu_g_konfidensniveau)/2,0,1)-Eu_tabel_g[[#This Row],[x base]],0,1,TRUE)+1-_xlfn.NORM.DIST(_xlfn.NORM.INV(1-(1-Eu_g_konfidensniveau)/2,0,1)-Eu_tabel_g[[#This Row],[x base]],0,1,TRUE)</f>
        <v>5.0591831796844566E-2</v>
      </c>
      <c r="CR142" s="54" t="e" cm="1">
        <f t="array" ref="CR142">IF($CR$3,INDEX(Eu_tabel_g[[#This Row],[Styrke venstre]:[Styrke tosidet]],CR$7),NA())</f>
        <v>#N/A</v>
      </c>
      <c r="CS142" s="89" t="e">
        <f>Eu_tabel_g[[#This Row],[Falsk positiv
Nulhypotese accepteres
Fejltype 1]]</f>
        <v>#N/A</v>
      </c>
      <c r="CT142" s="89" t="e">
        <f>IF(CHOOSE(CR$7,Eu_tabel_g[[#This Row],[x base]]&gt;0,Eu_tabel_g[[#This Row],[x base]]&lt;0,Eu_tabel_g[[#This Row],[x base]]=0),Eu_tabel_g[[#This Row],[Styrke, aktiv]],NA())</f>
        <v>#N/A</v>
      </c>
      <c r="CU142" s="89" t="e">
        <f>IFERROR(IF($CR$3,Eu_tabel_g[[#This Row],[Styrke, aktiv]],NA()),NA())</f>
        <v>#N/A</v>
      </c>
      <c r="CV142" s="89" t="e">
        <f>IF(ISNA(Eu_tabel_g[[#This Row],[Sand negativ
Nulhypotese afvises
Korrekt]]),NA(),IF($CR$3,1,NA()))</f>
        <v>#N/A</v>
      </c>
      <c r="CW142" s="56" t="str" cm="1">
        <f t="array" ref="CW142">_xlfn.SWITCH(BZ142,_xlfn.IFNA(CU$2,-99),CU$5,_xlfn.IFNA(CU$3,-99),CU$6,_xlfn.IFNA(CU$4,-99),CU$7,"")</f>
        <v/>
      </c>
      <c r="DA142" s="7">
        <f t="shared" si="260"/>
        <v>0.8</v>
      </c>
      <c r="DB142">
        <f>IF(ROW(Styrkeberegning_G[[#This Row],[X base venstre]])=ROW(Styrkeberegning_G[[#Headers],[X base venstre]])+1,DB$7/(DA$7/$B$67),DB141/(DA141/$B$67))</f>
        <v>-2.8015817870135784</v>
      </c>
      <c r="DC142">
        <f>Styrkeberegning_G[[#This Row],[X base venstre]]*-1</f>
        <v>2.8015817870135784</v>
      </c>
      <c r="DN142" s="54">
        <f t="shared" si="261"/>
        <v>132</v>
      </c>
      <c r="DO142" s="54">
        <f t="shared" si="262"/>
        <v>133</v>
      </c>
      <c r="DP142" s="54">
        <f t="shared" si="263"/>
        <v>16.891205711697822</v>
      </c>
      <c r="DQ142" s="54" t="e">
        <f t="shared" si="264"/>
        <v>#N/A</v>
      </c>
      <c r="DR142" s="54" t="e">
        <f t="shared" si="265"/>
        <v>#N/A</v>
      </c>
      <c r="DS142" s="54">
        <f t="shared" si="266"/>
        <v>3.0343974900861607E-2</v>
      </c>
      <c r="DT142" s="54" t="e">
        <f t="shared" si="267"/>
        <v>#N/A</v>
      </c>
      <c r="DU142" s="54" t="b">
        <f t="shared" si="268"/>
        <v>0</v>
      </c>
      <c r="DV142" s="54" t="b">
        <f t="shared" si="269"/>
        <v>1</v>
      </c>
      <c r="DW142" s="54" t="b">
        <f t="shared" si="270"/>
        <v>0</v>
      </c>
      <c r="DX142" s="54" t="b">
        <f t="shared" si="271"/>
        <v>1</v>
      </c>
      <c r="DY142" s="54">
        <f t="shared" si="272"/>
        <v>3.0343974900861607E-2</v>
      </c>
      <c r="DZ142" s="54" t="e">
        <f t="shared" si="273"/>
        <v>#N/A</v>
      </c>
      <c r="EA142" s="54">
        <f t="shared" si="274"/>
        <v>3.0343974900861607E-2</v>
      </c>
      <c r="EB142" s="69" t="str">
        <f t="shared" si="275"/>
        <v/>
      </c>
      <c r="EG142" s="54">
        <f t="shared" si="276"/>
        <v>132</v>
      </c>
      <c r="EH142" s="54">
        <f t="shared" si="277"/>
        <v>133</v>
      </c>
      <c r="EI142" s="54">
        <f t="shared" si="278"/>
        <v>7.1865867585298115E-2</v>
      </c>
      <c r="EJ142" s="54">
        <f t="shared" si="279"/>
        <v>0.39791340025725958</v>
      </c>
      <c r="EK142" s="54" t="e">
        <f t="shared" si="280"/>
        <v>#N/A</v>
      </c>
      <c r="EL142" s="54" t="e">
        <f t="shared" si="281"/>
        <v>#N/A</v>
      </c>
      <c r="EM142" s="54" t="e">
        <f t="shared" si="282"/>
        <v>#N/A</v>
      </c>
      <c r="EN142" s="54" t="b">
        <f t="shared" si="283"/>
        <v>0</v>
      </c>
      <c r="EO142" s="54" t="b">
        <f t="shared" si="284"/>
        <v>1</v>
      </c>
      <c r="EP142" s="54" t="b">
        <f t="shared" si="285"/>
        <v>0</v>
      </c>
      <c r="EQ142" s="54" t="b">
        <f t="shared" si="286"/>
        <v>1</v>
      </c>
      <c r="ER142" s="54">
        <f t="shared" si="287"/>
        <v>0.39791340025725958</v>
      </c>
      <c r="ES142" s="54" t="e">
        <f t="shared" si="288"/>
        <v>#N/A</v>
      </c>
      <c r="ET142" s="54">
        <f t="shared" si="289"/>
        <v>0.39791340025725958</v>
      </c>
      <c r="EU142" s="69" t="str">
        <f t="shared" si="290"/>
        <v/>
      </c>
      <c r="EV14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4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4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42" s="54" t="e" cm="1">
        <f t="array" ref="EY142">IF($CR$3,INDEX(Eu_tabel_a[[#This Row],[Styrke venstre]:[Styrke tosidet]],EY$7),NA())</f>
        <v>#N/A</v>
      </c>
      <c r="EZ142" s="54" t="e">
        <f>IF(EY$3,IF(CHOOSE(EY$7,Eu_tabel_a[[#This Row],[x base]]&gt;0,Eu_tabel_a[[#This Row],[x base]]&lt;0,Eu_tabel_a[[#This Row],[x base]]=0),1,NA()),NA())</f>
        <v>#N/A</v>
      </c>
      <c r="FA142" s="54" t="e">
        <f>IF(CHOOSE(EY$7,Eu_tabel_a[[#This Row],[x base]]&gt;0,Eu_tabel_a[[#This Row],[x base]]&lt;0,Eu_tabel_a[[#This Row],[x base]]=0),Eu_tabel_a[[#This Row],[Styrke, aktiv]],NA())</f>
        <v>#N/A</v>
      </c>
      <c r="FB142" s="54" t="e">
        <f>IFERROR(IF($EY$3,Eu_tabel_a[[#This Row],[Styrke, aktiv]],NA()),NA())</f>
        <v>#N/A</v>
      </c>
      <c r="FC142" s="54" t="e">
        <f>IF(ISNA(Eu_tabel_a[[#This Row],[Sand negativ
Nulhypotese afvises
Korrekt]]),NA(),IF(EY$3,1,NA()))</f>
        <v>#N/A</v>
      </c>
      <c r="FD142" s="55" t="str" cm="1">
        <f t="array" ref="FD142">IFERROR(_xlfn.SWITCH(Eu_tabel_a[[#This Row],[Indeks]],_xlfn.IFNA(FB$2,-99),FB$5,_xlfn.IFNA(FB$3,-99),FB$6,_xlfn.IFNA(FB$4,-99),FB$7,""),"")</f>
        <v/>
      </c>
      <c r="FE142" s="54">
        <f>Eu_tabel_a[[#This Row],[x base]]*SQRT(Eu_a_h0_x*(1-Eu_a_h0_x)/Eu_a_n_x)+Eu_a_h0_x</f>
        <v>0</v>
      </c>
      <c r="FJ142" s="144" t="e">
        <f t="shared" si="234"/>
        <v>#N/A</v>
      </c>
      <c r="FK142" s="152" t="e">
        <f t="shared" si="218"/>
        <v>#DIV/0!</v>
      </c>
      <c r="FL142" s="7" t="e">
        <f t="shared" si="228"/>
        <v>#DIV/0!</v>
      </c>
      <c r="FM142" t="e">
        <f t="shared" si="219"/>
        <v>#DIV/0!</v>
      </c>
      <c r="FN142" s="8" t="e">
        <f t="shared" si="220"/>
        <v>#DIV/0!</v>
      </c>
      <c r="FO142" s="8" t="e">
        <f t="shared" si="221"/>
        <v>#DIV/0!</v>
      </c>
      <c r="FP142" s="151" t="e">
        <f t="shared" si="222"/>
        <v>#DIV/0!</v>
      </c>
      <c r="FQ142" s="144" t="e">
        <f t="shared" ca="1" si="229"/>
        <v>#N/A</v>
      </c>
      <c r="FR142" s="152" t="e" vm="3">
        <f t="shared" ca="1" si="235"/>
        <v>#VALUE!</v>
      </c>
      <c r="FS142" s="7" t="e" vm="3">
        <f t="shared" ca="1" si="230"/>
        <v>#VALUE!</v>
      </c>
      <c r="FT142" t="e" vm="3">
        <f t="shared" ca="1" si="224"/>
        <v>#VALUE!</v>
      </c>
      <c r="FU142" s="8" t="e" vm="3">
        <f t="shared" ca="1" si="225"/>
        <v>#VALUE!</v>
      </c>
      <c r="FV142" s="8" t="e" vm="3">
        <f t="shared" ca="1" si="226"/>
        <v>#VALUE!</v>
      </c>
      <c r="FW142" s="151" t="e" vm="3">
        <f t="shared" ca="1" si="227"/>
        <v>#VALUE!</v>
      </c>
      <c r="FX142" s="144" t="e">
        <f t="shared" si="231"/>
        <v>#N/A</v>
      </c>
      <c r="FY142" s="152" t="e">
        <f t="shared" si="236"/>
        <v>#N/A</v>
      </c>
      <c r="FZ142" s="7" t="e">
        <f t="shared" si="232"/>
        <v>#N/A</v>
      </c>
      <c r="GA142" t="e">
        <f t="shared" si="237"/>
        <v>#N/A</v>
      </c>
      <c r="GB142" s="8" t="e">
        <f t="shared" si="238"/>
        <v>#N/A</v>
      </c>
      <c r="GC142" s="8" t="e">
        <f t="shared" si="239"/>
        <v>#N/A</v>
      </c>
      <c r="GD142" s="151" t="e">
        <f t="shared" si="240"/>
        <v>#N/A</v>
      </c>
      <c r="GE142" s="144" t="e">
        <f t="shared" si="241"/>
        <v>#N/A</v>
      </c>
      <c r="GF142" s="152" t="e">
        <f t="shared" si="242"/>
        <v>#N/A</v>
      </c>
      <c r="GG142" s="7" t="e">
        <f t="shared" si="233"/>
        <v>#N/A</v>
      </c>
      <c r="GH142" t="e">
        <f t="shared" si="243"/>
        <v>#N/A</v>
      </c>
      <c r="GI142" s="8" t="e">
        <f t="shared" si="244"/>
        <v>#N/A</v>
      </c>
      <c r="GJ142" s="8" t="e">
        <f t="shared" si="245"/>
        <v>#N/A</v>
      </c>
      <c r="GK142" s="151" t="e">
        <f t="shared" si="246"/>
        <v>#N/A</v>
      </c>
      <c r="GL142" s="151"/>
      <c r="GM142" s="151"/>
      <c r="GP142" s="54">
        <f t="shared" si="291"/>
        <v>132</v>
      </c>
      <c r="GQ142" s="54">
        <f t="shared" si="292"/>
        <v>133</v>
      </c>
      <c r="GR142" s="54">
        <f t="shared" si="293"/>
        <v>7.1865867585298115E-2</v>
      </c>
      <c r="GS142" s="54">
        <f t="shared" si="294"/>
        <v>0.39791340025725958</v>
      </c>
      <c r="GT142" s="54" t="e">
        <f t="shared" si="295"/>
        <v>#N/A</v>
      </c>
      <c r="GU142" s="54" t="e">
        <f t="shared" si="296"/>
        <v>#N/A</v>
      </c>
      <c r="GV142" s="54" t="e">
        <f t="shared" si="297"/>
        <v>#N/A</v>
      </c>
      <c r="GW142" s="54" t="b">
        <f t="shared" si="298"/>
        <v>0</v>
      </c>
      <c r="GX142" s="54" t="b">
        <f t="shared" si="299"/>
        <v>1</v>
      </c>
      <c r="GY142" s="54" t="b">
        <f t="shared" si="300"/>
        <v>0</v>
      </c>
      <c r="GZ142" s="54" t="b">
        <f t="shared" si="301"/>
        <v>1</v>
      </c>
      <c r="HA142" s="54">
        <f t="shared" si="302"/>
        <v>0.39791340025725958</v>
      </c>
      <c r="HB142" s="54" t="e">
        <f t="shared" si="303"/>
        <v>#N/A</v>
      </c>
      <c r="HC142" s="54">
        <f t="shared" si="304"/>
        <v>0.39791340025725958</v>
      </c>
      <c r="HD142" s="69" t="str">
        <f t="shared" si="305"/>
        <v/>
      </c>
      <c r="HJ142" s="54">
        <f t="shared" si="306"/>
        <v>132</v>
      </c>
      <c r="HK142" s="54">
        <f t="shared" si="307"/>
        <v>133</v>
      </c>
      <c r="HL142" s="54">
        <f t="shared" si="308"/>
        <v>0.11128580531717081</v>
      </c>
      <c r="HM142" s="54" t="e">
        <f t="shared" si="309"/>
        <v>#N/A</v>
      </c>
      <c r="HN142" s="54">
        <f t="shared" si="310"/>
        <v>0.38227892287272436</v>
      </c>
      <c r="HO142" s="54" t="e">
        <f t="shared" si="311"/>
        <v>#N/A</v>
      </c>
      <c r="HP142" s="54" t="e">
        <f t="shared" si="312"/>
        <v>#N/A</v>
      </c>
      <c r="HQ142" s="54" t="b">
        <f t="shared" si="313"/>
        <v>1</v>
      </c>
      <c r="HR142" s="54" t="b">
        <f t="shared" si="314"/>
        <v>0</v>
      </c>
      <c r="HS142" s="54" t="b">
        <f t="shared" si="315"/>
        <v>0</v>
      </c>
      <c r="HT142" s="54" t="b">
        <f t="shared" si="316"/>
        <v>1</v>
      </c>
      <c r="HU142" s="54">
        <f t="shared" si="317"/>
        <v>0.38227892287272436</v>
      </c>
      <c r="HV142" s="54">
        <f t="shared" si="318"/>
        <v>0.38227892287272436</v>
      </c>
      <c r="HW142" s="54" t="e">
        <f t="shared" si="319"/>
        <v>#N/A</v>
      </c>
      <c r="HX142" s="69" t="str">
        <f t="shared" si="320"/>
        <v/>
      </c>
    </row>
    <row r="143" spans="78:232" x14ac:dyDescent="0.2">
      <c r="BZ143" s="54">
        <f t="shared" si="247"/>
        <v>133</v>
      </c>
      <c r="CA143" s="54">
        <f>Eu_tabel_g[[#This Row],[Indeks]]+1</f>
        <v>134</v>
      </c>
      <c r="CB143" s="54">
        <f t="shared" si="248"/>
        <v>9.5821156780397043E-2</v>
      </c>
      <c r="CC143" s="54">
        <f t="shared" si="249"/>
        <v>0.39711499501613434</v>
      </c>
      <c r="CD143" s="54" t="e">
        <f t="shared" si="250"/>
        <v>#N/A</v>
      </c>
      <c r="CE143" s="54" t="e">
        <f t="shared" si="251"/>
        <v>#N/A</v>
      </c>
      <c r="CF143" s="54" t="e">
        <f t="shared" si="252"/>
        <v>#N/A</v>
      </c>
      <c r="CG143" s="54" t="b">
        <f t="shared" si="253"/>
        <v>0</v>
      </c>
      <c r="CH143" s="54" t="b">
        <f t="shared" si="254"/>
        <v>1</v>
      </c>
      <c r="CI143" s="54" t="b">
        <f t="shared" si="255"/>
        <v>0</v>
      </c>
      <c r="CJ143" s="54" t="b">
        <f t="shared" si="256"/>
        <v>1</v>
      </c>
      <c r="CK143" s="54">
        <f t="shared" si="223"/>
        <v>0.39711499501613434</v>
      </c>
      <c r="CL143" s="54" t="e">
        <f t="shared" si="257"/>
        <v>#N/A</v>
      </c>
      <c r="CM143" s="54">
        <f t="shared" si="258"/>
        <v>0.39711499501613434</v>
      </c>
      <c r="CN143" s="69" t="str">
        <f t="shared" si="259"/>
        <v/>
      </c>
      <c r="CO143" s="54">
        <f>_xlfn.NORM.DIST(_xlfn.NORM.INV(1-Eu_g_konfidensniveau,0,1)-Eu_tabel_g[[#This Row],[x base]],0,1,TRUE)</f>
        <v>4.0870300389037689E-2</v>
      </c>
      <c r="CP143" s="54">
        <f>1-_xlfn.NORM.DIST(_xlfn.NORM.INV(Eu_g_konfidensniveau,0,1)-Eu_tabel_g[[#This Row],[x base]],0,1,TRUE)</f>
        <v>6.0686957380505224E-2</v>
      </c>
      <c r="CQ143" s="54">
        <f>_xlfn.NORM.DIST(_xlfn.NORM.INV((1-Eu_g_konfidensniveau)/2,0,1)-Eu_tabel_g[[#This Row],[x base]],0,1,TRUE)+1-_xlfn.NORM.DIST(_xlfn.NORM.INV(1-(1-Eu_g_konfidensniveau)/2,0,1)-Eu_tabel_g[[#This Row],[x base]],0,1,TRUE)</f>
        <v>5.105244021923605E-2</v>
      </c>
      <c r="CR143" s="54" t="e" cm="1">
        <f t="array" ref="CR143">IF($CR$3,INDEX(Eu_tabel_g[[#This Row],[Styrke venstre]:[Styrke tosidet]],CR$7),NA())</f>
        <v>#N/A</v>
      </c>
      <c r="CS143" s="89" t="e">
        <f>Eu_tabel_g[[#This Row],[Falsk positiv
Nulhypotese accepteres
Fejltype 1]]</f>
        <v>#N/A</v>
      </c>
      <c r="CT143" s="89" t="e">
        <f>IF(CHOOSE(CR$7,Eu_tabel_g[[#This Row],[x base]]&gt;0,Eu_tabel_g[[#This Row],[x base]]&lt;0,Eu_tabel_g[[#This Row],[x base]]=0),Eu_tabel_g[[#This Row],[Styrke, aktiv]],NA())</f>
        <v>#N/A</v>
      </c>
      <c r="CU143" s="89" t="e">
        <f>IFERROR(IF($CR$3,Eu_tabel_g[[#This Row],[Styrke, aktiv]],NA()),NA())</f>
        <v>#N/A</v>
      </c>
      <c r="CV143" s="89" t="e">
        <f>IF(ISNA(Eu_tabel_g[[#This Row],[Sand negativ
Nulhypotese afvises
Korrekt]]),NA(),IF($CR$3,1,NA()))</f>
        <v>#N/A</v>
      </c>
      <c r="CW143" s="56" t="str" cm="1">
        <f t="array" ref="CW143">_xlfn.SWITCH(BZ143,_xlfn.IFNA(CU$2,-99),CU$5,_xlfn.IFNA(CU$3,-99),CU$6,_xlfn.IFNA(CU$4,-99),CU$7,"")</f>
        <v/>
      </c>
      <c r="DA143" s="7">
        <f t="shared" si="260"/>
        <v>0.8</v>
      </c>
      <c r="DB143">
        <f>IF(ROW(Styrkeberegning_G[[#This Row],[X base venstre]])=ROW(Styrkeberegning_G[[#Headers],[X base venstre]])+1,DB$7/(DA$7/$B$67),DB142/(DA142/$B$67))</f>
        <v>-2.8015817870135784</v>
      </c>
      <c r="DC143">
        <f>Styrkeberegning_G[[#This Row],[X base venstre]]*-1</f>
        <v>2.8015817870135784</v>
      </c>
      <c r="DN143" s="54">
        <f t="shared" si="261"/>
        <v>133</v>
      </c>
      <c r="DO143" s="54">
        <f t="shared" si="262"/>
        <v>134</v>
      </c>
      <c r="DP143" s="54">
        <f t="shared" si="263"/>
        <v>17.005276568114823</v>
      </c>
      <c r="DQ143" s="54" t="e">
        <f t="shared" si="264"/>
        <v>#N/A</v>
      </c>
      <c r="DR143" s="54" t="e">
        <f t="shared" si="265"/>
        <v>#N/A</v>
      </c>
      <c r="DS143" s="54">
        <f t="shared" si="266"/>
        <v>2.9543096760019427E-2</v>
      </c>
      <c r="DT143" s="54" t="e">
        <f t="shared" si="267"/>
        <v>#N/A</v>
      </c>
      <c r="DU143" s="54" t="b">
        <f t="shared" si="268"/>
        <v>0</v>
      </c>
      <c r="DV143" s="54" t="b">
        <f t="shared" si="269"/>
        <v>1</v>
      </c>
      <c r="DW143" s="54" t="b">
        <f t="shared" si="270"/>
        <v>0</v>
      </c>
      <c r="DX143" s="54" t="b">
        <f t="shared" si="271"/>
        <v>1</v>
      </c>
      <c r="DY143" s="54">
        <f t="shared" si="272"/>
        <v>2.9543096760019427E-2</v>
      </c>
      <c r="DZ143" s="54" t="e">
        <f t="shared" si="273"/>
        <v>#N/A</v>
      </c>
      <c r="EA143" s="54">
        <f t="shared" si="274"/>
        <v>2.9543096760019427E-2</v>
      </c>
      <c r="EB143" s="69" t="str">
        <f t="shared" si="275"/>
        <v/>
      </c>
      <c r="EG143" s="54">
        <f t="shared" si="276"/>
        <v>133</v>
      </c>
      <c r="EH143" s="54">
        <f t="shared" si="277"/>
        <v>134</v>
      </c>
      <c r="EI143" s="54">
        <f t="shared" si="278"/>
        <v>9.5821156780397043E-2</v>
      </c>
      <c r="EJ143" s="54">
        <f t="shared" si="279"/>
        <v>0.39711499501613434</v>
      </c>
      <c r="EK143" s="54" t="e">
        <f t="shared" si="280"/>
        <v>#N/A</v>
      </c>
      <c r="EL143" s="54" t="e">
        <f t="shared" si="281"/>
        <v>#N/A</v>
      </c>
      <c r="EM143" s="54" t="e">
        <f t="shared" si="282"/>
        <v>#N/A</v>
      </c>
      <c r="EN143" s="54" t="b">
        <f t="shared" si="283"/>
        <v>0</v>
      </c>
      <c r="EO143" s="54" t="b">
        <f t="shared" si="284"/>
        <v>1</v>
      </c>
      <c r="EP143" s="54" t="b">
        <f t="shared" si="285"/>
        <v>0</v>
      </c>
      <c r="EQ143" s="54" t="b">
        <f t="shared" si="286"/>
        <v>1</v>
      </c>
      <c r="ER143" s="54">
        <f t="shared" si="287"/>
        <v>0.39711499501613434</v>
      </c>
      <c r="ES143" s="54" t="e">
        <f t="shared" si="288"/>
        <v>#N/A</v>
      </c>
      <c r="ET143" s="54">
        <f t="shared" si="289"/>
        <v>0.39711499501613434</v>
      </c>
      <c r="EU143" s="69" t="str">
        <f t="shared" si="290"/>
        <v/>
      </c>
      <c r="EV14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4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4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43" s="54" t="e" cm="1">
        <f t="array" ref="EY143">IF($CR$3,INDEX(Eu_tabel_a[[#This Row],[Styrke venstre]:[Styrke tosidet]],EY$7),NA())</f>
        <v>#N/A</v>
      </c>
      <c r="EZ143" s="54" t="e">
        <f>IF(EY$3,IF(CHOOSE(EY$7,Eu_tabel_a[[#This Row],[x base]]&gt;0,Eu_tabel_a[[#This Row],[x base]]&lt;0,Eu_tabel_a[[#This Row],[x base]]=0),1,NA()),NA())</f>
        <v>#N/A</v>
      </c>
      <c r="FA143" s="54" t="e">
        <f>IF(CHOOSE(EY$7,Eu_tabel_a[[#This Row],[x base]]&gt;0,Eu_tabel_a[[#This Row],[x base]]&lt;0,Eu_tabel_a[[#This Row],[x base]]=0),Eu_tabel_a[[#This Row],[Styrke, aktiv]],NA())</f>
        <v>#N/A</v>
      </c>
      <c r="FB143" s="54" t="e">
        <f>IFERROR(IF($EY$3,Eu_tabel_a[[#This Row],[Styrke, aktiv]],NA()),NA())</f>
        <v>#N/A</v>
      </c>
      <c r="FC143" s="54" t="e">
        <f>IF(ISNA(Eu_tabel_a[[#This Row],[Sand negativ
Nulhypotese afvises
Korrekt]]),NA(),IF(EY$3,1,NA()))</f>
        <v>#N/A</v>
      </c>
      <c r="FD143" s="55" t="str" cm="1">
        <f t="array" ref="FD143">IFERROR(_xlfn.SWITCH(Eu_tabel_a[[#This Row],[Indeks]],_xlfn.IFNA(FB$2,-99),FB$5,_xlfn.IFNA(FB$3,-99),FB$6,_xlfn.IFNA(FB$4,-99),FB$7,""),"")</f>
        <v/>
      </c>
      <c r="FE143" s="54">
        <f>Eu_tabel_a[[#This Row],[x base]]*SQRT(Eu_a_h0_x*(1-Eu_a_h0_x)/Eu_a_n_x)+Eu_a_h0_x</f>
        <v>0</v>
      </c>
      <c r="FJ143" s="144" t="e">
        <f t="shared" si="234"/>
        <v>#N/A</v>
      </c>
      <c r="FK143" s="152" t="e">
        <f t="shared" si="218"/>
        <v>#DIV/0!</v>
      </c>
      <c r="FL143" s="7" t="e">
        <f t="shared" si="228"/>
        <v>#DIV/0!</v>
      </c>
      <c r="FM143" t="e">
        <f t="shared" si="219"/>
        <v>#DIV/0!</v>
      </c>
      <c r="FN143" s="8" t="e">
        <f t="shared" si="220"/>
        <v>#DIV/0!</v>
      </c>
      <c r="FO143" s="8" t="e">
        <f t="shared" si="221"/>
        <v>#DIV/0!</v>
      </c>
      <c r="FP143" s="151" t="e">
        <f t="shared" si="222"/>
        <v>#DIV/0!</v>
      </c>
      <c r="FQ143" s="144" t="e">
        <f t="shared" ca="1" si="229"/>
        <v>#N/A</v>
      </c>
      <c r="FR143" s="152" t="e" vm="3">
        <f t="shared" ca="1" si="235"/>
        <v>#VALUE!</v>
      </c>
      <c r="FS143" s="7" t="e" vm="3">
        <f t="shared" ca="1" si="230"/>
        <v>#VALUE!</v>
      </c>
      <c r="FT143" t="e" vm="3">
        <f t="shared" ca="1" si="224"/>
        <v>#VALUE!</v>
      </c>
      <c r="FU143" s="8" t="e" vm="3">
        <f t="shared" ca="1" si="225"/>
        <v>#VALUE!</v>
      </c>
      <c r="FV143" s="8" t="e" vm="3">
        <f t="shared" ca="1" si="226"/>
        <v>#VALUE!</v>
      </c>
      <c r="FW143" s="151" t="e" vm="3">
        <f t="shared" ca="1" si="227"/>
        <v>#VALUE!</v>
      </c>
      <c r="FX143" s="144" t="e">
        <f t="shared" si="231"/>
        <v>#N/A</v>
      </c>
      <c r="FY143" s="152" t="e">
        <f t="shared" si="236"/>
        <v>#N/A</v>
      </c>
      <c r="FZ143" s="7" t="e">
        <f t="shared" si="232"/>
        <v>#N/A</v>
      </c>
      <c r="GA143" t="e">
        <f t="shared" si="237"/>
        <v>#N/A</v>
      </c>
      <c r="GB143" s="8" t="e">
        <f t="shared" si="238"/>
        <v>#N/A</v>
      </c>
      <c r="GC143" s="8" t="e">
        <f t="shared" si="239"/>
        <v>#N/A</v>
      </c>
      <c r="GD143" s="151" t="e">
        <f t="shared" si="240"/>
        <v>#N/A</v>
      </c>
      <c r="GE143" s="144" t="e">
        <f t="shared" si="241"/>
        <v>#N/A</v>
      </c>
      <c r="GF143" s="152" t="e">
        <f t="shared" si="242"/>
        <v>#N/A</v>
      </c>
      <c r="GG143" s="7" t="e">
        <f t="shared" si="233"/>
        <v>#N/A</v>
      </c>
      <c r="GH143" t="e">
        <f t="shared" si="243"/>
        <v>#N/A</v>
      </c>
      <c r="GI143" s="8" t="e">
        <f t="shared" si="244"/>
        <v>#N/A</v>
      </c>
      <c r="GJ143" s="8" t="e">
        <f t="shared" si="245"/>
        <v>#N/A</v>
      </c>
      <c r="GK143" s="151" t="e">
        <f t="shared" si="246"/>
        <v>#N/A</v>
      </c>
      <c r="GL143" s="151"/>
      <c r="GM143" s="151"/>
      <c r="GP143" s="54">
        <f t="shared" si="291"/>
        <v>133</v>
      </c>
      <c r="GQ143" s="54">
        <f t="shared" si="292"/>
        <v>134</v>
      </c>
      <c r="GR143" s="54">
        <f t="shared" si="293"/>
        <v>9.5821156780397043E-2</v>
      </c>
      <c r="GS143" s="54">
        <f t="shared" si="294"/>
        <v>0.39711499501613434</v>
      </c>
      <c r="GT143" s="54" t="e">
        <f t="shared" si="295"/>
        <v>#N/A</v>
      </c>
      <c r="GU143" s="54" t="e">
        <f t="shared" si="296"/>
        <v>#N/A</v>
      </c>
      <c r="GV143" s="54" t="e">
        <f t="shared" si="297"/>
        <v>#N/A</v>
      </c>
      <c r="GW143" s="54" t="b">
        <f t="shared" si="298"/>
        <v>0</v>
      </c>
      <c r="GX143" s="54" t="b">
        <f t="shared" si="299"/>
        <v>1</v>
      </c>
      <c r="GY143" s="54" t="b">
        <f t="shared" si="300"/>
        <v>0</v>
      </c>
      <c r="GZ143" s="54" t="b">
        <f t="shared" si="301"/>
        <v>1</v>
      </c>
      <c r="HA143" s="54">
        <f t="shared" si="302"/>
        <v>0.39711499501613434</v>
      </c>
      <c r="HB143" s="54" t="e">
        <f t="shared" si="303"/>
        <v>#N/A</v>
      </c>
      <c r="HC143" s="54">
        <f t="shared" si="304"/>
        <v>0.39711499501613434</v>
      </c>
      <c r="HD143" s="69" t="str">
        <f t="shared" si="305"/>
        <v/>
      </c>
      <c r="HJ143" s="54">
        <f t="shared" si="306"/>
        <v>133</v>
      </c>
      <c r="HK143" s="54">
        <f t="shared" si="307"/>
        <v>134</v>
      </c>
      <c r="HL143" s="54">
        <f t="shared" si="308"/>
        <v>0.14838107375622744</v>
      </c>
      <c r="HM143" s="54" t="e">
        <f t="shared" si="309"/>
        <v>#N/A</v>
      </c>
      <c r="HN143" s="54">
        <f t="shared" si="310"/>
        <v>0.38018567897028177</v>
      </c>
      <c r="HO143" s="54" t="e">
        <f t="shared" si="311"/>
        <v>#N/A</v>
      </c>
      <c r="HP143" s="54" t="e">
        <f t="shared" si="312"/>
        <v>#N/A</v>
      </c>
      <c r="HQ143" s="54" t="b">
        <f t="shared" si="313"/>
        <v>1</v>
      </c>
      <c r="HR143" s="54" t="b">
        <f t="shared" si="314"/>
        <v>0</v>
      </c>
      <c r="HS143" s="54" t="b">
        <f t="shared" si="315"/>
        <v>0</v>
      </c>
      <c r="HT143" s="54" t="b">
        <f t="shared" si="316"/>
        <v>1</v>
      </c>
      <c r="HU143" s="54">
        <f t="shared" si="317"/>
        <v>0.38018567897028177</v>
      </c>
      <c r="HV143" s="54">
        <f t="shared" si="318"/>
        <v>0.38018567897028177</v>
      </c>
      <c r="HW143" s="54" t="e">
        <f t="shared" si="319"/>
        <v>#N/A</v>
      </c>
      <c r="HX143" s="69" t="str">
        <f t="shared" si="320"/>
        <v/>
      </c>
    </row>
    <row r="144" spans="78:232" x14ac:dyDescent="0.2">
      <c r="BZ144" s="54">
        <f t="shared" si="247"/>
        <v>134</v>
      </c>
      <c r="CA144" s="54">
        <f>Eu_tabel_g[[#This Row],[Indeks]]+1</f>
        <v>135</v>
      </c>
      <c r="CB144" s="54">
        <f t="shared" si="248"/>
        <v>0.11977644597549642</v>
      </c>
      <c r="CC144" s="54">
        <f t="shared" si="249"/>
        <v>0.39609082747762636</v>
      </c>
      <c r="CD144" s="54" t="e">
        <f t="shared" si="250"/>
        <v>#N/A</v>
      </c>
      <c r="CE144" s="54" t="e">
        <f t="shared" si="251"/>
        <v>#N/A</v>
      </c>
      <c r="CF144" s="54" t="e">
        <f t="shared" si="252"/>
        <v>#N/A</v>
      </c>
      <c r="CG144" s="54" t="b">
        <f t="shared" si="253"/>
        <v>0</v>
      </c>
      <c r="CH144" s="54" t="b">
        <f t="shared" si="254"/>
        <v>1</v>
      </c>
      <c r="CI144" s="54" t="b">
        <f t="shared" si="255"/>
        <v>0</v>
      </c>
      <c r="CJ144" s="54" t="b">
        <f t="shared" si="256"/>
        <v>1</v>
      </c>
      <c r="CK144" s="54">
        <f t="shared" si="223"/>
        <v>0.39609082747762636</v>
      </c>
      <c r="CL144" s="54" t="e">
        <f t="shared" si="257"/>
        <v>#N/A</v>
      </c>
      <c r="CM144" s="54">
        <f t="shared" si="258"/>
        <v>0.39609082747762636</v>
      </c>
      <c r="CN144" s="69" t="str">
        <f t="shared" si="259"/>
        <v/>
      </c>
      <c r="CO144" s="54">
        <f>_xlfn.NORM.DIST(_xlfn.NORM.INV(1-Eu_g_konfidensniveau,0,1)-Eu_tabel_g[[#This Row],[x base]],0,1,TRUE)</f>
        <v>3.8812978922329114E-2</v>
      </c>
      <c r="CP144" s="54">
        <f>1-_xlfn.NORM.DIST(_xlfn.NORM.INV(Eu_g_konfidensniveau,0,1)-Eu_tabel_g[[#This Row],[x base]],0,1,TRUE)</f>
        <v>6.3619924028872621E-2</v>
      </c>
      <c r="CQ144" s="54">
        <f>_xlfn.NORM.DIST(_xlfn.NORM.INV((1-Eu_g_konfidensniveau)/2,0,1)-Eu_tabel_g[[#This Row],[x base]],0,1,TRUE)+1-_xlfn.NORM.DIST(_xlfn.NORM.INV(1-(1-Eu_g_konfidensniveau)/2,0,1)-Eu_tabel_g[[#This Row],[x base]],0,1,TRUE)</f>
        <v>5.1645028210794308E-2</v>
      </c>
      <c r="CR144" s="54" t="e" cm="1">
        <f t="array" ref="CR144">IF($CR$3,INDEX(Eu_tabel_g[[#This Row],[Styrke venstre]:[Styrke tosidet]],CR$7),NA())</f>
        <v>#N/A</v>
      </c>
      <c r="CS144" s="89" t="e">
        <f>Eu_tabel_g[[#This Row],[Falsk positiv
Nulhypotese accepteres
Fejltype 1]]</f>
        <v>#N/A</v>
      </c>
      <c r="CT144" s="89" t="e">
        <f>IF(CHOOSE(CR$7,Eu_tabel_g[[#This Row],[x base]]&gt;0,Eu_tabel_g[[#This Row],[x base]]&lt;0,Eu_tabel_g[[#This Row],[x base]]=0),Eu_tabel_g[[#This Row],[Styrke, aktiv]],NA())</f>
        <v>#N/A</v>
      </c>
      <c r="CU144" s="89" t="e">
        <f>IFERROR(IF($CR$3,Eu_tabel_g[[#This Row],[Styrke, aktiv]],NA()),NA())</f>
        <v>#N/A</v>
      </c>
      <c r="CV144" s="89" t="e">
        <f>IF(ISNA(Eu_tabel_g[[#This Row],[Sand negativ
Nulhypotese afvises
Korrekt]]),NA(),IF($CR$3,1,NA()))</f>
        <v>#N/A</v>
      </c>
      <c r="CW144" s="56" t="str" cm="1">
        <f t="array" ref="CW144">_xlfn.SWITCH(BZ144,_xlfn.IFNA(CU$2,-99),CU$5,_xlfn.IFNA(CU$3,-99),CU$6,_xlfn.IFNA(CU$4,-99),CU$7,"")</f>
        <v/>
      </c>
      <c r="DA144" s="7">
        <f t="shared" si="260"/>
        <v>0.8</v>
      </c>
      <c r="DB144">
        <f>IF(ROW(Styrkeberegning_G[[#This Row],[X base venstre]])=ROW(Styrkeberegning_G[[#Headers],[X base venstre]])+1,DB$7/(DA$7/$B$67),DB143/(DA143/$B$67))</f>
        <v>-2.8015817870135784</v>
      </c>
      <c r="DC144">
        <f>Styrkeberegning_G[[#This Row],[X base venstre]]*-1</f>
        <v>2.8015817870135784</v>
      </c>
      <c r="DN144" s="54">
        <f t="shared" si="261"/>
        <v>134</v>
      </c>
      <c r="DO144" s="54">
        <f t="shared" si="262"/>
        <v>135</v>
      </c>
      <c r="DP144" s="54">
        <f t="shared" si="263"/>
        <v>17.119347424531824</v>
      </c>
      <c r="DQ144" s="54" t="e">
        <f t="shared" si="264"/>
        <v>#N/A</v>
      </c>
      <c r="DR144" s="54" t="e">
        <f t="shared" si="265"/>
        <v>#N/A</v>
      </c>
      <c r="DS144" s="54">
        <f t="shared" si="266"/>
        <v>2.8757532737699435E-2</v>
      </c>
      <c r="DT144" s="54" t="e">
        <f t="shared" si="267"/>
        <v>#N/A</v>
      </c>
      <c r="DU144" s="54" t="b">
        <f t="shared" si="268"/>
        <v>0</v>
      </c>
      <c r="DV144" s="54" t="b">
        <f t="shared" si="269"/>
        <v>1</v>
      </c>
      <c r="DW144" s="54" t="b">
        <f t="shared" si="270"/>
        <v>0</v>
      </c>
      <c r="DX144" s="54" t="b">
        <f t="shared" si="271"/>
        <v>1</v>
      </c>
      <c r="DY144" s="54">
        <f t="shared" si="272"/>
        <v>2.8757532737699435E-2</v>
      </c>
      <c r="DZ144" s="54" t="e">
        <f t="shared" si="273"/>
        <v>#N/A</v>
      </c>
      <c r="EA144" s="54">
        <f t="shared" si="274"/>
        <v>2.8757532737699435E-2</v>
      </c>
      <c r="EB144" s="69" t="str">
        <f t="shared" si="275"/>
        <v/>
      </c>
      <c r="EG144" s="54">
        <f t="shared" si="276"/>
        <v>134</v>
      </c>
      <c r="EH144" s="54">
        <f t="shared" si="277"/>
        <v>135</v>
      </c>
      <c r="EI144" s="54">
        <f t="shared" si="278"/>
        <v>0.11977644597549642</v>
      </c>
      <c r="EJ144" s="54">
        <f t="shared" si="279"/>
        <v>0.39609082747762636</v>
      </c>
      <c r="EK144" s="54" t="e">
        <f t="shared" si="280"/>
        <v>#N/A</v>
      </c>
      <c r="EL144" s="54" t="e">
        <f t="shared" si="281"/>
        <v>#N/A</v>
      </c>
      <c r="EM144" s="54" t="e">
        <f t="shared" si="282"/>
        <v>#N/A</v>
      </c>
      <c r="EN144" s="54" t="b">
        <f t="shared" si="283"/>
        <v>0</v>
      </c>
      <c r="EO144" s="54" t="b">
        <f t="shared" si="284"/>
        <v>1</v>
      </c>
      <c r="EP144" s="54" t="b">
        <f t="shared" si="285"/>
        <v>0</v>
      </c>
      <c r="EQ144" s="54" t="b">
        <f t="shared" si="286"/>
        <v>1</v>
      </c>
      <c r="ER144" s="54">
        <f t="shared" si="287"/>
        <v>0.39609082747762636</v>
      </c>
      <c r="ES144" s="54" t="e">
        <f t="shared" si="288"/>
        <v>#N/A</v>
      </c>
      <c r="ET144" s="54">
        <f t="shared" si="289"/>
        <v>0.39609082747762636</v>
      </c>
      <c r="EU144" s="69" t="str">
        <f t="shared" si="290"/>
        <v/>
      </c>
      <c r="EV14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4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4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44" s="54" t="e" cm="1">
        <f t="array" ref="EY144">IF($CR$3,INDEX(Eu_tabel_a[[#This Row],[Styrke venstre]:[Styrke tosidet]],EY$7),NA())</f>
        <v>#N/A</v>
      </c>
      <c r="EZ144" s="54" t="e">
        <f>IF(EY$3,IF(CHOOSE(EY$7,Eu_tabel_a[[#This Row],[x base]]&gt;0,Eu_tabel_a[[#This Row],[x base]]&lt;0,Eu_tabel_a[[#This Row],[x base]]=0),1,NA()),NA())</f>
        <v>#N/A</v>
      </c>
      <c r="FA144" s="54" t="e">
        <f>IF(CHOOSE(EY$7,Eu_tabel_a[[#This Row],[x base]]&gt;0,Eu_tabel_a[[#This Row],[x base]]&lt;0,Eu_tabel_a[[#This Row],[x base]]=0),Eu_tabel_a[[#This Row],[Styrke, aktiv]],NA())</f>
        <v>#N/A</v>
      </c>
      <c r="FB144" s="54" t="e">
        <f>IFERROR(IF($EY$3,Eu_tabel_a[[#This Row],[Styrke, aktiv]],NA()),NA())</f>
        <v>#N/A</v>
      </c>
      <c r="FC144" s="54" t="e">
        <f>IF(ISNA(Eu_tabel_a[[#This Row],[Sand negativ
Nulhypotese afvises
Korrekt]]),NA(),IF(EY$3,1,NA()))</f>
        <v>#N/A</v>
      </c>
      <c r="FD144" s="55" t="str" cm="1">
        <f t="array" ref="FD144">IFERROR(_xlfn.SWITCH(Eu_tabel_a[[#This Row],[Indeks]],_xlfn.IFNA(FB$2,-99),FB$5,_xlfn.IFNA(FB$3,-99),FB$6,_xlfn.IFNA(FB$4,-99),FB$7,""),"")</f>
        <v/>
      </c>
      <c r="FE144" s="54">
        <f>Eu_tabel_a[[#This Row],[x base]]*SQRT(Eu_a_h0_x*(1-Eu_a_h0_x)/Eu_a_n_x)+Eu_a_h0_x</f>
        <v>0</v>
      </c>
      <c r="FJ144" s="144" t="e">
        <f t="shared" si="234"/>
        <v>#N/A</v>
      </c>
      <c r="FK144" s="152" t="e">
        <f t="shared" si="218"/>
        <v>#DIV/0!</v>
      </c>
      <c r="FL144" s="7" t="e">
        <f t="shared" si="228"/>
        <v>#DIV/0!</v>
      </c>
      <c r="FM144" t="e">
        <f t="shared" si="219"/>
        <v>#DIV/0!</v>
      </c>
      <c r="FN144" s="8" t="e">
        <f t="shared" si="220"/>
        <v>#DIV/0!</v>
      </c>
      <c r="FO144" s="8" t="e">
        <f t="shared" si="221"/>
        <v>#DIV/0!</v>
      </c>
      <c r="FP144" s="151" t="e">
        <f t="shared" si="222"/>
        <v>#DIV/0!</v>
      </c>
      <c r="FQ144" s="144" t="e">
        <f t="shared" ca="1" si="229"/>
        <v>#N/A</v>
      </c>
      <c r="FR144" s="152" t="e" vm="3">
        <f t="shared" ca="1" si="235"/>
        <v>#VALUE!</v>
      </c>
      <c r="FS144" s="7" t="e" vm="3">
        <f t="shared" ca="1" si="230"/>
        <v>#VALUE!</v>
      </c>
      <c r="FT144" t="e" vm="3">
        <f t="shared" ca="1" si="224"/>
        <v>#VALUE!</v>
      </c>
      <c r="FU144" s="8" t="e" vm="3">
        <f t="shared" ca="1" si="225"/>
        <v>#VALUE!</v>
      </c>
      <c r="FV144" s="8" t="e" vm="3">
        <f t="shared" ca="1" si="226"/>
        <v>#VALUE!</v>
      </c>
      <c r="FW144" s="151" t="e" vm="3">
        <f t="shared" ca="1" si="227"/>
        <v>#VALUE!</v>
      </c>
      <c r="FX144" s="144" t="e">
        <f t="shared" si="231"/>
        <v>#N/A</v>
      </c>
      <c r="FY144" s="152" t="e">
        <f t="shared" si="236"/>
        <v>#N/A</v>
      </c>
      <c r="FZ144" s="7" t="e">
        <f t="shared" si="232"/>
        <v>#N/A</v>
      </c>
      <c r="GA144" t="e">
        <f t="shared" si="237"/>
        <v>#N/A</v>
      </c>
      <c r="GB144" s="8" t="e">
        <f t="shared" si="238"/>
        <v>#N/A</v>
      </c>
      <c r="GC144" s="8" t="e">
        <f t="shared" si="239"/>
        <v>#N/A</v>
      </c>
      <c r="GD144" s="151" t="e">
        <f t="shared" si="240"/>
        <v>#N/A</v>
      </c>
      <c r="GE144" s="144" t="e">
        <f t="shared" si="241"/>
        <v>#N/A</v>
      </c>
      <c r="GF144" s="152" t="e">
        <f t="shared" si="242"/>
        <v>#N/A</v>
      </c>
      <c r="GG144" s="7" t="e">
        <f t="shared" si="233"/>
        <v>#N/A</v>
      </c>
      <c r="GH144" t="e">
        <f t="shared" si="243"/>
        <v>#N/A</v>
      </c>
      <c r="GI144" s="8" t="e">
        <f t="shared" si="244"/>
        <v>#N/A</v>
      </c>
      <c r="GJ144" s="8" t="e">
        <f t="shared" si="245"/>
        <v>#N/A</v>
      </c>
      <c r="GK144" s="151" t="e">
        <f t="shared" si="246"/>
        <v>#N/A</v>
      </c>
      <c r="GL144" s="151"/>
      <c r="GM144" s="151"/>
      <c r="GP144" s="54">
        <f t="shared" si="291"/>
        <v>134</v>
      </c>
      <c r="GQ144" s="54">
        <f t="shared" si="292"/>
        <v>135</v>
      </c>
      <c r="GR144" s="54">
        <f t="shared" si="293"/>
        <v>0.11977644597549642</v>
      </c>
      <c r="GS144" s="54">
        <f t="shared" si="294"/>
        <v>0.39609082747762636</v>
      </c>
      <c r="GT144" s="54" t="e">
        <f t="shared" si="295"/>
        <v>#N/A</v>
      </c>
      <c r="GU144" s="54" t="e">
        <f t="shared" si="296"/>
        <v>#N/A</v>
      </c>
      <c r="GV144" s="54" t="e">
        <f t="shared" si="297"/>
        <v>#N/A</v>
      </c>
      <c r="GW144" s="54" t="b">
        <f t="shared" si="298"/>
        <v>0</v>
      </c>
      <c r="GX144" s="54" t="b">
        <f t="shared" si="299"/>
        <v>1</v>
      </c>
      <c r="GY144" s="54" t="b">
        <f t="shared" si="300"/>
        <v>0</v>
      </c>
      <c r="GZ144" s="54" t="b">
        <f t="shared" si="301"/>
        <v>1</v>
      </c>
      <c r="HA144" s="54">
        <f t="shared" si="302"/>
        <v>0.39609082747762636</v>
      </c>
      <c r="HB144" s="54" t="e">
        <f t="shared" si="303"/>
        <v>#N/A</v>
      </c>
      <c r="HC144" s="54">
        <f t="shared" si="304"/>
        <v>0.39609082747762636</v>
      </c>
      <c r="HD144" s="69" t="str">
        <f t="shared" si="305"/>
        <v/>
      </c>
      <c r="HJ144" s="54">
        <f t="shared" si="306"/>
        <v>134</v>
      </c>
      <c r="HK144" s="54">
        <f t="shared" si="307"/>
        <v>135</v>
      </c>
      <c r="HL144" s="54">
        <f t="shared" si="308"/>
        <v>0.18547634219528408</v>
      </c>
      <c r="HM144" s="54" t="e">
        <f t="shared" si="309"/>
        <v>#N/A</v>
      </c>
      <c r="HN144" s="54">
        <f t="shared" si="310"/>
        <v>0.37751537276303793</v>
      </c>
      <c r="HO144" s="54" t="e">
        <f t="shared" si="311"/>
        <v>#N/A</v>
      </c>
      <c r="HP144" s="54" t="e">
        <f t="shared" si="312"/>
        <v>#N/A</v>
      </c>
      <c r="HQ144" s="54" t="b">
        <f t="shared" si="313"/>
        <v>1</v>
      </c>
      <c r="HR144" s="54" t="b">
        <f t="shared" si="314"/>
        <v>0</v>
      </c>
      <c r="HS144" s="54" t="b">
        <f t="shared" si="315"/>
        <v>0</v>
      </c>
      <c r="HT144" s="54" t="b">
        <f t="shared" si="316"/>
        <v>1</v>
      </c>
      <c r="HU144" s="54">
        <f t="shared" si="317"/>
        <v>0.37751537276303793</v>
      </c>
      <c r="HV144" s="54">
        <f t="shared" si="318"/>
        <v>0.37751537276303793</v>
      </c>
      <c r="HW144" s="54" t="e">
        <f t="shared" si="319"/>
        <v>#N/A</v>
      </c>
      <c r="HX144" s="69" t="str">
        <f t="shared" si="320"/>
        <v/>
      </c>
    </row>
    <row r="145" spans="78:232" x14ac:dyDescent="0.2">
      <c r="BZ145" s="54">
        <f t="shared" si="247"/>
        <v>135</v>
      </c>
      <c r="CA145" s="54">
        <f>Eu_tabel_g[[#This Row],[Indeks]]+1</f>
        <v>136</v>
      </c>
      <c r="CB145" s="54">
        <f t="shared" si="248"/>
        <v>0.14373173517059579</v>
      </c>
      <c r="CC145" s="54">
        <f t="shared" si="249"/>
        <v>0.39484265348383518</v>
      </c>
      <c r="CD145" s="54" t="e">
        <f t="shared" si="250"/>
        <v>#N/A</v>
      </c>
      <c r="CE145" s="54" t="e">
        <f t="shared" si="251"/>
        <v>#N/A</v>
      </c>
      <c r="CF145" s="54" t="e">
        <f t="shared" si="252"/>
        <v>#N/A</v>
      </c>
      <c r="CG145" s="54" t="b">
        <f t="shared" si="253"/>
        <v>0</v>
      </c>
      <c r="CH145" s="54" t="b">
        <f t="shared" si="254"/>
        <v>1</v>
      </c>
      <c r="CI145" s="54" t="b">
        <f t="shared" si="255"/>
        <v>0</v>
      </c>
      <c r="CJ145" s="54" t="b">
        <f t="shared" si="256"/>
        <v>1</v>
      </c>
      <c r="CK145" s="54">
        <f t="shared" si="223"/>
        <v>0.39484265348383518</v>
      </c>
      <c r="CL145" s="54" t="e">
        <f t="shared" si="257"/>
        <v>#N/A</v>
      </c>
      <c r="CM145" s="54">
        <f t="shared" si="258"/>
        <v>0.39484265348383518</v>
      </c>
      <c r="CN145" s="69" t="str">
        <f t="shared" si="259"/>
        <v/>
      </c>
      <c r="CO145" s="54">
        <f>_xlfn.NORM.DIST(_xlfn.NORM.INV(1-Eu_g_konfidensniveau,0,1)-Eu_tabel_g[[#This Row],[x base]],0,1,TRUE)</f>
        <v>3.6840808495973203E-2</v>
      </c>
      <c r="CP145" s="54">
        <f>1-_xlfn.NORM.DIST(_xlfn.NORM.INV(Eu_g_konfidensniveau,0,1)-Eu_tabel_g[[#This Row],[x base]],0,1,TRUE)</f>
        <v>6.6662018766824094E-2</v>
      </c>
      <c r="CQ145" s="54">
        <f>_xlfn.NORM.DIST(_xlfn.NORM.INV((1-Eu_g_konfidensniveau)/2,0,1)-Eu_tabel_g[[#This Row],[x base]],0,1,TRUE)+1-_xlfn.NORM.DIST(_xlfn.NORM.INV(1-(1-Eu_g_konfidensniveau)/2,0,1)-Eu_tabel_g[[#This Row],[x base]],0,1,TRUE)</f>
        <v>5.2369875565396296E-2</v>
      </c>
      <c r="CR145" s="54" t="e" cm="1">
        <f t="array" ref="CR145">IF($CR$3,INDEX(Eu_tabel_g[[#This Row],[Styrke venstre]:[Styrke tosidet]],CR$7),NA())</f>
        <v>#N/A</v>
      </c>
      <c r="CS145" s="89" t="e">
        <f>Eu_tabel_g[[#This Row],[Falsk positiv
Nulhypotese accepteres
Fejltype 1]]</f>
        <v>#N/A</v>
      </c>
      <c r="CT145" s="89" t="e">
        <f>IF(CHOOSE(CR$7,Eu_tabel_g[[#This Row],[x base]]&gt;0,Eu_tabel_g[[#This Row],[x base]]&lt;0,Eu_tabel_g[[#This Row],[x base]]=0),Eu_tabel_g[[#This Row],[Styrke, aktiv]],NA())</f>
        <v>#N/A</v>
      </c>
      <c r="CU145" s="89" t="e">
        <f>IFERROR(IF($CR$3,Eu_tabel_g[[#This Row],[Styrke, aktiv]],NA()),NA())</f>
        <v>#N/A</v>
      </c>
      <c r="CV145" s="89" t="e">
        <f>IF(ISNA(Eu_tabel_g[[#This Row],[Sand negativ
Nulhypotese afvises
Korrekt]]),NA(),IF($CR$3,1,NA()))</f>
        <v>#N/A</v>
      </c>
      <c r="CW145" s="56" t="str" cm="1">
        <f t="array" ref="CW145">_xlfn.SWITCH(BZ145,_xlfn.IFNA(CU$2,-99),CU$5,_xlfn.IFNA(CU$3,-99),CU$6,_xlfn.IFNA(CU$4,-99),CU$7,"")</f>
        <v/>
      </c>
      <c r="DA145" s="7">
        <f t="shared" si="260"/>
        <v>0.8</v>
      </c>
      <c r="DB145">
        <f>IF(ROW(Styrkeberegning_G[[#This Row],[X base venstre]])=ROW(Styrkeberegning_G[[#Headers],[X base venstre]])+1,DB$7/(DA$7/$B$67),DB144/(DA144/$B$67))</f>
        <v>-2.8015817870135784</v>
      </c>
      <c r="DC145">
        <f>Styrkeberegning_G[[#This Row],[X base venstre]]*-1</f>
        <v>2.8015817870135784</v>
      </c>
      <c r="DN145" s="54">
        <f t="shared" si="261"/>
        <v>135</v>
      </c>
      <c r="DO145" s="54">
        <f t="shared" si="262"/>
        <v>136</v>
      </c>
      <c r="DP145" s="54">
        <f t="shared" si="263"/>
        <v>17.233418280948825</v>
      </c>
      <c r="DQ145" s="54" t="e">
        <f t="shared" si="264"/>
        <v>#N/A</v>
      </c>
      <c r="DR145" s="54" t="e">
        <f t="shared" si="265"/>
        <v>#N/A</v>
      </c>
      <c r="DS145" s="54">
        <f t="shared" si="266"/>
        <v>2.798726477492559E-2</v>
      </c>
      <c r="DT145" s="54" t="e">
        <f t="shared" si="267"/>
        <v>#N/A</v>
      </c>
      <c r="DU145" s="54" t="b">
        <f t="shared" si="268"/>
        <v>0</v>
      </c>
      <c r="DV145" s="54" t="b">
        <f t="shared" si="269"/>
        <v>1</v>
      </c>
      <c r="DW145" s="54" t="b">
        <f t="shared" si="270"/>
        <v>0</v>
      </c>
      <c r="DX145" s="54" t="b">
        <f t="shared" si="271"/>
        <v>1</v>
      </c>
      <c r="DY145" s="54">
        <f t="shared" si="272"/>
        <v>2.798726477492559E-2</v>
      </c>
      <c r="DZ145" s="54" t="e">
        <f t="shared" si="273"/>
        <v>#N/A</v>
      </c>
      <c r="EA145" s="54">
        <f t="shared" si="274"/>
        <v>2.798726477492559E-2</v>
      </c>
      <c r="EB145" s="69" t="str">
        <f t="shared" si="275"/>
        <v/>
      </c>
      <c r="EG145" s="54">
        <f t="shared" si="276"/>
        <v>135</v>
      </c>
      <c r="EH145" s="54">
        <f t="shared" si="277"/>
        <v>136</v>
      </c>
      <c r="EI145" s="54">
        <f t="shared" si="278"/>
        <v>0.14373173517059579</v>
      </c>
      <c r="EJ145" s="54">
        <f t="shared" si="279"/>
        <v>0.39484265348383518</v>
      </c>
      <c r="EK145" s="54" t="e">
        <f t="shared" si="280"/>
        <v>#N/A</v>
      </c>
      <c r="EL145" s="54" t="e">
        <f t="shared" si="281"/>
        <v>#N/A</v>
      </c>
      <c r="EM145" s="54" t="e">
        <f t="shared" si="282"/>
        <v>#N/A</v>
      </c>
      <c r="EN145" s="54" t="b">
        <f t="shared" si="283"/>
        <v>0</v>
      </c>
      <c r="EO145" s="54" t="b">
        <f t="shared" si="284"/>
        <v>1</v>
      </c>
      <c r="EP145" s="54" t="b">
        <f t="shared" si="285"/>
        <v>0</v>
      </c>
      <c r="EQ145" s="54" t="b">
        <f t="shared" si="286"/>
        <v>1</v>
      </c>
      <c r="ER145" s="54">
        <f t="shared" si="287"/>
        <v>0.39484265348383518</v>
      </c>
      <c r="ES145" s="54" t="e">
        <f t="shared" si="288"/>
        <v>#N/A</v>
      </c>
      <c r="ET145" s="54">
        <f t="shared" si="289"/>
        <v>0.39484265348383518</v>
      </c>
      <c r="EU145" s="69" t="str">
        <f t="shared" si="290"/>
        <v/>
      </c>
      <c r="EV14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4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4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45" s="54" t="e" cm="1">
        <f t="array" ref="EY145">IF($CR$3,INDEX(Eu_tabel_a[[#This Row],[Styrke venstre]:[Styrke tosidet]],EY$7),NA())</f>
        <v>#N/A</v>
      </c>
      <c r="EZ145" s="54" t="e">
        <f>IF(EY$3,IF(CHOOSE(EY$7,Eu_tabel_a[[#This Row],[x base]]&gt;0,Eu_tabel_a[[#This Row],[x base]]&lt;0,Eu_tabel_a[[#This Row],[x base]]=0),1,NA()),NA())</f>
        <v>#N/A</v>
      </c>
      <c r="FA145" s="54" t="e">
        <f>IF(CHOOSE(EY$7,Eu_tabel_a[[#This Row],[x base]]&gt;0,Eu_tabel_a[[#This Row],[x base]]&lt;0,Eu_tabel_a[[#This Row],[x base]]=0),Eu_tabel_a[[#This Row],[Styrke, aktiv]],NA())</f>
        <v>#N/A</v>
      </c>
      <c r="FB145" s="54" t="e">
        <f>IFERROR(IF($EY$3,Eu_tabel_a[[#This Row],[Styrke, aktiv]],NA()),NA())</f>
        <v>#N/A</v>
      </c>
      <c r="FC145" s="54" t="e">
        <f>IF(ISNA(Eu_tabel_a[[#This Row],[Sand negativ
Nulhypotese afvises
Korrekt]]),NA(),IF(EY$3,1,NA()))</f>
        <v>#N/A</v>
      </c>
      <c r="FD145" s="55" t="str" cm="1">
        <f t="array" ref="FD145">IFERROR(_xlfn.SWITCH(Eu_tabel_a[[#This Row],[Indeks]],_xlfn.IFNA(FB$2,-99),FB$5,_xlfn.IFNA(FB$3,-99),FB$6,_xlfn.IFNA(FB$4,-99),FB$7,""),"")</f>
        <v/>
      </c>
      <c r="FE145" s="54">
        <f>Eu_tabel_a[[#This Row],[x base]]*SQRT(Eu_a_h0_x*(1-Eu_a_h0_x)/Eu_a_n_x)+Eu_a_h0_x</f>
        <v>0</v>
      </c>
      <c r="FJ145" s="144" t="e">
        <f t="shared" si="234"/>
        <v>#N/A</v>
      </c>
      <c r="FK145" s="152" t="e">
        <f t="shared" si="218"/>
        <v>#DIV/0!</v>
      </c>
      <c r="FL145" s="7" t="e">
        <f t="shared" si="228"/>
        <v>#DIV/0!</v>
      </c>
      <c r="FM145" t="e">
        <f t="shared" si="219"/>
        <v>#DIV/0!</v>
      </c>
      <c r="FN145" s="8" t="e">
        <f t="shared" si="220"/>
        <v>#DIV/0!</v>
      </c>
      <c r="FO145" s="8" t="e">
        <f t="shared" si="221"/>
        <v>#DIV/0!</v>
      </c>
      <c r="FP145" s="151" t="e">
        <f t="shared" si="222"/>
        <v>#DIV/0!</v>
      </c>
      <c r="FQ145" s="144" t="e">
        <f t="shared" ca="1" si="229"/>
        <v>#N/A</v>
      </c>
      <c r="FR145" s="152" t="e" vm="3">
        <f t="shared" ca="1" si="235"/>
        <v>#VALUE!</v>
      </c>
      <c r="FS145" s="7" t="e" vm="3">
        <f t="shared" ca="1" si="230"/>
        <v>#VALUE!</v>
      </c>
      <c r="FT145" t="e" vm="3">
        <f t="shared" ca="1" si="224"/>
        <v>#VALUE!</v>
      </c>
      <c r="FU145" s="8" t="e" vm="3">
        <f t="shared" ca="1" si="225"/>
        <v>#VALUE!</v>
      </c>
      <c r="FV145" s="8" t="e" vm="3">
        <f t="shared" ca="1" si="226"/>
        <v>#VALUE!</v>
      </c>
      <c r="FW145" s="151" t="e" vm="3">
        <f t="shared" ca="1" si="227"/>
        <v>#VALUE!</v>
      </c>
      <c r="FX145" s="144" t="e">
        <f t="shared" si="231"/>
        <v>#N/A</v>
      </c>
      <c r="FY145" s="152" t="e">
        <f t="shared" si="236"/>
        <v>#N/A</v>
      </c>
      <c r="FZ145" s="7" t="e">
        <f t="shared" si="232"/>
        <v>#N/A</v>
      </c>
      <c r="GA145" t="e">
        <f t="shared" si="237"/>
        <v>#N/A</v>
      </c>
      <c r="GB145" s="8" t="e">
        <f t="shared" si="238"/>
        <v>#N/A</v>
      </c>
      <c r="GC145" s="8" t="e">
        <f t="shared" si="239"/>
        <v>#N/A</v>
      </c>
      <c r="GD145" s="151" t="e">
        <f t="shared" si="240"/>
        <v>#N/A</v>
      </c>
      <c r="GE145" s="144" t="e">
        <f t="shared" si="241"/>
        <v>#N/A</v>
      </c>
      <c r="GF145" s="152" t="e">
        <f t="shared" si="242"/>
        <v>#N/A</v>
      </c>
      <c r="GG145" s="7" t="e">
        <f t="shared" si="233"/>
        <v>#N/A</v>
      </c>
      <c r="GH145" t="e">
        <f t="shared" si="243"/>
        <v>#N/A</v>
      </c>
      <c r="GI145" s="8" t="e">
        <f t="shared" si="244"/>
        <v>#N/A</v>
      </c>
      <c r="GJ145" s="8" t="e">
        <f t="shared" si="245"/>
        <v>#N/A</v>
      </c>
      <c r="GK145" s="151" t="e">
        <f t="shared" si="246"/>
        <v>#N/A</v>
      </c>
      <c r="GL145" s="151"/>
      <c r="GM145" s="151"/>
      <c r="GP145" s="54">
        <f t="shared" si="291"/>
        <v>135</v>
      </c>
      <c r="GQ145" s="54">
        <f t="shared" si="292"/>
        <v>136</v>
      </c>
      <c r="GR145" s="54">
        <f t="shared" si="293"/>
        <v>0.14373173517059579</v>
      </c>
      <c r="GS145" s="54">
        <f t="shared" si="294"/>
        <v>0.39484265348383518</v>
      </c>
      <c r="GT145" s="54" t="e">
        <f t="shared" si="295"/>
        <v>#N/A</v>
      </c>
      <c r="GU145" s="54" t="e">
        <f t="shared" si="296"/>
        <v>#N/A</v>
      </c>
      <c r="GV145" s="54" t="e">
        <f t="shared" si="297"/>
        <v>#N/A</v>
      </c>
      <c r="GW145" s="54" t="b">
        <f t="shared" si="298"/>
        <v>0</v>
      </c>
      <c r="GX145" s="54" t="b">
        <f t="shared" si="299"/>
        <v>1</v>
      </c>
      <c r="GY145" s="54" t="b">
        <f t="shared" si="300"/>
        <v>0</v>
      </c>
      <c r="GZ145" s="54" t="b">
        <f t="shared" si="301"/>
        <v>1</v>
      </c>
      <c r="HA145" s="54">
        <f t="shared" si="302"/>
        <v>0.39484265348383518</v>
      </c>
      <c r="HB145" s="54" t="e">
        <f t="shared" si="303"/>
        <v>#N/A</v>
      </c>
      <c r="HC145" s="54">
        <f t="shared" si="304"/>
        <v>0.39484265348383518</v>
      </c>
      <c r="HD145" s="69" t="str">
        <f t="shared" si="305"/>
        <v/>
      </c>
      <c r="HJ145" s="54">
        <f t="shared" si="306"/>
        <v>135</v>
      </c>
      <c r="HK145" s="54">
        <f t="shared" si="307"/>
        <v>136</v>
      </c>
      <c r="HL145" s="54">
        <f t="shared" si="308"/>
        <v>0.22257161063434161</v>
      </c>
      <c r="HM145" s="54" t="e">
        <f t="shared" si="309"/>
        <v>#N/A</v>
      </c>
      <c r="HN145" s="54">
        <f t="shared" si="310"/>
        <v>0.3742834224436612</v>
      </c>
      <c r="HO145" s="54" t="e">
        <f t="shared" si="311"/>
        <v>#N/A</v>
      </c>
      <c r="HP145" s="54" t="e">
        <f t="shared" si="312"/>
        <v>#N/A</v>
      </c>
      <c r="HQ145" s="54" t="b">
        <f t="shared" si="313"/>
        <v>1</v>
      </c>
      <c r="HR145" s="54" t="b">
        <f t="shared" si="314"/>
        <v>0</v>
      </c>
      <c r="HS145" s="54" t="b">
        <f t="shared" si="315"/>
        <v>0</v>
      </c>
      <c r="HT145" s="54" t="b">
        <f t="shared" si="316"/>
        <v>1</v>
      </c>
      <c r="HU145" s="54">
        <f t="shared" si="317"/>
        <v>0.3742834224436612</v>
      </c>
      <c r="HV145" s="54">
        <f t="shared" si="318"/>
        <v>0.3742834224436612</v>
      </c>
      <c r="HW145" s="54" t="e">
        <f t="shared" si="319"/>
        <v>#N/A</v>
      </c>
      <c r="HX145" s="69" t="str">
        <f t="shared" si="320"/>
        <v/>
      </c>
    </row>
    <row r="146" spans="78:232" x14ac:dyDescent="0.2">
      <c r="BZ146" s="54">
        <f t="shared" si="247"/>
        <v>136</v>
      </c>
      <c r="CA146" s="54">
        <f>Eu_tabel_g[[#This Row],[Indeks]]+1</f>
        <v>137</v>
      </c>
      <c r="CB146" s="54">
        <f t="shared" si="248"/>
        <v>0.16768702436569516</v>
      </c>
      <c r="CC146" s="54">
        <f t="shared" si="249"/>
        <v>0.39337260880753866</v>
      </c>
      <c r="CD146" s="54" t="e">
        <f t="shared" si="250"/>
        <v>#N/A</v>
      </c>
      <c r="CE146" s="54" t="e">
        <f t="shared" si="251"/>
        <v>#N/A</v>
      </c>
      <c r="CF146" s="54" t="e">
        <f t="shared" si="252"/>
        <v>#N/A</v>
      </c>
      <c r="CG146" s="54" t="b">
        <f t="shared" si="253"/>
        <v>0</v>
      </c>
      <c r="CH146" s="54" t="b">
        <f t="shared" si="254"/>
        <v>1</v>
      </c>
      <c r="CI146" s="54" t="b">
        <f t="shared" si="255"/>
        <v>0</v>
      </c>
      <c r="CJ146" s="54" t="b">
        <f t="shared" si="256"/>
        <v>1</v>
      </c>
      <c r="CK146" s="54">
        <f t="shared" si="223"/>
        <v>0.39337260880753866</v>
      </c>
      <c r="CL146" s="54" t="e">
        <f t="shared" si="257"/>
        <v>#N/A</v>
      </c>
      <c r="CM146" s="54">
        <f t="shared" si="258"/>
        <v>0.39337260880753866</v>
      </c>
      <c r="CN146" s="69" t="str">
        <f t="shared" si="259"/>
        <v/>
      </c>
      <c r="CO146" s="54">
        <f>_xlfn.NORM.DIST(_xlfn.NORM.INV(1-Eu_g_konfidensniveau,0,1)-Eu_tabel_g[[#This Row],[x base]],0,1,TRUE)</f>
        <v>3.495134930685289E-2</v>
      </c>
      <c r="CP146" s="54">
        <f>1-_xlfn.NORM.DIST(_xlfn.NORM.INV(Eu_g_konfidensniveau,0,1)-Eu_tabel_g[[#This Row],[x base]],0,1,TRUE)</f>
        <v>6.9815491895966364E-2</v>
      </c>
      <c r="CQ146" s="54">
        <f>_xlfn.NORM.DIST(_xlfn.NORM.INV((1-Eu_g_konfidensniveau)/2,0,1)-Eu_tabel_g[[#This Row],[x base]],0,1,TRUE)+1-_xlfn.NORM.DIST(_xlfn.NORM.INV(1-(1-Eu_g_konfidensniveau)/2,0,1)-Eu_tabel_g[[#This Row],[x base]],0,1,TRUE)</f>
        <v>5.3227320844540071E-2</v>
      </c>
      <c r="CR146" s="54" t="e" cm="1">
        <f t="array" ref="CR146">IF($CR$3,INDEX(Eu_tabel_g[[#This Row],[Styrke venstre]:[Styrke tosidet]],CR$7),NA())</f>
        <v>#N/A</v>
      </c>
      <c r="CS146" s="89" t="e">
        <f>Eu_tabel_g[[#This Row],[Falsk positiv
Nulhypotese accepteres
Fejltype 1]]</f>
        <v>#N/A</v>
      </c>
      <c r="CT146" s="89" t="e">
        <f>IF(CHOOSE(CR$7,Eu_tabel_g[[#This Row],[x base]]&gt;0,Eu_tabel_g[[#This Row],[x base]]&lt;0,Eu_tabel_g[[#This Row],[x base]]=0),Eu_tabel_g[[#This Row],[Styrke, aktiv]],NA())</f>
        <v>#N/A</v>
      </c>
      <c r="CU146" s="89" t="e">
        <f>IFERROR(IF($CR$3,Eu_tabel_g[[#This Row],[Styrke, aktiv]],NA()),NA())</f>
        <v>#N/A</v>
      </c>
      <c r="CV146" s="89" t="e">
        <f>IF(ISNA(Eu_tabel_g[[#This Row],[Sand negativ
Nulhypotese afvises
Korrekt]]),NA(),IF($CR$3,1,NA()))</f>
        <v>#N/A</v>
      </c>
      <c r="CW146" s="56" t="str" cm="1">
        <f t="array" ref="CW146">_xlfn.SWITCH(BZ146,_xlfn.IFNA(CU$2,-99),CU$5,_xlfn.IFNA(CU$3,-99),CU$6,_xlfn.IFNA(CU$4,-99),CU$7,"")</f>
        <v/>
      </c>
      <c r="DA146" s="7">
        <f t="shared" si="260"/>
        <v>0.8</v>
      </c>
      <c r="DB146">
        <f>IF(ROW(Styrkeberegning_G[[#This Row],[X base venstre]])=ROW(Styrkeberegning_G[[#Headers],[X base venstre]])+1,DB$7/(DA$7/$B$67),DB145/(DA145/$B$67))</f>
        <v>-2.8015817870135784</v>
      </c>
      <c r="DC146">
        <f>Styrkeberegning_G[[#This Row],[X base venstre]]*-1</f>
        <v>2.8015817870135784</v>
      </c>
      <c r="DN146" s="54">
        <f t="shared" si="261"/>
        <v>136</v>
      </c>
      <c r="DO146" s="54">
        <f t="shared" si="262"/>
        <v>137</v>
      </c>
      <c r="DP146" s="54">
        <f t="shared" si="263"/>
        <v>17.347489137365827</v>
      </c>
      <c r="DQ146" s="54" t="e">
        <f t="shared" si="264"/>
        <v>#N/A</v>
      </c>
      <c r="DR146" s="54" t="e">
        <f t="shared" si="265"/>
        <v>#N/A</v>
      </c>
      <c r="DS146" s="54">
        <f t="shared" si="266"/>
        <v>2.7232258609019386E-2</v>
      </c>
      <c r="DT146" s="54" t="e">
        <f t="shared" si="267"/>
        <v>#N/A</v>
      </c>
      <c r="DU146" s="54" t="b">
        <f t="shared" si="268"/>
        <v>0</v>
      </c>
      <c r="DV146" s="54" t="b">
        <f t="shared" si="269"/>
        <v>1</v>
      </c>
      <c r="DW146" s="54" t="b">
        <f t="shared" si="270"/>
        <v>0</v>
      </c>
      <c r="DX146" s="54" t="b">
        <f t="shared" si="271"/>
        <v>1</v>
      </c>
      <c r="DY146" s="54">
        <f t="shared" si="272"/>
        <v>2.7232258609019386E-2</v>
      </c>
      <c r="DZ146" s="54" t="e">
        <f t="shared" si="273"/>
        <v>#N/A</v>
      </c>
      <c r="EA146" s="54">
        <f t="shared" si="274"/>
        <v>2.7232258609019386E-2</v>
      </c>
      <c r="EB146" s="69" t="str">
        <f t="shared" si="275"/>
        <v/>
      </c>
      <c r="EG146" s="54">
        <f t="shared" si="276"/>
        <v>136</v>
      </c>
      <c r="EH146" s="54">
        <f t="shared" si="277"/>
        <v>137</v>
      </c>
      <c r="EI146" s="54">
        <f t="shared" si="278"/>
        <v>0.16768702436569516</v>
      </c>
      <c r="EJ146" s="54">
        <f t="shared" si="279"/>
        <v>0.39337260880753866</v>
      </c>
      <c r="EK146" s="54" t="e">
        <f t="shared" si="280"/>
        <v>#N/A</v>
      </c>
      <c r="EL146" s="54" t="e">
        <f t="shared" si="281"/>
        <v>#N/A</v>
      </c>
      <c r="EM146" s="54" t="e">
        <f t="shared" si="282"/>
        <v>#N/A</v>
      </c>
      <c r="EN146" s="54" t="b">
        <f t="shared" si="283"/>
        <v>0</v>
      </c>
      <c r="EO146" s="54" t="b">
        <f t="shared" si="284"/>
        <v>1</v>
      </c>
      <c r="EP146" s="54" t="b">
        <f t="shared" si="285"/>
        <v>0</v>
      </c>
      <c r="EQ146" s="54" t="b">
        <f t="shared" si="286"/>
        <v>1</v>
      </c>
      <c r="ER146" s="54">
        <f t="shared" si="287"/>
        <v>0.39337260880753866</v>
      </c>
      <c r="ES146" s="54" t="e">
        <f t="shared" si="288"/>
        <v>#N/A</v>
      </c>
      <c r="ET146" s="54">
        <f t="shared" si="289"/>
        <v>0.39337260880753866</v>
      </c>
      <c r="EU146" s="69" t="str">
        <f t="shared" si="290"/>
        <v/>
      </c>
      <c r="EV14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4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4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46" s="54" t="e" cm="1">
        <f t="array" ref="EY146">IF($CR$3,INDEX(Eu_tabel_a[[#This Row],[Styrke venstre]:[Styrke tosidet]],EY$7),NA())</f>
        <v>#N/A</v>
      </c>
      <c r="EZ146" s="54" t="e">
        <f>IF(EY$3,IF(CHOOSE(EY$7,Eu_tabel_a[[#This Row],[x base]]&gt;0,Eu_tabel_a[[#This Row],[x base]]&lt;0,Eu_tabel_a[[#This Row],[x base]]=0),1,NA()),NA())</f>
        <v>#N/A</v>
      </c>
      <c r="FA146" s="54" t="e">
        <f>IF(CHOOSE(EY$7,Eu_tabel_a[[#This Row],[x base]]&gt;0,Eu_tabel_a[[#This Row],[x base]]&lt;0,Eu_tabel_a[[#This Row],[x base]]=0),Eu_tabel_a[[#This Row],[Styrke, aktiv]],NA())</f>
        <v>#N/A</v>
      </c>
      <c r="FB146" s="54" t="e">
        <f>IFERROR(IF($EY$3,Eu_tabel_a[[#This Row],[Styrke, aktiv]],NA()),NA())</f>
        <v>#N/A</v>
      </c>
      <c r="FC146" s="54" t="e">
        <f>IF(ISNA(Eu_tabel_a[[#This Row],[Sand negativ
Nulhypotese afvises
Korrekt]]),NA(),IF(EY$3,1,NA()))</f>
        <v>#N/A</v>
      </c>
      <c r="FD146" s="55" t="str" cm="1">
        <f t="array" ref="FD146">IFERROR(_xlfn.SWITCH(Eu_tabel_a[[#This Row],[Indeks]],_xlfn.IFNA(FB$2,-99),FB$5,_xlfn.IFNA(FB$3,-99),FB$6,_xlfn.IFNA(FB$4,-99),FB$7,""),"")</f>
        <v/>
      </c>
      <c r="FE146" s="54">
        <f>Eu_tabel_a[[#This Row],[x base]]*SQRT(Eu_a_h0_x*(1-Eu_a_h0_x)/Eu_a_n_x)+Eu_a_h0_x</f>
        <v>0</v>
      </c>
      <c r="FJ146" s="144" t="e">
        <f t="shared" si="234"/>
        <v>#N/A</v>
      </c>
      <c r="FK146" s="152" t="e">
        <f t="shared" si="218"/>
        <v>#DIV/0!</v>
      </c>
      <c r="FL146" s="7" t="e">
        <f t="shared" si="228"/>
        <v>#DIV/0!</v>
      </c>
      <c r="FM146" t="e">
        <f t="shared" si="219"/>
        <v>#DIV/0!</v>
      </c>
      <c r="FN146" s="8" t="e">
        <f t="shared" si="220"/>
        <v>#DIV/0!</v>
      </c>
      <c r="FO146" s="8" t="e">
        <f t="shared" si="221"/>
        <v>#DIV/0!</v>
      </c>
      <c r="FP146" s="151" t="e">
        <f t="shared" si="222"/>
        <v>#DIV/0!</v>
      </c>
      <c r="FQ146" s="144" t="e">
        <f t="shared" ca="1" si="229"/>
        <v>#N/A</v>
      </c>
      <c r="FR146" s="152" t="e" vm="3">
        <f t="shared" ca="1" si="235"/>
        <v>#VALUE!</v>
      </c>
      <c r="FS146" s="7" t="e" vm="3">
        <f t="shared" ca="1" si="230"/>
        <v>#VALUE!</v>
      </c>
      <c r="FT146" t="e" vm="3">
        <f t="shared" ca="1" si="224"/>
        <v>#VALUE!</v>
      </c>
      <c r="FU146" s="8" t="e" vm="3">
        <f t="shared" ca="1" si="225"/>
        <v>#VALUE!</v>
      </c>
      <c r="FV146" s="8" t="e" vm="3">
        <f t="shared" ca="1" si="226"/>
        <v>#VALUE!</v>
      </c>
      <c r="FW146" s="151" t="e" vm="3">
        <f t="shared" ca="1" si="227"/>
        <v>#VALUE!</v>
      </c>
      <c r="FX146" s="144" t="e">
        <f t="shared" si="231"/>
        <v>#N/A</v>
      </c>
      <c r="FY146" s="152" t="e">
        <f t="shared" si="236"/>
        <v>#N/A</v>
      </c>
      <c r="FZ146" s="7" t="e">
        <f t="shared" si="232"/>
        <v>#N/A</v>
      </c>
      <c r="GA146" t="e">
        <f t="shared" si="237"/>
        <v>#N/A</v>
      </c>
      <c r="GB146" s="8" t="e">
        <f t="shared" si="238"/>
        <v>#N/A</v>
      </c>
      <c r="GC146" s="8" t="e">
        <f t="shared" si="239"/>
        <v>#N/A</v>
      </c>
      <c r="GD146" s="151" t="e">
        <f t="shared" si="240"/>
        <v>#N/A</v>
      </c>
      <c r="GE146" s="144" t="e">
        <f t="shared" si="241"/>
        <v>#N/A</v>
      </c>
      <c r="GF146" s="152" t="e">
        <f t="shared" si="242"/>
        <v>#N/A</v>
      </c>
      <c r="GG146" s="7" t="e">
        <f t="shared" si="233"/>
        <v>#N/A</v>
      </c>
      <c r="GH146" t="e">
        <f t="shared" si="243"/>
        <v>#N/A</v>
      </c>
      <c r="GI146" s="8" t="e">
        <f t="shared" si="244"/>
        <v>#N/A</v>
      </c>
      <c r="GJ146" s="8" t="e">
        <f t="shared" si="245"/>
        <v>#N/A</v>
      </c>
      <c r="GK146" s="151" t="e">
        <f t="shared" si="246"/>
        <v>#N/A</v>
      </c>
      <c r="GL146" s="151"/>
      <c r="GM146" s="151"/>
      <c r="GP146" s="54">
        <f t="shared" si="291"/>
        <v>136</v>
      </c>
      <c r="GQ146" s="54">
        <f t="shared" si="292"/>
        <v>137</v>
      </c>
      <c r="GR146" s="54">
        <f t="shared" si="293"/>
        <v>0.16768702436569516</v>
      </c>
      <c r="GS146" s="54">
        <f t="shared" si="294"/>
        <v>0.39337260880753866</v>
      </c>
      <c r="GT146" s="54" t="e">
        <f t="shared" si="295"/>
        <v>#N/A</v>
      </c>
      <c r="GU146" s="54" t="e">
        <f t="shared" si="296"/>
        <v>#N/A</v>
      </c>
      <c r="GV146" s="54" t="e">
        <f t="shared" si="297"/>
        <v>#N/A</v>
      </c>
      <c r="GW146" s="54" t="b">
        <f t="shared" si="298"/>
        <v>0</v>
      </c>
      <c r="GX146" s="54" t="b">
        <f t="shared" si="299"/>
        <v>1</v>
      </c>
      <c r="GY146" s="54" t="b">
        <f t="shared" si="300"/>
        <v>0</v>
      </c>
      <c r="GZ146" s="54" t="b">
        <f t="shared" si="301"/>
        <v>1</v>
      </c>
      <c r="HA146" s="54">
        <f t="shared" si="302"/>
        <v>0.39337260880753866</v>
      </c>
      <c r="HB146" s="54" t="e">
        <f t="shared" si="303"/>
        <v>#N/A</v>
      </c>
      <c r="HC146" s="54">
        <f t="shared" si="304"/>
        <v>0.39337260880753866</v>
      </c>
      <c r="HD146" s="69" t="str">
        <f t="shared" si="305"/>
        <v/>
      </c>
      <c r="HJ146" s="54">
        <f t="shared" si="306"/>
        <v>136</v>
      </c>
      <c r="HK146" s="54">
        <f t="shared" si="307"/>
        <v>137</v>
      </c>
      <c r="HL146" s="54">
        <f t="shared" si="308"/>
        <v>0.25966687907339825</v>
      </c>
      <c r="HM146" s="54" t="e">
        <f t="shared" si="309"/>
        <v>#N/A</v>
      </c>
      <c r="HN146" s="54">
        <f t="shared" si="310"/>
        <v>0.37050830558756798</v>
      </c>
      <c r="HO146" s="54" t="e">
        <f t="shared" si="311"/>
        <v>#N/A</v>
      </c>
      <c r="HP146" s="54" t="e">
        <f t="shared" si="312"/>
        <v>#N/A</v>
      </c>
      <c r="HQ146" s="54" t="b">
        <f t="shared" si="313"/>
        <v>1</v>
      </c>
      <c r="HR146" s="54" t="b">
        <f t="shared" si="314"/>
        <v>0</v>
      </c>
      <c r="HS146" s="54" t="b">
        <f t="shared" si="315"/>
        <v>0</v>
      </c>
      <c r="HT146" s="54" t="b">
        <f t="shared" si="316"/>
        <v>1</v>
      </c>
      <c r="HU146" s="54">
        <f t="shared" si="317"/>
        <v>0.37050830558756798</v>
      </c>
      <c r="HV146" s="54">
        <f t="shared" si="318"/>
        <v>0.37050830558756798</v>
      </c>
      <c r="HW146" s="54" t="e">
        <f t="shared" si="319"/>
        <v>#N/A</v>
      </c>
      <c r="HX146" s="69" t="str">
        <f t="shared" si="320"/>
        <v/>
      </c>
    </row>
    <row r="147" spans="78:232" x14ac:dyDescent="0.2">
      <c r="BZ147" s="54">
        <f t="shared" si="247"/>
        <v>137</v>
      </c>
      <c r="CA147" s="54">
        <f>Eu_tabel_g[[#This Row],[Indeks]]+1</f>
        <v>138</v>
      </c>
      <c r="CB147" s="54">
        <f t="shared" si="248"/>
        <v>0.19164231356079453</v>
      </c>
      <c r="CC147" s="54">
        <f t="shared" si="249"/>
        <v>0.39168320306250204</v>
      </c>
      <c r="CD147" s="54" t="e">
        <f t="shared" si="250"/>
        <v>#N/A</v>
      </c>
      <c r="CE147" s="54" t="e">
        <f t="shared" si="251"/>
        <v>#N/A</v>
      </c>
      <c r="CF147" s="54" t="e">
        <f t="shared" si="252"/>
        <v>#N/A</v>
      </c>
      <c r="CG147" s="54" t="b">
        <f t="shared" si="253"/>
        <v>0</v>
      </c>
      <c r="CH147" s="54" t="b">
        <f t="shared" si="254"/>
        <v>1</v>
      </c>
      <c r="CI147" s="54" t="b">
        <f t="shared" si="255"/>
        <v>0</v>
      </c>
      <c r="CJ147" s="54" t="b">
        <f t="shared" si="256"/>
        <v>1</v>
      </c>
      <c r="CK147" s="54">
        <f t="shared" si="223"/>
        <v>0.39168320306250204</v>
      </c>
      <c r="CL147" s="54" t="e">
        <f t="shared" si="257"/>
        <v>#N/A</v>
      </c>
      <c r="CM147" s="54">
        <f t="shared" si="258"/>
        <v>0.39168320306250204</v>
      </c>
      <c r="CN147" s="69" t="str">
        <f t="shared" si="259"/>
        <v/>
      </c>
      <c r="CO147" s="54">
        <f>_xlfn.NORM.DIST(_xlfn.NORM.INV(1-Eu_g_konfidensniveau,0,1)-Eu_tabel_g[[#This Row],[x base]],0,1,TRUE)</f>
        <v>3.3142170968285214E-2</v>
      </c>
      <c r="CP147" s="54">
        <f>1-_xlfn.NORM.DIST(_xlfn.NORM.INV(Eu_g_konfidensniveau,0,1)-Eu_tabel_g[[#This Row],[x base]],0,1,TRUE)</f>
        <v>7.308254598003705E-2</v>
      </c>
      <c r="CQ147" s="54">
        <f>_xlfn.NORM.DIST(_xlfn.NORM.INV((1-Eu_g_konfidensniveau)/2,0,1)-Eu_tabel_g[[#This Row],[x base]],0,1,TRUE)+1-_xlfn.NORM.DIST(_xlfn.NORM.INV(1-(1-Eu_g_konfidensniveau)/2,0,1)-Eu_tabel_g[[#This Row],[x base]],0,1,TRUE)</f>
        <v>5.4217759348040295E-2</v>
      </c>
      <c r="CR147" s="54" t="e" cm="1">
        <f t="array" ref="CR147">IF($CR$3,INDEX(Eu_tabel_g[[#This Row],[Styrke venstre]:[Styrke tosidet]],CR$7),NA())</f>
        <v>#N/A</v>
      </c>
      <c r="CS147" s="89" t="e">
        <f>Eu_tabel_g[[#This Row],[Falsk positiv
Nulhypotese accepteres
Fejltype 1]]</f>
        <v>#N/A</v>
      </c>
      <c r="CT147" s="89" t="e">
        <f>IF(CHOOSE(CR$7,Eu_tabel_g[[#This Row],[x base]]&gt;0,Eu_tabel_g[[#This Row],[x base]]&lt;0,Eu_tabel_g[[#This Row],[x base]]=0),Eu_tabel_g[[#This Row],[Styrke, aktiv]],NA())</f>
        <v>#N/A</v>
      </c>
      <c r="CU147" s="89" t="e">
        <f>IFERROR(IF($CR$3,Eu_tabel_g[[#This Row],[Styrke, aktiv]],NA()),NA())</f>
        <v>#N/A</v>
      </c>
      <c r="CV147" s="89" t="e">
        <f>IF(ISNA(Eu_tabel_g[[#This Row],[Sand negativ
Nulhypotese afvises
Korrekt]]),NA(),IF($CR$3,1,NA()))</f>
        <v>#N/A</v>
      </c>
      <c r="CW147" s="56" t="str" cm="1">
        <f t="array" ref="CW147">_xlfn.SWITCH(BZ147,_xlfn.IFNA(CU$2,-99),CU$5,_xlfn.IFNA(CU$3,-99),CU$6,_xlfn.IFNA(CU$4,-99),CU$7,"")</f>
        <v/>
      </c>
      <c r="DA147" s="7">
        <f t="shared" si="260"/>
        <v>0.8</v>
      </c>
      <c r="DB147">
        <f>IF(ROW(Styrkeberegning_G[[#This Row],[X base venstre]])=ROW(Styrkeberegning_G[[#Headers],[X base venstre]])+1,DB$7/(DA$7/$B$67),DB146/(DA146/$B$67))</f>
        <v>-2.8015817870135784</v>
      </c>
      <c r="DC147">
        <f>Styrkeberegning_G[[#This Row],[X base venstre]]*-1</f>
        <v>2.8015817870135784</v>
      </c>
      <c r="DN147" s="54">
        <f t="shared" si="261"/>
        <v>137</v>
      </c>
      <c r="DO147" s="54">
        <f t="shared" si="262"/>
        <v>138</v>
      </c>
      <c r="DP147" s="54">
        <f t="shared" si="263"/>
        <v>17.461559993782828</v>
      </c>
      <c r="DQ147" s="54" t="e">
        <f t="shared" si="264"/>
        <v>#N/A</v>
      </c>
      <c r="DR147" s="54" t="e">
        <f t="shared" si="265"/>
        <v>#N/A</v>
      </c>
      <c r="DS147" s="54">
        <f t="shared" si="266"/>
        <v>2.6492464671480021E-2</v>
      </c>
      <c r="DT147" s="54" t="e">
        <f t="shared" si="267"/>
        <v>#N/A</v>
      </c>
      <c r="DU147" s="54" t="b">
        <f t="shared" si="268"/>
        <v>0</v>
      </c>
      <c r="DV147" s="54" t="b">
        <f t="shared" si="269"/>
        <v>1</v>
      </c>
      <c r="DW147" s="54" t="b">
        <f t="shared" si="270"/>
        <v>0</v>
      </c>
      <c r="DX147" s="54" t="b">
        <f t="shared" si="271"/>
        <v>1</v>
      </c>
      <c r="DY147" s="54">
        <f t="shared" si="272"/>
        <v>2.6492464671480021E-2</v>
      </c>
      <c r="DZ147" s="54" t="e">
        <f t="shared" si="273"/>
        <v>#N/A</v>
      </c>
      <c r="EA147" s="54">
        <f t="shared" si="274"/>
        <v>2.6492464671480021E-2</v>
      </c>
      <c r="EB147" s="69" t="str">
        <f t="shared" si="275"/>
        <v/>
      </c>
      <c r="EG147" s="54">
        <f t="shared" si="276"/>
        <v>137</v>
      </c>
      <c r="EH147" s="54">
        <f t="shared" si="277"/>
        <v>138</v>
      </c>
      <c r="EI147" s="54">
        <f t="shared" si="278"/>
        <v>0.19164231356079453</v>
      </c>
      <c r="EJ147" s="54">
        <f t="shared" si="279"/>
        <v>0.39168320306250204</v>
      </c>
      <c r="EK147" s="54" t="e">
        <f t="shared" si="280"/>
        <v>#N/A</v>
      </c>
      <c r="EL147" s="54" t="e">
        <f t="shared" si="281"/>
        <v>#N/A</v>
      </c>
      <c r="EM147" s="54" t="e">
        <f t="shared" si="282"/>
        <v>#N/A</v>
      </c>
      <c r="EN147" s="54" t="b">
        <f t="shared" si="283"/>
        <v>0</v>
      </c>
      <c r="EO147" s="54" t="b">
        <f t="shared" si="284"/>
        <v>1</v>
      </c>
      <c r="EP147" s="54" t="b">
        <f t="shared" si="285"/>
        <v>0</v>
      </c>
      <c r="EQ147" s="54" t="b">
        <f t="shared" si="286"/>
        <v>1</v>
      </c>
      <c r="ER147" s="54">
        <f t="shared" si="287"/>
        <v>0.39168320306250204</v>
      </c>
      <c r="ES147" s="54" t="e">
        <f t="shared" si="288"/>
        <v>#N/A</v>
      </c>
      <c r="ET147" s="54">
        <f t="shared" si="289"/>
        <v>0.39168320306250204</v>
      </c>
      <c r="EU147" s="69" t="str">
        <f t="shared" si="290"/>
        <v/>
      </c>
      <c r="EV14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4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4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47" s="54" t="e" cm="1">
        <f t="array" ref="EY147">IF($CR$3,INDEX(Eu_tabel_a[[#This Row],[Styrke venstre]:[Styrke tosidet]],EY$7),NA())</f>
        <v>#N/A</v>
      </c>
      <c r="EZ147" s="54" t="e">
        <f>IF(EY$3,IF(CHOOSE(EY$7,Eu_tabel_a[[#This Row],[x base]]&gt;0,Eu_tabel_a[[#This Row],[x base]]&lt;0,Eu_tabel_a[[#This Row],[x base]]=0),1,NA()),NA())</f>
        <v>#N/A</v>
      </c>
      <c r="FA147" s="54" t="e">
        <f>IF(CHOOSE(EY$7,Eu_tabel_a[[#This Row],[x base]]&gt;0,Eu_tabel_a[[#This Row],[x base]]&lt;0,Eu_tabel_a[[#This Row],[x base]]=0),Eu_tabel_a[[#This Row],[Styrke, aktiv]],NA())</f>
        <v>#N/A</v>
      </c>
      <c r="FB147" s="54" t="e">
        <f>IFERROR(IF($EY$3,Eu_tabel_a[[#This Row],[Styrke, aktiv]],NA()),NA())</f>
        <v>#N/A</v>
      </c>
      <c r="FC147" s="54" t="e">
        <f>IF(ISNA(Eu_tabel_a[[#This Row],[Sand negativ
Nulhypotese afvises
Korrekt]]),NA(),IF(EY$3,1,NA()))</f>
        <v>#N/A</v>
      </c>
      <c r="FD147" s="55" t="str" cm="1">
        <f t="array" ref="FD147">IFERROR(_xlfn.SWITCH(Eu_tabel_a[[#This Row],[Indeks]],_xlfn.IFNA(FB$2,-99),FB$5,_xlfn.IFNA(FB$3,-99),FB$6,_xlfn.IFNA(FB$4,-99),FB$7,""),"")</f>
        <v/>
      </c>
      <c r="FE147" s="54">
        <f>Eu_tabel_a[[#This Row],[x base]]*SQRT(Eu_a_h0_x*(1-Eu_a_h0_x)/Eu_a_n_x)+Eu_a_h0_x</f>
        <v>0</v>
      </c>
      <c r="FJ147" s="144" t="e">
        <f t="shared" si="234"/>
        <v>#N/A</v>
      </c>
      <c r="FK147" s="152" t="e">
        <f t="shared" si="218"/>
        <v>#DIV/0!</v>
      </c>
      <c r="FL147" s="7" t="e">
        <f t="shared" si="228"/>
        <v>#DIV/0!</v>
      </c>
      <c r="FM147" t="e">
        <f t="shared" si="219"/>
        <v>#DIV/0!</v>
      </c>
      <c r="FN147" s="8" t="e">
        <f t="shared" si="220"/>
        <v>#DIV/0!</v>
      </c>
      <c r="FO147" s="8" t="e">
        <f t="shared" si="221"/>
        <v>#DIV/0!</v>
      </c>
      <c r="FP147" s="151" t="e">
        <f t="shared" si="222"/>
        <v>#DIV/0!</v>
      </c>
      <c r="FQ147" s="144" t="e">
        <f t="shared" ca="1" si="229"/>
        <v>#N/A</v>
      </c>
      <c r="FR147" s="152" t="e" vm="3">
        <f t="shared" ca="1" si="235"/>
        <v>#VALUE!</v>
      </c>
      <c r="FS147" s="7" t="e" vm="3">
        <f t="shared" ca="1" si="230"/>
        <v>#VALUE!</v>
      </c>
      <c r="FT147" t="e" vm="3">
        <f t="shared" ca="1" si="224"/>
        <v>#VALUE!</v>
      </c>
      <c r="FU147" s="8" t="e" vm="3">
        <f t="shared" ca="1" si="225"/>
        <v>#VALUE!</v>
      </c>
      <c r="FV147" s="8" t="e" vm="3">
        <f t="shared" ca="1" si="226"/>
        <v>#VALUE!</v>
      </c>
      <c r="FW147" s="151" t="e" vm="3">
        <f t="shared" ca="1" si="227"/>
        <v>#VALUE!</v>
      </c>
      <c r="FX147" s="144" t="e">
        <f t="shared" si="231"/>
        <v>#N/A</v>
      </c>
      <c r="FY147" s="152" t="e">
        <f t="shared" si="236"/>
        <v>#N/A</v>
      </c>
      <c r="FZ147" s="7" t="e">
        <f t="shared" si="232"/>
        <v>#N/A</v>
      </c>
      <c r="GA147" t="e">
        <f t="shared" si="237"/>
        <v>#N/A</v>
      </c>
      <c r="GB147" s="8" t="e">
        <f t="shared" si="238"/>
        <v>#N/A</v>
      </c>
      <c r="GC147" s="8" t="e">
        <f t="shared" si="239"/>
        <v>#N/A</v>
      </c>
      <c r="GD147" s="151" t="e">
        <f t="shared" si="240"/>
        <v>#N/A</v>
      </c>
      <c r="GE147" s="144" t="e">
        <f t="shared" si="241"/>
        <v>#N/A</v>
      </c>
      <c r="GF147" s="152" t="e">
        <f t="shared" si="242"/>
        <v>#N/A</v>
      </c>
      <c r="GG147" s="7" t="e">
        <f t="shared" si="233"/>
        <v>#N/A</v>
      </c>
      <c r="GH147" t="e">
        <f t="shared" si="243"/>
        <v>#N/A</v>
      </c>
      <c r="GI147" s="8" t="e">
        <f t="shared" si="244"/>
        <v>#N/A</v>
      </c>
      <c r="GJ147" s="8" t="e">
        <f t="shared" si="245"/>
        <v>#N/A</v>
      </c>
      <c r="GK147" s="151" t="e">
        <f t="shared" si="246"/>
        <v>#N/A</v>
      </c>
      <c r="GL147" s="151"/>
      <c r="GM147" s="151"/>
      <c r="GP147" s="54">
        <f t="shared" si="291"/>
        <v>137</v>
      </c>
      <c r="GQ147" s="54">
        <f t="shared" si="292"/>
        <v>138</v>
      </c>
      <c r="GR147" s="54">
        <f t="shared" si="293"/>
        <v>0.19164231356079453</v>
      </c>
      <c r="GS147" s="54">
        <f t="shared" si="294"/>
        <v>0.39168320306250204</v>
      </c>
      <c r="GT147" s="54" t="e">
        <f t="shared" si="295"/>
        <v>#N/A</v>
      </c>
      <c r="GU147" s="54" t="e">
        <f t="shared" si="296"/>
        <v>#N/A</v>
      </c>
      <c r="GV147" s="54" t="e">
        <f t="shared" si="297"/>
        <v>#N/A</v>
      </c>
      <c r="GW147" s="54" t="b">
        <f t="shared" si="298"/>
        <v>0</v>
      </c>
      <c r="GX147" s="54" t="b">
        <f t="shared" si="299"/>
        <v>1</v>
      </c>
      <c r="GY147" s="54" t="b">
        <f t="shared" si="300"/>
        <v>0</v>
      </c>
      <c r="GZ147" s="54" t="b">
        <f t="shared" si="301"/>
        <v>1</v>
      </c>
      <c r="HA147" s="54">
        <f t="shared" si="302"/>
        <v>0.39168320306250204</v>
      </c>
      <c r="HB147" s="54" t="e">
        <f t="shared" si="303"/>
        <v>#N/A</v>
      </c>
      <c r="HC147" s="54">
        <f t="shared" si="304"/>
        <v>0.39168320306250204</v>
      </c>
      <c r="HD147" s="69" t="str">
        <f t="shared" si="305"/>
        <v/>
      </c>
      <c r="HJ147" s="54">
        <f t="shared" si="306"/>
        <v>137</v>
      </c>
      <c r="HK147" s="54">
        <f t="shared" si="307"/>
        <v>138</v>
      </c>
      <c r="HL147" s="54">
        <f t="shared" si="308"/>
        <v>0.29676214751245489</v>
      </c>
      <c r="HM147" s="54" t="e">
        <f t="shared" si="309"/>
        <v>#N/A</v>
      </c>
      <c r="HN147" s="54">
        <f t="shared" si="310"/>
        <v>0.36621134988680171</v>
      </c>
      <c r="HO147" s="54" t="e">
        <f t="shared" si="311"/>
        <v>#N/A</v>
      </c>
      <c r="HP147" s="54" t="e">
        <f t="shared" si="312"/>
        <v>#N/A</v>
      </c>
      <c r="HQ147" s="54" t="b">
        <f t="shared" si="313"/>
        <v>1</v>
      </c>
      <c r="HR147" s="54" t="b">
        <f t="shared" si="314"/>
        <v>0</v>
      </c>
      <c r="HS147" s="54" t="b">
        <f t="shared" si="315"/>
        <v>0</v>
      </c>
      <c r="HT147" s="54" t="b">
        <f t="shared" si="316"/>
        <v>1</v>
      </c>
      <c r="HU147" s="54">
        <f t="shared" si="317"/>
        <v>0.36621134988680171</v>
      </c>
      <c r="HV147" s="54">
        <f t="shared" si="318"/>
        <v>0.36621134988680171</v>
      </c>
      <c r="HW147" s="54" t="e">
        <f t="shared" si="319"/>
        <v>#N/A</v>
      </c>
      <c r="HX147" s="69" t="str">
        <f t="shared" si="320"/>
        <v/>
      </c>
    </row>
    <row r="148" spans="78:232" x14ac:dyDescent="0.2">
      <c r="BZ148" s="54">
        <f t="shared" si="247"/>
        <v>138</v>
      </c>
      <c r="CA148" s="54">
        <f>Eu_tabel_g[[#This Row],[Indeks]]+1</f>
        <v>139</v>
      </c>
      <c r="CB148" s="54">
        <f t="shared" si="248"/>
        <v>0.2155976027558939</v>
      </c>
      <c r="CC148" s="54">
        <f t="shared" si="249"/>
        <v>0.38977731256446624</v>
      </c>
      <c r="CD148" s="54" t="e">
        <f t="shared" si="250"/>
        <v>#N/A</v>
      </c>
      <c r="CE148" s="54" t="e">
        <f t="shared" si="251"/>
        <v>#N/A</v>
      </c>
      <c r="CF148" s="54" t="e">
        <f t="shared" si="252"/>
        <v>#N/A</v>
      </c>
      <c r="CG148" s="54" t="b">
        <f t="shared" si="253"/>
        <v>0</v>
      </c>
      <c r="CH148" s="54" t="b">
        <f t="shared" si="254"/>
        <v>1</v>
      </c>
      <c r="CI148" s="54" t="b">
        <f t="shared" si="255"/>
        <v>0</v>
      </c>
      <c r="CJ148" s="54" t="b">
        <f t="shared" si="256"/>
        <v>1</v>
      </c>
      <c r="CK148" s="54">
        <f t="shared" si="223"/>
        <v>0.38977731256446624</v>
      </c>
      <c r="CL148" s="54" t="e">
        <f t="shared" si="257"/>
        <v>#N/A</v>
      </c>
      <c r="CM148" s="54">
        <f t="shared" si="258"/>
        <v>0.38977731256446624</v>
      </c>
      <c r="CN148" s="69" t="str">
        <f t="shared" si="259"/>
        <v/>
      </c>
      <c r="CO148" s="54">
        <f>_xlfn.NORM.DIST(_xlfn.NORM.INV(1-Eu_g_konfidensniveau,0,1)-Eu_tabel_g[[#This Row],[x base]],0,1,TRUE)</f>
        <v>3.1410856206144755E-2</v>
      </c>
      <c r="CP148" s="54">
        <f>1-_xlfn.NORM.DIST(_xlfn.NORM.INV(Eu_g_konfidensniveau,0,1)-Eu_tabel_g[[#This Row],[x base]],0,1,TRUE)</f>
        <v>7.6465330252738495E-2</v>
      </c>
      <c r="CQ148" s="54">
        <f>_xlfn.NORM.DIST(_xlfn.NORM.INV((1-Eu_g_konfidensniveau)/2,0,1)-Eu_tabel_g[[#This Row],[x base]],0,1,TRUE)+1-_xlfn.NORM.DIST(_xlfn.NORM.INV(1-(1-Eu_g_konfidensniveau)/2,0,1)-Eu_tabel_g[[#This Row],[x base]],0,1,TRUE)</f>
        <v>5.5341640730241948E-2</v>
      </c>
      <c r="CR148" s="54" t="e" cm="1">
        <f t="array" ref="CR148">IF($CR$3,INDEX(Eu_tabel_g[[#This Row],[Styrke venstre]:[Styrke tosidet]],CR$7),NA())</f>
        <v>#N/A</v>
      </c>
      <c r="CS148" s="89" t="e">
        <f>Eu_tabel_g[[#This Row],[Falsk positiv
Nulhypotese accepteres
Fejltype 1]]</f>
        <v>#N/A</v>
      </c>
      <c r="CT148" s="89" t="e">
        <f>IF(CHOOSE(CR$7,Eu_tabel_g[[#This Row],[x base]]&gt;0,Eu_tabel_g[[#This Row],[x base]]&lt;0,Eu_tabel_g[[#This Row],[x base]]=0),Eu_tabel_g[[#This Row],[Styrke, aktiv]],NA())</f>
        <v>#N/A</v>
      </c>
      <c r="CU148" s="89" t="e">
        <f>IFERROR(IF($CR$3,Eu_tabel_g[[#This Row],[Styrke, aktiv]],NA()),NA())</f>
        <v>#N/A</v>
      </c>
      <c r="CV148" s="89" t="e">
        <f>IF(ISNA(Eu_tabel_g[[#This Row],[Sand negativ
Nulhypotese afvises
Korrekt]]),NA(),IF($CR$3,1,NA()))</f>
        <v>#N/A</v>
      </c>
      <c r="CW148" s="56" t="str" cm="1">
        <f t="array" ref="CW148">_xlfn.SWITCH(BZ148,_xlfn.IFNA(CU$2,-99),CU$5,_xlfn.IFNA(CU$3,-99),CU$6,_xlfn.IFNA(CU$4,-99),CU$7,"")</f>
        <v/>
      </c>
      <c r="DA148" s="7">
        <f t="shared" si="260"/>
        <v>0.8</v>
      </c>
      <c r="DB148">
        <f>IF(ROW(Styrkeberegning_G[[#This Row],[X base venstre]])=ROW(Styrkeberegning_G[[#Headers],[X base venstre]])+1,DB$7/(DA$7/$B$67),DB147/(DA147/$B$67))</f>
        <v>-2.8015817870135784</v>
      </c>
      <c r="DC148">
        <f>Styrkeberegning_G[[#This Row],[X base venstre]]*-1</f>
        <v>2.8015817870135784</v>
      </c>
      <c r="DN148" s="54">
        <f t="shared" si="261"/>
        <v>138</v>
      </c>
      <c r="DO148" s="54">
        <f t="shared" si="262"/>
        <v>139</v>
      </c>
      <c r="DP148" s="54">
        <f t="shared" si="263"/>
        <v>17.575630850199829</v>
      </c>
      <c r="DQ148" s="54" t="e">
        <f t="shared" si="264"/>
        <v>#N/A</v>
      </c>
      <c r="DR148" s="54" t="e">
        <f t="shared" si="265"/>
        <v>#N/A</v>
      </c>
      <c r="DS148" s="54">
        <f t="shared" si="266"/>
        <v>2.5767818961322256E-2</v>
      </c>
      <c r="DT148" s="54" t="e">
        <f t="shared" si="267"/>
        <v>#N/A</v>
      </c>
      <c r="DU148" s="54" t="b">
        <f t="shared" si="268"/>
        <v>0</v>
      </c>
      <c r="DV148" s="54" t="b">
        <f t="shared" si="269"/>
        <v>1</v>
      </c>
      <c r="DW148" s="54" t="b">
        <f t="shared" si="270"/>
        <v>0</v>
      </c>
      <c r="DX148" s="54" t="b">
        <f t="shared" si="271"/>
        <v>1</v>
      </c>
      <c r="DY148" s="54">
        <f t="shared" si="272"/>
        <v>2.5767818961322256E-2</v>
      </c>
      <c r="DZ148" s="54" t="e">
        <f t="shared" si="273"/>
        <v>#N/A</v>
      </c>
      <c r="EA148" s="54">
        <f t="shared" si="274"/>
        <v>2.5767818961322256E-2</v>
      </c>
      <c r="EB148" s="69" t="str">
        <f t="shared" si="275"/>
        <v/>
      </c>
      <c r="EG148" s="54">
        <f t="shared" si="276"/>
        <v>138</v>
      </c>
      <c r="EH148" s="54">
        <f t="shared" si="277"/>
        <v>139</v>
      </c>
      <c r="EI148" s="54">
        <f t="shared" si="278"/>
        <v>0.2155976027558939</v>
      </c>
      <c r="EJ148" s="54">
        <f t="shared" si="279"/>
        <v>0.38977731256446624</v>
      </c>
      <c r="EK148" s="54" t="e">
        <f t="shared" si="280"/>
        <v>#N/A</v>
      </c>
      <c r="EL148" s="54" t="e">
        <f t="shared" si="281"/>
        <v>#N/A</v>
      </c>
      <c r="EM148" s="54" t="e">
        <f t="shared" si="282"/>
        <v>#N/A</v>
      </c>
      <c r="EN148" s="54" t="b">
        <f t="shared" si="283"/>
        <v>0</v>
      </c>
      <c r="EO148" s="54" t="b">
        <f t="shared" si="284"/>
        <v>1</v>
      </c>
      <c r="EP148" s="54" t="b">
        <f t="shared" si="285"/>
        <v>0</v>
      </c>
      <c r="EQ148" s="54" t="b">
        <f t="shared" si="286"/>
        <v>1</v>
      </c>
      <c r="ER148" s="54">
        <f t="shared" si="287"/>
        <v>0.38977731256446624</v>
      </c>
      <c r="ES148" s="54" t="e">
        <f t="shared" si="288"/>
        <v>#N/A</v>
      </c>
      <c r="ET148" s="54">
        <f t="shared" si="289"/>
        <v>0.38977731256446624</v>
      </c>
      <c r="EU148" s="69" t="str">
        <f t="shared" si="290"/>
        <v/>
      </c>
      <c r="EV14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4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4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48" s="54" t="e" cm="1">
        <f t="array" ref="EY148">IF($CR$3,INDEX(Eu_tabel_a[[#This Row],[Styrke venstre]:[Styrke tosidet]],EY$7),NA())</f>
        <v>#N/A</v>
      </c>
      <c r="EZ148" s="54" t="e">
        <f>IF(EY$3,IF(CHOOSE(EY$7,Eu_tabel_a[[#This Row],[x base]]&gt;0,Eu_tabel_a[[#This Row],[x base]]&lt;0,Eu_tabel_a[[#This Row],[x base]]=0),1,NA()),NA())</f>
        <v>#N/A</v>
      </c>
      <c r="FA148" s="54" t="e">
        <f>IF(CHOOSE(EY$7,Eu_tabel_a[[#This Row],[x base]]&gt;0,Eu_tabel_a[[#This Row],[x base]]&lt;0,Eu_tabel_a[[#This Row],[x base]]=0),Eu_tabel_a[[#This Row],[Styrke, aktiv]],NA())</f>
        <v>#N/A</v>
      </c>
      <c r="FB148" s="54" t="e">
        <f>IFERROR(IF($EY$3,Eu_tabel_a[[#This Row],[Styrke, aktiv]],NA()),NA())</f>
        <v>#N/A</v>
      </c>
      <c r="FC148" s="54" t="e">
        <f>IF(ISNA(Eu_tabel_a[[#This Row],[Sand negativ
Nulhypotese afvises
Korrekt]]),NA(),IF(EY$3,1,NA()))</f>
        <v>#N/A</v>
      </c>
      <c r="FD148" s="55" t="str" cm="1">
        <f t="array" ref="FD148">IFERROR(_xlfn.SWITCH(Eu_tabel_a[[#This Row],[Indeks]],_xlfn.IFNA(FB$2,-99),FB$5,_xlfn.IFNA(FB$3,-99),FB$6,_xlfn.IFNA(FB$4,-99),FB$7,""),"")</f>
        <v/>
      </c>
      <c r="FE148" s="54">
        <f>Eu_tabel_a[[#This Row],[x base]]*SQRT(Eu_a_h0_x*(1-Eu_a_h0_x)/Eu_a_n_x)+Eu_a_h0_x</f>
        <v>0</v>
      </c>
      <c r="FJ148" s="144" t="e">
        <f t="shared" si="234"/>
        <v>#N/A</v>
      </c>
      <c r="FK148" s="152" t="e">
        <f t="shared" si="218"/>
        <v>#DIV/0!</v>
      </c>
      <c r="FL148" s="7" t="e">
        <f t="shared" si="228"/>
        <v>#DIV/0!</v>
      </c>
      <c r="FM148" t="e">
        <f t="shared" si="219"/>
        <v>#DIV/0!</v>
      </c>
      <c r="FN148" s="8" t="e">
        <f t="shared" si="220"/>
        <v>#DIV/0!</v>
      </c>
      <c r="FO148" s="8" t="e">
        <f t="shared" si="221"/>
        <v>#DIV/0!</v>
      </c>
      <c r="FP148" s="151" t="e">
        <f t="shared" si="222"/>
        <v>#DIV/0!</v>
      </c>
      <c r="FQ148" s="144" t="e">
        <f t="shared" ca="1" si="229"/>
        <v>#N/A</v>
      </c>
      <c r="FR148" s="152" t="e" vm="3">
        <f t="shared" ca="1" si="235"/>
        <v>#VALUE!</v>
      </c>
      <c r="FS148" s="7" t="e" vm="3">
        <f t="shared" ca="1" si="230"/>
        <v>#VALUE!</v>
      </c>
      <c r="FT148" t="e" vm="3">
        <f t="shared" ca="1" si="224"/>
        <v>#VALUE!</v>
      </c>
      <c r="FU148" s="8" t="e" vm="3">
        <f t="shared" ca="1" si="225"/>
        <v>#VALUE!</v>
      </c>
      <c r="FV148" s="8" t="e" vm="3">
        <f t="shared" ca="1" si="226"/>
        <v>#VALUE!</v>
      </c>
      <c r="FW148" s="151" t="e" vm="3">
        <f t="shared" ca="1" si="227"/>
        <v>#VALUE!</v>
      </c>
      <c r="FX148" s="144" t="e">
        <f t="shared" si="231"/>
        <v>#N/A</v>
      </c>
      <c r="FY148" s="152" t="e">
        <f t="shared" si="236"/>
        <v>#N/A</v>
      </c>
      <c r="FZ148" s="7" t="e">
        <f t="shared" si="232"/>
        <v>#N/A</v>
      </c>
      <c r="GA148" t="e">
        <f t="shared" si="237"/>
        <v>#N/A</v>
      </c>
      <c r="GB148" s="8" t="e">
        <f t="shared" si="238"/>
        <v>#N/A</v>
      </c>
      <c r="GC148" s="8" t="e">
        <f t="shared" si="239"/>
        <v>#N/A</v>
      </c>
      <c r="GD148" s="151" t="e">
        <f t="shared" si="240"/>
        <v>#N/A</v>
      </c>
      <c r="GE148" s="144" t="e">
        <f t="shared" si="241"/>
        <v>#N/A</v>
      </c>
      <c r="GF148" s="152" t="e">
        <f t="shared" si="242"/>
        <v>#N/A</v>
      </c>
      <c r="GG148" s="7" t="e">
        <f t="shared" si="233"/>
        <v>#N/A</v>
      </c>
      <c r="GH148" t="e">
        <f t="shared" si="243"/>
        <v>#N/A</v>
      </c>
      <c r="GI148" s="8" t="e">
        <f t="shared" si="244"/>
        <v>#N/A</v>
      </c>
      <c r="GJ148" s="8" t="e">
        <f t="shared" si="245"/>
        <v>#N/A</v>
      </c>
      <c r="GK148" s="151" t="e">
        <f t="shared" si="246"/>
        <v>#N/A</v>
      </c>
      <c r="GL148" s="151"/>
      <c r="GM148" s="151"/>
      <c r="GP148" s="54">
        <f t="shared" si="291"/>
        <v>138</v>
      </c>
      <c r="GQ148" s="54">
        <f t="shared" si="292"/>
        <v>139</v>
      </c>
      <c r="GR148" s="54">
        <f t="shared" si="293"/>
        <v>0.2155976027558939</v>
      </c>
      <c r="GS148" s="54">
        <f t="shared" si="294"/>
        <v>0.38977731256446624</v>
      </c>
      <c r="GT148" s="54" t="e">
        <f t="shared" si="295"/>
        <v>#N/A</v>
      </c>
      <c r="GU148" s="54" t="e">
        <f t="shared" si="296"/>
        <v>#N/A</v>
      </c>
      <c r="GV148" s="54" t="e">
        <f t="shared" si="297"/>
        <v>#N/A</v>
      </c>
      <c r="GW148" s="54" t="b">
        <f t="shared" si="298"/>
        <v>0</v>
      </c>
      <c r="GX148" s="54" t="b">
        <f t="shared" si="299"/>
        <v>1</v>
      </c>
      <c r="GY148" s="54" t="b">
        <f t="shared" si="300"/>
        <v>0</v>
      </c>
      <c r="GZ148" s="54" t="b">
        <f t="shared" si="301"/>
        <v>1</v>
      </c>
      <c r="HA148" s="54">
        <f t="shared" si="302"/>
        <v>0.38977731256446624</v>
      </c>
      <c r="HB148" s="54" t="e">
        <f t="shared" si="303"/>
        <v>#N/A</v>
      </c>
      <c r="HC148" s="54">
        <f t="shared" si="304"/>
        <v>0.38977731256446624</v>
      </c>
      <c r="HD148" s="69" t="str">
        <f t="shared" si="305"/>
        <v/>
      </c>
      <c r="HJ148" s="54">
        <f t="shared" si="306"/>
        <v>138</v>
      </c>
      <c r="HK148" s="54">
        <f t="shared" si="307"/>
        <v>139</v>
      </c>
      <c r="HL148" s="54">
        <f t="shared" si="308"/>
        <v>0.33385741595151153</v>
      </c>
      <c r="HM148" s="54" t="e">
        <f t="shared" si="309"/>
        <v>#N/A</v>
      </c>
      <c r="HN148" s="54">
        <f t="shared" si="310"/>
        <v>0.36141649529983938</v>
      </c>
      <c r="HO148" s="54" t="e">
        <f t="shared" si="311"/>
        <v>#N/A</v>
      </c>
      <c r="HP148" s="54" t="e">
        <f t="shared" si="312"/>
        <v>#N/A</v>
      </c>
      <c r="HQ148" s="54" t="b">
        <f t="shared" si="313"/>
        <v>1</v>
      </c>
      <c r="HR148" s="54" t="b">
        <f t="shared" si="314"/>
        <v>0</v>
      </c>
      <c r="HS148" s="54" t="b">
        <f t="shared" si="315"/>
        <v>0</v>
      </c>
      <c r="HT148" s="54" t="b">
        <f t="shared" si="316"/>
        <v>1</v>
      </c>
      <c r="HU148" s="54">
        <f t="shared" si="317"/>
        <v>0.36141649529983938</v>
      </c>
      <c r="HV148" s="54">
        <f t="shared" si="318"/>
        <v>0.36141649529983938</v>
      </c>
      <c r="HW148" s="54" t="e">
        <f t="shared" si="319"/>
        <v>#N/A</v>
      </c>
      <c r="HX148" s="69" t="str">
        <f t="shared" si="320"/>
        <v/>
      </c>
    </row>
    <row r="149" spans="78:232" x14ac:dyDescent="0.2">
      <c r="BZ149" s="54">
        <f t="shared" si="247"/>
        <v>139</v>
      </c>
      <c r="CA149" s="54">
        <f>Eu_tabel_g[[#This Row],[Indeks]]+1</f>
        <v>140</v>
      </c>
      <c r="CB149" s="54">
        <f t="shared" si="248"/>
        <v>0.23955289195099327</v>
      </c>
      <c r="CC149" s="54">
        <f t="shared" si="249"/>
        <v>0.38765817217124104</v>
      </c>
      <c r="CD149" s="54" t="e">
        <f t="shared" si="250"/>
        <v>#N/A</v>
      </c>
      <c r="CE149" s="54" t="e">
        <f t="shared" si="251"/>
        <v>#N/A</v>
      </c>
      <c r="CF149" s="54" t="e">
        <f t="shared" si="252"/>
        <v>#N/A</v>
      </c>
      <c r="CG149" s="54" t="b">
        <f t="shared" si="253"/>
        <v>0</v>
      </c>
      <c r="CH149" s="54" t="b">
        <f t="shared" si="254"/>
        <v>1</v>
      </c>
      <c r="CI149" s="54" t="b">
        <f t="shared" si="255"/>
        <v>0</v>
      </c>
      <c r="CJ149" s="54" t="b">
        <f t="shared" si="256"/>
        <v>1</v>
      </c>
      <c r="CK149" s="54">
        <f t="shared" si="223"/>
        <v>0.38765817217124104</v>
      </c>
      <c r="CL149" s="54" t="e">
        <f t="shared" si="257"/>
        <v>#N/A</v>
      </c>
      <c r="CM149" s="54">
        <f t="shared" si="258"/>
        <v>0.38765817217124104</v>
      </c>
      <c r="CN149" s="69" t="str">
        <f t="shared" si="259"/>
        <v/>
      </c>
      <c r="CO149" s="54">
        <f>_xlfn.NORM.DIST(_xlfn.NORM.INV(1-Eu_g_konfidensniveau,0,1)-Eu_tabel_g[[#This Row],[x base]],0,1,TRUE)</f>
        <v>2.9755004368531696E-2</v>
      </c>
      <c r="CP149" s="54">
        <f>1-_xlfn.NORM.DIST(_xlfn.NORM.INV(Eu_g_konfidensniveau,0,1)-Eu_tabel_g[[#This Row],[x base]],0,1,TRUE)</f>
        <v>7.9965934948739603E-2</v>
      </c>
      <c r="CQ149" s="54">
        <f>_xlfn.NORM.DIST(_xlfn.NORM.INV((1-Eu_g_konfidensniveau)/2,0,1)-Eu_tabel_g[[#This Row],[x base]],0,1,TRUE)+1-_xlfn.NORM.DIST(_xlfn.NORM.INV(1-(1-Eu_g_konfidensniveau)/2,0,1)-Eu_tabel_g[[#This Row],[x base]],0,1,TRUE)</f>
        <v>5.6599466268945853E-2</v>
      </c>
      <c r="CR149" s="54" t="e" cm="1">
        <f t="array" ref="CR149">IF($CR$3,INDEX(Eu_tabel_g[[#This Row],[Styrke venstre]:[Styrke tosidet]],CR$7),NA())</f>
        <v>#N/A</v>
      </c>
      <c r="CS149" s="89" t="e">
        <f>Eu_tabel_g[[#This Row],[Falsk positiv
Nulhypotese accepteres
Fejltype 1]]</f>
        <v>#N/A</v>
      </c>
      <c r="CT149" s="89" t="e">
        <f>IF(CHOOSE(CR$7,Eu_tabel_g[[#This Row],[x base]]&gt;0,Eu_tabel_g[[#This Row],[x base]]&lt;0,Eu_tabel_g[[#This Row],[x base]]=0),Eu_tabel_g[[#This Row],[Styrke, aktiv]],NA())</f>
        <v>#N/A</v>
      </c>
      <c r="CU149" s="89" t="e">
        <f>IFERROR(IF($CR$3,Eu_tabel_g[[#This Row],[Styrke, aktiv]],NA()),NA())</f>
        <v>#N/A</v>
      </c>
      <c r="CV149" s="89" t="e">
        <f>IF(ISNA(Eu_tabel_g[[#This Row],[Sand negativ
Nulhypotese afvises
Korrekt]]),NA(),IF($CR$3,1,NA()))</f>
        <v>#N/A</v>
      </c>
      <c r="CW149" s="56" t="str" cm="1">
        <f t="array" ref="CW149">_xlfn.SWITCH(BZ149,_xlfn.IFNA(CU$2,-99),CU$5,_xlfn.IFNA(CU$3,-99),CU$6,_xlfn.IFNA(CU$4,-99),CU$7,"")</f>
        <v/>
      </c>
      <c r="DA149" s="7">
        <f t="shared" si="260"/>
        <v>0.8</v>
      </c>
      <c r="DB149">
        <f>IF(ROW(Styrkeberegning_G[[#This Row],[X base venstre]])=ROW(Styrkeberegning_G[[#Headers],[X base venstre]])+1,DB$7/(DA$7/$B$67),DB148/(DA148/$B$67))</f>
        <v>-2.8015817870135784</v>
      </c>
      <c r="DC149">
        <f>Styrkeberegning_G[[#This Row],[X base venstre]]*-1</f>
        <v>2.8015817870135784</v>
      </c>
      <c r="DN149" s="54">
        <f t="shared" si="261"/>
        <v>139</v>
      </c>
      <c r="DO149" s="54">
        <f t="shared" si="262"/>
        <v>140</v>
      </c>
      <c r="DP149" s="54">
        <f t="shared" si="263"/>
        <v>17.68970170661683</v>
      </c>
      <c r="DQ149" s="54" t="e">
        <f t="shared" si="264"/>
        <v>#N/A</v>
      </c>
      <c r="DR149" s="54" t="e">
        <f t="shared" si="265"/>
        <v>#N/A</v>
      </c>
      <c r="DS149" s="54">
        <f t="shared" si="266"/>
        <v>2.5058243893553676E-2</v>
      </c>
      <c r="DT149" s="54" t="e">
        <f t="shared" si="267"/>
        <v>#N/A</v>
      </c>
      <c r="DU149" s="54" t="b">
        <f t="shared" si="268"/>
        <v>0</v>
      </c>
      <c r="DV149" s="54" t="b">
        <f t="shared" si="269"/>
        <v>1</v>
      </c>
      <c r="DW149" s="54" t="b">
        <f t="shared" si="270"/>
        <v>0</v>
      </c>
      <c r="DX149" s="54" t="b">
        <f t="shared" si="271"/>
        <v>1</v>
      </c>
      <c r="DY149" s="54">
        <f t="shared" si="272"/>
        <v>2.5058243893553676E-2</v>
      </c>
      <c r="DZ149" s="54" t="e">
        <f t="shared" si="273"/>
        <v>#N/A</v>
      </c>
      <c r="EA149" s="54">
        <f t="shared" si="274"/>
        <v>2.5058243893553676E-2</v>
      </c>
      <c r="EB149" s="69" t="str">
        <f t="shared" si="275"/>
        <v/>
      </c>
      <c r="EG149" s="54">
        <f t="shared" si="276"/>
        <v>139</v>
      </c>
      <c r="EH149" s="54">
        <f t="shared" si="277"/>
        <v>140</v>
      </c>
      <c r="EI149" s="54">
        <f t="shared" si="278"/>
        <v>0.23955289195099327</v>
      </c>
      <c r="EJ149" s="54">
        <f t="shared" si="279"/>
        <v>0.38765817217124104</v>
      </c>
      <c r="EK149" s="54" t="e">
        <f t="shared" si="280"/>
        <v>#N/A</v>
      </c>
      <c r="EL149" s="54" t="e">
        <f t="shared" si="281"/>
        <v>#N/A</v>
      </c>
      <c r="EM149" s="54" t="e">
        <f t="shared" si="282"/>
        <v>#N/A</v>
      </c>
      <c r="EN149" s="54" t="b">
        <f t="shared" si="283"/>
        <v>0</v>
      </c>
      <c r="EO149" s="54" t="b">
        <f t="shared" si="284"/>
        <v>1</v>
      </c>
      <c r="EP149" s="54" t="b">
        <f t="shared" si="285"/>
        <v>0</v>
      </c>
      <c r="EQ149" s="54" t="b">
        <f t="shared" si="286"/>
        <v>1</v>
      </c>
      <c r="ER149" s="54">
        <f t="shared" si="287"/>
        <v>0.38765817217124104</v>
      </c>
      <c r="ES149" s="54" t="e">
        <f t="shared" si="288"/>
        <v>#N/A</v>
      </c>
      <c r="ET149" s="54">
        <f t="shared" si="289"/>
        <v>0.38765817217124104</v>
      </c>
      <c r="EU149" s="69" t="str">
        <f t="shared" si="290"/>
        <v/>
      </c>
      <c r="EV14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4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4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49" s="54" t="e" cm="1">
        <f t="array" ref="EY149">IF($CR$3,INDEX(Eu_tabel_a[[#This Row],[Styrke venstre]:[Styrke tosidet]],EY$7),NA())</f>
        <v>#N/A</v>
      </c>
      <c r="EZ149" s="54" t="e">
        <f>IF(EY$3,IF(CHOOSE(EY$7,Eu_tabel_a[[#This Row],[x base]]&gt;0,Eu_tabel_a[[#This Row],[x base]]&lt;0,Eu_tabel_a[[#This Row],[x base]]=0),1,NA()),NA())</f>
        <v>#N/A</v>
      </c>
      <c r="FA149" s="54" t="e">
        <f>IF(CHOOSE(EY$7,Eu_tabel_a[[#This Row],[x base]]&gt;0,Eu_tabel_a[[#This Row],[x base]]&lt;0,Eu_tabel_a[[#This Row],[x base]]=0),Eu_tabel_a[[#This Row],[Styrke, aktiv]],NA())</f>
        <v>#N/A</v>
      </c>
      <c r="FB149" s="54" t="e">
        <f>IFERROR(IF($EY$3,Eu_tabel_a[[#This Row],[Styrke, aktiv]],NA()),NA())</f>
        <v>#N/A</v>
      </c>
      <c r="FC149" s="54" t="e">
        <f>IF(ISNA(Eu_tabel_a[[#This Row],[Sand negativ
Nulhypotese afvises
Korrekt]]),NA(),IF(EY$3,1,NA()))</f>
        <v>#N/A</v>
      </c>
      <c r="FD149" s="55" t="str" cm="1">
        <f t="array" ref="FD149">IFERROR(_xlfn.SWITCH(Eu_tabel_a[[#This Row],[Indeks]],_xlfn.IFNA(FB$2,-99),FB$5,_xlfn.IFNA(FB$3,-99),FB$6,_xlfn.IFNA(FB$4,-99),FB$7,""),"")</f>
        <v/>
      </c>
      <c r="FE149" s="54">
        <f>Eu_tabel_a[[#This Row],[x base]]*SQRT(Eu_a_h0_x*(1-Eu_a_h0_x)/Eu_a_n_x)+Eu_a_h0_x</f>
        <v>0</v>
      </c>
      <c r="FJ149" s="144" t="e">
        <f t="shared" si="234"/>
        <v>#N/A</v>
      </c>
      <c r="FK149" s="152" t="e">
        <f t="shared" si="218"/>
        <v>#DIV/0!</v>
      </c>
      <c r="FL149" s="7" t="e">
        <f t="shared" si="228"/>
        <v>#DIV/0!</v>
      </c>
      <c r="FM149" t="e">
        <f t="shared" si="219"/>
        <v>#DIV/0!</v>
      </c>
      <c r="FN149" s="8" t="e">
        <f t="shared" si="220"/>
        <v>#DIV/0!</v>
      </c>
      <c r="FO149" s="8" t="e">
        <f t="shared" si="221"/>
        <v>#DIV/0!</v>
      </c>
      <c r="FP149" s="151" t="e">
        <f t="shared" si="222"/>
        <v>#DIV/0!</v>
      </c>
      <c r="FQ149" s="144" t="e">
        <f t="shared" ca="1" si="229"/>
        <v>#N/A</v>
      </c>
      <c r="FR149" s="152" t="e" vm="3">
        <f t="shared" ca="1" si="235"/>
        <v>#VALUE!</v>
      </c>
      <c r="FS149" s="7" t="e" vm="3">
        <f t="shared" ca="1" si="230"/>
        <v>#VALUE!</v>
      </c>
      <c r="FT149" t="e" vm="3">
        <f t="shared" ca="1" si="224"/>
        <v>#VALUE!</v>
      </c>
      <c r="FU149" s="8" t="e" vm="3">
        <f t="shared" ca="1" si="225"/>
        <v>#VALUE!</v>
      </c>
      <c r="FV149" s="8" t="e" vm="3">
        <f t="shared" ca="1" si="226"/>
        <v>#VALUE!</v>
      </c>
      <c r="FW149" s="151" t="e" vm="3">
        <f t="shared" ca="1" si="227"/>
        <v>#VALUE!</v>
      </c>
      <c r="FX149" s="144" t="e">
        <f t="shared" si="231"/>
        <v>#N/A</v>
      </c>
      <c r="FY149" s="152" t="e">
        <f t="shared" si="236"/>
        <v>#N/A</v>
      </c>
      <c r="FZ149" s="7" t="e">
        <f t="shared" si="232"/>
        <v>#N/A</v>
      </c>
      <c r="GA149" t="e">
        <f t="shared" si="237"/>
        <v>#N/A</v>
      </c>
      <c r="GB149" s="8" t="e">
        <f t="shared" si="238"/>
        <v>#N/A</v>
      </c>
      <c r="GC149" s="8" t="e">
        <f t="shared" si="239"/>
        <v>#N/A</v>
      </c>
      <c r="GD149" s="151" t="e">
        <f t="shared" si="240"/>
        <v>#N/A</v>
      </c>
      <c r="GE149" s="144" t="e">
        <f t="shared" si="241"/>
        <v>#N/A</v>
      </c>
      <c r="GF149" s="152" t="e">
        <f t="shared" si="242"/>
        <v>#N/A</v>
      </c>
      <c r="GG149" s="7" t="e">
        <f t="shared" si="233"/>
        <v>#N/A</v>
      </c>
      <c r="GH149" t="e">
        <f t="shared" si="243"/>
        <v>#N/A</v>
      </c>
      <c r="GI149" s="8" t="e">
        <f t="shared" si="244"/>
        <v>#N/A</v>
      </c>
      <c r="GJ149" s="8" t="e">
        <f t="shared" si="245"/>
        <v>#N/A</v>
      </c>
      <c r="GK149" s="151" t="e">
        <f t="shared" si="246"/>
        <v>#N/A</v>
      </c>
      <c r="GL149" s="151"/>
      <c r="GM149" s="151"/>
      <c r="GP149" s="54">
        <f t="shared" si="291"/>
        <v>139</v>
      </c>
      <c r="GQ149" s="54">
        <f t="shared" si="292"/>
        <v>140</v>
      </c>
      <c r="GR149" s="54">
        <f t="shared" si="293"/>
        <v>0.23955289195099327</v>
      </c>
      <c r="GS149" s="54">
        <f t="shared" si="294"/>
        <v>0.38765817217124104</v>
      </c>
      <c r="GT149" s="54" t="e">
        <f t="shared" si="295"/>
        <v>#N/A</v>
      </c>
      <c r="GU149" s="54" t="e">
        <f t="shared" si="296"/>
        <v>#N/A</v>
      </c>
      <c r="GV149" s="54" t="e">
        <f t="shared" si="297"/>
        <v>#N/A</v>
      </c>
      <c r="GW149" s="54" t="b">
        <f t="shared" si="298"/>
        <v>0</v>
      </c>
      <c r="GX149" s="54" t="b">
        <f t="shared" si="299"/>
        <v>1</v>
      </c>
      <c r="GY149" s="54" t="b">
        <f t="shared" si="300"/>
        <v>0</v>
      </c>
      <c r="GZ149" s="54" t="b">
        <f t="shared" si="301"/>
        <v>1</v>
      </c>
      <c r="HA149" s="54">
        <f t="shared" si="302"/>
        <v>0.38765817217124104</v>
      </c>
      <c r="HB149" s="54" t="e">
        <f t="shared" si="303"/>
        <v>#N/A</v>
      </c>
      <c r="HC149" s="54">
        <f t="shared" si="304"/>
        <v>0.38765817217124104</v>
      </c>
      <c r="HD149" s="69" t="str">
        <f t="shared" si="305"/>
        <v/>
      </c>
      <c r="HJ149" s="54">
        <f t="shared" si="306"/>
        <v>139</v>
      </c>
      <c r="HK149" s="54">
        <f t="shared" si="307"/>
        <v>140</v>
      </c>
      <c r="HL149" s="54">
        <f t="shared" si="308"/>
        <v>0.37095268439056905</v>
      </c>
      <c r="HM149" s="54" t="e">
        <f t="shared" si="309"/>
        <v>#N/A</v>
      </c>
      <c r="HN149" s="54">
        <f t="shared" si="310"/>
        <v>0.35615003188924504</v>
      </c>
      <c r="HO149" s="54" t="e">
        <f t="shared" si="311"/>
        <v>#N/A</v>
      </c>
      <c r="HP149" s="54" t="e">
        <f t="shared" si="312"/>
        <v>#N/A</v>
      </c>
      <c r="HQ149" s="54" t="b">
        <f t="shared" si="313"/>
        <v>1</v>
      </c>
      <c r="HR149" s="54" t="b">
        <f t="shared" si="314"/>
        <v>0</v>
      </c>
      <c r="HS149" s="54" t="b">
        <f t="shared" si="315"/>
        <v>0</v>
      </c>
      <c r="HT149" s="54" t="b">
        <f t="shared" si="316"/>
        <v>1</v>
      </c>
      <c r="HU149" s="54">
        <f t="shared" si="317"/>
        <v>0.35615003188924504</v>
      </c>
      <c r="HV149" s="54">
        <f t="shared" si="318"/>
        <v>0.35615003188924504</v>
      </c>
      <c r="HW149" s="54" t="e">
        <f t="shared" si="319"/>
        <v>#N/A</v>
      </c>
      <c r="HX149" s="69" t="str">
        <f t="shared" si="320"/>
        <v/>
      </c>
    </row>
    <row r="150" spans="78:232" x14ac:dyDescent="0.2">
      <c r="BZ150" s="54">
        <f t="shared" si="247"/>
        <v>140</v>
      </c>
      <c r="CA150" s="54">
        <f>Eu_tabel_g[[#This Row],[Indeks]]+1</f>
        <v>141</v>
      </c>
      <c r="CB150" s="54">
        <f t="shared" si="248"/>
        <v>0.26350818114609265</v>
      </c>
      <c r="CC150" s="54">
        <f t="shared" si="249"/>
        <v>0.38532936613430413</v>
      </c>
      <c r="CD150" s="54" t="e">
        <f t="shared" si="250"/>
        <v>#N/A</v>
      </c>
      <c r="CE150" s="54" t="e">
        <f t="shared" si="251"/>
        <v>#N/A</v>
      </c>
      <c r="CF150" s="54" t="e">
        <f t="shared" si="252"/>
        <v>#N/A</v>
      </c>
      <c r="CG150" s="54" t="b">
        <f t="shared" si="253"/>
        <v>0</v>
      </c>
      <c r="CH150" s="54" t="b">
        <f t="shared" si="254"/>
        <v>1</v>
      </c>
      <c r="CI150" s="54" t="b">
        <f t="shared" si="255"/>
        <v>0</v>
      </c>
      <c r="CJ150" s="54" t="b">
        <f t="shared" si="256"/>
        <v>1</v>
      </c>
      <c r="CK150" s="54">
        <f t="shared" si="223"/>
        <v>0.38532936613430413</v>
      </c>
      <c r="CL150" s="54" t="e">
        <f t="shared" si="257"/>
        <v>#N/A</v>
      </c>
      <c r="CM150" s="54">
        <f t="shared" si="258"/>
        <v>0.38532936613430413</v>
      </c>
      <c r="CN150" s="69" t="str">
        <f t="shared" si="259"/>
        <v/>
      </c>
      <c r="CO150" s="54">
        <f>_xlfn.NORM.DIST(_xlfn.NORM.INV(1-Eu_g_konfidensniveau,0,1)-Eu_tabel_g[[#This Row],[x base]],0,1,TRUE)</f>
        <v>2.8172234747108612E-2</v>
      </c>
      <c r="CP150" s="54">
        <f>1-_xlfn.NORM.DIST(_xlfn.NORM.INV(Eu_g_konfidensniveau,0,1)-Eu_tabel_g[[#This Row],[x base]],0,1,TRUE)</f>
        <v>8.3586385571648658E-2</v>
      </c>
      <c r="CQ150" s="54">
        <f>_xlfn.NORM.DIST(_xlfn.NORM.INV((1-Eu_g_konfidensniveau)/2,0,1)-Eu_tabel_g[[#This Row],[x base]],0,1,TRUE)+1-_xlfn.NORM.DIST(_xlfn.NORM.INV(1-(1-Eu_g_konfidensniveau)/2,0,1)-Eu_tabel_g[[#This Row],[x base]],0,1,TRUE)</f>
        <v>5.7991785795311279E-2</v>
      </c>
      <c r="CR150" s="54" t="e" cm="1">
        <f t="array" ref="CR150">IF($CR$3,INDEX(Eu_tabel_g[[#This Row],[Styrke venstre]:[Styrke tosidet]],CR$7),NA())</f>
        <v>#N/A</v>
      </c>
      <c r="CS150" s="89" t="e">
        <f>Eu_tabel_g[[#This Row],[Falsk positiv
Nulhypotese accepteres
Fejltype 1]]</f>
        <v>#N/A</v>
      </c>
      <c r="CT150" s="89" t="e">
        <f>IF(CHOOSE(CR$7,Eu_tabel_g[[#This Row],[x base]]&gt;0,Eu_tabel_g[[#This Row],[x base]]&lt;0,Eu_tabel_g[[#This Row],[x base]]=0),Eu_tabel_g[[#This Row],[Styrke, aktiv]],NA())</f>
        <v>#N/A</v>
      </c>
      <c r="CU150" s="89" t="e">
        <f>IFERROR(IF($CR$3,Eu_tabel_g[[#This Row],[Styrke, aktiv]],NA()),NA())</f>
        <v>#N/A</v>
      </c>
      <c r="CV150" s="89" t="e">
        <f>IF(ISNA(Eu_tabel_g[[#This Row],[Sand negativ
Nulhypotese afvises
Korrekt]]),NA(),IF($CR$3,1,NA()))</f>
        <v>#N/A</v>
      </c>
      <c r="CW150" s="56" t="str" cm="1">
        <f t="array" ref="CW150">_xlfn.SWITCH(BZ150,_xlfn.IFNA(CU$2,-99),CU$5,_xlfn.IFNA(CU$3,-99),CU$6,_xlfn.IFNA(CU$4,-99),CU$7,"")</f>
        <v/>
      </c>
      <c r="DA150" s="7">
        <f t="shared" si="260"/>
        <v>0.8</v>
      </c>
      <c r="DB150">
        <f>IF(ROW(Styrkeberegning_G[[#This Row],[X base venstre]])=ROW(Styrkeberegning_G[[#Headers],[X base venstre]])+1,DB$7/(DA$7/$B$67),DB149/(DA149/$B$67))</f>
        <v>-2.8015817870135784</v>
      </c>
      <c r="DC150">
        <f>Styrkeberegning_G[[#This Row],[X base venstre]]*-1</f>
        <v>2.8015817870135784</v>
      </c>
      <c r="DN150" s="54">
        <f t="shared" si="261"/>
        <v>140</v>
      </c>
      <c r="DO150" s="54">
        <f t="shared" si="262"/>
        <v>141</v>
      </c>
      <c r="DP150" s="54">
        <f t="shared" si="263"/>
        <v>17.803772563033831</v>
      </c>
      <c r="DQ150" s="54" t="e">
        <f t="shared" si="264"/>
        <v>#N/A</v>
      </c>
      <c r="DR150" s="54" t="e">
        <f t="shared" si="265"/>
        <v>#N/A</v>
      </c>
      <c r="DS150" s="54">
        <f t="shared" si="266"/>
        <v>2.4363649122558756E-2</v>
      </c>
      <c r="DT150" s="54" t="e">
        <f t="shared" si="267"/>
        <v>#N/A</v>
      </c>
      <c r="DU150" s="54" t="b">
        <f t="shared" si="268"/>
        <v>0</v>
      </c>
      <c r="DV150" s="54" t="b">
        <f t="shared" si="269"/>
        <v>1</v>
      </c>
      <c r="DW150" s="54" t="b">
        <f t="shared" si="270"/>
        <v>0</v>
      </c>
      <c r="DX150" s="54" t="b">
        <f t="shared" si="271"/>
        <v>1</v>
      </c>
      <c r="DY150" s="54">
        <f t="shared" si="272"/>
        <v>2.4363649122558756E-2</v>
      </c>
      <c r="DZ150" s="54" t="e">
        <f t="shared" si="273"/>
        <v>#N/A</v>
      </c>
      <c r="EA150" s="54">
        <f t="shared" si="274"/>
        <v>2.4363649122558756E-2</v>
      </c>
      <c r="EB150" s="69" t="str">
        <f t="shared" si="275"/>
        <v/>
      </c>
      <c r="EG150" s="54">
        <f t="shared" si="276"/>
        <v>140</v>
      </c>
      <c r="EH150" s="54">
        <f t="shared" si="277"/>
        <v>141</v>
      </c>
      <c r="EI150" s="54">
        <f t="shared" si="278"/>
        <v>0.26350818114609265</v>
      </c>
      <c r="EJ150" s="54">
        <f t="shared" si="279"/>
        <v>0.38532936613430413</v>
      </c>
      <c r="EK150" s="54" t="e">
        <f t="shared" si="280"/>
        <v>#N/A</v>
      </c>
      <c r="EL150" s="54" t="e">
        <f t="shared" si="281"/>
        <v>#N/A</v>
      </c>
      <c r="EM150" s="54" t="e">
        <f t="shared" si="282"/>
        <v>#N/A</v>
      </c>
      <c r="EN150" s="54" t="b">
        <f t="shared" si="283"/>
        <v>0</v>
      </c>
      <c r="EO150" s="54" t="b">
        <f t="shared" si="284"/>
        <v>1</v>
      </c>
      <c r="EP150" s="54" t="b">
        <f t="shared" si="285"/>
        <v>0</v>
      </c>
      <c r="EQ150" s="54" t="b">
        <f t="shared" si="286"/>
        <v>1</v>
      </c>
      <c r="ER150" s="54">
        <f t="shared" si="287"/>
        <v>0.38532936613430413</v>
      </c>
      <c r="ES150" s="54" t="e">
        <f t="shared" si="288"/>
        <v>#N/A</v>
      </c>
      <c r="ET150" s="54">
        <f t="shared" si="289"/>
        <v>0.38532936613430413</v>
      </c>
      <c r="EU150" s="69" t="str">
        <f t="shared" si="290"/>
        <v/>
      </c>
      <c r="EV15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5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5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50" s="54" t="e" cm="1">
        <f t="array" ref="EY150">IF($CR$3,INDEX(Eu_tabel_a[[#This Row],[Styrke venstre]:[Styrke tosidet]],EY$7),NA())</f>
        <v>#N/A</v>
      </c>
      <c r="EZ150" s="54" t="e">
        <f>IF(EY$3,IF(CHOOSE(EY$7,Eu_tabel_a[[#This Row],[x base]]&gt;0,Eu_tabel_a[[#This Row],[x base]]&lt;0,Eu_tabel_a[[#This Row],[x base]]=0),1,NA()),NA())</f>
        <v>#N/A</v>
      </c>
      <c r="FA150" s="54" t="e">
        <f>IF(CHOOSE(EY$7,Eu_tabel_a[[#This Row],[x base]]&gt;0,Eu_tabel_a[[#This Row],[x base]]&lt;0,Eu_tabel_a[[#This Row],[x base]]=0),Eu_tabel_a[[#This Row],[Styrke, aktiv]],NA())</f>
        <v>#N/A</v>
      </c>
      <c r="FB150" s="54" t="e">
        <f>IFERROR(IF($EY$3,Eu_tabel_a[[#This Row],[Styrke, aktiv]],NA()),NA())</f>
        <v>#N/A</v>
      </c>
      <c r="FC150" s="54" t="e">
        <f>IF(ISNA(Eu_tabel_a[[#This Row],[Sand negativ
Nulhypotese afvises
Korrekt]]),NA(),IF(EY$3,1,NA()))</f>
        <v>#N/A</v>
      </c>
      <c r="FD150" s="55" t="str" cm="1">
        <f t="array" ref="FD150">IFERROR(_xlfn.SWITCH(Eu_tabel_a[[#This Row],[Indeks]],_xlfn.IFNA(FB$2,-99),FB$5,_xlfn.IFNA(FB$3,-99),FB$6,_xlfn.IFNA(FB$4,-99),FB$7,""),"")</f>
        <v/>
      </c>
      <c r="FE150" s="54">
        <f>Eu_tabel_a[[#This Row],[x base]]*SQRT(Eu_a_h0_x*(1-Eu_a_h0_x)/Eu_a_n_x)+Eu_a_h0_x</f>
        <v>0</v>
      </c>
      <c r="FJ150" s="144" t="e">
        <f t="shared" si="234"/>
        <v>#N/A</v>
      </c>
      <c r="FK150" s="152" t="e">
        <f t="shared" si="218"/>
        <v>#DIV/0!</v>
      </c>
      <c r="FL150" s="7" t="e">
        <f t="shared" si="228"/>
        <v>#DIV/0!</v>
      </c>
      <c r="FM150" t="e">
        <f t="shared" si="219"/>
        <v>#DIV/0!</v>
      </c>
      <c r="FN150" s="8" t="e">
        <f t="shared" si="220"/>
        <v>#DIV/0!</v>
      </c>
      <c r="FO150" s="8" t="e">
        <f t="shared" si="221"/>
        <v>#DIV/0!</v>
      </c>
      <c r="FP150" s="151" t="e">
        <f t="shared" si="222"/>
        <v>#DIV/0!</v>
      </c>
      <c r="FQ150" s="144" t="e">
        <f t="shared" ca="1" si="229"/>
        <v>#N/A</v>
      </c>
      <c r="FR150" s="152" t="e" vm="3">
        <f t="shared" ca="1" si="235"/>
        <v>#VALUE!</v>
      </c>
      <c r="FS150" s="7" t="e" vm="3">
        <f t="shared" ca="1" si="230"/>
        <v>#VALUE!</v>
      </c>
      <c r="FT150" t="e" vm="3">
        <f t="shared" ca="1" si="224"/>
        <v>#VALUE!</v>
      </c>
      <c r="FU150" s="8" t="e" vm="3">
        <f t="shared" ca="1" si="225"/>
        <v>#VALUE!</v>
      </c>
      <c r="FV150" s="8" t="e" vm="3">
        <f t="shared" ca="1" si="226"/>
        <v>#VALUE!</v>
      </c>
      <c r="FW150" s="151" t="e" vm="3">
        <f t="shared" ca="1" si="227"/>
        <v>#VALUE!</v>
      </c>
      <c r="FX150" s="144" t="e">
        <f t="shared" si="231"/>
        <v>#N/A</v>
      </c>
      <c r="FY150" s="152" t="e">
        <f t="shared" si="236"/>
        <v>#N/A</v>
      </c>
      <c r="FZ150" s="7" t="e">
        <f t="shared" si="232"/>
        <v>#N/A</v>
      </c>
      <c r="GA150" t="e">
        <f t="shared" si="237"/>
        <v>#N/A</v>
      </c>
      <c r="GB150" s="8" t="e">
        <f t="shared" si="238"/>
        <v>#N/A</v>
      </c>
      <c r="GC150" s="8" t="e">
        <f t="shared" si="239"/>
        <v>#N/A</v>
      </c>
      <c r="GD150" s="151" t="e">
        <f t="shared" si="240"/>
        <v>#N/A</v>
      </c>
      <c r="GE150" s="144" t="e">
        <f t="shared" si="241"/>
        <v>#N/A</v>
      </c>
      <c r="GF150" s="152" t="e">
        <f t="shared" si="242"/>
        <v>#N/A</v>
      </c>
      <c r="GG150" s="7" t="e">
        <f t="shared" si="233"/>
        <v>#N/A</v>
      </c>
      <c r="GH150" t="e">
        <f t="shared" si="243"/>
        <v>#N/A</v>
      </c>
      <c r="GI150" s="8" t="e">
        <f t="shared" si="244"/>
        <v>#N/A</v>
      </c>
      <c r="GJ150" s="8" t="e">
        <f t="shared" si="245"/>
        <v>#N/A</v>
      </c>
      <c r="GK150" s="151" t="e">
        <f t="shared" si="246"/>
        <v>#N/A</v>
      </c>
      <c r="GL150" s="151"/>
      <c r="GM150" s="151"/>
      <c r="GP150" s="54">
        <f t="shared" si="291"/>
        <v>140</v>
      </c>
      <c r="GQ150" s="54">
        <f t="shared" si="292"/>
        <v>141</v>
      </c>
      <c r="GR150" s="54">
        <f t="shared" si="293"/>
        <v>0.26350818114609265</v>
      </c>
      <c r="GS150" s="54">
        <f t="shared" si="294"/>
        <v>0.38532936613430413</v>
      </c>
      <c r="GT150" s="54" t="e">
        <f t="shared" si="295"/>
        <v>#N/A</v>
      </c>
      <c r="GU150" s="54" t="e">
        <f t="shared" si="296"/>
        <v>#N/A</v>
      </c>
      <c r="GV150" s="54" t="e">
        <f t="shared" si="297"/>
        <v>#N/A</v>
      </c>
      <c r="GW150" s="54" t="b">
        <f t="shared" si="298"/>
        <v>0</v>
      </c>
      <c r="GX150" s="54" t="b">
        <f t="shared" si="299"/>
        <v>1</v>
      </c>
      <c r="GY150" s="54" t="b">
        <f t="shared" si="300"/>
        <v>0</v>
      </c>
      <c r="GZ150" s="54" t="b">
        <f t="shared" si="301"/>
        <v>1</v>
      </c>
      <c r="HA150" s="54">
        <f t="shared" si="302"/>
        <v>0.38532936613430413</v>
      </c>
      <c r="HB150" s="54" t="e">
        <f t="shared" si="303"/>
        <v>#N/A</v>
      </c>
      <c r="HC150" s="54">
        <f t="shared" si="304"/>
        <v>0.38532936613430413</v>
      </c>
      <c r="HD150" s="69" t="str">
        <f t="shared" si="305"/>
        <v/>
      </c>
      <c r="HJ150" s="54">
        <f t="shared" si="306"/>
        <v>140</v>
      </c>
      <c r="HK150" s="54">
        <f t="shared" si="307"/>
        <v>141</v>
      </c>
      <c r="HL150" s="54">
        <f t="shared" si="308"/>
        <v>0.40804795282962569</v>
      </c>
      <c r="HM150" s="54" t="e">
        <f t="shared" si="309"/>
        <v>#N/A</v>
      </c>
      <c r="HN150" s="54">
        <f t="shared" si="310"/>
        <v>0.35044031794837688</v>
      </c>
      <c r="HO150" s="54" t="e">
        <f t="shared" si="311"/>
        <v>#N/A</v>
      </c>
      <c r="HP150" s="54" t="e">
        <f t="shared" si="312"/>
        <v>#N/A</v>
      </c>
      <c r="HQ150" s="54" t="b">
        <f t="shared" si="313"/>
        <v>1</v>
      </c>
      <c r="HR150" s="54" t="b">
        <f t="shared" si="314"/>
        <v>0</v>
      </c>
      <c r="HS150" s="54" t="b">
        <f t="shared" si="315"/>
        <v>0</v>
      </c>
      <c r="HT150" s="54" t="b">
        <f t="shared" si="316"/>
        <v>1</v>
      </c>
      <c r="HU150" s="54">
        <f t="shared" si="317"/>
        <v>0.35044031794837688</v>
      </c>
      <c r="HV150" s="54">
        <f t="shared" si="318"/>
        <v>0.35044031794837688</v>
      </c>
      <c r="HW150" s="54" t="e">
        <f t="shared" si="319"/>
        <v>#N/A</v>
      </c>
      <c r="HX150" s="69" t="str">
        <f t="shared" si="320"/>
        <v/>
      </c>
    </row>
    <row r="151" spans="78:232" x14ac:dyDescent="0.2">
      <c r="BZ151" s="54">
        <f t="shared" si="247"/>
        <v>141</v>
      </c>
      <c r="CA151" s="54">
        <f>Eu_tabel_g[[#This Row],[Indeks]]+1</f>
        <v>142</v>
      </c>
      <c r="CB151" s="54">
        <f t="shared" si="248"/>
        <v>0.28746347034119202</v>
      </c>
      <c r="CC151" s="54">
        <f t="shared" si="249"/>
        <v>0.38279481799811688</v>
      </c>
      <c r="CD151" s="54" t="e">
        <f t="shared" si="250"/>
        <v>#N/A</v>
      </c>
      <c r="CE151" s="54" t="e">
        <f t="shared" si="251"/>
        <v>#N/A</v>
      </c>
      <c r="CF151" s="54" t="e">
        <f t="shared" si="252"/>
        <v>#N/A</v>
      </c>
      <c r="CG151" s="54" t="b">
        <f t="shared" si="253"/>
        <v>0</v>
      </c>
      <c r="CH151" s="54" t="b">
        <f t="shared" si="254"/>
        <v>1</v>
      </c>
      <c r="CI151" s="54" t="b">
        <f t="shared" si="255"/>
        <v>0</v>
      </c>
      <c r="CJ151" s="54" t="b">
        <f t="shared" si="256"/>
        <v>1</v>
      </c>
      <c r="CK151" s="54">
        <f t="shared" si="223"/>
        <v>0.38279481799811688</v>
      </c>
      <c r="CL151" s="54" t="e">
        <f t="shared" si="257"/>
        <v>#N/A</v>
      </c>
      <c r="CM151" s="54">
        <f t="shared" si="258"/>
        <v>0.38279481799811688</v>
      </c>
      <c r="CN151" s="69" t="str">
        <f t="shared" si="259"/>
        <v/>
      </c>
      <c r="CO151" s="54">
        <f>_xlfn.NORM.DIST(_xlfn.NORM.INV(1-Eu_g_konfidensniveau,0,1)-Eu_tabel_g[[#This Row],[x base]],0,1,TRUE)</f>
        <v>2.6660189708944231E-2</v>
      </c>
      <c r="CP151" s="54">
        <f>1-_xlfn.NORM.DIST(_xlfn.NORM.INV(Eu_g_konfidensniveau,0,1)-Eu_tabel_g[[#This Row],[x base]],0,1,TRUE)</f>
        <v>8.7328637113466168E-2</v>
      </c>
      <c r="CQ151" s="54">
        <f>_xlfn.NORM.DIST(_xlfn.NORM.INV((1-Eu_g_konfidensniveau)/2,0,1)-Eu_tabel_g[[#This Row],[x base]],0,1,TRUE)+1-_xlfn.NORM.DIST(_xlfn.NORM.INV(1-(1-Eu_g_konfidensniveau)/2,0,1)-Eu_tabel_g[[#This Row],[x base]],0,1,TRUE)</f>
        <v>5.9519194294059163E-2</v>
      </c>
      <c r="CR151" s="54" t="e" cm="1">
        <f t="array" ref="CR151">IF($CR$3,INDEX(Eu_tabel_g[[#This Row],[Styrke venstre]:[Styrke tosidet]],CR$7),NA())</f>
        <v>#N/A</v>
      </c>
      <c r="CS151" s="89" t="e">
        <f>Eu_tabel_g[[#This Row],[Falsk positiv
Nulhypotese accepteres
Fejltype 1]]</f>
        <v>#N/A</v>
      </c>
      <c r="CT151" s="89" t="e">
        <f>IF(CHOOSE(CR$7,Eu_tabel_g[[#This Row],[x base]]&gt;0,Eu_tabel_g[[#This Row],[x base]]&lt;0,Eu_tabel_g[[#This Row],[x base]]=0),Eu_tabel_g[[#This Row],[Styrke, aktiv]],NA())</f>
        <v>#N/A</v>
      </c>
      <c r="CU151" s="89" t="e">
        <f>IFERROR(IF($CR$3,Eu_tabel_g[[#This Row],[Styrke, aktiv]],NA()),NA())</f>
        <v>#N/A</v>
      </c>
      <c r="CV151" s="89" t="e">
        <f>IF(ISNA(Eu_tabel_g[[#This Row],[Sand negativ
Nulhypotese afvises
Korrekt]]),NA(),IF($CR$3,1,NA()))</f>
        <v>#N/A</v>
      </c>
      <c r="CW151" s="56" t="str" cm="1">
        <f t="array" ref="CW151">_xlfn.SWITCH(BZ151,_xlfn.IFNA(CU$2,-99),CU$5,_xlfn.IFNA(CU$3,-99),CU$6,_xlfn.IFNA(CU$4,-99),CU$7,"")</f>
        <v/>
      </c>
      <c r="DA151" s="7">
        <f t="shared" si="260"/>
        <v>0.8</v>
      </c>
      <c r="DB151">
        <f>IF(ROW(Styrkeberegning_G[[#This Row],[X base venstre]])=ROW(Styrkeberegning_G[[#Headers],[X base venstre]])+1,DB$7/(DA$7/$B$67),DB150/(DA150/$B$67))</f>
        <v>-2.8015817870135784</v>
      </c>
      <c r="DC151">
        <f>Styrkeberegning_G[[#This Row],[X base venstre]]*-1</f>
        <v>2.8015817870135784</v>
      </c>
      <c r="DN151" s="54">
        <f t="shared" si="261"/>
        <v>141</v>
      </c>
      <c r="DO151" s="54">
        <f t="shared" si="262"/>
        <v>142</v>
      </c>
      <c r="DP151" s="54">
        <f t="shared" si="263"/>
        <v>17.917843419450833</v>
      </c>
      <c r="DQ151" s="54" t="e">
        <f t="shared" si="264"/>
        <v>#N/A</v>
      </c>
      <c r="DR151" s="54" t="e">
        <f t="shared" si="265"/>
        <v>#N/A</v>
      </c>
      <c r="DS151" s="54">
        <f t="shared" si="266"/>
        <v>2.368393234023642E-2</v>
      </c>
      <c r="DT151" s="54" t="e">
        <f t="shared" si="267"/>
        <v>#N/A</v>
      </c>
      <c r="DU151" s="54" t="b">
        <f t="shared" si="268"/>
        <v>0</v>
      </c>
      <c r="DV151" s="54" t="b">
        <f t="shared" si="269"/>
        <v>1</v>
      </c>
      <c r="DW151" s="54" t="b">
        <f t="shared" si="270"/>
        <v>0</v>
      </c>
      <c r="DX151" s="54" t="b">
        <f t="shared" si="271"/>
        <v>1</v>
      </c>
      <c r="DY151" s="54">
        <f t="shared" si="272"/>
        <v>2.368393234023642E-2</v>
      </c>
      <c r="DZ151" s="54" t="e">
        <f t="shared" si="273"/>
        <v>#N/A</v>
      </c>
      <c r="EA151" s="54">
        <f t="shared" si="274"/>
        <v>2.368393234023642E-2</v>
      </c>
      <c r="EB151" s="69" t="str">
        <f t="shared" si="275"/>
        <v/>
      </c>
      <c r="EG151" s="54">
        <f t="shared" si="276"/>
        <v>141</v>
      </c>
      <c r="EH151" s="54">
        <f t="shared" si="277"/>
        <v>142</v>
      </c>
      <c r="EI151" s="54">
        <f t="shared" si="278"/>
        <v>0.28746347034119202</v>
      </c>
      <c r="EJ151" s="54">
        <f t="shared" si="279"/>
        <v>0.38279481799811688</v>
      </c>
      <c r="EK151" s="54" t="e">
        <f t="shared" si="280"/>
        <v>#N/A</v>
      </c>
      <c r="EL151" s="54" t="e">
        <f t="shared" si="281"/>
        <v>#N/A</v>
      </c>
      <c r="EM151" s="54" t="e">
        <f t="shared" si="282"/>
        <v>#N/A</v>
      </c>
      <c r="EN151" s="54" t="b">
        <f t="shared" si="283"/>
        <v>0</v>
      </c>
      <c r="EO151" s="54" t="b">
        <f t="shared" si="284"/>
        <v>1</v>
      </c>
      <c r="EP151" s="54" t="b">
        <f t="shared" si="285"/>
        <v>0</v>
      </c>
      <c r="EQ151" s="54" t="b">
        <f t="shared" si="286"/>
        <v>1</v>
      </c>
      <c r="ER151" s="54">
        <f t="shared" si="287"/>
        <v>0.38279481799811688</v>
      </c>
      <c r="ES151" s="54" t="e">
        <f t="shared" si="288"/>
        <v>#N/A</v>
      </c>
      <c r="ET151" s="54">
        <f t="shared" si="289"/>
        <v>0.38279481799811688</v>
      </c>
      <c r="EU151" s="69" t="str">
        <f t="shared" si="290"/>
        <v/>
      </c>
      <c r="EV15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5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5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51" s="54" t="e" cm="1">
        <f t="array" ref="EY151">IF($CR$3,INDEX(Eu_tabel_a[[#This Row],[Styrke venstre]:[Styrke tosidet]],EY$7),NA())</f>
        <v>#N/A</v>
      </c>
      <c r="EZ151" s="54" t="e">
        <f>IF(EY$3,IF(CHOOSE(EY$7,Eu_tabel_a[[#This Row],[x base]]&gt;0,Eu_tabel_a[[#This Row],[x base]]&lt;0,Eu_tabel_a[[#This Row],[x base]]=0),1,NA()),NA())</f>
        <v>#N/A</v>
      </c>
      <c r="FA151" s="54" t="e">
        <f>IF(CHOOSE(EY$7,Eu_tabel_a[[#This Row],[x base]]&gt;0,Eu_tabel_a[[#This Row],[x base]]&lt;0,Eu_tabel_a[[#This Row],[x base]]=0),Eu_tabel_a[[#This Row],[Styrke, aktiv]],NA())</f>
        <v>#N/A</v>
      </c>
      <c r="FB151" s="54" t="e">
        <f>IFERROR(IF($EY$3,Eu_tabel_a[[#This Row],[Styrke, aktiv]],NA()),NA())</f>
        <v>#N/A</v>
      </c>
      <c r="FC151" s="54" t="e">
        <f>IF(ISNA(Eu_tabel_a[[#This Row],[Sand negativ
Nulhypotese afvises
Korrekt]]),NA(),IF(EY$3,1,NA()))</f>
        <v>#N/A</v>
      </c>
      <c r="FD151" s="55" t="str" cm="1">
        <f t="array" ref="FD151">IFERROR(_xlfn.SWITCH(Eu_tabel_a[[#This Row],[Indeks]],_xlfn.IFNA(FB$2,-99),FB$5,_xlfn.IFNA(FB$3,-99),FB$6,_xlfn.IFNA(FB$4,-99),FB$7,""),"")</f>
        <v/>
      </c>
      <c r="FE151" s="54">
        <f>Eu_tabel_a[[#This Row],[x base]]*SQRT(Eu_a_h0_x*(1-Eu_a_h0_x)/Eu_a_n_x)+Eu_a_h0_x</f>
        <v>0</v>
      </c>
      <c r="FJ151" s="144" t="e">
        <f t="shared" si="234"/>
        <v>#N/A</v>
      </c>
      <c r="FK151" s="152" t="e">
        <f t="shared" si="218"/>
        <v>#DIV/0!</v>
      </c>
      <c r="FL151" s="7" t="e">
        <f t="shared" si="228"/>
        <v>#DIV/0!</v>
      </c>
      <c r="FM151" t="e">
        <f t="shared" si="219"/>
        <v>#DIV/0!</v>
      </c>
      <c r="FN151" s="8" t="e">
        <f t="shared" si="220"/>
        <v>#DIV/0!</v>
      </c>
      <c r="FO151" s="8" t="e">
        <f t="shared" si="221"/>
        <v>#DIV/0!</v>
      </c>
      <c r="FP151" s="151" t="e">
        <f t="shared" si="222"/>
        <v>#DIV/0!</v>
      </c>
      <c r="FQ151" s="144" t="e">
        <f t="shared" ca="1" si="229"/>
        <v>#N/A</v>
      </c>
      <c r="FR151" s="152" t="e" vm="3">
        <f t="shared" ca="1" si="235"/>
        <v>#VALUE!</v>
      </c>
      <c r="FS151" s="7" t="e" vm="3">
        <f t="shared" ca="1" si="230"/>
        <v>#VALUE!</v>
      </c>
      <c r="FT151" t="e" vm="3">
        <f t="shared" ca="1" si="224"/>
        <v>#VALUE!</v>
      </c>
      <c r="FU151" s="8" t="e" vm="3">
        <f t="shared" ca="1" si="225"/>
        <v>#VALUE!</v>
      </c>
      <c r="FV151" s="8" t="e" vm="3">
        <f t="shared" ca="1" si="226"/>
        <v>#VALUE!</v>
      </c>
      <c r="FW151" s="151" t="e" vm="3">
        <f t="shared" ca="1" si="227"/>
        <v>#VALUE!</v>
      </c>
      <c r="FX151" s="144" t="e">
        <f t="shared" si="231"/>
        <v>#N/A</v>
      </c>
      <c r="FY151" s="152" t="e">
        <f t="shared" si="236"/>
        <v>#N/A</v>
      </c>
      <c r="FZ151" s="7" t="e">
        <f t="shared" si="232"/>
        <v>#N/A</v>
      </c>
      <c r="GA151" t="e">
        <f t="shared" si="237"/>
        <v>#N/A</v>
      </c>
      <c r="GB151" s="8" t="e">
        <f t="shared" si="238"/>
        <v>#N/A</v>
      </c>
      <c r="GC151" s="8" t="e">
        <f t="shared" si="239"/>
        <v>#N/A</v>
      </c>
      <c r="GD151" s="151" t="e">
        <f t="shared" si="240"/>
        <v>#N/A</v>
      </c>
      <c r="GE151" s="144" t="e">
        <f t="shared" si="241"/>
        <v>#N/A</v>
      </c>
      <c r="GF151" s="152" t="e">
        <f t="shared" si="242"/>
        <v>#N/A</v>
      </c>
      <c r="GG151" s="7" t="e">
        <f t="shared" si="233"/>
        <v>#N/A</v>
      </c>
      <c r="GH151" t="e">
        <f t="shared" si="243"/>
        <v>#N/A</v>
      </c>
      <c r="GI151" s="8" t="e">
        <f t="shared" si="244"/>
        <v>#N/A</v>
      </c>
      <c r="GJ151" s="8" t="e">
        <f t="shared" si="245"/>
        <v>#N/A</v>
      </c>
      <c r="GK151" s="151" t="e">
        <f t="shared" si="246"/>
        <v>#N/A</v>
      </c>
      <c r="GL151" s="151"/>
      <c r="GM151" s="151"/>
      <c r="GP151" s="54">
        <f t="shared" si="291"/>
        <v>141</v>
      </c>
      <c r="GQ151" s="54">
        <f t="shared" si="292"/>
        <v>142</v>
      </c>
      <c r="GR151" s="54">
        <f t="shared" si="293"/>
        <v>0.28746347034119202</v>
      </c>
      <c r="GS151" s="54">
        <f t="shared" si="294"/>
        <v>0.38279481799811688</v>
      </c>
      <c r="GT151" s="54" t="e">
        <f t="shared" si="295"/>
        <v>#N/A</v>
      </c>
      <c r="GU151" s="54" t="e">
        <f t="shared" si="296"/>
        <v>#N/A</v>
      </c>
      <c r="GV151" s="54" t="e">
        <f t="shared" si="297"/>
        <v>#N/A</v>
      </c>
      <c r="GW151" s="54" t="b">
        <f t="shared" si="298"/>
        <v>0</v>
      </c>
      <c r="GX151" s="54" t="b">
        <f t="shared" si="299"/>
        <v>1</v>
      </c>
      <c r="GY151" s="54" t="b">
        <f t="shared" si="300"/>
        <v>0</v>
      </c>
      <c r="GZ151" s="54" t="b">
        <f t="shared" si="301"/>
        <v>1</v>
      </c>
      <c r="HA151" s="54">
        <f t="shared" si="302"/>
        <v>0.38279481799811688</v>
      </c>
      <c r="HB151" s="54" t="e">
        <f t="shared" si="303"/>
        <v>#N/A</v>
      </c>
      <c r="HC151" s="54">
        <f t="shared" si="304"/>
        <v>0.38279481799811688</v>
      </c>
      <c r="HD151" s="69" t="str">
        <f t="shared" si="305"/>
        <v/>
      </c>
      <c r="HJ151" s="54">
        <f t="shared" si="306"/>
        <v>141</v>
      </c>
      <c r="HK151" s="54">
        <f t="shared" si="307"/>
        <v>142</v>
      </c>
      <c r="HL151" s="54">
        <f t="shared" si="308"/>
        <v>0.44514322126868233</v>
      </c>
      <c r="HM151" s="54" t="e">
        <f t="shared" si="309"/>
        <v>#N/A</v>
      </c>
      <c r="HN151" s="54">
        <f t="shared" si="310"/>
        <v>0.34431748323144512</v>
      </c>
      <c r="HO151" s="54" t="e">
        <f t="shared" si="311"/>
        <v>#N/A</v>
      </c>
      <c r="HP151" s="54" t="e">
        <f t="shared" si="312"/>
        <v>#N/A</v>
      </c>
      <c r="HQ151" s="54" t="b">
        <f t="shared" si="313"/>
        <v>1</v>
      </c>
      <c r="HR151" s="54" t="b">
        <f t="shared" si="314"/>
        <v>0</v>
      </c>
      <c r="HS151" s="54" t="b">
        <f t="shared" si="315"/>
        <v>0</v>
      </c>
      <c r="HT151" s="54" t="b">
        <f t="shared" si="316"/>
        <v>1</v>
      </c>
      <c r="HU151" s="54">
        <f t="shared" si="317"/>
        <v>0.34431748323144512</v>
      </c>
      <c r="HV151" s="54">
        <f t="shared" si="318"/>
        <v>0.34431748323144512</v>
      </c>
      <c r="HW151" s="54" t="e">
        <f t="shared" si="319"/>
        <v>#N/A</v>
      </c>
      <c r="HX151" s="69" t="str">
        <f t="shared" si="320"/>
        <v/>
      </c>
    </row>
    <row r="152" spans="78:232" x14ac:dyDescent="0.2">
      <c r="BZ152" s="54">
        <f t="shared" si="247"/>
        <v>142</v>
      </c>
      <c r="CA152" s="54">
        <f>Eu_tabel_g[[#This Row],[Indeks]]+1</f>
        <v>143</v>
      </c>
      <c r="CB152" s="54">
        <f t="shared" si="248"/>
        <v>0.31141875953629139</v>
      </c>
      <c r="CC152" s="54">
        <f t="shared" si="249"/>
        <v>0.38005877958699552</v>
      </c>
      <c r="CD152" s="54" t="e">
        <f t="shared" si="250"/>
        <v>#N/A</v>
      </c>
      <c r="CE152" s="54" t="e">
        <f t="shared" si="251"/>
        <v>#N/A</v>
      </c>
      <c r="CF152" s="54" t="e">
        <f t="shared" si="252"/>
        <v>#N/A</v>
      </c>
      <c r="CG152" s="54" t="b">
        <f t="shared" si="253"/>
        <v>0</v>
      </c>
      <c r="CH152" s="54" t="b">
        <f t="shared" si="254"/>
        <v>1</v>
      </c>
      <c r="CI152" s="54" t="b">
        <f t="shared" si="255"/>
        <v>0</v>
      </c>
      <c r="CJ152" s="54" t="b">
        <f t="shared" si="256"/>
        <v>1</v>
      </c>
      <c r="CK152" s="54">
        <f t="shared" si="223"/>
        <v>0.38005877958699552</v>
      </c>
      <c r="CL152" s="54" t="e">
        <f t="shared" si="257"/>
        <v>#N/A</v>
      </c>
      <c r="CM152" s="54">
        <f t="shared" si="258"/>
        <v>0.38005877958699552</v>
      </c>
      <c r="CN152" s="69" t="str">
        <f t="shared" si="259"/>
        <v/>
      </c>
      <c r="CO152" s="54">
        <f>_xlfn.NORM.DIST(_xlfn.NORM.INV(1-Eu_g_konfidensniveau,0,1)-Eu_tabel_g[[#This Row],[x base]],0,1,TRUE)</f>
        <v>2.5216537638391368E-2</v>
      </c>
      <c r="CP152" s="54">
        <f>1-_xlfn.NORM.DIST(_xlfn.NORM.INV(Eu_g_konfidensniveau,0,1)-Eu_tabel_g[[#This Row],[x base]],0,1,TRUE)</f>
        <v>9.1194568240704932E-2</v>
      </c>
      <c r="CQ152" s="54">
        <f>_xlfn.NORM.DIST(_xlfn.NORM.INV((1-Eu_g_konfidensniveau)/2,0,1)-Eu_tabel_g[[#This Row],[x base]],0,1,TRUE)+1-_xlfn.NORM.DIST(_xlfn.NORM.INV(1-(1-Eu_g_konfidensniveau)/2,0,1)-Eu_tabel_g[[#This Row],[x base]],0,1,TRUE)</f>
        <v>6.1182328184333556E-2</v>
      </c>
      <c r="CR152" s="54" t="e" cm="1">
        <f t="array" ref="CR152">IF($CR$3,INDEX(Eu_tabel_g[[#This Row],[Styrke venstre]:[Styrke tosidet]],CR$7),NA())</f>
        <v>#N/A</v>
      </c>
      <c r="CS152" s="89" t="e">
        <f>Eu_tabel_g[[#This Row],[Falsk positiv
Nulhypotese accepteres
Fejltype 1]]</f>
        <v>#N/A</v>
      </c>
      <c r="CT152" s="89" t="e">
        <f>IF(CHOOSE(CR$7,Eu_tabel_g[[#This Row],[x base]]&gt;0,Eu_tabel_g[[#This Row],[x base]]&lt;0,Eu_tabel_g[[#This Row],[x base]]=0),Eu_tabel_g[[#This Row],[Styrke, aktiv]],NA())</f>
        <v>#N/A</v>
      </c>
      <c r="CU152" s="89" t="e">
        <f>IFERROR(IF($CR$3,Eu_tabel_g[[#This Row],[Styrke, aktiv]],NA()),NA())</f>
        <v>#N/A</v>
      </c>
      <c r="CV152" s="89" t="e">
        <f>IF(ISNA(Eu_tabel_g[[#This Row],[Sand negativ
Nulhypotese afvises
Korrekt]]),NA(),IF($CR$3,1,NA()))</f>
        <v>#N/A</v>
      </c>
      <c r="CW152" s="56" t="str" cm="1">
        <f t="array" ref="CW152">_xlfn.SWITCH(BZ152,_xlfn.IFNA(CU$2,-99),CU$5,_xlfn.IFNA(CU$3,-99),CU$6,_xlfn.IFNA(CU$4,-99),CU$7,"")</f>
        <v/>
      </c>
      <c r="DA152" s="7">
        <f t="shared" si="260"/>
        <v>0.8</v>
      </c>
      <c r="DB152">
        <f>IF(ROW(Styrkeberegning_G[[#This Row],[X base venstre]])=ROW(Styrkeberegning_G[[#Headers],[X base venstre]])+1,DB$7/(DA$7/$B$67),DB151/(DA151/$B$67))</f>
        <v>-2.8015817870135784</v>
      </c>
      <c r="DC152">
        <f>Styrkeberegning_G[[#This Row],[X base venstre]]*-1</f>
        <v>2.8015817870135784</v>
      </c>
      <c r="DN152" s="54">
        <f t="shared" si="261"/>
        <v>142</v>
      </c>
      <c r="DO152" s="54">
        <f t="shared" si="262"/>
        <v>143</v>
      </c>
      <c r="DP152" s="54">
        <f t="shared" si="263"/>
        <v>18.031914275867834</v>
      </c>
      <c r="DQ152" s="54" t="e">
        <f t="shared" si="264"/>
        <v>#N/A</v>
      </c>
      <c r="DR152" s="54" t="e">
        <f t="shared" si="265"/>
        <v>#N/A</v>
      </c>
      <c r="DS152" s="54">
        <f t="shared" si="266"/>
        <v>2.3018980048812178E-2</v>
      </c>
      <c r="DT152" s="54" t="e">
        <f t="shared" si="267"/>
        <v>#N/A</v>
      </c>
      <c r="DU152" s="54" t="b">
        <f t="shared" si="268"/>
        <v>0</v>
      </c>
      <c r="DV152" s="54" t="b">
        <f t="shared" si="269"/>
        <v>1</v>
      </c>
      <c r="DW152" s="54" t="b">
        <f t="shared" si="270"/>
        <v>0</v>
      </c>
      <c r="DX152" s="54" t="b">
        <f t="shared" si="271"/>
        <v>1</v>
      </c>
      <c r="DY152" s="54">
        <f t="shared" si="272"/>
        <v>2.3018980048812178E-2</v>
      </c>
      <c r="DZ152" s="54" t="e">
        <f t="shared" si="273"/>
        <v>#N/A</v>
      </c>
      <c r="EA152" s="54">
        <f t="shared" si="274"/>
        <v>2.3018980048812178E-2</v>
      </c>
      <c r="EB152" s="69" t="str">
        <f t="shared" si="275"/>
        <v/>
      </c>
      <c r="EG152" s="54">
        <f t="shared" si="276"/>
        <v>142</v>
      </c>
      <c r="EH152" s="54">
        <f t="shared" si="277"/>
        <v>143</v>
      </c>
      <c r="EI152" s="54">
        <f t="shared" si="278"/>
        <v>0.31141875953629139</v>
      </c>
      <c r="EJ152" s="54">
        <f t="shared" si="279"/>
        <v>0.38005877958699552</v>
      </c>
      <c r="EK152" s="54" t="e">
        <f t="shared" si="280"/>
        <v>#N/A</v>
      </c>
      <c r="EL152" s="54" t="e">
        <f t="shared" si="281"/>
        <v>#N/A</v>
      </c>
      <c r="EM152" s="54" t="e">
        <f t="shared" si="282"/>
        <v>#N/A</v>
      </c>
      <c r="EN152" s="54" t="b">
        <f t="shared" si="283"/>
        <v>0</v>
      </c>
      <c r="EO152" s="54" t="b">
        <f t="shared" si="284"/>
        <v>1</v>
      </c>
      <c r="EP152" s="54" t="b">
        <f t="shared" si="285"/>
        <v>0</v>
      </c>
      <c r="EQ152" s="54" t="b">
        <f t="shared" si="286"/>
        <v>1</v>
      </c>
      <c r="ER152" s="54">
        <f t="shared" si="287"/>
        <v>0.38005877958699552</v>
      </c>
      <c r="ES152" s="54" t="e">
        <f t="shared" si="288"/>
        <v>#N/A</v>
      </c>
      <c r="ET152" s="54">
        <f t="shared" si="289"/>
        <v>0.38005877958699552</v>
      </c>
      <c r="EU152" s="69" t="str">
        <f t="shared" si="290"/>
        <v/>
      </c>
      <c r="EV15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5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5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52" s="54" t="e" cm="1">
        <f t="array" ref="EY152">IF($CR$3,INDEX(Eu_tabel_a[[#This Row],[Styrke venstre]:[Styrke tosidet]],EY$7),NA())</f>
        <v>#N/A</v>
      </c>
      <c r="EZ152" s="54" t="e">
        <f>IF(EY$3,IF(CHOOSE(EY$7,Eu_tabel_a[[#This Row],[x base]]&gt;0,Eu_tabel_a[[#This Row],[x base]]&lt;0,Eu_tabel_a[[#This Row],[x base]]=0),1,NA()),NA())</f>
        <v>#N/A</v>
      </c>
      <c r="FA152" s="54" t="e">
        <f>IF(CHOOSE(EY$7,Eu_tabel_a[[#This Row],[x base]]&gt;0,Eu_tabel_a[[#This Row],[x base]]&lt;0,Eu_tabel_a[[#This Row],[x base]]=0),Eu_tabel_a[[#This Row],[Styrke, aktiv]],NA())</f>
        <v>#N/A</v>
      </c>
      <c r="FB152" s="54" t="e">
        <f>IFERROR(IF($EY$3,Eu_tabel_a[[#This Row],[Styrke, aktiv]],NA()),NA())</f>
        <v>#N/A</v>
      </c>
      <c r="FC152" s="54" t="e">
        <f>IF(ISNA(Eu_tabel_a[[#This Row],[Sand negativ
Nulhypotese afvises
Korrekt]]),NA(),IF(EY$3,1,NA()))</f>
        <v>#N/A</v>
      </c>
      <c r="FD152" s="55" t="str" cm="1">
        <f t="array" ref="FD152">IFERROR(_xlfn.SWITCH(Eu_tabel_a[[#This Row],[Indeks]],_xlfn.IFNA(FB$2,-99),FB$5,_xlfn.IFNA(FB$3,-99),FB$6,_xlfn.IFNA(FB$4,-99),FB$7,""),"")</f>
        <v/>
      </c>
      <c r="FE152" s="54">
        <f>Eu_tabel_a[[#This Row],[x base]]*SQRT(Eu_a_h0_x*(1-Eu_a_h0_x)/Eu_a_n_x)+Eu_a_h0_x</f>
        <v>0</v>
      </c>
      <c r="FJ152" s="144" t="e">
        <f t="shared" si="234"/>
        <v>#N/A</v>
      </c>
      <c r="FK152" s="152" t="e">
        <f t="shared" si="218"/>
        <v>#DIV/0!</v>
      </c>
      <c r="FL152" s="7" t="e">
        <f t="shared" si="228"/>
        <v>#DIV/0!</v>
      </c>
      <c r="FM152" t="e">
        <f t="shared" si="219"/>
        <v>#DIV/0!</v>
      </c>
      <c r="FN152" s="8" t="e">
        <f t="shared" si="220"/>
        <v>#DIV/0!</v>
      </c>
      <c r="FO152" s="8" t="e">
        <f t="shared" si="221"/>
        <v>#DIV/0!</v>
      </c>
      <c r="FP152" s="151" t="e">
        <f t="shared" si="222"/>
        <v>#DIV/0!</v>
      </c>
      <c r="FQ152" s="144" t="e">
        <f t="shared" ca="1" si="229"/>
        <v>#N/A</v>
      </c>
      <c r="FR152" s="152" t="e" vm="3">
        <f t="shared" ca="1" si="235"/>
        <v>#VALUE!</v>
      </c>
      <c r="FS152" s="7" t="e" vm="3">
        <f t="shared" ca="1" si="230"/>
        <v>#VALUE!</v>
      </c>
      <c r="FT152" t="e" vm="3">
        <f t="shared" ca="1" si="224"/>
        <v>#VALUE!</v>
      </c>
      <c r="FU152" s="8" t="e" vm="3">
        <f t="shared" ca="1" si="225"/>
        <v>#VALUE!</v>
      </c>
      <c r="FV152" s="8" t="e" vm="3">
        <f t="shared" ca="1" si="226"/>
        <v>#VALUE!</v>
      </c>
      <c r="FW152" s="151" t="e" vm="3">
        <f t="shared" ca="1" si="227"/>
        <v>#VALUE!</v>
      </c>
      <c r="FX152" s="144" t="e">
        <f t="shared" si="231"/>
        <v>#N/A</v>
      </c>
      <c r="FY152" s="152" t="e">
        <f t="shared" si="236"/>
        <v>#N/A</v>
      </c>
      <c r="FZ152" s="7" t="e">
        <f t="shared" si="232"/>
        <v>#N/A</v>
      </c>
      <c r="GA152" t="e">
        <f t="shared" si="237"/>
        <v>#N/A</v>
      </c>
      <c r="GB152" s="8" t="e">
        <f t="shared" si="238"/>
        <v>#N/A</v>
      </c>
      <c r="GC152" s="8" t="e">
        <f t="shared" si="239"/>
        <v>#N/A</v>
      </c>
      <c r="GD152" s="151" t="e">
        <f t="shared" si="240"/>
        <v>#N/A</v>
      </c>
      <c r="GE152" s="144" t="e">
        <f t="shared" si="241"/>
        <v>#N/A</v>
      </c>
      <c r="GF152" s="152" t="e">
        <f t="shared" si="242"/>
        <v>#N/A</v>
      </c>
      <c r="GG152" s="7" t="e">
        <f t="shared" si="233"/>
        <v>#N/A</v>
      </c>
      <c r="GH152" t="e">
        <f t="shared" si="243"/>
        <v>#N/A</v>
      </c>
      <c r="GI152" s="8" t="e">
        <f t="shared" si="244"/>
        <v>#N/A</v>
      </c>
      <c r="GJ152" s="8" t="e">
        <f t="shared" si="245"/>
        <v>#N/A</v>
      </c>
      <c r="GK152" s="151" t="e">
        <f t="shared" si="246"/>
        <v>#N/A</v>
      </c>
      <c r="GL152" s="151"/>
      <c r="GM152" s="151"/>
      <c r="GP152" s="54">
        <f t="shared" si="291"/>
        <v>142</v>
      </c>
      <c r="GQ152" s="54">
        <f t="shared" si="292"/>
        <v>143</v>
      </c>
      <c r="GR152" s="54">
        <f t="shared" si="293"/>
        <v>0.31141875953629139</v>
      </c>
      <c r="GS152" s="54">
        <f t="shared" si="294"/>
        <v>0.38005877958699552</v>
      </c>
      <c r="GT152" s="54" t="e">
        <f t="shared" si="295"/>
        <v>#N/A</v>
      </c>
      <c r="GU152" s="54" t="e">
        <f t="shared" si="296"/>
        <v>#N/A</v>
      </c>
      <c r="GV152" s="54" t="e">
        <f t="shared" si="297"/>
        <v>#N/A</v>
      </c>
      <c r="GW152" s="54" t="b">
        <f t="shared" si="298"/>
        <v>0</v>
      </c>
      <c r="GX152" s="54" t="b">
        <f t="shared" si="299"/>
        <v>1</v>
      </c>
      <c r="GY152" s="54" t="b">
        <f t="shared" si="300"/>
        <v>0</v>
      </c>
      <c r="GZ152" s="54" t="b">
        <f t="shared" si="301"/>
        <v>1</v>
      </c>
      <c r="HA152" s="54">
        <f t="shared" si="302"/>
        <v>0.38005877958699552</v>
      </c>
      <c r="HB152" s="54" t="e">
        <f t="shared" si="303"/>
        <v>#N/A</v>
      </c>
      <c r="HC152" s="54">
        <f t="shared" si="304"/>
        <v>0.38005877958699552</v>
      </c>
      <c r="HD152" s="69" t="str">
        <f t="shared" si="305"/>
        <v/>
      </c>
      <c r="HJ152" s="54">
        <f t="shared" si="306"/>
        <v>142</v>
      </c>
      <c r="HK152" s="54">
        <f t="shared" si="307"/>
        <v>143</v>
      </c>
      <c r="HL152" s="54">
        <f t="shared" si="308"/>
        <v>0.48223848970773897</v>
      </c>
      <c r="HM152" s="54" t="e">
        <f t="shared" si="309"/>
        <v>#N/A</v>
      </c>
      <c r="HN152" s="54">
        <f t="shared" si="310"/>
        <v>0.3378131221968852</v>
      </c>
      <c r="HO152" s="54" t="e">
        <f t="shared" si="311"/>
        <v>#N/A</v>
      </c>
      <c r="HP152" s="54" t="e">
        <f t="shared" si="312"/>
        <v>#N/A</v>
      </c>
      <c r="HQ152" s="54" t="b">
        <f t="shared" si="313"/>
        <v>1</v>
      </c>
      <c r="HR152" s="54" t="b">
        <f t="shared" si="314"/>
        <v>0</v>
      </c>
      <c r="HS152" s="54" t="b">
        <f t="shared" si="315"/>
        <v>0</v>
      </c>
      <c r="HT152" s="54" t="b">
        <f t="shared" si="316"/>
        <v>1</v>
      </c>
      <c r="HU152" s="54">
        <f t="shared" si="317"/>
        <v>0.3378131221968852</v>
      </c>
      <c r="HV152" s="54">
        <f t="shared" si="318"/>
        <v>0.3378131221968852</v>
      </c>
      <c r="HW152" s="54" t="e">
        <f t="shared" si="319"/>
        <v>#N/A</v>
      </c>
      <c r="HX152" s="69" t="str">
        <f t="shared" si="320"/>
        <v/>
      </c>
    </row>
    <row r="153" spans="78:232" x14ac:dyDescent="0.2">
      <c r="BZ153" s="54">
        <f t="shared" si="247"/>
        <v>143</v>
      </c>
      <c r="CA153" s="54">
        <f>Eu_tabel_g[[#This Row],[Indeks]]+1</f>
        <v>144</v>
      </c>
      <c r="CB153" s="54">
        <f t="shared" si="248"/>
        <v>0.33537404873139032</v>
      </c>
      <c r="CC153" s="54">
        <f t="shared" si="249"/>
        <v>0.37712581912279947</v>
      </c>
      <c r="CD153" s="54" t="e">
        <f t="shared" si="250"/>
        <v>#N/A</v>
      </c>
      <c r="CE153" s="54" t="e">
        <f t="shared" si="251"/>
        <v>#N/A</v>
      </c>
      <c r="CF153" s="54" t="e">
        <f t="shared" si="252"/>
        <v>#N/A</v>
      </c>
      <c r="CG153" s="54" t="b">
        <f t="shared" si="253"/>
        <v>0</v>
      </c>
      <c r="CH153" s="54" t="b">
        <f t="shared" si="254"/>
        <v>1</v>
      </c>
      <c r="CI153" s="54" t="b">
        <f t="shared" si="255"/>
        <v>0</v>
      </c>
      <c r="CJ153" s="54" t="b">
        <f t="shared" si="256"/>
        <v>1</v>
      </c>
      <c r="CK153" s="54">
        <f t="shared" si="223"/>
        <v>0.37712581912279947</v>
      </c>
      <c r="CL153" s="54" t="e">
        <f t="shared" si="257"/>
        <v>#N/A</v>
      </c>
      <c r="CM153" s="54">
        <f t="shared" si="258"/>
        <v>0.37712581912279947</v>
      </c>
      <c r="CN153" s="69" t="str">
        <f t="shared" si="259"/>
        <v/>
      </c>
      <c r="CO153" s="54">
        <f>_xlfn.NORM.DIST(_xlfn.NORM.INV(1-Eu_g_konfidensniveau,0,1)-Eu_tabel_g[[#This Row],[x base]],0,1,TRUE)</f>
        <v>2.383897568918579E-2</v>
      </c>
      <c r="CP153" s="54">
        <f>1-_xlfn.NORM.DIST(_xlfn.NORM.INV(Eu_g_konfidensniveau,0,1)-Eu_tabel_g[[#This Row],[x base]],0,1,TRUE)</f>
        <v>9.5185975462999006E-2</v>
      </c>
      <c r="CQ153" s="54">
        <f>_xlfn.NORM.DIST(_xlfn.NORM.INV((1-Eu_g_konfidensniveau)/2,0,1)-Eu_tabel_g[[#This Row],[x base]],0,1,TRUE)+1-_xlfn.NORM.DIST(_xlfn.NORM.INV(1-(1-Eu_g_konfidensniveau)/2,0,1)-Eu_tabel_g[[#This Row],[x base]],0,1,TRUE)</f>
        <v>6.2981861292597086E-2</v>
      </c>
      <c r="CR153" s="54" t="e" cm="1">
        <f t="array" ref="CR153">IF($CR$3,INDEX(Eu_tabel_g[[#This Row],[Styrke venstre]:[Styrke tosidet]],CR$7),NA())</f>
        <v>#N/A</v>
      </c>
      <c r="CS153" s="89" t="e">
        <f>Eu_tabel_g[[#This Row],[Falsk positiv
Nulhypotese accepteres
Fejltype 1]]</f>
        <v>#N/A</v>
      </c>
      <c r="CT153" s="89" t="e">
        <f>IF(CHOOSE(CR$7,Eu_tabel_g[[#This Row],[x base]]&gt;0,Eu_tabel_g[[#This Row],[x base]]&lt;0,Eu_tabel_g[[#This Row],[x base]]=0),Eu_tabel_g[[#This Row],[Styrke, aktiv]],NA())</f>
        <v>#N/A</v>
      </c>
      <c r="CU153" s="89" t="e">
        <f>IFERROR(IF($CR$3,Eu_tabel_g[[#This Row],[Styrke, aktiv]],NA()),NA())</f>
        <v>#N/A</v>
      </c>
      <c r="CV153" s="89" t="e">
        <f>IF(ISNA(Eu_tabel_g[[#This Row],[Sand negativ
Nulhypotese afvises
Korrekt]]),NA(),IF($CR$3,1,NA()))</f>
        <v>#N/A</v>
      </c>
      <c r="CW153" s="56" t="str" cm="1">
        <f t="array" ref="CW153">_xlfn.SWITCH(BZ153,_xlfn.IFNA(CU$2,-99),CU$5,_xlfn.IFNA(CU$3,-99),CU$6,_xlfn.IFNA(CU$4,-99),CU$7,"")</f>
        <v/>
      </c>
      <c r="DA153" s="7">
        <f t="shared" si="260"/>
        <v>0.8</v>
      </c>
      <c r="DB153">
        <f>IF(ROW(Styrkeberegning_G[[#This Row],[X base venstre]])=ROW(Styrkeberegning_G[[#Headers],[X base venstre]])+1,DB$7/(DA$7/$B$67),DB152/(DA152/$B$67))</f>
        <v>-2.8015817870135784</v>
      </c>
      <c r="DC153">
        <f>Styrkeberegning_G[[#This Row],[X base venstre]]*-1</f>
        <v>2.8015817870135784</v>
      </c>
      <c r="DN153" s="54">
        <f t="shared" si="261"/>
        <v>143</v>
      </c>
      <c r="DO153" s="54">
        <f t="shared" si="262"/>
        <v>144</v>
      </c>
      <c r="DP153" s="54">
        <f t="shared" si="263"/>
        <v>18.145985132284835</v>
      </c>
      <c r="DQ153" s="54" t="e">
        <f t="shared" si="264"/>
        <v>#N/A</v>
      </c>
      <c r="DR153" s="54" t="e">
        <f t="shared" si="265"/>
        <v>#N/A</v>
      </c>
      <c r="DS153" s="54">
        <f t="shared" si="266"/>
        <v>2.2368668308313761E-2</v>
      </c>
      <c r="DT153" s="54" t="e">
        <f t="shared" si="267"/>
        <v>#N/A</v>
      </c>
      <c r="DU153" s="54" t="b">
        <f t="shared" si="268"/>
        <v>0</v>
      </c>
      <c r="DV153" s="54" t="b">
        <f t="shared" si="269"/>
        <v>1</v>
      </c>
      <c r="DW153" s="54" t="b">
        <f t="shared" si="270"/>
        <v>0</v>
      </c>
      <c r="DX153" s="54" t="b">
        <f t="shared" si="271"/>
        <v>1</v>
      </c>
      <c r="DY153" s="54">
        <f t="shared" si="272"/>
        <v>2.2368668308313761E-2</v>
      </c>
      <c r="DZ153" s="54" t="e">
        <f t="shared" si="273"/>
        <v>#N/A</v>
      </c>
      <c r="EA153" s="54">
        <f t="shared" si="274"/>
        <v>2.2368668308313761E-2</v>
      </c>
      <c r="EB153" s="69" t="str">
        <f t="shared" si="275"/>
        <v/>
      </c>
      <c r="EG153" s="54">
        <f t="shared" si="276"/>
        <v>143</v>
      </c>
      <c r="EH153" s="54">
        <f t="shared" si="277"/>
        <v>144</v>
      </c>
      <c r="EI153" s="54">
        <f t="shared" si="278"/>
        <v>0.33537404873139032</v>
      </c>
      <c r="EJ153" s="54">
        <f t="shared" si="279"/>
        <v>0.37712581912279947</v>
      </c>
      <c r="EK153" s="54" t="e">
        <f t="shared" si="280"/>
        <v>#N/A</v>
      </c>
      <c r="EL153" s="54" t="e">
        <f t="shared" si="281"/>
        <v>#N/A</v>
      </c>
      <c r="EM153" s="54" t="e">
        <f t="shared" si="282"/>
        <v>#N/A</v>
      </c>
      <c r="EN153" s="54" t="b">
        <f t="shared" si="283"/>
        <v>0</v>
      </c>
      <c r="EO153" s="54" t="b">
        <f t="shared" si="284"/>
        <v>1</v>
      </c>
      <c r="EP153" s="54" t="b">
        <f t="shared" si="285"/>
        <v>0</v>
      </c>
      <c r="EQ153" s="54" t="b">
        <f t="shared" si="286"/>
        <v>1</v>
      </c>
      <c r="ER153" s="54">
        <f t="shared" si="287"/>
        <v>0.37712581912279947</v>
      </c>
      <c r="ES153" s="54" t="e">
        <f t="shared" si="288"/>
        <v>#N/A</v>
      </c>
      <c r="ET153" s="54">
        <f t="shared" si="289"/>
        <v>0.37712581912279947</v>
      </c>
      <c r="EU153" s="69" t="str">
        <f t="shared" si="290"/>
        <v/>
      </c>
      <c r="EV15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5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5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53" s="54" t="e" cm="1">
        <f t="array" ref="EY153">IF($CR$3,INDEX(Eu_tabel_a[[#This Row],[Styrke venstre]:[Styrke tosidet]],EY$7),NA())</f>
        <v>#N/A</v>
      </c>
      <c r="EZ153" s="54" t="e">
        <f>IF(EY$3,IF(CHOOSE(EY$7,Eu_tabel_a[[#This Row],[x base]]&gt;0,Eu_tabel_a[[#This Row],[x base]]&lt;0,Eu_tabel_a[[#This Row],[x base]]=0),1,NA()),NA())</f>
        <v>#N/A</v>
      </c>
      <c r="FA153" s="54" t="e">
        <f>IF(CHOOSE(EY$7,Eu_tabel_a[[#This Row],[x base]]&gt;0,Eu_tabel_a[[#This Row],[x base]]&lt;0,Eu_tabel_a[[#This Row],[x base]]=0),Eu_tabel_a[[#This Row],[Styrke, aktiv]],NA())</f>
        <v>#N/A</v>
      </c>
      <c r="FB153" s="54" t="e">
        <f>IFERROR(IF($EY$3,Eu_tabel_a[[#This Row],[Styrke, aktiv]],NA()),NA())</f>
        <v>#N/A</v>
      </c>
      <c r="FC153" s="54" t="e">
        <f>IF(ISNA(Eu_tabel_a[[#This Row],[Sand negativ
Nulhypotese afvises
Korrekt]]),NA(),IF(EY$3,1,NA()))</f>
        <v>#N/A</v>
      </c>
      <c r="FD153" s="55" t="str" cm="1">
        <f t="array" ref="FD153">IFERROR(_xlfn.SWITCH(Eu_tabel_a[[#This Row],[Indeks]],_xlfn.IFNA(FB$2,-99),FB$5,_xlfn.IFNA(FB$3,-99),FB$6,_xlfn.IFNA(FB$4,-99),FB$7,""),"")</f>
        <v/>
      </c>
      <c r="FE153" s="54">
        <f>Eu_tabel_a[[#This Row],[x base]]*SQRT(Eu_a_h0_x*(1-Eu_a_h0_x)/Eu_a_n_x)+Eu_a_h0_x</f>
        <v>0</v>
      </c>
      <c r="FJ153" s="144" t="e">
        <f t="shared" si="234"/>
        <v>#N/A</v>
      </c>
      <c r="FK153" s="152" t="e">
        <f t="shared" si="218"/>
        <v>#DIV/0!</v>
      </c>
      <c r="FL153" s="7" t="e">
        <f t="shared" si="228"/>
        <v>#DIV/0!</v>
      </c>
      <c r="FM153" t="e">
        <f t="shared" si="219"/>
        <v>#DIV/0!</v>
      </c>
      <c r="FN153" s="8" t="e">
        <f t="shared" si="220"/>
        <v>#DIV/0!</v>
      </c>
      <c r="FO153" s="8" t="e">
        <f t="shared" si="221"/>
        <v>#DIV/0!</v>
      </c>
      <c r="FP153" s="151" t="e">
        <f t="shared" si="222"/>
        <v>#DIV/0!</v>
      </c>
      <c r="FQ153" s="144" t="e">
        <f t="shared" ca="1" si="229"/>
        <v>#N/A</v>
      </c>
      <c r="FR153" s="152" t="e" vm="3">
        <f t="shared" ca="1" si="235"/>
        <v>#VALUE!</v>
      </c>
      <c r="FS153" s="7" t="e" vm="3">
        <f t="shared" ca="1" si="230"/>
        <v>#VALUE!</v>
      </c>
      <c r="FT153" t="e" vm="3">
        <f t="shared" ca="1" si="224"/>
        <v>#VALUE!</v>
      </c>
      <c r="FU153" s="8" t="e" vm="3">
        <f t="shared" ca="1" si="225"/>
        <v>#VALUE!</v>
      </c>
      <c r="FV153" s="8" t="e" vm="3">
        <f t="shared" ca="1" si="226"/>
        <v>#VALUE!</v>
      </c>
      <c r="FW153" s="151" t="e" vm="3">
        <f t="shared" ca="1" si="227"/>
        <v>#VALUE!</v>
      </c>
      <c r="FX153" s="144" t="e">
        <f t="shared" si="231"/>
        <v>#N/A</v>
      </c>
      <c r="FY153" s="152" t="e">
        <f t="shared" si="236"/>
        <v>#N/A</v>
      </c>
      <c r="FZ153" s="7" t="e">
        <f t="shared" si="232"/>
        <v>#N/A</v>
      </c>
      <c r="GA153" t="e">
        <f t="shared" si="237"/>
        <v>#N/A</v>
      </c>
      <c r="GB153" s="8" t="e">
        <f t="shared" si="238"/>
        <v>#N/A</v>
      </c>
      <c r="GC153" s="8" t="e">
        <f t="shared" si="239"/>
        <v>#N/A</v>
      </c>
      <c r="GD153" s="151" t="e">
        <f t="shared" si="240"/>
        <v>#N/A</v>
      </c>
      <c r="GE153" s="144" t="e">
        <f t="shared" si="241"/>
        <v>#N/A</v>
      </c>
      <c r="GF153" s="152" t="e">
        <f t="shared" si="242"/>
        <v>#N/A</v>
      </c>
      <c r="GG153" s="7" t="e">
        <f t="shared" si="233"/>
        <v>#N/A</v>
      </c>
      <c r="GH153" t="e">
        <f t="shared" si="243"/>
        <v>#N/A</v>
      </c>
      <c r="GI153" s="8" t="e">
        <f t="shared" si="244"/>
        <v>#N/A</v>
      </c>
      <c r="GJ153" s="8" t="e">
        <f t="shared" si="245"/>
        <v>#N/A</v>
      </c>
      <c r="GK153" s="151" t="e">
        <f t="shared" si="246"/>
        <v>#N/A</v>
      </c>
      <c r="GL153" s="151"/>
      <c r="GM153" s="151"/>
      <c r="GP153" s="54">
        <f t="shared" si="291"/>
        <v>143</v>
      </c>
      <c r="GQ153" s="54">
        <f t="shared" si="292"/>
        <v>144</v>
      </c>
      <c r="GR153" s="54">
        <f t="shared" si="293"/>
        <v>0.33537404873139032</v>
      </c>
      <c r="GS153" s="54">
        <f t="shared" si="294"/>
        <v>0.37712581912279947</v>
      </c>
      <c r="GT153" s="54" t="e">
        <f t="shared" si="295"/>
        <v>#N/A</v>
      </c>
      <c r="GU153" s="54" t="e">
        <f t="shared" si="296"/>
        <v>#N/A</v>
      </c>
      <c r="GV153" s="54" t="e">
        <f t="shared" si="297"/>
        <v>#N/A</v>
      </c>
      <c r="GW153" s="54" t="b">
        <f t="shared" si="298"/>
        <v>0</v>
      </c>
      <c r="GX153" s="54" t="b">
        <f t="shared" si="299"/>
        <v>1</v>
      </c>
      <c r="GY153" s="54" t="b">
        <f t="shared" si="300"/>
        <v>0</v>
      </c>
      <c r="GZ153" s="54" t="b">
        <f t="shared" si="301"/>
        <v>1</v>
      </c>
      <c r="HA153" s="54">
        <f t="shared" si="302"/>
        <v>0.37712581912279947</v>
      </c>
      <c r="HB153" s="54" t="e">
        <f t="shared" si="303"/>
        <v>#N/A</v>
      </c>
      <c r="HC153" s="54">
        <f t="shared" si="304"/>
        <v>0.37712581912279947</v>
      </c>
      <c r="HD153" s="69" t="str">
        <f t="shared" si="305"/>
        <v/>
      </c>
      <c r="HJ153" s="54">
        <f t="shared" si="306"/>
        <v>143</v>
      </c>
      <c r="HK153" s="54">
        <f t="shared" si="307"/>
        <v>144</v>
      </c>
      <c r="HL153" s="54">
        <f t="shared" si="308"/>
        <v>0.5193337581467965</v>
      </c>
      <c r="HM153" s="54" t="e">
        <f t="shared" si="309"/>
        <v>#N/A</v>
      </c>
      <c r="HN153" s="54">
        <f t="shared" si="310"/>
        <v>0.33095998215482636</v>
      </c>
      <c r="HO153" s="54" t="e">
        <f t="shared" si="311"/>
        <v>#N/A</v>
      </c>
      <c r="HP153" s="54" t="e">
        <f t="shared" si="312"/>
        <v>#N/A</v>
      </c>
      <c r="HQ153" s="54" t="b">
        <f t="shared" si="313"/>
        <v>1</v>
      </c>
      <c r="HR153" s="54" t="b">
        <f t="shared" si="314"/>
        <v>0</v>
      </c>
      <c r="HS153" s="54" t="b">
        <f t="shared" si="315"/>
        <v>0</v>
      </c>
      <c r="HT153" s="54" t="b">
        <f t="shared" si="316"/>
        <v>1</v>
      </c>
      <c r="HU153" s="54">
        <f t="shared" si="317"/>
        <v>0.33095998215482636</v>
      </c>
      <c r="HV153" s="54">
        <f t="shared" si="318"/>
        <v>0.33095998215482636</v>
      </c>
      <c r="HW153" s="54" t="e">
        <f t="shared" si="319"/>
        <v>#N/A</v>
      </c>
      <c r="HX153" s="69" t="str">
        <f t="shared" si="320"/>
        <v/>
      </c>
    </row>
    <row r="154" spans="78:232" x14ac:dyDescent="0.2">
      <c r="BZ154" s="54">
        <f t="shared" si="247"/>
        <v>144</v>
      </c>
      <c r="CA154" s="54">
        <f>Eu_tabel_g[[#This Row],[Indeks]]+1</f>
        <v>145</v>
      </c>
      <c r="CB154" s="54">
        <f t="shared" si="248"/>
        <v>0.35932933792648969</v>
      </c>
      <c r="CC154" s="54">
        <f t="shared" si="249"/>
        <v>0.37400080851990375</v>
      </c>
      <c r="CD154" s="54" t="e">
        <f t="shared" si="250"/>
        <v>#N/A</v>
      </c>
      <c r="CE154" s="54" t="e">
        <f t="shared" si="251"/>
        <v>#N/A</v>
      </c>
      <c r="CF154" s="54" t="e">
        <f t="shared" si="252"/>
        <v>#N/A</v>
      </c>
      <c r="CG154" s="54" t="b">
        <f t="shared" si="253"/>
        <v>0</v>
      </c>
      <c r="CH154" s="54" t="b">
        <f t="shared" si="254"/>
        <v>1</v>
      </c>
      <c r="CI154" s="54" t="b">
        <f t="shared" si="255"/>
        <v>0</v>
      </c>
      <c r="CJ154" s="54" t="b">
        <f t="shared" si="256"/>
        <v>1</v>
      </c>
      <c r="CK154" s="54">
        <f t="shared" si="223"/>
        <v>0.37400080851990375</v>
      </c>
      <c r="CL154" s="54" t="e">
        <f t="shared" si="257"/>
        <v>#N/A</v>
      </c>
      <c r="CM154" s="54">
        <f t="shared" si="258"/>
        <v>0.37400080851990375</v>
      </c>
      <c r="CN154" s="69" t="str">
        <f t="shared" si="259"/>
        <v/>
      </c>
      <c r="CO154" s="54">
        <f>_xlfn.NORM.DIST(_xlfn.NORM.INV(1-Eu_g_konfidensniveau,0,1)-Eu_tabel_g[[#This Row],[x base]],0,1,TRUE)</f>
        <v>2.2525232347582649E-2</v>
      </c>
      <c r="CP154" s="54">
        <f>1-_xlfn.NORM.DIST(_xlfn.NORM.INV(Eu_g_konfidensniveau,0,1)-Eu_tabel_g[[#This Row],[x base]],0,1,TRUE)</f>
        <v>9.9304567300618429E-2</v>
      </c>
      <c r="CQ154" s="54">
        <f>_xlfn.NORM.DIST(_xlfn.NORM.INV((1-Eu_g_konfidensniveau)/2,0,1)-Eu_tabel_g[[#This Row],[x base]],0,1,TRUE)+1-_xlfn.NORM.DIST(_xlfn.NORM.INV(1-(1-Eu_g_konfidensniveau)/2,0,1)-Eu_tabel_g[[#This Row],[x base]],0,1,TRUE)</f>
        <v>6.4918500529934087E-2</v>
      </c>
      <c r="CR154" s="54" t="e" cm="1">
        <f t="array" ref="CR154">IF($CR$3,INDEX(Eu_tabel_g[[#This Row],[Styrke venstre]:[Styrke tosidet]],CR$7),NA())</f>
        <v>#N/A</v>
      </c>
      <c r="CS154" s="89" t="e">
        <f>Eu_tabel_g[[#This Row],[Falsk positiv
Nulhypotese accepteres
Fejltype 1]]</f>
        <v>#N/A</v>
      </c>
      <c r="CT154" s="89" t="e">
        <f>IF(CHOOSE(CR$7,Eu_tabel_g[[#This Row],[x base]]&gt;0,Eu_tabel_g[[#This Row],[x base]]&lt;0,Eu_tabel_g[[#This Row],[x base]]=0),Eu_tabel_g[[#This Row],[Styrke, aktiv]],NA())</f>
        <v>#N/A</v>
      </c>
      <c r="CU154" s="89" t="e">
        <f>IFERROR(IF($CR$3,Eu_tabel_g[[#This Row],[Styrke, aktiv]],NA()),NA())</f>
        <v>#N/A</v>
      </c>
      <c r="CV154" s="89" t="e">
        <f>IF(ISNA(Eu_tabel_g[[#This Row],[Sand negativ
Nulhypotese afvises
Korrekt]]),NA(),IF($CR$3,1,NA()))</f>
        <v>#N/A</v>
      </c>
      <c r="CW154" s="56" t="str" cm="1">
        <f t="array" ref="CW154">_xlfn.SWITCH(BZ154,_xlfn.IFNA(CU$2,-99),CU$5,_xlfn.IFNA(CU$3,-99),CU$6,_xlfn.IFNA(CU$4,-99),CU$7,"")</f>
        <v/>
      </c>
      <c r="DA154" s="7">
        <f t="shared" si="260"/>
        <v>0.8</v>
      </c>
      <c r="DB154">
        <f>IF(ROW(Styrkeberegning_G[[#This Row],[X base venstre]])=ROW(Styrkeberegning_G[[#Headers],[X base venstre]])+1,DB$7/(DA$7/$B$67),DB153/(DA153/$B$67))</f>
        <v>-2.8015817870135784</v>
      </c>
      <c r="DC154">
        <f>Styrkeberegning_G[[#This Row],[X base venstre]]*-1</f>
        <v>2.8015817870135784</v>
      </c>
      <c r="DN154" s="54">
        <f t="shared" si="261"/>
        <v>144</v>
      </c>
      <c r="DO154" s="54">
        <f t="shared" si="262"/>
        <v>145</v>
      </c>
      <c r="DP154" s="54">
        <f t="shared" si="263"/>
        <v>18.260055988701836</v>
      </c>
      <c r="DQ154" s="54" t="e">
        <f t="shared" si="264"/>
        <v>#N/A</v>
      </c>
      <c r="DR154" s="54" t="e">
        <f t="shared" si="265"/>
        <v>#N/A</v>
      </c>
      <c r="DS154" s="54">
        <f t="shared" si="266"/>
        <v>2.1732863458762738E-2</v>
      </c>
      <c r="DT154" s="54" t="e">
        <f t="shared" si="267"/>
        <v>#N/A</v>
      </c>
      <c r="DU154" s="54" t="b">
        <f t="shared" si="268"/>
        <v>0</v>
      </c>
      <c r="DV154" s="54" t="b">
        <f t="shared" si="269"/>
        <v>1</v>
      </c>
      <c r="DW154" s="54" t="b">
        <f t="shared" si="270"/>
        <v>0</v>
      </c>
      <c r="DX154" s="54" t="b">
        <f t="shared" si="271"/>
        <v>1</v>
      </c>
      <c r="DY154" s="54">
        <f t="shared" si="272"/>
        <v>2.1732863458762738E-2</v>
      </c>
      <c r="DZ154" s="54" t="e">
        <f t="shared" si="273"/>
        <v>#N/A</v>
      </c>
      <c r="EA154" s="54">
        <f t="shared" si="274"/>
        <v>2.1732863458762738E-2</v>
      </c>
      <c r="EB154" s="69" t="str">
        <f t="shared" si="275"/>
        <v/>
      </c>
      <c r="EG154" s="54">
        <f t="shared" si="276"/>
        <v>144</v>
      </c>
      <c r="EH154" s="54">
        <f t="shared" si="277"/>
        <v>145</v>
      </c>
      <c r="EI154" s="54">
        <f t="shared" si="278"/>
        <v>0.35932933792648969</v>
      </c>
      <c r="EJ154" s="54">
        <f t="shared" si="279"/>
        <v>0.37400080851990375</v>
      </c>
      <c r="EK154" s="54" t="e">
        <f t="shared" si="280"/>
        <v>#N/A</v>
      </c>
      <c r="EL154" s="54" t="e">
        <f t="shared" si="281"/>
        <v>#N/A</v>
      </c>
      <c r="EM154" s="54" t="e">
        <f t="shared" si="282"/>
        <v>#N/A</v>
      </c>
      <c r="EN154" s="54" t="b">
        <f t="shared" si="283"/>
        <v>0</v>
      </c>
      <c r="EO154" s="54" t="b">
        <f t="shared" si="284"/>
        <v>1</v>
      </c>
      <c r="EP154" s="54" t="b">
        <f t="shared" si="285"/>
        <v>0</v>
      </c>
      <c r="EQ154" s="54" t="b">
        <f t="shared" si="286"/>
        <v>1</v>
      </c>
      <c r="ER154" s="54">
        <f t="shared" si="287"/>
        <v>0.37400080851990375</v>
      </c>
      <c r="ES154" s="54" t="e">
        <f t="shared" si="288"/>
        <v>#N/A</v>
      </c>
      <c r="ET154" s="54">
        <f t="shared" si="289"/>
        <v>0.37400080851990375</v>
      </c>
      <c r="EU154" s="69" t="str">
        <f t="shared" si="290"/>
        <v/>
      </c>
      <c r="EV15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5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5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54" s="54" t="e" cm="1">
        <f t="array" ref="EY154">IF($CR$3,INDEX(Eu_tabel_a[[#This Row],[Styrke venstre]:[Styrke tosidet]],EY$7),NA())</f>
        <v>#N/A</v>
      </c>
      <c r="EZ154" s="54" t="e">
        <f>IF(EY$3,IF(CHOOSE(EY$7,Eu_tabel_a[[#This Row],[x base]]&gt;0,Eu_tabel_a[[#This Row],[x base]]&lt;0,Eu_tabel_a[[#This Row],[x base]]=0),1,NA()),NA())</f>
        <v>#N/A</v>
      </c>
      <c r="FA154" s="54" t="e">
        <f>IF(CHOOSE(EY$7,Eu_tabel_a[[#This Row],[x base]]&gt;0,Eu_tabel_a[[#This Row],[x base]]&lt;0,Eu_tabel_a[[#This Row],[x base]]=0),Eu_tabel_a[[#This Row],[Styrke, aktiv]],NA())</f>
        <v>#N/A</v>
      </c>
      <c r="FB154" s="54" t="e">
        <f>IFERROR(IF($EY$3,Eu_tabel_a[[#This Row],[Styrke, aktiv]],NA()),NA())</f>
        <v>#N/A</v>
      </c>
      <c r="FC154" s="54" t="e">
        <f>IF(ISNA(Eu_tabel_a[[#This Row],[Sand negativ
Nulhypotese afvises
Korrekt]]),NA(),IF(EY$3,1,NA()))</f>
        <v>#N/A</v>
      </c>
      <c r="FD154" s="55" t="str" cm="1">
        <f t="array" ref="FD154">IFERROR(_xlfn.SWITCH(Eu_tabel_a[[#This Row],[Indeks]],_xlfn.IFNA(FB$2,-99),FB$5,_xlfn.IFNA(FB$3,-99),FB$6,_xlfn.IFNA(FB$4,-99),FB$7,""),"")</f>
        <v/>
      </c>
      <c r="FE154" s="54">
        <f>Eu_tabel_a[[#This Row],[x base]]*SQRT(Eu_a_h0_x*(1-Eu_a_h0_x)/Eu_a_n_x)+Eu_a_h0_x</f>
        <v>0</v>
      </c>
      <c r="FJ154" s="144" t="e">
        <f t="shared" si="234"/>
        <v>#N/A</v>
      </c>
      <c r="FK154" s="152" t="e">
        <f t="shared" si="218"/>
        <v>#DIV/0!</v>
      </c>
      <c r="FL154" s="7" t="e">
        <f t="shared" si="228"/>
        <v>#DIV/0!</v>
      </c>
      <c r="FM154" t="e">
        <f t="shared" si="219"/>
        <v>#DIV/0!</v>
      </c>
      <c r="FN154" s="8" t="e">
        <f t="shared" si="220"/>
        <v>#DIV/0!</v>
      </c>
      <c r="FO154" s="8" t="e">
        <f t="shared" si="221"/>
        <v>#DIV/0!</v>
      </c>
      <c r="FP154" s="151" t="e">
        <f t="shared" si="222"/>
        <v>#DIV/0!</v>
      </c>
      <c r="FQ154" s="144" t="e">
        <f t="shared" ca="1" si="229"/>
        <v>#N/A</v>
      </c>
      <c r="FR154" s="152" t="e" vm="3">
        <f t="shared" ca="1" si="235"/>
        <v>#VALUE!</v>
      </c>
      <c r="FS154" s="7" t="e" vm="3">
        <f t="shared" ca="1" si="230"/>
        <v>#VALUE!</v>
      </c>
      <c r="FT154" t="e" vm="3">
        <f t="shared" ca="1" si="224"/>
        <v>#VALUE!</v>
      </c>
      <c r="FU154" s="8" t="e" vm="3">
        <f t="shared" ca="1" si="225"/>
        <v>#VALUE!</v>
      </c>
      <c r="FV154" s="8" t="e" vm="3">
        <f t="shared" ca="1" si="226"/>
        <v>#VALUE!</v>
      </c>
      <c r="FW154" s="151" t="e" vm="3">
        <f t="shared" ca="1" si="227"/>
        <v>#VALUE!</v>
      </c>
      <c r="FX154" s="144" t="e">
        <f t="shared" si="231"/>
        <v>#N/A</v>
      </c>
      <c r="FY154" s="152" t="e">
        <f t="shared" si="236"/>
        <v>#N/A</v>
      </c>
      <c r="FZ154" s="7" t="e">
        <f t="shared" si="232"/>
        <v>#N/A</v>
      </c>
      <c r="GA154" t="e">
        <f t="shared" si="237"/>
        <v>#N/A</v>
      </c>
      <c r="GB154" s="8" t="e">
        <f t="shared" si="238"/>
        <v>#N/A</v>
      </c>
      <c r="GC154" s="8" t="e">
        <f t="shared" si="239"/>
        <v>#N/A</v>
      </c>
      <c r="GD154" s="151" t="e">
        <f t="shared" si="240"/>
        <v>#N/A</v>
      </c>
      <c r="GE154" s="144" t="e">
        <f t="shared" si="241"/>
        <v>#N/A</v>
      </c>
      <c r="GF154" s="152" t="e">
        <f t="shared" si="242"/>
        <v>#N/A</v>
      </c>
      <c r="GG154" s="7" t="e">
        <f t="shared" si="233"/>
        <v>#N/A</v>
      </c>
      <c r="GH154" t="e">
        <f t="shared" si="243"/>
        <v>#N/A</v>
      </c>
      <c r="GI154" s="8" t="e">
        <f t="shared" si="244"/>
        <v>#N/A</v>
      </c>
      <c r="GJ154" s="8" t="e">
        <f t="shared" si="245"/>
        <v>#N/A</v>
      </c>
      <c r="GK154" s="151" t="e">
        <f t="shared" si="246"/>
        <v>#N/A</v>
      </c>
      <c r="GL154" s="151"/>
      <c r="GM154" s="151"/>
      <c r="GP154" s="54">
        <f t="shared" si="291"/>
        <v>144</v>
      </c>
      <c r="GQ154" s="54">
        <f t="shared" si="292"/>
        <v>145</v>
      </c>
      <c r="GR154" s="54">
        <f t="shared" si="293"/>
        <v>0.35932933792648969</v>
      </c>
      <c r="GS154" s="54">
        <f t="shared" si="294"/>
        <v>0.37400080851990375</v>
      </c>
      <c r="GT154" s="54" t="e">
        <f t="shared" si="295"/>
        <v>#N/A</v>
      </c>
      <c r="GU154" s="54" t="e">
        <f t="shared" si="296"/>
        <v>#N/A</v>
      </c>
      <c r="GV154" s="54" t="e">
        <f t="shared" si="297"/>
        <v>#N/A</v>
      </c>
      <c r="GW154" s="54" t="b">
        <f t="shared" si="298"/>
        <v>0</v>
      </c>
      <c r="GX154" s="54" t="b">
        <f t="shared" si="299"/>
        <v>1</v>
      </c>
      <c r="GY154" s="54" t="b">
        <f t="shared" si="300"/>
        <v>0</v>
      </c>
      <c r="GZ154" s="54" t="b">
        <f t="shared" si="301"/>
        <v>1</v>
      </c>
      <c r="HA154" s="54">
        <f t="shared" si="302"/>
        <v>0.37400080851990375</v>
      </c>
      <c r="HB154" s="54" t="e">
        <f t="shared" si="303"/>
        <v>#N/A</v>
      </c>
      <c r="HC154" s="54">
        <f t="shared" si="304"/>
        <v>0.37400080851990375</v>
      </c>
      <c r="HD154" s="69" t="str">
        <f t="shared" si="305"/>
        <v/>
      </c>
      <c r="HJ154" s="54">
        <f t="shared" si="306"/>
        <v>144</v>
      </c>
      <c r="HK154" s="54">
        <f t="shared" si="307"/>
        <v>145</v>
      </c>
      <c r="HL154" s="54">
        <f t="shared" si="308"/>
        <v>0.55642902658585314</v>
      </c>
      <c r="HM154" s="54" t="e">
        <f t="shared" si="309"/>
        <v>#N/A</v>
      </c>
      <c r="HN154" s="54">
        <f t="shared" si="310"/>
        <v>0.3237916510815077</v>
      </c>
      <c r="HO154" s="54" t="e">
        <f t="shared" si="311"/>
        <v>#N/A</v>
      </c>
      <c r="HP154" s="54" t="e">
        <f t="shared" si="312"/>
        <v>#N/A</v>
      </c>
      <c r="HQ154" s="54" t="b">
        <f t="shared" si="313"/>
        <v>1</v>
      </c>
      <c r="HR154" s="54" t="b">
        <f t="shared" si="314"/>
        <v>0</v>
      </c>
      <c r="HS154" s="54" t="b">
        <f t="shared" si="315"/>
        <v>0</v>
      </c>
      <c r="HT154" s="54" t="b">
        <f t="shared" si="316"/>
        <v>1</v>
      </c>
      <c r="HU154" s="54">
        <f t="shared" si="317"/>
        <v>0.3237916510815077</v>
      </c>
      <c r="HV154" s="54">
        <f t="shared" si="318"/>
        <v>0.3237916510815077</v>
      </c>
      <c r="HW154" s="54" t="e">
        <f t="shared" si="319"/>
        <v>#N/A</v>
      </c>
      <c r="HX154" s="69" t="str">
        <f t="shared" si="320"/>
        <v/>
      </c>
    </row>
    <row r="155" spans="78:232" x14ac:dyDescent="0.2">
      <c r="BZ155" s="54">
        <f t="shared" si="247"/>
        <v>145</v>
      </c>
      <c r="CA155" s="54">
        <f>Eu_tabel_g[[#This Row],[Indeks]]+1</f>
        <v>146</v>
      </c>
      <c r="CB155" s="54">
        <f t="shared" si="248"/>
        <v>0.38328462712158906</v>
      </c>
      <c r="CC155" s="54">
        <f t="shared" si="249"/>
        <v>0.37068890990689796</v>
      </c>
      <c r="CD155" s="54" t="e">
        <f t="shared" si="250"/>
        <v>#N/A</v>
      </c>
      <c r="CE155" s="54" t="e">
        <f t="shared" si="251"/>
        <v>#N/A</v>
      </c>
      <c r="CF155" s="54" t="e">
        <f t="shared" si="252"/>
        <v>#N/A</v>
      </c>
      <c r="CG155" s="54" t="b">
        <f t="shared" si="253"/>
        <v>0</v>
      </c>
      <c r="CH155" s="54" t="b">
        <f t="shared" si="254"/>
        <v>1</v>
      </c>
      <c r="CI155" s="54" t="b">
        <f t="shared" si="255"/>
        <v>0</v>
      </c>
      <c r="CJ155" s="54" t="b">
        <f t="shared" si="256"/>
        <v>1</v>
      </c>
      <c r="CK155" s="54">
        <f t="shared" si="223"/>
        <v>0.37068890990689796</v>
      </c>
      <c r="CL155" s="54" t="e">
        <f t="shared" si="257"/>
        <v>#N/A</v>
      </c>
      <c r="CM155" s="54">
        <f t="shared" si="258"/>
        <v>0.37068890990689796</v>
      </c>
      <c r="CN155" s="69" t="str">
        <f t="shared" si="259"/>
        <v/>
      </c>
      <c r="CO155" s="54">
        <f>_xlfn.NORM.DIST(_xlfn.NORM.INV(1-Eu_g_konfidensniveau,0,1)-Eu_tabel_g[[#This Row],[x base]],0,1,TRUE)</f>
        <v>2.127306980794616E-2</v>
      </c>
      <c r="CP155" s="54">
        <f>1-_xlfn.NORM.DIST(_xlfn.NORM.INV(Eu_g_konfidensniveau,0,1)-Eu_tabel_g[[#This Row],[x base]],0,1,TRUE)</f>
        <v>0.10355195846784904</v>
      </c>
      <c r="CQ155" s="54">
        <f>_xlfn.NORM.DIST(_xlfn.NORM.INV((1-Eu_g_konfidensniveau)/2,0,1)-Eu_tabel_g[[#This Row],[x base]],0,1,TRUE)+1-_xlfn.NORM.DIST(_xlfn.NORM.INV(1-(1-Eu_g_konfidensniveau)/2,0,1)-Eu_tabel_g[[#This Row],[x base]],0,1,TRUE)</f>
        <v>6.6992981287097075E-2</v>
      </c>
      <c r="CR155" s="54" t="e" cm="1">
        <f t="array" ref="CR155">IF($CR$3,INDEX(Eu_tabel_g[[#This Row],[Styrke venstre]:[Styrke tosidet]],CR$7),NA())</f>
        <v>#N/A</v>
      </c>
      <c r="CS155" s="89" t="e">
        <f>Eu_tabel_g[[#This Row],[Falsk positiv
Nulhypotese accepteres
Fejltype 1]]</f>
        <v>#N/A</v>
      </c>
      <c r="CT155" s="89" t="e">
        <f>IF(CHOOSE(CR$7,Eu_tabel_g[[#This Row],[x base]]&gt;0,Eu_tabel_g[[#This Row],[x base]]&lt;0,Eu_tabel_g[[#This Row],[x base]]=0),Eu_tabel_g[[#This Row],[Styrke, aktiv]],NA())</f>
        <v>#N/A</v>
      </c>
      <c r="CU155" s="89" t="e">
        <f>IFERROR(IF($CR$3,Eu_tabel_g[[#This Row],[Styrke, aktiv]],NA()),NA())</f>
        <v>#N/A</v>
      </c>
      <c r="CV155" s="89" t="e">
        <f>IF(ISNA(Eu_tabel_g[[#This Row],[Sand negativ
Nulhypotese afvises
Korrekt]]),NA(),IF($CR$3,1,NA()))</f>
        <v>#N/A</v>
      </c>
      <c r="CW155" s="56" t="str" cm="1">
        <f t="array" ref="CW155">_xlfn.SWITCH(BZ155,_xlfn.IFNA(CU$2,-99),CU$5,_xlfn.IFNA(CU$3,-99),CU$6,_xlfn.IFNA(CU$4,-99),CU$7,"")</f>
        <v/>
      </c>
      <c r="DA155" s="7">
        <f t="shared" si="260"/>
        <v>0.8</v>
      </c>
      <c r="DB155">
        <f>IF(ROW(Styrkeberegning_G[[#This Row],[X base venstre]])=ROW(Styrkeberegning_G[[#Headers],[X base venstre]])+1,DB$7/(DA$7/$B$67),DB154/(DA154/$B$67))</f>
        <v>-2.8015817870135784</v>
      </c>
      <c r="DC155">
        <f>Styrkeberegning_G[[#This Row],[X base venstre]]*-1</f>
        <v>2.8015817870135784</v>
      </c>
      <c r="DN155" s="54">
        <f t="shared" si="261"/>
        <v>145</v>
      </c>
      <c r="DO155" s="54">
        <f t="shared" si="262"/>
        <v>146</v>
      </c>
      <c r="DP155" s="54">
        <f t="shared" si="263"/>
        <v>18.374126845118838</v>
      </c>
      <c r="DQ155" s="54" t="e">
        <f t="shared" si="264"/>
        <v>#N/A</v>
      </c>
      <c r="DR155" s="54" t="e">
        <f t="shared" si="265"/>
        <v>#N/A</v>
      </c>
      <c r="DS155" s="54">
        <f t="shared" si="266"/>
        <v>2.1111422817193068E-2</v>
      </c>
      <c r="DT155" s="54" t="e">
        <f t="shared" si="267"/>
        <v>#N/A</v>
      </c>
      <c r="DU155" s="54" t="b">
        <f t="shared" si="268"/>
        <v>0</v>
      </c>
      <c r="DV155" s="54" t="b">
        <f t="shared" si="269"/>
        <v>1</v>
      </c>
      <c r="DW155" s="54" t="b">
        <f t="shared" si="270"/>
        <v>0</v>
      </c>
      <c r="DX155" s="54" t="b">
        <f t="shared" si="271"/>
        <v>1</v>
      </c>
      <c r="DY155" s="54">
        <f t="shared" si="272"/>
        <v>2.1111422817193068E-2</v>
      </c>
      <c r="DZ155" s="54" t="e">
        <f t="shared" si="273"/>
        <v>#N/A</v>
      </c>
      <c r="EA155" s="54">
        <f t="shared" si="274"/>
        <v>2.1111422817193068E-2</v>
      </c>
      <c r="EB155" s="69" t="str">
        <f t="shared" si="275"/>
        <v/>
      </c>
      <c r="EG155" s="54">
        <f t="shared" si="276"/>
        <v>145</v>
      </c>
      <c r="EH155" s="54">
        <f t="shared" si="277"/>
        <v>146</v>
      </c>
      <c r="EI155" s="54">
        <f t="shared" si="278"/>
        <v>0.38328462712158906</v>
      </c>
      <c r="EJ155" s="54">
        <f t="shared" si="279"/>
        <v>0.37068890990689796</v>
      </c>
      <c r="EK155" s="54" t="e">
        <f t="shared" si="280"/>
        <v>#N/A</v>
      </c>
      <c r="EL155" s="54" t="e">
        <f t="shared" si="281"/>
        <v>#N/A</v>
      </c>
      <c r="EM155" s="54" t="e">
        <f t="shared" si="282"/>
        <v>#N/A</v>
      </c>
      <c r="EN155" s="54" t="b">
        <f t="shared" si="283"/>
        <v>0</v>
      </c>
      <c r="EO155" s="54" t="b">
        <f t="shared" si="284"/>
        <v>1</v>
      </c>
      <c r="EP155" s="54" t="b">
        <f t="shared" si="285"/>
        <v>0</v>
      </c>
      <c r="EQ155" s="54" t="b">
        <f t="shared" si="286"/>
        <v>1</v>
      </c>
      <c r="ER155" s="54">
        <f t="shared" si="287"/>
        <v>0.37068890990689796</v>
      </c>
      <c r="ES155" s="54" t="e">
        <f t="shared" si="288"/>
        <v>#N/A</v>
      </c>
      <c r="ET155" s="54">
        <f t="shared" si="289"/>
        <v>0.37068890990689796</v>
      </c>
      <c r="EU155" s="69" t="str">
        <f t="shared" si="290"/>
        <v/>
      </c>
      <c r="EV15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5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5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55" s="54" t="e" cm="1">
        <f t="array" ref="EY155">IF($CR$3,INDEX(Eu_tabel_a[[#This Row],[Styrke venstre]:[Styrke tosidet]],EY$7),NA())</f>
        <v>#N/A</v>
      </c>
      <c r="EZ155" s="54" t="e">
        <f>IF(EY$3,IF(CHOOSE(EY$7,Eu_tabel_a[[#This Row],[x base]]&gt;0,Eu_tabel_a[[#This Row],[x base]]&lt;0,Eu_tabel_a[[#This Row],[x base]]=0),1,NA()),NA())</f>
        <v>#N/A</v>
      </c>
      <c r="FA155" s="54" t="e">
        <f>IF(CHOOSE(EY$7,Eu_tabel_a[[#This Row],[x base]]&gt;0,Eu_tabel_a[[#This Row],[x base]]&lt;0,Eu_tabel_a[[#This Row],[x base]]=0),Eu_tabel_a[[#This Row],[Styrke, aktiv]],NA())</f>
        <v>#N/A</v>
      </c>
      <c r="FB155" s="54" t="e">
        <f>IFERROR(IF($EY$3,Eu_tabel_a[[#This Row],[Styrke, aktiv]],NA()),NA())</f>
        <v>#N/A</v>
      </c>
      <c r="FC155" s="54" t="e">
        <f>IF(ISNA(Eu_tabel_a[[#This Row],[Sand negativ
Nulhypotese afvises
Korrekt]]),NA(),IF(EY$3,1,NA()))</f>
        <v>#N/A</v>
      </c>
      <c r="FD155" s="55" t="str" cm="1">
        <f t="array" ref="FD155">IFERROR(_xlfn.SWITCH(Eu_tabel_a[[#This Row],[Indeks]],_xlfn.IFNA(FB$2,-99),FB$5,_xlfn.IFNA(FB$3,-99),FB$6,_xlfn.IFNA(FB$4,-99),FB$7,""),"")</f>
        <v/>
      </c>
      <c r="FE155" s="54">
        <f>Eu_tabel_a[[#This Row],[x base]]*SQRT(Eu_a_h0_x*(1-Eu_a_h0_x)/Eu_a_n_x)+Eu_a_h0_x</f>
        <v>0</v>
      </c>
      <c r="FJ155" s="144" t="e">
        <f t="shared" si="234"/>
        <v>#N/A</v>
      </c>
      <c r="FK155" s="152" t="e">
        <f t="shared" si="218"/>
        <v>#DIV/0!</v>
      </c>
      <c r="FL155" s="7" t="e">
        <f t="shared" si="228"/>
        <v>#DIV/0!</v>
      </c>
      <c r="FM155" t="e">
        <f t="shared" si="219"/>
        <v>#DIV/0!</v>
      </c>
      <c r="FN155" s="8" t="e">
        <f t="shared" si="220"/>
        <v>#DIV/0!</v>
      </c>
      <c r="FO155" s="8" t="e">
        <f t="shared" si="221"/>
        <v>#DIV/0!</v>
      </c>
      <c r="FP155" s="151" t="e">
        <f t="shared" si="222"/>
        <v>#DIV/0!</v>
      </c>
      <c r="FQ155" s="144" t="e">
        <f t="shared" ca="1" si="229"/>
        <v>#N/A</v>
      </c>
      <c r="FR155" s="152" t="e" vm="3">
        <f t="shared" ca="1" si="235"/>
        <v>#VALUE!</v>
      </c>
      <c r="FS155" s="7" t="e" vm="3">
        <f t="shared" ca="1" si="230"/>
        <v>#VALUE!</v>
      </c>
      <c r="FT155" t="e" vm="3">
        <f t="shared" ca="1" si="224"/>
        <v>#VALUE!</v>
      </c>
      <c r="FU155" s="8" t="e" vm="3">
        <f t="shared" ca="1" si="225"/>
        <v>#VALUE!</v>
      </c>
      <c r="FV155" s="8" t="e" vm="3">
        <f t="shared" ca="1" si="226"/>
        <v>#VALUE!</v>
      </c>
      <c r="FW155" s="151" t="e" vm="3">
        <f t="shared" ca="1" si="227"/>
        <v>#VALUE!</v>
      </c>
      <c r="FX155" s="144" t="e">
        <f t="shared" si="231"/>
        <v>#N/A</v>
      </c>
      <c r="FY155" s="152" t="e">
        <f t="shared" si="236"/>
        <v>#N/A</v>
      </c>
      <c r="FZ155" s="7" t="e">
        <f t="shared" si="232"/>
        <v>#N/A</v>
      </c>
      <c r="GA155" t="e">
        <f t="shared" si="237"/>
        <v>#N/A</v>
      </c>
      <c r="GB155" s="8" t="e">
        <f t="shared" si="238"/>
        <v>#N/A</v>
      </c>
      <c r="GC155" s="8" t="e">
        <f t="shared" si="239"/>
        <v>#N/A</v>
      </c>
      <c r="GD155" s="151" t="e">
        <f t="shared" si="240"/>
        <v>#N/A</v>
      </c>
      <c r="GE155" s="144" t="e">
        <f t="shared" si="241"/>
        <v>#N/A</v>
      </c>
      <c r="GF155" s="152" t="e">
        <f t="shared" si="242"/>
        <v>#N/A</v>
      </c>
      <c r="GG155" s="7" t="e">
        <f t="shared" si="233"/>
        <v>#N/A</v>
      </c>
      <c r="GH155" t="e">
        <f t="shared" si="243"/>
        <v>#N/A</v>
      </c>
      <c r="GI155" s="8" t="e">
        <f t="shared" si="244"/>
        <v>#N/A</v>
      </c>
      <c r="GJ155" s="8" t="e">
        <f t="shared" si="245"/>
        <v>#N/A</v>
      </c>
      <c r="GK155" s="151" t="e">
        <f t="shared" si="246"/>
        <v>#N/A</v>
      </c>
      <c r="GL155" s="151"/>
      <c r="GM155" s="151"/>
      <c r="GP155" s="54">
        <f t="shared" si="291"/>
        <v>145</v>
      </c>
      <c r="GQ155" s="54">
        <f t="shared" si="292"/>
        <v>146</v>
      </c>
      <c r="GR155" s="54">
        <f t="shared" si="293"/>
        <v>0.38328462712158906</v>
      </c>
      <c r="GS155" s="54">
        <f t="shared" si="294"/>
        <v>0.37068890990689796</v>
      </c>
      <c r="GT155" s="54" t="e">
        <f t="shared" si="295"/>
        <v>#N/A</v>
      </c>
      <c r="GU155" s="54" t="e">
        <f t="shared" si="296"/>
        <v>#N/A</v>
      </c>
      <c r="GV155" s="54" t="e">
        <f t="shared" si="297"/>
        <v>#N/A</v>
      </c>
      <c r="GW155" s="54" t="b">
        <f t="shared" si="298"/>
        <v>0</v>
      </c>
      <c r="GX155" s="54" t="b">
        <f t="shared" si="299"/>
        <v>1</v>
      </c>
      <c r="GY155" s="54" t="b">
        <f t="shared" si="300"/>
        <v>0</v>
      </c>
      <c r="GZ155" s="54" t="b">
        <f t="shared" si="301"/>
        <v>1</v>
      </c>
      <c r="HA155" s="54">
        <f t="shared" si="302"/>
        <v>0.37068890990689796</v>
      </c>
      <c r="HB155" s="54" t="e">
        <f t="shared" si="303"/>
        <v>#N/A</v>
      </c>
      <c r="HC155" s="54">
        <f t="shared" si="304"/>
        <v>0.37068890990689796</v>
      </c>
      <c r="HD155" s="69" t="str">
        <f t="shared" si="305"/>
        <v/>
      </c>
      <c r="HJ155" s="54">
        <f t="shared" si="306"/>
        <v>145</v>
      </c>
      <c r="HK155" s="54">
        <f t="shared" si="307"/>
        <v>146</v>
      </c>
      <c r="HL155" s="54">
        <f t="shared" si="308"/>
        <v>0.59352429502490978</v>
      </c>
      <c r="HM155" s="54" t="e">
        <f t="shared" si="309"/>
        <v>#N/A</v>
      </c>
      <c r="HN155" s="54">
        <f t="shared" si="310"/>
        <v>0.3163422496360116</v>
      </c>
      <c r="HO155" s="54" t="e">
        <f t="shared" si="311"/>
        <v>#N/A</v>
      </c>
      <c r="HP155" s="54" t="e">
        <f t="shared" si="312"/>
        <v>#N/A</v>
      </c>
      <c r="HQ155" s="54" t="b">
        <f t="shared" si="313"/>
        <v>1</v>
      </c>
      <c r="HR155" s="54" t="b">
        <f t="shared" si="314"/>
        <v>0</v>
      </c>
      <c r="HS155" s="54" t="b">
        <f t="shared" si="315"/>
        <v>0</v>
      </c>
      <c r="HT155" s="54" t="b">
        <f t="shared" si="316"/>
        <v>1</v>
      </c>
      <c r="HU155" s="54">
        <f t="shared" si="317"/>
        <v>0.3163422496360116</v>
      </c>
      <c r="HV155" s="54">
        <f t="shared" si="318"/>
        <v>0.3163422496360116</v>
      </c>
      <c r="HW155" s="54" t="e">
        <f t="shared" si="319"/>
        <v>#N/A</v>
      </c>
      <c r="HX155" s="69" t="str">
        <f t="shared" si="320"/>
        <v/>
      </c>
    </row>
    <row r="156" spans="78:232" x14ac:dyDescent="0.2">
      <c r="BZ156" s="54">
        <f t="shared" si="247"/>
        <v>146</v>
      </c>
      <c r="CA156" s="54">
        <f>Eu_tabel_g[[#This Row],[Indeks]]+1</f>
        <v>147</v>
      </c>
      <c r="CB156" s="54">
        <f t="shared" si="248"/>
        <v>0.40723991631668843</v>
      </c>
      <c r="CC156" s="54">
        <f t="shared" si="249"/>
        <v>0.36719556142717458</v>
      </c>
      <c r="CD156" s="54" t="e">
        <f t="shared" si="250"/>
        <v>#N/A</v>
      </c>
      <c r="CE156" s="54" t="e">
        <f t="shared" si="251"/>
        <v>#N/A</v>
      </c>
      <c r="CF156" s="54" t="e">
        <f t="shared" si="252"/>
        <v>#N/A</v>
      </c>
      <c r="CG156" s="54" t="b">
        <f t="shared" si="253"/>
        <v>0</v>
      </c>
      <c r="CH156" s="54" t="b">
        <f t="shared" si="254"/>
        <v>1</v>
      </c>
      <c r="CI156" s="54" t="b">
        <f t="shared" si="255"/>
        <v>0</v>
      </c>
      <c r="CJ156" s="54" t="b">
        <f t="shared" si="256"/>
        <v>1</v>
      </c>
      <c r="CK156" s="54">
        <f t="shared" si="223"/>
        <v>0.36719556142717458</v>
      </c>
      <c r="CL156" s="54" t="e">
        <f t="shared" si="257"/>
        <v>#N/A</v>
      </c>
      <c r="CM156" s="54">
        <f t="shared" si="258"/>
        <v>0.36719556142717458</v>
      </c>
      <c r="CN156" s="69" t="str">
        <f t="shared" si="259"/>
        <v/>
      </c>
      <c r="CO156" s="54">
        <f>_xlfn.NORM.DIST(_xlfn.NORM.INV(1-Eu_g_konfidensniveau,0,1)-Eu_tabel_g[[#This Row],[x base]],0,1,TRUE)</f>
        <v>2.0080286162773093E-2</v>
      </c>
      <c r="CP156" s="54">
        <f>1-_xlfn.NORM.DIST(_xlfn.NORM.INV(Eu_g_konfidensniveau,0,1)-Eu_tabel_g[[#This Row],[x base]],0,1,TRUE)</f>
        <v>0.10792966408969762</v>
      </c>
      <c r="CQ156" s="54">
        <f>_xlfn.NORM.DIST(_xlfn.NORM.INV((1-Eu_g_konfidensniveau)/2,0,1)-Eu_tabel_g[[#This Row],[x base]],0,1,TRUE)+1-_xlfn.NORM.DIST(_xlfn.NORM.INV(1-(1-Eu_g_konfidensniveau)/2,0,1)-Eu_tabel_g[[#This Row],[x base]],0,1,TRUE)</f>
        <v>6.9206062561586568E-2</v>
      </c>
      <c r="CR156" s="54" t="e" cm="1">
        <f t="array" ref="CR156">IF($CR$3,INDEX(Eu_tabel_g[[#This Row],[Styrke venstre]:[Styrke tosidet]],CR$7),NA())</f>
        <v>#N/A</v>
      </c>
      <c r="CS156" s="89" t="e">
        <f>Eu_tabel_g[[#This Row],[Falsk positiv
Nulhypotese accepteres
Fejltype 1]]</f>
        <v>#N/A</v>
      </c>
      <c r="CT156" s="89" t="e">
        <f>IF(CHOOSE(CR$7,Eu_tabel_g[[#This Row],[x base]]&gt;0,Eu_tabel_g[[#This Row],[x base]]&lt;0,Eu_tabel_g[[#This Row],[x base]]=0),Eu_tabel_g[[#This Row],[Styrke, aktiv]],NA())</f>
        <v>#N/A</v>
      </c>
      <c r="CU156" s="89" t="e">
        <f>IFERROR(IF($CR$3,Eu_tabel_g[[#This Row],[Styrke, aktiv]],NA()),NA())</f>
        <v>#N/A</v>
      </c>
      <c r="CV156" s="89" t="e">
        <f>IF(ISNA(Eu_tabel_g[[#This Row],[Sand negativ
Nulhypotese afvises
Korrekt]]),NA(),IF($CR$3,1,NA()))</f>
        <v>#N/A</v>
      </c>
      <c r="CW156" s="56" t="str" cm="1">
        <f t="array" ref="CW156">_xlfn.SWITCH(BZ156,_xlfn.IFNA(CU$2,-99),CU$5,_xlfn.IFNA(CU$3,-99),CU$6,_xlfn.IFNA(CU$4,-99),CU$7,"")</f>
        <v/>
      </c>
      <c r="DA156" s="7">
        <f t="shared" si="260"/>
        <v>0.8</v>
      </c>
      <c r="DB156">
        <f>IF(ROW(Styrkeberegning_G[[#This Row],[X base venstre]])=ROW(Styrkeberegning_G[[#Headers],[X base venstre]])+1,DB$7/(DA$7/$B$67),DB155/(DA155/$B$67))</f>
        <v>-2.8015817870135784</v>
      </c>
      <c r="DC156">
        <f>Styrkeberegning_G[[#This Row],[X base venstre]]*-1</f>
        <v>2.8015817870135784</v>
      </c>
      <c r="DN156" s="54">
        <f t="shared" si="261"/>
        <v>146</v>
      </c>
      <c r="DO156" s="54">
        <f t="shared" si="262"/>
        <v>147</v>
      </c>
      <c r="DP156" s="54">
        <f t="shared" si="263"/>
        <v>18.488197701535835</v>
      </c>
      <c r="DQ156" s="54" t="e">
        <f t="shared" si="264"/>
        <v>#N/A</v>
      </c>
      <c r="DR156" s="54" t="e">
        <f t="shared" si="265"/>
        <v>#N/A</v>
      </c>
      <c r="DS156" s="54">
        <f t="shared" si="266"/>
        <v>2.0504195349660678E-2</v>
      </c>
      <c r="DT156" s="54" t="e">
        <f t="shared" si="267"/>
        <v>#N/A</v>
      </c>
      <c r="DU156" s="54" t="b">
        <f t="shared" si="268"/>
        <v>0</v>
      </c>
      <c r="DV156" s="54" t="b">
        <f t="shared" si="269"/>
        <v>1</v>
      </c>
      <c r="DW156" s="54" t="b">
        <f t="shared" si="270"/>
        <v>0</v>
      </c>
      <c r="DX156" s="54" t="b">
        <f t="shared" si="271"/>
        <v>1</v>
      </c>
      <c r="DY156" s="54">
        <f t="shared" si="272"/>
        <v>2.0504195349660678E-2</v>
      </c>
      <c r="DZ156" s="54" t="e">
        <f t="shared" si="273"/>
        <v>#N/A</v>
      </c>
      <c r="EA156" s="54">
        <f t="shared" si="274"/>
        <v>2.0504195349660678E-2</v>
      </c>
      <c r="EB156" s="69" t="str">
        <f t="shared" si="275"/>
        <v/>
      </c>
      <c r="EG156" s="54">
        <f t="shared" si="276"/>
        <v>146</v>
      </c>
      <c r="EH156" s="54">
        <f t="shared" si="277"/>
        <v>147</v>
      </c>
      <c r="EI156" s="54">
        <f t="shared" si="278"/>
        <v>0.40723991631668843</v>
      </c>
      <c r="EJ156" s="54">
        <f t="shared" si="279"/>
        <v>0.36719556142717458</v>
      </c>
      <c r="EK156" s="54" t="e">
        <f t="shared" si="280"/>
        <v>#N/A</v>
      </c>
      <c r="EL156" s="54" t="e">
        <f t="shared" si="281"/>
        <v>#N/A</v>
      </c>
      <c r="EM156" s="54" t="e">
        <f t="shared" si="282"/>
        <v>#N/A</v>
      </c>
      <c r="EN156" s="54" t="b">
        <f t="shared" si="283"/>
        <v>0</v>
      </c>
      <c r="EO156" s="54" t="b">
        <f t="shared" si="284"/>
        <v>1</v>
      </c>
      <c r="EP156" s="54" t="b">
        <f t="shared" si="285"/>
        <v>0</v>
      </c>
      <c r="EQ156" s="54" t="b">
        <f t="shared" si="286"/>
        <v>1</v>
      </c>
      <c r="ER156" s="54">
        <f t="shared" si="287"/>
        <v>0.36719556142717458</v>
      </c>
      <c r="ES156" s="54" t="e">
        <f t="shared" si="288"/>
        <v>#N/A</v>
      </c>
      <c r="ET156" s="54">
        <f t="shared" si="289"/>
        <v>0.36719556142717458</v>
      </c>
      <c r="EU156" s="69" t="str">
        <f t="shared" si="290"/>
        <v/>
      </c>
      <c r="EV15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5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5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56" s="54" t="e" cm="1">
        <f t="array" ref="EY156">IF($CR$3,INDEX(Eu_tabel_a[[#This Row],[Styrke venstre]:[Styrke tosidet]],EY$7),NA())</f>
        <v>#N/A</v>
      </c>
      <c r="EZ156" s="54" t="e">
        <f>IF(EY$3,IF(CHOOSE(EY$7,Eu_tabel_a[[#This Row],[x base]]&gt;0,Eu_tabel_a[[#This Row],[x base]]&lt;0,Eu_tabel_a[[#This Row],[x base]]=0),1,NA()),NA())</f>
        <v>#N/A</v>
      </c>
      <c r="FA156" s="54" t="e">
        <f>IF(CHOOSE(EY$7,Eu_tabel_a[[#This Row],[x base]]&gt;0,Eu_tabel_a[[#This Row],[x base]]&lt;0,Eu_tabel_a[[#This Row],[x base]]=0),Eu_tabel_a[[#This Row],[Styrke, aktiv]],NA())</f>
        <v>#N/A</v>
      </c>
      <c r="FB156" s="54" t="e">
        <f>IFERROR(IF($EY$3,Eu_tabel_a[[#This Row],[Styrke, aktiv]],NA()),NA())</f>
        <v>#N/A</v>
      </c>
      <c r="FC156" s="54" t="e">
        <f>IF(ISNA(Eu_tabel_a[[#This Row],[Sand negativ
Nulhypotese afvises
Korrekt]]),NA(),IF(EY$3,1,NA()))</f>
        <v>#N/A</v>
      </c>
      <c r="FD156" s="55" t="str" cm="1">
        <f t="array" ref="FD156">IFERROR(_xlfn.SWITCH(Eu_tabel_a[[#This Row],[Indeks]],_xlfn.IFNA(FB$2,-99),FB$5,_xlfn.IFNA(FB$3,-99),FB$6,_xlfn.IFNA(FB$4,-99),FB$7,""),"")</f>
        <v/>
      </c>
      <c r="FE156" s="54">
        <f>Eu_tabel_a[[#This Row],[x base]]*SQRT(Eu_a_h0_x*(1-Eu_a_h0_x)/Eu_a_n_x)+Eu_a_h0_x</f>
        <v>0</v>
      </c>
      <c r="FJ156" s="144" t="e">
        <f t="shared" si="234"/>
        <v>#N/A</v>
      </c>
      <c r="FK156" s="152" t="e">
        <f t="shared" si="218"/>
        <v>#DIV/0!</v>
      </c>
      <c r="FL156" s="7" t="e">
        <f t="shared" si="228"/>
        <v>#DIV/0!</v>
      </c>
      <c r="FM156" t="e">
        <f t="shared" si="219"/>
        <v>#DIV/0!</v>
      </c>
      <c r="FN156" s="8" t="e">
        <f t="shared" si="220"/>
        <v>#DIV/0!</v>
      </c>
      <c r="FO156" s="8" t="e">
        <f t="shared" si="221"/>
        <v>#DIV/0!</v>
      </c>
      <c r="FP156" s="151" t="e">
        <f t="shared" si="222"/>
        <v>#DIV/0!</v>
      </c>
      <c r="FQ156" s="144" t="e">
        <f t="shared" ca="1" si="229"/>
        <v>#N/A</v>
      </c>
      <c r="FR156" s="152" t="e" vm="3">
        <f t="shared" ca="1" si="235"/>
        <v>#VALUE!</v>
      </c>
      <c r="FS156" s="7" t="e" vm="3">
        <f t="shared" ca="1" si="230"/>
        <v>#VALUE!</v>
      </c>
      <c r="FT156" t="e" vm="3">
        <f t="shared" ca="1" si="224"/>
        <v>#VALUE!</v>
      </c>
      <c r="FU156" s="8" t="e" vm="3">
        <f t="shared" ca="1" si="225"/>
        <v>#VALUE!</v>
      </c>
      <c r="FV156" s="8" t="e" vm="3">
        <f t="shared" ca="1" si="226"/>
        <v>#VALUE!</v>
      </c>
      <c r="FW156" s="151" t="e" vm="3">
        <f t="shared" ca="1" si="227"/>
        <v>#VALUE!</v>
      </c>
      <c r="FX156" s="144" t="e">
        <f t="shared" si="231"/>
        <v>#N/A</v>
      </c>
      <c r="FY156" s="152" t="e">
        <f t="shared" si="236"/>
        <v>#N/A</v>
      </c>
      <c r="FZ156" s="7" t="e">
        <f t="shared" si="232"/>
        <v>#N/A</v>
      </c>
      <c r="GA156" t="e">
        <f t="shared" si="237"/>
        <v>#N/A</v>
      </c>
      <c r="GB156" s="8" t="e">
        <f t="shared" si="238"/>
        <v>#N/A</v>
      </c>
      <c r="GC156" s="8" t="e">
        <f t="shared" si="239"/>
        <v>#N/A</v>
      </c>
      <c r="GD156" s="151" t="e">
        <f t="shared" si="240"/>
        <v>#N/A</v>
      </c>
      <c r="GE156" s="144" t="e">
        <f t="shared" si="241"/>
        <v>#N/A</v>
      </c>
      <c r="GF156" s="152" t="e">
        <f t="shared" si="242"/>
        <v>#N/A</v>
      </c>
      <c r="GG156" s="7" t="e">
        <f t="shared" si="233"/>
        <v>#N/A</v>
      </c>
      <c r="GH156" t="e">
        <f t="shared" si="243"/>
        <v>#N/A</v>
      </c>
      <c r="GI156" s="8" t="e">
        <f t="shared" si="244"/>
        <v>#N/A</v>
      </c>
      <c r="GJ156" s="8" t="e">
        <f t="shared" si="245"/>
        <v>#N/A</v>
      </c>
      <c r="GK156" s="151" t="e">
        <f t="shared" si="246"/>
        <v>#N/A</v>
      </c>
      <c r="GL156" s="151"/>
      <c r="GM156" s="151"/>
      <c r="GP156" s="54">
        <f t="shared" si="291"/>
        <v>146</v>
      </c>
      <c r="GQ156" s="54">
        <f t="shared" si="292"/>
        <v>147</v>
      </c>
      <c r="GR156" s="54">
        <f t="shared" si="293"/>
        <v>0.40723991631668843</v>
      </c>
      <c r="GS156" s="54">
        <f t="shared" si="294"/>
        <v>0.36719556142717458</v>
      </c>
      <c r="GT156" s="54" t="e">
        <f t="shared" si="295"/>
        <v>#N/A</v>
      </c>
      <c r="GU156" s="54" t="e">
        <f t="shared" si="296"/>
        <v>#N/A</v>
      </c>
      <c r="GV156" s="54" t="e">
        <f t="shared" si="297"/>
        <v>#N/A</v>
      </c>
      <c r="GW156" s="54" t="b">
        <f t="shared" si="298"/>
        <v>0</v>
      </c>
      <c r="GX156" s="54" t="b">
        <f t="shared" si="299"/>
        <v>1</v>
      </c>
      <c r="GY156" s="54" t="b">
        <f t="shared" si="300"/>
        <v>0</v>
      </c>
      <c r="GZ156" s="54" t="b">
        <f t="shared" si="301"/>
        <v>1</v>
      </c>
      <c r="HA156" s="54">
        <f t="shared" si="302"/>
        <v>0.36719556142717458</v>
      </c>
      <c r="HB156" s="54" t="e">
        <f t="shared" si="303"/>
        <v>#N/A</v>
      </c>
      <c r="HC156" s="54">
        <f t="shared" si="304"/>
        <v>0.36719556142717458</v>
      </c>
      <c r="HD156" s="69" t="str">
        <f t="shared" si="305"/>
        <v/>
      </c>
      <c r="HJ156" s="54">
        <f t="shared" si="306"/>
        <v>146</v>
      </c>
      <c r="HK156" s="54">
        <f t="shared" si="307"/>
        <v>147</v>
      </c>
      <c r="HL156" s="54">
        <f t="shared" si="308"/>
        <v>0.63061956346396641</v>
      </c>
      <c r="HM156" s="54" t="e">
        <f t="shared" si="309"/>
        <v>#N/A</v>
      </c>
      <c r="HN156" s="54">
        <f t="shared" si="310"/>
        <v>0.30864613159943455</v>
      </c>
      <c r="HO156" s="54" t="e">
        <f t="shared" si="311"/>
        <v>#N/A</v>
      </c>
      <c r="HP156" s="54" t="e">
        <f t="shared" si="312"/>
        <v>#N/A</v>
      </c>
      <c r="HQ156" s="54" t="b">
        <f t="shared" si="313"/>
        <v>1</v>
      </c>
      <c r="HR156" s="54" t="b">
        <f t="shared" si="314"/>
        <v>0</v>
      </c>
      <c r="HS156" s="54" t="b">
        <f t="shared" si="315"/>
        <v>0</v>
      </c>
      <c r="HT156" s="54" t="b">
        <f t="shared" si="316"/>
        <v>1</v>
      </c>
      <c r="HU156" s="54">
        <f t="shared" si="317"/>
        <v>0.30864613159943455</v>
      </c>
      <c r="HV156" s="54">
        <f t="shared" si="318"/>
        <v>0.30864613159943455</v>
      </c>
      <c r="HW156" s="54" t="e">
        <f t="shared" si="319"/>
        <v>#N/A</v>
      </c>
      <c r="HX156" s="69" t="str">
        <f t="shared" si="320"/>
        <v/>
      </c>
    </row>
    <row r="157" spans="78:232" x14ac:dyDescent="0.2">
      <c r="BZ157" s="54">
        <f t="shared" si="247"/>
        <v>147</v>
      </c>
      <c r="CA157" s="54">
        <f>Eu_tabel_g[[#This Row],[Indeks]]+1</f>
        <v>148</v>
      </c>
      <c r="CB157" s="54">
        <f t="shared" si="248"/>
        <v>0.4311952055117878</v>
      </c>
      <c r="CC157" s="54">
        <f t="shared" si="249"/>
        <v>0.36352646237304004</v>
      </c>
      <c r="CD157" s="54" t="e">
        <f t="shared" si="250"/>
        <v>#N/A</v>
      </c>
      <c r="CE157" s="54" t="e">
        <f t="shared" si="251"/>
        <v>#N/A</v>
      </c>
      <c r="CF157" s="54" t="e">
        <f t="shared" si="252"/>
        <v>#N/A</v>
      </c>
      <c r="CG157" s="54" t="b">
        <f t="shared" si="253"/>
        <v>0</v>
      </c>
      <c r="CH157" s="54" t="b">
        <f t="shared" si="254"/>
        <v>1</v>
      </c>
      <c r="CI157" s="54" t="b">
        <f t="shared" si="255"/>
        <v>0</v>
      </c>
      <c r="CJ157" s="54" t="b">
        <f t="shared" si="256"/>
        <v>1</v>
      </c>
      <c r="CK157" s="54">
        <f t="shared" si="223"/>
        <v>0.36352646237304004</v>
      </c>
      <c r="CL157" s="54" t="e">
        <f t="shared" si="257"/>
        <v>#N/A</v>
      </c>
      <c r="CM157" s="54">
        <f t="shared" si="258"/>
        <v>0.36352646237304004</v>
      </c>
      <c r="CN157" s="69" t="str">
        <f t="shared" si="259"/>
        <v/>
      </c>
      <c r="CO157" s="54">
        <f>_xlfn.NORM.DIST(_xlfn.NORM.INV(1-Eu_g_konfidensniveau,0,1)-Eu_tabel_g[[#This Row],[x base]],0,1,TRUE)</f>
        <v>1.894471740966298E-2</v>
      </c>
      <c r="CP157" s="54">
        <f>1-_xlfn.NORM.DIST(_xlfn.NORM.INV(Eu_g_konfidensniveau,0,1)-Eu_tabel_g[[#This Row],[x base]],0,1,TRUE)</f>
        <v>0.11243909396981622</v>
      </c>
      <c r="CQ157" s="54">
        <f>_xlfn.NORM.DIST(_xlfn.NORM.INV((1-Eu_g_konfidensniveau)/2,0,1)-Eu_tabel_g[[#This Row],[x base]],0,1,TRUE)+1-_xlfn.NORM.DIST(_xlfn.NORM.INV(1-(1-Eu_g_konfidensniveau)/2,0,1)-Eu_tabel_g[[#This Row],[x base]],0,1,TRUE)</f>
        <v>7.1558521831954547E-2</v>
      </c>
      <c r="CR157" s="54" t="e" cm="1">
        <f t="array" ref="CR157">IF($CR$3,INDEX(Eu_tabel_g[[#This Row],[Styrke venstre]:[Styrke tosidet]],CR$7),NA())</f>
        <v>#N/A</v>
      </c>
      <c r="CS157" s="89" t="e">
        <f>Eu_tabel_g[[#This Row],[Falsk positiv
Nulhypotese accepteres
Fejltype 1]]</f>
        <v>#N/A</v>
      </c>
      <c r="CT157" s="89" t="e">
        <f>IF(CHOOSE(CR$7,Eu_tabel_g[[#This Row],[x base]]&gt;0,Eu_tabel_g[[#This Row],[x base]]&lt;0,Eu_tabel_g[[#This Row],[x base]]=0),Eu_tabel_g[[#This Row],[Styrke, aktiv]],NA())</f>
        <v>#N/A</v>
      </c>
      <c r="CU157" s="89" t="e">
        <f>IFERROR(IF($CR$3,Eu_tabel_g[[#This Row],[Styrke, aktiv]],NA()),NA())</f>
        <v>#N/A</v>
      </c>
      <c r="CV157" s="89" t="e">
        <f>IF(ISNA(Eu_tabel_g[[#This Row],[Sand negativ
Nulhypotese afvises
Korrekt]]),NA(),IF($CR$3,1,NA()))</f>
        <v>#N/A</v>
      </c>
      <c r="CW157" s="56" t="str" cm="1">
        <f t="array" ref="CW157">_xlfn.SWITCH(BZ157,_xlfn.IFNA(CU$2,-99),CU$5,_xlfn.IFNA(CU$3,-99),CU$6,_xlfn.IFNA(CU$4,-99),CU$7,"")</f>
        <v/>
      </c>
      <c r="DA157" s="7">
        <f t="shared" si="260"/>
        <v>0.8</v>
      </c>
      <c r="DB157">
        <f>IF(ROW(Styrkeberegning_G[[#This Row],[X base venstre]])=ROW(Styrkeberegning_G[[#Headers],[X base venstre]])+1,DB$7/(DA$7/$B$67),DB156/(DA156/$B$67))</f>
        <v>-2.8015817870135784</v>
      </c>
      <c r="DC157">
        <f>Styrkeberegning_G[[#This Row],[X base venstre]]*-1</f>
        <v>2.8015817870135784</v>
      </c>
      <c r="DN157" s="54">
        <f t="shared" si="261"/>
        <v>147</v>
      </c>
      <c r="DO157" s="54">
        <f t="shared" si="262"/>
        <v>148</v>
      </c>
      <c r="DP157" s="54">
        <f t="shared" si="263"/>
        <v>18.602268557952836</v>
      </c>
      <c r="DQ157" s="54" t="e">
        <f t="shared" si="264"/>
        <v>#N/A</v>
      </c>
      <c r="DR157" s="54" t="e">
        <f t="shared" si="265"/>
        <v>#N/A</v>
      </c>
      <c r="DS157" s="54">
        <f t="shared" si="266"/>
        <v>1.9911022318457171E-2</v>
      </c>
      <c r="DT157" s="54" t="e">
        <f t="shared" si="267"/>
        <v>#N/A</v>
      </c>
      <c r="DU157" s="54" t="b">
        <f t="shared" si="268"/>
        <v>0</v>
      </c>
      <c r="DV157" s="54" t="b">
        <f t="shared" si="269"/>
        <v>1</v>
      </c>
      <c r="DW157" s="54" t="b">
        <f t="shared" si="270"/>
        <v>0</v>
      </c>
      <c r="DX157" s="54" t="b">
        <f t="shared" si="271"/>
        <v>1</v>
      </c>
      <c r="DY157" s="54">
        <f t="shared" si="272"/>
        <v>1.9911022318457171E-2</v>
      </c>
      <c r="DZ157" s="54" t="e">
        <f t="shared" si="273"/>
        <v>#N/A</v>
      </c>
      <c r="EA157" s="54">
        <f t="shared" si="274"/>
        <v>1.9911022318457171E-2</v>
      </c>
      <c r="EB157" s="69" t="str">
        <f t="shared" si="275"/>
        <v/>
      </c>
      <c r="EG157" s="54">
        <f t="shared" si="276"/>
        <v>147</v>
      </c>
      <c r="EH157" s="54">
        <f t="shared" si="277"/>
        <v>148</v>
      </c>
      <c r="EI157" s="54">
        <f t="shared" si="278"/>
        <v>0.4311952055117878</v>
      </c>
      <c r="EJ157" s="54">
        <f t="shared" si="279"/>
        <v>0.36352646237304004</v>
      </c>
      <c r="EK157" s="54" t="e">
        <f t="shared" si="280"/>
        <v>#N/A</v>
      </c>
      <c r="EL157" s="54" t="e">
        <f t="shared" si="281"/>
        <v>#N/A</v>
      </c>
      <c r="EM157" s="54" t="e">
        <f t="shared" si="282"/>
        <v>#N/A</v>
      </c>
      <c r="EN157" s="54" t="b">
        <f t="shared" si="283"/>
        <v>0</v>
      </c>
      <c r="EO157" s="54" t="b">
        <f t="shared" si="284"/>
        <v>1</v>
      </c>
      <c r="EP157" s="54" t="b">
        <f t="shared" si="285"/>
        <v>0</v>
      </c>
      <c r="EQ157" s="54" t="b">
        <f t="shared" si="286"/>
        <v>1</v>
      </c>
      <c r="ER157" s="54">
        <f t="shared" si="287"/>
        <v>0.36352646237304004</v>
      </c>
      <c r="ES157" s="54" t="e">
        <f t="shared" si="288"/>
        <v>#N/A</v>
      </c>
      <c r="ET157" s="54">
        <f t="shared" si="289"/>
        <v>0.36352646237304004</v>
      </c>
      <c r="EU157" s="69" t="str">
        <f t="shared" si="290"/>
        <v/>
      </c>
      <c r="EV15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5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5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57" s="54" t="e" cm="1">
        <f t="array" ref="EY157">IF($CR$3,INDEX(Eu_tabel_a[[#This Row],[Styrke venstre]:[Styrke tosidet]],EY$7),NA())</f>
        <v>#N/A</v>
      </c>
      <c r="EZ157" s="54" t="e">
        <f>IF(EY$3,IF(CHOOSE(EY$7,Eu_tabel_a[[#This Row],[x base]]&gt;0,Eu_tabel_a[[#This Row],[x base]]&lt;0,Eu_tabel_a[[#This Row],[x base]]=0),1,NA()),NA())</f>
        <v>#N/A</v>
      </c>
      <c r="FA157" s="54" t="e">
        <f>IF(CHOOSE(EY$7,Eu_tabel_a[[#This Row],[x base]]&gt;0,Eu_tabel_a[[#This Row],[x base]]&lt;0,Eu_tabel_a[[#This Row],[x base]]=0),Eu_tabel_a[[#This Row],[Styrke, aktiv]],NA())</f>
        <v>#N/A</v>
      </c>
      <c r="FB157" s="54" t="e">
        <f>IFERROR(IF($EY$3,Eu_tabel_a[[#This Row],[Styrke, aktiv]],NA()),NA())</f>
        <v>#N/A</v>
      </c>
      <c r="FC157" s="54" t="e">
        <f>IF(ISNA(Eu_tabel_a[[#This Row],[Sand negativ
Nulhypotese afvises
Korrekt]]),NA(),IF(EY$3,1,NA()))</f>
        <v>#N/A</v>
      </c>
      <c r="FD157" s="55" t="str" cm="1">
        <f t="array" ref="FD157">IFERROR(_xlfn.SWITCH(Eu_tabel_a[[#This Row],[Indeks]],_xlfn.IFNA(FB$2,-99),FB$5,_xlfn.IFNA(FB$3,-99),FB$6,_xlfn.IFNA(FB$4,-99),FB$7,""),"")</f>
        <v/>
      </c>
      <c r="FE157" s="54">
        <f>Eu_tabel_a[[#This Row],[x base]]*SQRT(Eu_a_h0_x*(1-Eu_a_h0_x)/Eu_a_n_x)+Eu_a_h0_x</f>
        <v>0</v>
      </c>
      <c r="FJ157" s="144" t="e">
        <f t="shared" si="234"/>
        <v>#N/A</v>
      </c>
      <c r="FK157" s="152" t="e">
        <f t="shared" si="218"/>
        <v>#DIV/0!</v>
      </c>
      <c r="FL157" s="7" t="e">
        <f t="shared" si="228"/>
        <v>#DIV/0!</v>
      </c>
      <c r="FM157" t="e">
        <f t="shared" si="219"/>
        <v>#DIV/0!</v>
      </c>
      <c r="FN157" s="8" t="e">
        <f t="shared" si="220"/>
        <v>#DIV/0!</v>
      </c>
      <c r="FO157" s="8" t="e">
        <f t="shared" si="221"/>
        <v>#DIV/0!</v>
      </c>
      <c r="FP157" s="151" t="e">
        <f t="shared" si="222"/>
        <v>#DIV/0!</v>
      </c>
      <c r="FQ157" s="144" t="e">
        <f t="shared" ca="1" si="229"/>
        <v>#N/A</v>
      </c>
      <c r="FR157" s="152" t="e" vm="3">
        <f t="shared" ca="1" si="235"/>
        <v>#VALUE!</v>
      </c>
      <c r="FS157" s="7" t="e" vm="3">
        <f t="shared" ca="1" si="230"/>
        <v>#VALUE!</v>
      </c>
      <c r="FT157" t="e" vm="3">
        <f t="shared" ca="1" si="224"/>
        <v>#VALUE!</v>
      </c>
      <c r="FU157" s="8" t="e" vm="3">
        <f t="shared" ca="1" si="225"/>
        <v>#VALUE!</v>
      </c>
      <c r="FV157" s="8" t="e" vm="3">
        <f t="shared" ca="1" si="226"/>
        <v>#VALUE!</v>
      </c>
      <c r="FW157" s="151" t="e" vm="3">
        <f t="shared" ca="1" si="227"/>
        <v>#VALUE!</v>
      </c>
      <c r="FX157" s="144" t="e">
        <f t="shared" si="231"/>
        <v>#N/A</v>
      </c>
      <c r="FY157" s="152" t="e">
        <f t="shared" si="236"/>
        <v>#N/A</v>
      </c>
      <c r="FZ157" s="7" t="e">
        <f t="shared" si="232"/>
        <v>#N/A</v>
      </c>
      <c r="GA157" t="e">
        <f t="shared" si="237"/>
        <v>#N/A</v>
      </c>
      <c r="GB157" s="8" t="e">
        <f t="shared" si="238"/>
        <v>#N/A</v>
      </c>
      <c r="GC157" s="8" t="e">
        <f t="shared" si="239"/>
        <v>#N/A</v>
      </c>
      <c r="GD157" s="151" t="e">
        <f t="shared" si="240"/>
        <v>#N/A</v>
      </c>
      <c r="GE157" s="144" t="e">
        <f t="shared" si="241"/>
        <v>#N/A</v>
      </c>
      <c r="GF157" s="152" t="e">
        <f t="shared" si="242"/>
        <v>#N/A</v>
      </c>
      <c r="GG157" s="7" t="e">
        <f t="shared" si="233"/>
        <v>#N/A</v>
      </c>
      <c r="GH157" t="e">
        <f t="shared" si="243"/>
        <v>#N/A</v>
      </c>
      <c r="GI157" s="8" t="e">
        <f t="shared" si="244"/>
        <v>#N/A</v>
      </c>
      <c r="GJ157" s="8" t="e">
        <f t="shared" si="245"/>
        <v>#N/A</v>
      </c>
      <c r="GK157" s="151" t="e">
        <f t="shared" si="246"/>
        <v>#N/A</v>
      </c>
      <c r="GL157" s="151"/>
      <c r="GM157" s="151"/>
      <c r="GP157" s="54">
        <f t="shared" si="291"/>
        <v>147</v>
      </c>
      <c r="GQ157" s="54">
        <f t="shared" si="292"/>
        <v>148</v>
      </c>
      <c r="GR157" s="54">
        <f t="shared" si="293"/>
        <v>0.4311952055117878</v>
      </c>
      <c r="GS157" s="54">
        <f t="shared" si="294"/>
        <v>0.36352646237304004</v>
      </c>
      <c r="GT157" s="54" t="e">
        <f t="shared" si="295"/>
        <v>#N/A</v>
      </c>
      <c r="GU157" s="54" t="e">
        <f t="shared" si="296"/>
        <v>#N/A</v>
      </c>
      <c r="GV157" s="54" t="e">
        <f t="shared" si="297"/>
        <v>#N/A</v>
      </c>
      <c r="GW157" s="54" t="b">
        <f t="shared" si="298"/>
        <v>0</v>
      </c>
      <c r="GX157" s="54" t="b">
        <f t="shared" si="299"/>
        <v>1</v>
      </c>
      <c r="GY157" s="54" t="b">
        <f t="shared" si="300"/>
        <v>0</v>
      </c>
      <c r="GZ157" s="54" t="b">
        <f t="shared" si="301"/>
        <v>1</v>
      </c>
      <c r="HA157" s="54">
        <f t="shared" si="302"/>
        <v>0.36352646237304004</v>
      </c>
      <c r="HB157" s="54" t="e">
        <f t="shared" si="303"/>
        <v>#N/A</v>
      </c>
      <c r="HC157" s="54">
        <f t="shared" si="304"/>
        <v>0.36352646237304004</v>
      </c>
      <c r="HD157" s="69" t="str">
        <f t="shared" si="305"/>
        <v/>
      </c>
      <c r="HJ157" s="54">
        <f t="shared" si="306"/>
        <v>147</v>
      </c>
      <c r="HK157" s="54">
        <f t="shared" si="307"/>
        <v>148</v>
      </c>
      <c r="HL157" s="54">
        <f t="shared" si="308"/>
        <v>0.66771483190302305</v>
      </c>
      <c r="HM157" s="54" t="e">
        <f t="shared" si="309"/>
        <v>#N/A</v>
      </c>
      <c r="HN157" s="54">
        <f t="shared" si="310"/>
        <v>0.30073759656733073</v>
      </c>
      <c r="HO157" s="54" t="e">
        <f t="shared" si="311"/>
        <v>#N/A</v>
      </c>
      <c r="HP157" s="54" t="e">
        <f t="shared" si="312"/>
        <v>#N/A</v>
      </c>
      <c r="HQ157" s="54" t="b">
        <f t="shared" si="313"/>
        <v>1</v>
      </c>
      <c r="HR157" s="54" t="b">
        <f t="shared" si="314"/>
        <v>0</v>
      </c>
      <c r="HS157" s="54" t="b">
        <f t="shared" si="315"/>
        <v>0</v>
      </c>
      <c r="HT157" s="54" t="b">
        <f t="shared" si="316"/>
        <v>1</v>
      </c>
      <c r="HU157" s="54">
        <f t="shared" si="317"/>
        <v>0.30073759656733073</v>
      </c>
      <c r="HV157" s="54">
        <f t="shared" si="318"/>
        <v>0.30073759656733073</v>
      </c>
      <c r="HW157" s="54" t="e">
        <f t="shared" si="319"/>
        <v>#N/A</v>
      </c>
      <c r="HX157" s="69" t="str">
        <f t="shared" si="320"/>
        <v/>
      </c>
    </row>
    <row r="158" spans="78:232" x14ac:dyDescent="0.2">
      <c r="BZ158" s="54">
        <f t="shared" si="247"/>
        <v>148</v>
      </c>
      <c r="CA158" s="54">
        <f>Eu_tabel_g[[#This Row],[Indeks]]+1</f>
        <v>149</v>
      </c>
      <c r="CB158" s="54">
        <f t="shared" si="248"/>
        <v>0.45515049470688718</v>
      </c>
      <c r="CC158" s="54">
        <f t="shared" si="249"/>
        <v>0.35968755771017369</v>
      </c>
      <c r="CD158" s="54" t="e">
        <f t="shared" si="250"/>
        <v>#N/A</v>
      </c>
      <c r="CE158" s="54" t="e">
        <f t="shared" si="251"/>
        <v>#N/A</v>
      </c>
      <c r="CF158" s="54" t="e">
        <f t="shared" si="252"/>
        <v>#N/A</v>
      </c>
      <c r="CG158" s="54" t="b">
        <f t="shared" si="253"/>
        <v>0</v>
      </c>
      <c r="CH158" s="54" t="b">
        <f t="shared" si="254"/>
        <v>1</v>
      </c>
      <c r="CI158" s="54" t="b">
        <f t="shared" si="255"/>
        <v>0</v>
      </c>
      <c r="CJ158" s="54" t="b">
        <f t="shared" si="256"/>
        <v>1</v>
      </c>
      <c r="CK158" s="54">
        <f t="shared" ref="CK158:CK189" si="321">_xlfn.AGGREGATE(9,6,CC158:CF158)</f>
        <v>0.35968755771017369</v>
      </c>
      <c r="CL158" s="54" t="e">
        <f t="shared" si="257"/>
        <v>#N/A</v>
      </c>
      <c r="CM158" s="54">
        <f t="shared" si="258"/>
        <v>0.35968755771017369</v>
      </c>
      <c r="CN158" s="69" t="str">
        <f t="shared" si="259"/>
        <v/>
      </c>
      <c r="CO158" s="54">
        <f>_xlfn.NORM.DIST(_xlfn.NORM.INV(1-Eu_g_konfidensniveau,0,1)-Eu_tabel_g[[#This Row],[x base]],0,1,TRUE)</f>
        <v>1.7864239278245084E-2</v>
      </c>
      <c r="CP158" s="54">
        <f>1-_xlfn.NORM.DIST(_xlfn.NORM.INV(Eu_g_konfidensniveau,0,1)-Eu_tabel_g[[#This Row],[x base]],0,1,TRUE)</f>
        <v>0.11708154692792394</v>
      </c>
      <c r="CQ158" s="54">
        <f>_xlfn.NORM.DIST(_xlfn.NORM.INV((1-Eu_g_konfidensniveau)/2,0,1)-Eu_tabel_g[[#This Row],[x base]],0,1,TRUE)+1-_xlfn.NORM.DIST(_xlfn.NORM.INV(1-(1-Eu_g_konfidensniveau)/2,0,1)-Eu_tabel_g[[#This Row],[x base]],0,1,TRUE)</f>
        <v>7.4051149695403939E-2</v>
      </c>
      <c r="CR158" s="54" t="e" cm="1">
        <f t="array" ref="CR158">IF($CR$3,INDEX(Eu_tabel_g[[#This Row],[Styrke venstre]:[Styrke tosidet]],CR$7),NA())</f>
        <v>#N/A</v>
      </c>
      <c r="CS158" s="89" t="e">
        <f>Eu_tabel_g[[#This Row],[Falsk positiv
Nulhypotese accepteres
Fejltype 1]]</f>
        <v>#N/A</v>
      </c>
      <c r="CT158" s="89" t="e">
        <f>IF(CHOOSE(CR$7,Eu_tabel_g[[#This Row],[x base]]&gt;0,Eu_tabel_g[[#This Row],[x base]]&lt;0,Eu_tabel_g[[#This Row],[x base]]=0),Eu_tabel_g[[#This Row],[Styrke, aktiv]],NA())</f>
        <v>#N/A</v>
      </c>
      <c r="CU158" s="89" t="e">
        <f>IFERROR(IF($CR$3,Eu_tabel_g[[#This Row],[Styrke, aktiv]],NA()),NA())</f>
        <v>#N/A</v>
      </c>
      <c r="CV158" s="89" t="e">
        <f>IF(ISNA(Eu_tabel_g[[#This Row],[Sand negativ
Nulhypotese afvises
Korrekt]]),NA(),IF($CR$3,1,NA()))</f>
        <v>#N/A</v>
      </c>
      <c r="CW158" s="56" t="str" cm="1">
        <f t="array" ref="CW158">_xlfn.SWITCH(BZ158,_xlfn.IFNA(CU$2,-99),CU$5,_xlfn.IFNA(CU$3,-99),CU$6,_xlfn.IFNA(CU$4,-99),CU$7,"")</f>
        <v/>
      </c>
      <c r="DA158" s="7">
        <f t="shared" si="260"/>
        <v>0.8</v>
      </c>
      <c r="DB158">
        <f>IF(ROW(Styrkeberegning_G[[#This Row],[X base venstre]])=ROW(Styrkeberegning_G[[#Headers],[X base venstre]])+1,DB$7/(DA$7/$B$67),DB157/(DA157/$B$67))</f>
        <v>-2.8015817870135784</v>
      </c>
      <c r="DC158">
        <f>Styrkeberegning_G[[#This Row],[X base venstre]]*-1</f>
        <v>2.8015817870135784</v>
      </c>
      <c r="DN158" s="54">
        <f t="shared" si="261"/>
        <v>148</v>
      </c>
      <c r="DO158" s="54">
        <f t="shared" si="262"/>
        <v>149</v>
      </c>
      <c r="DP158" s="54">
        <f t="shared" si="263"/>
        <v>18.716339414369838</v>
      </c>
      <c r="DQ158" s="54" t="e">
        <f t="shared" si="264"/>
        <v>#N/A</v>
      </c>
      <c r="DR158" s="54" t="e">
        <f t="shared" si="265"/>
        <v>#N/A</v>
      </c>
      <c r="DS158" s="54">
        <f t="shared" si="266"/>
        <v>1.9331737904786175E-2</v>
      </c>
      <c r="DT158" s="54" t="e">
        <f t="shared" si="267"/>
        <v>#N/A</v>
      </c>
      <c r="DU158" s="54" t="b">
        <f t="shared" si="268"/>
        <v>0</v>
      </c>
      <c r="DV158" s="54" t="b">
        <f t="shared" si="269"/>
        <v>1</v>
      </c>
      <c r="DW158" s="54" t="b">
        <f t="shared" si="270"/>
        <v>0</v>
      </c>
      <c r="DX158" s="54" t="b">
        <f t="shared" si="271"/>
        <v>1</v>
      </c>
      <c r="DY158" s="54">
        <f t="shared" si="272"/>
        <v>1.9331737904786175E-2</v>
      </c>
      <c r="DZ158" s="54" t="e">
        <f t="shared" si="273"/>
        <v>#N/A</v>
      </c>
      <c r="EA158" s="54">
        <f t="shared" si="274"/>
        <v>1.9331737904786175E-2</v>
      </c>
      <c r="EB158" s="69" t="str">
        <f t="shared" si="275"/>
        <v/>
      </c>
      <c r="EG158" s="54">
        <f t="shared" si="276"/>
        <v>148</v>
      </c>
      <c r="EH158" s="54">
        <f t="shared" si="277"/>
        <v>149</v>
      </c>
      <c r="EI158" s="54">
        <f t="shared" si="278"/>
        <v>0.45515049470688718</v>
      </c>
      <c r="EJ158" s="54">
        <f t="shared" si="279"/>
        <v>0.35968755771017369</v>
      </c>
      <c r="EK158" s="54" t="e">
        <f t="shared" si="280"/>
        <v>#N/A</v>
      </c>
      <c r="EL158" s="54" t="e">
        <f t="shared" si="281"/>
        <v>#N/A</v>
      </c>
      <c r="EM158" s="54" t="e">
        <f t="shared" si="282"/>
        <v>#N/A</v>
      </c>
      <c r="EN158" s="54" t="b">
        <f t="shared" si="283"/>
        <v>0</v>
      </c>
      <c r="EO158" s="54" t="b">
        <f t="shared" si="284"/>
        <v>1</v>
      </c>
      <c r="EP158" s="54" t="b">
        <f t="shared" si="285"/>
        <v>0</v>
      </c>
      <c r="EQ158" s="54" t="b">
        <f t="shared" si="286"/>
        <v>1</v>
      </c>
      <c r="ER158" s="54">
        <f t="shared" si="287"/>
        <v>0.35968755771017369</v>
      </c>
      <c r="ES158" s="54" t="e">
        <f t="shared" si="288"/>
        <v>#N/A</v>
      </c>
      <c r="ET158" s="54">
        <f t="shared" si="289"/>
        <v>0.35968755771017369</v>
      </c>
      <c r="EU158" s="69" t="str">
        <f t="shared" si="290"/>
        <v/>
      </c>
      <c r="EV15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5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5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58" s="54" t="e" cm="1">
        <f t="array" ref="EY158">IF($CR$3,INDEX(Eu_tabel_a[[#This Row],[Styrke venstre]:[Styrke tosidet]],EY$7),NA())</f>
        <v>#N/A</v>
      </c>
      <c r="EZ158" s="54" t="e">
        <f>IF(EY$3,IF(CHOOSE(EY$7,Eu_tabel_a[[#This Row],[x base]]&gt;0,Eu_tabel_a[[#This Row],[x base]]&lt;0,Eu_tabel_a[[#This Row],[x base]]=0),1,NA()),NA())</f>
        <v>#N/A</v>
      </c>
      <c r="FA158" s="54" t="e">
        <f>IF(CHOOSE(EY$7,Eu_tabel_a[[#This Row],[x base]]&gt;0,Eu_tabel_a[[#This Row],[x base]]&lt;0,Eu_tabel_a[[#This Row],[x base]]=0),Eu_tabel_a[[#This Row],[Styrke, aktiv]],NA())</f>
        <v>#N/A</v>
      </c>
      <c r="FB158" s="54" t="e">
        <f>IFERROR(IF($EY$3,Eu_tabel_a[[#This Row],[Styrke, aktiv]],NA()),NA())</f>
        <v>#N/A</v>
      </c>
      <c r="FC158" s="54" t="e">
        <f>IF(ISNA(Eu_tabel_a[[#This Row],[Sand negativ
Nulhypotese afvises
Korrekt]]),NA(),IF(EY$3,1,NA()))</f>
        <v>#N/A</v>
      </c>
      <c r="FD158" s="55" t="str" cm="1">
        <f t="array" ref="FD158">IFERROR(_xlfn.SWITCH(Eu_tabel_a[[#This Row],[Indeks]],_xlfn.IFNA(FB$2,-99),FB$5,_xlfn.IFNA(FB$3,-99),FB$6,_xlfn.IFNA(FB$4,-99),FB$7,""),"")</f>
        <v/>
      </c>
      <c r="FE158" s="54">
        <f>Eu_tabel_a[[#This Row],[x base]]*SQRT(Eu_a_h0_x*(1-Eu_a_h0_x)/Eu_a_n_x)+Eu_a_h0_x</f>
        <v>0</v>
      </c>
      <c r="FJ158" s="144" t="e">
        <f t="shared" si="234"/>
        <v>#N/A</v>
      </c>
      <c r="FK158" s="152" t="e">
        <f t="shared" si="218"/>
        <v>#DIV/0!</v>
      </c>
      <c r="FL158" s="7" t="e">
        <f t="shared" si="228"/>
        <v>#DIV/0!</v>
      </c>
      <c r="FM158" t="e">
        <f t="shared" si="219"/>
        <v>#DIV/0!</v>
      </c>
      <c r="FN158" s="8" t="e">
        <f t="shared" si="220"/>
        <v>#DIV/0!</v>
      </c>
      <c r="FO158" s="8" t="e">
        <f t="shared" si="221"/>
        <v>#DIV/0!</v>
      </c>
      <c r="FP158" s="151" t="e">
        <f t="shared" si="222"/>
        <v>#DIV/0!</v>
      </c>
      <c r="FQ158" s="144" t="e">
        <f t="shared" ca="1" si="229"/>
        <v>#N/A</v>
      </c>
      <c r="FR158" s="152" t="e" vm="3">
        <f t="shared" ca="1" si="235"/>
        <v>#VALUE!</v>
      </c>
      <c r="FS158" s="7" t="e" vm="3">
        <f t="shared" ca="1" si="230"/>
        <v>#VALUE!</v>
      </c>
      <c r="FT158" t="e" vm="3">
        <f t="shared" ca="1" si="224"/>
        <v>#VALUE!</v>
      </c>
      <c r="FU158" s="8" t="e" vm="3">
        <f t="shared" ca="1" si="225"/>
        <v>#VALUE!</v>
      </c>
      <c r="FV158" s="8" t="e" vm="3">
        <f t="shared" ca="1" si="226"/>
        <v>#VALUE!</v>
      </c>
      <c r="FW158" s="151" t="e" vm="3">
        <f t="shared" ca="1" si="227"/>
        <v>#VALUE!</v>
      </c>
      <c r="FX158" s="144" t="e">
        <f t="shared" si="231"/>
        <v>#N/A</v>
      </c>
      <c r="FY158" s="152" t="e">
        <f t="shared" si="236"/>
        <v>#N/A</v>
      </c>
      <c r="FZ158" s="7" t="e">
        <f t="shared" si="232"/>
        <v>#N/A</v>
      </c>
      <c r="GA158" t="e">
        <f t="shared" si="237"/>
        <v>#N/A</v>
      </c>
      <c r="GB158" s="8" t="e">
        <f t="shared" si="238"/>
        <v>#N/A</v>
      </c>
      <c r="GC158" s="8" t="e">
        <f t="shared" si="239"/>
        <v>#N/A</v>
      </c>
      <c r="GD158" s="151" t="e">
        <f t="shared" si="240"/>
        <v>#N/A</v>
      </c>
      <c r="GE158" s="144" t="e">
        <f t="shared" si="241"/>
        <v>#N/A</v>
      </c>
      <c r="GF158" s="152" t="e">
        <f t="shared" si="242"/>
        <v>#N/A</v>
      </c>
      <c r="GG158" s="7" t="e">
        <f t="shared" si="233"/>
        <v>#N/A</v>
      </c>
      <c r="GH158" t="e">
        <f t="shared" si="243"/>
        <v>#N/A</v>
      </c>
      <c r="GI158" s="8" t="e">
        <f t="shared" si="244"/>
        <v>#N/A</v>
      </c>
      <c r="GJ158" s="8" t="e">
        <f t="shared" si="245"/>
        <v>#N/A</v>
      </c>
      <c r="GK158" s="151" t="e">
        <f t="shared" si="246"/>
        <v>#N/A</v>
      </c>
      <c r="GL158" s="151"/>
      <c r="GM158" s="151"/>
      <c r="GP158" s="54">
        <f t="shared" si="291"/>
        <v>148</v>
      </c>
      <c r="GQ158" s="54">
        <f t="shared" si="292"/>
        <v>149</v>
      </c>
      <c r="GR158" s="54">
        <f t="shared" si="293"/>
        <v>0.45515049470688718</v>
      </c>
      <c r="GS158" s="54">
        <f t="shared" si="294"/>
        <v>0.35968755771017369</v>
      </c>
      <c r="GT158" s="54" t="e">
        <f t="shared" si="295"/>
        <v>#N/A</v>
      </c>
      <c r="GU158" s="54" t="e">
        <f t="shared" si="296"/>
        <v>#N/A</v>
      </c>
      <c r="GV158" s="54" t="e">
        <f t="shared" si="297"/>
        <v>#N/A</v>
      </c>
      <c r="GW158" s="54" t="b">
        <f t="shared" si="298"/>
        <v>0</v>
      </c>
      <c r="GX158" s="54" t="b">
        <f t="shared" si="299"/>
        <v>1</v>
      </c>
      <c r="GY158" s="54" t="b">
        <f t="shared" si="300"/>
        <v>0</v>
      </c>
      <c r="GZ158" s="54" t="b">
        <f t="shared" si="301"/>
        <v>1</v>
      </c>
      <c r="HA158" s="54">
        <f t="shared" si="302"/>
        <v>0.35968755771017369</v>
      </c>
      <c r="HB158" s="54" t="e">
        <f t="shared" si="303"/>
        <v>#N/A</v>
      </c>
      <c r="HC158" s="54">
        <f t="shared" si="304"/>
        <v>0.35968755771017369</v>
      </c>
      <c r="HD158" s="69" t="str">
        <f t="shared" si="305"/>
        <v/>
      </c>
      <c r="HJ158" s="54">
        <f t="shared" si="306"/>
        <v>148</v>
      </c>
      <c r="HK158" s="54">
        <f t="shared" si="307"/>
        <v>149</v>
      </c>
      <c r="HL158" s="54">
        <f t="shared" si="308"/>
        <v>0.70481010034208058</v>
      </c>
      <c r="HM158" s="54" t="e">
        <f t="shared" si="309"/>
        <v>#N/A</v>
      </c>
      <c r="HN158" s="54">
        <f t="shared" si="310"/>
        <v>0.29265061827805405</v>
      </c>
      <c r="HO158" s="54" t="e">
        <f t="shared" si="311"/>
        <v>#N/A</v>
      </c>
      <c r="HP158" s="54" t="e">
        <f t="shared" si="312"/>
        <v>#N/A</v>
      </c>
      <c r="HQ158" s="54" t="b">
        <f t="shared" si="313"/>
        <v>1</v>
      </c>
      <c r="HR158" s="54" t="b">
        <f t="shared" si="314"/>
        <v>0</v>
      </c>
      <c r="HS158" s="54" t="b">
        <f t="shared" si="315"/>
        <v>0</v>
      </c>
      <c r="HT158" s="54" t="b">
        <f t="shared" si="316"/>
        <v>1</v>
      </c>
      <c r="HU158" s="54">
        <f t="shared" si="317"/>
        <v>0.29265061827805405</v>
      </c>
      <c r="HV158" s="54">
        <f t="shared" si="318"/>
        <v>0.29265061827805405</v>
      </c>
      <c r="HW158" s="54" t="e">
        <f t="shared" si="319"/>
        <v>#N/A</v>
      </c>
      <c r="HX158" s="69" t="str">
        <f t="shared" si="320"/>
        <v/>
      </c>
    </row>
    <row r="159" spans="78:232" x14ac:dyDescent="0.2">
      <c r="BZ159" s="54">
        <f t="shared" si="247"/>
        <v>149</v>
      </c>
      <c r="CA159" s="54">
        <f>Eu_tabel_g[[#This Row],[Indeks]]+1</f>
        <v>150</v>
      </c>
      <c r="CB159" s="54">
        <f t="shared" si="248"/>
        <v>0.47910578390198655</v>
      </c>
      <c r="CC159" s="54">
        <f t="shared" si="249"/>
        <v>0.35568502205117924</v>
      </c>
      <c r="CD159" s="54" t="e">
        <f t="shared" si="250"/>
        <v>#N/A</v>
      </c>
      <c r="CE159" s="54" t="e">
        <f t="shared" si="251"/>
        <v>#N/A</v>
      </c>
      <c r="CF159" s="54" t="e">
        <f t="shared" si="252"/>
        <v>#N/A</v>
      </c>
      <c r="CG159" s="54" t="b">
        <f t="shared" si="253"/>
        <v>0</v>
      </c>
      <c r="CH159" s="54" t="b">
        <f t="shared" si="254"/>
        <v>1</v>
      </c>
      <c r="CI159" s="54" t="b">
        <f t="shared" si="255"/>
        <v>0</v>
      </c>
      <c r="CJ159" s="54" t="b">
        <f t="shared" si="256"/>
        <v>1</v>
      </c>
      <c r="CK159" s="54">
        <f t="shared" si="321"/>
        <v>0.35568502205117924</v>
      </c>
      <c r="CL159" s="54" t="e">
        <f t="shared" si="257"/>
        <v>#N/A</v>
      </c>
      <c r="CM159" s="54">
        <f t="shared" si="258"/>
        <v>0.35568502205117924</v>
      </c>
      <c r="CN159" s="69" t="str">
        <f t="shared" si="259"/>
        <v/>
      </c>
      <c r="CO159" s="54">
        <f>_xlfn.NORM.DIST(_xlfn.NORM.INV(1-Eu_g_konfidensniveau,0,1)-Eu_tabel_g[[#This Row],[x base]],0,1,TRUE)</f>
        <v>1.6836768880534154E-2</v>
      </c>
      <c r="CP159" s="54">
        <f>1-_xlfn.NORM.DIST(_xlfn.NORM.INV(Eu_g_konfidensniveau,0,1)-Eu_tabel_g[[#This Row],[x base]],0,1,TRUE)</f>
        <v>0.12185820522532054</v>
      </c>
      <c r="CQ159" s="54">
        <f>_xlfn.NORM.DIST(_xlfn.NORM.INV((1-Eu_g_konfidensniveau)/2,0,1)-Eu_tabel_g[[#This Row],[x base]],0,1,TRUE)+1-_xlfn.NORM.DIST(_xlfn.NORM.INV(1-(1-Eu_g_konfidensniveau)/2,0,1)-Eu_tabel_g[[#This Row],[x base]],0,1,TRUE)</f>
        <v>7.6684744285609896E-2</v>
      </c>
      <c r="CR159" s="54" t="e" cm="1">
        <f t="array" ref="CR159">IF($CR$3,INDEX(Eu_tabel_g[[#This Row],[Styrke venstre]:[Styrke tosidet]],CR$7),NA())</f>
        <v>#N/A</v>
      </c>
      <c r="CS159" s="89" t="e">
        <f>Eu_tabel_g[[#This Row],[Falsk positiv
Nulhypotese accepteres
Fejltype 1]]</f>
        <v>#N/A</v>
      </c>
      <c r="CT159" s="89" t="e">
        <f>IF(CHOOSE(CR$7,Eu_tabel_g[[#This Row],[x base]]&gt;0,Eu_tabel_g[[#This Row],[x base]]&lt;0,Eu_tabel_g[[#This Row],[x base]]=0),Eu_tabel_g[[#This Row],[Styrke, aktiv]],NA())</f>
        <v>#N/A</v>
      </c>
      <c r="CU159" s="89" t="e">
        <f>IFERROR(IF($CR$3,Eu_tabel_g[[#This Row],[Styrke, aktiv]],NA()),NA())</f>
        <v>#N/A</v>
      </c>
      <c r="CV159" s="89" t="e">
        <f>IF(ISNA(Eu_tabel_g[[#This Row],[Sand negativ
Nulhypotese afvises
Korrekt]]),NA(),IF($CR$3,1,NA()))</f>
        <v>#N/A</v>
      </c>
      <c r="CW159" s="56" t="str" cm="1">
        <f t="array" ref="CW159">_xlfn.SWITCH(BZ159,_xlfn.IFNA(CU$2,-99),CU$5,_xlfn.IFNA(CU$3,-99),CU$6,_xlfn.IFNA(CU$4,-99),CU$7,"")</f>
        <v/>
      </c>
      <c r="DA159" s="7">
        <f t="shared" si="260"/>
        <v>0.8</v>
      </c>
      <c r="DB159">
        <f>IF(ROW(Styrkeberegning_G[[#This Row],[X base venstre]])=ROW(Styrkeberegning_G[[#Headers],[X base venstre]])+1,DB$7/(DA$7/$B$67),DB158/(DA158/$B$67))</f>
        <v>-2.8015817870135784</v>
      </c>
      <c r="DC159">
        <f>Styrkeberegning_G[[#This Row],[X base venstre]]*-1</f>
        <v>2.8015817870135784</v>
      </c>
      <c r="DN159" s="54">
        <f t="shared" si="261"/>
        <v>149</v>
      </c>
      <c r="DO159" s="54">
        <f t="shared" si="262"/>
        <v>150</v>
      </c>
      <c r="DP159" s="54">
        <f t="shared" si="263"/>
        <v>18.830410270786839</v>
      </c>
      <c r="DQ159" s="54" t="e">
        <f t="shared" si="264"/>
        <v>#N/A</v>
      </c>
      <c r="DR159" s="54" t="e">
        <f t="shared" si="265"/>
        <v>#N/A</v>
      </c>
      <c r="DS159" s="54">
        <f t="shared" si="266"/>
        <v>1.8766169807200226E-2</v>
      </c>
      <c r="DT159" s="54" t="e">
        <f t="shared" si="267"/>
        <v>#N/A</v>
      </c>
      <c r="DU159" s="54" t="b">
        <f t="shared" si="268"/>
        <v>0</v>
      </c>
      <c r="DV159" s="54" t="b">
        <f t="shared" si="269"/>
        <v>1</v>
      </c>
      <c r="DW159" s="54" t="b">
        <f t="shared" si="270"/>
        <v>0</v>
      </c>
      <c r="DX159" s="54" t="b">
        <f t="shared" si="271"/>
        <v>1</v>
      </c>
      <c r="DY159" s="54">
        <f t="shared" si="272"/>
        <v>1.8766169807200226E-2</v>
      </c>
      <c r="DZ159" s="54" t="e">
        <f t="shared" si="273"/>
        <v>#N/A</v>
      </c>
      <c r="EA159" s="54">
        <f t="shared" si="274"/>
        <v>1.8766169807200226E-2</v>
      </c>
      <c r="EB159" s="69" t="str">
        <f t="shared" si="275"/>
        <v/>
      </c>
      <c r="EG159" s="54">
        <f t="shared" si="276"/>
        <v>149</v>
      </c>
      <c r="EH159" s="54">
        <f t="shared" si="277"/>
        <v>150</v>
      </c>
      <c r="EI159" s="54">
        <f t="shared" si="278"/>
        <v>0.47910578390198655</v>
      </c>
      <c r="EJ159" s="54">
        <f t="shared" si="279"/>
        <v>0.35568502205117924</v>
      </c>
      <c r="EK159" s="54" t="e">
        <f t="shared" si="280"/>
        <v>#N/A</v>
      </c>
      <c r="EL159" s="54" t="e">
        <f t="shared" si="281"/>
        <v>#N/A</v>
      </c>
      <c r="EM159" s="54" t="e">
        <f t="shared" si="282"/>
        <v>#N/A</v>
      </c>
      <c r="EN159" s="54" t="b">
        <f t="shared" si="283"/>
        <v>0</v>
      </c>
      <c r="EO159" s="54" t="b">
        <f t="shared" si="284"/>
        <v>1</v>
      </c>
      <c r="EP159" s="54" t="b">
        <f t="shared" si="285"/>
        <v>0</v>
      </c>
      <c r="EQ159" s="54" t="b">
        <f t="shared" si="286"/>
        <v>1</v>
      </c>
      <c r="ER159" s="54">
        <f t="shared" si="287"/>
        <v>0.35568502205117924</v>
      </c>
      <c r="ES159" s="54" t="e">
        <f t="shared" si="288"/>
        <v>#N/A</v>
      </c>
      <c r="ET159" s="54">
        <f t="shared" si="289"/>
        <v>0.35568502205117924</v>
      </c>
      <c r="EU159" s="69" t="str">
        <f t="shared" si="290"/>
        <v/>
      </c>
      <c r="EV15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5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5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59" s="54" t="e" cm="1">
        <f t="array" ref="EY159">IF($CR$3,INDEX(Eu_tabel_a[[#This Row],[Styrke venstre]:[Styrke tosidet]],EY$7),NA())</f>
        <v>#N/A</v>
      </c>
      <c r="EZ159" s="54" t="e">
        <f>IF(EY$3,IF(CHOOSE(EY$7,Eu_tabel_a[[#This Row],[x base]]&gt;0,Eu_tabel_a[[#This Row],[x base]]&lt;0,Eu_tabel_a[[#This Row],[x base]]=0),1,NA()),NA())</f>
        <v>#N/A</v>
      </c>
      <c r="FA159" s="54" t="e">
        <f>IF(CHOOSE(EY$7,Eu_tabel_a[[#This Row],[x base]]&gt;0,Eu_tabel_a[[#This Row],[x base]]&lt;0,Eu_tabel_a[[#This Row],[x base]]=0),Eu_tabel_a[[#This Row],[Styrke, aktiv]],NA())</f>
        <v>#N/A</v>
      </c>
      <c r="FB159" s="54" t="e">
        <f>IFERROR(IF($EY$3,Eu_tabel_a[[#This Row],[Styrke, aktiv]],NA()),NA())</f>
        <v>#N/A</v>
      </c>
      <c r="FC159" s="54" t="e">
        <f>IF(ISNA(Eu_tabel_a[[#This Row],[Sand negativ
Nulhypotese afvises
Korrekt]]),NA(),IF(EY$3,1,NA()))</f>
        <v>#N/A</v>
      </c>
      <c r="FD159" s="55" t="str" cm="1">
        <f t="array" ref="FD159">IFERROR(_xlfn.SWITCH(Eu_tabel_a[[#This Row],[Indeks]],_xlfn.IFNA(FB$2,-99),FB$5,_xlfn.IFNA(FB$3,-99),FB$6,_xlfn.IFNA(FB$4,-99),FB$7,""),"")</f>
        <v/>
      </c>
      <c r="FE159" s="54">
        <f>Eu_tabel_a[[#This Row],[x base]]*SQRT(Eu_a_h0_x*(1-Eu_a_h0_x)/Eu_a_n_x)+Eu_a_h0_x</f>
        <v>0</v>
      </c>
      <c r="FJ159" s="144" t="e">
        <f t="shared" si="234"/>
        <v>#N/A</v>
      </c>
      <c r="FK159" s="152" t="e">
        <f t="shared" ref="FK159:FK222" si="322">FK157+FP158</f>
        <v>#DIV/0!</v>
      </c>
      <c r="FL159" s="7" t="e">
        <f t="shared" si="228"/>
        <v>#DIV/0!</v>
      </c>
      <c r="FM159" t="e">
        <f t="shared" ref="FM159:FM222" si="323">FK159-FK158</f>
        <v>#DIV/0!</v>
      </c>
      <c r="FN159" s="8" t="e">
        <f t="shared" ref="FN159:FN222" si="324">FL159-FL158</f>
        <v>#DIV/0!</v>
      </c>
      <c r="FO159" s="8" t="e">
        <f t="shared" ref="FO159:FO222" si="325">$P$67-FL158</f>
        <v>#DIV/0!</v>
      </c>
      <c r="FP159" s="151" t="e">
        <f t="shared" ref="FP159:FP222" si="326">FM159/(FN159/FO159)</f>
        <v>#DIV/0!</v>
      </c>
      <c r="FQ159" s="144" t="e">
        <f t="shared" ca="1" si="229"/>
        <v>#N/A</v>
      </c>
      <c r="FR159" s="152" t="e" vm="3">
        <f t="shared" ca="1" si="235"/>
        <v>#VALUE!</v>
      </c>
      <c r="FS159" s="7" t="e" vm="3">
        <f t="shared" ca="1" si="230"/>
        <v>#VALUE!</v>
      </c>
      <c r="FT159" t="e" vm="3">
        <f t="shared" ca="1" si="224"/>
        <v>#VALUE!</v>
      </c>
      <c r="FU159" s="8" t="e" vm="3">
        <f t="shared" ca="1" si="225"/>
        <v>#VALUE!</v>
      </c>
      <c r="FV159" s="8" t="e" vm="3">
        <f t="shared" ca="1" si="226"/>
        <v>#VALUE!</v>
      </c>
      <c r="FW159" s="151" t="e" vm="3">
        <f t="shared" ca="1" si="227"/>
        <v>#VALUE!</v>
      </c>
      <c r="FX159" s="144" t="e">
        <f t="shared" si="231"/>
        <v>#N/A</v>
      </c>
      <c r="FY159" s="152" t="e">
        <f t="shared" si="236"/>
        <v>#N/A</v>
      </c>
      <c r="FZ159" s="7" t="e">
        <f t="shared" si="232"/>
        <v>#N/A</v>
      </c>
      <c r="GA159" t="e">
        <f t="shared" si="237"/>
        <v>#N/A</v>
      </c>
      <c r="GB159" s="8" t="e">
        <f t="shared" si="238"/>
        <v>#N/A</v>
      </c>
      <c r="GC159" s="8" t="e">
        <f t="shared" si="239"/>
        <v>#N/A</v>
      </c>
      <c r="GD159" s="151" t="e">
        <f t="shared" si="240"/>
        <v>#N/A</v>
      </c>
      <c r="GE159" s="144" t="e">
        <f t="shared" si="241"/>
        <v>#N/A</v>
      </c>
      <c r="GF159" s="152" t="e">
        <f t="shared" si="242"/>
        <v>#N/A</v>
      </c>
      <c r="GG159" s="7" t="e">
        <f t="shared" si="233"/>
        <v>#N/A</v>
      </c>
      <c r="GH159" t="e">
        <f t="shared" si="243"/>
        <v>#N/A</v>
      </c>
      <c r="GI159" s="8" t="e">
        <f t="shared" si="244"/>
        <v>#N/A</v>
      </c>
      <c r="GJ159" s="8" t="e">
        <f t="shared" si="245"/>
        <v>#N/A</v>
      </c>
      <c r="GK159" s="151" t="e">
        <f t="shared" si="246"/>
        <v>#N/A</v>
      </c>
      <c r="GL159" s="151"/>
      <c r="GM159" s="151"/>
      <c r="GP159" s="54">
        <f t="shared" si="291"/>
        <v>149</v>
      </c>
      <c r="GQ159" s="54">
        <f t="shared" si="292"/>
        <v>150</v>
      </c>
      <c r="GR159" s="54">
        <f t="shared" si="293"/>
        <v>0.47910578390198655</v>
      </c>
      <c r="GS159" s="54">
        <f t="shared" si="294"/>
        <v>0.35568502205117924</v>
      </c>
      <c r="GT159" s="54" t="e">
        <f t="shared" si="295"/>
        <v>#N/A</v>
      </c>
      <c r="GU159" s="54" t="e">
        <f t="shared" si="296"/>
        <v>#N/A</v>
      </c>
      <c r="GV159" s="54" t="e">
        <f t="shared" si="297"/>
        <v>#N/A</v>
      </c>
      <c r="GW159" s="54" t="b">
        <f t="shared" si="298"/>
        <v>0</v>
      </c>
      <c r="GX159" s="54" t="b">
        <f t="shared" si="299"/>
        <v>1</v>
      </c>
      <c r="GY159" s="54" t="b">
        <f t="shared" si="300"/>
        <v>0</v>
      </c>
      <c r="GZ159" s="54" t="b">
        <f t="shared" si="301"/>
        <v>1</v>
      </c>
      <c r="HA159" s="54">
        <f t="shared" si="302"/>
        <v>0.35568502205117924</v>
      </c>
      <c r="HB159" s="54" t="e">
        <f t="shared" si="303"/>
        <v>#N/A</v>
      </c>
      <c r="HC159" s="54">
        <f t="shared" si="304"/>
        <v>0.35568502205117924</v>
      </c>
      <c r="HD159" s="69" t="str">
        <f t="shared" si="305"/>
        <v/>
      </c>
      <c r="HJ159" s="54">
        <f t="shared" si="306"/>
        <v>149</v>
      </c>
      <c r="HK159" s="54">
        <f t="shared" si="307"/>
        <v>150</v>
      </c>
      <c r="HL159" s="54">
        <f t="shared" si="308"/>
        <v>0.74190536878113722</v>
      </c>
      <c r="HM159" s="54" t="e">
        <f t="shared" si="309"/>
        <v>#N/A</v>
      </c>
      <c r="HN159" s="54">
        <f t="shared" si="310"/>
        <v>0.28441859146828452</v>
      </c>
      <c r="HO159" s="54" t="e">
        <f t="shared" si="311"/>
        <v>#N/A</v>
      </c>
      <c r="HP159" s="54" t="e">
        <f t="shared" si="312"/>
        <v>#N/A</v>
      </c>
      <c r="HQ159" s="54" t="b">
        <f t="shared" si="313"/>
        <v>1</v>
      </c>
      <c r="HR159" s="54" t="b">
        <f t="shared" si="314"/>
        <v>0</v>
      </c>
      <c r="HS159" s="54" t="b">
        <f t="shared" si="315"/>
        <v>0</v>
      </c>
      <c r="HT159" s="54" t="b">
        <f t="shared" si="316"/>
        <v>1</v>
      </c>
      <c r="HU159" s="54">
        <f t="shared" si="317"/>
        <v>0.28441859146828452</v>
      </c>
      <c r="HV159" s="54">
        <f t="shared" si="318"/>
        <v>0.28441859146828452</v>
      </c>
      <c r="HW159" s="54" t="e">
        <f t="shared" si="319"/>
        <v>#N/A</v>
      </c>
      <c r="HX159" s="69" t="str">
        <f t="shared" si="320"/>
        <v/>
      </c>
    </row>
    <row r="160" spans="78:232" x14ac:dyDescent="0.2">
      <c r="BZ160" s="54">
        <f t="shared" si="247"/>
        <v>150</v>
      </c>
      <c r="CA160" s="54">
        <f>Eu_tabel_g[[#This Row],[Indeks]]+1</f>
        <v>151</v>
      </c>
      <c r="CB160" s="54">
        <f t="shared" si="248"/>
        <v>0.50306107309708592</v>
      </c>
      <c r="CC160" s="54">
        <f t="shared" si="249"/>
        <v>0.35152524313860362</v>
      </c>
      <c r="CD160" s="54" t="e">
        <f t="shared" si="250"/>
        <v>#N/A</v>
      </c>
      <c r="CE160" s="54" t="e">
        <f t="shared" si="251"/>
        <v>#N/A</v>
      </c>
      <c r="CF160" s="54" t="e">
        <f t="shared" si="252"/>
        <v>#N/A</v>
      </c>
      <c r="CG160" s="54" t="b">
        <f t="shared" si="253"/>
        <v>0</v>
      </c>
      <c r="CH160" s="54" t="b">
        <f t="shared" si="254"/>
        <v>1</v>
      </c>
      <c r="CI160" s="54" t="b">
        <f t="shared" si="255"/>
        <v>0</v>
      </c>
      <c r="CJ160" s="54" t="b">
        <f t="shared" si="256"/>
        <v>1</v>
      </c>
      <c r="CK160" s="54">
        <f t="shared" si="321"/>
        <v>0.35152524313860362</v>
      </c>
      <c r="CL160" s="54" t="e">
        <f t="shared" si="257"/>
        <v>#N/A</v>
      </c>
      <c r="CM160" s="54">
        <f t="shared" si="258"/>
        <v>0.35152524313860362</v>
      </c>
      <c r="CN160" s="69" t="str">
        <f t="shared" si="259"/>
        <v/>
      </c>
      <c r="CO160" s="54">
        <f>_xlfn.NORM.DIST(_xlfn.NORM.INV(1-Eu_g_konfidensniveau,0,1)-Eu_tabel_g[[#This Row],[x base]],0,1,TRUE)</f>
        <v>1.5860266188613213E-2</v>
      </c>
      <c r="CP160" s="54">
        <f>1-_xlfn.NORM.DIST(_xlfn.NORM.INV(Eu_g_konfidensniveau,0,1)-Eu_tabel_g[[#This Row],[x base]],0,1,TRUE)</f>
        <v>0.12677012909733831</v>
      </c>
      <c r="CQ160" s="54">
        <f>_xlfn.NORM.DIST(_xlfn.NORM.INV((1-Eu_g_konfidensniveau)/2,0,1)-Eu_tabel_g[[#This Row],[x base]],0,1,TRUE)+1-_xlfn.NORM.DIST(_xlfn.NORM.INV(1-(1-Eu_g_konfidensniveau)/2,0,1)-Eu_tabel_g[[#This Row],[x base]],0,1,TRUE)</f>
        <v>7.9460105488476707E-2</v>
      </c>
      <c r="CR160" s="54" t="e" cm="1">
        <f t="array" ref="CR160">IF($CR$3,INDEX(Eu_tabel_g[[#This Row],[Styrke venstre]:[Styrke tosidet]],CR$7),NA())</f>
        <v>#N/A</v>
      </c>
      <c r="CS160" s="89" t="e">
        <f>Eu_tabel_g[[#This Row],[Falsk positiv
Nulhypotese accepteres
Fejltype 1]]</f>
        <v>#N/A</v>
      </c>
      <c r="CT160" s="89" t="e">
        <f>IF(CHOOSE(CR$7,Eu_tabel_g[[#This Row],[x base]]&gt;0,Eu_tabel_g[[#This Row],[x base]]&lt;0,Eu_tabel_g[[#This Row],[x base]]=0),Eu_tabel_g[[#This Row],[Styrke, aktiv]],NA())</f>
        <v>#N/A</v>
      </c>
      <c r="CU160" s="89" t="e">
        <f>IFERROR(IF($CR$3,Eu_tabel_g[[#This Row],[Styrke, aktiv]],NA()),NA())</f>
        <v>#N/A</v>
      </c>
      <c r="CV160" s="89" t="e">
        <f>IF(ISNA(Eu_tabel_g[[#This Row],[Sand negativ
Nulhypotese afvises
Korrekt]]),NA(),IF($CR$3,1,NA()))</f>
        <v>#N/A</v>
      </c>
      <c r="CW160" s="56" t="str" cm="1">
        <f t="array" ref="CW160">_xlfn.SWITCH(BZ160,_xlfn.IFNA(CU$2,-99),CU$5,_xlfn.IFNA(CU$3,-99),CU$6,_xlfn.IFNA(CU$4,-99),CU$7,"")</f>
        <v/>
      </c>
      <c r="DA160" s="7">
        <f t="shared" si="260"/>
        <v>0.8</v>
      </c>
      <c r="DB160">
        <f>IF(ROW(Styrkeberegning_G[[#This Row],[X base venstre]])=ROW(Styrkeberegning_G[[#Headers],[X base venstre]])+1,DB$7/(DA$7/$B$67),DB159/(DA159/$B$67))</f>
        <v>-2.8015817870135784</v>
      </c>
      <c r="DC160">
        <f>Styrkeberegning_G[[#This Row],[X base venstre]]*-1</f>
        <v>2.8015817870135784</v>
      </c>
      <c r="DN160" s="54">
        <f t="shared" si="261"/>
        <v>150</v>
      </c>
      <c r="DO160" s="54">
        <f t="shared" si="262"/>
        <v>151</v>
      </c>
      <c r="DP160" s="54">
        <f t="shared" si="263"/>
        <v>18.94448112720384</v>
      </c>
      <c r="DQ160" s="54" t="e">
        <f t="shared" si="264"/>
        <v>#N/A</v>
      </c>
      <c r="DR160" s="54" t="e">
        <f t="shared" si="265"/>
        <v>#N/A</v>
      </c>
      <c r="DS160" s="54">
        <f t="shared" si="266"/>
        <v>1.8214139816133987E-2</v>
      </c>
      <c r="DT160" s="54" t="e">
        <f t="shared" si="267"/>
        <v>#N/A</v>
      </c>
      <c r="DU160" s="54" t="b">
        <f t="shared" si="268"/>
        <v>0</v>
      </c>
      <c r="DV160" s="54" t="b">
        <f t="shared" si="269"/>
        <v>1</v>
      </c>
      <c r="DW160" s="54" t="b">
        <f t="shared" si="270"/>
        <v>0</v>
      </c>
      <c r="DX160" s="54" t="b">
        <f t="shared" si="271"/>
        <v>1</v>
      </c>
      <c r="DY160" s="54">
        <f t="shared" si="272"/>
        <v>1.8214139816133987E-2</v>
      </c>
      <c r="DZ160" s="54" t="e">
        <f t="shared" si="273"/>
        <v>#N/A</v>
      </c>
      <c r="EA160" s="54">
        <f t="shared" si="274"/>
        <v>1.8214139816133987E-2</v>
      </c>
      <c r="EB160" s="69" t="str">
        <f t="shared" si="275"/>
        <v/>
      </c>
      <c r="EG160" s="54">
        <f t="shared" si="276"/>
        <v>150</v>
      </c>
      <c r="EH160" s="54">
        <f t="shared" si="277"/>
        <v>151</v>
      </c>
      <c r="EI160" s="54">
        <f t="shared" si="278"/>
        <v>0.50306107309708592</v>
      </c>
      <c r="EJ160" s="54">
        <f t="shared" si="279"/>
        <v>0.35152524313860362</v>
      </c>
      <c r="EK160" s="54" t="e">
        <f t="shared" si="280"/>
        <v>#N/A</v>
      </c>
      <c r="EL160" s="54" t="e">
        <f t="shared" si="281"/>
        <v>#N/A</v>
      </c>
      <c r="EM160" s="54" t="e">
        <f t="shared" si="282"/>
        <v>#N/A</v>
      </c>
      <c r="EN160" s="54" t="b">
        <f t="shared" si="283"/>
        <v>0</v>
      </c>
      <c r="EO160" s="54" t="b">
        <f t="shared" si="284"/>
        <v>1</v>
      </c>
      <c r="EP160" s="54" t="b">
        <f t="shared" si="285"/>
        <v>0</v>
      </c>
      <c r="EQ160" s="54" t="b">
        <f t="shared" si="286"/>
        <v>1</v>
      </c>
      <c r="ER160" s="54">
        <f t="shared" si="287"/>
        <v>0.35152524313860362</v>
      </c>
      <c r="ES160" s="54" t="e">
        <f t="shared" si="288"/>
        <v>#N/A</v>
      </c>
      <c r="ET160" s="54">
        <f t="shared" si="289"/>
        <v>0.35152524313860362</v>
      </c>
      <c r="EU160" s="69" t="str">
        <f t="shared" si="290"/>
        <v/>
      </c>
      <c r="EV16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6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6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60" s="54" t="e" cm="1">
        <f t="array" ref="EY160">IF($CR$3,INDEX(Eu_tabel_a[[#This Row],[Styrke venstre]:[Styrke tosidet]],EY$7),NA())</f>
        <v>#N/A</v>
      </c>
      <c r="EZ160" s="54" t="e">
        <f>IF(EY$3,IF(CHOOSE(EY$7,Eu_tabel_a[[#This Row],[x base]]&gt;0,Eu_tabel_a[[#This Row],[x base]]&lt;0,Eu_tabel_a[[#This Row],[x base]]=0),1,NA()),NA())</f>
        <v>#N/A</v>
      </c>
      <c r="FA160" s="54" t="e">
        <f>IF(CHOOSE(EY$7,Eu_tabel_a[[#This Row],[x base]]&gt;0,Eu_tabel_a[[#This Row],[x base]]&lt;0,Eu_tabel_a[[#This Row],[x base]]=0),Eu_tabel_a[[#This Row],[Styrke, aktiv]],NA())</f>
        <v>#N/A</v>
      </c>
      <c r="FB160" s="54" t="e">
        <f>IFERROR(IF($EY$3,Eu_tabel_a[[#This Row],[Styrke, aktiv]],NA()),NA())</f>
        <v>#N/A</v>
      </c>
      <c r="FC160" s="54" t="e">
        <f>IF(ISNA(Eu_tabel_a[[#This Row],[Sand negativ
Nulhypotese afvises
Korrekt]]),NA(),IF(EY$3,1,NA()))</f>
        <v>#N/A</v>
      </c>
      <c r="FD160" s="55" t="str" cm="1">
        <f t="array" ref="FD160">IFERROR(_xlfn.SWITCH(Eu_tabel_a[[#This Row],[Indeks]],_xlfn.IFNA(FB$2,-99),FB$5,_xlfn.IFNA(FB$3,-99),FB$6,_xlfn.IFNA(FB$4,-99),FB$7,""),"")</f>
        <v/>
      </c>
      <c r="FE160" s="54">
        <f>Eu_tabel_a[[#This Row],[x base]]*SQRT(Eu_a_h0_x*(1-Eu_a_h0_x)/Eu_a_n_x)+Eu_a_h0_x</f>
        <v>0</v>
      </c>
      <c r="FJ160" s="144" t="e">
        <f t="shared" si="234"/>
        <v>#N/A</v>
      </c>
      <c r="FK160" s="152" t="e">
        <f t="shared" si="322"/>
        <v>#DIV/0!</v>
      </c>
      <c r="FL160" s="7" t="e">
        <f t="shared" si="228"/>
        <v>#DIV/0!</v>
      </c>
      <c r="FM160" t="e">
        <f t="shared" si="323"/>
        <v>#DIV/0!</v>
      </c>
      <c r="FN160" s="8" t="e">
        <f t="shared" si="324"/>
        <v>#DIV/0!</v>
      </c>
      <c r="FO160" s="8" t="e">
        <f t="shared" si="325"/>
        <v>#DIV/0!</v>
      </c>
      <c r="FP160" s="151" t="e">
        <f t="shared" si="326"/>
        <v>#DIV/0!</v>
      </c>
      <c r="FQ160" s="144" t="e">
        <f t="shared" ca="1" si="229"/>
        <v>#N/A</v>
      </c>
      <c r="FR160" s="152" t="e" vm="3">
        <f t="shared" ca="1" si="235"/>
        <v>#VALUE!</v>
      </c>
      <c r="FS160" s="7" t="e" vm="3">
        <f t="shared" ca="1" si="230"/>
        <v>#VALUE!</v>
      </c>
      <c r="FT160" t="e" vm="3">
        <f t="shared" ca="1" si="224"/>
        <v>#VALUE!</v>
      </c>
      <c r="FU160" s="8" t="e" vm="3">
        <f t="shared" ca="1" si="225"/>
        <v>#VALUE!</v>
      </c>
      <c r="FV160" s="8" t="e" vm="3">
        <f t="shared" ca="1" si="226"/>
        <v>#VALUE!</v>
      </c>
      <c r="FW160" s="151" t="e" vm="3">
        <f t="shared" ca="1" si="227"/>
        <v>#VALUE!</v>
      </c>
      <c r="FX160" s="144" t="e">
        <f t="shared" si="231"/>
        <v>#N/A</v>
      </c>
      <c r="FY160" s="152" t="e">
        <f t="shared" si="236"/>
        <v>#N/A</v>
      </c>
      <c r="FZ160" s="7" t="e">
        <f t="shared" si="232"/>
        <v>#N/A</v>
      </c>
      <c r="GA160" t="e">
        <f t="shared" si="237"/>
        <v>#N/A</v>
      </c>
      <c r="GB160" s="8" t="e">
        <f t="shared" si="238"/>
        <v>#N/A</v>
      </c>
      <c r="GC160" s="8" t="e">
        <f t="shared" si="239"/>
        <v>#N/A</v>
      </c>
      <c r="GD160" s="151" t="e">
        <f t="shared" si="240"/>
        <v>#N/A</v>
      </c>
      <c r="GE160" s="144" t="e">
        <f t="shared" si="241"/>
        <v>#N/A</v>
      </c>
      <c r="GF160" s="152" t="e">
        <f t="shared" si="242"/>
        <v>#N/A</v>
      </c>
      <c r="GG160" s="7" t="e">
        <f t="shared" si="233"/>
        <v>#N/A</v>
      </c>
      <c r="GH160" t="e">
        <f t="shared" si="243"/>
        <v>#N/A</v>
      </c>
      <c r="GI160" s="8" t="e">
        <f t="shared" si="244"/>
        <v>#N/A</v>
      </c>
      <c r="GJ160" s="8" t="e">
        <f t="shared" si="245"/>
        <v>#N/A</v>
      </c>
      <c r="GK160" s="151" t="e">
        <f t="shared" si="246"/>
        <v>#N/A</v>
      </c>
      <c r="GL160" s="151"/>
      <c r="GM160" s="151"/>
      <c r="GP160" s="54">
        <f t="shared" si="291"/>
        <v>150</v>
      </c>
      <c r="GQ160" s="54">
        <f t="shared" si="292"/>
        <v>151</v>
      </c>
      <c r="GR160" s="54">
        <f t="shared" si="293"/>
        <v>0.50306107309708592</v>
      </c>
      <c r="GS160" s="54">
        <f t="shared" si="294"/>
        <v>0.35152524313860362</v>
      </c>
      <c r="GT160" s="54" t="e">
        <f t="shared" si="295"/>
        <v>#N/A</v>
      </c>
      <c r="GU160" s="54" t="e">
        <f t="shared" si="296"/>
        <v>#N/A</v>
      </c>
      <c r="GV160" s="54" t="e">
        <f t="shared" si="297"/>
        <v>#N/A</v>
      </c>
      <c r="GW160" s="54" t="b">
        <f t="shared" si="298"/>
        <v>0</v>
      </c>
      <c r="GX160" s="54" t="b">
        <f t="shared" si="299"/>
        <v>1</v>
      </c>
      <c r="GY160" s="54" t="b">
        <f t="shared" si="300"/>
        <v>0</v>
      </c>
      <c r="GZ160" s="54" t="b">
        <f t="shared" si="301"/>
        <v>1</v>
      </c>
      <c r="HA160" s="54">
        <f t="shared" si="302"/>
        <v>0.35152524313860362</v>
      </c>
      <c r="HB160" s="54" t="e">
        <f t="shared" si="303"/>
        <v>#N/A</v>
      </c>
      <c r="HC160" s="54">
        <f t="shared" si="304"/>
        <v>0.35152524313860362</v>
      </c>
      <c r="HD160" s="69" t="str">
        <f t="shared" si="305"/>
        <v/>
      </c>
      <c r="HJ160" s="54">
        <f t="shared" si="306"/>
        <v>150</v>
      </c>
      <c r="HK160" s="54">
        <f t="shared" si="307"/>
        <v>151</v>
      </c>
      <c r="HL160" s="54">
        <f t="shared" si="308"/>
        <v>0.77900063722019386</v>
      </c>
      <c r="HM160" s="54" t="e">
        <f t="shared" si="309"/>
        <v>#N/A</v>
      </c>
      <c r="HN160" s="54">
        <f t="shared" si="310"/>
        <v>0.27607409962841173</v>
      </c>
      <c r="HO160" s="54" t="e">
        <f t="shared" si="311"/>
        <v>#N/A</v>
      </c>
      <c r="HP160" s="54" t="e">
        <f t="shared" si="312"/>
        <v>#N/A</v>
      </c>
      <c r="HQ160" s="54" t="b">
        <f t="shared" si="313"/>
        <v>1</v>
      </c>
      <c r="HR160" s="54" t="b">
        <f t="shared" si="314"/>
        <v>0</v>
      </c>
      <c r="HS160" s="54" t="b">
        <f t="shared" si="315"/>
        <v>0</v>
      </c>
      <c r="HT160" s="54" t="b">
        <f t="shared" si="316"/>
        <v>1</v>
      </c>
      <c r="HU160" s="54">
        <f t="shared" si="317"/>
        <v>0.27607409962841173</v>
      </c>
      <c r="HV160" s="54">
        <f t="shared" si="318"/>
        <v>0.27607409962841173</v>
      </c>
      <c r="HW160" s="54" t="e">
        <f t="shared" si="319"/>
        <v>#N/A</v>
      </c>
      <c r="HX160" s="69" t="str">
        <f t="shared" si="320"/>
        <v/>
      </c>
    </row>
    <row r="161" spans="78:232" x14ac:dyDescent="0.2">
      <c r="BZ161" s="54">
        <f t="shared" si="247"/>
        <v>151</v>
      </c>
      <c r="CA161" s="54">
        <f>Eu_tabel_g[[#This Row],[Indeks]]+1</f>
        <v>152</v>
      </c>
      <c r="CB161" s="54">
        <f t="shared" si="248"/>
        <v>0.52701636229218529</v>
      </c>
      <c r="CC161" s="54">
        <f t="shared" si="249"/>
        <v>0.34721480489913414</v>
      </c>
      <c r="CD161" s="54" t="e">
        <f t="shared" si="250"/>
        <v>#N/A</v>
      </c>
      <c r="CE161" s="54" t="e">
        <f t="shared" si="251"/>
        <v>#N/A</v>
      </c>
      <c r="CF161" s="54" t="e">
        <f t="shared" si="252"/>
        <v>#N/A</v>
      </c>
      <c r="CG161" s="54" t="b">
        <f t="shared" si="253"/>
        <v>0</v>
      </c>
      <c r="CH161" s="54" t="b">
        <f t="shared" si="254"/>
        <v>1</v>
      </c>
      <c r="CI161" s="54" t="b">
        <f t="shared" si="255"/>
        <v>0</v>
      </c>
      <c r="CJ161" s="54" t="b">
        <f t="shared" si="256"/>
        <v>1</v>
      </c>
      <c r="CK161" s="54">
        <f t="shared" si="321"/>
        <v>0.34721480489913414</v>
      </c>
      <c r="CL161" s="54" t="e">
        <f t="shared" si="257"/>
        <v>#N/A</v>
      </c>
      <c r="CM161" s="54">
        <f t="shared" si="258"/>
        <v>0.34721480489913414</v>
      </c>
      <c r="CN161" s="69" t="str">
        <f t="shared" si="259"/>
        <v/>
      </c>
      <c r="CO161" s="54">
        <f>_xlfn.NORM.DIST(_xlfn.NORM.INV(1-Eu_g_konfidensniveau,0,1)-Eu_tabel_g[[#This Row],[x base]],0,1,TRUE)</f>
        <v>1.4932735343932423E-2</v>
      </c>
      <c r="CP161" s="54">
        <f>1-_xlfn.NORM.DIST(_xlfn.NORM.INV(Eu_g_konfidensniveau,0,1)-Eu_tabel_g[[#This Row],[x base]],0,1,TRUE)</f>
        <v>0.13181825141176107</v>
      </c>
      <c r="CQ161" s="54">
        <f>_xlfn.NORM.DIST(_xlfn.NORM.INV((1-Eu_g_konfidensniveau)/2,0,1)-Eu_tabel_g[[#This Row],[x base]],0,1,TRUE)+1-_xlfn.NORM.DIST(_xlfn.NORM.INV(1-(1-Eu_g_konfidensniveau)/2,0,1)-Eu_tabel_g[[#This Row],[x base]],0,1,TRUE)</f>
        <v>8.2378028974324891E-2</v>
      </c>
      <c r="CR161" s="54" t="e" cm="1">
        <f t="array" ref="CR161">IF($CR$3,INDEX(Eu_tabel_g[[#This Row],[Styrke venstre]:[Styrke tosidet]],CR$7),NA())</f>
        <v>#N/A</v>
      </c>
      <c r="CS161" s="89" t="e">
        <f>Eu_tabel_g[[#This Row],[Falsk positiv
Nulhypotese accepteres
Fejltype 1]]</f>
        <v>#N/A</v>
      </c>
      <c r="CT161" s="89" t="e">
        <f>IF(CHOOSE(CR$7,Eu_tabel_g[[#This Row],[x base]]&gt;0,Eu_tabel_g[[#This Row],[x base]]&lt;0,Eu_tabel_g[[#This Row],[x base]]=0),Eu_tabel_g[[#This Row],[Styrke, aktiv]],NA())</f>
        <v>#N/A</v>
      </c>
      <c r="CU161" s="89" t="e">
        <f>IFERROR(IF($CR$3,Eu_tabel_g[[#This Row],[Styrke, aktiv]],NA()),NA())</f>
        <v>#N/A</v>
      </c>
      <c r="CV161" s="89" t="e">
        <f>IF(ISNA(Eu_tabel_g[[#This Row],[Sand negativ
Nulhypotese afvises
Korrekt]]),NA(),IF($CR$3,1,NA()))</f>
        <v>#N/A</v>
      </c>
      <c r="CW161" s="56" t="str" cm="1">
        <f t="array" ref="CW161">_xlfn.SWITCH(BZ161,_xlfn.IFNA(CU$2,-99),CU$5,_xlfn.IFNA(CU$3,-99),CU$6,_xlfn.IFNA(CU$4,-99),CU$7,"")</f>
        <v/>
      </c>
      <c r="DA161" s="7">
        <f t="shared" si="260"/>
        <v>0.8</v>
      </c>
      <c r="DB161">
        <f>IF(ROW(Styrkeberegning_G[[#This Row],[X base venstre]])=ROW(Styrkeberegning_G[[#Headers],[X base venstre]])+1,DB$7/(DA$7/$B$67),DB160/(DA160/$B$67))</f>
        <v>-2.8015817870135784</v>
      </c>
      <c r="DC161">
        <f>Styrkeberegning_G[[#This Row],[X base venstre]]*-1</f>
        <v>2.8015817870135784</v>
      </c>
      <c r="DN161" s="54">
        <f t="shared" si="261"/>
        <v>151</v>
      </c>
      <c r="DO161" s="54">
        <f t="shared" si="262"/>
        <v>152</v>
      </c>
      <c r="DP161" s="54">
        <f t="shared" si="263"/>
        <v>19.058551983620841</v>
      </c>
      <c r="DQ161" s="54" t="e">
        <f t="shared" si="264"/>
        <v>#N/A</v>
      </c>
      <c r="DR161" s="54" t="e">
        <f t="shared" si="265"/>
        <v>#N/A</v>
      </c>
      <c r="DS161" s="54">
        <f t="shared" si="266"/>
        <v>1.7675464364901958E-2</v>
      </c>
      <c r="DT161" s="54" t="e">
        <f t="shared" si="267"/>
        <v>#N/A</v>
      </c>
      <c r="DU161" s="54" t="b">
        <f t="shared" si="268"/>
        <v>0</v>
      </c>
      <c r="DV161" s="54" t="b">
        <f t="shared" si="269"/>
        <v>1</v>
      </c>
      <c r="DW161" s="54" t="b">
        <f t="shared" si="270"/>
        <v>0</v>
      </c>
      <c r="DX161" s="54" t="b">
        <f t="shared" si="271"/>
        <v>1</v>
      </c>
      <c r="DY161" s="54">
        <f t="shared" si="272"/>
        <v>1.7675464364901958E-2</v>
      </c>
      <c r="DZ161" s="54" t="e">
        <f t="shared" si="273"/>
        <v>#N/A</v>
      </c>
      <c r="EA161" s="54">
        <f t="shared" si="274"/>
        <v>1.7675464364901958E-2</v>
      </c>
      <c r="EB161" s="69" t="str">
        <f t="shared" si="275"/>
        <v/>
      </c>
      <c r="EG161" s="54">
        <f t="shared" si="276"/>
        <v>151</v>
      </c>
      <c r="EH161" s="54">
        <f t="shared" si="277"/>
        <v>152</v>
      </c>
      <c r="EI161" s="54">
        <f t="shared" si="278"/>
        <v>0.52701636229218529</v>
      </c>
      <c r="EJ161" s="54">
        <f t="shared" si="279"/>
        <v>0.34721480489913414</v>
      </c>
      <c r="EK161" s="54" t="e">
        <f t="shared" si="280"/>
        <v>#N/A</v>
      </c>
      <c r="EL161" s="54" t="e">
        <f t="shared" si="281"/>
        <v>#N/A</v>
      </c>
      <c r="EM161" s="54" t="e">
        <f t="shared" si="282"/>
        <v>#N/A</v>
      </c>
      <c r="EN161" s="54" t="b">
        <f t="shared" si="283"/>
        <v>0</v>
      </c>
      <c r="EO161" s="54" t="b">
        <f t="shared" si="284"/>
        <v>1</v>
      </c>
      <c r="EP161" s="54" t="b">
        <f t="shared" si="285"/>
        <v>0</v>
      </c>
      <c r="EQ161" s="54" t="b">
        <f t="shared" si="286"/>
        <v>1</v>
      </c>
      <c r="ER161" s="54">
        <f t="shared" si="287"/>
        <v>0.34721480489913414</v>
      </c>
      <c r="ES161" s="54" t="e">
        <f t="shared" si="288"/>
        <v>#N/A</v>
      </c>
      <c r="ET161" s="54">
        <f t="shared" si="289"/>
        <v>0.34721480489913414</v>
      </c>
      <c r="EU161" s="69" t="str">
        <f t="shared" si="290"/>
        <v/>
      </c>
      <c r="EV16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6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6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61" s="54" t="e" cm="1">
        <f t="array" ref="EY161">IF($CR$3,INDEX(Eu_tabel_a[[#This Row],[Styrke venstre]:[Styrke tosidet]],EY$7),NA())</f>
        <v>#N/A</v>
      </c>
      <c r="EZ161" s="54" t="e">
        <f>IF(EY$3,IF(CHOOSE(EY$7,Eu_tabel_a[[#This Row],[x base]]&gt;0,Eu_tabel_a[[#This Row],[x base]]&lt;0,Eu_tabel_a[[#This Row],[x base]]=0),1,NA()),NA())</f>
        <v>#N/A</v>
      </c>
      <c r="FA161" s="54" t="e">
        <f>IF(CHOOSE(EY$7,Eu_tabel_a[[#This Row],[x base]]&gt;0,Eu_tabel_a[[#This Row],[x base]]&lt;0,Eu_tabel_a[[#This Row],[x base]]=0),Eu_tabel_a[[#This Row],[Styrke, aktiv]],NA())</f>
        <v>#N/A</v>
      </c>
      <c r="FB161" s="54" t="e">
        <f>IFERROR(IF($EY$3,Eu_tabel_a[[#This Row],[Styrke, aktiv]],NA()),NA())</f>
        <v>#N/A</v>
      </c>
      <c r="FC161" s="54" t="e">
        <f>IF(ISNA(Eu_tabel_a[[#This Row],[Sand negativ
Nulhypotese afvises
Korrekt]]),NA(),IF(EY$3,1,NA()))</f>
        <v>#N/A</v>
      </c>
      <c r="FD161" s="55" t="str" cm="1">
        <f t="array" ref="FD161">IFERROR(_xlfn.SWITCH(Eu_tabel_a[[#This Row],[Indeks]],_xlfn.IFNA(FB$2,-99),FB$5,_xlfn.IFNA(FB$3,-99),FB$6,_xlfn.IFNA(FB$4,-99),FB$7,""),"")</f>
        <v/>
      </c>
      <c r="FE161" s="54">
        <f>Eu_tabel_a[[#This Row],[x base]]*SQRT(Eu_a_h0_x*(1-Eu_a_h0_x)/Eu_a_n_x)+Eu_a_h0_x</f>
        <v>0</v>
      </c>
      <c r="FJ161" s="144" t="e">
        <f t="shared" si="234"/>
        <v>#N/A</v>
      </c>
      <c r="FK161" s="152" t="e">
        <f t="shared" si="322"/>
        <v>#DIV/0!</v>
      </c>
      <c r="FL161" s="7" t="e">
        <f t="shared" si="228"/>
        <v>#DIV/0!</v>
      </c>
      <c r="FM161" t="e">
        <f t="shared" si="323"/>
        <v>#DIV/0!</v>
      </c>
      <c r="FN161" s="8" t="e">
        <f t="shared" si="324"/>
        <v>#DIV/0!</v>
      </c>
      <c r="FO161" s="8" t="e">
        <f t="shared" si="325"/>
        <v>#DIV/0!</v>
      </c>
      <c r="FP161" s="151" t="e">
        <f t="shared" si="326"/>
        <v>#DIV/0!</v>
      </c>
      <c r="FQ161" s="144" t="e">
        <f t="shared" ca="1" si="229"/>
        <v>#N/A</v>
      </c>
      <c r="FR161" s="152" t="e" vm="3">
        <f t="shared" ca="1" si="235"/>
        <v>#VALUE!</v>
      </c>
      <c r="FS161" s="7" t="e" vm="3">
        <f t="shared" ca="1" si="230"/>
        <v>#VALUE!</v>
      </c>
      <c r="FT161" t="e" vm="3">
        <f t="shared" ca="1" si="224"/>
        <v>#VALUE!</v>
      </c>
      <c r="FU161" s="8" t="e" vm="3">
        <f t="shared" ca="1" si="225"/>
        <v>#VALUE!</v>
      </c>
      <c r="FV161" s="8" t="e" vm="3">
        <f t="shared" ca="1" si="226"/>
        <v>#VALUE!</v>
      </c>
      <c r="FW161" s="151" t="e" vm="3">
        <f t="shared" ca="1" si="227"/>
        <v>#VALUE!</v>
      </c>
      <c r="FX161" s="144" t="e">
        <f t="shared" si="231"/>
        <v>#N/A</v>
      </c>
      <c r="FY161" s="152" t="e">
        <f t="shared" si="236"/>
        <v>#N/A</v>
      </c>
      <c r="FZ161" s="7" t="e">
        <f t="shared" si="232"/>
        <v>#N/A</v>
      </c>
      <c r="GA161" t="e">
        <f t="shared" si="237"/>
        <v>#N/A</v>
      </c>
      <c r="GB161" s="8" t="e">
        <f t="shared" si="238"/>
        <v>#N/A</v>
      </c>
      <c r="GC161" s="8" t="e">
        <f t="shared" si="239"/>
        <v>#N/A</v>
      </c>
      <c r="GD161" s="151" t="e">
        <f t="shared" si="240"/>
        <v>#N/A</v>
      </c>
      <c r="GE161" s="144" t="e">
        <f t="shared" si="241"/>
        <v>#N/A</v>
      </c>
      <c r="GF161" s="152" t="e">
        <f t="shared" si="242"/>
        <v>#N/A</v>
      </c>
      <c r="GG161" s="7" t="e">
        <f t="shared" si="233"/>
        <v>#N/A</v>
      </c>
      <c r="GH161" t="e">
        <f t="shared" si="243"/>
        <v>#N/A</v>
      </c>
      <c r="GI161" s="8" t="e">
        <f t="shared" si="244"/>
        <v>#N/A</v>
      </c>
      <c r="GJ161" s="8" t="e">
        <f t="shared" si="245"/>
        <v>#N/A</v>
      </c>
      <c r="GK161" s="151" t="e">
        <f t="shared" si="246"/>
        <v>#N/A</v>
      </c>
      <c r="GL161" s="151"/>
      <c r="GM161" s="151"/>
      <c r="GP161" s="54">
        <f t="shared" si="291"/>
        <v>151</v>
      </c>
      <c r="GQ161" s="54">
        <f t="shared" si="292"/>
        <v>152</v>
      </c>
      <c r="GR161" s="54">
        <f t="shared" si="293"/>
        <v>0.52701636229218529</v>
      </c>
      <c r="GS161" s="54">
        <f t="shared" si="294"/>
        <v>0.34721480489913414</v>
      </c>
      <c r="GT161" s="54" t="e">
        <f t="shared" si="295"/>
        <v>#N/A</v>
      </c>
      <c r="GU161" s="54" t="e">
        <f t="shared" si="296"/>
        <v>#N/A</v>
      </c>
      <c r="GV161" s="54" t="e">
        <f t="shared" si="297"/>
        <v>#N/A</v>
      </c>
      <c r="GW161" s="54" t="b">
        <f t="shared" si="298"/>
        <v>0</v>
      </c>
      <c r="GX161" s="54" t="b">
        <f t="shared" si="299"/>
        <v>1</v>
      </c>
      <c r="GY161" s="54" t="b">
        <f t="shared" si="300"/>
        <v>0</v>
      </c>
      <c r="GZ161" s="54" t="b">
        <f t="shared" si="301"/>
        <v>1</v>
      </c>
      <c r="HA161" s="54">
        <f t="shared" si="302"/>
        <v>0.34721480489913414</v>
      </c>
      <c r="HB161" s="54" t="e">
        <f t="shared" si="303"/>
        <v>#N/A</v>
      </c>
      <c r="HC161" s="54">
        <f t="shared" si="304"/>
        <v>0.34721480489913414</v>
      </c>
      <c r="HD161" s="69" t="str">
        <f t="shared" si="305"/>
        <v/>
      </c>
      <c r="HJ161" s="54">
        <f t="shared" si="306"/>
        <v>151</v>
      </c>
      <c r="HK161" s="54">
        <f t="shared" si="307"/>
        <v>152</v>
      </c>
      <c r="HL161" s="54">
        <f t="shared" si="308"/>
        <v>0.8160959056592505</v>
      </c>
      <c r="HM161" s="54" t="e">
        <f t="shared" si="309"/>
        <v>#N/A</v>
      </c>
      <c r="HN161" s="54">
        <f t="shared" si="310"/>
        <v>0.26764870550000192</v>
      </c>
      <c r="HO161" s="54" t="e">
        <f t="shared" si="311"/>
        <v>#N/A</v>
      </c>
      <c r="HP161" s="54" t="e">
        <f t="shared" si="312"/>
        <v>#N/A</v>
      </c>
      <c r="HQ161" s="54" t="b">
        <f t="shared" si="313"/>
        <v>1</v>
      </c>
      <c r="HR161" s="54" t="b">
        <f t="shared" si="314"/>
        <v>0</v>
      </c>
      <c r="HS161" s="54" t="b">
        <f t="shared" si="315"/>
        <v>0</v>
      </c>
      <c r="HT161" s="54" t="b">
        <f t="shared" si="316"/>
        <v>1</v>
      </c>
      <c r="HU161" s="54">
        <f t="shared" si="317"/>
        <v>0.26764870550000192</v>
      </c>
      <c r="HV161" s="54">
        <f t="shared" si="318"/>
        <v>0.26764870550000192</v>
      </c>
      <c r="HW161" s="54" t="e">
        <f t="shared" si="319"/>
        <v>#N/A</v>
      </c>
      <c r="HX161" s="69" t="str">
        <f t="shared" si="320"/>
        <v/>
      </c>
    </row>
    <row r="162" spans="78:232" x14ac:dyDescent="0.2">
      <c r="BZ162" s="54">
        <f t="shared" si="247"/>
        <v>152</v>
      </c>
      <c r="CA162" s="54">
        <f>Eu_tabel_g[[#This Row],[Indeks]]+1</f>
        <v>153</v>
      </c>
      <c r="CB162" s="54">
        <f t="shared" si="248"/>
        <v>0.55097165148728466</v>
      </c>
      <c r="CC162" s="54">
        <f t="shared" si="249"/>
        <v>0.34276047013173222</v>
      </c>
      <c r="CD162" s="54" t="e">
        <f t="shared" si="250"/>
        <v>#N/A</v>
      </c>
      <c r="CE162" s="54" t="e">
        <f t="shared" si="251"/>
        <v>#N/A</v>
      </c>
      <c r="CF162" s="54" t="e">
        <f t="shared" si="252"/>
        <v>#N/A</v>
      </c>
      <c r="CG162" s="54" t="b">
        <f t="shared" si="253"/>
        <v>0</v>
      </c>
      <c r="CH162" s="54" t="b">
        <f t="shared" si="254"/>
        <v>1</v>
      </c>
      <c r="CI162" s="54" t="b">
        <f t="shared" si="255"/>
        <v>0</v>
      </c>
      <c r="CJ162" s="54" t="b">
        <f t="shared" si="256"/>
        <v>1</v>
      </c>
      <c r="CK162" s="54">
        <f t="shared" si="321"/>
        <v>0.34276047013173222</v>
      </c>
      <c r="CL162" s="54" t="e">
        <f t="shared" si="257"/>
        <v>#N/A</v>
      </c>
      <c r="CM162" s="54">
        <f t="shared" si="258"/>
        <v>0.34276047013173222</v>
      </c>
      <c r="CN162" s="69" t="str">
        <f t="shared" si="259"/>
        <v/>
      </c>
      <c r="CO162" s="54">
        <f>_xlfn.NORM.DIST(_xlfn.NORM.INV(1-Eu_g_konfidensniveau,0,1)-Eu_tabel_g[[#This Row],[x base]],0,1,TRUE)</f>
        <v>1.4052225802867635E-2</v>
      </c>
      <c r="CP162" s="54">
        <f>1-_xlfn.NORM.DIST(_xlfn.NORM.INV(Eu_g_konfidensniveau,0,1)-Eu_tabel_g[[#This Row],[x base]],0,1,TRUE)</f>
        <v>0.13700337247235039</v>
      </c>
      <c r="CQ162" s="54">
        <f>_xlfn.NORM.DIST(_xlfn.NORM.INV((1-Eu_g_konfidensniveau)/2,0,1)-Eu_tabel_g[[#This Row],[x base]],0,1,TRUE)+1-_xlfn.NORM.DIST(_xlfn.NORM.INV(1-(1-Eu_g_konfidensniveau)/2,0,1)-Eu_tabel_g[[#This Row],[x base]],0,1,TRUE)</f>
        <v>8.5439300065713875E-2</v>
      </c>
      <c r="CR162" s="54" t="e" cm="1">
        <f t="array" ref="CR162">IF($CR$3,INDEX(Eu_tabel_g[[#This Row],[Styrke venstre]:[Styrke tosidet]],CR$7),NA())</f>
        <v>#N/A</v>
      </c>
      <c r="CS162" s="89" t="e">
        <f>Eu_tabel_g[[#This Row],[Falsk positiv
Nulhypotese accepteres
Fejltype 1]]</f>
        <v>#N/A</v>
      </c>
      <c r="CT162" s="89" t="e">
        <f>IF(CHOOSE(CR$7,Eu_tabel_g[[#This Row],[x base]]&gt;0,Eu_tabel_g[[#This Row],[x base]]&lt;0,Eu_tabel_g[[#This Row],[x base]]=0),Eu_tabel_g[[#This Row],[Styrke, aktiv]],NA())</f>
        <v>#N/A</v>
      </c>
      <c r="CU162" s="89" t="e">
        <f>IFERROR(IF($CR$3,Eu_tabel_g[[#This Row],[Styrke, aktiv]],NA()),NA())</f>
        <v>#N/A</v>
      </c>
      <c r="CV162" s="89" t="e">
        <f>IF(ISNA(Eu_tabel_g[[#This Row],[Sand negativ
Nulhypotese afvises
Korrekt]]),NA(),IF($CR$3,1,NA()))</f>
        <v>#N/A</v>
      </c>
      <c r="CW162" s="56" t="str" cm="1">
        <f t="array" ref="CW162">_xlfn.SWITCH(BZ162,_xlfn.IFNA(CU$2,-99),CU$5,_xlfn.IFNA(CU$3,-99),CU$6,_xlfn.IFNA(CU$4,-99),CU$7,"")</f>
        <v/>
      </c>
      <c r="DA162" s="7">
        <f t="shared" si="260"/>
        <v>0.8</v>
      </c>
      <c r="DB162">
        <f>IF(ROW(Styrkeberegning_G[[#This Row],[X base venstre]])=ROW(Styrkeberegning_G[[#Headers],[X base venstre]])+1,DB$7/(DA$7/$B$67),DB161/(DA161/$B$67))</f>
        <v>-2.8015817870135784</v>
      </c>
      <c r="DC162">
        <f>Styrkeberegning_G[[#This Row],[X base venstre]]*-1</f>
        <v>2.8015817870135784</v>
      </c>
      <c r="DN162" s="54">
        <f t="shared" si="261"/>
        <v>152</v>
      </c>
      <c r="DO162" s="54">
        <f t="shared" si="262"/>
        <v>153</v>
      </c>
      <c r="DP162" s="54">
        <f t="shared" si="263"/>
        <v>19.172622840037842</v>
      </c>
      <c r="DQ162" s="54" t="e">
        <f t="shared" si="264"/>
        <v>#N/A</v>
      </c>
      <c r="DR162" s="54" t="e">
        <f t="shared" si="265"/>
        <v>#N/A</v>
      </c>
      <c r="DS162" s="54">
        <f t="shared" si="266"/>
        <v>1.7149955057558421E-2</v>
      </c>
      <c r="DT162" s="54" t="e">
        <f t="shared" si="267"/>
        <v>#N/A</v>
      </c>
      <c r="DU162" s="54" t="b">
        <f t="shared" si="268"/>
        <v>0</v>
      </c>
      <c r="DV162" s="54" t="b">
        <f t="shared" si="269"/>
        <v>1</v>
      </c>
      <c r="DW162" s="54" t="b">
        <f t="shared" si="270"/>
        <v>0</v>
      </c>
      <c r="DX162" s="54" t="b">
        <f t="shared" si="271"/>
        <v>1</v>
      </c>
      <c r="DY162" s="54">
        <f t="shared" si="272"/>
        <v>1.7149955057558421E-2</v>
      </c>
      <c r="DZ162" s="54" t="e">
        <f t="shared" si="273"/>
        <v>#N/A</v>
      </c>
      <c r="EA162" s="54">
        <f t="shared" si="274"/>
        <v>1.7149955057558421E-2</v>
      </c>
      <c r="EB162" s="69" t="str">
        <f t="shared" si="275"/>
        <v/>
      </c>
      <c r="EG162" s="54">
        <f t="shared" si="276"/>
        <v>152</v>
      </c>
      <c r="EH162" s="54">
        <f t="shared" si="277"/>
        <v>153</v>
      </c>
      <c r="EI162" s="54">
        <f t="shared" si="278"/>
        <v>0.55097165148728466</v>
      </c>
      <c r="EJ162" s="54">
        <f t="shared" si="279"/>
        <v>0.34276047013173222</v>
      </c>
      <c r="EK162" s="54" t="e">
        <f t="shared" si="280"/>
        <v>#N/A</v>
      </c>
      <c r="EL162" s="54" t="e">
        <f t="shared" si="281"/>
        <v>#N/A</v>
      </c>
      <c r="EM162" s="54" t="e">
        <f t="shared" si="282"/>
        <v>#N/A</v>
      </c>
      <c r="EN162" s="54" t="b">
        <f t="shared" si="283"/>
        <v>0</v>
      </c>
      <c r="EO162" s="54" t="b">
        <f t="shared" si="284"/>
        <v>1</v>
      </c>
      <c r="EP162" s="54" t="b">
        <f t="shared" si="285"/>
        <v>0</v>
      </c>
      <c r="EQ162" s="54" t="b">
        <f t="shared" si="286"/>
        <v>1</v>
      </c>
      <c r="ER162" s="54">
        <f t="shared" si="287"/>
        <v>0.34276047013173222</v>
      </c>
      <c r="ES162" s="54" t="e">
        <f t="shared" si="288"/>
        <v>#N/A</v>
      </c>
      <c r="ET162" s="54">
        <f t="shared" si="289"/>
        <v>0.34276047013173222</v>
      </c>
      <c r="EU162" s="69" t="str">
        <f t="shared" si="290"/>
        <v/>
      </c>
      <c r="EV16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6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6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62" s="54" t="e" cm="1">
        <f t="array" ref="EY162">IF($CR$3,INDEX(Eu_tabel_a[[#This Row],[Styrke venstre]:[Styrke tosidet]],EY$7),NA())</f>
        <v>#N/A</v>
      </c>
      <c r="EZ162" s="54" t="e">
        <f>IF(EY$3,IF(CHOOSE(EY$7,Eu_tabel_a[[#This Row],[x base]]&gt;0,Eu_tabel_a[[#This Row],[x base]]&lt;0,Eu_tabel_a[[#This Row],[x base]]=0),1,NA()),NA())</f>
        <v>#N/A</v>
      </c>
      <c r="FA162" s="54" t="e">
        <f>IF(CHOOSE(EY$7,Eu_tabel_a[[#This Row],[x base]]&gt;0,Eu_tabel_a[[#This Row],[x base]]&lt;0,Eu_tabel_a[[#This Row],[x base]]=0),Eu_tabel_a[[#This Row],[Styrke, aktiv]],NA())</f>
        <v>#N/A</v>
      </c>
      <c r="FB162" s="54" t="e">
        <f>IFERROR(IF($EY$3,Eu_tabel_a[[#This Row],[Styrke, aktiv]],NA()),NA())</f>
        <v>#N/A</v>
      </c>
      <c r="FC162" s="54" t="e">
        <f>IF(ISNA(Eu_tabel_a[[#This Row],[Sand negativ
Nulhypotese afvises
Korrekt]]),NA(),IF(EY$3,1,NA()))</f>
        <v>#N/A</v>
      </c>
      <c r="FD162" s="55" t="str" cm="1">
        <f t="array" ref="FD162">IFERROR(_xlfn.SWITCH(Eu_tabel_a[[#This Row],[Indeks]],_xlfn.IFNA(FB$2,-99),FB$5,_xlfn.IFNA(FB$3,-99),FB$6,_xlfn.IFNA(FB$4,-99),FB$7,""),"")</f>
        <v/>
      </c>
      <c r="FE162" s="54">
        <f>Eu_tabel_a[[#This Row],[x base]]*SQRT(Eu_a_h0_x*(1-Eu_a_h0_x)/Eu_a_n_x)+Eu_a_h0_x</f>
        <v>0</v>
      </c>
      <c r="FJ162" s="144" t="e">
        <f t="shared" si="234"/>
        <v>#N/A</v>
      </c>
      <c r="FK162" s="152" t="e">
        <f t="shared" si="322"/>
        <v>#DIV/0!</v>
      </c>
      <c r="FL162" s="7" t="e">
        <f t="shared" si="228"/>
        <v>#DIV/0!</v>
      </c>
      <c r="FM162" t="e">
        <f t="shared" si="323"/>
        <v>#DIV/0!</v>
      </c>
      <c r="FN162" s="8" t="e">
        <f t="shared" si="324"/>
        <v>#DIV/0!</v>
      </c>
      <c r="FO162" s="8" t="e">
        <f t="shared" si="325"/>
        <v>#DIV/0!</v>
      </c>
      <c r="FP162" s="151" t="e">
        <f t="shared" si="326"/>
        <v>#DIV/0!</v>
      </c>
      <c r="FQ162" s="144" t="e">
        <f t="shared" ca="1" si="229"/>
        <v>#N/A</v>
      </c>
      <c r="FR162" s="152" t="e" vm="3">
        <f t="shared" ca="1" si="235"/>
        <v>#VALUE!</v>
      </c>
      <c r="FS162" s="7" t="e" vm="3">
        <f t="shared" ca="1" si="230"/>
        <v>#VALUE!</v>
      </c>
      <c r="FT162" t="e" vm="3">
        <f t="shared" ca="1" si="224"/>
        <v>#VALUE!</v>
      </c>
      <c r="FU162" s="8" t="e" vm="3">
        <f t="shared" ca="1" si="225"/>
        <v>#VALUE!</v>
      </c>
      <c r="FV162" s="8" t="e" vm="3">
        <f t="shared" ca="1" si="226"/>
        <v>#VALUE!</v>
      </c>
      <c r="FW162" s="151" t="e" vm="3">
        <f t="shared" ca="1" si="227"/>
        <v>#VALUE!</v>
      </c>
      <c r="FX162" s="144" t="e">
        <f t="shared" si="231"/>
        <v>#N/A</v>
      </c>
      <c r="FY162" s="152" t="e">
        <f t="shared" si="236"/>
        <v>#N/A</v>
      </c>
      <c r="FZ162" s="7" t="e">
        <f t="shared" si="232"/>
        <v>#N/A</v>
      </c>
      <c r="GA162" t="e">
        <f t="shared" si="237"/>
        <v>#N/A</v>
      </c>
      <c r="GB162" s="8" t="e">
        <f t="shared" si="238"/>
        <v>#N/A</v>
      </c>
      <c r="GC162" s="8" t="e">
        <f t="shared" si="239"/>
        <v>#N/A</v>
      </c>
      <c r="GD162" s="151" t="e">
        <f t="shared" si="240"/>
        <v>#N/A</v>
      </c>
      <c r="GE162" s="144" t="e">
        <f t="shared" si="241"/>
        <v>#N/A</v>
      </c>
      <c r="GF162" s="152" t="e">
        <f t="shared" si="242"/>
        <v>#N/A</v>
      </c>
      <c r="GG162" s="7" t="e">
        <f t="shared" si="233"/>
        <v>#N/A</v>
      </c>
      <c r="GH162" t="e">
        <f t="shared" si="243"/>
        <v>#N/A</v>
      </c>
      <c r="GI162" s="8" t="e">
        <f t="shared" si="244"/>
        <v>#N/A</v>
      </c>
      <c r="GJ162" s="8" t="e">
        <f t="shared" si="245"/>
        <v>#N/A</v>
      </c>
      <c r="GK162" s="151" t="e">
        <f t="shared" si="246"/>
        <v>#N/A</v>
      </c>
      <c r="GL162" s="151"/>
      <c r="GM162" s="151"/>
      <c r="GP162" s="54">
        <f t="shared" si="291"/>
        <v>152</v>
      </c>
      <c r="GQ162" s="54">
        <f t="shared" si="292"/>
        <v>153</v>
      </c>
      <c r="GR162" s="54">
        <f t="shared" si="293"/>
        <v>0.55097165148728466</v>
      </c>
      <c r="GS162" s="54">
        <f t="shared" si="294"/>
        <v>0.34276047013173222</v>
      </c>
      <c r="GT162" s="54" t="e">
        <f t="shared" si="295"/>
        <v>#N/A</v>
      </c>
      <c r="GU162" s="54" t="e">
        <f t="shared" si="296"/>
        <v>#N/A</v>
      </c>
      <c r="GV162" s="54" t="e">
        <f t="shared" si="297"/>
        <v>#N/A</v>
      </c>
      <c r="GW162" s="54" t="b">
        <f t="shared" si="298"/>
        <v>0</v>
      </c>
      <c r="GX162" s="54" t="b">
        <f t="shared" si="299"/>
        <v>1</v>
      </c>
      <c r="GY162" s="54" t="b">
        <f t="shared" si="300"/>
        <v>0</v>
      </c>
      <c r="GZ162" s="54" t="b">
        <f t="shared" si="301"/>
        <v>1</v>
      </c>
      <c r="HA162" s="54">
        <f t="shared" si="302"/>
        <v>0.34276047013173222</v>
      </c>
      <c r="HB162" s="54" t="e">
        <f t="shared" si="303"/>
        <v>#N/A</v>
      </c>
      <c r="HC162" s="54">
        <f t="shared" si="304"/>
        <v>0.34276047013173222</v>
      </c>
      <c r="HD162" s="69" t="str">
        <f t="shared" si="305"/>
        <v/>
      </c>
      <c r="HJ162" s="54">
        <f t="shared" si="306"/>
        <v>152</v>
      </c>
      <c r="HK162" s="54">
        <f t="shared" si="307"/>
        <v>153</v>
      </c>
      <c r="HL162" s="54">
        <f t="shared" si="308"/>
        <v>0.85319117409830803</v>
      </c>
      <c r="HM162" s="54" t="e">
        <f t="shared" si="309"/>
        <v>#N/A</v>
      </c>
      <c r="HN162" s="54">
        <f t="shared" si="310"/>
        <v>0.25917276562967606</v>
      </c>
      <c r="HO162" s="54" t="e">
        <f t="shared" si="311"/>
        <v>#N/A</v>
      </c>
      <c r="HP162" s="54" t="e">
        <f t="shared" si="312"/>
        <v>#N/A</v>
      </c>
      <c r="HQ162" s="54" t="b">
        <f t="shared" si="313"/>
        <v>1</v>
      </c>
      <c r="HR162" s="54" t="b">
        <f t="shared" si="314"/>
        <v>0</v>
      </c>
      <c r="HS162" s="54" t="b">
        <f t="shared" si="315"/>
        <v>0</v>
      </c>
      <c r="HT162" s="54" t="b">
        <f t="shared" si="316"/>
        <v>1</v>
      </c>
      <c r="HU162" s="54">
        <f t="shared" si="317"/>
        <v>0.25917276562967606</v>
      </c>
      <c r="HV162" s="54">
        <f t="shared" si="318"/>
        <v>0.25917276562967606</v>
      </c>
      <c r="HW162" s="54" t="e">
        <f t="shared" si="319"/>
        <v>#N/A</v>
      </c>
      <c r="HX162" s="69" t="str">
        <f t="shared" si="320"/>
        <v/>
      </c>
    </row>
    <row r="163" spans="78:232" x14ac:dyDescent="0.2">
      <c r="BZ163" s="54">
        <f t="shared" si="247"/>
        <v>153</v>
      </c>
      <c r="CA163" s="54">
        <f>Eu_tabel_g[[#This Row],[Indeks]]+1</f>
        <v>154</v>
      </c>
      <c r="CB163" s="54">
        <f t="shared" si="248"/>
        <v>0.57492694068238359</v>
      </c>
      <c r="CC163" s="54">
        <f t="shared" si="249"/>
        <v>0.3381691628932032</v>
      </c>
      <c r="CD163" s="54" t="e">
        <f t="shared" si="250"/>
        <v>#N/A</v>
      </c>
      <c r="CE163" s="54" t="e">
        <f t="shared" si="251"/>
        <v>#N/A</v>
      </c>
      <c r="CF163" s="54" t="e">
        <f t="shared" si="252"/>
        <v>#N/A</v>
      </c>
      <c r="CG163" s="54" t="b">
        <f t="shared" si="253"/>
        <v>0</v>
      </c>
      <c r="CH163" s="54" t="b">
        <f t="shared" si="254"/>
        <v>1</v>
      </c>
      <c r="CI163" s="54" t="b">
        <f t="shared" si="255"/>
        <v>0</v>
      </c>
      <c r="CJ163" s="54" t="b">
        <f t="shared" si="256"/>
        <v>1</v>
      </c>
      <c r="CK163" s="54">
        <f t="shared" si="321"/>
        <v>0.3381691628932032</v>
      </c>
      <c r="CL163" s="54" t="e">
        <f t="shared" si="257"/>
        <v>#N/A</v>
      </c>
      <c r="CM163" s="54">
        <f t="shared" si="258"/>
        <v>0.3381691628932032</v>
      </c>
      <c r="CN163" s="69" t="str">
        <f t="shared" si="259"/>
        <v/>
      </c>
      <c r="CO163" s="54">
        <f>_xlfn.NORM.DIST(_xlfn.NORM.INV(1-Eu_g_konfidensniveau,0,1)-Eu_tabel_g[[#This Row],[x base]],0,1,TRUE)</f>
        <v>1.3216833323501195E-2</v>
      </c>
      <c r="CP163" s="54">
        <f>1-_xlfn.NORM.DIST(_xlfn.NORM.INV(Eu_g_konfidensniveau,0,1)-Eu_tabel_g[[#This Row],[x base]],0,1,TRUE)</f>
        <v>0.14232615498665224</v>
      </c>
      <c r="CQ163" s="54">
        <f>_xlfn.NORM.DIST(_xlfn.NORM.INV((1-Eu_g_konfidensniveau)/2,0,1)-Eu_tabel_g[[#This Row],[x base]],0,1,TRUE)+1-_xlfn.NORM.DIST(_xlfn.NORM.INV(1-(1-Eu_g_konfidensniveau)/2,0,1)-Eu_tabel_g[[#This Row],[x base]],0,1,TRUE)</f>
        <v>8.8644687460782801E-2</v>
      </c>
      <c r="CR163" s="54" t="e" cm="1">
        <f t="array" ref="CR163">IF($CR$3,INDEX(Eu_tabel_g[[#This Row],[Styrke venstre]:[Styrke tosidet]],CR$7),NA())</f>
        <v>#N/A</v>
      </c>
      <c r="CS163" s="89" t="e">
        <f>Eu_tabel_g[[#This Row],[Falsk positiv
Nulhypotese accepteres
Fejltype 1]]</f>
        <v>#N/A</v>
      </c>
      <c r="CT163" s="89" t="e">
        <f>IF(CHOOSE(CR$7,Eu_tabel_g[[#This Row],[x base]]&gt;0,Eu_tabel_g[[#This Row],[x base]]&lt;0,Eu_tabel_g[[#This Row],[x base]]=0),Eu_tabel_g[[#This Row],[Styrke, aktiv]],NA())</f>
        <v>#N/A</v>
      </c>
      <c r="CU163" s="89" t="e">
        <f>IFERROR(IF($CR$3,Eu_tabel_g[[#This Row],[Styrke, aktiv]],NA()),NA())</f>
        <v>#N/A</v>
      </c>
      <c r="CV163" s="89" t="e">
        <f>IF(ISNA(Eu_tabel_g[[#This Row],[Sand negativ
Nulhypotese afvises
Korrekt]]),NA(),IF($CR$3,1,NA()))</f>
        <v>#N/A</v>
      </c>
      <c r="CW163" s="56" t="str" cm="1">
        <f t="array" ref="CW163">_xlfn.SWITCH(BZ163,_xlfn.IFNA(CU$2,-99),CU$5,_xlfn.IFNA(CU$3,-99),CU$6,_xlfn.IFNA(CU$4,-99),CU$7,"")</f>
        <v/>
      </c>
      <c r="DA163" s="7">
        <f t="shared" si="260"/>
        <v>0.8</v>
      </c>
      <c r="DB163">
        <f>IF(ROW(Styrkeberegning_G[[#This Row],[X base venstre]])=ROW(Styrkeberegning_G[[#Headers],[X base venstre]])+1,DB$7/(DA$7/$B$67),DB162/(DA162/$B$67))</f>
        <v>-2.8015817870135784</v>
      </c>
      <c r="DC163">
        <f>Styrkeberegning_G[[#This Row],[X base venstre]]*-1</f>
        <v>2.8015817870135784</v>
      </c>
      <c r="DN163" s="54">
        <f t="shared" si="261"/>
        <v>153</v>
      </c>
      <c r="DO163" s="54">
        <f t="shared" si="262"/>
        <v>154</v>
      </c>
      <c r="DP163" s="54">
        <f t="shared" si="263"/>
        <v>19.286693696454844</v>
      </c>
      <c r="DQ163" s="54" t="e">
        <f t="shared" si="264"/>
        <v>#N/A</v>
      </c>
      <c r="DR163" s="54" t="e">
        <f t="shared" si="265"/>
        <v>#N/A</v>
      </c>
      <c r="DS163" s="54">
        <f t="shared" si="266"/>
        <v>1.6637419174044116E-2</v>
      </c>
      <c r="DT163" s="54" t="e">
        <f t="shared" si="267"/>
        <v>#N/A</v>
      </c>
      <c r="DU163" s="54" t="b">
        <f t="shared" si="268"/>
        <v>0</v>
      </c>
      <c r="DV163" s="54" t="b">
        <f t="shared" si="269"/>
        <v>1</v>
      </c>
      <c r="DW163" s="54" t="b">
        <f t="shared" si="270"/>
        <v>0</v>
      </c>
      <c r="DX163" s="54" t="b">
        <f t="shared" si="271"/>
        <v>1</v>
      </c>
      <c r="DY163" s="54">
        <f t="shared" si="272"/>
        <v>1.6637419174044116E-2</v>
      </c>
      <c r="DZ163" s="54" t="e">
        <f t="shared" si="273"/>
        <v>#N/A</v>
      </c>
      <c r="EA163" s="54">
        <f t="shared" si="274"/>
        <v>1.6637419174044116E-2</v>
      </c>
      <c r="EB163" s="69" t="str">
        <f t="shared" si="275"/>
        <v/>
      </c>
      <c r="EG163" s="54">
        <f t="shared" si="276"/>
        <v>153</v>
      </c>
      <c r="EH163" s="54">
        <f t="shared" si="277"/>
        <v>154</v>
      </c>
      <c r="EI163" s="54">
        <f t="shared" si="278"/>
        <v>0.57492694068238359</v>
      </c>
      <c r="EJ163" s="54">
        <f t="shared" si="279"/>
        <v>0.3381691628932032</v>
      </c>
      <c r="EK163" s="54" t="e">
        <f t="shared" si="280"/>
        <v>#N/A</v>
      </c>
      <c r="EL163" s="54" t="e">
        <f t="shared" si="281"/>
        <v>#N/A</v>
      </c>
      <c r="EM163" s="54" t="e">
        <f t="shared" si="282"/>
        <v>#N/A</v>
      </c>
      <c r="EN163" s="54" t="b">
        <f t="shared" si="283"/>
        <v>0</v>
      </c>
      <c r="EO163" s="54" t="b">
        <f t="shared" si="284"/>
        <v>1</v>
      </c>
      <c r="EP163" s="54" t="b">
        <f t="shared" si="285"/>
        <v>0</v>
      </c>
      <c r="EQ163" s="54" t="b">
        <f t="shared" si="286"/>
        <v>1</v>
      </c>
      <c r="ER163" s="54">
        <f t="shared" si="287"/>
        <v>0.3381691628932032</v>
      </c>
      <c r="ES163" s="54" t="e">
        <f t="shared" si="288"/>
        <v>#N/A</v>
      </c>
      <c r="ET163" s="54">
        <f t="shared" si="289"/>
        <v>0.3381691628932032</v>
      </c>
      <c r="EU163" s="69" t="str">
        <f t="shared" si="290"/>
        <v/>
      </c>
      <c r="EV16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6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6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63" s="54" t="e" cm="1">
        <f t="array" ref="EY163">IF($CR$3,INDEX(Eu_tabel_a[[#This Row],[Styrke venstre]:[Styrke tosidet]],EY$7),NA())</f>
        <v>#N/A</v>
      </c>
      <c r="EZ163" s="54" t="e">
        <f>IF(EY$3,IF(CHOOSE(EY$7,Eu_tabel_a[[#This Row],[x base]]&gt;0,Eu_tabel_a[[#This Row],[x base]]&lt;0,Eu_tabel_a[[#This Row],[x base]]=0),1,NA()),NA())</f>
        <v>#N/A</v>
      </c>
      <c r="FA163" s="54" t="e">
        <f>IF(CHOOSE(EY$7,Eu_tabel_a[[#This Row],[x base]]&gt;0,Eu_tabel_a[[#This Row],[x base]]&lt;0,Eu_tabel_a[[#This Row],[x base]]=0),Eu_tabel_a[[#This Row],[Styrke, aktiv]],NA())</f>
        <v>#N/A</v>
      </c>
      <c r="FB163" s="54" t="e">
        <f>IFERROR(IF($EY$3,Eu_tabel_a[[#This Row],[Styrke, aktiv]],NA()),NA())</f>
        <v>#N/A</v>
      </c>
      <c r="FC163" s="54" t="e">
        <f>IF(ISNA(Eu_tabel_a[[#This Row],[Sand negativ
Nulhypotese afvises
Korrekt]]),NA(),IF(EY$3,1,NA()))</f>
        <v>#N/A</v>
      </c>
      <c r="FD163" s="55" t="str" cm="1">
        <f t="array" ref="FD163">IFERROR(_xlfn.SWITCH(Eu_tabel_a[[#This Row],[Indeks]],_xlfn.IFNA(FB$2,-99),FB$5,_xlfn.IFNA(FB$3,-99),FB$6,_xlfn.IFNA(FB$4,-99),FB$7,""),"")</f>
        <v/>
      </c>
      <c r="FE163" s="54">
        <f>Eu_tabel_a[[#This Row],[x base]]*SQRT(Eu_a_h0_x*(1-Eu_a_h0_x)/Eu_a_n_x)+Eu_a_h0_x</f>
        <v>0</v>
      </c>
      <c r="FJ163" s="144" t="e">
        <f t="shared" si="234"/>
        <v>#N/A</v>
      </c>
      <c r="FK163" s="152" t="e">
        <f t="shared" si="322"/>
        <v>#DIV/0!</v>
      </c>
      <c r="FL163" s="7" t="e">
        <f t="shared" si="228"/>
        <v>#DIV/0!</v>
      </c>
      <c r="FM163" t="e">
        <f t="shared" si="323"/>
        <v>#DIV/0!</v>
      </c>
      <c r="FN163" s="8" t="e">
        <f t="shared" si="324"/>
        <v>#DIV/0!</v>
      </c>
      <c r="FO163" s="8" t="e">
        <f t="shared" si="325"/>
        <v>#DIV/0!</v>
      </c>
      <c r="FP163" s="151" t="e">
        <f t="shared" si="326"/>
        <v>#DIV/0!</v>
      </c>
      <c r="FQ163" s="144" t="e">
        <f t="shared" ca="1" si="229"/>
        <v>#N/A</v>
      </c>
      <c r="FR163" s="152" t="e" vm="3">
        <f t="shared" ca="1" si="235"/>
        <v>#VALUE!</v>
      </c>
      <c r="FS163" s="7" t="e" vm="3">
        <f t="shared" ca="1" si="230"/>
        <v>#VALUE!</v>
      </c>
      <c r="FT163" t="e" vm="3">
        <f t="shared" ca="1" si="224"/>
        <v>#VALUE!</v>
      </c>
      <c r="FU163" s="8" t="e" vm="3">
        <f t="shared" ca="1" si="225"/>
        <v>#VALUE!</v>
      </c>
      <c r="FV163" s="8" t="e" vm="3">
        <f t="shared" ca="1" si="226"/>
        <v>#VALUE!</v>
      </c>
      <c r="FW163" s="151" t="e" vm="3">
        <f t="shared" ca="1" si="227"/>
        <v>#VALUE!</v>
      </c>
      <c r="FX163" s="144" t="e">
        <f t="shared" si="231"/>
        <v>#N/A</v>
      </c>
      <c r="FY163" s="152" t="e">
        <f t="shared" si="236"/>
        <v>#N/A</v>
      </c>
      <c r="FZ163" s="7" t="e">
        <f t="shared" si="232"/>
        <v>#N/A</v>
      </c>
      <c r="GA163" t="e">
        <f t="shared" si="237"/>
        <v>#N/A</v>
      </c>
      <c r="GB163" s="8" t="e">
        <f t="shared" si="238"/>
        <v>#N/A</v>
      </c>
      <c r="GC163" s="8" t="e">
        <f t="shared" si="239"/>
        <v>#N/A</v>
      </c>
      <c r="GD163" s="151" t="e">
        <f t="shared" si="240"/>
        <v>#N/A</v>
      </c>
      <c r="GE163" s="144" t="e">
        <f t="shared" si="241"/>
        <v>#N/A</v>
      </c>
      <c r="GF163" s="152" t="e">
        <f t="shared" si="242"/>
        <v>#N/A</v>
      </c>
      <c r="GG163" s="7" t="e">
        <f t="shared" si="233"/>
        <v>#N/A</v>
      </c>
      <c r="GH163" t="e">
        <f t="shared" si="243"/>
        <v>#N/A</v>
      </c>
      <c r="GI163" s="8" t="e">
        <f t="shared" si="244"/>
        <v>#N/A</v>
      </c>
      <c r="GJ163" s="8" t="e">
        <f t="shared" si="245"/>
        <v>#N/A</v>
      </c>
      <c r="GK163" s="151" t="e">
        <f t="shared" si="246"/>
        <v>#N/A</v>
      </c>
      <c r="GL163" s="151"/>
      <c r="GM163" s="151"/>
      <c r="GP163" s="54">
        <f t="shared" si="291"/>
        <v>153</v>
      </c>
      <c r="GQ163" s="54">
        <f t="shared" si="292"/>
        <v>154</v>
      </c>
      <c r="GR163" s="54">
        <f t="shared" si="293"/>
        <v>0.57492694068238359</v>
      </c>
      <c r="GS163" s="54">
        <f t="shared" si="294"/>
        <v>0.3381691628932032</v>
      </c>
      <c r="GT163" s="54" t="e">
        <f t="shared" si="295"/>
        <v>#N/A</v>
      </c>
      <c r="GU163" s="54" t="e">
        <f t="shared" si="296"/>
        <v>#N/A</v>
      </c>
      <c r="GV163" s="54" t="e">
        <f t="shared" si="297"/>
        <v>#N/A</v>
      </c>
      <c r="GW163" s="54" t="b">
        <f t="shared" si="298"/>
        <v>0</v>
      </c>
      <c r="GX163" s="54" t="b">
        <f t="shared" si="299"/>
        <v>1</v>
      </c>
      <c r="GY163" s="54" t="b">
        <f t="shared" si="300"/>
        <v>0</v>
      </c>
      <c r="GZ163" s="54" t="b">
        <f t="shared" si="301"/>
        <v>1</v>
      </c>
      <c r="HA163" s="54">
        <f t="shared" si="302"/>
        <v>0.3381691628932032</v>
      </c>
      <c r="HB163" s="54" t="e">
        <f t="shared" si="303"/>
        <v>#N/A</v>
      </c>
      <c r="HC163" s="54">
        <f t="shared" si="304"/>
        <v>0.3381691628932032</v>
      </c>
      <c r="HD163" s="69" t="str">
        <f t="shared" si="305"/>
        <v/>
      </c>
      <c r="HJ163" s="54">
        <f t="shared" si="306"/>
        <v>153</v>
      </c>
      <c r="HK163" s="54">
        <f t="shared" si="307"/>
        <v>154</v>
      </c>
      <c r="HL163" s="54">
        <f t="shared" si="308"/>
        <v>0.89028644253736466</v>
      </c>
      <c r="HM163" s="54" t="e">
        <f t="shared" si="309"/>
        <v>#N/A</v>
      </c>
      <c r="HN163" s="54">
        <f t="shared" si="310"/>
        <v>0.25067526978144972</v>
      </c>
      <c r="HO163" s="54" t="e">
        <f t="shared" si="311"/>
        <v>#N/A</v>
      </c>
      <c r="HP163" s="54" t="e">
        <f t="shared" si="312"/>
        <v>#N/A</v>
      </c>
      <c r="HQ163" s="54" t="b">
        <f t="shared" si="313"/>
        <v>1</v>
      </c>
      <c r="HR163" s="54" t="b">
        <f t="shared" si="314"/>
        <v>0</v>
      </c>
      <c r="HS163" s="54" t="b">
        <f t="shared" si="315"/>
        <v>0</v>
      </c>
      <c r="HT163" s="54" t="b">
        <f t="shared" si="316"/>
        <v>1</v>
      </c>
      <c r="HU163" s="54">
        <f t="shared" si="317"/>
        <v>0.25067526978144972</v>
      </c>
      <c r="HV163" s="54">
        <f t="shared" si="318"/>
        <v>0.25067526978144972</v>
      </c>
      <c r="HW163" s="54" t="e">
        <f t="shared" si="319"/>
        <v>#N/A</v>
      </c>
      <c r="HX163" s="69" t="str">
        <f t="shared" si="320"/>
        <v/>
      </c>
    </row>
    <row r="164" spans="78:232" x14ac:dyDescent="0.2">
      <c r="BZ164" s="54">
        <f t="shared" si="247"/>
        <v>154</v>
      </c>
      <c r="CA164" s="54">
        <f>Eu_tabel_g[[#This Row],[Indeks]]+1</f>
        <v>155</v>
      </c>
      <c r="CB164" s="54">
        <f t="shared" si="248"/>
        <v>0.59888222987748296</v>
      </c>
      <c r="CC164" s="54">
        <f t="shared" si="249"/>
        <v>0.33344795064515081</v>
      </c>
      <c r="CD164" s="54" t="e">
        <f t="shared" si="250"/>
        <v>#N/A</v>
      </c>
      <c r="CE164" s="54" t="e">
        <f t="shared" si="251"/>
        <v>#N/A</v>
      </c>
      <c r="CF164" s="54" t="e">
        <f t="shared" si="252"/>
        <v>#N/A</v>
      </c>
      <c r="CG164" s="54" t="b">
        <f t="shared" si="253"/>
        <v>0</v>
      </c>
      <c r="CH164" s="54" t="b">
        <f t="shared" si="254"/>
        <v>1</v>
      </c>
      <c r="CI164" s="54" t="b">
        <f t="shared" si="255"/>
        <v>0</v>
      </c>
      <c r="CJ164" s="54" t="b">
        <f t="shared" si="256"/>
        <v>1</v>
      </c>
      <c r="CK164" s="54">
        <f t="shared" si="321"/>
        <v>0.33344795064515081</v>
      </c>
      <c r="CL164" s="54" t="e">
        <f t="shared" si="257"/>
        <v>#N/A</v>
      </c>
      <c r="CM164" s="54">
        <f t="shared" si="258"/>
        <v>0.33344795064515081</v>
      </c>
      <c r="CN164" s="69" t="str">
        <f t="shared" si="259"/>
        <v/>
      </c>
      <c r="CO164" s="54">
        <f>_xlfn.NORM.DIST(_xlfn.NORM.INV(1-Eu_g_konfidensniveau,0,1)-Eu_tabel_g[[#This Row],[x base]],0,1,TRUE)</f>
        <v>1.2424700798871303E-2</v>
      </c>
      <c r="CP164" s="54">
        <f>1-_xlfn.NORM.DIST(_xlfn.NORM.INV(Eu_g_konfidensniveau,0,1)-Eu_tabel_g[[#This Row],[x base]],0,1,TRUE)</f>
        <v>0.14778711921721865</v>
      </c>
      <c r="CQ164" s="54">
        <f>_xlfn.NORM.DIST(_xlfn.NORM.INV((1-Eu_g_konfidensniveau)/2,0,1)-Eu_tabel_g[[#This Row],[x base]],0,1,TRUE)+1-_xlfn.NORM.DIST(_xlfn.NORM.INV(1-(1-Eu_g_konfidensniveau)/2,0,1)-Eu_tabel_g[[#This Row],[x base]],0,1,TRUE)</f>
        <v>9.1994936832619278E-2</v>
      </c>
      <c r="CR164" s="54" t="e" cm="1">
        <f t="array" ref="CR164">IF($CR$3,INDEX(Eu_tabel_g[[#This Row],[Styrke venstre]:[Styrke tosidet]],CR$7),NA())</f>
        <v>#N/A</v>
      </c>
      <c r="CS164" s="89" t="e">
        <f>Eu_tabel_g[[#This Row],[Falsk positiv
Nulhypotese accepteres
Fejltype 1]]</f>
        <v>#N/A</v>
      </c>
      <c r="CT164" s="89" t="e">
        <f>IF(CHOOSE(CR$7,Eu_tabel_g[[#This Row],[x base]]&gt;0,Eu_tabel_g[[#This Row],[x base]]&lt;0,Eu_tabel_g[[#This Row],[x base]]=0),Eu_tabel_g[[#This Row],[Styrke, aktiv]],NA())</f>
        <v>#N/A</v>
      </c>
      <c r="CU164" s="89" t="e">
        <f>IFERROR(IF($CR$3,Eu_tabel_g[[#This Row],[Styrke, aktiv]],NA()),NA())</f>
        <v>#N/A</v>
      </c>
      <c r="CV164" s="89" t="e">
        <f>IF(ISNA(Eu_tabel_g[[#This Row],[Sand negativ
Nulhypotese afvises
Korrekt]]),NA(),IF($CR$3,1,NA()))</f>
        <v>#N/A</v>
      </c>
      <c r="CW164" s="56" t="str" cm="1">
        <f t="array" ref="CW164">_xlfn.SWITCH(BZ164,_xlfn.IFNA(CU$2,-99),CU$5,_xlfn.IFNA(CU$3,-99),CU$6,_xlfn.IFNA(CU$4,-99),CU$7,"")</f>
        <v/>
      </c>
      <c r="DA164" s="7">
        <f t="shared" si="260"/>
        <v>0.8</v>
      </c>
      <c r="DB164">
        <f>IF(ROW(Styrkeberegning_G[[#This Row],[X base venstre]])=ROW(Styrkeberegning_G[[#Headers],[X base venstre]])+1,DB$7/(DA$7/$B$67),DB163/(DA163/$B$67))</f>
        <v>-2.8015817870135784</v>
      </c>
      <c r="DC164">
        <f>Styrkeberegning_G[[#This Row],[X base venstre]]*-1</f>
        <v>2.8015817870135784</v>
      </c>
      <c r="DN164" s="54">
        <f t="shared" si="261"/>
        <v>154</v>
      </c>
      <c r="DO164" s="54">
        <f t="shared" si="262"/>
        <v>155</v>
      </c>
      <c r="DP164" s="54">
        <f t="shared" si="263"/>
        <v>19.400764552871845</v>
      </c>
      <c r="DQ164" s="54" t="e">
        <f t="shared" si="264"/>
        <v>#N/A</v>
      </c>
      <c r="DR164" s="54" t="e">
        <f t="shared" si="265"/>
        <v>#N/A</v>
      </c>
      <c r="DS164" s="54">
        <f t="shared" si="266"/>
        <v>1.61376601530667E-2</v>
      </c>
      <c r="DT164" s="54" t="e">
        <f t="shared" si="267"/>
        <v>#N/A</v>
      </c>
      <c r="DU164" s="54" t="b">
        <f t="shared" si="268"/>
        <v>0</v>
      </c>
      <c r="DV164" s="54" t="b">
        <f t="shared" si="269"/>
        <v>1</v>
      </c>
      <c r="DW164" s="54" t="b">
        <f t="shared" si="270"/>
        <v>0</v>
      </c>
      <c r="DX164" s="54" t="b">
        <f t="shared" si="271"/>
        <v>1</v>
      </c>
      <c r="DY164" s="54">
        <f t="shared" si="272"/>
        <v>1.61376601530667E-2</v>
      </c>
      <c r="DZ164" s="54" t="e">
        <f t="shared" si="273"/>
        <v>#N/A</v>
      </c>
      <c r="EA164" s="54">
        <f t="shared" si="274"/>
        <v>1.61376601530667E-2</v>
      </c>
      <c r="EB164" s="69" t="str">
        <f t="shared" si="275"/>
        <v/>
      </c>
      <c r="EG164" s="54">
        <f t="shared" si="276"/>
        <v>154</v>
      </c>
      <c r="EH164" s="54">
        <f t="shared" si="277"/>
        <v>155</v>
      </c>
      <c r="EI164" s="54">
        <f t="shared" si="278"/>
        <v>0.59888222987748296</v>
      </c>
      <c r="EJ164" s="54">
        <f t="shared" si="279"/>
        <v>0.33344795064515081</v>
      </c>
      <c r="EK164" s="54" t="e">
        <f t="shared" si="280"/>
        <v>#N/A</v>
      </c>
      <c r="EL164" s="54" t="e">
        <f t="shared" si="281"/>
        <v>#N/A</v>
      </c>
      <c r="EM164" s="54" t="e">
        <f t="shared" si="282"/>
        <v>#N/A</v>
      </c>
      <c r="EN164" s="54" t="b">
        <f t="shared" si="283"/>
        <v>0</v>
      </c>
      <c r="EO164" s="54" t="b">
        <f t="shared" si="284"/>
        <v>1</v>
      </c>
      <c r="EP164" s="54" t="b">
        <f t="shared" si="285"/>
        <v>0</v>
      </c>
      <c r="EQ164" s="54" t="b">
        <f t="shared" si="286"/>
        <v>1</v>
      </c>
      <c r="ER164" s="54">
        <f t="shared" si="287"/>
        <v>0.33344795064515081</v>
      </c>
      <c r="ES164" s="54" t="e">
        <f t="shared" si="288"/>
        <v>#N/A</v>
      </c>
      <c r="ET164" s="54">
        <f t="shared" si="289"/>
        <v>0.33344795064515081</v>
      </c>
      <c r="EU164" s="69" t="str">
        <f t="shared" si="290"/>
        <v/>
      </c>
      <c r="EV16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6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6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64" s="54" t="e" cm="1">
        <f t="array" ref="EY164">IF($CR$3,INDEX(Eu_tabel_a[[#This Row],[Styrke venstre]:[Styrke tosidet]],EY$7),NA())</f>
        <v>#N/A</v>
      </c>
      <c r="EZ164" s="54" t="e">
        <f>IF(EY$3,IF(CHOOSE(EY$7,Eu_tabel_a[[#This Row],[x base]]&gt;0,Eu_tabel_a[[#This Row],[x base]]&lt;0,Eu_tabel_a[[#This Row],[x base]]=0),1,NA()),NA())</f>
        <v>#N/A</v>
      </c>
      <c r="FA164" s="54" t="e">
        <f>IF(CHOOSE(EY$7,Eu_tabel_a[[#This Row],[x base]]&gt;0,Eu_tabel_a[[#This Row],[x base]]&lt;0,Eu_tabel_a[[#This Row],[x base]]=0),Eu_tabel_a[[#This Row],[Styrke, aktiv]],NA())</f>
        <v>#N/A</v>
      </c>
      <c r="FB164" s="54" t="e">
        <f>IFERROR(IF($EY$3,Eu_tabel_a[[#This Row],[Styrke, aktiv]],NA()),NA())</f>
        <v>#N/A</v>
      </c>
      <c r="FC164" s="54" t="e">
        <f>IF(ISNA(Eu_tabel_a[[#This Row],[Sand negativ
Nulhypotese afvises
Korrekt]]),NA(),IF(EY$3,1,NA()))</f>
        <v>#N/A</v>
      </c>
      <c r="FD164" s="55" t="str" cm="1">
        <f t="array" ref="FD164">IFERROR(_xlfn.SWITCH(Eu_tabel_a[[#This Row],[Indeks]],_xlfn.IFNA(FB$2,-99),FB$5,_xlfn.IFNA(FB$3,-99),FB$6,_xlfn.IFNA(FB$4,-99),FB$7,""),"")</f>
        <v/>
      </c>
      <c r="FE164" s="54">
        <f>Eu_tabel_a[[#This Row],[x base]]*SQRT(Eu_a_h0_x*(1-Eu_a_h0_x)/Eu_a_n_x)+Eu_a_h0_x</f>
        <v>0</v>
      </c>
      <c r="FJ164" s="144" t="e">
        <f t="shared" si="234"/>
        <v>#N/A</v>
      </c>
      <c r="FK164" s="152" t="e">
        <f t="shared" si="322"/>
        <v>#DIV/0!</v>
      </c>
      <c r="FL164" s="7" t="e">
        <f t="shared" si="228"/>
        <v>#DIV/0!</v>
      </c>
      <c r="FM164" t="e">
        <f t="shared" si="323"/>
        <v>#DIV/0!</v>
      </c>
      <c r="FN164" s="8" t="e">
        <f t="shared" si="324"/>
        <v>#DIV/0!</v>
      </c>
      <c r="FO164" s="8" t="e">
        <f t="shared" si="325"/>
        <v>#DIV/0!</v>
      </c>
      <c r="FP164" s="151" t="e">
        <f t="shared" si="326"/>
        <v>#DIV/0!</v>
      </c>
      <c r="FQ164" s="144" t="e">
        <f t="shared" ca="1" si="229"/>
        <v>#N/A</v>
      </c>
      <c r="FR164" s="152" t="e" vm="3">
        <f t="shared" ca="1" si="235"/>
        <v>#VALUE!</v>
      </c>
      <c r="FS164" s="7" t="e" vm="3">
        <f t="shared" ca="1" si="230"/>
        <v>#VALUE!</v>
      </c>
      <c r="FT164" t="e" vm="3">
        <f t="shared" ca="1" si="224"/>
        <v>#VALUE!</v>
      </c>
      <c r="FU164" s="8" t="e" vm="3">
        <f t="shared" ca="1" si="225"/>
        <v>#VALUE!</v>
      </c>
      <c r="FV164" s="8" t="e" vm="3">
        <f t="shared" ca="1" si="226"/>
        <v>#VALUE!</v>
      </c>
      <c r="FW164" s="151" t="e" vm="3">
        <f t="shared" ca="1" si="227"/>
        <v>#VALUE!</v>
      </c>
      <c r="FX164" s="144" t="e">
        <f t="shared" si="231"/>
        <v>#N/A</v>
      </c>
      <c r="FY164" s="152" t="e">
        <f t="shared" si="236"/>
        <v>#N/A</v>
      </c>
      <c r="FZ164" s="7" t="e">
        <f t="shared" si="232"/>
        <v>#N/A</v>
      </c>
      <c r="GA164" t="e">
        <f t="shared" si="237"/>
        <v>#N/A</v>
      </c>
      <c r="GB164" s="8" t="e">
        <f t="shared" si="238"/>
        <v>#N/A</v>
      </c>
      <c r="GC164" s="8" t="e">
        <f t="shared" si="239"/>
        <v>#N/A</v>
      </c>
      <c r="GD164" s="151" t="e">
        <f t="shared" si="240"/>
        <v>#N/A</v>
      </c>
      <c r="GE164" s="144" t="e">
        <f t="shared" si="241"/>
        <v>#N/A</v>
      </c>
      <c r="GF164" s="152" t="e">
        <f t="shared" si="242"/>
        <v>#N/A</v>
      </c>
      <c r="GG164" s="7" t="e">
        <f t="shared" si="233"/>
        <v>#N/A</v>
      </c>
      <c r="GH164" t="e">
        <f t="shared" si="243"/>
        <v>#N/A</v>
      </c>
      <c r="GI164" s="8" t="e">
        <f t="shared" si="244"/>
        <v>#N/A</v>
      </c>
      <c r="GJ164" s="8" t="e">
        <f t="shared" si="245"/>
        <v>#N/A</v>
      </c>
      <c r="GK164" s="151" t="e">
        <f t="shared" si="246"/>
        <v>#N/A</v>
      </c>
      <c r="GL164" s="151"/>
      <c r="GM164" s="151"/>
      <c r="GP164" s="54">
        <f t="shared" si="291"/>
        <v>154</v>
      </c>
      <c r="GQ164" s="54">
        <f t="shared" si="292"/>
        <v>155</v>
      </c>
      <c r="GR164" s="54">
        <f t="shared" si="293"/>
        <v>0.59888222987748296</v>
      </c>
      <c r="GS164" s="54">
        <f t="shared" si="294"/>
        <v>0.33344795064515081</v>
      </c>
      <c r="GT164" s="54" t="e">
        <f t="shared" si="295"/>
        <v>#N/A</v>
      </c>
      <c r="GU164" s="54" t="e">
        <f t="shared" si="296"/>
        <v>#N/A</v>
      </c>
      <c r="GV164" s="54" t="e">
        <f t="shared" si="297"/>
        <v>#N/A</v>
      </c>
      <c r="GW164" s="54" t="b">
        <f t="shared" si="298"/>
        <v>0</v>
      </c>
      <c r="GX164" s="54" t="b">
        <f t="shared" si="299"/>
        <v>1</v>
      </c>
      <c r="GY164" s="54" t="b">
        <f t="shared" si="300"/>
        <v>0</v>
      </c>
      <c r="GZ164" s="54" t="b">
        <f t="shared" si="301"/>
        <v>1</v>
      </c>
      <c r="HA164" s="54">
        <f t="shared" si="302"/>
        <v>0.33344795064515081</v>
      </c>
      <c r="HB164" s="54" t="e">
        <f t="shared" si="303"/>
        <v>#N/A</v>
      </c>
      <c r="HC164" s="54">
        <f t="shared" si="304"/>
        <v>0.33344795064515081</v>
      </c>
      <c r="HD164" s="69" t="str">
        <f t="shared" si="305"/>
        <v/>
      </c>
      <c r="HJ164" s="54">
        <f t="shared" si="306"/>
        <v>154</v>
      </c>
      <c r="HK164" s="54">
        <f t="shared" si="307"/>
        <v>155</v>
      </c>
      <c r="HL164" s="54">
        <f t="shared" si="308"/>
        <v>0.9273817109764213</v>
      </c>
      <c r="HM164" s="54" t="e">
        <f t="shared" si="309"/>
        <v>#N/A</v>
      </c>
      <c r="HN164" s="54">
        <f t="shared" si="310"/>
        <v>0.24218370552426577</v>
      </c>
      <c r="HO164" s="54" t="e">
        <f t="shared" si="311"/>
        <v>#N/A</v>
      </c>
      <c r="HP164" s="54" t="e">
        <f t="shared" si="312"/>
        <v>#N/A</v>
      </c>
      <c r="HQ164" s="54" t="b">
        <f t="shared" si="313"/>
        <v>1</v>
      </c>
      <c r="HR164" s="54" t="b">
        <f t="shared" si="314"/>
        <v>0</v>
      </c>
      <c r="HS164" s="54" t="b">
        <f t="shared" si="315"/>
        <v>0</v>
      </c>
      <c r="HT164" s="54" t="b">
        <f t="shared" si="316"/>
        <v>1</v>
      </c>
      <c r="HU164" s="54">
        <f t="shared" si="317"/>
        <v>0.24218370552426577</v>
      </c>
      <c r="HV164" s="54">
        <f t="shared" si="318"/>
        <v>0.24218370552426577</v>
      </c>
      <c r="HW164" s="54" t="e">
        <f t="shared" si="319"/>
        <v>#N/A</v>
      </c>
      <c r="HX164" s="69" t="str">
        <f t="shared" si="320"/>
        <v/>
      </c>
    </row>
    <row r="165" spans="78:232" x14ac:dyDescent="0.2">
      <c r="BZ165" s="54">
        <f t="shared" si="247"/>
        <v>155</v>
      </c>
      <c r="CA165" s="54">
        <f>Eu_tabel_g[[#This Row],[Indeks]]+1</f>
        <v>156</v>
      </c>
      <c r="CB165" s="54">
        <f t="shared" si="248"/>
        <v>0.62283751907258234</v>
      </c>
      <c r="CC165" s="54">
        <f t="shared" si="249"/>
        <v>0.3286040262264141</v>
      </c>
      <c r="CD165" s="54" t="e">
        <f t="shared" si="250"/>
        <v>#N/A</v>
      </c>
      <c r="CE165" s="54" t="e">
        <f t="shared" si="251"/>
        <v>#N/A</v>
      </c>
      <c r="CF165" s="54" t="e">
        <f t="shared" si="252"/>
        <v>#N/A</v>
      </c>
      <c r="CG165" s="54" t="b">
        <f t="shared" si="253"/>
        <v>0</v>
      </c>
      <c r="CH165" s="54" t="b">
        <f t="shared" si="254"/>
        <v>1</v>
      </c>
      <c r="CI165" s="54" t="b">
        <f t="shared" si="255"/>
        <v>0</v>
      </c>
      <c r="CJ165" s="54" t="b">
        <f t="shared" si="256"/>
        <v>1</v>
      </c>
      <c r="CK165" s="54">
        <f t="shared" si="321"/>
        <v>0.3286040262264141</v>
      </c>
      <c r="CL165" s="54" t="e">
        <f t="shared" si="257"/>
        <v>#N/A</v>
      </c>
      <c r="CM165" s="54">
        <f t="shared" si="258"/>
        <v>0.3286040262264141</v>
      </c>
      <c r="CN165" s="69" t="str">
        <f t="shared" si="259"/>
        <v/>
      </c>
      <c r="CO165" s="54">
        <f>_xlfn.NORM.DIST(_xlfn.NORM.INV(1-Eu_g_konfidensniveau,0,1)-Eu_tabel_g[[#This Row],[x base]],0,1,TRUE)</f>
        <v>1.1674018942185489E-2</v>
      </c>
      <c r="CP165" s="54">
        <f>1-_xlfn.NORM.DIST(_xlfn.NORM.INV(Eu_g_konfidensniveau,0,1)-Eu_tabel_g[[#This Row],[x base]],0,1,TRUE)</f>
        <v>0.15338663833525557</v>
      </c>
      <c r="CQ165" s="54">
        <f>_xlfn.NORM.DIST(_xlfn.NORM.INV((1-Eu_g_konfidensniveau)/2,0,1)-Eu_tabel_g[[#This Row],[x base]],0,1,TRUE)+1-_xlfn.NORM.DIST(_xlfn.NORM.INV(1-(1-Eu_g_konfidensniveau)/2,0,1)-Eu_tabel_g[[#This Row],[x base]],0,1,TRUE)</f>
        <v>9.5490764325729005E-2</v>
      </c>
      <c r="CR165" s="54" t="e" cm="1">
        <f t="array" ref="CR165">IF($CR$3,INDEX(Eu_tabel_g[[#This Row],[Styrke venstre]:[Styrke tosidet]],CR$7),NA())</f>
        <v>#N/A</v>
      </c>
      <c r="CS165" s="89" t="e">
        <f>Eu_tabel_g[[#This Row],[Falsk positiv
Nulhypotese accepteres
Fejltype 1]]</f>
        <v>#N/A</v>
      </c>
      <c r="CT165" s="89" t="e">
        <f>IF(CHOOSE(CR$7,Eu_tabel_g[[#This Row],[x base]]&gt;0,Eu_tabel_g[[#This Row],[x base]]&lt;0,Eu_tabel_g[[#This Row],[x base]]=0),Eu_tabel_g[[#This Row],[Styrke, aktiv]],NA())</f>
        <v>#N/A</v>
      </c>
      <c r="CU165" s="89" t="e">
        <f>IFERROR(IF($CR$3,Eu_tabel_g[[#This Row],[Styrke, aktiv]],NA()),NA())</f>
        <v>#N/A</v>
      </c>
      <c r="CV165" s="89" t="e">
        <f>IF(ISNA(Eu_tabel_g[[#This Row],[Sand negativ
Nulhypotese afvises
Korrekt]]),NA(),IF($CR$3,1,NA()))</f>
        <v>#N/A</v>
      </c>
      <c r="CW165" s="56" t="str" cm="1">
        <f t="array" ref="CW165">_xlfn.SWITCH(BZ165,_xlfn.IFNA(CU$2,-99),CU$5,_xlfn.IFNA(CU$3,-99),CU$6,_xlfn.IFNA(CU$4,-99),CU$7,"")</f>
        <v/>
      </c>
      <c r="DA165" s="7">
        <f t="shared" si="260"/>
        <v>0.8</v>
      </c>
      <c r="DB165">
        <f>IF(ROW(Styrkeberegning_G[[#This Row],[X base venstre]])=ROW(Styrkeberegning_G[[#Headers],[X base venstre]])+1,DB$7/(DA$7/$B$67),DB164/(DA164/$B$67))</f>
        <v>-2.8015817870135784</v>
      </c>
      <c r="DC165">
        <f>Styrkeberegning_G[[#This Row],[X base venstre]]*-1</f>
        <v>2.8015817870135784</v>
      </c>
      <c r="DN165" s="54">
        <f t="shared" si="261"/>
        <v>155</v>
      </c>
      <c r="DO165" s="54">
        <f t="shared" si="262"/>
        <v>156</v>
      </c>
      <c r="DP165" s="54">
        <f t="shared" si="263"/>
        <v>19.514835409288846</v>
      </c>
      <c r="DQ165" s="54" t="e">
        <f t="shared" si="264"/>
        <v>#N/A</v>
      </c>
      <c r="DR165" s="54" t="e">
        <f t="shared" si="265"/>
        <v>#N/A</v>
      </c>
      <c r="DS165" s="54">
        <f t="shared" si="266"/>
        <v>1.5650478053182721E-2</v>
      </c>
      <c r="DT165" s="54" t="e">
        <f t="shared" si="267"/>
        <v>#N/A</v>
      </c>
      <c r="DU165" s="54" t="b">
        <f t="shared" si="268"/>
        <v>0</v>
      </c>
      <c r="DV165" s="54" t="b">
        <f t="shared" si="269"/>
        <v>1</v>
      </c>
      <c r="DW165" s="54" t="b">
        <f t="shared" si="270"/>
        <v>0</v>
      </c>
      <c r="DX165" s="54" t="b">
        <f t="shared" si="271"/>
        <v>1</v>
      </c>
      <c r="DY165" s="54">
        <f t="shared" si="272"/>
        <v>1.5650478053182721E-2</v>
      </c>
      <c r="DZ165" s="54" t="e">
        <f t="shared" si="273"/>
        <v>#N/A</v>
      </c>
      <c r="EA165" s="54">
        <f t="shared" si="274"/>
        <v>1.5650478053182721E-2</v>
      </c>
      <c r="EB165" s="69" t="str">
        <f t="shared" si="275"/>
        <v/>
      </c>
      <c r="EG165" s="54">
        <f t="shared" si="276"/>
        <v>155</v>
      </c>
      <c r="EH165" s="54">
        <f t="shared" si="277"/>
        <v>156</v>
      </c>
      <c r="EI165" s="54">
        <f t="shared" si="278"/>
        <v>0.62283751907258234</v>
      </c>
      <c r="EJ165" s="54">
        <f t="shared" si="279"/>
        <v>0.3286040262264141</v>
      </c>
      <c r="EK165" s="54" t="e">
        <f t="shared" si="280"/>
        <v>#N/A</v>
      </c>
      <c r="EL165" s="54" t="e">
        <f t="shared" si="281"/>
        <v>#N/A</v>
      </c>
      <c r="EM165" s="54" t="e">
        <f t="shared" si="282"/>
        <v>#N/A</v>
      </c>
      <c r="EN165" s="54" t="b">
        <f t="shared" si="283"/>
        <v>0</v>
      </c>
      <c r="EO165" s="54" t="b">
        <f t="shared" si="284"/>
        <v>1</v>
      </c>
      <c r="EP165" s="54" t="b">
        <f t="shared" si="285"/>
        <v>0</v>
      </c>
      <c r="EQ165" s="54" t="b">
        <f t="shared" si="286"/>
        <v>1</v>
      </c>
      <c r="ER165" s="54">
        <f t="shared" si="287"/>
        <v>0.3286040262264141</v>
      </c>
      <c r="ES165" s="54" t="e">
        <f t="shared" si="288"/>
        <v>#N/A</v>
      </c>
      <c r="ET165" s="54">
        <f t="shared" si="289"/>
        <v>0.3286040262264141</v>
      </c>
      <c r="EU165" s="69" t="str">
        <f t="shared" si="290"/>
        <v/>
      </c>
      <c r="EV16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6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6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65" s="54" t="e" cm="1">
        <f t="array" ref="EY165">IF($CR$3,INDEX(Eu_tabel_a[[#This Row],[Styrke venstre]:[Styrke tosidet]],EY$7),NA())</f>
        <v>#N/A</v>
      </c>
      <c r="EZ165" s="54" t="e">
        <f>IF(EY$3,IF(CHOOSE(EY$7,Eu_tabel_a[[#This Row],[x base]]&gt;0,Eu_tabel_a[[#This Row],[x base]]&lt;0,Eu_tabel_a[[#This Row],[x base]]=0),1,NA()),NA())</f>
        <v>#N/A</v>
      </c>
      <c r="FA165" s="54" t="e">
        <f>IF(CHOOSE(EY$7,Eu_tabel_a[[#This Row],[x base]]&gt;0,Eu_tabel_a[[#This Row],[x base]]&lt;0,Eu_tabel_a[[#This Row],[x base]]=0),Eu_tabel_a[[#This Row],[Styrke, aktiv]],NA())</f>
        <v>#N/A</v>
      </c>
      <c r="FB165" s="54" t="e">
        <f>IFERROR(IF($EY$3,Eu_tabel_a[[#This Row],[Styrke, aktiv]],NA()),NA())</f>
        <v>#N/A</v>
      </c>
      <c r="FC165" s="54" t="e">
        <f>IF(ISNA(Eu_tabel_a[[#This Row],[Sand negativ
Nulhypotese afvises
Korrekt]]),NA(),IF(EY$3,1,NA()))</f>
        <v>#N/A</v>
      </c>
      <c r="FD165" s="55" t="str" cm="1">
        <f t="array" ref="FD165">IFERROR(_xlfn.SWITCH(Eu_tabel_a[[#This Row],[Indeks]],_xlfn.IFNA(FB$2,-99),FB$5,_xlfn.IFNA(FB$3,-99),FB$6,_xlfn.IFNA(FB$4,-99),FB$7,""),"")</f>
        <v/>
      </c>
      <c r="FE165" s="54">
        <f>Eu_tabel_a[[#This Row],[x base]]*SQRT(Eu_a_h0_x*(1-Eu_a_h0_x)/Eu_a_n_x)+Eu_a_h0_x</f>
        <v>0</v>
      </c>
      <c r="FJ165" s="144" t="e">
        <f t="shared" si="234"/>
        <v>#N/A</v>
      </c>
      <c r="FK165" s="152" t="e">
        <f t="shared" si="322"/>
        <v>#DIV/0!</v>
      </c>
      <c r="FL165" s="7" t="e">
        <f t="shared" si="228"/>
        <v>#DIV/0!</v>
      </c>
      <c r="FM165" t="e">
        <f t="shared" si="323"/>
        <v>#DIV/0!</v>
      </c>
      <c r="FN165" s="8" t="e">
        <f t="shared" si="324"/>
        <v>#DIV/0!</v>
      </c>
      <c r="FO165" s="8" t="e">
        <f t="shared" si="325"/>
        <v>#DIV/0!</v>
      </c>
      <c r="FP165" s="151" t="e">
        <f t="shared" si="326"/>
        <v>#DIV/0!</v>
      </c>
      <c r="FQ165" s="144" t="e">
        <f t="shared" ca="1" si="229"/>
        <v>#N/A</v>
      </c>
      <c r="FR165" s="152" t="e" vm="3">
        <f t="shared" ca="1" si="235"/>
        <v>#VALUE!</v>
      </c>
      <c r="FS165" s="7" t="e" vm="3">
        <f t="shared" ca="1" si="230"/>
        <v>#VALUE!</v>
      </c>
      <c r="FT165" t="e" vm="3">
        <f t="shared" ca="1" si="224"/>
        <v>#VALUE!</v>
      </c>
      <c r="FU165" s="8" t="e" vm="3">
        <f t="shared" ca="1" si="225"/>
        <v>#VALUE!</v>
      </c>
      <c r="FV165" s="8" t="e" vm="3">
        <f t="shared" ca="1" si="226"/>
        <v>#VALUE!</v>
      </c>
      <c r="FW165" s="151" t="e" vm="3">
        <f t="shared" ca="1" si="227"/>
        <v>#VALUE!</v>
      </c>
      <c r="FX165" s="144" t="e">
        <f t="shared" si="231"/>
        <v>#N/A</v>
      </c>
      <c r="FY165" s="152" t="e">
        <f t="shared" si="236"/>
        <v>#N/A</v>
      </c>
      <c r="FZ165" s="7" t="e">
        <f t="shared" si="232"/>
        <v>#N/A</v>
      </c>
      <c r="GA165" t="e">
        <f t="shared" si="237"/>
        <v>#N/A</v>
      </c>
      <c r="GB165" s="8" t="e">
        <f t="shared" si="238"/>
        <v>#N/A</v>
      </c>
      <c r="GC165" s="8" t="e">
        <f t="shared" si="239"/>
        <v>#N/A</v>
      </c>
      <c r="GD165" s="151" t="e">
        <f t="shared" si="240"/>
        <v>#N/A</v>
      </c>
      <c r="GE165" s="144" t="e">
        <f t="shared" si="241"/>
        <v>#N/A</v>
      </c>
      <c r="GF165" s="152" t="e">
        <f t="shared" si="242"/>
        <v>#N/A</v>
      </c>
      <c r="GG165" s="7" t="e">
        <f t="shared" si="233"/>
        <v>#N/A</v>
      </c>
      <c r="GH165" t="e">
        <f t="shared" si="243"/>
        <v>#N/A</v>
      </c>
      <c r="GI165" s="8" t="e">
        <f t="shared" si="244"/>
        <v>#N/A</v>
      </c>
      <c r="GJ165" s="8" t="e">
        <f t="shared" si="245"/>
        <v>#N/A</v>
      </c>
      <c r="GK165" s="151" t="e">
        <f t="shared" si="246"/>
        <v>#N/A</v>
      </c>
      <c r="GL165" s="151"/>
      <c r="GM165" s="151"/>
      <c r="GP165" s="54">
        <f t="shared" si="291"/>
        <v>155</v>
      </c>
      <c r="GQ165" s="54">
        <f t="shared" si="292"/>
        <v>156</v>
      </c>
      <c r="GR165" s="54">
        <f t="shared" si="293"/>
        <v>0.62283751907258234</v>
      </c>
      <c r="GS165" s="54">
        <f t="shared" si="294"/>
        <v>0.3286040262264141</v>
      </c>
      <c r="GT165" s="54" t="e">
        <f t="shared" si="295"/>
        <v>#N/A</v>
      </c>
      <c r="GU165" s="54" t="e">
        <f t="shared" si="296"/>
        <v>#N/A</v>
      </c>
      <c r="GV165" s="54" t="e">
        <f t="shared" si="297"/>
        <v>#N/A</v>
      </c>
      <c r="GW165" s="54" t="b">
        <f t="shared" si="298"/>
        <v>0</v>
      </c>
      <c r="GX165" s="54" t="b">
        <f t="shared" si="299"/>
        <v>1</v>
      </c>
      <c r="GY165" s="54" t="b">
        <f t="shared" si="300"/>
        <v>0</v>
      </c>
      <c r="GZ165" s="54" t="b">
        <f t="shared" si="301"/>
        <v>1</v>
      </c>
      <c r="HA165" s="54">
        <f t="shared" si="302"/>
        <v>0.3286040262264141</v>
      </c>
      <c r="HB165" s="54" t="e">
        <f t="shared" si="303"/>
        <v>#N/A</v>
      </c>
      <c r="HC165" s="54">
        <f t="shared" si="304"/>
        <v>0.3286040262264141</v>
      </c>
      <c r="HD165" s="69" t="str">
        <f t="shared" si="305"/>
        <v/>
      </c>
      <c r="HJ165" s="54">
        <f t="shared" si="306"/>
        <v>155</v>
      </c>
      <c r="HK165" s="54">
        <f t="shared" si="307"/>
        <v>156</v>
      </c>
      <c r="HL165" s="54">
        <f t="shared" si="308"/>
        <v>0.96447697941547794</v>
      </c>
      <c r="HM165" s="54" t="e">
        <f t="shared" si="309"/>
        <v>#N/A</v>
      </c>
      <c r="HN165" s="54">
        <f t="shared" si="310"/>
        <v>0.23372394786255571</v>
      </c>
      <c r="HO165" s="54" t="e">
        <f t="shared" si="311"/>
        <v>#N/A</v>
      </c>
      <c r="HP165" s="54" t="e">
        <f t="shared" si="312"/>
        <v>#N/A</v>
      </c>
      <c r="HQ165" s="54" t="b">
        <f t="shared" si="313"/>
        <v>1</v>
      </c>
      <c r="HR165" s="54" t="b">
        <f t="shared" si="314"/>
        <v>0</v>
      </c>
      <c r="HS165" s="54" t="b">
        <f t="shared" si="315"/>
        <v>0</v>
      </c>
      <c r="HT165" s="54" t="b">
        <f t="shared" si="316"/>
        <v>1</v>
      </c>
      <c r="HU165" s="54">
        <f t="shared" si="317"/>
        <v>0.23372394786255571</v>
      </c>
      <c r="HV165" s="54">
        <f t="shared" si="318"/>
        <v>0.23372394786255571</v>
      </c>
      <c r="HW165" s="54" t="e">
        <f t="shared" si="319"/>
        <v>#N/A</v>
      </c>
      <c r="HX165" s="69" t="str">
        <f t="shared" si="320"/>
        <v/>
      </c>
    </row>
    <row r="166" spans="78:232" x14ac:dyDescent="0.2">
      <c r="BZ166" s="54">
        <f t="shared" si="247"/>
        <v>156</v>
      </c>
      <c r="CA166" s="54">
        <f>Eu_tabel_g[[#This Row],[Indeks]]+1</f>
        <v>157</v>
      </c>
      <c r="CB166" s="54">
        <f t="shared" si="248"/>
        <v>0.64679280826768171</v>
      </c>
      <c r="CC166" s="54">
        <f t="shared" si="249"/>
        <v>0.32364468971493993</v>
      </c>
      <c r="CD166" s="54" t="e">
        <f t="shared" si="250"/>
        <v>#N/A</v>
      </c>
      <c r="CE166" s="54" t="e">
        <f t="shared" si="251"/>
        <v>#N/A</v>
      </c>
      <c r="CF166" s="54" t="e">
        <f t="shared" si="252"/>
        <v>#N/A</v>
      </c>
      <c r="CG166" s="54" t="b">
        <f t="shared" si="253"/>
        <v>0</v>
      </c>
      <c r="CH166" s="54" t="b">
        <f t="shared" si="254"/>
        <v>1</v>
      </c>
      <c r="CI166" s="54" t="b">
        <f t="shared" si="255"/>
        <v>0</v>
      </c>
      <c r="CJ166" s="54" t="b">
        <f t="shared" si="256"/>
        <v>1</v>
      </c>
      <c r="CK166" s="54">
        <f t="shared" si="321"/>
        <v>0.32364468971493993</v>
      </c>
      <c r="CL166" s="54" t="e">
        <f t="shared" si="257"/>
        <v>#N/A</v>
      </c>
      <c r="CM166" s="54">
        <f t="shared" si="258"/>
        <v>0.32364468971493993</v>
      </c>
      <c r="CN166" s="69" t="str">
        <f t="shared" si="259"/>
        <v/>
      </c>
      <c r="CO166" s="54">
        <f>_xlfn.NORM.DIST(_xlfn.NORM.INV(1-Eu_g_konfidensniveau,0,1)-Eu_tabel_g[[#This Row],[x base]],0,1,TRUE)</f>
        <v>1.0963026829707758E-2</v>
      </c>
      <c r="CP166" s="54">
        <f>1-_xlfn.NORM.DIST(_xlfn.NORM.INV(Eu_g_konfidensniveau,0,1)-Eu_tabel_g[[#This Row],[x base]],0,1,TRUE)</f>
        <v>0.15912493399551053</v>
      </c>
      <c r="CQ166" s="54">
        <f>_xlfn.NORM.DIST(_xlfn.NORM.INV((1-Eu_g_konfidensniveau)/2,0,1)-Eu_tabel_g[[#This Row],[x base]],0,1,TRUE)+1-_xlfn.NORM.DIST(_xlfn.NORM.INV(1-(1-Eu_g_konfidensniveau)/2,0,1)-Eu_tabel_g[[#This Row],[x base]],0,1,TRUE)</f>
        <v>9.9132849971210524E-2</v>
      </c>
      <c r="CR166" s="54" t="e" cm="1">
        <f t="array" ref="CR166">IF($CR$3,INDEX(Eu_tabel_g[[#This Row],[Styrke venstre]:[Styrke tosidet]],CR$7),NA())</f>
        <v>#N/A</v>
      </c>
      <c r="CS166" s="89" t="e">
        <f>Eu_tabel_g[[#This Row],[Falsk positiv
Nulhypotese accepteres
Fejltype 1]]</f>
        <v>#N/A</v>
      </c>
      <c r="CT166" s="89" t="e">
        <f>IF(CHOOSE(CR$7,Eu_tabel_g[[#This Row],[x base]]&gt;0,Eu_tabel_g[[#This Row],[x base]]&lt;0,Eu_tabel_g[[#This Row],[x base]]=0),Eu_tabel_g[[#This Row],[Styrke, aktiv]],NA())</f>
        <v>#N/A</v>
      </c>
      <c r="CU166" s="89" t="e">
        <f>IFERROR(IF($CR$3,Eu_tabel_g[[#This Row],[Styrke, aktiv]],NA()),NA())</f>
        <v>#N/A</v>
      </c>
      <c r="CV166" s="89" t="e">
        <f>IF(ISNA(Eu_tabel_g[[#This Row],[Sand negativ
Nulhypotese afvises
Korrekt]]),NA(),IF($CR$3,1,NA()))</f>
        <v>#N/A</v>
      </c>
      <c r="CW166" s="56" t="str" cm="1">
        <f t="array" ref="CW166">_xlfn.SWITCH(BZ166,_xlfn.IFNA(CU$2,-99),CU$5,_xlfn.IFNA(CU$3,-99),CU$6,_xlfn.IFNA(CU$4,-99),CU$7,"")</f>
        <v/>
      </c>
      <c r="DA166" s="7">
        <f t="shared" si="260"/>
        <v>0.8</v>
      </c>
      <c r="DB166">
        <f>IF(ROW(Styrkeberegning_G[[#This Row],[X base venstre]])=ROW(Styrkeberegning_G[[#Headers],[X base venstre]])+1,DB$7/(DA$7/$B$67),DB165/(DA165/$B$67))</f>
        <v>-2.8015817870135784</v>
      </c>
      <c r="DC166">
        <f>Styrkeberegning_G[[#This Row],[X base venstre]]*-1</f>
        <v>2.8015817870135784</v>
      </c>
      <c r="DN166" s="54">
        <f t="shared" si="261"/>
        <v>156</v>
      </c>
      <c r="DO166" s="54">
        <f t="shared" si="262"/>
        <v>157</v>
      </c>
      <c r="DP166" s="54">
        <f t="shared" si="263"/>
        <v>19.628906265705847</v>
      </c>
      <c r="DQ166" s="54" t="e">
        <f t="shared" si="264"/>
        <v>#N/A</v>
      </c>
      <c r="DR166" s="54" t="e">
        <f t="shared" si="265"/>
        <v>#N/A</v>
      </c>
      <c r="DS166" s="54">
        <f t="shared" si="266"/>
        <v>1.5175669992566221E-2</v>
      </c>
      <c r="DT166" s="54" t="e">
        <f t="shared" si="267"/>
        <v>#N/A</v>
      </c>
      <c r="DU166" s="54" t="b">
        <f t="shared" si="268"/>
        <v>0</v>
      </c>
      <c r="DV166" s="54" t="b">
        <f t="shared" si="269"/>
        <v>1</v>
      </c>
      <c r="DW166" s="54" t="b">
        <f t="shared" si="270"/>
        <v>0</v>
      </c>
      <c r="DX166" s="54" t="b">
        <f t="shared" si="271"/>
        <v>1</v>
      </c>
      <c r="DY166" s="54">
        <f t="shared" si="272"/>
        <v>1.5175669992566221E-2</v>
      </c>
      <c r="DZ166" s="54" t="e">
        <f t="shared" si="273"/>
        <v>#N/A</v>
      </c>
      <c r="EA166" s="54">
        <f t="shared" si="274"/>
        <v>1.5175669992566221E-2</v>
      </c>
      <c r="EB166" s="69" t="str">
        <f t="shared" si="275"/>
        <v/>
      </c>
      <c r="EG166" s="54">
        <f t="shared" si="276"/>
        <v>156</v>
      </c>
      <c r="EH166" s="54">
        <f t="shared" si="277"/>
        <v>157</v>
      </c>
      <c r="EI166" s="54">
        <f t="shared" si="278"/>
        <v>0.64679280826768171</v>
      </c>
      <c r="EJ166" s="54">
        <f t="shared" si="279"/>
        <v>0.32364468971493993</v>
      </c>
      <c r="EK166" s="54" t="e">
        <f t="shared" si="280"/>
        <v>#N/A</v>
      </c>
      <c r="EL166" s="54" t="e">
        <f t="shared" si="281"/>
        <v>#N/A</v>
      </c>
      <c r="EM166" s="54" t="e">
        <f t="shared" si="282"/>
        <v>#N/A</v>
      </c>
      <c r="EN166" s="54" t="b">
        <f t="shared" si="283"/>
        <v>0</v>
      </c>
      <c r="EO166" s="54" t="b">
        <f t="shared" si="284"/>
        <v>1</v>
      </c>
      <c r="EP166" s="54" t="b">
        <f t="shared" si="285"/>
        <v>0</v>
      </c>
      <c r="EQ166" s="54" t="b">
        <f t="shared" si="286"/>
        <v>1</v>
      </c>
      <c r="ER166" s="54">
        <f t="shared" si="287"/>
        <v>0.32364468971493993</v>
      </c>
      <c r="ES166" s="54" t="e">
        <f t="shared" si="288"/>
        <v>#N/A</v>
      </c>
      <c r="ET166" s="54">
        <f t="shared" si="289"/>
        <v>0.32364468971493993</v>
      </c>
      <c r="EU166" s="69" t="str">
        <f t="shared" si="290"/>
        <v/>
      </c>
      <c r="EV16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6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6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66" s="54" t="e" cm="1">
        <f t="array" ref="EY166">IF($CR$3,INDEX(Eu_tabel_a[[#This Row],[Styrke venstre]:[Styrke tosidet]],EY$7),NA())</f>
        <v>#N/A</v>
      </c>
      <c r="EZ166" s="54" t="e">
        <f>IF(EY$3,IF(CHOOSE(EY$7,Eu_tabel_a[[#This Row],[x base]]&gt;0,Eu_tabel_a[[#This Row],[x base]]&lt;0,Eu_tabel_a[[#This Row],[x base]]=0),1,NA()),NA())</f>
        <v>#N/A</v>
      </c>
      <c r="FA166" s="54" t="e">
        <f>IF(CHOOSE(EY$7,Eu_tabel_a[[#This Row],[x base]]&gt;0,Eu_tabel_a[[#This Row],[x base]]&lt;0,Eu_tabel_a[[#This Row],[x base]]=0),Eu_tabel_a[[#This Row],[Styrke, aktiv]],NA())</f>
        <v>#N/A</v>
      </c>
      <c r="FB166" s="54" t="e">
        <f>IFERROR(IF($EY$3,Eu_tabel_a[[#This Row],[Styrke, aktiv]],NA()),NA())</f>
        <v>#N/A</v>
      </c>
      <c r="FC166" s="54" t="e">
        <f>IF(ISNA(Eu_tabel_a[[#This Row],[Sand negativ
Nulhypotese afvises
Korrekt]]),NA(),IF(EY$3,1,NA()))</f>
        <v>#N/A</v>
      </c>
      <c r="FD166" s="55" t="str" cm="1">
        <f t="array" ref="FD166">IFERROR(_xlfn.SWITCH(Eu_tabel_a[[#This Row],[Indeks]],_xlfn.IFNA(FB$2,-99),FB$5,_xlfn.IFNA(FB$3,-99),FB$6,_xlfn.IFNA(FB$4,-99),FB$7,""),"")</f>
        <v/>
      </c>
      <c r="FE166" s="54">
        <f>Eu_tabel_a[[#This Row],[x base]]*SQRT(Eu_a_h0_x*(1-Eu_a_h0_x)/Eu_a_n_x)+Eu_a_h0_x</f>
        <v>0</v>
      </c>
      <c r="FJ166" s="144" t="e">
        <f t="shared" si="234"/>
        <v>#N/A</v>
      </c>
      <c r="FK166" s="152" t="e">
        <f t="shared" si="322"/>
        <v>#DIV/0!</v>
      </c>
      <c r="FL166" s="7" t="e">
        <f t="shared" si="228"/>
        <v>#DIV/0!</v>
      </c>
      <c r="FM166" t="e">
        <f t="shared" si="323"/>
        <v>#DIV/0!</v>
      </c>
      <c r="FN166" s="8" t="e">
        <f t="shared" si="324"/>
        <v>#DIV/0!</v>
      </c>
      <c r="FO166" s="8" t="e">
        <f t="shared" si="325"/>
        <v>#DIV/0!</v>
      </c>
      <c r="FP166" s="151" t="e">
        <f t="shared" si="326"/>
        <v>#DIV/0!</v>
      </c>
      <c r="FQ166" s="144" t="e">
        <f t="shared" ca="1" si="229"/>
        <v>#N/A</v>
      </c>
      <c r="FR166" s="152" t="e" vm="3">
        <f t="shared" ca="1" si="235"/>
        <v>#VALUE!</v>
      </c>
      <c r="FS166" s="7" t="e" vm="3">
        <f t="shared" ca="1" si="230"/>
        <v>#VALUE!</v>
      </c>
      <c r="FT166" t="e" vm="3">
        <f t="shared" ca="1" si="224"/>
        <v>#VALUE!</v>
      </c>
      <c r="FU166" s="8" t="e" vm="3">
        <f t="shared" ca="1" si="225"/>
        <v>#VALUE!</v>
      </c>
      <c r="FV166" s="8" t="e" vm="3">
        <f t="shared" ca="1" si="226"/>
        <v>#VALUE!</v>
      </c>
      <c r="FW166" s="151" t="e" vm="3">
        <f t="shared" ca="1" si="227"/>
        <v>#VALUE!</v>
      </c>
      <c r="FX166" s="144" t="e">
        <f t="shared" si="231"/>
        <v>#N/A</v>
      </c>
      <c r="FY166" s="152" t="e">
        <f t="shared" si="236"/>
        <v>#N/A</v>
      </c>
      <c r="FZ166" s="7" t="e">
        <f t="shared" si="232"/>
        <v>#N/A</v>
      </c>
      <c r="GA166" t="e">
        <f t="shared" si="237"/>
        <v>#N/A</v>
      </c>
      <c r="GB166" s="8" t="e">
        <f t="shared" si="238"/>
        <v>#N/A</v>
      </c>
      <c r="GC166" s="8" t="e">
        <f t="shared" si="239"/>
        <v>#N/A</v>
      </c>
      <c r="GD166" s="151" t="e">
        <f t="shared" si="240"/>
        <v>#N/A</v>
      </c>
      <c r="GE166" s="144" t="e">
        <f t="shared" si="241"/>
        <v>#N/A</v>
      </c>
      <c r="GF166" s="152" t="e">
        <f t="shared" si="242"/>
        <v>#N/A</v>
      </c>
      <c r="GG166" s="7" t="e">
        <f t="shared" si="233"/>
        <v>#N/A</v>
      </c>
      <c r="GH166" t="e">
        <f t="shared" si="243"/>
        <v>#N/A</v>
      </c>
      <c r="GI166" s="8" t="e">
        <f t="shared" si="244"/>
        <v>#N/A</v>
      </c>
      <c r="GJ166" s="8" t="e">
        <f t="shared" si="245"/>
        <v>#N/A</v>
      </c>
      <c r="GK166" s="151" t="e">
        <f t="shared" si="246"/>
        <v>#N/A</v>
      </c>
      <c r="GL166" s="151"/>
      <c r="GM166" s="151"/>
      <c r="GP166" s="54">
        <f t="shared" si="291"/>
        <v>156</v>
      </c>
      <c r="GQ166" s="54">
        <f t="shared" si="292"/>
        <v>157</v>
      </c>
      <c r="GR166" s="54">
        <f t="shared" si="293"/>
        <v>0.64679280826768171</v>
      </c>
      <c r="GS166" s="54">
        <f t="shared" si="294"/>
        <v>0.32364468971493993</v>
      </c>
      <c r="GT166" s="54" t="e">
        <f t="shared" si="295"/>
        <v>#N/A</v>
      </c>
      <c r="GU166" s="54" t="e">
        <f t="shared" si="296"/>
        <v>#N/A</v>
      </c>
      <c r="GV166" s="54" t="e">
        <f t="shared" si="297"/>
        <v>#N/A</v>
      </c>
      <c r="GW166" s="54" t="b">
        <f t="shared" si="298"/>
        <v>0</v>
      </c>
      <c r="GX166" s="54" t="b">
        <f t="shared" si="299"/>
        <v>1</v>
      </c>
      <c r="GY166" s="54" t="b">
        <f t="shared" si="300"/>
        <v>0</v>
      </c>
      <c r="GZ166" s="54" t="b">
        <f t="shared" si="301"/>
        <v>1</v>
      </c>
      <c r="HA166" s="54">
        <f t="shared" si="302"/>
        <v>0.32364468971493993</v>
      </c>
      <c r="HB166" s="54" t="e">
        <f t="shared" si="303"/>
        <v>#N/A</v>
      </c>
      <c r="HC166" s="54">
        <f t="shared" si="304"/>
        <v>0.32364468971493993</v>
      </c>
      <c r="HD166" s="69" t="str">
        <f t="shared" si="305"/>
        <v/>
      </c>
      <c r="HJ166" s="54">
        <f t="shared" si="306"/>
        <v>156</v>
      </c>
      <c r="HK166" s="54">
        <f t="shared" si="307"/>
        <v>157</v>
      </c>
      <c r="HL166" s="54">
        <f t="shared" si="308"/>
        <v>1.0015722478545355</v>
      </c>
      <c r="HM166" s="54" t="e">
        <f t="shared" si="309"/>
        <v>#N/A</v>
      </c>
      <c r="HN166" s="54">
        <f t="shared" si="310"/>
        <v>0.2253201733725971</v>
      </c>
      <c r="HO166" s="54" t="e">
        <f t="shared" si="311"/>
        <v>#N/A</v>
      </c>
      <c r="HP166" s="54" t="e">
        <f t="shared" si="312"/>
        <v>#N/A</v>
      </c>
      <c r="HQ166" s="54" t="b">
        <f t="shared" si="313"/>
        <v>1</v>
      </c>
      <c r="HR166" s="54" t="b">
        <f t="shared" si="314"/>
        <v>0</v>
      </c>
      <c r="HS166" s="54" t="b">
        <f t="shared" si="315"/>
        <v>0</v>
      </c>
      <c r="HT166" s="54" t="b">
        <f t="shared" si="316"/>
        <v>1</v>
      </c>
      <c r="HU166" s="54">
        <f t="shared" si="317"/>
        <v>0.2253201733725971</v>
      </c>
      <c r="HV166" s="54">
        <f t="shared" si="318"/>
        <v>0.2253201733725971</v>
      </c>
      <c r="HW166" s="54" t="e">
        <f t="shared" si="319"/>
        <v>#N/A</v>
      </c>
      <c r="HX166" s="69" t="str">
        <f t="shared" si="320"/>
        <v/>
      </c>
    </row>
    <row r="167" spans="78:232" x14ac:dyDescent="0.2">
      <c r="BZ167" s="54">
        <f t="shared" si="247"/>
        <v>157</v>
      </c>
      <c r="CA167" s="54">
        <f>Eu_tabel_g[[#This Row],[Indeks]]+1</f>
        <v>158</v>
      </c>
      <c r="CB167" s="54">
        <f t="shared" si="248"/>
        <v>0.67074809746278108</v>
      </c>
      <c r="CC167" s="54">
        <f t="shared" si="249"/>
        <v>0.31857733024261109</v>
      </c>
      <c r="CD167" s="54" t="e">
        <f t="shared" si="250"/>
        <v>#N/A</v>
      </c>
      <c r="CE167" s="54" t="e">
        <f t="shared" si="251"/>
        <v>#N/A</v>
      </c>
      <c r="CF167" s="54" t="e">
        <f t="shared" si="252"/>
        <v>#N/A</v>
      </c>
      <c r="CG167" s="54" t="b">
        <f t="shared" si="253"/>
        <v>0</v>
      </c>
      <c r="CH167" s="54" t="b">
        <f t="shared" si="254"/>
        <v>1</v>
      </c>
      <c r="CI167" s="54" t="b">
        <f t="shared" si="255"/>
        <v>0</v>
      </c>
      <c r="CJ167" s="54" t="b">
        <f t="shared" si="256"/>
        <v>1</v>
      </c>
      <c r="CK167" s="54">
        <f t="shared" si="321"/>
        <v>0.31857733024261109</v>
      </c>
      <c r="CL167" s="54" t="e">
        <f t="shared" si="257"/>
        <v>#N/A</v>
      </c>
      <c r="CM167" s="54">
        <f t="shared" si="258"/>
        <v>0.31857733024261109</v>
      </c>
      <c r="CN167" s="69" t="str">
        <f t="shared" si="259"/>
        <v/>
      </c>
      <c r="CO167" s="54">
        <f>_xlfn.NORM.DIST(_xlfn.NORM.INV(1-Eu_g_konfidensniveau,0,1)-Eu_tabel_g[[#This Row],[x base]],0,1,TRUE)</f>
        <v>1.0290012307210827E-2</v>
      </c>
      <c r="CP167" s="54">
        <f>1-_xlfn.NORM.DIST(_xlfn.NORM.INV(Eu_g_konfidensniveau,0,1)-Eu_tabel_g[[#This Row],[x base]],0,1,TRUE)</f>
        <v>0.16500207215092599</v>
      </c>
      <c r="CQ167" s="54">
        <f>_xlfn.NORM.DIST(_xlfn.NORM.INV((1-Eu_g_konfidensniveau)/2,0,1)-Eu_tabel_g[[#This Row],[x base]],0,1,TRUE)+1-_xlfn.NORM.DIST(_xlfn.NORM.INV(1-(1-Eu_g_konfidensniveau)/2,0,1)-Eu_tabel_g[[#This Row],[x base]],0,1,TRUE)</f>
        <v>0.10292183104268371</v>
      </c>
      <c r="CR167" s="54" t="e" cm="1">
        <f t="array" ref="CR167">IF($CR$3,INDEX(Eu_tabel_g[[#This Row],[Styrke venstre]:[Styrke tosidet]],CR$7),NA())</f>
        <v>#N/A</v>
      </c>
      <c r="CS167" s="89" t="e">
        <f>Eu_tabel_g[[#This Row],[Falsk positiv
Nulhypotese accepteres
Fejltype 1]]</f>
        <v>#N/A</v>
      </c>
      <c r="CT167" s="89" t="e">
        <f>IF(CHOOSE(CR$7,Eu_tabel_g[[#This Row],[x base]]&gt;0,Eu_tabel_g[[#This Row],[x base]]&lt;0,Eu_tabel_g[[#This Row],[x base]]=0),Eu_tabel_g[[#This Row],[Styrke, aktiv]],NA())</f>
        <v>#N/A</v>
      </c>
      <c r="CU167" s="89" t="e">
        <f>IFERROR(IF($CR$3,Eu_tabel_g[[#This Row],[Styrke, aktiv]],NA()),NA())</f>
        <v>#N/A</v>
      </c>
      <c r="CV167" s="89" t="e">
        <f>IF(ISNA(Eu_tabel_g[[#This Row],[Sand negativ
Nulhypotese afvises
Korrekt]]),NA(),IF($CR$3,1,NA()))</f>
        <v>#N/A</v>
      </c>
      <c r="CW167" s="56" t="str" cm="1">
        <f t="array" ref="CW167">_xlfn.SWITCH(BZ167,_xlfn.IFNA(CU$2,-99),CU$5,_xlfn.IFNA(CU$3,-99),CU$6,_xlfn.IFNA(CU$4,-99),CU$7,"")</f>
        <v/>
      </c>
      <c r="DA167" s="7">
        <f t="shared" si="260"/>
        <v>0.8</v>
      </c>
      <c r="DB167">
        <f>IF(ROW(Styrkeberegning_G[[#This Row],[X base venstre]])=ROW(Styrkeberegning_G[[#Headers],[X base venstre]])+1,DB$7/(DA$7/$B$67),DB166/(DA166/$B$67))</f>
        <v>-2.8015817870135784</v>
      </c>
      <c r="DC167">
        <f>Styrkeberegning_G[[#This Row],[X base venstre]]*-1</f>
        <v>2.8015817870135784</v>
      </c>
      <c r="DN167" s="54">
        <f t="shared" si="261"/>
        <v>157</v>
      </c>
      <c r="DO167" s="54">
        <f t="shared" si="262"/>
        <v>158</v>
      </c>
      <c r="DP167" s="54">
        <f t="shared" si="263"/>
        <v>19.742977122122848</v>
      </c>
      <c r="DQ167" s="54" t="e">
        <f t="shared" si="264"/>
        <v>#N/A</v>
      </c>
      <c r="DR167" s="54" t="e">
        <f t="shared" si="265"/>
        <v>#N/A</v>
      </c>
      <c r="DS167" s="54">
        <f t="shared" si="266"/>
        <v>1.4713030567963909E-2</v>
      </c>
      <c r="DT167" s="54" t="e">
        <f t="shared" si="267"/>
        <v>#N/A</v>
      </c>
      <c r="DU167" s="54" t="b">
        <f t="shared" si="268"/>
        <v>0</v>
      </c>
      <c r="DV167" s="54" t="b">
        <f t="shared" si="269"/>
        <v>1</v>
      </c>
      <c r="DW167" s="54" t="b">
        <f t="shared" si="270"/>
        <v>0</v>
      </c>
      <c r="DX167" s="54" t="b">
        <f t="shared" si="271"/>
        <v>1</v>
      </c>
      <c r="DY167" s="54">
        <f t="shared" si="272"/>
        <v>1.4713030567963909E-2</v>
      </c>
      <c r="DZ167" s="54" t="e">
        <f t="shared" si="273"/>
        <v>#N/A</v>
      </c>
      <c r="EA167" s="54">
        <f t="shared" si="274"/>
        <v>1.4713030567963909E-2</v>
      </c>
      <c r="EB167" s="69" t="str">
        <f t="shared" si="275"/>
        <v/>
      </c>
      <c r="EG167" s="54">
        <f t="shared" si="276"/>
        <v>157</v>
      </c>
      <c r="EH167" s="54">
        <f t="shared" si="277"/>
        <v>158</v>
      </c>
      <c r="EI167" s="54">
        <f t="shared" si="278"/>
        <v>0.67074809746278108</v>
      </c>
      <c r="EJ167" s="54">
        <f t="shared" si="279"/>
        <v>0.31857733024261109</v>
      </c>
      <c r="EK167" s="54" t="e">
        <f t="shared" si="280"/>
        <v>#N/A</v>
      </c>
      <c r="EL167" s="54" t="e">
        <f t="shared" si="281"/>
        <v>#N/A</v>
      </c>
      <c r="EM167" s="54" t="e">
        <f t="shared" si="282"/>
        <v>#N/A</v>
      </c>
      <c r="EN167" s="54" t="b">
        <f t="shared" si="283"/>
        <v>0</v>
      </c>
      <c r="EO167" s="54" t="b">
        <f t="shared" si="284"/>
        <v>1</v>
      </c>
      <c r="EP167" s="54" t="b">
        <f t="shared" si="285"/>
        <v>0</v>
      </c>
      <c r="EQ167" s="54" t="b">
        <f t="shared" si="286"/>
        <v>1</v>
      </c>
      <c r="ER167" s="54">
        <f t="shared" si="287"/>
        <v>0.31857733024261109</v>
      </c>
      <c r="ES167" s="54" t="e">
        <f t="shared" si="288"/>
        <v>#N/A</v>
      </c>
      <c r="ET167" s="54">
        <f t="shared" si="289"/>
        <v>0.31857733024261109</v>
      </c>
      <c r="EU167" s="69" t="str">
        <f t="shared" si="290"/>
        <v/>
      </c>
      <c r="EV16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6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6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67" s="54" t="e" cm="1">
        <f t="array" ref="EY167">IF($CR$3,INDEX(Eu_tabel_a[[#This Row],[Styrke venstre]:[Styrke tosidet]],EY$7),NA())</f>
        <v>#N/A</v>
      </c>
      <c r="EZ167" s="54" t="e">
        <f>IF(EY$3,IF(CHOOSE(EY$7,Eu_tabel_a[[#This Row],[x base]]&gt;0,Eu_tabel_a[[#This Row],[x base]]&lt;0,Eu_tabel_a[[#This Row],[x base]]=0),1,NA()),NA())</f>
        <v>#N/A</v>
      </c>
      <c r="FA167" s="54" t="e">
        <f>IF(CHOOSE(EY$7,Eu_tabel_a[[#This Row],[x base]]&gt;0,Eu_tabel_a[[#This Row],[x base]]&lt;0,Eu_tabel_a[[#This Row],[x base]]=0),Eu_tabel_a[[#This Row],[Styrke, aktiv]],NA())</f>
        <v>#N/A</v>
      </c>
      <c r="FB167" s="54" t="e">
        <f>IFERROR(IF($EY$3,Eu_tabel_a[[#This Row],[Styrke, aktiv]],NA()),NA())</f>
        <v>#N/A</v>
      </c>
      <c r="FC167" s="54" t="e">
        <f>IF(ISNA(Eu_tabel_a[[#This Row],[Sand negativ
Nulhypotese afvises
Korrekt]]),NA(),IF(EY$3,1,NA()))</f>
        <v>#N/A</v>
      </c>
      <c r="FD167" s="55" t="str" cm="1">
        <f t="array" ref="FD167">IFERROR(_xlfn.SWITCH(Eu_tabel_a[[#This Row],[Indeks]],_xlfn.IFNA(FB$2,-99),FB$5,_xlfn.IFNA(FB$3,-99),FB$6,_xlfn.IFNA(FB$4,-99),FB$7,""),"")</f>
        <v/>
      </c>
      <c r="FE167" s="54">
        <f>Eu_tabel_a[[#This Row],[x base]]*SQRT(Eu_a_h0_x*(1-Eu_a_h0_x)/Eu_a_n_x)+Eu_a_h0_x</f>
        <v>0</v>
      </c>
      <c r="FJ167" s="144" t="e">
        <f t="shared" si="234"/>
        <v>#N/A</v>
      </c>
      <c r="FK167" s="152" t="e">
        <f t="shared" si="322"/>
        <v>#DIV/0!</v>
      </c>
      <c r="FL167" s="7" t="e">
        <f t="shared" si="228"/>
        <v>#DIV/0!</v>
      </c>
      <c r="FM167" t="e">
        <f t="shared" si="323"/>
        <v>#DIV/0!</v>
      </c>
      <c r="FN167" s="8" t="e">
        <f t="shared" si="324"/>
        <v>#DIV/0!</v>
      </c>
      <c r="FO167" s="8" t="e">
        <f t="shared" si="325"/>
        <v>#DIV/0!</v>
      </c>
      <c r="FP167" s="151" t="e">
        <f t="shared" si="326"/>
        <v>#DIV/0!</v>
      </c>
      <c r="FQ167" s="144" t="e">
        <f t="shared" ca="1" si="229"/>
        <v>#N/A</v>
      </c>
      <c r="FR167" s="152" t="e" vm="3">
        <f t="shared" ca="1" si="235"/>
        <v>#VALUE!</v>
      </c>
      <c r="FS167" s="7" t="e" vm="3">
        <f t="shared" ca="1" si="230"/>
        <v>#VALUE!</v>
      </c>
      <c r="FT167" t="e" vm="3">
        <f t="shared" ca="1" si="224"/>
        <v>#VALUE!</v>
      </c>
      <c r="FU167" s="8" t="e" vm="3">
        <f t="shared" ca="1" si="225"/>
        <v>#VALUE!</v>
      </c>
      <c r="FV167" s="8" t="e" vm="3">
        <f t="shared" ca="1" si="226"/>
        <v>#VALUE!</v>
      </c>
      <c r="FW167" s="151" t="e" vm="3">
        <f t="shared" ca="1" si="227"/>
        <v>#VALUE!</v>
      </c>
      <c r="FX167" s="144" t="e">
        <f t="shared" si="231"/>
        <v>#N/A</v>
      </c>
      <c r="FY167" s="152" t="e">
        <f t="shared" si="236"/>
        <v>#N/A</v>
      </c>
      <c r="FZ167" s="7" t="e">
        <f t="shared" si="232"/>
        <v>#N/A</v>
      </c>
      <c r="GA167" t="e">
        <f t="shared" si="237"/>
        <v>#N/A</v>
      </c>
      <c r="GB167" s="8" t="e">
        <f t="shared" si="238"/>
        <v>#N/A</v>
      </c>
      <c r="GC167" s="8" t="e">
        <f t="shared" si="239"/>
        <v>#N/A</v>
      </c>
      <c r="GD167" s="151" t="e">
        <f t="shared" si="240"/>
        <v>#N/A</v>
      </c>
      <c r="GE167" s="144" t="e">
        <f t="shared" si="241"/>
        <v>#N/A</v>
      </c>
      <c r="GF167" s="152" t="e">
        <f t="shared" si="242"/>
        <v>#N/A</v>
      </c>
      <c r="GG167" s="7" t="e">
        <f t="shared" si="233"/>
        <v>#N/A</v>
      </c>
      <c r="GH167" t="e">
        <f t="shared" si="243"/>
        <v>#N/A</v>
      </c>
      <c r="GI167" s="8" t="e">
        <f t="shared" si="244"/>
        <v>#N/A</v>
      </c>
      <c r="GJ167" s="8" t="e">
        <f t="shared" si="245"/>
        <v>#N/A</v>
      </c>
      <c r="GK167" s="151" t="e">
        <f t="shared" si="246"/>
        <v>#N/A</v>
      </c>
      <c r="GL167" s="151"/>
      <c r="GM167" s="151"/>
      <c r="GP167" s="54">
        <f t="shared" si="291"/>
        <v>157</v>
      </c>
      <c r="GQ167" s="54">
        <f t="shared" si="292"/>
        <v>158</v>
      </c>
      <c r="GR167" s="54">
        <f t="shared" si="293"/>
        <v>0.67074809746278108</v>
      </c>
      <c r="GS167" s="54">
        <f t="shared" si="294"/>
        <v>0.31857733024261109</v>
      </c>
      <c r="GT167" s="54" t="e">
        <f t="shared" si="295"/>
        <v>#N/A</v>
      </c>
      <c r="GU167" s="54" t="e">
        <f t="shared" si="296"/>
        <v>#N/A</v>
      </c>
      <c r="GV167" s="54" t="e">
        <f t="shared" si="297"/>
        <v>#N/A</v>
      </c>
      <c r="GW167" s="54" t="b">
        <f t="shared" si="298"/>
        <v>0</v>
      </c>
      <c r="GX167" s="54" t="b">
        <f t="shared" si="299"/>
        <v>1</v>
      </c>
      <c r="GY167" s="54" t="b">
        <f t="shared" si="300"/>
        <v>0</v>
      </c>
      <c r="GZ167" s="54" t="b">
        <f t="shared" si="301"/>
        <v>1</v>
      </c>
      <c r="HA167" s="54">
        <f t="shared" si="302"/>
        <v>0.31857733024261109</v>
      </c>
      <c r="HB167" s="54" t="e">
        <f t="shared" si="303"/>
        <v>#N/A</v>
      </c>
      <c r="HC167" s="54">
        <f t="shared" si="304"/>
        <v>0.31857733024261109</v>
      </c>
      <c r="HD167" s="69" t="str">
        <f t="shared" si="305"/>
        <v/>
      </c>
      <c r="HJ167" s="54">
        <f t="shared" si="306"/>
        <v>157</v>
      </c>
      <c r="HK167" s="54">
        <f t="shared" si="307"/>
        <v>158</v>
      </c>
      <c r="HL167" s="54">
        <f t="shared" si="308"/>
        <v>1.0386675162935921</v>
      </c>
      <c r="HM167" s="54" t="e">
        <f t="shared" si="309"/>
        <v>#N/A</v>
      </c>
      <c r="HN167" s="54">
        <f t="shared" si="310"/>
        <v>0.21699479795162491</v>
      </c>
      <c r="HO167" s="54" t="e">
        <f t="shared" si="311"/>
        <v>#N/A</v>
      </c>
      <c r="HP167" s="54" t="e">
        <f t="shared" si="312"/>
        <v>#N/A</v>
      </c>
      <c r="HQ167" s="54" t="b">
        <f t="shared" si="313"/>
        <v>1</v>
      </c>
      <c r="HR167" s="54" t="b">
        <f t="shared" si="314"/>
        <v>0</v>
      </c>
      <c r="HS167" s="54" t="b">
        <f t="shared" si="315"/>
        <v>0</v>
      </c>
      <c r="HT167" s="54" t="b">
        <f t="shared" si="316"/>
        <v>1</v>
      </c>
      <c r="HU167" s="54">
        <f t="shared" si="317"/>
        <v>0.21699479795162491</v>
      </c>
      <c r="HV167" s="54">
        <f t="shared" si="318"/>
        <v>0.21699479795162491</v>
      </c>
      <c r="HW167" s="54" t="e">
        <f t="shared" si="319"/>
        <v>#N/A</v>
      </c>
      <c r="HX167" s="69" t="str">
        <f t="shared" si="320"/>
        <v/>
      </c>
    </row>
    <row r="168" spans="78:232" x14ac:dyDescent="0.2">
      <c r="BZ168" s="54">
        <f t="shared" si="247"/>
        <v>158</v>
      </c>
      <c r="CA168" s="54">
        <f>Eu_tabel_g[[#This Row],[Indeks]]+1</f>
        <v>159</v>
      </c>
      <c r="CB168" s="54">
        <f t="shared" si="248"/>
        <v>0.69470338665788045</v>
      </c>
      <c r="CC168" s="54">
        <f t="shared" si="249"/>
        <v>0.31340940782583288</v>
      </c>
      <c r="CD168" s="54" t="e">
        <f t="shared" si="250"/>
        <v>#N/A</v>
      </c>
      <c r="CE168" s="54" t="e">
        <f t="shared" si="251"/>
        <v>#N/A</v>
      </c>
      <c r="CF168" s="54" t="e">
        <f t="shared" si="252"/>
        <v>#N/A</v>
      </c>
      <c r="CG168" s="54" t="b">
        <f t="shared" si="253"/>
        <v>0</v>
      </c>
      <c r="CH168" s="54" t="b">
        <f t="shared" si="254"/>
        <v>1</v>
      </c>
      <c r="CI168" s="54" t="b">
        <f t="shared" si="255"/>
        <v>0</v>
      </c>
      <c r="CJ168" s="54" t="b">
        <f t="shared" si="256"/>
        <v>1</v>
      </c>
      <c r="CK168" s="54">
        <f t="shared" si="321"/>
        <v>0.31340940782583288</v>
      </c>
      <c r="CL168" s="54" t="e">
        <f t="shared" si="257"/>
        <v>#N/A</v>
      </c>
      <c r="CM168" s="54">
        <f t="shared" si="258"/>
        <v>0.31340940782583288</v>
      </c>
      <c r="CN168" s="69" t="str">
        <f t="shared" si="259"/>
        <v/>
      </c>
      <c r="CO168" s="54">
        <f>_xlfn.NORM.DIST(_xlfn.NORM.INV(1-Eu_g_konfidensniveau,0,1)-Eu_tabel_g[[#This Row],[x base]],0,1,TRUE)</f>
        <v>9.6533122660336992E-3</v>
      </c>
      <c r="CP168" s="54">
        <f>1-_xlfn.NORM.DIST(_xlfn.NORM.INV(Eu_g_konfidensniveau,0,1)-Eu_tabel_g[[#This Row],[x base]],0,1,TRUE)</f>
        <v>0.17101795912522499</v>
      </c>
      <c r="CQ168" s="54">
        <f>_xlfn.NORM.DIST(_xlfn.NORM.INV((1-Eu_g_konfidensniveau)/2,0,1)-Eu_tabel_g[[#This Row],[x base]],0,1,TRUE)+1-_xlfn.NORM.DIST(_xlfn.NORM.INV(1-(1-Eu_g_konfidensniveau)/2,0,1)-Eu_tabel_g[[#This Row],[x base]],0,1,TRUE)</f>
        <v>0.10685829537543157</v>
      </c>
      <c r="CR168" s="54" t="e" cm="1">
        <f t="array" ref="CR168">IF($CR$3,INDEX(Eu_tabel_g[[#This Row],[Styrke venstre]:[Styrke tosidet]],CR$7),NA())</f>
        <v>#N/A</v>
      </c>
      <c r="CS168" s="89" t="e">
        <f>Eu_tabel_g[[#This Row],[Falsk positiv
Nulhypotese accepteres
Fejltype 1]]</f>
        <v>#N/A</v>
      </c>
      <c r="CT168" s="89" t="e">
        <f>IF(CHOOSE(CR$7,Eu_tabel_g[[#This Row],[x base]]&gt;0,Eu_tabel_g[[#This Row],[x base]]&lt;0,Eu_tabel_g[[#This Row],[x base]]=0),Eu_tabel_g[[#This Row],[Styrke, aktiv]],NA())</f>
        <v>#N/A</v>
      </c>
      <c r="CU168" s="89" t="e">
        <f>IFERROR(IF($CR$3,Eu_tabel_g[[#This Row],[Styrke, aktiv]],NA()),NA())</f>
        <v>#N/A</v>
      </c>
      <c r="CV168" s="89" t="e">
        <f>IF(ISNA(Eu_tabel_g[[#This Row],[Sand negativ
Nulhypotese afvises
Korrekt]]),NA(),IF($CR$3,1,NA()))</f>
        <v>#N/A</v>
      </c>
      <c r="CW168" s="56" t="str" cm="1">
        <f t="array" ref="CW168">_xlfn.SWITCH(BZ168,_xlfn.IFNA(CU$2,-99),CU$5,_xlfn.IFNA(CU$3,-99),CU$6,_xlfn.IFNA(CU$4,-99),CU$7,"")</f>
        <v/>
      </c>
      <c r="DA168" s="7">
        <f t="shared" si="260"/>
        <v>0.8</v>
      </c>
      <c r="DB168">
        <f>IF(ROW(Styrkeberegning_G[[#This Row],[X base venstre]])=ROW(Styrkeberegning_G[[#Headers],[X base venstre]])+1,DB$7/(DA$7/$B$67),DB167/(DA167/$B$67))</f>
        <v>-2.8015817870135784</v>
      </c>
      <c r="DC168">
        <f>Styrkeberegning_G[[#This Row],[X base venstre]]*-1</f>
        <v>2.8015817870135784</v>
      </c>
      <c r="DN168" s="54">
        <f t="shared" si="261"/>
        <v>158</v>
      </c>
      <c r="DO168" s="54">
        <f t="shared" si="262"/>
        <v>159</v>
      </c>
      <c r="DP168" s="54">
        <f t="shared" si="263"/>
        <v>19.85704797853985</v>
      </c>
      <c r="DQ168" s="54" t="e">
        <f t="shared" si="264"/>
        <v>#N/A</v>
      </c>
      <c r="DR168" s="54" t="e">
        <f t="shared" si="265"/>
        <v>#N/A</v>
      </c>
      <c r="DS168" s="54">
        <f t="shared" si="266"/>
        <v>1.4262352253349727E-2</v>
      </c>
      <c r="DT168" s="54" t="e">
        <f t="shared" si="267"/>
        <v>#N/A</v>
      </c>
      <c r="DU168" s="54" t="b">
        <f t="shared" si="268"/>
        <v>0</v>
      </c>
      <c r="DV168" s="54" t="b">
        <f t="shared" si="269"/>
        <v>1</v>
      </c>
      <c r="DW168" s="54" t="b">
        <f t="shared" si="270"/>
        <v>0</v>
      </c>
      <c r="DX168" s="54" t="b">
        <f t="shared" si="271"/>
        <v>1</v>
      </c>
      <c r="DY168" s="54">
        <f t="shared" si="272"/>
        <v>1.4262352253349727E-2</v>
      </c>
      <c r="DZ168" s="54" t="e">
        <f t="shared" si="273"/>
        <v>#N/A</v>
      </c>
      <c r="EA168" s="54">
        <f t="shared" si="274"/>
        <v>1.4262352253349727E-2</v>
      </c>
      <c r="EB168" s="69" t="str">
        <f t="shared" si="275"/>
        <v/>
      </c>
      <c r="EG168" s="54">
        <f t="shared" si="276"/>
        <v>158</v>
      </c>
      <c r="EH168" s="54">
        <f t="shared" si="277"/>
        <v>159</v>
      </c>
      <c r="EI168" s="54">
        <f t="shared" si="278"/>
        <v>0.69470338665788045</v>
      </c>
      <c r="EJ168" s="54">
        <f t="shared" si="279"/>
        <v>0.31340940782583288</v>
      </c>
      <c r="EK168" s="54" t="e">
        <f t="shared" si="280"/>
        <v>#N/A</v>
      </c>
      <c r="EL168" s="54" t="e">
        <f t="shared" si="281"/>
        <v>#N/A</v>
      </c>
      <c r="EM168" s="54" t="e">
        <f t="shared" si="282"/>
        <v>#N/A</v>
      </c>
      <c r="EN168" s="54" t="b">
        <f t="shared" si="283"/>
        <v>0</v>
      </c>
      <c r="EO168" s="54" t="b">
        <f t="shared" si="284"/>
        <v>1</v>
      </c>
      <c r="EP168" s="54" t="b">
        <f t="shared" si="285"/>
        <v>0</v>
      </c>
      <c r="EQ168" s="54" t="b">
        <f t="shared" si="286"/>
        <v>1</v>
      </c>
      <c r="ER168" s="54">
        <f t="shared" si="287"/>
        <v>0.31340940782583288</v>
      </c>
      <c r="ES168" s="54" t="e">
        <f t="shared" si="288"/>
        <v>#N/A</v>
      </c>
      <c r="ET168" s="54">
        <f t="shared" si="289"/>
        <v>0.31340940782583288</v>
      </c>
      <c r="EU168" s="69" t="str">
        <f t="shared" si="290"/>
        <v/>
      </c>
      <c r="EV16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6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6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68" s="54" t="e" cm="1">
        <f t="array" ref="EY168">IF($CR$3,INDEX(Eu_tabel_a[[#This Row],[Styrke venstre]:[Styrke tosidet]],EY$7),NA())</f>
        <v>#N/A</v>
      </c>
      <c r="EZ168" s="54" t="e">
        <f>IF(EY$3,IF(CHOOSE(EY$7,Eu_tabel_a[[#This Row],[x base]]&gt;0,Eu_tabel_a[[#This Row],[x base]]&lt;0,Eu_tabel_a[[#This Row],[x base]]=0),1,NA()),NA())</f>
        <v>#N/A</v>
      </c>
      <c r="FA168" s="54" t="e">
        <f>IF(CHOOSE(EY$7,Eu_tabel_a[[#This Row],[x base]]&gt;0,Eu_tabel_a[[#This Row],[x base]]&lt;0,Eu_tabel_a[[#This Row],[x base]]=0),Eu_tabel_a[[#This Row],[Styrke, aktiv]],NA())</f>
        <v>#N/A</v>
      </c>
      <c r="FB168" s="54" t="e">
        <f>IFERROR(IF($EY$3,Eu_tabel_a[[#This Row],[Styrke, aktiv]],NA()),NA())</f>
        <v>#N/A</v>
      </c>
      <c r="FC168" s="54" t="e">
        <f>IF(ISNA(Eu_tabel_a[[#This Row],[Sand negativ
Nulhypotese afvises
Korrekt]]),NA(),IF(EY$3,1,NA()))</f>
        <v>#N/A</v>
      </c>
      <c r="FD168" s="55" t="str" cm="1">
        <f t="array" ref="FD168">IFERROR(_xlfn.SWITCH(Eu_tabel_a[[#This Row],[Indeks]],_xlfn.IFNA(FB$2,-99),FB$5,_xlfn.IFNA(FB$3,-99),FB$6,_xlfn.IFNA(FB$4,-99),FB$7,""),"")</f>
        <v/>
      </c>
      <c r="FE168" s="54">
        <f>Eu_tabel_a[[#This Row],[x base]]*SQRT(Eu_a_h0_x*(1-Eu_a_h0_x)/Eu_a_n_x)+Eu_a_h0_x</f>
        <v>0</v>
      </c>
      <c r="FJ168" s="144" t="e">
        <f t="shared" si="234"/>
        <v>#N/A</v>
      </c>
      <c r="FK168" s="152" t="e">
        <f t="shared" si="322"/>
        <v>#DIV/0!</v>
      </c>
      <c r="FL168" s="7" t="e">
        <f t="shared" si="228"/>
        <v>#DIV/0!</v>
      </c>
      <c r="FM168" t="e">
        <f t="shared" si="323"/>
        <v>#DIV/0!</v>
      </c>
      <c r="FN168" s="8" t="e">
        <f t="shared" si="324"/>
        <v>#DIV/0!</v>
      </c>
      <c r="FO168" s="8" t="e">
        <f t="shared" si="325"/>
        <v>#DIV/0!</v>
      </c>
      <c r="FP168" s="151" t="e">
        <f t="shared" si="326"/>
        <v>#DIV/0!</v>
      </c>
      <c r="FQ168" s="144" t="e">
        <f t="shared" ca="1" si="229"/>
        <v>#N/A</v>
      </c>
      <c r="FR168" s="152" t="e" vm="3">
        <f t="shared" ca="1" si="235"/>
        <v>#VALUE!</v>
      </c>
      <c r="FS168" s="7" t="e" vm="3">
        <f t="shared" ca="1" si="230"/>
        <v>#VALUE!</v>
      </c>
      <c r="FT168" t="e" vm="3">
        <f t="shared" ca="1" si="224"/>
        <v>#VALUE!</v>
      </c>
      <c r="FU168" s="8" t="e" vm="3">
        <f t="shared" ca="1" si="225"/>
        <v>#VALUE!</v>
      </c>
      <c r="FV168" s="8" t="e" vm="3">
        <f t="shared" ca="1" si="226"/>
        <v>#VALUE!</v>
      </c>
      <c r="FW168" s="151" t="e" vm="3">
        <f t="shared" ca="1" si="227"/>
        <v>#VALUE!</v>
      </c>
      <c r="FX168" s="144" t="e">
        <f t="shared" si="231"/>
        <v>#N/A</v>
      </c>
      <c r="FY168" s="152" t="e">
        <f t="shared" si="236"/>
        <v>#N/A</v>
      </c>
      <c r="FZ168" s="7" t="e">
        <f t="shared" si="232"/>
        <v>#N/A</v>
      </c>
      <c r="GA168" t="e">
        <f t="shared" si="237"/>
        <v>#N/A</v>
      </c>
      <c r="GB168" s="8" t="e">
        <f t="shared" si="238"/>
        <v>#N/A</v>
      </c>
      <c r="GC168" s="8" t="e">
        <f t="shared" si="239"/>
        <v>#N/A</v>
      </c>
      <c r="GD168" s="151" t="e">
        <f t="shared" si="240"/>
        <v>#N/A</v>
      </c>
      <c r="GE168" s="144" t="e">
        <f t="shared" si="241"/>
        <v>#N/A</v>
      </c>
      <c r="GF168" s="152" t="e">
        <f t="shared" si="242"/>
        <v>#N/A</v>
      </c>
      <c r="GG168" s="7" t="e">
        <f t="shared" si="233"/>
        <v>#N/A</v>
      </c>
      <c r="GH168" t="e">
        <f t="shared" si="243"/>
        <v>#N/A</v>
      </c>
      <c r="GI168" s="8" t="e">
        <f t="shared" si="244"/>
        <v>#N/A</v>
      </c>
      <c r="GJ168" s="8" t="e">
        <f t="shared" si="245"/>
        <v>#N/A</v>
      </c>
      <c r="GK168" s="151" t="e">
        <f t="shared" si="246"/>
        <v>#N/A</v>
      </c>
      <c r="GL168" s="151"/>
      <c r="GM168" s="151"/>
      <c r="GP168" s="54">
        <f t="shared" si="291"/>
        <v>158</v>
      </c>
      <c r="GQ168" s="54">
        <f t="shared" si="292"/>
        <v>159</v>
      </c>
      <c r="GR168" s="54">
        <f t="shared" si="293"/>
        <v>0.69470338665788045</v>
      </c>
      <c r="GS168" s="54">
        <f t="shared" si="294"/>
        <v>0.31340940782583288</v>
      </c>
      <c r="GT168" s="54" t="e">
        <f t="shared" si="295"/>
        <v>#N/A</v>
      </c>
      <c r="GU168" s="54" t="e">
        <f t="shared" si="296"/>
        <v>#N/A</v>
      </c>
      <c r="GV168" s="54" t="e">
        <f t="shared" si="297"/>
        <v>#N/A</v>
      </c>
      <c r="GW168" s="54" t="b">
        <f t="shared" si="298"/>
        <v>0</v>
      </c>
      <c r="GX168" s="54" t="b">
        <f t="shared" si="299"/>
        <v>1</v>
      </c>
      <c r="GY168" s="54" t="b">
        <f t="shared" si="300"/>
        <v>0</v>
      </c>
      <c r="GZ168" s="54" t="b">
        <f t="shared" si="301"/>
        <v>1</v>
      </c>
      <c r="HA168" s="54">
        <f t="shared" si="302"/>
        <v>0.31340940782583288</v>
      </c>
      <c r="HB168" s="54" t="e">
        <f t="shared" si="303"/>
        <v>#N/A</v>
      </c>
      <c r="HC168" s="54">
        <f t="shared" si="304"/>
        <v>0.31340940782583288</v>
      </c>
      <c r="HD168" s="69" t="str">
        <f t="shared" si="305"/>
        <v/>
      </c>
      <c r="HJ168" s="54">
        <f t="shared" si="306"/>
        <v>158</v>
      </c>
      <c r="HK168" s="54">
        <f t="shared" si="307"/>
        <v>159</v>
      </c>
      <c r="HL168" s="54">
        <f t="shared" si="308"/>
        <v>1.0757627847326487</v>
      </c>
      <c r="HM168" s="54" t="e">
        <f t="shared" si="309"/>
        <v>#N/A</v>
      </c>
      <c r="HN168" s="54">
        <f t="shared" si="310"/>
        <v>0.20876843698347805</v>
      </c>
      <c r="HO168" s="54" t="e">
        <f t="shared" si="311"/>
        <v>#N/A</v>
      </c>
      <c r="HP168" s="54" t="e">
        <f t="shared" si="312"/>
        <v>#N/A</v>
      </c>
      <c r="HQ168" s="54" t="b">
        <f t="shared" si="313"/>
        <v>1</v>
      </c>
      <c r="HR168" s="54" t="b">
        <f t="shared" si="314"/>
        <v>0</v>
      </c>
      <c r="HS168" s="54" t="b">
        <f t="shared" si="315"/>
        <v>0</v>
      </c>
      <c r="HT168" s="54" t="b">
        <f t="shared" si="316"/>
        <v>1</v>
      </c>
      <c r="HU168" s="54">
        <f t="shared" si="317"/>
        <v>0.20876843698347805</v>
      </c>
      <c r="HV168" s="54">
        <f t="shared" si="318"/>
        <v>0.20876843698347805</v>
      </c>
      <c r="HW168" s="54" t="e">
        <f t="shared" si="319"/>
        <v>#N/A</v>
      </c>
      <c r="HX168" s="69" t="str">
        <f t="shared" si="320"/>
        <v/>
      </c>
    </row>
    <row r="169" spans="78:232" x14ac:dyDescent="0.2">
      <c r="BZ169" s="54">
        <f t="shared" si="247"/>
        <v>159</v>
      </c>
      <c r="CA169" s="54">
        <f>Eu_tabel_g[[#This Row],[Indeks]]+1</f>
        <v>160</v>
      </c>
      <c r="CB169" s="54">
        <f t="shared" si="248"/>
        <v>0.71865867585297982</v>
      </c>
      <c r="CC169" s="54">
        <f t="shared" si="249"/>
        <v>0.30814843527368829</v>
      </c>
      <c r="CD169" s="54" t="e">
        <f t="shared" si="250"/>
        <v>#N/A</v>
      </c>
      <c r="CE169" s="54" t="e">
        <f t="shared" si="251"/>
        <v>#N/A</v>
      </c>
      <c r="CF169" s="54" t="e">
        <f t="shared" si="252"/>
        <v>#N/A</v>
      </c>
      <c r="CG169" s="54" t="b">
        <f t="shared" si="253"/>
        <v>0</v>
      </c>
      <c r="CH169" s="54" t="b">
        <f t="shared" si="254"/>
        <v>1</v>
      </c>
      <c r="CI169" s="54" t="b">
        <f t="shared" si="255"/>
        <v>0</v>
      </c>
      <c r="CJ169" s="54" t="b">
        <f t="shared" si="256"/>
        <v>1</v>
      </c>
      <c r="CK169" s="54">
        <f t="shared" si="321"/>
        <v>0.30814843527368829</v>
      </c>
      <c r="CL169" s="54" t="e">
        <f t="shared" si="257"/>
        <v>#N/A</v>
      </c>
      <c r="CM169" s="54">
        <f t="shared" si="258"/>
        <v>0.30814843527368829</v>
      </c>
      <c r="CN169" s="69" t="str">
        <f t="shared" si="259"/>
        <v/>
      </c>
      <c r="CO169" s="54">
        <f>_xlfn.NORM.DIST(_xlfn.NORM.INV(1-Eu_g_konfidensniveau,0,1)-Eu_tabel_g[[#This Row],[x base]],0,1,TRUE)</f>
        <v>9.0513127949020684E-3</v>
      </c>
      <c r="CP169" s="54">
        <f>1-_xlfn.NORM.DIST(_xlfn.NORM.INV(Eu_g_konfidensniveau,0,1)-Eu_tabel_g[[#This Row],[x base]],0,1,TRUE)</f>
        <v>0.17717233796114051</v>
      </c>
      <c r="CQ169" s="54">
        <f>_xlfn.NORM.DIST(_xlfn.NORM.INV((1-Eu_g_konfidensniveau)/2,0,1)-Eu_tabel_g[[#This Row],[x base]],0,1,TRUE)+1-_xlfn.NORM.DIST(_xlfn.NORM.INV(1-(1-Eu_g_konfidensniveau)/2,0,1)-Eu_tabel_g[[#This Row],[x base]],0,1,TRUE)</f>
        <v>0.11094277467154023</v>
      </c>
      <c r="CR169" s="54" t="e" cm="1">
        <f t="array" ref="CR169">IF($CR$3,INDEX(Eu_tabel_g[[#This Row],[Styrke venstre]:[Styrke tosidet]],CR$7),NA())</f>
        <v>#N/A</v>
      </c>
      <c r="CS169" s="89" t="e">
        <f>Eu_tabel_g[[#This Row],[Falsk positiv
Nulhypotese accepteres
Fejltype 1]]</f>
        <v>#N/A</v>
      </c>
      <c r="CT169" s="89" t="e">
        <f>IF(CHOOSE(CR$7,Eu_tabel_g[[#This Row],[x base]]&gt;0,Eu_tabel_g[[#This Row],[x base]]&lt;0,Eu_tabel_g[[#This Row],[x base]]=0),Eu_tabel_g[[#This Row],[Styrke, aktiv]],NA())</f>
        <v>#N/A</v>
      </c>
      <c r="CU169" s="89" t="e">
        <f>IFERROR(IF($CR$3,Eu_tabel_g[[#This Row],[Styrke, aktiv]],NA()),NA())</f>
        <v>#N/A</v>
      </c>
      <c r="CV169" s="89" t="e">
        <f>IF(ISNA(Eu_tabel_g[[#This Row],[Sand negativ
Nulhypotese afvises
Korrekt]]),NA(),IF($CR$3,1,NA()))</f>
        <v>#N/A</v>
      </c>
      <c r="CW169" s="56" t="str" cm="1">
        <f t="array" ref="CW169">_xlfn.SWITCH(BZ169,_xlfn.IFNA(CU$2,-99),CU$5,_xlfn.IFNA(CU$3,-99),CU$6,_xlfn.IFNA(CU$4,-99),CU$7,"")</f>
        <v/>
      </c>
      <c r="DA169" s="7">
        <f t="shared" si="260"/>
        <v>0.8</v>
      </c>
      <c r="DB169">
        <f>IF(ROW(Styrkeberegning_G[[#This Row],[X base venstre]])=ROW(Styrkeberegning_G[[#Headers],[X base venstre]])+1,DB$7/(DA$7/$B$67),DB168/(DA168/$B$67))</f>
        <v>-2.8015817870135784</v>
      </c>
      <c r="DC169">
        <f>Styrkeberegning_G[[#This Row],[X base venstre]]*-1</f>
        <v>2.8015817870135784</v>
      </c>
      <c r="DN169" s="54">
        <f t="shared" si="261"/>
        <v>159</v>
      </c>
      <c r="DO169" s="54">
        <f t="shared" si="262"/>
        <v>160</v>
      </c>
      <c r="DP169" s="54">
        <f t="shared" si="263"/>
        <v>19.971118834956851</v>
      </c>
      <c r="DQ169" s="54" t="e">
        <f t="shared" si="264"/>
        <v>#N/A</v>
      </c>
      <c r="DR169" s="54" t="e">
        <f t="shared" si="265"/>
        <v>#N/A</v>
      </c>
      <c r="DS169" s="54">
        <f t="shared" si="266"/>
        <v>1.3823425778801282E-2</v>
      </c>
      <c r="DT169" s="54" t="e">
        <f t="shared" si="267"/>
        <v>#N/A</v>
      </c>
      <c r="DU169" s="54" t="b">
        <f t="shared" si="268"/>
        <v>0</v>
      </c>
      <c r="DV169" s="54" t="b">
        <f t="shared" si="269"/>
        <v>1</v>
      </c>
      <c r="DW169" s="54" t="b">
        <f t="shared" si="270"/>
        <v>0</v>
      </c>
      <c r="DX169" s="54" t="b">
        <f t="shared" si="271"/>
        <v>1</v>
      </c>
      <c r="DY169" s="54">
        <f t="shared" si="272"/>
        <v>1.3823425778801282E-2</v>
      </c>
      <c r="DZ169" s="54" t="e">
        <f t="shared" si="273"/>
        <v>#N/A</v>
      </c>
      <c r="EA169" s="54">
        <f t="shared" si="274"/>
        <v>1.3823425778801282E-2</v>
      </c>
      <c r="EB169" s="69" t="str">
        <f t="shared" si="275"/>
        <v/>
      </c>
      <c r="EG169" s="54">
        <f t="shared" si="276"/>
        <v>159</v>
      </c>
      <c r="EH169" s="54">
        <f t="shared" si="277"/>
        <v>160</v>
      </c>
      <c r="EI169" s="54">
        <f t="shared" si="278"/>
        <v>0.71865867585297982</v>
      </c>
      <c r="EJ169" s="54">
        <f t="shared" si="279"/>
        <v>0.30814843527368829</v>
      </c>
      <c r="EK169" s="54" t="e">
        <f t="shared" si="280"/>
        <v>#N/A</v>
      </c>
      <c r="EL169" s="54" t="e">
        <f t="shared" si="281"/>
        <v>#N/A</v>
      </c>
      <c r="EM169" s="54" t="e">
        <f t="shared" si="282"/>
        <v>#N/A</v>
      </c>
      <c r="EN169" s="54" t="b">
        <f t="shared" si="283"/>
        <v>0</v>
      </c>
      <c r="EO169" s="54" t="b">
        <f t="shared" si="284"/>
        <v>1</v>
      </c>
      <c r="EP169" s="54" t="b">
        <f t="shared" si="285"/>
        <v>0</v>
      </c>
      <c r="EQ169" s="54" t="b">
        <f t="shared" si="286"/>
        <v>1</v>
      </c>
      <c r="ER169" s="54">
        <f t="shared" si="287"/>
        <v>0.30814843527368829</v>
      </c>
      <c r="ES169" s="54" t="e">
        <f t="shared" si="288"/>
        <v>#N/A</v>
      </c>
      <c r="ET169" s="54">
        <f t="shared" si="289"/>
        <v>0.30814843527368829</v>
      </c>
      <c r="EU169" s="69" t="str">
        <f t="shared" si="290"/>
        <v/>
      </c>
      <c r="EV16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6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6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69" s="54" t="e" cm="1">
        <f t="array" ref="EY169">IF($CR$3,INDEX(Eu_tabel_a[[#This Row],[Styrke venstre]:[Styrke tosidet]],EY$7),NA())</f>
        <v>#N/A</v>
      </c>
      <c r="EZ169" s="54" t="e">
        <f>IF(EY$3,IF(CHOOSE(EY$7,Eu_tabel_a[[#This Row],[x base]]&gt;0,Eu_tabel_a[[#This Row],[x base]]&lt;0,Eu_tabel_a[[#This Row],[x base]]=0),1,NA()),NA())</f>
        <v>#N/A</v>
      </c>
      <c r="FA169" s="54" t="e">
        <f>IF(CHOOSE(EY$7,Eu_tabel_a[[#This Row],[x base]]&gt;0,Eu_tabel_a[[#This Row],[x base]]&lt;0,Eu_tabel_a[[#This Row],[x base]]=0),Eu_tabel_a[[#This Row],[Styrke, aktiv]],NA())</f>
        <v>#N/A</v>
      </c>
      <c r="FB169" s="54" t="e">
        <f>IFERROR(IF($EY$3,Eu_tabel_a[[#This Row],[Styrke, aktiv]],NA()),NA())</f>
        <v>#N/A</v>
      </c>
      <c r="FC169" s="54" t="e">
        <f>IF(ISNA(Eu_tabel_a[[#This Row],[Sand negativ
Nulhypotese afvises
Korrekt]]),NA(),IF(EY$3,1,NA()))</f>
        <v>#N/A</v>
      </c>
      <c r="FD169" s="55" t="str" cm="1">
        <f t="array" ref="FD169">IFERROR(_xlfn.SWITCH(Eu_tabel_a[[#This Row],[Indeks]],_xlfn.IFNA(FB$2,-99),FB$5,_xlfn.IFNA(FB$3,-99),FB$6,_xlfn.IFNA(FB$4,-99),FB$7,""),"")</f>
        <v/>
      </c>
      <c r="FE169" s="54">
        <f>Eu_tabel_a[[#This Row],[x base]]*SQRT(Eu_a_h0_x*(1-Eu_a_h0_x)/Eu_a_n_x)+Eu_a_h0_x</f>
        <v>0</v>
      </c>
      <c r="FJ169" s="144" t="e">
        <f t="shared" si="234"/>
        <v>#N/A</v>
      </c>
      <c r="FK169" s="152" t="e">
        <f t="shared" si="322"/>
        <v>#DIV/0!</v>
      </c>
      <c r="FL169" s="7" t="e">
        <f t="shared" si="228"/>
        <v>#DIV/0!</v>
      </c>
      <c r="FM169" t="e">
        <f t="shared" si="323"/>
        <v>#DIV/0!</v>
      </c>
      <c r="FN169" s="8" t="e">
        <f t="shared" si="324"/>
        <v>#DIV/0!</v>
      </c>
      <c r="FO169" s="8" t="e">
        <f t="shared" si="325"/>
        <v>#DIV/0!</v>
      </c>
      <c r="FP169" s="151" t="e">
        <f t="shared" si="326"/>
        <v>#DIV/0!</v>
      </c>
      <c r="FQ169" s="144" t="e">
        <f t="shared" ca="1" si="229"/>
        <v>#N/A</v>
      </c>
      <c r="FR169" s="152" t="e" vm="3">
        <f t="shared" ca="1" si="235"/>
        <v>#VALUE!</v>
      </c>
      <c r="FS169" s="7" t="e" vm="3">
        <f t="shared" ca="1" si="230"/>
        <v>#VALUE!</v>
      </c>
      <c r="FT169" t="e" vm="3">
        <f t="shared" ca="1" si="224"/>
        <v>#VALUE!</v>
      </c>
      <c r="FU169" s="8" t="e" vm="3">
        <f t="shared" ca="1" si="225"/>
        <v>#VALUE!</v>
      </c>
      <c r="FV169" s="8" t="e" vm="3">
        <f t="shared" ca="1" si="226"/>
        <v>#VALUE!</v>
      </c>
      <c r="FW169" s="151" t="e" vm="3">
        <f t="shared" ca="1" si="227"/>
        <v>#VALUE!</v>
      </c>
      <c r="FX169" s="144" t="e">
        <f t="shared" si="231"/>
        <v>#N/A</v>
      </c>
      <c r="FY169" s="152" t="e">
        <f t="shared" si="236"/>
        <v>#N/A</v>
      </c>
      <c r="FZ169" s="7" t="e">
        <f t="shared" si="232"/>
        <v>#N/A</v>
      </c>
      <c r="GA169" t="e">
        <f t="shared" si="237"/>
        <v>#N/A</v>
      </c>
      <c r="GB169" s="8" t="e">
        <f t="shared" si="238"/>
        <v>#N/A</v>
      </c>
      <c r="GC169" s="8" t="e">
        <f t="shared" si="239"/>
        <v>#N/A</v>
      </c>
      <c r="GD169" s="151" t="e">
        <f t="shared" si="240"/>
        <v>#N/A</v>
      </c>
      <c r="GE169" s="144" t="e">
        <f t="shared" si="241"/>
        <v>#N/A</v>
      </c>
      <c r="GF169" s="152" t="e">
        <f t="shared" si="242"/>
        <v>#N/A</v>
      </c>
      <c r="GG169" s="7" t="e">
        <f t="shared" si="233"/>
        <v>#N/A</v>
      </c>
      <c r="GH169" t="e">
        <f t="shared" si="243"/>
        <v>#N/A</v>
      </c>
      <c r="GI169" s="8" t="e">
        <f t="shared" si="244"/>
        <v>#N/A</v>
      </c>
      <c r="GJ169" s="8" t="e">
        <f t="shared" si="245"/>
        <v>#N/A</v>
      </c>
      <c r="GK169" s="151" t="e">
        <f t="shared" si="246"/>
        <v>#N/A</v>
      </c>
      <c r="GL169" s="151"/>
      <c r="GM169" s="151"/>
      <c r="GP169" s="54">
        <f t="shared" si="291"/>
        <v>159</v>
      </c>
      <c r="GQ169" s="54">
        <f t="shared" si="292"/>
        <v>160</v>
      </c>
      <c r="GR169" s="54">
        <f t="shared" si="293"/>
        <v>0.71865867585297982</v>
      </c>
      <c r="GS169" s="54">
        <f t="shared" si="294"/>
        <v>0.30814843527368829</v>
      </c>
      <c r="GT169" s="54" t="e">
        <f t="shared" si="295"/>
        <v>#N/A</v>
      </c>
      <c r="GU169" s="54" t="e">
        <f t="shared" si="296"/>
        <v>#N/A</v>
      </c>
      <c r="GV169" s="54" t="e">
        <f t="shared" si="297"/>
        <v>#N/A</v>
      </c>
      <c r="GW169" s="54" t="b">
        <f t="shared" si="298"/>
        <v>0</v>
      </c>
      <c r="GX169" s="54" t="b">
        <f t="shared" si="299"/>
        <v>1</v>
      </c>
      <c r="GY169" s="54" t="b">
        <f t="shared" si="300"/>
        <v>0</v>
      </c>
      <c r="GZ169" s="54" t="b">
        <f t="shared" si="301"/>
        <v>1</v>
      </c>
      <c r="HA169" s="54">
        <f t="shared" si="302"/>
        <v>0.30814843527368829</v>
      </c>
      <c r="HB169" s="54" t="e">
        <f t="shared" si="303"/>
        <v>#N/A</v>
      </c>
      <c r="HC169" s="54">
        <f t="shared" si="304"/>
        <v>0.30814843527368829</v>
      </c>
      <c r="HD169" s="69" t="str">
        <f t="shared" si="305"/>
        <v/>
      </c>
      <c r="HJ169" s="54">
        <f t="shared" si="306"/>
        <v>159</v>
      </c>
      <c r="HK169" s="54">
        <f t="shared" si="307"/>
        <v>160</v>
      </c>
      <c r="HL169" s="54">
        <f t="shared" si="308"/>
        <v>1.1128580531717054</v>
      </c>
      <c r="HM169" s="54" t="e">
        <f t="shared" si="309"/>
        <v>#N/A</v>
      </c>
      <c r="HN169" s="54">
        <f t="shared" si="310"/>
        <v>0.20065988647559618</v>
      </c>
      <c r="HO169" s="54" t="e">
        <f t="shared" si="311"/>
        <v>#N/A</v>
      </c>
      <c r="HP169" s="54" t="e">
        <f t="shared" si="312"/>
        <v>#N/A</v>
      </c>
      <c r="HQ169" s="54" t="b">
        <f t="shared" si="313"/>
        <v>1</v>
      </c>
      <c r="HR169" s="54" t="b">
        <f t="shared" si="314"/>
        <v>0</v>
      </c>
      <c r="HS169" s="54" t="b">
        <f t="shared" si="315"/>
        <v>0</v>
      </c>
      <c r="HT169" s="54" t="b">
        <f t="shared" si="316"/>
        <v>1</v>
      </c>
      <c r="HU169" s="54">
        <f t="shared" si="317"/>
        <v>0.20065988647559618</v>
      </c>
      <c r="HV169" s="54">
        <f t="shared" si="318"/>
        <v>0.20065988647559618</v>
      </c>
      <c r="HW169" s="54" t="e">
        <f t="shared" si="319"/>
        <v>#N/A</v>
      </c>
      <c r="HX169" s="69" t="str">
        <f t="shared" si="320"/>
        <v/>
      </c>
    </row>
    <row r="170" spans="78:232" x14ac:dyDescent="0.2">
      <c r="BZ170" s="54">
        <f t="shared" si="247"/>
        <v>160</v>
      </c>
      <c r="CA170" s="54">
        <f>Eu_tabel_g[[#This Row],[Indeks]]+1</f>
        <v>161</v>
      </c>
      <c r="CB170" s="54">
        <f t="shared" si="248"/>
        <v>0.74261396504807919</v>
      </c>
      <c r="CC170" s="54">
        <f t="shared" si="249"/>
        <v>0.30280196023421319</v>
      </c>
      <c r="CD170" s="54" t="e">
        <f t="shared" si="250"/>
        <v>#N/A</v>
      </c>
      <c r="CE170" s="54" t="e">
        <f t="shared" si="251"/>
        <v>#N/A</v>
      </c>
      <c r="CF170" s="54" t="e">
        <f t="shared" si="252"/>
        <v>#N/A</v>
      </c>
      <c r="CG170" s="54" t="b">
        <f t="shared" si="253"/>
        <v>0</v>
      </c>
      <c r="CH170" s="54" t="b">
        <f t="shared" si="254"/>
        <v>1</v>
      </c>
      <c r="CI170" s="54" t="b">
        <f t="shared" si="255"/>
        <v>0</v>
      </c>
      <c r="CJ170" s="54" t="b">
        <f t="shared" si="256"/>
        <v>1</v>
      </c>
      <c r="CK170" s="54">
        <f t="shared" si="321"/>
        <v>0.30280196023421319</v>
      </c>
      <c r="CL170" s="54" t="e">
        <f t="shared" si="257"/>
        <v>#N/A</v>
      </c>
      <c r="CM170" s="54">
        <f t="shared" si="258"/>
        <v>0.30280196023421319</v>
      </c>
      <c r="CN170" s="69" t="str">
        <f t="shared" si="259"/>
        <v/>
      </c>
      <c r="CO170" s="54">
        <f>_xlfn.NORM.DIST(_xlfn.NORM.INV(1-Eu_g_konfidensniveau,0,1)-Eu_tabel_g[[#This Row],[x base]],0,1,TRUE)</f>
        <v>8.4824492137562831E-3</v>
      </c>
      <c r="CP170" s="54">
        <f>1-_xlfn.NORM.DIST(_xlfn.NORM.INV(Eu_g_konfidensniveau,0,1)-Eu_tabel_g[[#This Row],[x base]],0,1,TRUE)</f>
        <v>0.18346478506147446</v>
      </c>
      <c r="CQ170" s="54">
        <f>_xlfn.NORM.DIST(_xlfn.NORM.INV((1-Eu_g_konfidensniveau)/2,0,1)-Eu_tabel_g[[#This Row],[x base]],0,1,TRUE)+1-_xlfn.NORM.DIST(_xlfn.NORM.INV(1-(1-Eu_g_konfidensniveau)/2,0,1)-Eu_tabel_g[[#This Row],[x base]],0,1,TRUE)</f>
        <v>0.11517573781410362</v>
      </c>
      <c r="CR170" s="54" t="e" cm="1">
        <f t="array" ref="CR170">IF($CR$3,INDEX(Eu_tabel_g[[#This Row],[Styrke venstre]:[Styrke tosidet]],CR$7),NA())</f>
        <v>#N/A</v>
      </c>
      <c r="CS170" s="89" t="e">
        <f>Eu_tabel_g[[#This Row],[Falsk positiv
Nulhypotese accepteres
Fejltype 1]]</f>
        <v>#N/A</v>
      </c>
      <c r="CT170" s="89" t="e">
        <f>IF(CHOOSE(CR$7,Eu_tabel_g[[#This Row],[x base]]&gt;0,Eu_tabel_g[[#This Row],[x base]]&lt;0,Eu_tabel_g[[#This Row],[x base]]=0),Eu_tabel_g[[#This Row],[Styrke, aktiv]],NA())</f>
        <v>#N/A</v>
      </c>
      <c r="CU170" s="89" t="e">
        <f>IFERROR(IF($CR$3,Eu_tabel_g[[#This Row],[Styrke, aktiv]],NA()),NA())</f>
        <v>#N/A</v>
      </c>
      <c r="CV170" s="89" t="e">
        <f>IF(ISNA(Eu_tabel_g[[#This Row],[Sand negativ
Nulhypotese afvises
Korrekt]]),NA(),IF($CR$3,1,NA()))</f>
        <v>#N/A</v>
      </c>
      <c r="CW170" s="56" t="str" cm="1">
        <f t="array" ref="CW170">_xlfn.SWITCH(BZ170,_xlfn.IFNA(CU$2,-99),CU$5,_xlfn.IFNA(CU$3,-99),CU$6,_xlfn.IFNA(CU$4,-99),CU$7,"")</f>
        <v/>
      </c>
      <c r="DA170" s="7">
        <f t="shared" si="260"/>
        <v>0.8</v>
      </c>
      <c r="DB170">
        <f>IF(ROW(Styrkeberegning_G[[#This Row],[X base venstre]])=ROW(Styrkeberegning_G[[#Headers],[X base venstre]])+1,DB$7/(DA$7/$B$67),DB169/(DA169/$B$67))</f>
        <v>-2.8015817870135784</v>
      </c>
      <c r="DC170">
        <f>Styrkeberegning_G[[#This Row],[X base venstre]]*-1</f>
        <v>2.8015817870135784</v>
      </c>
      <c r="DN170" s="54">
        <f t="shared" si="261"/>
        <v>160</v>
      </c>
      <c r="DO170" s="54">
        <f t="shared" si="262"/>
        <v>161</v>
      </c>
      <c r="DP170" s="54">
        <f t="shared" si="263"/>
        <v>20.085189691373852</v>
      </c>
      <c r="DQ170" s="54" t="e">
        <f t="shared" si="264"/>
        <v>#N/A</v>
      </c>
      <c r="DR170" s="54" t="e">
        <f t="shared" si="265"/>
        <v>#N/A</v>
      </c>
      <c r="DS170" s="54">
        <f t="shared" si="266"/>
        <v>1.3396040490129536E-2</v>
      </c>
      <c r="DT170" s="54" t="e">
        <f t="shared" si="267"/>
        <v>#N/A</v>
      </c>
      <c r="DU170" s="54" t="b">
        <f t="shared" si="268"/>
        <v>0</v>
      </c>
      <c r="DV170" s="54" t="b">
        <f t="shared" si="269"/>
        <v>1</v>
      </c>
      <c r="DW170" s="54" t="b">
        <f t="shared" si="270"/>
        <v>0</v>
      </c>
      <c r="DX170" s="54" t="b">
        <f t="shared" si="271"/>
        <v>1</v>
      </c>
      <c r="DY170" s="54">
        <f t="shared" si="272"/>
        <v>1.3396040490129536E-2</v>
      </c>
      <c r="DZ170" s="54" t="e">
        <f t="shared" si="273"/>
        <v>#N/A</v>
      </c>
      <c r="EA170" s="54">
        <f t="shared" si="274"/>
        <v>1.3396040490129536E-2</v>
      </c>
      <c r="EB170" s="69" t="str">
        <f t="shared" si="275"/>
        <v/>
      </c>
      <c r="EG170" s="54">
        <f t="shared" si="276"/>
        <v>160</v>
      </c>
      <c r="EH170" s="54">
        <f t="shared" si="277"/>
        <v>161</v>
      </c>
      <c r="EI170" s="54">
        <f t="shared" si="278"/>
        <v>0.74261396504807919</v>
      </c>
      <c r="EJ170" s="54">
        <f t="shared" si="279"/>
        <v>0.30280196023421319</v>
      </c>
      <c r="EK170" s="54" t="e">
        <f t="shared" si="280"/>
        <v>#N/A</v>
      </c>
      <c r="EL170" s="54" t="e">
        <f t="shared" si="281"/>
        <v>#N/A</v>
      </c>
      <c r="EM170" s="54" t="e">
        <f t="shared" si="282"/>
        <v>#N/A</v>
      </c>
      <c r="EN170" s="54" t="b">
        <f t="shared" si="283"/>
        <v>0</v>
      </c>
      <c r="EO170" s="54" t="b">
        <f t="shared" si="284"/>
        <v>1</v>
      </c>
      <c r="EP170" s="54" t="b">
        <f t="shared" si="285"/>
        <v>0</v>
      </c>
      <c r="EQ170" s="54" t="b">
        <f t="shared" si="286"/>
        <v>1</v>
      </c>
      <c r="ER170" s="54">
        <f t="shared" si="287"/>
        <v>0.30280196023421319</v>
      </c>
      <c r="ES170" s="54" t="e">
        <f t="shared" si="288"/>
        <v>#N/A</v>
      </c>
      <c r="ET170" s="54">
        <f t="shared" si="289"/>
        <v>0.30280196023421319</v>
      </c>
      <c r="EU170" s="69" t="str">
        <f t="shared" si="290"/>
        <v/>
      </c>
      <c r="EV17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7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7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70" s="54" t="e" cm="1">
        <f t="array" ref="EY170">IF($CR$3,INDEX(Eu_tabel_a[[#This Row],[Styrke venstre]:[Styrke tosidet]],EY$7),NA())</f>
        <v>#N/A</v>
      </c>
      <c r="EZ170" s="54" t="e">
        <f>IF(EY$3,IF(CHOOSE(EY$7,Eu_tabel_a[[#This Row],[x base]]&gt;0,Eu_tabel_a[[#This Row],[x base]]&lt;0,Eu_tabel_a[[#This Row],[x base]]=0),1,NA()),NA())</f>
        <v>#N/A</v>
      </c>
      <c r="FA170" s="54" t="e">
        <f>IF(CHOOSE(EY$7,Eu_tabel_a[[#This Row],[x base]]&gt;0,Eu_tabel_a[[#This Row],[x base]]&lt;0,Eu_tabel_a[[#This Row],[x base]]=0),Eu_tabel_a[[#This Row],[Styrke, aktiv]],NA())</f>
        <v>#N/A</v>
      </c>
      <c r="FB170" s="54" t="e">
        <f>IFERROR(IF($EY$3,Eu_tabel_a[[#This Row],[Styrke, aktiv]],NA()),NA())</f>
        <v>#N/A</v>
      </c>
      <c r="FC170" s="54" t="e">
        <f>IF(ISNA(Eu_tabel_a[[#This Row],[Sand negativ
Nulhypotese afvises
Korrekt]]),NA(),IF(EY$3,1,NA()))</f>
        <v>#N/A</v>
      </c>
      <c r="FD170" s="55" t="str" cm="1">
        <f t="array" ref="FD170">IFERROR(_xlfn.SWITCH(Eu_tabel_a[[#This Row],[Indeks]],_xlfn.IFNA(FB$2,-99),FB$5,_xlfn.IFNA(FB$3,-99),FB$6,_xlfn.IFNA(FB$4,-99),FB$7,""),"")</f>
        <v/>
      </c>
      <c r="FE170" s="54">
        <f>Eu_tabel_a[[#This Row],[x base]]*SQRT(Eu_a_h0_x*(1-Eu_a_h0_x)/Eu_a_n_x)+Eu_a_h0_x</f>
        <v>0</v>
      </c>
      <c r="FJ170" s="144" t="e">
        <f t="shared" si="234"/>
        <v>#N/A</v>
      </c>
      <c r="FK170" s="152" t="e">
        <f t="shared" si="322"/>
        <v>#DIV/0!</v>
      </c>
      <c r="FL170" s="7" t="e">
        <f t="shared" si="228"/>
        <v>#DIV/0!</v>
      </c>
      <c r="FM170" t="e">
        <f t="shared" si="323"/>
        <v>#DIV/0!</v>
      </c>
      <c r="FN170" s="8" t="e">
        <f t="shared" si="324"/>
        <v>#DIV/0!</v>
      </c>
      <c r="FO170" s="8" t="e">
        <f t="shared" si="325"/>
        <v>#DIV/0!</v>
      </c>
      <c r="FP170" s="151" t="e">
        <f t="shared" si="326"/>
        <v>#DIV/0!</v>
      </c>
      <c r="FQ170" s="144" t="e">
        <f t="shared" ca="1" si="229"/>
        <v>#N/A</v>
      </c>
      <c r="FR170" s="152" t="e" vm="3">
        <f t="shared" ca="1" si="235"/>
        <v>#VALUE!</v>
      </c>
      <c r="FS170" s="7" t="e" vm="3">
        <f t="shared" ca="1" si="230"/>
        <v>#VALUE!</v>
      </c>
      <c r="FT170" t="e" vm="3">
        <f t="shared" ca="1" si="224"/>
        <v>#VALUE!</v>
      </c>
      <c r="FU170" s="8" t="e" vm="3">
        <f t="shared" ca="1" si="225"/>
        <v>#VALUE!</v>
      </c>
      <c r="FV170" s="8" t="e" vm="3">
        <f t="shared" ca="1" si="226"/>
        <v>#VALUE!</v>
      </c>
      <c r="FW170" s="151" t="e" vm="3">
        <f t="shared" ca="1" si="227"/>
        <v>#VALUE!</v>
      </c>
      <c r="FX170" s="144" t="e">
        <f t="shared" si="231"/>
        <v>#N/A</v>
      </c>
      <c r="FY170" s="152" t="e">
        <f t="shared" si="236"/>
        <v>#N/A</v>
      </c>
      <c r="FZ170" s="7" t="e">
        <f t="shared" si="232"/>
        <v>#N/A</v>
      </c>
      <c r="GA170" t="e">
        <f t="shared" si="237"/>
        <v>#N/A</v>
      </c>
      <c r="GB170" s="8" t="e">
        <f t="shared" si="238"/>
        <v>#N/A</v>
      </c>
      <c r="GC170" s="8" t="e">
        <f t="shared" si="239"/>
        <v>#N/A</v>
      </c>
      <c r="GD170" s="151" t="e">
        <f t="shared" si="240"/>
        <v>#N/A</v>
      </c>
      <c r="GE170" s="144" t="e">
        <f t="shared" si="241"/>
        <v>#N/A</v>
      </c>
      <c r="GF170" s="152" t="e">
        <f t="shared" si="242"/>
        <v>#N/A</v>
      </c>
      <c r="GG170" s="7" t="e">
        <f t="shared" si="233"/>
        <v>#N/A</v>
      </c>
      <c r="GH170" t="e">
        <f t="shared" si="243"/>
        <v>#N/A</v>
      </c>
      <c r="GI170" s="8" t="e">
        <f t="shared" si="244"/>
        <v>#N/A</v>
      </c>
      <c r="GJ170" s="8" t="e">
        <f t="shared" si="245"/>
        <v>#N/A</v>
      </c>
      <c r="GK170" s="151" t="e">
        <f t="shared" si="246"/>
        <v>#N/A</v>
      </c>
      <c r="GL170" s="151"/>
      <c r="GM170" s="151"/>
      <c r="GP170" s="54">
        <f t="shared" si="291"/>
        <v>160</v>
      </c>
      <c r="GQ170" s="54">
        <f t="shared" si="292"/>
        <v>161</v>
      </c>
      <c r="GR170" s="54">
        <f t="shared" si="293"/>
        <v>0.74261396504807919</v>
      </c>
      <c r="GS170" s="54">
        <f t="shared" si="294"/>
        <v>0.30280196023421319</v>
      </c>
      <c r="GT170" s="54" t="e">
        <f t="shared" si="295"/>
        <v>#N/A</v>
      </c>
      <c r="GU170" s="54" t="e">
        <f t="shared" si="296"/>
        <v>#N/A</v>
      </c>
      <c r="GV170" s="54" t="e">
        <f t="shared" si="297"/>
        <v>#N/A</v>
      </c>
      <c r="GW170" s="54" t="b">
        <f t="shared" si="298"/>
        <v>0</v>
      </c>
      <c r="GX170" s="54" t="b">
        <f t="shared" si="299"/>
        <v>1</v>
      </c>
      <c r="GY170" s="54" t="b">
        <f t="shared" si="300"/>
        <v>0</v>
      </c>
      <c r="GZ170" s="54" t="b">
        <f t="shared" si="301"/>
        <v>1</v>
      </c>
      <c r="HA170" s="54">
        <f t="shared" si="302"/>
        <v>0.30280196023421319</v>
      </c>
      <c r="HB170" s="54" t="e">
        <f t="shared" si="303"/>
        <v>#N/A</v>
      </c>
      <c r="HC170" s="54">
        <f t="shared" si="304"/>
        <v>0.30280196023421319</v>
      </c>
      <c r="HD170" s="69" t="str">
        <f t="shared" si="305"/>
        <v/>
      </c>
      <c r="HJ170" s="54">
        <f t="shared" si="306"/>
        <v>160</v>
      </c>
      <c r="HK170" s="54">
        <f t="shared" si="307"/>
        <v>161</v>
      </c>
      <c r="HL170" s="54">
        <f t="shared" si="308"/>
        <v>1.1499533216107629</v>
      </c>
      <c r="HM170" s="54" t="e">
        <f t="shared" si="309"/>
        <v>#N/A</v>
      </c>
      <c r="HN170" s="54">
        <f t="shared" si="310"/>
        <v>0.19268612352727185</v>
      </c>
      <c r="HO170" s="54" t="e">
        <f t="shared" si="311"/>
        <v>#N/A</v>
      </c>
      <c r="HP170" s="54" t="e">
        <f t="shared" si="312"/>
        <v>#N/A</v>
      </c>
      <c r="HQ170" s="54" t="b">
        <f t="shared" si="313"/>
        <v>1</v>
      </c>
      <c r="HR170" s="54" t="b">
        <f t="shared" si="314"/>
        <v>0</v>
      </c>
      <c r="HS170" s="54" t="b">
        <f t="shared" si="315"/>
        <v>0</v>
      </c>
      <c r="HT170" s="54" t="b">
        <f t="shared" si="316"/>
        <v>1</v>
      </c>
      <c r="HU170" s="54">
        <f t="shared" si="317"/>
        <v>0.19268612352727185</v>
      </c>
      <c r="HV170" s="54">
        <f t="shared" si="318"/>
        <v>0.19268612352727185</v>
      </c>
      <c r="HW170" s="54" t="e">
        <f t="shared" si="319"/>
        <v>#N/A</v>
      </c>
      <c r="HX170" s="69" t="str">
        <f t="shared" si="320"/>
        <v/>
      </c>
    </row>
    <row r="171" spans="78:232" x14ac:dyDescent="0.2">
      <c r="BZ171" s="54">
        <f t="shared" si="247"/>
        <v>161</v>
      </c>
      <c r="CA171" s="54">
        <f>Eu_tabel_g[[#This Row],[Indeks]]+1</f>
        <v>162</v>
      </c>
      <c r="CB171" s="54">
        <f t="shared" si="248"/>
        <v>0.76656925424317857</v>
      </c>
      <c r="CC171" s="54">
        <f t="shared" si="249"/>
        <v>0.29737754743782796</v>
      </c>
      <c r="CD171" s="54" t="e">
        <f t="shared" si="250"/>
        <v>#N/A</v>
      </c>
      <c r="CE171" s="54" t="e">
        <f t="shared" si="251"/>
        <v>#N/A</v>
      </c>
      <c r="CF171" s="54" t="e">
        <f t="shared" si="252"/>
        <v>#N/A</v>
      </c>
      <c r="CG171" s="54" t="b">
        <f t="shared" si="253"/>
        <v>0</v>
      </c>
      <c r="CH171" s="54" t="b">
        <f t="shared" si="254"/>
        <v>1</v>
      </c>
      <c r="CI171" s="54" t="b">
        <f t="shared" si="255"/>
        <v>0</v>
      </c>
      <c r="CJ171" s="54" t="b">
        <f t="shared" si="256"/>
        <v>1</v>
      </c>
      <c r="CK171" s="54">
        <f t="shared" si="321"/>
        <v>0.29737754743782796</v>
      </c>
      <c r="CL171" s="54" t="e">
        <f t="shared" si="257"/>
        <v>#N/A</v>
      </c>
      <c r="CM171" s="54">
        <f t="shared" si="258"/>
        <v>0.29737754743782796</v>
      </c>
      <c r="CN171" s="69" t="str">
        <f t="shared" si="259"/>
        <v/>
      </c>
      <c r="CO171" s="54">
        <f>_xlfn.NORM.DIST(_xlfn.NORM.INV(1-Eu_g_konfidensniveau,0,1)-Eu_tabel_g[[#This Row],[x base]],0,1,TRUE)</f>
        <v>7.9452059958896593E-3</v>
      </c>
      <c r="CP171" s="54">
        <f>1-_xlfn.NORM.DIST(_xlfn.NORM.INV(Eu_g_konfidensniveau,0,1)-Eu_tabel_g[[#This Row],[x base]],0,1,TRUE)</f>
        <v>0.1898947071395547</v>
      </c>
      <c r="CQ171" s="54">
        <f>_xlfn.NORM.DIST(_xlfn.NORM.INV((1-Eu_g_konfidensniveau)/2,0,1)-Eu_tabel_g[[#This Row],[x base]],0,1,TRUE)+1-_xlfn.NORM.DIST(_xlfn.NORM.INV(1-(1-Eu_g_konfidensniveau)/2,0,1)-Eu_tabel_g[[#This Row],[x base]],0,1,TRUE)</f>
        <v>0.11955758421374829</v>
      </c>
      <c r="CR171" s="54" t="e" cm="1">
        <f t="array" ref="CR171">IF($CR$3,INDEX(Eu_tabel_g[[#This Row],[Styrke venstre]:[Styrke tosidet]],CR$7),NA())</f>
        <v>#N/A</v>
      </c>
      <c r="CS171" s="89" t="e">
        <f>Eu_tabel_g[[#This Row],[Falsk positiv
Nulhypotese accepteres
Fejltype 1]]</f>
        <v>#N/A</v>
      </c>
      <c r="CT171" s="89" t="e">
        <f>IF(CHOOSE(CR$7,Eu_tabel_g[[#This Row],[x base]]&gt;0,Eu_tabel_g[[#This Row],[x base]]&lt;0,Eu_tabel_g[[#This Row],[x base]]=0),Eu_tabel_g[[#This Row],[Styrke, aktiv]],NA())</f>
        <v>#N/A</v>
      </c>
      <c r="CU171" s="89" t="e">
        <f>IFERROR(IF($CR$3,Eu_tabel_g[[#This Row],[Styrke, aktiv]],NA()),NA())</f>
        <v>#N/A</v>
      </c>
      <c r="CV171" s="89" t="e">
        <f>IF(ISNA(Eu_tabel_g[[#This Row],[Sand negativ
Nulhypotese afvises
Korrekt]]),NA(),IF($CR$3,1,NA()))</f>
        <v>#N/A</v>
      </c>
      <c r="CW171" s="56" t="str" cm="1">
        <f t="array" ref="CW171">_xlfn.SWITCH(BZ171,_xlfn.IFNA(CU$2,-99),CU$5,_xlfn.IFNA(CU$3,-99),CU$6,_xlfn.IFNA(CU$4,-99),CU$7,"")</f>
        <v/>
      </c>
      <c r="DA171" s="7">
        <f t="shared" si="260"/>
        <v>0.8</v>
      </c>
      <c r="DB171">
        <f>IF(ROW(Styrkeberegning_G[[#This Row],[X base venstre]])=ROW(Styrkeberegning_G[[#Headers],[X base venstre]])+1,DB$7/(DA$7/$B$67),DB170/(DA170/$B$67))</f>
        <v>-2.8015817870135784</v>
      </c>
      <c r="DC171">
        <f>Styrkeberegning_G[[#This Row],[X base venstre]]*-1</f>
        <v>2.8015817870135784</v>
      </c>
      <c r="DN171" s="54">
        <f t="shared" si="261"/>
        <v>161</v>
      </c>
      <c r="DO171" s="54">
        <f t="shared" si="262"/>
        <v>162</v>
      </c>
      <c r="DP171" s="54">
        <f t="shared" si="263"/>
        <v>20.199260547790853</v>
      </c>
      <c r="DQ171" s="54" t="e">
        <f t="shared" si="264"/>
        <v>#N/A</v>
      </c>
      <c r="DR171" s="54" t="e">
        <f t="shared" si="265"/>
        <v>#N/A</v>
      </c>
      <c r="DS171" s="54">
        <f t="shared" si="266"/>
        <v>1.2979984689798841E-2</v>
      </c>
      <c r="DT171" s="54" t="e">
        <f t="shared" si="267"/>
        <v>#N/A</v>
      </c>
      <c r="DU171" s="54" t="b">
        <f t="shared" si="268"/>
        <v>0</v>
      </c>
      <c r="DV171" s="54" t="b">
        <f t="shared" si="269"/>
        <v>1</v>
      </c>
      <c r="DW171" s="54" t="b">
        <f t="shared" si="270"/>
        <v>0</v>
      </c>
      <c r="DX171" s="54" t="b">
        <f t="shared" si="271"/>
        <v>1</v>
      </c>
      <c r="DY171" s="54">
        <f t="shared" si="272"/>
        <v>1.2979984689798841E-2</v>
      </c>
      <c r="DZ171" s="54" t="e">
        <f t="shared" si="273"/>
        <v>#N/A</v>
      </c>
      <c r="EA171" s="54">
        <f t="shared" si="274"/>
        <v>1.2979984689798841E-2</v>
      </c>
      <c r="EB171" s="69" t="str">
        <f t="shared" si="275"/>
        <v/>
      </c>
      <c r="EG171" s="54">
        <f t="shared" si="276"/>
        <v>161</v>
      </c>
      <c r="EH171" s="54">
        <f t="shared" si="277"/>
        <v>162</v>
      </c>
      <c r="EI171" s="54">
        <f t="shared" si="278"/>
        <v>0.76656925424317857</v>
      </c>
      <c r="EJ171" s="54">
        <f t="shared" si="279"/>
        <v>0.29737754743782796</v>
      </c>
      <c r="EK171" s="54" t="e">
        <f t="shared" si="280"/>
        <v>#N/A</v>
      </c>
      <c r="EL171" s="54" t="e">
        <f t="shared" si="281"/>
        <v>#N/A</v>
      </c>
      <c r="EM171" s="54" t="e">
        <f t="shared" si="282"/>
        <v>#N/A</v>
      </c>
      <c r="EN171" s="54" t="b">
        <f t="shared" si="283"/>
        <v>0</v>
      </c>
      <c r="EO171" s="54" t="b">
        <f t="shared" si="284"/>
        <v>1</v>
      </c>
      <c r="EP171" s="54" t="b">
        <f t="shared" si="285"/>
        <v>0</v>
      </c>
      <c r="EQ171" s="54" t="b">
        <f t="shared" si="286"/>
        <v>1</v>
      </c>
      <c r="ER171" s="54">
        <f t="shared" si="287"/>
        <v>0.29737754743782796</v>
      </c>
      <c r="ES171" s="54" t="e">
        <f t="shared" si="288"/>
        <v>#N/A</v>
      </c>
      <c r="ET171" s="54">
        <f t="shared" si="289"/>
        <v>0.29737754743782796</v>
      </c>
      <c r="EU171" s="69" t="str">
        <f t="shared" si="290"/>
        <v/>
      </c>
      <c r="EV17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7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7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71" s="54" t="e" cm="1">
        <f t="array" ref="EY171">IF($CR$3,INDEX(Eu_tabel_a[[#This Row],[Styrke venstre]:[Styrke tosidet]],EY$7),NA())</f>
        <v>#N/A</v>
      </c>
      <c r="EZ171" s="54" t="e">
        <f>IF(EY$3,IF(CHOOSE(EY$7,Eu_tabel_a[[#This Row],[x base]]&gt;0,Eu_tabel_a[[#This Row],[x base]]&lt;0,Eu_tabel_a[[#This Row],[x base]]=0),1,NA()),NA())</f>
        <v>#N/A</v>
      </c>
      <c r="FA171" s="54" t="e">
        <f>IF(CHOOSE(EY$7,Eu_tabel_a[[#This Row],[x base]]&gt;0,Eu_tabel_a[[#This Row],[x base]]&lt;0,Eu_tabel_a[[#This Row],[x base]]=0),Eu_tabel_a[[#This Row],[Styrke, aktiv]],NA())</f>
        <v>#N/A</v>
      </c>
      <c r="FB171" s="54" t="e">
        <f>IFERROR(IF($EY$3,Eu_tabel_a[[#This Row],[Styrke, aktiv]],NA()),NA())</f>
        <v>#N/A</v>
      </c>
      <c r="FC171" s="54" t="e">
        <f>IF(ISNA(Eu_tabel_a[[#This Row],[Sand negativ
Nulhypotese afvises
Korrekt]]),NA(),IF(EY$3,1,NA()))</f>
        <v>#N/A</v>
      </c>
      <c r="FD171" s="55" t="str" cm="1">
        <f t="array" ref="FD171">IFERROR(_xlfn.SWITCH(Eu_tabel_a[[#This Row],[Indeks]],_xlfn.IFNA(FB$2,-99),FB$5,_xlfn.IFNA(FB$3,-99),FB$6,_xlfn.IFNA(FB$4,-99),FB$7,""),"")</f>
        <v/>
      </c>
      <c r="FE171" s="54">
        <f>Eu_tabel_a[[#This Row],[x base]]*SQRT(Eu_a_h0_x*(1-Eu_a_h0_x)/Eu_a_n_x)+Eu_a_h0_x</f>
        <v>0</v>
      </c>
      <c r="FJ171" s="144" t="e">
        <f t="shared" si="234"/>
        <v>#N/A</v>
      </c>
      <c r="FK171" s="152" t="e">
        <f t="shared" si="322"/>
        <v>#DIV/0!</v>
      </c>
      <c r="FL171" s="7" t="e">
        <f t="shared" si="228"/>
        <v>#DIV/0!</v>
      </c>
      <c r="FM171" t="e">
        <f t="shared" si="323"/>
        <v>#DIV/0!</v>
      </c>
      <c r="FN171" s="8" t="e">
        <f t="shared" si="324"/>
        <v>#DIV/0!</v>
      </c>
      <c r="FO171" s="8" t="e">
        <f t="shared" si="325"/>
        <v>#DIV/0!</v>
      </c>
      <c r="FP171" s="151" t="e">
        <f t="shared" si="326"/>
        <v>#DIV/0!</v>
      </c>
      <c r="FQ171" s="144" t="e">
        <f t="shared" ca="1" si="229"/>
        <v>#N/A</v>
      </c>
      <c r="FR171" s="152" t="e" vm="3">
        <f t="shared" ca="1" si="235"/>
        <v>#VALUE!</v>
      </c>
      <c r="FS171" s="7" t="e" vm="3">
        <f t="shared" ca="1" si="230"/>
        <v>#VALUE!</v>
      </c>
      <c r="FT171" t="e" vm="3">
        <f t="shared" ca="1" si="224"/>
        <v>#VALUE!</v>
      </c>
      <c r="FU171" s="8" t="e" vm="3">
        <f t="shared" ca="1" si="225"/>
        <v>#VALUE!</v>
      </c>
      <c r="FV171" s="8" t="e" vm="3">
        <f t="shared" ca="1" si="226"/>
        <v>#VALUE!</v>
      </c>
      <c r="FW171" s="151" t="e" vm="3">
        <f t="shared" ca="1" si="227"/>
        <v>#VALUE!</v>
      </c>
      <c r="FX171" s="144" t="e">
        <f t="shared" si="231"/>
        <v>#N/A</v>
      </c>
      <c r="FY171" s="152" t="e">
        <f t="shared" si="236"/>
        <v>#N/A</v>
      </c>
      <c r="FZ171" s="7" t="e">
        <f t="shared" si="232"/>
        <v>#N/A</v>
      </c>
      <c r="GA171" t="e">
        <f t="shared" si="237"/>
        <v>#N/A</v>
      </c>
      <c r="GB171" s="8" t="e">
        <f t="shared" si="238"/>
        <v>#N/A</v>
      </c>
      <c r="GC171" s="8" t="e">
        <f t="shared" si="239"/>
        <v>#N/A</v>
      </c>
      <c r="GD171" s="151" t="e">
        <f t="shared" si="240"/>
        <v>#N/A</v>
      </c>
      <c r="GE171" s="144" t="e">
        <f t="shared" si="241"/>
        <v>#N/A</v>
      </c>
      <c r="GF171" s="152" t="e">
        <f t="shared" si="242"/>
        <v>#N/A</v>
      </c>
      <c r="GG171" s="7" t="e">
        <f t="shared" si="233"/>
        <v>#N/A</v>
      </c>
      <c r="GH171" t="e">
        <f t="shared" si="243"/>
        <v>#N/A</v>
      </c>
      <c r="GI171" s="8" t="e">
        <f t="shared" si="244"/>
        <v>#N/A</v>
      </c>
      <c r="GJ171" s="8" t="e">
        <f t="shared" si="245"/>
        <v>#N/A</v>
      </c>
      <c r="GK171" s="151" t="e">
        <f t="shared" si="246"/>
        <v>#N/A</v>
      </c>
      <c r="GL171" s="151"/>
      <c r="GM171" s="151"/>
      <c r="GP171" s="54">
        <f t="shared" si="291"/>
        <v>161</v>
      </c>
      <c r="GQ171" s="54">
        <f t="shared" si="292"/>
        <v>162</v>
      </c>
      <c r="GR171" s="54">
        <f t="shared" si="293"/>
        <v>0.76656925424317857</v>
      </c>
      <c r="GS171" s="54">
        <f t="shared" si="294"/>
        <v>0.29737754743782796</v>
      </c>
      <c r="GT171" s="54" t="e">
        <f t="shared" si="295"/>
        <v>#N/A</v>
      </c>
      <c r="GU171" s="54" t="e">
        <f t="shared" si="296"/>
        <v>#N/A</v>
      </c>
      <c r="GV171" s="54" t="e">
        <f t="shared" si="297"/>
        <v>#N/A</v>
      </c>
      <c r="GW171" s="54" t="b">
        <f t="shared" si="298"/>
        <v>0</v>
      </c>
      <c r="GX171" s="54" t="b">
        <f t="shared" si="299"/>
        <v>1</v>
      </c>
      <c r="GY171" s="54" t="b">
        <f t="shared" si="300"/>
        <v>0</v>
      </c>
      <c r="GZ171" s="54" t="b">
        <f t="shared" si="301"/>
        <v>1</v>
      </c>
      <c r="HA171" s="54">
        <f t="shared" si="302"/>
        <v>0.29737754743782796</v>
      </c>
      <c r="HB171" s="54" t="e">
        <f t="shared" si="303"/>
        <v>#N/A</v>
      </c>
      <c r="HC171" s="54">
        <f t="shared" si="304"/>
        <v>0.29737754743782796</v>
      </c>
      <c r="HD171" s="69" t="str">
        <f t="shared" si="305"/>
        <v/>
      </c>
      <c r="HJ171" s="54">
        <f t="shared" si="306"/>
        <v>161</v>
      </c>
      <c r="HK171" s="54">
        <f t="shared" si="307"/>
        <v>162</v>
      </c>
      <c r="HL171" s="54">
        <f t="shared" si="308"/>
        <v>1.1870485900498196</v>
      </c>
      <c r="HM171" s="54" t="e">
        <f t="shared" si="309"/>
        <v>#N/A</v>
      </c>
      <c r="HN171" s="54">
        <f t="shared" si="310"/>
        <v>0.18486232434663508</v>
      </c>
      <c r="HO171" s="54" t="e">
        <f t="shared" si="311"/>
        <v>#N/A</v>
      </c>
      <c r="HP171" s="54" t="e">
        <f t="shared" si="312"/>
        <v>#N/A</v>
      </c>
      <c r="HQ171" s="54" t="b">
        <f t="shared" si="313"/>
        <v>1</v>
      </c>
      <c r="HR171" s="54" t="b">
        <f t="shared" si="314"/>
        <v>0</v>
      </c>
      <c r="HS171" s="54" t="b">
        <f t="shared" si="315"/>
        <v>0</v>
      </c>
      <c r="HT171" s="54" t="b">
        <f t="shared" si="316"/>
        <v>1</v>
      </c>
      <c r="HU171" s="54">
        <f t="shared" si="317"/>
        <v>0.18486232434663508</v>
      </c>
      <c r="HV171" s="54">
        <f t="shared" si="318"/>
        <v>0.18486232434663508</v>
      </c>
      <c r="HW171" s="54" t="e">
        <f t="shared" si="319"/>
        <v>#N/A</v>
      </c>
      <c r="HX171" s="69" t="str">
        <f t="shared" si="320"/>
        <v/>
      </c>
    </row>
    <row r="172" spans="78:232" x14ac:dyDescent="0.2">
      <c r="BZ172" s="54">
        <f t="shared" si="247"/>
        <v>162</v>
      </c>
      <c r="CA172" s="54">
        <f>Eu_tabel_g[[#This Row],[Indeks]]+1</f>
        <v>163</v>
      </c>
      <c r="CB172" s="54">
        <f t="shared" si="248"/>
        <v>0.79052454343827794</v>
      </c>
      <c r="CC172" s="54">
        <f t="shared" si="249"/>
        <v>0.29188276119520318</v>
      </c>
      <c r="CD172" s="54" t="e">
        <f t="shared" si="250"/>
        <v>#N/A</v>
      </c>
      <c r="CE172" s="54" t="e">
        <f t="shared" si="251"/>
        <v>#N/A</v>
      </c>
      <c r="CF172" s="54" t="e">
        <f t="shared" si="252"/>
        <v>#N/A</v>
      </c>
      <c r="CG172" s="54" t="b">
        <f t="shared" si="253"/>
        <v>0</v>
      </c>
      <c r="CH172" s="54" t="b">
        <f t="shared" si="254"/>
        <v>1</v>
      </c>
      <c r="CI172" s="54" t="b">
        <f t="shared" si="255"/>
        <v>0</v>
      </c>
      <c r="CJ172" s="54" t="b">
        <f t="shared" si="256"/>
        <v>1</v>
      </c>
      <c r="CK172" s="54">
        <f t="shared" si="321"/>
        <v>0.29188276119520318</v>
      </c>
      <c r="CL172" s="54" t="e">
        <f t="shared" si="257"/>
        <v>#N/A</v>
      </c>
      <c r="CM172" s="54">
        <f t="shared" si="258"/>
        <v>0.29188276119520318</v>
      </c>
      <c r="CN172" s="69" t="str">
        <f t="shared" si="259"/>
        <v/>
      </c>
      <c r="CO172" s="54">
        <f>_xlfn.NORM.DIST(_xlfn.NORM.INV(1-Eu_g_konfidensniveau,0,1)-Eu_tabel_g[[#This Row],[x base]],0,1,TRUE)</f>
        <v>7.4381165847303534E-3</v>
      </c>
      <c r="CP172" s="54">
        <f>1-_xlfn.NORM.DIST(_xlfn.NORM.INV(Eu_g_konfidensniveau,0,1)-Eu_tabel_g[[#This Row],[x base]],0,1,TRUE)</f>
        <v>0.1964613384949645</v>
      </c>
      <c r="CQ172" s="54">
        <f>_xlfn.NORM.DIST(_xlfn.NORM.INV((1-Eu_g_konfidensniveau)/2,0,1)-Eu_tabel_g[[#This Row],[x base]],0,1,TRUE)+1-_xlfn.NORM.DIST(_xlfn.NORM.INV(1-(1-Eu_g_konfidensniveau)/2,0,1)-Eu_tabel_g[[#This Row],[x base]],0,1,TRUE)</f>
        <v>0.12408863721087615</v>
      </c>
      <c r="CR172" s="54" t="e" cm="1">
        <f t="array" ref="CR172">IF($CR$3,INDEX(Eu_tabel_g[[#This Row],[Styrke venstre]:[Styrke tosidet]],CR$7),NA())</f>
        <v>#N/A</v>
      </c>
      <c r="CS172" s="89" t="e">
        <f>Eu_tabel_g[[#This Row],[Falsk positiv
Nulhypotese accepteres
Fejltype 1]]</f>
        <v>#N/A</v>
      </c>
      <c r="CT172" s="89" t="e">
        <f>IF(CHOOSE(CR$7,Eu_tabel_g[[#This Row],[x base]]&gt;0,Eu_tabel_g[[#This Row],[x base]]&lt;0,Eu_tabel_g[[#This Row],[x base]]=0),Eu_tabel_g[[#This Row],[Styrke, aktiv]],NA())</f>
        <v>#N/A</v>
      </c>
      <c r="CU172" s="89" t="e">
        <f>IFERROR(IF($CR$3,Eu_tabel_g[[#This Row],[Styrke, aktiv]],NA()),NA())</f>
        <v>#N/A</v>
      </c>
      <c r="CV172" s="89" t="e">
        <f>IF(ISNA(Eu_tabel_g[[#This Row],[Sand negativ
Nulhypotese afvises
Korrekt]]),NA(),IF($CR$3,1,NA()))</f>
        <v>#N/A</v>
      </c>
      <c r="CW172" s="56" t="str" cm="1">
        <f t="array" ref="CW172">_xlfn.SWITCH(BZ172,_xlfn.IFNA(CU$2,-99),CU$5,_xlfn.IFNA(CU$3,-99),CU$6,_xlfn.IFNA(CU$4,-99),CU$7,"")</f>
        <v/>
      </c>
      <c r="DA172" s="7">
        <f t="shared" si="260"/>
        <v>0.8</v>
      </c>
      <c r="DB172">
        <f>IF(ROW(Styrkeberegning_G[[#This Row],[X base venstre]])=ROW(Styrkeberegning_G[[#Headers],[X base venstre]])+1,DB$7/(DA$7/$B$67),DB171/(DA171/$B$67))</f>
        <v>-2.8015817870135784</v>
      </c>
      <c r="DC172">
        <f>Styrkeberegning_G[[#This Row],[X base venstre]]*-1</f>
        <v>2.8015817870135784</v>
      </c>
      <c r="DN172" s="54">
        <f t="shared" si="261"/>
        <v>162</v>
      </c>
      <c r="DO172" s="54">
        <f t="shared" si="262"/>
        <v>163</v>
      </c>
      <c r="DP172" s="54">
        <f t="shared" si="263"/>
        <v>20.313331404207855</v>
      </c>
      <c r="DQ172" s="54" t="e">
        <f t="shared" si="264"/>
        <v>#N/A</v>
      </c>
      <c r="DR172" s="54" t="e">
        <f t="shared" si="265"/>
        <v>#N/A</v>
      </c>
      <c r="DS172" s="54">
        <f t="shared" si="266"/>
        <v>1.2575045959678788E-2</v>
      </c>
      <c r="DT172" s="54" t="e">
        <f t="shared" si="267"/>
        <v>#N/A</v>
      </c>
      <c r="DU172" s="54" t="b">
        <f t="shared" si="268"/>
        <v>0</v>
      </c>
      <c r="DV172" s="54" t="b">
        <f t="shared" si="269"/>
        <v>1</v>
      </c>
      <c r="DW172" s="54" t="b">
        <f t="shared" si="270"/>
        <v>0</v>
      </c>
      <c r="DX172" s="54" t="b">
        <f t="shared" si="271"/>
        <v>1</v>
      </c>
      <c r="DY172" s="54">
        <f t="shared" si="272"/>
        <v>1.2575045959678788E-2</v>
      </c>
      <c r="DZ172" s="54" t="e">
        <f t="shared" si="273"/>
        <v>#N/A</v>
      </c>
      <c r="EA172" s="54">
        <f t="shared" si="274"/>
        <v>1.2575045959678788E-2</v>
      </c>
      <c r="EB172" s="69" t="str">
        <f t="shared" si="275"/>
        <v/>
      </c>
      <c r="EG172" s="54">
        <f t="shared" si="276"/>
        <v>162</v>
      </c>
      <c r="EH172" s="54">
        <f t="shared" si="277"/>
        <v>163</v>
      </c>
      <c r="EI172" s="54">
        <f t="shared" si="278"/>
        <v>0.79052454343827794</v>
      </c>
      <c r="EJ172" s="54">
        <f t="shared" si="279"/>
        <v>0.29188276119520318</v>
      </c>
      <c r="EK172" s="54" t="e">
        <f t="shared" si="280"/>
        <v>#N/A</v>
      </c>
      <c r="EL172" s="54" t="e">
        <f t="shared" si="281"/>
        <v>#N/A</v>
      </c>
      <c r="EM172" s="54" t="e">
        <f t="shared" si="282"/>
        <v>#N/A</v>
      </c>
      <c r="EN172" s="54" t="b">
        <f t="shared" si="283"/>
        <v>0</v>
      </c>
      <c r="EO172" s="54" t="b">
        <f t="shared" si="284"/>
        <v>1</v>
      </c>
      <c r="EP172" s="54" t="b">
        <f t="shared" si="285"/>
        <v>0</v>
      </c>
      <c r="EQ172" s="54" t="b">
        <f t="shared" si="286"/>
        <v>1</v>
      </c>
      <c r="ER172" s="54">
        <f t="shared" si="287"/>
        <v>0.29188276119520318</v>
      </c>
      <c r="ES172" s="54" t="e">
        <f t="shared" si="288"/>
        <v>#N/A</v>
      </c>
      <c r="ET172" s="54">
        <f t="shared" si="289"/>
        <v>0.29188276119520318</v>
      </c>
      <c r="EU172" s="69" t="str">
        <f t="shared" si="290"/>
        <v/>
      </c>
      <c r="EV17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7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7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72" s="54" t="e" cm="1">
        <f t="array" ref="EY172">IF($CR$3,INDEX(Eu_tabel_a[[#This Row],[Styrke venstre]:[Styrke tosidet]],EY$7),NA())</f>
        <v>#N/A</v>
      </c>
      <c r="EZ172" s="54" t="e">
        <f>IF(EY$3,IF(CHOOSE(EY$7,Eu_tabel_a[[#This Row],[x base]]&gt;0,Eu_tabel_a[[#This Row],[x base]]&lt;0,Eu_tabel_a[[#This Row],[x base]]=0),1,NA()),NA())</f>
        <v>#N/A</v>
      </c>
      <c r="FA172" s="54" t="e">
        <f>IF(CHOOSE(EY$7,Eu_tabel_a[[#This Row],[x base]]&gt;0,Eu_tabel_a[[#This Row],[x base]]&lt;0,Eu_tabel_a[[#This Row],[x base]]=0),Eu_tabel_a[[#This Row],[Styrke, aktiv]],NA())</f>
        <v>#N/A</v>
      </c>
      <c r="FB172" s="54" t="e">
        <f>IFERROR(IF($EY$3,Eu_tabel_a[[#This Row],[Styrke, aktiv]],NA()),NA())</f>
        <v>#N/A</v>
      </c>
      <c r="FC172" s="54" t="e">
        <f>IF(ISNA(Eu_tabel_a[[#This Row],[Sand negativ
Nulhypotese afvises
Korrekt]]),NA(),IF(EY$3,1,NA()))</f>
        <v>#N/A</v>
      </c>
      <c r="FD172" s="55" t="str" cm="1">
        <f t="array" ref="FD172">IFERROR(_xlfn.SWITCH(Eu_tabel_a[[#This Row],[Indeks]],_xlfn.IFNA(FB$2,-99),FB$5,_xlfn.IFNA(FB$3,-99),FB$6,_xlfn.IFNA(FB$4,-99),FB$7,""),"")</f>
        <v/>
      </c>
      <c r="FE172" s="54">
        <f>Eu_tabel_a[[#This Row],[x base]]*SQRT(Eu_a_h0_x*(1-Eu_a_h0_x)/Eu_a_n_x)+Eu_a_h0_x</f>
        <v>0</v>
      </c>
      <c r="FJ172" s="144" t="e">
        <f t="shared" si="234"/>
        <v>#N/A</v>
      </c>
      <c r="FK172" s="152" t="e">
        <f t="shared" si="322"/>
        <v>#DIV/0!</v>
      </c>
      <c r="FL172" s="7" t="e">
        <f t="shared" si="228"/>
        <v>#DIV/0!</v>
      </c>
      <c r="FM172" t="e">
        <f t="shared" si="323"/>
        <v>#DIV/0!</v>
      </c>
      <c r="FN172" s="8" t="e">
        <f t="shared" si="324"/>
        <v>#DIV/0!</v>
      </c>
      <c r="FO172" s="8" t="e">
        <f t="shared" si="325"/>
        <v>#DIV/0!</v>
      </c>
      <c r="FP172" s="151" t="e">
        <f t="shared" si="326"/>
        <v>#DIV/0!</v>
      </c>
      <c r="FQ172" s="144" t="e">
        <f t="shared" ca="1" si="229"/>
        <v>#N/A</v>
      </c>
      <c r="FR172" s="152" t="e" vm="3">
        <f t="shared" ca="1" si="235"/>
        <v>#VALUE!</v>
      </c>
      <c r="FS172" s="7" t="e" vm="3">
        <f t="shared" ca="1" si="230"/>
        <v>#VALUE!</v>
      </c>
      <c r="FT172" t="e" vm="3">
        <f t="shared" ca="1" si="224"/>
        <v>#VALUE!</v>
      </c>
      <c r="FU172" s="8" t="e" vm="3">
        <f t="shared" ca="1" si="225"/>
        <v>#VALUE!</v>
      </c>
      <c r="FV172" s="8" t="e" vm="3">
        <f t="shared" ca="1" si="226"/>
        <v>#VALUE!</v>
      </c>
      <c r="FW172" s="151" t="e" vm="3">
        <f t="shared" ca="1" si="227"/>
        <v>#VALUE!</v>
      </c>
      <c r="FX172" s="144" t="e">
        <f t="shared" si="231"/>
        <v>#N/A</v>
      </c>
      <c r="FY172" s="152" t="e">
        <f t="shared" si="236"/>
        <v>#N/A</v>
      </c>
      <c r="FZ172" s="7" t="e">
        <f t="shared" si="232"/>
        <v>#N/A</v>
      </c>
      <c r="GA172" t="e">
        <f t="shared" si="237"/>
        <v>#N/A</v>
      </c>
      <c r="GB172" s="8" t="e">
        <f t="shared" si="238"/>
        <v>#N/A</v>
      </c>
      <c r="GC172" s="8" t="e">
        <f t="shared" si="239"/>
        <v>#N/A</v>
      </c>
      <c r="GD172" s="151" t="e">
        <f t="shared" si="240"/>
        <v>#N/A</v>
      </c>
      <c r="GE172" s="144" t="e">
        <f t="shared" si="241"/>
        <v>#N/A</v>
      </c>
      <c r="GF172" s="152" t="e">
        <f t="shared" si="242"/>
        <v>#N/A</v>
      </c>
      <c r="GG172" s="7" t="e">
        <f t="shared" si="233"/>
        <v>#N/A</v>
      </c>
      <c r="GH172" t="e">
        <f t="shared" si="243"/>
        <v>#N/A</v>
      </c>
      <c r="GI172" s="8" t="e">
        <f t="shared" si="244"/>
        <v>#N/A</v>
      </c>
      <c r="GJ172" s="8" t="e">
        <f t="shared" si="245"/>
        <v>#N/A</v>
      </c>
      <c r="GK172" s="151" t="e">
        <f t="shared" si="246"/>
        <v>#N/A</v>
      </c>
      <c r="GL172" s="151"/>
      <c r="GM172" s="151"/>
      <c r="GP172" s="54">
        <f t="shared" si="291"/>
        <v>162</v>
      </c>
      <c r="GQ172" s="54">
        <f t="shared" si="292"/>
        <v>163</v>
      </c>
      <c r="GR172" s="54">
        <f t="shared" si="293"/>
        <v>0.79052454343827794</v>
      </c>
      <c r="GS172" s="54">
        <f t="shared" si="294"/>
        <v>0.29188276119520318</v>
      </c>
      <c r="GT172" s="54" t="e">
        <f t="shared" si="295"/>
        <v>#N/A</v>
      </c>
      <c r="GU172" s="54" t="e">
        <f t="shared" si="296"/>
        <v>#N/A</v>
      </c>
      <c r="GV172" s="54" t="e">
        <f t="shared" si="297"/>
        <v>#N/A</v>
      </c>
      <c r="GW172" s="54" t="b">
        <f t="shared" si="298"/>
        <v>0</v>
      </c>
      <c r="GX172" s="54" t="b">
        <f t="shared" si="299"/>
        <v>1</v>
      </c>
      <c r="GY172" s="54" t="b">
        <f t="shared" si="300"/>
        <v>0</v>
      </c>
      <c r="GZ172" s="54" t="b">
        <f t="shared" si="301"/>
        <v>1</v>
      </c>
      <c r="HA172" s="54">
        <f t="shared" si="302"/>
        <v>0.29188276119520318</v>
      </c>
      <c r="HB172" s="54" t="e">
        <f t="shared" si="303"/>
        <v>#N/A</v>
      </c>
      <c r="HC172" s="54">
        <f t="shared" si="304"/>
        <v>0.29188276119520318</v>
      </c>
      <c r="HD172" s="69" t="str">
        <f t="shared" si="305"/>
        <v/>
      </c>
      <c r="HJ172" s="54">
        <f t="shared" si="306"/>
        <v>162</v>
      </c>
      <c r="HK172" s="54">
        <f t="shared" si="307"/>
        <v>163</v>
      </c>
      <c r="HL172" s="54">
        <f t="shared" si="308"/>
        <v>1.2241438584888762</v>
      </c>
      <c r="HM172" s="54" t="e">
        <f t="shared" si="309"/>
        <v>#N/A</v>
      </c>
      <c r="HN172" s="54">
        <f t="shared" si="310"/>
        <v>0.1772018979410506</v>
      </c>
      <c r="HO172" s="54" t="e">
        <f t="shared" si="311"/>
        <v>#N/A</v>
      </c>
      <c r="HP172" s="54" t="e">
        <f t="shared" si="312"/>
        <v>#N/A</v>
      </c>
      <c r="HQ172" s="54" t="b">
        <f t="shared" si="313"/>
        <v>1</v>
      </c>
      <c r="HR172" s="54" t="b">
        <f t="shared" si="314"/>
        <v>0</v>
      </c>
      <c r="HS172" s="54" t="b">
        <f t="shared" si="315"/>
        <v>0</v>
      </c>
      <c r="HT172" s="54" t="b">
        <f t="shared" si="316"/>
        <v>1</v>
      </c>
      <c r="HU172" s="54">
        <f t="shared" si="317"/>
        <v>0.1772018979410506</v>
      </c>
      <c r="HV172" s="54">
        <f t="shared" si="318"/>
        <v>0.1772018979410506</v>
      </c>
      <c r="HW172" s="54" t="e">
        <f t="shared" si="319"/>
        <v>#N/A</v>
      </c>
      <c r="HX172" s="69" t="str">
        <f t="shared" si="320"/>
        <v/>
      </c>
    </row>
    <row r="173" spans="78:232" x14ac:dyDescent="0.2">
      <c r="BZ173" s="54">
        <f t="shared" si="247"/>
        <v>163</v>
      </c>
      <c r="CA173" s="54">
        <f>Eu_tabel_g[[#This Row],[Indeks]]+1</f>
        <v>164</v>
      </c>
      <c r="CB173" s="54">
        <f t="shared" si="248"/>
        <v>0.81447983263337687</v>
      </c>
      <c r="CC173" s="54">
        <f t="shared" si="249"/>
        <v>0.28632514820484689</v>
      </c>
      <c r="CD173" s="54" t="e">
        <f t="shared" si="250"/>
        <v>#N/A</v>
      </c>
      <c r="CE173" s="54" t="e">
        <f t="shared" si="251"/>
        <v>#N/A</v>
      </c>
      <c r="CF173" s="54" t="e">
        <f t="shared" si="252"/>
        <v>#N/A</v>
      </c>
      <c r="CG173" s="54" t="b">
        <f t="shared" si="253"/>
        <v>0</v>
      </c>
      <c r="CH173" s="54" t="b">
        <f t="shared" si="254"/>
        <v>1</v>
      </c>
      <c r="CI173" s="54" t="b">
        <f t="shared" si="255"/>
        <v>0</v>
      </c>
      <c r="CJ173" s="54" t="b">
        <f t="shared" si="256"/>
        <v>1</v>
      </c>
      <c r="CK173" s="54">
        <f t="shared" si="321"/>
        <v>0.28632514820484689</v>
      </c>
      <c r="CL173" s="54" t="e">
        <f t="shared" si="257"/>
        <v>#N/A</v>
      </c>
      <c r="CM173" s="54">
        <f t="shared" si="258"/>
        <v>0.28632514820484689</v>
      </c>
      <c r="CN173" s="69" t="str">
        <f t="shared" si="259"/>
        <v/>
      </c>
      <c r="CO173" s="54">
        <f>_xlfn.NORM.DIST(_xlfn.NORM.INV(1-Eu_g_konfidensniveau,0,1)-Eu_tabel_g[[#This Row],[x base]],0,1,TRUE)</f>
        <v>6.9597631116038684E-3</v>
      </c>
      <c r="CP173" s="54">
        <f>1-_xlfn.NORM.DIST(_xlfn.NORM.INV(Eu_g_konfidensniveau,0,1)-Eu_tabel_g[[#This Row],[x base]],0,1,TRUE)</f>
        <v>0.20316373862964221</v>
      </c>
      <c r="CQ173" s="54">
        <f>_xlfn.NORM.DIST(_xlfn.NORM.INV((1-Eu_g_konfidensniveau)/2,0,1)-Eu_tabel_g[[#This Row],[x base]],0,1,TRUE)+1-_xlfn.NORM.DIST(_xlfn.NORM.INV(1-(1-Eu_g_konfidensniveau)/2,0,1)-Eu_tabel_g[[#This Row],[x base]],0,1,TRUE)</f>
        <v>0.12876913755707764</v>
      </c>
      <c r="CR173" s="54" t="e" cm="1">
        <f t="array" ref="CR173">IF($CR$3,INDEX(Eu_tabel_g[[#This Row],[Styrke venstre]:[Styrke tosidet]],CR$7),NA())</f>
        <v>#N/A</v>
      </c>
      <c r="CS173" s="89" t="e">
        <f>Eu_tabel_g[[#This Row],[Falsk positiv
Nulhypotese accepteres
Fejltype 1]]</f>
        <v>#N/A</v>
      </c>
      <c r="CT173" s="89" t="e">
        <f>IF(CHOOSE(CR$7,Eu_tabel_g[[#This Row],[x base]]&gt;0,Eu_tabel_g[[#This Row],[x base]]&lt;0,Eu_tabel_g[[#This Row],[x base]]=0),Eu_tabel_g[[#This Row],[Styrke, aktiv]],NA())</f>
        <v>#N/A</v>
      </c>
      <c r="CU173" s="89" t="e">
        <f>IFERROR(IF($CR$3,Eu_tabel_g[[#This Row],[Styrke, aktiv]],NA()),NA())</f>
        <v>#N/A</v>
      </c>
      <c r="CV173" s="89" t="e">
        <f>IF(ISNA(Eu_tabel_g[[#This Row],[Sand negativ
Nulhypotese afvises
Korrekt]]),NA(),IF($CR$3,1,NA()))</f>
        <v>#N/A</v>
      </c>
      <c r="CW173" s="56" t="str" cm="1">
        <f t="array" ref="CW173">_xlfn.SWITCH(BZ173,_xlfn.IFNA(CU$2,-99),CU$5,_xlfn.IFNA(CU$3,-99),CU$6,_xlfn.IFNA(CU$4,-99),CU$7,"")</f>
        <v/>
      </c>
      <c r="DA173" s="7">
        <f t="shared" si="260"/>
        <v>0.8</v>
      </c>
      <c r="DB173">
        <f>IF(ROW(Styrkeberegning_G[[#This Row],[X base venstre]])=ROW(Styrkeberegning_G[[#Headers],[X base venstre]])+1,DB$7/(DA$7/$B$67),DB172/(DA172/$B$67))</f>
        <v>-2.8015817870135784</v>
      </c>
      <c r="DC173">
        <f>Styrkeberegning_G[[#This Row],[X base venstre]]*-1</f>
        <v>2.8015817870135784</v>
      </c>
      <c r="DN173" s="54">
        <f t="shared" si="261"/>
        <v>163</v>
      </c>
      <c r="DO173" s="54">
        <f t="shared" si="262"/>
        <v>164</v>
      </c>
      <c r="DP173" s="54">
        <f t="shared" si="263"/>
        <v>20.427402260624852</v>
      </c>
      <c r="DQ173" s="54" t="e">
        <f t="shared" si="264"/>
        <v>#N/A</v>
      </c>
      <c r="DR173" s="54" t="e">
        <f t="shared" si="265"/>
        <v>#N/A</v>
      </c>
      <c r="DS173" s="54">
        <f t="shared" si="266"/>
        <v>1.2181011466172601E-2</v>
      </c>
      <c r="DT173" s="54" t="e">
        <f t="shared" si="267"/>
        <v>#N/A</v>
      </c>
      <c r="DU173" s="54" t="b">
        <f t="shared" si="268"/>
        <v>0</v>
      </c>
      <c r="DV173" s="54" t="b">
        <f t="shared" si="269"/>
        <v>1</v>
      </c>
      <c r="DW173" s="54" t="b">
        <f t="shared" si="270"/>
        <v>0</v>
      </c>
      <c r="DX173" s="54" t="b">
        <f t="shared" si="271"/>
        <v>1</v>
      </c>
      <c r="DY173" s="54">
        <f t="shared" si="272"/>
        <v>1.2181011466172601E-2</v>
      </c>
      <c r="DZ173" s="54" t="e">
        <f t="shared" si="273"/>
        <v>#N/A</v>
      </c>
      <c r="EA173" s="54">
        <f t="shared" si="274"/>
        <v>1.2181011466172601E-2</v>
      </c>
      <c r="EB173" s="69" t="str">
        <f t="shared" si="275"/>
        <v/>
      </c>
      <c r="EG173" s="54">
        <f t="shared" si="276"/>
        <v>163</v>
      </c>
      <c r="EH173" s="54">
        <f t="shared" si="277"/>
        <v>164</v>
      </c>
      <c r="EI173" s="54">
        <f t="shared" si="278"/>
        <v>0.81447983263337687</v>
      </c>
      <c r="EJ173" s="54">
        <f t="shared" si="279"/>
        <v>0.28632514820484689</v>
      </c>
      <c r="EK173" s="54" t="e">
        <f t="shared" si="280"/>
        <v>#N/A</v>
      </c>
      <c r="EL173" s="54" t="e">
        <f t="shared" si="281"/>
        <v>#N/A</v>
      </c>
      <c r="EM173" s="54" t="e">
        <f t="shared" si="282"/>
        <v>#N/A</v>
      </c>
      <c r="EN173" s="54" t="b">
        <f t="shared" si="283"/>
        <v>0</v>
      </c>
      <c r="EO173" s="54" t="b">
        <f t="shared" si="284"/>
        <v>1</v>
      </c>
      <c r="EP173" s="54" t="b">
        <f t="shared" si="285"/>
        <v>0</v>
      </c>
      <c r="EQ173" s="54" t="b">
        <f t="shared" si="286"/>
        <v>1</v>
      </c>
      <c r="ER173" s="54">
        <f t="shared" si="287"/>
        <v>0.28632514820484689</v>
      </c>
      <c r="ES173" s="54" t="e">
        <f t="shared" si="288"/>
        <v>#N/A</v>
      </c>
      <c r="ET173" s="54">
        <f t="shared" si="289"/>
        <v>0.28632514820484689</v>
      </c>
      <c r="EU173" s="69" t="str">
        <f t="shared" si="290"/>
        <v/>
      </c>
      <c r="EV17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7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7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73" s="54" t="e" cm="1">
        <f t="array" ref="EY173">IF($CR$3,INDEX(Eu_tabel_a[[#This Row],[Styrke venstre]:[Styrke tosidet]],EY$7),NA())</f>
        <v>#N/A</v>
      </c>
      <c r="EZ173" s="54" t="e">
        <f>IF(EY$3,IF(CHOOSE(EY$7,Eu_tabel_a[[#This Row],[x base]]&gt;0,Eu_tabel_a[[#This Row],[x base]]&lt;0,Eu_tabel_a[[#This Row],[x base]]=0),1,NA()),NA())</f>
        <v>#N/A</v>
      </c>
      <c r="FA173" s="54" t="e">
        <f>IF(CHOOSE(EY$7,Eu_tabel_a[[#This Row],[x base]]&gt;0,Eu_tabel_a[[#This Row],[x base]]&lt;0,Eu_tabel_a[[#This Row],[x base]]=0),Eu_tabel_a[[#This Row],[Styrke, aktiv]],NA())</f>
        <v>#N/A</v>
      </c>
      <c r="FB173" s="54" t="e">
        <f>IFERROR(IF($EY$3,Eu_tabel_a[[#This Row],[Styrke, aktiv]],NA()),NA())</f>
        <v>#N/A</v>
      </c>
      <c r="FC173" s="54" t="e">
        <f>IF(ISNA(Eu_tabel_a[[#This Row],[Sand negativ
Nulhypotese afvises
Korrekt]]),NA(),IF(EY$3,1,NA()))</f>
        <v>#N/A</v>
      </c>
      <c r="FD173" s="55" t="str" cm="1">
        <f t="array" ref="FD173">IFERROR(_xlfn.SWITCH(Eu_tabel_a[[#This Row],[Indeks]],_xlfn.IFNA(FB$2,-99),FB$5,_xlfn.IFNA(FB$3,-99),FB$6,_xlfn.IFNA(FB$4,-99),FB$7,""),"")</f>
        <v/>
      </c>
      <c r="FE173" s="54">
        <f>Eu_tabel_a[[#This Row],[x base]]*SQRT(Eu_a_h0_x*(1-Eu_a_h0_x)/Eu_a_n_x)+Eu_a_h0_x</f>
        <v>0</v>
      </c>
      <c r="FJ173" s="144" t="e">
        <f t="shared" si="234"/>
        <v>#N/A</v>
      </c>
      <c r="FK173" s="152" t="e">
        <f t="shared" si="322"/>
        <v>#DIV/0!</v>
      </c>
      <c r="FL173" s="7" t="e">
        <f t="shared" si="228"/>
        <v>#DIV/0!</v>
      </c>
      <c r="FM173" t="e">
        <f t="shared" si="323"/>
        <v>#DIV/0!</v>
      </c>
      <c r="FN173" s="8" t="e">
        <f t="shared" si="324"/>
        <v>#DIV/0!</v>
      </c>
      <c r="FO173" s="8" t="e">
        <f t="shared" si="325"/>
        <v>#DIV/0!</v>
      </c>
      <c r="FP173" s="151" t="e">
        <f t="shared" si="326"/>
        <v>#DIV/0!</v>
      </c>
      <c r="FQ173" s="144" t="e">
        <f t="shared" ca="1" si="229"/>
        <v>#N/A</v>
      </c>
      <c r="FR173" s="152" t="e" vm="3">
        <f t="shared" ca="1" si="235"/>
        <v>#VALUE!</v>
      </c>
      <c r="FS173" s="7" t="e" vm="3">
        <f t="shared" ca="1" si="230"/>
        <v>#VALUE!</v>
      </c>
      <c r="FT173" t="e" vm="3">
        <f t="shared" ca="1" si="224"/>
        <v>#VALUE!</v>
      </c>
      <c r="FU173" s="8" t="e" vm="3">
        <f t="shared" ca="1" si="225"/>
        <v>#VALUE!</v>
      </c>
      <c r="FV173" s="8" t="e" vm="3">
        <f t="shared" ca="1" si="226"/>
        <v>#VALUE!</v>
      </c>
      <c r="FW173" s="151" t="e" vm="3">
        <f t="shared" ca="1" si="227"/>
        <v>#VALUE!</v>
      </c>
      <c r="FX173" s="144" t="e">
        <f t="shared" si="231"/>
        <v>#N/A</v>
      </c>
      <c r="FY173" s="152" t="e">
        <f t="shared" si="236"/>
        <v>#N/A</v>
      </c>
      <c r="FZ173" s="7" t="e">
        <f t="shared" si="232"/>
        <v>#N/A</v>
      </c>
      <c r="GA173" t="e">
        <f t="shared" si="237"/>
        <v>#N/A</v>
      </c>
      <c r="GB173" s="8" t="e">
        <f t="shared" si="238"/>
        <v>#N/A</v>
      </c>
      <c r="GC173" s="8" t="e">
        <f t="shared" si="239"/>
        <v>#N/A</v>
      </c>
      <c r="GD173" s="151" t="e">
        <f t="shared" si="240"/>
        <v>#N/A</v>
      </c>
      <c r="GE173" s="144" t="e">
        <f t="shared" si="241"/>
        <v>#N/A</v>
      </c>
      <c r="GF173" s="152" t="e">
        <f t="shared" si="242"/>
        <v>#N/A</v>
      </c>
      <c r="GG173" s="7" t="e">
        <f t="shared" si="233"/>
        <v>#N/A</v>
      </c>
      <c r="GH173" t="e">
        <f t="shared" si="243"/>
        <v>#N/A</v>
      </c>
      <c r="GI173" s="8" t="e">
        <f t="shared" si="244"/>
        <v>#N/A</v>
      </c>
      <c r="GJ173" s="8" t="e">
        <f t="shared" si="245"/>
        <v>#N/A</v>
      </c>
      <c r="GK173" s="151" t="e">
        <f t="shared" si="246"/>
        <v>#N/A</v>
      </c>
      <c r="GL173" s="151"/>
      <c r="GM173" s="151"/>
      <c r="GP173" s="54">
        <f t="shared" si="291"/>
        <v>163</v>
      </c>
      <c r="GQ173" s="54">
        <f t="shared" si="292"/>
        <v>164</v>
      </c>
      <c r="GR173" s="54">
        <f t="shared" si="293"/>
        <v>0.81447983263337687</v>
      </c>
      <c r="GS173" s="54">
        <f t="shared" si="294"/>
        <v>0.28632514820484689</v>
      </c>
      <c r="GT173" s="54" t="e">
        <f t="shared" si="295"/>
        <v>#N/A</v>
      </c>
      <c r="GU173" s="54" t="e">
        <f t="shared" si="296"/>
        <v>#N/A</v>
      </c>
      <c r="GV173" s="54" t="e">
        <f t="shared" si="297"/>
        <v>#N/A</v>
      </c>
      <c r="GW173" s="54" t="b">
        <f t="shared" si="298"/>
        <v>0</v>
      </c>
      <c r="GX173" s="54" t="b">
        <f t="shared" si="299"/>
        <v>1</v>
      </c>
      <c r="GY173" s="54" t="b">
        <f t="shared" si="300"/>
        <v>0</v>
      </c>
      <c r="GZ173" s="54" t="b">
        <f t="shared" si="301"/>
        <v>1</v>
      </c>
      <c r="HA173" s="54">
        <f t="shared" si="302"/>
        <v>0.28632514820484689</v>
      </c>
      <c r="HB173" s="54" t="e">
        <f t="shared" si="303"/>
        <v>#N/A</v>
      </c>
      <c r="HC173" s="54">
        <f t="shared" si="304"/>
        <v>0.28632514820484689</v>
      </c>
      <c r="HD173" s="69" t="str">
        <f t="shared" si="305"/>
        <v/>
      </c>
      <c r="HJ173" s="54">
        <f t="shared" si="306"/>
        <v>163</v>
      </c>
      <c r="HK173" s="54">
        <f t="shared" si="307"/>
        <v>164</v>
      </c>
      <c r="HL173" s="54">
        <f t="shared" si="308"/>
        <v>1.2612391269279328</v>
      </c>
      <c r="HM173" s="54" t="e">
        <f t="shared" si="309"/>
        <v>#N/A</v>
      </c>
      <c r="HN173" s="54">
        <f t="shared" si="310"/>
        <v>0.16971653355867558</v>
      </c>
      <c r="HO173" s="54" t="e">
        <f t="shared" si="311"/>
        <v>#N/A</v>
      </c>
      <c r="HP173" s="54" t="e">
        <f t="shared" si="312"/>
        <v>#N/A</v>
      </c>
      <c r="HQ173" s="54" t="b">
        <f t="shared" si="313"/>
        <v>1</v>
      </c>
      <c r="HR173" s="54" t="b">
        <f t="shared" si="314"/>
        <v>0</v>
      </c>
      <c r="HS173" s="54" t="b">
        <f t="shared" si="315"/>
        <v>0</v>
      </c>
      <c r="HT173" s="54" t="b">
        <f t="shared" si="316"/>
        <v>1</v>
      </c>
      <c r="HU173" s="54">
        <f t="shared" si="317"/>
        <v>0.16971653355867558</v>
      </c>
      <c r="HV173" s="54">
        <f t="shared" si="318"/>
        <v>0.16971653355867558</v>
      </c>
      <c r="HW173" s="54" t="e">
        <f t="shared" si="319"/>
        <v>#N/A</v>
      </c>
      <c r="HX173" s="69" t="str">
        <f t="shared" si="320"/>
        <v/>
      </c>
    </row>
    <row r="174" spans="78:232" x14ac:dyDescent="0.2">
      <c r="BZ174" s="54">
        <f t="shared" si="247"/>
        <v>164</v>
      </c>
      <c r="CA174" s="54">
        <f>Eu_tabel_g[[#This Row],[Indeks]]+1</f>
        <v>165</v>
      </c>
      <c r="CB174" s="54">
        <f t="shared" si="248"/>
        <v>0.83843512182847624</v>
      </c>
      <c r="CC174" s="54">
        <f t="shared" si="249"/>
        <v>0.28071222072349422</v>
      </c>
      <c r="CD174" s="54" t="e">
        <f t="shared" si="250"/>
        <v>#N/A</v>
      </c>
      <c r="CE174" s="54" t="e">
        <f t="shared" si="251"/>
        <v>#N/A</v>
      </c>
      <c r="CF174" s="54" t="e">
        <f t="shared" si="252"/>
        <v>#N/A</v>
      </c>
      <c r="CG174" s="54" t="b">
        <f t="shared" si="253"/>
        <v>0</v>
      </c>
      <c r="CH174" s="54" t="b">
        <f t="shared" si="254"/>
        <v>1</v>
      </c>
      <c r="CI174" s="54" t="b">
        <f t="shared" si="255"/>
        <v>0</v>
      </c>
      <c r="CJ174" s="54" t="b">
        <f t="shared" si="256"/>
        <v>1</v>
      </c>
      <c r="CK174" s="54">
        <f t="shared" si="321"/>
        <v>0.28071222072349422</v>
      </c>
      <c r="CL174" s="54" t="e">
        <f t="shared" si="257"/>
        <v>#N/A</v>
      </c>
      <c r="CM174" s="54">
        <f t="shared" si="258"/>
        <v>0.28071222072349422</v>
      </c>
      <c r="CN174" s="69" t="str">
        <f t="shared" si="259"/>
        <v/>
      </c>
      <c r="CO174" s="54">
        <f>_xlfn.NORM.DIST(_xlfn.NORM.INV(1-Eu_g_konfidensniveau,0,1)-Eu_tabel_g[[#This Row],[x base]],0,1,TRUE)</f>
        <v>6.5087760207921778E-3</v>
      </c>
      <c r="CP174" s="54">
        <f>1-_xlfn.NORM.DIST(_xlfn.NORM.INV(Eu_g_konfidensniveau,0,1)-Eu_tabel_g[[#This Row],[x base]],0,1,TRUE)</f>
        <v>0.21000079021859841</v>
      </c>
      <c r="CQ174" s="54">
        <f>_xlfn.NORM.DIST(_xlfn.NORM.INV((1-Eu_g_konfidensniveau)/2,0,1)-Eu_tabel_g[[#This Row],[x base]],0,1,TRUE)+1-_xlfn.NORM.DIST(_xlfn.NORM.INV(1-(1-Eu_g_konfidensniveau)/2,0,1)-Eu_tabel_g[[#This Row],[x base]],0,1,TRUE)</f>
        <v>0.13359923699915432</v>
      </c>
      <c r="CR174" s="54" t="e" cm="1">
        <f t="array" ref="CR174">IF($CR$3,INDEX(Eu_tabel_g[[#This Row],[Styrke venstre]:[Styrke tosidet]],CR$7),NA())</f>
        <v>#N/A</v>
      </c>
      <c r="CS174" s="89" t="e">
        <f>Eu_tabel_g[[#This Row],[Falsk positiv
Nulhypotese accepteres
Fejltype 1]]</f>
        <v>#N/A</v>
      </c>
      <c r="CT174" s="89" t="e">
        <f>IF(CHOOSE(CR$7,Eu_tabel_g[[#This Row],[x base]]&gt;0,Eu_tabel_g[[#This Row],[x base]]&lt;0,Eu_tabel_g[[#This Row],[x base]]=0),Eu_tabel_g[[#This Row],[Styrke, aktiv]],NA())</f>
        <v>#N/A</v>
      </c>
      <c r="CU174" s="89" t="e">
        <f>IFERROR(IF($CR$3,Eu_tabel_g[[#This Row],[Styrke, aktiv]],NA()),NA())</f>
        <v>#N/A</v>
      </c>
      <c r="CV174" s="89" t="e">
        <f>IF(ISNA(Eu_tabel_g[[#This Row],[Sand negativ
Nulhypotese afvises
Korrekt]]),NA(),IF($CR$3,1,NA()))</f>
        <v>#N/A</v>
      </c>
      <c r="CW174" s="56" t="str" cm="1">
        <f t="array" ref="CW174">_xlfn.SWITCH(BZ174,_xlfn.IFNA(CU$2,-99),CU$5,_xlfn.IFNA(CU$3,-99),CU$6,_xlfn.IFNA(CU$4,-99),CU$7,"")</f>
        <v/>
      </c>
      <c r="DA174" s="7">
        <f t="shared" si="260"/>
        <v>0.8</v>
      </c>
      <c r="DB174">
        <f>IF(ROW(Styrkeberegning_G[[#This Row],[X base venstre]])=ROW(Styrkeberegning_G[[#Headers],[X base venstre]])+1,DB$7/(DA$7/$B$67),DB173/(DA173/$B$67))</f>
        <v>-2.8015817870135784</v>
      </c>
      <c r="DC174">
        <f>Styrkeberegning_G[[#This Row],[X base venstre]]*-1</f>
        <v>2.8015817870135784</v>
      </c>
      <c r="DN174" s="54">
        <f t="shared" si="261"/>
        <v>164</v>
      </c>
      <c r="DO174" s="54">
        <f t="shared" si="262"/>
        <v>165</v>
      </c>
      <c r="DP174" s="54">
        <f t="shared" si="263"/>
        <v>20.541473117041853</v>
      </c>
      <c r="DQ174" s="54" t="e">
        <f t="shared" si="264"/>
        <v>#N/A</v>
      </c>
      <c r="DR174" s="54" t="e">
        <f t="shared" si="265"/>
        <v>#N/A</v>
      </c>
      <c r="DS174" s="54">
        <f t="shared" si="266"/>
        <v>1.1797668248267034E-2</v>
      </c>
      <c r="DT174" s="54" t="e">
        <f t="shared" si="267"/>
        <v>#N/A</v>
      </c>
      <c r="DU174" s="54" t="b">
        <f t="shared" si="268"/>
        <v>0</v>
      </c>
      <c r="DV174" s="54" t="b">
        <f t="shared" si="269"/>
        <v>1</v>
      </c>
      <c r="DW174" s="54" t="b">
        <f t="shared" si="270"/>
        <v>0</v>
      </c>
      <c r="DX174" s="54" t="b">
        <f t="shared" si="271"/>
        <v>1</v>
      </c>
      <c r="DY174" s="54">
        <f t="shared" si="272"/>
        <v>1.1797668248267034E-2</v>
      </c>
      <c r="DZ174" s="54" t="e">
        <f t="shared" si="273"/>
        <v>#N/A</v>
      </c>
      <c r="EA174" s="54">
        <f t="shared" si="274"/>
        <v>1.1797668248267034E-2</v>
      </c>
      <c r="EB174" s="69" t="str">
        <f t="shared" si="275"/>
        <v/>
      </c>
      <c r="EG174" s="54">
        <f t="shared" si="276"/>
        <v>164</v>
      </c>
      <c r="EH174" s="54">
        <f t="shared" si="277"/>
        <v>165</v>
      </c>
      <c r="EI174" s="54">
        <f t="shared" si="278"/>
        <v>0.83843512182847624</v>
      </c>
      <c r="EJ174" s="54">
        <f t="shared" si="279"/>
        <v>0.28071222072349422</v>
      </c>
      <c r="EK174" s="54" t="e">
        <f t="shared" si="280"/>
        <v>#N/A</v>
      </c>
      <c r="EL174" s="54" t="e">
        <f t="shared" si="281"/>
        <v>#N/A</v>
      </c>
      <c r="EM174" s="54" t="e">
        <f t="shared" si="282"/>
        <v>#N/A</v>
      </c>
      <c r="EN174" s="54" t="b">
        <f t="shared" si="283"/>
        <v>0</v>
      </c>
      <c r="EO174" s="54" t="b">
        <f t="shared" si="284"/>
        <v>1</v>
      </c>
      <c r="EP174" s="54" t="b">
        <f t="shared" si="285"/>
        <v>0</v>
      </c>
      <c r="EQ174" s="54" t="b">
        <f t="shared" si="286"/>
        <v>1</v>
      </c>
      <c r="ER174" s="54">
        <f t="shared" si="287"/>
        <v>0.28071222072349422</v>
      </c>
      <c r="ES174" s="54" t="e">
        <f t="shared" si="288"/>
        <v>#N/A</v>
      </c>
      <c r="ET174" s="54">
        <f t="shared" si="289"/>
        <v>0.28071222072349422</v>
      </c>
      <c r="EU174" s="69" t="str">
        <f t="shared" si="290"/>
        <v/>
      </c>
      <c r="EV17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7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7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74" s="54" t="e" cm="1">
        <f t="array" ref="EY174">IF($CR$3,INDEX(Eu_tabel_a[[#This Row],[Styrke venstre]:[Styrke tosidet]],EY$7),NA())</f>
        <v>#N/A</v>
      </c>
      <c r="EZ174" s="54" t="e">
        <f>IF(EY$3,IF(CHOOSE(EY$7,Eu_tabel_a[[#This Row],[x base]]&gt;0,Eu_tabel_a[[#This Row],[x base]]&lt;0,Eu_tabel_a[[#This Row],[x base]]=0),1,NA()),NA())</f>
        <v>#N/A</v>
      </c>
      <c r="FA174" s="54" t="e">
        <f>IF(CHOOSE(EY$7,Eu_tabel_a[[#This Row],[x base]]&gt;0,Eu_tabel_a[[#This Row],[x base]]&lt;0,Eu_tabel_a[[#This Row],[x base]]=0),Eu_tabel_a[[#This Row],[Styrke, aktiv]],NA())</f>
        <v>#N/A</v>
      </c>
      <c r="FB174" s="54" t="e">
        <f>IFERROR(IF($EY$3,Eu_tabel_a[[#This Row],[Styrke, aktiv]],NA()),NA())</f>
        <v>#N/A</v>
      </c>
      <c r="FC174" s="54" t="e">
        <f>IF(ISNA(Eu_tabel_a[[#This Row],[Sand negativ
Nulhypotese afvises
Korrekt]]),NA(),IF(EY$3,1,NA()))</f>
        <v>#N/A</v>
      </c>
      <c r="FD174" s="55" t="str" cm="1">
        <f t="array" ref="FD174">IFERROR(_xlfn.SWITCH(Eu_tabel_a[[#This Row],[Indeks]],_xlfn.IFNA(FB$2,-99),FB$5,_xlfn.IFNA(FB$3,-99),FB$6,_xlfn.IFNA(FB$4,-99),FB$7,""),"")</f>
        <v/>
      </c>
      <c r="FE174" s="54">
        <f>Eu_tabel_a[[#This Row],[x base]]*SQRT(Eu_a_h0_x*(1-Eu_a_h0_x)/Eu_a_n_x)+Eu_a_h0_x</f>
        <v>0</v>
      </c>
      <c r="FJ174" s="144" t="e">
        <f t="shared" si="234"/>
        <v>#N/A</v>
      </c>
      <c r="FK174" s="152" t="e">
        <f t="shared" si="322"/>
        <v>#DIV/0!</v>
      </c>
      <c r="FL174" s="7" t="e">
        <f t="shared" si="228"/>
        <v>#DIV/0!</v>
      </c>
      <c r="FM174" t="e">
        <f t="shared" si="323"/>
        <v>#DIV/0!</v>
      </c>
      <c r="FN174" s="8" t="e">
        <f t="shared" si="324"/>
        <v>#DIV/0!</v>
      </c>
      <c r="FO174" s="8" t="e">
        <f t="shared" si="325"/>
        <v>#DIV/0!</v>
      </c>
      <c r="FP174" s="151" t="e">
        <f t="shared" si="326"/>
        <v>#DIV/0!</v>
      </c>
      <c r="FQ174" s="144" t="e">
        <f t="shared" ca="1" si="229"/>
        <v>#N/A</v>
      </c>
      <c r="FR174" s="152" t="e" vm="3">
        <f t="shared" ca="1" si="235"/>
        <v>#VALUE!</v>
      </c>
      <c r="FS174" s="7" t="e" vm="3">
        <f t="shared" ca="1" si="230"/>
        <v>#VALUE!</v>
      </c>
      <c r="FT174" t="e" vm="3">
        <f t="shared" ca="1" si="224"/>
        <v>#VALUE!</v>
      </c>
      <c r="FU174" s="8" t="e" vm="3">
        <f t="shared" ca="1" si="225"/>
        <v>#VALUE!</v>
      </c>
      <c r="FV174" s="8" t="e" vm="3">
        <f t="shared" ca="1" si="226"/>
        <v>#VALUE!</v>
      </c>
      <c r="FW174" s="151" t="e" vm="3">
        <f t="shared" ca="1" si="227"/>
        <v>#VALUE!</v>
      </c>
      <c r="FX174" s="144" t="e">
        <f t="shared" si="231"/>
        <v>#N/A</v>
      </c>
      <c r="FY174" s="152" t="e">
        <f t="shared" si="236"/>
        <v>#N/A</v>
      </c>
      <c r="FZ174" s="7" t="e">
        <f t="shared" si="232"/>
        <v>#N/A</v>
      </c>
      <c r="GA174" t="e">
        <f t="shared" si="237"/>
        <v>#N/A</v>
      </c>
      <c r="GB174" s="8" t="e">
        <f t="shared" si="238"/>
        <v>#N/A</v>
      </c>
      <c r="GC174" s="8" t="e">
        <f t="shared" si="239"/>
        <v>#N/A</v>
      </c>
      <c r="GD174" s="151" t="e">
        <f t="shared" si="240"/>
        <v>#N/A</v>
      </c>
      <c r="GE174" s="144" t="e">
        <f t="shared" si="241"/>
        <v>#N/A</v>
      </c>
      <c r="GF174" s="152" t="e">
        <f t="shared" si="242"/>
        <v>#N/A</v>
      </c>
      <c r="GG174" s="7" t="e">
        <f t="shared" si="233"/>
        <v>#N/A</v>
      </c>
      <c r="GH174" t="e">
        <f t="shared" si="243"/>
        <v>#N/A</v>
      </c>
      <c r="GI174" s="8" t="e">
        <f t="shared" si="244"/>
        <v>#N/A</v>
      </c>
      <c r="GJ174" s="8" t="e">
        <f t="shared" si="245"/>
        <v>#N/A</v>
      </c>
      <c r="GK174" s="151" t="e">
        <f t="shared" si="246"/>
        <v>#N/A</v>
      </c>
      <c r="GL174" s="151"/>
      <c r="GM174" s="151"/>
      <c r="GP174" s="54">
        <f t="shared" si="291"/>
        <v>164</v>
      </c>
      <c r="GQ174" s="54">
        <f t="shared" si="292"/>
        <v>165</v>
      </c>
      <c r="GR174" s="54">
        <f t="shared" si="293"/>
        <v>0.83843512182847624</v>
      </c>
      <c r="GS174" s="54">
        <f t="shared" si="294"/>
        <v>0.28071222072349422</v>
      </c>
      <c r="GT174" s="54" t="e">
        <f t="shared" si="295"/>
        <v>#N/A</v>
      </c>
      <c r="GU174" s="54" t="e">
        <f t="shared" si="296"/>
        <v>#N/A</v>
      </c>
      <c r="GV174" s="54" t="e">
        <f t="shared" si="297"/>
        <v>#N/A</v>
      </c>
      <c r="GW174" s="54" t="b">
        <f t="shared" si="298"/>
        <v>0</v>
      </c>
      <c r="GX174" s="54" t="b">
        <f t="shared" si="299"/>
        <v>1</v>
      </c>
      <c r="GY174" s="54" t="b">
        <f t="shared" si="300"/>
        <v>0</v>
      </c>
      <c r="GZ174" s="54" t="b">
        <f t="shared" si="301"/>
        <v>1</v>
      </c>
      <c r="HA174" s="54">
        <f t="shared" si="302"/>
        <v>0.28071222072349422</v>
      </c>
      <c r="HB174" s="54" t="e">
        <f t="shared" si="303"/>
        <v>#N/A</v>
      </c>
      <c r="HC174" s="54">
        <f t="shared" si="304"/>
        <v>0.28071222072349422</v>
      </c>
      <c r="HD174" s="69" t="str">
        <f t="shared" si="305"/>
        <v/>
      </c>
      <c r="HJ174" s="54">
        <f t="shared" si="306"/>
        <v>164</v>
      </c>
      <c r="HK174" s="54">
        <f t="shared" si="307"/>
        <v>165</v>
      </c>
      <c r="HL174" s="54">
        <f t="shared" si="308"/>
        <v>1.2983343953669895</v>
      </c>
      <c r="HM174" s="54" t="e">
        <f t="shared" si="309"/>
        <v>#N/A</v>
      </c>
      <c r="HN174" s="54">
        <f t="shared" si="310"/>
        <v>0.16241625995329936</v>
      </c>
      <c r="HO174" s="54" t="e">
        <f t="shared" si="311"/>
        <v>#N/A</v>
      </c>
      <c r="HP174" s="54" t="e">
        <f t="shared" si="312"/>
        <v>#N/A</v>
      </c>
      <c r="HQ174" s="54" t="b">
        <f t="shared" si="313"/>
        <v>1</v>
      </c>
      <c r="HR174" s="54" t="b">
        <f t="shared" si="314"/>
        <v>0</v>
      </c>
      <c r="HS174" s="54" t="b">
        <f t="shared" si="315"/>
        <v>0</v>
      </c>
      <c r="HT174" s="54" t="b">
        <f t="shared" si="316"/>
        <v>1</v>
      </c>
      <c r="HU174" s="54">
        <f t="shared" si="317"/>
        <v>0.16241625995329936</v>
      </c>
      <c r="HV174" s="54">
        <f t="shared" si="318"/>
        <v>0.16241625995329936</v>
      </c>
      <c r="HW174" s="54" t="e">
        <f t="shared" si="319"/>
        <v>#N/A</v>
      </c>
      <c r="HX174" s="69" t="str">
        <f t="shared" si="320"/>
        <v/>
      </c>
    </row>
    <row r="175" spans="78:232" x14ac:dyDescent="0.2">
      <c r="BZ175" s="54">
        <f t="shared" si="247"/>
        <v>165</v>
      </c>
      <c r="CA175" s="54">
        <f>Eu_tabel_g[[#This Row],[Indeks]]+1</f>
        <v>166</v>
      </c>
      <c r="CB175" s="54">
        <f t="shared" si="248"/>
        <v>0.86239041102357561</v>
      </c>
      <c r="CC175" s="54">
        <f t="shared" si="249"/>
        <v>0.27505144014997257</v>
      </c>
      <c r="CD175" s="54" t="e">
        <f t="shared" si="250"/>
        <v>#N/A</v>
      </c>
      <c r="CE175" s="54" t="e">
        <f t="shared" si="251"/>
        <v>#N/A</v>
      </c>
      <c r="CF175" s="54" t="e">
        <f t="shared" si="252"/>
        <v>#N/A</v>
      </c>
      <c r="CG175" s="54" t="b">
        <f t="shared" si="253"/>
        <v>0</v>
      </c>
      <c r="CH175" s="54" t="b">
        <f t="shared" si="254"/>
        <v>1</v>
      </c>
      <c r="CI175" s="54" t="b">
        <f t="shared" si="255"/>
        <v>0</v>
      </c>
      <c r="CJ175" s="54" t="b">
        <f t="shared" si="256"/>
        <v>1</v>
      </c>
      <c r="CK175" s="54">
        <f t="shared" si="321"/>
        <v>0.27505144014997257</v>
      </c>
      <c r="CL175" s="54" t="e">
        <f t="shared" si="257"/>
        <v>#N/A</v>
      </c>
      <c r="CM175" s="54">
        <f t="shared" si="258"/>
        <v>0.27505144014997257</v>
      </c>
      <c r="CN175" s="69" t="str">
        <f t="shared" si="259"/>
        <v/>
      </c>
      <c r="CO175" s="54">
        <f>_xlfn.NORM.DIST(_xlfn.NORM.INV(1-Eu_g_konfidensniveau,0,1)-Eu_tabel_g[[#This Row],[x base]],0,1,TRUE)</f>
        <v>6.0838336081612439E-3</v>
      </c>
      <c r="CP175" s="54">
        <f>1-_xlfn.NORM.DIST(_xlfn.NORM.INV(Eu_g_konfidensniveau,0,1)-Eu_tabel_g[[#This Row],[x base]],0,1,TRUE)</f>
        <v>0.2169711974485582</v>
      </c>
      <c r="CQ175" s="54">
        <f>_xlfn.NORM.DIST(_xlfn.NORM.INV((1-Eu_g_konfidensniveau)/2,0,1)-Eu_tabel_g[[#This Row],[x base]],0,1,TRUE)+1-_xlfn.NORM.DIST(_xlfn.NORM.INV(1-(1-Eu_g_konfidensniveau)/2,0,1)-Eu_tabel_g[[#This Row],[x base]],0,1,TRUE)</f>
        <v>0.13857899198909518</v>
      </c>
      <c r="CR175" s="54" t="e" cm="1">
        <f t="array" ref="CR175">IF($CR$3,INDEX(Eu_tabel_g[[#This Row],[Styrke venstre]:[Styrke tosidet]],CR$7),NA())</f>
        <v>#N/A</v>
      </c>
      <c r="CS175" s="89" t="e">
        <f>Eu_tabel_g[[#This Row],[Falsk positiv
Nulhypotese accepteres
Fejltype 1]]</f>
        <v>#N/A</v>
      </c>
      <c r="CT175" s="89" t="e">
        <f>IF(CHOOSE(CR$7,Eu_tabel_g[[#This Row],[x base]]&gt;0,Eu_tabel_g[[#This Row],[x base]]&lt;0,Eu_tabel_g[[#This Row],[x base]]=0),Eu_tabel_g[[#This Row],[Styrke, aktiv]],NA())</f>
        <v>#N/A</v>
      </c>
      <c r="CU175" s="89" t="e">
        <f>IFERROR(IF($CR$3,Eu_tabel_g[[#This Row],[Styrke, aktiv]],NA()),NA())</f>
        <v>#N/A</v>
      </c>
      <c r="CV175" s="89" t="e">
        <f>IF(ISNA(Eu_tabel_g[[#This Row],[Sand negativ
Nulhypotese afvises
Korrekt]]),NA(),IF($CR$3,1,NA()))</f>
        <v>#N/A</v>
      </c>
      <c r="CW175" s="56" t="str" cm="1">
        <f t="array" ref="CW175">_xlfn.SWITCH(BZ175,_xlfn.IFNA(CU$2,-99),CU$5,_xlfn.IFNA(CU$3,-99),CU$6,_xlfn.IFNA(CU$4,-99),CU$7,"")</f>
        <v/>
      </c>
      <c r="DA175" s="7">
        <f t="shared" si="260"/>
        <v>0.8</v>
      </c>
      <c r="DB175">
        <f>IF(ROW(Styrkeberegning_G[[#This Row],[X base venstre]])=ROW(Styrkeberegning_G[[#Headers],[X base venstre]])+1,DB$7/(DA$7/$B$67),DB174/(DA174/$B$67))</f>
        <v>-2.8015817870135784</v>
      </c>
      <c r="DC175">
        <f>Styrkeberegning_G[[#This Row],[X base venstre]]*-1</f>
        <v>2.8015817870135784</v>
      </c>
      <c r="DN175" s="54">
        <f t="shared" si="261"/>
        <v>165</v>
      </c>
      <c r="DO175" s="54">
        <f t="shared" si="262"/>
        <v>166</v>
      </c>
      <c r="DP175" s="54">
        <f t="shared" si="263"/>
        <v>20.655543973458855</v>
      </c>
      <c r="DQ175" s="54" t="e">
        <f t="shared" si="264"/>
        <v>#N/A</v>
      </c>
      <c r="DR175" s="54" t="e">
        <f t="shared" si="265"/>
        <v>#N/A</v>
      </c>
      <c r="DS175" s="54">
        <f t="shared" si="266"/>
        <v>1.1424803489049444E-2</v>
      </c>
      <c r="DT175" s="54" t="e">
        <f t="shared" si="267"/>
        <v>#N/A</v>
      </c>
      <c r="DU175" s="54" t="b">
        <f t="shared" si="268"/>
        <v>0</v>
      </c>
      <c r="DV175" s="54" t="b">
        <f t="shared" si="269"/>
        <v>1</v>
      </c>
      <c r="DW175" s="54" t="b">
        <f t="shared" si="270"/>
        <v>0</v>
      </c>
      <c r="DX175" s="54" t="b">
        <f t="shared" si="271"/>
        <v>1</v>
      </c>
      <c r="DY175" s="54">
        <f t="shared" si="272"/>
        <v>1.1424803489049444E-2</v>
      </c>
      <c r="DZ175" s="54" t="e">
        <f t="shared" si="273"/>
        <v>#N/A</v>
      </c>
      <c r="EA175" s="54">
        <f t="shared" si="274"/>
        <v>1.1424803489049444E-2</v>
      </c>
      <c r="EB175" s="69" t="str">
        <f t="shared" si="275"/>
        <v/>
      </c>
      <c r="EG175" s="54">
        <f t="shared" si="276"/>
        <v>165</v>
      </c>
      <c r="EH175" s="54">
        <f t="shared" si="277"/>
        <v>166</v>
      </c>
      <c r="EI175" s="54">
        <f t="shared" si="278"/>
        <v>0.86239041102357561</v>
      </c>
      <c r="EJ175" s="54">
        <f t="shared" si="279"/>
        <v>0.27505144014997257</v>
      </c>
      <c r="EK175" s="54" t="e">
        <f t="shared" si="280"/>
        <v>#N/A</v>
      </c>
      <c r="EL175" s="54" t="e">
        <f t="shared" si="281"/>
        <v>#N/A</v>
      </c>
      <c r="EM175" s="54" t="e">
        <f t="shared" si="282"/>
        <v>#N/A</v>
      </c>
      <c r="EN175" s="54" t="b">
        <f t="shared" si="283"/>
        <v>0</v>
      </c>
      <c r="EO175" s="54" t="b">
        <f t="shared" si="284"/>
        <v>1</v>
      </c>
      <c r="EP175" s="54" t="b">
        <f t="shared" si="285"/>
        <v>0</v>
      </c>
      <c r="EQ175" s="54" t="b">
        <f t="shared" si="286"/>
        <v>1</v>
      </c>
      <c r="ER175" s="54">
        <f t="shared" si="287"/>
        <v>0.27505144014997257</v>
      </c>
      <c r="ES175" s="54" t="e">
        <f t="shared" si="288"/>
        <v>#N/A</v>
      </c>
      <c r="ET175" s="54">
        <f t="shared" si="289"/>
        <v>0.27505144014997257</v>
      </c>
      <c r="EU175" s="69" t="str">
        <f t="shared" si="290"/>
        <v/>
      </c>
      <c r="EV17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7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7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75" s="54" t="e" cm="1">
        <f t="array" ref="EY175">IF($CR$3,INDEX(Eu_tabel_a[[#This Row],[Styrke venstre]:[Styrke tosidet]],EY$7),NA())</f>
        <v>#N/A</v>
      </c>
      <c r="EZ175" s="54" t="e">
        <f>IF(EY$3,IF(CHOOSE(EY$7,Eu_tabel_a[[#This Row],[x base]]&gt;0,Eu_tabel_a[[#This Row],[x base]]&lt;0,Eu_tabel_a[[#This Row],[x base]]=0),1,NA()),NA())</f>
        <v>#N/A</v>
      </c>
      <c r="FA175" s="54" t="e">
        <f>IF(CHOOSE(EY$7,Eu_tabel_a[[#This Row],[x base]]&gt;0,Eu_tabel_a[[#This Row],[x base]]&lt;0,Eu_tabel_a[[#This Row],[x base]]=0),Eu_tabel_a[[#This Row],[Styrke, aktiv]],NA())</f>
        <v>#N/A</v>
      </c>
      <c r="FB175" s="54" t="e">
        <f>IFERROR(IF($EY$3,Eu_tabel_a[[#This Row],[Styrke, aktiv]],NA()),NA())</f>
        <v>#N/A</v>
      </c>
      <c r="FC175" s="54" t="e">
        <f>IF(ISNA(Eu_tabel_a[[#This Row],[Sand negativ
Nulhypotese afvises
Korrekt]]),NA(),IF(EY$3,1,NA()))</f>
        <v>#N/A</v>
      </c>
      <c r="FD175" s="55" t="str" cm="1">
        <f t="array" ref="FD175">IFERROR(_xlfn.SWITCH(Eu_tabel_a[[#This Row],[Indeks]],_xlfn.IFNA(FB$2,-99),FB$5,_xlfn.IFNA(FB$3,-99),FB$6,_xlfn.IFNA(FB$4,-99),FB$7,""),"")</f>
        <v/>
      </c>
      <c r="FE175" s="54">
        <f>Eu_tabel_a[[#This Row],[x base]]*SQRT(Eu_a_h0_x*(1-Eu_a_h0_x)/Eu_a_n_x)+Eu_a_h0_x</f>
        <v>0</v>
      </c>
      <c r="FJ175" s="144" t="e">
        <f t="shared" si="234"/>
        <v>#N/A</v>
      </c>
      <c r="FK175" s="152" t="e">
        <f t="shared" si="322"/>
        <v>#DIV/0!</v>
      </c>
      <c r="FL175" s="7" t="e">
        <f t="shared" si="228"/>
        <v>#DIV/0!</v>
      </c>
      <c r="FM175" t="e">
        <f t="shared" si="323"/>
        <v>#DIV/0!</v>
      </c>
      <c r="FN175" s="8" t="e">
        <f t="shared" si="324"/>
        <v>#DIV/0!</v>
      </c>
      <c r="FO175" s="8" t="e">
        <f t="shared" si="325"/>
        <v>#DIV/0!</v>
      </c>
      <c r="FP175" s="151" t="e">
        <f t="shared" si="326"/>
        <v>#DIV/0!</v>
      </c>
      <c r="FQ175" s="144" t="e">
        <f t="shared" ca="1" si="229"/>
        <v>#N/A</v>
      </c>
      <c r="FR175" s="152" t="e" vm="3">
        <f t="shared" ca="1" si="235"/>
        <v>#VALUE!</v>
      </c>
      <c r="FS175" s="7" t="e" vm="3">
        <f t="shared" ca="1" si="230"/>
        <v>#VALUE!</v>
      </c>
      <c r="FT175" t="e" vm="3">
        <f t="shared" ca="1" si="224"/>
        <v>#VALUE!</v>
      </c>
      <c r="FU175" s="8" t="e" vm="3">
        <f t="shared" ca="1" si="225"/>
        <v>#VALUE!</v>
      </c>
      <c r="FV175" s="8" t="e" vm="3">
        <f t="shared" ca="1" si="226"/>
        <v>#VALUE!</v>
      </c>
      <c r="FW175" s="151" t="e" vm="3">
        <f t="shared" ca="1" si="227"/>
        <v>#VALUE!</v>
      </c>
      <c r="FX175" s="144" t="e">
        <f t="shared" si="231"/>
        <v>#N/A</v>
      </c>
      <c r="FY175" s="152" t="e">
        <f t="shared" si="236"/>
        <v>#N/A</v>
      </c>
      <c r="FZ175" s="7" t="e">
        <f t="shared" si="232"/>
        <v>#N/A</v>
      </c>
      <c r="GA175" t="e">
        <f t="shared" si="237"/>
        <v>#N/A</v>
      </c>
      <c r="GB175" s="8" t="e">
        <f t="shared" si="238"/>
        <v>#N/A</v>
      </c>
      <c r="GC175" s="8" t="e">
        <f t="shared" si="239"/>
        <v>#N/A</v>
      </c>
      <c r="GD175" s="151" t="e">
        <f t="shared" si="240"/>
        <v>#N/A</v>
      </c>
      <c r="GE175" s="144" t="e">
        <f t="shared" si="241"/>
        <v>#N/A</v>
      </c>
      <c r="GF175" s="152" t="e">
        <f t="shared" si="242"/>
        <v>#N/A</v>
      </c>
      <c r="GG175" s="7" t="e">
        <f t="shared" si="233"/>
        <v>#N/A</v>
      </c>
      <c r="GH175" t="e">
        <f t="shared" si="243"/>
        <v>#N/A</v>
      </c>
      <c r="GI175" s="8" t="e">
        <f t="shared" si="244"/>
        <v>#N/A</v>
      </c>
      <c r="GJ175" s="8" t="e">
        <f t="shared" si="245"/>
        <v>#N/A</v>
      </c>
      <c r="GK175" s="151" t="e">
        <f t="shared" si="246"/>
        <v>#N/A</v>
      </c>
      <c r="GL175" s="151"/>
      <c r="GM175" s="151"/>
      <c r="GP175" s="54">
        <f t="shared" si="291"/>
        <v>165</v>
      </c>
      <c r="GQ175" s="54">
        <f t="shared" si="292"/>
        <v>166</v>
      </c>
      <c r="GR175" s="54">
        <f t="shared" si="293"/>
        <v>0.86239041102357561</v>
      </c>
      <c r="GS175" s="54">
        <f t="shared" si="294"/>
        <v>0.27505144014997257</v>
      </c>
      <c r="GT175" s="54" t="e">
        <f t="shared" si="295"/>
        <v>#N/A</v>
      </c>
      <c r="GU175" s="54" t="e">
        <f t="shared" si="296"/>
        <v>#N/A</v>
      </c>
      <c r="GV175" s="54" t="e">
        <f t="shared" si="297"/>
        <v>#N/A</v>
      </c>
      <c r="GW175" s="54" t="b">
        <f t="shared" si="298"/>
        <v>0</v>
      </c>
      <c r="GX175" s="54" t="b">
        <f t="shared" si="299"/>
        <v>1</v>
      </c>
      <c r="GY175" s="54" t="b">
        <f t="shared" si="300"/>
        <v>0</v>
      </c>
      <c r="GZ175" s="54" t="b">
        <f t="shared" si="301"/>
        <v>1</v>
      </c>
      <c r="HA175" s="54">
        <f t="shared" si="302"/>
        <v>0.27505144014997257</v>
      </c>
      <c r="HB175" s="54" t="e">
        <f t="shared" si="303"/>
        <v>#N/A</v>
      </c>
      <c r="HC175" s="54">
        <f t="shared" si="304"/>
        <v>0.27505144014997257</v>
      </c>
      <c r="HD175" s="69" t="str">
        <f t="shared" si="305"/>
        <v/>
      </c>
      <c r="HJ175" s="54">
        <f t="shared" si="306"/>
        <v>165</v>
      </c>
      <c r="HK175" s="54">
        <f t="shared" si="307"/>
        <v>166</v>
      </c>
      <c r="HL175" s="54">
        <f t="shared" si="308"/>
        <v>1.335429663806047</v>
      </c>
      <c r="HM175" s="54" t="e">
        <f t="shared" si="309"/>
        <v>#N/A</v>
      </c>
      <c r="HN175" s="54">
        <f t="shared" si="310"/>
        <v>0.15530951457528139</v>
      </c>
      <c r="HO175" s="54" t="e">
        <f t="shared" si="311"/>
        <v>#N/A</v>
      </c>
      <c r="HP175" s="54" t="e">
        <f t="shared" si="312"/>
        <v>#N/A</v>
      </c>
      <c r="HQ175" s="54" t="b">
        <f t="shared" si="313"/>
        <v>1</v>
      </c>
      <c r="HR175" s="54" t="b">
        <f t="shared" si="314"/>
        <v>0</v>
      </c>
      <c r="HS175" s="54" t="b">
        <f t="shared" si="315"/>
        <v>0</v>
      </c>
      <c r="HT175" s="54" t="b">
        <f t="shared" si="316"/>
        <v>1</v>
      </c>
      <c r="HU175" s="54">
        <f t="shared" si="317"/>
        <v>0.15530951457528139</v>
      </c>
      <c r="HV175" s="54">
        <f t="shared" si="318"/>
        <v>0.15530951457528139</v>
      </c>
      <c r="HW175" s="54" t="e">
        <f t="shared" si="319"/>
        <v>#N/A</v>
      </c>
      <c r="HX175" s="69" t="str">
        <f t="shared" si="320"/>
        <v/>
      </c>
    </row>
    <row r="176" spans="78:232" x14ac:dyDescent="0.2">
      <c r="BZ176" s="54">
        <f t="shared" si="247"/>
        <v>166</v>
      </c>
      <c r="CA176" s="54">
        <f>Eu_tabel_g[[#This Row],[Indeks]]+1</f>
        <v>167</v>
      </c>
      <c r="CB176" s="54">
        <f t="shared" si="248"/>
        <v>0.88634570021867498</v>
      </c>
      <c r="CC176" s="54">
        <f t="shared" si="249"/>
        <v>0.26935020107061902</v>
      </c>
      <c r="CD176" s="54" t="e">
        <f t="shared" si="250"/>
        <v>#N/A</v>
      </c>
      <c r="CE176" s="54" t="e">
        <f t="shared" si="251"/>
        <v>#N/A</v>
      </c>
      <c r="CF176" s="54" t="e">
        <f t="shared" si="252"/>
        <v>#N/A</v>
      </c>
      <c r="CG176" s="54" t="b">
        <f t="shared" si="253"/>
        <v>0</v>
      </c>
      <c r="CH176" s="54" t="b">
        <f t="shared" si="254"/>
        <v>1</v>
      </c>
      <c r="CI176" s="54" t="b">
        <f t="shared" si="255"/>
        <v>0</v>
      </c>
      <c r="CJ176" s="54" t="b">
        <f t="shared" si="256"/>
        <v>1</v>
      </c>
      <c r="CK176" s="54">
        <f t="shared" si="321"/>
        <v>0.26935020107061902</v>
      </c>
      <c r="CL176" s="54" t="e">
        <f t="shared" si="257"/>
        <v>#N/A</v>
      </c>
      <c r="CM176" s="54">
        <f t="shared" si="258"/>
        <v>0.26935020107061902</v>
      </c>
      <c r="CN176" s="69" t="str">
        <f t="shared" si="259"/>
        <v/>
      </c>
      <c r="CO176" s="54">
        <f>_xlfn.NORM.DIST(_xlfn.NORM.INV(1-Eu_g_konfidensniveau,0,1)-Eu_tabel_g[[#This Row],[x base]],0,1,TRUE)</f>
        <v>5.683661479562039E-3</v>
      </c>
      <c r="CP176" s="54">
        <f>1-_xlfn.NORM.DIST(_xlfn.NORM.INV(Eu_g_konfidensniveau,0,1)-Eu_tabel_g[[#This Row],[x base]],0,1,TRUE)</f>
        <v>0.22407348473684652</v>
      </c>
      <c r="CQ176" s="54">
        <f>_xlfn.NORM.DIST(_xlfn.NORM.INV((1-Eu_g_konfidensniveau)/2,0,1)-Eu_tabel_g[[#This Row],[x base]],0,1,TRUE)+1-_xlfn.NORM.DIST(_xlfn.NORM.INV(1-(1-Eu_g_konfidensniveau)/2,0,1)-Eu_tabel_g[[#This Row],[x base]],0,1,TRUE)</f>
        <v>0.14370835754319289</v>
      </c>
      <c r="CR176" s="54" t="e" cm="1">
        <f t="array" ref="CR176">IF($CR$3,INDEX(Eu_tabel_g[[#This Row],[Styrke venstre]:[Styrke tosidet]],CR$7),NA())</f>
        <v>#N/A</v>
      </c>
      <c r="CS176" s="89" t="e">
        <f>Eu_tabel_g[[#This Row],[Falsk positiv
Nulhypotese accepteres
Fejltype 1]]</f>
        <v>#N/A</v>
      </c>
      <c r="CT176" s="89" t="e">
        <f>IF(CHOOSE(CR$7,Eu_tabel_g[[#This Row],[x base]]&gt;0,Eu_tabel_g[[#This Row],[x base]]&lt;0,Eu_tabel_g[[#This Row],[x base]]=0),Eu_tabel_g[[#This Row],[Styrke, aktiv]],NA())</f>
        <v>#N/A</v>
      </c>
      <c r="CU176" s="89" t="e">
        <f>IFERROR(IF($CR$3,Eu_tabel_g[[#This Row],[Styrke, aktiv]],NA()),NA())</f>
        <v>#N/A</v>
      </c>
      <c r="CV176" s="89" t="e">
        <f>IF(ISNA(Eu_tabel_g[[#This Row],[Sand negativ
Nulhypotese afvises
Korrekt]]),NA(),IF($CR$3,1,NA()))</f>
        <v>#N/A</v>
      </c>
      <c r="CW176" s="56" t="str" cm="1">
        <f t="array" ref="CW176">_xlfn.SWITCH(BZ176,_xlfn.IFNA(CU$2,-99),CU$5,_xlfn.IFNA(CU$3,-99),CU$6,_xlfn.IFNA(CU$4,-99),CU$7,"")</f>
        <v/>
      </c>
      <c r="DA176" s="7">
        <f t="shared" si="260"/>
        <v>0.8</v>
      </c>
      <c r="DB176">
        <f>IF(ROW(Styrkeberegning_G[[#This Row],[X base venstre]])=ROW(Styrkeberegning_G[[#Headers],[X base venstre]])+1,DB$7/(DA$7/$B$67),DB175/(DA175/$B$67))</f>
        <v>-2.8015817870135784</v>
      </c>
      <c r="DC176">
        <f>Styrkeberegning_G[[#This Row],[X base venstre]]*-1</f>
        <v>2.8015817870135784</v>
      </c>
      <c r="DN176" s="54">
        <f t="shared" si="261"/>
        <v>166</v>
      </c>
      <c r="DO176" s="54">
        <f t="shared" si="262"/>
        <v>167</v>
      </c>
      <c r="DP176" s="54">
        <f t="shared" si="263"/>
        <v>20.769614829875856</v>
      </c>
      <c r="DQ176" s="54" t="e">
        <f t="shared" si="264"/>
        <v>#N/A</v>
      </c>
      <c r="DR176" s="54" t="e">
        <f t="shared" si="265"/>
        <v>#N/A</v>
      </c>
      <c r="DS176" s="54">
        <f t="shared" si="266"/>
        <v>1.1062204771235188E-2</v>
      </c>
      <c r="DT176" s="54" t="e">
        <f t="shared" si="267"/>
        <v>#N/A</v>
      </c>
      <c r="DU176" s="54" t="b">
        <f t="shared" si="268"/>
        <v>0</v>
      </c>
      <c r="DV176" s="54" t="b">
        <f t="shared" si="269"/>
        <v>1</v>
      </c>
      <c r="DW176" s="54" t="b">
        <f t="shared" si="270"/>
        <v>0</v>
      </c>
      <c r="DX176" s="54" t="b">
        <f t="shared" si="271"/>
        <v>1</v>
      </c>
      <c r="DY176" s="54">
        <f t="shared" si="272"/>
        <v>1.1062204771235188E-2</v>
      </c>
      <c r="DZ176" s="54" t="e">
        <f t="shared" si="273"/>
        <v>#N/A</v>
      </c>
      <c r="EA176" s="54">
        <f t="shared" si="274"/>
        <v>1.1062204771235188E-2</v>
      </c>
      <c r="EB176" s="69" t="str">
        <f t="shared" si="275"/>
        <v/>
      </c>
      <c r="EG176" s="54">
        <f t="shared" si="276"/>
        <v>166</v>
      </c>
      <c r="EH176" s="54">
        <f t="shared" si="277"/>
        <v>167</v>
      </c>
      <c r="EI176" s="54">
        <f t="shared" si="278"/>
        <v>0.88634570021867498</v>
      </c>
      <c r="EJ176" s="54">
        <f t="shared" si="279"/>
        <v>0.26935020107061902</v>
      </c>
      <c r="EK176" s="54" t="e">
        <f t="shared" si="280"/>
        <v>#N/A</v>
      </c>
      <c r="EL176" s="54" t="e">
        <f t="shared" si="281"/>
        <v>#N/A</v>
      </c>
      <c r="EM176" s="54" t="e">
        <f t="shared" si="282"/>
        <v>#N/A</v>
      </c>
      <c r="EN176" s="54" t="b">
        <f t="shared" si="283"/>
        <v>0</v>
      </c>
      <c r="EO176" s="54" t="b">
        <f t="shared" si="284"/>
        <v>1</v>
      </c>
      <c r="EP176" s="54" t="b">
        <f t="shared" si="285"/>
        <v>0</v>
      </c>
      <c r="EQ176" s="54" t="b">
        <f t="shared" si="286"/>
        <v>1</v>
      </c>
      <c r="ER176" s="54">
        <f t="shared" si="287"/>
        <v>0.26935020107061902</v>
      </c>
      <c r="ES176" s="54" t="e">
        <f t="shared" si="288"/>
        <v>#N/A</v>
      </c>
      <c r="ET176" s="54">
        <f t="shared" si="289"/>
        <v>0.26935020107061902</v>
      </c>
      <c r="EU176" s="69" t="str">
        <f t="shared" si="290"/>
        <v/>
      </c>
      <c r="EV17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7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7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76" s="54" t="e" cm="1">
        <f t="array" ref="EY176">IF($CR$3,INDEX(Eu_tabel_a[[#This Row],[Styrke venstre]:[Styrke tosidet]],EY$7),NA())</f>
        <v>#N/A</v>
      </c>
      <c r="EZ176" s="54" t="e">
        <f>IF(EY$3,IF(CHOOSE(EY$7,Eu_tabel_a[[#This Row],[x base]]&gt;0,Eu_tabel_a[[#This Row],[x base]]&lt;0,Eu_tabel_a[[#This Row],[x base]]=0),1,NA()),NA())</f>
        <v>#N/A</v>
      </c>
      <c r="FA176" s="54" t="e">
        <f>IF(CHOOSE(EY$7,Eu_tabel_a[[#This Row],[x base]]&gt;0,Eu_tabel_a[[#This Row],[x base]]&lt;0,Eu_tabel_a[[#This Row],[x base]]=0),Eu_tabel_a[[#This Row],[Styrke, aktiv]],NA())</f>
        <v>#N/A</v>
      </c>
      <c r="FB176" s="54" t="e">
        <f>IFERROR(IF($EY$3,Eu_tabel_a[[#This Row],[Styrke, aktiv]],NA()),NA())</f>
        <v>#N/A</v>
      </c>
      <c r="FC176" s="54" t="e">
        <f>IF(ISNA(Eu_tabel_a[[#This Row],[Sand negativ
Nulhypotese afvises
Korrekt]]),NA(),IF(EY$3,1,NA()))</f>
        <v>#N/A</v>
      </c>
      <c r="FD176" s="55" t="str" cm="1">
        <f t="array" ref="FD176">IFERROR(_xlfn.SWITCH(Eu_tabel_a[[#This Row],[Indeks]],_xlfn.IFNA(FB$2,-99),FB$5,_xlfn.IFNA(FB$3,-99),FB$6,_xlfn.IFNA(FB$4,-99),FB$7,""),"")</f>
        <v/>
      </c>
      <c r="FE176" s="54">
        <f>Eu_tabel_a[[#This Row],[x base]]*SQRT(Eu_a_h0_x*(1-Eu_a_h0_x)/Eu_a_n_x)+Eu_a_h0_x</f>
        <v>0</v>
      </c>
      <c r="FJ176" s="144" t="e">
        <f t="shared" si="234"/>
        <v>#N/A</v>
      </c>
      <c r="FK176" s="152" t="e">
        <f t="shared" si="322"/>
        <v>#DIV/0!</v>
      </c>
      <c r="FL176" s="7" t="e">
        <f t="shared" si="228"/>
        <v>#DIV/0!</v>
      </c>
      <c r="FM176" t="e">
        <f t="shared" si="323"/>
        <v>#DIV/0!</v>
      </c>
      <c r="FN176" s="8" t="e">
        <f t="shared" si="324"/>
        <v>#DIV/0!</v>
      </c>
      <c r="FO176" s="8" t="e">
        <f t="shared" si="325"/>
        <v>#DIV/0!</v>
      </c>
      <c r="FP176" s="151" t="e">
        <f t="shared" si="326"/>
        <v>#DIV/0!</v>
      </c>
      <c r="FQ176" s="144" t="e">
        <f t="shared" ca="1" si="229"/>
        <v>#N/A</v>
      </c>
      <c r="FR176" s="152" t="e" vm="3">
        <f t="shared" ca="1" si="235"/>
        <v>#VALUE!</v>
      </c>
      <c r="FS176" s="7" t="e" vm="3">
        <f t="shared" ca="1" si="230"/>
        <v>#VALUE!</v>
      </c>
      <c r="FT176" t="e" vm="3">
        <f t="shared" ca="1" si="224"/>
        <v>#VALUE!</v>
      </c>
      <c r="FU176" s="8" t="e" vm="3">
        <f t="shared" ca="1" si="225"/>
        <v>#VALUE!</v>
      </c>
      <c r="FV176" s="8" t="e" vm="3">
        <f t="shared" ca="1" si="226"/>
        <v>#VALUE!</v>
      </c>
      <c r="FW176" s="151" t="e" vm="3">
        <f t="shared" ca="1" si="227"/>
        <v>#VALUE!</v>
      </c>
      <c r="FX176" s="144" t="e">
        <f t="shared" si="231"/>
        <v>#N/A</v>
      </c>
      <c r="FY176" s="152" t="e">
        <f t="shared" si="236"/>
        <v>#N/A</v>
      </c>
      <c r="FZ176" s="7" t="e">
        <f t="shared" si="232"/>
        <v>#N/A</v>
      </c>
      <c r="GA176" t="e">
        <f t="shared" si="237"/>
        <v>#N/A</v>
      </c>
      <c r="GB176" s="8" t="e">
        <f t="shared" si="238"/>
        <v>#N/A</v>
      </c>
      <c r="GC176" s="8" t="e">
        <f t="shared" si="239"/>
        <v>#N/A</v>
      </c>
      <c r="GD176" s="151" t="e">
        <f t="shared" si="240"/>
        <v>#N/A</v>
      </c>
      <c r="GE176" s="144" t="e">
        <f t="shared" si="241"/>
        <v>#N/A</v>
      </c>
      <c r="GF176" s="152" t="e">
        <f t="shared" si="242"/>
        <v>#N/A</v>
      </c>
      <c r="GG176" s="7" t="e">
        <f t="shared" si="233"/>
        <v>#N/A</v>
      </c>
      <c r="GH176" t="e">
        <f t="shared" si="243"/>
        <v>#N/A</v>
      </c>
      <c r="GI176" s="8" t="e">
        <f t="shared" si="244"/>
        <v>#N/A</v>
      </c>
      <c r="GJ176" s="8" t="e">
        <f t="shared" si="245"/>
        <v>#N/A</v>
      </c>
      <c r="GK176" s="151" t="e">
        <f t="shared" si="246"/>
        <v>#N/A</v>
      </c>
      <c r="GL176" s="151"/>
      <c r="GM176" s="151"/>
      <c r="GP176" s="54">
        <f t="shared" si="291"/>
        <v>166</v>
      </c>
      <c r="GQ176" s="54">
        <f t="shared" si="292"/>
        <v>167</v>
      </c>
      <c r="GR176" s="54">
        <f t="shared" si="293"/>
        <v>0.88634570021867498</v>
      </c>
      <c r="GS176" s="54">
        <f t="shared" si="294"/>
        <v>0.26935020107061902</v>
      </c>
      <c r="GT176" s="54" t="e">
        <f t="shared" si="295"/>
        <v>#N/A</v>
      </c>
      <c r="GU176" s="54" t="e">
        <f t="shared" si="296"/>
        <v>#N/A</v>
      </c>
      <c r="GV176" s="54" t="e">
        <f t="shared" si="297"/>
        <v>#N/A</v>
      </c>
      <c r="GW176" s="54" t="b">
        <f t="shared" si="298"/>
        <v>0</v>
      </c>
      <c r="GX176" s="54" t="b">
        <f t="shared" si="299"/>
        <v>1</v>
      </c>
      <c r="GY176" s="54" t="b">
        <f t="shared" si="300"/>
        <v>0</v>
      </c>
      <c r="GZ176" s="54" t="b">
        <f t="shared" si="301"/>
        <v>1</v>
      </c>
      <c r="HA176" s="54">
        <f t="shared" si="302"/>
        <v>0.26935020107061902</v>
      </c>
      <c r="HB176" s="54" t="e">
        <f t="shared" si="303"/>
        <v>#N/A</v>
      </c>
      <c r="HC176" s="54">
        <f t="shared" si="304"/>
        <v>0.26935020107061902</v>
      </c>
      <c r="HD176" s="69" t="str">
        <f t="shared" si="305"/>
        <v/>
      </c>
      <c r="HJ176" s="54">
        <f t="shared" si="306"/>
        <v>166</v>
      </c>
      <c r="HK176" s="54">
        <f t="shared" si="307"/>
        <v>167</v>
      </c>
      <c r="HL176" s="54">
        <f t="shared" si="308"/>
        <v>1.3725249322451036</v>
      </c>
      <c r="HM176" s="54" t="e">
        <f t="shared" si="309"/>
        <v>#N/A</v>
      </c>
      <c r="HN176" s="54">
        <f t="shared" si="310"/>
        <v>0.14840322085312829</v>
      </c>
      <c r="HO176" s="54" t="e">
        <f t="shared" si="311"/>
        <v>#N/A</v>
      </c>
      <c r="HP176" s="54" t="e">
        <f t="shared" si="312"/>
        <v>#N/A</v>
      </c>
      <c r="HQ176" s="54" t="b">
        <f t="shared" si="313"/>
        <v>1</v>
      </c>
      <c r="HR176" s="54" t="b">
        <f t="shared" si="314"/>
        <v>0</v>
      </c>
      <c r="HS176" s="54" t="b">
        <f t="shared" si="315"/>
        <v>0</v>
      </c>
      <c r="HT176" s="54" t="b">
        <f t="shared" si="316"/>
        <v>1</v>
      </c>
      <c r="HU176" s="54">
        <f t="shared" si="317"/>
        <v>0.14840322085312829</v>
      </c>
      <c r="HV176" s="54">
        <f t="shared" si="318"/>
        <v>0.14840322085312829</v>
      </c>
      <c r="HW176" s="54" t="e">
        <f t="shared" si="319"/>
        <v>#N/A</v>
      </c>
      <c r="HX176" s="69" t="str">
        <f t="shared" si="320"/>
        <v/>
      </c>
    </row>
    <row r="177" spans="78:232" x14ac:dyDescent="0.2">
      <c r="BZ177" s="54">
        <f t="shared" si="247"/>
        <v>167</v>
      </c>
      <c r="CA177" s="54">
        <f>Eu_tabel_g[[#This Row],[Indeks]]+1</f>
        <v>168</v>
      </c>
      <c r="CB177" s="54">
        <f t="shared" si="248"/>
        <v>0.91030098941377435</v>
      </c>
      <c r="CC177" s="54">
        <f t="shared" si="249"/>
        <v>0.26361581581156529</v>
      </c>
      <c r="CD177" s="54" t="e">
        <f t="shared" si="250"/>
        <v>#N/A</v>
      </c>
      <c r="CE177" s="54" t="e">
        <f t="shared" si="251"/>
        <v>#N/A</v>
      </c>
      <c r="CF177" s="54" t="e">
        <f t="shared" si="252"/>
        <v>#N/A</v>
      </c>
      <c r="CG177" s="54" t="b">
        <f t="shared" si="253"/>
        <v>0</v>
      </c>
      <c r="CH177" s="54" t="b">
        <f t="shared" si="254"/>
        <v>1</v>
      </c>
      <c r="CI177" s="54" t="b">
        <f t="shared" si="255"/>
        <v>0</v>
      </c>
      <c r="CJ177" s="54" t="b">
        <f t="shared" si="256"/>
        <v>1</v>
      </c>
      <c r="CK177" s="54">
        <f t="shared" si="321"/>
        <v>0.26361581581156529</v>
      </c>
      <c r="CL177" s="54" t="e">
        <f t="shared" si="257"/>
        <v>#N/A</v>
      </c>
      <c r="CM177" s="54">
        <f t="shared" si="258"/>
        <v>0.26361581581156529</v>
      </c>
      <c r="CN177" s="69" t="str">
        <f t="shared" si="259"/>
        <v/>
      </c>
      <c r="CO177" s="54">
        <f>_xlfn.NORM.DIST(_xlfn.NORM.INV(1-Eu_g_konfidensniveau,0,1)-Eu_tabel_g[[#This Row],[x base]],0,1,TRUE)</f>
        <v>5.3070319351234858E-3</v>
      </c>
      <c r="CP177" s="54">
        <f>1-_xlfn.NORM.DIST(_xlfn.NORM.INV(Eu_g_konfidensniveau,0,1)-Eu_tabel_g[[#This Row],[x base]],0,1,TRUE)</f>
        <v>0.23130599584174627</v>
      </c>
      <c r="CQ177" s="54">
        <f>_xlfn.NORM.DIST(_xlfn.NORM.INV((1-Eu_g_konfidensniveau)/2,0,1)-Eu_tabel_g[[#This Row],[x base]],0,1,TRUE)+1-_xlfn.NORM.DIST(_xlfn.NORM.INV(1-(1-Eu_g_konfidensniveau)/2,0,1)-Eu_tabel_g[[#This Row],[x base]],0,1,TRUE)</f>
        <v>0.1489871812732273</v>
      </c>
      <c r="CR177" s="54" t="e" cm="1">
        <f t="array" ref="CR177">IF($CR$3,INDEX(Eu_tabel_g[[#This Row],[Styrke venstre]:[Styrke tosidet]],CR$7),NA())</f>
        <v>#N/A</v>
      </c>
      <c r="CS177" s="89" t="e">
        <f>Eu_tabel_g[[#This Row],[Falsk positiv
Nulhypotese accepteres
Fejltype 1]]</f>
        <v>#N/A</v>
      </c>
      <c r="CT177" s="89" t="e">
        <f>IF(CHOOSE(CR$7,Eu_tabel_g[[#This Row],[x base]]&gt;0,Eu_tabel_g[[#This Row],[x base]]&lt;0,Eu_tabel_g[[#This Row],[x base]]=0),Eu_tabel_g[[#This Row],[Styrke, aktiv]],NA())</f>
        <v>#N/A</v>
      </c>
      <c r="CU177" s="89" t="e">
        <f>IFERROR(IF($CR$3,Eu_tabel_g[[#This Row],[Styrke, aktiv]],NA()),NA())</f>
        <v>#N/A</v>
      </c>
      <c r="CV177" s="89" t="e">
        <f>IF(ISNA(Eu_tabel_g[[#This Row],[Sand negativ
Nulhypotese afvises
Korrekt]]),NA(),IF($CR$3,1,NA()))</f>
        <v>#N/A</v>
      </c>
      <c r="CW177" s="56" t="str" cm="1">
        <f t="array" ref="CW177">_xlfn.SWITCH(BZ177,_xlfn.IFNA(CU$2,-99),CU$5,_xlfn.IFNA(CU$3,-99),CU$6,_xlfn.IFNA(CU$4,-99),CU$7,"")</f>
        <v/>
      </c>
      <c r="DA177" s="7">
        <f t="shared" si="260"/>
        <v>0.8</v>
      </c>
      <c r="DB177">
        <f>IF(ROW(Styrkeberegning_G[[#This Row],[X base venstre]])=ROW(Styrkeberegning_G[[#Headers],[X base venstre]])+1,DB$7/(DA$7/$B$67),DB176/(DA176/$B$67))</f>
        <v>-2.8015817870135784</v>
      </c>
      <c r="DC177">
        <f>Styrkeberegning_G[[#This Row],[X base venstre]]*-1</f>
        <v>2.8015817870135784</v>
      </c>
      <c r="DN177" s="54">
        <f t="shared" si="261"/>
        <v>167</v>
      </c>
      <c r="DO177" s="54">
        <f t="shared" si="262"/>
        <v>168</v>
      </c>
      <c r="DP177" s="54">
        <f t="shared" si="263"/>
        <v>20.883685686292857</v>
      </c>
      <c r="DQ177" s="54" t="e">
        <f t="shared" si="264"/>
        <v>#N/A</v>
      </c>
      <c r="DR177" s="54" t="e">
        <f t="shared" si="265"/>
        <v>#N/A</v>
      </c>
      <c r="DS177" s="54">
        <f t="shared" si="266"/>
        <v>1.0709660317246334E-2</v>
      </c>
      <c r="DT177" s="54" t="e">
        <f t="shared" si="267"/>
        <v>#N/A</v>
      </c>
      <c r="DU177" s="54" t="b">
        <f t="shared" si="268"/>
        <v>0</v>
      </c>
      <c r="DV177" s="54" t="b">
        <f t="shared" si="269"/>
        <v>1</v>
      </c>
      <c r="DW177" s="54" t="b">
        <f t="shared" si="270"/>
        <v>0</v>
      </c>
      <c r="DX177" s="54" t="b">
        <f t="shared" si="271"/>
        <v>1</v>
      </c>
      <c r="DY177" s="54">
        <f t="shared" si="272"/>
        <v>1.0709660317246334E-2</v>
      </c>
      <c r="DZ177" s="54" t="e">
        <f t="shared" si="273"/>
        <v>#N/A</v>
      </c>
      <c r="EA177" s="54">
        <f t="shared" si="274"/>
        <v>1.0709660317246334E-2</v>
      </c>
      <c r="EB177" s="69" t="str">
        <f t="shared" si="275"/>
        <v/>
      </c>
      <c r="EG177" s="54">
        <f t="shared" si="276"/>
        <v>167</v>
      </c>
      <c r="EH177" s="54">
        <f t="shared" si="277"/>
        <v>168</v>
      </c>
      <c r="EI177" s="54">
        <f t="shared" si="278"/>
        <v>0.91030098941377435</v>
      </c>
      <c r="EJ177" s="54">
        <f t="shared" si="279"/>
        <v>0.26361581581156529</v>
      </c>
      <c r="EK177" s="54" t="e">
        <f t="shared" si="280"/>
        <v>#N/A</v>
      </c>
      <c r="EL177" s="54" t="e">
        <f t="shared" si="281"/>
        <v>#N/A</v>
      </c>
      <c r="EM177" s="54" t="e">
        <f t="shared" si="282"/>
        <v>#N/A</v>
      </c>
      <c r="EN177" s="54" t="b">
        <f t="shared" si="283"/>
        <v>0</v>
      </c>
      <c r="EO177" s="54" t="b">
        <f t="shared" si="284"/>
        <v>1</v>
      </c>
      <c r="EP177" s="54" t="b">
        <f t="shared" si="285"/>
        <v>0</v>
      </c>
      <c r="EQ177" s="54" t="b">
        <f t="shared" si="286"/>
        <v>1</v>
      </c>
      <c r="ER177" s="54">
        <f t="shared" si="287"/>
        <v>0.26361581581156529</v>
      </c>
      <c r="ES177" s="54" t="e">
        <f t="shared" si="288"/>
        <v>#N/A</v>
      </c>
      <c r="ET177" s="54">
        <f t="shared" si="289"/>
        <v>0.26361581581156529</v>
      </c>
      <c r="EU177" s="69" t="str">
        <f t="shared" si="290"/>
        <v/>
      </c>
      <c r="EV17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7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7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77" s="54" t="e" cm="1">
        <f t="array" ref="EY177">IF($CR$3,INDEX(Eu_tabel_a[[#This Row],[Styrke venstre]:[Styrke tosidet]],EY$7),NA())</f>
        <v>#N/A</v>
      </c>
      <c r="EZ177" s="54" t="e">
        <f>IF(EY$3,IF(CHOOSE(EY$7,Eu_tabel_a[[#This Row],[x base]]&gt;0,Eu_tabel_a[[#This Row],[x base]]&lt;0,Eu_tabel_a[[#This Row],[x base]]=0),1,NA()),NA())</f>
        <v>#N/A</v>
      </c>
      <c r="FA177" s="54" t="e">
        <f>IF(CHOOSE(EY$7,Eu_tabel_a[[#This Row],[x base]]&gt;0,Eu_tabel_a[[#This Row],[x base]]&lt;0,Eu_tabel_a[[#This Row],[x base]]=0),Eu_tabel_a[[#This Row],[Styrke, aktiv]],NA())</f>
        <v>#N/A</v>
      </c>
      <c r="FB177" s="54" t="e">
        <f>IFERROR(IF($EY$3,Eu_tabel_a[[#This Row],[Styrke, aktiv]],NA()),NA())</f>
        <v>#N/A</v>
      </c>
      <c r="FC177" s="54" t="e">
        <f>IF(ISNA(Eu_tabel_a[[#This Row],[Sand negativ
Nulhypotese afvises
Korrekt]]),NA(),IF(EY$3,1,NA()))</f>
        <v>#N/A</v>
      </c>
      <c r="FD177" s="55" t="str" cm="1">
        <f t="array" ref="FD177">IFERROR(_xlfn.SWITCH(Eu_tabel_a[[#This Row],[Indeks]],_xlfn.IFNA(FB$2,-99),FB$5,_xlfn.IFNA(FB$3,-99),FB$6,_xlfn.IFNA(FB$4,-99),FB$7,""),"")</f>
        <v/>
      </c>
      <c r="FE177" s="54">
        <f>Eu_tabel_a[[#This Row],[x base]]*SQRT(Eu_a_h0_x*(1-Eu_a_h0_x)/Eu_a_n_x)+Eu_a_h0_x</f>
        <v>0</v>
      </c>
      <c r="FJ177" s="144" t="e">
        <f t="shared" si="234"/>
        <v>#N/A</v>
      </c>
      <c r="FK177" s="152" t="e">
        <f t="shared" si="322"/>
        <v>#DIV/0!</v>
      </c>
      <c r="FL177" s="7" t="e">
        <f t="shared" si="228"/>
        <v>#DIV/0!</v>
      </c>
      <c r="FM177" t="e">
        <f t="shared" si="323"/>
        <v>#DIV/0!</v>
      </c>
      <c r="FN177" s="8" t="e">
        <f t="shared" si="324"/>
        <v>#DIV/0!</v>
      </c>
      <c r="FO177" s="8" t="e">
        <f t="shared" si="325"/>
        <v>#DIV/0!</v>
      </c>
      <c r="FP177" s="151" t="e">
        <f t="shared" si="326"/>
        <v>#DIV/0!</v>
      </c>
      <c r="FQ177" s="144" t="e">
        <f t="shared" ca="1" si="229"/>
        <v>#N/A</v>
      </c>
      <c r="FR177" s="152" t="e" vm="3">
        <f t="shared" ca="1" si="235"/>
        <v>#VALUE!</v>
      </c>
      <c r="FS177" s="7" t="e" vm="3">
        <f t="shared" ca="1" si="230"/>
        <v>#VALUE!</v>
      </c>
      <c r="FT177" t="e" vm="3">
        <f t="shared" ca="1" si="224"/>
        <v>#VALUE!</v>
      </c>
      <c r="FU177" s="8" t="e" vm="3">
        <f t="shared" ca="1" si="225"/>
        <v>#VALUE!</v>
      </c>
      <c r="FV177" s="8" t="e" vm="3">
        <f t="shared" ca="1" si="226"/>
        <v>#VALUE!</v>
      </c>
      <c r="FW177" s="151" t="e" vm="3">
        <f t="shared" ca="1" si="227"/>
        <v>#VALUE!</v>
      </c>
      <c r="FX177" s="144" t="e">
        <f t="shared" si="231"/>
        <v>#N/A</v>
      </c>
      <c r="FY177" s="152" t="e">
        <f t="shared" si="236"/>
        <v>#N/A</v>
      </c>
      <c r="FZ177" s="7" t="e">
        <f t="shared" si="232"/>
        <v>#N/A</v>
      </c>
      <c r="GA177" t="e">
        <f t="shared" si="237"/>
        <v>#N/A</v>
      </c>
      <c r="GB177" s="8" t="e">
        <f t="shared" si="238"/>
        <v>#N/A</v>
      </c>
      <c r="GC177" s="8" t="e">
        <f t="shared" si="239"/>
        <v>#N/A</v>
      </c>
      <c r="GD177" s="151" t="e">
        <f t="shared" si="240"/>
        <v>#N/A</v>
      </c>
      <c r="GE177" s="144" t="e">
        <f t="shared" si="241"/>
        <v>#N/A</v>
      </c>
      <c r="GF177" s="152" t="e">
        <f t="shared" si="242"/>
        <v>#N/A</v>
      </c>
      <c r="GG177" s="7" t="e">
        <f t="shared" si="233"/>
        <v>#N/A</v>
      </c>
      <c r="GH177" t="e">
        <f t="shared" si="243"/>
        <v>#N/A</v>
      </c>
      <c r="GI177" s="8" t="e">
        <f t="shared" si="244"/>
        <v>#N/A</v>
      </c>
      <c r="GJ177" s="8" t="e">
        <f t="shared" si="245"/>
        <v>#N/A</v>
      </c>
      <c r="GK177" s="151" t="e">
        <f t="shared" si="246"/>
        <v>#N/A</v>
      </c>
      <c r="GL177" s="151"/>
      <c r="GM177" s="151"/>
      <c r="GP177" s="54">
        <f t="shared" si="291"/>
        <v>167</v>
      </c>
      <c r="GQ177" s="54">
        <f t="shared" si="292"/>
        <v>168</v>
      </c>
      <c r="GR177" s="54">
        <f t="shared" si="293"/>
        <v>0.91030098941377435</v>
      </c>
      <c r="GS177" s="54">
        <f t="shared" si="294"/>
        <v>0.26361581581156529</v>
      </c>
      <c r="GT177" s="54" t="e">
        <f t="shared" si="295"/>
        <v>#N/A</v>
      </c>
      <c r="GU177" s="54" t="e">
        <f t="shared" si="296"/>
        <v>#N/A</v>
      </c>
      <c r="GV177" s="54" t="e">
        <f t="shared" si="297"/>
        <v>#N/A</v>
      </c>
      <c r="GW177" s="54" t="b">
        <f t="shared" si="298"/>
        <v>0</v>
      </c>
      <c r="GX177" s="54" t="b">
        <f t="shared" si="299"/>
        <v>1</v>
      </c>
      <c r="GY177" s="54" t="b">
        <f t="shared" si="300"/>
        <v>0</v>
      </c>
      <c r="GZ177" s="54" t="b">
        <f t="shared" si="301"/>
        <v>1</v>
      </c>
      <c r="HA177" s="54">
        <f t="shared" si="302"/>
        <v>0.26361581581156529</v>
      </c>
      <c r="HB177" s="54" t="e">
        <f t="shared" si="303"/>
        <v>#N/A</v>
      </c>
      <c r="HC177" s="54">
        <f t="shared" si="304"/>
        <v>0.26361581581156529</v>
      </c>
      <c r="HD177" s="69" t="str">
        <f t="shared" si="305"/>
        <v/>
      </c>
      <c r="HJ177" s="54">
        <f t="shared" si="306"/>
        <v>167</v>
      </c>
      <c r="HK177" s="54">
        <f t="shared" si="307"/>
        <v>168</v>
      </c>
      <c r="HL177" s="54">
        <f t="shared" si="308"/>
        <v>1.4096202006841603</v>
      </c>
      <c r="HM177" s="54" t="e">
        <f t="shared" si="309"/>
        <v>#N/A</v>
      </c>
      <c r="HN177" s="54">
        <f t="shared" si="310"/>
        <v>0.14170287181765581</v>
      </c>
      <c r="HO177" s="54" t="e">
        <f t="shared" si="311"/>
        <v>#N/A</v>
      </c>
      <c r="HP177" s="54" t="e">
        <f t="shared" si="312"/>
        <v>#N/A</v>
      </c>
      <c r="HQ177" s="54" t="b">
        <f t="shared" si="313"/>
        <v>1</v>
      </c>
      <c r="HR177" s="54" t="b">
        <f t="shared" si="314"/>
        <v>0</v>
      </c>
      <c r="HS177" s="54" t="b">
        <f t="shared" si="315"/>
        <v>0</v>
      </c>
      <c r="HT177" s="54" t="b">
        <f t="shared" si="316"/>
        <v>1</v>
      </c>
      <c r="HU177" s="54">
        <f t="shared" si="317"/>
        <v>0.14170287181765581</v>
      </c>
      <c r="HV177" s="54">
        <f t="shared" si="318"/>
        <v>0.14170287181765581</v>
      </c>
      <c r="HW177" s="54" t="e">
        <f t="shared" si="319"/>
        <v>#N/A</v>
      </c>
      <c r="HX177" s="69" t="str">
        <f t="shared" si="320"/>
        <v/>
      </c>
    </row>
    <row r="178" spans="78:232" x14ac:dyDescent="0.2">
      <c r="BZ178" s="54">
        <f t="shared" si="247"/>
        <v>168</v>
      </c>
      <c r="CA178" s="54">
        <f>Eu_tabel_g[[#This Row],[Indeks]]+1</f>
        <v>169</v>
      </c>
      <c r="CB178" s="54">
        <f t="shared" si="248"/>
        <v>0.93425627860887328</v>
      </c>
      <c r="CC178" s="54">
        <f t="shared" si="249"/>
        <v>0.25785549954028952</v>
      </c>
      <c r="CD178" s="54" t="e">
        <f t="shared" si="250"/>
        <v>#N/A</v>
      </c>
      <c r="CE178" s="54" t="e">
        <f t="shared" si="251"/>
        <v>#N/A</v>
      </c>
      <c r="CF178" s="54" t="e">
        <f t="shared" si="252"/>
        <v>#N/A</v>
      </c>
      <c r="CG178" s="54" t="b">
        <f t="shared" si="253"/>
        <v>0</v>
      </c>
      <c r="CH178" s="54" t="b">
        <f t="shared" si="254"/>
        <v>1</v>
      </c>
      <c r="CI178" s="54" t="b">
        <f t="shared" si="255"/>
        <v>0</v>
      </c>
      <c r="CJ178" s="54" t="b">
        <f t="shared" si="256"/>
        <v>1</v>
      </c>
      <c r="CK178" s="54">
        <f t="shared" si="321"/>
        <v>0.25785549954028952</v>
      </c>
      <c r="CL178" s="54" t="e">
        <f t="shared" si="257"/>
        <v>#N/A</v>
      </c>
      <c r="CM178" s="54">
        <f t="shared" si="258"/>
        <v>0.25785549954028952</v>
      </c>
      <c r="CN178" s="69" t="str">
        <f t="shared" si="259"/>
        <v/>
      </c>
      <c r="CO178" s="54">
        <f>_xlfn.NORM.DIST(_xlfn.NORM.INV(1-Eu_g_konfidensniveau,0,1)-Eu_tabel_g[[#This Row],[x base]],0,1,TRUE)</f>
        <v>4.9527632854500766E-3</v>
      </c>
      <c r="CP178" s="54">
        <f>1-_xlfn.NORM.DIST(_xlfn.NORM.INV(Eu_g_konfidensniveau,0,1)-Eu_tabel_g[[#This Row],[x base]],0,1,TRUE)</f>
        <v>0.23866689337442759</v>
      </c>
      <c r="CQ178" s="54">
        <f>_xlfn.NORM.DIST(_xlfn.NORM.INV((1-Eu_g_konfidensniveau)/2,0,1)-Eu_tabel_g[[#This Row],[x base]],0,1,TRUE)+1-_xlfn.NORM.DIST(_xlfn.NORM.INV(1-(1-Eu_g_konfidensniveau)/2,0,1)-Eu_tabel_g[[#This Row],[x base]],0,1,TRUE)</f>
        <v>0.15441519761232736</v>
      </c>
      <c r="CR178" s="54" t="e" cm="1">
        <f t="array" ref="CR178">IF($CR$3,INDEX(Eu_tabel_g[[#This Row],[Styrke venstre]:[Styrke tosidet]],CR$7),NA())</f>
        <v>#N/A</v>
      </c>
      <c r="CS178" s="89" t="e">
        <f>Eu_tabel_g[[#This Row],[Falsk positiv
Nulhypotese accepteres
Fejltype 1]]</f>
        <v>#N/A</v>
      </c>
      <c r="CT178" s="89" t="e">
        <f>IF(CHOOSE(CR$7,Eu_tabel_g[[#This Row],[x base]]&gt;0,Eu_tabel_g[[#This Row],[x base]]&lt;0,Eu_tabel_g[[#This Row],[x base]]=0),Eu_tabel_g[[#This Row],[Styrke, aktiv]],NA())</f>
        <v>#N/A</v>
      </c>
      <c r="CU178" s="89" t="e">
        <f>IFERROR(IF($CR$3,Eu_tabel_g[[#This Row],[Styrke, aktiv]],NA()),NA())</f>
        <v>#N/A</v>
      </c>
      <c r="CV178" s="89" t="e">
        <f>IF(ISNA(Eu_tabel_g[[#This Row],[Sand negativ
Nulhypotese afvises
Korrekt]]),NA(),IF($CR$3,1,NA()))</f>
        <v>#N/A</v>
      </c>
      <c r="CW178" s="56" t="str" cm="1">
        <f t="array" ref="CW178">_xlfn.SWITCH(BZ178,_xlfn.IFNA(CU$2,-99),CU$5,_xlfn.IFNA(CU$3,-99),CU$6,_xlfn.IFNA(CU$4,-99),CU$7,"")</f>
        <v/>
      </c>
      <c r="DA178" s="7">
        <f t="shared" si="260"/>
        <v>0.8</v>
      </c>
      <c r="DB178">
        <f>IF(ROW(Styrkeberegning_G[[#This Row],[X base venstre]])=ROW(Styrkeberegning_G[[#Headers],[X base venstre]])+1,DB$7/(DA$7/$B$67),DB177/(DA177/$B$67))</f>
        <v>-2.8015817870135784</v>
      </c>
      <c r="DC178">
        <f>Styrkeberegning_G[[#This Row],[X base venstre]]*-1</f>
        <v>2.8015817870135784</v>
      </c>
      <c r="DN178" s="54">
        <f t="shared" si="261"/>
        <v>168</v>
      </c>
      <c r="DO178" s="54">
        <f t="shared" si="262"/>
        <v>169</v>
      </c>
      <c r="DP178" s="54">
        <f t="shared" si="263"/>
        <v>20.997756542709858</v>
      </c>
      <c r="DQ178" s="54" t="e">
        <f t="shared" si="264"/>
        <v>#N/A</v>
      </c>
      <c r="DR178" s="54" t="e">
        <f t="shared" si="265"/>
        <v>#N/A</v>
      </c>
      <c r="DS178" s="54">
        <f t="shared" si="266"/>
        <v>1.0366959214378312E-2</v>
      </c>
      <c r="DT178" s="54" t="e">
        <f t="shared" si="267"/>
        <v>#N/A</v>
      </c>
      <c r="DU178" s="54" t="b">
        <f t="shared" si="268"/>
        <v>0</v>
      </c>
      <c r="DV178" s="54" t="b">
        <f t="shared" si="269"/>
        <v>1</v>
      </c>
      <c r="DW178" s="54" t="b">
        <f t="shared" si="270"/>
        <v>0</v>
      </c>
      <c r="DX178" s="54" t="b">
        <f t="shared" si="271"/>
        <v>1</v>
      </c>
      <c r="DY178" s="54">
        <f t="shared" si="272"/>
        <v>1.0366959214378312E-2</v>
      </c>
      <c r="DZ178" s="54" t="e">
        <f t="shared" si="273"/>
        <v>#N/A</v>
      </c>
      <c r="EA178" s="54">
        <f t="shared" si="274"/>
        <v>1.0366959214378312E-2</v>
      </c>
      <c r="EB178" s="69" t="str">
        <f t="shared" si="275"/>
        <v/>
      </c>
      <c r="EG178" s="54">
        <f t="shared" si="276"/>
        <v>168</v>
      </c>
      <c r="EH178" s="54">
        <f t="shared" si="277"/>
        <v>169</v>
      </c>
      <c r="EI178" s="54">
        <f t="shared" si="278"/>
        <v>0.93425627860887328</v>
      </c>
      <c r="EJ178" s="54">
        <f t="shared" si="279"/>
        <v>0.25785549954028952</v>
      </c>
      <c r="EK178" s="54" t="e">
        <f t="shared" si="280"/>
        <v>#N/A</v>
      </c>
      <c r="EL178" s="54" t="e">
        <f t="shared" si="281"/>
        <v>#N/A</v>
      </c>
      <c r="EM178" s="54" t="e">
        <f t="shared" si="282"/>
        <v>#N/A</v>
      </c>
      <c r="EN178" s="54" t="b">
        <f t="shared" si="283"/>
        <v>0</v>
      </c>
      <c r="EO178" s="54" t="b">
        <f t="shared" si="284"/>
        <v>1</v>
      </c>
      <c r="EP178" s="54" t="b">
        <f t="shared" si="285"/>
        <v>0</v>
      </c>
      <c r="EQ178" s="54" t="b">
        <f t="shared" si="286"/>
        <v>1</v>
      </c>
      <c r="ER178" s="54">
        <f t="shared" si="287"/>
        <v>0.25785549954028952</v>
      </c>
      <c r="ES178" s="54" t="e">
        <f t="shared" si="288"/>
        <v>#N/A</v>
      </c>
      <c r="ET178" s="54">
        <f t="shared" si="289"/>
        <v>0.25785549954028952</v>
      </c>
      <c r="EU178" s="69" t="str">
        <f t="shared" si="290"/>
        <v/>
      </c>
      <c r="EV17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7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7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78" s="54" t="e" cm="1">
        <f t="array" ref="EY178">IF($CR$3,INDEX(Eu_tabel_a[[#This Row],[Styrke venstre]:[Styrke tosidet]],EY$7),NA())</f>
        <v>#N/A</v>
      </c>
      <c r="EZ178" s="54" t="e">
        <f>IF(EY$3,IF(CHOOSE(EY$7,Eu_tabel_a[[#This Row],[x base]]&gt;0,Eu_tabel_a[[#This Row],[x base]]&lt;0,Eu_tabel_a[[#This Row],[x base]]=0),1,NA()),NA())</f>
        <v>#N/A</v>
      </c>
      <c r="FA178" s="54" t="e">
        <f>IF(CHOOSE(EY$7,Eu_tabel_a[[#This Row],[x base]]&gt;0,Eu_tabel_a[[#This Row],[x base]]&lt;0,Eu_tabel_a[[#This Row],[x base]]=0),Eu_tabel_a[[#This Row],[Styrke, aktiv]],NA())</f>
        <v>#N/A</v>
      </c>
      <c r="FB178" s="54" t="e">
        <f>IFERROR(IF($EY$3,Eu_tabel_a[[#This Row],[Styrke, aktiv]],NA()),NA())</f>
        <v>#N/A</v>
      </c>
      <c r="FC178" s="54" t="e">
        <f>IF(ISNA(Eu_tabel_a[[#This Row],[Sand negativ
Nulhypotese afvises
Korrekt]]),NA(),IF(EY$3,1,NA()))</f>
        <v>#N/A</v>
      </c>
      <c r="FD178" s="55" t="str" cm="1">
        <f t="array" ref="FD178">IFERROR(_xlfn.SWITCH(Eu_tabel_a[[#This Row],[Indeks]],_xlfn.IFNA(FB$2,-99),FB$5,_xlfn.IFNA(FB$3,-99),FB$6,_xlfn.IFNA(FB$4,-99),FB$7,""),"")</f>
        <v/>
      </c>
      <c r="FE178" s="54">
        <f>Eu_tabel_a[[#This Row],[x base]]*SQRT(Eu_a_h0_x*(1-Eu_a_h0_x)/Eu_a_n_x)+Eu_a_h0_x</f>
        <v>0</v>
      </c>
      <c r="FJ178" s="144" t="e">
        <f t="shared" si="234"/>
        <v>#N/A</v>
      </c>
      <c r="FK178" s="152" t="e">
        <f t="shared" si="322"/>
        <v>#DIV/0!</v>
      </c>
      <c r="FL178" s="7" t="e">
        <f t="shared" si="228"/>
        <v>#DIV/0!</v>
      </c>
      <c r="FM178" t="e">
        <f t="shared" si="323"/>
        <v>#DIV/0!</v>
      </c>
      <c r="FN178" s="8" t="e">
        <f t="shared" si="324"/>
        <v>#DIV/0!</v>
      </c>
      <c r="FO178" s="8" t="e">
        <f t="shared" si="325"/>
        <v>#DIV/0!</v>
      </c>
      <c r="FP178" s="151" t="e">
        <f t="shared" si="326"/>
        <v>#DIV/0!</v>
      </c>
      <c r="FQ178" s="144" t="e">
        <f t="shared" ca="1" si="229"/>
        <v>#N/A</v>
      </c>
      <c r="FR178" s="152" t="e" vm="3">
        <f t="shared" ca="1" si="235"/>
        <v>#VALUE!</v>
      </c>
      <c r="FS178" s="7" t="e" vm="3">
        <f t="shared" ca="1" si="230"/>
        <v>#VALUE!</v>
      </c>
      <c r="FT178" t="e" vm="3">
        <f t="shared" ca="1" si="224"/>
        <v>#VALUE!</v>
      </c>
      <c r="FU178" s="8" t="e" vm="3">
        <f t="shared" ca="1" si="225"/>
        <v>#VALUE!</v>
      </c>
      <c r="FV178" s="8" t="e" vm="3">
        <f t="shared" ca="1" si="226"/>
        <v>#VALUE!</v>
      </c>
      <c r="FW178" s="151" t="e" vm="3">
        <f t="shared" ca="1" si="227"/>
        <v>#VALUE!</v>
      </c>
      <c r="FX178" s="144" t="e">
        <f t="shared" si="231"/>
        <v>#N/A</v>
      </c>
      <c r="FY178" s="152" t="e">
        <f t="shared" si="236"/>
        <v>#N/A</v>
      </c>
      <c r="FZ178" s="7" t="e">
        <f t="shared" si="232"/>
        <v>#N/A</v>
      </c>
      <c r="GA178" t="e">
        <f t="shared" si="237"/>
        <v>#N/A</v>
      </c>
      <c r="GB178" s="8" t="e">
        <f t="shared" si="238"/>
        <v>#N/A</v>
      </c>
      <c r="GC178" s="8" t="e">
        <f t="shared" si="239"/>
        <v>#N/A</v>
      </c>
      <c r="GD178" s="151" t="e">
        <f t="shared" si="240"/>
        <v>#N/A</v>
      </c>
      <c r="GE178" s="144" t="e">
        <f t="shared" si="241"/>
        <v>#N/A</v>
      </c>
      <c r="GF178" s="152" t="e">
        <f t="shared" si="242"/>
        <v>#N/A</v>
      </c>
      <c r="GG178" s="7" t="e">
        <f t="shared" si="233"/>
        <v>#N/A</v>
      </c>
      <c r="GH178" t="e">
        <f t="shared" si="243"/>
        <v>#N/A</v>
      </c>
      <c r="GI178" s="8" t="e">
        <f t="shared" si="244"/>
        <v>#N/A</v>
      </c>
      <c r="GJ178" s="8" t="e">
        <f t="shared" si="245"/>
        <v>#N/A</v>
      </c>
      <c r="GK178" s="151" t="e">
        <f t="shared" si="246"/>
        <v>#N/A</v>
      </c>
      <c r="GL178" s="151"/>
      <c r="GM178" s="151"/>
      <c r="GP178" s="54">
        <f t="shared" si="291"/>
        <v>168</v>
      </c>
      <c r="GQ178" s="54">
        <f t="shared" si="292"/>
        <v>169</v>
      </c>
      <c r="GR178" s="54">
        <f t="shared" si="293"/>
        <v>0.93425627860887328</v>
      </c>
      <c r="GS178" s="54">
        <f t="shared" si="294"/>
        <v>0.25785549954028952</v>
      </c>
      <c r="GT178" s="54" t="e">
        <f t="shared" si="295"/>
        <v>#N/A</v>
      </c>
      <c r="GU178" s="54" t="e">
        <f t="shared" si="296"/>
        <v>#N/A</v>
      </c>
      <c r="GV178" s="54" t="e">
        <f t="shared" si="297"/>
        <v>#N/A</v>
      </c>
      <c r="GW178" s="54" t="b">
        <f t="shared" si="298"/>
        <v>0</v>
      </c>
      <c r="GX178" s="54" t="b">
        <f t="shared" si="299"/>
        <v>1</v>
      </c>
      <c r="GY178" s="54" t="b">
        <f t="shared" si="300"/>
        <v>0</v>
      </c>
      <c r="GZ178" s="54" t="b">
        <f t="shared" si="301"/>
        <v>1</v>
      </c>
      <c r="HA178" s="54">
        <f t="shared" si="302"/>
        <v>0.25785549954028952</v>
      </c>
      <c r="HB178" s="54" t="e">
        <f t="shared" si="303"/>
        <v>#N/A</v>
      </c>
      <c r="HC178" s="54">
        <f t="shared" si="304"/>
        <v>0.25785549954028952</v>
      </c>
      <c r="HD178" s="69" t="str">
        <f t="shared" si="305"/>
        <v/>
      </c>
      <c r="HJ178" s="54">
        <f t="shared" si="306"/>
        <v>168</v>
      </c>
      <c r="HK178" s="54">
        <f t="shared" si="307"/>
        <v>169</v>
      </c>
      <c r="HL178" s="54">
        <f t="shared" si="308"/>
        <v>1.4467154691232169</v>
      </c>
      <c r="HM178" s="54" t="e">
        <f t="shared" si="309"/>
        <v>#N/A</v>
      </c>
      <c r="HN178" s="54">
        <f t="shared" si="310"/>
        <v>0.13521261842852653</v>
      </c>
      <c r="HO178" s="54" t="e">
        <f t="shared" si="311"/>
        <v>#N/A</v>
      </c>
      <c r="HP178" s="54" t="e">
        <f t="shared" si="312"/>
        <v>#N/A</v>
      </c>
      <c r="HQ178" s="54" t="b">
        <f t="shared" si="313"/>
        <v>1</v>
      </c>
      <c r="HR178" s="54" t="b">
        <f t="shared" si="314"/>
        <v>0</v>
      </c>
      <c r="HS178" s="54" t="b">
        <f t="shared" si="315"/>
        <v>0</v>
      </c>
      <c r="HT178" s="54" t="b">
        <f t="shared" si="316"/>
        <v>1</v>
      </c>
      <c r="HU178" s="54">
        <f t="shared" si="317"/>
        <v>0.13521261842852653</v>
      </c>
      <c r="HV178" s="54">
        <f t="shared" si="318"/>
        <v>0.13521261842852653</v>
      </c>
      <c r="HW178" s="54" t="e">
        <f t="shared" si="319"/>
        <v>#N/A</v>
      </c>
      <c r="HX178" s="69" t="str">
        <f t="shared" si="320"/>
        <v/>
      </c>
    </row>
    <row r="179" spans="78:232" x14ac:dyDescent="0.2">
      <c r="BZ179" s="54">
        <f t="shared" si="247"/>
        <v>169</v>
      </c>
      <c r="CA179" s="54">
        <f>Eu_tabel_g[[#This Row],[Indeks]]+1</f>
        <v>170</v>
      </c>
      <c r="CB179" s="54">
        <f t="shared" si="248"/>
        <v>0.9582115678039731</v>
      </c>
      <c r="CC179" s="54">
        <f t="shared" si="249"/>
        <v>0.25207635595578487</v>
      </c>
      <c r="CD179" s="54" t="e">
        <f t="shared" si="250"/>
        <v>#N/A</v>
      </c>
      <c r="CE179" s="54" t="e">
        <f t="shared" si="251"/>
        <v>#N/A</v>
      </c>
      <c r="CF179" s="54" t="e">
        <f t="shared" si="252"/>
        <v>#N/A</v>
      </c>
      <c r="CG179" s="54" t="b">
        <f t="shared" si="253"/>
        <v>0</v>
      </c>
      <c r="CH179" s="54" t="b">
        <f t="shared" si="254"/>
        <v>1</v>
      </c>
      <c r="CI179" s="54" t="b">
        <f t="shared" si="255"/>
        <v>0</v>
      </c>
      <c r="CJ179" s="54" t="b">
        <f t="shared" si="256"/>
        <v>1</v>
      </c>
      <c r="CK179" s="54">
        <f t="shared" si="321"/>
        <v>0.25207635595578487</v>
      </c>
      <c r="CL179" s="54" t="e">
        <f t="shared" si="257"/>
        <v>#N/A</v>
      </c>
      <c r="CM179" s="54">
        <f t="shared" si="258"/>
        <v>0.25207635595578487</v>
      </c>
      <c r="CN179" s="69" t="str">
        <f t="shared" si="259"/>
        <v/>
      </c>
      <c r="CO179" s="54">
        <f>_xlfn.NORM.DIST(_xlfn.NORM.INV(1-Eu_g_konfidensniveau,0,1)-Eu_tabel_g[[#This Row],[x base]],0,1,TRUE)</f>
        <v>4.6197191056137179E-3</v>
      </c>
      <c r="CP179" s="54">
        <f>1-_xlfn.NORM.DIST(_xlfn.NORM.INV(Eu_g_konfidensniveau,0,1)-Eu_tabel_g[[#This Row],[x base]],0,1,TRUE)</f>
        <v>0.24615415872133872</v>
      </c>
      <c r="CQ179" s="54">
        <f>_xlfn.NORM.DIST(_xlfn.NORM.INV((1-Eu_g_konfidensniveau)/2,0,1)-Eu_tabel_g[[#This Row],[x base]],0,1,TRUE)+1-_xlfn.NORM.DIST(_xlfn.NORM.INV(1-(1-Eu_g_konfidensniveau)/2,0,1)-Eu_tabel_g[[#This Row],[x base]],0,1,TRUE)</f>
        <v>0.15999202225771336</v>
      </c>
      <c r="CR179" s="54" t="e" cm="1">
        <f t="array" ref="CR179">IF($CR$3,INDEX(Eu_tabel_g[[#This Row],[Styrke venstre]:[Styrke tosidet]],CR$7),NA())</f>
        <v>#N/A</v>
      </c>
      <c r="CS179" s="89" t="e">
        <f>Eu_tabel_g[[#This Row],[Falsk positiv
Nulhypotese accepteres
Fejltype 1]]</f>
        <v>#N/A</v>
      </c>
      <c r="CT179" s="89" t="e">
        <f>IF(CHOOSE(CR$7,Eu_tabel_g[[#This Row],[x base]]&gt;0,Eu_tabel_g[[#This Row],[x base]]&lt;0,Eu_tabel_g[[#This Row],[x base]]=0),Eu_tabel_g[[#This Row],[Styrke, aktiv]],NA())</f>
        <v>#N/A</v>
      </c>
      <c r="CU179" s="89" t="e">
        <f>IFERROR(IF($CR$3,Eu_tabel_g[[#This Row],[Styrke, aktiv]],NA()),NA())</f>
        <v>#N/A</v>
      </c>
      <c r="CV179" s="89" t="e">
        <f>IF(ISNA(Eu_tabel_g[[#This Row],[Sand negativ
Nulhypotese afvises
Korrekt]]),NA(),IF($CR$3,1,NA()))</f>
        <v>#N/A</v>
      </c>
      <c r="CW179" s="56" t="str" cm="1">
        <f t="array" ref="CW179">_xlfn.SWITCH(BZ179,_xlfn.IFNA(CU$2,-99),CU$5,_xlfn.IFNA(CU$3,-99),CU$6,_xlfn.IFNA(CU$4,-99),CU$7,"")</f>
        <v/>
      </c>
      <c r="DA179" s="7">
        <f t="shared" si="260"/>
        <v>0.8</v>
      </c>
      <c r="DB179">
        <f>IF(ROW(Styrkeberegning_G[[#This Row],[X base venstre]])=ROW(Styrkeberegning_G[[#Headers],[X base venstre]])+1,DB$7/(DA$7/$B$67),DB178/(DA178/$B$67))</f>
        <v>-2.8015817870135784</v>
      </c>
      <c r="DC179">
        <f>Styrkeberegning_G[[#This Row],[X base venstre]]*-1</f>
        <v>2.8015817870135784</v>
      </c>
      <c r="DN179" s="54">
        <f t="shared" si="261"/>
        <v>169</v>
      </c>
      <c r="DO179" s="54">
        <f t="shared" si="262"/>
        <v>170</v>
      </c>
      <c r="DP179" s="54">
        <f t="shared" si="263"/>
        <v>21.111827399126859</v>
      </c>
      <c r="DQ179" s="54" t="e">
        <f t="shared" si="264"/>
        <v>#N/A</v>
      </c>
      <c r="DR179" s="54" t="e">
        <f t="shared" si="265"/>
        <v>#N/A</v>
      </c>
      <c r="DS179" s="54">
        <f t="shared" si="266"/>
        <v>1.0033891625586211E-2</v>
      </c>
      <c r="DT179" s="54" t="e">
        <f t="shared" si="267"/>
        <v>#N/A</v>
      </c>
      <c r="DU179" s="54" t="b">
        <f t="shared" si="268"/>
        <v>0</v>
      </c>
      <c r="DV179" s="54" t="b">
        <f t="shared" si="269"/>
        <v>1</v>
      </c>
      <c r="DW179" s="54" t="b">
        <f t="shared" si="270"/>
        <v>0</v>
      </c>
      <c r="DX179" s="54" t="b">
        <f t="shared" si="271"/>
        <v>1</v>
      </c>
      <c r="DY179" s="54">
        <f t="shared" si="272"/>
        <v>1.0033891625586211E-2</v>
      </c>
      <c r="DZ179" s="54" t="e">
        <f t="shared" si="273"/>
        <v>#N/A</v>
      </c>
      <c r="EA179" s="54">
        <f t="shared" si="274"/>
        <v>1.0033891625586211E-2</v>
      </c>
      <c r="EB179" s="69" t="str">
        <f t="shared" si="275"/>
        <v/>
      </c>
      <c r="EG179" s="54">
        <f t="shared" si="276"/>
        <v>169</v>
      </c>
      <c r="EH179" s="54">
        <f t="shared" si="277"/>
        <v>170</v>
      </c>
      <c r="EI179" s="54">
        <f t="shared" si="278"/>
        <v>0.9582115678039731</v>
      </c>
      <c r="EJ179" s="54">
        <f t="shared" si="279"/>
        <v>0.25207635595578487</v>
      </c>
      <c r="EK179" s="54" t="e">
        <f t="shared" si="280"/>
        <v>#N/A</v>
      </c>
      <c r="EL179" s="54" t="e">
        <f t="shared" si="281"/>
        <v>#N/A</v>
      </c>
      <c r="EM179" s="54" t="e">
        <f t="shared" si="282"/>
        <v>#N/A</v>
      </c>
      <c r="EN179" s="54" t="b">
        <f t="shared" si="283"/>
        <v>0</v>
      </c>
      <c r="EO179" s="54" t="b">
        <f t="shared" si="284"/>
        <v>1</v>
      </c>
      <c r="EP179" s="54" t="b">
        <f t="shared" si="285"/>
        <v>0</v>
      </c>
      <c r="EQ179" s="54" t="b">
        <f t="shared" si="286"/>
        <v>1</v>
      </c>
      <c r="ER179" s="54">
        <f t="shared" si="287"/>
        <v>0.25207635595578487</v>
      </c>
      <c r="ES179" s="54" t="e">
        <f t="shared" si="288"/>
        <v>#N/A</v>
      </c>
      <c r="ET179" s="54">
        <f t="shared" si="289"/>
        <v>0.25207635595578487</v>
      </c>
      <c r="EU179" s="69" t="str">
        <f t="shared" si="290"/>
        <v/>
      </c>
      <c r="EV17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7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7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79" s="54" t="e" cm="1">
        <f t="array" ref="EY179">IF($CR$3,INDEX(Eu_tabel_a[[#This Row],[Styrke venstre]:[Styrke tosidet]],EY$7),NA())</f>
        <v>#N/A</v>
      </c>
      <c r="EZ179" s="54" t="e">
        <f>IF(EY$3,IF(CHOOSE(EY$7,Eu_tabel_a[[#This Row],[x base]]&gt;0,Eu_tabel_a[[#This Row],[x base]]&lt;0,Eu_tabel_a[[#This Row],[x base]]=0),1,NA()),NA())</f>
        <v>#N/A</v>
      </c>
      <c r="FA179" s="54" t="e">
        <f>IF(CHOOSE(EY$7,Eu_tabel_a[[#This Row],[x base]]&gt;0,Eu_tabel_a[[#This Row],[x base]]&lt;0,Eu_tabel_a[[#This Row],[x base]]=0),Eu_tabel_a[[#This Row],[Styrke, aktiv]],NA())</f>
        <v>#N/A</v>
      </c>
      <c r="FB179" s="54" t="e">
        <f>IFERROR(IF($EY$3,Eu_tabel_a[[#This Row],[Styrke, aktiv]],NA()),NA())</f>
        <v>#N/A</v>
      </c>
      <c r="FC179" s="54" t="e">
        <f>IF(ISNA(Eu_tabel_a[[#This Row],[Sand negativ
Nulhypotese afvises
Korrekt]]),NA(),IF(EY$3,1,NA()))</f>
        <v>#N/A</v>
      </c>
      <c r="FD179" s="55" t="str" cm="1">
        <f t="array" ref="FD179">IFERROR(_xlfn.SWITCH(Eu_tabel_a[[#This Row],[Indeks]],_xlfn.IFNA(FB$2,-99),FB$5,_xlfn.IFNA(FB$3,-99),FB$6,_xlfn.IFNA(FB$4,-99),FB$7,""),"")</f>
        <v/>
      </c>
      <c r="FE179" s="54">
        <f>Eu_tabel_a[[#This Row],[x base]]*SQRT(Eu_a_h0_x*(1-Eu_a_h0_x)/Eu_a_n_x)+Eu_a_h0_x</f>
        <v>0</v>
      </c>
      <c r="FJ179" s="144" t="e">
        <f t="shared" si="234"/>
        <v>#N/A</v>
      </c>
      <c r="FK179" s="152" t="e">
        <f t="shared" si="322"/>
        <v>#DIV/0!</v>
      </c>
      <c r="FL179" s="7" t="e">
        <f t="shared" si="228"/>
        <v>#DIV/0!</v>
      </c>
      <c r="FM179" t="e">
        <f t="shared" si="323"/>
        <v>#DIV/0!</v>
      </c>
      <c r="FN179" s="8" t="e">
        <f t="shared" si="324"/>
        <v>#DIV/0!</v>
      </c>
      <c r="FO179" s="8" t="e">
        <f t="shared" si="325"/>
        <v>#DIV/0!</v>
      </c>
      <c r="FP179" s="151" t="e">
        <f t="shared" si="326"/>
        <v>#DIV/0!</v>
      </c>
      <c r="FQ179" s="144" t="e">
        <f t="shared" ca="1" si="229"/>
        <v>#N/A</v>
      </c>
      <c r="FR179" s="152" t="e" vm="3">
        <f t="shared" ca="1" si="235"/>
        <v>#VALUE!</v>
      </c>
      <c r="FS179" s="7" t="e" vm="3">
        <f t="shared" ca="1" si="230"/>
        <v>#VALUE!</v>
      </c>
      <c r="FT179" t="e" vm="3">
        <f t="shared" ca="1" si="224"/>
        <v>#VALUE!</v>
      </c>
      <c r="FU179" s="8" t="e" vm="3">
        <f t="shared" ca="1" si="225"/>
        <v>#VALUE!</v>
      </c>
      <c r="FV179" s="8" t="e" vm="3">
        <f t="shared" ca="1" si="226"/>
        <v>#VALUE!</v>
      </c>
      <c r="FW179" s="151" t="e" vm="3">
        <f t="shared" ca="1" si="227"/>
        <v>#VALUE!</v>
      </c>
      <c r="FX179" s="144" t="e">
        <f t="shared" si="231"/>
        <v>#N/A</v>
      </c>
      <c r="FY179" s="152" t="e">
        <f t="shared" si="236"/>
        <v>#N/A</v>
      </c>
      <c r="FZ179" s="7" t="e">
        <f t="shared" si="232"/>
        <v>#N/A</v>
      </c>
      <c r="GA179" t="e">
        <f t="shared" si="237"/>
        <v>#N/A</v>
      </c>
      <c r="GB179" s="8" t="e">
        <f t="shared" si="238"/>
        <v>#N/A</v>
      </c>
      <c r="GC179" s="8" t="e">
        <f t="shared" si="239"/>
        <v>#N/A</v>
      </c>
      <c r="GD179" s="151" t="e">
        <f t="shared" si="240"/>
        <v>#N/A</v>
      </c>
      <c r="GE179" s="144" t="e">
        <f t="shared" si="241"/>
        <v>#N/A</v>
      </c>
      <c r="GF179" s="152" t="e">
        <f t="shared" si="242"/>
        <v>#N/A</v>
      </c>
      <c r="GG179" s="7" t="e">
        <f t="shared" si="233"/>
        <v>#N/A</v>
      </c>
      <c r="GH179" t="e">
        <f t="shared" si="243"/>
        <v>#N/A</v>
      </c>
      <c r="GI179" s="8" t="e">
        <f t="shared" si="244"/>
        <v>#N/A</v>
      </c>
      <c r="GJ179" s="8" t="e">
        <f t="shared" si="245"/>
        <v>#N/A</v>
      </c>
      <c r="GK179" s="151" t="e">
        <f t="shared" si="246"/>
        <v>#N/A</v>
      </c>
      <c r="GL179" s="151"/>
      <c r="GM179" s="151"/>
      <c r="GP179" s="54">
        <f t="shared" si="291"/>
        <v>169</v>
      </c>
      <c r="GQ179" s="54">
        <f t="shared" si="292"/>
        <v>170</v>
      </c>
      <c r="GR179" s="54">
        <f t="shared" si="293"/>
        <v>0.9582115678039731</v>
      </c>
      <c r="GS179" s="54">
        <f t="shared" si="294"/>
        <v>0.25207635595578487</v>
      </c>
      <c r="GT179" s="54" t="e">
        <f t="shared" si="295"/>
        <v>#N/A</v>
      </c>
      <c r="GU179" s="54" t="e">
        <f t="shared" si="296"/>
        <v>#N/A</v>
      </c>
      <c r="GV179" s="54" t="e">
        <f t="shared" si="297"/>
        <v>#N/A</v>
      </c>
      <c r="GW179" s="54" t="b">
        <f t="shared" si="298"/>
        <v>0</v>
      </c>
      <c r="GX179" s="54" t="b">
        <f t="shared" si="299"/>
        <v>1</v>
      </c>
      <c r="GY179" s="54" t="b">
        <f t="shared" si="300"/>
        <v>0</v>
      </c>
      <c r="GZ179" s="54" t="b">
        <f t="shared" si="301"/>
        <v>1</v>
      </c>
      <c r="HA179" s="54">
        <f t="shared" si="302"/>
        <v>0.25207635595578487</v>
      </c>
      <c r="HB179" s="54" t="e">
        <f t="shared" si="303"/>
        <v>#N/A</v>
      </c>
      <c r="HC179" s="54">
        <f t="shared" si="304"/>
        <v>0.25207635595578487</v>
      </c>
      <c r="HD179" s="69" t="str">
        <f t="shared" si="305"/>
        <v/>
      </c>
      <c r="HJ179" s="54">
        <f t="shared" si="306"/>
        <v>169</v>
      </c>
      <c r="HK179" s="54">
        <f t="shared" si="307"/>
        <v>170</v>
      </c>
      <c r="HL179" s="54">
        <f t="shared" si="308"/>
        <v>1.4838107375622744</v>
      </c>
      <c r="HM179" s="54" t="e">
        <f t="shared" si="309"/>
        <v>#N/A</v>
      </c>
      <c r="HN179" s="54">
        <f t="shared" si="310"/>
        <v>0.12893536108620479</v>
      </c>
      <c r="HO179" s="54" t="e">
        <f t="shared" si="311"/>
        <v>#N/A</v>
      </c>
      <c r="HP179" s="54" t="e">
        <f t="shared" si="312"/>
        <v>#N/A</v>
      </c>
      <c r="HQ179" s="54" t="b">
        <f t="shared" si="313"/>
        <v>1</v>
      </c>
      <c r="HR179" s="54" t="b">
        <f t="shared" si="314"/>
        <v>0</v>
      </c>
      <c r="HS179" s="54" t="b">
        <f t="shared" si="315"/>
        <v>0</v>
      </c>
      <c r="HT179" s="54" t="b">
        <f t="shared" si="316"/>
        <v>1</v>
      </c>
      <c r="HU179" s="54">
        <f t="shared" si="317"/>
        <v>0.12893536108620479</v>
      </c>
      <c r="HV179" s="54">
        <f t="shared" si="318"/>
        <v>0.12893536108620479</v>
      </c>
      <c r="HW179" s="54" t="e">
        <f t="shared" si="319"/>
        <v>#N/A</v>
      </c>
      <c r="HX179" s="69" t="str">
        <f t="shared" si="320"/>
        <v/>
      </c>
    </row>
    <row r="180" spans="78:232" x14ac:dyDescent="0.2">
      <c r="BZ180" s="54">
        <f t="shared" si="247"/>
        <v>170</v>
      </c>
      <c r="CA180" s="54">
        <f>Eu_tabel_g[[#This Row],[Indeks]]+1</f>
        <v>171</v>
      </c>
      <c r="CB180" s="54">
        <f t="shared" si="248"/>
        <v>0.98216685699907202</v>
      </c>
      <c r="CC180" s="54">
        <f t="shared" si="249"/>
        <v>0.24628536360353348</v>
      </c>
      <c r="CD180" s="54" t="e">
        <f t="shared" si="250"/>
        <v>#N/A</v>
      </c>
      <c r="CE180" s="54" t="e">
        <f t="shared" si="251"/>
        <v>#N/A</v>
      </c>
      <c r="CF180" s="54" t="e">
        <f t="shared" si="252"/>
        <v>#N/A</v>
      </c>
      <c r="CG180" s="54" t="b">
        <f t="shared" si="253"/>
        <v>0</v>
      </c>
      <c r="CH180" s="54" t="b">
        <f t="shared" si="254"/>
        <v>1</v>
      </c>
      <c r="CI180" s="54" t="b">
        <f t="shared" si="255"/>
        <v>0</v>
      </c>
      <c r="CJ180" s="54" t="b">
        <f t="shared" si="256"/>
        <v>1</v>
      </c>
      <c r="CK180" s="54">
        <f t="shared" si="321"/>
        <v>0.24628536360353348</v>
      </c>
      <c r="CL180" s="54" t="e">
        <f t="shared" si="257"/>
        <v>#N/A</v>
      </c>
      <c r="CM180" s="54">
        <f t="shared" si="258"/>
        <v>0.24628536360353348</v>
      </c>
      <c r="CN180" s="69" t="str">
        <f t="shared" si="259"/>
        <v/>
      </c>
      <c r="CO180" s="54">
        <f>_xlfn.NORM.DIST(_xlfn.NORM.INV(1-Eu_g_konfidensniveau,0,1)-Eu_tabel_g[[#This Row],[x base]],0,1,TRUE)</f>
        <v>4.3068074326911626E-3</v>
      </c>
      <c r="CP180" s="54">
        <f>1-_xlfn.NORM.DIST(_xlfn.NORM.INV(Eu_g_konfidensniveau,0,1)-Eu_tabel_g[[#This Row],[x base]],0,1,TRUE)</f>
        <v>0.25376559238468421</v>
      </c>
      <c r="CQ180" s="54">
        <f>_xlfn.NORM.DIST(_xlfn.NORM.INV((1-Eu_g_konfidensniveau)/2,0,1)-Eu_tabel_g[[#This Row],[x base]],0,1,TRUE)+1-_xlfn.NORM.DIST(_xlfn.NORM.INV(1-(1-Eu_g_konfidensniveau)/2,0,1)-Eu_tabel_g[[#This Row],[x base]],0,1,TRUE)</f>
        <v>0.16571714685203198</v>
      </c>
      <c r="CR180" s="54" t="e" cm="1">
        <f t="array" ref="CR180">IF($CR$3,INDEX(Eu_tabel_g[[#This Row],[Styrke venstre]:[Styrke tosidet]],CR$7),NA())</f>
        <v>#N/A</v>
      </c>
      <c r="CS180" s="89" t="e">
        <f>Eu_tabel_g[[#This Row],[Falsk positiv
Nulhypotese accepteres
Fejltype 1]]</f>
        <v>#N/A</v>
      </c>
      <c r="CT180" s="89" t="e">
        <f>IF(CHOOSE(CR$7,Eu_tabel_g[[#This Row],[x base]]&gt;0,Eu_tabel_g[[#This Row],[x base]]&lt;0,Eu_tabel_g[[#This Row],[x base]]=0),Eu_tabel_g[[#This Row],[Styrke, aktiv]],NA())</f>
        <v>#N/A</v>
      </c>
      <c r="CU180" s="89" t="e">
        <f>IFERROR(IF($CR$3,Eu_tabel_g[[#This Row],[Styrke, aktiv]],NA()),NA())</f>
        <v>#N/A</v>
      </c>
      <c r="CV180" s="89" t="e">
        <f>IF(ISNA(Eu_tabel_g[[#This Row],[Sand negativ
Nulhypotese afvises
Korrekt]]),NA(),IF($CR$3,1,NA()))</f>
        <v>#N/A</v>
      </c>
      <c r="CW180" s="56" t="str" cm="1">
        <f t="array" ref="CW180">_xlfn.SWITCH(BZ180,_xlfn.IFNA(CU$2,-99),CU$5,_xlfn.IFNA(CU$3,-99),CU$6,_xlfn.IFNA(CU$4,-99),CU$7,"")</f>
        <v/>
      </c>
      <c r="DA180" s="7">
        <f t="shared" si="260"/>
        <v>0.8</v>
      </c>
      <c r="DB180">
        <f>IF(ROW(Styrkeberegning_G[[#This Row],[X base venstre]])=ROW(Styrkeberegning_G[[#Headers],[X base venstre]])+1,DB$7/(DA$7/$B$67),DB179/(DA179/$B$67))</f>
        <v>-2.8015817870135784</v>
      </c>
      <c r="DC180">
        <f>Styrkeberegning_G[[#This Row],[X base venstre]]*-1</f>
        <v>2.8015817870135784</v>
      </c>
      <c r="DN180" s="54">
        <f t="shared" si="261"/>
        <v>170</v>
      </c>
      <c r="DO180" s="54">
        <f t="shared" si="262"/>
        <v>171</v>
      </c>
      <c r="DP180" s="54">
        <f t="shared" si="263"/>
        <v>21.225898255543861</v>
      </c>
      <c r="DQ180" s="54" t="e">
        <f t="shared" si="264"/>
        <v>#N/A</v>
      </c>
      <c r="DR180" s="54" t="e">
        <f t="shared" si="265"/>
        <v>#N/A</v>
      </c>
      <c r="DS180" s="54">
        <f t="shared" si="266"/>
        <v>9.7102489864168053E-3</v>
      </c>
      <c r="DT180" s="54" t="e">
        <f t="shared" si="267"/>
        <v>#N/A</v>
      </c>
      <c r="DU180" s="54" t="b">
        <f t="shared" si="268"/>
        <v>0</v>
      </c>
      <c r="DV180" s="54" t="b">
        <f t="shared" si="269"/>
        <v>1</v>
      </c>
      <c r="DW180" s="54" t="b">
        <f t="shared" si="270"/>
        <v>0</v>
      </c>
      <c r="DX180" s="54" t="b">
        <f t="shared" si="271"/>
        <v>1</v>
      </c>
      <c r="DY180" s="54">
        <f t="shared" si="272"/>
        <v>9.7102489864168053E-3</v>
      </c>
      <c r="DZ180" s="54" t="e">
        <f t="shared" si="273"/>
        <v>#N/A</v>
      </c>
      <c r="EA180" s="54">
        <f t="shared" si="274"/>
        <v>9.7102489864168053E-3</v>
      </c>
      <c r="EB180" s="69" t="str">
        <f t="shared" si="275"/>
        <v/>
      </c>
      <c r="EG180" s="54">
        <f t="shared" si="276"/>
        <v>170</v>
      </c>
      <c r="EH180" s="54">
        <f t="shared" si="277"/>
        <v>171</v>
      </c>
      <c r="EI180" s="54">
        <f t="shared" si="278"/>
        <v>0.98216685699907202</v>
      </c>
      <c r="EJ180" s="54">
        <f t="shared" si="279"/>
        <v>0.24628536360353348</v>
      </c>
      <c r="EK180" s="54" t="e">
        <f t="shared" si="280"/>
        <v>#N/A</v>
      </c>
      <c r="EL180" s="54" t="e">
        <f t="shared" si="281"/>
        <v>#N/A</v>
      </c>
      <c r="EM180" s="54" t="e">
        <f t="shared" si="282"/>
        <v>#N/A</v>
      </c>
      <c r="EN180" s="54" t="b">
        <f t="shared" si="283"/>
        <v>0</v>
      </c>
      <c r="EO180" s="54" t="b">
        <f t="shared" si="284"/>
        <v>1</v>
      </c>
      <c r="EP180" s="54" t="b">
        <f t="shared" si="285"/>
        <v>0</v>
      </c>
      <c r="EQ180" s="54" t="b">
        <f t="shared" si="286"/>
        <v>1</v>
      </c>
      <c r="ER180" s="54">
        <f t="shared" si="287"/>
        <v>0.24628536360353348</v>
      </c>
      <c r="ES180" s="54" t="e">
        <f t="shared" si="288"/>
        <v>#N/A</v>
      </c>
      <c r="ET180" s="54">
        <f t="shared" si="289"/>
        <v>0.24628536360353348</v>
      </c>
      <c r="EU180" s="69" t="str">
        <f t="shared" si="290"/>
        <v/>
      </c>
      <c r="EV18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8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8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80" s="54" t="e" cm="1">
        <f t="array" ref="EY180">IF($CR$3,INDEX(Eu_tabel_a[[#This Row],[Styrke venstre]:[Styrke tosidet]],EY$7),NA())</f>
        <v>#N/A</v>
      </c>
      <c r="EZ180" s="54" t="e">
        <f>IF(EY$3,IF(CHOOSE(EY$7,Eu_tabel_a[[#This Row],[x base]]&gt;0,Eu_tabel_a[[#This Row],[x base]]&lt;0,Eu_tabel_a[[#This Row],[x base]]=0),1,NA()),NA())</f>
        <v>#N/A</v>
      </c>
      <c r="FA180" s="54" t="e">
        <f>IF(CHOOSE(EY$7,Eu_tabel_a[[#This Row],[x base]]&gt;0,Eu_tabel_a[[#This Row],[x base]]&lt;0,Eu_tabel_a[[#This Row],[x base]]=0),Eu_tabel_a[[#This Row],[Styrke, aktiv]],NA())</f>
        <v>#N/A</v>
      </c>
      <c r="FB180" s="54" t="e">
        <f>IFERROR(IF($EY$3,Eu_tabel_a[[#This Row],[Styrke, aktiv]],NA()),NA())</f>
        <v>#N/A</v>
      </c>
      <c r="FC180" s="54" t="e">
        <f>IF(ISNA(Eu_tabel_a[[#This Row],[Sand negativ
Nulhypotese afvises
Korrekt]]),NA(),IF(EY$3,1,NA()))</f>
        <v>#N/A</v>
      </c>
      <c r="FD180" s="55" t="str" cm="1">
        <f t="array" ref="FD180">IFERROR(_xlfn.SWITCH(Eu_tabel_a[[#This Row],[Indeks]],_xlfn.IFNA(FB$2,-99),FB$5,_xlfn.IFNA(FB$3,-99),FB$6,_xlfn.IFNA(FB$4,-99),FB$7,""),"")</f>
        <v/>
      </c>
      <c r="FE180" s="54">
        <f>Eu_tabel_a[[#This Row],[x base]]*SQRT(Eu_a_h0_x*(1-Eu_a_h0_x)/Eu_a_n_x)+Eu_a_h0_x</f>
        <v>0</v>
      </c>
      <c r="FJ180" s="144" t="e">
        <f t="shared" si="234"/>
        <v>#N/A</v>
      </c>
      <c r="FK180" s="152" t="e">
        <f t="shared" si="322"/>
        <v>#DIV/0!</v>
      </c>
      <c r="FL180" s="7" t="e">
        <f t="shared" si="228"/>
        <v>#DIV/0!</v>
      </c>
      <c r="FM180" t="e">
        <f t="shared" si="323"/>
        <v>#DIV/0!</v>
      </c>
      <c r="FN180" s="8" t="e">
        <f t="shared" si="324"/>
        <v>#DIV/0!</v>
      </c>
      <c r="FO180" s="8" t="e">
        <f t="shared" si="325"/>
        <v>#DIV/0!</v>
      </c>
      <c r="FP180" s="151" t="e">
        <f t="shared" si="326"/>
        <v>#DIV/0!</v>
      </c>
      <c r="FQ180" s="144" t="e">
        <f t="shared" ca="1" si="229"/>
        <v>#N/A</v>
      </c>
      <c r="FR180" s="152" t="e" vm="3">
        <f t="shared" ca="1" si="235"/>
        <v>#VALUE!</v>
      </c>
      <c r="FS180" s="7" t="e" vm="3">
        <f t="shared" ca="1" si="230"/>
        <v>#VALUE!</v>
      </c>
      <c r="FT180" t="e" vm="3">
        <f t="shared" ca="1" si="224"/>
        <v>#VALUE!</v>
      </c>
      <c r="FU180" s="8" t="e" vm="3">
        <f t="shared" ca="1" si="225"/>
        <v>#VALUE!</v>
      </c>
      <c r="FV180" s="8" t="e" vm="3">
        <f t="shared" ca="1" si="226"/>
        <v>#VALUE!</v>
      </c>
      <c r="FW180" s="151" t="e" vm="3">
        <f t="shared" ca="1" si="227"/>
        <v>#VALUE!</v>
      </c>
      <c r="FX180" s="144" t="e">
        <f t="shared" si="231"/>
        <v>#N/A</v>
      </c>
      <c r="FY180" s="152" t="e">
        <f t="shared" si="236"/>
        <v>#N/A</v>
      </c>
      <c r="FZ180" s="7" t="e">
        <f t="shared" si="232"/>
        <v>#N/A</v>
      </c>
      <c r="GA180" t="e">
        <f t="shared" si="237"/>
        <v>#N/A</v>
      </c>
      <c r="GB180" s="8" t="e">
        <f t="shared" si="238"/>
        <v>#N/A</v>
      </c>
      <c r="GC180" s="8" t="e">
        <f t="shared" si="239"/>
        <v>#N/A</v>
      </c>
      <c r="GD180" s="151" t="e">
        <f t="shared" si="240"/>
        <v>#N/A</v>
      </c>
      <c r="GE180" s="144" t="e">
        <f t="shared" si="241"/>
        <v>#N/A</v>
      </c>
      <c r="GF180" s="152" t="e">
        <f t="shared" si="242"/>
        <v>#N/A</v>
      </c>
      <c r="GG180" s="7" t="e">
        <f t="shared" si="233"/>
        <v>#N/A</v>
      </c>
      <c r="GH180" t="e">
        <f t="shared" si="243"/>
        <v>#N/A</v>
      </c>
      <c r="GI180" s="8" t="e">
        <f t="shared" si="244"/>
        <v>#N/A</v>
      </c>
      <c r="GJ180" s="8" t="e">
        <f t="shared" si="245"/>
        <v>#N/A</v>
      </c>
      <c r="GK180" s="151" t="e">
        <f t="shared" si="246"/>
        <v>#N/A</v>
      </c>
      <c r="GL180" s="151"/>
      <c r="GM180" s="151"/>
      <c r="GP180" s="54">
        <f t="shared" si="291"/>
        <v>170</v>
      </c>
      <c r="GQ180" s="54">
        <f t="shared" si="292"/>
        <v>171</v>
      </c>
      <c r="GR180" s="54">
        <f t="shared" si="293"/>
        <v>0.98216685699907202</v>
      </c>
      <c r="GS180" s="54">
        <f t="shared" si="294"/>
        <v>0.24628536360353348</v>
      </c>
      <c r="GT180" s="54" t="e">
        <f t="shared" si="295"/>
        <v>#N/A</v>
      </c>
      <c r="GU180" s="54" t="e">
        <f t="shared" si="296"/>
        <v>#N/A</v>
      </c>
      <c r="GV180" s="54" t="e">
        <f t="shared" si="297"/>
        <v>#N/A</v>
      </c>
      <c r="GW180" s="54" t="b">
        <f t="shared" si="298"/>
        <v>0</v>
      </c>
      <c r="GX180" s="54" t="b">
        <f t="shared" si="299"/>
        <v>1</v>
      </c>
      <c r="GY180" s="54" t="b">
        <f t="shared" si="300"/>
        <v>0</v>
      </c>
      <c r="GZ180" s="54" t="b">
        <f t="shared" si="301"/>
        <v>1</v>
      </c>
      <c r="HA180" s="54">
        <f t="shared" si="302"/>
        <v>0.24628536360353348</v>
      </c>
      <c r="HB180" s="54" t="e">
        <f t="shared" si="303"/>
        <v>#N/A</v>
      </c>
      <c r="HC180" s="54">
        <f t="shared" si="304"/>
        <v>0.24628536360353348</v>
      </c>
      <c r="HD180" s="69" t="str">
        <f t="shared" si="305"/>
        <v/>
      </c>
      <c r="HJ180" s="54">
        <f t="shared" si="306"/>
        <v>170</v>
      </c>
      <c r="HK180" s="54">
        <f t="shared" si="307"/>
        <v>171</v>
      </c>
      <c r="HL180" s="54">
        <f t="shared" si="308"/>
        <v>1.5209060060013311</v>
      </c>
      <c r="HM180" s="54" t="e">
        <f t="shared" si="309"/>
        <v>#N/A</v>
      </c>
      <c r="HN180" s="54">
        <f t="shared" si="310"/>
        <v>0.1228728429463751</v>
      </c>
      <c r="HO180" s="54" t="e">
        <f t="shared" si="311"/>
        <v>#N/A</v>
      </c>
      <c r="HP180" s="54" t="e">
        <f t="shared" si="312"/>
        <v>#N/A</v>
      </c>
      <c r="HQ180" s="54" t="b">
        <f t="shared" si="313"/>
        <v>1</v>
      </c>
      <c r="HR180" s="54" t="b">
        <f t="shared" si="314"/>
        <v>0</v>
      </c>
      <c r="HS180" s="54" t="b">
        <f t="shared" si="315"/>
        <v>0</v>
      </c>
      <c r="HT180" s="54" t="b">
        <f t="shared" si="316"/>
        <v>1</v>
      </c>
      <c r="HU180" s="54">
        <f t="shared" si="317"/>
        <v>0.1228728429463751</v>
      </c>
      <c r="HV180" s="54">
        <f t="shared" si="318"/>
        <v>0.1228728429463751</v>
      </c>
      <c r="HW180" s="54" t="e">
        <f t="shared" si="319"/>
        <v>#N/A</v>
      </c>
      <c r="HX180" s="69" t="str">
        <f t="shared" si="320"/>
        <v/>
      </c>
    </row>
    <row r="181" spans="78:232" x14ac:dyDescent="0.2">
      <c r="BZ181" s="54">
        <f t="shared" si="247"/>
        <v>171</v>
      </c>
      <c r="CA181" s="54">
        <f>Eu_tabel_g[[#This Row],[Indeks]]+1</f>
        <v>172</v>
      </c>
      <c r="CB181" s="54">
        <f t="shared" si="248"/>
        <v>1.0061221461941718</v>
      </c>
      <c r="CC181" s="54">
        <f t="shared" si="249"/>
        <v>0.24048936284820582</v>
      </c>
      <c r="CD181" s="54" t="e">
        <f t="shared" si="250"/>
        <v>#N/A</v>
      </c>
      <c r="CE181" s="54" t="e">
        <f t="shared" si="251"/>
        <v>#N/A</v>
      </c>
      <c r="CF181" s="54" t="e">
        <f t="shared" si="252"/>
        <v>#N/A</v>
      </c>
      <c r="CG181" s="54" t="b">
        <f t="shared" si="253"/>
        <v>0</v>
      </c>
      <c r="CH181" s="54" t="b">
        <f t="shared" si="254"/>
        <v>1</v>
      </c>
      <c r="CI181" s="54" t="b">
        <f t="shared" si="255"/>
        <v>0</v>
      </c>
      <c r="CJ181" s="54" t="b">
        <f t="shared" si="256"/>
        <v>1</v>
      </c>
      <c r="CK181" s="54">
        <f t="shared" si="321"/>
        <v>0.24048936284820582</v>
      </c>
      <c r="CL181" s="54" t="e">
        <f t="shared" si="257"/>
        <v>#N/A</v>
      </c>
      <c r="CM181" s="54">
        <f t="shared" si="258"/>
        <v>0.24048936284820582</v>
      </c>
      <c r="CN181" s="69" t="str">
        <f t="shared" si="259"/>
        <v/>
      </c>
      <c r="CO181" s="54">
        <f>_xlfn.NORM.DIST(_xlfn.NORM.INV(1-Eu_g_konfidensniveau,0,1)-Eu_tabel_g[[#This Row],[x base]],0,1,TRUE)</f>
        <v>4.0129799124446544E-3</v>
      </c>
      <c r="CP181" s="54">
        <f>1-_xlfn.NORM.DIST(_xlfn.NORM.INV(Eu_g_konfidensniveau,0,1)-Eu_tabel_g[[#This Row],[x base]],0,1,TRUE)</f>
        <v>0.2614988147473114</v>
      </c>
      <c r="CQ181" s="54">
        <f>_xlfn.NORM.DIST(_xlfn.NORM.INV((1-Eu_g_konfidensniveau)/2,0,1)-Eu_tabel_g[[#This Row],[x base]],0,1,TRUE)+1-_xlfn.NORM.DIST(_xlfn.NORM.INV(1-(1-Eu_g_konfidensniveau)/2,0,1)-Eu_tabel_g[[#This Row],[x base]],0,1,TRUE)</f>
        <v>0.171589933924436</v>
      </c>
      <c r="CR181" s="54" t="e" cm="1">
        <f t="array" ref="CR181">IF($CR$3,INDEX(Eu_tabel_g[[#This Row],[Styrke venstre]:[Styrke tosidet]],CR$7),NA())</f>
        <v>#N/A</v>
      </c>
      <c r="CS181" s="89" t="e">
        <f>Eu_tabel_g[[#This Row],[Falsk positiv
Nulhypotese accepteres
Fejltype 1]]</f>
        <v>#N/A</v>
      </c>
      <c r="CT181" s="89" t="e">
        <f>IF(CHOOSE(CR$7,Eu_tabel_g[[#This Row],[x base]]&gt;0,Eu_tabel_g[[#This Row],[x base]]&lt;0,Eu_tabel_g[[#This Row],[x base]]=0),Eu_tabel_g[[#This Row],[Styrke, aktiv]],NA())</f>
        <v>#N/A</v>
      </c>
      <c r="CU181" s="89" t="e">
        <f>IFERROR(IF($CR$3,Eu_tabel_g[[#This Row],[Styrke, aktiv]],NA()),NA())</f>
        <v>#N/A</v>
      </c>
      <c r="CV181" s="89" t="e">
        <f>IF(ISNA(Eu_tabel_g[[#This Row],[Sand negativ
Nulhypotese afvises
Korrekt]]),NA(),IF($CR$3,1,NA()))</f>
        <v>#N/A</v>
      </c>
      <c r="CW181" s="56" t="str" cm="1">
        <f t="array" ref="CW181">_xlfn.SWITCH(BZ181,_xlfn.IFNA(CU$2,-99),CU$5,_xlfn.IFNA(CU$3,-99),CU$6,_xlfn.IFNA(CU$4,-99),CU$7,"")</f>
        <v/>
      </c>
      <c r="DA181" s="7">
        <f t="shared" si="260"/>
        <v>0.8</v>
      </c>
      <c r="DB181">
        <f>IF(ROW(Styrkeberegning_G[[#This Row],[X base venstre]])=ROW(Styrkeberegning_G[[#Headers],[X base venstre]])+1,DB$7/(DA$7/$B$67),DB180/(DA180/$B$67))</f>
        <v>-2.8015817870135784</v>
      </c>
      <c r="DC181">
        <f>Styrkeberegning_G[[#This Row],[X base venstre]]*-1</f>
        <v>2.8015817870135784</v>
      </c>
      <c r="DN181" s="54">
        <f t="shared" si="261"/>
        <v>171</v>
      </c>
      <c r="DO181" s="54">
        <f t="shared" si="262"/>
        <v>172</v>
      </c>
      <c r="DP181" s="54">
        <f t="shared" si="263"/>
        <v>21.339969111960862</v>
      </c>
      <c r="DQ181" s="54" t="e">
        <f t="shared" si="264"/>
        <v>#N/A</v>
      </c>
      <c r="DR181" s="54" t="e">
        <f t="shared" si="265"/>
        <v>#N/A</v>
      </c>
      <c r="DS181" s="54">
        <f t="shared" si="266"/>
        <v>9.3958241886053437E-3</v>
      </c>
      <c r="DT181" s="54" t="e">
        <f t="shared" si="267"/>
        <v>#N/A</v>
      </c>
      <c r="DU181" s="54" t="b">
        <f t="shared" si="268"/>
        <v>0</v>
      </c>
      <c r="DV181" s="54" t="b">
        <f t="shared" si="269"/>
        <v>1</v>
      </c>
      <c r="DW181" s="54" t="b">
        <f t="shared" si="270"/>
        <v>0</v>
      </c>
      <c r="DX181" s="54" t="b">
        <f t="shared" si="271"/>
        <v>1</v>
      </c>
      <c r="DY181" s="54">
        <f t="shared" si="272"/>
        <v>9.3958241886053437E-3</v>
      </c>
      <c r="DZ181" s="54" t="e">
        <f t="shared" si="273"/>
        <v>#N/A</v>
      </c>
      <c r="EA181" s="54">
        <f t="shared" si="274"/>
        <v>9.3958241886053437E-3</v>
      </c>
      <c r="EB181" s="69" t="str">
        <f t="shared" si="275"/>
        <v/>
      </c>
      <c r="EG181" s="54">
        <f t="shared" si="276"/>
        <v>171</v>
      </c>
      <c r="EH181" s="54">
        <f t="shared" si="277"/>
        <v>172</v>
      </c>
      <c r="EI181" s="54">
        <f t="shared" si="278"/>
        <v>1.0061221461941718</v>
      </c>
      <c r="EJ181" s="54">
        <f t="shared" si="279"/>
        <v>0.24048936284820582</v>
      </c>
      <c r="EK181" s="54" t="e">
        <f t="shared" si="280"/>
        <v>#N/A</v>
      </c>
      <c r="EL181" s="54" t="e">
        <f t="shared" si="281"/>
        <v>#N/A</v>
      </c>
      <c r="EM181" s="54" t="e">
        <f t="shared" si="282"/>
        <v>#N/A</v>
      </c>
      <c r="EN181" s="54" t="b">
        <f t="shared" si="283"/>
        <v>0</v>
      </c>
      <c r="EO181" s="54" t="b">
        <f t="shared" si="284"/>
        <v>1</v>
      </c>
      <c r="EP181" s="54" t="b">
        <f t="shared" si="285"/>
        <v>0</v>
      </c>
      <c r="EQ181" s="54" t="b">
        <f t="shared" si="286"/>
        <v>1</v>
      </c>
      <c r="ER181" s="54">
        <f t="shared" si="287"/>
        <v>0.24048936284820582</v>
      </c>
      <c r="ES181" s="54" t="e">
        <f t="shared" si="288"/>
        <v>#N/A</v>
      </c>
      <c r="ET181" s="54">
        <f t="shared" si="289"/>
        <v>0.24048936284820582</v>
      </c>
      <c r="EU181" s="69" t="str">
        <f t="shared" si="290"/>
        <v/>
      </c>
      <c r="EV18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8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8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81" s="54" t="e" cm="1">
        <f t="array" ref="EY181">IF($CR$3,INDEX(Eu_tabel_a[[#This Row],[Styrke venstre]:[Styrke tosidet]],EY$7),NA())</f>
        <v>#N/A</v>
      </c>
      <c r="EZ181" s="54" t="e">
        <f>IF(EY$3,IF(CHOOSE(EY$7,Eu_tabel_a[[#This Row],[x base]]&gt;0,Eu_tabel_a[[#This Row],[x base]]&lt;0,Eu_tabel_a[[#This Row],[x base]]=0),1,NA()),NA())</f>
        <v>#N/A</v>
      </c>
      <c r="FA181" s="54" t="e">
        <f>IF(CHOOSE(EY$7,Eu_tabel_a[[#This Row],[x base]]&gt;0,Eu_tabel_a[[#This Row],[x base]]&lt;0,Eu_tabel_a[[#This Row],[x base]]=0),Eu_tabel_a[[#This Row],[Styrke, aktiv]],NA())</f>
        <v>#N/A</v>
      </c>
      <c r="FB181" s="54" t="e">
        <f>IFERROR(IF($EY$3,Eu_tabel_a[[#This Row],[Styrke, aktiv]],NA()),NA())</f>
        <v>#N/A</v>
      </c>
      <c r="FC181" s="54" t="e">
        <f>IF(ISNA(Eu_tabel_a[[#This Row],[Sand negativ
Nulhypotese afvises
Korrekt]]),NA(),IF(EY$3,1,NA()))</f>
        <v>#N/A</v>
      </c>
      <c r="FD181" s="55" t="str" cm="1">
        <f t="array" ref="FD181">IFERROR(_xlfn.SWITCH(Eu_tabel_a[[#This Row],[Indeks]],_xlfn.IFNA(FB$2,-99),FB$5,_xlfn.IFNA(FB$3,-99),FB$6,_xlfn.IFNA(FB$4,-99),FB$7,""),"")</f>
        <v/>
      </c>
      <c r="FE181" s="54">
        <f>Eu_tabel_a[[#This Row],[x base]]*SQRT(Eu_a_h0_x*(1-Eu_a_h0_x)/Eu_a_n_x)+Eu_a_h0_x</f>
        <v>0</v>
      </c>
      <c r="FJ181" s="144" t="e">
        <f t="shared" si="234"/>
        <v>#N/A</v>
      </c>
      <c r="FK181" s="152" t="e">
        <f t="shared" si="322"/>
        <v>#DIV/0!</v>
      </c>
      <c r="FL181" s="7" t="e">
        <f t="shared" si="228"/>
        <v>#DIV/0!</v>
      </c>
      <c r="FM181" t="e">
        <f t="shared" si="323"/>
        <v>#DIV/0!</v>
      </c>
      <c r="FN181" s="8" t="e">
        <f t="shared" si="324"/>
        <v>#DIV/0!</v>
      </c>
      <c r="FO181" s="8" t="e">
        <f t="shared" si="325"/>
        <v>#DIV/0!</v>
      </c>
      <c r="FP181" s="151" t="e">
        <f t="shared" si="326"/>
        <v>#DIV/0!</v>
      </c>
      <c r="FQ181" s="144" t="e">
        <f t="shared" ca="1" si="229"/>
        <v>#N/A</v>
      </c>
      <c r="FR181" s="152" t="e" vm="3">
        <f t="shared" ca="1" si="235"/>
        <v>#VALUE!</v>
      </c>
      <c r="FS181" s="7" t="e" vm="3">
        <f t="shared" ca="1" si="230"/>
        <v>#VALUE!</v>
      </c>
      <c r="FT181" t="e" vm="3">
        <f t="shared" ca="1" si="224"/>
        <v>#VALUE!</v>
      </c>
      <c r="FU181" s="8" t="e" vm="3">
        <f t="shared" ca="1" si="225"/>
        <v>#VALUE!</v>
      </c>
      <c r="FV181" s="8" t="e" vm="3">
        <f t="shared" ca="1" si="226"/>
        <v>#VALUE!</v>
      </c>
      <c r="FW181" s="151" t="e" vm="3">
        <f t="shared" ca="1" si="227"/>
        <v>#VALUE!</v>
      </c>
      <c r="FX181" s="144" t="e">
        <f t="shared" si="231"/>
        <v>#N/A</v>
      </c>
      <c r="FY181" s="152" t="e">
        <f t="shared" si="236"/>
        <v>#N/A</v>
      </c>
      <c r="FZ181" s="7" t="e">
        <f t="shared" si="232"/>
        <v>#N/A</v>
      </c>
      <c r="GA181" t="e">
        <f t="shared" si="237"/>
        <v>#N/A</v>
      </c>
      <c r="GB181" s="8" t="e">
        <f t="shared" si="238"/>
        <v>#N/A</v>
      </c>
      <c r="GC181" s="8" t="e">
        <f t="shared" si="239"/>
        <v>#N/A</v>
      </c>
      <c r="GD181" s="151" t="e">
        <f t="shared" si="240"/>
        <v>#N/A</v>
      </c>
      <c r="GE181" s="144" t="e">
        <f t="shared" si="241"/>
        <v>#N/A</v>
      </c>
      <c r="GF181" s="152" t="e">
        <f t="shared" si="242"/>
        <v>#N/A</v>
      </c>
      <c r="GG181" s="7" t="e">
        <f t="shared" si="233"/>
        <v>#N/A</v>
      </c>
      <c r="GH181" t="e">
        <f t="shared" si="243"/>
        <v>#N/A</v>
      </c>
      <c r="GI181" s="8" t="e">
        <f t="shared" si="244"/>
        <v>#N/A</v>
      </c>
      <c r="GJ181" s="8" t="e">
        <f t="shared" si="245"/>
        <v>#N/A</v>
      </c>
      <c r="GK181" s="151" t="e">
        <f t="shared" si="246"/>
        <v>#N/A</v>
      </c>
      <c r="GL181" s="151"/>
      <c r="GM181" s="151"/>
      <c r="GP181" s="54">
        <f t="shared" si="291"/>
        <v>171</v>
      </c>
      <c r="GQ181" s="54">
        <f t="shared" si="292"/>
        <v>172</v>
      </c>
      <c r="GR181" s="54">
        <f t="shared" si="293"/>
        <v>1.0061221461941718</v>
      </c>
      <c r="GS181" s="54">
        <f t="shared" si="294"/>
        <v>0.24048936284820582</v>
      </c>
      <c r="GT181" s="54" t="e">
        <f t="shared" si="295"/>
        <v>#N/A</v>
      </c>
      <c r="GU181" s="54" t="e">
        <f t="shared" si="296"/>
        <v>#N/A</v>
      </c>
      <c r="GV181" s="54" t="e">
        <f t="shared" si="297"/>
        <v>#N/A</v>
      </c>
      <c r="GW181" s="54" t="b">
        <f t="shared" si="298"/>
        <v>0</v>
      </c>
      <c r="GX181" s="54" t="b">
        <f t="shared" si="299"/>
        <v>1</v>
      </c>
      <c r="GY181" s="54" t="b">
        <f t="shared" si="300"/>
        <v>0</v>
      </c>
      <c r="GZ181" s="54" t="b">
        <f t="shared" si="301"/>
        <v>1</v>
      </c>
      <c r="HA181" s="54">
        <f t="shared" si="302"/>
        <v>0.24048936284820582</v>
      </c>
      <c r="HB181" s="54" t="e">
        <f t="shared" si="303"/>
        <v>#N/A</v>
      </c>
      <c r="HC181" s="54">
        <f t="shared" si="304"/>
        <v>0.24048936284820582</v>
      </c>
      <c r="HD181" s="69" t="str">
        <f t="shared" si="305"/>
        <v/>
      </c>
      <c r="HJ181" s="54">
        <f t="shared" si="306"/>
        <v>171</v>
      </c>
      <c r="HK181" s="54">
        <f t="shared" si="307"/>
        <v>172</v>
      </c>
      <c r="HL181" s="54">
        <f t="shared" si="308"/>
        <v>1.5580012744403877</v>
      </c>
      <c r="HM181" s="54" t="e">
        <f t="shared" si="309"/>
        <v>#N/A</v>
      </c>
      <c r="HN181" s="54">
        <f t="shared" si="310"/>
        <v>0.11702574379435811</v>
      </c>
      <c r="HO181" s="54" t="e">
        <f t="shared" si="311"/>
        <v>#N/A</v>
      </c>
      <c r="HP181" s="54" t="e">
        <f t="shared" si="312"/>
        <v>#N/A</v>
      </c>
      <c r="HQ181" s="54" t="b">
        <f t="shared" si="313"/>
        <v>1</v>
      </c>
      <c r="HR181" s="54" t="b">
        <f t="shared" si="314"/>
        <v>0</v>
      </c>
      <c r="HS181" s="54" t="b">
        <f t="shared" si="315"/>
        <v>0</v>
      </c>
      <c r="HT181" s="54" t="b">
        <f t="shared" si="316"/>
        <v>1</v>
      </c>
      <c r="HU181" s="54">
        <f t="shared" si="317"/>
        <v>0.11702574379435811</v>
      </c>
      <c r="HV181" s="54">
        <f t="shared" si="318"/>
        <v>0.11702574379435811</v>
      </c>
      <c r="HW181" s="54" t="e">
        <f t="shared" si="319"/>
        <v>#N/A</v>
      </c>
      <c r="HX181" s="69" t="str">
        <f t="shared" si="320"/>
        <v/>
      </c>
    </row>
    <row r="182" spans="78:232" x14ac:dyDescent="0.2">
      <c r="BZ182" s="54">
        <f t="shared" si="247"/>
        <v>172</v>
      </c>
      <c r="CA182" s="54">
        <f>Eu_tabel_g[[#This Row],[Indeks]]+1</f>
        <v>173</v>
      </c>
      <c r="CB182" s="54">
        <f t="shared" si="248"/>
        <v>1.0300774353892708</v>
      </c>
      <c r="CC182" s="54">
        <f t="shared" si="249"/>
        <v>0.23469504353367862</v>
      </c>
      <c r="CD182" s="54" t="e">
        <f t="shared" si="250"/>
        <v>#N/A</v>
      </c>
      <c r="CE182" s="54" t="e">
        <f t="shared" si="251"/>
        <v>#N/A</v>
      </c>
      <c r="CF182" s="54" t="e">
        <f t="shared" si="252"/>
        <v>#N/A</v>
      </c>
      <c r="CG182" s="54" t="b">
        <f t="shared" si="253"/>
        <v>0</v>
      </c>
      <c r="CH182" s="54" t="b">
        <f t="shared" si="254"/>
        <v>1</v>
      </c>
      <c r="CI182" s="54" t="b">
        <f t="shared" si="255"/>
        <v>0</v>
      </c>
      <c r="CJ182" s="54" t="b">
        <f t="shared" si="256"/>
        <v>1</v>
      </c>
      <c r="CK182" s="54">
        <f t="shared" si="321"/>
        <v>0.23469504353367862</v>
      </c>
      <c r="CL182" s="54" t="e">
        <f t="shared" si="257"/>
        <v>#N/A</v>
      </c>
      <c r="CM182" s="54">
        <f t="shared" si="258"/>
        <v>0.23469504353367862</v>
      </c>
      <c r="CN182" s="69" t="str">
        <f t="shared" si="259"/>
        <v/>
      </c>
      <c r="CO182" s="54">
        <f>_xlfn.NORM.DIST(_xlfn.NORM.INV(1-Eu_g_konfidensniveau,0,1)-Eu_tabel_g[[#This Row],[x base]],0,1,TRUE)</f>
        <v>3.7372309005786796E-3</v>
      </c>
      <c r="CP182" s="54">
        <f>1-_xlfn.NORM.DIST(_xlfn.NORM.INV(Eu_g_konfidensniveau,0,1)-Eu_tabel_g[[#This Row],[x base]],0,1,TRUE)</f>
        <v>0.26935126726694214</v>
      </c>
      <c r="CQ182" s="54">
        <f>_xlfn.NORM.DIST(_xlfn.NORM.INV((1-Eu_g_konfidensniveau)/2,0,1)-Eu_tabel_g[[#This Row],[x base]],0,1,TRUE)+1-_xlfn.NORM.DIST(_xlfn.NORM.INV(1-(1-Eu_g_konfidensniveau)/2,0,1)-Eu_tabel_g[[#This Row],[x base]],0,1,TRUE)</f>
        <v>0.17760961211190862</v>
      </c>
      <c r="CR182" s="54" t="e" cm="1">
        <f t="array" ref="CR182">IF($CR$3,INDEX(Eu_tabel_g[[#This Row],[Styrke venstre]:[Styrke tosidet]],CR$7),NA())</f>
        <v>#N/A</v>
      </c>
      <c r="CS182" s="89" t="e">
        <f>Eu_tabel_g[[#This Row],[Falsk positiv
Nulhypotese accepteres
Fejltype 1]]</f>
        <v>#N/A</v>
      </c>
      <c r="CT182" s="89" t="e">
        <f>IF(CHOOSE(CR$7,Eu_tabel_g[[#This Row],[x base]]&gt;0,Eu_tabel_g[[#This Row],[x base]]&lt;0,Eu_tabel_g[[#This Row],[x base]]=0),Eu_tabel_g[[#This Row],[Styrke, aktiv]],NA())</f>
        <v>#N/A</v>
      </c>
      <c r="CU182" s="89" t="e">
        <f>IFERROR(IF($CR$3,Eu_tabel_g[[#This Row],[Styrke, aktiv]],NA()),NA())</f>
        <v>#N/A</v>
      </c>
      <c r="CV182" s="89" t="e">
        <f>IF(ISNA(Eu_tabel_g[[#This Row],[Sand negativ
Nulhypotese afvises
Korrekt]]),NA(),IF($CR$3,1,NA()))</f>
        <v>#N/A</v>
      </c>
      <c r="CW182" s="56" t="str" cm="1">
        <f t="array" ref="CW182">_xlfn.SWITCH(BZ182,_xlfn.IFNA(CU$2,-99),CU$5,_xlfn.IFNA(CU$3,-99),CU$6,_xlfn.IFNA(CU$4,-99),CU$7,"")</f>
        <v/>
      </c>
      <c r="DA182" s="7">
        <f t="shared" si="260"/>
        <v>0.8</v>
      </c>
      <c r="DB182">
        <f>IF(ROW(Styrkeberegning_G[[#This Row],[X base venstre]])=ROW(Styrkeberegning_G[[#Headers],[X base venstre]])+1,DB$7/(DA$7/$B$67),DB181/(DA181/$B$67))</f>
        <v>-2.8015817870135784</v>
      </c>
      <c r="DC182">
        <f>Styrkeberegning_G[[#This Row],[X base venstre]]*-1</f>
        <v>2.8015817870135784</v>
      </c>
      <c r="DN182" s="54">
        <f t="shared" si="261"/>
        <v>172</v>
      </c>
      <c r="DO182" s="54">
        <f t="shared" si="262"/>
        <v>173</v>
      </c>
      <c r="DP182" s="54">
        <f t="shared" si="263"/>
        <v>21.454039968377863</v>
      </c>
      <c r="DQ182" s="54" t="e">
        <f t="shared" si="264"/>
        <v>#N/A</v>
      </c>
      <c r="DR182" s="54" t="e">
        <f t="shared" si="265"/>
        <v>#N/A</v>
      </c>
      <c r="DS182" s="54">
        <f t="shared" si="266"/>
        <v>9.0904117508488272E-3</v>
      </c>
      <c r="DT182" s="54" t="e">
        <f t="shared" si="267"/>
        <v>#N/A</v>
      </c>
      <c r="DU182" s="54" t="b">
        <f t="shared" si="268"/>
        <v>0</v>
      </c>
      <c r="DV182" s="54" t="b">
        <f t="shared" si="269"/>
        <v>1</v>
      </c>
      <c r="DW182" s="54" t="b">
        <f t="shared" si="270"/>
        <v>0</v>
      </c>
      <c r="DX182" s="54" t="b">
        <f t="shared" si="271"/>
        <v>1</v>
      </c>
      <c r="DY182" s="54">
        <f t="shared" si="272"/>
        <v>9.0904117508488272E-3</v>
      </c>
      <c r="DZ182" s="54" t="e">
        <f t="shared" si="273"/>
        <v>#N/A</v>
      </c>
      <c r="EA182" s="54">
        <f t="shared" si="274"/>
        <v>9.0904117508488272E-3</v>
      </c>
      <c r="EB182" s="69" t="str">
        <f t="shared" si="275"/>
        <v/>
      </c>
      <c r="EG182" s="54">
        <f t="shared" si="276"/>
        <v>172</v>
      </c>
      <c r="EH182" s="54">
        <f t="shared" si="277"/>
        <v>173</v>
      </c>
      <c r="EI182" s="54">
        <f t="shared" si="278"/>
        <v>1.0300774353892708</v>
      </c>
      <c r="EJ182" s="54">
        <f t="shared" si="279"/>
        <v>0.23469504353367862</v>
      </c>
      <c r="EK182" s="54" t="e">
        <f t="shared" si="280"/>
        <v>#N/A</v>
      </c>
      <c r="EL182" s="54" t="e">
        <f t="shared" si="281"/>
        <v>#N/A</v>
      </c>
      <c r="EM182" s="54" t="e">
        <f t="shared" si="282"/>
        <v>#N/A</v>
      </c>
      <c r="EN182" s="54" t="b">
        <f t="shared" si="283"/>
        <v>0</v>
      </c>
      <c r="EO182" s="54" t="b">
        <f t="shared" si="284"/>
        <v>1</v>
      </c>
      <c r="EP182" s="54" t="b">
        <f t="shared" si="285"/>
        <v>0</v>
      </c>
      <c r="EQ182" s="54" t="b">
        <f t="shared" si="286"/>
        <v>1</v>
      </c>
      <c r="ER182" s="54">
        <f t="shared" si="287"/>
        <v>0.23469504353367862</v>
      </c>
      <c r="ES182" s="54" t="e">
        <f t="shared" si="288"/>
        <v>#N/A</v>
      </c>
      <c r="ET182" s="54">
        <f t="shared" si="289"/>
        <v>0.23469504353367862</v>
      </c>
      <c r="EU182" s="69" t="str">
        <f t="shared" si="290"/>
        <v/>
      </c>
      <c r="EV18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8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8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82" s="54" t="e" cm="1">
        <f t="array" ref="EY182">IF($CR$3,INDEX(Eu_tabel_a[[#This Row],[Styrke venstre]:[Styrke tosidet]],EY$7),NA())</f>
        <v>#N/A</v>
      </c>
      <c r="EZ182" s="54" t="e">
        <f>IF(EY$3,IF(CHOOSE(EY$7,Eu_tabel_a[[#This Row],[x base]]&gt;0,Eu_tabel_a[[#This Row],[x base]]&lt;0,Eu_tabel_a[[#This Row],[x base]]=0),1,NA()),NA())</f>
        <v>#N/A</v>
      </c>
      <c r="FA182" s="54" t="e">
        <f>IF(CHOOSE(EY$7,Eu_tabel_a[[#This Row],[x base]]&gt;0,Eu_tabel_a[[#This Row],[x base]]&lt;0,Eu_tabel_a[[#This Row],[x base]]=0),Eu_tabel_a[[#This Row],[Styrke, aktiv]],NA())</f>
        <v>#N/A</v>
      </c>
      <c r="FB182" s="54" t="e">
        <f>IFERROR(IF($EY$3,Eu_tabel_a[[#This Row],[Styrke, aktiv]],NA()),NA())</f>
        <v>#N/A</v>
      </c>
      <c r="FC182" s="54" t="e">
        <f>IF(ISNA(Eu_tabel_a[[#This Row],[Sand negativ
Nulhypotese afvises
Korrekt]]),NA(),IF(EY$3,1,NA()))</f>
        <v>#N/A</v>
      </c>
      <c r="FD182" s="55" t="str" cm="1">
        <f t="array" ref="FD182">IFERROR(_xlfn.SWITCH(Eu_tabel_a[[#This Row],[Indeks]],_xlfn.IFNA(FB$2,-99),FB$5,_xlfn.IFNA(FB$3,-99),FB$6,_xlfn.IFNA(FB$4,-99),FB$7,""),"")</f>
        <v/>
      </c>
      <c r="FE182" s="54">
        <f>Eu_tabel_a[[#This Row],[x base]]*SQRT(Eu_a_h0_x*(1-Eu_a_h0_x)/Eu_a_n_x)+Eu_a_h0_x</f>
        <v>0</v>
      </c>
      <c r="FJ182" s="144" t="e">
        <f t="shared" si="234"/>
        <v>#N/A</v>
      </c>
      <c r="FK182" s="152" t="e">
        <f t="shared" si="322"/>
        <v>#DIV/0!</v>
      </c>
      <c r="FL182" s="7" t="e">
        <f t="shared" si="228"/>
        <v>#DIV/0!</v>
      </c>
      <c r="FM182" t="e">
        <f t="shared" si="323"/>
        <v>#DIV/0!</v>
      </c>
      <c r="FN182" s="8" t="e">
        <f t="shared" si="324"/>
        <v>#DIV/0!</v>
      </c>
      <c r="FO182" s="8" t="e">
        <f t="shared" si="325"/>
        <v>#DIV/0!</v>
      </c>
      <c r="FP182" s="151" t="e">
        <f t="shared" si="326"/>
        <v>#DIV/0!</v>
      </c>
      <c r="FQ182" s="144" t="e">
        <f t="shared" ca="1" si="229"/>
        <v>#N/A</v>
      </c>
      <c r="FR182" s="152" t="e" vm="3">
        <f t="shared" ca="1" si="235"/>
        <v>#VALUE!</v>
      </c>
      <c r="FS182" s="7" t="e" vm="3">
        <f t="shared" ca="1" si="230"/>
        <v>#VALUE!</v>
      </c>
      <c r="FT182" t="e" vm="3">
        <f t="shared" ca="1" si="224"/>
        <v>#VALUE!</v>
      </c>
      <c r="FU182" s="8" t="e" vm="3">
        <f t="shared" ca="1" si="225"/>
        <v>#VALUE!</v>
      </c>
      <c r="FV182" s="8" t="e" vm="3">
        <f t="shared" ca="1" si="226"/>
        <v>#VALUE!</v>
      </c>
      <c r="FW182" s="151" t="e" vm="3">
        <f t="shared" ca="1" si="227"/>
        <v>#VALUE!</v>
      </c>
      <c r="FX182" s="144" t="e">
        <f t="shared" si="231"/>
        <v>#N/A</v>
      </c>
      <c r="FY182" s="152" t="e">
        <f t="shared" si="236"/>
        <v>#N/A</v>
      </c>
      <c r="FZ182" s="7" t="e">
        <f t="shared" si="232"/>
        <v>#N/A</v>
      </c>
      <c r="GA182" t="e">
        <f t="shared" si="237"/>
        <v>#N/A</v>
      </c>
      <c r="GB182" s="8" t="e">
        <f t="shared" si="238"/>
        <v>#N/A</v>
      </c>
      <c r="GC182" s="8" t="e">
        <f t="shared" si="239"/>
        <v>#N/A</v>
      </c>
      <c r="GD182" s="151" t="e">
        <f t="shared" si="240"/>
        <v>#N/A</v>
      </c>
      <c r="GE182" s="144" t="e">
        <f t="shared" si="241"/>
        <v>#N/A</v>
      </c>
      <c r="GF182" s="152" t="e">
        <f t="shared" si="242"/>
        <v>#N/A</v>
      </c>
      <c r="GG182" s="7" t="e">
        <f t="shared" si="233"/>
        <v>#N/A</v>
      </c>
      <c r="GH182" t="e">
        <f t="shared" si="243"/>
        <v>#N/A</v>
      </c>
      <c r="GI182" s="8" t="e">
        <f t="shared" si="244"/>
        <v>#N/A</v>
      </c>
      <c r="GJ182" s="8" t="e">
        <f t="shared" si="245"/>
        <v>#N/A</v>
      </c>
      <c r="GK182" s="151" t="e">
        <f t="shared" si="246"/>
        <v>#N/A</v>
      </c>
      <c r="GL182" s="151"/>
      <c r="GM182" s="151"/>
      <c r="GP182" s="54">
        <f t="shared" si="291"/>
        <v>172</v>
      </c>
      <c r="GQ182" s="54">
        <f t="shared" si="292"/>
        <v>173</v>
      </c>
      <c r="GR182" s="54">
        <f t="shared" si="293"/>
        <v>1.0300774353892708</v>
      </c>
      <c r="GS182" s="54">
        <f t="shared" si="294"/>
        <v>0.23469504353367862</v>
      </c>
      <c r="GT182" s="54" t="e">
        <f t="shared" si="295"/>
        <v>#N/A</v>
      </c>
      <c r="GU182" s="54" t="e">
        <f t="shared" si="296"/>
        <v>#N/A</v>
      </c>
      <c r="GV182" s="54" t="e">
        <f t="shared" si="297"/>
        <v>#N/A</v>
      </c>
      <c r="GW182" s="54" t="b">
        <f t="shared" si="298"/>
        <v>0</v>
      </c>
      <c r="GX182" s="54" t="b">
        <f t="shared" si="299"/>
        <v>1</v>
      </c>
      <c r="GY182" s="54" t="b">
        <f t="shared" si="300"/>
        <v>0</v>
      </c>
      <c r="GZ182" s="54" t="b">
        <f t="shared" si="301"/>
        <v>1</v>
      </c>
      <c r="HA182" s="54">
        <f t="shared" si="302"/>
        <v>0.23469504353367862</v>
      </c>
      <c r="HB182" s="54" t="e">
        <f t="shared" si="303"/>
        <v>#N/A</v>
      </c>
      <c r="HC182" s="54">
        <f t="shared" si="304"/>
        <v>0.23469504353367862</v>
      </c>
      <c r="HD182" s="69" t="str">
        <f t="shared" si="305"/>
        <v/>
      </c>
      <c r="HJ182" s="54">
        <f t="shared" si="306"/>
        <v>172</v>
      </c>
      <c r="HK182" s="54">
        <f t="shared" si="307"/>
        <v>173</v>
      </c>
      <c r="HL182" s="54">
        <f t="shared" si="308"/>
        <v>1.5950965428794444</v>
      </c>
      <c r="HM182" s="54" t="e">
        <f t="shared" si="309"/>
        <v>#N/A</v>
      </c>
      <c r="HN182" s="54">
        <f t="shared" si="310"/>
        <v>0.11139377338028286</v>
      </c>
      <c r="HO182" s="54" t="e">
        <f t="shared" si="311"/>
        <v>#N/A</v>
      </c>
      <c r="HP182" s="54" t="e">
        <f t="shared" si="312"/>
        <v>#N/A</v>
      </c>
      <c r="HQ182" s="54" t="b">
        <f t="shared" si="313"/>
        <v>1</v>
      </c>
      <c r="HR182" s="54" t="b">
        <f t="shared" si="314"/>
        <v>0</v>
      </c>
      <c r="HS182" s="54" t="b">
        <f t="shared" si="315"/>
        <v>0</v>
      </c>
      <c r="HT182" s="54" t="b">
        <f t="shared" si="316"/>
        <v>1</v>
      </c>
      <c r="HU182" s="54">
        <f t="shared" si="317"/>
        <v>0.11139377338028286</v>
      </c>
      <c r="HV182" s="54">
        <f t="shared" si="318"/>
        <v>0.11139377338028286</v>
      </c>
      <c r="HW182" s="54" t="e">
        <f t="shared" si="319"/>
        <v>#N/A</v>
      </c>
      <c r="HX182" s="69" t="str">
        <f t="shared" si="320"/>
        <v/>
      </c>
    </row>
    <row r="183" spans="78:232" x14ac:dyDescent="0.2">
      <c r="BZ183" s="54">
        <f t="shared" si="247"/>
        <v>173</v>
      </c>
      <c r="CA183" s="54">
        <f>Eu_tabel_g[[#This Row],[Indeks]]+1</f>
        <v>174</v>
      </c>
      <c r="CB183" s="54">
        <f t="shared" si="248"/>
        <v>1.0540327245843706</v>
      </c>
      <c r="CC183" s="54">
        <f t="shared" si="249"/>
        <v>0.22890893335654983</v>
      </c>
      <c r="CD183" s="54" t="e">
        <f t="shared" si="250"/>
        <v>#N/A</v>
      </c>
      <c r="CE183" s="54" t="e">
        <f t="shared" si="251"/>
        <v>#N/A</v>
      </c>
      <c r="CF183" s="54" t="e">
        <f t="shared" si="252"/>
        <v>#N/A</v>
      </c>
      <c r="CG183" s="54" t="b">
        <f t="shared" si="253"/>
        <v>0</v>
      </c>
      <c r="CH183" s="54" t="b">
        <f t="shared" si="254"/>
        <v>1</v>
      </c>
      <c r="CI183" s="54" t="b">
        <f t="shared" si="255"/>
        <v>0</v>
      </c>
      <c r="CJ183" s="54" t="b">
        <f t="shared" si="256"/>
        <v>1</v>
      </c>
      <c r="CK183" s="54">
        <f t="shared" si="321"/>
        <v>0.22890893335654983</v>
      </c>
      <c r="CL183" s="54" t="e">
        <f t="shared" si="257"/>
        <v>#N/A</v>
      </c>
      <c r="CM183" s="54">
        <f t="shared" si="258"/>
        <v>0.22890893335654983</v>
      </c>
      <c r="CN183" s="69" t="str">
        <f t="shared" si="259"/>
        <v/>
      </c>
      <c r="CO183" s="54">
        <f>_xlfn.NORM.DIST(_xlfn.NORM.INV(1-Eu_g_konfidensniveau,0,1)-Eu_tabel_g[[#This Row],[x base]],0,1,TRUE)</f>
        <v>3.4785965238282638E-3</v>
      </c>
      <c r="CP183" s="54">
        <f>1-_xlfn.NORM.DIST(_xlfn.NORM.INV(Eu_g_konfidensniveau,0,1)-Eu_tabel_g[[#This Row],[x base]],0,1,TRUE)</f>
        <v>0.27732021410330299</v>
      </c>
      <c r="CQ183" s="54">
        <f>_xlfn.NORM.DIST(_xlfn.NORM.INV((1-Eu_g_konfidensniveau)/2,0,1)-Eu_tabel_g[[#This Row],[x base]],0,1,TRUE)+1-_xlfn.NORM.DIST(_xlfn.NORM.INV(1-(1-Eu_g_konfidensniveau)/2,0,1)-Eu_tabel_g[[#This Row],[x base]],0,1,TRUE)</f>
        <v>0.1837752716806117</v>
      </c>
      <c r="CR183" s="54" t="e" cm="1">
        <f t="array" ref="CR183">IF($CR$3,INDEX(Eu_tabel_g[[#This Row],[Styrke venstre]:[Styrke tosidet]],CR$7),NA())</f>
        <v>#N/A</v>
      </c>
      <c r="CS183" s="89" t="e">
        <f>Eu_tabel_g[[#This Row],[Falsk positiv
Nulhypotese accepteres
Fejltype 1]]</f>
        <v>#N/A</v>
      </c>
      <c r="CT183" s="89" t="e">
        <f>IF(CHOOSE(CR$7,Eu_tabel_g[[#This Row],[x base]]&gt;0,Eu_tabel_g[[#This Row],[x base]]&lt;0,Eu_tabel_g[[#This Row],[x base]]=0),Eu_tabel_g[[#This Row],[Styrke, aktiv]],NA())</f>
        <v>#N/A</v>
      </c>
      <c r="CU183" s="89" t="e">
        <f>IFERROR(IF($CR$3,Eu_tabel_g[[#This Row],[Styrke, aktiv]],NA()),NA())</f>
        <v>#N/A</v>
      </c>
      <c r="CV183" s="89" t="e">
        <f>IF(ISNA(Eu_tabel_g[[#This Row],[Sand negativ
Nulhypotese afvises
Korrekt]]),NA(),IF($CR$3,1,NA()))</f>
        <v>#N/A</v>
      </c>
      <c r="CW183" s="56" t="str" cm="1">
        <f t="array" ref="CW183">_xlfn.SWITCH(BZ183,_xlfn.IFNA(CU$2,-99),CU$5,_xlfn.IFNA(CU$3,-99),CU$6,_xlfn.IFNA(CU$4,-99),CU$7,"")</f>
        <v/>
      </c>
      <c r="DA183" s="7">
        <f t="shared" si="260"/>
        <v>0.8</v>
      </c>
      <c r="DB183">
        <f>IF(ROW(Styrkeberegning_G[[#This Row],[X base venstre]])=ROW(Styrkeberegning_G[[#Headers],[X base venstre]])+1,DB$7/(DA$7/$B$67),DB182/(DA182/$B$67))</f>
        <v>-2.8015817870135784</v>
      </c>
      <c r="DC183">
        <f>Styrkeberegning_G[[#This Row],[X base venstre]]*-1</f>
        <v>2.8015817870135784</v>
      </c>
      <c r="DN183" s="54">
        <f t="shared" si="261"/>
        <v>173</v>
      </c>
      <c r="DO183" s="54">
        <f t="shared" si="262"/>
        <v>174</v>
      </c>
      <c r="DP183" s="54">
        <f t="shared" si="263"/>
        <v>21.568110824794864</v>
      </c>
      <c r="DQ183" s="54" t="e">
        <f t="shared" si="264"/>
        <v>#N/A</v>
      </c>
      <c r="DR183" s="54" t="e">
        <f t="shared" si="265"/>
        <v>#N/A</v>
      </c>
      <c r="DS183" s="54">
        <f t="shared" si="266"/>
        <v>8.7938079772592812E-3</v>
      </c>
      <c r="DT183" s="54" t="e">
        <f t="shared" si="267"/>
        <v>#N/A</v>
      </c>
      <c r="DU183" s="54" t="b">
        <f t="shared" si="268"/>
        <v>0</v>
      </c>
      <c r="DV183" s="54" t="b">
        <f t="shared" si="269"/>
        <v>1</v>
      </c>
      <c r="DW183" s="54" t="b">
        <f t="shared" si="270"/>
        <v>0</v>
      </c>
      <c r="DX183" s="54" t="b">
        <f t="shared" si="271"/>
        <v>1</v>
      </c>
      <c r="DY183" s="54">
        <f t="shared" si="272"/>
        <v>8.7938079772592812E-3</v>
      </c>
      <c r="DZ183" s="54" t="e">
        <f t="shared" si="273"/>
        <v>#N/A</v>
      </c>
      <c r="EA183" s="54">
        <f t="shared" si="274"/>
        <v>8.7938079772592812E-3</v>
      </c>
      <c r="EB183" s="69" t="str">
        <f t="shared" si="275"/>
        <v/>
      </c>
      <c r="EG183" s="54">
        <f t="shared" si="276"/>
        <v>173</v>
      </c>
      <c r="EH183" s="54">
        <f t="shared" si="277"/>
        <v>174</v>
      </c>
      <c r="EI183" s="54">
        <f t="shared" si="278"/>
        <v>1.0540327245843706</v>
      </c>
      <c r="EJ183" s="54">
        <f t="shared" si="279"/>
        <v>0.22890893335654983</v>
      </c>
      <c r="EK183" s="54" t="e">
        <f t="shared" si="280"/>
        <v>#N/A</v>
      </c>
      <c r="EL183" s="54" t="e">
        <f t="shared" si="281"/>
        <v>#N/A</v>
      </c>
      <c r="EM183" s="54" t="e">
        <f t="shared" si="282"/>
        <v>#N/A</v>
      </c>
      <c r="EN183" s="54" t="b">
        <f t="shared" si="283"/>
        <v>0</v>
      </c>
      <c r="EO183" s="54" t="b">
        <f t="shared" si="284"/>
        <v>1</v>
      </c>
      <c r="EP183" s="54" t="b">
        <f t="shared" si="285"/>
        <v>0</v>
      </c>
      <c r="EQ183" s="54" t="b">
        <f t="shared" si="286"/>
        <v>1</v>
      </c>
      <c r="ER183" s="54">
        <f t="shared" si="287"/>
        <v>0.22890893335654983</v>
      </c>
      <c r="ES183" s="54" t="e">
        <f t="shared" si="288"/>
        <v>#N/A</v>
      </c>
      <c r="ET183" s="54">
        <f t="shared" si="289"/>
        <v>0.22890893335654983</v>
      </c>
      <c r="EU183" s="69" t="str">
        <f t="shared" si="290"/>
        <v/>
      </c>
      <c r="EV18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8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8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83" s="54" t="e" cm="1">
        <f t="array" ref="EY183">IF($CR$3,INDEX(Eu_tabel_a[[#This Row],[Styrke venstre]:[Styrke tosidet]],EY$7),NA())</f>
        <v>#N/A</v>
      </c>
      <c r="EZ183" s="54" t="e">
        <f>IF(EY$3,IF(CHOOSE(EY$7,Eu_tabel_a[[#This Row],[x base]]&gt;0,Eu_tabel_a[[#This Row],[x base]]&lt;0,Eu_tabel_a[[#This Row],[x base]]=0),1,NA()),NA())</f>
        <v>#N/A</v>
      </c>
      <c r="FA183" s="54" t="e">
        <f>IF(CHOOSE(EY$7,Eu_tabel_a[[#This Row],[x base]]&gt;0,Eu_tabel_a[[#This Row],[x base]]&lt;0,Eu_tabel_a[[#This Row],[x base]]=0),Eu_tabel_a[[#This Row],[Styrke, aktiv]],NA())</f>
        <v>#N/A</v>
      </c>
      <c r="FB183" s="54" t="e">
        <f>IFERROR(IF($EY$3,Eu_tabel_a[[#This Row],[Styrke, aktiv]],NA()),NA())</f>
        <v>#N/A</v>
      </c>
      <c r="FC183" s="54" t="e">
        <f>IF(ISNA(Eu_tabel_a[[#This Row],[Sand negativ
Nulhypotese afvises
Korrekt]]),NA(),IF(EY$3,1,NA()))</f>
        <v>#N/A</v>
      </c>
      <c r="FD183" s="55" t="str" cm="1">
        <f t="array" ref="FD183">IFERROR(_xlfn.SWITCH(Eu_tabel_a[[#This Row],[Indeks]],_xlfn.IFNA(FB$2,-99),FB$5,_xlfn.IFNA(FB$3,-99),FB$6,_xlfn.IFNA(FB$4,-99),FB$7,""),"")</f>
        <v/>
      </c>
      <c r="FE183" s="54">
        <f>Eu_tabel_a[[#This Row],[x base]]*SQRT(Eu_a_h0_x*(1-Eu_a_h0_x)/Eu_a_n_x)+Eu_a_h0_x</f>
        <v>0</v>
      </c>
      <c r="FJ183" s="144" t="e">
        <f t="shared" si="234"/>
        <v>#N/A</v>
      </c>
      <c r="FK183" s="152" t="e">
        <f t="shared" si="322"/>
        <v>#DIV/0!</v>
      </c>
      <c r="FL183" s="7" t="e">
        <f t="shared" si="228"/>
        <v>#DIV/0!</v>
      </c>
      <c r="FM183" t="e">
        <f t="shared" si="323"/>
        <v>#DIV/0!</v>
      </c>
      <c r="FN183" s="8" t="e">
        <f t="shared" si="324"/>
        <v>#DIV/0!</v>
      </c>
      <c r="FO183" s="8" t="e">
        <f t="shared" si="325"/>
        <v>#DIV/0!</v>
      </c>
      <c r="FP183" s="151" t="e">
        <f t="shared" si="326"/>
        <v>#DIV/0!</v>
      </c>
      <c r="FQ183" s="144" t="e">
        <f t="shared" ca="1" si="229"/>
        <v>#N/A</v>
      </c>
      <c r="FR183" s="152" t="e" vm="3">
        <f t="shared" ca="1" si="235"/>
        <v>#VALUE!</v>
      </c>
      <c r="FS183" s="7" t="e" vm="3">
        <f t="shared" ca="1" si="230"/>
        <v>#VALUE!</v>
      </c>
      <c r="FT183" t="e" vm="3">
        <f t="shared" ca="1" si="224"/>
        <v>#VALUE!</v>
      </c>
      <c r="FU183" s="8" t="e" vm="3">
        <f t="shared" ca="1" si="225"/>
        <v>#VALUE!</v>
      </c>
      <c r="FV183" s="8" t="e" vm="3">
        <f t="shared" ca="1" si="226"/>
        <v>#VALUE!</v>
      </c>
      <c r="FW183" s="151" t="e" vm="3">
        <f t="shared" ca="1" si="227"/>
        <v>#VALUE!</v>
      </c>
      <c r="FX183" s="144" t="e">
        <f t="shared" si="231"/>
        <v>#N/A</v>
      </c>
      <c r="FY183" s="152" t="e">
        <f t="shared" si="236"/>
        <v>#N/A</v>
      </c>
      <c r="FZ183" s="7" t="e">
        <f t="shared" si="232"/>
        <v>#N/A</v>
      </c>
      <c r="GA183" t="e">
        <f t="shared" si="237"/>
        <v>#N/A</v>
      </c>
      <c r="GB183" s="8" t="e">
        <f t="shared" si="238"/>
        <v>#N/A</v>
      </c>
      <c r="GC183" s="8" t="e">
        <f t="shared" si="239"/>
        <v>#N/A</v>
      </c>
      <c r="GD183" s="151" t="e">
        <f t="shared" si="240"/>
        <v>#N/A</v>
      </c>
      <c r="GE183" s="144" t="e">
        <f t="shared" si="241"/>
        <v>#N/A</v>
      </c>
      <c r="GF183" s="152" t="e">
        <f t="shared" si="242"/>
        <v>#N/A</v>
      </c>
      <c r="GG183" s="7" t="e">
        <f t="shared" si="233"/>
        <v>#N/A</v>
      </c>
      <c r="GH183" t="e">
        <f t="shared" si="243"/>
        <v>#N/A</v>
      </c>
      <c r="GI183" s="8" t="e">
        <f t="shared" si="244"/>
        <v>#N/A</v>
      </c>
      <c r="GJ183" s="8" t="e">
        <f t="shared" si="245"/>
        <v>#N/A</v>
      </c>
      <c r="GK183" s="151" t="e">
        <f t="shared" si="246"/>
        <v>#N/A</v>
      </c>
      <c r="GL183" s="151"/>
      <c r="GM183" s="151"/>
      <c r="GP183" s="54">
        <f t="shared" si="291"/>
        <v>173</v>
      </c>
      <c r="GQ183" s="54">
        <f t="shared" si="292"/>
        <v>174</v>
      </c>
      <c r="GR183" s="54">
        <f t="shared" si="293"/>
        <v>1.0540327245843706</v>
      </c>
      <c r="GS183" s="54">
        <f t="shared" si="294"/>
        <v>0.22890893335654983</v>
      </c>
      <c r="GT183" s="54" t="e">
        <f t="shared" si="295"/>
        <v>#N/A</v>
      </c>
      <c r="GU183" s="54" t="e">
        <f t="shared" si="296"/>
        <v>#N/A</v>
      </c>
      <c r="GV183" s="54" t="e">
        <f t="shared" si="297"/>
        <v>#N/A</v>
      </c>
      <c r="GW183" s="54" t="b">
        <f t="shared" si="298"/>
        <v>0</v>
      </c>
      <c r="GX183" s="54" t="b">
        <f t="shared" si="299"/>
        <v>1</v>
      </c>
      <c r="GY183" s="54" t="b">
        <f t="shared" si="300"/>
        <v>0</v>
      </c>
      <c r="GZ183" s="54" t="b">
        <f t="shared" si="301"/>
        <v>1</v>
      </c>
      <c r="HA183" s="54">
        <f t="shared" si="302"/>
        <v>0.22890893335654983</v>
      </c>
      <c r="HB183" s="54" t="e">
        <f t="shared" si="303"/>
        <v>#N/A</v>
      </c>
      <c r="HC183" s="54">
        <f t="shared" si="304"/>
        <v>0.22890893335654983</v>
      </c>
      <c r="HD183" s="69" t="str">
        <f t="shared" si="305"/>
        <v/>
      </c>
      <c r="HJ183" s="54">
        <f t="shared" si="306"/>
        <v>173</v>
      </c>
      <c r="HK183" s="54">
        <f t="shared" si="307"/>
        <v>174</v>
      </c>
      <c r="HL183" s="54">
        <f t="shared" si="308"/>
        <v>1.6321918113185019</v>
      </c>
      <c r="HM183" s="54" t="e">
        <f t="shared" si="309"/>
        <v>#N/A</v>
      </c>
      <c r="HN183" s="54">
        <f t="shared" si="310"/>
        <v>0.10597576325843147</v>
      </c>
      <c r="HO183" s="54" t="e">
        <f t="shared" si="311"/>
        <v>#N/A</v>
      </c>
      <c r="HP183" s="54" t="e">
        <f t="shared" si="312"/>
        <v>#N/A</v>
      </c>
      <c r="HQ183" s="54" t="b">
        <f t="shared" si="313"/>
        <v>1</v>
      </c>
      <c r="HR183" s="54" t="b">
        <f t="shared" si="314"/>
        <v>0</v>
      </c>
      <c r="HS183" s="54" t="b">
        <f t="shared" si="315"/>
        <v>0</v>
      </c>
      <c r="HT183" s="54" t="b">
        <f t="shared" si="316"/>
        <v>1</v>
      </c>
      <c r="HU183" s="54">
        <f t="shared" si="317"/>
        <v>0.10597576325843147</v>
      </c>
      <c r="HV183" s="54">
        <f t="shared" si="318"/>
        <v>0.10597576325843147</v>
      </c>
      <c r="HW183" s="54" t="e">
        <f t="shared" si="319"/>
        <v>#N/A</v>
      </c>
      <c r="HX183" s="69" t="str">
        <f t="shared" si="320"/>
        <v/>
      </c>
    </row>
    <row r="184" spans="78:232" x14ac:dyDescent="0.2">
      <c r="BZ184" s="54">
        <f t="shared" si="247"/>
        <v>174</v>
      </c>
      <c r="CA184" s="54">
        <f>Eu_tabel_g[[#This Row],[Indeks]]+1</f>
        <v>175</v>
      </c>
      <c r="CB184" s="54">
        <f t="shared" si="248"/>
        <v>1.0779880137794695</v>
      </c>
      <c r="CC184" s="54">
        <f t="shared" si="249"/>
        <v>0.2231373869759069</v>
      </c>
      <c r="CD184" s="54" t="e">
        <f t="shared" si="250"/>
        <v>#N/A</v>
      </c>
      <c r="CE184" s="54" t="e">
        <f t="shared" si="251"/>
        <v>#N/A</v>
      </c>
      <c r="CF184" s="54" t="e">
        <f t="shared" si="252"/>
        <v>#N/A</v>
      </c>
      <c r="CG184" s="54" t="b">
        <f t="shared" si="253"/>
        <v>0</v>
      </c>
      <c r="CH184" s="54" t="b">
        <f t="shared" si="254"/>
        <v>1</v>
      </c>
      <c r="CI184" s="54" t="b">
        <f t="shared" si="255"/>
        <v>0</v>
      </c>
      <c r="CJ184" s="54" t="b">
        <f t="shared" si="256"/>
        <v>1</v>
      </c>
      <c r="CK184" s="54">
        <f t="shared" si="321"/>
        <v>0.2231373869759069</v>
      </c>
      <c r="CL184" s="54" t="e">
        <f t="shared" si="257"/>
        <v>#N/A</v>
      </c>
      <c r="CM184" s="54">
        <f t="shared" si="258"/>
        <v>0.2231373869759069</v>
      </c>
      <c r="CN184" s="69" t="str">
        <f t="shared" si="259"/>
        <v/>
      </c>
      <c r="CO184" s="54">
        <f>_xlfn.NORM.DIST(_xlfn.NORM.INV(1-Eu_g_konfidensniveau,0,1)-Eu_tabel_g[[#This Row],[x base]],0,1,TRUE)</f>
        <v>3.2361537059482173E-3</v>
      </c>
      <c r="CP184" s="54">
        <f>1-_xlfn.NORM.DIST(_xlfn.NORM.INV(Eu_g_konfidensniveau,0,1)-Eu_tabel_g[[#This Row],[x base]],0,1,TRUE)</f>
        <v>0.28540274418023859</v>
      </c>
      <c r="CQ184" s="54">
        <f>_xlfn.NORM.DIST(_xlfn.NORM.INV((1-Eu_g_konfidensniveau)/2,0,1)-Eu_tabel_g[[#This Row],[x base]],0,1,TRUE)+1-_xlfn.NORM.DIST(_xlfn.NORM.INV(1-(1-Eu_g_konfidensniveau)/2,0,1)-Eu_tabel_g[[#This Row],[x base]],0,1,TRUE)</f>
        <v>0.19008586036622488</v>
      </c>
      <c r="CR184" s="54" t="e" cm="1">
        <f t="array" ref="CR184">IF($CR$3,INDEX(Eu_tabel_g[[#This Row],[Styrke venstre]:[Styrke tosidet]],CR$7),NA())</f>
        <v>#N/A</v>
      </c>
      <c r="CS184" s="89" t="e">
        <f>Eu_tabel_g[[#This Row],[Falsk positiv
Nulhypotese accepteres
Fejltype 1]]</f>
        <v>#N/A</v>
      </c>
      <c r="CT184" s="89" t="e">
        <f>IF(CHOOSE(CR$7,Eu_tabel_g[[#This Row],[x base]]&gt;0,Eu_tabel_g[[#This Row],[x base]]&lt;0,Eu_tabel_g[[#This Row],[x base]]=0),Eu_tabel_g[[#This Row],[Styrke, aktiv]],NA())</f>
        <v>#N/A</v>
      </c>
      <c r="CU184" s="89" t="e">
        <f>IFERROR(IF($CR$3,Eu_tabel_g[[#This Row],[Styrke, aktiv]],NA()),NA())</f>
        <v>#N/A</v>
      </c>
      <c r="CV184" s="89" t="e">
        <f>IF(ISNA(Eu_tabel_g[[#This Row],[Sand negativ
Nulhypotese afvises
Korrekt]]),NA(),IF($CR$3,1,NA()))</f>
        <v>#N/A</v>
      </c>
      <c r="CW184" s="56" t="str" cm="1">
        <f t="array" ref="CW184">_xlfn.SWITCH(BZ184,_xlfn.IFNA(CU$2,-99),CU$5,_xlfn.IFNA(CU$3,-99),CU$6,_xlfn.IFNA(CU$4,-99),CU$7,"")</f>
        <v/>
      </c>
      <c r="DA184" s="7">
        <f t="shared" si="260"/>
        <v>0.8</v>
      </c>
      <c r="DB184">
        <f>IF(ROW(Styrkeberegning_G[[#This Row],[X base venstre]])=ROW(Styrkeberegning_G[[#Headers],[X base venstre]])+1,DB$7/(DA$7/$B$67),DB183/(DA183/$B$67))</f>
        <v>-2.8015817870135784</v>
      </c>
      <c r="DC184">
        <f>Styrkeberegning_G[[#This Row],[X base venstre]]*-1</f>
        <v>2.8015817870135784</v>
      </c>
      <c r="DN184" s="54">
        <f t="shared" si="261"/>
        <v>174</v>
      </c>
      <c r="DO184" s="54">
        <f t="shared" si="262"/>
        <v>175</v>
      </c>
      <c r="DP184" s="54">
        <f t="shared" si="263"/>
        <v>21.682181681211866</v>
      </c>
      <c r="DQ184" s="54" t="e">
        <f t="shared" si="264"/>
        <v>#N/A</v>
      </c>
      <c r="DR184" s="54" t="e">
        <f t="shared" si="265"/>
        <v>#N/A</v>
      </c>
      <c r="DS184" s="54">
        <f t="shared" si="266"/>
        <v>8.5058111039919785E-3</v>
      </c>
      <c r="DT184" s="54" t="e">
        <f t="shared" si="267"/>
        <v>#N/A</v>
      </c>
      <c r="DU184" s="54" t="b">
        <f t="shared" si="268"/>
        <v>0</v>
      </c>
      <c r="DV184" s="54" t="b">
        <f t="shared" si="269"/>
        <v>1</v>
      </c>
      <c r="DW184" s="54" t="b">
        <f t="shared" si="270"/>
        <v>0</v>
      </c>
      <c r="DX184" s="54" t="b">
        <f t="shared" si="271"/>
        <v>1</v>
      </c>
      <c r="DY184" s="54">
        <f t="shared" si="272"/>
        <v>8.5058111039919785E-3</v>
      </c>
      <c r="DZ184" s="54" t="e">
        <f t="shared" si="273"/>
        <v>#N/A</v>
      </c>
      <c r="EA184" s="54">
        <f t="shared" si="274"/>
        <v>8.5058111039919785E-3</v>
      </c>
      <c r="EB184" s="69" t="str">
        <f t="shared" si="275"/>
        <v/>
      </c>
      <c r="EG184" s="54">
        <f t="shared" si="276"/>
        <v>174</v>
      </c>
      <c r="EH184" s="54">
        <f t="shared" si="277"/>
        <v>175</v>
      </c>
      <c r="EI184" s="54">
        <f t="shared" si="278"/>
        <v>1.0779880137794695</v>
      </c>
      <c r="EJ184" s="54">
        <f t="shared" si="279"/>
        <v>0.2231373869759069</v>
      </c>
      <c r="EK184" s="54" t="e">
        <f t="shared" si="280"/>
        <v>#N/A</v>
      </c>
      <c r="EL184" s="54" t="e">
        <f t="shared" si="281"/>
        <v>#N/A</v>
      </c>
      <c r="EM184" s="54" t="e">
        <f t="shared" si="282"/>
        <v>#N/A</v>
      </c>
      <c r="EN184" s="54" t="b">
        <f t="shared" si="283"/>
        <v>0</v>
      </c>
      <c r="EO184" s="54" t="b">
        <f t="shared" si="284"/>
        <v>1</v>
      </c>
      <c r="EP184" s="54" t="b">
        <f t="shared" si="285"/>
        <v>0</v>
      </c>
      <c r="EQ184" s="54" t="b">
        <f t="shared" si="286"/>
        <v>1</v>
      </c>
      <c r="ER184" s="54">
        <f t="shared" si="287"/>
        <v>0.2231373869759069</v>
      </c>
      <c r="ES184" s="54" t="e">
        <f t="shared" si="288"/>
        <v>#N/A</v>
      </c>
      <c r="ET184" s="54">
        <f t="shared" si="289"/>
        <v>0.2231373869759069</v>
      </c>
      <c r="EU184" s="69" t="str">
        <f t="shared" si="290"/>
        <v/>
      </c>
      <c r="EV18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8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8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84" s="54" t="e" cm="1">
        <f t="array" ref="EY184">IF($CR$3,INDEX(Eu_tabel_a[[#This Row],[Styrke venstre]:[Styrke tosidet]],EY$7),NA())</f>
        <v>#N/A</v>
      </c>
      <c r="EZ184" s="54" t="e">
        <f>IF(EY$3,IF(CHOOSE(EY$7,Eu_tabel_a[[#This Row],[x base]]&gt;0,Eu_tabel_a[[#This Row],[x base]]&lt;0,Eu_tabel_a[[#This Row],[x base]]=0),1,NA()),NA())</f>
        <v>#N/A</v>
      </c>
      <c r="FA184" s="54" t="e">
        <f>IF(CHOOSE(EY$7,Eu_tabel_a[[#This Row],[x base]]&gt;0,Eu_tabel_a[[#This Row],[x base]]&lt;0,Eu_tabel_a[[#This Row],[x base]]=0),Eu_tabel_a[[#This Row],[Styrke, aktiv]],NA())</f>
        <v>#N/A</v>
      </c>
      <c r="FB184" s="54" t="e">
        <f>IFERROR(IF($EY$3,Eu_tabel_a[[#This Row],[Styrke, aktiv]],NA()),NA())</f>
        <v>#N/A</v>
      </c>
      <c r="FC184" s="54" t="e">
        <f>IF(ISNA(Eu_tabel_a[[#This Row],[Sand negativ
Nulhypotese afvises
Korrekt]]),NA(),IF(EY$3,1,NA()))</f>
        <v>#N/A</v>
      </c>
      <c r="FD184" s="55" t="str" cm="1">
        <f t="array" ref="FD184">IFERROR(_xlfn.SWITCH(Eu_tabel_a[[#This Row],[Indeks]],_xlfn.IFNA(FB$2,-99),FB$5,_xlfn.IFNA(FB$3,-99),FB$6,_xlfn.IFNA(FB$4,-99),FB$7,""),"")</f>
        <v/>
      </c>
      <c r="FE184" s="54">
        <f>Eu_tabel_a[[#This Row],[x base]]*SQRT(Eu_a_h0_x*(1-Eu_a_h0_x)/Eu_a_n_x)+Eu_a_h0_x</f>
        <v>0</v>
      </c>
      <c r="FJ184" s="144" t="e">
        <f t="shared" si="234"/>
        <v>#N/A</v>
      </c>
      <c r="FK184" s="152" t="e">
        <f t="shared" si="322"/>
        <v>#DIV/0!</v>
      </c>
      <c r="FL184" s="7" t="e">
        <f t="shared" si="228"/>
        <v>#DIV/0!</v>
      </c>
      <c r="FM184" t="e">
        <f t="shared" si="323"/>
        <v>#DIV/0!</v>
      </c>
      <c r="FN184" s="8" t="e">
        <f t="shared" si="324"/>
        <v>#DIV/0!</v>
      </c>
      <c r="FO184" s="8" t="e">
        <f t="shared" si="325"/>
        <v>#DIV/0!</v>
      </c>
      <c r="FP184" s="151" t="e">
        <f t="shared" si="326"/>
        <v>#DIV/0!</v>
      </c>
      <c r="FQ184" s="144" t="e">
        <f t="shared" ca="1" si="229"/>
        <v>#N/A</v>
      </c>
      <c r="FR184" s="152" t="e" vm="3">
        <f t="shared" ca="1" si="235"/>
        <v>#VALUE!</v>
      </c>
      <c r="FS184" s="7" t="e" vm="3">
        <f t="shared" ca="1" si="230"/>
        <v>#VALUE!</v>
      </c>
      <c r="FT184" t="e" vm="3">
        <f t="shared" ca="1" si="224"/>
        <v>#VALUE!</v>
      </c>
      <c r="FU184" s="8" t="e" vm="3">
        <f t="shared" ca="1" si="225"/>
        <v>#VALUE!</v>
      </c>
      <c r="FV184" s="8" t="e" vm="3">
        <f t="shared" ca="1" si="226"/>
        <v>#VALUE!</v>
      </c>
      <c r="FW184" s="151" t="e" vm="3">
        <f t="shared" ca="1" si="227"/>
        <v>#VALUE!</v>
      </c>
      <c r="FX184" s="144" t="e">
        <f t="shared" si="231"/>
        <v>#N/A</v>
      </c>
      <c r="FY184" s="152" t="e">
        <f t="shared" si="236"/>
        <v>#N/A</v>
      </c>
      <c r="FZ184" s="7" t="e">
        <f t="shared" si="232"/>
        <v>#N/A</v>
      </c>
      <c r="GA184" t="e">
        <f t="shared" si="237"/>
        <v>#N/A</v>
      </c>
      <c r="GB184" s="8" t="e">
        <f t="shared" si="238"/>
        <v>#N/A</v>
      </c>
      <c r="GC184" s="8" t="e">
        <f t="shared" si="239"/>
        <v>#N/A</v>
      </c>
      <c r="GD184" s="151" t="e">
        <f t="shared" si="240"/>
        <v>#N/A</v>
      </c>
      <c r="GE184" s="144" t="e">
        <f t="shared" si="241"/>
        <v>#N/A</v>
      </c>
      <c r="GF184" s="152" t="e">
        <f t="shared" si="242"/>
        <v>#N/A</v>
      </c>
      <c r="GG184" s="7" t="e">
        <f t="shared" si="233"/>
        <v>#N/A</v>
      </c>
      <c r="GH184" t="e">
        <f t="shared" si="243"/>
        <v>#N/A</v>
      </c>
      <c r="GI184" s="8" t="e">
        <f t="shared" si="244"/>
        <v>#N/A</v>
      </c>
      <c r="GJ184" s="8" t="e">
        <f t="shared" si="245"/>
        <v>#N/A</v>
      </c>
      <c r="GK184" s="151" t="e">
        <f t="shared" si="246"/>
        <v>#N/A</v>
      </c>
      <c r="GL184" s="151"/>
      <c r="GM184" s="151"/>
      <c r="GP184" s="54">
        <f t="shared" si="291"/>
        <v>174</v>
      </c>
      <c r="GQ184" s="54">
        <f t="shared" si="292"/>
        <v>175</v>
      </c>
      <c r="GR184" s="54">
        <f t="shared" si="293"/>
        <v>1.0779880137794695</v>
      </c>
      <c r="GS184" s="54">
        <f t="shared" si="294"/>
        <v>0.2231373869759069</v>
      </c>
      <c r="GT184" s="54" t="e">
        <f t="shared" si="295"/>
        <v>#N/A</v>
      </c>
      <c r="GU184" s="54" t="e">
        <f t="shared" si="296"/>
        <v>#N/A</v>
      </c>
      <c r="GV184" s="54" t="e">
        <f t="shared" si="297"/>
        <v>#N/A</v>
      </c>
      <c r="GW184" s="54" t="b">
        <f t="shared" si="298"/>
        <v>0</v>
      </c>
      <c r="GX184" s="54" t="b">
        <f t="shared" si="299"/>
        <v>1</v>
      </c>
      <c r="GY184" s="54" t="b">
        <f t="shared" si="300"/>
        <v>0</v>
      </c>
      <c r="GZ184" s="54" t="b">
        <f t="shared" si="301"/>
        <v>1</v>
      </c>
      <c r="HA184" s="54">
        <f t="shared" si="302"/>
        <v>0.2231373869759069</v>
      </c>
      <c r="HB184" s="54" t="e">
        <f t="shared" si="303"/>
        <v>#N/A</v>
      </c>
      <c r="HC184" s="54">
        <f t="shared" si="304"/>
        <v>0.2231373869759069</v>
      </c>
      <c r="HD184" s="69" t="str">
        <f t="shared" si="305"/>
        <v/>
      </c>
      <c r="HJ184" s="54">
        <f t="shared" si="306"/>
        <v>174</v>
      </c>
      <c r="HK184" s="54">
        <f t="shared" si="307"/>
        <v>175</v>
      </c>
      <c r="HL184" s="54">
        <f t="shared" si="308"/>
        <v>1.6692870797575585</v>
      </c>
      <c r="HM184" s="54" t="e">
        <f t="shared" si="309"/>
        <v>#N/A</v>
      </c>
      <c r="HN184" s="54">
        <f t="shared" si="310"/>
        <v>0.10076975631354256</v>
      </c>
      <c r="HO184" s="54" t="e">
        <f t="shared" si="311"/>
        <v>#N/A</v>
      </c>
      <c r="HP184" s="54" t="e">
        <f t="shared" si="312"/>
        <v>#N/A</v>
      </c>
      <c r="HQ184" s="54" t="b">
        <f t="shared" si="313"/>
        <v>1</v>
      </c>
      <c r="HR184" s="54" t="b">
        <f t="shared" si="314"/>
        <v>0</v>
      </c>
      <c r="HS184" s="54" t="b">
        <f t="shared" si="315"/>
        <v>0</v>
      </c>
      <c r="HT184" s="54" t="b">
        <f t="shared" si="316"/>
        <v>1</v>
      </c>
      <c r="HU184" s="54">
        <f t="shared" si="317"/>
        <v>0.10076975631354256</v>
      </c>
      <c r="HV184" s="54">
        <f t="shared" si="318"/>
        <v>0.10076975631354256</v>
      </c>
      <c r="HW184" s="54" t="e">
        <f t="shared" si="319"/>
        <v>#N/A</v>
      </c>
      <c r="HX184" s="69" t="str">
        <f t="shared" si="320"/>
        <v/>
      </c>
    </row>
    <row r="185" spans="78:232" x14ac:dyDescent="0.2">
      <c r="BZ185" s="54">
        <f t="shared" si="247"/>
        <v>175</v>
      </c>
      <c r="CA185" s="54">
        <f>Eu_tabel_g[[#This Row],[Indeks]]+1</f>
        <v>176</v>
      </c>
      <c r="CB185" s="54">
        <f t="shared" si="248"/>
        <v>1.1019433029745693</v>
      </c>
      <c r="CC185" s="54">
        <f t="shared" si="249"/>
        <v>0.2173865758786262</v>
      </c>
      <c r="CD185" s="54" t="e">
        <f t="shared" si="250"/>
        <v>#N/A</v>
      </c>
      <c r="CE185" s="54" t="e">
        <f t="shared" si="251"/>
        <v>#N/A</v>
      </c>
      <c r="CF185" s="54" t="e">
        <f t="shared" si="252"/>
        <v>#N/A</v>
      </c>
      <c r="CG185" s="54" t="b">
        <f t="shared" si="253"/>
        <v>0</v>
      </c>
      <c r="CH185" s="54" t="b">
        <f t="shared" si="254"/>
        <v>1</v>
      </c>
      <c r="CI185" s="54" t="b">
        <f t="shared" si="255"/>
        <v>0</v>
      </c>
      <c r="CJ185" s="54" t="b">
        <f t="shared" si="256"/>
        <v>1</v>
      </c>
      <c r="CK185" s="54">
        <f t="shared" si="321"/>
        <v>0.2173865758786262</v>
      </c>
      <c r="CL185" s="54" t="e">
        <f t="shared" si="257"/>
        <v>#N/A</v>
      </c>
      <c r="CM185" s="54">
        <f t="shared" si="258"/>
        <v>0.2173865758786262</v>
      </c>
      <c r="CN185" s="69" t="str">
        <f t="shared" si="259"/>
        <v/>
      </c>
      <c r="CO185" s="54">
        <f>_xlfn.NORM.DIST(_xlfn.NORM.INV(1-Eu_g_konfidensniveau,0,1)-Eu_tabel_g[[#This Row],[x base]],0,1,TRUE)</f>
        <v>3.0090191634775634E-3</v>
      </c>
      <c r="CP185" s="54">
        <f>1-_xlfn.NORM.DIST(_xlfn.NORM.INV(Eu_g_konfidensniveau,0,1)-Eu_tabel_g[[#This Row],[x base]],0,1,TRUE)</f>
        <v>0.29359577368344003</v>
      </c>
      <c r="CQ185" s="54">
        <f>_xlfn.NORM.DIST(_xlfn.NORM.INV((1-Eu_g_konfidensniveau)/2,0,1)-Eu_tabel_g[[#This Row],[x base]],0,1,TRUE)+1-_xlfn.NORM.DIST(_xlfn.NORM.INV(1-(1-Eu_g_konfidensniveau)/2,0,1)-Eu_tabel_g[[#This Row],[x base]],0,1,TRUE)</f>
        <v>0.19654017955137171</v>
      </c>
      <c r="CR185" s="54" t="e" cm="1">
        <f t="array" ref="CR185">IF($CR$3,INDEX(Eu_tabel_g[[#This Row],[Styrke venstre]:[Styrke tosidet]],CR$7),NA())</f>
        <v>#N/A</v>
      </c>
      <c r="CS185" s="89" t="e">
        <f>Eu_tabel_g[[#This Row],[Falsk positiv
Nulhypotese accepteres
Fejltype 1]]</f>
        <v>#N/A</v>
      </c>
      <c r="CT185" s="89" t="e">
        <f>IF(CHOOSE(CR$7,Eu_tabel_g[[#This Row],[x base]]&gt;0,Eu_tabel_g[[#This Row],[x base]]&lt;0,Eu_tabel_g[[#This Row],[x base]]=0),Eu_tabel_g[[#This Row],[Styrke, aktiv]],NA())</f>
        <v>#N/A</v>
      </c>
      <c r="CU185" s="89" t="e">
        <f>IFERROR(IF($CR$3,Eu_tabel_g[[#This Row],[Styrke, aktiv]],NA()),NA())</f>
        <v>#N/A</v>
      </c>
      <c r="CV185" s="89" t="e">
        <f>IF(ISNA(Eu_tabel_g[[#This Row],[Sand negativ
Nulhypotese afvises
Korrekt]]),NA(),IF($CR$3,1,NA()))</f>
        <v>#N/A</v>
      </c>
      <c r="CW185" s="56" t="str" cm="1">
        <f t="array" ref="CW185">_xlfn.SWITCH(BZ185,_xlfn.IFNA(CU$2,-99),CU$5,_xlfn.IFNA(CU$3,-99),CU$6,_xlfn.IFNA(CU$4,-99),CU$7,"")</f>
        <v/>
      </c>
      <c r="DA185" s="7">
        <f t="shared" si="260"/>
        <v>0.8</v>
      </c>
      <c r="DB185">
        <f>IF(ROW(Styrkeberegning_G[[#This Row],[X base venstre]])=ROW(Styrkeberegning_G[[#Headers],[X base venstre]])+1,DB$7/(DA$7/$B$67),DB184/(DA184/$B$67))</f>
        <v>-2.8015817870135784</v>
      </c>
      <c r="DC185">
        <f>Styrkeberegning_G[[#This Row],[X base venstre]]*-1</f>
        <v>2.8015817870135784</v>
      </c>
      <c r="DN185" s="54">
        <f t="shared" si="261"/>
        <v>175</v>
      </c>
      <c r="DO185" s="54">
        <f t="shared" si="262"/>
        <v>176</v>
      </c>
      <c r="DP185" s="54">
        <f t="shared" si="263"/>
        <v>21.796252537628867</v>
      </c>
      <c r="DQ185" s="54" t="e">
        <f t="shared" si="264"/>
        <v>#N/A</v>
      </c>
      <c r="DR185" s="54" t="e">
        <f t="shared" si="265"/>
        <v>#N/A</v>
      </c>
      <c r="DS185" s="54">
        <f t="shared" si="266"/>
        <v>8.2262214345339302E-3</v>
      </c>
      <c r="DT185" s="54" t="e">
        <f t="shared" si="267"/>
        <v>#N/A</v>
      </c>
      <c r="DU185" s="54" t="b">
        <f t="shared" si="268"/>
        <v>0</v>
      </c>
      <c r="DV185" s="54" t="b">
        <f t="shared" si="269"/>
        <v>1</v>
      </c>
      <c r="DW185" s="54" t="b">
        <f t="shared" si="270"/>
        <v>0</v>
      </c>
      <c r="DX185" s="54" t="b">
        <f t="shared" si="271"/>
        <v>1</v>
      </c>
      <c r="DY185" s="54">
        <f t="shared" si="272"/>
        <v>8.2262214345339302E-3</v>
      </c>
      <c r="DZ185" s="54" t="e">
        <f t="shared" si="273"/>
        <v>#N/A</v>
      </c>
      <c r="EA185" s="54">
        <f t="shared" si="274"/>
        <v>8.2262214345339302E-3</v>
      </c>
      <c r="EB185" s="69" t="str">
        <f t="shared" si="275"/>
        <v/>
      </c>
      <c r="EG185" s="54">
        <f t="shared" si="276"/>
        <v>175</v>
      </c>
      <c r="EH185" s="54">
        <f t="shared" si="277"/>
        <v>176</v>
      </c>
      <c r="EI185" s="54">
        <f t="shared" si="278"/>
        <v>1.1019433029745693</v>
      </c>
      <c r="EJ185" s="54">
        <f t="shared" si="279"/>
        <v>0.2173865758786262</v>
      </c>
      <c r="EK185" s="54" t="e">
        <f t="shared" si="280"/>
        <v>#N/A</v>
      </c>
      <c r="EL185" s="54" t="e">
        <f t="shared" si="281"/>
        <v>#N/A</v>
      </c>
      <c r="EM185" s="54" t="e">
        <f t="shared" si="282"/>
        <v>#N/A</v>
      </c>
      <c r="EN185" s="54" t="b">
        <f t="shared" si="283"/>
        <v>0</v>
      </c>
      <c r="EO185" s="54" t="b">
        <f t="shared" si="284"/>
        <v>1</v>
      </c>
      <c r="EP185" s="54" t="b">
        <f t="shared" si="285"/>
        <v>0</v>
      </c>
      <c r="EQ185" s="54" t="b">
        <f t="shared" si="286"/>
        <v>1</v>
      </c>
      <c r="ER185" s="54">
        <f t="shared" si="287"/>
        <v>0.2173865758786262</v>
      </c>
      <c r="ES185" s="54" t="e">
        <f t="shared" si="288"/>
        <v>#N/A</v>
      </c>
      <c r="ET185" s="54">
        <f t="shared" si="289"/>
        <v>0.2173865758786262</v>
      </c>
      <c r="EU185" s="69" t="str">
        <f t="shared" si="290"/>
        <v/>
      </c>
      <c r="EV18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8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8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85" s="54" t="e" cm="1">
        <f t="array" ref="EY185">IF($CR$3,INDEX(Eu_tabel_a[[#This Row],[Styrke venstre]:[Styrke tosidet]],EY$7),NA())</f>
        <v>#N/A</v>
      </c>
      <c r="EZ185" s="54" t="e">
        <f>IF(EY$3,IF(CHOOSE(EY$7,Eu_tabel_a[[#This Row],[x base]]&gt;0,Eu_tabel_a[[#This Row],[x base]]&lt;0,Eu_tabel_a[[#This Row],[x base]]=0),1,NA()),NA())</f>
        <v>#N/A</v>
      </c>
      <c r="FA185" s="54" t="e">
        <f>IF(CHOOSE(EY$7,Eu_tabel_a[[#This Row],[x base]]&gt;0,Eu_tabel_a[[#This Row],[x base]]&lt;0,Eu_tabel_a[[#This Row],[x base]]=0),Eu_tabel_a[[#This Row],[Styrke, aktiv]],NA())</f>
        <v>#N/A</v>
      </c>
      <c r="FB185" s="54" t="e">
        <f>IFERROR(IF($EY$3,Eu_tabel_a[[#This Row],[Styrke, aktiv]],NA()),NA())</f>
        <v>#N/A</v>
      </c>
      <c r="FC185" s="54" t="e">
        <f>IF(ISNA(Eu_tabel_a[[#This Row],[Sand negativ
Nulhypotese afvises
Korrekt]]),NA(),IF(EY$3,1,NA()))</f>
        <v>#N/A</v>
      </c>
      <c r="FD185" s="55" t="str" cm="1">
        <f t="array" ref="FD185">IFERROR(_xlfn.SWITCH(Eu_tabel_a[[#This Row],[Indeks]],_xlfn.IFNA(FB$2,-99),FB$5,_xlfn.IFNA(FB$3,-99),FB$6,_xlfn.IFNA(FB$4,-99),FB$7,""),"")</f>
        <v/>
      </c>
      <c r="FE185" s="54">
        <f>Eu_tabel_a[[#This Row],[x base]]*SQRT(Eu_a_h0_x*(1-Eu_a_h0_x)/Eu_a_n_x)+Eu_a_h0_x</f>
        <v>0</v>
      </c>
      <c r="FJ185" s="144" t="e">
        <f t="shared" si="234"/>
        <v>#N/A</v>
      </c>
      <c r="FK185" s="152" t="e">
        <f t="shared" si="322"/>
        <v>#DIV/0!</v>
      </c>
      <c r="FL185" s="7" t="e">
        <f t="shared" si="228"/>
        <v>#DIV/0!</v>
      </c>
      <c r="FM185" t="e">
        <f t="shared" si="323"/>
        <v>#DIV/0!</v>
      </c>
      <c r="FN185" s="8" t="e">
        <f t="shared" si="324"/>
        <v>#DIV/0!</v>
      </c>
      <c r="FO185" s="8" t="e">
        <f t="shared" si="325"/>
        <v>#DIV/0!</v>
      </c>
      <c r="FP185" s="151" t="e">
        <f t="shared" si="326"/>
        <v>#DIV/0!</v>
      </c>
      <c r="FQ185" s="144" t="e">
        <f t="shared" ca="1" si="229"/>
        <v>#N/A</v>
      </c>
      <c r="FR185" s="152" t="e" vm="3">
        <f t="shared" ca="1" si="235"/>
        <v>#VALUE!</v>
      </c>
      <c r="FS185" s="7" t="e" vm="3">
        <f t="shared" ca="1" si="230"/>
        <v>#VALUE!</v>
      </c>
      <c r="FT185" t="e" vm="3">
        <f t="shared" ca="1" si="224"/>
        <v>#VALUE!</v>
      </c>
      <c r="FU185" s="8" t="e" vm="3">
        <f t="shared" ca="1" si="225"/>
        <v>#VALUE!</v>
      </c>
      <c r="FV185" s="8" t="e" vm="3">
        <f t="shared" ca="1" si="226"/>
        <v>#VALUE!</v>
      </c>
      <c r="FW185" s="151" t="e" vm="3">
        <f t="shared" ca="1" si="227"/>
        <v>#VALUE!</v>
      </c>
      <c r="FX185" s="144" t="e">
        <f t="shared" si="231"/>
        <v>#N/A</v>
      </c>
      <c r="FY185" s="152" t="e">
        <f t="shared" si="236"/>
        <v>#N/A</v>
      </c>
      <c r="FZ185" s="7" t="e">
        <f t="shared" si="232"/>
        <v>#N/A</v>
      </c>
      <c r="GA185" t="e">
        <f t="shared" si="237"/>
        <v>#N/A</v>
      </c>
      <c r="GB185" s="8" t="e">
        <f t="shared" si="238"/>
        <v>#N/A</v>
      </c>
      <c r="GC185" s="8" t="e">
        <f t="shared" si="239"/>
        <v>#N/A</v>
      </c>
      <c r="GD185" s="151" t="e">
        <f t="shared" si="240"/>
        <v>#N/A</v>
      </c>
      <c r="GE185" s="144" t="e">
        <f t="shared" si="241"/>
        <v>#N/A</v>
      </c>
      <c r="GF185" s="152" t="e">
        <f t="shared" si="242"/>
        <v>#N/A</v>
      </c>
      <c r="GG185" s="7" t="e">
        <f t="shared" si="233"/>
        <v>#N/A</v>
      </c>
      <c r="GH185" t="e">
        <f t="shared" si="243"/>
        <v>#N/A</v>
      </c>
      <c r="GI185" s="8" t="e">
        <f t="shared" si="244"/>
        <v>#N/A</v>
      </c>
      <c r="GJ185" s="8" t="e">
        <f t="shared" si="245"/>
        <v>#N/A</v>
      </c>
      <c r="GK185" s="151" t="e">
        <f t="shared" si="246"/>
        <v>#N/A</v>
      </c>
      <c r="GL185" s="151"/>
      <c r="GM185" s="151"/>
      <c r="GP185" s="54">
        <f t="shared" si="291"/>
        <v>175</v>
      </c>
      <c r="GQ185" s="54">
        <f t="shared" si="292"/>
        <v>176</v>
      </c>
      <c r="GR185" s="54">
        <f t="shared" si="293"/>
        <v>1.1019433029745693</v>
      </c>
      <c r="GS185" s="54">
        <f t="shared" si="294"/>
        <v>0.2173865758786262</v>
      </c>
      <c r="GT185" s="54" t="e">
        <f t="shared" si="295"/>
        <v>#N/A</v>
      </c>
      <c r="GU185" s="54" t="e">
        <f t="shared" si="296"/>
        <v>#N/A</v>
      </c>
      <c r="GV185" s="54" t="e">
        <f t="shared" si="297"/>
        <v>#N/A</v>
      </c>
      <c r="GW185" s="54" t="b">
        <f t="shared" si="298"/>
        <v>0</v>
      </c>
      <c r="GX185" s="54" t="b">
        <f t="shared" si="299"/>
        <v>1</v>
      </c>
      <c r="GY185" s="54" t="b">
        <f t="shared" si="300"/>
        <v>0</v>
      </c>
      <c r="GZ185" s="54" t="b">
        <f t="shared" si="301"/>
        <v>1</v>
      </c>
      <c r="HA185" s="54">
        <f t="shared" si="302"/>
        <v>0.2173865758786262</v>
      </c>
      <c r="HB185" s="54" t="e">
        <f t="shared" si="303"/>
        <v>#N/A</v>
      </c>
      <c r="HC185" s="54">
        <f t="shared" si="304"/>
        <v>0.2173865758786262</v>
      </c>
      <c r="HD185" s="69" t="str">
        <f t="shared" si="305"/>
        <v/>
      </c>
      <c r="HJ185" s="54">
        <f t="shared" si="306"/>
        <v>175</v>
      </c>
      <c r="HK185" s="54">
        <f t="shared" si="307"/>
        <v>176</v>
      </c>
      <c r="HL185" s="54">
        <f t="shared" si="308"/>
        <v>1.7063823481966152</v>
      </c>
      <c r="HM185" s="54" t="e">
        <f t="shared" si="309"/>
        <v>#N/A</v>
      </c>
      <c r="HN185" s="54">
        <f t="shared" si="310"/>
        <v>9.5773093290658293E-2</v>
      </c>
      <c r="HO185" s="54" t="e">
        <f t="shared" si="311"/>
        <v>#N/A</v>
      </c>
      <c r="HP185" s="54" t="e">
        <f t="shared" si="312"/>
        <v>#N/A</v>
      </c>
      <c r="HQ185" s="54" t="b">
        <f t="shared" si="313"/>
        <v>0</v>
      </c>
      <c r="HR185" s="54" t="b">
        <f t="shared" si="314"/>
        <v>1</v>
      </c>
      <c r="HS185" s="54" t="b">
        <f t="shared" si="315"/>
        <v>1</v>
      </c>
      <c r="HT185" s="54" t="b">
        <f t="shared" si="316"/>
        <v>0</v>
      </c>
      <c r="HU185" s="54">
        <f t="shared" si="317"/>
        <v>9.5773093290658293E-2</v>
      </c>
      <c r="HV185" s="54" t="e">
        <f t="shared" si="318"/>
        <v>#N/A</v>
      </c>
      <c r="HW185" s="54">
        <f t="shared" si="319"/>
        <v>9.5773093290658293E-2</v>
      </c>
      <c r="HX185" s="69">
        <f t="shared" si="320"/>
        <v>0.34100000000000003</v>
      </c>
    </row>
    <row r="186" spans="78:232" x14ac:dyDescent="0.2">
      <c r="BZ186" s="54">
        <f t="shared" si="247"/>
        <v>176</v>
      </c>
      <c r="CA186" s="54">
        <f>Eu_tabel_g[[#This Row],[Indeks]]+1</f>
        <v>177</v>
      </c>
      <c r="CB186" s="54">
        <f t="shared" si="248"/>
        <v>1.1258985921696683</v>
      </c>
      <c r="CC186" s="54">
        <f t="shared" si="249"/>
        <v>0.21166247901603161</v>
      </c>
      <c r="CD186" s="54" t="e">
        <f t="shared" si="250"/>
        <v>#N/A</v>
      </c>
      <c r="CE186" s="54" t="e">
        <f t="shared" si="251"/>
        <v>#N/A</v>
      </c>
      <c r="CF186" s="54" t="e">
        <f t="shared" si="252"/>
        <v>#N/A</v>
      </c>
      <c r="CG186" s="54" t="b">
        <f t="shared" si="253"/>
        <v>0</v>
      </c>
      <c r="CH186" s="54" t="b">
        <f t="shared" si="254"/>
        <v>1</v>
      </c>
      <c r="CI186" s="54" t="b">
        <f t="shared" si="255"/>
        <v>0</v>
      </c>
      <c r="CJ186" s="54" t="b">
        <f t="shared" si="256"/>
        <v>1</v>
      </c>
      <c r="CK186" s="54">
        <f t="shared" si="321"/>
        <v>0.21166247901603161</v>
      </c>
      <c r="CL186" s="54" t="e">
        <f t="shared" si="257"/>
        <v>#N/A</v>
      </c>
      <c r="CM186" s="54">
        <f t="shared" si="258"/>
        <v>0.21166247901603161</v>
      </c>
      <c r="CN186" s="69" t="str">
        <f t="shared" si="259"/>
        <v/>
      </c>
      <c r="CO186" s="54">
        <f>_xlfn.NORM.DIST(_xlfn.NORM.INV(1-Eu_g_konfidensniveau,0,1)-Eu_tabel_g[[#This Row],[x base]],0,1,TRUE)</f>
        <v>2.7963483759520526E-3</v>
      </c>
      <c r="CP186" s="54">
        <f>1-_xlfn.NORM.DIST(_xlfn.NORM.INV(Eu_g_konfidensniveau,0,1)-Eu_tabel_g[[#This Row],[x base]],0,1,TRUE)</f>
        <v>0.30189604899289557</v>
      </c>
      <c r="CQ186" s="54">
        <f>_xlfn.NORM.DIST(_xlfn.NORM.INV((1-Eu_g_konfidensniveau)/2,0,1)-Eu_tabel_g[[#This Row],[x base]],0,1,TRUE)+1-_xlfn.NORM.DIST(_xlfn.NORM.INV(1-(1-Eu_g_konfidensniveau)/2,0,1)-Eu_tabel_g[[#This Row],[x base]],0,1,TRUE)</f>
        <v>0.20313688079726311</v>
      </c>
      <c r="CR186" s="54" t="e" cm="1">
        <f t="array" ref="CR186">IF($CR$3,INDEX(Eu_tabel_g[[#This Row],[Styrke venstre]:[Styrke tosidet]],CR$7),NA())</f>
        <v>#N/A</v>
      </c>
      <c r="CS186" s="89" t="e">
        <f>Eu_tabel_g[[#This Row],[Falsk positiv
Nulhypotese accepteres
Fejltype 1]]</f>
        <v>#N/A</v>
      </c>
      <c r="CT186" s="89" t="e">
        <f>IF(CHOOSE(CR$7,Eu_tabel_g[[#This Row],[x base]]&gt;0,Eu_tabel_g[[#This Row],[x base]]&lt;0,Eu_tabel_g[[#This Row],[x base]]=0),Eu_tabel_g[[#This Row],[Styrke, aktiv]],NA())</f>
        <v>#N/A</v>
      </c>
      <c r="CU186" s="89" t="e">
        <f>IFERROR(IF($CR$3,Eu_tabel_g[[#This Row],[Styrke, aktiv]],NA()),NA())</f>
        <v>#N/A</v>
      </c>
      <c r="CV186" s="89" t="e">
        <f>IF(ISNA(Eu_tabel_g[[#This Row],[Sand negativ
Nulhypotese afvises
Korrekt]]),NA(),IF($CR$3,1,NA()))</f>
        <v>#N/A</v>
      </c>
      <c r="CW186" s="56" t="str" cm="1">
        <f t="array" ref="CW186">_xlfn.SWITCH(BZ186,_xlfn.IFNA(CU$2,-99),CU$5,_xlfn.IFNA(CU$3,-99),CU$6,_xlfn.IFNA(CU$4,-99),CU$7,"")</f>
        <v/>
      </c>
      <c r="DA186" s="7">
        <f t="shared" si="260"/>
        <v>0.8</v>
      </c>
      <c r="DB186">
        <f>IF(ROW(Styrkeberegning_G[[#This Row],[X base venstre]])=ROW(Styrkeberegning_G[[#Headers],[X base venstre]])+1,DB$7/(DA$7/$B$67),DB185/(DA185/$B$67))</f>
        <v>-2.8015817870135784</v>
      </c>
      <c r="DC186">
        <f>Styrkeberegning_G[[#This Row],[X base venstre]]*-1</f>
        <v>2.8015817870135784</v>
      </c>
      <c r="DN186" s="54">
        <f t="shared" si="261"/>
        <v>176</v>
      </c>
      <c r="DO186" s="54">
        <f t="shared" si="262"/>
        <v>177</v>
      </c>
      <c r="DP186" s="54">
        <f t="shared" si="263"/>
        <v>21.910323394045868</v>
      </c>
      <c r="DQ186" s="54" t="e">
        <f t="shared" si="264"/>
        <v>#N/A</v>
      </c>
      <c r="DR186" s="54" t="e">
        <f t="shared" si="265"/>
        <v>#N/A</v>
      </c>
      <c r="DS186" s="54">
        <f t="shared" si="266"/>
        <v>7.9548414641286321E-3</v>
      </c>
      <c r="DT186" s="54" t="e">
        <f t="shared" si="267"/>
        <v>#N/A</v>
      </c>
      <c r="DU186" s="54" t="b">
        <f t="shared" si="268"/>
        <v>0</v>
      </c>
      <c r="DV186" s="54" t="b">
        <f t="shared" si="269"/>
        <v>1</v>
      </c>
      <c r="DW186" s="54" t="b">
        <f t="shared" si="270"/>
        <v>0</v>
      </c>
      <c r="DX186" s="54" t="b">
        <f t="shared" si="271"/>
        <v>1</v>
      </c>
      <c r="DY186" s="54">
        <f t="shared" si="272"/>
        <v>7.9548414641286321E-3</v>
      </c>
      <c r="DZ186" s="54" t="e">
        <f t="shared" si="273"/>
        <v>#N/A</v>
      </c>
      <c r="EA186" s="54">
        <f t="shared" si="274"/>
        <v>7.9548414641286321E-3</v>
      </c>
      <c r="EB186" s="69">
        <f t="shared" si="275"/>
        <v>7.3129999999999997</v>
      </c>
      <c r="EG186" s="54">
        <f t="shared" si="276"/>
        <v>176</v>
      </c>
      <c r="EH186" s="54">
        <f t="shared" si="277"/>
        <v>177</v>
      </c>
      <c r="EI186" s="54">
        <f t="shared" si="278"/>
        <v>1.1258985921696683</v>
      </c>
      <c r="EJ186" s="54">
        <f t="shared" si="279"/>
        <v>0.21166247901603161</v>
      </c>
      <c r="EK186" s="54" t="e">
        <f t="shared" si="280"/>
        <v>#N/A</v>
      </c>
      <c r="EL186" s="54" t="e">
        <f t="shared" si="281"/>
        <v>#N/A</v>
      </c>
      <c r="EM186" s="54" t="e">
        <f t="shared" si="282"/>
        <v>#N/A</v>
      </c>
      <c r="EN186" s="54" t="b">
        <f t="shared" si="283"/>
        <v>0</v>
      </c>
      <c r="EO186" s="54" t="b">
        <f t="shared" si="284"/>
        <v>1</v>
      </c>
      <c r="EP186" s="54" t="b">
        <f t="shared" si="285"/>
        <v>0</v>
      </c>
      <c r="EQ186" s="54" t="b">
        <f t="shared" si="286"/>
        <v>1</v>
      </c>
      <c r="ER186" s="54">
        <f t="shared" si="287"/>
        <v>0.21166247901603161</v>
      </c>
      <c r="ES186" s="54" t="e">
        <f t="shared" si="288"/>
        <v>#N/A</v>
      </c>
      <c r="ET186" s="54">
        <f t="shared" si="289"/>
        <v>0.21166247901603161</v>
      </c>
      <c r="EU186" s="69" t="str">
        <f t="shared" si="290"/>
        <v/>
      </c>
      <c r="EV18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8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8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86" s="54" t="e" cm="1">
        <f t="array" ref="EY186">IF($CR$3,INDEX(Eu_tabel_a[[#This Row],[Styrke venstre]:[Styrke tosidet]],EY$7),NA())</f>
        <v>#N/A</v>
      </c>
      <c r="EZ186" s="54" t="e">
        <f>IF(EY$3,IF(CHOOSE(EY$7,Eu_tabel_a[[#This Row],[x base]]&gt;0,Eu_tabel_a[[#This Row],[x base]]&lt;0,Eu_tabel_a[[#This Row],[x base]]=0),1,NA()),NA())</f>
        <v>#N/A</v>
      </c>
      <c r="FA186" s="54" t="e">
        <f>IF(CHOOSE(EY$7,Eu_tabel_a[[#This Row],[x base]]&gt;0,Eu_tabel_a[[#This Row],[x base]]&lt;0,Eu_tabel_a[[#This Row],[x base]]=0),Eu_tabel_a[[#This Row],[Styrke, aktiv]],NA())</f>
        <v>#N/A</v>
      </c>
      <c r="FB186" s="54" t="e">
        <f>IFERROR(IF($EY$3,Eu_tabel_a[[#This Row],[Styrke, aktiv]],NA()),NA())</f>
        <v>#N/A</v>
      </c>
      <c r="FC186" s="54" t="e">
        <f>IF(ISNA(Eu_tabel_a[[#This Row],[Sand negativ
Nulhypotese afvises
Korrekt]]),NA(),IF(EY$3,1,NA()))</f>
        <v>#N/A</v>
      </c>
      <c r="FD186" s="55" t="str" cm="1">
        <f t="array" ref="FD186">IFERROR(_xlfn.SWITCH(Eu_tabel_a[[#This Row],[Indeks]],_xlfn.IFNA(FB$2,-99),FB$5,_xlfn.IFNA(FB$3,-99),FB$6,_xlfn.IFNA(FB$4,-99),FB$7,""),"")</f>
        <v/>
      </c>
      <c r="FE186" s="54">
        <f>Eu_tabel_a[[#This Row],[x base]]*SQRT(Eu_a_h0_x*(1-Eu_a_h0_x)/Eu_a_n_x)+Eu_a_h0_x</f>
        <v>0</v>
      </c>
      <c r="FJ186" s="144" t="e">
        <f t="shared" si="234"/>
        <v>#N/A</v>
      </c>
      <c r="FK186" s="152" t="e">
        <f t="shared" si="322"/>
        <v>#DIV/0!</v>
      </c>
      <c r="FL186" s="7" t="e">
        <f t="shared" si="228"/>
        <v>#DIV/0!</v>
      </c>
      <c r="FM186" t="e">
        <f t="shared" si="323"/>
        <v>#DIV/0!</v>
      </c>
      <c r="FN186" s="8" t="e">
        <f t="shared" si="324"/>
        <v>#DIV/0!</v>
      </c>
      <c r="FO186" s="8" t="e">
        <f t="shared" si="325"/>
        <v>#DIV/0!</v>
      </c>
      <c r="FP186" s="151" t="e">
        <f t="shared" si="326"/>
        <v>#DIV/0!</v>
      </c>
      <c r="FQ186" s="144" t="e">
        <f t="shared" ca="1" si="229"/>
        <v>#N/A</v>
      </c>
      <c r="FR186" s="152" t="e" vm="3">
        <f t="shared" ca="1" si="235"/>
        <v>#VALUE!</v>
      </c>
      <c r="FS186" s="7" t="e" vm="3">
        <f t="shared" ca="1" si="230"/>
        <v>#VALUE!</v>
      </c>
      <c r="FT186" t="e" vm="3">
        <f t="shared" ca="1" si="224"/>
        <v>#VALUE!</v>
      </c>
      <c r="FU186" s="8" t="e" vm="3">
        <f t="shared" ca="1" si="225"/>
        <v>#VALUE!</v>
      </c>
      <c r="FV186" s="8" t="e" vm="3">
        <f t="shared" ca="1" si="226"/>
        <v>#VALUE!</v>
      </c>
      <c r="FW186" s="151" t="e" vm="3">
        <f t="shared" ca="1" si="227"/>
        <v>#VALUE!</v>
      </c>
      <c r="FX186" s="144" t="e">
        <f t="shared" si="231"/>
        <v>#N/A</v>
      </c>
      <c r="FY186" s="152" t="e">
        <f t="shared" si="236"/>
        <v>#N/A</v>
      </c>
      <c r="FZ186" s="7" t="e">
        <f t="shared" si="232"/>
        <v>#N/A</v>
      </c>
      <c r="GA186" t="e">
        <f t="shared" si="237"/>
        <v>#N/A</v>
      </c>
      <c r="GB186" s="8" t="e">
        <f t="shared" si="238"/>
        <v>#N/A</v>
      </c>
      <c r="GC186" s="8" t="e">
        <f t="shared" si="239"/>
        <v>#N/A</v>
      </c>
      <c r="GD186" s="151" t="e">
        <f t="shared" si="240"/>
        <v>#N/A</v>
      </c>
      <c r="GE186" s="144" t="e">
        <f t="shared" si="241"/>
        <v>#N/A</v>
      </c>
      <c r="GF186" s="152" t="e">
        <f t="shared" si="242"/>
        <v>#N/A</v>
      </c>
      <c r="GG186" s="7" t="e">
        <f t="shared" si="233"/>
        <v>#N/A</v>
      </c>
      <c r="GH186" t="e">
        <f t="shared" si="243"/>
        <v>#N/A</v>
      </c>
      <c r="GI186" s="8" t="e">
        <f t="shared" si="244"/>
        <v>#N/A</v>
      </c>
      <c r="GJ186" s="8" t="e">
        <f t="shared" si="245"/>
        <v>#N/A</v>
      </c>
      <c r="GK186" s="151" t="e">
        <f t="shared" si="246"/>
        <v>#N/A</v>
      </c>
      <c r="GL186" s="151"/>
      <c r="GM186" s="151"/>
      <c r="GP186" s="54">
        <f t="shared" si="291"/>
        <v>176</v>
      </c>
      <c r="GQ186" s="54">
        <f t="shared" si="292"/>
        <v>177</v>
      </c>
      <c r="GR186" s="54">
        <f t="shared" si="293"/>
        <v>1.1258985921696683</v>
      </c>
      <c r="GS186" s="54">
        <f t="shared" si="294"/>
        <v>0.21166247901603161</v>
      </c>
      <c r="GT186" s="54" t="e">
        <f t="shared" si="295"/>
        <v>#N/A</v>
      </c>
      <c r="GU186" s="54" t="e">
        <f t="shared" si="296"/>
        <v>#N/A</v>
      </c>
      <c r="GV186" s="54" t="e">
        <f t="shared" si="297"/>
        <v>#N/A</v>
      </c>
      <c r="GW186" s="54" t="b">
        <f t="shared" si="298"/>
        <v>0</v>
      </c>
      <c r="GX186" s="54" t="b">
        <f t="shared" si="299"/>
        <v>1</v>
      </c>
      <c r="GY186" s="54" t="b">
        <f t="shared" si="300"/>
        <v>0</v>
      </c>
      <c r="GZ186" s="54" t="b">
        <f t="shared" si="301"/>
        <v>1</v>
      </c>
      <c r="HA186" s="54">
        <f t="shared" si="302"/>
        <v>0.21166247901603161</v>
      </c>
      <c r="HB186" s="54" t="e">
        <f t="shared" si="303"/>
        <v>#N/A</v>
      </c>
      <c r="HC186" s="54">
        <f t="shared" si="304"/>
        <v>0.21166247901603161</v>
      </c>
      <c r="HD186" s="69" t="str">
        <f t="shared" si="305"/>
        <v/>
      </c>
      <c r="HJ186" s="54">
        <f t="shared" si="306"/>
        <v>176</v>
      </c>
      <c r="HK186" s="54">
        <f t="shared" si="307"/>
        <v>177</v>
      </c>
      <c r="HL186" s="54">
        <f t="shared" si="308"/>
        <v>1.7434776166356718</v>
      </c>
      <c r="HM186" s="54" t="e">
        <f t="shared" si="309"/>
        <v>#N/A</v>
      </c>
      <c r="HN186" s="54">
        <f t="shared" si="310"/>
        <v>9.0982495771573788E-2</v>
      </c>
      <c r="HO186" s="54" t="e">
        <f t="shared" si="311"/>
        <v>#N/A</v>
      </c>
      <c r="HP186" s="54" t="e">
        <f t="shared" si="312"/>
        <v>#N/A</v>
      </c>
      <c r="HQ186" s="54" t="b">
        <f t="shared" si="313"/>
        <v>0</v>
      </c>
      <c r="HR186" s="54" t="b">
        <f t="shared" si="314"/>
        <v>1</v>
      </c>
      <c r="HS186" s="54" t="b">
        <f t="shared" si="315"/>
        <v>1</v>
      </c>
      <c r="HT186" s="54" t="b">
        <f t="shared" si="316"/>
        <v>0</v>
      </c>
      <c r="HU186" s="54">
        <f t="shared" si="317"/>
        <v>9.0982495771573788E-2</v>
      </c>
      <c r="HV186" s="54" t="e">
        <f t="shared" si="318"/>
        <v>#N/A</v>
      </c>
      <c r="HW186" s="54">
        <f t="shared" si="319"/>
        <v>9.0982495771573788E-2</v>
      </c>
      <c r="HX186" s="69" t="str">
        <f t="shared" si="320"/>
        <v/>
      </c>
    </row>
    <row r="187" spans="78:232" x14ac:dyDescent="0.2">
      <c r="BZ187" s="54">
        <f t="shared" si="247"/>
        <v>177</v>
      </c>
      <c r="CA187" s="54">
        <f>Eu_tabel_g[[#This Row],[Indeks]]+1</f>
        <v>178</v>
      </c>
      <c r="CB187" s="54">
        <f t="shared" si="248"/>
        <v>1.1498538813647681</v>
      </c>
      <c r="CC187" s="54">
        <f t="shared" si="249"/>
        <v>0.20597087422427382</v>
      </c>
      <c r="CD187" s="54" t="e">
        <f t="shared" si="250"/>
        <v>#N/A</v>
      </c>
      <c r="CE187" s="54" t="e">
        <f t="shared" si="251"/>
        <v>#N/A</v>
      </c>
      <c r="CF187" s="54" t="e">
        <f t="shared" si="252"/>
        <v>#N/A</v>
      </c>
      <c r="CG187" s="54" t="b">
        <f t="shared" si="253"/>
        <v>0</v>
      </c>
      <c r="CH187" s="54" t="b">
        <f t="shared" si="254"/>
        <v>1</v>
      </c>
      <c r="CI187" s="54" t="b">
        <f t="shared" si="255"/>
        <v>0</v>
      </c>
      <c r="CJ187" s="54" t="b">
        <f t="shared" si="256"/>
        <v>1</v>
      </c>
      <c r="CK187" s="54">
        <f t="shared" si="321"/>
        <v>0.20597087422427382</v>
      </c>
      <c r="CL187" s="54" t="e">
        <f t="shared" si="257"/>
        <v>#N/A</v>
      </c>
      <c r="CM187" s="54">
        <f t="shared" si="258"/>
        <v>0.20597087422427382</v>
      </c>
      <c r="CN187" s="69" t="str">
        <f t="shared" si="259"/>
        <v/>
      </c>
      <c r="CO187" s="54">
        <f>_xlfn.NORM.DIST(_xlfn.NORM.INV(1-Eu_g_konfidensniveau,0,1)-Eu_tabel_g[[#This Row],[x base]],0,1,TRUE)</f>
        <v>2.5973345350299693E-3</v>
      </c>
      <c r="CP187" s="54">
        <f>1-_xlfn.NORM.DIST(_xlfn.NORM.INV(Eu_g_konfidensniveau,0,1)-Eu_tabel_g[[#This Row],[x base]],0,1,TRUE)</f>
        <v>0.31030015004767675</v>
      </c>
      <c r="CQ187" s="54">
        <f>_xlfn.NORM.DIST(_xlfn.NORM.INV((1-Eu_g_konfidensniveau)/2,0,1)-Eu_tabel_g[[#This Row],[x base]],0,1,TRUE)+1-_xlfn.NORM.DIST(_xlfn.NORM.INV(1-(1-Eu_g_konfidensniveau)/2,0,1)-Eu_tabel_g[[#This Row],[x base]],0,1,TRUE)</f>
        <v>0.20987446274566923</v>
      </c>
      <c r="CR187" s="54" t="e" cm="1">
        <f t="array" ref="CR187">IF($CR$3,INDEX(Eu_tabel_g[[#This Row],[Styrke venstre]:[Styrke tosidet]],CR$7),NA())</f>
        <v>#N/A</v>
      </c>
      <c r="CS187" s="89" t="e">
        <f>Eu_tabel_g[[#This Row],[Falsk positiv
Nulhypotese accepteres
Fejltype 1]]</f>
        <v>#N/A</v>
      </c>
      <c r="CT187" s="89" t="e">
        <f>IF(CHOOSE(CR$7,Eu_tabel_g[[#This Row],[x base]]&gt;0,Eu_tabel_g[[#This Row],[x base]]&lt;0,Eu_tabel_g[[#This Row],[x base]]=0),Eu_tabel_g[[#This Row],[Styrke, aktiv]],NA())</f>
        <v>#N/A</v>
      </c>
      <c r="CU187" s="89" t="e">
        <f>IFERROR(IF($CR$3,Eu_tabel_g[[#This Row],[Styrke, aktiv]],NA()),NA())</f>
        <v>#N/A</v>
      </c>
      <c r="CV187" s="89" t="e">
        <f>IF(ISNA(Eu_tabel_g[[#This Row],[Sand negativ
Nulhypotese afvises
Korrekt]]),NA(),IF($CR$3,1,NA()))</f>
        <v>#N/A</v>
      </c>
      <c r="CW187" s="56" t="str" cm="1">
        <f t="array" ref="CW187">_xlfn.SWITCH(BZ187,_xlfn.IFNA(CU$2,-99),CU$5,_xlfn.IFNA(CU$3,-99),CU$6,_xlfn.IFNA(CU$4,-99),CU$7,"")</f>
        <v/>
      </c>
      <c r="DA187" s="7">
        <f t="shared" si="260"/>
        <v>0.8</v>
      </c>
      <c r="DB187">
        <f>IF(ROW(Styrkeberegning_G[[#This Row],[X base venstre]])=ROW(Styrkeberegning_G[[#Headers],[X base venstre]])+1,DB$7/(DA$7/$B$67),DB186/(DA186/$B$67))</f>
        <v>-2.8015817870135784</v>
      </c>
      <c r="DC187">
        <f>Styrkeberegning_G[[#This Row],[X base venstre]]*-1</f>
        <v>2.8015817870135784</v>
      </c>
      <c r="DN187" s="54">
        <f t="shared" si="261"/>
        <v>177</v>
      </c>
      <c r="DO187" s="54">
        <f t="shared" si="262"/>
        <v>178</v>
      </c>
      <c r="DP187" s="54">
        <f t="shared" si="263"/>
        <v>22.024394250462869</v>
      </c>
      <c r="DQ187" s="54" t="e">
        <f t="shared" si="264"/>
        <v>#N/A</v>
      </c>
      <c r="DR187" s="54" t="e">
        <f t="shared" si="265"/>
        <v>#N/A</v>
      </c>
      <c r="DS187" s="54">
        <f t="shared" si="266"/>
        <v>7.6914759938026978E-3</v>
      </c>
      <c r="DT187" s="54" t="e">
        <f t="shared" si="267"/>
        <v>#N/A</v>
      </c>
      <c r="DU187" s="54" t="b">
        <f t="shared" si="268"/>
        <v>0</v>
      </c>
      <c r="DV187" s="54" t="b">
        <f t="shared" si="269"/>
        <v>1</v>
      </c>
      <c r="DW187" s="54" t="b">
        <f t="shared" si="270"/>
        <v>1</v>
      </c>
      <c r="DX187" s="54" t="b">
        <f t="shared" si="271"/>
        <v>0</v>
      </c>
      <c r="DY187" s="54">
        <f t="shared" si="272"/>
        <v>7.6914759938026978E-3</v>
      </c>
      <c r="DZ187" s="54">
        <f t="shared" si="273"/>
        <v>7.6914759938026978E-3</v>
      </c>
      <c r="EA187" s="54" t="e">
        <f t="shared" si="274"/>
        <v>#N/A</v>
      </c>
      <c r="EB187" s="69" t="str">
        <f t="shared" si="275"/>
        <v/>
      </c>
      <c r="EG187" s="54">
        <f t="shared" si="276"/>
        <v>177</v>
      </c>
      <c r="EH187" s="54">
        <f t="shared" si="277"/>
        <v>178</v>
      </c>
      <c r="EI187" s="54">
        <f t="shared" si="278"/>
        <v>1.1498538813647681</v>
      </c>
      <c r="EJ187" s="54">
        <f t="shared" si="279"/>
        <v>0.20597087422427382</v>
      </c>
      <c r="EK187" s="54" t="e">
        <f t="shared" si="280"/>
        <v>#N/A</v>
      </c>
      <c r="EL187" s="54" t="e">
        <f t="shared" si="281"/>
        <v>#N/A</v>
      </c>
      <c r="EM187" s="54" t="e">
        <f t="shared" si="282"/>
        <v>#N/A</v>
      </c>
      <c r="EN187" s="54" t="b">
        <f t="shared" si="283"/>
        <v>0</v>
      </c>
      <c r="EO187" s="54" t="b">
        <f t="shared" si="284"/>
        <v>1</v>
      </c>
      <c r="EP187" s="54" t="b">
        <f t="shared" si="285"/>
        <v>0</v>
      </c>
      <c r="EQ187" s="54" t="b">
        <f t="shared" si="286"/>
        <v>1</v>
      </c>
      <c r="ER187" s="54">
        <f t="shared" si="287"/>
        <v>0.20597087422427382</v>
      </c>
      <c r="ES187" s="54" t="e">
        <f t="shared" si="288"/>
        <v>#N/A</v>
      </c>
      <c r="ET187" s="54">
        <f t="shared" si="289"/>
        <v>0.20597087422427382</v>
      </c>
      <c r="EU187" s="69" t="str">
        <f t="shared" si="290"/>
        <v/>
      </c>
      <c r="EV18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8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8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87" s="54" t="e" cm="1">
        <f t="array" ref="EY187">IF($CR$3,INDEX(Eu_tabel_a[[#This Row],[Styrke venstre]:[Styrke tosidet]],EY$7),NA())</f>
        <v>#N/A</v>
      </c>
      <c r="EZ187" s="54" t="e">
        <f>IF(EY$3,IF(CHOOSE(EY$7,Eu_tabel_a[[#This Row],[x base]]&gt;0,Eu_tabel_a[[#This Row],[x base]]&lt;0,Eu_tabel_a[[#This Row],[x base]]=0),1,NA()),NA())</f>
        <v>#N/A</v>
      </c>
      <c r="FA187" s="54" t="e">
        <f>IF(CHOOSE(EY$7,Eu_tabel_a[[#This Row],[x base]]&gt;0,Eu_tabel_a[[#This Row],[x base]]&lt;0,Eu_tabel_a[[#This Row],[x base]]=0),Eu_tabel_a[[#This Row],[Styrke, aktiv]],NA())</f>
        <v>#N/A</v>
      </c>
      <c r="FB187" s="54" t="e">
        <f>IFERROR(IF($EY$3,Eu_tabel_a[[#This Row],[Styrke, aktiv]],NA()),NA())</f>
        <v>#N/A</v>
      </c>
      <c r="FC187" s="54" t="e">
        <f>IF(ISNA(Eu_tabel_a[[#This Row],[Sand negativ
Nulhypotese afvises
Korrekt]]),NA(),IF(EY$3,1,NA()))</f>
        <v>#N/A</v>
      </c>
      <c r="FD187" s="55" t="str" cm="1">
        <f t="array" ref="FD187">IFERROR(_xlfn.SWITCH(Eu_tabel_a[[#This Row],[Indeks]],_xlfn.IFNA(FB$2,-99),FB$5,_xlfn.IFNA(FB$3,-99),FB$6,_xlfn.IFNA(FB$4,-99),FB$7,""),"")</f>
        <v/>
      </c>
      <c r="FE187" s="54">
        <f>Eu_tabel_a[[#This Row],[x base]]*SQRT(Eu_a_h0_x*(1-Eu_a_h0_x)/Eu_a_n_x)+Eu_a_h0_x</f>
        <v>0</v>
      </c>
      <c r="FJ187" s="144" t="e">
        <f t="shared" si="234"/>
        <v>#N/A</v>
      </c>
      <c r="FK187" s="152" t="e">
        <f t="shared" si="322"/>
        <v>#DIV/0!</v>
      </c>
      <c r="FL187" s="7" t="e">
        <f t="shared" si="228"/>
        <v>#DIV/0!</v>
      </c>
      <c r="FM187" t="e">
        <f t="shared" si="323"/>
        <v>#DIV/0!</v>
      </c>
      <c r="FN187" s="8" t="e">
        <f t="shared" si="324"/>
        <v>#DIV/0!</v>
      </c>
      <c r="FO187" s="8" t="e">
        <f t="shared" si="325"/>
        <v>#DIV/0!</v>
      </c>
      <c r="FP187" s="151" t="e">
        <f t="shared" si="326"/>
        <v>#DIV/0!</v>
      </c>
      <c r="FQ187" s="144" t="e">
        <f t="shared" ca="1" si="229"/>
        <v>#N/A</v>
      </c>
      <c r="FR187" s="152" t="e" vm="3">
        <f t="shared" ca="1" si="235"/>
        <v>#VALUE!</v>
      </c>
      <c r="FS187" s="7" t="e" vm="3">
        <f t="shared" ca="1" si="230"/>
        <v>#VALUE!</v>
      </c>
      <c r="FT187" t="e" vm="3">
        <f t="shared" ca="1" si="224"/>
        <v>#VALUE!</v>
      </c>
      <c r="FU187" s="8" t="e" vm="3">
        <f t="shared" ca="1" si="225"/>
        <v>#VALUE!</v>
      </c>
      <c r="FV187" s="8" t="e" vm="3">
        <f t="shared" ca="1" si="226"/>
        <v>#VALUE!</v>
      </c>
      <c r="FW187" s="151" t="e" vm="3">
        <f t="shared" ca="1" si="227"/>
        <v>#VALUE!</v>
      </c>
      <c r="FX187" s="144" t="e">
        <f t="shared" si="231"/>
        <v>#N/A</v>
      </c>
      <c r="FY187" s="152" t="e">
        <f t="shared" si="236"/>
        <v>#N/A</v>
      </c>
      <c r="FZ187" s="7" t="e">
        <f t="shared" si="232"/>
        <v>#N/A</v>
      </c>
      <c r="GA187" t="e">
        <f t="shared" si="237"/>
        <v>#N/A</v>
      </c>
      <c r="GB187" s="8" t="e">
        <f t="shared" si="238"/>
        <v>#N/A</v>
      </c>
      <c r="GC187" s="8" t="e">
        <f t="shared" si="239"/>
        <v>#N/A</v>
      </c>
      <c r="GD187" s="151" t="e">
        <f t="shared" si="240"/>
        <v>#N/A</v>
      </c>
      <c r="GE187" s="144" t="e">
        <f t="shared" si="241"/>
        <v>#N/A</v>
      </c>
      <c r="GF187" s="152" t="e">
        <f t="shared" si="242"/>
        <v>#N/A</v>
      </c>
      <c r="GG187" s="7" t="e">
        <f t="shared" si="233"/>
        <v>#N/A</v>
      </c>
      <c r="GH187" t="e">
        <f t="shared" si="243"/>
        <v>#N/A</v>
      </c>
      <c r="GI187" s="8" t="e">
        <f t="shared" si="244"/>
        <v>#N/A</v>
      </c>
      <c r="GJ187" s="8" t="e">
        <f t="shared" si="245"/>
        <v>#N/A</v>
      </c>
      <c r="GK187" s="151" t="e">
        <f t="shared" si="246"/>
        <v>#N/A</v>
      </c>
      <c r="GL187" s="151"/>
      <c r="GM187" s="151"/>
      <c r="GP187" s="54">
        <f t="shared" si="291"/>
        <v>177</v>
      </c>
      <c r="GQ187" s="54">
        <f t="shared" si="292"/>
        <v>178</v>
      </c>
      <c r="GR187" s="54">
        <f t="shared" si="293"/>
        <v>1.1498538813647681</v>
      </c>
      <c r="GS187" s="54">
        <f t="shared" si="294"/>
        <v>0.20597087422427382</v>
      </c>
      <c r="GT187" s="54" t="e">
        <f t="shared" si="295"/>
        <v>#N/A</v>
      </c>
      <c r="GU187" s="54" t="e">
        <f t="shared" si="296"/>
        <v>#N/A</v>
      </c>
      <c r="GV187" s="54" t="e">
        <f t="shared" si="297"/>
        <v>#N/A</v>
      </c>
      <c r="GW187" s="54" t="b">
        <f t="shared" si="298"/>
        <v>0</v>
      </c>
      <c r="GX187" s="54" t="b">
        <f t="shared" si="299"/>
        <v>1</v>
      </c>
      <c r="GY187" s="54" t="b">
        <f t="shared" si="300"/>
        <v>0</v>
      </c>
      <c r="GZ187" s="54" t="b">
        <f t="shared" si="301"/>
        <v>1</v>
      </c>
      <c r="HA187" s="54">
        <f t="shared" si="302"/>
        <v>0.20597087422427382</v>
      </c>
      <c r="HB187" s="54" t="e">
        <f t="shared" si="303"/>
        <v>#N/A</v>
      </c>
      <c r="HC187" s="54">
        <f t="shared" si="304"/>
        <v>0.20597087422427382</v>
      </c>
      <c r="HD187" s="69" t="str">
        <f t="shared" si="305"/>
        <v/>
      </c>
      <c r="HJ187" s="54">
        <f t="shared" si="306"/>
        <v>177</v>
      </c>
      <c r="HK187" s="54">
        <f t="shared" si="307"/>
        <v>178</v>
      </c>
      <c r="HL187" s="54">
        <f t="shared" si="308"/>
        <v>1.7805728850747284</v>
      </c>
      <c r="HM187" s="54" t="e">
        <f t="shared" si="309"/>
        <v>#N/A</v>
      </c>
      <c r="HN187" s="54">
        <f t="shared" si="310"/>
        <v>8.6394145158752933E-2</v>
      </c>
      <c r="HO187" s="54" t="e">
        <f t="shared" si="311"/>
        <v>#N/A</v>
      </c>
      <c r="HP187" s="54" t="e">
        <f t="shared" si="312"/>
        <v>#N/A</v>
      </c>
      <c r="HQ187" s="54" t="b">
        <f t="shared" si="313"/>
        <v>0</v>
      </c>
      <c r="HR187" s="54" t="b">
        <f t="shared" si="314"/>
        <v>1</v>
      </c>
      <c r="HS187" s="54" t="b">
        <f t="shared" si="315"/>
        <v>1</v>
      </c>
      <c r="HT187" s="54" t="b">
        <f t="shared" si="316"/>
        <v>0</v>
      </c>
      <c r="HU187" s="54">
        <f t="shared" si="317"/>
        <v>8.6394145158752933E-2</v>
      </c>
      <c r="HV187" s="54" t="e">
        <f t="shared" si="318"/>
        <v>#N/A</v>
      </c>
      <c r="HW187" s="54">
        <f t="shared" si="319"/>
        <v>8.6394145158752933E-2</v>
      </c>
      <c r="HX187" s="69" t="str">
        <f t="shared" si="320"/>
        <v/>
      </c>
    </row>
    <row r="188" spans="78:232" x14ac:dyDescent="0.2">
      <c r="BZ188" s="54">
        <f t="shared" si="247"/>
        <v>178</v>
      </c>
      <c r="CA188" s="54">
        <f>Eu_tabel_g[[#This Row],[Indeks]]+1</f>
        <v>179</v>
      </c>
      <c r="CB188" s="54">
        <f t="shared" si="248"/>
        <v>1.173809170559867</v>
      </c>
      <c r="CC188" s="54">
        <f t="shared" si="249"/>
        <v>0.20031733043738451</v>
      </c>
      <c r="CD188" s="54" t="e">
        <f t="shared" si="250"/>
        <v>#N/A</v>
      </c>
      <c r="CE188" s="54" t="e">
        <f t="shared" si="251"/>
        <v>#N/A</v>
      </c>
      <c r="CF188" s="54" t="e">
        <f t="shared" si="252"/>
        <v>#N/A</v>
      </c>
      <c r="CG188" s="54" t="b">
        <f t="shared" si="253"/>
        <v>0</v>
      </c>
      <c r="CH188" s="54" t="b">
        <f t="shared" si="254"/>
        <v>1</v>
      </c>
      <c r="CI188" s="54" t="b">
        <f t="shared" si="255"/>
        <v>0</v>
      </c>
      <c r="CJ188" s="54" t="b">
        <f t="shared" si="256"/>
        <v>1</v>
      </c>
      <c r="CK188" s="54">
        <f t="shared" si="321"/>
        <v>0.20031733043738451</v>
      </c>
      <c r="CL188" s="54" t="e">
        <f t="shared" si="257"/>
        <v>#N/A</v>
      </c>
      <c r="CM188" s="54">
        <f t="shared" si="258"/>
        <v>0.20031733043738451</v>
      </c>
      <c r="CN188" s="69" t="str">
        <f t="shared" si="259"/>
        <v/>
      </c>
      <c r="CO188" s="54">
        <f>_xlfn.NORM.DIST(_xlfn.NORM.INV(1-Eu_g_konfidensniveau,0,1)-Eu_tabel_g[[#This Row],[x base]],0,1,TRUE)</f>
        <v>2.4112074767851824E-3</v>
      </c>
      <c r="CP188" s="54">
        <f>1-_xlfn.NORM.DIST(_xlfn.NORM.INV(Eu_g_konfidensniveau,0,1)-Eu_tabel_g[[#This Row],[x base]],0,1,TRUE)</f>
        <v>0.31880449413911849</v>
      </c>
      <c r="CQ188" s="54">
        <f>_xlfn.NORM.DIST(_xlfn.NORM.INV((1-Eu_g_konfidensniveau)/2,0,1)-Eu_tabel_g[[#This Row],[x base]],0,1,TRUE)+1-_xlfn.NORM.DIST(_xlfn.NORM.INV(1-(1-Eu_g_konfidensniveau)/2,0,1)-Eu_tabel_g[[#This Row],[x base]],0,1,TRUE)</f>
        <v>0.21675126840622105</v>
      </c>
      <c r="CR188" s="54" t="e" cm="1">
        <f t="array" ref="CR188">IF($CR$3,INDEX(Eu_tabel_g[[#This Row],[Styrke venstre]:[Styrke tosidet]],CR$7),NA())</f>
        <v>#N/A</v>
      </c>
      <c r="CS188" s="89" t="e">
        <f>Eu_tabel_g[[#This Row],[Falsk positiv
Nulhypotese accepteres
Fejltype 1]]</f>
        <v>#N/A</v>
      </c>
      <c r="CT188" s="89" t="e">
        <f>IF(CHOOSE(CR$7,Eu_tabel_g[[#This Row],[x base]]&gt;0,Eu_tabel_g[[#This Row],[x base]]&lt;0,Eu_tabel_g[[#This Row],[x base]]=0),Eu_tabel_g[[#This Row],[Styrke, aktiv]],NA())</f>
        <v>#N/A</v>
      </c>
      <c r="CU188" s="89" t="e">
        <f>IFERROR(IF($CR$3,Eu_tabel_g[[#This Row],[Styrke, aktiv]],NA()),NA())</f>
        <v>#N/A</v>
      </c>
      <c r="CV188" s="89" t="e">
        <f>IF(ISNA(Eu_tabel_g[[#This Row],[Sand negativ
Nulhypotese afvises
Korrekt]]),NA(),IF($CR$3,1,NA()))</f>
        <v>#N/A</v>
      </c>
      <c r="CW188" s="56" t="str" cm="1">
        <f t="array" ref="CW188">_xlfn.SWITCH(BZ188,_xlfn.IFNA(CU$2,-99),CU$5,_xlfn.IFNA(CU$3,-99),CU$6,_xlfn.IFNA(CU$4,-99),CU$7,"")</f>
        <v/>
      </c>
      <c r="DA188" s="7">
        <f t="shared" si="260"/>
        <v>0.8</v>
      </c>
      <c r="DB188">
        <f>IF(ROW(Styrkeberegning_G[[#This Row],[X base venstre]])=ROW(Styrkeberegning_G[[#Headers],[X base venstre]])+1,DB$7/(DA$7/$B$67),DB187/(DA187/$B$67))</f>
        <v>-2.8015817870135784</v>
      </c>
      <c r="DC188">
        <f>Styrkeberegning_G[[#This Row],[X base venstre]]*-1</f>
        <v>2.8015817870135784</v>
      </c>
      <c r="DN188" s="54">
        <f t="shared" si="261"/>
        <v>178</v>
      </c>
      <c r="DO188" s="54">
        <f t="shared" si="262"/>
        <v>179</v>
      </c>
      <c r="DP188" s="54">
        <f t="shared" si="263"/>
        <v>22.13846510687987</v>
      </c>
      <c r="DQ188" s="54" t="e">
        <f t="shared" si="264"/>
        <v>#N/A</v>
      </c>
      <c r="DR188" s="54" t="e">
        <f t="shared" si="265"/>
        <v>#N/A</v>
      </c>
      <c r="DS188" s="54">
        <f t="shared" si="266"/>
        <v>7.4359322344494704E-3</v>
      </c>
      <c r="DT188" s="54" t="e">
        <f t="shared" si="267"/>
        <v>#N/A</v>
      </c>
      <c r="DU188" s="54" t="b">
        <f t="shared" si="268"/>
        <v>0</v>
      </c>
      <c r="DV188" s="54" t="b">
        <f t="shared" si="269"/>
        <v>1</v>
      </c>
      <c r="DW188" s="54" t="b">
        <f t="shared" si="270"/>
        <v>1</v>
      </c>
      <c r="DX188" s="54" t="b">
        <f t="shared" si="271"/>
        <v>0</v>
      </c>
      <c r="DY188" s="54">
        <f t="shared" si="272"/>
        <v>7.4359322344494704E-3</v>
      </c>
      <c r="DZ188" s="54">
        <f t="shared" si="273"/>
        <v>7.4359322344494704E-3</v>
      </c>
      <c r="EA188" s="54" t="e">
        <f t="shared" si="274"/>
        <v>#N/A</v>
      </c>
      <c r="EB188" s="69" t="str">
        <f t="shared" si="275"/>
        <v/>
      </c>
      <c r="EG188" s="54">
        <f t="shared" si="276"/>
        <v>178</v>
      </c>
      <c r="EH188" s="54">
        <f t="shared" si="277"/>
        <v>179</v>
      </c>
      <c r="EI188" s="54">
        <f t="shared" si="278"/>
        <v>1.173809170559867</v>
      </c>
      <c r="EJ188" s="54">
        <f t="shared" si="279"/>
        <v>0.20031733043738451</v>
      </c>
      <c r="EK188" s="54" t="e">
        <f t="shared" si="280"/>
        <v>#N/A</v>
      </c>
      <c r="EL188" s="54" t="e">
        <f t="shared" si="281"/>
        <v>#N/A</v>
      </c>
      <c r="EM188" s="54" t="e">
        <f t="shared" si="282"/>
        <v>#N/A</v>
      </c>
      <c r="EN188" s="54" t="b">
        <f t="shared" si="283"/>
        <v>0</v>
      </c>
      <c r="EO188" s="54" t="b">
        <f t="shared" si="284"/>
        <v>1</v>
      </c>
      <c r="EP188" s="54" t="b">
        <f t="shared" si="285"/>
        <v>0</v>
      </c>
      <c r="EQ188" s="54" t="b">
        <f t="shared" si="286"/>
        <v>1</v>
      </c>
      <c r="ER188" s="54">
        <f t="shared" si="287"/>
        <v>0.20031733043738451</v>
      </c>
      <c r="ES188" s="54" t="e">
        <f t="shared" si="288"/>
        <v>#N/A</v>
      </c>
      <c r="ET188" s="54">
        <f t="shared" si="289"/>
        <v>0.20031733043738451</v>
      </c>
      <c r="EU188" s="69" t="str">
        <f t="shared" si="290"/>
        <v/>
      </c>
      <c r="EV18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8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8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88" s="54" t="e" cm="1">
        <f t="array" ref="EY188">IF($CR$3,INDEX(Eu_tabel_a[[#This Row],[Styrke venstre]:[Styrke tosidet]],EY$7),NA())</f>
        <v>#N/A</v>
      </c>
      <c r="EZ188" s="54" t="e">
        <f>IF(EY$3,IF(CHOOSE(EY$7,Eu_tabel_a[[#This Row],[x base]]&gt;0,Eu_tabel_a[[#This Row],[x base]]&lt;0,Eu_tabel_a[[#This Row],[x base]]=0),1,NA()),NA())</f>
        <v>#N/A</v>
      </c>
      <c r="FA188" s="54" t="e">
        <f>IF(CHOOSE(EY$7,Eu_tabel_a[[#This Row],[x base]]&gt;0,Eu_tabel_a[[#This Row],[x base]]&lt;0,Eu_tabel_a[[#This Row],[x base]]=0),Eu_tabel_a[[#This Row],[Styrke, aktiv]],NA())</f>
        <v>#N/A</v>
      </c>
      <c r="FB188" s="54" t="e">
        <f>IFERROR(IF($EY$3,Eu_tabel_a[[#This Row],[Styrke, aktiv]],NA()),NA())</f>
        <v>#N/A</v>
      </c>
      <c r="FC188" s="54" t="e">
        <f>IF(ISNA(Eu_tabel_a[[#This Row],[Sand negativ
Nulhypotese afvises
Korrekt]]),NA(),IF(EY$3,1,NA()))</f>
        <v>#N/A</v>
      </c>
      <c r="FD188" s="55" t="str" cm="1">
        <f t="array" ref="FD188">IFERROR(_xlfn.SWITCH(Eu_tabel_a[[#This Row],[Indeks]],_xlfn.IFNA(FB$2,-99),FB$5,_xlfn.IFNA(FB$3,-99),FB$6,_xlfn.IFNA(FB$4,-99),FB$7,""),"")</f>
        <v/>
      </c>
      <c r="FE188" s="54">
        <f>Eu_tabel_a[[#This Row],[x base]]*SQRT(Eu_a_h0_x*(1-Eu_a_h0_x)/Eu_a_n_x)+Eu_a_h0_x</f>
        <v>0</v>
      </c>
      <c r="FJ188" s="144" t="e">
        <f t="shared" si="234"/>
        <v>#N/A</v>
      </c>
      <c r="FK188" s="152" t="e">
        <f t="shared" si="322"/>
        <v>#DIV/0!</v>
      </c>
      <c r="FL188" s="7" t="e">
        <f t="shared" si="228"/>
        <v>#DIV/0!</v>
      </c>
      <c r="FM188" t="e">
        <f t="shared" si="323"/>
        <v>#DIV/0!</v>
      </c>
      <c r="FN188" s="8" t="e">
        <f t="shared" si="324"/>
        <v>#DIV/0!</v>
      </c>
      <c r="FO188" s="8" t="e">
        <f t="shared" si="325"/>
        <v>#DIV/0!</v>
      </c>
      <c r="FP188" s="151" t="e">
        <f t="shared" si="326"/>
        <v>#DIV/0!</v>
      </c>
      <c r="FQ188" s="144" t="e">
        <f t="shared" ca="1" si="229"/>
        <v>#N/A</v>
      </c>
      <c r="FR188" s="152" t="e" vm="3">
        <f t="shared" ca="1" si="235"/>
        <v>#VALUE!</v>
      </c>
      <c r="FS188" s="7" t="e" vm="3">
        <f t="shared" ca="1" si="230"/>
        <v>#VALUE!</v>
      </c>
      <c r="FT188" t="e" vm="3">
        <f t="shared" ca="1" si="224"/>
        <v>#VALUE!</v>
      </c>
      <c r="FU188" s="8" t="e" vm="3">
        <f t="shared" ca="1" si="225"/>
        <v>#VALUE!</v>
      </c>
      <c r="FV188" s="8" t="e" vm="3">
        <f t="shared" ca="1" si="226"/>
        <v>#VALUE!</v>
      </c>
      <c r="FW188" s="151" t="e" vm="3">
        <f t="shared" ca="1" si="227"/>
        <v>#VALUE!</v>
      </c>
      <c r="FX188" s="144" t="e">
        <f t="shared" si="231"/>
        <v>#N/A</v>
      </c>
      <c r="FY188" s="152" t="e">
        <f t="shared" si="236"/>
        <v>#N/A</v>
      </c>
      <c r="FZ188" s="7" t="e">
        <f t="shared" si="232"/>
        <v>#N/A</v>
      </c>
      <c r="GA188" t="e">
        <f t="shared" si="237"/>
        <v>#N/A</v>
      </c>
      <c r="GB188" s="8" t="e">
        <f t="shared" si="238"/>
        <v>#N/A</v>
      </c>
      <c r="GC188" s="8" t="e">
        <f t="shared" si="239"/>
        <v>#N/A</v>
      </c>
      <c r="GD188" s="151" t="e">
        <f t="shared" si="240"/>
        <v>#N/A</v>
      </c>
      <c r="GE188" s="144" t="e">
        <f t="shared" si="241"/>
        <v>#N/A</v>
      </c>
      <c r="GF188" s="152" t="e">
        <f t="shared" si="242"/>
        <v>#N/A</v>
      </c>
      <c r="GG188" s="7" t="e">
        <f t="shared" si="233"/>
        <v>#N/A</v>
      </c>
      <c r="GH188" t="e">
        <f t="shared" si="243"/>
        <v>#N/A</v>
      </c>
      <c r="GI188" s="8" t="e">
        <f t="shared" si="244"/>
        <v>#N/A</v>
      </c>
      <c r="GJ188" s="8" t="e">
        <f t="shared" si="245"/>
        <v>#N/A</v>
      </c>
      <c r="GK188" s="151" t="e">
        <f t="shared" si="246"/>
        <v>#N/A</v>
      </c>
      <c r="GL188" s="151"/>
      <c r="GM188" s="151"/>
      <c r="GP188" s="54">
        <f t="shared" si="291"/>
        <v>178</v>
      </c>
      <c r="GQ188" s="54">
        <f t="shared" si="292"/>
        <v>179</v>
      </c>
      <c r="GR188" s="54">
        <f t="shared" si="293"/>
        <v>1.173809170559867</v>
      </c>
      <c r="GS188" s="54">
        <f t="shared" si="294"/>
        <v>0.20031733043738451</v>
      </c>
      <c r="GT188" s="54" t="e">
        <f t="shared" si="295"/>
        <v>#N/A</v>
      </c>
      <c r="GU188" s="54" t="e">
        <f t="shared" si="296"/>
        <v>#N/A</v>
      </c>
      <c r="GV188" s="54" t="e">
        <f t="shared" si="297"/>
        <v>#N/A</v>
      </c>
      <c r="GW188" s="54" t="b">
        <f t="shared" si="298"/>
        <v>0</v>
      </c>
      <c r="GX188" s="54" t="b">
        <f t="shared" si="299"/>
        <v>1</v>
      </c>
      <c r="GY188" s="54" t="b">
        <f t="shared" si="300"/>
        <v>0</v>
      </c>
      <c r="GZ188" s="54" t="b">
        <f t="shared" si="301"/>
        <v>1</v>
      </c>
      <c r="HA188" s="54">
        <f t="shared" si="302"/>
        <v>0.20031733043738451</v>
      </c>
      <c r="HB188" s="54" t="e">
        <f t="shared" si="303"/>
        <v>#N/A</v>
      </c>
      <c r="HC188" s="54">
        <f t="shared" si="304"/>
        <v>0.20031733043738451</v>
      </c>
      <c r="HD188" s="69" t="str">
        <f t="shared" si="305"/>
        <v/>
      </c>
      <c r="HJ188" s="54">
        <f t="shared" si="306"/>
        <v>178</v>
      </c>
      <c r="HK188" s="54">
        <f t="shared" si="307"/>
        <v>179</v>
      </c>
      <c r="HL188" s="54">
        <f t="shared" si="308"/>
        <v>1.817668153513786</v>
      </c>
      <c r="HM188" s="54" t="e">
        <f t="shared" si="309"/>
        <v>#N/A</v>
      </c>
      <c r="HN188" s="54">
        <f t="shared" si="310"/>
        <v>8.2003757335797123E-2</v>
      </c>
      <c r="HO188" s="54" t="e">
        <f t="shared" si="311"/>
        <v>#N/A</v>
      </c>
      <c r="HP188" s="54" t="e">
        <f t="shared" si="312"/>
        <v>#N/A</v>
      </c>
      <c r="HQ188" s="54" t="b">
        <f t="shared" si="313"/>
        <v>0</v>
      </c>
      <c r="HR188" s="54" t="b">
        <f t="shared" si="314"/>
        <v>1</v>
      </c>
      <c r="HS188" s="54" t="b">
        <f t="shared" si="315"/>
        <v>1</v>
      </c>
      <c r="HT188" s="54" t="b">
        <f t="shared" si="316"/>
        <v>0</v>
      </c>
      <c r="HU188" s="54">
        <f t="shared" si="317"/>
        <v>8.2003757335797123E-2</v>
      </c>
      <c r="HV188" s="54" t="e">
        <f t="shared" si="318"/>
        <v>#N/A</v>
      </c>
      <c r="HW188" s="54">
        <f t="shared" si="319"/>
        <v>8.2003757335797123E-2</v>
      </c>
      <c r="HX188" s="69" t="str">
        <f t="shared" si="320"/>
        <v/>
      </c>
    </row>
    <row r="189" spans="78:232" x14ac:dyDescent="0.2">
      <c r="BZ189" s="54">
        <f t="shared" si="247"/>
        <v>179</v>
      </c>
      <c r="CA189" s="54">
        <f>Eu_tabel_g[[#This Row],[Indeks]]+1</f>
        <v>180</v>
      </c>
      <c r="CB189" s="54">
        <f t="shared" si="248"/>
        <v>1.1977644597549659</v>
      </c>
      <c r="CC189" s="54">
        <f t="shared" si="249"/>
        <v>0.1947072006985737</v>
      </c>
      <c r="CD189" s="54" t="e">
        <f t="shared" si="250"/>
        <v>#N/A</v>
      </c>
      <c r="CE189" s="54" t="e">
        <f t="shared" si="251"/>
        <v>#N/A</v>
      </c>
      <c r="CF189" s="54" t="e">
        <f t="shared" si="252"/>
        <v>#N/A</v>
      </c>
      <c r="CG189" s="54" t="b">
        <f t="shared" si="253"/>
        <v>0</v>
      </c>
      <c r="CH189" s="54" t="b">
        <f t="shared" si="254"/>
        <v>1</v>
      </c>
      <c r="CI189" s="54" t="b">
        <f t="shared" si="255"/>
        <v>0</v>
      </c>
      <c r="CJ189" s="54" t="b">
        <f t="shared" si="256"/>
        <v>1</v>
      </c>
      <c r="CK189" s="54">
        <f t="shared" si="321"/>
        <v>0.1947072006985737</v>
      </c>
      <c r="CL189" s="54" t="e">
        <f t="shared" si="257"/>
        <v>#N/A</v>
      </c>
      <c r="CM189" s="54">
        <f t="shared" si="258"/>
        <v>0.1947072006985737</v>
      </c>
      <c r="CN189" s="69" t="str">
        <f t="shared" si="259"/>
        <v/>
      </c>
      <c r="CO189" s="54">
        <f>_xlfn.NORM.DIST(_xlfn.NORM.INV(1-Eu_g_konfidensniveau,0,1)-Eu_tabel_g[[#This Row],[x base]],0,1,TRUE)</f>
        <v>2.2372326012062415E-3</v>
      </c>
      <c r="CP189" s="54">
        <f>1-_xlfn.NORM.DIST(_xlfn.NORM.INV(Eu_g_konfidensniveau,0,1)-Eu_tabel_g[[#This Row],[x base]],0,1,TRUE)</f>
        <v>0.32740534012693767</v>
      </c>
      <c r="CQ189" s="54">
        <f>_xlfn.NORM.DIST(_xlfn.NORM.INV((1-Eu_g_konfidensniveau)/2,0,1)-Eu_tabel_g[[#This Row],[x base]],0,1,TRUE)+1-_xlfn.NORM.DIST(_xlfn.NORM.INV(1-(1-Eu_g_konfidensniveau)/2,0,1)-Eu_tabel_g[[#This Row],[x base]],0,1,TRUE)</f>
        <v>0.22376548284288722</v>
      </c>
      <c r="CR189" s="54" t="e" cm="1">
        <f t="array" ref="CR189">IF($CR$3,INDEX(Eu_tabel_g[[#This Row],[Styrke venstre]:[Styrke tosidet]],CR$7),NA())</f>
        <v>#N/A</v>
      </c>
      <c r="CS189" s="89" t="e">
        <f>Eu_tabel_g[[#This Row],[Falsk positiv
Nulhypotese accepteres
Fejltype 1]]</f>
        <v>#N/A</v>
      </c>
      <c r="CT189" s="89" t="e">
        <f>IF(CHOOSE(CR$7,Eu_tabel_g[[#This Row],[x base]]&gt;0,Eu_tabel_g[[#This Row],[x base]]&lt;0,Eu_tabel_g[[#This Row],[x base]]=0),Eu_tabel_g[[#This Row],[Styrke, aktiv]],NA())</f>
        <v>#N/A</v>
      </c>
      <c r="CU189" s="89" t="e">
        <f>IFERROR(IF($CR$3,Eu_tabel_g[[#This Row],[Styrke, aktiv]],NA()),NA())</f>
        <v>#N/A</v>
      </c>
      <c r="CV189" s="89" t="e">
        <f>IF(ISNA(Eu_tabel_g[[#This Row],[Sand negativ
Nulhypotese afvises
Korrekt]]),NA(),IF($CR$3,1,NA()))</f>
        <v>#N/A</v>
      </c>
      <c r="CW189" s="56" t="str" cm="1">
        <f t="array" ref="CW189">_xlfn.SWITCH(BZ189,_xlfn.IFNA(CU$2,-99),CU$5,_xlfn.IFNA(CU$3,-99),CU$6,_xlfn.IFNA(CU$4,-99),CU$7,"")</f>
        <v/>
      </c>
      <c r="DA189" s="7">
        <f t="shared" si="260"/>
        <v>0.8</v>
      </c>
      <c r="DB189">
        <f>IF(ROW(Styrkeberegning_G[[#This Row],[X base venstre]])=ROW(Styrkeberegning_G[[#Headers],[X base venstre]])+1,DB$7/(DA$7/$B$67),DB188/(DA188/$B$67))</f>
        <v>-2.8015817870135784</v>
      </c>
      <c r="DC189">
        <f>Styrkeberegning_G[[#This Row],[X base venstre]]*-1</f>
        <v>2.8015817870135784</v>
      </c>
      <c r="DN189" s="54">
        <f t="shared" si="261"/>
        <v>179</v>
      </c>
      <c r="DO189" s="54">
        <f t="shared" si="262"/>
        <v>180</v>
      </c>
      <c r="DP189" s="54">
        <f t="shared" si="263"/>
        <v>22.252535963296872</v>
      </c>
      <c r="DQ189" s="54" t="e">
        <f t="shared" si="264"/>
        <v>#N/A</v>
      </c>
      <c r="DR189" s="54" t="e">
        <f t="shared" si="265"/>
        <v>#N/A</v>
      </c>
      <c r="DS189" s="54">
        <f t="shared" si="266"/>
        <v>7.1880199014143151E-3</v>
      </c>
      <c r="DT189" s="54" t="e">
        <f t="shared" si="267"/>
        <v>#N/A</v>
      </c>
      <c r="DU189" s="54" t="b">
        <f t="shared" si="268"/>
        <v>0</v>
      </c>
      <c r="DV189" s="54" t="b">
        <f t="shared" si="269"/>
        <v>1</v>
      </c>
      <c r="DW189" s="54" t="b">
        <f t="shared" si="270"/>
        <v>1</v>
      </c>
      <c r="DX189" s="54" t="b">
        <f t="shared" si="271"/>
        <v>0</v>
      </c>
      <c r="DY189" s="54">
        <f t="shared" si="272"/>
        <v>7.1880199014143151E-3</v>
      </c>
      <c r="DZ189" s="54">
        <f t="shared" si="273"/>
        <v>7.1880199014143151E-3</v>
      </c>
      <c r="EA189" s="54" t="e">
        <f t="shared" si="274"/>
        <v>#N/A</v>
      </c>
      <c r="EB189" s="69" t="str">
        <f t="shared" si="275"/>
        <v/>
      </c>
      <c r="EG189" s="54">
        <f t="shared" si="276"/>
        <v>179</v>
      </c>
      <c r="EH189" s="54">
        <f t="shared" si="277"/>
        <v>180</v>
      </c>
      <c r="EI189" s="54">
        <f t="shared" si="278"/>
        <v>1.1977644597549659</v>
      </c>
      <c r="EJ189" s="54">
        <f t="shared" si="279"/>
        <v>0.1947072006985737</v>
      </c>
      <c r="EK189" s="54" t="e">
        <f t="shared" si="280"/>
        <v>#N/A</v>
      </c>
      <c r="EL189" s="54" t="e">
        <f t="shared" si="281"/>
        <v>#N/A</v>
      </c>
      <c r="EM189" s="54" t="e">
        <f t="shared" si="282"/>
        <v>#N/A</v>
      </c>
      <c r="EN189" s="54" t="b">
        <f t="shared" si="283"/>
        <v>0</v>
      </c>
      <c r="EO189" s="54" t="b">
        <f t="shared" si="284"/>
        <v>1</v>
      </c>
      <c r="EP189" s="54" t="b">
        <f t="shared" si="285"/>
        <v>0</v>
      </c>
      <c r="EQ189" s="54" t="b">
        <f t="shared" si="286"/>
        <v>1</v>
      </c>
      <c r="ER189" s="54">
        <f t="shared" si="287"/>
        <v>0.1947072006985737</v>
      </c>
      <c r="ES189" s="54" t="e">
        <f t="shared" si="288"/>
        <v>#N/A</v>
      </c>
      <c r="ET189" s="54">
        <f t="shared" si="289"/>
        <v>0.1947072006985737</v>
      </c>
      <c r="EU189" s="69" t="str">
        <f t="shared" si="290"/>
        <v/>
      </c>
      <c r="EV18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8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8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89" s="54" t="e" cm="1">
        <f t="array" ref="EY189">IF($CR$3,INDEX(Eu_tabel_a[[#This Row],[Styrke venstre]:[Styrke tosidet]],EY$7),NA())</f>
        <v>#N/A</v>
      </c>
      <c r="EZ189" s="54" t="e">
        <f>IF(EY$3,IF(CHOOSE(EY$7,Eu_tabel_a[[#This Row],[x base]]&gt;0,Eu_tabel_a[[#This Row],[x base]]&lt;0,Eu_tabel_a[[#This Row],[x base]]=0),1,NA()),NA())</f>
        <v>#N/A</v>
      </c>
      <c r="FA189" s="54" t="e">
        <f>IF(CHOOSE(EY$7,Eu_tabel_a[[#This Row],[x base]]&gt;0,Eu_tabel_a[[#This Row],[x base]]&lt;0,Eu_tabel_a[[#This Row],[x base]]=0),Eu_tabel_a[[#This Row],[Styrke, aktiv]],NA())</f>
        <v>#N/A</v>
      </c>
      <c r="FB189" s="54" t="e">
        <f>IFERROR(IF($EY$3,Eu_tabel_a[[#This Row],[Styrke, aktiv]],NA()),NA())</f>
        <v>#N/A</v>
      </c>
      <c r="FC189" s="54" t="e">
        <f>IF(ISNA(Eu_tabel_a[[#This Row],[Sand negativ
Nulhypotese afvises
Korrekt]]),NA(),IF(EY$3,1,NA()))</f>
        <v>#N/A</v>
      </c>
      <c r="FD189" s="55" t="str" cm="1">
        <f t="array" ref="FD189">IFERROR(_xlfn.SWITCH(Eu_tabel_a[[#This Row],[Indeks]],_xlfn.IFNA(FB$2,-99),FB$5,_xlfn.IFNA(FB$3,-99),FB$6,_xlfn.IFNA(FB$4,-99),FB$7,""),"")</f>
        <v/>
      </c>
      <c r="FE189" s="54">
        <f>Eu_tabel_a[[#This Row],[x base]]*SQRT(Eu_a_h0_x*(1-Eu_a_h0_x)/Eu_a_n_x)+Eu_a_h0_x</f>
        <v>0</v>
      </c>
      <c r="FJ189" s="144" t="e">
        <f t="shared" si="234"/>
        <v>#N/A</v>
      </c>
      <c r="FK189" s="152" t="e">
        <f t="shared" si="322"/>
        <v>#DIV/0!</v>
      </c>
      <c r="FL189" s="7" t="e">
        <f t="shared" si="228"/>
        <v>#DIV/0!</v>
      </c>
      <c r="FM189" t="e">
        <f t="shared" si="323"/>
        <v>#DIV/0!</v>
      </c>
      <c r="FN189" s="8" t="e">
        <f t="shared" si="324"/>
        <v>#DIV/0!</v>
      </c>
      <c r="FO189" s="8" t="e">
        <f t="shared" si="325"/>
        <v>#DIV/0!</v>
      </c>
      <c r="FP189" s="151" t="e">
        <f t="shared" si="326"/>
        <v>#DIV/0!</v>
      </c>
      <c r="FQ189" s="144" t="e">
        <f t="shared" ca="1" si="229"/>
        <v>#N/A</v>
      </c>
      <c r="FR189" s="152" t="e" vm="3">
        <f t="shared" ca="1" si="235"/>
        <v>#VALUE!</v>
      </c>
      <c r="FS189" s="7" t="e" vm="3">
        <f t="shared" ca="1" si="230"/>
        <v>#VALUE!</v>
      </c>
      <c r="FT189" t="e" vm="3">
        <f t="shared" ca="1" si="224"/>
        <v>#VALUE!</v>
      </c>
      <c r="FU189" s="8" t="e" vm="3">
        <f t="shared" ca="1" si="225"/>
        <v>#VALUE!</v>
      </c>
      <c r="FV189" s="8" t="e" vm="3">
        <f t="shared" ca="1" si="226"/>
        <v>#VALUE!</v>
      </c>
      <c r="FW189" s="151" t="e" vm="3">
        <f t="shared" ca="1" si="227"/>
        <v>#VALUE!</v>
      </c>
      <c r="FX189" s="144" t="e">
        <f t="shared" si="231"/>
        <v>#N/A</v>
      </c>
      <c r="FY189" s="152" t="e">
        <f t="shared" si="236"/>
        <v>#N/A</v>
      </c>
      <c r="FZ189" s="7" t="e">
        <f t="shared" si="232"/>
        <v>#N/A</v>
      </c>
      <c r="GA189" t="e">
        <f t="shared" si="237"/>
        <v>#N/A</v>
      </c>
      <c r="GB189" s="8" t="e">
        <f t="shared" si="238"/>
        <v>#N/A</v>
      </c>
      <c r="GC189" s="8" t="e">
        <f t="shared" si="239"/>
        <v>#N/A</v>
      </c>
      <c r="GD189" s="151" t="e">
        <f t="shared" si="240"/>
        <v>#N/A</v>
      </c>
      <c r="GE189" s="144" t="e">
        <f t="shared" si="241"/>
        <v>#N/A</v>
      </c>
      <c r="GF189" s="152" t="e">
        <f t="shared" si="242"/>
        <v>#N/A</v>
      </c>
      <c r="GG189" s="7" t="e">
        <f t="shared" si="233"/>
        <v>#N/A</v>
      </c>
      <c r="GH189" t="e">
        <f t="shared" si="243"/>
        <v>#N/A</v>
      </c>
      <c r="GI189" s="8" t="e">
        <f t="shared" si="244"/>
        <v>#N/A</v>
      </c>
      <c r="GJ189" s="8" t="e">
        <f t="shared" si="245"/>
        <v>#N/A</v>
      </c>
      <c r="GK189" s="151" t="e">
        <f t="shared" si="246"/>
        <v>#N/A</v>
      </c>
      <c r="GL189" s="151"/>
      <c r="GM189" s="151"/>
      <c r="GP189" s="54">
        <f t="shared" si="291"/>
        <v>179</v>
      </c>
      <c r="GQ189" s="54">
        <f t="shared" si="292"/>
        <v>180</v>
      </c>
      <c r="GR189" s="54">
        <f t="shared" si="293"/>
        <v>1.1977644597549659</v>
      </c>
      <c r="GS189" s="54">
        <f t="shared" si="294"/>
        <v>0.1947072006985737</v>
      </c>
      <c r="GT189" s="54" t="e">
        <f t="shared" si="295"/>
        <v>#N/A</v>
      </c>
      <c r="GU189" s="54" t="e">
        <f t="shared" si="296"/>
        <v>#N/A</v>
      </c>
      <c r="GV189" s="54" t="e">
        <f t="shared" si="297"/>
        <v>#N/A</v>
      </c>
      <c r="GW189" s="54" t="b">
        <f t="shared" si="298"/>
        <v>0</v>
      </c>
      <c r="GX189" s="54" t="b">
        <f t="shared" si="299"/>
        <v>1</v>
      </c>
      <c r="GY189" s="54" t="b">
        <f t="shared" si="300"/>
        <v>0</v>
      </c>
      <c r="GZ189" s="54" t="b">
        <f t="shared" si="301"/>
        <v>1</v>
      </c>
      <c r="HA189" s="54">
        <f t="shared" si="302"/>
        <v>0.1947072006985737</v>
      </c>
      <c r="HB189" s="54" t="e">
        <f t="shared" si="303"/>
        <v>#N/A</v>
      </c>
      <c r="HC189" s="54">
        <f t="shared" si="304"/>
        <v>0.1947072006985737</v>
      </c>
      <c r="HD189" s="69" t="str">
        <f t="shared" si="305"/>
        <v/>
      </c>
      <c r="HJ189" s="54">
        <f t="shared" si="306"/>
        <v>179</v>
      </c>
      <c r="HK189" s="54">
        <f t="shared" si="307"/>
        <v>180</v>
      </c>
      <c r="HL189" s="54">
        <f t="shared" si="308"/>
        <v>1.8547634219528426</v>
      </c>
      <c r="HM189" s="54" t="e">
        <f t="shared" si="309"/>
        <v>#N/A</v>
      </c>
      <c r="HN189" s="54">
        <f t="shared" si="310"/>
        <v>7.7806652771627752E-2</v>
      </c>
      <c r="HO189" s="54" t="e">
        <f t="shared" si="311"/>
        <v>#N/A</v>
      </c>
      <c r="HP189" s="54" t="e">
        <f t="shared" si="312"/>
        <v>#N/A</v>
      </c>
      <c r="HQ189" s="54" t="b">
        <f t="shared" si="313"/>
        <v>0</v>
      </c>
      <c r="HR189" s="54" t="b">
        <f t="shared" si="314"/>
        <v>1</v>
      </c>
      <c r="HS189" s="54" t="b">
        <f t="shared" si="315"/>
        <v>1</v>
      </c>
      <c r="HT189" s="54" t="b">
        <f t="shared" si="316"/>
        <v>0</v>
      </c>
      <c r="HU189" s="54">
        <f t="shared" si="317"/>
        <v>7.7806652771627752E-2</v>
      </c>
      <c r="HV189" s="54" t="e">
        <f t="shared" si="318"/>
        <v>#N/A</v>
      </c>
      <c r="HW189" s="54">
        <f t="shared" si="319"/>
        <v>7.7806652771627752E-2</v>
      </c>
      <c r="HX189" s="69" t="str">
        <f t="shared" si="320"/>
        <v/>
      </c>
    </row>
    <row r="190" spans="78:232" x14ac:dyDescent="0.2">
      <c r="BZ190" s="54">
        <f t="shared" si="247"/>
        <v>180</v>
      </c>
      <c r="CA190" s="54">
        <f>Eu_tabel_g[[#This Row],[Indeks]]+1</f>
        <v>181</v>
      </c>
      <c r="CB190" s="54">
        <f t="shared" si="248"/>
        <v>1.2217197489500657</v>
      </c>
      <c r="CC190" s="54">
        <f t="shared" si="249"/>
        <v>0.18914561597203963</v>
      </c>
      <c r="CD190" s="54" t="e">
        <f t="shared" si="250"/>
        <v>#N/A</v>
      </c>
      <c r="CE190" s="54" t="e">
        <f t="shared" si="251"/>
        <v>#N/A</v>
      </c>
      <c r="CF190" s="54" t="e">
        <f t="shared" si="252"/>
        <v>#N/A</v>
      </c>
      <c r="CG190" s="54" t="b">
        <f t="shared" si="253"/>
        <v>0</v>
      </c>
      <c r="CH190" s="54" t="b">
        <f t="shared" si="254"/>
        <v>1</v>
      </c>
      <c r="CI190" s="54" t="b">
        <f t="shared" si="255"/>
        <v>0</v>
      </c>
      <c r="CJ190" s="54" t="b">
        <f t="shared" si="256"/>
        <v>1</v>
      </c>
      <c r="CK190" s="54">
        <f t="shared" ref="CK190:CK221" si="327">_xlfn.AGGREGATE(9,6,CC190:CF190)</f>
        <v>0.18914561597203963</v>
      </c>
      <c r="CL190" s="54" t="e">
        <f t="shared" si="257"/>
        <v>#N/A</v>
      </c>
      <c r="CM190" s="54">
        <f t="shared" si="258"/>
        <v>0.18914561597203963</v>
      </c>
      <c r="CN190" s="69" t="str">
        <f t="shared" si="259"/>
        <v/>
      </c>
      <c r="CO190" s="54">
        <f>_xlfn.NORM.DIST(_xlfn.NORM.INV(1-Eu_g_konfidensniveau,0,1)-Eu_tabel_g[[#This Row],[x base]],0,1,TRUE)</f>
        <v>2.0747097827240502E-3</v>
      </c>
      <c r="CP190" s="54">
        <f>1-_xlfn.NORM.DIST(_xlfn.NORM.INV(Eu_g_konfidensniveau,0,1)-Eu_tabel_g[[#This Row],[x base]],0,1,TRUE)</f>
        <v>0.33609879307128609</v>
      </c>
      <c r="CQ190" s="54">
        <f>_xlfn.NORM.DIST(_xlfn.NORM.INV((1-Eu_g_konfidensniveau)/2,0,1)-Eu_tabel_g[[#This Row],[x base]],0,1,TRUE)+1-_xlfn.NORM.DIST(_xlfn.NORM.INV(1-(1-Eu_g_konfidensniveau)/2,0,1)-Eu_tabel_g[[#This Row],[x base]],0,1,TRUE)</f>
        <v>0.23091513127223462</v>
      </c>
      <c r="CR190" s="54" t="e" cm="1">
        <f t="array" ref="CR190">IF($CR$3,INDEX(Eu_tabel_g[[#This Row],[Styrke venstre]:[Styrke tosidet]],CR$7),NA())</f>
        <v>#N/A</v>
      </c>
      <c r="CS190" s="89" t="e">
        <f>Eu_tabel_g[[#This Row],[Falsk positiv
Nulhypotese accepteres
Fejltype 1]]</f>
        <v>#N/A</v>
      </c>
      <c r="CT190" s="89" t="e">
        <f>IF(CHOOSE(CR$7,Eu_tabel_g[[#This Row],[x base]]&gt;0,Eu_tabel_g[[#This Row],[x base]]&lt;0,Eu_tabel_g[[#This Row],[x base]]=0),Eu_tabel_g[[#This Row],[Styrke, aktiv]],NA())</f>
        <v>#N/A</v>
      </c>
      <c r="CU190" s="89" t="e">
        <f>IFERROR(IF($CR$3,Eu_tabel_g[[#This Row],[Styrke, aktiv]],NA()),NA())</f>
        <v>#N/A</v>
      </c>
      <c r="CV190" s="89" t="e">
        <f>IF(ISNA(Eu_tabel_g[[#This Row],[Sand negativ
Nulhypotese afvises
Korrekt]]),NA(),IF($CR$3,1,NA()))</f>
        <v>#N/A</v>
      </c>
      <c r="CW190" s="56" t="str" cm="1">
        <f t="array" ref="CW190">_xlfn.SWITCH(BZ190,_xlfn.IFNA(CU$2,-99),CU$5,_xlfn.IFNA(CU$3,-99),CU$6,_xlfn.IFNA(CU$4,-99),CU$7,"")</f>
        <v/>
      </c>
      <c r="DA190" s="7">
        <f t="shared" si="260"/>
        <v>0.8</v>
      </c>
      <c r="DB190">
        <f>IF(ROW(Styrkeberegning_G[[#This Row],[X base venstre]])=ROW(Styrkeberegning_G[[#Headers],[X base venstre]])+1,DB$7/(DA$7/$B$67),DB189/(DA189/$B$67))</f>
        <v>-2.8015817870135784</v>
      </c>
      <c r="DC190">
        <f>Styrkeberegning_G[[#This Row],[X base venstre]]*-1</f>
        <v>2.8015817870135784</v>
      </c>
      <c r="DN190" s="54">
        <f t="shared" si="261"/>
        <v>180</v>
      </c>
      <c r="DO190" s="54">
        <f t="shared" si="262"/>
        <v>181</v>
      </c>
      <c r="DP190" s="54">
        <f t="shared" si="263"/>
        <v>22.366606819713869</v>
      </c>
      <c r="DQ190" s="54" t="e">
        <f t="shared" si="264"/>
        <v>#N/A</v>
      </c>
      <c r="DR190" s="54" t="e">
        <f t="shared" si="265"/>
        <v>#N/A</v>
      </c>
      <c r="DS190" s="54">
        <f t="shared" si="266"/>
        <v>6.9475513000146864E-3</v>
      </c>
      <c r="DT190" s="54" t="e">
        <f t="shared" si="267"/>
        <v>#N/A</v>
      </c>
      <c r="DU190" s="54" t="b">
        <f t="shared" si="268"/>
        <v>0</v>
      </c>
      <c r="DV190" s="54" t="b">
        <f t="shared" si="269"/>
        <v>1</v>
      </c>
      <c r="DW190" s="54" t="b">
        <f t="shared" si="270"/>
        <v>1</v>
      </c>
      <c r="DX190" s="54" t="b">
        <f t="shared" si="271"/>
        <v>0</v>
      </c>
      <c r="DY190" s="54">
        <f t="shared" si="272"/>
        <v>6.9475513000146864E-3</v>
      </c>
      <c r="DZ190" s="54">
        <f t="shared" si="273"/>
        <v>6.9475513000146864E-3</v>
      </c>
      <c r="EA190" s="54" t="e">
        <f t="shared" si="274"/>
        <v>#N/A</v>
      </c>
      <c r="EB190" s="69" t="str">
        <f t="shared" si="275"/>
        <v/>
      </c>
      <c r="EG190" s="54">
        <f t="shared" si="276"/>
        <v>180</v>
      </c>
      <c r="EH190" s="54">
        <f t="shared" si="277"/>
        <v>181</v>
      </c>
      <c r="EI190" s="54">
        <f t="shared" si="278"/>
        <v>1.2217197489500657</v>
      </c>
      <c r="EJ190" s="54">
        <f t="shared" si="279"/>
        <v>0.18914561597203963</v>
      </c>
      <c r="EK190" s="54" t="e">
        <f t="shared" si="280"/>
        <v>#N/A</v>
      </c>
      <c r="EL190" s="54" t="e">
        <f t="shared" si="281"/>
        <v>#N/A</v>
      </c>
      <c r="EM190" s="54" t="e">
        <f t="shared" si="282"/>
        <v>#N/A</v>
      </c>
      <c r="EN190" s="54" t="b">
        <f t="shared" si="283"/>
        <v>0</v>
      </c>
      <c r="EO190" s="54" t="b">
        <f t="shared" si="284"/>
        <v>1</v>
      </c>
      <c r="EP190" s="54" t="b">
        <f t="shared" si="285"/>
        <v>0</v>
      </c>
      <c r="EQ190" s="54" t="b">
        <f t="shared" si="286"/>
        <v>1</v>
      </c>
      <c r="ER190" s="54">
        <f t="shared" si="287"/>
        <v>0.18914561597203963</v>
      </c>
      <c r="ES190" s="54" t="e">
        <f t="shared" si="288"/>
        <v>#N/A</v>
      </c>
      <c r="ET190" s="54">
        <f t="shared" si="289"/>
        <v>0.18914561597203963</v>
      </c>
      <c r="EU190" s="69" t="str">
        <f t="shared" si="290"/>
        <v/>
      </c>
      <c r="EV19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9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9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90" s="54" t="e" cm="1">
        <f t="array" ref="EY190">IF($CR$3,INDEX(Eu_tabel_a[[#This Row],[Styrke venstre]:[Styrke tosidet]],EY$7),NA())</f>
        <v>#N/A</v>
      </c>
      <c r="EZ190" s="54" t="e">
        <f>IF(EY$3,IF(CHOOSE(EY$7,Eu_tabel_a[[#This Row],[x base]]&gt;0,Eu_tabel_a[[#This Row],[x base]]&lt;0,Eu_tabel_a[[#This Row],[x base]]=0),1,NA()),NA())</f>
        <v>#N/A</v>
      </c>
      <c r="FA190" s="54" t="e">
        <f>IF(CHOOSE(EY$7,Eu_tabel_a[[#This Row],[x base]]&gt;0,Eu_tabel_a[[#This Row],[x base]]&lt;0,Eu_tabel_a[[#This Row],[x base]]=0),Eu_tabel_a[[#This Row],[Styrke, aktiv]],NA())</f>
        <v>#N/A</v>
      </c>
      <c r="FB190" s="54" t="e">
        <f>IFERROR(IF($EY$3,Eu_tabel_a[[#This Row],[Styrke, aktiv]],NA()),NA())</f>
        <v>#N/A</v>
      </c>
      <c r="FC190" s="54" t="e">
        <f>IF(ISNA(Eu_tabel_a[[#This Row],[Sand negativ
Nulhypotese afvises
Korrekt]]),NA(),IF(EY$3,1,NA()))</f>
        <v>#N/A</v>
      </c>
      <c r="FD190" s="55" t="str" cm="1">
        <f t="array" ref="FD190">IFERROR(_xlfn.SWITCH(Eu_tabel_a[[#This Row],[Indeks]],_xlfn.IFNA(FB$2,-99),FB$5,_xlfn.IFNA(FB$3,-99),FB$6,_xlfn.IFNA(FB$4,-99),FB$7,""),"")</f>
        <v/>
      </c>
      <c r="FE190" s="54">
        <f>Eu_tabel_a[[#This Row],[x base]]*SQRT(Eu_a_h0_x*(1-Eu_a_h0_x)/Eu_a_n_x)+Eu_a_h0_x</f>
        <v>0</v>
      </c>
      <c r="FJ190" s="144" t="e">
        <f t="shared" si="234"/>
        <v>#N/A</v>
      </c>
      <c r="FK190" s="152" t="e">
        <f t="shared" si="322"/>
        <v>#DIV/0!</v>
      </c>
      <c r="FL190" s="7" t="e">
        <f t="shared" si="228"/>
        <v>#DIV/0!</v>
      </c>
      <c r="FM190" t="e">
        <f t="shared" si="323"/>
        <v>#DIV/0!</v>
      </c>
      <c r="FN190" s="8" t="e">
        <f t="shared" si="324"/>
        <v>#DIV/0!</v>
      </c>
      <c r="FO190" s="8" t="e">
        <f t="shared" si="325"/>
        <v>#DIV/0!</v>
      </c>
      <c r="FP190" s="151" t="e">
        <f t="shared" si="326"/>
        <v>#DIV/0!</v>
      </c>
      <c r="FQ190" s="144" t="e">
        <f t="shared" ca="1" si="229"/>
        <v>#N/A</v>
      </c>
      <c r="FR190" s="152" t="e" vm="3">
        <f t="shared" ca="1" si="235"/>
        <v>#VALUE!</v>
      </c>
      <c r="FS190" s="7" t="e" vm="3">
        <f t="shared" ca="1" si="230"/>
        <v>#VALUE!</v>
      </c>
      <c r="FT190" t="e" vm="3">
        <f t="shared" ca="1" si="224"/>
        <v>#VALUE!</v>
      </c>
      <c r="FU190" s="8" t="e" vm="3">
        <f t="shared" ca="1" si="225"/>
        <v>#VALUE!</v>
      </c>
      <c r="FV190" s="8" t="e" vm="3">
        <f t="shared" ca="1" si="226"/>
        <v>#VALUE!</v>
      </c>
      <c r="FW190" s="151" t="e" vm="3">
        <f t="shared" ca="1" si="227"/>
        <v>#VALUE!</v>
      </c>
      <c r="FX190" s="144" t="e">
        <f t="shared" si="231"/>
        <v>#N/A</v>
      </c>
      <c r="FY190" s="152" t="e">
        <f t="shared" si="236"/>
        <v>#N/A</v>
      </c>
      <c r="FZ190" s="7" t="e">
        <f t="shared" si="232"/>
        <v>#N/A</v>
      </c>
      <c r="GA190" t="e">
        <f t="shared" si="237"/>
        <v>#N/A</v>
      </c>
      <c r="GB190" s="8" t="e">
        <f t="shared" si="238"/>
        <v>#N/A</v>
      </c>
      <c r="GC190" s="8" t="e">
        <f t="shared" si="239"/>
        <v>#N/A</v>
      </c>
      <c r="GD190" s="151" t="e">
        <f t="shared" si="240"/>
        <v>#N/A</v>
      </c>
      <c r="GE190" s="144" t="e">
        <f t="shared" si="241"/>
        <v>#N/A</v>
      </c>
      <c r="GF190" s="152" t="e">
        <f t="shared" si="242"/>
        <v>#N/A</v>
      </c>
      <c r="GG190" s="7" t="e">
        <f t="shared" si="233"/>
        <v>#N/A</v>
      </c>
      <c r="GH190" t="e">
        <f t="shared" si="243"/>
        <v>#N/A</v>
      </c>
      <c r="GI190" s="8" t="e">
        <f t="shared" si="244"/>
        <v>#N/A</v>
      </c>
      <c r="GJ190" s="8" t="e">
        <f t="shared" si="245"/>
        <v>#N/A</v>
      </c>
      <c r="GK190" s="151" t="e">
        <f t="shared" si="246"/>
        <v>#N/A</v>
      </c>
      <c r="GL190" s="151"/>
      <c r="GM190" s="151"/>
      <c r="GP190" s="54">
        <f t="shared" si="291"/>
        <v>180</v>
      </c>
      <c r="GQ190" s="54">
        <f t="shared" si="292"/>
        <v>181</v>
      </c>
      <c r="GR190" s="54">
        <f t="shared" si="293"/>
        <v>1.2217197489500657</v>
      </c>
      <c r="GS190" s="54">
        <f t="shared" si="294"/>
        <v>0.18914561597203963</v>
      </c>
      <c r="GT190" s="54" t="e">
        <f t="shared" si="295"/>
        <v>#N/A</v>
      </c>
      <c r="GU190" s="54" t="e">
        <f t="shared" si="296"/>
        <v>#N/A</v>
      </c>
      <c r="GV190" s="54" t="e">
        <f t="shared" si="297"/>
        <v>#N/A</v>
      </c>
      <c r="GW190" s="54" t="b">
        <f t="shared" si="298"/>
        <v>0</v>
      </c>
      <c r="GX190" s="54" t="b">
        <f t="shared" si="299"/>
        <v>1</v>
      </c>
      <c r="GY190" s="54" t="b">
        <f t="shared" si="300"/>
        <v>0</v>
      </c>
      <c r="GZ190" s="54" t="b">
        <f t="shared" si="301"/>
        <v>1</v>
      </c>
      <c r="HA190" s="54">
        <f t="shared" si="302"/>
        <v>0.18914561597203963</v>
      </c>
      <c r="HB190" s="54" t="e">
        <f t="shared" si="303"/>
        <v>#N/A</v>
      </c>
      <c r="HC190" s="54">
        <f t="shared" si="304"/>
        <v>0.18914561597203963</v>
      </c>
      <c r="HD190" s="69" t="str">
        <f t="shared" si="305"/>
        <v/>
      </c>
      <c r="HJ190" s="54">
        <f t="shared" si="306"/>
        <v>180</v>
      </c>
      <c r="HK190" s="54">
        <f t="shared" si="307"/>
        <v>181</v>
      </c>
      <c r="HL190" s="54">
        <f t="shared" si="308"/>
        <v>1.8918586903918992</v>
      </c>
      <c r="HM190" s="54" t="e">
        <f t="shared" si="309"/>
        <v>#N/A</v>
      </c>
      <c r="HN190" s="54">
        <f t="shared" si="310"/>
        <v>7.3797821923210966E-2</v>
      </c>
      <c r="HO190" s="54" t="e">
        <f t="shared" si="311"/>
        <v>#N/A</v>
      </c>
      <c r="HP190" s="54" t="e">
        <f t="shared" si="312"/>
        <v>#N/A</v>
      </c>
      <c r="HQ190" s="54" t="b">
        <f t="shared" si="313"/>
        <v>0</v>
      </c>
      <c r="HR190" s="54" t="b">
        <f t="shared" si="314"/>
        <v>1</v>
      </c>
      <c r="HS190" s="54" t="b">
        <f t="shared" si="315"/>
        <v>1</v>
      </c>
      <c r="HT190" s="54" t="b">
        <f t="shared" si="316"/>
        <v>0</v>
      </c>
      <c r="HU190" s="54">
        <f t="shared" si="317"/>
        <v>7.3797821923210966E-2</v>
      </c>
      <c r="HV190" s="54" t="e">
        <f t="shared" si="318"/>
        <v>#N/A</v>
      </c>
      <c r="HW190" s="54">
        <f t="shared" si="319"/>
        <v>7.3797821923210966E-2</v>
      </c>
      <c r="HX190" s="69" t="str">
        <f t="shared" si="320"/>
        <v/>
      </c>
    </row>
    <row r="191" spans="78:232" x14ac:dyDescent="0.2">
      <c r="BZ191" s="54">
        <f t="shared" si="247"/>
        <v>181</v>
      </c>
      <c r="CA191" s="54">
        <f>Eu_tabel_g[[#This Row],[Indeks]]+1</f>
        <v>182</v>
      </c>
      <c r="CB191" s="54">
        <f t="shared" si="248"/>
        <v>1.2456750381451647</v>
      </c>
      <c r="CC191" s="54">
        <f t="shared" si="249"/>
        <v>0.18363747975432304</v>
      </c>
      <c r="CD191" s="54" t="e">
        <f t="shared" si="250"/>
        <v>#N/A</v>
      </c>
      <c r="CE191" s="54" t="e">
        <f t="shared" si="251"/>
        <v>#N/A</v>
      </c>
      <c r="CF191" s="54" t="e">
        <f t="shared" si="252"/>
        <v>#N/A</v>
      </c>
      <c r="CG191" s="54" t="b">
        <f t="shared" si="253"/>
        <v>0</v>
      </c>
      <c r="CH191" s="54" t="b">
        <f t="shared" si="254"/>
        <v>1</v>
      </c>
      <c r="CI191" s="54" t="b">
        <f t="shared" si="255"/>
        <v>0</v>
      </c>
      <c r="CJ191" s="54" t="b">
        <f t="shared" si="256"/>
        <v>1</v>
      </c>
      <c r="CK191" s="54">
        <f t="shared" si="327"/>
        <v>0.18363747975432304</v>
      </c>
      <c r="CL191" s="54" t="e">
        <f t="shared" si="257"/>
        <v>#N/A</v>
      </c>
      <c r="CM191" s="54">
        <f t="shared" si="258"/>
        <v>0.18363747975432304</v>
      </c>
      <c r="CN191" s="69" t="str">
        <f t="shared" si="259"/>
        <v/>
      </c>
      <c r="CO191" s="54">
        <f>_xlfn.NORM.DIST(_xlfn.NORM.INV(1-Eu_g_konfidensniveau,0,1)-Eu_tabel_g[[#This Row],[x base]],0,1,TRUE)</f>
        <v>1.9229722753726902E-3</v>
      </c>
      <c r="CP191" s="54">
        <f>1-_xlfn.NORM.DIST(_xlfn.NORM.INV(Eu_g_konfidensniveau,0,1)-Eu_tabel_g[[#This Row],[x base]],0,1,TRUE)</f>
        <v>0.34488080927221854</v>
      </c>
      <c r="CQ191" s="54">
        <f>_xlfn.NORM.DIST(_xlfn.NORM.INV((1-Eu_g_konfidensniveau)/2,0,1)-Eu_tabel_g[[#This Row],[x base]],0,1,TRUE)+1-_xlfn.NORM.DIST(_xlfn.NORM.INV(1-(1-Eu_g_konfidensniveau)/2,0,1)-Eu_tabel_g[[#This Row],[x base]],0,1,TRUE)</f>
        <v>0.23819807758479283</v>
      </c>
      <c r="CR191" s="54" t="e" cm="1">
        <f t="array" ref="CR191">IF($CR$3,INDEX(Eu_tabel_g[[#This Row],[Styrke venstre]:[Styrke tosidet]],CR$7),NA())</f>
        <v>#N/A</v>
      </c>
      <c r="CS191" s="89" t="e">
        <f>Eu_tabel_g[[#This Row],[Falsk positiv
Nulhypotese accepteres
Fejltype 1]]</f>
        <v>#N/A</v>
      </c>
      <c r="CT191" s="89" t="e">
        <f>IF(CHOOSE(CR$7,Eu_tabel_g[[#This Row],[x base]]&gt;0,Eu_tabel_g[[#This Row],[x base]]&lt;0,Eu_tabel_g[[#This Row],[x base]]=0),Eu_tabel_g[[#This Row],[Styrke, aktiv]],NA())</f>
        <v>#N/A</v>
      </c>
      <c r="CU191" s="89" t="e">
        <f>IFERROR(IF($CR$3,Eu_tabel_g[[#This Row],[Styrke, aktiv]],NA()),NA())</f>
        <v>#N/A</v>
      </c>
      <c r="CV191" s="89" t="e">
        <f>IF(ISNA(Eu_tabel_g[[#This Row],[Sand negativ
Nulhypotese afvises
Korrekt]]),NA(),IF($CR$3,1,NA()))</f>
        <v>#N/A</v>
      </c>
      <c r="CW191" s="56" t="str" cm="1">
        <f t="array" ref="CW191">_xlfn.SWITCH(BZ191,_xlfn.IFNA(CU$2,-99),CU$5,_xlfn.IFNA(CU$3,-99),CU$6,_xlfn.IFNA(CU$4,-99),CU$7,"")</f>
        <v/>
      </c>
      <c r="DA191" s="7">
        <f t="shared" si="260"/>
        <v>0.8</v>
      </c>
      <c r="DB191">
        <f>IF(ROW(Styrkeberegning_G[[#This Row],[X base venstre]])=ROW(Styrkeberegning_G[[#Headers],[X base venstre]])+1,DB$7/(DA$7/$B$67),DB190/(DA190/$B$67))</f>
        <v>-2.8015817870135784</v>
      </c>
      <c r="DC191">
        <f>Styrkeberegning_G[[#This Row],[X base venstre]]*-1</f>
        <v>2.8015817870135784</v>
      </c>
      <c r="DN191" s="54">
        <f t="shared" si="261"/>
        <v>181</v>
      </c>
      <c r="DO191" s="54">
        <f t="shared" si="262"/>
        <v>182</v>
      </c>
      <c r="DP191" s="54">
        <f t="shared" si="263"/>
        <v>22.48067767613087</v>
      </c>
      <c r="DQ191" s="54" t="e">
        <f t="shared" si="264"/>
        <v>#N/A</v>
      </c>
      <c r="DR191" s="54" t="e">
        <f t="shared" si="265"/>
        <v>#N/A</v>
      </c>
      <c r="DS191" s="54">
        <f t="shared" si="266"/>
        <v>6.7143414024175164E-3</v>
      </c>
      <c r="DT191" s="54" t="e">
        <f t="shared" si="267"/>
        <v>#N/A</v>
      </c>
      <c r="DU191" s="54" t="b">
        <f t="shared" si="268"/>
        <v>0</v>
      </c>
      <c r="DV191" s="54" t="b">
        <f t="shared" si="269"/>
        <v>1</v>
      </c>
      <c r="DW191" s="54" t="b">
        <f t="shared" si="270"/>
        <v>1</v>
      </c>
      <c r="DX191" s="54" t="b">
        <f t="shared" si="271"/>
        <v>0</v>
      </c>
      <c r="DY191" s="54">
        <f t="shared" si="272"/>
        <v>6.7143414024175164E-3</v>
      </c>
      <c r="DZ191" s="54">
        <f t="shared" si="273"/>
        <v>6.7143414024175164E-3</v>
      </c>
      <c r="EA191" s="54" t="e">
        <f t="shared" si="274"/>
        <v>#N/A</v>
      </c>
      <c r="EB191" s="69" t="str">
        <f t="shared" si="275"/>
        <v/>
      </c>
      <c r="EG191" s="54">
        <f t="shared" si="276"/>
        <v>181</v>
      </c>
      <c r="EH191" s="54">
        <f t="shared" si="277"/>
        <v>182</v>
      </c>
      <c r="EI191" s="54">
        <f t="shared" si="278"/>
        <v>1.2456750381451647</v>
      </c>
      <c r="EJ191" s="54">
        <f t="shared" si="279"/>
        <v>0.18363747975432304</v>
      </c>
      <c r="EK191" s="54" t="e">
        <f t="shared" si="280"/>
        <v>#N/A</v>
      </c>
      <c r="EL191" s="54" t="e">
        <f t="shared" si="281"/>
        <v>#N/A</v>
      </c>
      <c r="EM191" s="54" t="e">
        <f t="shared" si="282"/>
        <v>#N/A</v>
      </c>
      <c r="EN191" s="54" t="b">
        <f t="shared" si="283"/>
        <v>0</v>
      </c>
      <c r="EO191" s="54" t="b">
        <f t="shared" si="284"/>
        <v>1</v>
      </c>
      <c r="EP191" s="54" t="b">
        <f t="shared" si="285"/>
        <v>0</v>
      </c>
      <c r="EQ191" s="54" t="b">
        <f t="shared" si="286"/>
        <v>1</v>
      </c>
      <c r="ER191" s="54">
        <f t="shared" si="287"/>
        <v>0.18363747975432304</v>
      </c>
      <c r="ES191" s="54" t="e">
        <f t="shared" si="288"/>
        <v>#N/A</v>
      </c>
      <c r="ET191" s="54">
        <f t="shared" si="289"/>
        <v>0.18363747975432304</v>
      </c>
      <c r="EU191" s="69" t="str">
        <f t="shared" si="290"/>
        <v/>
      </c>
      <c r="EV19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9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9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91" s="54" t="e" cm="1">
        <f t="array" ref="EY191">IF($CR$3,INDEX(Eu_tabel_a[[#This Row],[Styrke venstre]:[Styrke tosidet]],EY$7),NA())</f>
        <v>#N/A</v>
      </c>
      <c r="EZ191" s="54" t="e">
        <f>IF(EY$3,IF(CHOOSE(EY$7,Eu_tabel_a[[#This Row],[x base]]&gt;0,Eu_tabel_a[[#This Row],[x base]]&lt;0,Eu_tabel_a[[#This Row],[x base]]=0),1,NA()),NA())</f>
        <v>#N/A</v>
      </c>
      <c r="FA191" s="54" t="e">
        <f>IF(CHOOSE(EY$7,Eu_tabel_a[[#This Row],[x base]]&gt;0,Eu_tabel_a[[#This Row],[x base]]&lt;0,Eu_tabel_a[[#This Row],[x base]]=0),Eu_tabel_a[[#This Row],[Styrke, aktiv]],NA())</f>
        <v>#N/A</v>
      </c>
      <c r="FB191" s="54" t="e">
        <f>IFERROR(IF($EY$3,Eu_tabel_a[[#This Row],[Styrke, aktiv]],NA()),NA())</f>
        <v>#N/A</v>
      </c>
      <c r="FC191" s="54" t="e">
        <f>IF(ISNA(Eu_tabel_a[[#This Row],[Sand negativ
Nulhypotese afvises
Korrekt]]),NA(),IF(EY$3,1,NA()))</f>
        <v>#N/A</v>
      </c>
      <c r="FD191" s="55" t="str" cm="1">
        <f t="array" ref="FD191">IFERROR(_xlfn.SWITCH(Eu_tabel_a[[#This Row],[Indeks]],_xlfn.IFNA(FB$2,-99),FB$5,_xlfn.IFNA(FB$3,-99),FB$6,_xlfn.IFNA(FB$4,-99),FB$7,""),"")</f>
        <v/>
      </c>
      <c r="FE191" s="54">
        <f>Eu_tabel_a[[#This Row],[x base]]*SQRT(Eu_a_h0_x*(1-Eu_a_h0_x)/Eu_a_n_x)+Eu_a_h0_x</f>
        <v>0</v>
      </c>
      <c r="FJ191" s="144" t="e">
        <f t="shared" si="234"/>
        <v>#N/A</v>
      </c>
      <c r="FK191" s="152" t="e">
        <f t="shared" si="322"/>
        <v>#DIV/0!</v>
      </c>
      <c r="FL191" s="7" t="e">
        <f t="shared" si="228"/>
        <v>#DIV/0!</v>
      </c>
      <c r="FM191" t="e">
        <f t="shared" si="323"/>
        <v>#DIV/0!</v>
      </c>
      <c r="FN191" s="8" t="e">
        <f t="shared" si="324"/>
        <v>#DIV/0!</v>
      </c>
      <c r="FO191" s="8" t="e">
        <f t="shared" si="325"/>
        <v>#DIV/0!</v>
      </c>
      <c r="FP191" s="151" t="e">
        <f t="shared" si="326"/>
        <v>#DIV/0!</v>
      </c>
      <c r="FQ191" s="144" t="e">
        <f t="shared" ca="1" si="229"/>
        <v>#N/A</v>
      </c>
      <c r="FR191" s="152" t="e" vm="3">
        <f t="shared" ca="1" si="235"/>
        <v>#VALUE!</v>
      </c>
      <c r="FS191" s="7" t="e" vm="3">
        <f t="shared" ca="1" si="230"/>
        <v>#VALUE!</v>
      </c>
      <c r="FT191" t="e" vm="3">
        <f t="shared" ca="1" si="224"/>
        <v>#VALUE!</v>
      </c>
      <c r="FU191" s="8" t="e" vm="3">
        <f t="shared" ca="1" si="225"/>
        <v>#VALUE!</v>
      </c>
      <c r="FV191" s="8" t="e" vm="3">
        <f t="shared" ca="1" si="226"/>
        <v>#VALUE!</v>
      </c>
      <c r="FW191" s="151" t="e" vm="3">
        <f t="shared" ca="1" si="227"/>
        <v>#VALUE!</v>
      </c>
      <c r="FX191" s="144" t="e">
        <f t="shared" si="231"/>
        <v>#N/A</v>
      </c>
      <c r="FY191" s="152" t="e">
        <f t="shared" si="236"/>
        <v>#N/A</v>
      </c>
      <c r="FZ191" s="7" t="e">
        <f t="shared" si="232"/>
        <v>#N/A</v>
      </c>
      <c r="GA191" t="e">
        <f t="shared" si="237"/>
        <v>#N/A</v>
      </c>
      <c r="GB191" s="8" t="e">
        <f t="shared" si="238"/>
        <v>#N/A</v>
      </c>
      <c r="GC191" s="8" t="e">
        <f t="shared" si="239"/>
        <v>#N/A</v>
      </c>
      <c r="GD191" s="151" t="e">
        <f t="shared" si="240"/>
        <v>#N/A</v>
      </c>
      <c r="GE191" s="144" t="e">
        <f t="shared" si="241"/>
        <v>#N/A</v>
      </c>
      <c r="GF191" s="152" t="e">
        <f t="shared" si="242"/>
        <v>#N/A</v>
      </c>
      <c r="GG191" s="7" t="e">
        <f t="shared" si="233"/>
        <v>#N/A</v>
      </c>
      <c r="GH191" t="e">
        <f t="shared" si="243"/>
        <v>#N/A</v>
      </c>
      <c r="GI191" s="8" t="e">
        <f t="shared" si="244"/>
        <v>#N/A</v>
      </c>
      <c r="GJ191" s="8" t="e">
        <f t="shared" si="245"/>
        <v>#N/A</v>
      </c>
      <c r="GK191" s="151" t="e">
        <f t="shared" si="246"/>
        <v>#N/A</v>
      </c>
      <c r="GL191" s="151"/>
      <c r="GM191" s="151"/>
      <c r="GP191" s="54">
        <f t="shared" si="291"/>
        <v>181</v>
      </c>
      <c r="GQ191" s="54">
        <f t="shared" si="292"/>
        <v>182</v>
      </c>
      <c r="GR191" s="54">
        <f t="shared" si="293"/>
        <v>1.2456750381451647</v>
      </c>
      <c r="GS191" s="54">
        <f t="shared" si="294"/>
        <v>0.18363747975432304</v>
      </c>
      <c r="GT191" s="54" t="e">
        <f t="shared" si="295"/>
        <v>#N/A</v>
      </c>
      <c r="GU191" s="54" t="e">
        <f t="shared" si="296"/>
        <v>#N/A</v>
      </c>
      <c r="GV191" s="54" t="e">
        <f t="shared" si="297"/>
        <v>#N/A</v>
      </c>
      <c r="GW191" s="54" t="b">
        <f t="shared" si="298"/>
        <v>0</v>
      </c>
      <c r="GX191" s="54" t="b">
        <f t="shared" si="299"/>
        <v>1</v>
      </c>
      <c r="GY191" s="54" t="b">
        <f t="shared" si="300"/>
        <v>0</v>
      </c>
      <c r="GZ191" s="54" t="b">
        <f t="shared" si="301"/>
        <v>1</v>
      </c>
      <c r="HA191" s="54">
        <f t="shared" si="302"/>
        <v>0.18363747975432304</v>
      </c>
      <c r="HB191" s="54" t="e">
        <f t="shared" si="303"/>
        <v>#N/A</v>
      </c>
      <c r="HC191" s="54">
        <f t="shared" si="304"/>
        <v>0.18363747975432304</v>
      </c>
      <c r="HD191" s="69" t="str">
        <f t="shared" si="305"/>
        <v/>
      </c>
      <c r="HJ191" s="54">
        <f t="shared" si="306"/>
        <v>181</v>
      </c>
      <c r="HK191" s="54">
        <f t="shared" si="307"/>
        <v>182</v>
      </c>
      <c r="HL191" s="54">
        <f t="shared" si="308"/>
        <v>1.9289539588309559</v>
      </c>
      <c r="HM191" s="54" t="e">
        <f t="shared" si="309"/>
        <v>#N/A</v>
      </c>
      <c r="HN191" s="54">
        <f t="shared" si="310"/>
        <v>6.9971985868934911E-2</v>
      </c>
      <c r="HO191" s="54" t="e">
        <f t="shared" si="311"/>
        <v>#N/A</v>
      </c>
      <c r="HP191" s="54" t="e">
        <f t="shared" si="312"/>
        <v>#N/A</v>
      </c>
      <c r="HQ191" s="54" t="b">
        <f t="shared" si="313"/>
        <v>0</v>
      </c>
      <c r="HR191" s="54" t="b">
        <f t="shared" si="314"/>
        <v>1</v>
      </c>
      <c r="HS191" s="54" t="b">
        <f t="shared" si="315"/>
        <v>1</v>
      </c>
      <c r="HT191" s="54" t="b">
        <f t="shared" si="316"/>
        <v>0</v>
      </c>
      <c r="HU191" s="54">
        <f t="shared" si="317"/>
        <v>6.9971985868934911E-2</v>
      </c>
      <c r="HV191" s="54" t="e">
        <f t="shared" si="318"/>
        <v>#N/A</v>
      </c>
      <c r="HW191" s="54">
        <f t="shared" si="319"/>
        <v>6.9971985868934911E-2</v>
      </c>
      <c r="HX191" s="69" t="str">
        <f t="shared" si="320"/>
        <v/>
      </c>
    </row>
    <row r="192" spans="78:232" x14ac:dyDescent="0.2">
      <c r="BZ192" s="54">
        <f t="shared" si="247"/>
        <v>182</v>
      </c>
      <c r="CA192" s="54">
        <f>Eu_tabel_g[[#This Row],[Indeks]]+1</f>
        <v>183</v>
      </c>
      <c r="CB192" s="54">
        <f t="shared" si="248"/>
        <v>1.2696303273402645</v>
      </c>
      <c r="CC192" s="54">
        <f t="shared" si="249"/>
        <v>0.17818746348109929</v>
      </c>
      <c r="CD192" s="54" t="e">
        <f t="shared" si="250"/>
        <v>#N/A</v>
      </c>
      <c r="CE192" s="54" t="e">
        <f t="shared" si="251"/>
        <v>#N/A</v>
      </c>
      <c r="CF192" s="54" t="e">
        <f t="shared" si="252"/>
        <v>#N/A</v>
      </c>
      <c r="CG192" s="54" t="b">
        <f t="shared" si="253"/>
        <v>0</v>
      </c>
      <c r="CH192" s="54" t="b">
        <f t="shared" si="254"/>
        <v>1</v>
      </c>
      <c r="CI192" s="54" t="b">
        <f t="shared" si="255"/>
        <v>0</v>
      </c>
      <c r="CJ192" s="54" t="b">
        <f t="shared" si="256"/>
        <v>1</v>
      </c>
      <c r="CK192" s="54">
        <f t="shared" si="327"/>
        <v>0.17818746348109929</v>
      </c>
      <c r="CL192" s="54" t="e">
        <f t="shared" si="257"/>
        <v>#N/A</v>
      </c>
      <c r="CM192" s="54">
        <f t="shared" si="258"/>
        <v>0.17818746348109929</v>
      </c>
      <c r="CN192" s="69" t="str">
        <f t="shared" si="259"/>
        <v/>
      </c>
      <c r="CO192" s="54">
        <f>_xlfn.NORM.DIST(_xlfn.NORM.INV(1-Eu_g_konfidensniveau,0,1)-Eu_tabel_g[[#This Row],[x base]],0,1,TRUE)</f>
        <v>1.7813856159707405E-3</v>
      </c>
      <c r="CP192" s="54">
        <f>1-_xlfn.NORM.DIST(_xlfn.NORM.INV(Eu_g_konfidensniveau,0,1)-Eu_tabel_g[[#This Row],[x base]],0,1,TRUE)</f>
        <v>0.35374720170655238</v>
      </c>
      <c r="CQ192" s="54">
        <f>_xlfn.NORM.DIST(_xlfn.NORM.INV((1-Eu_g_konfidensniveau)/2,0,1)-Eu_tabel_g[[#This Row],[x base]],0,1,TRUE)+1-_xlfn.NORM.DIST(_xlfn.NORM.INV(1-(1-Eu_g_konfidensniveau)/2,0,1)-Eu_tabel_g[[#This Row],[x base]],0,1,TRUE)</f>
        <v>0.24561202329949894</v>
      </c>
      <c r="CR192" s="54" t="e" cm="1">
        <f t="array" ref="CR192">IF($CR$3,INDEX(Eu_tabel_g[[#This Row],[Styrke venstre]:[Styrke tosidet]],CR$7),NA())</f>
        <v>#N/A</v>
      </c>
      <c r="CS192" s="89" t="e">
        <f>Eu_tabel_g[[#This Row],[Falsk positiv
Nulhypotese accepteres
Fejltype 1]]</f>
        <v>#N/A</v>
      </c>
      <c r="CT192" s="89" t="e">
        <f>IF(CHOOSE(CR$7,Eu_tabel_g[[#This Row],[x base]]&gt;0,Eu_tabel_g[[#This Row],[x base]]&lt;0,Eu_tabel_g[[#This Row],[x base]]=0),Eu_tabel_g[[#This Row],[Styrke, aktiv]],NA())</f>
        <v>#N/A</v>
      </c>
      <c r="CU192" s="89" t="e">
        <f>IFERROR(IF($CR$3,Eu_tabel_g[[#This Row],[Styrke, aktiv]],NA()),NA())</f>
        <v>#N/A</v>
      </c>
      <c r="CV192" s="89" t="e">
        <f>IF(ISNA(Eu_tabel_g[[#This Row],[Sand negativ
Nulhypotese afvises
Korrekt]]),NA(),IF($CR$3,1,NA()))</f>
        <v>#N/A</v>
      </c>
      <c r="CW192" s="56" t="str" cm="1">
        <f t="array" ref="CW192">_xlfn.SWITCH(BZ192,_xlfn.IFNA(CU$2,-99),CU$5,_xlfn.IFNA(CU$3,-99),CU$6,_xlfn.IFNA(CU$4,-99),CU$7,"")</f>
        <v/>
      </c>
      <c r="DA192" s="7">
        <f t="shared" si="260"/>
        <v>0.8</v>
      </c>
      <c r="DB192">
        <f>IF(ROW(Styrkeberegning_G[[#This Row],[X base venstre]])=ROW(Styrkeberegning_G[[#Headers],[X base venstre]])+1,DB$7/(DA$7/$B$67),DB191/(DA191/$B$67))</f>
        <v>-2.8015817870135784</v>
      </c>
      <c r="DC192">
        <f>Styrkeberegning_G[[#This Row],[X base venstre]]*-1</f>
        <v>2.8015817870135784</v>
      </c>
      <c r="DN192" s="54">
        <f t="shared" si="261"/>
        <v>182</v>
      </c>
      <c r="DO192" s="54">
        <f t="shared" si="262"/>
        <v>183</v>
      </c>
      <c r="DP192" s="54">
        <f t="shared" si="263"/>
        <v>22.594748532547872</v>
      </c>
      <c r="DQ192" s="54" t="e">
        <f t="shared" si="264"/>
        <v>#N/A</v>
      </c>
      <c r="DR192" s="54" t="e">
        <f t="shared" si="265"/>
        <v>#N/A</v>
      </c>
      <c r="DS192" s="54">
        <f t="shared" si="266"/>
        <v>6.4882079162847089E-3</v>
      </c>
      <c r="DT192" s="54" t="e">
        <f t="shared" si="267"/>
        <v>#N/A</v>
      </c>
      <c r="DU192" s="54" t="b">
        <f t="shared" si="268"/>
        <v>0</v>
      </c>
      <c r="DV192" s="54" t="b">
        <f t="shared" si="269"/>
        <v>1</v>
      </c>
      <c r="DW192" s="54" t="b">
        <f t="shared" si="270"/>
        <v>1</v>
      </c>
      <c r="DX192" s="54" t="b">
        <f t="shared" si="271"/>
        <v>0</v>
      </c>
      <c r="DY192" s="54">
        <f t="shared" si="272"/>
        <v>6.4882079162847089E-3</v>
      </c>
      <c r="DZ192" s="54">
        <f t="shared" si="273"/>
        <v>6.4882079162847089E-3</v>
      </c>
      <c r="EA192" s="54" t="e">
        <f t="shared" si="274"/>
        <v>#N/A</v>
      </c>
      <c r="EB192" s="69" t="str">
        <f t="shared" si="275"/>
        <v/>
      </c>
      <c r="EG192" s="54">
        <f t="shared" si="276"/>
        <v>182</v>
      </c>
      <c r="EH192" s="54">
        <f t="shared" si="277"/>
        <v>183</v>
      </c>
      <c r="EI192" s="54">
        <f t="shared" si="278"/>
        <v>1.2696303273402645</v>
      </c>
      <c r="EJ192" s="54">
        <f t="shared" si="279"/>
        <v>0.17818746348109929</v>
      </c>
      <c r="EK192" s="54" t="e">
        <f t="shared" si="280"/>
        <v>#N/A</v>
      </c>
      <c r="EL192" s="54" t="e">
        <f t="shared" si="281"/>
        <v>#N/A</v>
      </c>
      <c r="EM192" s="54" t="e">
        <f t="shared" si="282"/>
        <v>#N/A</v>
      </c>
      <c r="EN192" s="54" t="b">
        <f t="shared" si="283"/>
        <v>0</v>
      </c>
      <c r="EO192" s="54" t="b">
        <f t="shared" si="284"/>
        <v>1</v>
      </c>
      <c r="EP192" s="54" t="b">
        <f t="shared" si="285"/>
        <v>0</v>
      </c>
      <c r="EQ192" s="54" t="b">
        <f t="shared" si="286"/>
        <v>1</v>
      </c>
      <c r="ER192" s="54">
        <f t="shared" si="287"/>
        <v>0.17818746348109929</v>
      </c>
      <c r="ES192" s="54" t="e">
        <f t="shared" si="288"/>
        <v>#N/A</v>
      </c>
      <c r="ET192" s="54">
        <f t="shared" si="289"/>
        <v>0.17818746348109929</v>
      </c>
      <c r="EU192" s="69" t="str">
        <f t="shared" si="290"/>
        <v/>
      </c>
      <c r="EV19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9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9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92" s="54" t="e" cm="1">
        <f t="array" ref="EY192">IF($CR$3,INDEX(Eu_tabel_a[[#This Row],[Styrke venstre]:[Styrke tosidet]],EY$7),NA())</f>
        <v>#N/A</v>
      </c>
      <c r="EZ192" s="54" t="e">
        <f>IF(EY$3,IF(CHOOSE(EY$7,Eu_tabel_a[[#This Row],[x base]]&gt;0,Eu_tabel_a[[#This Row],[x base]]&lt;0,Eu_tabel_a[[#This Row],[x base]]=0),1,NA()),NA())</f>
        <v>#N/A</v>
      </c>
      <c r="FA192" s="54" t="e">
        <f>IF(CHOOSE(EY$7,Eu_tabel_a[[#This Row],[x base]]&gt;0,Eu_tabel_a[[#This Row],[x base]]&lt;0,Eu_tabel_a[[#This Row],[x base]]=0),Eu_tabel_a[[#This Row],[Styrke, aktiv]],NA())</f>
        <v>#N/A</v>
      </c>
      <c r="FB192" s="54" t="e">
        <f>IFERROR(IF($EY$3,Eu_tabel_a[[#This Row],[Styrke, aktiv]],NA()),NA())</f>
        <v>#N/A</v>
      </c>
      <c r="FC192" s="54" t="e">
        <f>IF(ISNA(Eu_tabel_a[[#This Row],[Sand negativ
Nulhypotese afvises
Korrekt]]),NA(),IF(EY$3,1,NA()))</f>
        <v>#N/A</v>
      </c>
      <c r="FD192" s="55" t="str" cm="1">
        <f t="array" ref="FD192">IFERROR(_xlfn.SWITCH(Eu_tabel_a[[#This Row],[Indeks]],_xlfn.IFNA(FB$2,-99),FB$5,_xlfn.IFNA(FB$3,-99),FB$6,_xlfn.IFNA(FB$4,-99),FB$7,""),"")</f>
        <v/>
      </c>
      <c r="FE192" s="54">
        <f>Eu_tabel_a[[#This Row],[x base]]*SQRT(Eu_a_h0_x*(1-Eu_a_h0_x)/Eu_a_n_x)+Eu_a_h0_x</f>
        <v>0</v>
      </c>
      <c r="FJ192" s="144" t="e">
        <f t="shared" si="234"/>
        <v>#N/A</v>
      </c>
      <c r="FK192" s="152" t="e">
        <f t="shared" si="322"/>
        <v>#DIV/0!</v>
      </c>
      <c r="FL192" s="7" t="e">
        <f t="shared" si="228"/>
        <v>#DIV/0!</v>
      </c>
      <c r="FM192" t="e">
        <f t="shared" si="323"/>
        <v>#DIV/0!</v>
      </c>
      <c r="FN192" s="8" t="e">
        <f t="shared" si="324"/>
        <v>#DIV/0!</v>
      </c>
      <c r="FO192" s="8" t="e">
        <f t="shared" si="325"/>
        <v>#DIV/0!</v>
      </c>
      <c r="FP192" s="151" t="e">
        <f t="shared" si="326"/>
        <v>#DIV/0!</v>
      </c>
      <c r="FQ192" s="144" t="e">
        <f t="shared" ca="1" si="229"/>
        <v>#N/A</v>
      </c>
      <c r="FR192" s="152" t="e" vm="3">
        <f t="shared" ca="1" si="235"/>
        <v>#VALUE!</v>
      </c>
      <c r="FS192" s="7" t="e" vm="3">
        <f t="shared" ca="1" si="230"/>
        <v>#VALUE!</v>
      </c>
      <c r="FT192" t="e" vm="3">
        <f t="shared" ca="1" si="224"/>
        <v>#VALUE!</v>
      </c>
      <c r="FU192" s="8" t="e" vm="3">
        <f t="shared" ca="1" si="225"/>
        <v>#VALUE!</v>
      </c>
      <c r="FV192" s="8" t="e" vm="3">
        <f t="shared" ca="1" si="226"/>
        <v>#VALUE!</v>
      </c>
      <c r="FW192" s="151" t="e" vm="3">
        <f t="shared" ca="1" si="227"/>
        <v>#VALUE!</v>
      </c>
      <c r="FX192" s="144" t="e">
        <f t="shared" si="231"/>
        <v>#N/A</v>
      </c>
      <c r="FY192" s="152" t="e">
        <f t="shared" si="236"/>
        <v>#N/A</v>
      </c>
      <c r="FZ192" s="7" t="e">
        <f t="shared" si="232"/>
        <v>#N/A</v>
      </c>
      <c r="GA192" t="e">
        <f t="shared" si="237"/>
        <v>#N/A</v>
      </c>
      <c r="GB192" s="8" t="e">
        <f t="shared" si="238"/>
        <v>#N/A</v>
      </c>
      <c r="GC192" s="8" t="e">
        <f t="shared" si="239"/>
        <v>#N/A</v>
      </c>
      <c r="GD192" s="151" t="e">
        <f t="shared" si="240"/>
        <v>#N/A</v>
      </c>
      <c r="GE192" s="144" t="e">
        <f t="shared" si="241"/>
        <v>#N/A</v>
      </c>
      <c r="GF192" s="152" t="e">
        <f t="shared" si="242"/>
        <v>#N/A</v>
      </c>
      <c r="GG192" s="7" t="e">
        <f t="shared" si="233"/>
        <v>#N/A</v>
      </c>
      <c r="GH192" t="e">
        <f t="shared" si="243"/>
        <v>#N/A</v>
      </c>
      <c r="GI192" s="8" t="e">
        <f t="shared" si="244"/>
        <v>#N/A</v>
      </c>
      <c r="GJ192" s="8" t="e">
        <f t="shared" si="245"/>
        <v>#N/A</v>
      </c>
      <c r="GK192" s="151" t="e">
        <f t="shared" si="246"/>
        <v>#N/A</v>
      </c>
      <c r="GL192" s="151"/>
      <c r="GM192" s="151"/>
      <c r="GP192" s="54">
        <f t="shared" si="291"/>
        <v>182</v>
      </c>
      <c r="GQ192" s="54">
        <f t="shared" si="292"/>
        <v>183</v>
      </c>
      <c r="GR192" s="54">
        <f t="shared" si="293"/>
        <v>1.2696303273402645</v>
      </c>
      <c r="GS192" s="54">
        <f t="shared" si="294"/>
        <v>0.17818746348109929</v>
      </c>
      <c r="GT192" s="54" t="e">
        <f t="shared" si="295"/>
        <v>#N/A</v>
      </c>
      <c r="GU192" s="54" t="e">
        <f t="shared" si="296"/>
        <v>#N/A</v>
      </c>
      <c r="GV192" s="54" t="e">
        <f t="shared" si="297"/>
        <v>#N/A</v>
      </c>
      <c r="GW192" s="54" t="b">
        <f t="shared" si="298"/>
        <v>0</v>
      </c>
      <c r="GX192" s="54" t="b">
        <f t="shared" si="299"/>
        <v>1</v>
      </c>
      <c r="GY192" s="54" t="b">
        <f t="shared" si="300"/>
        <v>0</v>
      </c>
      <c r="GZ192" s="54" t="b">
        <f t="shared" si="301"/>
        <v>1</v>
      </c>
      <c r="HA192" s="54">
        <f t="shared" si="302"/>
        <v>0.17818746348109929</v>
      </c>
      <c r="HB192" s="54" t="e">
        <f t="shared" si="303"/>
        <v>#N/A</v>
      </c>
      <c r="HC192" s="54">
        <f t="shared" si="304"/>
        <v>0.17818746348109929</v>
      </c>
      <c r="HD192" s="69" t="str">
        <f t="shared" si="305"/>
        <v/>
      </c>
      <c r="HJ192" s="54">
        <f t="shared" si="306"/>
        <v>182</v>
      </c>
      <c r="HK192" s="54">
        <f t="shared" si="307"/>
        <v>183</v>
      </c>
      <c r="HL192" s="54">
        <f t="shared" si="308"/>
        <v>1.9660492272700134</v>
      </c>
      <c r="HM192" s="54" t="e">
        <f t="shared" si="309"/>
        <v>#N/A</v>
      </c>
      <c r="HN192" s="54">
        <f t="shared" si="310"/>
        <v>6.6323652171868239E-2</v>
      </c>
      <c r="HO192" s="54" t="e">
        <f t="shared" si="311"/>
        <v>#N/A</v>
      </c>
      <c r="HP192" s="54" t="e">
        <f t="shared" si="312"/>
        <v>#N/A</v>
      </c>
      <c r="HQ192" s="54" t="b">
        <f t="shared" si="313"/>
        <v>0</v>
      </c>
      <c r="HR192" s="54" t="b">
        <f t="shared" si="314"/>
        <v>1</v>
      </c>
      <c r="HS192" s="54" t="b">
        <f t="shared" si="315"/>
        <v>1</v>
      </c>
      <c r="HT192" s="54" t="b">
        <f t="shared" si="316"/>
        <v>0</v>
      </c>
      <c r="HU192" s="54">
        <f t="shared" si="317"/>
        <v>6.6323652171868239E-2</v>
      </c>
      <c r="HV192" s="54" t="e">
        <f t="shared" si="318"/>
        <v>#N/A</v>
      </c>
      <c r="HW192" s="54">
        <f t="shared" si="319"/>
        <v>6.6323652171868239E-2</v>
      </c>
      <c r="HX192" s="69" t="str">
        <f t="shared" si="320"/>
        <v/>
      </c>
    </row>
    <row r="193" spans="78:232" x14ac:dyDescent="0.2">
      <c r="BZ193" s="54">
        <f t="shared" si="247"/>
        <v>183</v>
      </c>
      <c r="CA193" s="54">
        <f>Eu_tabel_g[[#This Row],[Indeks]]+1</f>
        <v>184</v>
      </c>
      <c r="CB193" s="54">
        <f t="shared" si="248"/>
        <v>1.2935856165353634</v>
      </c>
      <c r="CC193" s="54">
        <f t="shared" si="249"/>
        <v>0.17280000272227755</v>
      </c>
      <c r="CD193" s="54" t="e">
        <f t="shared" si="250"/>
        <v>#N/A</v>
      </c>
      <c r="CE193" s="54" t="e">
        <f t="shared" si="251"/>
        <v>#N/A</v>
      </c>
      <c r="CF193" s="54" t="e">
        <f t="shared" si="252"/>
        <v>#N/A</v>
      </c>
      <c r="CG193" s="54" t="b">
        <f t="shared" si="253"/>
        <v>0</v>
      </c>
      <c r="CH193" s="54" t="b">
        <f t="shared" si="254"/>
        <v>1</v>
      </c>
      <c r="CI193" s="54" t="b">
        <f t="shared" si="255"/>
        <v>0</v>
      </c>
      <c r="CJ193" s="54" t="b">
        <f t="shared" si="256"/>
        <v>1</v>
      </c>
      <c r="CK193" s="54">
        <f t="shared" si="327"/>
        <v>0.17280000272227755</v>
      </c>
      <c r="CL193" s="54" t="e">
        <f t="shared" si="257"/>
        <v>#N/A</v>
      </c>
      <c r="CM193" s="54">
        <f t="shared" si="258"/>
        <v>0.17280000272227755</v>
      </c>
      <c r="CN193" s="69" t="str">
        <f t="shared" si="259"/>
        <v/>
      </c>
      <c r="CO193" s="54">
        <f>_xlfn.NORM.DIST(_xlfn.NORM.INV(1-Eu_g_konfidensniveau,0,1)-Eu_tabel_g[[#This Row],[x base]],0,1,TRUE)</f>
        <v>1.6493465284941056E-3</v>
      </c>
      <c r="CP193" s="54">
        <f>1-_xlfn.NORM.DIST(_xlfn.NORM.INV(Eu_g_konfidensniveau,0,1)-Eu_tabel_g[[#This Row],[x base]],0,1,TRUE)</f>
        <v>0.36269364585060182</v>
      </c>
      <c r="CQ193" s="54">
        <f>_xlfn.NORM.DIST(_xlfn.NORM.INV((1-Eu_g_konfidensniveau)/2,0,1)-Eu_tabel_g[[#This Row],[x base]],0,1,TRUE)+1-_xlfn.NORM.DIST(_xlfn.NORM.INV(1-(1-Eu_g_konfidensniveau)/2,0,1)-Eu_tabel_g[[#This Row],[x base]],0,1,TRUE)</f>
        <v>0.25315450695979325</v>
      </c>
      <c r="CR193" s="54" t="e" cm="1">
        <f t="array" ref="CR193">IF($CR$3,INDEX(Eu_tabel_g[[#This Row],[Styrke venstre]:[Styrke tosidet]],CR$7),NA())</f>
        <v>#N/A</v>
      </c>
      <c r="CS193" s="89" t="e">
        <f>Eu_tabel_g[[#This Row],[Falsk positiv
Nulhypotese accepteres
Fejltype 1]]</f>
        <v>#N/A</v>
      </c>
      <c r="CT193" s="89" t="e">
        <f>IF(CHOOSE(CR$7,Eu_tabel_g[[#This Row],[x base]]&gt;0,Eu_tabel_g[[#This Row],[x base]]&lt;0,Eu_tabel_g[[#This Row],[x base]]=0),Eu_tabel_g[[#This Row],[Styrke, aktiv]],NA())</f>
        <v>#N/A</v>
      </c>
      <c r="CU193" s="89" t="e">
        <f>IFERROR(IF($CR$3,Eu_tabel_g[[#This Row],[Styrke, aktiv]],NA()),NA())</f>
        <v>#N/A</v>
      </c>
      <c r="CV193" s="89" t="e">
        <f>IF(ISNA(Eu_tabel_g[[#This Row],[Sand negativ
Nulhypotese afvises
Korrekt]]),NA(),IF($CR$3,1,NA()))</f>
        <v>#N/A</v>
      </c>
      <c r="CW193" s="56" t="str" cm="1">
        <f t="array" ref="CW193">_xlfn.SWITCH(BZ193,_xlfn.IFNA(CU$2,-99),CU$5,_xlfn.IFNA(CU$3,-99),CU$6,_xlfn.IFNA(CU$4,-99),CU$7,"")</f>
        <v/>
      </c>
      <c r="DA193" s="7">
        <f t="shared" si="260"/>
        <v>0.8</v>
      </c>
      <c r="DB193">
        <f>IF(ROW(Styrkeberegning_G[[#This Row],[X base venstre]])=ROW(Styrkeberegning_G[[#Headers],[X base venstre]])+1,DB$7/(DA$7/$B$67),DB192/(DA192/$B$67))</f>
        <v>-2.8015817870135784</v>
      </c>
      <c r="DC193">
        <f>Styrkeberegning_G[[#This Row],[X base venstre]]*-1</f>
        <v>2.8015817870135784</v>
      </c>
      <c r="DN193" s="54">
        <f t="shared" si="261"/>
        <v>183</v>
      </c>
      <c r="DO193" s="54">
        <f t="shared" si="262"/>
        <v>184</v>
      </c>
      <c r="DP193" s="54">
        <f t="shared" si="263"/>
        <v>22.708819388964873</v>
      </c>
      <c r="DQ193" s="54" t="e">
        <f t="shared" si="264"/>
        <v>#N/A</v>
      </c>
      <c r="DR193" s="54" t="e">
        <f t="shared" si="265"/>
        <v>#N/A</v>
      </c>
      <c r="DS193" s="54">
        <f t="shared" si="266"/>
        <v>6.2689713455861351E-3</v>
      </c>
      <c r="DT193" s="54" t="e">
        <f t="shared" si="267"/>
        <v>#N/A</v>
      </c>
      <c r="DU193" s="54" t="b">
        <f t="shared" si="268"/>
        <v>0</v>
      </c>
      <c r="DV193" s="54" t="b">
        <f t="shared" si="269"/>
        <v>1</v>
      </c>
      <c r="DW193" s="54" t="b">
        <f t="shared" si="270"/>
        <v>1</v>
      </c>
      <c r="DX193" s="54" t="b">
        <f t="shared" si="271"/>
        <v>0</v>
      </c>
      <c r="DY193" s="54">
        <f t="shared" si="272"/>
        <v>6.2689713455861351E-3</v>
      </c>
      <c r="DZ193" s="54">
        <f t="shared" si="273"/>
        <v>6.2689713455861351E-3</v>
      </c>
      <c r="EA193" s="54" t="e">
        <f t="shared" si="274"/>
        <v>#N/A</v>
      </c>
      <c r="EB193" s="69" t="str">
        <f t="shared" si="275"/>
        <v/>
      </c>
      <c r="EG193" s="54">
        <f t="shared" si="276"/>
        <v>183</v>
      </c>
      <c r="EH193" s="54">
        <f t="shared" si="277"/>
        <v>184</v>
      </c>
      <c r="EI193" s="54">
        <f t="shared" si="278"/>
        <v>1.2935856165353634</v>
      </c>
      <c r="EJ193" s="54">
        <f t="shared" si="279"/>
        <v>0.17280000272227755</v>
      </c>
      <c r="EK193" s="54" t="e">
        <f t="shared" si="280"/>
        <v>#N/A</v>
      </c>
      <c r="EL193" s="54" t="e">
        <f t="shared" si="281"/>
        <v>#N/A</v>
      </c>
      <c r="EM193" s="54" t="e">
        <f t="shared" si="282"/>
        <v>#N/A</v>
      </c>
      <c r="EN193" s="54" t="b">
        <f t="shared" si="283"/>
        <v>0</v>
      </c>
      <c r="EO193" s="54" t="b">
        <f t="shared" si="284"/>
        <v>1</v>
      </c>
      <c r="EP193" s="54" t="b">
        <f t="shared" si="285"/>
        <v>0</v>
      </c>
      <c r="EQ193" s="54" t="b">
        <f t="shared" si="286"/>
        <v>1</v>
      </c>
      <c r="ER193" s="54">
        <f t="shared" si="287"/>
        <v>0.17280000272227755</v>
      </c>
      <c r="ES193" s="54" t="e">
        <f t="shared" si="288"/>
        <v>#N/A</v>
      </c>
      <c r="ET193" s="54">
        <f t="shared" si="289"/>
        <v>0.17280000272227755</v>
      </c>
      <c r="EU193" s="69" t="str">
        <f t="shared" si="290"/>
        <v/>
      </c>
      <c r="EV19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9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9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93" s="54" t="e" cm="1">
        <f t="array" ref="EY193">IF($CR$3,INDEX(Eu_tabel_a[[#This Row],[Styrke venstre]:[Styrke tosidet]],EY$7),NA())</f>
        <v>#N/A</v>
      </c>
      <c r="EZ193" s="54" t="e">
        <f>IF(EY$3,IF(CHOOSE(EY$7,Eu_tabel_a[[#This Row],[x base]]&gt;0,Eu_tabel_a[[#This Row],[x base]]&lt;0,Eu_tabel_a[[#This Row],[x base]]=0),1,NA()),NA())</f>
        <v>#N/A</v>
      </c>
      <c r="FA193" s="54" t="e">
        <f>IF(CHOOSE(EY$7,Eu_tabel_a[[#This Row],[x base]]&gt;0,Eu_tabel_a[[#This Row],[x base]]&lt;0,Eu_tabel_a[[#This Row],[x base]]=0),Eu_tabel_a[[#This Row],[Styrke, aktiv]],NA())</f>
        <v>#N/A</v>
      </c>
      <c r="FB193" s="54" t="e">
        <f>IFERROR(IF($EY$3,Eu_tabel_a[[#This Row],[Styrke, aktiv]],NA()),NA())</f>
        <v>#N/A</v>
      </c>
      <c r="FC193" s="54" t="e">
        <f>IF(ISNA(Eu_tabel_a[[#This Row],[Sand negativ
Nulhypotese afvises
Korrekt]]),NA(),IF(EY$3,1,NA()))</f>
        <v>#N/A</v>
      </c>
      <c r="FD193" s="55" t="str" cm="1">
        <f t="array" ref="FD193">IFERROR(_xlfn.SWITCH(Eu_tabel_a[[#This Row],[Indeks]],_xlfn.IFNA(FB$2,-99),FB$5,_xlfn.IFNA(FB$3,-99),FB$6,_xlfn.IFNA(FB$4,-99),FB$7,""),"")</f>
        <v/>
      </c>
      <c r="FE193" s="54">
        <f>Eu_tabel_a[[#This Row],[x base]]*SQRT(Eu_a_h0_x*(1-Eu_a_h0_x)/Eu_a_n_x)+Eu_a_h0_x</f>
        <v>0</v>
      </c>
      <c r="FJ193" s="144" t="e">
        <f t="shared" si="234"/>
        <v>#N/A</v>
      </c>
      <c r="FK193" s="152" t="e">
        <f t="shared" si="322"/>
        <v>#DIV/0!</v>
      </c>
      <c r="FL193" s="7" t="e">
        <f t="shared" si="228"/>
        <v>#DIV/0!</v>
      </c>
      <c r="FM193" t="e">
        <f t="shared" si="323"/>
        <v>#DIV/0!</v>
      </c>
      <c r="FN193" s="8" t="e">
        <f t="shared" si="324"/>
        <v>#DIV/0!</v>
      </c>
      <c r="FO193" s="8" t="e">
        <f t="shared" si="325"/>
        <v>#DIV/0!</v>
      </c>
      <c r="FP193" s="151" t="e">
        <f t="shared" si="326"/>
        <v>#DIV/0!</v>
      </c>
      <c r="FQ193" s="144" t="e">
        <f t="shared" ca="1" si="229"/>
        <v>#N/A</v>
      </c>
      <c r="FR193" s="152" t="e" vm="3">
        <f t="shared" ca="1" si="235"/>
        <v>#VALUE!</v>
      </c>
      <c r="FS193" s="7" t="e" vm="3">
        <f t="shared" ca="1" si="230"/>
        <v>#VALUE!</v>
      </c>
      <c r="FT193" t="e" vm="3">
        <f t="shared" ca="1" si="224"/>
        <v>#VALUE!</v>
      </c>
      <c r="FU193" s="8" t="e" vm="3">
        <f t="shared" ca="1" si="225"/>
        <v>#VALUE!</v>
      </c>
      <c r="FV193" s="8" t="e" vm="3">
        <f t="shared" ca="1" si="226"/>
        <v>#VALUE!</v>
      </c>
      <c r="FW193" s="151" t="e" vm="3">
        <f t="shared" ca="1" si="227"/>
        <v>#VALUE!</v>
      </c>
      <c r="FX193" s="144" t="e">
        <f t="shared" si="231"/>
        <v>#N/A</v>
      </c>
      <c r="FY193" s="152" t="e">
        <f t="shared" si="236"/>
        <v>#N/A</v>
      </c>
      <c r="FZ193" s="7" t="e">
        <f t="shared" si="232"/>
        <v>#N/A</v>
      </c>
      <c r="GA193" t="e">
        <f t="shared" si="237"/>
        <v>#N/A</v>
      </c>
      <c r="GB193" s="8" t="e">
        <f t="shared" si="238"/>
        <v>#N/A</v>
      </c>
      <c r="GC193" s="8" t="e">
        <f t="shared" si="239"/>
        <v>#N/A</v>
      </c>
      <c r="GD193" s="151" t="e">
        <f t="shared" si="240"/>
        <v>#N/A</v>
      </c>
      <c r="GE193" s="144" t="e">
        <f t="shared" si="241"/>
        <v>#N/A</v>
      </c>
      <c r="GF193" s="152" t="e">
        <f t="shared" si="242"/>
        <v>#N/A</v>
      </c>
      <c r="GG193" s="7" t="e">
        <f t="shared" si="233"/>
        <v>#N/A</v>
      </c>
      <c r="GH193" t="e">
        <f t="shared" si="243"/>
        <v>#N/A</v>
      </c>
      <c r="GI193" s="8" t="e">
        <f t="shared" si="244"/>
        <v>#N/A</v>
      </c>
      <c r="GJ193" s="8" t="e">
        <f t="shared" si="245"/>
        <v>#N/A</v>
      </c>
      <c r="GK193" s="151" t="e">
        <f t="shared" si="246"/>
        <v>#N/A</v>
      </c>
      <c r="GL193" s="151"/>
      <c r="GM193" s="151"/>
      <c r="GP193" s="54">
        <f t="shared" si="291"/>
        <v>183</v>
      </c>
      <c r="GQ193" s="54">
        <f t="shared" si="292"/>
        <v>184</v>
      </c>
      <c r="GR193" s="54">
        <f t="shared" si="293"/>
        <v>1.2935856165353634</v>
      </c>
      <c r="GS193" s="54">
        <f t="shared" si="294"/>
        <v>0.17280000272227755</v>
      </c>
      <c r="GT193" s="54" t="e">
        <f t="shared" si="295"/>
        <v>#N/A</v>
      </c>
      <c r="GU193" s="54" t="e">
        <f t="shared" si="296"/>
        <v>#N/A</v>
      </c>
      <c r="GV193" s="54" t="e">
        <f t="shared" si="297"/>
        <v>#N/A</v>
      </c>
      <c r="GW193" s="54" t="b">
        <f t="shared" si="298"/>
        <v>0</v>
      </c>
      <c r="GX193" s="54" t="b">
        <f t="shared" si="299"/>
        <v>1</v>
      </c>
      <c r="GY193" s="54" t="b">
        <f t="shared" si="300"/>
        <v>0</v>
      </c>
      <c r="GZ193" s="54" t="b">
        <f t="shared" si="301"/>
        <v>1</v>
      </c>
      <c r="HA193" s="54">
        <f t="shared" si="302"/>
        <v>0.17280000272227755</v>
      </c>
      <c r="HB193" s="54" t="e">
        <f t="shared" si="303"/>
        <v>#N/A</v>
      </c>
      <c r="HC193" s="54">
        <f t="shared" si="304"/>
        <v>0.17280000272227755</v>
      </c>
      <c r="HD193" s="69" t="str">
        <f t="shared" si="305"/>
        <v/>
      </c>
      <c r="HJ193" s="54">
        <f t="shared" si="306"/>
        <v>183</v>
      </c>
      <c r="HK193" s="54">
        <f t="shared" si="307"/>
        <v>184</v>
      </c>
      <c r="HL193" s="54">
        <f t="shared" si="308"/>
        <v>2.00314449570907</v>
      </c>
      <c r="HM193" s="54" t="e">
        <f t="shared" si="309"/>
        <v>#N/A</v>
      </c>
      <c r="HN193" s="54">
        <f t="shared" si="310"/>
        <v>6.2847166029487422E-2</v>
      </c>
      <c r="HO193" s="54" t="e">
        <f t="shared" si="311"/>
        <v>#N/A</v>
      </c>
      <c r="HP193" s="54" t="e">
        <f t="shared" si="312"/>
        <v>#N/A</v>
      </c>
      <c r="HQ193" s="54" t="b">
        <f t="shared" si="313"/>
        <v>0</v>
      </c>
      <c r="HR193" s="54" t="b">
        <f t="shared" si="314"/>
        <v>1</v>
      </c>
      <c r="HS193" s="54" t="b">
        <f t="shared" si="315"/>
        <v>1</v>
      </c>
      <c r="HT193" s="54" t="b">
        <f t="shared" si="316"/>
        <v>0</v>
      </c>
      <c r="HU193" s="54">
        <f t="shared" si="317"/>
        <v>6.2847166029487422E-2</v>
      </c>
      <c r="HV193" s="54" t="e">
        <f t="shared" si="318"/>
        <v>#N/A</v>
      </c>
      <c r="HW193" s="54">
        <f t="shared" si="319"/>
        <v>6.2847166029487422E-2</v>
      </c>
      <c r="HX193" s="69" t="str">
        <f t="shared" si="320"/>
        <v/>
      </c>
    </row>
    <row r="194" spans="78:232" x14ac:dyDescent="0.2">
      <c r="BZ194" s="54">
        <f t="shared" si="247"/>
        <v>184</v>
      </c>
      <c r="CA194" s="54">
        <f>Eu_tabel_g[[#This Row],[Indeks]]+1</f>
        <v>185</v>
      </c>
      <c r="CB194" s="54">
        <f t="shared" si="248"/>
        <v>1.3175409057304632</v>
      </c>
      <c r="CC194" s="54">
        <f t="shared" si="249"/>
        <v>0.16747929415535212</v>
      </c>
      <c r="CD194" s="54" t="e">
        <f t="shared" si="250"/>
        <v>#N/A</v>
      </c>
      <c r="CE194" s="54" t="e">
        <f t="shared" si="251"/>
        <v>#N/A</v>
      </c>
      <c r="CF194" s="54" t="e">
        <f t="shared" si="252"/>
        <v>#N/A</v>
      </c>
      <c r="CG194" s="54" t="b">
        <f t="shared" si="253"/>
        <v>0</v>
      </c>
      <c r="CH194" s="54" t="b">
        <f t="shared" si="254"/>
        <v>1</v>
      </c>
      <c r="CI194" s="54" t="b">
        <f t="shared" si="255"/>
        <v>0</v>
      </c>
      <c r="CJ194" s="54" t="b">
        <f t="shared" si="256"/>
        <v>1</v>
      </c>
      <c r="CK194" s="54">
        <f t="shared" si="327"/>
        <v>0.16747929415535212</v>
      </c>
      <c r="CL194" s="54" t="e">
        <f t="shared" si="257"/>
        <v>#N/A</v>
      </c>
      <c r="CM194" s="54">
        <f t="shared" si="258"/>
        <v>0.16747929415535212</v>
      </c>
      <c r="CN194" s="69" t="str">
        <f t="shared" si="259"/>
        <v/>
      </c>
      <c r="CO194" s="54">
        <f>_xlfn.NORM.DIST(_xlfn.NORM.INV(1-Eu_g_konfidensniveau,0,1)-Eu_tabel_g[[#This Row],[x base]],0,1,TRUE)</f>
        <v>1.5262818325969226E-3</v>
      </c>
      <c r="CP194" s="54">
        <f>1-_xlfn.NORM.DIST(_xlfn.NORM.INV(Eu_g_konfidensniveau,0,1)-Eu_tabel_g[[#This Row],[x base]],0,1,TRUE)</f>
        <v>0.37171568587583348</v>
      </c>
      <c r="CQ194" s="54">
        <f>_xlfn.NORM.DIST(_xlfn.NORM.INV((1-Eu_g_konfidensniveau)/2,0,1)-Eu_tabel_g[[#This Row],[x base]],0,1,TRUE)+1-_xlfn.NORM.DIST(_xlfn.NORM.INV(1-(1-Eu_g_konfidensniveau)/2,0,1)-Eu_tabel_g[[#This Row],[x base]],0,1,TRUE)</f>
        <v>0.26082290397850783</v>
      </c>
      <c r="CR194" s="54" t="e" cm="1">
        <f t="array" ref="CR194">IF($CR$3,INDEX(Eu_tabel_g[[#This Row],[Styrke venstre]:[Styrke tosidet]],CR$7),NA())</f>
        <v>#N/A</v>
      </c>
      <c r="CS194" s="89" t="e">
        <f>Eu_tabel_g[[#This Row],[Falsk positiv
Nulhypotese accepteres
Fejltype 1]]</f>
        <v>#N/A</v>
      </c>
      <c r="CT194" s="89" t="e">
        <f>IF(CHOOSE(CR$7,Eu_tabel_g[[#This Row],[x base]]&gt;0,Eu_tabel_g[[#This Row],[x base]]&lt;0,Eu_tabel_g[[#This Row],[x base]]=0),Eu_tabel_g[[#This Row],[Styrke, aktiv]],NA())</f>
        <v>#N/A</v>
      </c>
      <c r="CU194" s="89" t="e">
        <f>IFERROR(IF($CR$3,Eu_tabel_g[[#This Row],[Styrke, aktiv]],NA()),NA())</f>
        <v>#N/A</v>
      </c>
      <c r="CV194" s="89" t="e">
        <f>IF(ISNA(Eu_tabel_g[[#This Row],[Sand negativ
Nulhypotese afvises
Korrekt]]),NA(),IF($CR$3,1,NA()))</f>
        <v>#N/A</v>
      </c>
      <c r="CW194" s="56" t="str" cm="1">
        <f t="array" ref="CW194">_xlfn.SWITCH(BZ194,_xlfn.IFNA(CU$2,-99),CU$5,_xlfn.IFNA(CU$3,-99),CU$6,_xlfn.IFNA(CU$4,-99),CU$7,"")</f>
        <v/>
      </c>
      <c r="DA194" s="7">
        <f t="shared" si="260"/>
        <v>0.8</v>
      </c>
      <c r="DB194">
        <f>IF(ROW(Styrkeberegning_G[[#This Row],[X base venstre]])=ROW(Styrkeberegning_G[[#Headers],[X base venstre]])+1,DB$7/(DA$7/$B$67),DB193/(DA193/$B$67))</f>
        <v>-2.8015817870135784</v>
      </c>
      <c r="DC194">
        <f>Styrkeberegning_G[[#This Row],[X base venstre]]*-1</f>
        <v>2.8015817870135784</v>
      </c>
      <c r="DN194" s="54">
        <f t="shared" si="261"/>
        <v>184</v>
      </c>
      <c r="DO194" s="54">
        <f t="shared" si="262"/>
        <v>185</v>
      </c>
      <c r="DP194" s="54">
        <f t="shared" si="263"/>
        <v>22.822890245381874</v>
      </c>
      <c r="DQ194" s="54" t="e">
        <f t="shared" si="264"/>
        <v>#N/A</v>
      </c>
      <c r="DR194" s="54" t="e">
        <f t="shared" si="265"/>
        <v>#N/A</v>
      </c>
      <c r="DS194" s="54">
        <f t="shared" si="266"/>
        <v>6.0564550439681829E-3</v>
      </c>
      <c r="DT194" s="54" t="e">
        <f t="shared" si="267"/>
        <v>#N/A</v>
      </c>
      <c r="DU194" s="54" t="b">
        <f t="shared" si="268"/>
        <v>0</v>
      </c>
      <c r="DV194" s="54" t="b">
        <f t="shared" si="269"/>
        <v>1</v>
      </c>
      <c r="DW194" s="54" t="b">
        <f t="shared" si="270"/>
        <v>1</v>
      </c>
      <c r="DX194" s="54" t="b">
        <f t="shared" si="271"/>
        <v>0</v>
      </c>
      <c r="DY194" s="54">
        <f t="shared" si="272"/>
        <v>6.0564550439681829E-3</v>
      </c>
      <c r="DZ194" s="54">
        <f t="shared" si="273"/>
        <v>6.0564550439681829E-3</v>
      </c>
      <c r="EA194" s="54" t="e">
        <f t="shared" si="274"/>
        <v>#N/A</v>
      </c>
      <c r="EB194" s="69" t="str">
        <f t="shared" si="275"/>
        <v/>
      </c>
      <c r="EG194" s="54">
        <f t="shared" si="276"/>
        <v>184</v>
      </c>
      <c r="EH194" s="54">
        <f t="shared" si="277"/>
        <v>185</v>
      </c>
      <c r="EI194" s="54">
        <f t="shared" si="278"/>
        <v>1.3175409057304632</v>
      </c>
      <c r="EJ194" s="54">
        <f t="shared" si="279"/>
        <v>0.16747929415535212</v>
      </c>
      <c r="EK194" s="54" t="e">
        <f t="shared" si="280"/>
        <v>#N/A</v>
      </c>
      <c r="EL194" s="54" t="e">
        <f t="shared" si="281"/>
        <v>#N/A</v>
      </c>
      <c r="EM194" s="54" t="e">
        <f t="shared" si="282"/>
        <v>#N/A</v>
      </c>
      <c r="EN194" s="54" t="b">
        <f t="shared" si="283"/>
        <v>0</v>
      </c>
      <c r="EO194" s="54" t="b">
        <f t="shared" si="284"/>
        <v>1</v>
      </c>
      <c r="EP194" s="54" t="b">
        <f t="shared" si="285"/>
        <v>0</v>
      </c>
      <c r="EQ194" s="54" t="b">
        <f t="shared" si="286"/>
        <v>1</v>
      </c>
      <c r="ER194" s="54">
        <f t="shared" si="287"/>
        <v>0.16747929415535212</v>
      </c>
      <c r="ES194" s="54" t="e">
        <f t="shared" si="288"/>
        <v>#N/A</v>
      </c>
      <c r="ET194" s="54">
        <f t="shared" si="289"/>
        <v>0.16747929415535212</v>
      </c>
      <c r="EU194" s="69" t="str">
        <f t="shared" si="290"/>
        <v/>
      </c>
      <c r="EV19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9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9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94" s="54" t="e" cm="1">
        <f t="array" ref="EY194">IF($CR$3,INDEX(Eu_tabel_a[[#This Row],[Styrke venstre]:[Styrke tosidet]],EY$7),NA())</f>
        <v>#N/A</v>
      </c>
      <c r="EZ194" s="54" t="e">
        <f>IF(EY$3,IF(CHOOSE(EY$7,Eu_tabel_a[[#This Row],[x base]]&gt;0,Eu_tabel_a[[#This Row],[x base]]&lt;0,Eu_tabel_a[[#This Row],[x base]]=0),1,NA()),NA())</f>
        <v>#N/A</v>
      </c>
      <c r="FA194" s="54" t="e">
        <f>IF(CHOOSE(EY$7,Eu_tabel_a[[#This Row],[x base]]&gt;0,Eu_tabel_a[[#This Row],[x base]]&lt;0,Eu_tabel_a[[#This Row],[x base]]=0),Eu_tabel_a[[#This Row],[Styrke, aktiv]],NA())</f>
        <v>#N/A</v>
      </c>
      <c r="FB194" s="54" t="e">
        <f>IFERROR(IF($EY$3,Eu_tabel_a[[#This Row],[Styrke, aktiv]],NA()),NA())</f>
        <v>#N/A</v>
      </c>
      <c r="FC194" s="54" t="e">
        <f>IF(ISNA(Eu_tabel_a[[#This Row],[Sand negativ
Nulhypotese afvises
Korrekt]]),NA(),IF(EY$3,1,NA()))</f>
        <v>#N/A</v>
      </c>
      <c r="FD194" s="55" t="str" cm="1">
        <f t="array" ref="FD194">IFERROR(_xlfn.SWITCH(Eu_tabel_a[[#This Row],[Indeks]],_xlfn.IFNA(FB$2,-99),FB$5,_xlfn.IFNA(FB$3,-99),FB$6,_xlfn.IFNA(FB$4,-99),FB$7,""),"")</f>
        <v/>
      </c>
      <c r="FE194" s="54">
        <f>Eu_tabel_a[[#This Row],[x base]]*SQRT(Eu_a_h0_x*(1-Eu_a_h0_x)/Eu_a_n_x)+Eu_a_h0_x</f>
        <v>0</v>
      </c>
      <c r="FJ194" s="144" t="e">
        <f t="shared" si="234"/>
        <v>#N/A</v>
      </c>
      <c r="FK194" s="152" t="e">
        <f t="shared" si="322"/>
        <v>#DIV/0!</v>
      </c>
      <c r="FL194" s="7" t="e">
        <f t="shared" si="228"/>
        <v>#DIV/0!</v>
      </c>
      <c r="FM194" t="e">
        <f t="shared" si="323"/>
        <v>#DIV/0!</v>
      </c>
      <c r="FN194" s="8" t="e">
        <f t="shared" si="324"/>
        <v>#DIV/0!</v>
      </c>
      <c r="FO194" s="8" t="e">
        <f t="shared" si="325"/>
        <v>#DIV/0!</v>
      </c>
      <c r="FP194" s="151" t="e">
        <f t="shared" si="326"/>
        <v>#DIV/0!</v>
      </c>
      <c r="FQ194" s="144" t="e">
        <f t="shared" ca="1" si="229"/>
        <v>#N/A</v>
      </c>
      <c r="FR194" s="152" t="e" vm="3">
        <f t="shared" ca="1" si="235"/>
        <v>#VALUE!</v>
      </c>
      <c r="FS194" s="7" t="e" vm="3">
        <f t="shared" ca="1" si="230"/>
        <v>#VALUE!</v>
      </c>
      <c r="FT194" t="e" vm="3">
        <f t="shared" ca="1" si="224"/>
        <v>#VALUE!</v>
      </c>
      <c r="FU194" s="8" t="e" vm="3">
        <f t="shared" ca="1" si="225"/>
        <v>#VALUE!</v>
      </c>
      <c r="FV194" s="8" t="e" vm="3">
        <f t="shared" ca="1" si="226"/>
        <v>#VALUE!</v>
      </c>
      <c r="FW194" s="151" t="e" vm="3">
        <f t="shared" ca="1" si="227"/>
        <v>#VALUE!</v>
      </c>
      <c r="FX194" s="144" t="e">
        <f t="shared" si="231"/>
        <v>#N/A</v>
      </c>
      <c r="FY194" s="152" t="e">
        <f t="shared" si="236"/>
        <v>#N/A</v>
      </c>
      <c r="FZ194" s="7" t="e">
        <f t="shared" si="232"/>
        <v>#N/A</v>
      </c>
      <c r="GA194" t="e">
        <f t="shared" si="237"/>
        <v>#N/A</v>
      </c>
      <c r="GB194" s="8" t="e">
        <f t="shared" si="238"/>
        <v>#N/A</v>
      </c>
      <c r="GC194" s="8" t="e">
        <f t="shared" si="239"/>
        <v>#N/A</v>
      </c>
      <c r="GD194" s="151" t="e">
        <f t="shared" si="240"/>
        <v>#N/A</v>
      </c>
      <c r="GE194" s="144" t="e">
        <f t="shared" si="241"/>
        <v>#N/A</v>
      </c>
      <c r="GF194" s="152" t="e">
        <f t="shared" si="242"/>
        <v>#N/A</v>
      </c>
      <c r="GG194" s="7" t="e">
        <f t="shared" si="233"/>
        <v>#N/A</v>
      </c>
      <c r="GH194" t="e">
        <f t="shared" si="243"/>
        <v>#N/A</v>
      </c>
      <c r="GI194" s="8" t="e">
        <f t="shared" si="244"/>
        <v>#N/A</v>
      </c>
      <c r="GJ194" s="8" t="e">
        <f t="shared" si="245"/>
        <v>#N/A</v>
      </c>
      <c r="GK194" s="151" t="e">
        <f t="shared" si="246"/>
        <v>#N/A</v>
      </c>
      <c r="GL194" s="151"/>
      <c r="GM194" s="151"/>
      <c r="GP194" s="54">
        <f t="shared" si="291"/>
        <v>184</v>
      </c>
      <c r="GQ194" s="54">
        <f t="shared" si="292"/>
        <v>185</v>
      </c>
      <c r="GR194" s="54">
        <f t="shared" si="293"/>
        <v>1.3175409057304632</v>
      </c>
      <c r="GS194" s="54">
        <f t="shared" si="294"/>
        <v>0.16747929415535212</v>
      </c>
      <c r="GT194" s="54" t="e">
        <f t="shared" si="295"/>
        <v>#N/A</v>
      </c>
      <c r="GU194" s="54" t="e">
        <f t="shared" si="296"/>
        <v>#N/A</v>
      </c>
      <c r="GV194" s="54" t="e">
        <f t="shared" si="297"/>
        <v>#N/A</v>
      </c>
      <c r="GW194" s="54" t="b">
        <f t="shared" si="298"/>
        <v>0</v>
      </c>
      <c r="GX194" s="54" t="b">
        <f t="shared" si="299"/>
        <v>1</v>
      </c>
      <c r="GY194" s="54" t="b">
        <f t="shared" si="300"/>
        <v>0</v>
      </c>
      <c r="GZ194" s="54" t="b">
        <f t="shared" si="301"/>
        <v>1</v>
      </c>
      <c r="HA194" s="54">
        <f t="shared" si="302"/>
        <v>0.16747929415535212</v>
      </c>
      <c r="HB194" s="54" t="e">
        <f t="shared" si="303"/>
        <v>#N/A</v>
      </c>
      <c r="HC194" s="54">
        <f t="shared" si="304"/>
        <v>0.16747929415535212</v>
      </c>
      <c r="HD194" s="69" t="str">
        <f t="shared" si="305"/>
        <v/>
      </c>
      <c r="HJ194" s="54">
        <f t="shared" si="306"/>
        <v>184</v>
      </c>
      <c r="HK194" s="54">
        <f t="shared" si="307"/>
        <v>185</v>
      </c>
      <c r="HL194" s="54">
        <f t="shared" si="308"/>
        <v>2.0402397641481267</v>
      </c>
      <c r="HM194" s="54" t="e">
        <f t="shared" si="309"/>
        <v>#N/A</v>
      </c>
      <c r="HN194" s="54">
        <f t="shared" si="310"/>
        <v>5.9536756814595783E-2</v>
      </c>
      <c r="HO194" s="54" t="e">
        <f t="shared" si="311"/>
        <v>#N/A</v>
      </c>
      <c r="HP194" s="54" t="e">
        <f t="shared" si="312"/>
        <v>#N/A</v>
      </c>
      <c r="HQ194" s="54" t="b">
        <f t="shared" si="313"/>
        <v>0</v>
      </c>
      <c r="HR194" s="54" t="b">
        <f t="shared" si="314"/>
        <v>1</v>
      </c>
      <c r="HS194" s="54" t="b">
        <f t="shared" si="315"/>
        <v>1</v>
      </c>
      <c r="HT194" s="54" t="b">
        <f t="shared" si="316"/>
        <v>0</v>
      </c>
      <c r="HU194" s="54">
        <f t="shared" si="317"/>
        <v>5.9536756814595783E-2</v>
      </c>
      <c r="HV194" s="54" t="e">
        <f t="shared" si="318"/>
        <v>#N/A</v>
      </c>
      <c r="HW194" s="54">
        <f t="shared" si="319"/>
        <v>5.9536756814595783E-2</v>
      </c>
      <c r="HX194" s="69" t="str">
        <f t="shared" si="320"/>
        <v/>
      </c>
    </row>
    <row r="195" spans="78:232" x14ac:dyDescent="0.2">
      <c r="BZ195" s="54">
        <f t="shared" si="247"/>
        <v>185</v>
      </c>
      <c r="CA195" s="54">
        <f>Eu_tabel_g[[#This Row],[Indeks]]+1</f>
        <v>186</v>
      </c>
      <c r="CB195" s="54">
        <f t="shared" si="248"/>
        <v>1.3414961949255622</v>
      </c>
      <c r="CC195" s="54">
        <f t="shared" si="249"/>
        <v>0.16222929330418065</v>
      </c>
      <c r="CD195" s="54" t="e">
        <f t="shared" si="250"/>
        <v>#N/A</v>
      </c>
      <c r="CE195" s="54" t="e">
        <f t="shared" si="251"/>
        <v>#N/A</v>
      </c>
      <c r="CF195" s="54" t="e">
        <f t="shared" si="252"/>
        <v>#N/A</v>
      </c>
      <c r="CG195" s="54" t="b">
        <f t="shared" si="253"/>
        <v>0</v>
      </c>
      <c r="CH195" s="54" t="b">
        <f t="shared" si="254"/>
        <v>1</v>
      </c>
      <c r="CI195" s="54" t="b">
        <f t="shared" si="255"/>
        <v>0</v>
      </c>
      <c r="CJ195" s="54" t="b">
        <f t="shared" si="256"/>
        <v>1</v>
      </c>
      <c r="CK195" s="54">
        <f t="shared" si="327"/>
        <v>0.16222929330418065</v>
      </c>
      <c r="CL195" s="54" t="e">
        <f t="shared" si="257"/>
        <v>#N/A</v>
      </c>
      <c r="CM195" s="54">
        <f t="shared" si="258"/>
        <v>0.16222929330418065</v>
      </c>
      <c r="CN195" s="69" t="str">
        <f t="shared" si="259"/>
        <v/>
      </c>
      <c r="CO195" s="54">
        <f>_xlfn.NORM.DIST(_xlfn.NORM.INV(1-Eu_g_konfidensniveau,0,1)-Eu_tabel_g[[#This Row],[x base]],0,1,TRUE)</f>
        <v>1.4116473590257601E-3</v>
      </c>
      <c r="CP195" s="54">
        <f>1-_xlfn.NORM.DIST(_xlfn.NORM.INV(Eu_g_konfidensniveau,0,1)-Eu_tabel_g[[#This Row],[x base]],0,1,TRUE)</f>
        <v>0.38080874120305852</v>
      </c>
      <c r="CQ195" s="54">
        <f>_xlfn.NORM.DIST(_xlfn.NORM.INV((1-Eu_g_konfidensniveau)/2,0,1)-Eu_tabel_g[[#This Row],[x base]],0,1,TRUE)+1-_xlfn.NORM.DIST(_xlfn.NORM.INV(1-(1-Eu_g_konfidensniveau)/2,0,1)-Eu_tabel_g[[#This Row],[x base]],0,1,TRUE)</f>
        <v>0.26861442693718096</v>
      </c>
      <c r="CR195" s="54" t="e" cm="1">
        <f t="array" ref="CR195">IF($CR$3,INDEX(Eu_tabel_g[[#This Row],[Styrke venstre]:[Styrke tosidet]],CR$7),NA())</f>
        <v>#N/A</v>
      </c>
      <c r="CS195" s="89" t="e">
        <f>Eu_tabel_g[[#This Row],[Falsk positiv
Nulhypotese accepteres
Fejltype 1]]</f>
        <v>#N/A</v>
      </c>
      <c r="CT195" s="89" t="e">
        <f>IF(CHOOSE(CR$7,Eu_tabel_g[[#This Row],[x base]]&gt;0,Eu_tabel_g[[#This Row],[x base]]&lt;0,Eu_tabel_g[[#This Row],[x base]]=0),Eu_tabel_g[[#This Row],[Styrke, aktiv]],NA())</f>
        <v>#N/A</v>
      </c>
      <c r="CU195" s="89" t="e">
        <f>IFERROR(IF($CR$3,Eu_tabel_g[[#This Row],[Styrke, aktiv]],NA()),NA())</f>
        <v>#N/A</v>
      </c>
      <c r="CV195" s="89" t="e">
        <f>IF(ISNA(Eu_tabel_g[[#This Row],[Sand negativ
Nulhypotese afvises
Korrekt]]),NA(),IF($CR$3,1,NA()))</f>
        <v>#N/A</v>
      </c>
      <c r="CW195" s="56" t="str" cm="1">
        <f t="array" ref="CW195">_xlfn.SWITCH(BZ195,_xlfn.IFNA(CU$2,-99),CU$5,_xlfn.IFNA(CU$3,-99),CU$6,_xlfn.IFNA(CU$4,-99),CU$7,"")</f>
        <v/>
      </c>
      <c r="DA195" s="7">
        <f t="shared" si="260"/>
        <v>0.8</v>
      </c>
      <c r="DB195">
        <f>IF(ROW(Styrkeberegning_G[[#This Row],[X base venstre]])=ROW(Styrkeberegning_G[[#Headers],[X base venstre]])+1,DB$7/(DA$7/$B$67),DB194/(DA194/$B$67))</f>
        <v>-2.8015817870135784</v>
      </c>
      <c r="DC195">
        <f>Styrkeberegning_G[[#This Row],[X base venstre]]*-1</f>
        <v>2.8015817870135784</v>
      </c>
      <c r="DN195" s="54">
        <f t="shared" si="261"/>
        <v>185</v>
      </c>
      <c r="DO195" s="54">
        <f t="shared" si="262"/>
        <v>186</v>
      </c>
      <c r="DP195" s="54">
        <f t="shared" si="263"/>
        <v>22.936961101798875</v>
      </c>
      <c r="DQ195" s="54" t="e">
        <f t="shared" si="264"/>
        <v>#N/A</v>
      </c>
      <c r="DR195" s="54" t="e">
        <f t="shared" si="265"/>
        <v>#N/A</v>
      </c>
      <c r="DS195" s="54">
        <f t="shared" si="266"/>
        <v>5.8504852610541331E-3</v>
      </c>
      <c r="DT195" s="54" t="e">
        <f t="shared" si="267"/>
        <v>#N/A</v>
      </c>
      <c r="DU195" s="54" t="b">
        <f t="shared" si="268"/>
        <v>0</v>
      </c>
      <c r="DV195" s="54" t="b">
        <f t="shared" si="269"/>
        <v>1</v>
      </c>
      <c r="DW195" s="54" t="b">
        <f t="shared" si="270"/>
        <v>1</v>
      </c>
      <c r="DX195" s="54" t="b">
        <f t="shared" si="271"/>
        <v>0</v>
      </c>
      <c r="DY195" s="54">
        <f t="shared" si="272"/>
        <v>5.8504852610541331E-3</v>
      </c>
      <c r="DZ195" s="54">
        <f t="shared" si="273"/>
        <v>5.8504852610541331E-3</v>
      </c>
      <c r="EA195" s="54" t="e">
        <f t="shared" si="274"/>
        <v>#N/A</v>
      </c>
      <c r="EB195" s="69" t="str">
        <f t="shared" si="275"/>
        <v/>
      </c>
      <c r="EG195" s="54">
        <f t="shared" si="276"/>
        <v>185</v>
      </c>
      <c r="EH195" s="54">
        <f t="shared" si="277"/>
        <v>186</v>
      </c>
      <c r="EI195" s="54">
        <f t="shared" si="278"/>
        <v>1.3414961949255622</v>
      </c>
      <c r="EJ195" s="54">
        <f t="shared" si="279"/>
        <v>0.16222929330418065</v>
      </c>
      <c r="EK195" s="54" t="e">
        <f t="shared" si="280"/>
        <v>#N/A</v>
      </c>
      <c r="EL195" s="54" t="e">
        <f t="shared" si="281"/>
        <v>#N/A</v>
      </c>
      <c r="EM195" s="54" t="e">
        <f t="shared" si="282"/>
        <v>#N/A</v>
      </c>
      <c r="EN195" s="54" t="b">
        <f t="shared" si="283"/>
        <v>0</v>
      </c>
      <c r="EO195" s="54" t="b">
        <f t="shared" si="284"/>
        <v>1</v>
      </c>
      <c r="EP195" s="54" t="b">
        <f t="shared" si="285"/>
        <v>0</v>
      </c>
      <c r="EQ195" s="54" t="b">
        <f t="shared" si="286"/>
        <v>1</v>
      </c>
      <c r="ER195" s="54">
        <f t="shared" si="287"/>
        <v>0.16222929330418065</v>
      </c>
      <c r="ES195" s="54" t="e">
        <f t="shared" si="288"/>
        <v>#N/A</v>
      </c>
      <c r="ET195" s="54">
        <f t="shared" si="289"/>
        <v>0.16222929330418065</v>
      </c>
      <c r="EU195" s="69" t="str">
        <f t="shared" si="290"/>
        <v/>
      </c>
      <c r="EV19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9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9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95" s="54" t="e" cm="1">
        <f t="array" ref="EY195">IF($CR$3,INDEX(Eu_tabel_a[[#This Row],[Styrke venstre]:[Styrke tosidet]],EY$7),NA())</f>
        <v>#N/A</v>
      </c>
      <c r="EZ195" s="54" t="e">
        <f>IF(EY$3,IF(CHOOSE(EY$7,Eu_tabel_a[[#This Row],[x base]]&gt;0,Eu_tabel_a[[#This Row],[x base]]&lt;0,Eu_tabel_a[[#This Row],[x base]]=0),1,NA()),NA())</f>
        <v>#N/A</v>
      </c>
      <c r="FA195" s="54" t="e">
        <f>IF(CHOOSE(EY$7,Eu_tabel_a[[#This Row],[x base]]&gt;0,Eu_tabel_a[[#This Row],[x base]]&lt;0,Eu_tabel_a[[#This Row],[x base]]=0),Eu_tabel_a[[#This Row],[Styrke, aktiv]],NA())</f>
        <v>#N/A</v>
      </c>
      <c r="FB195" s="54" t="e">
        <f>IFERROR(IF($EY$3,Eu_tabel_a[[#This Row],[Styrke, aktiv]],NA()),NA())</f>
        <v>#N/A</v>
      </c>
      <c r="FC195" s="54" t="e">
        <f>IF(ISNA(Eu_tabel_a[[#This Row],[Sand negativ
Nulhypotese afvises
Korrekt]]),NA(),IF(EY$3,1,NA()))</f>
        <v>#N/A</v>
      </c>
      <c r="FD195" s="55" t="str" cm="1">
        <f t="array" ref="FD195">IFERROR(_xlfn.SWITCH(Eu_tabel_a[[#This Row],[Indeks]],_xlfn.IFNA(FB$2,-99),FB$5,_xlfn.IFNA(FB$3,-99),FB$6,_xlfn.IFNA(FB$4,-99),FB$7,""),"")</f>
        <v/>
      </c>
      <c r="FE195" s="54">
        <f>Eu_tabel_a[[#This Row],[x base]]*SQRT(Eu_a_h0_x*(1-Eu_a_h0_x)/Eu_a_n_x)+Eu_a_h0_x</f>
        <v>0</v>
      </c>
      <c r="FJ195" s="144" t="e">
        <f t="shared" si="234"/>
        <v>#N/A</v>
      </c>
      <c r="FK195" s="152" t="e">
        <f t="shared" si="322"/>
        <v>#DIV/0!</v>
      </c>
      <c r="FL195" s="7" t="e">
        <f t="shared" si="228"/>
        <v>#DIV/0!</v>
      </c>
      <c r="FM195" t="e">
        <f t="shared" si="323"/>
        <v>#DIV/0!</v>
      </c>
      <c r="FN195" s="8" t="e">
        <f t="shared" si="324"/>
        <v>#DIV/0!</v>
      </c>
      <c r="FO195" s="8" t="e">
        <f t="shared" si="325"/>
        <v>#DIV/0!</v>
      </c>
      <c r="FP195" s="151" t="e">
        <f t="shared" si="326"/>
        <v>#DIV/0!</v>
      </c>
      <c r="FQ195" s="144" t="e">
        <f t="shared" ca="1" si="229"/>
        <v>#N/A</v>
      </c>
      <c r="FR195" s="152" t="e" vm="3">
        <f t="shared" ca="1" si="235"/>
        <v>#VALUE!</v>
      </c>
      <c r="FS195" s="7" t="e" vm="3">
        <f t="shared" ca="1" si="230"/>
        <v>#VALUE!</v>
      </c>
      <c r="FT195" t="e" vm="3">
        <f t="shared" ca="1" si="224"/>
        <v>#VALUE!</v>
      </c>
      <c r="FU195" s="8" t="e" vm="3">
        <f t="shared" ca="1" si="225"/>
        <v>#VALUE!</v>
      </c>
      <c r="FV195" s="8" t="e" vm="3">
        <f t="shared" ca="1" si="226"/>
        <v>#VALUE!</v>
      </c>
      <c r="FW195" s="151" t="e" vm="3">
        <f t="shared" ca="1" si="227"/>
        <v>#VALUE!</v>
      </c>
      <c r="FX195" s="144" t="e">
        <f t="shared" si="231"/>
        <v>#N/A</v>
      </c>
      <c r="FY195" s="152" t="e">
        <f t="shared" si="236"/>
        <v>#N/A</v>
      </c>
      <c r="FZ195" s="7" t="e">
        <f t="shared" si="232"/>
        <v>#N/A</v>
      </c>
      <c r="GA195" t="e">
        <f t="shared" si="237"/>
        <v>#N/A</v>
      </c>
      <c r="GB195" s="8" t="e">
        <f t="shared" si="238"/>
        <v>#N/A</v>
      </c>
      <c r="GC195" s="8" t="e">
        <f t="shared" si="239"/>
        <v>#N/A</v>
      </c>
      <c r="GD195" s="151" t="e">
        <f t="shared" si="240"/>
        <v>#N/A</v>
      </c>
      <c r="GE195" s="144" t="e">
        <f t="shared" si="241"/>
        <v>#N/A</v>
      </c>
      <c r="GF195" s="152" t="e">
        <f t="shared" si="242"/>
        <v>#N/A</v>
      </c>
      <c r="GG195" s="7" t="e">
        <f t="shared" si="233"/>
        <v>#N/A</v>
      </c>
      <c r="GH195" t="e">
        <f t="shared" si="243"/>
        <v>#N/A</v>
      </c>
      <c r="GI195" s="8" t="e">
        <f t="shared" si="244"/>
        <v>#N/A</v>
      </c>
      <c r="GJ195" s="8" t="e">
        <f t="shared" si="245"/>
        <v>#N/A</v>
      </c>
      <c r="GK195" s="151" t="e">
        <f t="shared" si="246"/>
        <v>#N/A</v>
      </c>
      <c r="GL195" s="151"/>
      <c r="GM195" s="151"/>
      <c r="GP195" s="54">
        <f t="shared" si="291"/>
        <v>185</v>
      </c>
      <c r="GQ195" s="54">
        <f t="shared" si="292"/>
        <v>186</v>
      </c>
      <c r="GR195" s="54">
        <f t="shared" si="293"/>
        <v>1.3414961949255622</v>
      </c>
      <c r="GS195" s="54">
        <f t="shared" si="294"/>
        <v>0.16222929330418065</v>
      </c>
      <c r="GT195" s="54" t="e">
        <f t="shared" si="295"/>
        <v>#N/A</v>
      </c>
      <c r="GU195" s="54" t="e">
        <f t="shared" si="296"/>
        <v>#N/A</v>
      </c>
      <c r="GV195" s="54" t="e">
        <f t="shared" si="297"/>
        <v>#N/A</v>
      </c>
      <c r="GW195" s="54" t="b">
        <f t="shared" si="298"/>
        <v>0</v>
      </c>
      <c r="GX195" s="54" t="b">
        <f t="shared" si="299"/>
        <v>1</v>
      </c>
      <c r="GY195" s="54" t="b">
        <f t="shared" si="300"/>
        <v>0</v>
      </c>
      <c r="GZ195" s="54" t="b">
        <f t="shared" si="301"/>
        <v>1</v>
      </c>
      <c r="HA195" s="54">
        <f t="shared" si="302"/>
        <v>0.16222929330418065</v>
      </c>
      <c r="HB195" s="54" t="e">
        <f t="shared" si="303"/>
        <v>#N/A</v>
      </c>
      <c r="HC195" s="54">
        <f t="shared" si="304"/>
        <v>0.16222929330418065</v>
      </c>
      <c r="HD195" s="69" t="str">
        <f t="shared" si="305"/>
        <v/>
      </c>
      <c r="HJ195" s="54">
        <f t="shared" si="306"/>
        <v>185</v>
      </c>
      <c r="HK195" s="54">
        <f t="shared" si="307"/>
        <v>186</v>
      </c>
      <c r="HL195" s="54">
        <f t="shared" si="308"/>
        <v>2.0773350325871833</v>
      </c>
      <c r="HM195" s="54" t="e">
        <f t="shared" si="309"/>
        <v>#N/A</v>
      </c>
      <c r="HN195" s="54">
        <f t="shared" si="310"/>
        <v>5.6386580151706368E-2</v>
      </c>
      <c r="HO195" s="54" t="e">
        <f t="shared" si="311"/>
        <v>#N/A</v>
      </c>
      <c r="HP195" s="54" t="e">
        <f t="shared" si="312"/>
        <v>#N/A</v>
      </c>
      <c r="HQ195" s="54" t="b">
        <f t="shared" si="313"/>
        <v>0</v>
      </c>
      <c r="HR195" s="54" t="b">
        <f t="shared" si="314"/>
        <v>1</v>
      </c>
      <c r="HS195" s="54" t="b">
        <f t="shared" si="315"/>
        <v>1</v>
      </c>
      <c r="HT195" s="54" t="b">
        <f t="shared" si="316"/>
        <v>0</v>
      </c>
      <c r="HU195" s="54">
        <f t="shared" si="317"/>
        <v>5.6386580151706368E-2</v>
      </c>
      <c r="HV195" s="54" t="e">
        <f t="shared" si="318"/>
        <v>#N/A</v>
      </c>
      <c r="HW195" s="54">
        <f t="shared" si="319"/>
        <v>5.6386580151706368E-2</v>
      </c>
      <c r="HX195" s="69" t="str">
        <f t="shared" si="320"/>
        <v/>
      </c>
    </row>
    <row r="196" spans="78:232" x14ac:dyDescent="0.2">
      <c r="BZ196" s="54">
        <f t="shared" si="247"/>
        <v>186</v>
      </c>
      <c r="CA196" s="54">
        <f>Eu_tabel_g[[#This Row],[Indeks]]+1</f>
        <v>187</v>
      </c>
      <c r="CB196" s="54">
        <f t="shared" si="248"/>
        <v>1.365451484120662</v>
      </c>
      <c r="CC196" s="54">
        <f t="shared" si="249"/>
        <v>0.1570537130277106</v>
      </c>
      <c r="CD196" s="54" t="e">
        <f t="shared" si="250"/>
        <v>#N/A</v>
      </c>
      <c r="CE196" s="54" t="e">
        <f t="shared" si="251"/>
        <v>#N/A</v>
      </c>
      <c r="CF196" s="54" t="e">
        <f t="shared" si="252"/>
        <v>#N/A</v>
      </c>
      <c r="CG196" s="54" t="b">
        <f t="shared" si="253"/>
        <v>0</v>
      </c>
      <c r="CH196" s="54" t="b">
        <f t="shared" si="254"/>
        <v>1</v>
      </c>
      <c r="CI196" s="54" t="b">
        <f t="shared" si="255"/>
        <v>0</v>
      </c>
      <c r="CJ196" s="54" t="b">
        <f t="shared" si="256"/>
        <v>1</v>
      </c>
      <c r="CK196" s="54">
        <f t="shared" si="327"/>
        <v>0.1570537130277106</v>
      </c>
      <c r="CL196" s="54" t="e">
        <f t="shared" si="257"/>
        <v>#N/A</v>
      </c>
      <c r="CM196" s="54">
        <f t="shared" si="258"/>
        <v>0.1570537130277106</v>
      </c>
      <c r="CN196" s="69" t="str">
        <f t="shared" si="259"/>
        <v/>
      </c>
      <c r="CO196" s="54">
        <f>_xlfn.NORM.DIST(_xlfn.NORM.INV(1-Eu_g_konfidensniveau,0,1)-Eu_tabel_g[[#This Row],[x base]],0,1,TRUE)</f>
        <v>1.3049268744640917E-3</v>
      </c>
      <c r="CP196" s="54">
        <f>1-_xlfn.NORM.DIST(_xlfn.NORM.INV(Eu_g_konfidensniveau,0,1)-Eu_tabel_g[[#This Row],[x base]],0,1,TRUE)</f>
        <v>0.3899681133994275</v>
      </c>
      <c r="CQ196" s="54">
        <f>_xlfn.NORM.DIST(_xlfn.NORM.INV((1-Eu_g_konfidensniveau)/2,0,1)-Eu_tabel_g[[#This Row],[x base]],0,1,TRUE)+1-_xlfn.NORM.DIST(_xlfn.NORM.INV(1-(1-Eu_g_konfidensniveau)/2,0,1)-Eu_tabel_g[[#This Row],[x base]],0,1,TRUE)</f>
        <v>0.27652612634393015</v>
      </c>
      <c r="CR196" s="54" t="e" cm="1">
        <f t="array" ref="CR196">IF($CR$3,INDEX(Eu_tabel_g[[#This Row],[Styrke venstre]:[Styrke tosidet]],CR$7),NA())</f>
        <v>#N/A</v>
      </c>
      <c r="CS196" s="89" t="e">
        <f>Eu_tabel_g[[#This Row],[Falsk positiv
Nulhypotese accepteres
Fejltype 1]]</f>
        <v>#N/A</v>
      </c>
      <c r="CT196" s="89" t="e">
        <f>IF(CHOOSE(CR$7,Eu_tabel_g[[#This Row],[x base]]&gt;0,Eu_tabel_g[[#This Row],[x base]]&lt;0,Eu_tabel_g[[#This Row],[x base]]=0),Eu_tabel_g[[#This Row],[Styrke, aktiv]],NA())</f>
        <v>#N/A</v>
      </c>
      <c r="CU196" s="89" t="e">
        <f>IFERROR(IF($CR$3,Eu_tabel_g[[#This Row],[Styrke, aktiv]],NA()),NA())</f>
        <v>#N/A</v>
      </c>
      <c r="CV196" s="89" t="e">
        <f>IF(ISNA(Eu_tabel_g[[#This Row],[Sand negativ
Nulhypotese afvises
Korrekt]]),NA(),IF($CR$3,1,NA()))</f>
        <v>#N/A</v>
      </c>
      <c r="CW196" s="56" t="str" cm="1">
        <f t="array" ref="CW196">_xlfn.SWITCH(BZ196,_xlfn.IFNA(CU$2,-99),CU$5,_xlfn.IFNA(CU$3,-99),CU$6,_xlfn.IFNA(CU$4,-99),CU$7,"")</f>
        <v/>
      </c>
      <c r="DA196" s="7">
        <f t="shared" si="260"/>
        <v>0.8</v>
      </c>
      <c r="DB196">
        <f>IF(ROW(Styrkeberegning_G[[#This Row],[X base venstre]])=ROW(Styrkeberegning_G[[#Headers],[X base venstre]])+1,DB$7/(DA$7/$B$67),DB195/(DA195/$B$67))</f>
        <v>-2.8015817870135784</v>
      </c>
      <c r="DC196">
        <f>Styrkeberegning_G[[#This Row],[X base venstre]]*-1</f>
        <v>2.8015817870135784</v>
      </c>
      <c r="DN196" s="54">
        <f t="shared" si="261"/>
        <v>186</v>
      </c>
      <c r="DO196" s="54">
        <f t="shared" si="262"/>
        <v>187</v>
      </c>
      <c r="DP196" s="54">
        <f t="shared" si="263"/>
        <v>23.051031958215876</v>
      </c>
      <c r="DQ196" s="54" t="e">
        <f t="shared" si="264"/>
        <v>#N/A</v>
      </c>
      <c r="DR196" s="54" t="e">
        <f t="shared" si="265"/>
        <v>#N/A</v>
      </c>
      <c r="DS196" s="54">
        <f t="shared" si="266"/>
        <v>5.6508911820412622E-3</v>
      </c>
      <c r="DT196" s="54" t="e">
        <f t="shared" si="267"/>
        <v>#N/A</v>
      </c>
      <c r="DU196" s="54" t="b">
        <f t="shared" si="268"/>
        <v>0</v>
      </c>
      <c r="DV196" s="54" t="b">
        <f t="shared" si="269"/>
        <v>1</v>
      </c>
      <c r="DW196" s="54" t="b">
        <f t="shared" si="270"/>
        <v>1</v>
      </c>
      <c r="DX196" s="54" t="b">
        <f t="shared" si="271"/>
        <v>0</v>
      </c>
      <c r="DY196" s="54">
        <f t="shared" si="272"/>
        <v>5.6508911820412622E-3</v>
      </c>
      <c r="DZ196" s="54">
        <f t="shared" si="273"/>
        <v>5.6508911820412622E-3</v>
      </c>
      <c r="EA196" s="54" t="e">
        <f t="shared" si="274"/>
        <v>#N/A</v>
      </c>
      <c r="EB196" s="69" t="str">
        <f t="shared" si="275"/>
        <v/>
      </c>
      <c r="EG196" s="54">
        <f t="shared" si="276"/>
        <v>186</v>
      </c>
      <c r="EH196" s="54">
        <f t="shared" si="277"/>
        <v>187</v>
      </c>
      <c r="EI196" s="54">
        <f t="shared" si="278"/>
        <v>1.365451484120662</v>
      </c>
      <c r="EJ196" s="54">
        <f t="shared" si="279"/>
        <v>0.1570537130277106</v>
      </c>
      <c r="EK196" s="54" t="e">
        <f t="shared" si="280"/>
        <v>#N/A</v>
      </c>
      <c r="EL196" s="54" t="e">
        <f t="shared" si="281"/>
        <v>#N/A</v>
      </c>
      <c r="EM196" s="54" t="e">
        <f t="shared" si="282"/>
        <v>#N/A</v>
      </c>
      <c r="EN196" s="54" t="b">
        <f t="shared" si="283"/>
        <v>0</v>
      </c>
      <c r="EO196" s="54" t="b">
        <f t="shared" si="284"/>
        <v>1</v>
      </c>
      <c r="EP196" s="54" t="b">
        <f t="shared" si="285"/>
        <v>0</v>
      </c>
      <c r="EQ196" s="54" t="b">
        <f t="shared" si="286"/>
        <v>1</v>
      </c>
      <c r="ER196" s="54">
        <f t="shared" si="287"/>
        <v>0.1570537130277106</v>
      </c>
      <c r="ES196" s="54" t="e">
        <f t="shared" si="288"/>
        <v>#N/A</v>
      </c>
      <c r="ET196" s="54">
        <f t="shared" si="289"/>
        <v>0.1570537130277106</v>
      </c>
      <c r="EU196" s="69" t="str">
        <f t="shared" si="290"/>
        <v/>
      </c>
      <c r="EV19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9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9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96" s="54" t="e" cm="1">
        <f t="array" ref="EY196">IF($CR$3,INDEX(Eu_tabel_a[[#This Row],[Styrke venstre]:[Styrke tosidet]],EY$7),NA())</f>
        <v>#N/A</v>
      </c>
      <c r="EZ196" s="54" t="e">
        <f>IF(EY$3,IF(CHOOSE(EY$7,Eu_tabel_a[[#This Row],[x base]]&gt;0,Eu_tabel_a[[#This Row],[x base]]&lt;0,Eu_tabel_a[[#This Row],[x base]]=0),1,NA()),NA())</f>
        <v>#N/A</v>
      </c>
      <c r="FA196" s="54" t="e">
        <f>IF(CHOOSE(EY$7,Eu_tabel_a[[#This Row],[x base]]&gt;0,Eu_tabel_a[[#This Row],[x base]]&lt;0,Eu_tabel_a[[#This Row],[x base]]=0),Eu_tabel_a[[#This Row],[Styrke, aktiv]],NA())</f>
        <v>#N/A</v>
      </c>
      <c r="FB196" s="54" t="e">
        <f>IFERROR(IF($EY$3,Eu_tabel_a[[#This Row],[Styrke, aktiv]],NA()),NA())</f>
        <v>#N/A</v>
      </c>
      <c r="FC196" s="54" t="e">
        <f>IF(ISNA(Eu_tabel_a[[#This Row],[Sand negativ
Nulhypotese afvises
Korrekt]]),NA(),IF(EY$3,1,NA()))</f>
        <v>#N/A</v>
      </c>
      <c r="FD196" s="55" t="str" cm="1">
        <f t="array" ref="FD196">IFERROR(_xlfn.SWITCH(Eu_tabel_a[[#This Row],[Indeks]],_xlfn.IFNA(FB$2,-99),FB$5,_xlfn.IFNA(FB$3,-99),FB$6,_xlfn.IFNA(FB$4,-99),FB$7,""),"")</f>
        <v/>
      </c>
      <c r="FE196" s="54">
        <f>Eu_tabel_a[[#This Row],[x base]]*SQRT(Eu_a_h0_x*(1-Eu_a_h0_x)/Eu_a_n_x)+Eu_a_h0_x</f>
        <v>0</v>
      </c>
      <c r="FJ196" s="144" t="e">
        <f t="shared" si="234"/>
        <v>#N/A</v>
      </c>
      <c r="FK196" s="152" t="e">
        <f t="shared" si="322"/>
        <v>#DIV/0!</v>
      </c>
      <c r="FL196" s="7" t="e">
        <f t="shared" si="228"/>
        <v>#DIV/0!</v>
      </c>
      <c r="FM196" t="e">
        <f t="shared" si="323"/>
        <v>#DIV/0!</v>
      </c>
      <c r="FN196" s="8" t="e">
        <f t="shared" si="324"/>
        <v>#DIV/0!</v>
      </c>
      <c r="FO196" s="8" t="e">
        <f t="shared" si="325"/>
        <v>#DIV/0!</v>
      </c>
      <c r="FP196" s="151" t="e">
        <f t="shared" si="326"/>
        <v>#DIV/0!</v>
      </c>
      <c r="FQ196" s="144" t="e">
        <f t="shared" ca="1" si="229"/>
        <v>#N/A</v>
      </c>
      <c r="FR196" s="152" t="e" vm="3">
        <f t="shared" ca="1" si="235"/>
        <v>#VALUE!</v>
      </c>
      <c r="FS196" s="7" t="e" vm="3">
        <f t="shared" ca="1" si="230"/>
        <v>#VALUE!</v>
      </c>
      <c r="FT196" t="e" vm="3">
        <f t="shared" ca="1" si="224"/>
        <v>#VALUE!</v>
      </c>
      <c r="FU196" s="8" t="e" vm="3">
        <f t="shared" ca="1" si="225"/>
        <v>#VALUE!</v>
      </c>
      <c r="FV196" s="8" t="e" vm="3">
        <f t="shared" ca="1" si="226"/>
        <v>#VALUE!</v>
      </c>
      <c r="FW196" s="151" t="e" vm="3">
        <f t="shared" ca="1" si="227"/>
        <v>#VALUE!</v>
      </c>
      <c r="FX196" s="144" t="e">
        <f t="shared" si="231"/>
        <v>#N/A</v>
      </c>
      <c r="FY196" s="152" t="e">
        <f t="shared" si="236"/>
        <v>#N/A</v>
      </c>
      <c r="FZ196" s="7" t="e">
        <f t="shared" si="232"/>
        <v>#N/A</v>
      </c>
      <c r="GA196" t="e">
        <f t="shared" si="237"/>
        <v>#N/A</v>
      </c>
      <c r="GB196" s="8" t="e">
        <f t="shared" si="238"/>
        <v>#N/A</v>
      </c>
      <c r="GC196" s="8" t="e">
        <f t="shared" si="239"/>
        <v>#N/A</v>
      </c>
      <c r="GD196" s="151" t="e">
        <f t="shared" si="240"/>
        <v>#N/A</v>
      </c>
      <c r="GE196" s="144" t="e">
        <f t="shared" si="241"/>
        <v>#N/A</v>
      </c>
      <c r="GF196" s="152" t="e">
        <f t="shared" si="242"/>
        <v>#N/A</v>
      </c>
      <c r="GG196" s="7" t="e">
        <f t="shared" si="233"/>
        <v>#N/A</v>
      </c>
      <c r="GH196" t="e">
        <f t="shared" si="243"/>
        <v>#N/A</v>
      </c>
      <c r="GI196" s="8" t="e">
        <f t="shared" si="244"/>
        <v>#N/A</v>
      </c>
      <c r="GJ196" s="8" t="e">
        <f t="shared" si="245"/>
        <v>#N/A</v>
      </c>
      <c r="GK196" s="151" t="e">
        <f t="shared" si="246"/>
        <v>#N/A</v>
      </c>
      <c r="GL196" s="151"/>
      <c r="GM196" s="151"/>
      <c r="GP196" s="54">
        <f t="shared" si="291"/>
        <v>186</v>
      </c>
      <c r="GQ196" s="54">
        <f t="shared" si="292"/>
        <v>187</v>
      </c>
      <c r="GR196" s="54">
        <f t="shared" si="293"/>
        <v>1.365451484120662</v>
      </c>
      <c r="GS196" s="54">
        <f t="shared" si="294"/>
        <v>0.1570537130277106</v>
      </c>
      <c r="GT196" s="54" t="e">
        <f t="shared" si="295"/>
        <v>#N/A</v>
      </c>
      <c r="GU196" s="54" t="e">
        <f t="shared" si="296"/>
        <v>#N/A</v>
      </c>
      <c r="GV196" s="54" t="e">
        <f t="shared" si="297"/>
        <v>#N/A</v>
      </c>
      <c r="GW196" s="54" t="b">
        <f t="shared" si="298"/>
        <v>0</v>
      </c>
      <c r="GX196" s="54" t="b">
        <f t="shared" si="299"/>
        <v>1</v>
      </c>
      <c r="GY196" s="54" t="b">
        <f t="shared" si="300"/>
        <v>0</v>
      </c>
      <c r="GZ196" s="54" t="b">
        <f t="shared" si="301"/>
        <v>1</v>
      </c>
      <c r="HA196" s="54">
        <f t="shared" si="302"/>
        <v>0.1570537130277106</v>
      </c>
      <c r="HB196" s="54" t="e">
        <f t="shared" si="303"/>
        <v>#N/A</v>
      </c>
      <c r="HC196" s="54">
        <f t="shared" si="304"/>
        <v>0.1570537130277106</v>
      </c>
      <c r="HD196" s="69" t="str">
        <f t="shared" si="305"/>
        <v/>
      </c>
      <c r="HJ196" s="54">
        <f t="shared" si="306"/>
        <v>186</v>
      </c>
      <c r="HK196" s="54">
        <f t="shared" si="307"/>
        <v>187</v>
      </c>
      <c r="HL196" s="54">
        <f t="shared" si="308"/>
        <v>2.1144303010262409</v>
      </c>
      <c r="HM196" s="54" t="e">
        <f t="shared" si="309"/>
        <v>#N/A</v>
      </c>
      <c r="HN196" s="54">
        <f t="shared" si="310"/>
        <v>5.3390755704805351E-2</v>
      </c>
      <c r="HO196" s="54" t="e">
        <f t="shared" si="311"/>
        <v>#N/A</v>
      </c>
      <c r="HP196" s="54" t="e">
        <f t="shared" si="312"/>
        <v>#N/A</v>
      </c>
      <c r="HQ196" s="54" t="b">
        <f t="shared" si="313"/>
        <v>0</v>
      </c>
      <c r="HR196" s="54" t="b">
        <f t="shared" si="314"/>
        <v>1</v>
      </c>
      <c r="HS196" s="54" t="b">
        <f t="shared" si="315"/>
        <v>1</v>
      </c>
      <c r="HT196" s="54" t="b">
        <f t="shared" si="316"/>
        <v>0</v>
      </c>
      <c r="HU196" s="54">
        <f t="shared" si="317"/>
        <v>5.3390755704805351E-2</v>
      </c>
      <c r="HV196" s="54" t="e">
        <f t="shared" si="318"/>
        <v>#N/A</v>
      </c>
      <c r="HW196" s="54">
        <f t="shared" si="319"/>
        <v>5.3390755704805351E-2</v>
      </c>
      <c r="HX196" s="69" t="str">
        <f t="shared" si="320"/>
        <v/>
      </c>
    </row>
    <row r="197" spans="78:232" x14ac:dyDescent="0.2">
      <c r="BZ197" s="54">
        <f t="shared" si="247"/>
        <v>187</v>
      </c>
      <c r="CA197" s="54">
        <f>Eu_tabel_g[[#This Row],[Indeks]]+1</f>
        <v>188</v>
      </c>
      <c r="CB197" s="54">
        <f t="shared" si="248"/>
        <v>1.3894067733157609</v>
      </c>
      <c r="CC197" s="54">
        <f t="shared" si="249"/>
        <v>0.15195602274069356</v>
      </c>
      <c r="CD197" s="54" t="e">
        <f t="shared" si="250"/>
        <v>#N/A</v>
      </c>
      <c r="CE197" s="54" t="e">
        <f t="shared" si="251"/>
        <v>#N/A</v>
      </c>
      <c r="CF197" s="54" t="e">
        <f t="shared" si="252"/>
        <v>#N/A</v>
      </c>
      <c r="CG197" s="54" t="b">
        <f t="shared" si="253"/>
        <v>0</v>
      </c>
      <c r="CH197" s="54" t="b">
        <f t="shared" si="254"/>
        <v>1</v>
      </c>
      <c r="CI197" s="54" t="b">
        <f t="shared" si="255"/>
        <v>0</v>
      </c>
      <c r="CJ197" s="54" t="b">
        <f t="shared" si="256"/>
        <v>1</v>
      </c>
      <c r="CK197" s="54">
        <f t="shared" si="327"/>
        <v>0.15195602274069356</v>
      </c>
      <c r="CL197" s="54" t="e">
        <f t="shared" si="257"/>
        <v>#N/A</v>
      </c>
      <c r="CM197" s="54">
        <f t="shared" si="258"/>
        <v>0.15195602274069356</v>
      </c>
      <c r="CN197" s="69" t="str">
        <f t="shared" si="259"/>
        <v/>
      </c>
      <c r="CO197" s="54">
        <f>_xlfn.NORM.DIST(_xlfn.NORM.INV(1-Eu_g_konfidensniveau,0,1)-Eu_tabel_g[[#This Row],[x base]],0,1,TRUE)</f>
        <v>1.2056310181406801E-3</v>
      </c>
      <c r="CP197" s="54">
        <f>1-_xlfn.NORM.DIST(_xlfn.NORM.INV(Eu_g_konfidensniveau,0,1)-Eu_tabel_g[[#This Row],[x base]],0,1,TRUE)</f>
        <v>0.39918899340115521</v>
      </c>
      <c r="CQ197" s="54">
        <f>_xlfn.NORM.DIST(_xlfn.NORM.INV((1-Eu_g_konfidensniveau)/2,0,1)-Eu_tabel_g[[#This Row],[x base]],0,1,TRUE)+1-_xlfn.NORM.DIST(_xlfn.NORM.INV(1-(1-Eu_g_konfidensniveau)/2,0,1)-Eu_tabel_g[[#This Row],[x base]],0,1,TRUE)</f>
        <v>0.28455489185244731</v>
      </c>
      <c r="CR197" s="54" t="e" cm="1">
        <f t="array" ref="CR197">IF($CR$3,INDEX(Eu_tabel_g[[#This Row],[Styrke venstre]:[Styrke tosidet]],CR$7),NA())</f>
        <v>#N/A</v>
      </c>
      <c r="CS197" s="89" t="e">
        <f>Eu_tabel_g[[#This Row],[Falsk positiv
Nulhypotese accepteres
Fejltype 1]]</f>
        <v>#N/A</v>
      </c>
      <c r="CT197" s="89" t="e">
        <f>IF(CHOOSE(CR$7,Eu_tabel_g[[#This Row],[x base]]&gt;0,Eu_tabel_g[[#This Row],[x base]]&lt;0,Eu_tabel_g[[#This Row],[x base]]=0),Eu_tabel_g[[#This Row],[Styrke, aktiv]],NA())</f>
        <v>#N/A</v>
      </c>
      <c r="CU197" s="89" t="e">
        <f>IFERROR(IF($CR$3,Eu_tabel_g[[#This Row],[Styrke, aktiv]],NA()),NA())</f>
        <v>#N/A</v>
      </c>
      <c r="CV197" s="89" t="e">
        <f>IF(ISNA(Eu_tabel_g[[#This Row],[Sand negativ
Nulhypotese afvises
Korrekt]]),NA(),IF($CR$3,1,NA()))</f>
        <v>#N/A</v>
      </c>
      <c r="CW197" s="56" t="str" cm="1">
        <f t="array" ref="CW197">_xlfn.SWITCH(BZ197,_xlfn.IFNA(CU$2,-99),CU$5,_xlfn.IFNA(CU$3,-99),CU$6,_xlfn.IFNA(CU$4,-99),CU$7,"")</f>
        <v/>
      </c>
      <c r="DA197" s="7">
        <f t="shared" si="260"/>
        <v>0.8</v>
      </c>
      <c r="DB197">
        <f>IF(ROW(Styrkeberegning_G[[#This Row],[X base venstre]])=ROW(Styrkeberegning_G[[#Headers],[X base venstre]])+1,DB$7/(DA$7/$B$67),DB196/(DA196/$B$67))</f>
        <v>-2.8015817870135784</v>
      </c>
      <c r="DC197">
        <f>Styrkeberegning_G[[#This Row],[X base venstre]]*-1</f>
        <v>2.8015817870135784</v>
      </c>
      <c r="DN197" s="54">
        <f t="shared" si="261"/>
        <v>187</v>
      </c>
      <c r="DO197" s="54">
        <f t="shared" si="262"/>
        <v>188</v>
      </c>
      <c r="DP197" s="54">
        <f t="shared" si="263"/>
        <v>23.165102814632878</v>
      </c>
      <c r="DQ197" s="54" t="e">
        <f t="shared" si="264"/>
        <v>#N/A</v>
      </c>
      <c r="DR197" s="54" t="e">
        <f t="shared" si="265"/>
        <v>#N/A</v>
      </c>
      <c r="DS197" s="54">
        <f t="shared" si="266"/>
        <v>5.4575049609478614E-3</v>
      </c>
      <c r="DT197" s="54" t="e">
        <f t="shared" si="267"/>
        <v>#N/A</v>
      </c>
      <c r="DU197" s="54" t="b">
        <f t="shared" si="268"/>
        <v>0</v>
      </c>
      <c r="DV197" s="54" t="b">
        <f t="shared" si="269"/>
        <v>1</v>
      </c>
      <c r="DW197" s="54" t="b">
        <f t="shared" si="270"/>
        <v>1</v>
      </c>
      <c r="DX197" s="54" t="b">
        <f t="shared" si="271"/>
        <v>0</v>
      </c>
      <c r="DY197" s="54">
        <f t="shared" si="272"/>
        <v>5.4575049609478614E-3</v>
      </c>
      <c r="DZ197" s="54">
        <f t="shared" si="273"/>
        <v>5.4575049609478614E-3</v>
      </c>
      <c r="EA197" s="54" t="e">
        <f t="shared" si="274"/>
        <v>#N/A</v>
      </c>
      <c r="EB197" s="69" t="str">
        <f t="shared" si="275"/>
        <v/>
      </c>
      <c r="EG197" s="54">
        <f t="shared" si="276"/>
        <v>187</v>
      </c>
      <c r="EH197" s="54">
        <f t="shared" si="277"/>
        <v>188</v>
      </c>
      <c r="EI197" s="54">
        <f t="shared" si="278"/>
        <v>1.3894067733157609</v>
      </c>
      <c r="EJ197" s="54">
        <f t="shared" si="279"/>
        <v>0.15195602274069356</v>
      </c>
      <c r="EK197" s="54" t="e">
        <f t="shared" si="280"/>
        <v>#N/A</v>
      </c>
      <c r="EL197" s="54" t="e">
        <f t="shared" si="281"/>
        <v>#N/A</v>
      </c>
      <c r="EM197" s="54" t="e">
        <f t="shared" si="282"/>
        <v>#N/A</v>
      </c>
      <c r="EN197" s="54" t="b">
        <f t="shared" si="283"/>
        <v>0</v>
      </c>
      <c r="EO197" s="54" t="b">
        <f t="shared" si="284"/>
        <v>1</v>
      </c>
      <c r="EP197" s="54" t="b">
        <f t="shared" si="285"/>
        <v>0</v>
      </c>
      <c r="EQ197" s="54" t="b">
        <f t="shared" si="286"/>
        <v>1</v>
      </c>
      <c r="ER197" s="54">
        <f t="shared" si="287"/>
        <v>0.15195602274069356</v>
      </c>
      <c r="ES197" s="54" t="e">
        <f t="shared" si="288"/>
        <v>#N/A</v>
      </c>
      <c r="ET197" s="54">
        <f t="shared" si="289"/>
        <v>0.15195602274069356</v>
      </c>
      <c r="EU197" s="69" t="str">
        <f t="shared" si="290"/>
        <v/>
      </c>
      <c r="EV19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9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9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97" s="54" t="e" cm="1">
        <f t="array" ref="EY197">IF($CR$3,INDEX(Eu_tabel_a[[#This Row],[Styrke venstre]:[Styrke tosidet]],EY$7),NA())</f>
        <v>#N/A</v>
      </c>
      <c r="EZ197" s="54" t="e">
        <f>IF(EY$3,IF(CHOOSE(EY$7,Eu_tabel_a[[#This Row],[x base]]&gt;0,Eu_tabel_a[[#This Row],[x base]]&lt;0,Eu_tabel_a[[#This Row],[x base]]=0),1,NA()),NA())</f>
        <v>#N/A</v>
      </c>
      <c r="FA197" s="54" t="e">
        <f>IF(CHOOSE(EY$7,Eu_tabel_a[[#This Row],[x base]]&gt;0,Eu_tabel_a[[#This Row],[x base]]&lt;0,Eu_tabel_a[[#This Row],[x base]]=0),Eu_tabel_a[[#This Row],[Styrke, aktiv]],NA())</f>
        <v>#N/A</v>
      </c>
      <c r="FB197" s="54" t="e">
        <f>IFERROR(IF($EY$3,Eu_tabel_a[[#This Row],[Styrke, aktiv]],NA()),NA())</f>
        <v>#N/A</v>
      </c>
      <c r="FC197" s="54" t="e">
        <f>IF(ISNA(Eu_tabel_a[[#This Row],[Sand negativ
Nulhypotese afvises
Korrekt]]),NA(),IF(EY$3,1,NA()))</f>
        <v>#N/A</v>
      </c>
      <c r="FD197" s="55" t="str" cm="1">
        <f t="array" ref="FD197">IFERROR(_xlfn.SWITCH(Eu_tabel_a[[#This Row],[Indeks]],_xlfn.IFNA(FB$2,-99),FB$5,_xlfn.IFNA(FB$3,-99),FB$6,_xlfn.IFNA(FB$4,-99),FB$7,""),"")</f>
        <v/>
      </c>
      <c r="FE197" s="54">
        <f>Eu_tabel_a[[#This Row],[x base]]*SQRT(Eu_a_h0_x*(1-Eu_a_h0_x)/Eu_a_n_x)+Eu_a_h0_x</f>
        <v>0</v>
      </c>
      <c r="FJ197" s="144" t="e">
        <f t="shared" si="234"/>
        <v>#N/A</v>
      </c>
      <c r="FK197" s="152" t="e">
        <f t="shared" si="322"/>
        <v>#DIV/0!</v>
      </c>
      <c r="FL197" s="7" t="e">
        <f t="shared" si="228"/>
        <v>#DIV/0!</v>
      </c>
      <c r="FM197" t="e">
        <f t="shared" si="323"/>
        <v>#DIV/0!</v>
      </c>
      <c r="FN197" s="8" t="e">
        <f t="shared" si="324"/>
        <v>#DIV/0!</v>
      </c>
      <c r="FO197" s="8" t="e">
        <f t="shared" si="325"/>
        <v>#DIV/0!</v>
      </c>
      <c r="FP197" s="151" t="e">
        <f t="shared" si="326"/>
        <v>#DIV/0!</v>
      </c>
      <c r="FQ197" s="144" t="e">
        <f t="shared" ca="1" si="229"/>
        <v>#N/A</v>
      </c>
      <c r="FR197" s="152" t="e" vm="3">
        <f t="shared" ca="1" si="235"/>
        <v>#VALUE!</v>
      </c>
      <c r="FS197" s="7" t="e" vm="3">
        <f t="shared" ca="1" si="230"/>
        <v>#VALUE!</v>
      </c>
      <c r="FT197" t="e" vm="3">
        <f t="shared" ref="FT197:FT260" ca="1" si="328">FR197-FR196</f>
        <v>#VALUE!</v>
      </c>
      <c r="FU197" s="8" t="e" vm="3">
        <f t="shared" ref="FU197:FU260" ca="1" si="329">FS197-FS196</f>
        <v>#VALUE!</v>
      </c>
      <c r="FV197" s="8" t="e" vm="3">
        <f t="shared" ref="FV197:FV260" ca="1" si="330">$P$67-FS196</f>
        <v>#VALUE!</v>
      </c>
      <c r="FW197" s="151" t="e" vm="3">
        <f t="shared" ref="FW197:FW260" ca="1" si="331">FT197/(FU197/FV197)</f>
        <v>#VALUE!</v>
      </c>
      <c r="FX197" s="144" t="e">
        <f t="shared" si="231"/>
        <v>#N/A</v>
      </c>
      <c r="FY197" s="152" t="e">
        <f t="shared" si="236"/>
        <v>#N/A</v>
      </c>
      <c r="FZ197" s="7" t="e">
        <f t="shared" si="232"/>
        <v>#N/A</v>
      </c>
      <c r="GA197" t="e">
        <f t="shared" si="237"/>
        <v>#N/A</v>
      </c>
      <c r="GB197" s="8" t="e">
        <f t="shared" si="238"/>
        <v>#N/A</v>
      </c>
      <c r="GC197" s="8" t="e">
        <f t="shared" si="239"/>
        <v>#N/A</v>
      </c>
      <c r="GD197" s="151" t="e">
        <f t="shared" si="240"/>
        <v>#N/A</v>
      </c>
      <c r="GE197" s="144" t="e">
        <f t="shared" si="241"/>
        <v>#N/A</v>
      </c>
      <c r="GF197" s="152" t="e">
        <f t="shared" si="242"/>
        <v>#N/A</v>
      </c>
      <c r="GG197" s="7" t="e">
        <f t="shared" si="233"/>
        <v>#N/A</v>
      </c>
      <c r="GH197" t="e">
        <f t="shared" si="243"/>
        <v>#N/A</v>
      </c>
      <c r="GI197" s="8" t="e">
        <f t="shared" si="244"/>
        <v>#N/A</v>
      </c>
      <c r="GJ197" s="8" t="e">
        <f t="shared" si="245"/>
        <v>#N/A</v>
      </c>
      <c r="GK197" s="151" t="e">
        <f t="shared" si="246"/>
        <v>#N/A</v>
      </c>
      <c r="GL197" s="151"/>
      <c r="GM197" s="151"/>
      <c r="GP197" s="54">
        <f t="shared" si="291"/>
        <v>187</v>
      </c>
      <c r="GQ197" s="54">
        <f t="shared" si="292"/>
        <v>188</v>
      </c>
      <c r="GR197" s="54">
        <f t="shared" si="293"/>
        <v>1.3894067733157609</v>
      </c>
      <c r="GS197" s="54">
        <f t="shared" si="294"/>
        <v>0.15195602274069356</v>
      </c>
      <c r="GT197" s="54" t="e">
        <f t="shared" si="295"/>
        <v>#N/A</v>
      </c>
      <c r="GU197" s="54" t="e">
        <f t="shared" si="296"/>
        <v>#N/A</v>
      </c>
      <c r="GV197" s="54" t="e">
        <f t="shared" si="297"/>
        <v>#N/A</v>
      </c>
      <c r="GW197" s="54" t="b">
        <f t="shared" si="298"/>
        <v>0</v>
      </c>
      <c r="GX197" s="54" t="b">
        <f t="shared" si="299"/>
        <v>1</v>
      </c>
      <c r="GY197" s="54" t="b">
        <f t="shared" si="300"/>
        <v>0</v>
      </c>
      <c r="GZ197" s="54" t="b">
        <f t="shared" si="301"/>
        <v>1</v>
      </c>
      <c r="HA197" s="54">
        <f t="shared" si="302"/>
        <v>0.15195602274069356</v>
      </c>
      <c r="HB197" s="54" t="e">
        <f t="shared" si="303"/>
        <v>#N/A</v>
      </c>
      <c r="HC197" s="54">
        <f t="shared" si="304"/>
        <v>0.15195602274069356</v>
      </c>
      <c r="HD197" s="69" t="str">
        <f t="shared" si="305"/>
        <v/>
      </c>
      <c r="HJ197" s="54">
        <f t="shared" si="306"/>
        <v>187</v>
      </c>
      <c r="HK197" s="54">
        <f t="shared" si="307"/>
        <v>188</v>
      </c>
      <c r="HL197" s="54">
        <f t="shared" si="308"/>
        <v>2.1515255694652975</v>
      </c>
      <c r="HM197" s="54" t="e">
        <f t="shared" si="309"/>
        <v>#N/A</v>
      </c>
      <c r="HN197" s="54">
        <f t="shared" si="310"/>
        <v>5.0543400876907167E-2</v>
      </c>
      <c r="HO197" s="54" t="e">
        <f t="shared" si="311"/>
        <v>#N/A</v>
      </c>
      <c r="HP197" s="54" t="e">
        <f t="shared" si="312"/>
        <v>#N/A</v>
      </c>
      <c r="HQ197" s="54" t="b">
        <f t="shared" si="313"/>
        <v>0</v>
      </c>
      <c r="HR197" s="54" t="b">
        <f t="shared" si="314"/>
        <v>1</v>
      </c>
      <c r="HS197" s="54" t="b">
        <f t="shared" si="315"/>
        <v>1</v>
      </c>
      <c r="HT197" s="54" t="b">
        <f t="shared" si="316"/>
        <v>0</v>
      </c>
      <c r="HU197" s="54">
        <f t="shared" si="317"/>
        <v>5.0543400876907167E-2</v>
      </c>
      <c r="HV197" s="54" t="e">
        <f t="shared" si="318"/>
        <v>#N/A</v>
      </c>
      <c r="HW197" s="54">
        <f t="shared" si="319"/>
        <v>5.0543400876907167E-2</v>
      </c>
      <c r="HX197" s="69" t="str">
        <f t="shared" si="320"/>
        <v/>
      </c>
    </row>
    <row r="198" spans="78:232" x14ac:dyDescent="0.2">
      <c r="BZ198" s="54">
        <f t="shared" si="247"/>
        <v>188</v>
      </c>
      <c r="CA198" s="54">
        <f>Eu_tabel_g[[#This Row],[Indeks]]+1</f>
        <v>189</v>
      </c>
      <c r="CB198" s="54">
        <f t="shared" si="248"/>
        <v>1.4133620625108598</v>
      </c>
      <c r="CC198" s="54">
        <f t="shared" si="249"/>
        <v>0.14693944834608277</v>
      </c>
      <c r="CD198" s="54" t="e">
        <f t="shared" si="250"/>
        <v>#N/A</v>
      </c>
      <c r="CE198" s="54" t="e">
        <f t="shared" si="251"/>
        <v>#N/A</v>
      </c>
      <c r="CF198" s="54" t="e">
        <f t="shared" si="252"/>
        <v>#N/A</v>
      </c>
      <c r="CG198" s="54" t="b">
        <f t="shared" si="253"/>
        <v>0</v>
      </c>
      <c r="CH198" s="54" t="b">
        <f t="shared" si="254"/>
        <v>1</v>
      </c>
      <c r="CI198" s="54" t="b">
        <f t="shared" si="255"/>
        <v>0</v>
      </c>
      <c r="CJ198" s="54" t="b">
        <f t="shared" si="256"/>
        <v>1</v>
      </c>
      <c r="CK198" s="54">
        <f t="shared" si="327"/>
        <v>0.14693944834608277</v>
      </c>
      <c r="CL198" s="54" t="e">
        <f t="shared" si="257"/>
        <v>#N/A</v>
      </c>
      <c r="CM198" s="54">
        <f t="shared" si="258"/>
        <v>0.14693944834608277</v>
      </c>
      <c r="CN198" s="69" t="str">
        <f t="shared" si="259"/>
        <v/>
      </c>
      <c r="CO198" s="54">
        <f>_xlfn.NORM.DIST(_xlfn.NORM.INV(1-Eu_g_konfidensniveau,0,1)-Eu_tabel_g[[#This Row],[x base]],0,1,TRUE)</f>
        <v>1.1132962523361838E-3</v>
      </c>
      <c r="CP198" s="54">
        <f>1-_xlfn.NORM.DIST(_xlfn.NORM.INV(Eu_g_konfidensniveau,0,1)-Eu_tabel_g[[#This Row],[x base]],0,1,TRUE)</f>
        <v>0.40846646904366368</v>
      </c>
      <c r="CQ198" s="54">
        <f>_xlfn.NORM.DIST(_xlfn.NORM.INV((1-Eu_g_konfidensniveau)/2,0,1)-Eu_tabel_g[[#This Row],[x base]],0,1,TRUE)+1-_xlfn.NORM.DIST(_xlfn.NORM.INV(1-(1-Eu_g_konfidensniveau)/2,0,1)-Eu_tabel_g[[#This Row],[x base]],0,1,TRUE)</f>
        <v>0.29269745394311308</v>
      </c>
      <c r="CR198" s="54" t="e" cm="1">
        <f t="array" ref="CR198">IF($CR$3,INDEX(Eu_tabel_g[[#This Row],[Styrke venstre]:[Styrke tosidet]],CR$7),NA())</f>
        <v>#N/A</v>
      </c>
      <c r="CS198" s="89" t="e">
        <f>Eu_tabel_g[[#This Row],[Falsk positiv
Nulhypotese accepteres
Fejltype 1]]</f>
        <v>#N/A</v>
      </c>
      <c r="CT198" s="89" t="e">
        <f>IF(CHOOSE(CR$7,Eu_tabel_g[[#This Row],[x base]]&gt;0,Eu_tabel_g[[#This Row],[x base]]&lt;0,Eu_tabel_g[[#This Row],[x base]]=0),Eu_tabel_g[[#This Row],[Styrke, aktiv]],NA())</f>
        <v>#N/A</v>
      </c>
      <c r="CU198" s="89" t="e">
        <f>IFERROR(IF($CR$3,Eu_tabel_g[[#This Row],[Styrke, aktiv]],NA()),NA())</f>
        <v>#N/A</v>
      </c>
      <c r="CV198" s="89" t="e">
        <f>IF(ISNA(Eu_tabel_g[[#This Row],[Sand negativ
Nulhypotese afvises
Korrekt]]),NA(),IF($CR$3,1,NA()))</f>
        <v>#N/A</v>
      </c>
      <c r="CW198" s="56" t="str" cm="1">
        <f t="array" ref="CW198">_xlfn.SWITCH(BZ198,_xlfn.IFNA(CU$2,-99),CU$5,_xlfn.IFNA(CU$3,-99),CU$6,_xlfn.IFNA(CU$4,-99),CU$7,"")</f>
        <v/>
      </c>
      <c r="DA198" s="7">
        <f t="shared" si="260"/>
        <v>0.8</v>
      </c>
      <c r="DB198">
        <f>IF(ROW(Styrkeberegning_G[[#This Row],[X base venstre]])=ROW(Styrkeberegning_G[[#Headers],[X base venstre]])+1,DB$7/(DA$7/$B$67),DB197/(DA197/$B$67))</f>
        <v>-2.8015817870135784</v>
      </c>
      <c r="DC198">
        <f>Styrkeberegning_G[[#This Row],[X base venstre]]*-1</f>
        <v>2.8015817870135784</v>
      </c>
      <c r="DN198" s="54">
        <f t="shared" si="261"/>
        <v>188</v>
      </c>
      <c r="DO198" s="54">
        <f t="shared" si="262"/>
        <v>189</v>
      </c>
      <c r="DP198" s="54">
        <f t="shared" si="263"/>
        <v>23.279173671049879</v>
      </c>
      <c r="DQ198" s="54" t="e">
        <f t="shared" si="264"/>
        <v>#N/A</v>
      </c>
      <c r="DR198" s="54" t="e">
        <f t="shared" si="265"/>
        <v>#N/A</v>
      </c>
      <c r="DS198" s="54">
        <f t="shared" si="266"/>
        <v>5.2701617478520162E-3</v>
      </c>
      <c r="DT198" s="54" t="e">
        <f t="shared" si="267"/>
        <v>#N/A</v>
      </c>
      <c r="DU198" s="54" t="b">
        <f t="shared" si="268"/>
        <v>0</v>
      </c>
      <c r="DV198" s="54" t="b">
        <f t="shared" si="269"/>
        <v>1</v>
      </c>
      <c r="DW198" s="54" t="b">
        <f t="shared" si="270"/>
        <v>1</v>
      </c>
      <c r="DX198" s="54" t="b">
        <f t="shared" si="271"/>
        <v>0</v>
      </c>
      <c r="DY198" s="54">
        <f t="shared" si="272"/>
        <v>5.2701617478520162E-3</v>
      </c>
      <c r="DZ198" s="54">
        <f t="shared" si="273"/>
        <v>5.2701617478520162E-3</v>
      </c>
      <c r="EA198" s="54" t="e">
        <f t="shared" si="274"/>
        <v>#N/A</v>
      </c>
      <c r="EB198" s="69" t="str">
        <f t="shared" si="275"/>
        <v/>
      </c>
      <c r="EG198" s="54">
        <f t="shared" si="276"/>
        <v>188</v>
      </c>
      <c r="EH198" s="54">
        <f t="shared" si="277"/>
        <v>189</v>
      </c>
      <c r="EI198" s="54">
        <f t="shared" si="278"/>
        <v>1.4133620625108598</v>
      </c>
      <c r="EJ198" s="54">
        <f t="shared" si="279"/>
        <v>0.14693944834608277</v>
      </c>
      <c r="EK198" s="54" t="e">
        <f t="shared" si="280"/>
        <v>#N/A</v>
      </c>
      <c r="EL198" s="54" t="e">
        <f t="shared" si="281"/>
        <v>#N/A</v>
      </c>
      <c r="EM198" s="54" t="e">
        <f t="shared" si="282"/>
        <v>#N/A</v>
      </c>
      <c r="EN198" s="54" t="b">
        <f t="shared" si="283"/>
        <v>0</v>
      </c>
      <c r="EO198" s="54" t="b">
        <f t="shared" si="284"/>
        <v>1</v>
      </c>
      <c r="EP198" s="54" t="b">
        <f t="shared" si="285"/>
        <v>0</v>
      </c>
      <c r="EQ198" s="54" t="b">
        <f t="shared" si="286"/>
        <v>1</v>
      </c>
      <c r="ER198" s="54">
        <f t="shared" si="287"/>
        <v>0.14693944834608277</v>
      </c>
      <c r="ES198" s="54" t="e">
        <f t="shared" si="288"/>
        <v>#N/A</v>
      </c>
      <c r="ET198" s="54">
        <f t="shared" si="289"/>
        <v>0.14693944834608277</v>
      </c>
      <c r="EU198" s="69" t="str">
        <f t="shared" si="290"/>
        <v/>
      </c>
      <c r="EV19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9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9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98" s="54" t="e" cm="1">
        <f t="array" ref="EY198">IF($CR$3,INDEX(Eu_tabel_a[[#This Row],[Styrke venstre]:[Styrke tosidet]],EY$7),NA())</f>
        <v>#N/A</v>
      </c>
      <c r="EZ198" s="54" t="e">
        <f>IF(EY$3,IF(CHOOSE(EY$7,Eu_tabel_a[[#This Row],[x base]]&gt;0,Eu_tabel_a[[#This Row],[x base]]&lt;0,Eu_tabel_a[[#This Row],[x base]]=0),1,NA()),NA())</f>
        <v>#N/A</v>
      </c>
      <c r="FA198" s="54" t="e">
        <f>IF(CHOOSE(EY$7,Eu_tabel_a[[#This Row],[x base]]&gt;0,Eu_tabel_a[[#This Row],[x base]]&lt;0,Eu_tabel_a[[#This Row],[x base]]=0),Eu_tabel_a[[#This Row],[Styrke, aktiv]],NA())</f>
        <v>#N/A</v>
      </c>
      <c r="FB198" s="54" t="e">
        <f>IFERROR(IF($EY$3,Eu_tabel_a[[#This Row],[Styrke, aktiv]],NA()),NA())</f>
        <v>#N/A</v>
      </c>
      <c r="FC198" s="54" t="e">
        <f>IF(ISNA(Eu_tabel_a[[#This Row],[Sand negativ
Nulhypotese afvises
Korrekt]]),NA(),IF(EY$3,1,NA()))</f>
        <v>#N/A</v>
      </c>
      <c r="FD198" s="55" t="str" cm="1">
        <f t="array" ref="FD198">IFERROR(_xlfn.SWITCH(Eu_tabel_a[[#This Row],[Indeks]],_xlfn.IFNA(FB$2,-99),FB$5,_xlfn.IFNA(FB$3,-99),FB$6,_xlfn.IFNA(FB$4,-99),FB$7,""),"")</f>
        <v/>
      </c>
      <c r="FE198" s="54">
        <f>Eu_tabel_a[[#This Row],[x base]]*SQRT(Eu_a_h0_x*(1-Eu_a_h0_x)/Eu_a_n_x)+Eu_a_h0_x</f>
        <v>0</v>
      </c>
      <c r="FJ198" s="144" t="e">
        <f t="shared" si="234"/>
        <v>#N/A</v>
      </c>
      <c r="FK198" s="152" t="e">
        <f t="shared" si="322"/>
        <v>#DIV/0!</v>
      </c>
      <c r="FL198" s="7" t="e">
        <f t="shared" ref="FL198:FL261" si="332">_xlfn.NORM.DIST(-(SQRT(Eu_a_n_x)*(FK198-Eu_a_h0_x)/SQRT(FK198*(1-FK198)))-(_xlfn.NORM.INV(Eu_a_konfidensniveau,0,1)*SQRT((Eu_a_h0_x*(1-Eu_a_h0_x))/(FK198*(1-FK198)))),0,1,TRUE)</f>
        <v>#DIV/0!</v>
      </c>
      <c r="FM198" t="e">
        <f t="shared" si="323"/>
        <v>#DIV/0!</v>
      </c>
      <c r="FN198" s="8" t="e">
        <f t="shared" si="324"/>
        <v>#DIV/0!</v>
      </c>
      <c r="FO198" s="8" t="e">
        <f t="shared" si="325"/>
        <v>#DIV/0!</v>
      </c>
      <c r="FP198" s="151" t="e">
        <f t="shared" si="326"/>
        <v>#DIV/0!</v>
      </c>
      <c r="FQ198" s="144" t="e">
        <f t="shared" ref="FQ198:FQ261" ca="1" si="333">IF(ISERROR(FR198),NA(),ROW(FQ198)-ROW(FQ$5))</f>
        <v>#N/A</v>
      </c>
      <c r="FR198" s="152" t="e" vm="3">
        <f t="shared" ca="1" si="235"/>
        <v>#VALUE!</v>
      </c>
      <c r="FS198" s="7" t="e" vm="3">
        <f t="shared" ref="FS198:FS261" ca="1" si="334">_xlfn.NORM.DIST((SQRT(Eu_a_n_x)*(FR198-Eu_a_h0_x)/SQRT(FR198*(1-FR198)))-(_xlfn.NORM.INV(Eu_a_konfidensniveau,0,1)*SQRT((Eu_a_h0_x*(1-Eu_a_h0_x))/(FR198*(1-FR198)))),0,1,TRUE)</f>
        <v>#VALUE!</v>
      </c>
      <c r="FT198" t="e" vm="3">
        <f t="shared" ca="1" si="328"/>
        <v>#VALUE!</v>
      </c>
      <c r="FU198" s="8" t="e" vm="3">
        <f t="shared" ca="1" si="329"/>
        <v>#VALUE!</v>
      </c>
      <c r="FV198" s="8" t="e" vm="3">
        <f t="shared" ca="1" si="330"/>
        <v>#VALUE!</v>
      </c>
      <c r="FW198" s="151" t="e" vm="3">
        <f t="shared" ca="1" si="331"/>
        <v>#VALUE!</v>
      </c>
      <c r="FX198" s="144" t="e">
        <f t="shared" ref="FX198:FX261" si="335">IF(ISERROR(FY198),NA(),ROW(FX198)-ROW(FX$5))</f>
        <v>#N/A</v>
      </c>
      <c r="FY198" s="152" t="e">
        <f t="shared" si="236"/>
        <v>#N/A</v>
      </c>
      <c r="FZ198" s="7" t="e">
        <f t="shared" ref="FZ198:FZ261" si="336">_xlfn.NORM.DIST(-(SQRT(Eu_a_n_x)*(FY198-Eu_a_h0_x)/SQRT(FY198*(1-FY198)))-(_xlfn.NORM.INV(1-(1-Eu_a_konfidensniveau)/2,0,1)*SQRT((Eu_a_h0_x*(1-Eu_a_h0_x))/(FY198*(1-FY198)))),0,1,TRUE)+_xlfn.NORM.DIST((SQRT(Eu_a_n_x)*(FY198-Eu_a_h0_x)/SQRT(FY198*(1-FY198)))-(_xlfn.NORM.INV(1-(1-Eu_a_konfidensniveau)/2,0,1)*SQRT((Eu_a_h0_x*(1-Eu_a_h0_x))/(FY198*(1-FY198)))),0,1,TRUE)</f>
        <v>#N/A</v>
      </c>
      <c r="GA198" t="e">
        <f t="shared" si="237"/>
        <v>#N/A</v>
      </c>
      <c r="GB198" s="8" t="e">
        <f t="shared" si="238"/>
        <v>#N/A</v>
      </c>
      <c r="GC198" s="8" t="e">
        <f t="shared" si="239"/>
        <v>#N/A</v>
      </c>
      <c r="GD198" s="151" t="e">
        <f t="shared" si="240"/>
        <v>#N/A</v>
      </c>
      <c r="GE198" s="144" t="e">
        <f t="shared" si="241"/>
        <v>#N/A</v>
      </c>
      <c r="GF198" s="152" t="e">
        <f t="shared" si="242"/>
        <v>#N/A</v>
      </c>
      <c r="GG198" s="7" t="e">
        <f t="shared" ref="GG198:GG261" si="337">_xlfn.NORM.DIST(-(SQRT(Eu_a_n_x)*(GF198-Eu_a_h0_x)/SQRT(GF198*(1-GF198)))-(_xlfn.NORM.INV(1-(1-Eu_a_konfidensniveau)/2,0,1)*SQRT((Eu_a_h0_x*(1-Eu_a_h0_x))/(GF198*(1-GF198)))),0,1,TRUE)+_xlfn.NORM.DIST((SQRT(Eu_a_n_x)*(GF198-Eu_a_h0_x)/SQRT(GF198*(1-GF198)))-(_xlfn.NORM.INV(1-(1-Eu_a_konfidensniveau)/2,0,1)*SQRT((Eu_a_h0_x*(1-Eu_a_h0_x))/(GF198*(1-GF198)))),0,1,TRUE)</f>
        <v>#N/A</v>
      </c>
      <c r="GH198" t="e">
        <f t="shared" si="243"/>
        <v>#N/A</v>
      </c>
      <c r="GI198" s="8" t="e">
        <f t="shared" si="244"/>
        <v>#N/A</v>
      </c>
      <c r="GJ198" s="8" t="e">
        <f t="shared" si="245"/>
        <v>#N/A</v>
      </c>
      <c r="GK198" s="151" t="e">
        <f t="shared" si="246"/>
        <v>#N/A</v>
      </c>
      <c r="GL198" s="151"/>
      <c r="GM198" s="151"/>
      <c r="GP198" s="54">
        <f t="shared" si="291"/>
        <v>188</v>
      </c>
      <c r="GQ198" s="54">
        <f t="shared" si="292"/>
        <v>189</v>
      </c>
      <c r="GR198" s="54">
        <f t="shared" si="293"/>
        <v>1.4133620625108598</v>
      </c>
      <c r="GS198" s="54">
        <f t="shared" si="294"/>
        <v>0.14693944834608277</v>
      </c>
      <c r="GT198" s="54" t="e">
        <f t="shared" si="295"/>
        <v>#N/A</v>
      </c>
      <c r="GU198" s="54" t="e">
        <f t="shared" si="296"/>
        <v>#N/A</v>
      </c>
      <c r="GV198" s="54" t="e">
        <f t="shared" si="297"/>
        <v>#N/A</v>
      </c>
      <c r="GW198" s="54" t="b">
        <f t="shared" si="298"/>
        <v>0</v>
      </c>
      <c r="GX198" s="54" t="b">
        <f t="shared" si="299"/>
        <v>1</v>
      </c>
      <c r="GY198" s="54" t="b">
        <f t="shared" si="300"/>
        <v>0</v>
      </c>
      <c r="GZ198" s="54" t="b">
        <f t="shared" si="301"/>
        <v>1</v>
      </c>
      <c r="HA198" s="54">
        <f t="shared" si="302"/>
        <v>0.14693944834608277</v>
      </c>
      <c r="HB198" s="54" t="e">
        <f t="shared" si="303"/>
        <v>#N/A</v>
      </c>
      <c r="HC198" s="54">
        <f t="shared" si="304"/>
        <v>0.14693944834608277</v>
      </c>
      <c r="HD198" s="69" t="str">
        <f t="shared" si="305"/>
        <v/>
      </c>
      <c r="HJ198" s="54">
        <f t="shared" si="306"/>
        <v>188</v>
      </c>
      <c r="HK198" s="54">
        <f t="shared" si="307"/>
        <v>189</v>
      </c>
      <c r="HL198" s="54">
        <f t="shared" si="308"/>
        <v>2.1886208379043541</v>
      </c>
      <c r="HM198" s="54" t="e">
        <f t="shared" si="309"/>
        <v>#N/A</v>
      </c>
      <c r="HN198" s="54">
        <f t="shared" si="310"/>
        <v>4.7838660639883096E-2</v>
      </c>
      <c r="HO198" s="54" t="e">
        <f t="shared" si="311"/>
        <v>#N/A</v>
      </c>
      <c r="HP198" s="54" t="e">
        <f t="shared" si="312"/>
        <v>#N/A</v>
      </c>
      <c r="HQ198" s="54" t="b">
        <f t="shared" si="313"/>
        <v>0</v>
      </c>
      <c r="HR198" s="54" t="b">
        <f t="shared" si="314"/>
        <v>1</v>
      </c>
      <c r="HS198" s="54" t="b">
        <f t="shared" si="315"/>
        <v>1</v>
      </c>
      <c r="HT198" s="54" t="b">
        <f t="shared" si="316"/>
        <v>0</v>
      </c>
      <c r="HU198" s="54">
        <f t="shared" si="317"/>
        <v>4.7838660639883096E-2</v>
      </c>
      <c r="HV198" s="54" t="e">
        <f t="shared" si="318"/>
        <v>#N/A</v>
      </c>
      <c r="HW198" s="54">
        <f t="shared" si="319"/>
        <v>4.7838660639883096E-2</v>
      </c>
      <c r="HX198" s="69" t="str">
        <f t="shared" si="320"/>
        <v/>
      </c>
    </row>
    <row r="199" spans="78:232" x14ac:dyDescent="0.2">
      <c r="BZ199" s="54">
        <f t="shared" si="247"/>
        <v>189</v>
      </c>
      <c r="CA199" s="54">
        <f>Eu_tabel_g[[#This Row],[Indeks]]+1</f>
        <v>190</v>
      </c>
      <c r="CB199" s="54">
        <f t="shared" si="248"/>
        <v>1.4373173517059596</v>
      </c>
      <c r="CC199" s="54">
        <f t="shared" si="249"/>
        <v>0.14200697285664771</v>
      </c>
      <c r="CD199" s="54" t="e">
        <f t="shared" si="250"/>
        <v>#N/A</v>
      </c>
      <c r="CE199" s="54" t="e">
        <f t="shared" si="251"/>
        <v>#N/A</v>
      </c>
      <c r="CF199" s="54" t="e">
        <f t="shared" si="252"/>
        <v>#N/A</v>
      </c>
      <c r="CG199" s="54" t="b">
        <f t="shared" si="253"/>
        <v>0</v>
      </c>
      <c r="CH199" s="54" t="b">
        <f t="shared" si="254"/>
        <v>1</v>
      </c>
      <c r="CI199" s="54" t="b">
        <f t="shared" si="255"/>
        <v>0</v>
      </c>
      <c r="CJ199" s="54" t="b">
        <f t="shared" si="256"/>
        <v>1</v>
      </c>
      <c r="CK199" s="54">
        <f t="shared" si="327"/>
        <v>0.14200697285664771</v>
      </c>
      <c r="CL199" s="54" t="e">
        <f t="shared" si="257"/>
        <v>#N/A</v>
      </c>
      <c r="CM199" s="54">
        <f t="shared" si="258"/>
        <v>0.14200697285664771</v>
      </c>
      <c r="CN199" s="69" t="str">
        <f t="shared" si="259"/>
        <v/>
      </c>
      <c r="CO199" s="54">
        <f>_xlfn.NORM.DIST(_xlfn.NORM.INV(1-Eu_g_konfidensniveau,0,1)-Eu_tabel_g[[#This Row],[x base]],0,1,TRUE)</f>
        <v>1.0274838287292051E-3</v>
      </c>
      <c r="CP199" s="54">
        <f>1-_xlfn.NORM.DIST(_xlfn.NORM.INV(Eu_g_konfidensniveau,0,1)-Eu_tabel_g[[#This Row],[x base]],0,1,TRUE)</f>
        <v>0.41779553287962068</v>
      </c>
      <c r="CQ199" s="54">
        <f>_xlfn.NORM.DIST(_xlfn.NORM.INV((1-Eu_g_konfidensniveau)/2,0,1)-Eu_tabel_g[[#This Row],[x base]],0,1,TRUE)+1-_xlfn.NORM.DIST(_xlfn.NORM.INV(1-(1-Eu_g_konfidensniveau)/2,0,1)-Eu_tabel_g[[#This Row],[x base]],0,1,TRUE)</f>
        <v>0.30095038606562374</v>
      </c>
      <c r="CR199" s="54" t="e" cm="1">
        <f t="array" ref="CR199">IF($CR$3,INDEX(Eu_tabel_g[[#This Row],[Styrke venstre]:[Styrke tosidet]],CR$7),NA())</f>
        <v>#N/A</v>
      </c>
      <c r="CS199" s="89" t="e">
        <f>Eu_tabel_g[[#This Row],[Falsk positiv
Nulhypotese accepteres
Fejltype 1]]</f>
        <v>#N/A</v>
      </c>
      <c r="CT199" s="89" t="e">
        <f>IF(CHOOSE(CR$7,Eu_tabel_g[[#This Row],[x base]]&gt;0,Eu_tabel_g[[#This Row],[x base]]&lt;0,Eu_tabel_g[[#This Row],[x base]]=0),Eu_tabel_g[[#This Row],[Styrke, aktiv]],NA())</f>
        <v>#N/A</v>
      </c>
      <c r="CU199" s="89" t="e">
        <f>IFERROR(IF($CR$3,Eu_tabel_g[[#This Row],[Styrke, aktiv]],NA()),NA())</f>
        <v>#N/A</v>
      </c>
      <c r="CV199" s="89" t="e">
        <f>IF(ISNA(Eu_tabel_g[[#This Row],[Sand negativ
Nulhypotese afvises
Korrekt]]),NA(),IF($CR$3,1,NA()))</f>
        <v>#N/A</v>
      </c>
      <c r="CW199" s="56" t="str" cm="1">
        <f t="array" ref="CW199">_xlfn.SWITCH(BZ199,_xlfn.IFNA(CU$2,-99),CU$5,_xlfn.IFNA(CU$3,-99),CU$6,_xlfn.IFNA(CU$4,-99),CU$7,"")</f>
        <v/>
      </c>
      <c r="DA199" s="7">
        <f t="shared" si="260"/>
        <v>0.8</v>
      </c>
      <c r="DB199">
        <f>IF(ROW(Styrkeberegning_G[[#This Row],[X base venstre]])=ROW(Styrkeberegning_G[[#Headers],[X base venstre]])+1,DB$7/(DA$7/$B$67),DB198/(DA198/$B$67))</f>
        <v>-2.8015817870135784</v>
      </c>
      <c r="DC199">
        <f>Styrkeberegning_G[[#This Row],[X base venstre]]*-1</f>
        <v>2.8015817870135784</v>
      </c>
      <c r="DN199" s="54">
        <f t="shared" si="261"/>
        <v>189</v>
      </c>
      <c r="DO199" s="54">
        <f t="shared" si="262"/>
        <v>190</v>
      </c>
      <c r="DP199" s="54">
        <f t="shared" si="263"/>
        <v>23.39324452746688</v>
      </c>
      <c r="DQ199" s="54" t="e">
        <f t="shared" si="264"/>
        <v>#N/A</v>
      </c>
      <c r="DR199" s="54" t="e">
        <f t="shared" si="265"/>
        <v>#N/A</v>
      </c>
      <c r="DS199" s="54">
        <f t="shared" si="266"/>
        <v>5.0886997104524724E-3</v>
      </c>
      <c r="DT199" s="54" t="e">
        <f t="shared" si="267"/>
        <v>#N/A</v>
      </c>
      <c r="DU199" s="54" t="b">
        <f t="shared" si="268"/>
        <v>0</v>
      </c>
      <c r="DV199" s="54" t="b">
        <f t="shared" si="269"/>
        <v>1</v>
      </c>
      <c r="DW199" s="54" t="b">
        <f t="shared" si="270"/>
        <v>1</v>
      </c>
      <c r="DX199" s="54" t="b">
        <f t="shared" si="271"/>
        <v>0</v>
      </c>
      <c r="DY199" s="54">
        <f t="shared" si="272"/>
        <v>5.0886997104524724E-3</v>
      </c>
      <c r="DZ199" s="54">
        <f t="shared" si="273"/>
        <v>5.0886997104524724E-3</v>
      </c>
      <c r="EA199" s="54" t="e">
        <f t="shared" si="274"/>
        <v>#N/A</v>
      </c>
      <c r="EB199" s="69" t="str">
        <f t="shared" si="275"/>
        <v/>
      </c>
      <c r="EG199" s="54">
        <f t="shared" si="276"/>
        <v>189</v>
      </c>
      <c r="EH199" s="54">
        <f t="shared" si="277"/>
        <v>190</v>
      </c>
      <c r="EI199" s="54">
        <f t="shared" si="278"/>
        <v>1.4373173517059596</v>
      </c>
      <c r="EJ199" s="54">
        <f t="shared" si="279"/>
        <v>0.14200697285664771</v>
      </c>
      <c r="EK199" s="54" t="e">
        <f t="shared" si="280"/>
        <v>#N/A</v>
      </c>
      <c r="EL199" s="54" t="e">
        <f t="shared" si="281"/>
        <v>#N/A</v>
      </c>
      <c r="EM199" s="54" t="e">
        <f t="shared" si="282"/>
        <v>#N/A</v>
      </c>
      <c r="EN199" s="54" t="b">
        <f t="shared" si="283"/>
        <v>0</v>
      </c>
      <c r="EO199" s="54" t="b">
        <f t="shared" si="284"/>
        <v>1</v>
      </c>
      <c r="EP199" s="54" t="b">
        <f t="shared" si="285"/>
        <v>0</v>
      </c>
      <c r="EQ199" s="54" t="b">
        <f t="shared" si="286"/>
        <v>1</v>
      </c>
      <c r="ER199" s="54">
        <f t="shared" si="287"/>
        <v>0.14200697285664771</v>
      </c>
      <c r="ES199" s="54" t="e">
        <f t="shared" si="288"/>
        <v>#N/A</v>
      </c>
      <c r="ET199" s="54">
        <f t="shared" si="289"/>
        <v>0.14200697285664771</v>
      </c>
      <c r="EU199" s="69" t="str">
        <f t="shared" si="290"/>
        <v/>
      </c>
      <c r="EV19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9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9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99" s="54" t="e" cm="1">
        <f t="array" ref="EY199">IF($CR$3,INDEX(Eu_tabel_a[[#This Row],[Styrke venstre]:[Styrke tosidet]],EY$7),NA())</f>
        <v>#N/A</v>
      </c>
      <c r="EZ199" s="54" t="e">
        <f>IF(EY$3,IF(CHOOSE(EY$7,Eu_tabel_a[[#This Row],[x base]]&gt;0,Eu_tabel_a[[#This Row],[x base]]&lt;0,Eu_tabel_a[[#This Row],[x base]]=0),1,NA()),NA())</f>
        <v>#N/A</v>
      </c>
      <c r="FA199" s="54" t="e">
        <f>IF(CHOOSE(EY$7,Eu_tabel_a[[#This Row],[x base]]&gt;0,Eu_tabel_a[[#This Row],[x base]]&lt;0,Eu_tabel_a[[#This Row],[x base]]=0),Eu_tabel_a[[#This Row],[Styrke, aktiv]],NA())</f>
        <v>#N/A</v>
      </c>
      <c r="FB199" s="54" t="e">
        <f>IFERROR(IF($EY$3,Eu_tabel_a[[#This Row],[Styrke, aktiv]],NA()),NA())</f>
        <v>#N/A</v>
      </c>
      <c r="FC199" s="54" t="e">
        <f>IF(ISNA(Eu_tabel_a[[#This Row],[Sand negativ
Nulhypotese afvises
Korrekt]]),NA(),IF(EY$3,1,NA()))</f>
        <v>#N/A</v>
      </c>
      <c r="FD199" s="55" t="str" cm="1">
        <f t="array" ref="FD199">IFERROR(_xlfn.SWITCH(Eu_tabel_a[[#This Row],[Indeks]],_xlfn.IFNA(FB$2,-99),FB$5,_xlfn.IFNA(FB$3,-99),FB$6,_xlfn.IFNA(FB$4,-99),FB$7,""),"")</f>
        <v/>
      </c>
      <c r="FE199" s="54">
        <f>Eu_tabel_a[[#This Row],[x base]]*SQRT(Eu_a_h0_x*(1-Eu_a_h0_x)/Eu_a_n_x)+Eu_a_h0_x</f>
        <v>0</v>
      </c>
      <c r="FJ199" s="144" t="e">
        <f t="shared" ref="FJ199:FJ262" si="338">IF(ISERROR(FK199),NA(),ROW(FJ199)-ROW(FJ$5))</f>
        <v>#N/A</v>
      </c>
      <c r="FK199" s="152" t="e">
        <f t="shared" si="322"/>
        <v>#DIV/0!</v>
      </c>
      <c r="FL199" s="7" t="e">
        <f t="shared" si="332"/>
        <v>#DIV/0!</v>
      </c>
      <c r="FM199" t="e">
        <f t="shared" si="323"/>
        <v>#DIV/0!</v>
      </c>
      <c r="FN199" s="8" t="e">
        <f t="shared" si="324"/>
        <v>#DIV/0!</v>
      </c>
      <c r="FO199" s="8" t="e">
        <f t="shared" si="325"/>
        <v>#DIV/0!</v>
      </c>
      <c r="FP199" s="151" t="e">
        <f t="shared" si="326"/>
        <v>#DIV/0!</v>
      </c>
      <c r="FQ199" s="144" t="e">
        <f t="shared" ca="1" si="333"/>
        <v>#N/A</v>
      </c>
      <c r="FR199" s="152" t="e" vm="3">
        <f t="shared" ref="FR199:FR262" ca="1" si="339">FR197+FW198</f>
        <v>#VALUE!</v>
      </c>
      <c r="FS199" s="7" t="e" vm="3">
        <f t="shared" ca="1" si="334"/>
        <v>#VALUE!</v>
      </c>
      <c r="FT199" t="e" vm="3">
        <f t="shared" ca="1" si="328"/>
        <v>#VALUE!</v>
      </c>
      <c r="FU199" s="8" t="e" vm="3">
        <f t="shared" ca="1" si="329"/>
        <v>#VALUE!</v>
      </c>
      <c r="FV199" s="8" t="e" vm="3">
        <f t="shared" ca="1" si="330"/>
        <v>#VALUE!</v>
      </c>
      <c r="FW199" s="151" t="e" vm="3">
        <f t="shared" ca="1" si="331"/>
        <v>#VALUE!</v>
      </c>
      <c r="FX199" s="144" t="e">
        <f t="shared" si="335"/>
        <v>#N/A</v>
      </c>
      <c r="FY199" s="152" t="e">
        <f t="shared" ref="FY199:FY262" si="340">FY197+GD198</f>
        <v>#N/A</v>
      </c>
      <c r="FZ199" s="7" t="e">
        <f t="shared" si="336"/>
        <v>#N/A</v>
      </c>
      <c r="GA199" t="e">
        <f t="shared" ref="GA199:GA262" si="341">FY199-FY198</f>
        <v>#N/A</v>
      </c>
      <c r="GB199" s="8" t="e">
        <f t="shared" ref="GB199:GB262" si="342">FZ199-FZ198</f>
        <v>#N/A</v>
      </c>
      <c r="GC199" s="8" t="e">
        <f t="shared" ref="GC199:GC262" si="343">$P$67-FZ198</f>
        <v>#N/A</v>
      </c>
      <c r="GD199" s="151" t="e">
        <f t="shared" ref="GD199:GD262" si="344">GA199/(GB199/GC199)</f>
        <v>#N/A</v>
      </c>
      <c r="GE199" s="144" t="e">
        <f t="shared" ref="GE199:GE262" si="345">IF(ISERROR(GF199),NA(),ROW(GE199)-ROW(GE$5))</f>
        <v>#N/A</v>
      </c>
      <c r="GF199" s="152" t="e">
        <f t="shared" ref="GF199:GF262" si="346">GF197+GK198</f>
        <v>#N/A</v>
      </c>
      <c r="GG199" s="7" t="e">
        <f t="shared" si="337"/>
        <v>#N/A</v>
      </c>
      <c r="GH199" t="e">
        <f t="shared" ref="GH199:GH262" si="347">GF199-GF198</f>
        <v>#N/A</v>
      </c>
      <c r="GI199" s="8" t="e">
        <f t="shared" ref="GI199:GI262" si="348">GG199-GG198</f>
        <v>#N/A</v>
      </c>
      <c r="GJ199" s="8" t="e">
        <f t="shared" ref="GJ199:GJ262" si="349">$P$67-GG198</f>
        <v>#N/A</v>
      </c>
      <c r="GK199" s="151" t="e">
        <f t="shared" ref="GK199:GK262" si="350">GH199/(GI199/GJ199)</f>
        <v>#N/A</v>
      </c>
      <c r="GL199" s="151"/>
      <c r="GM199" s="151"/>
      <c r="GP199" s="54">
        <f t="shared" si="291"/>
        <v>189</v>
      </c>
      <c r="GQ199" s="54">
        <f t="shared" si="292"/>
        <v>190</v>
      </c>
      <c r="GR199" s="54">
        <f t="shared" si="293"/>
        <v>1.4373173517059596</v>
      </c>
      <c r="GS199" s="54">
        <f t="shared" si="294"/>
        <v>0.14200697285664771</v>
      </c>
      <c r="GT199" s="54" t="e">
        <f t="shared" si="295"/>
        <v>#N/A</v>
      </c>
      <c r="GU199" s="54" t="e">
        <f t="shared" si="296"/>
        <v>#N/A</v>
      </c>
      <c r="GV199" s="54" t="e">
        <f t="shared" si="297"/>
        <v>#N/A</v>
      </c>
      <c r="GW199" s="54" t="b">
        <f t="shared" si="298"/>
        <v>0</v>
      </c>
      <c r="GX199" s="54" t="b">
        <f t="shared" si="299"/>
        <v>1</v>
      </c>
      <c r="GY199" s="54" t="b">
        <f t="shared" si="300"/>
        <v>0</v>
      </c>
      <c r="GZ199" s="54" t="b">
        <f t="shared" si="301"/>
        <v>1</v>
      </c>
      <c r="HA199" s="54">
        <f t="shared" si="302"/>
        <v>0.14200697285664771</v>
      </c>
      <c r="HB199" s="54" t="e">
        <f t="shared" si="303"/>
        <v>#N/A</v>
      </c>
      <c r="HC199" s="54">
        <f t="shared" si="304"/>
        <v>0.14200697285664771</v>
      </c>
      <c r="HD199" s="69" t="str">
        <f t="shared" si="305"/>
        <v/>
      </c>
      <c r="HJ199" s="54">
        <f t="shared" si="306"/>
        <v>189</v>
      </c>
      <c r="HK199" s="54">
        <f t="shared" si="307"/>
        <v>190</v>
      </c>
      <c r="HL199" s="54">
        <f t="shared" si="308"/>
        <v>2.2257161063434108</v>
      </c>
      <c r="HM199" s="54" t="e">
        <f t="shared" si="309"/>
        <v>#N/A</v>
      </c>
      <c r="HN199" s="54">
        <f t="shared" si="310"/>
        <v>4.5270733725450971E-2</v>
      </c>
      <c r="HO199" s="54" t="e">
        <f t="shared" si="311"/>
        <v>#N/A</v>
      </c>
      <c r="HP199" s="54" t="e">
        <f t="shared" si="312"/>
        <v>#N/A</v>
      </c>
      <c r="HQ199" s="54" t="b">
        <f t="shared" si="313"/>
        <v>0</v>
      </c>
      <c r="HR199" s="54" t="b">
        <f t="shared" si="314"/>
        <v>1</v>
      </c>
      <c r="HS199" s="54" t="b">
        <f t="shared" si="315"/>
        <v>1</v>
      </c>
      <c r="HT199" s="54" t="b">
        <f t="shared" si="316"/>
        <v>0</v>
      </c>
      <c r="HU199" s="54">
        <f t="shared" si="317"/>
        <v>4.5270733725450971E-2</v>
      </c>
      <c r="HV199" s="54" t="e">
        <f t="shared" si="318"/>
        <v>#N/A</v>
      </c>
      <c r="HW199" s="54">
        <f t="shared" si="319"/>
        <v>4.5270733725450971E-2</v>
      </c>
      <c r="HX199" s="69" t="str">
        <f t="shared" si="320"/>
        <v/>
      </c>
    </row>
    <row r="200" spans="78:232" x14ac:dyDescent="0.2">
      <c r="BZ200" s="54">
        <f t="shared" si="247"/>
        <v>190</v>
      </c>
      <c r="CA200" s="54">
        <f>Eu_tabel_g[[#This Row],[Indeks]]+1</f>
        <v>191</v>
      </c>
      <c r="CB200" s="54">
        <f t="shared" si="248"/>
        <v>1.4612726409010586</v>
      </c>
      <c r="CC200" s="54">
        <f t="shared" si="249"/>
        <v>0.1371613376813367</v>
      </c>
      <c r="CD200" s="54" t="e">
        <f t="shared" si="250"/>
        <v>#N/A</v>
      </c>
      <c r="CE200" s="54" t="e">
        <f t="shared" si="251"/>
        <v>#N/A</v>
      </c>
      <c r="CF200" s="54" t="e">
        <f t="shared" si="252"/>
        <v>#N/A</v>
      </c>
      <c r="CG200" s="54" t="b">
        <f t="shared" si="253"/>
        <v>0</v>
      </c>
      <c r="CH200" s="54" t="b">
        <f t="shared" si="254"/>
        <v>1</v>
      </c>
      <c r="CI200" s="54" t="b">
        <f t="shared" si="255"/>
        <v>0</v>
      </c>
      <c r="CJ200" s="54" t="b">
        <f t="shared" si="256"/>
        <v>1</v>
      </c>
      <c r="CK200" s="54">
        <f t="shared" si="327"/>
        <v>0.1371613376813367</v>
      </c>
      <c r="CL200" s="54" t="e">
        <f t="shared" si="257"/>
        <v>#N/A</v>
      </c>
      <c r="CM200" s="54">
        <f t="shared" si="258"/>
        <v>0.1371613376813367</v>
      </c>
      <c r="CN200" s="69" t="str">
        <f t="shared" si="259"/>
        <v/>
      </c>
      <c r="CO200" s="54">
        <f>_xlfn.NORM.DIST(_xlfn.NORM.INV(1-Eu_g_konfidensniveau,0,1)-Eu_tabel_g[[#This Row],[x base]],0,1,TRUE)</f>
        <v>9.4777877233524625E-4</v>
      </c>
      <c r="CP200" s="54">
        <f>1-_xlfn.NORM.DIST(_xlfn.NORM.INV(Eu_g_konfidensniveau,0,1)-Eu_tabel_g[[#This Row],[x base]],0,1,TRUE)</f>
        <v>0.4271710902642325</v>
      </c>
      <c r="CQ200" s="54">
        <f>_xlfn.NORM.DIST(_xlfn.NORM.INV((1-Eu_g_konfidensniveau)/2,0,1)-Eu_tabel_g[[#This Row],[x base]],0,1,TRUE)+1-_xlfn.NORM.DIST(_xlfn.NORM.INV(1-(1-Eu_g_konfidensniveau)/2,0,1)-Eu_tabel_g[[#This Row],[x base]],0,1,TRUE)</f>
        <v>0.30931010724091756</v>
      </c>
      <c r="CR200" s="54" t="e" cm="1">
        <f t="array" ref="CR200">IF($CR$3,INDEX(Eu_tabel_g[[#This Row],[Styrke venstre]:[Styrke tosidet]],CR$7),NA())</f>
        <v>#N/A</v>
      </c>
      <c r="CS200" s="89" t="e">
        <f>Eu_tabel_g[[#This Row],[Falsk positiv
Nulhypotese accepteres
Fejltype 1]]</f>
        <v>#N/A</v>
      </c>
      <c r="CT200" s="89" t="e">
        <f>IF(CHOOSE(CR$7,Eu_tabel_g[[#This Row],[x base]]&gt;0,Eu_tabel_g[[#This Row],[x base]]&lt;0,Eu_tabel_g[[#This Row],[x base]]=0),Eu_tabel_g[[#This Row],[Styrke, aktiv]],NA())</f>
        <v>#N/A</v>
      </c>
      <c r="CU200" s="89" t="e">
        <f>IFERROR(IF($CR$3,Eu_tabel_g[[#This Row],[Styrke, aktiv]],NA()),NA())</f>
        <v>#N/A</v>
      </c>
      <c r="CV200" s="89" t="e">
        <f>IF(ISNA(Eu_tabel_g[[#This Row],[Sand negativ
Nulhypotese afvises
Korrekt]]),NA(),IF($CR$3,1,NA()))</f>
        <v>#N/A</v>
      </c>
      <c r="CW200" s="56" t="str" cm="1">
        <f t="array" ref="CW200">_xlfn.SWITCH(BZ200,_xlfn.IFNA(CU$2,-99),CU$5,_xlfn.IFNA(CU$3,-99),CU$6,_xlfn.IFNA(CU$4,-99),CU$7,"")</f>
        <v/>
      </c>
      <c r="DA200" s="7">
        <f t="shared" si="260"/>
        <v>0.8</v>
      </c>
      <c r="DB200">
        <f>IF(ROW(Styrkeberegning_G[[#This Row],[X base venstre]])=ROW(Styrkeberegning_G[[#Headers],[X base venstre]])+1,DB$7/(DA$7/$B$67),DB199/(DA199/$B$67))</f>
        <v>-2.8015817870135784</v>
      </c>
      <c r="DC200">
        <f>Styrkeberegning_G[[#This Row],[X base venstre]]*-1</f>
        <v>2.8015817870135784</v>
      </c>
      <c r="DN200" s="54">
        <f t="shared" si="261"/>
        <v>190</v>
      </c>
      <c r="DO200" s="54">
        <f t="shared" si="262"/>
        <v>191</v>
      </c>
      <c r="DP200" s="54">
        <f t="shared" si="263"/>
        <v>23.507315383883881</v>
      </c>
      <c r="DQ200" s="54" t="e">
        <f t="shared" si="264"/>
        <v>#N/A</v>
      </c>
      <c r="DR200" s="54" t="e">
        <f t="shared" si="265"/>
        <v>#N/A</v>
      </c>
      <c r="DS200" s="54">
        <f t="shared" si="266"/>
        <v>4.9129600502706896E-3</v>
      </c>
      <c r="DT200" s="54" t="e">
        <f t="shared" si="267"/>
        <v>#N/A</v>
      </c>
      <c r="DU200" s="54" t="b">
        <f t="shared" si="268"/>
        <v>0</v>
      </c>
      <c r="DV200" s="54" t="b">
        <f t="shared" si="269"/>
        <v>1</v>
      </c>
      <c r="DW200" s="54" t="b">
        <f t="shared" si="270"/>
        <v>1</v>
      </c>
      <c r="DX200" s="54" t="b">
        <f t="shared" si="271"/>
        <v>0</v>
      </c>
      <c r="DY200" s="54">
        <f t="shared" si="272"/>
        <v>4.9129600502706896E-3</v>
      </c>
      <c r="DZ200" s="54">
        <f t="shared" si="273"/>
        <v>4.9129600502706896E-3</v>
      </c>
      <c r="EA200" s="54" t="e">
        <f t="shared" si="274"/>
        <v>#N/A</v>
      </c>
      <c r="EB200" s="69" t="str">
        <f t="shared" si="275"/>
        <v/>
      </c>
      <c r="EG200" s="54">
        <f t="shared" si="276"/>
        <v>190</v>
      </c>
      <c r="EH200" s="54">
        <f t="shared" si="277"/>
        <v>191</v>
      </c>
      <c r="EI200" s="54">
        <f t="shared" si="278"/>
        <v>1.4612726409010586</v>
      </c>
      <c r="EJ200" s="54">
        <f t="shared" si="279"/>
        <v>0.1371613376813367</v>
      </c>
      <c r="EK200" s="54" t="e">
        <f t="shared" si="280"/>
        <v>#N/A</v>
      </c>
      <c r="EL200" s="54" t="e">
        <f t="shared" si="281"/>
        <v>#N/A</v>
      </c>
      <c r="EM200" s="54" t="e">
        <f t="shared" si="282"/>
        <v>#N/A</v>
      </c>
      <c r="EN200" s="54" t="b">
        <f t="shared" si="283"/>
        <v>0</v>
      </c>
      <c r="EO200" s="54" t="b">
        <f t="shared" si="284"/>
        <v>1</v>
      </c>
      <c r="EP200" s="54" t="b">
        <f t="shared" si="285"/>
        <v>0</v>
      </c>
      <c r="EQ200" s="54" t="b">
        <f t="shared" si="286"/>
        <v>1</v>
      </c>
      <c r="ER200" s="54">
        <f t="shared" si="287"/>
        <v>0.1371613376813367</v>
      </c>
      <c r="ES200" s="54" t="e">
        <f t="shared" si="288"/>
        <v>#N/A</v>
      </c>
      <c r="ET200" s="54">
        <f t="shared" si="289"/>
        <v>0.1371613376813367</v>
      </c>
      <c r="EU200" s="69" t="str">
        <f t="shared" si="290"/>
        <v/>
      </c>
      <c r="EV20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0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0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00" s="54" t="e" cm="1">
        <f t="array" ref="EY200">IF($CR$3,INDEX(Eu_tabel_a[[#This Row],[Styrke venstre]:[Styrke tosidet]],EY$7),NA())</f>
        <v>#N/A</v>
      </c>
      <c r="EZ200" s="54" t="e">
        <f>IF(EY$3,IF(CHOOSE(EY$7,Eu_tabel_a[[#This Row],[x base]]&gt;0,Eu_tabel_a[[#This Row],[x base]]&lt;0,Eu_tabel_a[[#This Row],[x base]]=0),1,NA()),NA())</f>
        <v>#N/A</v>
      </c>
      <c r="FA200" s="54" t="e">
        <f>IF(CHOOSE(EY$7,Eu_tabel_a[[#This Row],[x base]]&gt;0,Eu_tabel_a[[#This Row],[x base]]&lt;0,Eu_tabel_a[[#This Row],[x base]]=0),Eu_tabel_a[[#This Row],[Styrke, aktiv]],NA())</f>
        <v>#N/A</v>
      </c>
      <c r="FB200" s="54" t="e">
        <f>IFERROR(IF($EY$3,Eu_tabel_a[[#This Row],[Styrke, aktiv]],NA()),NA())</f>
        <v>#N/A</v>
      </c>
      <c r="FC200" s="54" t="e">
        <f>IF(ISNA(Eu_tabel_a[[#This Row],[Sand negativ
Nulhypotese afvises
Korrekt]]),NA(),IF(EY$3,1,NA()))</f>
        <v>#N/A</v>
      </c>
      <c r="FD200" s="55" t="str" cm="1">
        <f t="array" ref="FD200">IFERROR(_xlfn.SWITCH(Eu_tabel_a[[#This Row],[Indeks]],_xlfn.IFNA(FB$2,-99),FB$5,_xlfn.IFNA(FB$3,-99),FB$6,_xlfn.IFNA(FB$4,-99),FB$7,""),"")</f>
        <v/>
      </c>
      <c r="FE200" s="54">
        <f>Eu_tabel_a[[#This Row],[x base]]*SQRT(Eu_a_h0_x*(1-Eu_a_h0_x)/Eu_a_n_x)+Eu_a_h0_x</f>
        <v>0</v>
      </c>
      <c r="FJ200" s="144" t="e">
        <f t="shared" si="338"/>
        <v>#N/A</v>
      </c>
      <c r="FK200" s="152" t="e">
        <f t="shared" si="322"/>
        <v>#DIV/0!</v>
      </c>
      <c r="FL200" s="7" t="e">
        <f t="shared" si="332"/>
        <v>#DIV/0!</v>
      </c>
      <c r="FM200" t="e">
        <f t="shared" si="323"/>
        <v>#DIV/0!</v>
      </c>
      <c r="FN200" s="8" t="e">
        <f t="shared" si="324"/>
        <v>#DIV/0!</v>
      </c>
      <c r="FO200" s="8" t="e">
        <f t="shared" si="325"/>
        <v>#DIV/0!</v>
      </c>
      <c r="FP200" s="151" t="e">
        <f t="shared" si="326"/>
        <v>#DIV/0!</v>
      </c>
      <c r="FQ200" s="144" t="e">
        <f t="shared" ca="1" si="333"/>
        <v>#N/A</v>
      </c>
      <c r="FR200" s="152" t="e" vm="3">
        <f t="shared" ca="1" si="339"/>
        <v>#VALUE!</v>
      </c>
      <c r="FS200" s="7" t="e" vm="3">
        <f t="shared" ca="1" si="334"/>
        <v>#VALUE!</v>
      </c>
      <c r="FT200" t="e" vm="3">
        <f t="shared" ca="1" si="328"/>
        <v>#VALUE!</v>
      </c>
      <c r="FU200" s="8" t="e" vm="3">
        <f t="shared" ca="1" si="329"/>
        <v>#VALUE!</v>
      </c>
      <c r="FV200" s="8" t="e" vm="3">
        <f t="shared" ca="1" si="330"/>
        <v>#VALUE!</v>
      </c>
      <c r="FW200" s="151" t="e" vm="3">
        <f t="shared" ca="1" si="331"/>
        <v>#VALUE!</v>
      </c>
      <c r="FX200" s="144" t="e">
        <f t="shared" si="335"/>
        <v>#N/A</v>
      </c>
      <c r="FY200" s="152" t="e">
        <f t="shared" si="340"/>
        <v>#N/A</v>
      </c>
      <c r="FZ200" s="7" t="e">
        <f t="shared" si="336"/>
        <v>#N/A</v>
      </c>
      <c r="GA200" t="e">
        <f t="shared" si="341"/>
        <v>#N/A</v>
      </c>
      <c r="GB200" s="8" t="e">
        <f t="shared" si="342"/>
        <v>#N/A</v>
      </c>
      <c r="GC200" s="8" t="e">
        <f t="shared" si="343"/>
        <v>#N/A</v>
      </c>
      <c r="GD200" s="151" t="e">
        <f t="shared" si="344"/>
        <v>#N/A</v>
      </c>
      <c r="GE200" s="144" t="e">
        <f t="shared" si="345"/>
        <v>#N/A</v>
      </c>
      <c r="GF200" s="152" t="e">
        <f t="shared" si="346"/>
        <v>#N/A</v>
      </c>
      <c r="GG200" s="7" t="e">
        <f t="shared" si="337"/>
        <v>#N/A</v>
      </c>
      <c r="GH200" t="e">
        <f t="shared" si="347"/>
        <v>#N/A</v>
      </c>
      <c r="GI200" s="8" t="e">
        <f t="shared" si="348"/>
        <v>#N/A</v>
      </c>
      <c r="GJ200" s="8" t="e">
        <f t="shared" si="349"/>
        <v>#N/A</v>
      </c>
      <c r="GK200" s="151" t="e">
        <f t="shared" si="350"/>
        <v>#N/A</v>
      </c>
      <c r="GL200" s="151"/>
      <c r="GM200" s="151"/>
      <c r="GP200" s="54">
        <f t="shared" si="291"/>
        <v>190</v>
      </c>
      <c r="GQ200" s="54">
        <f t="shared" si="292"/>
        <v>191</v>
      </c>
      <c r="GR200" s="54">
        <f t="shared" si="293"/>
        <v>1.4612726409010586</v>
      </c>
      <c r="GS200" s="54">
        <f t="shared" si="294"/>
        <v>0.1371613376813367</v>
      </c>
      <c r="GT200" s="54" t="e">
        <f t="shared" si="295"/>
        <v>#N/A</v>
      </c>
      <c r="GU200" s="54" t="e">
        <f t="shared" si="296"/>
        <v>#N/A</v>
      </c>
      <c r="GV200" s="54" t="e">
        <f t="shared" si="297"/>
        <v>#N/A</v>
      </c>
      <c r="GW200" s="54" t="b">
        <f t="shared" si="298"/>
        <v>0</v>
      </c>
      <c r="GX200" s="54" t="b">
        <f t="shared" si="299"/>
        <v>1</v>
      </c>
      <c r="GY200" s="54" t="b">
        <f t="shared" si="300"/>
        <v>0</v>
      </c>
      <c r="GZ200" s="54" t="b">
        <f t="shared" si="301"/>
        <v>1</v>
      </c>
      <c r="HA200" s="54">
        <f t="shared" si="302"/>
        <v>0.1371613376813367</v>
      </c>
      <c r="HB200" s="54" t="e">
        <f t="shared" si="303"/>
        <v>#N/A</v>
      </c>
      <c r="HC200" s="54">
        <f t="shared" si="304"/>
        <v>0.1371613376813367</v>
      </c>
      <c r="HD200" s="69" t="str">
        <f t="shared" si="305"/>
        <v/>
      </c>
      <c r="HJ200" s="54">
        <f t="shared" si="306"/>
        <v>190</v>
      </c>
      <c r="HK200" s="54">
        <f t="shared" si="307"/>
        <v>191</v>
      </c>
      <c r="HL200" s="54">
        <f t="shared" si="308"/>
        <v>2.2628113747824683</v>
      </c>
      <c r="HM200" s="54" t="e">
        <f t="shared" si="309"/>
        <v>#N/A</v>
      </c>
      <c r="HN200" s="54">
        <f t="shared" si="310"/>
        <v>4.2833895415660177E-2</v>
      </c>
      <c r="HO200" s="54" t="e">
        <f t="shared" si="311"/>
        <v>#N/A</v>
      </c>
      <c r="HP200" s="54" t="e">
        <f t="shared" si="312"/>
        <v>#N/A</v>
      </c>
      <c r="HQ200" s="54" t="b">
        <f t="shared" si="313"/>
        <v>0</v>
      </c>
      <c r="HR200" s="54" t="b">
        <f t="shared" si="314"/>
        <v>1</v>
      </c>
      <c r="HS200" s="54" t="b">
        <f t="shared" si="315"/>
        <v>1</v>
      </c>
      <c r="HT200" s="54" t="b">
        <f t="shared" si="316"/>
        <v>0</v>
      </c>
      <c r="HU200" s="54">
        <f t="shared" si="317"/>
        <v>4.2833895415660177E-2</v>
      </c>
      <c r="HV200" s="54" t="e">
        <f t="shared" si="318"/>
        <v>#N/A</v>
      </c>
      <c r="HW200" s="54">
        <f t="shared" si="319"/>
        <v>4.2833895415660177E-2</v>
      </c>
      <c r="HX200" s="69" t="str">
        <f t="shared" si="320"/>
        <v/>
      </c>
    </row>
    <row r="201" spans="78:232" x14ac:dyDescent="0.2">
      <c r="BZ201" s="54">
        <f t="shared" si="247"/>
        <v>191</v>
      </c>
      <c r="CA201" s="54">
        <f>Eu_tabel_g[[#This Row],[Indeks]]+1</f>
        <v>192</v>
      </c>
      <c r="CB201" s="54">
        <f t="shared" si="248"/>
        <v>1.4852279300961584</v>
      </c>
      <c r="CC201" s="54">
        <f t="shared" si="249"/>
        <v>0.13240504455009261</v>
      </c>
      <c r="CD201" s="54" t="e">
        <f t="shared" si="250"/>
        <v>#N/A</v>
      </c>
      <c r="CE201" s="54" t="e">
        <f t="shared" si="251"/>
        <v>#N/A</v>
      </c>
      <c r="CF201" s="54" t="e">
        <f t="shared" si="252"/>
        <v>#N/A</v>
      </c>
      <c r="CG201" s="54" t="b">
        <f t="shared" si="253"/>
        <v>0</v>
      </c>
      <c r="CH201" s="54" t="b">
        <f t="shared" si="254"/>
        <v>1</v>
      </c>
      <c r="CI201" s="54" t="b">
        <f t="shared" si="255"/>
        <v>0</v>
      </c>
      <c r="CJ201" s="54" t="b">
        <f t="shared" si="256"/>
        <v>1</v>
      </c>
      <c r="CK201" s="54">
        <f t="shared" si="327"/>
        <v>0.13240504455009261</v>
      </c>
      <c r="CL201" s="54" t="e">
        <f t="shared" si="257"/>
        <v>#N/A</v>
      </c>
      <c r="CM201" s="54">
        <f t="shared" si="258"/>
        <v>0.13240504455009261</v>
      </c>
      <c r="CN201" s="69" t="str">
        <f t="shared" si="259"/>
        <v/>
      </c>
      <c r="CO201" s="54">
        <f>_xlfn.NORM.DIST(_xlfn.NORM.INV(1-Eu_g_konfidensniveau,0,1)-Eu_tabel_g[[#This Row],[x base]],0,1,TRUE)</f>
        <v>8.7378888461065081E-4</v>
      </c>
      <c r="CP201" s="54">
        <f>1-_xlfn.NORM.DIST(_xlfn.NORM.INV(Eu_g_konfidensniveau,0,1)-Eu_tabel_g[[#This Row],[x base]],0,1,TRUE)</f>
        <v>0.43658796768610664</v>
      </c>
      <c r="CQ201" s="54">
        <f>_xlfn.NORM.DIST(_xlfn.NORM.INV((1-Eu_g_konfidensniveau)/2,0,1)-Eu_tabel_g[[#This Row],[x base]],0,1,TRUE)+1-_xlfn.NORM.DIST(_xlfn.NORM.INV(1-(1-Eu_g_konfidensniveau)/2,0,1)-Eu_tabel_g[[#This Row],[x base]],0,1,TRUE)</f>
        <v>0.31777288511858404</v>
      </c>
      <c r="CR201" s="54" t="e" cm="1">
        <f t="array" ref="CR201">IF($CR$3,INDEX(Eu_tabel_g[[#This Row],[Styrke venstre]:[Styrke tosidet]],CR$7),NA())</f>
        <v>#N/A</v>
      </c>
      <c r="CS201" s="89" t="e">
        <f>Eu_tabel_g[[#This Row],[Falsk positiv
Nulhypotese accepteres
Fejltype 1]]</f>
        <v>#N/A</v>
      </c>
      <c r="CT201" s="89" t="e">
        <f>IF(CHOOSE(CR$7,Eu_tabel_g[[#This Row],[x base]]&gt;0,Eu_tabel_g[[#This Row],[x base]]&lt;0,Eu_tabel_g[[#This Row],[x base]]=0),Eu_tabel_g[[#This Row],[Styrke, aktiv]],NA())</f>
        <v>#N/A</v>
      </c>
      <c r="CU201" s="89" t="e">
        <f>IFERROR(IF($CR$3,Eu_tabel_g[[#This Row],[Styrke, aktiv]],NA()),NA())</f>
        <v>#N/A</v>
      </c>
      <c r="CV201" s="89" t="e">
        <f>IF(ISNA(Eu_tabel_g[[#This Row],[Sand negativ
Nulhypotese afvises
Korrekt]]),NA(),IF($CR$3,1,NA()))</f>
        <v>#N/A</v>
      </c>
      <c r="CW201" s="56" t="str" cm="1">
        <f t="array" ref="CW201">_xlfn.SWITCH(BZ201,_xlfn.IFNA(CU$2,-99),CU$5,_xlfn.IFNA(CU$3,-99),CU$6,_xlfn.IFNA(CU$4,-99),CU$7,"")</f>
        <v/>
      </c>
      <c r="DA201" s="7">
        <f t="shared" si="260"/>
        <v>0.8</v>
      </c>
      <c r="DB201">
        <f>IF(ROW(Styrkeberegning_G[[#This Row],[X base venstre]])=ROW(Styrkeberegning_G[[#Headers],[X base venstre]])+1,DB$7/(DA$7/$B$67),DB200/(DA200/$B$67))</f>
        <v>-2.8015817870135784</v>
      </c>
      <c r="DC201">
        <f>Styrkeberegning_G[[#This Row],[X base venstre]]*-1</f>
        <v>2.8015817870135784</v>
      </c>
      <c r="DN201" s="54">
        <f t="shared" si="261"/>
        <v>191</v>
      </c>
      <c r="DO201" s="54">
        <f t="shared" si="262"/>
        <v>192</v>
      </c>
      <c r="DP201" s="54">
        <f t="shared" si="263"/>
        <v>23.621386240300883</v>
      </c>
      <c r="DQ201" s="54" t="e">
        <f t="shared" si="264"/>
        <v>#N/A</v>
      </c>
      <c r="DR201" s="54" t="e">
        <f t="shared" si="265"/>
        <v>#N/A</v>
      </c>
      <c r="DS201" s="54">
        <f t="shared" si="266"/>
        <v>4.742787013801879E-3</v>
      </c>
      <c r="DT201" s="54" t="e">
        <f t="shared" si="267"/>
        <v>#N/A</v>
      </c>
      <c r="DU201" s="54" t="b">
        <f t="shared" si="268"/>
        <v>0</v>
      </c>
      <c r="DV201" s="54" t="b">
        <f t="shared" si="269"/>
        <v>1</v>
      </c>
      <c r="DW201" s="54" t="b">
        <f t="shared" si="270"/>
        <v>1</v>
      </c>
      <c r="DX201" s="54" t="b">
        <f t="shared" si="271"/>
        <v>0</v>
      </c>
      <c r="DY201" s="54">
        <f t="shared" si="272"/>
        <v>4.742787013801879E-3</v>
      </c>
      <c r="DZ201" s="54">
        <f t="shared" si="273"/>
        <v>4.742787013801879E-3</v>
      </c>
      <c r="EA201" s="54" t="e">
        <f t="shared" si="274"/>
        <v>#N/A</v>
      </c>
      <c r="EB201" s="69" t="str">
        <f t="shared" si="275"/>
        <v/>
      </c>
      <c r="EG201" s="54">
        <f t="shared" si="276"/>
        <v>191</v>
      </c>
      <c r="EH201" s="54">
        <f t="shared" si="277"/>
        <v>192</v>
      </c>
      <c r="EI201" s="54">
        <f t="shared" si="278"/>
        <v>1.4852279300961584</v>
      </c>
      <c r="EJ201" s="54">
        <f t="shared" si="279"/>
        <v>0.13240504455009261</v>
      </c>
      <c r="EK201" s="54" t="e">
        <f t="shared" si="280"/>
        <v>#N/A</v>
      </c>
      <c r="EL201" s="54" t="e">
        <f t="shared" si="281"/>
        <v>#N/A</v>
      </c>
      <c r="EM201" s="54" t="e">
        <f t="shared" si="282"/>
        <v>#N/A</v>
      </c>
      <c r="EN201" s="54" t="b">
        <f t="shared" si="283"/>
        <v>0</v>
      </c>
      <c r="EO201" s="54" t="b">
        <f t="shared" si="284"/>
        <v>1</v>
      </c>
      <c r="EP201" s="54" t="b">
        <f t="shared" si="285"/>
        <v>0</v>
      </c>
      <c r="EQ201" s="54" t="b">
        <f t="shared" si="286"/>
        <v>1</v>
      </c>
      <c r="ER201" s="54">
        <f t="shared" si="287"/>
        <v>0.13240504455009261</v>
      </c>
      <c r="ES201" s="54" t="e">
        <f t="shared" si="288"/>
        <v>#N/A</v>
      </c>
      <c r="ET201" s="54">
        <f t="shared" si="289"/>
        <v>0.13240504455009261</v>
      </c>
      <c r="EU201" s="69" t="str">
        <f t="shared" si="290"/>
        <v/>
      </c>
      <c r="EV20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0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0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01" s="54" t="e" cm="1">
        <f t="array" ref="EY201">IF($CR$3,INDEX(Eu_tabel_a[[#This Row],[Styrke venstre]:[Styrke tosidet]],EY$7),NA())</f>
        <v>#N/A</v>
      </c>
      <c r="EZ201" s="54" t="e">
        <f>IF(EY$3,IF(CHOOSE(EY$7,Eu_tabel_a[[#This Row],[x base]]&gt;0,Eu_tabel_a[[#This Row],[x base]]&lt;0,Eu_tabel_a[[#This Row],[x base]]=0),1,NA()),NA())</f>
        <v>#N/A</v>
      </c>
      <c r="FA201" s="54" t="e">
        <f>IF(CHOOSE(EY$7,Eu_tabel_a[[#This Row],[x base]]&gt;0,Eu_tabel_a[[#This Row],[x base]]&lt;0,Eu_tabel_a[[#This Row],[x base]]=0),Eu_tabel_a[[#This Row],[Styrke, aktiv]],NA())</f>
        <v>#N/A</v>
      </c>
      <c r="FB201" s="54" t="e">
        <f>IFERROR(IF($EY$3,Eu_tabel_a[[#This Row],[Styrke, aktiv]],NA()),NA())</f>
        <v>#N/A</v>
      </c>
      <c r="FC201" s="54" t="e">
        <f>IF(ISNA(Eu_tabel_a[[#This Row],[Sand negativ
Nulhypotese afvises
Korrekt]]),NA(),IF(EY$3,1,NA()))</f>
        <v>#N/A</v>
      </c>
      <c r="FD201" s="55" t="str" cm="1">
        <f t="array" ref="FD201">IFERROR(_xlfn.SWITCH(Eu_tabel_a[[#This Row],[Indeks]],_xlfn.IFNA(FB$2,-99),FB$5,_xlfn.IFNA(FB$3,-99),FB$6,_xlfn.IFNA(FB$4,-99),FB$7,""),"")</f>
        <v/>
      </c>
      <c r="FE201" s="54">
        <f>Eu_tabel_a[[#This Row],[x base]]*SQRT(Eu_a_h0_x*(1-Eu_a_h0_x)/Eu_a_n_x)+Eu_a_h0_x</f>
        <v>0</v>
      </c>
      <c r="FJ201" s="144" t="e">
        <f t="shared" si="338"/>
        <v>#N/A</v>
      </c>
      <c r="FK201" s="152" t="e">
        <f t="shared" si="322"/>
        <v>#DIV/0!</v>
      </c>
      <c r="FL201" s="7" t="e">
        <f t="shared" si="332"/>
        <v>#DIV/0!</v>
      </c>
      <c r="FM201" t="e">
        <f t="shared" si="323"/>
        <v>#DIV/0!</v>
      </c>
      <c r="FN201" s="8" t="e">
        <f t="shared" si="324"/>
        <v>#DIV/0!</v>
      </c>
      <c r="FO201" s="8" t="e">
        <f t="shared" si="325"/>
        <v>#DIV/0!</v>
      </c>
      <c r="FP201" s="151" t="e">
        <f t="shared" si="326"/>
        <v>#DIV/0!</v>
      </c>
      <c r="FQ201" s="144" t="e">
        <f t="shared" ca="1" si="333"/>
        <v>#N/A</v>
      </c>
      <c r="FR201" s="152" t="e" vm="3">
        <f t="shared" ca="1" si="339"/>
        <v>#VALUE!</v>
      </c>
      <c r="FS201" s="7" t="e" vm="3">
        <f t="shared" ca="1" si="334"/>
        <v>#VALUE!</v>
      </c>
      <c r="FT201" t="e" vm="3">
        <f t="shared" ca="1" si="328"/>
        <v>#VALUE!</v>
      </c>
      <c r="FU201" s="8" t="e" vm="3">
        <f t="shared" ca="1" si="329"/>
        <v>#VALUE!</v>
      </c>
      <c r="FV201" s="8" t="e" vm="3">
        <f t="shared" ca="1" si="330"/>
        <v>#VALUE!</v>
      </c>
      <c r="FW201" s="151" t="e" vm="3">
        <f t="shared" ca="1" si="331"/>
        <v>#VALUE!</v>
      </c>
      <c r="FX201" s="144" t="e">
        <f t="shared" si="335"/>
        <v>#N/A</v>
      </c>
      <c r="FY201" s="152" t="e">
        <f t="shared" si="340"/>
        <v>#N/A</v>
      </c>
      <c r="FZ201" s="7" t="e">
        <f t="shared" si="336"/>
        <v>#N/A</v>
      </c>
      <c r="GA201" t="e">
        <f t="shared" si="341"/>
        <v>#N/A</v>
      </c>
      <c r="GB201" s="8" t="e">
        <f t="shared" si="342"/>
        <v>#N/A</v>
      </c>
      <c r="GC201" s="8" t="e">
        <f t="shared" si="343"/>
        <v>#N/A</v>
      </c>
      <c r="GD201" s="151" t="e">
        <f t="shared" si="344"/>
        <v>#N/A</v>
      </c>
      <c r="GE201" s="144" t="e">
        <f t="shared" si="345"/>
        <v>#N/A</v>
      </c>
      <c r="GF201" s="152" t="e">
        <f t="shared" si="346"/>
        <v>#N/A</v>
      </c>
      <c r="GG201" s="7" t="e">
        <f t="shared" si="337"/>
        <v>#N/A</v>
      </c>
      <c r="GH201" t="e">
        <f t="shared" si="347"/>
        <v>#N/A</v>
      </c>
      <c r="GI201" s="8" t="e">
        <f t="shared" si="348"/>
        <v>#N/A</v>
      </c>
      <c r="GJ201" s="8" t="e">
        <f t="shared" si="349"/>
        <v>#N/A</v>
      </c>
      <c r="GK201" s="151" t="e">
        <f t="shared" si="350"/>
        <v>#N/A</v>
      </c>
      <c r="GL201" s="151"/>
      <c r="GM201" s="151"/>
      <c r="GP201" s="54">
        <f t="shared" si="291"/>
        <v>191</v>
      </c>
      <c r="GQ201" s="54">
        <f t="shared" si="292"/>
        <v>192</v>
      </c>
      <c r="GR201" s="54">
        <f t="shared" si="293"/>
        <v>1.4852279300961584</v>
      </c>
      <c r="GS201" s="54">
        <f t="shared" si="294"/>
        <v>0.13240504455009261</v>
      </c>
      <c r="GT201" s="54" t="e">
        <f t="shared" si="295"/>
        <v>#N/A</v>
      </c>
      <c r="GU201" s="54" t="e">
        <f t="shared" si="296"/>
        <v>#N/A</v>
      </c>
      <c r="GV201" s="54" t="e">
        <f t="shared" si="297"/>
        <v>#N/A</v>
      </c>
      <c r="GW201" s="54" t="b">
        <f t="shared" si="298"/>
        <v>0</v>
      </c>
      <c r="GX201" s="54" t="b">
        <f t="shared" si="299"/>
        <v>1</v>
      </c>
      <c r="GY201" s="54" t="b">
        <f t="shared" si="300"/>
        <v>0</v>
      </c>
      <c r="GZ201" s="54" t="b">
        <f t="shared" si="301"/>
        <v>1</v>
      </c>
      <c r="HA201" s="54">
        <f t="shared" si="302"/>
        <v>0.13240504455009261</v>
      </c>
      <c r="HB201" s="54" t="e">
        <f t="shared" si="303"/>
        <v>#N/A</v>
      </c>
      <c r="HC201" s="54">
        <f t="shared" si="304"/>
        <v>0.13240504455009261</v>
      </c>
      <c r="HD201" s="69" t="str">
        <f t="shared" si="305"/>
        <v/>
      </c>
      <c r="HJ201" s="54">
        <f t="shared" si="306"/>
        <v>191</v>
      </c>
      <c r="HK201" s="54">
        <f t="shared" si="307"/>
        <v>192</v>
      </c>
      <c r="HL201" s="54">
        <f t="shared" si="308"/>
        <v>2.2999066432215249</v>
      </c>
      <c r="HM201" s="54" t="e">
        <f t="shared" si="309"/>
        <v>#N/A</v>
      </c>
      <c r="HN201" s="54">
        <f t="shared" si="310"/>
        <v>4.0522517174392161E-2</v>
      </c>
      <c r="HO201" s="54" t="e">
        <f t="shared" si="311"/>
        <v>#N/A</v>
      </c>
      <c r="HP201" s="54" t="e">
        <f t="shared" si="312"/>
        <v>#N/A</v>
      </c>
      <c r="HQ201" s="54" t="b">
        <f t="shared" si="313"/>
        <v>0</v>
      </c>
      <c r="HR201" s="54" t="b">
        <f t="shared" si="314"/>
        <v>1</v>
      </c>
      <c r="HS201" s="54" t="b">
        <f t="shared" si="315"/>
        <v>1</v>
      </c>
      <c r="HT201" s="54" t="b">
        <f t="shared" si="316"/>
        <v>0</v>
      </c>
      <c r="HU201" s="54">
        <f t="shared" si="317"/>
        <v>4.0522517174392161E-2</v>
      </c>
      <c r="HV201" s="54" t="e">
        <f t="shared" si="318"/>
        <v>#N/A</v>
      </c>
      <c r="HW201" s="54">
        <f t="shared" si="319"/>
        <v>4.0522517174392161E-2</v>
      </c>
      <c r="HX201" s="69" t="str">
        <f t="shared" si="320"/>
        <v/>
      </c>
    </row>
    <row r="202" spans="78:232" x14ac:dyDescent="0.2">
      <c r="BZ202" s="54">
        <f t="shared" ref="BZ202:BZ268" si="351">ROW(BZ202)-ROW(BZ$10)</f>
        <v>192</v>
      </c>
      <c r="CA202" s="54">
        <f>Eu_tabel_g[[#This Row],[Indeks]]+1</f>
        <v>193</v>
      </c>
      <c r="CB202" s="54">
        <f t="shared" ref="CB202:CB268" si="352">CB$5+(CB$7-CB$5)/CB$3*BZ202</f>
        <v>1.5091832192912573</v>
      </c>
      <c r="CC202" s="54">
        <f t="shared" ref="CC202:CC265" si="353">IF(CC$3,_xlfn.NORM.DIST(CB202,CC$5,CC$7,FALSE),NA())</f>
        <v>0.12774035804918912</v>
      </c>
      <c r="CD202" s="54" t="e">
        <f t="shared" ref="CD202:CD268" si="354">IF(CD$3,_xlfn.T.DIST(CB202,CD$5,FALSE),NA())</f>
        <v>#N/A</v>
      </c>
      <c r="CE202" s="54" t="e">
        <f t="shared" ref="CE202:CE268" si="355">IF(CE$3,_xlfn.CHISQ.DIST(CB202,CE$5,FALSE),NA())</f>
        <v>#N/A</v>
      </c>
      <c r="CF202" s="54" t="e">
        <f t="shared" ref="CF202:CF268" si="356">IF(CF$3,_xlfn.F.DIST(CB202,CF$5,CF$7,FALSE),NA())</f>
        <v>#N/A</v>
      </c>
      <c r="CG202" s="54" t="b">
        <f t="shared" ref="CG202:CG268" si="357">CB202&lt;CG$3</f>
        <v>0</v>
      </c>
      <c r="CH202" s="54" t="b">
        <f t="shared" ref="CH202:CH265" si="358">CB202&gt;CG$3</f>
        <v>1</v>
      </c>
      <c r="CI202" s="54" t="b">
        <f t="shared" ref="CI202:CI268" si="359">OR(CB202&lt;CI$3,CB202&gt;CI$5)</f>
        <v>0</v>
      </c>
      <c r="CJ202" s="54" t="b">
        <f t="shared" ref="CJ202:CJ265" si="360">AND(CB202&gt;CI$3,CB202&lt;CI$5)</f>
        <v>1</v>
      </c>
      <c r="CK202" s="54">
        <f t="shared" si="327"/>
        <v>0.12774035804918912</v>
      </c>
      <c r="CL202" s="54" t="e">
        <f t="shared" ref="CL202:CL265" si="361">IF(INDEX(CG202:CJ202,CK$7),CK202,NA())</f>
        <v>#N/A</v>
      </c>
      <c r="CM202" s="54">
        <f t="shared" ref="CM202:CM265" si="362">IF(INDEX(CG202:CJ202,CL$7),CK202,NA())</f>
        <v>0.12774035804918912</v>
      </c>
      <c r="CN202" s="69" t="str">
        <f t="shared" ref="CN202:CN268" si="363">_xlfn.SWITCH(BZ202,CN$2,CN$5,CN$3,CN$6,CN$4,CN$7,"")</f>
        <v/>
      </c>
      <c r="CO202" s="54">
        <f>_xlfn.NORM.DIST(_xlfn.NORM.INV(1-Eu_g_konfidensniveau,0,1)-Eu_tabel_g[[#This Row],[x base]],0,1,TRUE)</f>
        <v>8.0514376711931569E-4</v>
      </c>
      <c r="CP202" s="54">
        <f>1-_xlfn.NORM.DIST(_xlfn.NORM.INV(Eu_g_konfidensniveau,0,1)-Eu_tabel_g[[#This Row],[x base]],0,1,TRUE)</f>
        <v>0.44604092132101625</v>
      </c>
      <c r="CQ202" s="54">
        <f>_xlfn.NORM.DIST(_xlfn.NORM.INV((1-Eu_g_konfidensniveau)/2,0,1)-Eu_tabel_g[[#This Row],[x base]],0,1,TRUE)+1-_xlfn.NORM.DIST(_xlfn.NORM.INV(1-(1-Eu_g_konfidensniveau)/2,0,1)-Eu_tabel_g[[#This Row],[x base]],0,1,TRUE)</f>
        <v>0.32633483948430786</v>
      </c>
      <c r="CR202" s="54" t="e" cm="1">
        <f t="array" ref="CR202">IF($CR$3,INDEX(Eu_tabel_g[[#This Row],[Styrke venstre]:[Styrke tosidet]],CR$7),NA())</f>
        <v>#N/A</v>
      </c>
      <c r="CS202" s="89" t="e">
        <f>Eu_tabel_g[[#This Row],[Falsk positiv
Nulhypotese accepteres
Fejltype 1]]</f>
        <v>#N/A</v>
      </c>
      <c r="CT202" s="89" t="e">
        <f>IF(CHOOSE(CR$7,Eu_tabel_g[[#This Row],[x base]]&gt;0,Eu_tabel_g[[#This Row],[x base]]&lt;0,Eu_tabel_g[[#This Row],[x base]]=0),Eu_tabel_g[[#This Row],[Styrke, aktiv]],NA())</f>
        <v>#N/A</v>
      </c>
      <c r="CU202" s="89" t="e">
        <f>IFERROR(IF($CR$3,Eu_tabel_g[[#This Row],[Styrke, aktiv]],NA()),NA())</f>
        <v>#N/A</v>
      </c>
      <c r="CV202" s="89" t="e">
        <f>IF(ISNA(Eu_tabel_g[[#This Row],[Sand negativ
Nulhypotese afvises
Korrekt]]),NA(),IF($CR$3,1,NA()))</f>
        <v>#N/A</v>
      </c>
      <c r="CW202" s="56" t="str" cm="1">
        <f t="array" ref="CW202">_xlfn.SWITCH(BZ202,_xlfn.IFNA(CU$2,-99),CU$5,_xlfn.IFNA(CU$3,-99),CU$6,_xlfn.IFNA(CU$4,-99),CU$7,"")</f>
        <v/>
      </c>
      <c r="DA202" s="7">
        <f t="shared" ref="DA202:DA265" si="364">_xlfn.NORM.DIST(_xlfn.NORM.INV((1-Eu_g_konfidensniveau)/2,0,1)-DB202,0,1,TRUE)+1-_xlfn.NORM.DIST(_xlfn.NORM.INV(1-(1-Eu_g_konfidensniveau)/2,0,1)-DB202,0,1,TRUE)</f>
        <v>0.8</v>
      </c>
      <c r="DB202">
        <f>IF(ROW(Styrkeberegning_G[[#This Row],[X base venstre]])=ROW(Styrkeberegning_G[[#Headers],[X base venstre]])+1,DB$7/(DA$7/$B$67),DB201/(DA201/$B$67))</f>
        <v>-2.8015817870135784</v>
      </c>
      <c r="DC202">
        <f>Styrkeberegning_G[[#This Row],[X base venstre]]*-1</f>
        <v>2.8015817870135784</v>
      </c>
      <c r="DN202" s="54">
        <f t="shared" ref="DN202:DN268" si="365">ROW(DN202)-ROW(DN$10)</f>
        <v>192</v>
      </c>
      <c r="DO202" s="54">
        <f t="shared" ref="DO202:DO265" si="366">DN202+1</f>
        <v>193</v>
      </c>
      <c r="DP202" s="54">
        <f t="shared" ref="DP202:DP268" si="367">DP$5+(DP$7-DP$5)/DP$3*DN202</f>
        <v>23.735457096717884</v>
      </c>
      <c r="DQ202" s="54" t="e">
        <f t="shared" ref="DQ202:DQ265" si="368">IF(DQ$3,_xlfn.NORM.DIST(DP202,DQ$5,DQ$7,FALSE),NA())</f>
        <v>#N/A</v>
      </c>
      <c r="DR202" s="54" t="e">
        <f t="shared" ref="DR202:DR268" si="369">IF(DR$3,_xlfn.T.DIST(DP202,DR$5,FALSE),NA())</f>
        <v>#N/A</v>
      </c>
      <c r="DS202" s="54">
        <f t="shared" ref="DS202:DS268" si="370">IF(DS$3,_xlfn.CHISQ.DIST(DP202,DS$5,FALSE),NA())</f>
        <v>4.5780278989119051E-3</v>
      </c>
      <c r="DT202" s="54" t="e">
        <f t="shared" ref="DT202:DT268" si="371">IF(DT$3,_xlfn.F.DIST(DP202,DT$5,DT$7,FALSE),NA())</f>
        <v>#N/A</v>
      </c>
      <c r="DU202" s="54" t="b">
        <f t="shared" ref="DU202:DU268" si="372">DP202&lt;DU$3</f>
        <v>0</v>
      </c>
      <c r="DV202" s="54" t="b">
        <f t="shared" ref="DV202:DV265" si="373">DP202&gt;DU$3</f>
        <v>1</v>
      </c>
      <c r="DW202" s="54" t="b">
        <f t="shared" ref="DW202:DW268" si="374">OR(DP202&lt;DW$3,DP202&gt;DW$5)</f>
        <v>1</v>
      </c>
      <c r="DX202" s="54" t="b">
        <f t="shared" ref="DX202:DX265" si="375">AND(DP202&gt;DW$3,DP202&lt;DW$5)</f>
        <v>0</v>
      </c>
      <c r="DY202" s="54">
        <f t="shared" ref="DY202:DY265" si="376">_xlfn.AGGREGATE(9,6,DQ202:DT202)</f>
        <v>4.5780278989119051E-3</v>
      </c>
      <c r="DZ202" s="54">
        <f t="shared" ref="DZ202:DZ265" si="377">IF(INDEX(DU202:DX202,DY$7),DY202,NA())</f>
        <v>4.5780278989119051E-3</v>
      </c>
      <c r="EA202" s="54" t="e">
        <f t="shared" ref="EA202:EA265" si="378">IF(INDEX(DU202:DX202,DZ$7),DY202,NA())</f>
        <v>#N/A</v>
      </c>
      <c r="EB202" s="69" t="str">
        <f t="shared" ref="EB202:EB268" si="379">_xlfn.SWITCH(DN202,EB$2,EB$5,EB$3,EB$6,EB$4,EB$7,"")</f>
        <v/>
      </c>
      <c r="EG202" s="54">
        <f t="shared" ref="EG202:EG268" si="380">ROW(EG202)-ROW(EG$10)</f>
        <v>192</v>
      </c>
      <c r="EH202" s="54">
        <f t="shared" ref="EH202:EH265" si="381">EG202+1</f>
        <v>193</v>
      </c>
      <c r="EI202" s="54">
        <f t="shared" ref="EI202:EI268" si="382">EI$5+(EI$7-EI$5)/EI$3*EG202</f>
        <v>1.5091832192912573</v>
      </c>
      <c r="EJ202" s="54">
        <f t="shared" ref="EJ202:EJ265" si="383">IF(EJ$3,_xlfn.NORM.DIST(EI202,EJ$5,EJ$7,FALSE),NA())</f>
        <v>0.12774035804918912</v>
      </c>
      <c r="EK202" s="54" t="e">
        <f t="shared" ref="EK202:EK268" si="384">IF(EK$3,_xlfn.T.DIST(EI202,EK$5,FALSE),NA())</f>
        <v>#N/A</v>
      </c>
      <c r="EL202" s="54" t="e">
        <f t="shared" ref="EL202:EL268" si="385">IF(EL$3,_xlfn.CHISQ.DIST(EI202,EL$5,FALSE),NA())</f>
        <v>#N/A</v>
      </c>
      <c r="EM202" s="54" t="e">
        <f t="shared" ref="EM202:EM268" si="386">IF(EM$3,_xlfn.F.DIST(EI202,EM$5,EM$7,FALSE),NA())</f>
        <v>#N/A</v>
      </c>
      <c r="EN202" s="54" t="b">
        <f t="shared" ref="EN202:EN268" si="387">EI202&lt;EN$3</f>
        <v>0</v>
      </c>
      <c r="EO202" s="54" t="b">
        <f t="shared" ref="EO202:EO265" si="388">EI202&gt;EN$3</f>
        <v>1</v>
      </c>
      <c r="EP202" s="54" t="b">
        <f t="shared" ref="EP202:EP268" si="389">OR(EI202&lt;EP$3,EI202&gt;EP$5)</f>
        <v>0</v>
      </c>
      <c r="EQ202" s="54" t="b">
        <f t="shared" ref="EQ202:EQ265" si="390">AND(EI202&gt;EP$3,EI202&lt;EP$5)</f>
        <v>1</v>
      </c>
      <c r="ER202" s="54">
        <f t="shared" ref="ER202:ER265" si="391">_xlfn.AGGREGATE(9,6,EJ202:EM202)</f>
        <v>0.12774035804918912</v>
      </c>
      <c r="ES202" s="54" t="e">
        <f t="shared" ref="ES202:ES265" si="392">IF(INDEX(EN202:EQ202,ER$7),ER202,NA())</f>
        <v>#N/A</v>
      </c>
      <c r="ET202" s="54">
        <f t="shared" ref="ET202:ET265" si="393">IF(INDEX(EN202:EQ202,ES$7),ER202,NA())</f>
        <v>0.12774035804918912</v>
      </c>
      <c r="EU202" s="69" t="str">
        <f t="shared" ref="EU202:EU268" si="394">_xlfn.SWITCH(EG202,EU$2,EU$5,EU$3,EU$6,EU$4,EU$7,"")</f>
        <v/>
      </c>
      <c r="EV20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0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0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02" s="54" t="e" cm="1">
        <f t="array" ref="EY202">IF($CR$3,INDEX(Eu_tabel_a[[#This Row],[Styrke venstre]:[Styrke tosidet]],EY$7),NA())</f>
        <v>#N/A</v>
      </c>
      <c r="EZ202" s="54" t="e">
        <f>IF(EY$3,IF(CHOOSE(EY$7,Eu_tabel_a[[#This Row],[x base]]&gt;0,Eu_tabel_a[[#This Row],[x base]]&lt;0,Eu_tabel_a[[#This Row],[x base]]=0),1,NA()),NA())</f>
        <v>#N/A</v>
      </c>
      <c r="FA202" s="54" t="e">
        <f>IF(CHOOSE(EY$7,Eu_tabel_a[[#This Row],[x base]]&gt;0,Eu_tabel_a[[#This Row],[x base]]&lt;0,Eu_tabel_a[[#This Row],[x base]]=0),Eu_tabel_a[[#This Row],[Styrke, aktiv]],NA())</f>
        <v>#N/A</v>
      </c>
      <c r="FB202" s="54" t="e">
        <f>IFERROR(IF($EY$3,Eu_tabel_a[[#This Row],[Styrke, aktiv]],NA()),NA())</f>
        <v>#N/A</v>
      </c>
      <c r="FC202" s="54" t="e">
        <f>IF(ISNA(Eu_tabel_a[[#This Row],[Sand negativ
Nulhypotese afvises
Korrekt]]),NA(),IF(EY$3,1,NA()))</f>
        <v>#N/A</v>
      </c>
      <c r="FD202" s="55" t="str" cm="1">
        <f t="array" ref="FD202">IFERROR(_xlfn.SWITCH(Eu_tabel_a[[#This Row],[Indeks]],_xlfn.IFNA(FB$2,-99),FB$5,_xlfn.IFNA(FB$3,-99),FB$6,_xlfn.IFNA(FB$4,-99),FB$7,""),"")</f>
        <v/>
      </c>
      <c r="FE202" s="54">
        <f>Eu_tabel_a[[#This Row],[x base]]*SQRT(Eu_a_h0_x*(1-Eu_a_h0_x)/Eu_a_n_x)+Eu_a_h0_x</f>
        <v>0</v>
      </c>
      <c r="FJ202" s="144" t="e">
        <f t="shared" si="338"/>
        <v>#N/A</v>
      </c>
      <c r="FK202" s="152" t="e">
        <f t="shared" si="322"/>
        <v>#DIV/0!</v>
      </c>
      <c r="FL202" s="7" t="e">
        <f t="shared" si="332"/>
        <v>#DIV/0!</v>
      </c>
      <c r="FM202" t="e">
        <f t="shared" si="323"/>
        <v>#DIV/0!</v>
      </c>
      <c r="FN202" s="8" t="e">
        <f t="shared" si="324"/>
        <v>#DIV/0!</v>
      </c>
      <c r="FO202" s="8" t="e">
        <f t="shared" si="325"/>
        <v>#DIV/0!</v>
      </c>
      <c r="FP202" s="151" t="e">
        <f t="shared" si="326"/>
        <v>#DIV/0!</v>
      </c>
      <c r="FQ202" s="144" t="e">
        <f t="shared" ca="1" si="333"/>
        <v>#N/A</v>
      </c>
      <c r="FR202" s="152" t="e" vm="3">
        <f t="shared" ca="1" si="339"/>
        <v>#VALUE!</v>
      </c>
      <c r="FS202" s="7" t="e" vm="3">
        <f t="shared" ca="1" si="334"/>
        <v>#VALUE!</v>
      </c>
      <c r="FT202" t="e" vm="3">
        <f t="shared" ca="1" si="328"/>
        <v>#VALUE!</v>
      </c>
      <c r="FU202" s="8" t="e" vm="3">
        <f t="shared" ca="1" si="329"/>
        <v>#VALUE!</v>
      </c>
      <c r="FV202" s="8" t="e" vm="3">
        <f t="shared" ca="1" si="330"/>
        <v>#VALUE!</v>
      </c>
      <c r="FW202" s="151" t="e" vm="3">
        <f t="shared" ca="1" si="331"/>
        <v>#VALUE!</v>
      </c>
      <c r="FX202" s="144" t="e">
        <f t="shared" si="335"/>
        <v>#N/A</v>
      </c>
      <c r="FY202" s="152" t="e">
        <f t="shared" si="340"/>
        <v>#N/A</v>
      </c>
      <c r="FZ202" s="7" t="e">
        <f t="shared" si="336"/>
        <v>#N/A</v>
      </c>
      <c r="GA202" t="e">
        <f t="shared" si="341"/>
        <v>#N/A</v>
      </c>
      <c r="GB202" s="8" t="e">
        <f t="shared" si="342"/>
        <v>#N/A</v>
      </c>
      <c r="GC202" s="8" t="e">
        <f t="shared" si="343"/>
        <v>#N/A</v>
      </c>
      <c r="GD202" s="151" t="e">
        <f t="shared" si="344"/>
        <v>#N/A</v>
      </c>
      <c r="GE202" s="144" t="e">
        <f t="shared" si="345"/>
        <v>#N/A</v>
      </c>
      <c r="GF202" s="152" t="e">
        <f t="shared" si="346"/>
        <v>#N/A</v>
      </c>
      <c r="GG202" s="7" t="e">
        <f t="shared" si="337"/>
        <v>#N/A</v>
      </c>
      <c r="GH202" t="e">
        <f t="shared" si="347"/>
        <v>#N/A</v>
      </c>
      <c r="GI202" s="8" t="e">
        <f t="shared" si="348"/>
        <v>#N/A</v>
      </c>
      <c r="GJ202" s="8" t="e">
        <f t="shared" si="349"/>
        <v>#N/A</v>
      </c>
      <c r="GK202" s="151" t="e">
        <f t="shared" si="350"/>
        <v>#N/A</v>
      </c>
      <c r="GL202" s="151"/>
      <c r="GM202" s="151"/>
      <c r="GP202" s="54">
        <f t="shared" ref="GP202:GP268" si="395">ROW(GP202)-ROW(GP$10)</f>
        <v>192</v>
      </c>
      <c r="GQ202" s="54">
        <f t="shared" ref="GQ202:GQ265" si="396">GP202+1</f>
        <v>193</v>
      </c>
      <c r="GR202" s="54">
        <f t="shared" ref="GR202:GR268" si="397">GR$5+(GR$7-GR$5)/GR$3*GP202</f>
        <v>1.5091832192912573</v>
      </c>
      <c r="GS202" s="54">
        <f t="shared" ref="GS202:GS265" si="398">IF(GS$3,_xlfn.NORM.DIST(GR202,GS$5,GS$7,FALSE),NA())</f>
        <v>0.12774035804918912</v>
      </c>
      <c r="GT202" s="54" t="e">
        <f t="shared" ref="GT202:GT268" si="399">IF(GT$3,_xlfn.T.DIST(GR202,GT$5,FALSE),NA())</f>
        <v>#N/A</v>
      </c>
      <c r="GU202" s="54" t="e">
        <f t="shared" ref="GU202:GU268" si="400">IF(GU$3,_xlfn.CHISQ.DIST(GR202,GU$5,FALSE),NA())</f>
        <v>#N/A</v>
      </c>
      <c r="GV202" s="54" t="e">
        <f t="shared" ref="GV202:GV268" si="401">IF(GV$3,_xlfn.F.DIST(GR202,GV$5,GV$7,FALSE),NA())</f>
        <v>#N/A</v>
      </c>
      <c r="GW202" s="54" t="b">
        <f t="shared" ref="GW202:GW268" si="402">GR202&lt;GW$3</f>
        <v>0</v>
      </c>
      <c r="GX202" s="54" t="b">
        <f t="shared" ref="GX202:GX265" si="403">GR202&gt;GW$3</f>
        <v>1</v>
      </c>
      <c r="GY202" s="54" t="b">
        <f t="shared" ref="GY202:GY268" si="404">OR(GR202&lt;GY$3,GR202&gt;GY$5)</f>
        <v>0</v>
      </c>
      <c r="GZ202" s="54" t="b">
        <f t="shared" ref="GZ202:GZ265" si="405">AND(GR202&gt;GY$3,GR202&lt;GY$5)</f>
        <v>1</v>
      </c>
      <c r="HA202" s="54">
        <f t="shared" ref="HA202:HA265" si="406">_xlfn.AGGREGATE(9,6,GS202:GV202)</f>
        <v>0.12774035804918912</v>
      </c>
      <c r="HB202" s="54" t="e">
        <f t="shared" ref="HB202:HB265" si="407">IF(INDEX(GW202:GZ202,HA$7),HA202,NA())</f>
        <v>#N/A</v>
      </c>
      <c r="HC202" s="54">
        <f t="shared" ref="HC202:HC265" si="408">IF(INDEX(GW202:GZ202,HB$7),HA202,NA())</f>
        <v>0.12774035804918912</v>
      </c>
      <c r="HD202" s="69" t="str">
        <f t="shared" ref="HD202:HD268" si="409">_xlfn.SWITCH(GP202,HD$2,HD$5,HD$3,HD$6,HD$4,HD$7,"")</f>
        <v/>
      </c>
      <c r="HJ202" s="54">
        <f t="shared" ref="HJ202:HJ268" si="410">ROW(HJ202)-ROW(HJ$10)</f>
        <v>192</v>
      </c>
      <c r="HK202" s="54">
        <f t="shared" ref="HK202:HK265" si="411">HJ202+1</f>
        <v>193</v>
      </c>
      <c r="HL202" s="54">
        <f t="shared" ref="HL202:HL268" si="412">HL$5+(HL$7-HL$5)/HL$3*HJ202</f>
        <v>2.3370019116605816</v>
      </c>
      <c r="HM202" s="54" t="e">
        <f t="shared" ref="HM202:HM265" si="413">IF(HM$3,_xlfn.NORM.DIST(HL202,HM$5,HM$7,FALSE),NA())</f>
        <v>#N/A</v>
      </c>
      <c r="HN202" s="54">
        <f t="shared" ref="HN202:HN268" si="414">IF(HN$3,_xlfn.T.DIST(HL202,HN$5,FALSE),NA())</f>
        <v>3.8331083360961776E-2</v>
      </c>
      <c r="HO202" s="54" t="e">
        <f t="shared" ref="HO202:HO268" si="415">IF(HO$3,_xlfn.CHISQ.DIST(HL202,HO$5,FALSE),NA())</f>
        <v>#N/A</v>
      </c>
      <c r="HP202" s="54" t="e">
        <f t="shared" ref="HP202:HP268" si="416">IF(HP$3,_xlfn.F.DIST(HL202,HP$5,HP$7,FALSE),NA())</f>
        <v>#N/A</v>
      </c>
      <c r="HQ202" s="54" t="b">
        <f t="shared" ref="HQ202:HQ268" si="417">HL202&lt;HQ$3</f>
        <v>0</v>
      </c>
      <c r="HR202" s="54" t="b">
        <f t="shared" ref="HR202:HR265" si="418">HL202&gt;HQ$3</f>
        <v>1</v>
      </c>
      <c r="HS202" s="54" t="b">
        <f t="shared" ref="HS202:HS268" si="419">OR(HL202&lt;HS$3,HL202&gt;HS$5)</f>
        <v>1</v>
      </c>
      <c r="HT202" s="54" t="b">
        <f t="shared" ref="HT202:HT265" si="420">AND(HL202&gt;HS$3,HL202&lt;HS$5)</f>
        <v>0</v>
      </c>
      <c r="HU202" s="54">
        <f t="shared" ref="HU202:HU265" si="421">_xlfn.AGGREGATE(9,6,HM202:HP202)</f>
        <v>3.8331083360961776E-2</v>
      </c>
      <c r="HV202" s="54" t="e">
        <f t="shared" ref="HV202:HV265" si="422">IF(INDEX(HQ202:HT202,HU$7),HU202,NA())</f>
        <v>#N/A</v>
      </c>
      <c r="HW202" s="54">
        <f t="shared" ref="HW202:HW265" si="423">IF(INDEX(HQ202:HT202,HV$7),HU202,NA())</f>
        <v>3.8331083360961776E-2</v>
      </c>
      <c r="HX202" s="69" t="str">
        <f t="shared" ref="HX202:HX268" si="424">_xlfn.SWITCH(HJ202,HX$2,HX$5,HX$3,HX$6,HX$4,HX$7,"")</f>
        <v/>
      </c>
    </row>
    <row r="203" spans="78:232" x14ac:dyDescent="0.2">
      <c r="BZ203" s="54">
        <f t="shared" si="351"/>
        <v>193</v>
      </c>
      <c r="CA203" s="54">
        <f>Eu_tabel_g[[#This Row],[Indeks]]+1</f>
        <v>194</v>
      </c>
      <c r="CB203" s="54">
        <f t="shared" si="352"/>
        <v>1.5331385084863571</v>
      </c>
      <c r="CC203" s="54">
        <f t="shared" si="353"/>
        <v>0.12316930873768138</v>
      </c>
      <c r="CD203" s="54" t="e">
        <f t="shared" si="354"/>
        <v>#N/A</v>
      </c>
      <c r="CE203" s="54" t="e">
        <f t="shared" si="355"/>
        <v>#N/A</v>
      </c>
      <c r="CF203" s="54" t="e">
        <f t="shared" si="356"/>
        <v>#N/A</v>
      </c>
      <c r="CG203" s="54" t="b">
        <f t="shared" si="357"/>
        <v>0</v>
      </c>
      <c r="CH203" s="54" t="b">
        <f t="shared" si="358"/>
        <v>1</v>
      </c>
      <c r="CI203" s="54" t="b">
        <f t="shared" si="359"/>
        <v>0</v>
      </c>
      <c r="CJ203" s="54" t="b">
        <f t="shared" si="360"/>
        <v>1</v>
      </c>
      <c r="CK203" s="54">
        <f t="shared" si="327"/>
        <v>0.12316930873768138</v>
      </c>
      <c r="CL203" s="54" t="e">
        <f t="shared" si="361"/>
        <v>#N/A</v>
      </c>
      <c r="CM203" s="54">
        <f t="shared" si="362"/>
        <v>0.12316930873768138</v>
      </c>
      <c r="CN203" s="69" t="str">
        <f t="shared" si="363"/>
        <v/>
      </c>
      <c r="CO203" s="54">
        <f>_xlfn.NORM.DIST(_xlfn.NORM.INV(1-Eu_g_konfidensniveau,0,1)-Eu_tabel_g[[#This Row],[x base]],0,1,TRUE)</f>
        <v>7.4149386699190977E-4</v>
      </c>
      <c r="CP203" s="54">
        <f>1-_xlfn.NORM.DIST(_xlfn.NORM.INV(Eu_g_konfidensniveau,0,1)-Eu_tabel_g[[#This Row],[x base]],0,1,TRUE)</f>
        <v>0.45552464578503604</v>
      </c>
      <c r="CQ203" s="54">
        <f>_xlfn.NORM.DIST(_xlfn.NORM.INV((1-Eu_g_konfidensniveau)/2,0,1)-Eu_tabel_g[[#This Row],[x base]],0,1,TRUE)+1-_xlfn.NORM.DIST(_xlfn.NORM.INV(1-(1-Eu_g_konfidensniveau)/2,0,1)-Eu_tabel_g[[#This Row],[x base]],0,1,TRUE)</f>
        <v>0.33499194621031891</v>
      </c>
      <c r="CR203" s="54" t="e" cm="1">
        <f t="array" ref="CR203">IF($CR$3,INDEX(Eu_tabel_g[[#This Row],[Styrke venstre]:[Styrke tosidet]],CR$7),NA())</f>
        <v>#N/A</v>
      </c>
      <c r="CS203" s="89" t="e">
        <f>Eu_tabel_g[[#This Row],[Falsk positiv
Nulhypotese accepteres
Fejltype 1]]</f>
        <v>#N/A</v>
      </c>
      <c r="CT203" s="89" t="e">
        <f>IF(CHOOSE(CR$7,Eu_tabel_g[[#This Row],[x base]]&gt;0,Eu_tabel_g[[#This Row],[x base]]&lt;0,Eu_tabel_g[[#This Row],[x base]]=0),Eu_tabel_g[[#This Row],[Styrke, aktiv]],NA())</f>
        <v>#N/A</v>
      </c>
      <c r="CU203" s="89" t="e">
        <f>IFERROR(IF($CR$3,Eu_tabel_g[[#This Row],[Styrke, aktiv]],NA()),NA())</f>
        <v>#N/A</v>
      </c>
      <c r="CV203" s="89" t="e">
        <f>IF(ISNA(Eu_tabel_g[[#This Row],[Sand negativ
Nulhypotese afvises
Korrekt]]),NA(),IF($CR$3,1,NA()))</f>
        <v>#N/A</v>
      </c>
      <c r="CW203" s="56" t="str" cm="1">
        <f t="array" ref="CW203">_xlfn.SWITCH(BZ203,_xlfn.IFNA(CU$2,-99),CU$5,_xlfn.IFNA(CU$3,-99),CU$6,_xlfn.IFNA(CU$4,-99),CU$7,"")</f>
        <v/>
      </c>
      <c r="DA203" s="7">
        <f t="shared" si="364"/>
        <v>0.8</v>
      </c>
      <c r="DB203">
        <f>IF(ROW(Styrkeberegning_G[[#This Row],[X base venstre]])=ROW(Styrkeberegning_G[[#Headers],[X base venstre]])+1,DB$7/(DA$7/$B$67),DB202/(DA202/$B$67))</f>
        <v>-2.8015817870135784</v>
      </c>
      <c r="DC203">
        <f>Styrkeberegning_G[[#This Row],[X base venstre]]*-1</f>
        <v>2.8015817870135784</v>
      </c>
      <c r="DN203" s="54">
        <f t="shared" si="365"/>
        <v>193</v>
      </c>
      <c r="DO203" s="54">
        <f t="shared" si="366"/>
        <v>194</v>
      </c>
      <c r="DP203" s="54">
        <f t="shared" si="367"/>
        <v>23.849527953134885</v>
      </c>
      <c r="DQ203" s="54" t="e">
        <f t="shared" si="368"/>
        <v>#N/A</v>
      </c>
      <c r="DR203" s="54" t="e">
        <f t="shared" si="369"/>
        <v>#N/A</v>
      </c>
      <c r="DS203" s="54">
        <f t="shared" si="370"/>
        <v>4.4185330567658521E-3</v>
      </c>
      <c r="DT203" s="54" t="e">
        <f t="shared" si="371"/>
        <v>#N/A</v>
      </c>
      <c r="DU203" s="54" t="b">
        <f t="shared" si="372"/>
        <v>0</v>
      </c>
      <c r="DV203" s="54" t="b">
        <f t="shared" si="373"/>
        <v>1</v>
      </c>
      <c r="DW203" s="54" t="b">
        <f t="shared" si="374"/>
        <v>1</v>
      </c>
      <c r="DX203" s="54" t="b">
        <f t="shared" si="375"/>
        <v>0</v>
      </c>
      <c r="DY203" s="54">
        <f t="shared" si="376"/>
        <v>4.4185330567658521E-3</v>
      </c>
      <c r="DZ203" s="54">
        <f t="shared" si="377"/>
        <v>4.4185330567658521E-3</v>
      </c>
      <c r="EA203" s="54" t="e">
        <f t="shared" si="378"/>
        <v>#N/A</v>
      </c>
      <c r="EB203" s="69" t="str">
        <f t="shared" si="379"/>
        <v/>
      </c>
      <c r="EG203" s="54">
        <f t="shared" si="380"/>
        <v>193</v>
      </c>
      <c r="EH203" s="54">
        <f t="shared" si="381"/>
        <v>194</v>
      </c>
      <c r="EI203" s="54">
        <f t="shared" si="382"/>
        <v>1.5331385084863571</v>
      </c>
      <c r="EJ203" s="54">
        <f t="shared" si="383"/>
        <v>0.12316930873768138</v>
      </c>
      <c r="EK203" s="54" t="e">
        <f t="shared" si="384"/>
        <v>#N/A</v>
      </c>
      <c r="EL203" s="54" t="e">
        <f t="shared" si="385"/>
        <v>#N/A</v>
      </c>
      <c r="EM203" s="54" t="e">
        <f t="shared" si="386"/>
        <v>#N/A</v>
      </c>
      <c r="EN203" s="54" t="b">
        <f t="shared" si="387"/>
        <v>0</v>
      </c>
      <c r="EO203" s="54" t="b">
        <f t="shared" si="388"/>
        <v>1</v>
      </c>
      <c r="EP203" s="54" t="b">
        <f t="shared" si="389"/>
        <v>0</v>
      </c>
      <c r="EQ203" s="54" t="b">
        <f t="shared" si="390"/>
        <v>1</v>
      </c>
      <c r="ER203" s="54">
        <f t="shared" si="391"/>
        <v>0.12316930873768138</v>
      </c>
      <c r="ES203" s="54" t="e">
        <f t="shared" si="392"/>
        <v>#N/A</v>
      </c>
      <c r="ET203" s="54">
        <f t="shared" si="393"/>
        <v>0.12316930873768138</v>
      </c>
      <c r="EU203" s="69" t="str">
        <f t="shared" si="394"/>
        <v/>
      </c>
      <c r="EV20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0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0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03" s="54" t="e" cm="1">
        <f t="array" ref="EY203">IF($CR$3,INDEX(Eu_tabel_a[[#This Row],[Styrke venstre]:[Styrke tosidet]],EY$7),NA())</f>
        <v>#N/A</v>
      </c>
      <c r="EZ203" s="54" t="e">
        <f>IF(EY$3,IF(CHOOSE(EY$7,Eu_tabel_a[[#This Row],[x base]]&gt;0,Eu_tabel_a[[#This Row],[x base]]&lt;0,Eu_tabel_a[[#This Row],[x base]]=0),1,NA()),NA())</f>
        <v>#N/A</v>
      </c>
      <c r="FA203" s="54" t="e">
        <f>IF(CHOOSE(EY$7,Eu_tabel_a[[#This Row],[x base]]&gt;0,Eu_tabel_a[[#This Row],[x base]]&lt;0,Eu_tabel_a[[#This Row],[x base]]=0),Eu_tabel_a[[#This Row],[Styrke, aktiv]],NA())</f>
        <v>#N/A</v>
      </c>
      <c r="FB203" s="54" t="e">
        <f>IFERROR(IF($EY$3,Eu_tabel_a[[#This Row],[Styrke, aktiv]],NA()),NA())</f>
        <v>#N/A</v>
      </c>
      <c r="FC203" s="54" t="e">
        <f>IF(ISNA(Eu_tabel_a[[#This Row],[Sand negativ
Nulhypotese afvises
Korrekt]]),NA(),IF(EY$3,1,NA()))</f>
        <v>#N/A</v>
      </c>
      <c r="FD203" s="55" t="str" cm="1">
        <f t="array" ref="FD203">IFERROR(_xlfn.SWITCH(Eu_tabel_a[[#This Row],[Indeks]],_xlfn.IFNA(FB$2,-99),FB$5,_xlfn.IFNA(FB$3,-99),FB$6,_xlfn.IFNA(FB$4,-99),FB$7,""),"")</f>
        <v/>
      </c>
      <c r="FE203" s="54">
        <f>Eu_tabel_a[[#This Row],[x base]]*SQRT(Eu_a_h0_x*(1-Eu_a_h0_x)/Eu_a_n_x)+Eu_a_h0_x</f>
        <v>0</v>
      </c>
      <c r="FJ203" s="144" t="e">
        <f t="shared" si="338"/>
        <v>#N/A</v>
      </c>
      <c r="FK203" s="152" t="e">
        <f t="shared" si="322"/>
        <v>#DIV/0!</v>
      </c>
      <c r="FL203" s="7" t="e">
        <f t="shared" si="332"/>
        <v>#DIV/0!</v>
      </c>
      <c r="FM203" t="e">
        <f t="shared" si="323"/>
        <v>#DIV/0!</v>
      </c>
      <c r="FN203" s="8" t="e">
        <f t="shared" si="324"/>
        <v>#DIV/0!</v>
      </c>
      <c r="FO203" s="8" t="e">
        <f t="shared" si="325"/>
        <v>#DIV/0!</v>
      </c>
      <c r="FP203" s="151" t="e">
        <f t="shared" si="326"/>
        <v>#DIV/0!</v>
      </c>
      <c r="FQ203" s="144" t="e">
        <f t="shared" ca="1" si="333"/>
        <v>#N/A</v>
      </c>
      <c r="FR203" s="152" t="e" vm="3">
        <f t="shared" ca="1" si="339"/>
        <v>#VALUE!</v>
      </c>
      <c r="FS203" s="7" t="e" vm="3">
        <f t="shared" ca="1" si="334"/>
        <v>#VALUE!</v>
      </c>
      <c r="FT203" t="e" vm="3">
        <f t="shared" ca="1" si="328"/>
        <v>#VALUE!</v>
      </c>
      <c r="FU203" s="8" t="e" vm="3">
        <f t="shared" ca="1" si="329"/>
        <v>#VALUE!</v>
      </c>
      <c r="FV203" s="8" t="e" vm="3">
        <f t="shared" ca="1" si="330"/>
        <v>#VALUE!</v>
      </c>
      <c r="FW203" s="151" t="e" vm="3">
        <f t="shared" ca="1" si="331"/>
        <v>#VALUE!</v>
      </c>
      <c r="FX203" s="144" t="e">
        <f t="shared" si="335"/>
        <v>#N/A</v>
      </c>
      <c r="FY203" s="152" t="e">
        <f t="shared" si="340"/>
        <v>#N/A</v>
      </c>
      <c r="FZ203" s="7" t="e">
        <f t="shared" si="336"/>
        <v>#N/A</v>
      </c>
      <c r="GA203" t="e">
        <f t="shared" si="341"/>
        <v>#N/A</v>
      </c>
      <c r="GB203" s="8" t="e">
        <f t="shared" si="342"/>
        <v>#N/A</v>
      </c>
      <c r="GC203" s="8" t="e">
        <f t="shared" si="343"/>
        <v>#N/A</v>
      </c>
      <c r="GD203" s="151" t="e">
        <f t="shared" si="344"/>
        <v>#N/A</v>
      </c>
      <c r="GE203" s="144" t="e">
        <f t="shared" si="345"/>
        <v>#N/A</v>
      </c>
      <c r="GF203" s="152" t="e">
        <f t="shared" si="346"/>
        <v>#N/A</v>
      </c>
      <c r="GG203" s="7" t="e">
        <f t="shared" si="337"/>
        <v>#N/A</v>
      </c>
      <c r="GH203" t="e">
        <f t="shared" si="347"/>
        <v>#N/A</v>
      </c>
      <c r="GI203" s="8" t="e">
        <f t="shared" si="348"/>
        <v>#N/A</v>
      </c>
      <c r="GJ203" s="8" t="e">
        <f t="shared" si="349"/>
        <v>#N/A</v>
      </c>
      <c r="GK203" s="151" t="e">
        <f t="shared" si="350"/>
        <v>#N/A</v>
      </c>
      <c r="GL203" s="151"/>
      <c r="GM203" s="151"/>
      <c r="GP203" s="54">
        <f t="shared" si="395"/>
        <v>193</v>
      </c>
      <c r="GQ203" s="54">
        <f t="shared" si="396"/>
        <v>194</v>
      </c>
      <c r="GR203" s="54">
        <f t="shared" si="397"/>
        <v>1.5331385084863571</v>
      </c>
      <c r="GS203" s="54">
        <f t="shared" si="398"/>
        <v>0.12316930873768138</v>
      </c>
      <c r="GT203" s="54" t="e">
        <f t="shared" si="399"/>
        <v>#N/A</v>
      </c>
      <c r="GU203" s="54" t="e">
        <f t="shared" si="400"/>
        <v>#N/A</v>
      </c>
      <c r="GV203" s="54" t="e">
        <f t="shared" si="401"/>
        <v>#N/A</v>
      </c>
      <c r="GW203" s="54" t="b">
        <f t="shared" si="402"/>
        <v>0</v>
      </c>
      <c r="GX203" s="54" t="b">
        <f t="shared" si="403"/>
        <v>1</v>
      </c>
      <c r="GY203" s="54" t="b">
        <f t="shared" si="404"/>
        <v>0</v>
      </c>
      <c r="GZ203" s="54" t="b">
        <f t="shared" si="405"/>
        <v>1</v>
      </c>
      <c r="HA203" s="54">
        <f t="shared" si="406"/>
        <v>0.12316930873768138</v>
      </c>
      <c r="HB203" s="54" t="e">
        <f t="shared" si="407"/>
        <v>#N/A</v>
      </c>
      <c r="HC203" s="54">
        <f t="shared" si="408"/>
        <v>0.12316930873768138</v>
      </c>
      <c r="HD203" s="69" t="str">
        <f t="shared" si="409"/>
        <v/>
      </c>
      <c r="HJ203" s="54">
        <f t="shared" si="410"/>
        <v>193</v>
      </c>
      <c r="HK203" s="54">
        <f t="shared" si="411"/>
        <v>194</v>
      </c>
      <c r="HL203" s="54">
        <f t="shared" si="412"/>
        <v>2.3740971800996382</v>
      </c>
      <c r="HM203" s="54" t="e">
        <f t="shared" si="413"/>
        <v>#N/A</v>
      </c>
      <c r="HN203" s="54">
        <f t="shared" si="414"/>
        <v>3.6254205263453354E-2</v>
      </c>
      <c r="HO203" s="54" t="e">
        <f t="shared" si="415"/>
        <v>#N/A</v>
      </c>
      <c r="HP203" s="54" t="e">
        <f t="shared" si="416"/>
        <v>#N/A</v>
      </c>
      <c r="HQ203" s="54" t="b">
        <f t="shared" si="417"/>
        <v>0</v>
      </c>
      <c r="HR203" s="54" t="b">
        <f t="shared" si="418"/>
        <v>1</v>
      </c>
      <c r="HS203" s="54" t="b">
        <f t="shared" si="419"/>
        <v>1</v>
      </c>
      <c r="HT203" s="54" t="b">
        <f t="shared" si="420"/>
        <v>0</v>
      </c>
      <c r="HU203" s="54">
        <f t="shared" si="421"/>
        <v>3.6254205263453354E-2</v>
      </c>
      <c r="HV203" s="54" t="e">
        <f t="shared" si="422"/>
        <v>#N/A</v>
      </c>
      <c r="HW203" s="54">
        <f t="shared" si="423"/>
        <v>3.6254205263453354E-2</v>
      </c>
      <c r="HX203" s="69" t="str">
        <f t="shared" si="424"/>
        <v/>
      </c>
    </row>
    <row r="204" spans="78:232" x14ac:dyDescent="0.2">
      <c r="BZ204" s="54">
        <f t="shared" si="351"/>
        <v>194</v>
      </c>
      <c r="CA204" s="54">
        <f>Eu_tabel_g[[#This Row],[Indeks]]+1</f>
        <v>195</v>
      </c>
      <c r="CB204" s="54">
        <f t="shared" si="352"/>
        <v>1.5570937976814561</v>
      </c>
      <c r="CC204" s="54">
        <f t="shared" si="353"/>
        <v>0.11869369681429406</v>
      </c>
      <c r="CD204" s="54" t="e">
        <f t="shared" si="354"/>
        <v>#N/A</v>
      </c>
      <c r="CE204" s="54" t="e">
        <f t="shared" si="355"/>
        <v>#N/A</v>
      </c>
      <c r="CF204" s="54" t="e">
        <f t="shared" si="356"/>
        <v>#N/A</v>
      </c>
      <c r="CG204" s="54" t="b">
        <f t="shared" si="357"/>
        <v>0</v>
      </c>
      <c r="CH204" s="54" t="b">
        <f t="shared" si="358"/>
        <v>1</v>
      </c>
      <c r="CI204" s="54" t="b">
        <f t="shared" si="359"/>
        <v>0</v>
      </c>
      <c r="CJ204" s="54" t="b">
        <f t="shared" si="360"/>
        <v>1</v>
      </c>
      <c r="CK204" s="54">
        <f t="shared" si="327"/>
        <v>0.11869369681429406</v>
      </c>
      <c r="CL204" s="54" t="e">
        <f t="shared" si="361"/>
        <v>#N/A</v>
      </c>
      <c r="CM204" s="54">
        <f t="shared" si="362"/>
        <v>0.11869369681429406</v>
      </c>
      <c r="CN204" s="69" t="str">
        <f t="shared" si="363"/>
        <v/>
      </c>
      <c r="CO204" s="54">
        <f>_xlfn.NORM.DIST(_xlfn.NORM.INV(1-Eu_g_konfidensniveau,0,1)-Eu_tabel_g[[#This Row],[x base]],0,1,TRUE)</f>
        <v>6.8250954524728383E-4</v>
      </c>
      <c r="CP204" s="54">
        <f>1-_xlfn.NORM.DIST(_xlfn.NORM.INV(Eu_g_konfidensniveau,0,1)-Eu_tabel_g[[#This Row],[x base]],0,1,TRUE)</f>
        <v>0.46503378306270893</v>
      </c>
      <c r="CQ204" s="54">
        <f>_xlfn.NORM.DIST(_xlfn.NORM.INV((1-Eu_g_konfidensniveau)/2,0,1)-Eu_tabel_g[[#This Row],[x base]],0,1,TRUE)+1-_xlfn.NORM.DIST(_xlfn.NORM.INV(1-(1-Eu_g_konfidensniveau)/2,0,1)-Eu_tabel_g[[#This Row],[x base]],0,1,TRUE)</f>
        <v>0.34374004164020977</v>
      </c>
      <c r="CR204" s="54" t="e" cm="1">
        <f t="array" ref="CR204">IF($CR$3,INDEX(Eu_tabel_g[[#This Row],[Styrke venstre]:[Styrke tosidet]],CR$7),NA())</f>
        <v>#N/A</v>
      </c>
      <c r="CS204" s="89" t="e">
        <f>Eu_tabel_g[[#This Row],[Falsk positiv
Nulhypotese accepteres
Fejltype 1]]</f>
        <v>#N/A</v>
      </c>
      <c r="CT204" s="89" t="e">
        <f>IF(CHOOSE(CR$7,Eu_tabel_g[[#This Row],[x base]]&gt;0,Eu_tabel_g[[#This Row],[x base]]&lt;0,Eu_tabel_g[[#This Row],[x base]]=0),Eu_tabel_g[[#This Row],[Styrke, aktiv]],NA())</f>
        <v>#N/A</v>
      </c>
      <c r="CU204" s="89" t="e">
        <f>IFERROR(IF($CR$3,Eu_tabel_g[[#This Row],[Styrke, aktiv]],NA()),NA())</f>
        <v>#N/A</v>
      </c>
      <c r="CV204" s="89" t="e">
        <f>IF(ISNA(Eu_tabel_g[[#This Row],[Sand negativ
Nulhypotese afvises
Korrekt]]),NA(),IF($CR$3,1,NA()))</f>
        <v>#N/A</v>
      </c>
      <c r="CW204" s="56" t="str" cm="1">
        <f t="array" ref="CW204">_xlfn.SWITCH(BZ204,_xlfn.IFNA(CU$2,-99),CU$5,_xlfn.IFNA(CU$3,-99),CU$6,_xlfn.IFNA(CU$4,-99),CU$7,"")</f>
        <v/>
      </c>
      <c r="DA204" s="7">
        <f t="shared" si="364"/>
        <v>0.8</v>
      </c>
      <c r="DB204">
        <f>IF(ROW(Styrkeberegning_G[[#This Row],[X base venstre]])=ROW(Styrkeberegning_G[[#Headers],[X base venstre]])+1,DB$7/(DA$7/$B$67),DB203/(DA203/$B$67))</f>
        <v>-2.8015817870135784</v>
      </c>
      <c r="DC204">
        <f>Styrkeberegning_G[[#This Row],[X base venstre]]*-1</f>
        <v>2.8015817870135784</v>
      </c>
      <c r="DN204" s="54">
        <f t="shared" si="365"/>
        <v>194</v>
      </c>
      <c r="DO204" s="54">
        <f t="shared" si="366"/>
        <v>195</v>
      </c>
      <c r="DP204" s="54">
        <f t="shared" si="367"/>
        <v>23.963598809551886</v>
      </c>
      <c r="DQ204" s="54" t="e">
        <f t="shared" si="368"/>
        <v>#N/A</v>
      </c>
      <c r="DR204" s="54" t="e">
        <f t="shared" si="369"/>
        <v>#N/A</v>
      </c>
      <c r="DS204" s="54">
        <f t="shared" si="370"/>
        <v>4.2641558895634693E-3</v>
      </c>
      <c r="DT204" s="54" t="e">
        <f t="shared" si="371"/>
        <v>#N/A</v>
      </c>
      <c r="DU204" s="54" t="b">
        <f t="shared" si="372"/>
        <v>0</v>
      </c>
      <c r="DV204" s="54" t="b">
        <f t="shared" si="373"/>
        <v>1</v>
      </c>
      <c r="DW204" s="54" t="b">
        <f t="shared" si="374"/>
        <v>1</v>
      </c>
      <c r="DX204" s="54" t="b">
        <f t="shared" si="375"/>
        <v>0</v>
      </c>
      <c r="DY204" s="54">
        <f t="shared" si="376"/>
        <v>4.2641558895634693E-3</v>
      </c>
      <c r="DZ204" s="54">
        <f t="shared" si="377"/>
        <v>4.2641558895634693E-3</v>
      </c>
      <c r="EA204" s="54" t="e">
        <f t="shared" si="378"/>
        <v>#N/A</v>
      </c>
      <c r="EB204" s="69" t="str">
        <f t="shared" si="379"/>
        <v/>
      </c>
      <c r="EG204" s="54">
        <f t="shared" si="380"/>
        <v>194</v>
      </c>
      <c r="EH204" s="54">
        <f t="shared" si="381"/>
        <v>195</v>
      </c>
      <c r="EI204" s="54">
        <f t="shared" si="382"/>
        <v>1.5570937976814561</v>
      </c>
      <c r="EJ204" s="54">
        <f t="shared" si="383"/>
        <v>0.11869369681429406</v>
      </c>
      <c r="EK204" s="54" t="e">
        <f t="shared" si="384"/>
        <v>#N/A</v>
      </c>
      <c r="EL204" s="54" t="e">
        <f t="shared" si="385"/>
        <v>#N/A</v>
      </c>
      <c r="EM204" s="54" t="e">
        <f t="shared" si="386"/>
        <v>#N/A</v>
      </c>
      <c r="EN204" s="54" t="b">
        <f t="shared" si="387"/>
        <v>0</v>
      </c>
      <c r="EO204" s="54" t="b">
        <f t="shared" si="388"/>
        <v>1</v>
      </c>
      <c r="EP204" s="54" t="b">
        <f t="shared" si="389"/>
        <v>0</v>
      </c>
      <c r="EQ204" s="54" t="b">
        <f t="shared" si="390"/>
        <v>1</v>
      </c>
      <c r="ER204" s="54">
        <f t="shared" si="391"/>
        <v>0.11869369681429406</v>
      </c>
      <c r="ES204" s="54" t="e">
        <f t="shared" si="392"/>
        <v>#N/A</v>
      </c>
      <c r="ET204" s="54">
        <f t="shared" si="393"/>
        <v>0.11869369681429406</v>
      </c>
      <c r="EU204" s="69" t="str">
        <f t="shared" si="394"/>
        <v/>
      </c>
      <c r="EV20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0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0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04" s="54" t="e" cm="1">
        <f t="array" ref="EY204">IF($CR$3,INDEX(Eu_tabel_a[[#This Row],[Styrke venstre]:[Styrke tosidet]],EY$7),NA())</f>
        <v>#N/A</v>
      </c>
      <c r="EZ204" s="54" t="e">
        <f>IF(EY$3,IF(CHOOSE(EY$7,Eu_tabel_a[[#This Row],[x base]]&gt;0,Eu_tabel_a[[#This Row],[x base]]&lt;0,Eu_tabel_a[[#This Row],[x base]]=0),1,NA()),NA())</f>
        <v>#N/A</v>
      </c>
      <c r="FA204" s="54" t="e">
        <f>IF(CHOOSE(EY$7,Eu_tabel_a[[#This Row],[x base]]&gt;0,Eu_tabel_a[[#This Row],[x base]]&lt;0,Eu_tabel_a[[#This Row],[x base]]=0),Eu_tabel_a[[#This Row],[Styrke, aktiv]],NA())</f>
        <v>#N/A</v>
      </c>
      <c r="FB204" s="54" t="e">
        <f>IFERROR(IF($EY$3,Eu_tabel_a[[#This Row],[Styrke, aktiv]],NA()),NA())</f>
        <v>#N/A</v>
      </c>
      <c r="FC204" s="54" t="e">
        <f>IF(ISNA(Eu_tabel_a[[#This Row],[Sand negativ
Nulhypotese afvises
Korrekt]]),NA(),IF(EY$3,1,NA()))</f>
        <v>#N/A</v>
      </c>
      <c r="FD204" s="55" t="str" cm="1">
        <f t="array" ref="FD204">IFERROR(_xlfn.SWITCH(Eu_tabel_a[[#This Row],[Indeks]],_xlfn.IFNA(FB$2,-99),FB$5,_xlfn.IFNA(FB$3,-99),FB$6,_xlfn.IFNA(FB$4,-99),FB$7,""),"")</f>
        <v/>
      </c>
      <c r="FE204" s="54">
        <f>Eu_tabel_a[[#This Row],[x base]]*SQRT(Eu_a_h0_x*(1-Eu_a_h0_x)/Eu_a_n_x)+Eu_a_h0_x</f>
        <v>0</v>
      </c>
      <c r="FJ204" s="144" t="e">
        <f t="shared" si="338"/>
        <v>#N/A</v>
      </c>
      <c r="FK204" s="152" t="e">
        <f t="shared" si="322"/>
        <v>#DIV/0!</v>
      </c>
      <c r="FL204" s="7" t="e">
        <f t="shared" si="332"/>
        <v>#DIV/0!</v>
      </c>
      <c r="FM204" t="e">
        <f t="shared" si="323"/>
        <v>#DIV/0!</v>
      </c>
      <c r="FN204" s="8" t="e">
        <f t="shared" si="324"/>
        <v>#DIV/0!</v>
      </c>
      <c r="FO204" s="8" t="e">
        <f t="shared" si="325"/>
        <v>#DIV/0!</v>
      </c>
      <c r="FP204" s="151" t="e">
        <f t="shared" si="326"/>
        <v>#DIV/0!</v>
      </c>
      <c r="FQ204" s="144" t="e">
        <f t="shared" ca="1" si="333"/>
        <v>#N/A</v>
      </c>
      <c r="FR204" s="152" t="e" vm="3">
        <f t="shared" ca="1" si="339"/>
        <v>#VALUE!</v>
      </c>
      <c r="FS204" s="7" t="e" vm="3">
        <f t="shared" ca="1" si="334"/>
        <v>#VALUE!</v>
      </c>
      <c r="FT204" t="e" vm="3">
        <f t="shared" ca="1" si="328"/>
        <v>#VALUE!</v>
      </c>
      <c r="FU204" s="8" t="e" vm="3">
        <f t="shared" ca="1" si="329"/>
        <v>#VALUE!</v>
      </c>
      <c r="FV204" s="8" t="e" vm="3">
        <f t="shared" ca="1" si="330"/>
        <v>#VALUE!</v>
      </c>
      <c r="FW204" s="151" t="e" vm="3">
        <f t="shared" ca="1" si="331"/>
        <v>#VALUE!</v>
      </c>
      <c r="FX204" s="144" t="e">
        <f t="shared" si="335"/>
        <v>#N/A</v>
      </c>
      <c r="FY204" s="152" t="e">
        <f t="shared" si="340"/>
        <v>#N/A</v>
      </c>
      <c r="FZ204" s="7" t="e">
        <f t="shared" si="336"/>
        <v>#N/A</v>
      </c>
      <c r="GA204" t="e">
        <f t="shared" si="341"/>
        <v>#N/A</v>
      </c>
      <c r="GB204" s="8" t="e">
        <f t="shared" si="342"/>
        <v>#N/A</v>
      </c>
      <c r="GC204" s="8" t="e">
        <f t="shared" si="343"/>
        <v>#N/A</v>
      </c>
      <c r="GD204" s="151" t="e">
        <f t="shared" si="344"/>
        <v>#N/A</v>
      </c>
      <c r="GE204" s="144" t="e">
        <f t="shared" si="345"/>
        <v>#N/A</v>
      </c>
      <c r="GF204" s="152" t="e">
        <f t="shared" si="346"/>
        <v>#N/A</v>
      </c>
      <c r="GG204" s="7" t="e">
        <f t="shared" si="337"/>
        <v>#N/A</v>
      </c>
      <c r="GH204" t="e">
        <f t="shared" si="347"/>
        <v>#N/A</v>
      </c>
      <c r="GI204" s="8" t="e">
        <f t="shared" si="348"/>
        <v>#N/A</v>
      </c>
      <c r="GJ204" s="8" t="e">
        <f t="shared" si="349"/>
        <v>#N/A</v>
      </c>
      <c r="GK204" s="151" t="e">
        <f t="shared" si="350"/>
        <v>#N/A</v>
      </c>
      <c r="GL204" s="151"/>
      <c r="GM204" s="151"/>
      <c r="GP204" s="54">
        <f t="shared" si="395"/>
        <v>194</v>
      </c>
      <c r="GQ204" s="54">
        <f t="shared" si="396"/>
        <v>195</v>
      </c>
      <c r="GR204" s="54">
        <f t="shared" si="397"/>
        <v>1.5570937976814561</v>
      </c>
      <c r="GS204" s="54">
        <f t="shared" si="398"/>
        <v>0.11869369681429406</v>
      </c>
      <c r="GT204" s="54" t="e">
        <f t="shared" si="399"/>
        <v>#N/A</v>
      </c>
      <c r="GU204" s="54" t="e">
        <f t="shared" si="400"/>
        <v>#N/A</v>
      </c>
      <c r="GV204" s="54" t="e">
        <f t="shared" si="401"/>
        <v>#N/A</v>
      </c>
      <c r="GW204" s="54" t="b">
        <f t="shared" si="402"/>
        <v>0</v>
      </c>
      <c r="GX204" s="54" t="b">
        <f t="shared" si="403"/>
        <v>1</v>
      </c>
      <c r="GY204" s="54" t="b">
        <f t="shared" si="404"/>
        <v>0</v>
      </c>
      <c r="GZ204" s="54" t="b">
        <f t="shared" si="405"/>
        <v>1</v>
      </c>
      <c r="HA204" s="54">
        <f t="shared" si="406"/>
        <v>0.11869369681429406</v>
      </c>
      <c r="HB204" s="54" t="e">
        <f t="shared" si="407"/>
        <v>#N/A</v>
      </c>
      <c r="HC204" s="54">
        <f t="shared" si="408"/>
        <v>0.11869369681429406</v>
      </c>
      <c r="HD204" s="69" t="str">
        <f t="shared" si="409"/>
        <v/>
      </c>
      <c r="HJ204" s="54">
        <f t="shared" si="410"/>
        <v>194</v>
      </c>
      <c r="HK204" s="54">
        <f t="shared" si="411"/>
        <v>195</v>
      </c>
      <c r="HL204" s="54">
        <f t="shared" si="412"/>
        <v>2.4111924485386949</v>
      </c>
      <c r="HM204" s="54" t="e">
        <f t="shared" si="413"/>
        <v>#N/A</v>
      </c>
      <c r="HN204" s="54">
        <f t="shared" si="414"/>
        <v>3.428663268349693E-2</v>
      </c>
      <c r="HO204" s="54" t="e">
        <f t="shared" si="415"/>
        <v>#N/A</v>
      </c>
      <c r="HP204" s="54" t="e">
        <f t="shared" si="416"/>
        <v>#N/A</v>
      </c>
      <c r="HQ204" s="54" t="b">
        <f t="shared" si="417"/>
        <v>0</v>
      </c>
      <c r="HR204" s="54" t="b">
        <f t="shared" si="418"/>
        <v>1</v>
      </c>
      <c r="HS204" s="54" t="b">
        <f t="shared" si="419"/>
        <v>1</v>
      </c>
      <c r="HT204" s="54" t="b">
        <f t="shared" si="420"/>
        <v>0</v>
      </c>
      <c r="HU204" s="54">
        <f t="shared" si="421"/>
        <v>3.428663268349693E-2</v>
      </c>
      <c r="HV204" s="54" t="e">
        <f t="shared" si="422"/>
        <v>#N/A</v>
      </c>
      <c r="HW204" s="54">
        <f t="shared" si="423"/>
        <v>3.428663268349693E-2</v>
      </c>
      <c r="HX204" s="69" t="str">
        <f t="shared" si="424"/>
        <v/>
      </c>
    </row>
    <row r="205" spans="78:232" x14ac:dyDescent="0.2">
      <c r="BZ205" s="54">
        <f t="shared" si="351"/>
        <v>195</v>
      </c>
      <c r="CA205" s="54">
        <f>Eu_tabel_g[[#This Row],[Indeks]]+1</f>
        <v>196</v>
      </c>
      <c r="CB205" s="54">
        <f t="shared" si="352"/>
        <v>1.5810490868765559</v>
      </c>
      <c r="CC205" s="54">
        <f t="shared" si="353"/>
        <v>0.11431509630296083</v>
      </c>
      <c r="CD205" s="54" t="e">
        <f t="shared" si="354"/>
        <v>#N/A</v>
      </c>
      <c r="CE205" s="54" t="e">
        <f t="shared" si="355"/>
        <v>#N/A</v>
      </c>
      <c r="CF205" s="54" t="e">
        <f t="shared" si="356"/>
        <v>#N/A</v>
      </c>
      <c r="CG205" s="54" t="b">
        <f t="shared" si="357"/>
        <v>0</v>
      </c>
      <c r="CH205" s="54" t="b">
        <f t="shared" si="358"/>
        <v>1</v>
      </c>
      <c r="CI205" s="54" t="b">
        <f t="shared" si="359"/>
        <v>0</v>
      </c>
      <c r="CJ205" s="54" t="b">
        <f t="shared" si="360"/>
        <v>1</v>
      </c>
      <c r="CK205" s="54">
        <f t="shared" si="327"/>
        <v>0.11431509630296083</v>
      </c>
      <c r="CL205" s="54" t="e">
        <f t="shared" si="361"/>
        <v>#N/A</v>
      </c>
      <c r="CM205" s="54">
        <f t="shared" si="362"/>
        <v>0.11431509630296083</v>
      </c>
      <c r="CN205" s="69" t="str">
        <f t="shared" si="363"/>
        <v/>
      </c>
      <c r="CO205" s="54">
        <f>_xlfn.NORM.DIST(_xlfn.NORM.INV(1-Eu_g_konfidensniveau,0,1)-Eu_tabel_g[[#This Row],[x base]],0,1,TRUE)</f>
        <v>6.2788016889242634E-4</v>
      </c>
      <c r="CP205" s="54">
        <f>1-_xlfn.NORM.DIST(_xlfn.NORM.INV(Eu_g_konfidensniveau,0,1)-Eu_tabel_g[[#This Row],[x base]],0,1,TRUE)</f>
        <v>0.47456293158522467</v>
      </c>
      <c r="CQ205" s="54">
        <f>_xlfn.NORM.DIST(_xlfn.NORM.INV((1-Eu_g_konfidensniveau)/2,0,1)-Eu_tabel_g[[#This Row],[x base]],0,1,TRUE)+1-_xlfn.NORM.DIST(_xlfn.NORM.INV(1-(1-Eu_g_konfidensniveau)/2,0,1)-Eu_tabel_g[[#This Row],[x base]],0,1,TRUE)</f>
        <v>0.35257482739793311</v>
      </c>
      <c r="CR205" s="54" t="e" cm="1">
        <f t="array" ref="CR205">IF($CR$3,INDEX(Eu_tabel_g[[#This Row],[Styrke venstre]:[Styrke tosidet]],CR$7),NA())</f>
        <v>#N/A</v>
      </c>
      <c r="CS205" s="89" t="e">
        <f>Eu_tabel_g[[#This Row],[Falsk positiv
Nulhypotese accepteres
Fejltype 1]]</f>
        <v>#N/A</v>
      </c>
      <c r="CT205" s="89" t="e">
        <f>IF(CHOOSE(CR$7,Eu_tabel_g[[#This Row],[x base]]&gt;0,Eu_tabel_g[[#This Row],[x base]]&lt;0,Eu_tabel_g[[#This Row],[x base]]=0),Eu_tabel_g[[#This Row],[Styrke, aktiv]],NA())</f>
        <v>#N/A</v>
      </c>
      <c r="CU205" s="89" t="e">
        <f>IFERROR(IF($CR$3,Eu_tabel_g[[#This Row],[Styrke, aktiv]],NA()),NA())</f>
        <v>#N/A</v>
      </c>
      <c r="CV205" s="89" t="e">
        <f>IF(ISNA(Eu_tabel_g[[#This Row],[Sand negativ
Nulhypotese afvises
Korrekt]]),NA(),IF($CR$3,1,NA()))</f>
        <v>#N/A</v>
      </c>
      <c r="CW205" s="56" t="str" cm="1">
        <f t="array" ref="CW205">_xlfn.SWITCH(BZ205,_xlfn.IFNA(CU$2,-99),CU$5,_xlfn.IFNA(CU$3,-99),CU$6,_xlfn.IFNA(CU$4,-99),CU$7,"")</f>
        <v/>
      </c>
      <c r="DA205" s="7">
        <f t="shared" si="364"/>
        <v>0.8</v>
      </c>
      <c r="DB205">
        <f>IF(ROW(Styrkeberegning_G[[#This Row],[X base venstre]])=ROW(Styrkeberegning_G[[#Headers],[X base venstre]])+1,DB$7/(DA$7/$B$67),DB204/(DA204/$B$67))</f>
        <v>-2.8015817870135784</v>
      </c>
      <c r="DC205">
        <f>Styrkeberegning_G[[#This Row],[X base venstre]]*-1</f>
        <v>2.8015817870135784</v>
      </c>
      <c r="DN205" s="54">
        <f t="shared" si="365"/>
        <v>195</v>
      </c>
      <c r="DO205" s="54">
        <f t="shared" si="366"/>
        <v>196</v>
      </c>
      <c r="DP205" s="54">
        <f t="shared" si="367"/>
        <v>24.077669665968887</v>
      </c>
      <c r="DQ205" s="54" t="e">
        <f t="shared" si="368"/>
        <v>#N/A</v>
      </c>
      <c r="DR205" s="54" t="e">
        <f t="shared" si="369"/>
        <v>#N/A</v>
      </c>
      <c r="DS205" s="54">
        <f t="shared" si="370"/>
        <v>4.1147528443460516E-3</v>
      </c>
      <c r="DT205" s="54" t="e">
        <f t="shared" si="371"/>
        <v>#N/A</v>
      </c>
      <c r="DU205" s="54" t="b">
        <f t="shared" si="372"/>
        <v>0</v>
      </c>
      <c r="DV205" s="54" t="b">
        <f t="shared" si="373"/>
        <v>1</v>
      </c>
      <c r="DW205" s="54" t="b">
        <f t="shared" si="374"/>
        <v>1</v>
      </c>
      <c r="DX205" s="54" t="b">
        <f t="shared" si="375"/>
        <v>0</v>
      </c>
      <c r="DY205" s="54">
        <f t="shared" si="376"/>
        <v>4.1147528443460516E-3</v>
      </c>
      <c r="DZ205" s="54">
        <f t="shared" si="377"/>
        <v>4.1147528443460516E-3</v>
      </c>
      <c r="EA205" s="54" t="e">
        <f t="shared" si="378"/>
        <v>#N/A</v>
      </c>
      <c r="EB205" s="69" t="str">
        <f t="shared" si="379"/>
        <v/>
      </c>
      <c r="EG205" s="54">
        <f t="shared" si="380"/>
        <v>195</v>
      </c>
      <c r="EH205" s="54">
        <f t="shared" si="381"/>
        <v>196</v>
      </c>
      <c r="EI205" s="54">
        <f t="shared" si="382"/>
        <v>1.5810490868765559</v>
      </c>
      <c r="EJ205" s="54">
        <f t="shared" si="383"/>
        <v>0.11431509630296083</v>
      </c>
      <c r="EK205" s="54" t="e">
        <f t="shared" si="384"/>
        <v>#N/A</v>
      </c>
      <c r="EL205" s="54" t="e">
        <f t="shared" si="385"/>
        <v>#N/A</v>
      </c>
      <c r="EM205" s="54" t="e">
        <f t="shared" si="386"/>
        <v>#N/A</v>
      </c>
      <c r="EN205" s="54" t="b">
        <f t="shared" si="387"/>
        <v>0</v>
      </c>
      <c r="EO205" s="54" t="b">
        <f t="shared" si="388"/>
        <v>1</v>
      </c>
      <c r="EP205" s="54" t="b">
        <f t="shared" si="389"/>
        <v>0</v>
      </c>
      <c r="EQ205" s="54" t="b">
        <f t="shared" si="390"/>
        <v>1</v>
      </c>
      <c r="ER205" s="54">
        <f t="shared" si="391"/>
        <v>0.11431509630296083</v>
      </c>
      <c r="ES205" s="54" t="e">
        <f t="shared" si="392"/>
        <v>#N/A</v>
      </c>
      <c r="ET205" s="54">
        <f t="shared" si="393"/>
        <v>0.11431509630296083</v>
      </c>
      <c r="EU205" s="69" t="str">
        <f t="shared" si="394"/>
        <v/>
      </c>
      <c r="EV20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0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0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05" s="54" t="e" cm="1">
        <f t="array" ref="EY205">IF($CR$3,INDEX(Eu_tabel_a[[#This Row],[Styrke venstre]:[Styrke tosidet]],EY$7),NA())</f>
        <v>#N/A</v>
      </c>
      <c r="EZ205" s="54" t="e">
        <f>IF(EY$3,IF(CHOOSE(EY$7,Eu_tabel_a[[#This Row],[x base]]&gt;0,Eu_tabel_a[[#This Row],[x base]]&lt;0,Eu_tabel_a[[#This Row],[x base]]=0),1,NA()),NA())</f>
        <v>#N/A</v>
      </c>
      <c r="FA205" s="54" t="e">
        <f>IF(CHOOSE(EY$7,Eu_tabel_a[[#This Row],[x base]]&gt;0,Eu_tabel_a[[#This Row],[x base]]&lt;0,Eu_tabel_a[[#This Row],[x base]]=0),Eu_tabel_a[[#This Row],[Styrke, aktiv]],NA())</f>
        <v>#N/A</v>
      </c>
      <c r="FB205" s="54" t="e">
        <f>IFERROR(IF($EY$3,Eu_tabel_a[[#This Row],[Styrke, aktiv]],NA()),NA())</f>
        <v>#N/A</v>
      </c>
      <c r="FC205" s="54" t="e">
        <f>IF(ISNA(Eu_tabel_a[[#This Row],[Sand negativ
Nulhypotese afvises
Korrekt]]),NA(),IF(EY$3,1,NA()))</f>
        <v>#N/A</v>
      </c>
      <c r="FD205" s="55" t="str" cm="1">
        <f t="array" ref="FD205">IFERROR(_xlfn.SWITCH(Eu_tabel_a[[#This Row],[Indeks]],_xlfn.IFNA(FB$2,-99),FB$5,_xlfn.IFNA(FB$3,-99),FB$6,_xlfn.IFNA(FB$4,-99),FB$7,""),"")</f>
        <v/>
      </c>
      <c r="FE205" s="54">
        <f>Eu_tabel_a[[#This Row],[x base]]*SQRT(Eu_a_h0_x*(1-Eu_a_h0_x)/Eu_a_n_x)+Eu_a_h0_x</f>
        <v>0</v>
      </c>
      <c r="FJ205" s="144" t="e">
        <f t="shared" si="338"/>
        <v>#N/A</v>
      </c>
      <c r="FK205" s="152" t="e">
        <f t="shared" si="322"/>
        <v>#DIV/0!</v>
      </c>
      <c r="FL205" s="7" t="e">
        <f t="shared" si="332"/>
        <v>#DIV/0!</v>
      </c>
      <c r="FM205" t="e">
        <f t="shared" si="323"/>
        <v>#DIV/0!</v>
      </c>
      <c r="FN205" s="8" t="e">
        <f t="shared" si="324"/>
        <v>#DIV/0!</v>
      </c>
      <c r="FO205" s="8" t="e">
        <f t="shared" si="325"/>
        <v>#DIV/0!</v>
      </c>
      <c r="FP205" s="151" t="e">
        <f t="shared" si="326"/>
        <v>#DIV/0!</v>
      </c>
      <c r="FQ205" s="144" t="e">
        <f t="shared" ca="1" si="333"/>
        <v>#N/A</v>
      </c>
      <c r="FR205" s="152" t="e" vm="3">
        <f t="shared" ca="1" si="339"/>
        <v>#VALUE!</v>
      </c>
      <c r="FS205" s="7" t="e" vm="3">
        <f t="shared" ca="1" si="334"/>
        <v>#VALUE!</v>
      </c>
      <c r="FT205" t="e" vm="3">
        <f t="shared" ca="1" si="328"/>
        <v>#VALUE!</v>
      </c>
      <c r="FU205" s="8" t="e" vm="3">
        <f t="shared" ca="1" si="329"/>
        <v>#VALUE!</v>
      </c>
      <c r="FV205" s="8" t="e" vm="3">
        <f t="shared" ca="1" si="330"/>
        <v>#VALUE!</v>
      </c>
      <c r="FW205" s="151" t="e" vm="3">
        <f t="shared" ca="1" si="331"/>
        <v>#VALUE!</v>
      </c>
      <c r="FX205" s="144" t="e">
        <f t="shared" si="335"/>
        <v>#N/A</v>
      </c>
      <c r="FY205" s="152" t="e">
        <f t="shared" si="340"/>
        <v>#N/A</v>
      </c>
      <c r="FZ205" s="7" t="e">
        <f t="shared" si="336"/>
        <v>#N/A</v>
      </c>
      <c r="GA205" t="e">
        <f t="shared" si="341"/>
        <v>#N/A</v>
      </c>
      <c r="GB205" s="8" t="e">
        <f t="shared" si="342"/>
        <v>#N/A</v>
      </c>
      <c r="GC205" s="8" t="e">
        <f t="shared" si="343"/>
        <v>#N/A</v>
      </c>
      <c r="GD205" s="151" t="e">
        <f t="shared" si="344"/>
        <v>#N/A</v>
      </c>
      <c r="GE205" s="144" t="e">
        <f t="shared" si="345"/>
        <v>#N/A</v>
      </c>
      <c r="GF205" s="152" t="e">
        <f t="shared" si="346"/>
        <v>#N/A</v>
      </c>
      <c r="GG205" s="7" t="e">
        <f t="shared" si="337"/>
        <v>#N/A</v>
      </c>
      <c r="GH205" t="e">
        <f t="shared" si="347"/>
        <v>#N/A</v>
      </c>
      <c r="GI205" s="8" t="e">
        <f t="shared" si="348"/>
        <v>#N/A</v>
      </c>
      <c r="GJ205" s="8" t="e">
        <f t="shared" si="349"/>
        <v>#N/A</v>
      </c>
      <c r="GK205" s="151" t="e">
        <f t="shared" si="350"/>
        <v>#N/A</v>
      </c>
      <c r="GL205" s="151"/>
      <c r="GM205" s="151"/>
      <c r="GP205" s="54">
        <f t="shared" si="395"/>
        <v>195</v>
      </c>
      <c r="GQ205" s="54">
        <f t="shared" si="396"/>
        <v>196</v>
      </c>
      <c r="GR205" s="54">
        <f t="shared" si="397"/>
        <v>1.5810490868765559</v>
      </c>
      <c r="GS205" s="54">
        <f t="shared" si="398"/>
        <v>0.11431509630296083</v>
      </c>
      <c r="GT205" s="54" t="e">
        <f t="shared" si="399"/>
        <v>#N/A</v>
      </c>
      <c r="GU205" s="54" t="e">
        <f t="shared" si="400"/>
        <v>#N/A</v>
      </c>
      <c r="GV205" s="54" t="e">
        <f t="shared" si="401"/>
        <v>#N/A</v>
      </c>
      <c r="GW205" s="54" t="b">
        <f t="shared" si="402"/>
        <v>0</v>
      </c>
      <c r="GX205" s="54" t="b">
        <f t="shared" si="403"/>
        <v>1</v>
      </c>
      <c r="GY205" s="54" t="b">
        <f t="shared" si="404"/>
        <v>0</v>
      </c>
      <c r="GZ205" s="54" t="b">
        <f t="shared" si="405"/>
        <v>1</v>
      </c>
      <c r="HA205" s="54">
        <f t="shared" si="406"/>
        <v>0.11431509630296083</v>
      </c>
      <c r="HB205" s="54" t="e">
        <f t="shared" si="407"/>
        <v>#N/A</v>
      </c>
      <c r="HC205" s="54">
        <f t="shared" si="408"/>
        <v>0.11431509630296083</v>
      </c>
      <c r="HD205" s="69" t="str">
        <f t="shared" si="409"/>
        <v/>
      </c>
      <c r="HJ205" s="54">
        <f t="shared" si="410"/>
        <v>195</v>
      </c>
      <c r="HK205" s="54">
        <f t="shared" si="411"/>
        <v>196</v>
      </c>
      <c r="HL205" s="54">
        <f t="shared" si="412"/>
        <v>2.4482877169777524</v>
      </c>
      <c r="HM205" s="54" t="e">
        <f t="shared" si="413"/>
        <v>#N/A</v>
      </c>
      <c r="HN205" s="54">
        <f t="shared" si="414"/>
        <v>3.2423263296291346E-2</v>
      </c>
      <c r="HO205" s="54" t="e">
        <f t="shared" si="415"/>
        <v>#N/A</v>
      </c>
      <c r="HP205" s="54" t="e">
        <f t="shared" si="416"/>
        <v>#N/A</v>
      </c>
      <c r="HQ205" s="54" t="b">
        <f t="shared" si="417"/>
        <v>0</v>
      </c>
      <c r="HR205" s="54" t="b">
        <f t="shared" si="418"/>
        <v>1</v>
      </c>
      <c r="HS205" s="54" t="b">
        <f t="shared" si="419"/>
        <v>1</v>
      </c>
      <c r="HT205" s="54" t="b">
        <f t="shared" si="420"/>
        <v>0</v>
      </c>
      <c r="HU205" s="54">
        <f t="shared" si="421"/>
        <v>3.2423263296291346E-2</v>
      </c>
      <c r="HV205" s="54" t="e">
        <f t="shared" si="422"/>
        <v>#N/A</v>
      </c>
      <c r="HW205" s="54">
        <f t="shared" si="423"/>
        <v>3.2423263296291346E-2</v>
      </c>
      <c r="HX205" s="69" t="str">
        <f t="shared" si="424"/>
        <v/>
      </c>
    </row>
    <row r="206" spans="78:232" x14ac:dyDescent="0.2">
      <c r="BZ206" s="54">
        <f t="shared" si="351"/>
        <v>196</v>
      </c>
      <c r="CA206" s="54">
        <f>Eu_tabel_g[[#This Row],[Indeks]]+1</f>
        <v>197</v>
      </c>
      <c r="CB206" s="54">
        <f t="shared" si="352"/>
        <v>1.6050043760716548</v>
      </c>
      <c r="CC206" s="54">
        <f t="shared" si="353"/>
        <v>0.11003485972432277</v>
      </c>
      <c r="CD206" s="54" t="e">
        <f t="shared" si="354"/>
        <v>#N/A</v>
      </c>
      <c r="CE206" s="54" t="e">
        <f t="shared" si="355"/>
        <v>#N/A</v>
      </c>
      <c r="CF206" s="54" t="e">
        <f t="shared" si="356"/>
        <v>#N/A</v>
      </c>
      <c r="CG206" s="54" t="b">
        <f t="shared" si="357"/>
        <v>0</v>
      </c>
      <c r="CH206" s="54" t="b">
        <f t="shared" si="358"/>
        <v>1</v>
      </c>
      <c r="CI206" s="54" t="b">
        <f t="shared" si="359"/>
        <v>0</v>
      </c>
      <c r="CJ206" s="54" t="b">
        <f t="shared" si="360"/>
        <v>1</v>
      </c>
      <c r="CK206" s="54">
        <f t="shared" si="327"/>
        <v>0.11003485972432277</v>
      </c>
      <c r="CL206" s="54" t="e">
        <f t="shared" si="361"/>
        <v>#N/A</v>
      </c>
      <c r="CM206" s="54">
        <f t="shared" si="362"/>
        <v>0.11003485972432277</v>
      </c>
      <c r="CN206" s="69" t="str">
        <f t="shared" si="363"/>
        <v/>
      </c>
      <c r="CO206" s="54">
        <f>_xlfn.NORM.DIST(_xlfn.NORM.INV(1-Eu_g_konfidensniveau,0,1)-Eu_tabel_g[[#This Row],[x base]],0,1,TRUE)</f>
        <v>5.7731322757206653E-4</v>
      </c>
      <c r="CP206" s="54">
        <f>1-_xlfn.NORM.DIST(_xlfn.NORM.INV(Eu_g_konfidensniveau,0,1)-Eu_tabel_g[[#This Row],[x base]],0,1,TRUE)</f>
        <v>0.4841066554329746</v>
      </c>
      <c r="CQ206" s="54">
        <f>_xlfn.NORM.DIST(_xlfn.NORM.INV((1-Eu_g_konfidensniveau)/2,0,1)-Eu_tabel_g[[#This Row],[x base]],0,1,TRUE)+1-_xlfn.NORM.DIST(_xlfn.NORM.INV(1-(1-Eu_g_konfidensniveau)/2,0,1)-Eu_tabel_g[[#This Row],[x base]],0,1,TRUE)</f>
        <v>0.3614918756092389</v>
      </c>
      <c r="CR206" s="54" t="e" cm="1">
        <f t="array" ref="CR206">IF($CR$3,INDEX(Eu_tabel_g[[#This Row],[Styrke venstre]:[Styrke tosidet]],CR$7),NA())</f>
        <v>#N/A</v>
      </c>
      <c r="CS206" s="89" t="e">
        <f>Eu_tabel_g[[#This Row],[Falsk positiv
Nulhypotese accepteres
Fejltype 1]]</f>
        <v>#N/A</v>
      </c>
      <c r="CT206" s="89" t="e">
        <f>IF(CHOOSE(CR$7,Eu_tabel_g[[#This Row],[x base]]&gt;0,Eu_tabel_g[[#This Row],[x base]]&lt;0,Eu_tabel_g[[#This Row],[x base]]=0),Eu_tabel_g[[#This Row],[Styrke, aktiv]],NA())</f>
        <v>#N/A</v>
      </c>
      <c r="CU206" s="89" t="e">
        <f>IFERROR(IF($CR$3,Eu_tabel_g[[#This Row],[Styrke, aktiv]],NA()),NA())</f>
        <v>#N/A</v>
      </c>
      <c r="CV206" s="89" t="e">
        <f>IF(ISNA(Eu_tabel_g[[#This Row],[Sand negativ
Nulhypotese afvises
Korrekt]]),NA(),IF($CR$3,1,NA()))</f>
        <v>#N/A</v>
      </c>
      <c r="CW206" s="56" t="str" cm="1">
        <f t="array" ref="CW206">_xlfn.SWITCH(BZ206,_xlfn.IFNA(CU$2,-99),CU$5,_xlfn.IFNA(CU$3,-99),CU$6,_xlfn.IFNA(CU$4,-99),CU$7,"")</f>
        <v/>
      </c>
      <c r="DA206" s="7">
        <f t="shared" si="364"/>
        <v>0.8</v>
      </c>
      <c r="DB206">
        <f>IF(ROW(Styrkeberegning_G[[#This Row],[X base venstre]])=ROW(Styrkeberegning_G[[#Headers],[X base venstre]])+1,DB$7/(DA$7/$B$67),DB205/(DA205/$B$67))</f>
        <v>-2.8015817870135784</v>
      </c>
      <c r="DC206">
        <f>Styrkeberegning_G[[#This Row],[X base venstre]]*-1</f>
        <v>2.8015817870135784</v>
      </c>
      <c r="DN206" s="54">
        <f t="shared" si="365"/>
        <v>196</v>
      </c>
      <c r="DO206" s="54">
        <f t="shared" si="366"/>
        <v>197</v>
      </c>
      <c r="DP206" s="54">
        <f t="shared" si="367"/>
        <v>24.191740522385889</v>
      </c>
      <c r="DQ206" s="54" t="e">
        <f t="shared" si="368"/>
        <v>#N/A</v>
      </c>
      <c r="DR206" s="54" t="e">
        <f t="shared" si="369"/>
        <v>#N/A</v>
      </c>
      <c r="DS206" s="54">
        <f t="shared" si="370"/>
        <v>3.9701834031289508E-3</v>
      </c>
      <c r="DT206" s="54" t="e">
        <f t="shared" si="371"/>
        <v>#N/A</v>
      </c>
      <c r="DU206" s="54" t="b">
        <f t="shared" si="372"/>
        <v>0</v>
      </c>
      <c r="DV206" s="54" t="b">
        <f t="shared" si="373"/>
        <v>1</v>
      </c>
      <c r="DW206" s="54" t="b">
        <f t="shared" si="374"/>
        <v>1</v>
      </c>
      <c r="DX206" s="54" t="b">
        <f t="shared" si="375"/>
        <v>0</v>
      </c>
      <c r="DY206" s="54">
        <f t="shared" si="376"/>
        <v>3.9701834031289508E-3</v>
      </c>
      <c r="DZ206" s="54">
        <f t="shared" si="377"/>
        <v>3.9701834031289508E-3</v>
      </c>
      <c r="EA206" s="54" t="e">
        <f t="shared" si="378"/>
        <v>#N/A</v>
      </c>
      <c r="EB206" s="69" t="str">
        <f t="shared" si="379"/>
        <v/>
      </c>
      <c r="EG206" s="54">
        <f t="shared" si="380"/>
        <v>196</v>
      </c>
      <c r="EH206" s="54">
        <f t="shared" si="381"/>
        <v>197</v>
      </c>
      <c r="EI206" s="54">
        <f t="shared" si="382"/>
        <v>1.6050043760716548</v>
      </c>
      <c r="EJ206" s="54">
        <f t="shared" si="383"/>
        <v>0.11003485972432277</v>
      </c>
      <c r="EK206" s="54" t="e">
        <f t="shared" si="384"/>
        <v>#N/A</v>
      </c>
      <c r="EL206" s="54" t="e">
        <f t="shared" si="385"/>
        <v>#N/A</v>
      </c>
      <c r="EM206" s="54" t="e">
        <f t="shared" si="386"/>
        <v>#N/A</v>
      </c>
      <c r="EN206" s="54" t="b">
        <f t="shared" si="387"/>
        <v>0</v>
      </c>
      <c r="EO206" s="54" t="b">
        <f t="shared" si="388"/>
        <v>1</v>
      </c>
      <c r="EP206" s="54" t="b">
        <f t="shared" si="389"/>
        <v>0</v>
      </c>
      <c r="EQ206" s="54" t="b">
        <f t="shared" si="390"/>
        <v>1</v>
      </c>
      <c r="ER206" s="54">
        <f t="shared" si="391"/>
        <v>0.11003485972432277</v>
      </c>
      <c r="ES206" s="54" t="e">
        <f t="shared" si="392"/>
        <v>#N/A</v>
      </c>
      <c r="ET206" s="54">
        <f t="shared" si="393"/>
        <v>0.11003485972432277</v>
      </c>
      <c r="EU206" s="69" t="str">
        <f t="shared" si="394"/>
        <v/>
      </c>
      <c r="EV20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0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0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06" s="54" t="e" cm="1">
        <f t="array" ref="EY206">IF($CR$3,INDEX(Eu_tabel_a[[#This Row],[Styrke venstre]:[Styrke tosidet]],EY$7),NA())</f>
        <v>#N/A</v>
      </c>
      <c r="EZ206" s="54" t="e">
        <f>IF(EY$3,IF(CHOOSE(EY$7,Eu_tabel_a[[#This Row],[x base]]&gt;0,Eu_tabel_a[[#This Row],[x base]]&lt;0,Eu_tabel_a[[#This Row],[x base]]=0),1,NA()),NA())</f>
        <v>#N/A</v>
      </c>
      <c r="FA206" s="54" t="e">
        <f>IF(CHOOSE(EY$7,Eu_tabel_a[[#This Row],[x base]]&gt;0,Eu_tabel_a[[#This Row],[x base]]&lt;0,Eu_tabel_a[[#This Row],[x base]]=0),Eu_tabel_a[[#This Row],[Styrke, aktiv]],NA())</f>
        <v>#N/A</v>
      </c>
      <c r="FB206" s="54" t="e">
        <f>IFERROR(IF($EY$3,Eu_tabel_a[[#This Row],[Styrke, aktiv]],NA()),NA())</f>
        <v>#N/A</v>
      </c>
      <c r="FC206" s="54" t="e">
        <f>IF(ISNA(Eu_tabel_a[[#This Row],[Sand negativ
Nulhypotese afvises
Korrekt]]),NA(),IF(EY$3,1,NA()))</f>
        <v>#N/A</v>
      </c>
      <c r="FD206" s="55" t="str" cm="1">
        <f t="array" ref="FD206">IFERROR(_xlfn.SWITCH(Eu_tabel_a[[#This Row],[Indeks]],_xlfn.IFNA(FB$2,-99),FB$5,_xlfn.IFNA(FB$3,-99),FB$6,_xlfn.IFNA(FB$4,-99),FB$7,""),"")</f>
        <v/>
      </c>
      <c r="FE206" s="54">
        <f>Eu_tabel_a[[#This Row],[x base]]*SQRT(Eu_a_h0_x*(1-Eu_a_h0_x)/Eu_a_n_x)+Eu_a_h0_x</f>
        <v>0</v>
      </c>
      <c r="FJ206" s="144" t="e">
        <f t="shared" si="338"/>
        <v>#N/A</v>
      </c>
      <c r="FK206" s="152" t="e">
        <f t="shared" si="322"/>
        <v>#DIV/0!</v>
      </c>
      <c r="FL206" s="7" t="e">
        <f t="shared" si="332"/>
        <v>#DIV/0!</v>
      </c>
      <c r="FM206" t="e">
        <f t="shared" si="323"/>
        <v>#DIV/0!</v>
      </c>
      <c r="FN206" s="8" t="e">
        <f t="shared" si="324"/>
        <v>#DIV/0!</v>
      </c>
      <c r="FO206" s="8" t="e">
        <f t="shared" si="325"/>
        <v>#DIV/0!</v>
      </c>
      <c r="FP206" s="151" t="e">
        <f t="shared" si="326"/>
        <v>#DIV/0!</v>
      </c>
      <c r="FQ206" s="144" t="e">
        <f t="shared" ca="1" si="333"/>
        <v>#N/A</v>
      </c>
      <c r="FR206" s="152" t="e" vm="3">
        <f t="shared" ca="1" si="339"/>
        <v>#VALUE!</v>
      </c>
      <c r="FS206" s="7" t="e" vm="3">
        <f t="shared" ca="1" si="334"/>
        <v>#VALUE!</v>
      </c>
      <c r="FT206" t="e" vm="3">
        <f t="shared" ca="1" si="328"/>
        <v>#VALUE!</v>
      </c>
      <c r="FU206" s="8" t="e" vm="3">
        <f t="shared" ca="1" si="329"/>
        <v>#VALUE!</v>
      </c>
      <c r="FV206" s="8" t="e" vm="3">
        <f t="shared" ca="1" si="330"/>
        <v>#VALUE!</v>
      </c>
      <c r="FW206" s="151" t="e" vm="3">
        <f t="shared" ca="1" si="331"/>
        <v>#VALUE!</v>
      </c>
      <c r="FX206" s="144" t="e">
        <f t="shared" si="335"/>
        <v>#N/A</v>
      </c>
      <c r="FY206" s="152" t="e">
        <f t="shared" si="340"/>
        <v>#N/A</v>
      </c>
      <c r="FZ206" s="7" t="e">
        <f t="shared" si="336"/>
        <v>#N/A</v>
      </c>
      <c r="GA206" t="e">
        <f t="shared" si="341"/>
        <v>#N/A</v>
      </c>
      <c r="GB206" s="8" t="e">
        <f t="shared" si="342"/>
        <v>#N/A</v>
      </c>
      <c r="GC206" s="8" t="e">
        <f t="shared" si="343"/>
        <v>#N/A</v>
      </c>
      <c r="GD206" s="151" t="e">
        <f t="shared" si="344"/>
        <v>#N/A</v>
      </c>
      <c r="GE206" s="144" t="e">
        <f t="shared" si="345"/>
        <v>#N/A</v>
      </c>
      <c r="GF206" s="152" t="e">
        <f t="shared" si="346"/>
        <v>#N/A</v>
      </c>
      <c r="GG206" s="7" t="e">
        <f t="shared" si="337"/>
        <v>#N/A</v>
      </c>
      <c r="GH206" t="e">
        <f t="shared" si="347"/>
        <v>#N/A</v>
      </c>
      <c r="GI206" s="8" t="e">
        <f t="shared" si="348"/>
        <v>#N/A</v>
      </c>
      <c r="GJ206" s="8" t="e">
        <f t="shared" si="349"/>
        <v>#N/A</v>
      </c>
      <c r="GK206" s="151" t="e">
        <f t="shared" si="350"/>
        <v>#N/A</v>
      </c>
      <c r="GL206" s="151"/>
      <c r="GM206" s="151"/>
      <c r="GP206" s="54">
        <f t="shared" si="395"/>
        <v>196</v>
      </c>
      <c r="GQ206" s="54">
        <f t="shared" si="396"/>
        <v>197</v>
      </c>
      <c r="GR206" s="54">
        <f t="shared" si="397"/>
        <v>1.6050043760716548</v>
      </c>
      <c r="GS206" s="54">
        <f t="shared" si="398"/>
        <v>0.11003485972432277</v>
      </c>
      <c r="GT206" s="54" t="e">
        <f t="shared" si="399"/>
        <v>#N/A</v>
      </c>
      <c r="GU206" s="54" t="e">
        <f t="shared" si="400"/>
        <v>#N/A</v>
      </c>
      <c r="GV206" s="54" t="e">
        <f t="shared" si="401"/>
        <v>#N/A</v>
      </c>
      <c r="GW206" s="54" t="b">
        <f t="shared" si="402"/>
        <v>0</v>
      </c>
      <c r="GX206" s="54" t="b">
        <f t="shared" si="403"/>
        <v>1</v>
      </c>
      <c r="GY206" s="54" t="b">
        <f t="shared" si="404"/>
        <v>0</v>
      </c>
      <c r="GZ206" s="54" t="b">
        <f t="shared" si="405"/>
        <v>1</v>
      </c>
      <c r="HA206" s="54">
        <f t="shared" si="406"/>
        <v>0.11003485972432277</v>
      </c>
      <c r="HB206" s="54" t="e">
        <f t="shared" si="407"/>
        <v>#N/A</v>
      </c>
      <c r="HC206" s="54">
        <f t="shared" si="408"/>
        <v>0.11003485972432277</v>
      </c>
      <c r="HD206" s="69" t="str">
        <f t="shared" si="409"/>
        <v/>
      </c>
      <c r="HJ206" s="54">
        <f t="shared" si="410"/>
        <v>196</v>
      </c>
      <c r="HK206" s="54">
        <f t="shared" si="411"/>
        <v>197</v>
      </c>
      <c r="HL206" s="54">
        <f t="shared" si="412"/>
        <v>2.485382985416809</v>
      </c>
      <c r="HM206" s="54" t="e">
        <f t="shared" si="413"/>
        <v>#N/A</v>
      </c>
      <c r="HN206" s="54">
        <f t="shared" si="414"/>
        <v>3.0659150000243988E-2</v>
      </c>
      <c r="HO206" s="54" t="e">
        <f t="shared" si="415"/>
        <v>#N/A</v>
      </c>
      <c r="HP206" s="54" t="e">
        <f t="shared" si="416"/>
        <v>#N/A</v>
      </c>
      <c r="HQ206" s="54" t="b">
        <f t="shared" si="417"/>
        <v>0</v>
      </c>
      <c r="HR206" s="54" t="b">
        <f t="shared" si="418"/>
        <v>1</v>
      </c>
      <c r="HS206" s="54" t="b">
        <f t="shared" si="419"/>
        <v>1</v>
      </c>
      <c r="HT206" s="54" t="b">
        <f t="shared" si="420"/>
        <v>0</v>
      </c>
      <c r="HU206" s="54">
        <f t="shared" si="421"/>
        <v>3.0659150000243988E-2</v>
      </c>
      <c r="HV206" s="54" t="e">
        <f t="shared" si="422"/>
        <v>#N/A</v>
      </c>
      <c r="HW206" s="54">
        <f t="shared" si="423"/>
        <v>3.0659150000243988E-2</v>
      </c>
      <c r="HX206" s="69" t="str">
        <f t="shared" si="424"/>
        <v/>
      </c>
    </row>
    <row r="207" spans="78:232" x14ac:dyDescent="0.2">
      <c r="BZ207" s="54">
        <f t="shared" si="351"/>
        <v>197</v>
      </c>
      <c r="CA207" s="54">
        <f>Eu_tabel_g[[#This Row],[Indeks]]+1</f>
        <v>198</v>
      </c>
      <c r="CB207" s="54">
        <f t="shared" si="352"/>
        <v>1.6289596652667537</v>
      </c>
      <c r="CC207" s="54">
        <f t="shared" si="353"/>
        <v>0.10585412321974706</v>
      </c>
      <c r="CD207" s="54" t="e">
        <f t="shared" si="354"/>
        <v>#N/A</v>
      </c>
      <c r="CE207" s="54" t="e">
        <f t="shared" si="355"/>
        <v>#N/A</v>
      </c>
      <c r="CF207" s="54" t="e">
        <f t="shared" si="356"/>
        <v>#N/A</v>
      </c>
      <c r="CG207" s="54" t="b">
        <f t="shared" si="357"/>
        <v>0</v>
      </c>
      <c r="CH207" s="54" t="b">
        <f t="shared" si="358"/>
        <v>1</v>
      </c>
      <c r="CI207" s="54" t="b">
        <f t="shared" si="359"/>
        <v>0</v>
      </c>
      <c r="CJ207" s="54" t="b">
        <f t="shared" si="360"/>
        <v>1</v>
      </c>
      <c r="CK207" s="54">
        <f t="shared" si="327"/>
        <v>0.10585412321974706</v>
      </c>
      <c r="CL207" s="54" t="e">
        <f t="shared" si="361"/>
        <v>#N/A</v>
      </c>
      <c r="CM207" s="54">
        <f t="shared" si="362"/>
        <v>0.10585412321974706</v>
      </c>
      <c r="CN207" s="69" t="str">
        <f t="shared" si="363"/>
        <v/>
      </c>
      <c r="CO207" s="54">
        <f>_xlfn.NORM.DIST(_xlfn.NORM.INV(1-Eu_g_konfidensniveau,0,1)-Eu_tabel_g[[#This Row],[x base]],0,1,TRUE)</f>
        <v>5.3053347540103161E-4</v>
      </c>
      <c r="CP207" s="54">
        <f>1-_xlfn.NORM.DIST(_xlfn.NORM.INV(Eu_g_konfidensniveau,0,1)-Eu_tabel_g[[#This Row],[x base]],0,1,TRUE)</f>
        <v>0.49365949363636807</v>
      </c>
      <c r="CQ207" s="54">
        <f>_xlfn.NORM.DIST(_xlfn.NORM.INV((1-Eu_g_konfidensniveau)/2,0,1)-Eu_tabel_g[[#This Row],[x base]],0,1,TRUE)+1-_xlfn.NORM.DIST(_xlfn.NORM.INV(1-(1-Eu_g_konfidensniveau)/2,0,1)-Eu_tabel_g[[#This Row],[x base]],0,1,TRUE)</f>
        <v>0.370486634522321</v>
      </c>
      <c r="CR207" s="54" t="e" cm="1">
        <f t="array" ref="CR207">IF($CR$3,INDEX(Eu_tabel_g[[#This Row],[Styrke venstre]:[Styrke tosidet]],CR$7),NA())</f>
        <v>#N/A</v>
      </c>
      <c r="CS207" s="89" t="e">
        <f>Eu_tabel_g[[#This Row],[Falsk positiv
Nulhypotese accepteres
Fejltype 1]]</f>
        <v>#N/A</v>
      </c>
      <c r="CT207" s="89" t="e">
        <f>IF(CHOOSE(CR$7,Eu_tabel_g[[#This Row],[x base]]&gt;0,Eu_tabel_g[[#This Row],[x base]]&lt;0,Eu_tabel_g[[#This Row],[x base]]=0),Eu_tabel_g[[#This Row],[Styrke, aktiv]],NA())</f>
        <v>#N/A</v>
      </c>
      <c r="CU207" s="89" t="e">
        <f>IFERROR(IF($CR$3,Eu_tabel_g[[#This Row],[Styrke, aktiv]],NA()),NA())</f>
        <v>#N/A</v>
      </c>
      <c r="CV207" s="89" t="e">
        <f>IF(ISNA(Eu_tabel_g[[#This Row],[Sand negativ
Nulhypotese afvises
Korrekt]]),NA(),IF($CR$3,1,NA()))</f>
        <v>#N/A</v>
      </c>
      <c r="CW207" s="56" t="str" cm="1">
        <f t="array" ref="CW207">_xlfn.SWITCH(BZ207,_xlfn.IFNA(CU$2,-99),CU$5,_xlfn.IFNA(CU$3,-99),CU$6,_xlfn.IFNA(CU$4,-99),CU$7,"")</f>
        <v/>
      </c>
      <c r="DA207" s="7">
        <f t="shared" si="364"/>
        <v>0.8</v>
      </c>
      <c r="DB207">
        <f>IF(ROW(Styrkeberegning_G[[#This Row],[X base venstre]])=ROW(Styrkeberegning_G[[#Headers],[X base venstre]])+1,DB$7/(DA$7/$B$67),DB206/(DA206/$B$67))</f>
        <v>-2.8015817870135784</v>
      </c>
      <c r="DC207">
        <f>Styrkeberegning_G[[#This Row],[X base venstre]]*-1</f>
        <v>2.8015817870135784</v>
      </c>
      <c r="DN207" s="54">
        <f t="shared" si="365"/>
        <v>197</v>
      </c>
      <c r="DO207" s="54">
        <f t="shared" si="366"/>
        <v>198</v>
      </c>
      <c r="DP207" s="54">
        <f t="shared" si="367"/>
        <v>24.305811378802886</v>
      </c>
      <c r="DQ207" s="54" t="e">
        <f t="shared" si="368"/>
        <v>#N/A</v>
      </c>
      <c r="DR207" s="54" t="e">
        <f t="shared" si="369"/>
        <v>#N/A</v>
      </c>
      <c r="DS207" s="54">
        <f t="shared" si="370"/>
        <v>3.8303100696038244E-3</v>
      </c>
      <c r="DT207" s="54" t="e">
        <f t="shared" si="371"/>
        <v>#N/A</v>
      </c>
      <c r="DU207" s="54" t="b">
        <f t="shared" si="372"/>
        <v>0</v>
      </c>
      <c r="DV207" s="54" t="b">
        <f t="shared" si="373"/>
        <v>1</v>
      </c>
      <c r="DW207" s="54" t="b">
        <f t="shared" si="374"/>
        <v>1</v>
      </c>
      <c r="DX207" s="54" t="b">
        <f t="shared" si="375"/>
        <v>0</v>
      </c>
      <c r="DY207" s="54">
        <f t="shared" si="376"/>
        <v>3.8303100696038244E-3</v>
      </c>
      <c r="DZ207" s="54">
        <f t="shared" si="377"/>
        <v>3.8303100696038244E-3</v>
      </c>
      <c r="EA207" s="54" t="e">
        <f t="shared" si="378"/>
        <v>#N/A</v>
      </c>
      <c r="EB207" s="69" t="str">
        <f t="shared" si="379"/>
        <v/>
      </c>
      <c r="EG207" s="54">
        <f t="shared" si="380"/>
        <v>197</v>
      </c>
      <c r="EH207" s="54">
        <f t="shared" si="381"/>
        <v>198</v>
      </c>
      <c r="EI207" s="54">
        <f t="shared" si="382"/>
        <v>1.6289596652667537</v>
      </c>
      <c r="EJ207" s="54">
        <f t="shared" si="383"/>
        <v>0.10585412321974706</v>
      </c>
      <c r="EK207" s="54" t="e">
        <f t="shared" si="384"/>
        <v>#N/A</v>
      </c>
      <c r="EL207" s="54" t="e">
        <f t="shared" si="385"/>
        <v>#N/A</v>
      </c>
      <c r="EM207" s="54" t="e">
        <f t="shared" si="386"/>
        <v>#N/A</v>
      </c>
      <c r="EN207" s="54" t="b">
        <f t="shared" si="387"/>
        <v>0</v>
      </c>
      <c r="EO207" s="54" t="b">
        <f t="shared" si="388"/>
        <v>1</v>
      </c>
      <c r="EP207" s="54" t="b">
        <f t="shared" si="389"/>
        <v>0</v>
      </c>
      <c r="EQ207" s="54" t="b">
        <f t="shared" si="390"/>
        <v>1</v>
      </c>
      <c r="ER207" s="54">
        <f t="shared" si="391"/>
        <v>0.10585412321974706</v>
      </c>
      <c r="ES207" s="54" t="e">
        <f t="shared" si="392"/>
        <v>#N/A</v>
      </c>
      <c r="ET207" s="54">
        <f t="shared" si="393"/>
        <v>0.10585412321974706</v>
      </c>
      <c r="EU207" s="69" t="str">
        <f t="shared" si="394"/>
        <v/>
      </c>
      <c r="EV20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0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0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07" s="54" t="e" cm="1">
        <f t="array" ref="EY207">IF($CR$3,INDEX(Eu_tabel_a[[#This Row],[Styrke venstre]:[Styrke tosidet]],EY$7),NA())</f>
        <v>#N/A</v>
      </c>
      <c r="EZ207" s="54" t="e">
        <f>IF(EY$3,IF(CHOOSE(EY$7,Eu_tabel_a[[#This Row],[x base]]&gt;0,Eu_tabel_a[[#This Row],[x base]]&lt;0,Eu_tabel_a[[#This Row],[x base]]=0),1,NA()),NA())</f>
        <v>#N/A</v>
      </c>
      <c r="FA207" s="54" t="e">
        <f>IF(CHOOSE(EY$7,Eu_tabel_a[[#This Row],[x base]]&gt;0,Eu_tabel_a[[#This Row],[x base]]&lt;0,Eu_tabel_a[[#This Row],[x base]]=0),Eu_tabel_a[[#This Row],[Styrke, aktiv]],NA())</f>
        <v>#N/A</v>
      </c>
      <c r="FB207" s="54" t="e">
        <f>IFERROR(IF($EY$3,Eu_tabel_a[[#This Row],[Styrke, aktiv]],NA()),NA())</f>
        <v>#N/A</v>
      </c>
      <c r="FC207" s="54" t="e">
        <f>IF(ISNA(Eu_tabel_a[[#This Row],[Sand negativ
Nulhypotese afvises
Korrekt]]),NA(),IF(EY$3,1,NA()))</f>
        <v>#N/A</v>
      </c>
      <c r="FD207" s="55" t="str" cm="1">
        <f t="array" ref="FD207">IFERROR(_xlfn.SWITCH(Eu_tabel_a[[#This Row],[Indeks]],_xlfn.IFNA(FB$2,-99),FB$5,_xlfn.IFNA(FB$3,-99),FB$6,_xlfn.IFNA(FB$4,-99),FB$7,""),"")</f>
        <v/>
      </c>
      <c r="FE207" s="54">
        <f>Eu_tabel_a[[#This Row],[x base]]*SQRT(Eu_a_h0_x*(1-Eu_a_h0_x)/Eu_a_n_x)+Eu_a_h0_x</f>
        <v>0</v>
      </c>
      <c r="FJ207" s="144" t="e">
        <f t="shared" si="338"/>
        <v>#N/A</v>
      </c>
      <c r="FK207" s="152" t="e">
        <f t="shared" si="322"/>
        <v>#DIV/0!</v>
      </c>
      <c r="FL207" s="7" t="e">
        <f t="shared" si="332"/>
        <v>#DIV/0!</v>
      </c>
      <c r="FM207" t="e">
        <f t="shared" si="323"/>
        <v>#DIV/0!</v>
      </c>
      <c r="FN207" s="8" t="e">
        <f t="shared" si="324"/>
        <v>#DIV/0!</v>
      </c>
      <c r="FO207" s="8" t="e">
        <f t="shared" si="325"/>
        <v>#DIV/0!</v>
      </c>
      <c r="FP207" s="151" t="e">
        <f t="shared" si="326"/>
        <v>#DIV/0!</v>
      </c>
      <c r="FQ207" s="144" t="e">
        <f t="shared" ca="1" si="333"/>
        <v>#N/A</v>
      </c>
      <c r="FR207" s="152" t="e" vm="3">
        <f t="shared" ca="1" si="339"/>
        <v>#VALUE!</v>
      </c>
      <c r="FS207" s="7" t="e" vm="3">
        <f t="shared" ca="1" si="334"/>
        <v>#VALUE!</v>
      </c>
      <c r="FT207" t="e" vm="3">
        <f t="shared" ca="1" si="328"/>
        <v>#VALUE!</v>
      </c>
      <c r="FU207" s="8" t="e" vm="3">
        <f t="shared" ca="1" si="329"/>
        <v>#VALUE!</v>
      </c>
      <c r="FV207" s="8" t="e" vm="3">
        <f t="shared" ca="1" si="330"/>
        <v>#VALUE!</v>
      </c>
      <c r="FW207" s="151" t="e" vm="3">
        <f t="shared" ca="1" si="331"/>
        <v>#VALUE!</v>
      </c>
      <c r="FX207" s="144" t="e">
        <f t="shared" si="335"/>
        <v>#N/A</v>
      </c>
      <c r="FY207" s="152" t="e">
        <f t="shared" si="340"/>
        <v>#N/A</v>
      </c>
      <c r="FZ207" s="7" t="e">
        <f t="shared" si="336"/>
        <v>#N/A</v>
      </c>
      <c r="GA207" t="e">
        <f t="shared" si="341"/>
        <v>#N/A</v>
      </c>
      <c r="GB207" s="8" t="e">
        <f t="shared" si="342"/>
        <v>#N/A</v>
      </c>
      <c r="GC207" s="8" t="e">
        <f t="shared" si="343"/>
        <v>#N/A</v>
      </c>
      <c r="GD207" s="151" t="e">
        <f t="shared" si="344"/>
        <v>#N/A</v>
      </c>
      <c r="GE207" s="144" t="e">
        <f t="shared" si="345"/>
        <v>#N/A</v>
      </c>
      <c r="GF207" s="152" t="e">
        <f t="shared" si="346"/>
        <v>#N/A</v>
      </c>
      <c r="GG207" s="7" t="e">
        <f t="shared" si="337"/>
        <v>#N/A</v>
      </c>
      <c r="GH207" t="e">
        <f t="shared" si="347"/>
        <v>#N/A</v>
      </c>
      <c r="GI207" s="8" t="e">
        <f t="shared" si="348"/>
        <v>#N/A</v>
      </c>
      <c r="GJ207" s="8" t="e">
        <f t="shared" si="349"/>
        <v>#N/A</v>
      </c>
      <c r="GK207" s="151" t="e">
        <f t="shared" si="350"/>
        <v>#N/A</v>
      </c>
      <c r="GL207" s="151"/>
      <c r="GM207" s="151"/>
      <c r="GP207" s="54">
        <f t="shared" si="395"/>
        <v>197</v>
      </c>
      <c r="GQ207" s="54">
        <f t="shared" si="396"/>
        <v>198</v>
      </c>
      <c r="GR207" s="54">
        <f t="shared" si="397"/>
        <v>1.6289596652667537</v>
      </c>
      <c r="GS207" s="54">
        <f t="shared" si="398"/>
        <v>0.10585412321974706</v>
      </c>
      <c r="GT207" s="54" t="e">
        <f t="shared" si="399"/>
        <v>#N/A</v>
      </c>
      <c r="GU207" s="54" t="e">
        <f t="shared" si="400"/>
        <v>#N/A</v>
      </c>
      <c r="GV207" s="54" t="e">
        <f t="shared" si="401"/>
        <v>#N/A</v>
      </c>
      <c r="GW207" s="54" t="b">
        <f t="shared" si="402"/>
        <v>0</v>
      </c>
      <c r="GX207" s="54" t="b">
        <f t="shared" si="403"/>
        <v>1</v>
      </c>
      <c r="GY207" s="54" t="b">
        <f t="shared" si="404"/>
        <v>0</v>
      </c>
      <c r="GZ207" s="54" t="b">
        <f t="shared" si="405"/>
        <v>1</v>
      </c>
      <c r="HA207" s="54">
        <f t="shared" si="406"/>
        <v>0.10585412321974706</v>
      </c>
      <c r="HB207" s="54" t="e">
        <f t="shared" si="407"/>
        <v>#N/A</v>
      </c>
      <c r="HC207" s="54">
        <f t="shared" si="408"/>
        <v>0.10585412321974706</v>
      </c>
      <c r="HD207" s="69" t="str">
        <f t="shared" si="409"/>
        <v/>
      </c>
      <c r="HJ207" s="54">
        <f t="shared" si="410"/>
        <v>197</v>
      </c>
      <c r="HK207" s="54">
        <f t="shared" si="411"/>
        <v>198</v>
      </c>
      <c r="HL207" s="54">
        <f t="shared" si="412"/>
        <v>2.5224782538558657</v>
      </c>
      <c r="HM207" s="54" t="e">
        <f t="shared" si="413"/>
        <v>#N/A</v>
      </c>
      <c r="HN207" s="54">
        <f t="shared" si="414"/>
        <v>2.8989506460017054E-2</v>
      </c>
      <c r="HO207" s="54" t="e">
        <f t="shared" si="415"/>
        <v>#N/A</v>
      </c>
      <c r="HP207" s="54" t="e">
        <f t="shared" si="416"/>
        <v>#N/A</v>
      </c>
      <c r="HQ207" s="54" t="b">
        <f t="shared" si="417"/>
        <v>0</v>
      </c>
      <c r="HR207" s="54" t="b">
        <f t="shared" si="418"/>
        <v>1</v>
      </c>
      <c r="HS207" s="54" t="b">
        <f t="shared" si="419"/>
        <v>1</v>
      </c>
      <c r="HT207" s="54" t="b">
        <f t="shared" si="420"/>
        <v>0</v>
      </c>
      <c r="HU207" s="54">
        <f t="shared" si="421"/>
        <v>2.8989506460017054E-2</v>
      </c>
      <c r="HV207" s="54" t="e">
        <f t="shared" si="422"/>
        <v>#N/A</v>
      </c>
      <c r="HW207" s="54">
        <f t="shared" si="423"/>
        <v>2.8989506460017054E-2</v>
      </c>
      <c r="HX207" s="69" t="str">
        <f t="shared" si="424"/>
        <v/>
      </c>
    </row>
    <row r="208" spans="78:232" x14ac:dyDescent="0.2">
      <c r="BZ208" s="54">
        <f t="shared" si="351"/>
        <v>198</v>
      </c>
      <c r="CA208" s="54">
        <f>Eu_tabel_g[[#This Row],[Indeks]]+1</f>
        <v>199</v>
      </c>
      <c r="CB208" s="54">
        <f t="shared" si="352"/>
        <v>1.6529149544618535</v>
      </c>
      <c r="CC208" s="54">
        <f t="shared" si="353"/>
        <v>0.10177381209387595</v>
      </c>
      <c r="CD208" s="54" t="e">
        <f t="shared" si="354"/>
        <v>#N/A</v>
      </c>
      <c r="CE208" s="54" t="e">
        <f t="shared" si="355"/>
        <v>#N/A</v>
      </c>
      <c r="CF208" s="54" t="e">
        <f t="shared" si="356"/>
        <v>#N/A</v>
      </c>
      <c r="CG208" s="54" t="b">
        <f t="shared" si="357"/>
        <v>0</v>
      </c>
      <c r="CH208" s="54" t="b">
        <f t="shared" si="358"/>
        <v>1</v>
      </c>
      <c r="CI208" s="54" t="b">
        <f t="shared" si="359"/>
        <v>0</v>
      </c>
      <c r="CJ208" s="54" t="b">
        <f t="shared" si="360"/>
        <v>1</v>
      </c>
      <c r="CK208" s="54">
        <f t="shared" si="327"/>
        <v>0.10177381209387595</v>
      </c>
      <c r="CL208" s="54" t="e">
        <f t="shared" si="361"/>
        <v>#N/A</v>
      </c>
      <c r="CM208" s="54">
        <f t="shared" si="362"/>
        <v>0.10177381209387595</v>
      </c>
      <c r="CN208" s="69" t="str">
        <f t="shared" si="363"/>
        <v/>
      </c>
      <c r="CO208" s="54">
        <f>_xlfn.NORM.DIST(_xlfn.NORM.INV(1-Eu_g_konfidensniveau,0,1)-Eu_tabel_g[[#This Row],[x base]],0,1,TRUE)</f>
        <v>4.8728209848242275E-4</v>
      </c>
      <c r="CP208" s="54">
        <f>1-_xlfn.NORM.DIST(_xlfn.NORM.INV(Eu_g_konfidensniveau,0,1)-Eu_tabel_g[[#This Row],[x base]],0,1,TRUE)</f>
        <v>0.50321596954838599</v>
      </c>
      <c r="CQ208" s="54">
        <f>_xlfn.NORM.DIST(_xlfn.NORM.INV((1-Eu_g_konfidensniveau)/2,0,1)-Eu_tabel_g[[#This Row],[x base]],0,1,TRUE)+1-_xlfn.NORM.DIST(_xlfn.NORM.INV(1-(1-Eu_g_konfidensniveau)/2,0,1)-Eu_tabel_g[[#This Row],[x base]],0,1,TRUE)</f>
        <v>0.37955443451297199</v>
      </c>
      <c r="CR208" s="54" t="e" cm="1">
        <f t="array" ref="CR208">IF($CR$3,INDEX(Eu_tabel_g[[#This Row],[Styrke venstre]:[Styrke tosidet]],CR$7),NA())</f>
        <v>#N/A</v>
      </c>
      <c r="CS208" s="89" t="e">
        <f>Eu_tabel_g[[#This Row],[Falsk positiv
Nulhypotese accepteres
Fejltype 1]]</f>
        <v>#N/A</v>
      </c>
      <c r="CT208" s="89" t="e">
        <f>IF(CHOOSE(CR$7,Eu_tabel_g[[#This Row],[x base]]&gt;0,Eu_tabel_g[[#This Row],[x base]]&lt;0,Eu_tabel_g[[#This Row],[x base]]=0),Eu_tabel_g[[#This Row],[Styrke, aktiv]],NA())</f>
        <v>#N/A</v>
      </c>
      <c r="CU208" s="89" t="e">
        <f>IFERROR(IF($CR$3,Eu_tabel_g[[#This Row],[Styrke, aktiv]],NA()),NA())</f>
        <v>#N/A</v>
      </c>
      <c r="CV208" s="89" t="e">
        <f>IF(ISNA(Eu_tabel_g[[#This Row],[Sand negativ
Nulhypotese afvises
Korrekt]]),NA(),IF($CR$3,1,NA()))</f>
        <v>#N/A</v>
      </c>
      <c r="CW208" s="56" t="str" cm="1">
        <f t="array" ref="CW208">_xlfn.SWITCH(BZ208,_xlfn.IFNA(CU$2,-99),CU$5,_xlfn.IFNA(CU$3,-99),CU$6,_xlfn.IFNA(CU$4,-99),CU$7,"")</f>
        <v/>
      </c>
      <c r="DA208" s="7">
        <f t="shared" si="364"/>
        <v>0.8</v>
      </c>
      <c r="DB208">
        <f>IF(ROW(Styrkeberegning_G[[#This Row],[X base venstre]])=ROW(Styrkeberegning_G[[#Headers],[X base venstre]])+1,DB$7/(DA$7/$B$67),DB207/(DA207/$B$67))</f>
        <v>-2.8015817870135784</v>
      </c>
      <c r="DC208">
        <f>Styrkeberegning_G[[#This Row],[X base venstre]]*-1</f>
        <v>2.8015817870135784</v>
      </c>
      <c r="DN208" s="54">
        <f t="shared" si="365"/>
        <v>198</v>
      </c>
      <c r="DO208" s="54">
        <f t="shared" si="366"/>
        <v>199</v>
      </c>
      <c r="DP208" s="54">
        <f t="shared" si="367"/>
        <v>24.419882235219887</v>
      </c>
      <c r="DQ208" s="54" t="e">
        <f t="shared" si="368"/>
        <v>#N/A</v>
      </c>
      <c r="DR208" s="54" t="e">
        <f t="shared" si="369"/>
        <v>#N/A</v>
      </c>
      <c r="DS208" s="54">
        <f t="shared" si="370"/>
        <v>3.6949983526446363E-3</v>
      </c>
      <c r="DT208" s="54" t="e">
        <f t="shared" si="371"/>
        <v>#N/A</v>
      </c>
      <c r="DU208" s="54" t="b">
        <f t="shared" si="372"/>
        <v>0</v>
      </c>
      <c r="DV208" s="54" t="b">
        <f t="shared" si="373"/>
        <v>1</v>
      </c>
      <c r="DW208" s="54" t="b">
        <f t="shared" si="374"/>
        <v>1</v>
      </c>
      <c r="DX208" s="54" t="b">
        <f t="shared" si="375"/>
        <v>0</v>
      </c>
      <c r="DY208" s="54">
        <f t="shared" si="376"/>
        <v>3.6949983526446363E-3</v>
      </c>
      <c r="DZ208" s="54">
        <f t="shared" si="377"/>
        <v>3.6949983526446363E-3</v>
      </c>
      <c r="EA208" s="54" t="e">
        <f t="shared" si="378"/>
        <v>#N/A</v>
      </c>
      <c r="EB208" s="69" t="str">
        <f t="shared" si="379"/>
        <v/>
      </c>
      <c r="EG208" s="54">
        <f t="shared" si="380"/>
        <v>198</v>
      </c>
      <c r="EH208" s="54">
        <f t="shared" si="381"/>
        <v>199</v>
      </c>
      <c r="EI208" s="54">
        <f t="shared" si="382"/>
        <v>1.6529149544618535</v>
      </c>
      <c r="EJ208" s="54">
        <f t="shared" si="383"/>
        <v>0.10177381209387595</v>
      </c>
      <c r="EK208" s="54" t="e">
        <f t="shared" si="384"/>
        <v>#N/A</v>
      </c>
      <c r="EL208" s="54" t="e">
        <f t="shared" si="385"/>
        <v>#N/A</v>
      </c>
      <c r="EM208" s="54" t="e">
        <f t="shared" si="386"/>
        <v>#N/A</v>
      </c>
      <c r="EN208" s="54" t="b">
        <f t="shared" si="387"/>
        <v>0</v>
      </c>
      <c r="EO208" s="54" t="b">
        <f t="shared" si="388"/>
        <v>1</v>
      </c>
      <c r="EP208" s="54" t="b">
        <f t="shared" si="389"/>
        <v>0</v>
      </c>
      <c r="EQ208" s="54" t="b">
        <f t="shared" si="390"/>
        <v>1</v>
      </c>
      <c r="ER208" s="54">
        <f t="shared" si="391"/>
        <v>0.10177381209387595</v>
      </c>
      <c r="ES208" s="54" t="e">
        <f t="shared" si="392"/>
        <v>#N/A</v>
      </c>
      <c r="ET208" s="54">
        <f t="shared" si="393"/>
        <v>0.10177381209387595</v>
      </c>
      <c r="EU208" s="69" t="str">
        <f t="shared" si="394"/>
        <v/>
      </c>
      <c r="EV20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0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0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08" s="54" t="e" cm="1">
        <f t="array" ref="EY208">IF($CR$3,INDEX(Eu_tabel_a[[#This Row],[Styrke venstre]:[Styrke tosidet]],EY$7),NA())</f>
        <v>#N/A</v>
      </c>
      <c r="EZ208" s="54" t="e">
        <f>IF(EY$3,IF(CHOOSE(EY$7,Eu_tabel_a[[#This Row],[x base]]&gt;0,Eu_tabel_a[[#This Row],[x base]]&lt;0,Eu_tabel_a[[#This Row],[x base]]=0),1,NA()),NA())</f>
        <v>#N/A</v>
      </c>
      <c r="FA208" s="54" t="e">
        <f>IF(CHOOSE(EY$7,Eu_tabel_a[[#This Row],[x base]]&gt;0,Eu_tabel_a[[#This Row],[x base]]&lt;0,Eu_tabel_a[[#This Row],[x base]]=0),Eu_tabel_a[[#This Row],[Styrke, aktiv]],NA())</f>
        <v>#N/A</v>
      </c>
      <c r="FB208" s="54" t="e">
        <f>IFERROR(IF($EY$3,Eu_tabel_a[[#This Row],[Styrke, aktiv]],NA()),NA())</f>
        <v>#N/A</v>
      </c>
      <c r="FC208" s="54" t="e">
        <f>IF(ISNA(Eu_tabel_a[[#This Row],[Sand negativ
Nulhypotese afvises
Korrekt]]),NA(),IF(EY$3,1,NA()))</f>
        <v>#N/A</v>
      </c>
      <c r="FD208" s="55" t="str" cm="1">
        <f t="array" ref="FD208">IFERROR(_xlfn.SWITCH(Eu_tabel_a[[#This Row],[Indeks]],_xlfn.IFNA(FB$2,-99),FB$5,_xlfn.IFNA(FB$3,-99),FB$6,_xlfn.IFNA(FB$4,-99),FB$7,""),"")</f>
        <v/>
      </c>
      <c r="FE208" s="54">
        <f>Eu_tabel_a[[#This Row],[x base]]*SQRT(Eu_a_h0_x*(1-Eu_a_h0_x)/Eu_a_n_x)+Eu_a_h0_x</f>
        <v>0</v>
      </c>
      <c r="FJ208" s="144" t="e">
        <f t="shared" si="338"/>
        <v>#N/A</v>
      </c>
      <c r="FK208" s="152" t="e">
        <f t="shared" si="322"/>
        <v>#DIV/0!</v>
      </c>
      <c r="FL208" s="7" t="e">
        <f t="shared" si="332"/>
        <v>#DIV/0!</v>
      </c>
      <c r="FM208" t="e">
        <f t="shared" si="323"/>
        <v>#DIV/0!</v>
      </c>
      <c r="FN208" s="8" t="e">
        <f t="shared" si="324"/>
        <v>#DIV/0!</v>
      </c>
      <c r="FO208" s="8" t="e">
        <f t="shared" si="325"/>
        <v>#DIV/0!</v>
      </c>
      <c r="FP208" s="151" t="e">
        <f t="shared" si="326"/>
        <v>#DIV/0!</v>
      </c>
      <c r="FQ208" s="144" t="e">
        <f t="shared" ca="1" si="333"/>
        <v>#N/A</v>
      </c>
      <c r="FR208" s="152" t="e" vm="3">
        <f t="shared" ca="1" si="339"/>
        <v>#VALUE!</v>
      </c>
      <c r="FS208" s="7" t="e" vm="3">
        <f t="shared" ca="1" si="334"/>
        <v>#VALUE!</v>
      </c>
      <c r="FT208" t="e" vm="3">
        <f t="shared" ca="1" si="328"/>
        <v>#VALUE!</v>
      </c>
      <c r="FU208" s="8" t="e" vm="3">
        <f t="shared" ca="1" si="329"/>
        <v>#VALUE!</v>
      </c>
      <c r="FV208" s="8" t="e" vm="3">
        <f t="shared" ca="1" si="330"/>
        <v>#VALUE!</v>
      </c>
      <c r="FW208" s="151" t="e" vm="3">
        <f t="shared" ca="1" si="331"/>
        <v>#VALUE!</v>
      </c>
      <c r="FX208" s="144" t="e">
        <f t="shared" si="335"/>
        <v>#N/A</v>
      </c>
      <c r="FY208" s="152" t="e">
        <f t="shared" si="340"/>
        <v>#N/A</v>
      </c>
      <c r="FZ208" s="7" t="e">
        <f t="shared" si="336"/>
        <v>#N/A</v>
      </c>
      <c r="GA208" t="e">
        <f t="shared" si="341"/>
        <v>#N/A</v>
      </c>
      <c r="GB208" s="8" t="e">
        <f t="shared" si="342"/>
        <v>#N/A</v>
      </c>
      <c r="GC208" s="8" t="e">
        <f t="shared" si="343"/>
        <v>#N/A</v>
      </c>
      <c r="GD208" s="151" t="e">
        <f t="shared" si="344"/>
        <v>#N/A</v>
      </c>
      <c r="GE208" s="144" t="e">
        <f t="shared" si="345"/>
        <v>#N/A</v>
      </c>
      <c r="GF208" s="152" t="e">
        <f t="shared" si="346"/>
        <v>#N/A</v>
      </c>
      <c r="GG208" s="7" t="e">
        <f t="shared" si="337"/>
        <v>#N/A</v>
      </c>
      <c r="GH208" t="e">
        <f t="shared" si="347"/>
        <v>#N/A</v>
      </c>
      <c r="GI208" s="8" t="e">
        <f t="shared" si="348"/>
        <v>#N/A</v>
      </c>
      <c r="GJ208" s="8" t="e">
        <f t="shared" si="349"/>
        <v>#N/A</v>
      </c>
      <c r="GK208" s="151" t="e">
        <f t="shared" si="350"/>
        <v>#N/A</v>
      </c>
      <c r="GL208" s="151"/>
      <c r="GM208" s="151"/>
      <c r="GP208" s="54">
        <f t="shared" si="395"/>
        <v>198</v>
      </c>
      <c r="GQ208" s="54">
        <f t="shared" si="396"/>
        <v>199</v>
      </c>
      <c r="GR208" s="54">
        <f t="shared" si="397"/>
        <v>1.6529149544618535</v>
      </c>
      <c r="GS208" s="54">
        <f t="shared" si="398"/>
        <v>0.10177381209387595</v>
      </c>
      <c r="GT208" s="54" t="e">
        <f t="shared" si="399"/>
        <v>#N/A</v>
      </c>
      <c r="GU208" s="54" t="e">
        <f t="shared" si="400"/>
        <v>#N/A</v>
      </c>
      <c r="GV208" s="54" t="e">
        <f t="shared" si="401"/>
        <v>#N/A</v>
      </c>
      <c r="GW208" s="54" t="b">
        <f t="shared" si="402"/>
        <v>0</v>
      </c>
      <c r="GX208" s="54" t="b">
        <f t="shared" si="403"/>
        <v>1</v>
      </c>
      <c r="GY208" s="54" t="b">
        <f t="shared" si="404"/>
        <v>0</v>
      </c>
      <c r="GZ208" s="54" t="b">
        <f t="shared" si="405"/>
        <v>1</v>
      </c>
      <c r="HA208" s="54">
        <f t="shared" si="406"/>
        <v>0.10177381209387595</v>
      </c>
      <c r="HB208" s="54" t="e">
        <f t="shared" si="407"/>
        <v>#N/A</v>
      </c>
      <c r="HC208" s="54">
        <f t="shared" si="408"/>
        <v>0.10177381209387595</v>
      </c>
      <c r="HD208" s="69" t="str">
        <f t="shared" si="409"/>
        <v/>
      </c>
      <c r="HJ208" s="54">
        <f t="shared" si="410"/>
        <v>198</v>
      </c>
      <c r="HK208" s="54">
        <f t="shared" si="411"/>
        <v>199</v>
      </c>
      <c r="HL208" s="54">
        <f t="shared" si="412"/>
        <v>2.5595735222949223</v>
      </c>
      <c r="HM208" s="54" t="e">
        <f t="shared" si="413"/>
        <v>#N/A</v>
      </c>
      <c r="HN208" s="54">
        <f t="shared" si="414"/>
        <v>2.7409711035389889E-2</v>
      </c>
      <c r="HO208" s="54" t="e">
        <f t="shared" si="415"/>
        <v>#N/A</v>
      </c>
      <c r="HP208" s="54" t="e">
        <f t="shared" si="416"/>
        <v>#N/A</v>
      </c>
      <c r="HQ208" s="54" t="b">
        <f t="shared" si="417"/>
        <v>0</v>
      </c>
      <c r="HR208" s="54" t="b">
        <f t="shared" si="418"/>
        <v>1</v>
      </c>
      <c r="HS208" s="54" t="b">
        <f t="shared" si="419"/>
        <v>1</v>
      </c>
      <c r="HT208" s="54" t="b">
        <f t="shared" si="420"/>
        <v>0</v>
      </c>
      <c r="HU208" s="54">
        <f t="shared" si="421"/>
        <v>2.7409711035389889E-2</v>
      </c>
      <c r="HV208" s="54" t="e">
        <f t="shared" si="422"/>
        <v>#N/A</v>
      </c>
      <c r="HW208" s="54">
        <f t="shared" si="423"/>
        <v>2.7409711035389889E-2</v>
      </c>
      <c r="HX208" s="69" t="str">
        <f t="shared" si="424"/>
        <v/>
      </c>
    </row>
    <row r="209" spans="78:232" x14ac:dyDescent="0.2">
      <c r="BZ209" s="54">
        <f t="shared" si="351"/>
        <v>199</v>
      </c>
      <c r="CA209" s="54">
        <f>Eu_tabel_g[[#This Row],[Indeks]]+1</f>
        <v>200</v>
      </c>
      <c r="CB209" s="54">
        <f t="shared" si="352"/>
        <v>1.6768702436569525</v>
      </c>
      <c r="CC209" s="54">
        <f t="shared" si="353"/>
        <v>9.7794646741326E-2</v>
      </c>
      <c r="CD209" s="54" t="e">
        <f t="shared" si="354"/>
        <v>#N/A</v>
      </c>
      <c r="CE209" s="54" t="e">
        <f t="shared" si="355"/>
        <v>#N/A</v>
      </c>
      <c r="CF209" s="54" t="e">
        <f t="shared" si="356"/>
        <v>#N/A</v>
      </c>
      <c r="CG209" s="54" t="b">
        <f t="shared" si="357"/>
        <v>0</v>
      </c>
      <c r="CH209" s="54" t="b">
        <f t="shared" si="358"/>
        <v>1</v>
      </c>
      <c r="CI209" s="54" t="b">
        <f t="shared" si="359"/>
        <v>0</v>
      </c>
      <c r="CJ209" s="54" t="b">
        <f t="shared" si="360"/>
        <v>1</v>
      </c>
      <c r="CK209" s="54">
        <f t="shared" si="327"/>
        <v>9.7794646741326E-2</v>
      </c>
      <c r="CL209" s="54" t="e">
        <f t="shared" si="361"/>
        <v>#N/A</v>
      </c>
      <c r="CM209" s="54">
        <f t="shared" si="362"/>
        <v>9.7794646741326E-2</v>
      </c>
      <c r="CN209" s="69" t="str">
        <f t="shared" si="363"/>
        <v/>
      </c>
      <c r="CO209" s="54">
        <f>_xlfn.NORM.DIST(_xlfn.NORM.INV(1-Eu_g_konfidensniveau,0,1)-Eu_tabel_g[[#This Row],[x base]],0,1,TRUE)</f>
        <v>4.4731590849217021E-4</v>
      </c>
      <c r="CP209" s="54">
        <f>1-_xlfn.NORM.DIST(_xlfn.NORM.INV(Eu_g_konfidensniveau,0,1)-Eu_tabel_g[[#This Row],[x base]],0,1,TRUE)</f>
        <v>0.51277060026206978</v>
      </c>
      <c r="CQ209" s="54">
        <f>_xlfn.NORM.DIST(_xlfn.NORM.INV((1-Eu_g_konfidensniveau)/2,0,1)-Eu_tabel_g[[#This Row],[x base]],0,1,TRUE)+1-_xlfn.NORM.DIST(_xlfn.NORM.INV(1-(1-Eu_g_konfidensniveau)/2,0,1)-Eu_tabel_g[[#This Row],[x base]],0,1,TRUE)</f>
        <v>0.38869049445814374</v>
      </c>
      <c r="CR209" s="54" t="e" cm="1">
        <f t="array" ref="CR209">IF($CR$3,INDEX(Eu_tabel_g[[#This Row],[Styrke venstre]:[Styrke tosidet]],CR$7),NA())</f>
        <v>#N/A</v>
      </c>
      <c r="CS209" s="89" t="e">
        <f>Eu_tabel_g[[#This Row],[Falsk positiv
Nulhypotese accepteres
Fejltype 1]]</f>
        <v>#N/A</v>
      </c>
      <c r="CT209" s="89" t="e">
        <f>IF(CHOOSE(CR$7,Eu_tabel_g[[#This Row],[x base]]&gt;0,Eu_tabel_g[[#This Row],[x base]]&lt;0,Eu_tabel_g[[#This Row],[x base]]=0),Eu_tabel_g[[#This Row],[Styrke, aktiv]],NA())</f>
        <v>#N/A</v>
      </c>
      <c r="CU209" s="89" t="e">
        <f>IFERROR(IF($CR$3,Eu_tabel_g[[#This Row],[Styrke, aktiv]],NA()),NA())</f>
        <v>#N/A</v>
      </c>
      <c r="CV209" s="89" t="e">
        <f>IF(ISNA(Eu_tabel_g[[#This Row],[Sand negativ
Nulhypotese afvises
Korrekt]]),NA(),IF($CR$3,1,NA()))</f>
        <v>#N/A</v>
      </c>
      <c r="CW209" s="56" t="str" cm="1">
        <f t="array" ref="CW209">_xlfn.SWITCH(BZ209,_xlfn.IFNA(CU$2,-99),CU$5,_xlfn.IFNA(CU$3,-99),CU$6,_xlfn.IFNA(CU$4,-99),CU$7,"")</f>
        <v/>
      </c>
      <c r="DA209" s="7">
        <f t="shared" si="364"/>
        <v>0.8</v>
      </c>
      <c r="DB209">
        <f>IF(ROW(Styrkeberegning_G[[#This Row],[X base venstre]])=ROW(Styrkeberegning_G[[#Headers],[X base venstre]])+1,DB$7/(DA$7/$B$67),DB208/(DA208/$B$67))</f>
        <v>-2.8015817870135784</v>
      </c>
      <c r="DC209">
        <f>Styrkeberegning_G[[#This Row],[X base venstre]]*-1</f>
        <v>2.8015817870135784</v>
      </c>
      <c r="DN209" s="54">
        <f t="shared" si="365"/>
        <v>199</v>
      </c>
      <c r="DO209" s="54">
        <f t="shared" si="366"/>
        <v>200</v>
      </c>
      <c r="DP209" s="54">
        <f t="shared" si="367"/>
        <v>24.533953091636889</v>
      </c>
      <c r="DQ209" s="54" t="e">
        <f t="shared" si="368"/>
        <v>#N/A</v>
      </c>
      <c r="DR209" s="54" t="e">
        <f t="shared" si="369"/>
        <v>#N/A</v>
      </c>
      <c r="DS209" s="54">
        <f t="shared" si="370"/>
        <v>3.564116746841857E-3</v>
      </c>
      <c r="DT209" s="54" t="e">
        <f t="shared" si="371"/>
        <v>#N/A</v>
      </c>
      <c r="DU209" s="54" t="b">
        <f t="shared" si="372"/>
        <v>0</v>
      </c>
      <c r="DV209" s="54" t="b">
        <f t="shared" si="373"/>
        <v>1</v>
      </c>
      <c r="DW209" s="54" t="b">
        <f t="shared" si="374"/>
        <v>1</v>
      </c>
      <c r="DX209" s="54" t="b">
        <f t="shared" si="375"/>
        <v>0</v>
      </c>
      <c r="DY209" s="54">
        <f t="shared" si="376"/>
        <v>3.564116746841857E-3</v>
      </c>
      <c r="DZ209" s="54">
        <f t="shared" si="377"/>
        <v>3.564116746841857E-3</v>
      </c>
      <c r="EA209" s="54" t="e">
        <f t="shared" si="378"/>
        <v>#N/A</v>
      </c>
      <c r="EB209" s="69" t="str">
        <f t="shared" si="379"/>
        <v/>
      </c>
      <c r="EG209" s="54">
        <f t="shared" si="380"/>
        <v>199</v>
      </c>
      <c r="EH209" s="54">
        <f t="shared" si="381"/>
        <v>200</v>
      </c>
      <c r="EI209" s="54">
        <f t="shared" si="382"/>
        <v>1.6768702436569525</v>
      </c>
      <c r="EJ209" s="54">
        <f t="shared" si="383"/>
        <v>9.7794646741326E-2</v>
      </c>
      <c r="EK209" s="54" t="e">
        <f t="shared" si="384"/>
        <v>#N/A</v>
      </c>
      <c r="EL209" s="54" t="e">
        <f t="shared" si="385"/>
        <v>#N/A</v>
      </c>
      <c r="EM209" s="54" t="e">
        <f t="shared" si="386"/>
        <v>#N/A</v>
      </c>
      <c r="EN209" s="54" t="b">
        <f t="shared" si="387"/>
        <v>0</v>
      </c>
      <c r="EO209" s="54" t="b">
        <f t="shared" si="388"/>
        <v>1</v>
      </c>
      <c r="EP209" s="54" t="b">
        <f t="shared" si="389"/>
        <v>0</v>
      </c>
      <c r="EQ209" s="54" t="b">
        <f t="shared" si="390"/>
        <v>1</v>
      </c>
      <c r="ER209" s="54">
        <f t="shared" si="391"/>
        <v>9.7794646741326E-2</v>
      </c>
      <c r="ES209" s="54" t="e">
        <f t="shared" si="392"/>
        <v>#N/A</v>
      </c>
      <c r="ET209" s="54">
        <f t="shared" si="393"/>
        <v>9.7794646741326E-2</v>
      </c>
      <c r="EU209" s="69" t="str">
        <f t="shared" si="394"/>
        <v/>
      </c>
      <c r="EV20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0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0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09" s="54" t="e" cm="1">
        <f t="array" ref="EY209">IF($CR$3,INDEX(Eu_tabel_a[[#This Row],[Styrke venstre]:[Styrke tosidet]],EY$7),NA())</f>
        <v>#N/A</v>
      </c>
      <c r="EZ209" s="54" t="e">
        <f>IF(EY$3,IF(CHOOSE(EY$7,Eu_tabel_a[[#This Row],[x base]]&gt;0,Eu_tabel_a[[#This Row],[x base]]&lt;0,Eu_tabel_a[[#This Row],[x base]]=0),1,NA()),NA())</f>
        <v>#N/A</v>
      </c>
      <c r="FA209" s="54" t="e">
        <f>IF(CHOOSE(EY$7,Eu_tabel_a[[#This Row],[x base]]&gt;0,Eu_tabel_a[[#This Row],[x base]]&lt;0,Eu_tabel_a[[#This Row],[x base]]=0),Eu_tabel_a[[#This Row],[Styrke, aktiv]],NA())</f>
        <v>#N/A</v>
      </c>
      <c r="FB209" s="54" t="e">
        <f>IFERROR(IF($EY$3,Eu_tabel_a[[#This Row],[Styrke, aktiv]],NA()),NA())</f>
        <v>#N/A</v>
      </c>
      <c r="FC209" s="54" t="e">
        <f>IF(ISNA(Eu_tabel_a[[#This Row],[Sand negativ
Nulhypotese afvises
Korrekt]]),NA(),IF(EY$3,1,NA()))</f>
        <v>#N/A</v>
      </c>
      <c r="FD209" s="55" t="str" cm="1">
        <f t="array" ref="FD209">IFERROR(_xlfn.SWITCH(Eu_tabel_a[[#This Row],[Indeks]],_xlfn.IFNA(FB$2,-99),FB$5,_xlfn.IFNA(FB$3,-99),FB$6,_xlfn.IFNA(FB$4,-99),FB$7,""),"")</f>
        <v/>
      </c>
      <c r="FE209" s="54">
        <f>Eu_tabel_a[[#This Row],[x base]]*SQRT(Eu_a_h0_x*(1-Eu_a_h0_x)/Eu_a_n_x)+Eu_a_h0_x</f>
        <v>0</v>
      </c>
      <c r="FJ209" s="144" t="e">
        <f t="shared" si="338"/>
        <v>#N/A</v>
      </c>
      <c r="FK209" s="152" t="e">
        <f t="shared" si="322"/>
        <v>#DIV/0!</v>
      </c>
      <c r="FL209" s="7" t="e">
        <f t="shared" si="332"/>
        <v>#DIV/0!</v>
      </c>
      <c r="FM209" t="e">
        <f t="shared" si="323"/>
        <v>#DIV/0!</v>
      </c>
      <c r="FN209" s="8" t="e">
        <f t="shared" si="324"/>
        <v>#DIV/0!</v>
      </c>
      <c r="FO209" s="8" t="e">
        <f t="shared" si="325"/>
        <v>#DIV/0!</v>
      </c>
      <c r="FP209" s="151" t="e">
        <f t="shared" si="326"/>
        <v>#DIV/0!</v>
      </c>
      <c r="FQ209" s="144" t="e">
        <f t="shared" ca="1" si="333"/>
        <v>#N/A</v>
      </c>
      <c r="FR209" s="152" t="e" vm="3">
        <f t="shared" ca="1" si="339"/>
        <v>#VALUE!</v>
      </c>
      <c r="FS209" s="7" t="e" vm="3">
        <f t="shared" ca="1" si="334"/>
        <v>#VALUE!</v>
      </c>
      <c r="FT209" t="e" vm="3">
        <f t="shared" ca="1" si="328"/>
        <v>#VALUE!</v>
      </c>
      <c r="FU209" s="8" t="e" vm="3">
        <f t="shared" ca="1" si="329"/>
        <v>#VALUE!</v>
      </c>
      <c r="FV209" s="8" t="e" vm="3">
        <f t="shared" ca="1" si="330"/>
        <v>#VALUE!</v>
      </c>
      <c r="FW209" s="151" t="e" vm="3">
        <f t="shared" ca="1" si="331"/>
        <v>#VALUE!</v>
      </c>
      <c r="FX209" s="144" t="e">
        <f t="shared" si="335"/>
        <v>#N/A</v>
      </c>
      <c r="FY209" s="152" t="e">
        <f t="shared" si="340"/>
        <v>#N/A</v>
      </c>
      <c r="FZ209" s="7" t="e">
        <f t="shared" si="336"/>
        <v>#N/A</v>
      </c>
      <c r="GA209" t="e">
        <f t="shared" si="341"/>
        <v>#N/A</v>
      </c>
      <c r="GB209" s="8" t="e">
        <f t="shared" si="342"/>
        <v>#N/A</v>
      </c>
      <c r="GC209" s="8" t="e">
        <f t="shared" si="343"/>
        <v>#N/A</v>
      </c>
      <c r="GD209" s="151" t="e">
        <f t="shared" si="344"/>
        <v>#N/A</v>
      </c>
      <c r="GE209" s="144" t="e">
        <f t="shared" si="345"/>
        <v>#N/A</v>
      </c>
      <c r="GF209" s="152" t="e">
        <f t="shared" si="346"/>
        <v>#N/A</v>
      </c>
      <c r="GG209" s="7" t="e">
        <f t="shared" si="337"/>
        <v>#N/A</v>
      </c>
      <c r="GH209" t="e">
        <f t="shared" si="347"/>
        <v>#N/A</v>
      </c>
      <c r="GI209" s="8" t="e">
        <f t="shared" si="348"/>
        <v>#N/A</v>
      </c>
      <c r="GJ209" s="8" t="e">
        <f t="shared" si="349"/>
        <v>#N/A</v>
      </c>
      <c r="GK209" s="151" t="e">
        <f t="shared" si="350"/>
        <v>#N/A</v>
      </c>
      <c r="GL209" s="151"/>
      <c r="GM209" s="151"/>
      <c r="GP209" s="54">
        <f t="shared" si="395"/>
        <v>199</v>
      </c>
      <c r="GQ209" s="54">
        <f t="shared" si="396"/>
        <v>200</v>
      </c>
      <c r="GR209" s="54">
        <f t="shared" si="397"/>
        <v>1.6768702436569525</v>
      </c>
      <c r="GS209" s="54">
        <f t="shared" si="398"/>
        <v>9.7794646741326E-2</v>
      </c>
      <c r="GT209" s="54" t="e">
        <f t="shared" si="399"/>
        <v>#N/A</v>
      </c>
      <c r="GU209" s="54" t="e">
        <f t="shared" si="400"/>
        <v>#N/A</v>
      </c>
      <c r="GV209" s="54" t="e">
        <f t="shared" si="401"/>
        <v>#N/A</v>
      </c>
      <c r="GW209" s="54" t="b">
        <f t="shared" si="402"/>
        <v>0</v>
      </c>
      <c r="GX209" s="54" t="b">
        <f t="shared" si="403"/>
        <v>1</v>
      </c>
      <c r="GY209" s="54" t="b">
        <f t="shared" si="404"/>
        <v>0</v>
      </c>
      <c r="GZ209" s="54" t="b">
        <f t="shared" si="405"/>
        <v>1</v>
      </c>
      <c r="HA209" s="54">
        <f t="shared" si="406"/>
        <v>9.7794646741326E-2</v>
      </c>
      <c r="HB209" s="54" t="e">
        <f t="shared" si="407"/>
        <v>#N/A</v>
      </c>
      <c r="HC209" s="54">
        <f t="shared" si="408"/>
        <v>9.7794646741326E-2</v>
      </c>
      <c r="HD209" s="69" t="str">
        <f t="shared" si="409"/>
        <v/>
      </c>
      <c r="HJ209" s="54">
        <f t="shared" si="410"/>
        <v>199</v>
      </c>
      <c r="HK209" s="54">
        <f t="shared" si="411"/>
        <v>200</v>
      </c>
      <c r="HL209" s="54">
        <f t="shared" si="412"/>
        <v>2.5966687907339798</v>
      </c>
      <c r="HM209" s="54" t="e">
        <f t="shared" si="413"/>
        <v>#N/A</v>
      </c>
      <c r="HN209" s="54">
        <f t="shared" si="414"/>
        <v>2.5915309276453979E-2</v>
      </c>
      <c r="HO209" s="54" t="e">
        <f t="shared" si="415"/>
        <v>#N/A</v>
      </c>
      <c r="HP209" s="54" t="e">
        <f t="shared" si="416"/>
        <v>#N/A</v>
      </c>
      <c r="HQ209" s="54" t="b">
        <f t="shared" si="417"/>
        <v>0</v>
      </c>
      <c r="HR209" s="54" t="b">
        <f t="shared" si="418"/>
        <v>1</v>
      </c>
      <c r="HS209" s="54" t="b">
        <f t="shared" si="419"/>
        <v>1</v>
      </c>
      <c r="HT209" s="54" t="b">
        <f t="shared" si="420"/>
        <v>0</v>
      </c>
      <c r="HU209" s="54">
        <f t="shared" si="421"/>
        <v>2.5915309276453979E-2</v>
      </c>
      <c r="HV209" s="54" t="e">
        <f t="shared" si="422"/>
        <v>#N/A</v>
      </c>
      <c r="HW209" s="54">
        <f t="shared" si="423"/>
        <v>2.5915309276453979E-2</v>
      </c>
      <c r="HX209" s="69" t="str">
        <f t="shared" si="424"/>
        <v/>
      </c>
    </row>
    <row r="210" spans="78:232" x14ac:dyDescent="0.2">
      <c r="BZ210" s="54">
        <f t="shared" si="351"/>
        <v>200</v>
      </c>
      <c r="CA210" s="54">
        <f>Eu_tabel_g[[#This Row],[Indeks]]+1</f>
        <v>201</v>
      </c>
      <c r="CB210" s="54">
        <f t="shared" si="352"/>
        <v>1.7008255328520523</v>
      </c>
      <c r="CC210" s="54">
        <f t="shared" si="353"/>
        <v>9.3917148922940161E-2</v>
      </c>
      <c r="CD210" s="54" t="e">
        <f t="shared" si="354"/>
        <v>#N/A</v>
      </c>
      <c r="CE210" s="54" t="e">
        <f t="shared" si="355"/>
        <v>#N/A</v>
      </c>
      <c r="CF210" s="54" t="e">
        <f t="shared" si="356"/>
        <v>#N/A</v>
      </c>
      <c r="CG210" s="54" t="b">
        <f t="shared" si="357"/>
        <v>0</v>
      </c>
      <c r="CH210" s="54" t="b">
        <f t="shared" si="358"/>
        <v>1</v>
      </c>
      <c r="CI210" s="54" t="b">
        <f t="shared" si="359"/>
        <v>0</v>
      </c>
      <c r="CJ210" s="54" t="b">
        <f t="shared" si="360"/>
        <v>1</v>
      </c>
      <c r="CK210" s="54">
        <f t="shared" si="327"/>
        <v>9.3917148922940161E-2</v>
      </c>
      <c r="CL210" s="54" t="e">
        <f t="shared" si="361"/>
        <v>#N/A</v>
      </c>
      <c r="CM210" s="54">
        <f t="shared" si="362"/>
        <v>9.3917148922940161E-2</v>
      </c>
      <c r="CN210" s="69" t="str">
        <f t="shared" si="363"/>
        <v/>
      </c>
      <c r="CO210" s="54">
        <f>_xlfn.NORM.DIST(_xlfn.NORM.INV(1-Eu_g_konfidensniveau,0,1)-Eu_tabel_g[[#This Row],[x base]],0,1,TRUE)</f>
        <v>4.1040656259575155E-4</v>
      </c>
      <c r="CP210" s="54">
        <f>1-_xlfn.NORM.DIST(_xlfn.NORM.INV(Eu_g_konfidensniveau,0,1)-Eu_tabel_g[[#This Row],[x base]],0,1,TRUE)</f>
        <v>0.52231790604596395</v>
      </c>
      <c r="CQ210" s="54">
        <f>_xlfn.NORM.DIST(_xlfn.NORM.INV((1-Eu_g_konfidensniveau)/2,0,1)-Eu_tabel_g[[#This Row],[x base]],0,1,TRUE)+1-_xlfn.NORM.DIST(_xlfn.NORM.INV(1-(1-Eu_g_konfidensniveau)/2,0,1)-Eu_tabel_g[[#This Row],[x base]],0,1,TRUE)</f>
        <v>0.39788992846045113</v>
      </c>
      <c r="CR210" s="54" t="e" cm="1">
        <f t="array" ref="CR210">IF($CR$3,INDEX(Eu_tabel_g[[#This Row],[Styrke venstre]:[Styrke tosidet]],CR$7),NA())</f>
        <v>#N/A</v>
      </c>
      <c r="CS210" s="89" t="e">
        <f>Eu_tabel_g[[#This Row],[Falsk positiv
Nulhypotese accepteres
Fejltype 1]]</f>
        <v>#N/A</v>
      </c>
      <c r="CT210" s="89" t="e">
        <f>IF(CHOOSE(CR$7,Eu_tabel_g[[#This Row],[x base]]&gt;0,Eu_tabel_g[[#This Row],[x base]]&lt;0,Eu_tabel_g[[#This Row],[x base]]=0),Eu_tabel_g[[#This Row],[Styrke, aktiv]],NA())</f>
        <v>#N/A</v>
      </c>
      <c r="CU210" s="89" t="e">
        <f>IFERROR(IF($CR$3,Eu_tabel_g[[#This Row],[Styrke, aktiv]],NA()),NA())</f>
        <v>#N/A</v>
      </c>
      <c r="CV210" s="89" t="e">
        <f>IF(ISNA(Eu_tabel_g[[#This Row],[Sand negativ
Nulhypotese afvises
Korrekt]]),NA(),IF($CR$3,1,NA()))</f>
        <v>#N/A</v>
      </c>
      <c r="CW210" s="56" t="str" cm="1">
        <f t="array" ref="CW210">_xlfn.SWITCH(BZ210,_xlfn.IFNA(CU$2,-99),CU$5,_xlfn.IFNA(CU$3,-99),CU$6,_xlfn.IFNA(CU$4,-99),CU$7,"")</f>
        <v/>
      </c>
      <c r="DA210" s="7">
        <f t="shared" si="364"/>
        <v>0.8</v>
      </c>
      <c r="DB210">
        <f>IF(ROW(Styrkeberegning_G[[#This Row],[X base venstre]])=ROW(Styrkeberegning_G[[#Headers],[X base venstre]])+1,DB$7/(DA$7/$B$67),DB209/(DA209/$B$67))</f>
        <v>-2.8015817870135784</v>
      </c>
      <c r="DC210">
        <f>Styrkeberegning_G[[#This Row],[X base venstre]]*-1</f>
        <v>2.8015817870135784</v>
      </c>
      <c r="DN210" s="54">
        <f t="shared" si="365"/>
        <v>200</v>
      </c>
      <c r="DO210" s="54">
        <f t="shared" si="366"/>
        <v>201</v>
      </c>
      <c r="DP210" s="54">
        <f t="shared" si="367"/>
        <v>24.64802394805389</v>
      </c>
      <c r="DQ210" s="54" t="e">
        <f t="shared" si="368"/>
        <v>#N/A</v>
      </c>
      <c r="DR210" s="54" t="e">
        <f t="shared" si="369"/>
        <v>#N/A</v>
      </c>
      <c r="DS210" s="54">
        <f t="shared" si="370"/>
        <v>3.4375367102795801E-3</v>
      </c>
      <c r="DT210" s="54" t="e">
        <f t="shared" si="371"/>
        <v>#N/A</v>
      </c>
      <c r="DU210" s="54" t="b">
        <f t="shared" si="372"/>
        <v>0</v>
      </c>
      <c r="DV210" s="54" t="b">
        <f t="shared" si="373"/>
        <v>1</v>
      </c>
      <c r="DW210" s="54" t="b">
        <f t="shared" si="374"/>
        <v>1</v>
      </c>
      <c r="DX210" s="54" t="b">
        <f t="shared" si="375"/>
        <v>0</v>
      </c>
      <c r="DY210" s="54">
        <f t="shared" si="376"/>
        <v>3.4375367102795801E-3</v>
      </c>
      <c r="DZ210" s="54">
        <f t="shared" si="377"/>
        <v>3.4375367102795801E-3</v>
      </c>
      <c r="EA210" s="54" t="e">
        <f t="shared" si="378"/>
        <v>#N/A</v>
      </c>
      <c r="EB210" s="69" t="str">
        <f t="shared" si="379"/>
        <v/>
      </c>
      <c r="EG210" s="54">
        <f t="shared" si="380"/>
        <v>200</v>
      </c>
      <c r="EH210" s="54">
        <f t="shared" si="381"/>
        <v>201</v>
      </c>
      <c r="EI210" s="54">
        <f t="shared" si="382"/>
        <v>1.7008255328520523</v>
      </c>
      <c r="EJ210" s="54">
        <f t="shared" si="383"/>
        <v>9.3917148922940161E-2</v>
      </c>
      <c r="EK210" s="54" t="e">
        <f t="shared" si="384"/>
        <v>#N/A</v>
      </c>
      <c r="EL210" s="54" t="e">
        <f t="shared" si="385"/>
        <v>#N/A</v>
      </c>
      <c r="EM210" s="54" t="e">
        <f t="shared" si="386"/>
        <v>#N/A</v>
      </c>
      <c r="EN210" s="54" t="b">
        <f t="shared" si="387"/>
        <v>0</v>
      </c>
      <c r="EO210" s="54" t="b">
        <f t="shared" si="388"/>
        <v>1</v>
      </c>
      <c r="EP210" s="54" t="b">
        <f t="shared" si="389"/>
        <v>0</v>
      </c>
      <c r="EQ210" s="54" t="b">
        <f t="shared" si="390"/>
        <v>1</v>
      </c>
      <c r="ER210" s="54">
        <f t="shared" si="391"/>
        <v>9.3917148922940161E-2</v>
      </c>
      <c r="ES210" s="54" t="e">
        <f t="shared" si="392"/>
        <v>#N/A</v>
      </c>
      <c r="ET210" s="54">
        <f t="shared" si="393"/>
        <v>9.3917148922940161E-2</v>
      </c>
      <c r="EU210" s="69" t="str">
        <f t="shared" si="394"/>
        <v/>
      </c>
      <c r="EV21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1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1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10" s="54" t="e" cm="1">
        <f t="array" ref="EY210">IF($CR$3,INDEX(Eu_tabel_a[[#This Row],[Styrke venstre]:[Styrke tosidet]],EY$7),NA())</f>
        <v>#N/A</v>
      </c>
      <c r="EZ210" s="54" t="e">
        <f>IF(EY$3,IF(CHOOSE(EY$7,Eu_tabel_a[[#This Row],[x base]]&gt;0,Eu_tabel_a[[#This Row],[x base]]&lt;0,Eu_tabel_a[[#This Row],[x base]]=0),1,NA()),NA())</f>
        <v>#N/A</v>
      </c>
      <c r="FA210" s="54" t="e">
        <f>IF(CHOOSE(EY$7,Eu_tabel_a[[#This Row],[x base]]&gt;0,Eu_tabel_a[[#This Row],[x base]]&lt;0,Eu_tabel_a[[#This Row],[x base]]=0),Eu_tabel_a[[#This Row],[Styrke, aktiv]],NA())</f>
        <v>#N/A</v>
      </c>
      <c r="FB210" s="54" t="e">
        <f>IFERROR(IF($EY$3,Eu_tabel_a[[#This Row],[Styrke, aktiv]],NA()),NA())</f>
        <v>#N/A</v>
      </c>
      <c r="FC210" s="54" t="e">
        <f>IF(ISNA(Eu_tabel_a[[#This Row],[Sand negativ
Nulhypotese afvises
Korrekt]]),NA(),IF(EY$3,1,NA()))</f>
        <v>#N/A</v>
      </c>
      <c r="FD210" s="55" t="str" cm="1">
        <f t="array" ref="FD210">IFERROR(_xlfn.SWITCH(Eu_tabel_a[[#This Row],[Indeks]],_xlfn.IFNA(FB$2,-99),FB$5,_xlfn.IFNA(FB$3,-99),FB$6,_xlfn.IFNA(FB$4,-99),FB$7,""),"")</f>
        <v/>
      </c>
      <c r="FE210" s="54">
        <f>Eu_tabel_a[[#This Row],[x base]]*SQRT(Eu_a_h0_x*(1-Eu_a_h0_x)/Eu_a_n_x)+Eu_a_h0_x</f>
        <v>0</v>
      </c>
      <c r="FJ210" s="144" t="e">
        <f t="shared" si="338"/>
        <v>#N/A</v>
      </c>
      <c r="FK210" s="152" t="e">
        <f t="shared" si="322"/>
        <v>#DIV/0!</v>
      </c>
      <c r="FL210" s="7" t="e">
        <f t="shared" si="332"/>
        <v>#DIV/0!</v>
      </c>
      <c r="FM210" t="e">
        <f t="shared" si="323"/>
        <v>#DIV/0!</v>
      </c>
      <c r="FN210" s="8" t="e">
        <f t="shared" si="324"/>
        <v>#DIV/0!</v>
      </c>
      <c r="FO210" s="8" t="e">
        <f t="shared" si="325"/>
        <v>#DIV/0!</v>
      </c>
      <c r="FP210" s="151" t="e">
        <f t="shared" si="326"/>
        <v>#DIV/0!</v>
      </c>
      <c r="FQ210" s="144" t="e">
        <f t="shared" ca="1" si="333"/>
        <v>#N/A</v>
      </c>
      <c r="FR210" s="152" t="e" vm="3">
        <f t="shared" ca="1" si="339"/>
        <v>#VALUE!</v>
      </c>
      <c r="FS210" s="7" t="e" vm="3">
        <f t="shared" ca="1" si="334"/>
        <v>#VALUE!</v>
      </c>
      <c r="FT210" t="e" vm="3">
        <f t="shared" ca="1" si="328"/>
        <v>#VALUE!</v>
      </c>
      <c r="FU210" s="8" t="e" vm="3">
        <f t="shared" ca="1" si="329"/>
        <v>#VALUE!</v>
      </c>
      <c r="FV210" s="8" t="e" vm="3">
        <f t="shared" ca="1" si="330"/>
        <v>#VALUE!</v>
      </c>
      <c r="FW210" s="151" t="e" vm="3">
        <f t="shared" ca="1" si="331"/>
        <v>#VALUE!</v>
      </c>
      <c r="FX210" s="144" t="e">
        <f t="shared" si="335"/>
        <v>#N/A</v>
      </c>
      <c r="FY210" s="152" t="e">
        <f t="shared" si="340"/>
        <v>#N/A</v>
      </c>
      <c r="FZ210" s="7" t="e">
        <f t="shared" si="336"/>
        <v>#N/A</v>
      </c>
      <c r="GA210" t="e">
        <f t="shared" si="341"/>
        <v>#N/A</v>
      </c>
      <c r="GB210" s="8" t="e">
        <f t="shared" si="342"/>
        <v>#N/A</v>
      </c>
      <c r="GC210" s="8" t="e">
        <f t="shared" si="343"/>
        <v>#N/A</v>
      </c>
      <c r="GD210" s="151" t="e">
        <f t="shared" si="344"/>
        <v>#N/A</v>
      </c>
      <c r="GE210" s="144" t="e">
        <f t="shared" si="345"/>
        <v>#N/A</v>
      </c>
      <c r="GF210" s="152" t="e">
        <f t="shared" si="346"/>
        <v>#N/A</v>
      </c>
      <c r="GG210" s="7" t="e">
        <f t="shared" si="337"/>
        <v>#N/A</v>
      </c>
      <c r="GH210" t="e">
        <f t="shared" si="347"/>
        <v>#N/A</v>
      </c>
      <c r="GI210" s="8" t="e">
        <f t="shared" si="348"/>
        <v>#N/A</v>
      </c>
      <c r="GJ210" s="8" t="e">
        <f t="shared" si="349"/>
        <v>#N/A</v>
      </c>
      <c r="GK210" s="151" t="e">
        <f t="shared" si="350"/>
        <v>#N/A</v>
      </c>
      <c r="GL210" s="151"/>
      <c r="GM210" s="151"/>
      <c r="GP210" s="54">
        <f t="shared" si="395"/>
        <v>200</v>
      </c>
      <c r="GQ210" s="54">
        <f t="shared" si="396"/>
        <v>201</v>
      </c>
      <c r="GR210" s="54">
        <f t="shared" si="397"/>
        <v>1.7008255328520523</v>
      </c>
      <c r="GS210" s="54">
        <f t="shared" si="398"/>
        <v>9.3917148922940161E-2</v>
      </c>
      <c r="GT210" s="54" t="e">
        <f t="shared" si="399"/>
        <v>#N/A</v>
      </c>
      <c r="GU210" s="54" t="e">
        <f t="shared" si="400"/>
        <v>#N/A</v>
      </c>
      <c r="GV210" s="54" t="e">
        <f t="shared" si="401"/>
        <v>#N/A</v>
      </c>
      <c r="GW210" s="54" t="b">
        <f t="shared" si="402"/>
        <v>0</v>
      </c>
      <c r="GX210" s="54" t="b">
        <f t="shared" si="403"/>
        <v>1</v>
      </c>
      <c r="GY210" s="54" t="b">
        <f t="shared" si="404"/>
        <v>0</v>
      </c>
      <c r="GZ210" s="54" t="b">
        <f t="shared" si="405"/>
        <v>1</v>
      </c>
      <c r="HA210" s="54">
        <f t="shared" si="406"/>
        <v>9.3917148922940161E-2</v>
      </c>
      <c r="HB210" s="54" t="e">
        <f t="shared" si="407"/>
        <v>#N/A</v>
      </c>
      <c r="HC210" s="54">
        <f t="shared" si="408"/>
        <v>9.3917148922940161E-2</v>
      </c>
      <c r="HD210" s="69" t="str">
        <f t="shared" si="409"/>
        <v/>
      </c>
      <c r="HJ210" s="54">
        <f t="shared" si="410"/>
        <v>200</v>
      </c>
      <c r="HK210" s="54">
        <f t="shared" si="411"/>
        <v>201</v>
      </c>
      <c r="HL210" s="54">
        <f t="shared" si="412"/>
        <v>2.6337640591730365</v>
      </c>
      <c r="HM210" s="54" t="e">
        <f t="shared" si="413"/>
        <v>#N/A</v>
      </c>
      <c r="HN210" s="54">
        <f t="shared" si="414"/>
        <v>2.4502015153508718E-2</v>
      </c>
      <c r="HO210" s="54" t="e">
        <f t="shared" si="415"/>
        <v>#N/A</v>
      </c>
      <c r="HP210" s="54" t="e">
        <f t="shared" si="416"/>
        <v>#N/A</v>
      </c>
      <c r="HQ210" s="54" t="b">
        <f t="shared" si="417"/>
        <v>0</v>
      </c>
      <c r="HR210" s="54" t="b">
        <f t="shared" si="418"/>
        <v>1</v>
      </c>
      <c r="HS210" s="54" t="b">
        <f t="shared" si="419"/>
        <v>1</v>
      </c>
      <c r="HT210" s="54" t="b">
        <f t="shared" si="420"/>
        <v>0</v>
      </c>
      <c r="HU210" s="54">
        <f t="shared" si="421"/>
        <v>2.4502015153508718E-2</v>
      </c>
      <c r="HV210" s="54" t="e">
        <f t="shared" si="422"/>
        <v>#N/A</v>
      </c>
      <c r="HW210" s="54">
        <f t="shared" si="423"/>
        <v>2.4502015153508718E-2</v>
      </c>
      <c r="HX210" s="69" t="str">
        <f t="shared" si="424"/>
        <v/>
      </c>
    </row>
    <row r="211" spans="78:232" x14ac:dyDescent="0.2">
      <c r="BZ211" s="54">
        <f t="shared" si="351"/>
        <v>201</v>
      </c>
      <c r="CA211" s="54">
        <f>Eu_tabel_g[[#This Row],[Indeks]]+1</f>
        <v>202</v>
      </c>
      <c r="CB211" s="54">
        <f t="shared" si="352"/>
        <v>1.7247808220471512</v>
      </c>
      <c r="CC211" s="54">
        <f t="shared" si="353"/>
        <v>9.0141648356948725E-2</v>
      </c>
      <c r="CD211" s="54" t="e">
        <f t="shared" si="354"/>
        <v>#N/A</v>
      </c>
      <c r="CE211" s="54" t="e">
        <f t="shared" si="355"/>
        <v>#N/A</v>
      </c>
      <c r="CF211" s="54" t="e">
        <f t="shared" si="356"/>
        <v>#N/A</v>
      </c>
      <c r="CG211" s="54" t="b">
        <f t="shared" si="357"/>
        <v>0</v>
      </c>
      <c r="CH211" s="54" t="b">
        <f t="shared" si="358"/>
        <v>1</v>
      </c>
      <c r="CI211" s="54" t="b">
        <f t="shared" si="359"/>
        <v>0</v>
      </c>
      <c r="CJ211" s="54" t="b">
        <f t="shared" si="360"/>
        <v>1</v>
      </c>
      <c r="CK211" s="54">
        <f t="shared" si="327"/>
        <v>9.0141648356948725E-2</v>
      </c>
      <c r="CL211" s="54" t="e">
        <f t="shared" si="361"/>
        <v>#N/A</v>
      </c>
      <c r="CM211" s="54">
        <f t="shared" si="362"/>
        <v>9.0141648356948725E-2</v>
      </c>
      <c r="CN211" s="69" t="str">
        <f t="shared" si="363"/>
        <v/>
      </c>
      <c r="CO211" s="54">
        <f>_xlfn.NORM.DIST(_xlfn.NORM.INV(1-Eu_g_konfidensniveau,0,1)-Eu_tabel_g[[#This Row],[x base]],0,1,TRUE)</f>
        <v>3.7633980985570035E-4</v>
      </c>
      <c r="CP211" s="54">
        <f>1-_xlfn.NORM.DIST(_xlfn.NORM.INV(Eu_g_konfidensniveau,0,1)-Eu_tabel_g[[#This Row],[x base]],0,1,TRUE)</f>
        <v>0.53185241977044739</v>
      </c>
      <c r="CQ211" s="54">
        <f>_xlfn.NORM.DIST(_xlfn.NORM.INV((1-Eu_g_konfidensniveau)/2,0,1)-Eu_tabel_g[[#This Row],[x base]],0,1,TRUE)+1-_xlfn.NORM.DIST(_xlfn.NORM.INV(1-(1-Eu_g_konfidensniveau)/2,0,1)-Eu_tabel_g[[#This Row],[x base]],0,1,TRUE)</f>
        <v>0.40714775290485883</v>
      </c>
      <c r="CR211" s="54" t="e" cm="1">
        <f t="array" ref="CR211">IF($CR$3,INDEX(Eu_tabel_g[[#This Row],[Styrke venstre]:[Styrke tosidet]],CR$7),NA())</f>
        <v>#N/A</v>
      </c>
      <c r="CS211" s="89" t="e">
        <f>Eu_tabel_g[[#This Row],[Falsk positiv
Nulhypotese accepteres
Fejltype 1]]</f>
        <v>#N/A</v>
      </c>
      <c r="CT211" s="89" t="e">
        <f>IF(CHOOSE(CR$7,Eu_tabel_g[[#This Row],[x base]]&gt;0,Eu_tabel_g[[#This Row],[x base]]&lt;0,Eu_tabel_g[[#This Row],[x base]]=0),Eu_tabel_g[[#This Row],[Styrke, aktiv]],NA())</f>
        <v>#N/A</v>
      </c>
      <c r="CU211" s="89" t="e">
        <f>IFERROR(IF($CR$3,Eu_tabel_g[[#This Row],[Styrke, aktiv]],NA()),NA())</f>
        <v>#N/A</v>
      </c>
      <c r="CV211" s="89" t="e">
        <f>IF(ISNA(Eu_tabel_g[[#This Row],[Sand negativ
Nulhypotese afvises
Korrekt]]),NA(),IF($CR$3,1,NA()))</f>
        <v>#N/A</v>
      </c>
      <c r="CW211" s="56" t="str" cm="1">
        <f t="array" ref="CW211">_xlfn.SWITCH(BZ211,_xlfn.IFNA(CU$2,-99),CU$5,_xlfn.IFNA(CU$3,-99),CU$6,_xlfn.IFNA(CU$4,-99),CU$7,"")</f>
        <v/>
      </c>
      <c r="DA211" s="7">
        <f t="shared" si="364"/>
        <v>0.8</v>
      </c>
      <c r="DB211">
        <f>IF(ROW(Styrkeberegning_G[[#This Row],[X base venstre]])=ROW(Styrkeberegning_G[[#Headers],[X base venstre]])+1,DB$7/(DA$7/$B$67),DB210/(DA210/$B$67))</f>
        <v>-2.8015817870135784</v>
      </c>
      <c r="DC211">
        <f>Styrkeberegning_G[[#This Row],[X base venstre]]*-1</f>
        <v>2.8015817870135784</v>
      </c>
      <c r="DN211" s="54">
        <f t="shared" si="365"/>
        <v>201</v>
      </c>
      <c r="DO211" s="54">
        <f t="shared" si="366"/>
        <v>202</v>
      </c>
      <c r="DP211" s="54">
        <f t="shared" si="367"/>
        <v>24.762094804470891</v>
      </c>
      <c r="DQ211" s="54" t="e">
        <f t="shared" si="368"/>
        <v>#N/A</v>
      </c>
      <c r="DR211" s="54" t="e">
        <f t="shared" si="369"/>
        <v>#N/A</v>
      </c>
      <c r="DS211" s="54">
        <f t="shared" si="370"/>
        <v>3.3151326397612151E-3</v>
      </c>
      <c r="DT211" s="54" t="e">
        <f t="shared" si="371"/>
        <v>#N/A</v>
      </c>
      <c r="DU211" s="54" t="b">
        <f t="shared" si="372"/>
        <v>0</v>
      </c>
      <c r="DV211" s="54" t="b">
        <f t="shared" si="373"/>
        <v>1</v>
      </c>
      <c r="DW211" s="54" t="b">
        <f t="shared" si="374"/>
        <v>1</v>
      </c>
      <c r="DX211" s="54" t="b">
        <f t="shared" si="375"/>
        <v>0</v>
      </c>
      <c r="DY211" s="54">
        <f t="shared" si="376"/>
        <v>3.3151326397612151E-3</v>
      </c>
      <c r="DZ211" s="54">
        <f t="shared" si="377"/>
        <v>3.3151326397612151E-3</v>
      </c>
      <c r="EA211" s="54" t="e">
        <f t="shared" si="378"/>
        <v>#N/A</v>
      </c>
      <c r="EB211" s="69" t="str">
        <f t="shared" si="379"/>
        <v/>
      </c>
      <c r="EG211" s="54">
        <f t="shared" si="380"/>
        <v>201</v>
      </c>
      <c r="EH211" s="54">
        <f t="shared" si="381"/>
        <v>202</v>
      </c>
      <c r="EI211" s="54">
        <f t="shared" si="382"/>
        <v>1.7247808220471512</v>
      </c>
      <c r="EJ211" s="54">
        <f t="shared" si="383"/>
        <v>9.0141648356948725E-2</v>
      </c>
      <c r="EK211" s="54" t="e">
        <f t="shared" si="384"/>
        <v>#N/A</v>
      </c>
      <c r="EL211" s="54" t="e">
        <f t="shared" si="385"/>
        <v>#N/A</v>
      </c>
      <c r="EM211" s="54" t="e">
        <f t="shared" si="386"/>
        <v>#N/A</v>
      </c>
      <c r="EN211" s="54" t="b">
        <f t="shared" si="387"/>
        <v>0</v>
      </c>
      <c r="EO211" s="54" t="b">
        <f t="shared" si="388"/>
        <v>1</v>
      </c>
      <c r="EP211" s="54" t="b">
        <f t="shared" si="389"/>
        <v>0</v>
      </c>
      <c r="EQ211" s="54" t="b">
        <f t="shared" si="390"/>
        <v>1</v>
      </c>
      <c r="ER211" s="54">
        <f t="shared" si="391"/>
        <v>9.0141648356948725E-2</v>
      </c>
      <c r="ES211" s="54" t="e">
        <f t="shared" si="392"/>
        <v>#N/A</v>
      </c>
      <c r="ET211" s="54">
        <f t="shared" si="393"/>
        <v>9.0141648356948725E-2</v>
      </c>
      <c r="EU211" s="69" t="str">
        <f t="shared" si="394"/>
        <v/>
      </c>
      <c r="EV21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1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1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11" s="54" t="e" cm="1">
        <f t="array" ref="EY211">IF($CR$3,INDEX(Eu_tabel_a[[#This Row],[Styrke venstre]:[Styrke tosidet]],EY$7),NA())</f>
        <v>#N/A</v>
      </c>
      <c r="EZ211" s="54" t="e">
        <f>IF(EY$3,IF(CHOOSE(EY$7,Eu_tabel_a[[#This Row],[x base]]&gt;0,Eu_tabel_a[[#This Row],[x base]]&lt;0,Eu_tabel_a[[#This Row],[x base]]=0),1,NA()),NA())</f>
        <v>#N/A</v>
      </c>
      <c r="FA211" s="54" t="e">
        <f>IF(CHOOSE(EY$7,Eu_tabel_a[[#This Row],[x base]]&gt;0,Eu_tabel_a[[#This Row],[x base]]&lt;0,Eu_tabel_a[[#This Row],[x base]]=0),Eu_tabel_a[[#This Row],[Styrke, aktiv]],NA())</f>
        <v>#N/A</v>
      </c>
      <c r="FB211" s="54" t="e">
        <f>IFERROR(IF($EY$3,Eu_tabel_a[[#This Row],[Styrke, aktiv]],NA()),NA())</f>
        <v>#N/A</v>
      </c>
      <c r="FC211" s="54" t="e">
        <f>IF(ISNA(Eu_tabel_a[[#This Row],[Sand negativ
Nulhypotese afvises
Korrekt]]),NA(),IF(EY$3,1,NA()))</f>
        <v>#N/A</v>
      </c>
      <c r="FD211" s="55" t="str" cm="1">
        <f t="array" ref="FD211">IFERROR(_xlfn.SWITCH(Eu_tabel_a[[#This Row],[Indeks]],_xlfn.IFNA(FB$2,-99),FB$5,_xlfn.IFNA(FB$3,-99),FB$6,_xlfn.IFNA(FB$4,-99),FB$7,""),"")</f>
        <v/>
      </c>
      <c r="FE211" s="54">
        <f>Eu_tabel_a[[#This Row],[x base]]*SQRT(Eu_a_h0_x*(1-Eu_a_h0_x)/Eu_a_n_x)+Eu_a_h0_x</f>
        <v>0</v>
      </c>
      <c r="FJ211" s="144" t="e">
        <f t="shared" si="338"/>
        <v>#N/A</v>
      </c>
      <c r="FK211" s="152" t="e">
        <f t="shared" si="322"/>
        <v>#DIV/0!</v>
      </c>
      <c r="FL211" s="7" t="e">
        <f t="shared" si="332"/>
        <v>#DIV/0!</v>
      </c>
      <c r="FM211" t="e">
        <f t="shared" si="323"/>
        <v>#DIV/0!</v>
      </c>
      <c r="FN211" s="8" t="e">
        <f t="shared" si="324"/>
        <v>#DIV/0!</v>
      </c>
      <c r="FO211" s="8" t="e">
        <f t="shared" si="325"/>
        <v>#DIV/0!</v>
      </c>
      <c r="FP211" s="151" t="e">
        <f t="shared" si="326"/>
        <v>#DIV/0!</v>
      </c>
      <c r="FQ211" s="144" t="e">
        <f t="shared" ca="1" si="333"/>
        <v>#N/A</v>
      </c>
      <c r="FR211" s="152" t="e" vm="3">
        <f t="shared" ca="1" si="339"/>
        <v>#VALUE!</v>
      </c>
      <c r="FS211" s="7" t="e" vm="3">
        <f t="shared" ca="1" si="334"/>
        <v>#VALUE!</v>
      </c>
      <c r="FT211" t="e" vm="3">
        <f t="shared" ca="1" si="328"/>
        <v>#VALUE!</v>
      </c>
      <c r="FU211" s="8" t="e" vm="3">
        <f t="shared" ca="1" si="329"/>
        <v>#VALUE!</v>
      </c>
      <c r="FV211" s="8" t="e" vm="3">
        <f t="shared" ca="1" si="330"/>
        <v>#VALUE!</v>
      </c>
      <c r="FW211" s="151" t="e" vm="3">
        <f t="shared" ca="1" si="331"/>
        <v>#VALUE!</v>
      </c>
      <c r="FX211" s="144" t="e">
        <f t="shared" si="335"/>
        <v>#N/A</v>
      </c>
      <c r="FY211" s="152" t="e">
        <f t="shared" si="340"/>
        <v>#N/A</v>
      </c>
      <c r="FZ211" s="7" t="e">
        <f t="shared" si="336"/>
        <v>#N/A</v>
      </c>
      <c r="GA211" t="e">
        <f t="shared" si="341"/>
        <v>#N/A</v>
      </c>
      <c r="GB211" s="8" t="e">
        <f t="shared" si="342"/>
        <v>#N/A</v>
      </c>
      <c r="GC211" s="8" t="e">
        <f t="shared" si="343"/>
        <v>#N/A</v>
      </c>
      <c r="GD211" s="151" t="e">
        <f t="shared" si="344"/>
        <v>#N/A</v>
      </c>
      <c r="GE211" s="144" t="e">
        <f t="shared" si="345"/>
        <v>#N/A</v>
      </c>
      <c r="GF211" s="152" t="e">
        <f t="shared" si="346"/>
        <v>#N/A</v>
      </c>
      <c r="GG211" s="7" t="e">
        <f t="shared" si="337"/>
        <v>#N/A</v>
      </c>
      <c r="GH211" t="e">
        <f t="shared" si="347"/>
        <v>#N/A</v>
      </c>
      <c r="GI211" s="8" t="e">
        <f t="shared" si="348"/>
        <v>#N/A</v>
      </c>
      <c r="GJ211" s="8" t="e">
        <f t="shared" si="349"/>
        <v>#N/A</v>
      </c>
      <c r="GK211" s="151" t="e">
        <f t="shared" si="350"/>
        <v>#N/A</v>
      </c>
      <c r="GL211" s="151"/>
      <c r="GM211" s="151"/>
      <c r="GP211" s="54">
        <f t="shared" si="395"/>
        <v>201</v>
      </c>
      <c r="GQ211" s="54">
        <f t="shared" si="396"/>
        <v>202</v>
      </c>
      <c r="GR211" s="54">
        <f t="shared" si="397"/>
        <v>1.7247808220471512</v>
      </c>
      <c r="GS211" s="54">
        <f t="shared" si="398"/>
        <v>9.0141648356948725E-2</v>
      </c>
      <c r="GT211" s="54" t="e">
        <f t="shared" si="399"/>
        <v>#N/A</v>
      </c>
      <c r="GU211" s="54" t="e">
        <f t="shared" si="400"/>
        <v>#N/A</v>
      </c>
      <c r="GV211" s="54" t="e">
        <f t="shared" si="401"/>
        <v>#N/A</v>
      </c>
      <c r="GW211" s="54" t="b">
        <f t="shared" si="402"/>
        <v>0</v>
      </c>
      <c r="GX211" s="54" t="b">
        <f t="shared" si="403"/>
        <v>1</v>
      </c>
      <c r="GY211" s="54" t="b">
        <f t="shared" si="404"/>
        <v>0</v>
      </c>
      <c r="GZ211" s="54" t="b">
        <f t="shared" si="405"/>
        <v>1</v>
      </c>
      <c r="HA211" s="54">
        <f t="shared" si="406"/>
        <v>9.0141648356948725E-2</v>
      </c>
      <c r="HB211" s="54" t="e">
        <f t="shared" si="407"/>
        <v>#N/A</v>
      </c>
      <c r="HC211" s="54">
        <f t="shared" si="408"/>
        <v>9.0141648356948725E-2</v>
      </c>
      <c r="HD211" s="69" t="str">
        <f t="shared" si="409"/>
        <v/>
      </c>
      <c r="HJ211" s="54">
        <f t="shared" si="410"/>
        <v>201</v>
      </c>
      <c r="HK211" s="54">
        <f t="shared" si="411"/>
        <v>202</v>
      </c>
      <c r="HL211" s="54">
        <f t="shared" si="412"/>
        <v>2.6708593276120931</v>
      </c>
      <c r="HM211" s="54" t="e">
        <f t="shared" si="413"/>
        <v>#N/A</v>
      </c>
      <c r="HN211" s="54">
        <f t="shared" si="414"/>
        <v>2.3165711177825673E-2</v>
      </c>
      <c r="HO211" s="54" t="e">
        <f t="shared" si="415"/>
        <v>#N/A</v>
      </c>
      <c r="HP211" s="54" t="e">
        <f t="shared" si="416"/>
        <v>#N/A</v>
      </c>
      <c r="HQ211" s="54" t="b">
        <f t="shared" si="417"/>
        <v>0</v>
      </c>
      <c r="HR211" s="54" t="b">
        <f t="shared" si="418"/>
        <v>1</v>
      </c>
      <c r="HS211" s="54" t="b">
        <f t="shared" si="419"/>
        <v>1</v>
      </c>
      <c r="HT211" s="54" t="b">
        <f t="shared" si="420"/>
        <v>0</v>
      </c>
      <c r="HU211" s="54">
        <f t="shared" si="421"/>
        <v>2.3165711177825673E-2</v>
      </c>
      <c r="HV211" s="54" t="e">
        <f t="shared" si="422"/>
        <v>#N/A</v>
      </c>
      <c r="HW211" s="54">
        <f t="shared" si="423"/>
        <v>2.3165711177825673E-2</v>
      </c>
      <c r="HX211" s="69" t="str">
        <f t="shared" si="424"/>
        <v/>
      </c>
    </row>
    <row r="212" spans="78:232" x14ac:dyDescent="0.2">
      <c r="BZ212" s="54">
        <f t="shared" si="351"/>
        <v>202</v>
      </c>
      <c r="CA212" s="54">
        <f>Eu_tabel_g[[#This Row],[Indeks]]+1</f>
        <v>203</v>
      </c>
      <c r="CB212" s="54">
        <f t="shared" si="352"/>
        <v>1.748736111242251</v>
      </c>
      <c r="CC212" s="54">
        <f t="shared" si="353"/>
        <v>8.6468289590491632E-2</v>
      </c>
      <c r="CD212" s="54" t="e">
        <f t="shared" si="354"/>
        <v>#N/A</v>
      </c>
      <c r="CE212" s="54" t="e">
        <f t="shared" si="355"/>
        <v>#N/A</v>
      </c>
      <c r="CF212" s="54" t="e">
        <f t="shared" si="356"/>
        <v>#N/A</v>
      </c>
      <c r="CG212" s="54" t="b">
        <f t="shared" si="357"/>
        <v>0</v>
      </c>
      <c r="CH212" s="54" t="b">
        <f t="shared" si="358"/>
        <v>1</v>
      </c>
      <c r="CI212" s="54" t="b">
        <f t="shared" si="359"/>
        <v>0</v>
      </c>
      <c r="CJ212" s="54" t="b">
        <f t="shared" si="360"/>
        <v>1</v>
      </c>
      <c r="CK212" s="54">
        <f t="shared" si="327"/>
        <v>8.6468289590491632E-2</v>
      </c>
      <c r="CL212" s="54" t="e">
        <f t="shared" si="361"/>
        <v>#N/A</v>
      </c>
      <c r="CM212" s="54">
        <f t="shared" si="362"/>
        <v>8.6468289590491632E-2</v>
      </c>
      <c r="CN212" s="69" t="str">
        <f t="shared" si="363"/>
        <v/>
      </c>
      <c r="CO212" s="54">
        <f>_xlfn.NORM.DIST(_xlfn.NORM.INV(1-Eu_g_konfidensniveau,0,1)-Eu_tabel_g[[#This Row],[x base]],0,1,TRUE)</f>
        <v>3.4491476418879784E-4</v>
      </c>
      <c r="CP212" s="54">
        <f>1-_xlfn.NORM.DIST(_xlfn.NORM.INV(Eu_g_konfidensniveau,0,1)-Eu_tabel_g[[#This Row],[x base]],0,1,TRUE)</f>
        <v>0.54136869629794382</v>
      </c>
      <c r="CQ212" s="54">
        <f>_xlfn.NORM.DIST(_xlfn.NORM.INV((1-Eu_g_konfidensniveau)/2,0,1)-Eu_tabel_g[[#This Row],[x base]],0,1,TRUE)+1-_xlfn.NORM.DIST(_xlfn.NORM.INV(1-(1-Eu_g_konfidensniveau)/2,0,1)-Eu_tabel_g[[#This Row],[x base]],0,1,TRUE)</f>
        <v>0.41645889382757795</v>
      </c>
      <c r="CR212" s="54" t="e" cm="1">
        <f t="array" ref="CR212">IF($CR$3,INDEX(Eu_tabel_g[[#This Row],[Styrke venstre]:[Styrke tosidet]],CR$7),NA())</f>
        <v>#N/A</v>
      </c>
      <c r="CS212" s="89" t="e">
        <f>Eu_tabel_g[[#This Row],[Falsk positiv
Nulhypotese accepteres
Fejltype 1]]</f>
        <v>#N/A</v>
      </c>
      <c r="CT212" s="89" t="e">
        <f>IF(CHOOSE(CR$7,Eu_tabel_g[[#This Row],[x base]]&gt;0,Eu_tabel_g[[#This Row],[x base]]&lt;0,Eu_tabel_g[[#This Row],[x base]]=0),Eu_tabel_g[[#This Row],[Styrke, aktiv]],NA())</f>
        <v>#N/A</v>
      </c>
      <c r="CU212" s="89" t="e">
        <f>IFERROR(IF($CR$3,Eu_tabel_g[[#This Row],[Styrke, aktiv]],NA()),NA())</f>
        <v>#N/A</v>
      </c>
      <c r="CV212" s="89" t="e">
        <f>IF(ISNA(Eu_tabel_g[[#This Row],[Sand negativ
Nulhypotese afvises
Korrekt]]),NA(),IF($CR$3,1,NA()))</f>
        <v>#N/A</v>
      </c>
      <c r="CW212" s="56" t="str" cm="1">
        <f t="array" ref="CW212">_xlfn.SWITCH(BZ212,_xlfn.IFNA(CU$2,-99),CU$5,_xlfn.IFNA(CU$3,-99),CU$6,_xlfn.IFNA(CU$4,-99),CU$7,"")</f>
        <v/>
      </c>
      <c r="DA212" s="7">
        <f t="shared" si="364"/>
        <v>0.8</v>
      </c>
      <c r="DB212">
        <f>IF(ROW(Styrkeberegning_G[[#This Row],[X base venstre]])=ROW(Styrkeberegning_G[[#Headers],[X base venstre]])+1,DB$7/(DA$7/$B$67),DB211/(DA211/$B$67))</f>
        <v>-2.8015817870135784</v>
      </c>
      <c r="DC212">
        <f>Styrkeberegning_G[[#This Row],[X base venstre]]*-1</f>
        <v>2.8015817870135784</v>
      </c>
      <c r="DN212" s="54">
        <f t="shared" si="365"/>
        <v>202</v>
      </c>
      <c r="DO212" s="54">
        <f t="shared" si="366"/>
        <v>203</v>
      </c>
      <c r="DP212" s="54">
        <f t="shared" si="367"/>
        <v>24.876165660887892</v>
      </c>
      <c r="DQ212" s="54" t="e">
        <f t="shared" si="368"/>
        <v>#N/A</v>
      </c>
      <c r="DR212" s="54" t="e">
        <f t="shared" si="369"/>
        <v>#N/A</v>
      </c>
      <c r="DS212" s="54">
        <f t="shared" si="370"/>
        <v>3.1967818436801831E-3</v>
      </c>
      <c r="DT212" s="54" t="e">
        <f t="shared" si="371"/>
        <v>#N/A</v>
      </c>
      <c r="DU212" s="54" t="b">
        <f t="shared" si="372"/>
        <v>0</v>
      </c>
      <c r="DV212" s="54" t="b">
        <f t="shared" si="373"/>
        <v>1</v>
      </c>
      <c r="DW212" s="54" t="b">
        <f t="shared" si="374"/>
        <v>1</v>
      </c>
      <c r="DX212" s="54" t="b">
        <f t="shared" si="375"/>
        <v>0</v>
      </c>
      <c r="DY212" s="54">
        <f t="shared" si="376"/>
        <v>3.1967818436801831E-3</v>
      </c>
      <c r="DZ212" s="54">
        <f t="shared" si="377"/>
        <v>3.1967818436801831E-3</v>
      </c>
      <c r="EA212" s="54" t="e">
        <f t="shared" si="378"/>
        <v>#N/A</v>
      </c>
      <c r="EB212" s="69" t="str">
        <f t="shared" si="379"/>
        <v/>
      </c>
      <c r="EG212" s="54">
        <f t="shared" si="380"/>
        <v>202</v>
      </c>
      <c r="EH212" s="54">
        <f t="shared" si="381"/>
        <v>203</v>
      </c>
      <c r="EI212" s="54">
        <f t="shared" si="382"/>
        <v>1.748736111242251</v>
      </c>
      <c r="EJ212" s="54">
        <f t="shared" si="383"/>
        <v>8.6468289590491632E-2</v>
      </c>
      <c r="EK212" s="54" t="e">
        <f t="shared" si="384"/>
        <v>#N/A</v>
      </c>
      <c r="EL212" s="54" t="e">
        <f t="shared" si="385"/>
        <v>#N/A</v>
      </c>
      <c r="EM212" s="54" t="e">
        <f t="shared" si="386"/>
        <v>#N/A</v>
      </c>
      <c r="EN212" s="54" t="b">
        <f t="shared" si="387"/>
        <v>0</v>
      </c>
      <c r="EO212" s="54" t="b">
        <f t="shared" si="388"/>
        <v>1</v>
      </c>
      <c r="EP212" s="54" t="b">
        <f t="shared" si="389"/>
        <v>0</v>
      </c>
      <c r="EQ212" s="54" t="b">
        <f t="shared" si="390"/>
        <v>1</v>
      </c>
      <c r="ER212" s="54">
        <f t="shared" si="391"/>
        <v>8.6468289590491632E-2</v>
      </c>
      <c r="ES212" s="54" t="e">
        <f t="shared" si="392"/>
        <v>#N/A</v>
      </c>
      <c r="ET212" s="54">
        <f t="shared" si="393"/>
        <v>8.6468289590491632E-2</v>
      </c>
      <c r="EU212" s="69" t="str">
        <f t="shared" si="394"/>
        <v/>
      </c>
      <c r="EV21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1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1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12" s="54" t="e" cm="1">
        <f t="array" ref="EY212">IF($CR$3,INDEX(Eu_tabel_a[[#This Row],[Styrke venstre]:[Styrke tosidet]],EY$7),NA())</f>
        <v>#N/A</v>
      </c>
      <c r="EZ212" s="54" t="e">
        <f>IF(EY$3,IF(CHOOSE(EY$7,Eu_tabel_a[[#This Row],[x base]]&gt;0,Eu_tabel_a[[#This Row],[x base]]&lt;0,Eu_tabel_a[[#This Row],[x base]]=0),1,NA()),NA())</f>
        <v>#N/A</v>
      </c>
      <c r="FA212" s="54" t="e">
        <f>IF(CHOOSE(EY$7,Eu_tabel_a[[#This Row],[x base]]&gt;0,Eu_tabel_a[[#This Row],[x base]]&lt;0,Eu_tabel_a[[#This Row],[x base]]=0),Eu_tabel_a[[#This Row],[Styrke, aktiv]],NA())</f>
        <v>#N/A</v>
      </c>
      <c r="FB212" s="54" t="e">
        <f>IFERROR(IF($EY$3,Eu_tabel_a[[#This Row],[Styrke, aktiv]],NA()),NA())</f>
        <v>#N/A</v>
      </c>
      <c r="FC212" s="54" t="e">
        <f>IF(ISNA(Eu_tabel_a[[#This Row],[Sand negativ
Nulhypotese afvises
Korrekt]]),NA(),IF(EY$3,1,NA()))</f>
        <v>#N/A</v>
      </c>
      <c r="FD212" s="55" t="str" cm="1">
        <f t="array" ref="FD212">IFERROR(_xlfn.SWITCH(Eu_tabel_a[[#This Row],[Indeks]],_xlfn.IFNA(FB$2,-99),FB$5,_xlfn.IFNA(FB$3,-99),FB$6,_xlfn.IFNA(FB$4,-99),FB$7,""),"")</f>
        <v/>
      </c>
      <c r="FE212" s="54">
        <f>Eu_tabel_a[[#This Row],[x base]]*SQRT(Eu_a_h0_x*(1-Eu_a_h0_x)/Eu_a_n_x)+Eu_a_h0_x</f>
        <v>0</v>
      </c>
      <c r="FJ212" s="144" t="e">
        <f t="shared" si="338"/>
        <v>#N/A</v>
      </c>
      <c r="FK212" s="152" t="e">
        <f t="shared" si="322"/>
        <v>#DIV/0!</v>
      </c>
      <c r="FL212" s="7" t="e">
        <f t="shared" si="332"/>
        <v>#DIV/0!</v>
      </c>
      <c r="FM212" t="e">
        <f t="shared" si="323"/>
        <v>#DIV/0!</v>
      </c>
      <c r="FN212" s="8" t="e">
        <f t="shared" si="324"/>
        <v>#DIV/0!</v>
      </c>
      <c r="FO212" s="8" t="e">
        <f t="shared" si="325"/>
        <v>#DIV/0!</v>
      </c>
      <c r="FP212" s="151" t="e">
        <f t="shared" si="326"/>
        <v>#DIV/0!</v>
      </c>
      <c r="FQ212" s="144" t="e">
        <f t="shared" ca="1" si="333"/>
        <v>#N/A</v>
      </c>
      <c r="FR212" s="152" t="e" vm="3">
        <f t="shared" ca="1" si="339"/>
        <v>#VALUE!</v>
      </c>
      <c r="FS212" s="7" t="e" vm="3">
        <f t="shared" ca="1" si="334"/>
        <v>#VALUE!</v>
      </c>
      <c r="FT212" t="e" vm="3">
        <f t="shared" ca="1" si="328"/>
        <v>#VALUE!</v>
      </c>
      <c r="FU212" s="8" t="e" vm="3">
        <f t="shared" ca="1" si="329"/>
        <v>#VALUE!</v>
      </c>
      <c r="FV212" s="8" t="e" vm="3">
        <f t="shared" ca="1" si="330"/>
        <v>#VALUE!</v>
      </c>
      <c r="FW212" s="151" t="e" vm="3">
        <f t="shared" ca="1" si="331"/>
        <v>#VALUE!</v>
      </c>
      <c r="FX212" s="144" t="e">
        <f t="shared" si="335"/>
        <v>#N/A</v>
      </c>
      <c r="FY212" s="152" t="e">
        <f t="shared" si="340"/>
        <v>#N/A</v>
      </c>
      <c r="FZ212" s="7" t="e">
        <f t="shared" si="336"/>
        <v>#N/A</v>
      </c>
      <c r="GA212" t="e">
        <f t="shared" si="341"/>
        <v>#N/A</v>
      </c>
      <c r="GB212" s="8" t="e">
        <f t="shared" si="342"/>
        <v>#N/A</v>
      </c>
      <c r="GC212" s="8" t="e">
        <f t="shared" si="343"/>
        <v>#N/A</v>
      </c>
      <c r="GD212" s="151" t="e">
        <f t="shared" si="344"/>
        <v>#N/A</v>
      </c>
      <c r="GE212" s="144" t="e">
        <f t="shared" si="345"/>
        <v>#N/A</v>
      </c>
      <c r="GF212" s="152" t="e">
        <f t="shared" si="346"/>
        <v>#N/A</v>
      </c>
      <c r="GG212" s="7" t="e">
        <f t="shared" si="337"/>
        <v>#N/A</v>
      </c>
      <c r="GH212" t="e">
        <f t="shared" si="347"/>
        <v>#N/A</v>
      </c>
      <c r="GI212" s="8" t="e">
        <f t="shared" si="348"/>
        <v>#N/A</v>
      </c>
      <c r="GJ212" s="8" t="e">
        <f t="shared" si="349"/>
        <v>#N/A</v>
      </c>
      <c r="GK212" s="151" t="e">
        <f t="shared" si="350"/>
        <v>#N/A</v>
      </c>
      <c r="GL212" s="151"/>
      <c r="GM212" s="151"/>
      <c r="GP212" s="54">
        <f t="shared" si="395"/>
        <v>202</v>
      </c>
      <c r="GQ212" s="54">
        <f t="shared" si="396"/>
        <v>203</v>
      </c>
      <c r="GR212" s="54">
        <f t="shared" si="397"/>
        <v>1.748736111242251</v>
      </c>
      <c r="GS212" s="54">
        <f t="shared" si="398"/>
        <v>8.6468289590491632E-2</v>
      </c>
      <c r="GT212" s="54" t="e">
        <f t="shared" si="399"/>
        <v>#N/A</v>
      </c>
      <c r="GU212" s="54" t="e">
        <f t="shared" si="400"/>
        <v>#N/A</v>
      </c>
      <c r="GV212" s="54" t="e">
        <f t="shared" si="401"/>
        <v>#N/A</v>
      </c>
      <c r="GW212" s="54" t="b">
        <f t="shared" si="402"/>
        <v>0</v>
      </c>
      <c r="GX212" s="54" t="b">
        <f t="shared" si="403"/>
        <v>1</v>
      </c>
      <c r="GY212" s="54" t="b">
        <f t="shared" si="404"/>
        <v>0</v>
      </c>
      <c r="GZ212" s="54" t="b">
        <f t="shared" si="405"/>
        <v>1</v>
      </c>
      <c r="HA212" s="54">
        <f t="shared" si="406"/>
        <v>8.6468289590491632E-2</v>
      </c>
      <c r="HB212" s="54" t="e">
        <f t="shared" si="407"/>
        <v>#N/A</v>
      </c>
      <c r="HC212" s="54">
        <f t="shared" si="408"/>
        <v>8.6468289590491632E-2</v>
      </c>
      <c r="HD212" s="69" t="str">
        <f t="shared" si="409"/>
        <v/>
      </c>
      <c r="HJ212" s="54">
        <f t="shared" si="410"/>
        <v>202</v>
      </c>
      <c r="HK212" s="54">
        <f t="shared" si="411"/>
        <v>203</v>
      </c>
      <c r="HL212" s="54">
        <f t="shared" si="412"/>
        <v>2.7079545960511497</v>
      </c>
      <c r="HM212" s="54" t="e">
        <f t="shared" si="413"/>
        <v>#N/A</v>
      </c>
      <c r="HN212" s="54">
        <f t="shared" si="414"/>
        <v>2.1902447557375637E-2</v>
      </c>
      <c r="HO212" s="54" t="e">
        <f t="shared" si="415"/>
        <v>#N/A</v>
      </c>
      <c r="HP212" s="54" t="e">
        <f t="shared" si="416"/>
        <v>#N/A</v>
      </c>
      <c r="HQ212" s="54" t="b">
        <f t="shared" si="417"/>
        <v>0</v>
      </c>
      <c r="HR212" s="54" t="b">
        <f t="shared" si="418"/>
        <v>1</v>
      </c>
      <c r="HS212" s="54" t="b">
        <f t="shared" si="419"/>
        <v>1</v>
      </c>
      <c r="HT212" s="54" t="b">
        <f t="shared" si="420"/>
        <v>0</v>
      </c>
      <c r="HU212" s="54">
        <f t="shared" si="421"/>
        <v>2.1902447557375637E-2</v>
      </c>
      <c r="HV212" s="54" t="e">
        <f t="shared" si="422"/>
        <v>#N/A</v>
      </c>
      <c r="HW212" s="54">
        <f t="shared" si="423"/>
        <v>2.1902447557375637E-2</v>
      </c>
      <c r="HX212" s="69" t="str">
        <f t="shared" si="424"/>
        <v/>
      </c>
    </row>
    <row r="213" spans="78:232" x14ac:dyDescent="0.2">
      <c r="BZ213" s="54">
        <f t="shared" si="351"/>
        <v>203</v>
      </c>
      <c r="CA213" s="54">
        <f>Eu_tabel_g[[#This Row],[Indeks]]+1</f>
        <v>204</v>
      </c>
      <c r="CB213" s="54">
        <f t="shared" si="352"/>
        <v>1.77269140043735</v>
      </c>
      <c r="CC213" s="54">
        <f t="shared" si="353"/>
        <v>8.2897039117220503E-2</v>
      </c>
      <c r="CD213" s="54" t="e">
        <f t="shared" si="354"/>
        <v>#N/A</v>
      </c>
      <c r="CE213" s="54" t="e">
        <f t="shared" si="355"/>
        <v>#N/A</v>
      </c>
      <c r="CF213" s="54" t="e">
        <f t="shared" si="356"/>
        <v>#N/A</v>
      </c>
      <c r="CG213" s="54" t="b">
        <f t="shared" si="357"/>
        <v>0</v>
      </c>
      <c r="CH213" s="54" t="b">
        <f t="shared" si="358"/>
        <v>1</v>
      </c>
      <c r="CI213" s="54" t="b">
        <f t="shared" si="359"/>
        <v>0</v>
      </c>
      <c r="CJ213" s="54" t="b">
        <f t="shared" si="360"/>
        <v>1</v>
      </c>
      <c r="CK213" s="54">
        <f t="shared" si="327"/>
        <v>8.2897039117220503E-2</v>
      </c>
      <c r="CL213" s="54" t="e">
        <f t="shared" si="361"/>
        <v>#N/A</v>
      </c>
      <c r="CM213" s="54">
        <f t="shared" si="362"/>
        <v>8.2897039117220503E-2</v>
      </c>
      <c r="CN213" s="69" t="str">
        <f t="shared" si="363"/>
        <v/>
      </c>
      <c r="CO213" s="54">
        <f>_xlfn.NORM.DIST(_xlfn.NORM.INV(1-Eu_g_konfidensniveau,0,1)-Eu_tabel_g[[#This Row],[x base]],0,1,TRUE)</f>
        <v>3.1594320383957267E-4</v>
      </c>
      <c r="CP213" s="54">
        <f>1-_xlfn.NORM.DIST(_xlfn.NORM.INV(Eu_g_konfidensniveau,0,1)-Eu_tabel_g[[#This Row],[x base]],0,1,TRUE)</f>
        <v>0.55086132181012337</v>
      </c>
      <c r="CQ213" s="54">
        <f>_xlfn.NORM.DIST(_xlfn.NORM.INV((1-Eu_g_konfidensniveau)/2,0,1)-Eu_tabel_g[[#This Row],[x base]],0,1,TRUE)+1-_xlfn.NORM.DIST(_xlfn.NORM.INV(1-(1-Eu_g_konfidensniveau)/2,0,1)-Eu_tabel_g[[#This Row],[x base]],0,1,TRUE)</f>
        <v>0.42581819457602854</v>
      </c>
      <c r="CR213" s="54" t="e" cm="1">
        <f t="array" ref="CR213">IF($CR$3,INDEX(Eu_tabel_g[[#This Row],[Styrke venstre]:[Styrke tosidet]],CR$7),NA())</f>
        <v>#N/A</v>
      </c>
      <c r="CS213" s="89" t="e">
        <f>Eu_tabel_g[[#This Row],[Falsk positiv
Nulhypotese accepteres
Fejltype 1]]</f>
        <v>#N/A</v>
      </c>
      <c r="CT213" s="89" t="e">
        <f>IF(CHOOSE(CR$7,Eu_tabel_g[[#This Row],[x base]]&gt;0,Eu_tabel_g[[#This Row],[x base]]&lt;0,Eu_tabel_g[[#This Row],[x base]]=0),Eu_tabel_g[[#This Row],[Styrke, aktiv]],NA())</f>
        <v>#N/A</v>
      </c>
      <c r="CU213" s="89" t="e">
        <f>IFERROR(IF($CR$3,Eu_tabel_g[[#This Row],[Styrke, aktiv]],NA()),NA())</f>
        <v>#N/A</v>
      </c>
      <c r="CV213" s="89" t="e">
        <f>IF(ISNA(Eu_tabel_g[[#This Row],[Sand negativ
Nulhypotese afvises
Korrekt]]),NA(),IF($CR$3,1,NA()))</f>
        <v>#N/A</v>
      </c>
      <c r="CW213" s="56" t="str" cm="1">
        <f t="array" ref="CW213">_xlfn.SWITCH(BZ213,_xlfn.IFNA(CU$2,-99),CU$5,_xlfn.IFNA(CU$3,-99),CU$6,_xlfn.IFNA(CU$4,-99),CU$7,"")</f>
        <v/>
      </c>
      <c r="DA213" s="7">
        <f t="shared" si="364"/>
        <v>0.8</v>
      </c>
      <c r="DB213">
        <f>IF(ROW(Styrkeberegning_G[[#This Row],[X base venstre]])=ROW(Styrkeberegning_G[[#Headers],[X base venstre]])+1,DB$7/(DA$7/$B$67),DB212/(DA212/$B$67))</f>
        <v>-2.8015817870135784</v>
      </c>
      <c r="DC213">
        <f>Styrkeberegning_G[[#This Row],[X base venstre]]*-1</f>
        <v>2.8015817870135784</v>
      </c>
      <c r="DN213" s="54">
        <f t="shared" si="365"/>
        <v>203</v>
      </c>
      <c r="DO213" s="54">
        <f t="shared" si="366"/>
        <v>204</v>
      </c>
      <c r="DP213" s="54">
        <f t="shared" si="367"/>
        <v>24.990236517304893</v>
      </c>
      <c r="DQ213" s="54" t="e">
        <f t="shared" si="368"/>
        <v>#N/A</v>
      </c>
      <c r="DR213" s="54" t="e">
        <f t="shared" si="369"/>
        <v>#N/A</v>
      </c>
      <c r="DS213" s="54">
        <f t="shared" si="370"/>
        <v>3.0823645127233709E-3</v>
      </c>
      <c r="DT213" s="54" t="e">
        <f t="shared" si="371"/>
        <v>#N/A</v>
      </c>
      <c r="DU213" s="54" t="b">
        <f t="shared" si="372"/>
        <v>0</v>
      </c>
      <c r="DV213" s="54" t="b">
        <f t="shared" si="373"/>
        <v>1</v>
      </c>
      <c r="DW213" s="54" t="b">
        <f t="shared" si="374"/>
        <v>1</v>
      </c>
      <c r="DX213" s="54" t="b">
        <f t="shared" si="375"/>
        <v>0</v>
      </c>
      <c r="DY213" s="54">
        <f t="shared" si="376"/>
        <v>3.0823645127233709E-3</v>
      </c>
      <c r="DZ213" s="54">
        <f t="shared" si="377"/>
        <v>3.0823645127233709E-3</v>
      </c>
      <c r="EA213" s="54" t="e">
        <f t="shared" si="378"/>
        <v>#N/A</v>
      </c>
      <c r="EB213" s="69" t="str">
        <f t="shared" si="379"/>
        <v/>
      </c>
      <c r="EG213" s="54">
        <f t="shared" si="380"/>
        <v>203</v>
      </c>
      <c r="EH213" s="54">
        <f t="shared" si="381"/>
        <v>204</v>
      </c>
      <c r="EI213" s="54">
        <f t="shared" si="382"/>
        <v>1.77269140043735</v>
      </c>
      <c r="EJ213" s="54">
        <f t="shared" si="383"/>
        <v>8.2897039117220503E-2</v>
      </c>
      <c r="EK213" s="54" t="e">
        <f t="shared" si="384"/>
        <v>#N/A</v>
      </c>
      <c r="EL213" s="54" t="e">
        <f t="shared" si="385"/>
        <v>#N/A</v>
      </c>
      <c r="EM213" s="54" t="e">
        <f t="shared" si="386"/>
        <v>#N/A</v>
      </c>
      <c r="EN213" s="54" t="b">
        <f t="shared" si="387"/>
        <v>0</v>
      </c>
      <c r="EO213" s="54" t="b">
        <f t="shared" si="388"/>
        <v>1</v>
      </c>
      <c r="EP213" s="54" t="b">
        <f t="shared" si="389"/>
        <v>0</v>
      </c>
      <c r="EQ213" s="54" t="b">
        <f t="shared" si="390"/>
        <v>1</v>
      </c>
      <c r="ER213" s="54">
        <f t="shared" si="391"/>
        <v>8.2897039117220503E-2</v>
      </c>
      <c r="ES213" s="54" t="e">
        <f t="shared" si="392"/>
        <v>#N/A</v>
      </c>
      <c r="ET213" s="54">
        <f t="shared" si="393"/>
        <v>8.2897039117220503E-2</v>
      </c>
      <c r="EU213" s="69" t="str">
        <f t="shared" si="394"/>
        <v/>
      </c>
      <c r="EV21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1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1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13" s="54" t="e" cm="1">
        <f t="array" ref="EY213">IF($CR$3,INDEX(Eu_tabel_a[[#This Row],[Styrke venstre]:[Styrke tosidet]],EY$7),NA())</f>
        <v>#N/A</v>
      </c>
      <c r="EZ213" s="54" t="e">
        <f>IF(EY$3,IF(CHOOSE(EY$7,Eu_tabel_a[[#This Row],[x base]]&gt;0,Eu_tabel_a[[#This Row],[x base]]&lt;0,Eu_tabel_a[[#This Row],[x base]]=0),1,NA()),NA())</f>
        <v>#N/A</v>
      </c>
      <c r="FA213" s="54" t="e">
        <f>IF(CHOOSE(EY$7,Eu_tabel_a[[#This Row],[x base]]&gt;0,Eu_tabel_a[[#This Row],[x base]]&lt;0,Eu_tabel_a[[#This Row],[x base]]=0),Eu_tabel_a[[#This Row],[Styrke, aktiv]],NA())</f>
        <v>#N/A</v>
      </c>
      <c r="FB213" s="54" t="e">
        <f>IFERROR(IF($EY$3,Eu_tabel_a[[#This Row],[Styrke, aktiv]],NA()),NA())</f>
        <v>#N/A</v>
      </c>
      <c r="FC213" s="54" t="e">
        <f>IF(ISNA(Eu_tabel_a[[#This Row],[Sand negativ
Nulhypotese afvises
Korrekt]]),NA(),IF(EY$3,1,NA()))</f>
        <v>#N/A</v>
      </c>
      <c r="FD213" s="55" t="str" cm="1">
        <f t="array" ref="FD213">IFERROR(_xlfn.SWITCH(Eu_tabel_a[[#This Row],[Indeks]],_xlfn.IFNA(FB$2,-99),FB$5,_xlfn.IFNA(FB$3,-99),FB$6,_xlfn.IFNA(FB$4,-99),FB$7,""),"")</f>
        <v/>
      </c>
      <c r="FE213" s="54">
        <f>Eu_tabel_a[[#This Row],[x base]]*SQRT(Eu_a_h0_x*(1-Eu_a_h0_x)/Eu_a_n_x)+Eu_a_h0_x</f>
        <v>0</v>
      </c>
      <c r="FJ213" s="144" t="e">
        <f t="shared" si="338"/>
        <v>#N/A</v>
      </c>
      <c r="FK213" s="152" t="e">
        <f t="shared" si="322"/>
        <v>#DIV/0!</v>
      </c>
      <c r="FL213" s="7" t="e">
        <f t="shared" si="332"/>
        <v>#DIV/0!</v>
      </c>
      <c r="FM213" t="e">
        <f t="shared" si="323"/>
        <v>#DIV/0!</v>
      </c>
      <c r="FN213" s="8" t="e">
        <f t="shared" si="324"/>
        <v>#DIV/0!</v>
      </c>
      <c r="FO213" s="8" t="e">
        <f t="shared" si="325"/>
        <v>#DIV/0!</v>
      </c>
      <c r="FP213" s="151" t="e">
        <f t="shared" si="326"/>
        <v>#DIV/0!</v>
      </c>
      <c r="FQ213" s="144" t="e">
        <f t="shared" ca="1" si="333"/>
        <v>#N/A</v>
      </c>
      <c r="FR213" s="152" t="e" vm="3">
        <f t="shared" ca="1" si="339"/>
        <v>#VALUE!</v>
      </c>
      <c r="FS213" s="7" t="e" vm="3">
        <f t="shared" ca="1" si="334"/>
        <v>#VALUE!</v>
      </c>
      <c r="FT213" t="e" vm="3">
        <f t="shared" ca="1" si="328"/>
        <v>#VALUE!</v>
      </c>
      <c r="FU213" s="8" t="e" vm="3">
        <f t="shared" ca="1" si="329"/>
        <v>#VALUE!</v>
      </c>
      <c r="FV213" s="8" t="e" vm="3">
        <f t="shared" ca="1" si="330"/>
        <v>#VALUE!</v>
      </c>
      <c r="FW213" s="151" t="e" vm="3">
        <f t="shared" ca="1" si="331"/>
        <v>#VALUE!</v>
      </c>
      <c r="FX213" s="144" t="e">
        <f t="shared" si="335"/>
        <v>#N/A</v>
      </c>
      <c r="FY213" s="152" t="e">
        <f t="shared" si="340"/>
        <v>#N/A</v>
      </c>
      <c r="FZ213" s="7" t="e">
        <f t="shared" si="336"/>
        <v>#N/A</v>
      </c>
      <c r="GA213" t="e">
        <f t="shared" si="341"/>
        <v>#N/A</v>
      </c>
      <c r="GB213" s="8" t="e">
        <f t="shared" si="342"/>
        <v>#N/A</v>
      </c>
      <c r="GC213" s="8" t="e">
        <f t="shared" si="343"/>
        <v>#N/A</v>
      </c>
      <c r="GD213" s="151" t="e">
        <f t="shared" si="344"/>
        <v>#N/A</v>
      </c>
      <c r="GE213" s="144" t="e">
        <f t="shared" si="345"/>
        <v>#N/A</v>
      </c>
      <c r="GF213" s="152" t="e">
        <f t="shared" si="346"/>
        <v>#N/A</v>
      </c>
      <c r="GG213" s="7" t="e">
        <f t="shared" si="337"/>
        <v>#N/A</v>
      </c>
      <c r="GH213" t="e">
        <f t="shared" si="347"/>
        <v>#N/A</v>
      </c>
      <c r="GI213" s="8" t="e">
        <f t="shared" si="348"/>
        <v>#N/A</v>
      </c>
      <c r="GJ213" s="8" t="e">
        <f t="shared" si="349"/>
        <v>#N/A</v>
      </c>
      <c r="GK213" s="151" t="e">
        <f t="shared" si="350"/>
        <v>#N/A</v>
      </c>
      <c r="GL213" s="151"/>
      <c r="GM213" s="151"/>
      <c r="GP213" s="54">
        <f t="shared" si="395"/>
        <v>203</v>
      </c>
      <c r="GQ213" s="54">
        <f t="shared" si="396"/>
        <v>204</v>
      </c>
      <c r="GR213" s="54">
        <f t="shared" si="397"/>
        <v>1.77269140043735</v>
      </c>
      <c r="GS213" s="54">
        <f t="shared" si="398"/>
        <v>8.2897039117220503E-2</v>
      </c>
      <c r="GT213" s="54" t="e">
        <f t="shared" si="399"/>
        <v>#N/A</v>
      </c>
      <c r="GU213" s="54" t="e">
        <f t="shared" si="400"/>
        <v>#N/A</v>
      </c>
      <c r="GV213" s="54" t="e">
        <f t="shared" si="401"/>
        <v>#N/A</v>
      </c>
      <c r="GW213" s="54" t="b">
        <f t="shared" si="402"/>
        <v>0</v>
      </c>
      <c r="GX213" s="54" t="b">
        <f t="shared" si="403"/>
        <v>1</v>
      </c>
      <c r="GY213" s="54" t="b">
        <f t="shared" si="404"/>
        <v>0</v>
      </c>
      <c r="GZ213" s="54" t="b">
        <f t="shared" si="405"/>
        <v>1</v>
      </c>
      <c r="HA213" s="54">
        <f t="shared" si="406"/>
        <v>8.2897039117220503E-2</v>
      </c>
      <c r="HB213" s="54" t="e">
        <f t="shared" si="407"/>
        <v>#N/A</v>
      </c>
      <c r="HC213" s="54">
        <f t="shared" si="408"/>
        <v>8.2897039117220503E-2</v>
      </c>
      <c r="HD213" s="69" t="str">
        <f t="shared" si="409"/>
        <v/>
      </c>
      <c r="HJ213" s="54">
        <f t="shared" si="410"/>
        <v>203</v>
      </c>
      <c r="HK213" s="54">
        <f t="shared" si="411"/>
        <v>204</v>
      </c>
      <c r="HL213" s="54">
        <f t="shared" si="412"/>
        <v>2.7450498644902073</v>
      </c>
      <c r="HM213" s="54" t="e">
        <f t="shared" si="413"/>
        <v>#N/A</v>
      </c>
      <c r="HN213" s="54">
        <f t="shared" si="414"/>
        <v>2.0708440519801093E-2</v>
      </c>
      <c r="HO213" s="54" t="e">
        <f t="shared" si="415"/>
        <v>#N/A</v>
      </c>
      <c r="HP213" s="54" t="e">
        <f t="shared" si="416"/>
        <v>#N/A</v>
      </c>
      <c r="HQ213" s="54" t="b">
        <f t="shared" si="417"/>
        <v>0</v>
      </c>
      <c r="HR213" s="54" t="b">
        <f t="shared" si="418"/>
        <v>1</v>
      </c>
      <c r="HS213" s="54" t="b">
        <f t="shared" si="419"/>
        <v>1</v>
      </c>
      <c r="HT213" s="54" t="b">
        <f t="shared" si="420"/>
        <v>0</v>
      </c>
      <c r="HU213" s="54">
        <f t="shared" si="421"/>
        <v>2.0708440519801093E-2</v>
      </c>
      <c r="HV213" s="54" t="e">
        <f t="shared" si="422"/>
        <v>#N/A</v>
      </c>
      <c r="HW213" s="54">
        <f t="shared" si="423"/>
        <v>2.0708440519801093E-2</v>
      </c>
      <c r="HX213" s="69" t="str">
        <f t="shared" si="424"/>
        <v/>
      </c>
    </row>
    <row r="214" spans="78:232" x14ac:dyDescent="0.2">
      <c r="BZ214" s="54">
        <f t="shared" si="351"/>
        <v>204</v>
      </c>
      <c r="CA214" s="54">
        <f>Eu_tabel_g[[#This Row],[Indeks]]+1</f>
        <v>205</v>
      </c>
      <c r="CB214" s="54">
        <f t="shared" si="352"/>
        <v>1.7966466896324498</v>
      </c>
      <c r="CC214" s="54">
        <f t="shared" si="353"/>
        <v>7.942769270709038E-2</v>
      </c>
      <c r="CD214" s="54" t="e">
        <f t="shared" si="354"/>
        <v>#N/A</v>
      </c>
      <c r="CE214" s="54" t="e">
        <f t="shared" si="355"/>
        <v>#N/A</v>
      </c>
      <c r="CF214" s="54" t="e">
        <f t="shared" si="356"/>
        <v>#N/A</v>
      </c>
      <c r="CG214" s="54" t="b">
        <f t="shared" si="357"/>
        <v>0</v>
      </c>
      <c r="CH214" s="54" t="b">
        <f t="shared" si="358"/>
        <v>1</v>
      </c>
      <c r="CI214" s="54" t="b">
        <f t="shared" si="359"/>
        <v>0</v>
      </c>
      <c r="CJ214" s="54" t="b">
        <f t="shared" si="360"/>
        <v>1</v>
      </c>
      <c r="CK214" s="54">
        <f t="shared" si="327"/>
        <v>7.942769270709038E-2</v>
      </c>
      <c r="CL214" s="54" t="e">
        <f t="shared" si="361"/>
        <v>#N/A</v>
      </c>
      <c r="CM214" s="54">
        <f t="shared" si="362"/>
        <v>7.942769270709038E-2</v>
      </c>
      <c r="CN214" s="69" t="str">
        <f t="shared" si="363"/>
        <v/>
      </c>
      <c r="CO214" s="54">
        <f>_xlfn.NORM.DIST(_xlfn.NORM.INV(1-Eu_g_konfidensniveau,0,1)-Eu_tabel_g[[#This Row],[x base]],0,1,TRUE)</f>
        <v>2.8924889725157158E-4</v>
      </c>
      <c r="CP214" s="54">
        <f>1-_xlfn.NORM.DIST(_xlfn.NORM.INV(Eu_g_konfidensniveau,0,1)-Eu_tabel_g[[#This Row],[x base]],0,1,TRUE)</f>
        <v>0.56032492304548565</v>
      </c>
      <c r="CQ214" s="54">
        <f>_xlfn.NORM.DIST(_xlfn.NORM.INV((1-Eu_g_konfidensniveau)/2,0,1)-Eu_tabel_g[[#This Row],[x base]],0,1,TRUE)+1-_xlfn.NORM.DIST(_xlfn.NORM.INV(1-(1-Eu_g_konfidensniveau)/2,0,1)-Eu_tabel_g[[#This Row],[x base]],0,1,TRUE)</f>
        <v>0.43522042373767211</v>
      </c>
      <c r="CR214" s="54" t="e" cm="1">
        <f t="array" ref="CR214">IF($CR$3,INDEX(Eu_tabel_g[[#This Row],[Styrke venstre]:[Styrke tosidet]],CR$7),NA())</f>
        <v>#N/A</v>
      </c>
      <c r="CS214" s="89" t="e">
        <f>Eu_tabel_g[[#This Row],[Falsk positiv
Nulhypotese accepteres
Fejltype 1]]</f>
        <v>#N/A</v>
      </c>
      <c r="CT214" s="89" t="e">
        <f>IF(CHOOSE(CR$7,Eu_tabel_g[[#This Row],[x base]]&gt;0,Eu_tabel_g[[#This Row],[x base]]&lt;0,Eu_tabel_g[[#This Row],[x base]]=0),Eu_tabel_g[[#This Row],[Styrke, aktiv]],NA())</f>
        <v>#N/A</v>
      </c>
      <c r="CU214" s="89" t="e">
        <f>IFERROR(IF($CR$3,Eu_tabel_g[[#This Row],[Styrke, aktiv]],NA()),NA())</f>
        <v>#N/A</v>
      </c>
      <c r="CV214" s="89" t="e">
        <f>IF(ISNA(Eu_tabel_g[[#This Row],[Sand negativ
Nulhypotese afvises
Korrekt]]),NA(),IF($CR$3,1,NA()))</f>
        <v>#N/A</v>
      </c>
      <c r="CW214" s="56" t="str" cm="1">
        <f t="array" ref="CW214">_xlfn.SWITCH(BZ214,_xlfn.IFNA(CU$2,-99),CU$5,_xlfn.IFNA(CU$3,-99),CU$6,_xlfn.IFNA(CU$4,-99),CU$7,"")</f>
        <v/>
      </c>
      <c r="DA214" s="7">
        <f t="shared" si="364"/>
        <v>0.8</v>
      </c>
      <c r="DB214">
        <f>IF(ROW(Styrkeberegning_G[[#This Row],[X base venstre]])=ROW(Styrkeberegning_G[[#Headers],[X base venstre]])+1,DB$7/(DA$7/$B$67),DB213/(DA213/$B$67))</f>
        <v>-2.8015817870135784</v>
      </c>
      <c r="DC214">
        <f>Styrkeberegning_G[[#This Row],[X base venstre]]*-1</f>
        <v>2.8015817870135784</v>
      </c>
      <c r="DN214" s="54">
        <f t="shared" si="365"/>
        <v>204</v>
      </c>
      <c r="DO214" s="54">
        <f t="shared" si="366"/>
        <v>205</v>
      </c>
      <c r="DP214" s="54">
        <f t="shared" si="367"/>
        <v>25.104307373721895</v>
      </c>
      <c r="DQ214" s="54" t="e">
        <f t="shared" si="368"/>
        <v>#N/A</v>
      </c>
      <c r="DR214" s="54" t="e">
        <f t="shared" si="369"/>
        <v>#N/A</v>
      </c>
      <c r="DS214" s="54">
        <f t="shared" si="370"/>
        <v>2.9717636885863707E-3</v>
      </c>
      <c r="DT214" s="54" t="e">
        <f t="shared" si="371"/>
        <v>#N/A</v>
      </c>
      <c r="DU214" s="54" t="b">
        <f t="shared" si="372"/>
        <v>0</v>
      </c>
      <c r="DV214" s="54" t="b">
        <f t="shared" si="373"/>
        <v>1</v>
      </c>
      <c r="DW214" s="54" t="b">
        <f t="shared" si="374"/>
        <v>1</v>
      </c>
      <c r="DX214" s="54" t="b">
        <f t="shared" si="375"/>
        <v>0</v>
      </c>
      <c r="DY214" s="54">
        <f t="shared" si="376"/>
        <v>2.9717636885863707E-3</v>
      </c>
      <c r="DZ214" s="54">
        <f t="shared" si="377"/>
        <v>2.9717636885863707E-3</v>
      </c>
      <c r="EA214" s="54" t="e">
        <f t="shared" si="378"/>
        <v>#N/A</v>
      </c>
      <c r="EB214" s="69" t="str">
        <f t="shared" si="379"/>
        <v/>
      </c>
      <c r="EG214" s="54">
        <f t="shared" si="380"/>
        <v>204</v>
      </c>
      <c r="EH214" s="54">
        <f t="shared" si="381"/>
        <v>205</v>
      </c>
      <c r="EI214" s="54">
        <f t="shared" si="382"/>
        <v>1.7966466896324498</v>
      </c>
      <c r="EJ214" s="54">
        <f t="shared" si="383"/>
        <v>7.942769270709038E-2</v>
      </c>
      <c r="EK214" s="54" t="e">
        <f t="shared" si="384"/>
        <v>#N/A</v>
      </c>
      <c r="EL214" s="54" t="e">
        <f t="shared" si="385"/>
        <v>#N/A</v>
      </c>
      <c r="EM214" s="54" t="e">
        <f t="shared" si="386"/>
        <v>#N/A</v>
      </c>
      <c r="EN214" s="54" t="b">
        <f t="shared" si="387"/>
        <v>0</v>
      </c>
      <c r="EO214" s="54" t="b">
        <f t="shared" si="388"/>
        <v>1</v>
      </c>
      <c r="EP214" s="54" t="b">
        <f t="shared" si="389"/>
        <v>0</v>
      </c>
      <c r="EQ214" s="54" t="b">
        <f t="shared" si="390"/>
        <v>1</v>
      </c>
      <c r="ER214" s="54">
        <f t="shared" si="391"/>
        <v>7.942769270709038E-2</v>
      </c>
      <c r="ES214" s="54" t="e">
        <f t="shared" si="392"/>
        <v>#N/A</v>
      </c>
      <c r="ET214" s="54">
        <f t="shared" si="393"/>
        <v>7.942769270709038E-2</v>
      </c>
      <c r="EU214" s="69" t="str">
        <f t="shared" si="394"/>
        <v/>
      </c>
      <c r="EV21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1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1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14" s="54" t="e" cm="1">
        <f t="array" ref="EY214">IF($CR$3,INDEX(Eu_tabel_a[[#This Row],[Styrke venstre]:[Styrke tosidet]],EY$7),NA())</f>
        <v>#N/A</v>
      </c>
      <c r="EZ214" s="54" t="e">
        <f>IF(EY$3,IF(CHOOSE(EY$7,Eu_tabel_a[[#This Row],[x base]]&gt;0,Eu_tabel_a[[#This Row],[x base]]&lt;0,Eu_tabel_a[[#This Row],[x base]]=0),1,NA()),NA())</f>
        <v>#N/A</v>
      </c>
      <c r="FA214" s="54" t="e">
        <f>IF(CHOOSE(EY$7,Eu_tabel_a[[#This Row],[x base]]&gt;0,Eu_tabel_a[[#This Row],[x base]]&lt;0,Eu_tabel_a[[#This Row],[x base]]=0),Eu_tabel_a[[#This Row],[Styrke, aktiv]],NA())</f>
        <v>#N/A</v>
      </c>
      <c r="FB214" s="54" t="e">
        <f>IFERROR(IF($EY$3,Eu_tabel_a[[#This Row],[Styrke, aktiv]],NA()),NA())</f>
        <v>#N/A</v>
      </c>
      <c r="FC214" s="54" t="e">
        <f>IF(ISNA(Eu_tabel_a[[#This Row],[Sand negativ
Nulhypotese afvises
Korrekt]]),NA(),IF(EY$3,1,NA()))</f>
        <v>#N/A</v>
      </c>
      <c r="FD214" s="55" t="str" cm="1">
        <f t="array" ref="FD214">IFERROR(_xlfn.SWITCH(Eu_tabel_a[[#This Row],[Indeks]],_xlfn.IFNA(FB$2,-99),FB$5,_xlfn.IFNA(FB$3,-99),FB$6,_xlfn.IFNA(FB$4,-99),FB$7,""),"")</f>
        <v/>
      </c>
      <c r="FE214" s="54">
        <f>Eu_tabel_a[[#This Row],[x base]]*SQRT(Eu_a_h0_x*(1-Eu_a_h0_x)/Eu_a_n_x)+Eu_a_h0_x</f>
        <v>0</v>
      </c>
      <c r="FJ214" s="144" t="e">
        <f t="shared" si="338"/>
        <v>#N/A</v>
      </c>
      <c r="FK214" s="152" t="e">
        <f t="shared" si="322"/>
        <v>#DIV/0!</v>
      </c>
      <c r="FL214" s="7" t="e">
        <f t="shared" si="332"/>
        <v>#DIV/0!</v>
      </c>
      <c r="FM214" t="e">
        <f t="shared" si="323"/>
        <v>#DIV/0!</v>
      </c>
      <c r="FN214" s="8" t="e">
        <f t="shared" si="324"/>
        <v>#DIV/0!</v>
      </c>
      <c r="FO214" s="8" t="e">
        <f t="shared" si="325"/>
        <v>#DIV/0!</v>
      </c>
      <c r="FP214" s="151" t="e">
        <f t="shared" si="326"/>
        <v>#DIV/0!</v>
      </c>
      <c r="FQ214" s="144" t="e">
        <f t="shared" ca="1" si="333"/>
        <v>#N/A</v>
      </c>
      <c r="FR214" s="152" t="e" vm="3">
        <f t="shared" ca="1" si="339"/>
        <v>#VALUE!</v>
      </c>
      <c r="FS214" s="7" t="e" vm="3">
        <f t="shared" ca="1" si="334"/>
        <v>#VALUE!</v>
      </c>
      <c r="FT214" t="e" vm="3">
        <f t="shared" ca="1" si="328"/>
        <v>#VALUE!</v>
      </c>
      <c r="FU214" s="8" t="e" vm="3">
        <f t="shared" ca="1" si="329"/>
        <v>#VALUE!</v>
      </c>
      <c r="FV214" s="8" t="e" vm="3">
        <f t="shared" ca="1" si="330"/>
        <v>#VALUE!</v>
      </c>
      <c r="FW214" s="151" t="e" vm="3">
        <f t="shared" ca="1" si="331"/>
        <v>#VALUE!</v>
      </c>
      <c r="FX214" s="144" t="e">
        <f t="shared" si="335"/>
        <v>#N/A</v>
      </c>
      <c r="FY214" s="152" t="e">
        <f t="shared" si="340"/>
        <v>#N/A</v>
      </c>
      <c r="FZ214" s="7" t="e">
        <f t="shared" si="336"/>
        <v>#N/A</v>
      </c>
      <c r="GA214" t="e">
        <f t="shared" si="341"/>
        <v>#N/A</v>
      </c>
      <c r="GB214" s="8" t="e">
        <f t="shared" si="342"/>
        <v>#N/A</v>
      </c>
      <c r="GC214" s="8" t="e">
        <f t="shared" si="343"/>
        <v>#N/A</v>
      </c>
      <c r="GD214" s="151" t="e">
        <f t="shared" si="344"/>
        <v>#N/A</v>
      </c>
      <c r="GE214" s="144" t="e">
        <f t="shared" si="345"/>
        <v>#N/A</v>
      </c>
      <c r="GF214" s="152" t="e">
        <f t="shared" si="346"/>
        <v>#N/A</v>
      </c>
      <c r="GG214" s="7" t="e">
        <f t="shared" si="337"/>
        <v>#N/A</v>
      </c>
      <c r="GH214" t="e">
        <f t="shared" si="347"/>
        <v>#N/A</v>
      </c>
      <c r="GI214" s="8" t="e">
        <f t="shared" si="348"/>
        <v>#N/A</v>
      </c>
      <c r="GJ214" s="8" t="e">
        <f t="shared" si="349"/>
        <v>#N/A</v>
      </c>
      <c r="GK214" s="151" t="e">
        <f t="shared" si="350"/>
        <v>#N/A</v>
      </c>
      <c r="GL214" s="151"/>
      <c r="GM214" s="151"/>
      <c r="GP214" s="54">
        <f t="shared" si="395"/>
        <v>204</v>
      </c>
      <c r="GQ214" s="54">
        <f t="shared" si="396"/>
        <v>205</v>
      </c>
      <c r="GR214" s="54">
        <f t="shared" si="397"/>
        <v>1.7966466896324498</v>
      </c>
      <c r="GS214" s="54">
        <f t="shared" si="398"/>
        <v>7.942769270709038E-2</v>
      </c>
      <c r="GT214" s="54" t="e">
        <f t="shared" si="399"/>
        <v>#N/A</v>
      </c>
      <c r="GU214" s="54" t="e">
        <f t="shared" si="400"/>
        <v>#N/A</v>
      </c>
      <c r="GV214" s="54" t="e">
        <f t="shared" si="401"/>
        <v>#N/A</v>
      </c>
      <c r="GW214" s="54" t="b">
        <f t="shared" si="402"/>
        <v>0</v>
      </c>
      <c r="GX214" s="54" t="b">
        <f t="shared" si="403"/>
        <v>1</v>
      </c>
      <c r="GY214" s="54" t="b">
        <f t="shared" si="404"/>
        <v>0</v>
      </c>
      <c r="GZ214" s="54" t="b">
        <f t="shared" si="405"/>
        <v>1</v>
      </c>
      <c r="HA214" s="54">
        <f t="shared" si="406"/>
        <v>7.942769270709038E-2</v>
      </c>
      <c r="HB214" s="54" t="e">
        <f t="shared" si="407"/>
        <v>#N/A</v>
      </c>
      <c r="HC214" s="54">
        <f t="shared" si="408"/>
        <v>7.942769270709038E-2</v>
      </c>
      <c r="HD214" s="69" t="str">
        <f t="shared" si="409"/>
        <v/>
      </c>
      <c r="HJ214" s="54">
        <f t="shared" si="410"/>
        <v>204</v>
      </c>
      <c r="HK214" s="54">
        <f t="shared" si="411"/>
        <v>205</v>
      </c>
      <c r="HL214" s="54">
        <f t="shared" si="412"/>
        <v>2.7821451329292639</v>
      </c>
      <c r="HM214" s="54" t="e">
        <f t="shared" si="413"/>
        <v>#N/A</v>
      </c>
      <c r="HN214" s="54">
        <f t="shared" si="414"/>
        <v>1.9580069923484249E-2</v>
      </c>
      <c r="HO214" s="54" t="e">
        <f t="shared" si="415"/>
        <v>#N/A</v>
      </c>
      <c r="HP214" s="54" t="e">
        <f t="shared" si="416"/>
        <v>#N/A</v>
      </c>
      <c r="HQ214" s="54" t="b">
        <f t="shared" si="417"/>
        <v>0</v>
      </c>
      <c r="HR214" s="54" t="b">
        <f t="shared" si="418"/>
        <v>1</v>
      </c>
      <c r="HS214" s="54" t="b">
        <f t="shared" si="419"/>
        <v>1</v>
      </c>
      <c r="HT214" s="54" t="b">
        <f t="shared" si="420"/>
        <v>0</v>
      </c>
      <c r="HU214" s="54">
        <f t="shared" si="421"/>
        <v>1.9580069923484249E-2</v>
      </c>
      <c r="HV214" s="54" t="e">
        <f t="shared" si="422"/>
        <v>#N/A</v>
      </c>
      <c r="HW214" s="54">
        <f t="shared" si="423"/>
        <v>1.9580069923484249E-2</v>
      </c>
      <c r="HX214" s="69" t="str">
        <f t="shared" si="424"/>
        <v/>
      </c>
    </row>
    <row r="215" spans="78:232" x14ac:dyDescent="0.2">
      <c r="BZ215" s="54">
        <f t="shared" si="351"/>
        <v>205</v>
      </c>
      <c r="CA215" s="54">
        <f>Eu_tabel_g[[#This Row],[Indeks]]+1</f>
        <v>206</v>
      </c>
      <c r="CB215" s="54">
        <f t="shared" si="352"/>
        <v>1.8206019788275487</v>
      </c>
      <c r="CC215" s="54">
        <f t="shared" si="353"/>
        <v>7.6059882914996213E-2</v>
      </c>
      <c r="CD215" s="54" t="e">
        <f t="shared" si="354"/>
        <v>#N/A</v>
      </c>
      <c r="CE215" s="54" t="e">
        <f t="shared" si="355"/>
        <v>#N/A</v>
      </c>
      <c r="CF215" s="54" t="e">
        <f t="shared" si="356"/>
        <v>#N/A</v>
      </c>
      <c r="CG215" s="54" t="b">
        <f t="shared" si="357"/>
        <v>0</v>
      </c>
      <c r="CH215" s="54" t="b">
        <f t="shared" si="358"/>
        <v>1</v>
      </c>
      <c r="CI215" s="54" t="b">
        <f t="shared" si="359"/>
        <v>0</v>
      </c>
      <c r="CJ215" s="54" t="b">
        <f t="shared" si="360"/>
        <v>1</v>
      </c>
      <c r="CK215" s="54">
        <f t="shared" si="327"/>
        <v>7.6059882914996213E-2</v>
      </c>
      <c r="CL215" s="54" t="e">
        <f t="shared" si="361"/>
        <v>#N/A</v>
      </c>
      <c r="CM215" s="54">
        <f t="shared" si="362"/>
        <v>7.6059882914996213E-2</v>
      </c>
      <c r="CN215" s="69" t="str">
        <f t="shared" si="363"/>
        <v/>
      </c>
      <c r="CO215" s="54">
        <f>_xlfn.NORM.DIST(_xlfn.NORM.INV(1-Eu_g_konfidensniveau,0,1)-Eu_tabel_g[[#This Row],[x base]],0,1,TRUE)</f>
        <v>2.6466695513984898E-4</v>
      </c>
      <c r="CP215" s="54">
        <f>1-_xlfn.NORM.DIST(_xlfn.NORM.INV(Eu_g_konfidensniveau,0,1)-Eu_tabel_g[[#This Row],[x base]],0,1,TRUE)</f>
        <v>0.56975417642104731</v>
      </c>
      <c r="CQ215" s="54">
        <f>_xlfn.NORM.DIST(_xlfn.NORM.INV((1-Eu_g_konfidensniveau)/2,0,1)-Eu_tabel_g[[#This Row],[x base]],0,1,TRUE)+1-_xlfn.NORM.DIST(_xlfn.NORM.INV(1-(1-Eu_g_konfidensniveau)/2,0,1)-Eu_tabel_g[[#This Row],[x base]],0,1,TRUE)</f>
        <v>0.44466028331450491</v>
      </c>
      <c r="CR215" s="54" t="e" cm="1">
        <f t="array" ref="CR215">IF($CR$3,INDEX(Eu_tabel_g[[#This Row],[Styrke venstre]:[Styrke tosidet]],CR$7),NA())</f>
        <v>#N/A</v>
      </c>
      <c r="CS215" s="89" t="e">
        <f>Eu_tabel_g[[#This Row],[Falsk positiv
Nulhypotese accepteres
Fejltype 1]]</f>
        <v>#N/A</v>
      </c>
      <c r="CT215" s="89" t="e">
        <f>IF(CHOOSE(CR$7,Eu_tabel_g[[#This Row],[x base]]&gt;0,Eu_tabel_g[[#This Row],[x base]]&lt;0,Eu_tabel_g[[#This Row],[x base]]=0),Eu_tabel_g[[#This Row],[Styrke, aktiv]],NA())</f>
        <v>#N/A</v>
      </c>
      <c r="CU215" s="89" t="e">
        <f>IFERROR(IF($CR$3,Eu_tabel_g[[#This Row],[Styrke, aktiv]],NA()),NA())</f>
        <v>#N/A</v>
      </c>
      <c r="CV215" s="89" t="e">
        <f>IF(ISNA(Eu_tabel_g[[#This Row],[Sand negativ
Nulhypotese afvises
Korrekt]]),NA(),IF($CR$3,1,NA()))</f>
        <v>#N/A</v>
      </c>
      <c r="CW215" s="56" t="str" cm="1">
        <f t="array" ref="CW215">_xlfn.SWITCH(BZ215,_xlfn.IFNA(CU$2,-99),CU$5,_xlfn.IFNA(CU$3,-99),CU$6,_xlfn.IFNA(CU$4,-99),CU$7,"")</f>
        <v/>
      </c>
      <c r="DA215" s="7">
        <f t="shared" si="364"/>
        <v>0.8</v>
      </c>
      <c r="DB215">
        <f>IF(ROW(Styrkeberegning_G[[#This Row],[X base venstre]])=ROW(Styrkeberegning_G[[#Headers],[X base venstre]])+1,DB$7/(DA$7/$B$67),DB214/(DA214/$B$67))</f>
        <v>-2.8015817870135784</v>
      </c>
      <c r="DC215">
        <f>Styrkeberegning_G[[#This Row],[X base venstre]]*-1</f>
        <v>2.8015817870135784</v>
      </c>
      <c r="DN215" s="54">
        <f t="shared" si="365"/>
        <v>205</v>
      </c>
      <c r="DO215" s="54">
        <f t="shared" si="366"/>
        <v>206</v>
      </c>
      <c r="DP215" s="54">
        <f t="shared" si="367"/>
        <v>25.218378230138896</v>
      </c>
      <c r="DQ215" s="54" t="e">
        <f t="shared" si="368"/>
        <v>#N/A</v>
      </c>
      <c r="DR215" s="54" t="e">
        <f t="shared" si="369"/>
        <v>#N/A</v>
      </c>
      <c r="DS215" s="54">
        <f t="shared" si="370"/>
        <v>2.8648652308713566E-3</v>
      </c>
      <c r="DT215" s="54" t="e">
        <f t="shared" si="371"/>
        <v>#N/A</v>
      </c>
      <c r="DU215" s="54" t="b">
        <f t="shared" si="372"/>
        <v>0</v>
      </c>
      <c r="DV215" s="54" t="b">
        <f t="shared" si="373"/>
        <v>1</v>
      </c>
      <c r="DW215" s="54" t="b">
        <f t="shared" si="374"/>
        <v>1</v>
      </c>
      <c r="DX215" s="54" t="b">
        <f t="shared" si="375"/>
        <v>0</v>
      </c>
      <c r="DY215" s="54">
        <f t="shared" si="376"/>
        <v>2.8648652308713566E-3</v>
      </c>
      <c r="DZ215" s="54">
        <f t="shared" si="377"/>
        <v>2.8648652308713566E-3</v>
      </c>
      <c r="EA215" s="54" t="e">
        <f t="shared" si="378"/>
        <v>#N/A</v>
      </c>
      <c r="EB215" s="69" t="str">
        <f t="shared" si="379"/>
        <v/>
      </c>
      <c r="EG215" s="54">
        <f t="shared" si="380"/>
        <v>205</v>
      </c>
      <c r="EH215" s="54">
        <f t="shared" si="381"/>
        <v>206</v>
      </c>
      <c r="EI215" s="54">
        <f t="shared" si="382"/>
        <v>1.8206019788275487</v>
      </c>
      <c r="EJ215" s="54">
        <f t="shared" si="383"/>
        <v>7.6059882914996213E-2</v>
      </c>
      <c r="EK215" s="54" t="e">
        <f t="shared" si="384"/>
        <v>#N/A</v>
      </c>
      <c r="EL215" s="54" t="e">
        <f t="shared" si="385"/>
        <v>#N/A</v>
      </c>
      <c r="EM215" s="54" t="e">
        <f t="shared" si="386"/>
        <v>#N/A</v>
      </c>
      <c r="EN215" s="54" t="b">
        <f t="shared" si="387"/>
        <v>0</v>
      </c>
      <c r="EO215" s="54" t="b">
        <f t="shared" si="388"/>
        <v>1</v>
      </c>
      <c r="EP215" s="54" t="b">
        <f t="shared" si="389"/>
        <v>0</v>
      </c>
      <c r="EQ215" s="54" t="b">
        <f t="shared" si="390"/>
        <v>1</v>
      </c>
      <c r="ER215" s="54">
        <f t="shared" si="391"/>
        <v>7.6059882914996213E-2</v>
      </c>
      <c r="ES215" s="54" t="e">
        <f t="shared" si="392"/>
        <v>#N/A</v>
      </c>
      <c r="ET215" s="54">
        <f t="shared" si="393"/>
        <v>7.6059882914996213E-2</v>
      </c>
      <c r="EU215" s="69" t="str">
        <f t="shared" si="394"/>
        <v/>
      </c>
      <c r="EV21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1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1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15" s="54" t="e" cm="1">
        <f t="array" ref="EY215">IF($CR$3,INDEX(Eu_tabel_a[[#This Row],[Styrke venstre]:[Styrke tosidet]],EY$7),NA())</f>
        <v>#N/A</v>
      </c>
      <c r="EZ215" s="54" t="e">
        <f>IF(EY$3,IF(CHOOSE(EY$7,Eu_tabel_a[[#This Row],[x base]]&gt;0,Eu_tabel_a[[#This Row],[x base]]&lt;0,Eu_tabel_a[[#This Row],[x base]]=0),1,NA()),NA())</f>
        <v>#N/A</v>
      </c>
      <c r="FA215" s="54" t="e">
        <f>IF(CHOOSE(EY$7,Eu_tabel_a[[#This Row],[x base]]&gt;0,Eu_tabel_a[[#This Row],[x base]]&lt;0,Eu_tabel_a[[#This Row],[x base]]=0),Eu_tabel_a[[#This Row],[Styrke, aktiv]],NA())</f>
        <v>#N/A</v>
      </c>
      <c r="FB215" s="54" t="e">
        <f>IFERROR(IF($EY$3,Eu_tabel_a[[#This Row],[Styrke, aktiv]],NA()),NA())</f>
        <v>#N/A</v>
      </c>
      <c r="FC215" s="54" t="e">
        <f>IF(ISNA(Eu_tabel_a[[#This Row],[Sand negativ
Nulhypotese afvises
Korrekt]]),NA(),IF(EY$3,1,NA()))</f>
        <v>#N/A</v>
      </c>
      <c r="FD215" s="55" t="str" cm="1">
        <f t="array" ref="FD215">IFERROR(_xlfn.SWITCH(Eu_tabel_a[[#This Row],[Indeks]],_xlfn.IFNA(FB$2,-99),FB$5,_xlfn.IFNA(FB$3,-99),FB$6,_xlfn.IFNA(FB$4,-99),FB$7,""),"")</f>
        <v/>
      </c>
      <c r="FE215" s="54">
        <f>Eu_tabel_a[[#This Row],[x base]]*SQRT(Eu_a_h0_x*(1-Eu_a_h0_x)/Eu_a_n_x)+Eu_a_h0_x</f>
        <v>0</v>
      </c>
      <c r="FJ215" s="144" t="e">
        <f t="shared" si="338"/>
        <v>#N/A</v>
      </c>
      <c r="FK215" s="152" t="e">
        <f t="shared" si="322"/>
        <v>#DIV/0!</v>
      </c>
      <c r="FL215" s="7" t="e">
        <f t="shared" si="332"/>
        <v>#DIV/0!</v>
      </c>
      <c r="FM215" t="e">
        <f t="shared" si="323"/>
        <v>#DIV/0!</v>
      </c>
      <c r="FN215" s="8" t="e">
        <f t="shared" si="324"/>
        <v>#DIV/0!</v>
      </c>
      <c r="FO215" s="8" t="e">
        <f t="shared" si="325"/>
        <v>#DIV/0!</v>
      </c>
      <c r="FP215" s="151" t="e">
        <f t="shared" si="326"/>
        <v>#DIV/0!</v>
      </c>
      <c r="FQ215" s="144" t="e">
        <f t="shared" ca="1" si="333"/>
        <v>#N/A</v>
      </c>
      <c r="FR215" s="152" t="e" vm="3">
        <f t="shared" ca="1" si="339"/>
        <v>#VALUE!</v>
      </c>
      <c r="FS215" s="7" t="e" vm="3">
        <f t="shared" ca="1" si="334"/>
        <v>#VALUE!</v>
      </c>
      <c r="FT215" t="e" vm="3">
        <f t="shared" ca="1" si="328"/>
        <v>#VALUE!</v>
      </c>
      <c r="FU215" s="8" t="e" vm="3">
        <f t="shared" ca="1" si="329"/>
        <v>#VALUE!</v>
      </c>
      <c r="FV215" s="8" t="e" vm="3">
        <f t="shared" ca="1" si="330"/>
        <v>#VALUE!</v>
      </c>
      <c r="FW215" s="151" t="e" vm="3">
        <f t="shared" ca="1" si="331"/>
        <v>#VALUE!</v>
      </c>
      <c r="FX215" s="144" t="e">
        <f t="shared" si="335"/>
        <v>#N/A</v>
      </c>
      <c r="FY215" s="152" t="e">
        <f t="shared" si="340"/>
        <v>#N/A</v>
      </c>
      <c r="FZ215" s="7" t="e">
        <f t="shared" si="336"/>
        <v>#N/A</v>
      </c>
      <c r="GA215" t="e">
        <f t="shared" si="341"/>
        <v>#N/A</v>
      </c>
      <c r="GB215" s="8" t="e">
        <f t="shared" si="342"/>
        <v>#N/A</v>
      </c>
      <c r="GC215" s="8" t="e">
        <f t="shared" si="343"/>
        <v>#N/A</v>
      </c>
      <c r="GD215" s="151" t="e">
        <f t="shared" si="344"/>
        <v>#N/A</v>
      </c>
      <c r="GE215" s="144" t="e">
        <f t="shared" si="345"/>
        <v>#N/A</v>
      </c>
      <c r="GF215" s="152" t="e">
        <f t="shared" si="346"/>
        <v>#N/A</v>
      </c>
      <c r="GG215" s="7" t="e">
        <f t="shared" si="337"/>
        <v>#N/A</v>
      </c>
      <c r="GH215" t="e">
        <f t="shared" si="347"/>
        <v>#N/A</v>
      </c>
      <c r="GI215" s="8" t="e">
        <f t="shared" si="348"/>
        <v>#N/A</v>
      </c>
      <c r="GJ215" s="8" t="e">
        <f t="shared" si="349"/>
        <v>#N/A</v>
      </c>
      <c r="GK215" s="151" t="e">
        <f t="shared" si="350"/>
        <v>#N/A</v>
      </c>
      <c r="GL215" s="151"/>
      <c r="GM215" s="151"/>
      <c r="GP215" s="54">
        <f t="shared" si="395"/>
        <v>205</v>
      </c>
      <c r="GQ215" s="54">
        <f t="shared" si="396"/>
        <v>206</v>
      </c>
      <c r="GR215" s="54">
        <f t="shared" si="397"/>
        <v>1.8206019788275487</v>
      </c>
      <c r="GS215" s="54">
        <f t="shared" si="398"/>
        <v>7.6059882914996213E-2</v>
      </c>
      <c r="GT215" s="54" t="e">
        <f t="shared" si="399"/>
        <v>#N/A</v>
      </c>
      <c r="GU215" s="54" t="e">
        <f t="shared" si="400"/>
        <v>#N/A</v>
      </c>
      <c r="GV215" s="54" t="e">
        <f t="shared" si="401"/>
        <v>#N/A</v>
      </c>
      <c r="GW215" s="54" t="b">
        <f t="shared" si="402"/>
        <v>0</v>
      </c>
      <c r="GX215" s="54" t="b">
        <f t="shared" si="403"/>
        <v>1</v>
      </c>
      <c r="GY215" s="54" t="b">
        <f t="shared" si="404"/>
        <v>0</v>
      </c>
      <c r="GZ215" s="54" t="b">
        <f t="shared" si="405"/>
        <v>1</v>
      </c>
      <c r="HA215" s="54">
        <f t="shared" si="406"/>
        <v>7.6059882914996213E-2</v>
      </c>
      <c r="HB215" s="54" t="e">
        <f t="shared" si="407"/>
        <v>#N/A</v>
      </c>
      <c r="HC215" s="54">
        <f t="shared" si="408"/>
        <v>7.6059882914996213E-2</v>
      </c>
      <c r="HD215" s="69" t="str">
        <f t="shared" si="409"/>
        <v/>
      </c>
      <c r="HJ215" s="54">
        <f t="shared" si="410"/>
        <v>205</v>
      </c>
      <c r="HK215" s="54">
        <f t="shared" si="411"/>
        <v>206</v>
      </c>
      <c r="HL215" s="54">
        <f t="shared" si="412"/>
        <v>2.8192404013683205</v>
      </c>
      <c r="HM215" s="54" t="e">
        <f t="shared" si="413"/>
        <v>#N/A</v>
      </c>
      <c r="HN215" s="54">
        <f t="shared" si="414"/>
        <v>1.8513876266587247E-2</v>
      </c>
      <c r="HO215" s="54" t="e">
        <f t="shared" si="415"/>
        <v>#N/A</v>
      </c>
      <c r="HP215" s="54" t="e">
        <f t="shared" si="416"/>
        <v>#N/A</v>
      </c>
      <c r="HQ215" s="54" t="b">
        <f t="shared" si="417"/>
        <v>0</v>
      </c>
      <c r="HR215" s="54" t="b">
        <f t="shared" si="418"/>
        <v>1</v>
      </c>
      <c r="HS215" s="54" t="b">
        <f t="shared" si="419"/>
        <v>1</v>
      </c>
      <c r="HT215" s="54" t="b">
        <f t="shared" si="420"/>
        <v>0</v>
      </c>
      <c r="HU215" s="54">
        <f t="shared" si="421"/>
        <v>1.8513876266587247E-2</v>
      </c>
      <c r="HV215" s="54" t="e">
        <f t="shared" si="422"/>
        <v>#N/A</v>
      </c>
      <c r="HW215" s="54">
        <f t="shared" si="423"/>
        <v>1.8513876266587247E-2</v>
      </c>
      <c r="HX215" s="69" t="str">
        <f t="shared" si="424"/>
        <v/>
      </c>
    </row>
    <row r="216" spans="78:232" x14ac:dyDescent="0.2">
      <c r="BZ216" s="54">
        <f t="shared" si="351"/>
        <v>206</v>
      </c>
      <c r="CA216" s="54">
        <f>Eu_tabel_g[[#This Row],[Indeks]]+1</f>
        <v>207</v>
      </c>
      <c r="CB216" s="54">
        <f t="shared" si="352"/>
        <v>1.8445572680226485</v>
      </c>
      <c r="CC216" s="54">
        <f t="shared" si="353"/>
        <v>7.2793086735565712E-2</v>
      </c>
      <c r="CD216" s="54" t="e">
        <f t="shared" si="354"/>
        <v>#N/A</v>
      </c>
      <c r="CE216" s="54" t="e">
        <f t="shared" si="355"/>
        <v>#N/A</v>
      </c>
      <c r="CF216" s="54" t="e">
        <f t="shared" si="356"/>
        <v>#N/A</v>
      </c>
      <c r="CG216" s="54" t="b">
        <f t="shared" si="357"/>
        <v>0</v>
      </c>
      <c r="CH216" s="54" t="b">
        <f t="shared" si="358"/>
        <v>1</v>
      </c>
      <c r="CI216" s="54" t="b">
        <f t="shared" si="359"/>
        <v>0</v>
      </c>
      <c r="CJ216" s="54" t="b">
        <f t="shared" si="360"/>
        <v>1</v>
      </c>
      <c r="CK216" s="54">
        <f t="shared" si="327"/>
        <v>7.2793086735565712E-2</v>
      </c>
      <c r="CL216" s="54" t="e">
        <f t="shared" si="361"/>
        <v>#N/A</v>
      </c>
      <c r="CM216" s="54">
        <f t="shared" si="362"/>
        <v>7.2793086735565712E-2</v>
      </c>
      <c r="CN216" s="69" t="str">
        <f t="shared" si="363"/>
        <v/>
      </c>
      <c r="CO216" s="54">
        <f>_xlfn.NORM.DIST(_xlfn.NORM.INV(1-Eu_g_konfidensniveau,0,1)-Eu_tabel_g[[#This Row],[x base]],0,1,TRUE)</f>
        <v>2.4204320849681733E-4</v>
      </c>
      <c r="CP216" s="54">
        <f>1-_xlfn.NORM.DIST(_xlfn.NORM.INV(Eu_g_konfidensniveau,0,1)-Eu_tabel_g[[#This Row],[x base]],0,1,TRUE)</f>
        <v>0.57914381701234718</v>
      </c>
      <c r="CQ216" s="54">
        <f>_xlfn.NORM.DIST(_xlfn.NORM.INV((1-Eu_g_konfidensniveau)/2,0,1)-Eu_tabel_g[[#This Row],[x base]],0,1,TRUE)+1-_xlfn.NORM.DIST(_xlfn.NORM.INV(1-(1-Eu_g_konfidensniveau)/2,0,1)-Eu_tabel_g[[#This Row],[x base]],0,1,TRUE)</f>
        <v>0.45413241711912866</v>
      </c>
      <c r="CR216" s="54" t="e" cm="1">
        <f t="array" ref="CR216">IF($CR$3,INDEX(Eu_tabel_g[[#This Row],[Styrke venstre]:[Styrke tosidet]],CR$7),NA())</f>
        <v>#N/A</v>
      </c>
      <c r="CS216" s="89" t="e">
        <f>Eu_tabel_g[[#This Row],[Falsk positiv
Nulhypotese accepteres
Fejltype 1]]</f>
        <v>#N/A</v>
      </c>
      <c r="CT216" s="89" t="e">
        <f>IF(CHOOSE(CR$7,Eu_tabel_g[[#This Row],[x base]]&gt;0,Eu_tabel_g[[#This Row],[x base]]&lt;0,Eu_tabel_g[[#This Row],[x base]]=0),Eu_tabel_g[[#This Row],[Styrke, aktiv]],NA())</f>
        <v>#N/A</v>
      </c>
      <c r="CU216" s="89" t="e">
        <f>IFERROR(IF($CR$3,Eu_tabel_g[[#This Row],[Styrke, aktiv]],NA()),NA())</f>
        <v>#N/A</v>
      </c>
      <c r="CV216" s="89" t="e">
        <f>IF(ISNA(Eu_tabel_g[[#This Row],[Sand negativ
Nulhypotese afvises
Korrekt]]),NA(),IF($CR$3,1,NA()))</f>
        <v>#N/A</v>
      </c>
      <c r="CW216" s="56" t="str" cm="1">
        <f t="array" ref="CW216">_xlfn.SWITCH(BZ216,_xlfn.IFNA(CU$2,-99),CU$5,_xlfn.IFNA(CU$3,-99),CU$6,_xlfn.IFNA(CU$4,-99),CU$7,"")</f>
        <v/>
      </c>
      <c r="DA216" s="7">
        <f t="shared" si="364"/>
        <v>0.8</v>
      </c>
      <c r="DB216">
        <f>IF(ROW(Styrkeberegning_G[[#This Row],[X base venstre]])=ROW(Styrkeberegning_G[[#Headers],[X base venstre]])+1,DB$7/(DA$7/$B$67),DB215/(DA215/$B$67))</f>
        <v>-2.8015817870135784</v>
      </c>
      <c r="DC216">
        <f>Styrkeberegning_G[[#This Row],[X base venstre]]*-1</f>
        <v>2.8015817870135784</v>
      </c>
      <c r="DN216" s="54">
        <f t="shared" si="365"/>
        <v>206</v>
      </c>
      <c r="DO216" s="54">
        <f t="shared" si="366"/>
        <v>207</v>
      </c>
      <c r="DP216" s="54">
        <f t="shared" si="367"/>
        <v>25.332449086555897</v>
      </c>
      <c r="DQ216" s="54" t="e">
        <f t="shared" si="368"/>
        <v>#N/A</v>
      </c>
      <c r="DR216" s="54" t="e">
        <f t="shared" si="369"/>
        <v>#N/A</v>
      </c>
      <c r="DS216" s="54">
        <f t="shared" si="370"/>
        <v>2.7615577823302622E-3</v>
      </c>
      <c r="DT216" s="54" t="e">
        <f t="shared" si="371"/>
        <v>#N/A</v>
      </c>
      <c r="DU216" s="54" t="b">
        <f t="shared" si="372"/>
        <v>0</v>
      </c>
      <c r="DV216" s="54" t="b">
        <f t="shared" si="373"/>
        <v>1</v>
      </c>
      <c r="DW216" s="54" t="b">
        <f t="shared" si="374"/>
        <v>1</v>
      </c>
      <c r="DX216" s="54" t="b">
        <f t="shared" si="375"/>
        <v>0</v>
      </c>
      <c r="DY216" s="54">
        <f t="shared" si="376"/>
        <v>2.7615577823302622E-3</v>
      </c>
      <c r="DZ216" s="54">
        <f t="shared" si="377"/>
        <v>2.7615577823302622E-3</v>
      </c>
      <c r="EA216" s="54" t="e">
        <f t="shared" si="378"/>
        <v>#N/A</v>
      </c>
      <c r="EB216" s="69" t="str">
        <f t="shared" si="379"/>
        <v/>
      </c>
      <c r="EG216" s="54">
        <f t="shared" si="380"/>
        <v>206</v>
      </c>
      <c r="EH216" s="54">
        <f t="shared" si="381"/>
        <v>207</v>
      </c>
      <c r="EI216" s="54">
        <f t="shared" si="382"/>
        <v>1.8445572680226485</v>
      </c>
      <c r="EJ216" s="54">
        <f t="shared" si="383"/>
        <v>7.2793086735565712E-2</v>
      </c>
      <c r="EK216" s="54" t="e">
        <f t="shared" si="384"/>
        <v>#N/A</v>
      </c>
      <c r="EL216" s="54" t="e">
        <f t="shared" si="385"/>
        <v>#N/A</v>
      </c>
      <c r="EM216" s="54" t="e">
        <f t="shared" si="386"/>
        <v>#N/A</v>
      </c>
      <c r="EN216" s="54" t="b">
        <f t="shared" si="387"/>
        <v>0</v>
      </c>
      <c r="EO216" s="54" t="b">
        <f t="shared" si="388"/>
        <v>1</v>
      </c>
      <c r="EP216" s="54" t="b">
        <f t="shared" si="389"/>
        <v>0</v>
      </c>
      <c r="EQ216" s="54" t="b">
        <f t="shared" si="390"/>
        <v>1</v>
      </c>
      <c r="ER216" s="54">
        <f t="shared" si="391"/>
        <v>7.2793086735565712E-2</v>
      </c>
      <c r="ES216" s="54" t="e">
        <f t="shared" si="392"/>
        <v>#N/A</v>
      </c>
      <c r="ET216" s="54">
        <f t="shared" si="393"/>
        <v>7.2793086735565712E-2</v>
      </c>
      <c r="EU216" s="69" t="str">
        <f t="shared" si="394"/>
        <v/>
      </c>
      <c r="EV21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1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1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16" s="54" t="e" cm="1">
        <f t="array" ref="EY216">IF($CR$3,INDEX(Eu_tabel_a[[#This Row],[Styrke venstre]:[Styrke tosidet]],EY$7),NA())</f>
        <v>#N/A</v>
      </c>
      <c r="EZ216" s="54" t="e">
        <f>IF(EY$3,IF(CHOOSE(EY$7,Eu_tabel_a[[#This Row],[x base]]&gt;0,Eu_tabel_a[[#This Row],[x base]]&lt;0,Eu_tabel_a[[#This Row],[x base]]=0),1,NA()),NA())</f>
        <v>#N/A</v>
      </c>
      <c r="FA216" s="54" t="e">
        <f>IF(CHOOSE(EY$7,Eu_tabel_a[[#This Row],[x base]]&gt;0,Eu_tabel_a[[#This Row],[x base]]&lt;0,Eu_tabel_a[[#This Row],[x base]]=0),Eu_tabel_a[[#This Row],[Styrke, aktiv]],NA())</f>
        <v>#N/A</v>
      </c>
      <c r="FB216" s="54" t="e">
        <f>IFERROR(IF($EY$3,Eu_tabel_a[[#This Row],[Styrke, aktiv]],NA()),NA())</f>
        <v>#N/A</v>
      </c>
      <c r="FC216" s="54" t="e">
        <f>IF(ISNA(Eu_tabel_a[[#This Row],[Sand negativ
Nulhypotese afvises
Korrekt]]),NA(),IF(EY$3,1,NA()))</f>
        <v>#N/A</v>
      </c>
      <c r="FD216" s="55" t="str" cm="1">
        <f t="array" ref="FD216">IFERROR(_xlfn.SWITCH(Eu_tabel_a[[#This Row],[Indeks]],_xlfn.IFNA(FB$2,-99),FB$5,_xlfn.IFNA(FB$3,-99),FB$6,_xlfn.IFNA(FB$4,-99),FB$7,""),"")</f>
        <v/>
      </c>
      <c r="FE216" s="54">
        <f>Eu_tabel_a[[#This Row],[x base]]*SQRT(Eu_a_h0_x*(1-Eu_a_h0_x)/Eu_a_n_x)+Eu_a_h0_x</f>
        <v>0</v>
      </c>
      <c r="FJ216" s="144" t="e">
        <f t="shared" si="338"/>
        <v>#N/A</v>
      </c>
      <c r="FK216" s="152" t="e">
        <f t="shared" si="322"/>
        <v>#DIV/0!</v>
      </c>
      <c r="FL216" s="7" t="e">
        <f t="shared" si="332"/>
        <v>#DIV/0!</v>
      </c>
      <c r="FM216" t="e">
        <f t="shared" si="323"/>
        <v>#DIV/0!</v>
      </c>
      <c r="FN216" s="8" t="e">
        <f t="shared" si="324"/>
        <v>#DIV/0!</v>
      </c>
      <c r="FO216" s="8" t="e">
        <f t="shared" si="325"/>
        <v>#DIV/0!</v>
      </c>
      <c r="FP216" s="151" t="e">
        <f t="shared" si="326"/>
        <v>#DIV/0!</v>
      </c>
      <c r="FQ216" s="144" t="e">
        <f t="shared" ca="1" si="333"/>
        <v>#N/A</v>
      </c>
      <c r="FR216" s="152" t="e" vm="3">
        <f t="shared" ca="1" si="339"/>
        <v>#VALUE!</v>
      </c>
      <c r="FS216" s="7" t="e" vm="3">
        <f t="shared" ca="1" si="334"/>
        <v>#VALUE!</v>
      </c>
      <c r="FT216" t="e" vm="3">
        <f t="shared" ca="1" si="328"/>
        <v>#VALUE!</v>
      </c>
      <c r="FU216" s="8" t="e" vm="3">
        <f t="shared" ca="1" si="329"/>
        <v>#VALUE!</v>
      </c>
      <c r="FV216" s="8" t="e" vm="3">
        <f t="shared" ca="1" si="330"/>
        <v>#VALUE!</v>
      </c>
      <c r="FW216" s="151" t="e" vm="3">
        <f t="shared" ca="1" si="331"/>
        <v>#VALUE!</v>
      </c>
      <c r="FX216" s="144" t="e">
        <f t="shared" si="335"/>
        <v>#N/A</v>
      </c>
      <c r="FY216" s="152" t="e">
        <f t="shared" si="340"/>
        <v>#N/A</v>
      </c>
      <c r="FZ216" s="7" t="e">
        <f t="shared" si="336"/>
        <v>#N/A</v>
      </c>
      <c r="GA216" t="e">
        <f t="shared" si="341"/>
        <v>#N/A</v>
      </c>
      <c r="GB216" s="8" t="e">
        <f t="shared" si="342"/>
        <v>#N/A</v>
      </c>
      <c r="GC216" s="8" t="e">
        <f t="shared" si="343"/>
        <v>#N/A</v>
      </c>
      <c r="GD216" s="151" t="e">
        <f t="shared" si="344"/>
        <v>#N/A</v>
      </c>
      <c r="GE216" s="144" t="e">
        <f t="shared" si="345"/>
        <v>#N/A</v>
      </c>
      <c r="GF216" s="152" t="e">
        <f t="shared" si="346"/>
        <v>#N/A</v>
      </c>
      <c r="GG216" s="7" t="e">
        <f t="shared" si="337"/>
        <v>#N/A</v>
      </c>
      <c r="GH216" t="e">
        <f t="shared" si="347"/>
        <v>#N/A</v>
      </c>
      <c r="GI216" s="8" t="e">
        <f t="shared" si="348"/>
        <v>#N/A</v>
      </c>
      <c r="GJ216" s="8" t="e">
        <f t="shared" si="349"/>
        <v>#N/A</v>
      </c>
      <c r="GK216" s="151" t="e">
        <f t="shared" si="350"/>
        <v>#N/A</v>
      </c>
      <c r="GL216" s="151"/>
      <c r="GM216" s="151"/>
      <c r="GP216" s="54">
        <f t="shared" si="395"/>
        <v>206</v>
      </c>
      <c r="GQ216" s="54">
        <f t="shared" si="396"/>
        <v>207</v>
      </c>
      <c r="GR216" s="54">
        <f t="shared" si="397"/>
        <v>1.8445572680226485</v>
      </c>
      <c r="GS216" s="54">
        <f t="shared" si="398"/>
        <v>7.2793086735565712E-2</v>
      </c>
      <c r="GT216" s="54" t="e">
        <f t="shared" si="399"/>
        <v>#N/A</v>
      </c>
      <c r="GU216" s="54" t="e">
        <f t="shared" si="400"/>
        <v>#N/A</v>
      </c>
      <c r="GV216" s="54" t="e">
        <f t="shared" si="401"/>
        <v>#N/A</v>
      </c>
      <c r="GW216" s="54" t="b">
        <f t="shared" si="402"/>
        <v>0</v>
      </c>
      <c r="GX216" s="54" t="b">
        <f t="shared" si="403"/>
        <v>1</v>
      </c>
      <c r="GY216" s="54" t="b">
        <f t="shared" si="404"/>
        <v>0</v>
      </c>
      <c r="GZ216" s="54" t="b">
        <f t="shared" si="405"/>
        <v>1</v>
      </c>
      <c r="HA216" s="54">
        <f t="shared" si="406"/>
        <v>7.2793086735565712E-2</v>
      </c>
      <c r="HB216" s="54" t="e">
        <f t="shared" si="407"/>
        <v>#N/A</v>
      </c>
      <c r="HC216" s="54">
        <f t="shared" si="408"/>
        <v>7.2793086735565712E-2</v>
      </c>
      <c r="HD216" s="69" t="str">
        <f t="shared" si="409"/>
        <v/>
      </c>
      <c r="HJ216" s="54">
        <f t="shared" si="410"/>
        <v>206</v>
      </c>
      <c r="HK216" s="54">
        <f t="shared" si="411"/>
        <v>207</v>
      </c>
      <c r="HL216" s="54">
        <f t="shared" si="412"/>
        <v>2.8563356698073772</v>
      </c>
      <c r="HM216" s="54" t="e">
        <f t="shared" si="413"/>
        <v>#N/A</v>
      </c>
      <c r="HN216" s="54">
        <f t="shared" si="414"/>
        <v>1.750655719349652E-2</v>
      </c>
      <c r="HO216" s="54" t="e">
        <f t="shared" si="415"/>
        <v>#N/A</v>
      </c>
      <c r="HP216" s="54" t="e">
        <f t="shared" si="416"/>
        <v>#N/A</v>
      </c>
      <c r="HQ216" s="54" t="b">
        <f t="shared" si="417"/>
        <v>0</v>
      </c>
      <c r="HR216" s="54" t="b">
        <f t="shared" si="418"/>
        <v>1</v>
      </c>
      <c r="HS216" s="54" t="b">
        <f t="shared" si="419"/>
        <v>1</v>
      </c>
      <c r="HT216" s="54" t="b">
        <f t="shared" si="420"/>
        <v>0</v>
      </c>
      <c r="HU216" s="54">
        <f t="shared" si="421"/>
        <v>1.750655719349652E-2</v>
      </c>
      <c r="HV216" s="54" t="e">
        <f t="shared" si="422"/>
        <v>#N/A</v>
      </c>
      <c r="HW216" s="54">
        <f t="shared" si="423"/>
        <v>1.750655719349652E-2</v>
      </c>
      <c r="HX216" s="69" t="str">
        <f t="shared" si="424"/>
        <v/>
      </c>
    </row>
    <row r="217" spans="78:232" x14ac:dyDescent="0.2">
      <c r="BZ217" s="54">
        <f t="shared" si="351"/>
        <v>207</v>
      </c>
      <c r="CA217" s="54">
        <f>Eu_tabel_g[[#This Row],[Indeks]]+1</f>
        <v>208</v>
      </c>
      <c r="CB217" s="54">
        <f t="shared" si="352"/>
        <v>1.8685125572177474</v>
      </c>
      <c r="CC217" s="54">
        <f t="shared" si="353"/>
        <v>6.962663337221206E-2</v>
      </c>
      <c r="CD217" s="54" t="e">
        <f t="shared" si="354"/>
        <v>#N/A</v>
      </c>
      <c r="CE217" s="54" t="e">
        <f t="shared" si="355"/>
        <v>#N/A</v>
      </c>
      <c r="CF217" s="54" t="e">
        <f t="shared" si="356"/>
        <v>#N/A</v>
      </c>
      <c r="CG217" s="54" t="b">
        <f t="shared" si="357"/>
        <v>0</v>
      </c>
      <c r="CH217" s="54" t="b">
        <f t="shared" si="358"/>
        <v>1</v>
      </c>
      <c r="CI217" s="54" t="b">
        <f t="shared" si="359"/>
        <v>0</v>
      </c>
      <c r="CJ217" s="54" t="b">
        <f t="shared" si="360"/>
        <v>1</v>
      </c>
      <c r="CK217" s="54">
        <f t="shared" si="327"/>
        <v>6.962663337221206E-2</v>
      </c>
      <c r="CL217" s="54" t="e">
        <f t="shared" si="361"/>
        <v>#N/A</v>
      </c>
      <c r="CM217" s="54">
        <f t="shared" si="362"/>
        <v>6.962663337221206E-2</v>
      </c>
      <c r="CN217" s="69" t="str">
        <f t="shared" si="363"/>
        <v/>
      </c>
      <c r="CO217" s="54">
        <f>_xlfn.NORM.DIST(_xlfn.NORM.INV(1-Eu_g_konfidensniveau,0,1)-Eu_tabel_g[[#This Row],[x base]],0,1,TRUE)</f>
        <v>2.2123361219902565E-4</v>
      </c>
      <c r="CP217" s="54">
        <f>1-_xlfn.NORM.DIST(_xlfn.NORM.INV(Eu_g_konfidensniveau,0,1)-Eu_tabel_g[[#This Row],[x base]],0,1,TRUE)</f>
        <v>0.58848864736652096</v>
      </c>
      <c r="CQ217" s="54">
        <f>_xlfn.NORM.DIST(_xlfn.NORM.INV((1-Eu_g_konfidensniveau)/2,0,1)-Eu_tabel_g[[#This Row],[x base]],0,1,TRUE)+1-_xlfn.NORM.DIST(_xlfn.NORM.INV(1-(1-Eu_g_konfidensniveau)/2,0,1)-Eu_tabel_g[[#This Row],[x base]],0,1,TRUE)</f>
        <v>0.46363141936747909</v>
      </c>
      <c r="CR217" s="54" t="e" cm="1">
        <f t="array" ref="CR217">IF($CR$3,INDEX(Eu_tabel_g[[#This Row],[Styrke venstre]:[Styrke tosidet]],CR$7),NA())</f>
        <v>#N/A</v>
      </c>
      <c r="CS217" s="89" t="e">
        <f>Eu_tabel_g[[#This Row],[Falsk positiv
Nulhypotese accepteres
Fejltype 1]]</f>
        <v>#N/A</v>
      </c>
      <c r="CT217" s="89" t="e">
        <f>IF(CHOOSE(CR$7,Eu_tabel_g[[#This Row],[x base]]&gt;0,Eu_tabel_g[[#This Row],[x base]]&lt;0,Eu_tabel_g[[#This Row],[x base]]=0),Eu_tabel_g[[#This Row],[Styrke, aktiv]],NA())</f>
        <v>#N/A</v>
      </c>
      <c r="CU217" s="89" t="e">
        <f>IFERROR(IF($CR$3,Eu_tabel_g[[#This Row],[Styrke, aktiv]],NA()),NA())</f>
        <v>#N/A</v>
      </c>
      <c r="CV217" s="89" t="e">
        <f>IF(ISNA(Eu_tabel_g[[#This Row],[Sand negativ
Nulhypotese afvises
Korrekt]]),NA(),IF($CR$3,1,NA()))</f>
        <v>#N/A</v>
      </c>
      <c r="CW217" s="56" t="str" cm="1">
        <f t="array" ref="CW217">_xlfn.SWITCH(BZ217,_xlfn.IFNA(CU$2,-99),CU$5,_xlfn.IFNA(CU$3,-99),CU$6,_xlfn.IFNA(CU$4,-99),CU$7,"")</f>
        <v/>
      </c>
      <c r="DA217" s="7">
        <f t="shared" si="364"/>
        <v>0.8</v>
      </c>
      <c r="DB217">
        <f>IF(ROW(Styrkeberegning_G[[#This Row],[X base venstre]])=ROW(Styrkeberegning_G[[#Headers],[X base venstre]])+1,DB$7/(DA$7/$B$67),DB216/(DA216/$B$67))</f>
        <v>-2.8015817870135784</v>
      </c>
      <c r="DC217">
        <f>Styrkeberegning_G[[#This Row],[X base venstre]]*-1</f>
        <v>2.8015817870135784</v>
      </c>
      <c r="DN217" s="54">
        <f t="shared" si="365"/>
        <v>207</v>
      </c>
      <c r="DO217" s="54">
        <f t="shared" si="366"/>
        <v>208</v>
      </c>
      <c r="DP217" s="54">
        <f t="shared" si="367"/>
        <v>25.446519942972898</v>
      </c>
      <c r="DQ217" s="54" t="e">
        <f t="shared" si="368"/>
        <v>#N/A</v>
      </c>
      <c r="DR217" s="54" t="e">
        <f t="shared" si="369"/>
        <v>#N/A</v>
      </c>
      <c r="DS217" s="54">
        <f t="shared" si="370"/>
        <v>2.6617327326080762E-3</v>
      </c>
      <c r="DT217" s="54" t="e">
        <f t="shared" si="371"/>
        <v>#N/A</v>
      </c>
      <c r="DU217" s="54" t="b">
        <f t="shared" si="372"/>
        <v>0</v>
      </c>
      <c r="DV217" s="54" t="b">
        <f t="shared" si="373"/>
        <v>1</v>
      </c>
      <c r="DW217" s="54" t="b">
        <f t="shared" si="374"/>
        <v>1</v>
      </c>
      <c r="DX217" s="54" t="b">
        <f t="shared" si="375"/>
        <v>0</v>
      </c>
      <c r="DY217" s="54">
        <f t="shared" si="376"/>
        <v>2.6617327326080762E-3</v>
      </c>
      <c r="DZ217" s="54">
        <f t="shared" si="377"/>
        <v>2.6617327326080762E-3</v>
      </c>
      <c r="EA217" s="54" t="e">
        <f t="shared" si="378"/>
        <v>#N/A</v>
      </c>
      <c r="EB217" s="69" t="str">
        <f t="shared" si="379"/>
        <v/>
      </c>
      <c r="EG217" s="54">
        <f t="shared" si="380"/>
        <v>207</v>
      </c>
      <c r="EH217" s="54">
        <f t="shared" si="381"/>
        <v>208</v>
      </c>
      <c r="EI217" s="54">
        <f t="shared" si="382"/>
        <v>1.8685125572177474</v>
      </c>
      <c r="EJ217" s="54">
        <f t="shared" si="383"/>
        <v>6.962663337221206E-2</v>
      </c>
      <c r="EK217" s="54" t="e">
        <f t="shared" si="384"/>
        <v>#N/A</v>
      </c>
      <c r="EL217" s="54" t="e">
        <f t="shared" si="385"/>
        <v>#N/A</v>
      </c>
      <c r="EM217" s="54" t="e">
        <f t="shared" si="386"/>
        <v>#N/A</v>
      </c>
      <c r="EN217" s="54" t="b">
        <f t="shared" si="387"/>
        <v>0</v>
      </c>
      <c r="EO217" s="54" t="b">
        <f t="shared" si="388"/>
        <v>1</v>
      </c>
      <c r="EP217" s="54" t="b">
        <f t="shared" si="389"/>
        <v>0</v>
      </c>
      <c r="EQ217" s="54" t="b">
        <f t="shared" si="390"/>
        <v>1</v>
      </c>
      <c r="ER217" s="54">
        <f t="shared" si="391"/>
        <v>6.962663337221206E-2</v>
      </c>
      <c r="ES217" s="54" t="e">
        <f t="shared" si="392"/>
        <v>#N/A</v>
      </c>
      <c r="ET217" s="54">
        <f t="shared" si="393"/>
        <v>6.962663337221206E-2</v>
      </c>
      <c r="EU217" s="69" t="str">
        <f t="shared" si="394"/>
        <v/>
      </c>
      <c r="EV21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1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1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17" s="54" t="e" cm="1">
        <f t="array" ref="EY217">IF($CR$3,INDEX(Eu_tabel_a[[#This Row],[Styrke venstre]:[Styrke tosidet]],EY$7),NA())</f>
        <v>#N/A</v>
      </c>
      <c r="EZ217" s="54" t="e">
        <f>IF(EY$3,IF(CHOOSE(EY$7,Eu_tabel_a[[#This Row],[x base]]&gt;0,Eu_tabel_a[[#This Row],[x base]]&lt;0,Eu_tabel_a[[#This Row],[x base]]=0),1,NA()),NA())</f>
        <v>#N/A</v>
      </c>
      <c r="FA217" s="54" t="e">
        <f>IF(CHOOSE(EY$7,Eu_tabel_a[[#This Row],[x base]]&gt;0,Eu_tabel_a[[#This Row],[x base]]&lt;0,Eu_tabel_a[[#This Row],[x base]]=0),Eu_tabel_a[[#This Row],[Styrke, aktiv]],NA())</f>
        <v>#N/A</v>
      </c>
      <c r="FB217" s="54" t="e">
        <f>IFERROR(IF($EY$3,Eu_tabel_a[[#This Row],[Styrke, aktiv]],NA()),NA())</f>
        <v>#N/A</v>
      </c>
      <c r="FC217" s="54" t="e">
        <f>IF(ISNA(Eu_tabel_a[[#This Row],[Sand negativ
Nulhypotese afvises
Korrekt]]),NA(),IF(EY$3,1,NA()))</f>
        <v>#N/A</v>
      </c>
      <c r="FD217" s="55" t="str" cm="1">
        <f t="array" ref="FD217">IFERROR(_xlfn.SWITCH(Eu_tabel_a[[#This Row],[Indeks]],_xlfn.IFNA(FB$2,-99),FB$5,_xlfn.IFNA(FB$3,-99),FB$6,_xlfn.IFNA(FB$4,-99),FB$7,""),"")</f>
        <v/>
      </c>
      <c r="FE217" s="54">
        <f>Eu_tabel_a[[#This Row],[x base]]*SQRT(Eu_a_h0_x*(1-Eu_a_h0_x)/Eu_a_n_x)+Eu_a_h0_x</f>
        <v>0</v>
      </c>
      <c r="FJ217" s="144" t="e">
        <f t="shared" si="338"/>
        <v>#N/A</v>
      </c>
      <c r="FK217" s="152" t="e">
        <f t="shared" si="322"/>
        <v>#DIV/0!</v>
      </c>
      <c r="FL217" s="7" t="e">
        <f t="shared" si="332"/>
        <v>#DIV/0!</v>
      </c>
      <c r="FM217" t="e">
        <f t="shared" si="323"/>
        <v>#DIV/0!</v>
      </c>
      <c r="FN217" s="8" t="e">
        <f t="shared" si="324"/>
        <v>#DIV/0!</v>
      </c>
      <c r="FO217" s="8" t="e">
        <f t="shared" si="325"/>
        <v>#DIV/0!</v>
      </c>
      <c r="FP217" s="151" t="e">
        <f t="shared" si="326"/>
        <v>#DIV/0!</v>
      </c>
      <c r="FQ217" s="144" t="e">
        <f t="shared" ca="1" si="333"/>
        <v>#N/A</v>
      </c>
      <c r="FR217" s="152" t="e" vm="3">
        <f t="shared" ca="1" si="339"/>
        <v>#VALUE!</v>
      </c>
      <c r="FS217" s="7" t="e" vm="3">
        <f t="shared" ca="1" si="334"/>
        <v>#VALUE!</v>
      </c>
      <c r="FT217" t="e" vm="3">
        <f t="shared" ca="1" si="328"/>
        <v>#VALUE!</v>
      </c>
      <c r="FU217" s="8" t="e" vm="3">
        <f t="shared" ca="1" si="329"/>
        <v>#VALUE!</v>
      </c>
      <c r="FV217" s="8" t="e" vm="3">
        <f t="shared" ca="1" si="330"/>
        <v>#VALUE!</v>
      </c>
      <c r="FW217" s="151" t="e" vm="3">
        <f t="shared" ca="1" si="331"/>
        <v>#VALUE!</v>
      </c>
      <c r="FX217" s="144" t="e">
        <f t="shared" si="335"/>
        <v>#N/A</v>
      </c>
      <c r="FY217" s="152" t="e">
        <f t="shared" si="340"/>
        <v>#N/A</v>
      </c>
      <c r="FZ217" s="7" t="e">
        <f t="shared" si="336"/>
        <v>#N/A</v>
      </c>
      <c r="GA217" t="e">
        <f t="shared" si="341"/>
        <v>#N/A</v>
      </c>
      <c r="GB217" s="8" t="e">
        <f t="shared" si="342"/>
        <v>#N/A</v>
      </c>
      <c r="GC217" s="8" t="e">
        <f t="shared" si="343"/>
        <v>#N/A</v>
      </c>
      <c r="GD217" s="151" t="e">
        <f t="shared" si="344"/>
        <v>#N/A</v>
      </c>
      <c r="GE217" s="144" t="e">
        <f t="shared" si="345"/>
        <v>#N/A</v>
      </c>
      <c r="GF217" s="152" t="e">
        <f t="shared" si="346"/>
        <v>#N/A</v>
      </c>
      <c r="GG217" s="7" t="e">
        <f t="shared" si="337"/>
        <v>#N/A</v>
      </c>
      <c r="GH217" t="e">
        <f t="shared" si="347"/>
        <v>#N/A</v>
      </c>
      <c r="GI217" s="8" t="e">
        <f t="shared" si="348"/>
        <v>#N/A</v>
      </c>
      <c r="GJ217" s="8" t="e">
        <f t="shared" si="349"/>
        <v>#N/A</v>
      </c>
      <c r="GK217" s="151" t="e">
        <f t="shared" si="350"/>
        <v>#N/A</v>
      </c>
      <c r="GL217" s="151"/>
      <c r="GM217" s="151"/>
      <c r="GP217" s="54">
        <f t="shared" si="395"/>
        <v>207</v>
      </c>
      <c r="GQ217" s="54">
        <f t="shared" si="396"/>
        <v>208</v>
      </c>
      <c r="GR217" s="54">
        <f t="shared" si="397"/>
        <v>1.8685125572177474</v>
      </c>
      <c r="GS217" s="54">
        <f t="shared" si="398"/>
        <v>6.962663337221206E-2</v>
      </c>
      <c r="GT217" s="54" t="e">
        <f t="shared" si="399"/>
        <v>#N/A</v>
      </c>
      <c r="GU217" s="54" t="e">
        <f t="shared" si="400"/>
        <v>#N/A</v>
      </c>
      <c r="GV217" s="54" t="e">
        <f t="shared" si="401"/>
        <v>#N/A</v>
      </c>
      <c r="GW217" s="54" t="b">
        <f t="shared" si="402"/>
        <v>0</v>
      </c>
      <c r="GX217" s="54" t="b">
        <f t="shared" si="403"/>
        <v>1</v>
      </c>
      <c r="GY217" s="54" t="b">
        <f t="shared" si="404"/>
        <v>0</v>
      </c>
      <c r="GZ217" s="54" t="b">
        <f t="shared" si="405"/>
        <v>1</v>
      </c>
      <c r="HA217" s="54">
        <f t="shared" si="406"/>
        <v>6.962663337221206E-2</v>
      </c>
      <c r="HB217" s="54" t="e">
        <f t="shared" si="407"/>
        <v>#N/A</v>
      </c>
      <c r="HC217" s="54">
        <f t="shared" si="408"/>
        <v>6.962663337221206E-2</v>
      </c>
      <c r="HD217" s="69" t="str">
        <f t="shared" si="409"/>
        <v/>
      </c>
      <c r="HJ217" s="54">
        <f t="shared" si="410"/>
        <v>207</v>
      </c>
      <c r="HK217" s="54">
        <f t="shared" si="411"/>
        <v>208</v>
      </c>
      <c r="HL217" s="54">
        <f t="shared" si="412"/>
        <v>2.8934309382464347</v>
      </c>
      <c r="HM217" s="54" t="e">
        <f t="shared" si="413"/>
        <v>#N/A</v>
      </c>
      <c r="HN217" s="54">
        <f t="shared" si="414"/>
        <v>1.6554963588224707E-2</v>
      </c>
      <c r="HO217" s="54" t="e">
        <f t="shared" si="415"/>
        <v>#N/A</v>
      </c>
      <c r="HP217" s="54" t="e">
        <f t="shared" si="416"/>
        <v>#N/A</v>
      </c>
      <c r="HQ217" s="54" t="b">
        <f t="shared" si="417"/>
        <v>0</v>
      </c>
      <c r="HR217" s="54" t="b">
        <f t="shared" si="418"/>
        <v>1</v>
      </c>
      <c r="HS217" s="54" t="b">
        <f t="shared" si="419"/>
        <v>1</v>
      </c>
      <c r="HT217" s="54" t="b">
        <f t="shared" si="420"/>
        <v>0</v>
      </c>
      <c r="HU217" s="54">
        <f t="shared" si="421"/>
        <v>1.6554963588224707E-2</v>
      </c>
      <c r="HV217" s="54" t="e">
        <f t="shared" si="422"/>
        <v>#N/A</v>
      </c>
      <c r="HW217" s="54">
        <f t="shared" si="423"/>
        <v>1.6554963588224707E-2</v>
      </c>
      <c r="HX217" s="69" t="str">
        <f t="shared" si="424"/>
        <v/>
      </c>
    </row>
    <row r="218" spans="78:232" x14ac:dyDescent="0.2">
      <c r="BZ218" s="54">
        <f t="shared" si="351"/>
        <v>208</v>
      </c>
      <c r="CA218" s="54">
        <f>Eu_tabel_g[[#This Row],[Indeks]]+1</f>
        <v>209</v>
      </c>
      <c r="CB218" s="54">
        <f t="shared" si="352"/>
        <v>1.8924678464128464</v>
      </c>
      <c r="CC218" s="54">
        <f t="shared" si="353"/>
        <v>6.655971208943702E-2</v>
      </c>
      <c r="CD218" s="54" t="e">
        <f t="shared" si="354"/>
        <v>#N/A</v>
      </c>
      <c r="CE218" s="54" t="e">
        <f t="shared" si="355"/>
        <v>#N/A</v>
      </c>
      <c r="CF218" s="54" t="e">
        <f t="shared" si="356"/>
        <v>#N/A</v>
      </c>
      <c r="CG218" s="54" t="b">
        <f t="shared" si="357"/>
        <v>0</v>
      </c>
      <c r="CH218" s="54" t="b">
        <f t="shared" si="358"/>
        <v>1</v>
      </c>
      <c r="CI218" s="54" t="b">
        <f t="shared" si="359"/>
        <v>0</v>
      </c>
      <c r="CJ218" s="54" t="b">
        <f t="shared" si="360"/>
        <v>1</v>
      </c>
      <c r="CK218" s="54">
        <f t="shared" si="327"/>
        <v>6.655971208943702E-2</v>
      </c>
      <c r="CL218" s="54" t="e">
        <f t="shared" si="361"/>
        <v>#N/A</v>
      </c>
      <c r="CM218" s="54">
        <f t="shared" si="362"/>
        <v>6.655971208943702E-2</v>
      </c>
      <c r="CN218" s="69" t="str">
        <f t="shared" si="363"/>
        <v/>
      </c>
      <c r="CO218" s="54">
        <f>_xlfn.NORM.DIST(_xlfn.NORM.INV(1-Eu_g_konfidensniveau,0,1)-Eu_tabel_g[[#This Row],[x base]],0,1,TRUE)</f>
        <v>2.021036738241286E-4</v>
      </c>
      <c r="CP218" s="54">
        <f>1-_xlfn.NORM.DIST(_xlfn.NORM.INV(Eu_g_konfidensniveau,0,1)-Eu_tabel_g[[#This Row],[x base]],0,1,TRUE)</f>
        <v>0.59778354612388762</v>
      </c>
      <c r="CQ218" s="54">
        <f>_xlfn.NORM.DIST(_xlfn.NORM.INV((1-Eu_g_konfidensniveau)/2,0,1)-Eu_tabel_g[[#This Row],[x base]],0,1,TRUE)+1-_xlfn.NORM.DIST(_xlfn.NORM.INV(1-(1-Eu_g_konfidensniveau)/2,0,1)-Eu_tabel_g[[#This Row],[x base]],0,1,TRUE)</f>
        <v>0.47315184344261074</v>
      </c>
      <c r="CR218" s="54" t="e" cm="1">
        <f t="array" ref="CR218">IF($CR$3,INDEX(Eu_tabel_g[[#This Row],[Styrke venstre]:[Styrke tosidet]],CR$7),NA())</f>
        <v>#N/A</v>
      </c>
      <c r="CS218" s="89" t="e">
        <f>Eu_tabel_g[[#This Row],[Falsk positiv
Nulhypotese accepteres
Fejltype 1]]</f>
        <v>#N/A</v>
      </c>
      <c r="CT218" s="89" t="e">
        <f>IF(CHOOSE(CR$7,Eu_tabel_g[[#This Row],[x base]]&gt;0,Eu_tabel_g[[#This Row],[x base]]&lt;0,Eu_tabel_g[[#This Row],[x base]]=0),Eu_tabel_g[[#This Row],[Styrke, aktiv]],NA())</f>
        <v>#N/A</v>
      </c>
      <c r="CU218" s="89" t="e">
        <f>IFERROR(IF($CR$3,Eu_tabel_g[[#This Row],[Styrke, aktiv]],NA()),NA())</f>
        <v>#N/A</v>
      </c>
      <c r="CV218" s="89" t="e">
        <f>IF(ISNA(Eu_tabel_g[[#This Row],[Sand negativ
Nulhypotese afvises
Korrekt]]),NA(),IF($CR$3,1,NA()))</f>
        <v>#N/A</v>
      </c>
      <c r="CW218" s="56" t="str" cm="1">
        <f t="array" ref="CW218">_xlfn.SWITCH(BZ218,_xlfn.IFNA(CU$2,-99),CU$5,_xlfn.IFNA(CU$3,-99),CU$6,_xlfn.IFNA(CU$4,-99),CU$7,"")</f>
        <v/>
      </c>
      <c r="DA218" s="7">
        <f t="shared" si="364"/>
        <v>0.8</v>
      </c>
      <c r="DB218">
        <f>IF(ROW(Styrkeberegning_G[[#This Row],[X base venstre]])=ROW(Styrkeberegning_G[[#Headers],[X base venstre]])+1,DB$7/(DA$7/$B$67),DB217/(DA217/$B$67))</f>
        <v>-2.8015817870135784</v>
      </c>
      <c r="DC218">
        <f>Styrkeberegning_G[[#This Row],[X base venstre]]*-1</f>
        <v>2.8015817870135784</v>
      </c>
      <c r="DN218" s="54">
        <f t="shared" si="365"/>
        <v>208</v>
      </c>
      <c r="DO218" s="54">
        <f t="shared" si="366"/>
        <v>209</v>
      </c>
      <c r="DP218" s="54">
        <f t="shared" si="367"/>
        <v>25.5605907993899</v>
      </c>
      <c r="DQ218" s="54" t="e">
        <f t="shared" si="368"/>
        <v>#N/A</v>
      </c>
      <c r="DR218" s="54" t="e">
        <f t="shared" si="369"/>
        <v>#N/A</v>
      </c>
      <c r="DS218" s="54">
        <f t="shared" si="370"/>
        <v>2.5652841806335465E-3</v>
      </c>
      <c r="DT218" s="54" t="e">
        <f t="shared" si="371"/>
        <v>#N/A</v>
      </c>
      <c r="DU218" s="54" t="b">
        <f t="shared" si="372"/>
        <v>0</v>
      </c>
      <c r="DV218" s="54" t="b">
        <f t="shared" si="373"/>
        <v>1</v>
      </c>
      <c r="DW218" s="54" t="b">
        <f t="shared" si="374"/>
        <v>1</v>
      </c>
      <c r="DX218" s="54" t="b">
        <f t="shared" si="375"/>
        <v>0</v>
      </c>
      <c r="DY218" s="54">
        <f t="shared" si="376"/>
        <v>2.5652841806335465E-3</v>
      </c>
      <c r="DZ218" s="54">
        <f t="shared" si="377"/>
        <v>2.5652841806335465E-3</v>
      </c>
      <c r="EA218" s="54" t="e">
        <f t="shared" si="378"/>
        <v>#N/A</v>
      </c>
      <c r="EB218" s="69" t="str">
        <f t="shared" si="379"/>
        <v/>
      </c>
      <c r="EG218" s="54">
        <f t="shared" si="380"/>
        <v>208</v>
      </c>
      <c r="EH218" s="54">
        <f t="shared" si="381"/>
        <v>209</v>
      </c>
      <c r="EI218" s="54">
        <f t="shared" si="382"/>
        <v>1.8924678464128464</v>
      </c>
      <c r="EJ218" s="54">
        <f t="shared" si="383"/>
        <v>6.655971208943702E-2</v>
      </c>
      <c r="EK218" s="54" t="e">
        <f t="shared" si="384"/>
        <v>#N/A</v>
      </c>
      <c r="EL218" s="54" t="e">
        <f t="shared" si="385"/>
        <v>#N/A</v>
      </c>
      <c r="EM218" s="54" t="e">
        <f t="shared" si="386"/>
        <v>#N/A</v>
      </c>
      <c r="EN218" s="54" t="b">
        <f t="shared" si="387"/>
        <v>0</v>
      </c>
      <c r="EO218" s="54" t="b">
        <f t="shared" si="388"/>
        <v>1</v>
      </c>
      <c r="EP218" s="54" t="b">
        <f t="shared" si="389"/>
        <v>0</v>
      </c>
      <c r="EQ218" s="54" t="b">
        <f t="shared" si="390"/>
        <v>1</v>
      </c>
      <c r="ER218" s="54">
        <f t="shared" si="391"/>
        <v>6.655971208943702E-2</v>
      </c>
      <c r="ES218" s="54" t="e">
        <f t="shared" si="392"/>
        <v>#N/A</v>
      </c>
      <c r="ET218" s="54">
        <f t="shared" si="393"/>
        <v>6.655971208943702E-2</v>
      </c>
      <c r="EU218" s="69" t="str">
        <f t="shared" si="394"/>
        <v/>
      </c>
      <c r="EV21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1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1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18" s="54" t="e" cm="1">
        <f t="array" ref="EY218">IF($CR$3,INDEX(Eu_tabel_a[[#This Row],[Styrke venstre]:[Styrke tosidet]],EY$7),NA())</f>
        <v>#N/A</v>
      </c>
      <c r="EZ218" s="54" t="e">
        <f>IF(EY$3,IF(CHOOSE(EY$7,Eu_tabel_a[[#This Row],[x base]]&gt;0,Eu_tabel_a[[#This Row],[x base]]&lt;0,Eu_tabel_a[[#This Row],[x base]]=0),1,NA()),NA())</f>
        <v>#N/A</v>
      </c>
      <c r="FA218" s="54" t="e">
        <f>IF(CHOOSE(EY$7,Eu_tabel_a[[#This Row],[x base]]&gt;0,Eu_tabel_a[[#This Row],[x base]]&lt;0,Eu_tabel_a[[#This Row],[x base]]=0),Eu_tabel_a[[#This Row],[Styrke, aktiv]],NA())</f>
        <v>#N/A</v>
      </c>
      <c r="FB218" s="54" t="e">
        <f>IFERROR(IF($EY$3,Eu_tabel_a[[#This Row],[Styrke, aktiv]],NA()),NA())</f>
        <v>#N/A</v>
      </c>
      <c r="FC218" s="54" t="e">
        <f>IF(ISNA(Eu_tabel_a[[#This Row],[Sand negativ
Nulhypotese afvises
Korrekt]]),NA(),IF(EY$3,1,NA()))</f>
        <v>#N/A</v>
      </c>
      <c r="FD218" s="55" t="str" cm="1">
        <f t="array" ref="FD218">IFERROR(_xlfn.SWITCH(Eu_tabel_a[[#This Row],[Indeks]],_xlfn.IFNA(FB$2,-99),FB$5,_xlfn.IFNA(FB$3,-99),FB$6,_xlfn.IFNA(FB$4,-99),FB$7,""),"")</f>
        <v/>
      </c>
      <c r="FE218" s="54">
        <f>Eu_tabel_a[[#This Row],[x base]]*SQRT(Eu_a_h0_x*(1-Eu_a_h0_x)/Eu_a_n_x)+Eu_a_h0_x</f>
        <v>0</v>
      </c>
      <c r="FJ218" s="144" t="e">
        <f t="shared" si="338"/>
        <v>#N/A</v>
      </c>
      <c r="FK218" s="152" t="e">
        <f t="shared" si="322"/>
        <v>#DIV/0!</v>
      </c>
      <c r="FL218" s="7" t="e">
        <f t="shared" si="332"/>
        <v>#DIV/0!</v>
      </c>
      <c r="FM218" t="e">
        <f t="shared" si="323"/>
        <v>#DIV/0!</v>
      </c>
      <c r="FN218" s="8" t="e">
        <f t="shared" si="324"/>
        <v>#DIV/0!</v>
      </c>
      <c r="FO218" s="8" t="e">
        <f t="shared" si="325"/>
        <v>#DIV/0!</v>
      </c>
      <c r="FP218" s="151" t="e">
        <f t="shared" si="326"/>
        <v>#DIV/0!</v>
      </c>
      <c r="FQ218" s="144" t="e">
        <f t="shared" ca="1" si="333"/>
        <v>#N/A</v>
      </c>
      <c r="FR218" s="152" t="e" vm="3">
        <f t="shared" ca="1" si="339"/>
        <v>#VALUE!</v>
      </c>
      <c r="FS218" s="7" t="e" vm="3">
        <f t="shared" ca="1" si="334"/>
        <v>#VALUE!</v>
      </c>
      <c r="FT218" t="e" vm="3">
        <f t="shared" ca="1" si="328"/>
        <v>#VALUE!</v>
      </c>
      <c r="FU218" s="8" t="e" vm="3">
        <f t="shared" ca="1" si="329"/>
        <v>#VALUE!</v>
      </c>
      <c r="FV218" s="8" t="e" vm="3">
        <f t="shared" ca="1" si="330"/>
        <v>#VALUE!</v>
      </c>
      <c r="FW218" s="151" t="e" vm="3">
        <f t="shared" ca="1" si="331"/>
        <v>#VALUE!</v>
      </c>
      <c r="FX218" s="144" t="e">
        <f t="shared" si="335"/>
        <v>#N/A</v>
      </c>
      <c r="FY218" s="152" t="e">
        <f t="shared" si="340"/>
        <v>#N/A</v>
      </c>
      <c r="FZ218" s="7" t="e">
        <f t="shared" si="336"/>
        <v>#N/A</v>
      </c>
      <c r="GA218" t="e">
        <f t="shared" si="341"/>
        <v>#N/A</v>
      </c>
      <c r="GB218" s="8" t="e">
        <f t="shared" si="342"/>
        <v>#N/A</v>
      </c>
      <c r="GC218" s="8" t="e">
        <f t="shared" si="343"/>
        <v>#N/A</v>
      </c>
      <c r="GD218" s="151" t="e">
        <f t="shared" si="344"/>
        <v>#N/A</v>
      </c>
      <c r="GE218" s="144" t="e">
        <f t="shared" si="345"/>
        <v>#N/A</v>
      </c>
      <c r="GF218" s="152" t="e">
        <f t="shared" si="346"/>
        <v>#N/A</v>
      </c>
      <c r="GG218" s="7" t="e">
        <f t="shared" si="337"/>
        <v>#N/A</v>
      </c>
      <c r="GH218" t="e">
        <f t="shared" si="347"/>
        <v>#N/A</v>
      </c>
      <c r="GI218" s="8" t="e">
        <f t="shared" si="348"/>
        <v>#N/A</v>
      </c>
      <c r="GJ218" s="8" t="e">
        <f t="shared" si="349"/>
        <v>#N/A</v>
      </c>
      <c r="GK218" s="151" t="e">
        <f t="shared" si="350"/>
        <v>#N/A</v>
      </c>
      <c r="GL218" s="151"/>
      <c r="GM218" s="151"/>
      <c r="GP218" s="54">
        <f t="shared" si="395"/>
        <v>208</v>
      </c>
      <c r="GQ218" s="54">
        <f t="shared" si="396"/>
        <v>209</v>
      </c>
      <c r="GR218" s="54">
        <f t="shared" si="397"/>
        <v>1.8924678464128464</v>
      </c>
      <c r="GS218" s="54">
        <f t="shared" si="398"/>
        <v>6.655971208943702E-2</v>
      </c>
      <c r="GT218" s="54" t="e">
        <f t="shared" si="399"/>
        <v>#N/A</v>
      </c>
      <c r="GU218" s="54" t="e">
        <f t="shared" si="400"/>
        <v>#N/A</v>
      </c>
      <c r="GV218" s="54" t="e">
        <f t="shared" si="401"/>
        <v>#N/A</v>
      </c>
      <c r="GW218" s="54" t="b">
        <f t="shared" si="402"/>
        <v>0</v>
      </c>
      <c r="GX218" s="54" t="b">
        <f t="shared" si="403"/>
        <v>1</v>
      </c>
      <c r="GY218" s="54" t="b">
        <f t="shared" si="404"/>
        <v>0</v>
      </c>
      <c r="GZ218" s="54" t="b">
        <f t="shared" si="405"/>
        <v>1</v>
      </c>
      <c r="HA218" s="54">
        <f t="shared" si="406"/>
        <v>6.655971208943702E-2</v>
      </c>
      <c r="HB218" s="54" t="e">
        <f t="shared" si="407"/>
        <v>#N/A</v>
      </c>
      <c r="HC218" s="54">
        <f t="shared" si="408"/>
        <v>6.655971208943702E-2</v>
      </c>
      <c r="HD218" s="69" t="str">
        <f t="shared" si="409"/>
        <v/>
      </c>
      <c r="HJ218" s="54">
        <f t="shared" si="410"/>
        <v>208</v>
      </c>
      <c r="HK218" s="54">
        <f t="shared" si="411"/>
        <v>209</v>
      </c>
      <c r="HL218" s="54">
        <f t="shared" si="412"/>
        <v>2.9305262066854914</v>
      </c>
      <c r="HM218" s="54" t="e">
        <f t="shared" si="413"/>
        <v>#N/A</v>
      </c>
      <c r="HN218" s="54">
        <f t="shared" si="414"/>
        <v>1.5656095335046905E-2</v>
      </c>
      <c r="HO218" s="54" t="e">
        <f t="shared" si="415"/>
        <v>#N/A</v>
      </c>
      <c r="HP218" s="54" t="e">
        <f t="shared" si="416"/>
        <v>#N/A</v>
      </c>
      <c r="HQ218" s="54" t="b">
        <f t="shared" si="417"/>
        <v>0</v>
      </c>
      <c r="HR218" s="54" t="b">
        <f t="shared" si="418"/>
        <v>1</v>
      </c>
      <c r="HS218" s="54" t="b">
        <f t="shared" si="419"/>
        <v>1</v>
      </c>
      <c r="HT218" s="54" t="b">
        <f t="shared" si="420"/>
        <v>0</v>
      </c>
      <c r="HU218" s="54">
        <f t="shared" si="421"/>
        <v>1.5656095335046905E-2</v>
      </c>
      <c r="HV218" s="54" t="e">
        <f t="shared" si="422"/>
        <v>#N/A</v>
      </c>
      <c r="HW218" s="54">
        <f t="shared" si="423"/>
        <v>1.5656095335046905E-2</v>
      </c>
      <c r="HX218" s="69" t="str">
        <f t="shared" si="424"/>
        <v/>
      </c>
    </row>
    <row r="219" spans="78:232" x14ac:dyDescent="0.2">
      <c r="BZ219" s="54">
        <f t="shared" si="351"/>
        <v>209</v>
      </c>
      <c r="CA219" s="54">
        <f>Eu_tabel_g[[#This Row],[Indeks]]+1</f>
        <v>210</v>
      </c>
      <c r="CB219" s="54">
        <f t="shared" si="352"/>
        <v>1.9164231356079462</v>
      </c>
      <c r="CC219" s="54">
        <f t="shared" si="353"/>
        <v>6.3591380118377214E-2</v>
      </c>
      <c r="CD219" s="54" t="e">
        <f t="shared" si="354"/>
        <v>#N/A</v>
      </c>
      <c r="CE219" s="54" t="e">
        <f t="shared" si="355"/>
        <v>#N/A</v>
      </c>
      <c r="CF219" s="54" t="e">
        <f t="shared" si="356"/>
        <v>#N/A</v>
      </c>
      <c r="CG219" s="54" t="b">
        <f t="shared" si="357"/>
        <v>0</v>
      </c>
      <c r="CH219" s="54" t="b">
        <f t="shared" si="358"/>
        <v>1</v>
      </c>
      <c r="CI219" s="54" t="b">
        <f t="shared" si="359"/>
        <v>0</v>
      </c>
      <c r="CJ219" s="54" t="b">
        <f t="shared" si="360"/>
        <v>1</v>
      </c>
      <c r="CK219" s="54">
        <f t="shared" si="327"/>
        <v>6.3591380118377214E-2</v>
      </c>
      <c r="CL219" s="54" t="e">
        <f t="shared" si="361"/>
        <v>#N/A</v>
      </c>
      <c r="CM219" s="54">
        <f t="shared" si="362"/>
        <v>6.3591380118377214E-2</v>
      </c>
      <c r="CN219" s="69" t="str">
        <f t="shared" si="363"/>
        <v/>
      </c>
      <c r="CO219" s="54">
        <f>_xlfn.NORM.DIST(_xlfn.NORM.INV(1-Eu_g_konfidensniveau,0,1)-Eu_tabel_g[[#This Row],[x base]],0,1,TRUE)</f>
        <v>1.8452790723522174E-4</v>
      </c>
      <c r="CP219" s="54">
        <f>1-_xlfn.NORM.DIST(_xlfn.NORM.INV(Eu_g_konfidensniveau,0,1)-Eu_tabel_g[[#This Row],[x base]],0,1,TRUE)</f>
        <v>0.60702347642423038</v>
      </c>
      <c r="CQ219" s="54">
        <f>_xlfn.NORM.DIST(_xlfn.NORM.INV((1-Eu_g_konfidensniveau)/2,0,1)-Eu_tabel_g[[#This Row],[x base]],0,1,TRUE)+1-_xlfn.NORM.DIST(_xlfn.NORM.INV(1-(1-Eu_g_konfidensniveau)/2,0,1)-Eu_tabel_g[[#This Row],[x base]],0,1,TRUE)</f>
        <v>0.48268821080330215</v>
      </c>
      <c r="CR219" s="54" t="e" cm="1">
        <f t="array" ref="CR219">IF($CR$3,INDEX(Eu_tabel_g[[#This Row],[Styrke venstre]:[Styrke tosidet]],CR$7),NA())</f>
        <v>#N/A</v>
      </c>
      <c r="CS219" s="89" t="e">
        <f>Eu_tabel_g[[#This Row],[Falsk positiv
Nulhypotese accepteres
Fejltype 1]]</f>
        <v>#N/A</v>
      </c>
      <c r="CT219" s="89" t="e">
        <f>IF(CHOOSE(CR$7,Eu_tabel_g[[#This Row],[x base]]&gt;0,Eu_tabel_g[[#This Row],[x base]]&lt;0,Eu_tabel_g[[#This Row],[x base]]=0),Eu_tabel_g[[#This Row],[Styrke, aktiv]],NA())</f>
        <v>#N/A</v>
      </c>
      <c r="CU219" s="89" t="e">
        <f>IFERROR(IF($CR$3,Eu_tabel_g[[#This Row],[Styrke, aktiv]],NA()),NA())</f>
        <v>#N/A</v>
      </c>
      <c r="CV219" s="89" t="e">
        <f>IF(ISNA(Eu_tabel_g[[#This Row],[Sand negativ
Nulhypotese afvises
Korrekt]]),NA(),IF($CR$3,1,NA()))</f>
        <v>#N/A</v>
      </c>
      <c r="CW219" s="56" t="str" cm="1">
        <f t="array" ref="CW219">_xlfn.SWITCH(BZ219,_xlfn.IFNA(CU$2,-99),CU$5,_xlfn.IFNA(CU$3,-99),CU$6,_xlfn.IFNA(CU$4,-99),CU$7,"")</f>
        <v/>
      </c>
      <c r="DA219" s="7">
        <f t="shared" si="364"/>
        <v>0.8</v>
      </c>
      <c r="DB219">
        <f>IF(ROW(Styrkeberegning_G[[#This Row],[X base venstre]])=ROW(Styrkeberegning_G[[#Headers],[X base venstre]])+1,DB$7/(DA$7/$B$67),DB218/(DA218/$B$67))</f>
        <v>-2.8015817870135784</v>
      </c>
      <c r="DC219">
        <f>Styrkeberegning_G[[#This Row],[X base venstre]]*-1</f>
        <v>2.8015817870135784</v>
      </c>
      <c r="DN219" s="54">
        <f t="shared" si="365"/>
        <v>209</v>
      </c>
      <c r="DO219" s="54">
        <f t="shared" si="366"/>
        <v>210</v>
      </c>
      <c r="DP219" s="54">
        <f t="shared" si="367"/>
        <v>25.674661655806901</v>
      </c>
      <c r="DQ219" s="54" t="e">
        <f t="shared" si="368"/>
        <v>#N/A</v>
      </c>
      <c r="DR219" s="54" t="e">
        <f t="shared" si="369"/>
        <v>#N/A</v>
      </c>
      <c r="DS219" s="54">
        <f t="shared" si="370"/>
        <v>2.4721088957970891E-3</v>
      </c>
      <c r="DT219" s="54" t="e">
        <f t="shared" si="371"/>
        <v>#N/A</v>
      </c>
      <c r="DU219" s="54" t="b">
        <f t="shared" si="372"/>
        <v>0</v>
      </c>
      <c r="DV219" s="54" t="b">
        <f t="shared" si="373"/>
        <v>1</v>
      </c>
      <c r="DW219" s="54" t="b">
        <f t="shared" si="374"/>
        <v>1</v>
      </c>
      <c r="DX219" s="54" t="b">
        <f t="shared" si="375"/>
        <v>0</v>
      </c>
      <c r="DY219" s="54">
        <f t="shared" si="376"/>
        <v>2.4721088957970891E-3</v>
      </c>
      <c r="DZ219" s="54">
        <f t="shared" si="377"/>
        <v>2.4721088957970891E-3</v>
      </c>
      <c r="EA219" s="54" t="e">
        <f t="shared" si="378"/>
        <v>#N/A</v>
      </c>
      <c r="EB219" s="69" t="str">
        <f t="shared" si="379"/>
        <v/>
      </c>
      <c r="EG219" s="54">
        <f t="shared" si="380"/>
        <v>209</v>
      </c>
      <c r="EH219" s="54">
        <f t="shared" si="381"/>
        <v>210</v>
      </c>
      <c r="EI219" s="54">
        <f t="shared" si="382"/>
        <v>1.9164231356079462</v>
      </c>
      <c r="EJ219" s="54">
        <f t="shared" si="383"/>
        <v>6.3591380118377214E-2</v>
      </c>
      <c r="EK219" s="54" t="e">
        <f t="shared" si="384"/>
        <v>#N/A</v>
      </c>
      <c r="EL219" s="54" t="e">
        <f t="shared" si="385"/>
        <v>#N/A</v>
      </c>
      <c r="EM219" s="54" t="e">
        <f t="shared" si="386"/>
        <v>#N/A</v>
      </c>
      <c r="EN219" s="54" t="b">
        <f t="shared" si="387"/>
        <v>0</v>
      </c>
      <c r="EO219" s="54" t="b">
        <f t="shared" si="388"/>
        <v>1</v>
      </c>
      <c r="EP219" s="54" t="b">
        <f t="shared" si="389"/>
        <v>0</v>
      </c>
      <c r="EQ219" s="54" t="b">
        <f t="shared" si="390"/>
        <v>1</v>
      </c>
      <c r="ER219" s="54">
        <f t="shared" si="391"/>
        <v>6.3591380118377214E-2</v>
      </c>
      <c r="ES219" s="54" t="e">
        <f t="shared" si="392"/>
        <v>#N/A</v>
      </c>
      <c r="ET219" s="54">
        <f t="shared" si="393"/>
        <v>6.3591380118377214E-2</v>
      </c>
      <c r="EU219" s="69" t="str">
        <f t="shared" si="394"/>
        <v/>
      </c>
      <c r="EV21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1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1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19" s="54" t="e" cm="1">
        <f t="array" ref="EY219">IF($CR$3,INDEX(Eu_tabel_a[[#This Row],[Styrke venstre]:[Styrke tosidet]],EY$7),NA())</f>
        <v>#N/A</v>
      </c>
      <c r="EZ219" s="54" t="e">
        <f>IF(EY$3,IF(CHOOSE(EY$7,Eu_tabel_a[[#This Row],[x base]]&gt;0,Eu_tabel_a[[#This Row],[x base]]&lt;0,Eu_tabel_a[[#This Row],[x base]]=0),1,NA()),NA())</f>
        <v>#N/A</v>
      </c>
      <c r="FA219" s="54" t="e">
        <f>IF(CHOOSE(EY$7,Eu_tabel_a[[#This Row],[x base]]&gt;0,Eu_tabel_a[[#This Row],[x base]]&lt;0,Eu_tabel_a[[#This Row],[x base]]=0),Eu_tabel_a[[#This Row],[Styrke, aktiv]],NA())</f>
        <v>#N/A</v>
      </c>
      <c r="FB219" s="54" t="e">
        <f>IFERROR(IF($EY$3,Eu_tabel_a[[#This Row],[Styrke, aktiv]],NA()),NA())</f>
        <v>#N/A</v>
      </c>
      <c r="FC219" s="54" t="e">
        <f>IF(ISNA(Eu_tabel_a[[#This Row],[Sand negativ
Nulhypotese afvises
Korrekt]]),NA(),IF(EY$3,1,NA()))</f>
        <v>#N/A</v>
      </c>
      <c r="FD219" s="55" t="str" cm="1">
        <f t="array" ref="FD219">IFERROR(_xlfn.SWITCH(Eu_tabel_a[[#This Row],[Indeks]],_xlfn.IFNA(FB$2,-99),FB$5,_xlfn.IFNA(FB$3,-99),FB$6,_xlfn.IFNA(FB$4,-99),FB$7,""),"")</f>
        <v/>
      </c>
      <c r="FE219" s="54">
        <f>Eu_tabel_a[[#This Row],[x base]]*SQRT(Eu_a_h0_x*(1-Eu_a_h0_x)/Eu_a_n_x)+Eu_a_h0_x</f>
        <v>0</v>
      </c>
      <c r="FJ219" s="144" t="e">
        <f t="shared" si="338"/>
        <v>#N/A</v>
      </c>
      <c r="FK219" s="152" t="e">
        <f t="shared" si="322"/>
        <v>#DIV/0!</v>
      </c>
      <c r="FL219" s="7" t="e">
        <f t="shared" si="332"/>
        <v>#DIV/0!</v>
      </c>
      <c r="FM219" t="e">
        <f t="shared" si="323"/>
        <v>#DIV/0!</v>
      </c>
      <c r="FN219" s="8" t="e">
        <f t="shared" si="324"/>
        <v>#DIV/0!</v>
      </c>
      <c r="FO219" s="8" t="e">
        <f t="shared" si="325"/>
        <v>#DIV/0!</v>
      </c>
      <c r="FP219" s="151" t="e">
        <f t="shared" si="326"/>
        <v>#DIV/0!</v>
      </c>
      <c r="FQ219" s="144" t="e">
        <f t="shared" ca="1" si="333"/>
        <v>#N/A</v>
      </c>
      <c r="FR219" s="152" t="e" vm="3">
        <f t="shared" ca="1" si="339"/>
        <v>#VALUE!</v>
      </c>
      <c r="FS219" s="7" t="e" vm="3">
        <f t="shared" ca="1" si="334"/>
        <v>#VALUE!</v>
      </c>
      <c r="FT219" t="e" vm="3">
        <f t="shared" ca="1" si="328"/>
        <v>#VALUE!</v>
      </c>
      <c r="FU219" s="8" t="e" vm="3">
        <f t="shared" ca="1" si="329"/>
        <v>#VALUE!</v>
      </c>
      <c r="FV219" s="8" t="e" vm="3">
        <f t="shared" ca="1" si="330"/>
        <v>#VALUE!</v>
      </c>
      <c r="FW219" s="151" t="e" vm="3">
        <f t="shared" ca="1" si="331"/>
        <v>#VALUE!</v>
      </c>
      <c r="FX219" s="144" t="e">
        <f t="shared" si="335"/>
        <v>#N/A</v>
      </c>
      <c r="FY219" s="152" t="e">
        <f t="shared" si="340"/>
        <v>#N/A</v>
      </c>
      <c r="FZ219" s="7" t="e">
        <f t="shared" si="336"/>
        <v>#N/A</v>
      </c>
      <c r="GA219" t="e">
        <f t="shared" si="341"/>
        <v>#N/A</v>
      </c>
      <c r="GB219" s="8" t="e">
        <f t="shared" si="342"/>
        <v>#N/A</v>
      </c>
      <c r="GC219" s="8" t="e">
        <f t="shared" si="343"/>
        <v>#N/A</v>
      </c>
      <c r="GD219" s="151" t="e">
        <f t="shared" si="344"/>
        <v>#N/A</v>
      </c>
      <c r="GE219" s="144" t="e">
        <f t="shared" si="345"/>
        <v>#N/A</v>
      </c>
      <c r="GF219" s="152" t="e">
        <f t="shared" si="346"/>
        <v>#N/A</v>
      </c>
      <c r="GG219" s="7" t="e">
        <f t="shared" si="337"/>
        <v>#N/A</v>
      </c>
      <c r="GH219" t="e">
        <f t="shared" si="347"/>
        <v>#N/A</v>
      </c>
      <c r="GI219" s="8" t="e">
        <f t="shared" si="348"/>
        <v>#N/A</v>
      </c>
      <c r="GJ219" s="8" t="e">
        <f t="shared" si="349"/>
        <v>#N/A</v>
      </c>
      <c r="GK219" s="151" t="e">
        <f t="shared" si="350"/>
        <v>#N/A</v>
      </c>
      <c r="GL219" s="151"/>
      <c r="GM219" s="151"/>
      <c r="GP219" s="54">
        <f t="shared" si="395"/>
        <v>209</v>
      </c>
      <c r="GQ219" s="54">
        <f t="shared" si="396"/>
        <v>210</v>
      </c>
      <c r="GR219" s="54">
        <f t="shared" si="397"/>
        <v>1.9164231356079462</v>
      </c>
      <c r="GS219" s="54">
        <f t="shared" si="398"/>
        <v>6.3591380118377214E-2</v>
      </c>
      <c r="GT219" s="54" t="e">
        <f t="shared" si="399"/>
        <v>#N/A</v>
      </c>
      <c r="GU219" s="54" t="e">
        <f t="shared" si="400"/>
        <v>#N/A</v>
      </c>
      <c r="GV219" s="54" t="e">
        <f t="shared" si="401"/>
        <v>#N/A</v>
      </c>
      <c r="GW219" s="54" t="b">
        <f t="shared" si="402"/>
        <v>0</v>
      </c>
      <c r="GX219" s="54" t="b">
        <f t="shared" si="403"/>
        <v>1</v>
      </c>
      <c r="GY219" s="54" t="b">
        <f t="shared" si="404"/>
        <v>0</v>
      </c>
      <c r="GZ219" s="54" t="b">
        <f t="shared" si="405"/>
        <v>1</v>
      </c>
      <c r="HA219" s="54">
        <f t="shared" si="406"/>
        <v>6.3591380118377214E-2</v>
      </c>
      <c r="HB219" s="54" t="e">
        <f t="shared" si="407"/>
        <v>#N/A</v>
      </c>
      <c r="HC219" s="54">
        <f t="shared" si="408"/>
        <v>6.3591380118377214E-2</v>
      </c>
      <c r="HD219" s="69" t="str">
        <f t="shared" si="409"/>
        <v/>
      </c>
      <c r="HJ219" s="54">
        <f t="shared" si="410"/>
        <v>209</v>
      </c>
      <c r="HK219" s="54">
        <f t="shared" si="411"/>
        <v>210</v>
      </c>
      <c r="HL219" s="54">
        <f t="shared" si="412"/>
        <v>2.967621475124548</v>
      </c>
      <c r="HM219" s="54" t="e">
        <f t="shared" si="413"/>
        <v>#N/A</v>
      </c>
      <c r="HN219" s="54">
        <f t="shared" si="414"/>
        <v>1.4807096817980541E-2</v>
      </c>
      <c r="HO219" s="54" t="e">
        <f t="shared" si="415"/>
        <v>#N/A</v>
      </c>
      <c r="HP219" s="54" t="e">
        <f t="shared" si="416"/>
        <v>#N/A</v>
      </c>
      <c r="HQ219" s="54" t="b">
        <f t="shared" si="417"/>
        <v>0</v>
      </c>
      <c r="HR219" s="54" t="b">
        <f t="shared" si="418"/>
        <v>1</v>
      </c>
      <c r="HS219" s="54" t="b">
        <f t="shared" si="419"/>
        <v>1</v>
      </c>
      <c r="HT219" s="54" t="b">
        <f t="shared" si="420"/>
        <v>0</v>
      </c>
      <c r="HU219" s="54">
        <f t="shared" si="421"/>
        <v>1.4807096817980541E-2</v>
      </c>
      <c r="HV219" s="54" t="e">
        <f t="shared" si="422"/>
        <v>#N/A</v>
      </c>
      <c r="HW219" s="54">
        <f t="shared" si="423"/>
        <v>1.4807096817980541E-2</v>
      </c>
      <c r="HX219" s="69" t="str">
        <f t="shared" si="424"/>
        <v/>
      </c>
    </row>
    <row r="220" spans="78:232" x14ac:dyDescent="0.2">
      <c r="BZ220" s="54">
        <f t="shared" si="351"/>
        <v>210</v>
      </c>
      <c r="CA220" s="54">
        <f>Eu_tabel_g[[#This Row],[Indeks]]+1</f>
        <v>211</v>
      </c>
      <c r="CB220" s="54">
        <f t="shared" si="352"/>
        <v>1.9403784248030451</v>
      </c>
      <c r="CC220" s="54">
        <f t="shared" si="353"/>
        <v>6.0720570586669929E-2</v>
      </c>
      <c r="CD220" s="54" t="e">
        <f t="shared" si="354"/>
        <v>#N/A</v>
      </c>
      <c r="CE220" s="54" t="e">
        <f t="shared" si="355"/>
        <v>#N/A</v>
      </c>
      <c r="CF220" s="54" t="e">
        <f t="shared" si="356"/>
        <v>#N/A</v>
      </c>
      <c r="CG220" s="54" t="b">
        <f t="shared" si="357"/>
        <v>0</v>
      </c>
      <c r="CH220" s="54" t="b">
        <f t="shared" si="358"/>
        <v>1</v>
      </c>
      <c r="CI220" s="54" t="b">
        <f t="shared" si="359"/>
        <v>0</v>
      </c>
      <c r="CJ220" s="54" t="b">
        <f t="shared" si="360"/>
        <v>1</v>
      </c>
      <c r="CK220" s="54">
        <f t="shared" si="327"/>
        <v>6.0720570586669929E-2</v>
      </c>
      <c r="CL220" s="54" t="e">
        <f t="shared" si="361"/>
        <v>#N/A</v>
      </c>
      <c r="CM220" s="54">
        <f t="shared" si="362"/>
        <v>6.0720570586669929E-2</v>
      </c>
      <c r="CN220" s="69" t="str">
        <f t="shared" si="363"/>
        <v/>
      </c>
      <c r="CO220" s="54">
        <f>_xlfn.NORM.DIST(_xlfn.NORM.INV(1-Eu_g_konfidensniveau,0,1)-Eu_tabel_g[[#This Row],[x base]],0,1,TRUE)</f>
        <v>1.6838931044343806E-4</v>
      </c>
      <c r="CP220" s="54">
        <f>1-_xlfn.NORM.DIST(_xlfn.NORM.INV(Eu_g_konfidensniveau,0,1)-Eu_tabel_g[[#This Row],[x base]],0,1,TRUE)</f>
        <v>0.61620349407481689</v>
      </c>
      <c r="CQ220" s="54">
        <f>_xlfn.NORM.DIST(_xlfn.NORM.INV((1-Eu_g_konfidensniveau)/2,0,1)-Eu_tabel_g[[#This Row],[x base]],0,1,TRUE)+1-_xlfn.NORM.DIST(_xlfn.NORM.INV(1-(1-Eu_g_konfidensniveau)/2,0,1)-Eu_tabel_g[[#This Row],[x base]],0,1,TRUE)</f>
        <v>0.49223502001074992</v>
      </c>
      <c r="CR220" s="54" t="e" cm="1">
        <f t="array" ref="CR220">IF($CR$3,INDEX(Eu_tabel_g[[#This Row],[Styrke venstre]:[Styrke tosidet]],CR$7),NA())</f>
        <v>#N/A</v>
      </c>
      <c r="CS220" s="89" t="e">
        <f>Eu_tabel_g[[#This Row],[Falsk positiv
Nulhypotese accepteres
Fejltype 1]]</f>
        <v>#N/A</v>
      </c>
      <c r="CT220" s="89" t="e">
        <f>IF(CHOOSE(CR$7,Eu_tabel_g[[#This Row],[x base]]&gt;0,Eu_tabel_g[[#This Row],[x base]]&lt;0,Eu_tabel_g[[#This Row],[x base]]=0),Eu_tabel_g[[#This Row],[Styrke, aktiv]],NA())</f>
        <v>#N/A</v>
      </c>
      <c r="CU220" s="89" t="e">
        <f>IFERROR(IF($CR$3,Eu_tabel_g[[#This Row],[Styrke, aktiv]],NA()),NA())</f>
        <v>#N/A</v>
      </c>
      <c r="CV220" s="89" t="e">
        <f>IF(ISNA(Eu_tabel_g[[#This Row],[Sand negativ
Nulhypotese afvises
Korrekt]]),NA(),IF($CR$3,1,NA()))</f>
        <v>#N/A</v>
      </c>
      <c r="CW220" s="56" t="str" cm="1">
        <f t="array" ref="CW220">_xlfn.SWITCH(BZ220,_xlfn.IFNA(CU$2,-99),CU$5,_xlfn.IFNA(CU$3,-99),CU$6,_xlfn.IFNA(CU$4,-99),CU$7,"")</f>
        <v/>
      </c>
      <c r="DA220" s="7">
        <f t="shared" si="364"/>
        <v>0.8</v>
      </c>
      <c r="DB220">
        <f>IF(ROW(Styrkeberegning_G[[#This Row],[X base venstre]])=ROW(Styrkeberegning_G[[#Headers],[X base venstre]])+1,DB$7/(DA$7/$B$67),DB219/(DA219/$B$67))</f>
        <v>-2.8015817870135784</v>
      </c>
      <c r="DC220">
        <f>Styrkeberegning_G[[#This Row],[X base venstre]]*-1</f>
        <v>2.8015817870135784</v>
      </c>
      <c r="DN220" s="54">
        <f t="shared" si="365"/>
        <v>210</v>
      </c>
      <c r="DO220" s="54">
        <f t="shared" si="366"/>
        <v>211</v>
      </c>
      <c r="DP220" s="54">
        <f t="shared" si="367"/>
        <v>25.788732512223902</v>
      </c>
      <c r="DQ220" s="54" t="e">
        <f t="shared" si="368"/>
        <v>#N/A</v>
      </c>
      <c r="DR220" s="54" t="e">
        <f t="shared" si="369"/>
        <v>#N/A</v>
      </c>
      <c r="DS220" s="54">
        <f t="shared" si="370"/>
        <v>2.3821062780487148E-3</v>
      </c>
      <c r="DT220" s="54" t="e">
        <f t="shared" si="371"/>
        <v>#N/A</v>
      </c>
      <c r="DU220" s="54" t="b">
        <f t="shared" si="372"/>
        <v>0</v>
      </c>
      <c r="DV220" s="54" t="b">
        <f t="shared" si="373"/>
        <v>1</v>
      </c>
      <c r="DW220" s="54" t="b">
        <f t="shared" si="374"/>
        <v>1</v>
      </c>
      <c r="DX220" s="54" t="b">
        <f t="shared" si="375"/>
        <v>0</v>
      </c>
      <c r="DY220" s="54">
        <f t="shared" si="376"/>
        <v>2.3821062780487148E-3</v>
      </c>
      <c r="DZ220" s="54">
        <f t="shared" si="377"/>
        <v>2.3821062780487148E-3</v>
      </c>
      <c r="EA220" s="54" t="e">
        <f t="shared" si="378"/>
        <v>#N/A</v>
      </c>
      <c r="EB220" s="69" t="str">
        <f t="shared" si="379"/>
        <v/>
      </c>
      <c r="EG220" s="54">
        <f t="shared" si="380"/>
        <v>210</v>
      </c>
      <c r="EH220" s="54">
        <f t="shared" si="381"/>
        <v>211</v>
      </c>
      <c r="EI220" s="54">
        <f t="shared" si="382"/>
        <v>1.9403784248030451</v>
      </c>
      <c r="EJ220" s="54">
        <f t="shared" si="383"/>
        <v>6.0720570586669929E-2</v>
      </c>
      <c r="EK220" s="54" t="e">
        <f t="shared" si="384"/>
        <v>#N/A</v>
      </c>
      <c r="EL220" s="54" t="e">
        <f t="shared" si="385"/>
        <v>#N/A</v>
      </c>
      <c r="EM220" s="54" t="e">
        <f t="shared" si="386"/>
        <v>#N/A</v>
      </c>
      <c r="EN220" s="54" t="b">
        <f t="shared" si="387"/>
        <v>0</v>
      </c>
      <c r="EO220" s="54" t="b">
        <f t="shared" si="388"/>
        <v>1</v>
      </c>
      <c r="EP220" s="54" t="b">
        <f t="shared" si="389"/>
        <v>0</v>
      </c>
      <c r="EQ220" s="54" t="b">
        <f t="shared" si="390"/>
        <v>1</v>
      </c>
      <c r="ER220" s="54">
        <f t="shared" si="391"/>
        <v>6.0720570586669929E-2</v>
      </c>
      <c r="ES220" s="54" t="e">
        <f t="shared" si="392"/>
        <v>#N/A</v>
      </c>
      <c r="ET220" s="54">
        <f t="shared" si="393"/>
        <v>6.0720570586669929E-2</v>
      </c>
      <c r="EU220" s="69" t="str">
        <f t="shared" si="394"/>
        <v/>
      </c>
      <c r="EV22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2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2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20" s="54" t="e" cm="1">
        <f t="array" ref="EY220">IF($CR$3,INDEX(Eu_tabel_a[[#This Row],[Styrke venstre]:[Styrke tosidet]],EY$7),NA())</f>
        <v>#N/A</v>
      </c>
      <c r="EZ220" s="54" t="e">
        <f>IF(EY$3,IF(CHOOSE(EY$7,Eu_tabel_a[[#This Row],[x base]]&gt;0,Eu_tabel_a[[#This Row],[x base]]&lt;0,Eu_tabel_a[[#This Row],[x base]]=0),1,NA()),NA())</f>
        <v>#N/A</v>
      </c>
      <c r="FA220" s="54" t="e">
        <f>IF(CHOOSE(EY$7,Eu_tabel_a[[#This Row],[x base]]&gt;0,Eu_tabel_a[[#This Row],[x base]]&lt;0,Eu_tabel_a[[#This Row],[x base]]=0),Eu_tabel_a[[#This Row],[Styrke, aktiv]],NA())</f>
        <v>#N/A</v>
      </c>
      <c r="FB220" s="54" t="e">
        <f>IFERROR(IF($EY$3,Eu_tabel_a[[#This Row],[Styrke, aktiv]],NA()),NA())</f>
        <v>#N/A</v>
      </c>
      <c r="FC220" s="54" t="e">
        <f>IF(ISNA(Eu_tabel_a[[#This Row],[Sand negativ
Nulhypotese afvises
Korrekt]]),NA(),IF(EY$3,1,NA()))</f>
        <v>#N/A</v>
      </c>
      <c r="FD220" s="55" t="str" cm="1">
        <f t="array" ref="FD220">IFERROR(_xlfn.SWITCH(Eu_tabel_a[[#This Row],[Indeks]],_xlfn.IFNA(FB$2,-99),FB$5,_xlfn.IFNA(FB$3,-99),FB$6,_xlfn.IFNA(FB$4,-99),FB$7,""),"")</f>
        <v/>
      </c>
      <c r="FE220" s="54">
        <f>Eu_tabel_a[[#This Row],[x base]]*SQRT(Eu_a_h0_x*(1-Eu_a_h0_x)/Eu_a_n_x)+Eu_a_h0_x</f>
        <v>0</v>
      </c>
      <c r="FJ220" s="144" t="e">
        <f t="shared" si="338"/>
        <v>#N/A</v>
      </c>
      <c r="FK220" s="152" t="e">
        <f t="shared" si="322"/>
        <v>#DIV/0!</v>
      </c>
      <c r="FL220" s="7" t="e">
        <f t="shared" si="332"/>
        <v>#DIV/0!</v>
      </c>
      <c r="FM220" t="e">
        <f t="shared" si="323"/>
        <v>#DIV/0!</v>
      </c>
      <c r="FN220" s="8" t="e">
        <f t="shared" si="324"/>
        <v>#DIV/0!</v>
      </c>
      <c r="FO220" s="8" t="e">
        <f t="shared" si="325"/>
        <v>#DIV/0!</v>
      </c>
      <c r="FP220" s="151" t="e">
        <f t="shared" si="326"/>
        <v>#DIV/0!</v>
      </c>
      <c r="FQ220" s="144" t="e">
        <f t="shared" ca="1" si="333"/>
        <v>#N/A</v>
      </c>
      <c r="FR220" s="152" t="e" vm="3">
        <f t="shared" ca="1" si="339"/>
        <v>#VALUE!</v>
      </c>
      <c r="FS220" s="7" t="e" vm="3">
        <f t="shared" ca="1" si="334"/>
        <v>#VALUE!</v>
      </c>
      <c r="FT220" t="e" vm="3">
        <f t="shared" ca="1" si="328"/>
        <v>#VALUE!</v>
      </c>
      <c r="FU220" s="8" t="e" vm="3">
        <f t="shared" ca="1" si="329"/>
        <v>#VALUE!</v>
      </c>
      <c r="FV220" s="8" t="e" vm="3">
        <f t="shared" ca="1" si="330"/>
        <v>#VALUE!</v>
      </c>
      <c r="FW220" s="151" t="e" vm="3">
        <f t="shared" ca="1" si="331"/>
        <v>#VALUE!</v>
      </c>
      <c r="FX220" s="144" t="e">
        <f t="shared" si="335"/>
        <v>#N/A</v>
      </c>
      <c r="FY220" s="152" t="e">
        <f t="shared" si="340"/>
        <v>#N/A</v>
      </c>
      <c r="FZ220" s="7" t="e">
        <f t="shared" si="336"/>
        <v>#N/A</v>
      </c>
      <c r="GA220" t="e">
        <f t="shared" si="341"/>
        <v>#N/A</v>
      </c>
      <c r="GB220" s="8" t="e">
        <f t="shared" si="342"/>
        <v>#N/A</v>
      </c>
      <c r="GC220" s="8" t="e">
        <f t="shared" si="343"/>
        <v>#N/A</v>
      </c>
      <c r="GD220" s="151" t="e">
        <f t="shared" si="344"/>
        <v>#N/A</v>
      </c>
      <c r="GE220" s="144" t="e">
        <f t="shared" si="345"/>
        <v>#N/A</v>
      </c>
      <c r="GF220" s="152" t="e">
        <f t="shared" si="346"/>
        <v>#N/A</v>
      </c>
      <c r="GG220" s="7" t="e">
        <f t="shared" si="337"/>
        <v>#N/A</v>
      </c>
      <c r="GH220" t="e">
        <f t="shared" si="347"/>
        <v>#N/A</v>
      </c>
      <c r="GI220" s="8" t="e">
        <f t="shared" si="348"/>
        <v>#N/A</v>
      </c>
      <c r="GJ220" s="8" t="e">
        <f t="shared" si="349"/>
        <v>#N/A</v>
      </c>
      <c r="GK220" s="151" t="e">
        <f t="shared" si="350"/>
        <v>#N/A</v>
      </c>
      <c r="GL220" s="151"/>
      <c r="GM220" s="151"/>
      <c r="GP220" s="54">
        <f t="shared" si="395"/>
        <v>210</v>
      </c>
      <c r="GQ220" s="54">
        <f t="shared" si="396"/>
        <v>211</v>
      </c>
      <c r="GR220" s="54">
        <f t="shared" si="397"/>
        <v>1.9403784248030451</v>
      </c>
      <c r="GS220" s="54">
        <f t="shared" si="398"/>
        <v>6.0720570586669929E-2</v>
      </c>
      <c r="GT220" s="54" t="e">
        <f t="shared" si="399"/>
        <v>#N/A</v>
      </c>
      <c r="GU220" s="54" t="e">
        <f t="shared" si="400"/>
        <v>#N/A</v>
      </c>
      <c r="GV220" s="54" t="e">
        <f t="shared" si="401"/>
        <v>#N/A</v>
      </c>
      <c r="GW220" s="54" t="b">
        <f t="shared" si="402"/>
        <v>0</v>
      </c>
      <c r="GX220" s="54" t="b">
        <f t="shared" si="403"/>
        <v>1</v>
      </c>
      <c r="GY220" s="54" t="b">
        <f t="shared" si="404"/>
        <v>0</v>
      </c>
      <c r="GZ220" s="54" t="b">
        <f t="shared" si="405"/>
        <v>1</v>
      </c>
      <c r="HA220" s="54">
        <f t="shared" si="406"/>
        <v>6.0720570586669929E-2</v>
      </c>
      <c r="HB220" s="54" t="e">
        <f t="shared" si="407"/>
        <v>#N/A</v>
      </c>
      <c r="HC220" s="54">
        <f t="shared" si="408"/>
        <v>6.0720570586669929E-2</v>
      </c>
      <c r="HD220" s="69" t="str">
        <f t="shared" si="409"/>
        <v/>
      </c>
      <c r="HJ220" s="54">
        <f t="shared" si="410"/>
        <v>210</v>
      </c>
      <c r="HK220" s="54">
        <f t="shared" si="411"/>
        <v>211</v>
      </c>
      <c r="HL220" s="54">
        <f t="shared" si="412"/>
        <v>3.0047167435636046</v>
      </c>
      <c r="HM220" s="54" t="e">
        <f t="shared" si="413"/>
        <v>#N/A</v>
      </c>
      <c r="HN220" s="54">
        <f t="shared" si="414"/>
        <v>1.4005252222668935E-2</v>
      </c>
      <c r="HO220" s="54" t="e">
        <f t="shared" si="415"/>
        <v>#N/A</v>
      </c>
      <c r="HP220" s="54" t="e">
        <f t="shared" si="416"/>
        <v>#N/A</v>
      </c>
      <c r="HQ220" s="54" t="b">
        <f t="shared" si="417"/>
        <v>0</v>
      </c>
      <c r="HR220" s="54" t="b">
        <f t="shared" si="418"/>
        <v>1</v>
      </c>
      <c r="HS220" s="54" t="b">
        <f t="shared" si="419"/>
        <v>1</v>
      </c>
      <c r="HT220" s="54" t="b">
        <f t="shared" si="420"/>
        <v>0</v>
      </c>
      <c r="HU220" s="54">
        <f t="shared" si="421"/>
        <v>1.4005252222668935E-2</v>
      </c>
      <c r="HV220" s="54" t="e">
        <f t="shared" si="422"/>
        <v>#N/A</v>
      </c>
      <c r="HW220" s="54">
        <f t="shared" si="423"/>
        <v>1.4005252222668935E-2</v>
      </c>
      <c r="HX220" s="69" t="str">
        <f t="shared" si="424"/>
        <v/>
      </c>
    </row>
    <row r="221" spans="78:232" x14ac:dyDescent="0.2">
      <c r="BZ221" s="54">
        <f t="shared" si="351"/>
        <v>211</v>
      </c>
      <c r="CA221" s="54">
        <f>Eu_tabel_g[[#This Row],[Indeks]]+1</f>
        <v>212</v>
      </c>
      <c r="CB221" s="54">
        <f t="shared" si="352"/>
        <v>1.9643337139981449</v>
      </c>
      <c r="CC221" s="54">
        <f t="shared" si="353"/>
        <v>5.7946100444885101E-2</v>
      </c>
      <c r="CD221" s="54" t="e">
        <f t="shared" si="354"/>
        <v>#N/A</v>
      </c>
      <c r="CE221" s="54" t="e">
        <f t="shared" si="355"/>
        <v>#N/A</v>
      </c>
      <c r="CF221" s="54" t="e">
        <f t="shared" si="356"/>
        <v>#N/A</v>
      </c>
      <c r="CG221" s="54" t="b">
        <f t="shared" si="357"/>
        <v>0</v>
      </c>
      <c r="CH221" s="54" t="b">
        <f t="shared" si="358"/>
        <v>1</v>
      </c>
      <c r="CI221" s="54" t="b">
        <f t="shared" si="359"/>
        <v>1</v>
      </c>
      <c r="CJ221" s="54" t="b">
        <f t="shared" si="360"/>
        <v>0</v>
      </c>
      <c r="CK221" s="54">
        <f t="shared" si="327"/>
        <v>5.7946100444885101E-2</v>
      </c>
      <c r="CL221" s="54">
        <f t="shared" si="361"/>
        <v>5.7946100444885101E-2</v>
      </c>
      <c r="CM221" s="54" t="e">
        <f t="shared" si="362"/>
        <v>#N/A</v>
      </c>
      <c r="CN221" s="69">
        <f t="shared" si="363"/>
        <v>4.2910000000000004</v>
      </c>
      <c r="CO221" s="54">
        <f>_xlfn.NORM.DIST(_xlfn.NORM.INV(1-Eu_g_konfidensniveau,0,1)-Eu_tabel_g[[#This Row],[x base]],0,1,TRUE)</f>
        <v>1.5357886721904771E-4</v>
      </c>
      <c r="CP221" s="54">
        <f>1-_xlfn.NORM.DIST(_xlfn.NORM.INV(Eu_g_konfidensniveau,0,1)-Eu_tabel_g[[#This Row],[x base]],0,1,TRUE)</f>
        <v>0.62531875545814997</v>
      </c>
      <c r="CQ221" s="54">
        <f>_xlfn.NORM.DIST(_xlfn.NORM.INV((1-Eu_g_konfidensniveau)/2,0,1)-Eu_tabel_g[[#This Row],[x base]],0,1,TRUE)+1-_xlfn.NORM.DIST(_xlfn.NORM.INV(1-(1-Eu_g_konfidensniveau)/2,0,1)-Eu_tabel_g[[#This Row],[x base]],0,1,TRUE)</f>
        <v>0.50178675584621901</v>
      </c>
      <c r="CR221" s="54" t="e" cm="1">
        <f t="array" ref="CR221">IF($CR$3,INDEX(Eu_tabel_g[[#This Row],[Styrke venstre]:[Styrke tosidet]],CR$7),NA())</f>
        <v>#N/A</v>
      </c>
      <c r="CS221" s="89" t="e">
        <f>Eu_tabel_g[[#This Row],[Falsk positiv
Nulhypotese accepteres
Fejltype 1]]</f>
        <v>#N/A</v>
      </c>
      <c r="CT221" s="89" t="e">
        <f>IF(CHOOSE(CR$7,Eu_tabel_g[[#This Row],[x base]]&gt;0,Eu_tabel_g[[#This Row],[x base]]&lt;0,Eu_tabel_g[[#This Row],[x base]]=0),Eu_tabel_g[[#This Row],[Styrke, aktiv]],NA())</f>
        <v>#N/A</v>
      </c>
      <c r="CU221" s="89" t="e">
        <f>IFERROR(IF($CR$3,Eu_tabel_g[[#This Row],[Styrke, aktiv]],NA()),NA())</f>
        <v>#N/A</v>
      </c>
      <c r="CV221" s="89" t="e">
        <f>IF(ISNA(Eu_tabel_g[[#This Row],[Sand negativ
Nulhypotese afvises
Korrekt]]),NA(),IF($CR$3,1,NA()))</f>
        <v>#N/A</v>
      </c>
      <c r="CW221" s="56" t="str" cm="1">
        <f t="array" ref="CW221">_xlfn.SWITCH(BZ221,_xlfn.IFNA(CU$2,-99),CU$5,_xlfn.IFNA(CU$3,-99),CU$6,_xlfn.IFNA(CU$4,-99),CU$7,"")</f>
        <v/>
      </c>
      <c r="DA221" s="7">
        <f t="shared" si="364"/>
        <v>0.8</v>
      </c>
      <c r="DB221">
        <f>IF(ROW(Styrkeberegning_G[[#This Row],[X base venstre]])=ROW(Styrkeberegning_G[[#Headers],[X base venstre]])+1,DB$7/(DA$7/$B$67),DB220/(DA220/$B$67))</f>
        <v>-2.8015817870135784</v>
      </c>
      <c r="DC221">
        <f>Styrkeberegning_G[[#This Row],[X base venstre]]*-1</f>
        <v>2.8015817870135784</v>
      </c>
      <c r="DN221" s="54">
        <f t="shared" si="365"/>
        <v>211</v>
      </c>
      <c r="DO221" s="54">
        <f t="shared" si="366"/>
        <v>212</v>
      </c>
      <c r="DP221" s="54">
        <f t="shared" si="367"/>
        <v>25.902803368640903</v>
      </c>
      <c r="DQ221" s="54" t="e">
        <f t="shared" si="368"/>
        <v>#N/A</v>
      </c>
      <c r="DR221" s="54" t="e">
        <f t="shared" si="369"/>
        <v>#N/A</v>
      </c>
      <c r="DS221" s="54">
        <f t="shared" si="370"/>
        <v>2.2951783170417853E-3</v>
      </c>
      <c r="DT221" s="54" t="e">
        <f t="shared" si="371"/>
        <v>#N/A</v>
      </c>
      <c r="DU221" s="54" t="b">
        <f t="shared" si="372"/>
        <v>0</v>
      </c>
      <c r="DV221" s="54" t="b">
        <f t="shared" si="373"/>
        <v>1</v>
      </c>
      <c r="DW221" s="54" t="b">
        <f t="shared" si="374"/>
        <v>1</v>
      </c>
      <c r="DX221" s="54" t="b">
        <f t="shared" si="375"/>
        <v>0</v>
      </c>
      <c r="DY221" s="54">
        <f t="shared" si="376"/>
        <v>2.2951783170417853E-3</v>
      </c>
      <c r="DZ221" s="54">
        <f t="shared" si="377"/>
        <v>2.2951783170417853E-3</v>
      </c>
      <c r="EA221" s="54" t="e">
        <f t="shared" si="378"/>
        <v>#N/A</v>
      </c>
      <c r="EB221" s="69" t="str">
        <f t="shared" si="379"/>
        <v/>
      </c>
      <c r="EG221" s="54">
        <f t="shared" si="380"/>
        <v>211</v>
      </c>
      <c r="EH221" s="54">
        <f t="shared" si="381"/>
        <v>212</v>
      </c>
      <c r="EI221" s="54">
        <f t="shared" si="382"/>
        <v>1.9643337139981449</v>
      </c>
      <c r="EJ221" s="54">
        <f t="shared" si="383"/>
        <v>5.7946100444885101E-2</v>
      </c>
      <c r="EK221" s="54" t="e">
        <f t="shared" si="384"/>
        <v>#N/A</v>
      </c>
      <c r="EL221" s="54" t="e">
        <f t="shared" si="385"/>
        <v>#N/A</v>
      </c>
      <c r="EM221" s="54" t="e">
        <f t="shared" si="386"/>
        <v>#N/A</v>
      </c>
      <c r="EN221" s="54" t="b">
        <f t="shared" si="387"/>
        <v>0</v>
      </c>
      <c r="EO221" s="54" t="b">
        <f t="shared" si="388"/>
        <v>1</v>
      </c>
      <c r="EP221" s="54" t="b">
        <f t="shared" si="389"/>
        <v>1</v>
      </c>
      <c r="EQ221" s="54" t="b">
        <f t="shared" si="390"/>
        <v>0</v>
      </c>
      <c r="ER221" s="54">
        <f t="shared" si="391"/>
        <v>5.7946100444885101E-2</v>
      </c>
      <c r="ES221" s="54">
        <f t="shared" si="392"/>
        <v>5.7946100444885101E-2</v>
      </c>
      <c r="ET221" s="54" t="e">
        <f t="shared" si="393"/>
        <v>#N/A</v>
      </c>
      <c r="EU221" s="69" t="str">
        <f t="shared" si="394"/>
        <v>63.273%</v>
      </c>
      <c r="EV22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2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2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21" s="54" t="e" cm="1">
        <f t="array" ref="EY221">IF($CR$3,INDEX(Eu_tabel_a[[#This Row],[Styrke venstre]:[Styrke tosidet]],EY$7),NA())</f>
        <v>#N/A</v>
      </c>
      <c r="EZ221" s="54" t="e">
        <f>IF(EY$3,IF(CHOOSE(EY$7,Eu_tabel_a[[#This Row],[x base]]&gt;0,Eu_tabel_a[[#This Row],[x base]]&lt;0,Eu_tabel_a[[#This Row],[x base]]=0),1,NA()),NA())</f>
        <v>#N/A</v>
      </c>
      <c r="FA221" s="54" t="e">
        <f>IF(CHOOSE(EY$7,Eu_tabel_a[[#This Row],[x base]]&gt;0,Eu_tabel_a[[#This Row],[x base]]&lt;0,Eu_tabel_a[[#This Row],[x base]]=0),Eu_tabel_a[[#This Row],[Styrke, aktiv]],NA())</f>
        <v>#N/A</v>
      </c>
      <c r="FB221" s="54" t="e">
        <f>IFERROR(IF($EY$3,Eu_tabel_a[[#This Row],[Styrke, aktiv]],NA()),NA())</f>
        <v>#N/A</v>
      </c>
      <c r="FC221" s="54" t="e">
        <f>IF(ISNA(Eu_tabel_a[[#This Row],[Sand negativ
Nulhypotese afvises
Korrekt]]),NA(),IF(EY$3,1,NA()))</f>
        <v>#N/A</v>
      </c>
      <c r="FD221" s="55" t="str" cm="1">
        <f t="array" ref="FD221">IFERROR(_xlfn.SWITCH(Eu_tabel_a[[#This Row],[Indeks]],_xlfn.IFNA(FB$2,-99),FB$5,_xlfn.IFNA(FB$3,-99),FB$6,_xlfn.IFNA(FB$4,-99),FB$7,""),"")</f>
        <v/>
      </c>
      <c r="FE221" s="54">
        <f>Eu_tabel_a[[#This Row],[x base]]*SQRT(Eu_a_h0_x*(1-Eu_a_h0_x)/Eu_a_n_x)+Eu_a_h0_x</f>
        <v>0</v>
      </c>
      <c r="FJ221" s="144" t="e">
        <f t="shared" si="338"/>
        <v>#N/A</v>
      </c>
      <c r="FK221" s="152" t="e">
        <f t="shared" si="322"/>
        <v>#DIV/0!</v>
      </c>
      <c r="FL221" s="7" t="e">
        <f t="shared" si="332"/>
        <v>#DIV/0!</v>
      </c>
      <c r="FM221" t="e">
        <f t="shared" si="323"/>
        <v>#DIV/0!</v>
      </c>
      <c r="FN221" s="8" t="e">
        <f t="shared" si="324"/>
        <v>#DIV/0!</v>
      </c>
      <c r="FO221" s="8" t="e">
        <f t="shared" si="325"/>
        <v>#DIV/0!</v>
      </c>
      <c r="FP221" s="151" t="e">
        <f t="shared" si="326"/>
        <v>#DIV/0!</v>
      </c>
      <c r="FQ221" s="144" t="e">
        <f t="shared" ca="1" si="333"/>
        <v>#N/A</v>
      </c>
      <c r="FR221" s="152" t="e" vm="3">
        <f t="shared" ca="1" si="339"/>
        <v>#VALUE!</v>
      </c>
      <c r="FS221" s="7" t="e" vm="3">
        <f t="shared" ca="1" si="334"/>
        <v>#VALUE!</v>
      </c>
      <c r="FT221" t="e" vm="3">
        <f t="shared" ca="1" si="328"/>
        <v>#VALUE!</v>
      </c>
      <c r="FU221" s="8" t="e" vm="3">
        <f t="shared" ca="1" si="329"/>
        <v>#VALUE!</v>
      </c>
      <c r="FV221" s="8" t="e" vm="3">
        <f t="shared" ca="1" si="330"/>
        <v>#VALUE!</v>
      </c>
      <c r="FW221" s="151" t="e" vm="3">
        <f t="shared" ca="1" si="331"/>
        <v>#VALUE!</v>
      </c>
      <c r="FX221" s="144" t="e">
        <f t="shared" si="335"/>
        <v>#N/A</v>
      </c>
      <c r="FY221" s="152" t="e">
        <f t="shared" si="340"/>
        <v>#N/A</v>
      </c>
      <c r="FZ221" s="7" t="e">
        <f t="shared" si="336"/>
        <v>#N/A</v>
      </c>
      <c r="GA221" t="e">
        <f t="shared" si="341"/>
        <v>#N/A</v>
      </c>
      <c r="GB221" s="8" t="e">
        <f t="shared" si="342"/>
        <v>#N/A</v>
      </c>
      <c r="GC221" s="8" t="e">
        <f t="shared" si="343"/>
        <v>#N/A</v>
      </c>
      <c r="GD221" s="151" t="e">
        <f t="shared" si="344"/>
        <v>#N/A</v>
      </c>
      <c r="GE221" s="144" t="e">
        <f t="shared" si="345"/>
        <v>#N/A</v>
      </c>
      <c r="GF221" s="152" t="e">
        <f t="shared" si="346"/>
        <v>#N/A</v>
      </c>
      <c r="GG221" s="7" t="e">
        <f t="shared" si="337"/>
        <v>#N/A</v>
      </c>
      <c r="GH221" t="e">
        <f t="shared" si="347"/>
        <v>#N/A</v>
      </c>
      <c r="GI221" s="8" t="e">
        <f t="shared" si="348"/>
        <v>#N/A</v>
      </c>
      <c r="GJ221" s="8" t="e">
        <f t="shared" si="349"/>
        <v>#N/A</v>
      </c>
      <c r="GK221" s="151" t="e">
        <f t="shared" si="350"/>
        <v>#N/A</v>
      </c>
      <c r="GL221" s="151"/>
      <c r="GM221" s="151"/>
      <c r="GP221" s="54">
        <f t="shared" si="395"/>
        <v>211</v>
      </c>
      <c r="GQ221" s="54">
        <f t="shared" si="396"/>
        <v>212</v>
      </c>
      <c r="GR221" s="54">
        <f t="shared" si="397"/>
        <v>1.9643337139981449</v>
      </c>
      <c r="GS221" s="54">
        <f t="shared" si="398"/>
        <v>5.7946100444885101E-2</v>
      </c>
      <c r="GT221" s="54" t="e">
        <f t="shared" si="399"/>
        <v>#N/A</v>
      </c>
      <c r="GU221" s="54" t="e">
        <f t="shared" si="400"/>
        <v>#N/A</v>
      </c>
      <c r="GV221" s="54" t="e">
        <f t="shared" si="401"/>
        <v>#N/A</v>
      </c>
      <c r="GW221" s="54" t="b">
        <f t="shared" si="402"/>
        <v>0</v>
      </c>
      <c r="GX221" s="54" t="b">
        <f t="shared" si="403"/>
        <v>1</v>
      </c>
      <c r="GY221" s="54" t="b">
        <f t="shared" si="404"/>
        <v>1</v>
      </c>
      <c r="GZ221" s="54" t="b">
        <f t="shared" si="405"/>
        <v>0</v>
      </c>
      <c r="HA221" s="54">
        <f t="shared" si="406"/>
        <v>5.7946100444885101E-2</v>
      </c>
      <c r="HB221" s="54">
        <f t="shared" si="407"/>
        <v>5.7946100444885101E-2</v>
      </c>
      <c r="HC221" s="54" t="e">
        <f t="shared" si="408"/>
        <v>#N/A</v>
      </c>
      <c r="HD221" s="69">
        <f t="shared" si="409"/>
        <v>2.6240000000000001</v>
      </c>
      <c r="HJ221" s="54">
        <f t="shared" si="410"/>
        <v>211</v>
      </c>
      <c r="HK221" s="54">
        <f t="shared" si="411"/>
        <v>212</v>
      </c>
      <c r="HL221" s="54">
        <f t="shared" si="412"/>
        <v>3.0418120120026613</v>
      </c>
      <c r="HM221" s="54" t="e">
        <f t="shared" si="413"/>
        <v>#N/A</v>
      </c>
      <c r="HN221" s="54">
        <f t="shared" si="414"/>
        <v>1.3247980696787178E-2</v>
      </c>
      <c r="HO221" s="54" t="e">
        <f t="shared" si="415"/>
        <v>#N/A</v>
      </c>
      <c r="HP221" s="54" t="e">
        <f t="shared" si="416"/>
        <v>#N/A</v>
      </c>
      <c r="HQ221" s="54" t="b">
        <f t="shared" si="417"/>
        <v>0</v>
      </c>
      <c r="HR221" s="54" t="b">
        <f t="shared" si="418"/>
        <v>1</v>
      </c>
      <c r="HS221" s="54" t="b">
        <f t="shared" si="419"/>
        <v>1</v>
      </c>
      <c r="HT221" s="54" t="b">
        <f t="shared" si="420"/>
        <v>0</v>
      </c>
      <c r="HU221" s="54">
        <f t="shared" si="421"/>
        <v>1.3247980696787178E-2</v>
      </c>
      <c r="HV221" s="54" t="e">
        <f t="shared" si="422"/>
        <v>#N/A</v>
      </c>
      <c r="HW221" s="54">
        <f t="shared" si="423"/>
        <v>1.3247980696787178E-2</v>
      </c>
      <c r="HX221" s="69" t="str">
        <f t="shared" si="424"/>
        <v/>
      </c>
    </row>
    <row r="222" spans="78:232" x14ac:dyDescent="0.2">
      <c r="BZ222" s="54">
        <f t="shared" si="351"/>
        <v>212</v>
      </c>
      <c r="CA222" s="54">
        <f>Eu_tabel_g[[#This Row],[Indeks]]+1</f>
        <v>213</v>
      </c>
      <c r="CB222" s="54">
        <f t="shared" si="352"/>
        <v>1.9882890031932439</v>
      </c>
      <c r="CC222" s="54">
        <f t="shared" si="353"/>
        <v>5.5266678363017178E-2</v>
      </c>
      <c r="CD222" s="54" t="e">
        <f t="shared" si="354"/>
        <v>#N/A</v>
      </c>
      <c r="CE222" s="54" t="e">
        <f t="shared" si="355"/>
        <v>#N/A</v>
      </c>
      <c r="CF222" s="54" t="e">
        <f t="shared" si="356"/>
        <v>#N/A</v>
      </c>
      <c r="CG222" s="54" t="b">
        <f t="shared" si="357"/>
        <v>0</v>
      </c>
      <c r="CH222" s="54" t="b">
        <f t="shared" si="358"/>
        <v>1</v>
      </c>
      <c r="CI222" s="54" t="b">
        <f t="shared" si="359"/>
        <v>1</v>
      </c>
      <c r="CJ222" s="54" t="b">
        <f t="shared" si="360"/>
        <v>0</v>
      </c>
      <c r="CK222" s="54">
        <f t="shared" ref="CK222:CK253" si="425">_xlfn.AGGREGATE(9,6,CC222:CF222)</f>
        <v>5.5266678363017178E-2</v>
      </c>
      <c r="CL222" s="54">
        <f t="shared" si="361"/>
        <v>5.5266678363017178E-2</v>
      </c>
      <c r="CM222" s="54" t="e">
        <f t="shared" si="362"/>
        <v>#N/A</v>
      </c>
      <c r="CN222" s="69" t="str">
        <f t="shared" si="363"/>
        <v/>
      </c>
      <c r="CO222" s="54">
        <f>_xlfn.NORM.DIST(_xlfn.NORM.INV(1-Eu_g_konfidensniveau,0,1)-Eu_tabel_g[[#This Row],[x base]],0,1,TRUE)</f>
        <v>1.3999507188600937E-4</v>
      </c>
      <c r="CP222" s="54">
        <f>1-_xlfn.NORM.DIST(_xlfn.NORM.INV(Eu_g_konfidensniveau,0,1)-Eu_tabel_g[[#This Row],[x base]],0,1,TRUE)</f>
        <v>0.63436452515844188</v>
      </c>
      <c r="CQ222" s="54">
        <f>_xlfn.NORM.DIST(_xlfn.NORM.INV((1-Eu_g_konfidensniveau)/2,0,1)-Eu_tabel_g[[#This Row],[x base]],0,1,TRUE)+1-_xlfn.NORM.DIST(_xlfn.NORM.INV(1-(1-Eu_g_konfidensniveau)/2,0,1)-Eu_tabel_g[[#This Row],[x base]],0,1,TRUE)</f>
        <v>0.51133789849221656</v>
      </c>
      <c r="CR222" s="54" t="e" cm="1">
        <f t="array" ref="CR222">IF($CR$3,INDEX(Eu_tabel_g[[#This Row],[Styrke venstre]:[Styrke tosidet]],CR$7),NA())</f>
        <v>#N/A</v>
      </c>
      <c r="CS222" s="89" t="e">
        <f>Eu_tabel_g[[#This Row],[Falsk positiv
Nulhypotese accepteres
Fejltype 1]]</f>
        <v>#N/A</v>
      </c>
      <c r="CT222" s="89" t="e">
        <f>IF(CHOOSE(CR$7,Eu_tabel_g[[#This Row],[x base]]&gt;0,Eu_tabel_g[[#This Row],[x base]]&lt;0,Eu_tabel_g[[#This Row],[x base]]=0),Eu_tabel_g[[#This Row],[Styrke, aktiv]],NA())</f>
        <v>#N/A</v>
      </c>
      <c r="CU222" s="89" t="e">
        <f>IFERROR(IF($CR$3,Eu_tabel_g[[#This Row],[Styrke, aktiv]],NA()),NA())</f>
        <v>#N/A</v>
      </c>
      <c r="CV222" s="89" t="e">
        <f>IF(ISNA(Eu_tabel_g[[#This Row],[Sand negativ
Nulhypotese afvises
Korrekt]]),NA(),IF($CR$3,1,NA()))</f>
        <v>#N/A</v>
      </c>
      <c r="CW222" s="56" t="str" cm="1">
        <f t="array" ref="CW222">_xlfn.SWITCH(BZ222,_xlfn.IFNA(CU$2,-99),CU$5,_xlfn.IFNA(CU$3,-99),CU$6,_xlfn.IFNA(CU$4,-99),CU$7,"")</f>
        <v/>
      </c>
      <c r="DA222" s="7">
        <f t="shared" si="364"/>
        <v>0.8</v>
      </c>
      <c r="DB222">
        <f>IF(ROW(Styrkeberegning_G[[#This Row],[X base venstre]])=ROW(Styrkeberegning_G[[#Headers],[X base venstre]])+1,DB$7/(DA$7/$B$67),DB221/(DA221/$B$67))</f>
        <v>-2.8015817870135784</v>
      </c>
      <c r="DC222">
        <f>Styrkeberegning_G[[#This Row],[X base venstre]]*-1</f>
        <v>2.8015817870135784</v>
      </c>
      <c r="DN222" s="54">
        <f t="shared" si="365"/>
        <v>212</v>
      </c>
      <c r="DO222" s="54">
        <f t="shared" si="366"/>
        <v>213</v>
      </c>
      <c r="DP222" s="54">
        <f t="shared" si="367"/>
        <v>26.016874225057904</v>
      </c>
      <c r="DQ222" s="54" t="e">
        <f t="shared" si="368"/>
        <v>#N/A</v>
      </c>
      <c r="DR222" s="54" t="e">
        <f t="shared" si="369"/>
        <v>#N/A</v>
      </c>
      <c r="DS222" s="54">
        <f t="shared" si="370"/>
        <v>2.2112295504418127E-3</v>
      </c>
      <c r="DT222" s="54" t="e">
        <f t="shared" si="371"/>
        <v>#N/A</v>
      </c>
      <c r="DU222" s="54" t="b">
        <f t="shared" si="372"/>
        <v>0</v>
      </c>
      <c r="DV222" s="54" t="b">
        <f t="shared" si="373"/>
        <v>1</v>
      </c>
      <c r="DW222" s="54" t="b">
        <f t="shared" si="374"/>
        <v>1</v>
      </c>
      <c r="DX222" s="54" t="b">
        <f t="shared" si="375"/>
        <v>0</v>
      </c>
      <c r="DY222" s="54">
        <f t="shared" si="376"/>
        <v>2.2112295504418127E-3</v>
      </c>
      <c r="DZ222" s="54">
        <f t="shared" si="377"/>
        <v>2.2112295504418127E-3</v>
      </c>
      <c r="EA222" s="54" t="e">
        <f t="shared" si="378"/>
        <v>#N/A</v>
      </c>
      <c r="EB222" s="69" t="str">
        <f t="shared" si="379"/>
        <v/>
      </c>
      <c r="EG222" s="54">
        <f t="shared" si="380"/>
        <v>212</v>
      </c>
      <c r="EH222" s="54">
        <f t="shared" si="381"/>
        <v>213</v>
      </c>
      <c r="EI222" s="54">
        <f t="shared" si="382"/>
        <v>1.9882890031932439</v>
      </c>
      <c r="EJ222" s="54">
        <f t="shared" si="383"/>
        <v>5.5266678363017178E-2</v>
      </c>
      <c r="EK222" s="54" t="e">
        <f t="shared" si="384"/>
        <v>#N/A</v>
      </c>
      <c r="EL222" s="54" t="e">
        <f t="shared" si="385"/>
        <v>#N/A</v>
      </c>
      <c r="EM222" s="54" t="e">
        <f t="shared" si="386"/>
        <v>#N/A</v>
      </c>
      <c r="EN222" s="54" t="b">
        <f t="shared" si="387"/>
        <v>0</v>
      </c>
      <c r="EO222" s="54" t="b">
        <f t="shared" si="388"/>
        <v>1</v>
      </c>
      <c r="EP222" s="54" t="b">
        <f t="shared" si="389"/>
        <v>1</v>
      </c>
      <c r="EQ222" s="54" t="b">
        <f t="shared" si="390"/>
        <v>0</v>
      </c>
      <c r="ER222" s="54">
        <f t="shared" si="391"/>
        <v>5.5266678363017178E-2</v>
      </c>
      <c r="ES222" s="54">
        <f t="shared" si="392"/>
        <v>5.5266678363017178E-2</v>
      </c>
      <c r="ET222" s="54" t="e">
        <f t="shared" si="393"/>
        <v>#N/A</v>
      </c>
      <c r="EU222" s="69" t="str">
        <f t="shared" si="394"/>
        <v/>
      </c>
      <c r="EV22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2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2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22" s="54" t="e" cm="1">
        <f t="array" ref="EY222">IF($CR$3,INDEX(Eu_tabel_a[[#This Row],[Styrke venstre]:[Styrke tosidet]],EY$7),NA())</f>
        <v>#N/A</v>
      </c>
      <c r="EZ222" s="54" t="e">
        <f>IF(EY$3,IF(CHOOSE(EY$7,Eu_tabel_a[[#This Row],[x base]]&gt;0,Eu_tabel_a[[#This Row],[x base]]&lt;0,Eu_tabel_a[[#This Row],[x base]]=0),1,NA()),NA())</f>
        <v>#N/A</v>
      </c>
      <c r="FA222" s="54" t="e">
        <f>IF(CHOOSE(EY$7,Eu_tabel_a[[#This Row],[x base]]&gt;0,Eu_tabel_a[[#This Row],[x base]]&lt;0,Eu_tabel_a[[#This Row],[x base]]=0),Eu_tabel_a[[#This Row],[Styrke, aktiv]],NA())</f>
        <v>#N/A</v>
      </c>
      <c r="FB222" s="54" t="e">
        <f>IFERROR(IF($EY$3,Eu_tabel_a[[#This Row],[Styrke, aktiv]],NA()),NA())</f>
        <v>#N/A</v>
      </c>
      <c r="FC222" s="54" t="e">
        <f>IF(ISNA(Eu_tabel_a[[#This Row],[Sand negativ
Nulhypotese afvises
Korrekt]]),NA(),IF(EY$3,1,NA()))</f>
        <v>#N/A</v>
      </c>
      <c r="FD222" s="55" t="str" cm="1">
        <f t="array" ref="FD222">IFERROR(_xlfn.SWITCH(Eu_tabel_a[[#This Row],[Indeks]],_xlfn.IFNA(FB$2,-99),FB$5,_xlfn.IFNA(FB$3,-99),FB$6,_xlfn.IFNA(FB$4,-99),FB$7,""),"")</f>
        <v/>
      </c>
      <c r="FE222" s="54">
        <f>Eu_tabel_a[[#This Row],[x base]]*SQRT(Eu_a_h0_x*(1-Eu_a_h0_x)/Eu_a_n_x)+Eu_a_h0_x</f>
        <v>0</v>
      </c>
      <c r="FJ222" s="144" t="e">
        <f t="shared" si="338"/>
        <v>#N/A</v>
      </c>
      <c r="FK222" s="152" t="e">
        <f t="shared" si="322"/>
        <v>#DIV/0!</v>
      </c>
      <c r="FL222" s="7" t="e">
        <f t="shared" si="332"/>
        <v>#DIV/0!</v>
      </c>
      <c r="FM222" t="e">
        <f t="shared" si="323"/>
        <v>#DIV/0!</v>
      </c>
      <c r="FN222" s="8" t="e">
        <f t="shared" si="324"/>
        <v>#DIV/0!</v>
      </c>
      <c r="FO222" s="8" t="e">
        <f t="shared" si="325"/>
        <v>#DIV/0!</v>
      </c>
      <c r="FP222" s="151" t="e">
        <f t="shared" si="326"/>
        <v>#DIV/0!</v>
      </c>
      <c r="FQ222" s="144" t="e">
        <f t="shared" ca="1" si="333"/>
        <v>#N/A</v>
      </c>
      <c r="FR222" s="152" t="e" vm="3">
        <f t="shared" ca="1" si="339"/>
        <v>#VALUE!</v>
      </c>
      <c r="FS222" s="7" t="e" vm="3">
        <f t="shared" ca="1" si="334"/>
        <v>#VALUE!</v>
      </c>
      <c r="FT222" t="e" vm="3">
        <f t="shared" ca="1" si="328"/>
        <v>#VALUE!</v>
      </c>
      <c r="FU222" s="8" t="e" vm="3">
        <f t="shared" ca="1" si="329"/>
        <v>#VALUE!</v>
      </c>
      <c r="FV222" s="8" t="e" vm="3">
        <f t="shared" ca="1" si="330"/>
        <v>#VALUE!</v>
      </c>
      <c r="FW222" s="151" t="e" vm="3">
        <f t="shared" ca="1" si="331"/>
        <v>#VALUE!</v>
      </c>
      <c r="FX222" s="144" t="e">
        <f t="shared" si="335"/>
        <v>#N/A</v>
      </c>
      <c r="FY222" s="152" t="e">
        <f t="shared" si="340"/>
        <v>#N/A</v>
      </c>
      <c r="FZ222" s="7" t="e">
        <f t="shared" si="336"/>
        <v>#N/A</v>
      </c>
      <c r="GA222" t="e">
        <f t="shared" si="341"/>
        <v>#N/A</v>
      </c>
      <c r="GB222" s="8" t="e">
        <f t="shared" si="342"/>
        <v>#N/A</v>
      </c>
      <c r="GC222" s="8" t="e">
        <f t="shared" si="343"/>
        <v>#N/A</v>
      </c>
      <c r="GD222" s="151" t="e">
        <f t="shared" si="344"/>
        <v>#N/A</v>
      </c>
      <c r="GE222" s="144" t="e">
        <f t="shared" si="345"/>
        <v>#N/A</v>
      </c>
      <c r="GF222" s="152" t="e">
        <f t="shared" si="346"/>
        <v>#N/A</v>
      </c>
      <c r="GG222" s="7" t="e">
        <f t="shared" si="337"/>
        <v>#N/A</v>
      </c>
      <c r="GH222" t="e">
        <f t="shared" si="347"/>
        <v>#N/A</v>
      </c>
      <c r="GI222" s="8" t="e">
        <f t="shared" si="348"/>
        <v>#N/A</v>
      </c>
      <c r="GJ222" s="8" t="e">
        <f t="shared" si="349"/>
        <v>#N/A</v>
      </c>
      <c r="GK222" s="151" t="e">
        <f t="shared" si="350"/>
        <v>#N/A</v>
      </c>
      <c r="GL222" s="151"/>
      <c r="GM222" s="151"/>
      <c r="GP222" s="54">
        <f t="shared" si="395"/>
        <v>212</v>
      </c>
      <c r="GQ222" s="54">
        <f t="shared" si="396"/>
        <v>213</v>
      </c>
      <c r="GR222" s="54">
        <f t="shared" si="397"/>
        <v>1.9882890031932439</v>
      </c>
      <c r="GS222" s="54">
        <f t="shared" si="398"/>
        <v>5.5266678363017178E-2</v>
      </c>
      <c r="GT222" s="54" t="e">
        <f t="shared" si="399"/>
        <v>#N/A</v>
      </c>
      <c r="GU222" s="54" t="e">
        <f t="shared" si="400"/>
        <v>#N/A</v>
      </c>
      <c r="GV222" s="54" t="e">
        <f t="shared" si="401"/>
        <v>#N/A</v>
      </c>
      <c r="GW222" s="54" t="b">
        <f t="shared" si="402"/>
        <v>0</v>
      </c>
      <c r="GX222" s="54" t="b">
        <f t="shared" si="403"/>
        <v>1</v>
      </c>
      <c r="GY222" s="54" t="b">
        <f t="shared" si="404"/>
        <v>1</v>
      </c>
      <c r="GZ222" s="54" t="b">
        <f t="shared" si="405"/>
        <v>0</v>
      </c>
      <c r="HA222" s="54">
        <f t="shared" si="406"/>
        <v>5.5266678363017178E-2</v>
      </c>
      <c r="HB222" s="54">
        <f t="shared" si="407"/>
        <v>5.5266678363017178E-2</v>
      </c>
      <c r="HC222" s="54" t="e">
        <f t="shared" si="408"/>
        <v>#N/A</v>
      </c>
      <c r="HD222" s="69" t="str">
        <f t="shared" si="409"/>
        <v/>
      </c>
      <c r="HJ222" s="54">
        <f t="shared" si="410"/>
        <v>212</v>
      </c>
      <c r="HK222" s="54">
        <f t="shared" si="411"/>
        <v>213</v>
      </c>
      <c r="HL222" s="54">
        <f t="shared" si="412"/>
        <v>3.0789072804417188</v>
      </c>
      <c r="HM222" s="54" t="e">
        <f t="shared" si="413"/>
        <v>#N/A</v>
      </c>
      <c r="HN222" s="54">
        <f t="shared" si="414"/>
        <v>1.2532831418244361E-2</v>
      </c>
      <c r="HO222" s="54" t="e">
        <f t="shared" si="415"/>
        <v>#N/A</v>
      </c>
      <c r="HP222" s="54" t="e">
        <f t="shared" si="416"/>
        <v>#N/A</v>
      </c>
      <c r="HQ222" s="54" t="b">
        <f t="shared" si="417"/>
        <v>0</v>
      </c>
      <c r="HR222" s="54" t="b">
        <f t="shared" si="418"/>
        <v>1</v>
      </c>
      <c r="HS222" s="54" t="b">
        <f t="shared" si="419"/>
        <v>1</v>
      </c>
      <c r="HT222" s="54" t="b">
        <f t="shared" si="420"/>
        <v>0</v>
      </c>
      <c r="HU222" s="54">
        <f t="shared" si="421"/>
        <v>1.2532831418244361E-2</v>
      </c>
      <c r="HV222" s="54" t="e">
        <f t="shared" si="422"/>
        <v>#N/A</v>
      </c>
      <c r="HW222" s="54">
        <f t="shared" si="423"/>
        <v>1.2532831418244361E-2</v>
      </c>
      <c r="HX222" s="69" t="str">
        <f t="shared" si="424"/>
        <v/>
      </c>
    </row>
    <row r="223" spans="78:232" x14ac:dyDescent="0.2">
      <c r="BZ223" s="54">
        <f t="shared" si="351"/>
        <v>213</v>
      </c>
      <c r="CA223" s="54">
        <f>Eu_tabel_g[[#This Row],[Indeks]]+1</f>
        <v>214</v>
      </c>
      <c r="CB223" s="54">
        <f t="shared" si="352"/>
        <v>2.0122442923883437</v>
      </c>
      <c r="CC223" s="54">
        <f t="shared" si="353"/>
        <v>5.2680912571830774E-2</v>
      </c>
      <c r="CD223" s="54" t="e">
        <f t="shared" si="354"/>
        <v>#N/A</v>
      </c>
      <c r="CE223" s="54" t="e">
        <f t="shared" si="355"/>
        <v>#N/A</v>
      </c>
      <c r="CF223" s="54" t="e">
        <f t="shared" si="356"/>
        <v>#N/A</v>
      </c>
      <c r="CG223" s="54" t="b">
        <f t="shared" si="357"/>
        <v>0</v>
      </c>
      <c r="CH223" s="54" t="b">
        <f t="shared" si="358"/>
        <v>1</v>
      </c>
      <c r="CI223" s="54" t="b">
        <f t="shared" si="359"/>
        <v>1</v>
      </c>
      <c r="CJ223" s="54" t="b">
        <f t="shared" si="360"/>
        <v>0</v>
      </c>
      <c r="CK223" s="54">
        <f t="shared" si="425"/>
        <v>5.2680912571830774E-2</v>
      </c>
      <c r="CL223" s="54">
        <f t="shared" si="361"/>
        <v>5.2680912571830774E-2</v>
      </c>
      <c r="CM223" s="54" t="e">
        <f t="shared" si="362"/>
        <v>#N/A</v>
      </c>
      <c r="CN223" s="69" t="str">
        <f t="shared" si="363"/>
        <v/>
      </c>
      <c r="CO223" s="54">
        <f>_xlfn.NORM.DIST(_xlfn.NORM.INV(1-Eu_g_konfidensniveau,0,1)-Eu_tabel_g[[#This Row],[x base]],0,1,TRUE)</f>
        <v>1.2754347670460044E-4</v>
      </c>
      <c r="CP223" s="54">
        <f>1-_xlfn.NORM.DIST(_xlfn.NORM.INV(Eu_g_konfidensniveau,0,1)-Eu_tabel_g[[#This Row],[x base]],0,1,TRUE)</f>
        <v>0.64333618328693531</v>
      </c>
      <c r="CQ223" s="54">
        <f>_xlfn.NORM.DIST(_xlfn.NORM.INV((1-Eu_g_konfidensniveau)/2,0,1)-Eu_tabel_g[[#This Row],[x base]],0,1,TRUE)+1-_xlfn.NORM.DIST(_xlfn.NORM.INV(1-(1-Eu_g_konfidensniveau)/2,0,1)-Eu_tabel_g[[#This Row],[x base]],0,1,TRUE)</f>
        <v>0.5208829327495752</v>
      </c>
      <c r="CR223" s="54" t="e" cm="1">
        <f t="array" ref="CR223">IF($CR$3,INDEX(Eu_tabel_g[[#This Row],[Styrke venstre]:[Styrke tosidet]],CR$7),NA())</f>
        <v>#N/A</v>
      </c>
      <c r="CS223" s="89" t="e">
        <f>Eu_tabel_g[[#This Row],[Falsk positiv
Nulhypotese accepteres
Fejltype 1]]</f>
        <v>#N/A</v>
      </c>
      <c r="CT223" s="89" t="e">
        <f>IF(CHOOSE(CR$7,Eu_tabel_g[[#This Row],[x base]]&gt;0,Eu_tabel_g[[#This Row],[x base]]&lt;0,Eu_tabel_g[[#This Row],[x base]]=0),Eu_tabel_g[[#This Row],[Styrke, aktiv]],NA())</f>
        <v>#N/A</v>
      </c>
      <c r="CU223" s="89" t="e">
        <f>IFERROR(IF($CR$3,Eu_tabel_g[[#This Row],[Styrke, aktiv]],NA()),NA())</f>
        <v>#N/A</v>
      </c>
      <c r="CV223" s="89" t="e">
        <f>IF(ISNA(Eu_tabel_g[[#This Row],[Sand negativ
Nulhypotese afvises
Korrekt]]),NA(),IF($CR$3,1,NA()))</f>
        <v>#N/A</v>
      </c>
      <c r="CW223" s="56" t="str" cm="1">
        <f t="array" ref="CW223">_xlfn.SWITCH(BZ223,_xlfn.IFNA(CU$2,-99),CU$5,_xlfn.IFNA(CU$3,-99),CU$6,_xlfn.IFNA(CU$4,-99),CU$7,"")</f>
        <v/>
      </c>
      <c r="DA223" s="7">
        <f t="shared" si="364"/>
        <v>0.8</v>
      </c>
      <c r="DB223">
        <f>IF(ROW(Styrkeberegning_G[[#This Row],[X base venstre]])=ROW(Styrkeberegning_G[[#Headers],[X base venstre]])+1,DB$7/(DA$7/$B$67),DB222/(DA222/$B$67))</f>
        <v>-2.8015817870135784</v>
      </c>
      <c r="DC223">
        <f>Styrkeberegning_G[[#This Row],[X base venstre]]*-1</f>
        <v>2.8015817870135784</v>
      </c>
      <c r="DN223" s="54">
        <f t="shared" si="365"/>
        <v>213</v>
      </c>
      <c r="DO223" s="54">
        <f t="shared" si="366"/>
        <v>214</v>
      </c>
      <c r="DP223" s="54">
        <f t="shared" si="367"/>
        <v>26.130945081474906</v>
      </c>
      <c r="DQ223" s="54" t="e">
        <f t="shared" si="368"/>
        <v>#N/A</v>
      </c>
      <c r="DR223" s="54" t="e">
        <f t="shared" si="369"/>
        <v>#N/A</v>
      </c>
      <c r="DS223" s="54">
        <f t="shared" si="370"/>
        <v>2.13016702151311E-3</v>
      </c>
      <c r="DT223" s="54" t="e">
        <f t="shared" si="371"/>
        <v>#N/A</v>
      </c>
      <c r="DU223" s="54" t="b">
        <f t="shared" si="372"/>
        <v>0</v>
      </c>
      <c r="DV223" s="54" t="b">
        <f t="shared" si="373"/>
        <v>1</v>
      </c>
      <c r="DW223" s="54" t="b">
        <f t="shared" si="374"/>
        <v>1</v>
      </c>
      <c r="DX223" s="54" t="b">
        <f t="shared" si="375"/>
        <v>0</v>
      </c>
      <c r="DY223" s="54">
        <f t="shared" si="376"/>
        <v>2.13016702151311E-3</v>
      </c>
      <c r="DZ223" s="54">
        <f t="shared" si="377"/>
        <v>2.13016702151311E-3</v>
      </c>
      <c r="EA223" s="54" t="e">
        <f t="shared" si="378"/>
        <v>#N/A</v>
      </c>
      <c r="EB223" s="69" t="str">
        <f t="shared" si="379"/>
        <v/>
      </c>
      <c r="EG223" s="54">
        <f t="shared" si="380"/>
        <v>213</v>
      </c>
      <c r="EH223" s="54">
        <f t="shared" si="381"/>
        <v>214</v>
      </c>
      <c r="EI223" s="54">
        <f t="shared" si="382"/>
        <v>2.0122442923883437</v>
      </c>
      <c r="EJ223" s="54">
        <f t="shared" si="383"/>
        <v>5.2680912571830774E-2</v>
      </c>
      <c r="EK223" s="54" t="e">
        <f t="shared" si="384"/>
        <v>#N/A</v>
      </c>
      <c r="EL223" s="54" t="e">
        <f t="shared" si="385"/>
        <v>#N/A</v>
      </c>
      <c r="EM223" s="54" t="e">
        <f t="shared" si="386"/>
        <v>#N/A</v>
      </c>
      <c r="EN223" s="54" t="b">
        <f t="shared" si="387"/>
        <v>0</v>
      </c>
      <c r="EO223" s="54" t="b">
        <f t="shared" si="388"/>
        <v>1</v>
      </c>
      <c r="EP223" s="54" t="b">
        <f t="shared" si="389"/>
        <v>1</v>
      </c>
      <c r="EQ223" s="54" t="b">
        <f t="shared" si="390"/>
        <v>0</v>
      </c>
      <c r="ER223" s="54">
        <f t="shared" si="391"/>
        <v>5.2680912571830774E-2</v>
      </c>
      <c r="ES223" s="54">
        <f t="shared" si="392"/>
        <v>5.2680912571830774E-2</v>
      </c>
      <c r="ET223" s="54" t="e">
        <f t="shared" si="393"/>
        <v>#N/A</v>
      </c>
      <c r="EU223" s="69" t="str">
        <f t="shared" si="394"/>
        <v/>
      </c>
      <c r="EV22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2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2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23" s="54" t="e" cm="1">
        <f t="array" ref="EY223">IF($CR$3,INDEX(Eu_tabel_a[[#This Row],[Styrke venstre]:[Styrke tosidet]],EY$7),NA())</f>
        <v>#N/A</v>
      </c>
      <c r="EZ223" s="54" t="e">
        <f>IF(EY$3,IF(CHOOSE(EY$7,Eu_tabel_a[[#This Row],[x base]]&gt;0,Eu_tabel_a[[#This Row],[x base]]&lt;0,Eu_tabel_a[[#This Row],[x base]]=0),1,NA()),NA())</f>
        <v>#N/A</v>
      </c>
      <c r="FA223" s="54" t="e">
        <f>IF(CHOOSE(EY$7,Eu_tabel_a[[#This Row],[x base]]&gt;0,Eu_tabel_a[[#This Row],[x base]]&lt;0,Eu_tabel_a[[#This Row],[x base]]=0),Eu_tabel_a[[#This Row],[Styrke, aktiv]],NA())</f>
        <v>#N/A</v>
      </c>
      <c r="FB223" s="54" t="e">
        <f>IFERROR(IF($EY$3,Eu_tabel_a[[#This Row],[Styrke, aktiv]],NA()),NA())</f>
        <v>#N/A</v>
      </c>
      <c r="FC223" s="54" t="e">
        <f>IF(ISNA(Eu_tabel_a[[#This Row],[Sand negativ
Nulhypotese afvises
Korrekt]]),NA(),IF(EY$3,1,NA()))</f>
        <v>#N/A</v>
      </c>
      <c r="FD223" s="55" t="str" cm="1">
        <f t="array" ref="FD223">IFERROR(_xlfn.SWITCH(Eu_tabel_a[[#This Row],[Indeks]],_xlfn.IFNA(FB$2,-99),FB$5,_xlfn.IFNA(FB$3,-99),FB$6,_xlfn.IFNA(FB$4,-99),FB$7,""),"")</f>
        <v/>
      </c>
      <c r="FE223" s="54">
        <f>Eu_tabel_a[[#This Row],[x base]]*SQRT(Eu_a_h0_x*(1-Eu_a_h0_x)/Eu_a_n_x)+Eu_a_h0_x</f>
        <v>0</v>
      </c>
      <c r="FJ223" s="144" t="e">
        <f t="shared" si="338"/>
        <v>#N/A</v>
      </c>
      <c r="FK223" s="152" t="e">
        <f t="shared" ref="FK223:FK268" si="426">FK221+FP222</f>
        <v>#DIV/0!</v>
      </c>
      <c r="FL223" s="7" t="e">
        <f t="shared" si="332"/>
        <v>#DIV/0!</v>
      </c>
      <c r="FM223" t="e">
        <f t="shared" ref="FM223:FM268" si="427">FK223-FK222</f>
        <v>#DIV/0!</v>
      </c>
      <c r="FN223" s="8" t="e">
        <f t="shared" ref="FN223:FN268" si="428">FL223-FL222</f>
        <v>#DIV/0!</v>
      </c>
      <c r="FO223" s="8" t="e">
        <f t="shared" ref="FO223:FO268" si="429">$P$67-FL222</f>
        <v>#DIV/0!</v>
      </c>
      <c r="FP223" s="151" t="e">
        <f t="shared" ref="FP223:FP268" si="430">FM223/(FN223/FO223)</f>
        <v>#DIV/0!</v>
      </c>
      <c r="FQ223" s="144" t="e">
        <f t="shared" ca="1" si="333"/>
        <v>#N/A</v>
      </c>
      <c r="FR223" s="152" t="e" vm="3">
        <f t="shared" ca="1" si="339"/>
        <v>#VALUE!</v>
      </c>
      <c r="FS223" s="7" t="e" vm="3">
        <f t="shared" ca="1" si="334"/>
        <v>#VALUE!</v>
      </c>
      <c r="FT223" t="e" vm="3">
        <f t="shared" ca="1" si="328"/>
        <v>#VALUE!</v>
      </c>
      <c r="FU223" s="8" t="e" vm="3">
        <f t="shared" ca="1" si="329"/>
        <v>#VALUE!</v>
      </c>
      <c r="FV223" s="8" t="e" vm="3">
        <f t="shared" ca="1" si="330"/>
        <v>#VALUE!</v>
      </c>
      <c r="FW223" s="151" t="e" vm="3">
        <f t="shared" ca="1" si="331"/>
        <v>#VALUE!</v>
      </c>
      <c r="FX223" s="144" t="e">
        <f t="shared" si="335"/>
        <v>#N/A</v>
      </c>
      <c r="FY223" s="152" t="e">
        <f t="shared" si="340"/>
        <v>#N/A</v>
      </c>
      <c r="FZ223" s="7" t="e">
        <f t="shared" si="336"/>
        <v>#N/A</v>
      </c>
      <c r="GA223" t="e">
        <f t="shared" si="341"/>
        <v>#N/A</v>
      </c>
      <c r="GB223" s="8" t="e">
        <f t="shared" si="342"/>
        <v>#N/A</v>
      </c>
      <c r="GC223" s="8" t="e">
        <f t="shared" si="343"/>
        <v>#N/A</v>
      </c>
      <c r="GD223" s="151" t="e">
        <f t="shared" si="344"/>
        <v>#N/A</v>
      </c>
      <c r="GE223" s="144" t="e">
        <f t="shared" si="345"/>
        <v>#N/A</v>
      </c>
      <c r="GF223" s="152" t="e">
        <f t="shared" si="346"/>
        <v>#N/A</v>
      </c>
      <c r="GG223" s="7" t="e">
        <f t="shared" si="337"/>
        <v>#N/A</v>
      </c>
      <c r="GH223" t="e">
        <f t="shared" si="347"/>
        <v>#N/A</v>
      </c>
      <c r="GI223" s="8" t="e">
        <f t="shared" si="348"/>
        <v>#N/A</v>
      </c>
      <c r="GJ223" s="8" t="e">
        <f t="shared" si="349"/>
        <v>#N/A</v>
      </c>
      <c r="GK223" s="151" t="e">
        <f t="shared" si="350"/>
        <v>#N/A</v>
      </c>
      <c r="GL223" s="151"/>
      <c r="GM223" s="151"/>
      <c r="GP223" s="54">
        <f t="shared" si="395"/>
        <v>213</v>
      </c>
      <c r="GQ223" s="54">
        <f t="shared" si="396"/>
        <v>214</v>
      </c>
      <c r="GR223" s="54">
        <f t="shared" si="397"/>
        <v>2.0122442923883437</v>
      </c>
      <c r="GS223" s="54">
        <f t="shared" si="398"/>
        <v>5.2680912571830774E-2</v>
      </c>
      <c r="GT223" s="54" t="e">
        <f t="shared" si="399"/>
        <v>#N/A</v>
      </c>
      <c r="GU223" s="54" t="e">
        <f t="shared" si="400"/>
        <v>#N/A</v>
      </c>
      <c r="GV223" s="54" t="e">
        <f t="shared" si="401"/>
        <v>#N/A</v>
      </c>
      <c r="GW223" s="54" t="b">
        <f t="shared" si="402"/>
        <v>0</v>
      </c>
      <c r="GX223" s="54" t="b">
        <f t="shared" si="403"/>
        <v>1</v>
      </c>
      <c r="GY223" s="54" t="b">
        <f t="shared" si="404"/>
        <v>1</v>
      </c>
      <c r="GZ223" s="54" t="b">
        <f t="shared" si="405"/>
        <v>0</v>
      </c>
      <c r="HA223" s="54">
        <f t="shared" si="406"/>
        <v>5.2680912571830774E-2</v>
      </c>
      <c r="HB223" s="54">
        <f t="shared" si="407"/>
        <v>5.2680912571830774E-2</v>
      </c>
      <c r="HC223" s="54" t="e">
        <f t="shared" si="408"/>
        <v>#N/A</v>
      </c>
      <c r="HD223" s="69" t="str">
        <f t="shared" si="409"/>
        <v/>
      </c>
      <c r="HJ223" s="54">
        <f t="shared" si="410"/>
        <v>213</v>
      </c>
      <c r="HK223" s="54">
        <f t="shared" si="411"/>
        <v>214</v>
      </c>
      <c r="HL223" s="54">
        <f t="shared" si="412"/>
        <v>3.1160025488807754</v>
      </c>
      <c r="HM223" s="54" t="e">
        <f t="shared" si="413"/>
        <v>#N/A</v>
      </c>
      <c r="HN223" s="54">
        <f t="shared" si="414"/>
        <v>1.1857478614188162E-2</v>
      </c>
      <c r="HO223" s="54" t="e">
        <f t="shared" si="415"/>
        <v>#N/A</v>
      </c>
      <c r="HP223" s="54" t="e">
        <f t="shared" si="416"/>
        <v>#N/A</v>
      </c>
      <c r="HQ223" s="54" t="b">
        <f t="shared" si="417"/>
        <v>0</v>
      </c>
      <c r="HR223" s="54" t="b">
        <f t="shared" si="418"/>
        <v>1</v>
      </c>
      <c r="HS223" s="54" t="b">
        <f t="shared" si="419"/>
        <v>1</v>
      </c>
      <c r="HT223" s="54" t="b">
        <f t="shared" si="420"/>
        <v>0</v>
      </c>
      <c r="HU223" s="54">
        <f t="shared" si="421"/>
        <v>1.1857478614188162E-2</v>
      </c>
      <c r="HV223" s="54" t="e">
        <f t="shared" si="422"/>
        <v>#N/A</v>
      </c>
      <c r="HW223" s="54">
        <f t="shared" si="423"/>
        <v>1.1857478614188162E-2</v>
      </c>
      <c r="HX223" s="69" t="str">
        <f t="shared" si="424"/>
        <v/>
      </c>
    </row>
    <row r="224" spans="78:232" x14ac:dyDescent="0.2">
      <c r="BZ224" s="54">
        <f t="shared" si="351"/>
        <v>214</v>
      </c>
      <c r="CA224" s="54">
        <f>Eu_tabel_g[[#This Row],[Indeks]]+1</f>
        <v>215</v>
      </c>
      <c r="CB224" s="54">
        <f t="shared" si="352"/>
        <v>2.0361995815834426</v>
      </c>
      <c r="CC224" s="54">
        <f t="shared" si="353"/>
        <v>5.0187318625221689E-2</v>
      </c>
      <c r="CD224" s="54" t="e">
        <f t="shared" si="354"/>
        <v>#N/A</v>
      </c>
      <c r="CE224" s="54" t="e">
        <f t="shared" si="355"/>
        <v>#N/A</v>
      </c>
      <c r="CF224" s="54" t="e">
        <f t="shared" si="356"/>
        <v>#N/A</v>
      </c>
      <c r="CG224" s="54" t="b">
        <f t="shared" si="357"/>
        <v>0</v>
      </c>
      <c r="CH224" s="54" t="b">
        <f t="shared" si="358"/>
        <v>1</v>
      </c>
      <c r="CI224" s="54" t="b">
        <f t="shared" si="359"/>
        <v>1</v>
      </c>
      <c r="CJ224" s="54" t="b">
        <f t="shared" si="360"/>
        <v>0</v>
      </c>
      <c r="CK224" s="54">
        <f t="shared" si="425"/>
        <v>5.0187318625221689E-2</v>
      </c>
      <c r="CL224" s="54">
        <f t="shared" si="361"/>
        <v>5.0187318625221689E-2</v>
      </c>
      <c r="CM224" s="54" t="e">
        <f t="shared" si="362"/>
        <v>#N/A</v>
      </c>
      <c r="CN224" s="69" t="str">
        <f t="shared" si="363"/>
        <v/>
      </c>
      <c r="CO224" s="54">
        <f>_xlfn.NORM.DIST(_xlfn.NORM.INV(1-Eu_g_konfidensniveau,0,1)-Eu_tabel_g[[#This Row],[x base]],0,1,TRUE)</f>
        <v>1.1613626122131735E-4</v>
      </c>
      <c r="CP224" s="54">
        <f>1-_xlfn.NORM.DIST(_xlfn.NORM.INV(Eu_g_konfidensniveau,0,1)-Eu_tabel_g[[#This Row],[x base]],0,1,TRUE)</f>
        <v>0.65222923248733788</v>
      </c>
      <c r="CQ224" s="54">
        <f>_xlfn.NORM.DIST(_xlfn.NORM.INV((1-Eu_g_konfidensniveau)/2,0,1)-Eu_tabel_g[[#This Row],[x base]],0,1,TRUE)+1-_xlfn.NORM.DIST(_xlfn.NORM.INV(1-(1-Eu_g_konfidensniveau)/2,0,1)-Eu_tabel_g[[#This Row],[x base]],0,1,TRUE)</f>
        <v>0.53041635726275116</v>
      </c>
      <c r="CR224" s="54" t="e" cm="1">
        <f t="array" ref="CR224">IF($CR$3,INDEX(Eu_tabel_g[[#This Row],[Styrke venstre]:[Styrke tosidet]],CR$7),NA())</f>
        <v>#N/A</v>
      </c>
      <c r="CS224" s="89" t="e">
        <f>Eu_tabel_g[[#This Row],[Falsk positiv
Nulhypotese accepteres
Fejltype 1]]</f>
        <v>#N/A</v>
      </c>
      <c r="CT224" s="89" t="e">
        <f>IF(CHOOSE(CR$7,Eu_tabel_g[[#This Row],[x base]]&gt;0,Eu_tabel_g[[#This Row],[x base]]&lt;0,Eu_tabel_g[[#This Row],[x base]]=0),Eu_tabel_g[[#This Row],[Styrke, aktiv]],NA())</f>
        <v>#N/A</v>
      </c>
      <c r="CU224" s="89" t="e">
        <f>IFERROR(IF($CR$3,Eu_tabel_g[[#This Row],[Styrke, aktiv]],NA()),NA())</f>
        <v>#N/A</v>
      </c>
      <c r="CV224" s="89" t="e">
        <f>IF(ISNA(Eu_tabel_g[[#This Row],[Sand negativ
Nulhypotese afvises
Korrekt]]),NA(),IF($CR$3,1,NA()))</f>
        <v>#N/A</v>
      </c>
      <c r="CW224" s="56" t="str" cm="1">
        <f t="array" ref="CW224">_xlfn.SWITCH(BZ224,_xlfn.IFNA(CU$2,-99),CU$5,_xlfn.IFNA(CU$3,-99),CU$6,_xlfn.IFNA(CU$4,-99),CU$7,"")</f>
        <v/>
      </c>
      <c r="DA224" s="7">
        <f t="shared" si="364"/>
        <v>0.8</v>
      </c>
      <c r="DB224">
        <f>IF(ROW(Styrkeberegning_G[[#This Row],[X base venstre]])=ROW(Styrkeberegning_G[[#Headers],[X base venstre]])+1,DB$7/(DA$7/$B$67),DB223/(DA223/$B$67))</f>
        <v>-2.8015817870135784</v>
      </c>
      <c r="DC224">
        <f>Styrkeberegning_G[[#This Row],[X base venstre]]*-1</f>
        <v>2.8015817870135784</v>
      </c>
      <c r="DN224" s="54">
        <f t="shared" si="365"/>
        <v>214</v>
      </c>
      <c r="DO224" s="54">
        <f t="shared" si="366"/>
        <v>215</v>
      </c>
      <c r="DP224" s="54">
        <f t="shared" si="367"/>
        <v>26.245015937891903</v>
      </c>
      <c r="DQ224" s="54" t="e">
        <f t="shared" si="368"/>
        <v>#N/A</v>
      </c>
      <c r="DR224" s="54" t="e">
        <f t="shared" si="369"/>
        <v>#N/A</v>
      </c>
      <c r="DS224" s="54">
        <f t="shared" si="370"/>
        <v>2.0519002360898223E-3</v>
      </c>
      <c r="DT224" s="54" t="e">
        <f t="shared" si="371"/>
        <v>#N/A</v>
      </c>
      <c r="DU224" s="54" t="b">
        <f t="shared" si="372"/>
        <v>0</v>
      </c>
      <c r="DV224" s="54" t="b">
        <f t="shared" si="373"/>
        <v>1</v>
      </c>
      <c r="DW224" s="54" t="b">
        <f t="shared" si="374"/>
        <v>1</v>
      </c>
      <c r="DX224" s="54" t="b">
        <f t="shared" si="375"/>
        <v>0</v>
      </c>
      <c r="DY224" s="54">
        <f t="shared" si="376"/>
        <v>2.0519002360898223E-3</v>
      </c>
      <c r="DZ224" s="54">
        <f t="shared" si="377"/>
        <v>2.0519002360898223E-3</v>
      </c>
      <c r="EA224" s="54" t="e">
        <f t="shared" si="378"/>
        <v>#N/A</v>
      </c>
      <c r="EB224" s="69" t="str">
        <f t="shared" si="379"/>
        <v/>
      </c>
      <c r="EG224" s="54">
        <f t="shared" si="380"/>
        <v>214</v>
      </c>
      <c r="EH224" s="54">
        <f t="shared" si="381"/>
        <v>215</v>
      </c>
      <c r="EI224" s="54">
        <f t="shared" si="382"/>
        <v>2.0361995815834426</v>
      </c>
      <c r="EJ224" s="54">
        <f t="shared" si="383"/>
        <v>5.0187318625221689E-2</v>
      </c>
      <c r="EK224" s="54" t="e">
        <f t="shared" si="384"/>
        <v>#N/A</v>
      </c>
      <c r="EL224" s="54" t="e">
        <f t="shared" si="385"/>
        <v>#N/A</v>
      </c>
      <c r="EM224" s="54" t="e">
        <f t="shared" si="386"/>
        <v>#N/A</v>
      </c>
      <c r="EN224" s="54" t="b">
        <f t="shared" si="387"/>
        <v>0</v>
      </c>
      <c r="EO224" s="54" t="b">
        <f t="shared" si="388"/>
        <v>1</v>
      </c>
      <c r="EP224" s="54" t="b">
        <f t="shared" si="389"/>
        <v>1</v>
      </c>
      <c r="EQ224" s="54" t="b">
        <f t="shared" si="390"/>
        <v>0</v>
      </c>
      <c r="ER224" s="54">
        <f t="shared" si="391"/>
        <v>5.0187318625221689E-2</v>
      </c>
      <c r="ES224" s="54">
        <f t="shared" si="392"/>
        <v>5.0187318625221689E-2</v>
      </c>
      <c r="ET224" s="54" t="e">
        <f t="shared" si="393"/>
        <v>#N/A</v>
      </c>
      <c r="EU224" s="69" t="str">
        <f t="shared" si="394"/>
        <v/>
      </c>
      <c r="EV22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2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2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24" s="54" t="e" cm="1">
        <f t="array" ref="EY224">IF($CR$3,INDEX(Eu_tabel_a[[#This Row],[Styrke venstre]:[Styrke tosidet]],EY$7),NA())</f>
        <v>#N/A</v>
      </c>
      <c r="EZ224" s="54" t="e">
        <f>IF(EY$3,IF(CHOOSE(EY$7,Eu_tabel_a[[#This Row],[x base]]&gt;0,Eu_tabel_a[[#This Row],[x base]]&lt;0,Eu_tabel_a[[#This Row],[x base]]=0),1,NA()),NA())</f>
        <v>#N/A</v>
      </c>
      <c r="FA224" s="54" t="e">
        <f>IF(CHOOSE(EY$7,Eu_tabel_a[[#This Row],[x base]]&gt;0,Eu_tabel_a[[#This Row],[x base]]&lt;0,Eu_tabel_a[[#This Row],[x base]]=0),Eu_tabel_a[[#This Row],[Styrke, aktiv]],NA())</f>
        <v>#N/A</v>
      </c>
      <c r="FB224" s="54" t="e">
        <f>IFERROR(IF($EY$3,Eu_tabel_a[[#This Row],[Styrke, aktiv]],NA()),NA())</f>
        <v>#N/A</v>
      </c>
      <c r="FC224" s="54" t="e">
        <f>IF(ISNA(Eu_tabel_a[[#This Row],[Sand negativ
Nulhypotese afvises
Korrekt]]),NA(),IF(EY$3,1,NA()))</f>
        <v>#N/A</v>
      </c>
      <c r="FD224" s="55" t="str" cm="1">
        <f t="array" ref="FD224">IFERROR(_xlfn.SWITCH(Eu_tabel_a[[#This Row],[Indeks]],_xlfn.IFNA(FB$2,-99),FB$5,_xlfn.IFNA(FB$3,-99),FB$6,_xlfn.IFNA(FB$4,-99),FB$7,""),"")</f>
        <v/>
      </c>
      <c r="FE224" s="54">
        <f>Eu_tabel_a[[#This Row],[x base]]*SQRT(Eu_a_h0_x*(1-Eu_a_h0_x)/Eu_a_n_x)+Eu_a_h0_x</f>
        <v>0</v>
      </c>
      <c r="FJ224" s="144" t="e">
        <f t="shared" si="338"/>
        <v>#N/A</v>
      </c>
      <c r="FK224" s="152" t="e">
        <f t="shared" si="426"/>
        <v>#DIV/0!</v>
      </c>
      <c r="FL224" s="7" t="e">
        <f t="shared" si="332"/>
        <v>#DIV/0!</v>
      </c>
      <c r="FM224" t="e">
        <f t="shared" si="427"/>
        <v>#DIV/0!</v>
      </c>
      <c r="FN224" s="8" t="e">
        <f t="shared" si="428"/>
        <v>#DIV/0!</v>
      </c>
      <c r="FO224" s="8" t="e">
        <f t="shared" si="429"/>
        <v>#DIV/0!</v>
      </c>
      <c r="FP224" s="151" t="e">
        <f t="shared" si="430"/>
        <v>#DIV/0!</v>
      </c>
      <c r="FQ224" s="144" t="e">
        <f t="shared" ca="1" si="333"/>
        <v>#N/A</v>
      </c>
      <c r="FR224" s="152" t="e" vm="3">
        <f t="shared" ca="1" si="339"/>
        <v>#VALUE!</v>
      </c>
      <c r="FS224" s="7" t="e" vm="3">
        <f t="shared" ca="1" si="334"/>
        <v>#VALUE!</v>
      </c>
      <c r="FT224" t="e" vm="3">
        <f t="shared" ca="1" si="328"/>
        <v>#VALUE!</v>
      </c>
      <c r="FU224" s="8" t="e" vm="3">
        <f t="shared" ca="1" si="329"/>
        <v>#VALUE!</v>
      </c>
      <c r="FV224" s="8" t="e" vm="3">
        <f t="shared" ca="1" si="330"/>
        <v>#VALUE!</v>
      </c>
      <c r="FW224" s="151" t="e" vm="3">
        <f t="shared" ca="1" si="331"/>
        <v>#VALUE!</v>
      </c>
      <c r="FX224" s="144" t="e">
        <f t="shared" si="335"/>
        <v>#N/A</v>
      </c>
      <c r="FY224" s="152" t="e">
        <f t="shared" si="340"/>
        <v>#N/A</v>
      </c>
      <c r="FZ224" s="7" t="e">
        <f t="shared" si="336"/>
        <v>#N/A</v>
      </c>
      <c r="GA224" t="e">
        <f t="shared" si="341"/>
        <v>#N/A</v>
      </c>
      <c r="GB224" s="8" t="e">
        <f t="shared" si="342"/>
        <v>#N/A</v>
      </c>
      <c r="GC224" s="8" t="e">
        <f t="shared" si="343"/>
        <v>#N/A</v>
      </c>
      <c r="GD224" s="151" t="e">
        <f t="shared" si="344"/>
        <v>#N/A</v>
      </c>
      <c r="GE224" s="144" t="e">
        <f t="shared" si="345"/>
        <v>#N/A</v>
      </c>
      <c r="GF224" s="152" t="e">
        <f t="shared" si="346"/>
        <v>#N/A</v>
      </c>
      <c r="GG224" s="7" t="e">
        <f t="shared" si="337"/>
        <v>#N/A</v>
      </c>
      <c r="GH224" t="e">
        <f t="shared" si="347"/>
        <v>#N/A</v>
      </c>
      <c r="GI224" s="8" t="e">
        <f t="shared" si="348"/>
        <v>#N/A</v>
      </c>
      <c r="GJ224" s="8" t="e">
        <f t="shared" si="349"/>
        <v>#N/A</v>
      </c>
      <c r="GK224" s="151" t="e">
        <f t="shared" si="350"/>
        <v>#N/A</v>
      </c>
      <c r="GL224" s="151"/>
      <c r="GM224" s="151"/>
      <c r="GP224" s="54">
        <f t="shared" si="395"/>
        <v>214</v>
      </c>
      <c r="GQ224" s="54">
        <f t="shared" si="396"/>
        <v>215</v>
      </c>
      <c r="GR224" s="54">
        <f t="shared" si="397"/>
        <v>2.0361995815834426</v>
      </c>
      <c r="GS224" s="54">
        <f t="shared" si="398"/>
        <v>5.0187318625221689E-2</v>
      </c>
      <c r="GT224" s="54" t="e">
        <f t="shared" si="399"/>
        <v>#N/A</v>
      </c>
      <c r="GU224" s="54" t="e">
        <f t="shared" si="400"/>
        <v>#N/A</v>
      </c>
      <c r="GV224" s="54" t="e">
        <f t="shared" si="401"/>
        <v>#N/A</v>
      </c>
      <c r="GW224" s="54" t="b">
        <f t="shared" si="402"/>
        <v>0</v>
      </c>
      <c r="GX224" s="54" t="b">
        <f t="shared" si="403"/>
        <v>1</v>
      </c>
      <c r="GY224" s="54" t="b">
        <f t="shared" si="404"/>
        <v>1</v>
      </c>
      <c r="GZ224" s="54" t="b">
        <f t="shared" si="405"/>
        <v>0</v>
      </c>
      <c r="HA224" s="54">
        <f t="shared" si="406"/>
        <v>5.0187318625221689E-2</v>
      </c>
      <c r="HB224" s="54">
        <f t="shared" si="407"/>
        <v>5.0187318625221689E-2</v>
      </c>
      <c r="HC224" s="54" t="e">
        <f t="shared" si="408"/>
        <v>#N/A</v>
      </c>
      <c r="HD224" s="69" t="str">
        <f t="shared" si="409"/>
        <v/>
      </c>
      <c r="HJ224" s="54">
        <f t="shared" si="410"/>
        <v>214</v>
      </c>
      <c r="HK224" s="54">
        <f t="shared" si="411"/>
        <v>215</v>
      </c>
      <c r="HL224" s="54">
        <f t="shared" si="412"/>
        <v>3.1530978173198321</v>
      </c>
      <c r="HM224" s="54" t="e">
        <f t="shared" si="413"/>
        <v>#N/A</v>
      </c>
      <c r="HN224" s="54">
        <f t="shared" si="414"/>
        <v>1.1219716568102925E-2</v>
      </c>
      <c r="HO224" s="54" t="e">
        <f t="shared" si="415"/>
        <v>#N/A</v>
      </c>
      <c r="HP224" s="54" t="e">
        <f t="shared" si="416"/>
        <v>#N/A</v>
      </c>
      <c r="HQ224" s="54" t="b">
        <f t="shared" si="417"/>
        <v>0</v>
      </c>
      <c r="HR224" s="54" t="b">
        <f t="shared" si="418"/>
        <v>1</v>
      </c>
      <c r="HS224" s="54" t="b">
        <f t="shared" si="419"/>
        <v>1</v>
      </c>
      <c r="HT224" s="54" t="b">
        <f t="shared" si="420"/>
        <v>0</v>
      </c>
      <c r="HU224" s="54">
        <f t="shared" si="421"/>
        <v>1.1219716568102925E-2</v>
      </c>
      <c r="HV224" s="54" t="e">
        <f t="shared" si="422"/>
        <v>#N/A</v>
      </c>
      <c r="HW224" s="54">
        <f t="shared" si="423"/>
        <v>1.1219716568102925E-2</v>
      </c>
      <c r="HX224" s="69" t="str">
        <f t="shared" si="424"/>
        <v/>
      </c>
    </row>
    <row r="225" spans="78:232" x14ac:dyDescent="0.2">
      <c r="BZ225" s="54">
        <f t="shared" si="351"/>
        <v>215</v>
      </c>
      <c r="CA225" s="54">
        <f>Eu_tabel_g[[#This Row],[Indeks]]+1</f>
        <v>216</v>
      </c>
      <c r="CB225" s="54">
        <f t="shared" si="352"/>
        <v>2.0601548707785424</v>
      </c>
      <c r="CC225" s="54">
        <f t="shared" si="353"/>
        <v>4.7784327061153015E-2</v>
      </c>
      <c r="CD225" s="54" t="e">
        <f t="shared" si="354"/>
        <v>#N/A</v>
      </c>
      <c r="CE225" s="54" t="e">
        <f t="shared" si="355"/>
        <v>#N/A</v>
      </c>
      <c r="CF225" s="54" t="e">
        <f t="shared" si="356"/>
        <v>#N/A</v>
      </c>
      <c r="CG225" s="54" t="b">
        <f t="shared" si="357"/>
        <v>0</v>
      </c>
      <c r="CH225" s="54" t="b">
        <f t="shared" si="358"/>
        <v>1</v>
      </c>
      <c r="CI225" s="54" t="b">
        <f t="shared" si="359"/>
        <v>1</v>
      </c>
      <c r="CJ225" s="54" t="b">
        <f t="shared" si="360"/>
        <v>0</v>
      </c>
      <c r="CK225" s="54">
        <f t="shared" si="425"/>
        <v>4.7784327061153015E-2</v>
      </c>
      <c r="CL225" s="54">
        <f t="shared" si="361"/>
        <v>4.7784327061153015E-2</v>
      </c>
      <c r="CM225" s="54" t="e">
        <f t="shared" si="362"/>
        <v>#N/A</v>
      </c>
      <c r="CN225" s="69" t="str">
        <f t="shared" si="363"/>
        <v/>
      </c>
      <c r="CO225" s="54">
        <f>_xlfn.NORM.DIST(_xlfn.NORM.INV(1-Eu_g_konfidensniveau,0,1)-Eu_tabel_g[[#This Row],[x base]],0,1,TRUE)</f>
        <v>1.0569182294416857E-4</v>
      </c>
      <c r="CP225" s="54">
        <f>1-_xlfn.NORM.DIST(_xlfn.NORM.INV(Eu_g_konfidensniveau,0,1)-Eu_tabel_g[[#This Row],[x base]],0,1,TRUE)</f>
        <v>0.66103930460390115</v>
      </c>
      <c r="CQ225" s="54">
        <f>_xlfn.NORM.DIST(_xlfn.NORM.INV((1-Eu_g_konfidensniveau)/2,0,1)-Eu_tabel_g[[#This Row],[x base]],0,1,TRUE)+1-_xlfn.NORM.DIST(_xlfn.NORM.INV(1-(1-Eu_g_konfidensniveau)/2,0,1)-Eu_tabel_g[[#This Row],[x base]],0,1,TRUE)</f>
        <v>0.53993269372568653</v>
      </c>
      <c r="CR225" s="54" t="e" cm="1">
        <f t="array" ref="CR225">IF($CR$3,INDEX(Eu_tabel_g[[#This Row],[Styrke venstre]:[Styrke tosidet]],CR$7),NA())</f>
        <v>#N/A</v>
      </c>
      <c r="CS225" s="89" t="e">
        <f>Eu_tabel_g[[#This Row],[Falsk positiv
Nulhypotese accepteres
Fejltype 1]]</f>
        <v>#N/A</v>
      </c>
      <c r="CT225" s="89" t="e">
        <f>IF(CHOOSE(CR$7,Eu_tabel_g[[#This Row],[x base]]&gt;0,Eu_tabel_g[[#This Row],[x base]]&lt;0,Eu_tabel_g[[#This Row],[x base]]=0),Eu_tabel_g[[#This Row],[Styrke, aktiv]],NA())</f>
        <v>#N/A</v>
      </c>
      <c r="CU225" s="89" t="e">
        <f>IFERROR(IF($CR$3,Eu_tabel_g[[#This Row],[Styrke, aktiv]],NA()),NA())</f>
        <v>#N/A</v>
      </c>
      <c r="CV225" s="89" t="e">
        <f>IF(ISNA(Eu_tabel_g[[#This Row],[Sand negativ
Nulhypotese afvises
Korrekt]]),NA(),IF($CR$3,1,NA()))</f>
        <v>#N/A</v>
      </c>
      <c r="CW225" s="56" t="str" cm="1">
        <f t="array" ref="CW225">_xlfn.SWITCH(BZ225,_xlfn.IFNA(CU$2,-99),CU$5,_xlfn.IFNA(CU$3,-99),CU$6,_xlfn.IFNA(CU$4,-99),CU$7,"")</f>
        <v/>
      </c>
      <c r="DA225" s="7">
        <f t="shared" si="364"/>
        <v>0.8</v>
      </c>
      <c r="DB225">
        <f>IF(ROW(Styrkeberegning_G[[#This Row],[X base venstre]])=ROW(Styrkeberegning_G[[#Headers],[X base venstre]])+1,DB$7/(DA$7/$B$67),DB224/(DA224/$B$67))</f>
        <v>-2.8015817870135784</v>
      </c>
      <c r="DC225">
        <f>Styrkeberegning_G[[#This Row],[X base venstre]]*-1</f>
        <v>2.8015817870135784</v>
      </c>
      <c r="DN225" s="54">
        <f t="shared" si="365"/>
        <v>215</v>
      </c>
      <c r="DO225" s="54">
        <f t="shared" si="366"/>
        <v>216</v>
      </c>
      <c r="DP225" s="54">
        <f t="shared" si="367"/>
        <v>26.359086794308904</v>
      </c>
      <c r="DQ225" s="54" t="e">
        <f t="shared" si="368"/>
        <v>#N/A</v>
      </c>
      <c r="DR225" s="54" t="e">
        <f t="shared" si="369"/>
        <v>#N/A</v>
      </c>
      <c r="DS225" s="54">
        <f t="shared" si="370"/>
        <v>1.9763411190320398E-3</v>
      </c>
      <c r="DT225" s="54" t="e">
        <f t="shared" si="371"/>
        <v>#N/A</v>
      </c>
      <c r="DU225" s="54" t="b">
        <f t="shared" si="372"/>
        <v>0</v>
      </c>
      <c r="DV225" s="54" t="b">
        <f t="shared" si="373"/>
        <v>1</v>
      </c>
      <c r="DW225" s="54" t="b">
        <f t="shared" si="374"/>
        <v>1</v>
      </c>
      <c r="DX225" s="54" t="b">
        <f t="shared" si="375"/>
        <v>0</v>
      </c>
      <c r="DY225" s="54">
        <f t="shared" si="376"/>
        <v>1.9763411190320398E-3</v>
      </c>
      <c r="DZ225" s="54">
        <f t="shared" si="377"/>
        <v>1.9763411190320398E-3</v>
      </c>
      <c r="EA225" s="54" t="e">
        <f t="shared" si="378"/>
        <v>#N/A</v>
      </c>
      <c r="EB225" s="69" t="str">
        <f t="shared" si="379"/>
        <v/>
      </c>
      <c r="EG225" s="54">
        <f t="shared" si="380"/>
        <v>215</v>
      </c>
      <c r="EH225" s="54">
        <f t="shared" si="381"/>
        <v>216</v>
      </c>
      <c r="EI225" s="54">
        <f t="shared" si="382"/>
        <v>2.0601548707785424</v>
      </c>
      <c r="EJ225" s="54">
        <f t="shared" si="383"/>
        <v>4.7784327061153015E-2</v>
      </c>
      <c r="EK225" s="54" t="e">
        <f t="shared" si="384"/>
        <v>#N/A</v>
      </c>
      <c r="EL225" s="54" t="e">
        <f t="shared" si="385"/>
        <v>#N/A</v>
      </c>
      <c r="EM225" s="54" t="e">
        <f t="shared" si="386"/>
        <v>#N/A</v>
      </c>
      <c r="EN225" s="54" t="b">
        <f t="shared" si="387"/>
        <v>0</v>
      </c>
      <c r="EO225" s="54" t="b">
        <f t="shared" si="388"/>
        <v>1</v>
      </c>
      <c r="EP225" s="54" t="b">
        <f t="shared" si="389"/>
        <v>1</v>
      </c>
      <c r="EQ225" s="54" t="b">
        <f t="shared" si="390"/>
        <v>0</v>
      </c>
      <c r="ER225" s="54">
        <f t="shared" si="391"/>
        <v>4.7784327061153015E-2</v>
      </c>
      <c r="ES225" s="54">
        <f t="shared" si="392"/>
        <v>4.7784327061153015E-2</v>
      </c>
      <c r="ET225" s="54" t="e">
        <f t="shared" si="393"/>
        <v>#N/A</v>
      </c>
      <c r="EU225" s="69" t="str">
        <f t="shared" si="394"/>
        <v/>
      </c>
      <c r="EV22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2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2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25" s="54" t="e" cm="1">
        <f t="array" ref="EY225">IF($CR$3,INDEX(Eu_tabel_a[[#This Row],[Styrke venstre]:[Styrke tosidet]],EY$7),NA())</f>
        <v>#N/A</v>
      </c>
      <c r="EZ225" s="54" t="e">
        <f>IF(EY$3,IF(CHOOSE(EY$7,Eu_tabel_a[[#This Row],[x base]]&gt;0,Eu_tabel_a[[#This Row],[x base]]&lt;0,Eu_tabel_a[[#This Row],[x base]]=0),1,NA()),NA())</f>
        <v>#N/A</v>
      </c>
      <c r="FA225" s="54" t="e">
        <f>IF(CHOOSE(EY$7,Eu_tabel_a[[#This Row],[x base]]&gt;0,Eu_tabel_a[[#This Row],[x base]]&lt;0,Eu_tabel_a[[#This Row],[x base]]=0),Eu_tabel_a[[#This Row],[Styrke, aktiv]],NA())</f>
        <v>#N/A</v>
      </c>
      <c r="FB225" s="54" t="e">
        <f>IFERROR(IF($EY$3,Eu_tabel_a[[#This Row],[Styrke, aktiv]],NA()),NA())</f>
        <v>#N/A</v>
      </c>
      <c r="FC225" s="54" t="e">
        <f>IF(ISNA(Eu_tabel_a[[#This Row],[Sand negativ
Nulhypotese afvises
Korrekt]]),NA(),IF(EY$3,1,NA()))</f>
        <v>#N/A</v>
      </c>
      <c r="FD225" s="55" t="str" cm="1">
        <f t="array" ref="FD225">IFERROR(_xlfn.SWITCH(Eu_tabel_a[[#This Row],[Indeks]],_xlfn.IFNA(FB$2,-99),FB$5,_xlfn.IFNA(FB$3,-99),FB$6,_xlfn.IFNA(FB$4,-99),FB$7,""),"")</f>
        <v/>
      </c>
      <c r="FE225" s="54">
        <f>Eu_tabel_a[[#This Row],[x base]]*SQRT(Eu_a_h0_x*(1-Eu_a_h0_x)/Eu_a_n_x)+Eu_a_h0_x</f>
        <v>0</v>
      </c>
      <c r="FJ225" s="144" t="e">
        <f t="shared" si="338"/>
        <v>#N/A</v>
      </c>
      <c r="FK225" s="152" t="e">
        <f t="shared" si="426"/>
        <v>#DIV/0!</v>
      </c>
      <c r="FL225" s="7" t="e">
        <f t="shared" si="332"/>
        <v>#DIV/0!</v>
      </c>
      <c r="FM225" t="e">
        <f t="shared" si="427"/>
        <v>#DIV/0!</v>
      </c>
      <c r="FN225" s="8" t="e">
        <f t="shared" si="428"/>
        <v>#DIV/0!</v>
      </c>
      <c r="FO225" s="8" t="e">
        <f t="shared" si="429"/>
        <v>#DIV/0!</v>
      </c>
      <c r="FP225" s="151" t="e">
        <f t="shared" si="430"/>
        <v>#DIV/0!</v>
      </c>
      <c r="FQ225" s="144" t="e">
        <f t="shared" ca="1" si="333"/>
        <v>#N/A</v>
      </c>
      <c r="FR225" s="152" t="e" vm="3">
        <f t="shared" ca="1" si="339"/>
        <v>#VALUE!</v>
      </c>
      <c r="FS225" s="7" t="e" vm="3">
        <f t="shared" ca="1" si="334"/>
        <v>#VALUE!</v>
      </c>
      <c r="FT225" t="e" vm="3">
        <f t="shared" ca="1" si="328"/>
        <v>#VALUE!</v>
      </c>
      <c r="FU225" s="8" t="e" vm="3">
        <f t="shared" ca="1" si="329"/>
        <v>#VALUE!</v>
      </c>
      <c r="FV225" s="8" t="e" vm="3">
        <f t="shared" ca="1" si="330"/>
        <v>#VALUE!</v>
      </c>
      <c r="FW225" s="151" t="e" vm="3">
        <f t="shared" ca="1" si="331"/>
        <v>#VALUE!</v>
      </c>
      <c r="FX225" s="144" t="e">
        <f t="shared" si="335"/>
        <v>#N/A</v>
      </c>
      <c r="FY225" s="152" t="e">
        <f t="shared" si="340"/>
        <v>#N/A</v>
      </c>
      <c r="FZ225" s="7" t="e">
        <f t="shared" si="336"/>
        <v>#N/A</v>
      </c>
      <c r="GA225" t="e">
        <f t="shared" si="341"/>
        <v>#N/A</v>
      </c>
      <c r="GB225" s="8" t="e">
        <f t="shared" si="342"/>
        <v>#N/A</v>
      </c>
      <c r="GC225" s="8" t="e">
        <f t="shared" si="343"/>
        <v>#N/A</v>
      </c>
      <c r="GD225" s="151" t="e">
        <f t="shared" si="344"/>
        <v>#N/A</v>
      </c>
      <c r="GE225" s="144" t="e">
        <f t="shared" si="345"/>
        <v>#N/A</v>
      </c>
      <c r="GF225" s="152" t="e">
        <f t="shared" si="346"/>
        <v>#N/A</v>
      </c>
      <c r="GG225" s="7" t="e">
        <f t="shared" si="337"/>
        <v>#N/A</v>
      </c>
      <c r="GH225" t="e">
        <f t="shared" si="347"/>
        <v>#N/A</v>
      </c>
      <c r="GI225" s="8" t="e">
        <f t="shared" si="348"/>
        <v>#N/A</v>
      </c>
      <c r="GJ225" s="8" t="e">
        <f t="shared" si="349"/>
        <v>#N/A</v>
      </c>
      <c r="GK225" s="151" t="e">
        <f t="shared" si="350"/>
        <v>#N/A</v>
      </c>
      <c r="GL225" s="151"/>
      <c r="GM225" s="151"/>
      <c r="GP225" s="54">
        <f t="shared" si="395"/>
        <v>215</v>
      </c>
      <c r="GQ225" s="54">
        <f t="shared" si="396"/>
        <v>216</v>
      </c>
      <c r="GR225" s="54">
        <f t="shared" si="397"/>
        <v>2.0601548707785424</v>
      </c>
      <c r="GS225" s="54">
        <f t="shared" si="398"/>
        <v>4.7784327061153015E-2</v>
      </c>
      <c r="GT225" s="54" t="e">
        <f t="shared" si="399"/>
        <v>#N/A</v>
      </c>
      <c r="GU225" s="54" t="e">
        <f t="shared" si="400"/>
        <v>#N/A</v>
      </c>
      <c r="GV225" s="54" t="e">
        <f t="shared" si="401"/>
        <v>#N/A</v>
      </c>
      <c r="GW225" s="54" t="b">
        <f t="shared" si="402"/>
        <v>0</v>
      </c>
      <c r="GX225" s="54" t="b">
        <f t="shared" si="403"/>
        <v>1</v>
      </c>
      <c r="GY225" s="54" t="b">
        <f t="shared" si="404"/>
        <v>1</v>
      </c>
      <c r="GZ225" s="54" t="b">
        <f t="shared" si="405"/>
        <v>0</v>
      </c>
      <c r="HA225" s="54">
        <f t="shared" si="406"/>
        <v>4.7784327061153015E-2</v>
      </c>
      <c r="HB225" s="54">
        <f t="shared" si="407"/>
        <v>4.7784327061153015E-2</v>
      </c>
      <c r="HC225" s="54" t="e">
        <f t="shared" si="408"/>
        <v>#N/A</v>
      </c>
      <c r="HD225" s="69" t="str">
        <f t="shared" si="409"/>
        <v/>
      </c>
      <c r="HJ225" s="54">
        <f t="shared" si="410"/>
        <v>215</v>
      </c>
      <c r="HK225" s="54">
        <f t="shared" si="411"/>
        <v>216</v>
      </c>
      <c r="HL225" s="54">
        <f t="shared" si="412"/>
        <v>3.1901930857588887</v>
      </c>
      <c r="HM225" s="54" t="e">
        <f t="shared" si="413"/>
        <v>#N/A</v>
      </c>
      <c r="HN225" s="54">
        <f t="shared" si="414"/>
        <v>1.061745464710373E-2</v>
      </c>
      <c r="HO225" s="54" t="e">
        <f t="shared" si="415"/>
        <v>#N/A</v>
      </c>
      <c r="HP225" s="54" t="e">
        <f t="shared" si="416"/>
        <v>#N/A</v>
      </c>
      <c r="HQ225" s="54" t="b">
        <f t="shared" si="417"/>
        <v>0</v>
      </c>
      <c r="HR225" s="54" t="b">
        <f t="shared" si="418"/>
        <v>1</v>
      </c>
      <c r="HS225" s="54" t="b">
        <f t="shared" si="419"/>
        <v>1</v>
      </c>
      <c r="HT225" s="54" t="b">
        <f t="shared" si="420"/>
        <v>0</v>
      </c>
      <c r="HU225" s="54">
        <f t="shared" si="421"/>
        <v>1.061745464710373E-2</v>
      </c>
      <c r="HV225" s="54" t="e">
        <f t="shared" si="422"/>
        <v>#N/A</v>
      </c>
      <c r="HW225" s="54">
        <f t="shared" si="423"/>
        <v>1.061745464710373E-2</v>
      </c>
      <c r="HX225" s="69" t="str">
        <f t="shared" si="424"/>
        <v/>
      </c>
    </row>
    <row r="226" spans="78:232" x14ac:dyDescent="0.2">
      <c r="BZ226" s="54">
        <f t="shared" si="351"/>
        <v>216</v>
      </c>
      <c r="CA226" s="54">
        <f>Eu_tabel_g[[#This Row],[Indeks]]+1</f>
        <v>217</v>
      </c>
      <c r="CB226" s="54">
        <f t="shared" si="352"/>
        <v>2.0841101599736414</v>
      </c>
      <c r="CC226" s="54">
        <f t="shared" si="353"/>
        <v>4.5470290940174081E-2</v>
      </c>
      <c r="CD226" s="54" t="e">
        <f t="shared" si="354"/>
        <v>#N/A</v>
      </c>
      <c r="CE226" s="54" t="e">
        <f t="shared" si="355"/>
        <v>#N/A</v>
      </c>
      <c r="CF226" s="54" t="e">
        <f t="shared" si="356"/>
        <v>#N/A</v>
      </c>
      <c r="CG226" s="54" t="b">
        <f t="shared" si="357"/>
        <v>0</v>
      </c>
      <c r="CH226" s="54" t="b">
        <f t="shared" si="358"/>
        <v>1</v>
      </c>
      <c r="CI226" s="54" t="b">
        <f t="shared" si="359"/>
        <v>1</v>
      </c>
      <c r="CJ226" s="54" t="b">
        <f t="shared" si="360"/>
        <v>0</v>
      </c>
      <c r="CK226" s="54">
        <f t="shared" si="425"/>
        <v>4.5470290940174081E-2</v>
      </c>
      <c r="CL226" s="54">
        <f t="shared" si="361"/>
        <v>4.5470290940174081E-2</v>
      </c>
      <c r="CM226" s="54" t="e">
        <f t="shared" si="362"/>
        <v>#N/A</v>
      </c>
      <c r="CN226" s="69" t="str">
        <f t="shared" si="363"/>
        <v/>
      </c>
      <c r="CO226" s="54">
        <f>_xlfn.NORM.DIST(_xlfn.NORM.INV(1-Eu_g_konfidensniveau,0,1)-Eu_tabel_g[[#This Row],[x base]],0,1,TRUE)</f>
        <v>9.6134388684750602E-5</v>
      </c>
      <c r="CP226" s="54">
        <f>1-_xlfn.NORM.DIST(_xlfn.NORM.INV(Eu_g_konfidensniveau,0,1)-Eu_tabel_g[[#This Row],[x base]],0,1,TRUE)</f>
        <v>0.66976216699595215</v>
      </c>
      <c r="CQ226" s="54">
        <f>_xlfn.NORM.DIST(_xlfn.NORM.INV((1-Eu_g_konfidensniveau)/2,0,1)-Eu_tabel_g[[#This Row],[x base]],0,1,TRUE)+1-_xlfn.NORM.DIST(_xlfn.NORM.INV(1-(1-Eu_g_konfidensniveau)/2,0,1)-Eu_tabel_g[[#This Row],[x base]],0,1,TRUE)</f>
        <v>0.54942649604071103</v>
      </c>
      <c r="CR226" s="54" t="e" cm="1">
        <f t="array" ref="CR226">IF($CR$3,INDEX(Eu_tabel_g[[#This Row],[Styrke venstre]:[Styrke tosidet]],CR$7),NA())</f>
        <v>#N/A</v>
      </c>
      <c r="CS226" s="89" t="e">
        <f>Eu_tabel_g[[#This Row],[Falsk positiv
Nulhypotese accepteres
Fejltype 1]]</f>
        <v>#N/A</v>
      </c>
      <c r="CT226" s="89" t="e">
        <f>IF(CHOOSE(CR$7,Eu_tabel_g[[#This Row],[x base]]&gt;0,Eu_tabel_g[[#This Row],[x base]]&lt;0,Eu_tabel_g[[#This Row],[x base]]=0),Eu_tabel_g[[#This Row],[Styrke, aktiv]],NA())</f>
        <v>#N/A</v>
      </c>
      <c r="CU226" s="89" t="e">
        <f>IFERROR(IF($CR$3,Eu_tabel_g[[#This Row],[Styrke, aktiv]],NA()),NA())</f>
        <v>#N/A</v>
      </c>
      <c r="CV226" s="89" t="e">
        <f>IF(ISNA(Eu_tabel_g[[#This Row],[Sand negativ
Nulhypotese afvises
Korrekt]]),NA(),IF($CR$3,1,NA()))</f>
        <v>#N/A</v>
      </c>
      <c r="CW226" s="56" t="str" cm="1">
        <f t="array" ref="CW226">_xlfn.SWITCH(BZ226,_xlfn.IFNA(CU$2,-99),CU$5,_xlfn.IFNA(CU$3,-99),CU$6,_xlfn.IFNA(CU$4,-99),CU$7,"")</f>
        <v/>
      </c>
      <c r="DA226" s="7">
        <f t="shared" si="364"/>
        <v>0.8</v>
      </c>
      <c r="DB226">
        <f>IF(ROW(Styrkeberegning_G[[#This Row],[X base venstre]])=ROW(Styrkeberegning_G[[#Headers],[X base venstre]])+1,DB$7/(DA$7/$B$67),DB225/(DA225/$B$67))</f>
        <v>-2.8015817870135784</v>
      </c>
      <c r="DC226">
        <f>Styrkeberegning_G[[#This Row],[X base venstre]]*-1</f>
        <v>2.8015817870135784</v>
      </c>
      <c r="DN226" s="54">
        <f t="shared" si="365"/>
        <v>216</v>
      </c>
      <c r="DO226" s="54">
        <f t="shared" si="366"/>
        <v>217</v>
      </c>
      <c r="DP226" s="54">
        <f t="shared" si="367"/>
        <v>26.473157650725906</v>
      </c>
      <c r="DQ226" s="54" t="e">
        <f t="shared" si="368"/>
        <v>#N/A</v>
      </c>
      <c r="DR226" s="54" t="e">
        <f t="shared" si="369"/>
        <v>#N/A</v>
      </c>
      <c r="DS226" s="54">
        <f t="shared" si="370"/>
        <v>1.9034039702618313E-3</v>
      </c>
      <c r="DT226" s="54" t="e">
        <f t="shared" si="371"/>
        <v>#N/A</v>
      </c>
      <c r="DU226" s="54" t="b">
        <f t="shared" si="372"/>
        <v>0</v>
      </c>
      <c r="DV226" s="54" t="b">
        <f t="shared" si="373"/>
        <v>1</v>
      </c>
      <c r="DW226" s="54" t="b">
        <f t="shared" si="374"/>
        <v>1</v>
      </c>
      <c r="DX226" s="54" t="b">
        <f t="shared" si="375"/>
        <v>0</v>
      </c>
      <c r="DY226" s="54">
        <f t="shared" si="376"/>
        <v>1.9034039702618313E-3</v>
      </c>
      <c r="DZ226" s="54">
        <f t="shared" si="377"/>
        <v>1.9034039702618313E-3</v>
      </c>
      <c r="EA226" s="54" t="e">
        <f t="shared" si="378"/>
        <v>#N/A</v>
      </c>
      <c r="EB226" s="69" t="str">
        <f t="shared" si="379"/>
        <v/>
      </c>
      <c r="EG226" s="54">
        <f t="shared" si="380"/>
        <v>216</v>
      </c>
      <c r="EH226" s="54">
        <f t="shared" si="381"/>
        <v>217</v>
      </c>
      <c r="EI226" s="54">
        <f t="shared" si="382"/>
        <v>2.0841101599736414</v>
      </c>
      <c r="EJ226" s="54">
        <f t="shared" si="383"/>
        <v>4.5470290940174081E-2</v>
      </c>
      <c r="EK226" s="54" t="e">
        <f t="shared" si="384"/>
        <v>#N/A</v>
      </c>
      <c r="EL226" s="54" t="e">
        <f t="shared" si="385"/>
        <v>#N/A</v>
      </c>
      <c r="EM226" s="54" t="e">
        <f t="shared" si="386"/>
        <v>#N/A</v>
      </c>
      <c r="EN226" s="54" t="b">
        <f t="shared" si="387"/>
        <v>0</v>
      </c>
      <c r="EO226" s="54" t="b">
        <f t="shared" si="388"/>
        <v>1</v>
      </c>
      <c r="EP226" s="54" t="b">
        <f t="shared" si="389"/>
        <v>1</v>
      </c>
      <c r="EQ226" s="54" t="b">
        <f t="shared" si="390"/>
        <v>0</v>
      </c>
      <c r="ER226" s="54">
        <f t="shared" si="391"/>
        <v>4.5470290940174081E-2</v>
      </c>
      <c r="ES226" s="54">
        <f t="shared" si="392"/>
        <v>4.5470290940174081E-2</v>
      </c>
      <c r="ET226" s="54" t="e">
        <f t="shared" si="393"/>
        <v>#N/A</v>
      </c>
      <c r="EU226" s="69" t="str">
        <f t="shared" si="394"/>
        <v/>
      </c>
      <c r="EV22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2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2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26" s="54" t="e" cm="1">
        <f t="array" ref="EY226">IF($CR$3,INDEX(Eu_tabel_a[[#This Row],[Styrke venstre]:[Styrke tosidet]],EY$7),NA())</f>
        <v>#N/A</v>
      </c>
      <c r="EZ226" s="54" t="e">
        <f>IF(EY$3,IF(CHOOSE(EY$7,Eu_tabel_a[[#This Row],[x base]]&gt;0,Eu_tabel_a[[#This Row],[x base]]&lt;0,Eu_tabel_a[[#This Row],[x base]]=0),1,NA()),NA())</f>
        <v>#N/A</v>
      </c>
      <c r="FA226" s="54" t="e">
        <f>IF(CHOOSE(EY$7,Eu_tabel_a[[#This Row],[x base]]&gt;0,Eu_tabel_a[[#This Row],[x base]]&lt;0,Eu_tabel_a[[#This Row],[x base]]=0),Eu_tabel_a[[#This Row],[Styrke, aktiv]],NA())</f>
        <v>#N/A</v>
      </c>
      <c r="FB226" s="54" t="e">
        <f>IFERROR(IF($EY$3,Eu_tabel_a[[#This Row],[Styrke, aktiv]],NA()),NA())</f>
        <v>#N/A</v>
      </c>
      <c r="FC226" s="54" t="e">
        <f>IF(ISNA(Eu_tabel_a[[#This Row],[Sand negativ
Nulhypotese afvises
Korrekt]]),NA(),IF(EY$3,1,NA()))</f>
        <v>#N/A</v>
      </c>
      <c r="FD226" s="55" t="str" cm="1">
        <f t="array" ref="FD226">IFERROR(_xlfn.SWITCH(Eu_tabel_a[[#This Row],[Indeks]],_xlfn.IFNA(FB$2,-99),FB$5,_xlfn.IFNA(FB$3,-99),FB$6,_xlfn.IFNA(FB$4,-99),FB$7,""),"")</f>
        <v/>
      </c>
      <c r="FE226" s="54">
        <f>Eu_tabel_a[[#This Row],[x base]]*SQRT(Eu_a_h0_x*(1-Eu_a_h0_x)/Eu_a_n_x)+Eu_a_h0_x</f>
        <v>0</v>
      </c>
      <c r="FJ226" s="144" t="e">
        <f t="shared" si="338"/>
        <v>#N/A</v>
      </c>
      <c r="FK226" s="152" t="e">
        <f t="shared" si="426"/>
        <v>#DIV/0!</v>
      </c>
      <c r="FL226" s="7" t="e">
        <f t="shared" si="332"/>
        <v>#DIV/0!</v>
      </c>
      <c r="FM226" t="e">
        <f t="shared" si="427"/>
        <v>#DIV/0!</v>
      </c>
      <c r="FN226" s="8" t="e">
        <f t="shared" si="428"/>
        <v>#DIV/0!</v>
      </c>
      <c r="FO226" s="8" t="e">
        <f t="shared" si="429"/>
        <v>#DIV/0!</v>
      </c>
      <c r="FP226" s="151" t="e">
        <f t="shared" si="430"/>
        <v>#DIV/0!</v>
      </c>
      <c r="FQ226" s="144" t="e">
        <f t="shared" ca="1" si="333"/>
        <v>#N/A</v>
      </c>
      <c r="FR226" s="152" t="e" vm="3">
        <f t="shared" ca="1" si="339"/>
        <v>#VALUE!</v>
      </c>
      <c r="FS226" s="7" t="e" vm="3">
        <f t="shared" ca="1" si="334"/>
        <v>#VALUE!</v>
      </c>
      <c r="FT226" t="e" vm="3">
        <f t="shared" ca="1" si="328"/>
        <v>#VALUE!</v>
      </c>
      <c r="FU226" s="8" t="e" vm="3">
        <f t="shared" ca="1" si="329"/>
        <v>#VALUE!</v>
      </c>
      <c r="FV226" s="8" t="e" vm="3">
        <f t="shared" ca="1" si="330"/>
        <v>#VALUE!</v>
      </c>
      <c r="FW226" s="151" t="e" vm="3">
        <f t="shared" ca="1" si="331"/>
        <v>#VALUE!</v>
      </c>
      <c r="FX226" s="144" t="e">
        <f t="shared" si="335"/>
        <v>#N/A</v>
      </c>
      <c r="FY226" s="152" t="e">
        <f t="shared" si="340"/>
        <v>#N/A</v>
      </c>
      <c r="FZ226" s="7" t="e">
        <f t="shared" si="336"/>
        <v>#N/A</v>
      </c>
      <c r="GA226" t="e">
        <f t="shared" si="341"/>
        <v>#N/A</v>
      </c>
      <c r="GB226" s="8" t="e">
        <f t="shared" si="342"/>
        <v>#N/A</v>
      </c>
      <c r="GC226" s="8" t="e">
        <f t="shared" si="343"/>
        <v>#N/A</v>
      </c>
      <c r="GD226" s="151" t="e">
        <f t="shared" si="344"/>
        <v>#N/A</v>
      </c>
      <c r="GE226" s="144" t="e">
        <f t="shared" si="345"/>
        <v>#N/A</v>
      </c>
      <c r="GF226" s="152" t="e">
        <f t="shared" si="346"/>
        <v>#N/A</v>
      </c>
      <c r="GG226" s="7" t="e">
        <f t="shared" si="337"/>
        <v>#N/A</v>
      </c>
      <c r="GH226" t="e">
        <f t="shared" si="347"/>
        <v>#N/A</v>
      </c>
      <c r="GI226" s="8" t="e">
        <f t="shared" si="348"/>
        <v>#N/A</v>
      </c>
      <c r="GJ226" s="8" t="e">
        <f t="shared" si="349"/>
        <v>#N/A</v>
      </c>
      <c r="GK226" s="151" t="e">
        <f t="shared" si="350"/>
        <v>#N/A</v>
      </c>
      <c r="GL226" s="151"/>
      <c r="GM226" s="151"/>
      <c r="GP226" s="54">
        <f t="shared" si="395"/>
        <v>216</v>
      </c>
      <c r="GQ226" s="54">
        <f t="shared" si="396"/>
        <v>217</v>
      </c>
      <c r="GR226" s="54">
        <f t="shared" si="397"/>
        <v>2.0841101599736414</v>
      </c>
      <c r="GS226" s="54">
        <f t="shared" si="398"/>
        <v>4.5470290940174081E-2</v>
      </c>
      <c r="GT226" s="54" t="e">
        <f t="shared" si="399"/>
        <v>#N/A</v>
      </c>
      <c r="GU226" s="54" t="e">
        <f t="shared" si="400"/>
        <v>#N/A</v>
      </c>
      <c r="GV226" s="54" t="e">
        <f t="shared" si="401"/>
        <v>#N/A</v>
      </c>
      <c r="GW226" s="54" t="b">
        <f t="shared" si="402"/>
        <v>0</v>
      </c>
      <c r="GX226" s="54" t="b">
        <f t="shared" si="403"/>
        <v>1</v>
      </c>
      <c r="GY226" s="54" t="b">
        <f t="shared" si="404"/>
        <v>1</v>
      </c>
      <c r="GZ226" s="54" t="b">
        <f t="shared" si="405"/>
        <v>0</v>
      </c>
      <c r="HA226" s="54">
        <f t="shared" si="406"/>
        <v>4.5470290940174081E-2</v>
      </c>
      <c r="HB226" s="54">
        <f t="shared" si="407"/>
        <v>4.5470290940174081E-2</v>
      </c>
      <c r="HC226" s="54" t="e">
        <f t="shared" si="408"/>
        <v>#N/A</v>
      </c>
      <c r="HD226" s="69" t="str">
        <f t="shared" si="409"/>
        <v/>
      </c>
      <c r="HJ226" s="54">
        <f t="shared" si="410"/>
        <v>216</v>
      </c>
      <c r="HK226" s="54">
        <f t="shared" si="411"/>
        <v>217</v>
      </c>
      <c r="HL226" s="54">
        <f t="shared" si="412"/>
        <v>3.2272883541979454</v>
      </c>
      <c r="HM226" s="54" t="e">
        <f t="shared" si="413"/>
        <v>#N/A</v>
      </c>
      <c r="HN226" s="54">
        <f t="shared" si="414"/>
        <v>1.0048712376837356E-2</v>
      </c>
      <c r="HO226" s="54" t="e">
        <f t="shared" si="415"/>
        <v>#N/A</v>
      </c>
      <c r="HP226" s="54" t="e">
        <f t="shared" si="416"/>
        <v>#N/A</v>
      </c>
      <c r="HQ226" s="54" t="b">
        <f t="shared" si="417"/>
        <v>0</v>
      </c>
      <c r="HR226" s="54" t="b">
        <f t="shared" si="418"/>
        <v>1</v>
      </c>
      <c r="HS226" s="54" t="b">
        <f t="shared" si="419"/>
        <v>1</v>
      </c>
      <c r="HT226" s="54" t="b">
        <f t="shared" si="420"/>
        <v>0</v>
      </c>
      <c r="HU226" s="54">
        <f t="shared" si="421"/>
        <v>1.0048712376837356E-2</v>
      </c>
      <c r="HV226" s="54" t="e">
        <f t="shared" si="422"/>
        <v>#N/A</v>
      </c>
      <c r="HW226" s="54">
        <f t="shared" si="423"/>
        <v>1.0048712376837356E-2</v>
      </c>
      <c r="HX226" s="69" t="str">
        <f t="shared" si="424"/>
        <v/>
      </c>
    </row>
    <row r="227" spans="78:232" x14ac:dyDescent="0.2">
      <c r="BZ227" s="54">
        <f t="shared" si="351"/>
        <v>217</v>
      </c>
      <c r="CA227" s="54">
        <f>Eu_tabel_g[[#This Row],[Indeks]]+1</f>
        <v>218</v>
      </c>
      <c r="CB227" s="54">
        <f t="shared" si="352"/>
        <v>2.1080654491687403</v>
      </c>
      <c r="CC227" s="54">
        <f t="shared" si="353"/>
        <v>4.3243493241990325E-2</v>
      </c>
      <c r="CD227" s="54" t="e">
        <f t="shared" si="354"/>
        <v>#N/A</v>
      </c>
      <c r="CE227" s="54" t="e">
        <f t="shared" si="355"/>
        <v>#N/A</v>
      </c>
      <c r="CF227" s="54" t="e">
        <f t="shared" si="356"/>
        <v>#N/A</v>
      </c>
      <c r="CG227" s="54" t="b">
        <f t="shared" si="357"/>
        <v>0</v>
      </c>
      <c r="CH227" s="54" t="b">
        <f t="shared" si="358"/>
        <v>1</v>
      </c>
      <c r="CI227" s="54" t="b">
        <f t="shared" si="359"/>
        <v>1</v>
      </c>
      <c r="CJ227" s="54" t="b">
        <f t="shared" si="360"/>
        <v>0</v>
      </c>
      <c r="CK227" s="54">
        <f t="shared" si="425"/>
        <v>4.3243493241990325E-2</v>
      </c>
      <c r="CL227" s="54">
        <f t="shared" si="361"/>
        <v>4.3243493241990325E-2</v>
      </c>
      <c r="CM227" s="54" t="e">
        <f t="shared" si="362"/>
        <v>#N/A</v>
      </c>
      <c r="CN227" s="69" t="str">
        <f t="shared" si="363"/>
        <v/>
      </c>
      <c r="CO227" s="54">
        <f>_xlfn.NORM.DIST(_xlfn.NORM.INV(1-Eu_g_konfidensniveau,0,1)-Eu_tabel_g[[#This Row],[x base]],0,1,TRUE)</f>
        <v>8.7393645895583391E-5</v>
      </c>
      <c r="CP227" s="54">
        <f>1-_xlfn.NORM.DIST(_xlfn.NORM.INV(Eu_g_konfidensniveau,0,1)-Eu_tabel_g[[#This Row],[x base]],0,1,TRUE)</f>
        <v>0.6783937284840611</v>
      </c>
      <c r="CQ227" s="54">
        <f>_xlfn.NORM.DIST(_xlfn.NORM.INV((1-Eu_g_konfidensniveau)/2,0,1)-Eu_tabel_g[[#This Row],[x base]],0,1,TRUE)+1-_xlfn.NORM.DIST(_xlfn.NORM.INV(1-(1-Eu_g_konfidensniveau)/2,0,1)-Eu_tabel_g[[#This Row],[x base]],0,1,TRUE)</f>
        <v>0.55889235940323378</v>
      </c>
      <c r="CR227" s="54" t="e" cm="1">
        <f t="array" ref="CR227">IF($CR$3,INDEX(Eu_tabel_g[[#This Row],[Styrke venstre]:[Styrke tosidet]],CR$7),NA())</f>
        <v>#N/A</v>
      </c>
      <c r="CS227" s="89" t="e">
        <f>Eu_tabel_g[[#This Row],[Falsk positiv
Nulhypotese accepteres
Fejltype 1]]</f>
        <v>#N/A</v>
      </c>
      <c r="CT227" s="89" t="e">
        <f>IF(CHOOSE(CR$7,Eu_tabel_g[[#This Row],[x base]]&gt;0,Eu_tabel_g[[#This Row],[x base]]&lt;0,Eu_tabel_g[[#This Row],[x base]]=0),Eu_tabel_g[[#This Row],[Styrke, aktiv]],NA())</f>
        <v>#N/A</v>
      </c>
      <c r="CU227" s="89" t="e">
        <f>IFERROR(IF($CR$3,Eu_tabel_g[[#This Row],[Styrke, aktiv]],NA()),NA())</f>
        <v>#N/A</v>
      </c>
      <c r="CV227" s="89" t="e">
        <f>IF(ISNA(Eu_tabel_g[[#This Row],[Sand negativ
Nulhypotese afvises
Korrekt]]),NA(),IF($CR$3,1,NA()))</f>
        <v>#N/A</v>
      </c>
      <c r="CW227" s="56" t="str" cm="1">
        <f t="array" ref="CW227">_xlfn.SWITCH(BZ227,_xlfn.IFNA(CU$2,-99),CU$5,_xlfn.IFNA(CU$3,-99),CU$6,_xlfn.IFNA(CU$4,-99),CU$7,"")</f>
        <v/>
      </c>
      <c r="DA227" s="7">
        <f t="shared" si="364"/>
        <v>0.8</v>
      </c>
      <c r="DB227">
        <f>IF(ROW(Styrkeberegning_G[[#This Row],[X base venstre]])=ROW(Styrkeberegning_G[[#Headers],[X base venstre]])+1,DB$7/(DA$7/$B$67),DB226/(DA226/$B$67))</f>
        <v>-2.8015817870135784</v>
      </c>
      <c r="DC227">
        <f>Styrkeberegning_G[[#This Row],[X base venstre]]*-1</f>
        <v>2.8015817870135784</v>
      </c>
      <c r="DN227" s="54">
        <f t="shared" si="365"/>
        <v>217</v>
      </c>
      <c r="DO227" s="54">
        <f t="shared" si="366"/>
        <v>218</v>
      </c>
      <c r="DP227" s="54">
        <f t="shared" si="367"/>
        <v>26.587228507142907</v>
      </c>
      <c r="DQ227" s="54" t="e">
        <f t="shared" si="368"/>
        <v>#N/A</v>
      </c>
      <c r="DR227" s="54" t="e">
        <f t="shared" si="369"/>
        <v>#N/A</v>
      </c>
      <c r="DS227" s="54">
        <f t="shared" si="370"/>
        <v>1.8330054204685668E-3</v>
      </c>
      <c r="DT227" s="54" t="e">
        <f t="shared" si="371"/>
        <v>#N/A</v>
      </c>
      <c r="DU227" s="54" t="b">
        <f t="shared" si="372"/>
        <v>0</v>
      </c>
      <c r="DV227" s="54" t="b">
        <f t="shared" si="373"/>
        <v>1</v>
      </c>
      <c r="DW227" s="54" t="b">
        <f t="shared" si="374"/>
        <v>1</v>
      </c>
      <c r="DX227" s="54" t="b">
        <f t="shared" si="375"/>
        <v>0</v>
      </c>
      <c r="DY227" s="54">
        <f t="shared" si="376"/>
        <v>1.8330054204685668E-3</v>
      </c>
      <c r="DZ227" s="54">
        <f t="shared" si="377"/>
        <v>1.8330054204685668E-3</v>
      </c>
      <c r="EA227" s="54" t="e">
        <f t="shared" si="378"/>
        <v>#N/A</v>
      </c>
      <c r="EB227" s="69" t="str">
        <f t="shared" si="379"/>
        <v/>
      </c>
      <c r="EG227" s="54">
        <f t="shared" si="380"/>
        <v>217</v>
      </c>
      <c r="EH227" s="54">
        <f t="shared" si="381"/>
        <v>218</v>
      </c>
      <c r="EI227" s="54">
        <f t="shared" si="382"/>
        <v>2.1080654491687403</v>
      </c>
      <c r="EJ227" s="54">
        <f t="shared" si="383"/>
        <v>4.3243493241990325E-2</v>
      </c>
      <c r="EK227" s="54" t="e">
        <f t="shared" si="384"/>
        <v>#N/A</v>
      </c>
      <c r="EL227" s="54" t="e">
        <f t="shared" si="385"/>
        <v>#N/A</v>
      </c>
      <c r="EM227" s="54" t="e">
        <f t="shared" si="386"/>
        <v>#N/A</v>
      </c>
      <c r="EN227" s="54" t="b">
        <f t="shared" si="387"/>
        <v>0</v>
      </c>
      <c r="EO227" s="54" t="b">
        <f t="shared" si="388"/>
        <v>1</v>
      </c>
      <c r="EP227" s="54" t="b">
        <f t="shared" si="389"/>
        <v>1</v>
      </c>
      <c r="EQ227" s="54" t="b">
        <f t="shared" si="390"/>
        <v>0</v>
      </c>
      <c r="ER227" s="54">
        <f t="shared" si="391"/>
        <v>4.3243493241990325E-2</v>
      </c>
      <c r="ES227" s="54">
        <f t="shared" si="392"/>
        <v>4.3243493241990325E-2</v>
      </c>
      <c r="ET227" s="54" t="e">
        <f t="shared" si="393"/>
        <v>#N/A</v>
      </c>
      <c r="EU227" s="69" t="str">
        <f t="shared" si="394"/>
        <v/>
      </c>
      <c r="EV22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2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2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27" s="54" t="e" cm="1">
        <f t="array" ref="EY227">IF($CR$3,INDEX(Eu_tabel_a[[#This Row],[Styrke venstre]:[Styrke tosidet]],EY$7),NA())</f>
        <v>#N/A</v>
      </c>
      <c r="EZ227" s="54" t="e">
        <f>IF(EY$3,IF(CHOOSE(EY$7,Eu_tabel_a[[#This Row],[x base]]&gt;0,Eu_tabel_a[[#This Row],[x base]]&lt;0,Eu_tabel_a[[#This Row],[x base]]=0),1,NA()),NA())</f>
        <v>#N/A</v>
      </c>
      <c r="FA227" s="54" t="e">
        <f>IF(CHOOSE(EY$7,Eu_tabel_a[[#This Row],[x base]]&gt;0,Eu_tabel_a[[#This Row],[x base]]&lt;0,Eu_tabel_a[[#This Row],[x base]]=0),Eu_tabel_a[[#This Row],[Styrke, aktiv]],NA())</f>
        <v>#N/A</v>
      </c>
      <c r="FB227" s="54" t="e">
        <f>IFERROR(IF($EY$3,Eu_tabel_a[[#This Row],[Styrke, aktiv]],NA()),NA())</f>
        <v>#N/A</v>
      </c>
      <c r="FC227" s="54" t="e">
        <f>IF(ISNA(Eu_tabel_a[[#This Row],[Sand negativ
Nulhypotese afvises
Korrekt]]),NA(),IF(EY$3,1,NA()))</f>
        <v>#N/A</v>
      </c>
      <c r="FD227" s="55" t="str" cm="1">
        <f t="array" ref="FD227">IFERROR(_xlfn.SWITCH(Eu_tabel_a[[#This Row],[Indeks]],_xlfn.IFNA(FB$2,-99),FB$5,_xlfn.IFNA(FB$3,-99),FB$6,_xlfn.IFNA(FB$4,-99),FB$7,""),"")</f>
        <v/>
      </c>
      <c r="FE227" s="54">
        <f>Eu_tabel_a[[#This Row],[x base]]*SQRT(Eu_a_h0_x*(1-Eu_a_h0_x)/Eu_a_n_x)+Eu_a_h0_x</f>
        <v>0</v>
      </c>
      <c r="FJ227" s="144" t="e">
        <f t="shared" si="338"/>
        <v>#N/A</v>
      </c>
      <c r="FK227" s="152" t="e">
        <f t="shared" si="426"/>
        <v>#DIV/0!</v>
      </c>
      <c r="FL227" s="7" t="e">
        <f t="shared" si="332"/>
        <v>#DIV/0!</v>
      </c>
      <c r="FM227" t="e">
        <f t="shared" si="427"/>
        <v>#DIV/0!</v>
      </c>
      <c r="FN227" s="8" t="e">
        <f t="shared" si="428"/>
        <v>#DIV/0!</v>
      </c>
      <c r="FO227" s="8" t="e">
        <f t="shared" si="429"/>
        <v>#DIV/0!</v>
      </c>
      <c r="FP227" s="151" t="e">
        <f t="shared" si="430"/>
        <v>#DIV/0!</v>
      </c>
      <c r="FQ227" s="144" t="e">
        <f t="shared" ca="1" si="333"/>
        <v>#N/A</v>
      </c>
      <c r="FR227" s="152" t="e" vm="3">
        <f t="shared" ca="1" si="339"/>
        <v>#VALUE!</v>
      </c>
      <c r="FS227" s="7" t="e" vm="3">
        <f t="shared" ca="1" si="334"/>
        <v>#VALUE!</v>
      </c>
      <c r="FT227" t="e" vm="3">
        <f t="shared" ca="1" si="328"/>
        <v>#VALUE!</v>
      </c>
      <c r="FU227" s="8" t="e" vm="3">
        <f t="shared" ca="1" si="329"/>
        <v>#VALUE!</v>
      </c>
      <c r="FV227" s="8" t="e" vm="3">
        <f t="shared" ca="1" si="330"/>
        <v>#VALUE!</v>
      </c>
      <c r="FW227" s="151" t="e" vm="3">
        <f t="shared" ca="1" si="331"/>
        <v>#VALUE!</v>
      </c>
      <c r="FX227" s="144" t="e">
        <f t="shared" si="335"/>
        <v>#N/A</v>
      </c>
      <c r="FY227" s="152" t="e">
        <f t="shared" si="340"/>
        <v>#N/A</v>
      </c>
      <c r="FZ227" s="7" t="e">
        <f t="shared" si="336"/>
        <v>#N/A</v>
      </c>
      <c r="GA227" t="e">
        <f t="shared" si="341"/>
        <v>#N/A</v>
      </c>
      <c r="GB227" s="8" t="e">
        <f t="shared" si="342"/>
        <v>#N/A</v>
      </c>
      <c r="GC227" s="8" t="e">
        <f t="shared" si="343"/>
        <v>#N/A</v>
      </c>
      <c r="GD227" s="151" t="e">
        <f t="shared" si="344"/>
        <v>#N/A</v>
      </c>
      <c r="GE227" s="144" t="e">
        <f t="shared" si="345"/>
        <v>#N/A</v>
      </c>
      <c r="GF227" s="152" t="e">
        <f t="shared" si="346"/>
        <v>#N/A</v>
      </c>
      <c r="GG227" s="7" t="e">
        <f t="shared" si="337"/>
        <v>#N/A</v>
      </c>
      <c r="GH227" t="e">
        <f t="shared" si="347"/>
        <v>#N/A</v>
      </c>
      <c r="GI227" s="8" t="e">
        <f t="shared" si="348"/>
        <v>#N/A</v>
      </c>
      <c r="GJ227" s="8" t="e">
        <f t="shared" si="349"/>
        <v>#N/A</v>
      </c>
      <c r="GK227" s="151" t="e">
        <f t="shared" si="350"/>
        <v>#N/A</v>
      </c>
      <c r="GL227" s="151"/>
      <c r="GM227" s="151"/>
      <c r="GP227" s="54">
        <f t="shared" si="395"/>
        <v>217</v>
      </c>
      <c r="GQ227" s="54">
        <f t="shared" si="396"/>
        <v>218</v>
      </c>
      <c r="GR227" s="54">
        <f t="shared" si="397"/>
        <v>2.1080654491687403</v>
      </c>
      <c r="GS227" s="54">
        <f t="shared" si="398"/>
        <v>4.3243493241990325E-2</v>
      </c>
      <c r="GT227" s="54" t="e">
        <f t="shared" si="399"/>
        <v>#N/A</v>
      </c>
      <c r="GU227" s="54" t="e">
        <f t="shared" si="400"/>
        <v>#N/A</v>
      </c>
      <c r="GV227" s="54" t="e">
        <f t="shared" si="401"/>
        <v>#N/A</v>
      </c>
      <c r="GW227" s="54" t="b">
        <f t="shared" si="402"/>
        <v>0</v>
      </c>
      <c r="GX227" s="54" t="b">
        <f t="shared" si="403"/>
        <v>1</v>
      </c>
      <c r="GY227" s="54" t="b">
        <f t="shared" si="404"/>
        <v>1</v>
      </c>
      <c r="GZ227" s="54" t="b">
        <f t="shared" si="405"/>
        <v>0</v>
      </c>
      <c r="HA227" s="54">
        <f t="shared" si="406"/>
        <v>4.3243493241990325E-2</v>
      </c>
      <c r="HB227" s="54">
        <f t="shared" si="407"/>
        <v>4.3243493241990325E-2</v>
      </c>
      <c r="HC227" s="54" t="e">
        <f t="shared" si="408"/>
        <v>#N/A</v>
      </c>
      <c r="HD227" s="69" t="str">
        <f t="shared" si="409"/>
        <v/>
      </c>
      <c r="HJ227" s="54">
        <f t="shared" si="410"/>
        <v>217</v>
      </c>
      <c r="HK227" s="54">
        <f t="shared" si="411"/>
        <v>218</v>
      </c>
      <c r="HL227" s="54">
        <f t="shared" si="412"/>
        <v>3.264383622637002</v>
      </c>
      <c r="HM227" s="54" t="e">
        <f t="shared" si="413"/>
        <v>#N/A</v>
      </c>
      <c r="HN227" s="54">
        <f t="shared" si="414"/>
        <v>9.511614587176604E-3</v>
      </c>
      <c r="HO227" s="54" t="e">
        <f t="shared" si="415"/>
        <v>#N/A</v>
      </c>
      <c r="HP227" s="54" t="e">
        <f t="shared" si="416"/>
        <v>#N/A</v>
      </c>
      <c r="HQ227" s="54" t="b">
        <f t="shared" si="417"/>
        <v>0</v>
      </c>
      <c r="HR227" s="54" t="b">
        <f t="shared" si="418"/>
        <v>1</v>
      </c>
      <c r="HS227" s="54" t="b">
        <f t="shared" si="419"/>
        <v>1</v>
      </c>
      <c r="HT227" s="54" t="b">
        <f t="shared" si="420"/>
        <v>0</v>
      </c>
      <c r="HU227" s="54">
        <f t="shared" si="421"/>
        <v>9.511614587176604E-3</v>
      </c>
      <c r="HV227" s="54" t="e">
        <f t="shared" si="422"/>
        <v>#N/A</v>
      </c>
      <c r="HW227" s="54">
        <f t="shared" si="423"/>
        <v>9.511614587176604E-3</v>
      </c>
      <c r="HX227" s="69" t="str">
        <f t="shared" si="424"/>
        <v/>
      </c>
    </row>
    <row r="228" spans="78:232" x14ac:dyDescent="0.2">
      <c r="BZ228" s="54">
        <f t="shared" si="351"/>
        <v>218</v>
      </c>
      <c r="CA228" s="54">
        <f>Eu_tabel_g[[#This Row],[Indeks]]+1</f>
        <v>219</v>
      </c>
      <c r="CB228" s="54">
        <f t="shared" si="352"/>
        <v>2.1320207383638401</v>
      </c>
      <c r="CC228" s="54">
        <f t="shared" si="353"/>
        <v>4.1102154102044132E-2</v>
      </c>
      <c r="CD228" s="54" t="e">
        <f t="shared" si="354"/>
        <v>#N/A</v>
      </c>
      <c r="CE228" s="54" t="e">
        <f t="shared" si="355"/>
        <v>#N/A</v>
      </c>
      <c r="CF228" s="54" t="e">
        <f t="shared" si="356"/>
        <v>#N/A</v>
      </c>
      <c r="CG228" s="54" t="b">
        <f t="shared" si="357"/>
        <v>0</v>
      </c>
      <c r="CH228" s="54" t="b">
        <f t="shared" si="358"/>
        <v>1</v>
      </c>
      <c r="CI228" s="54" t="b">
        <f t="shared" si="359"/>
        <v>1</v>
      </c>
      <c r="CJ228" s="54" t="b">
        <f t="shared" si="360"/>
        <v>0</v>
      </c>
      <c r="CK228" s="54">
        <f t="shared" si="425"/>
        <v>4.1102154102044132E-2</v>
      </c>
      <c r="CL228" s="54">
        <f t="shared" si="361"/>
        <v>4.1102154102044132E-2</v>
      </c>
      <c r="CM228" s="54" t="e">
        <f t="shared" si="362"/>
        <v>#N/A</v>
      </c>
      <c r="CN228" s="69" t="str">
        <f t="shared" si="363"/>
        <v/>
      </c>
      <c r="CO228" s="54">
        <f>_xlfn.NORM.DIST(_xlfn.NORM.INV(1-Eu_g_konfidensniveau,0,1)-Eu_tabel_g[[#This Row],[x base]],0,1,TRUE)</f>
        <v>7.9404393322032754E-5</v>
      </c>
      <c r="CP228" s="54">
        <f>1-_xlfn.NORM.DIST(_xlfn.NORM.INV(Eu_g_konfidensniveau,0,1)-Eu_tabel_g[[#This Row],[x base]],0,1,TRUE)</f>
        <v>0.68693004491440468</v>
      </c>
      <c r="CQ228" s="54">
        <f>_xlfn.NORM.DIST(_xlfn.NORM.INV((1-Eu_g_konfidensniveau)/2,0,1)-Eu_tabel_g[[#This Row],[x base]],0,1,TRUE)+1-_xlfn.NORM.DIST(_xlfn.NORM.INV(1-(1-Eu_g_konfidensniveau)/2,0,1)-Eu_tabel_g[[#This Row],[x base]],0,1,TRUE)</f>
        <v>0.56832492928531297</v>
      </c>
      <c r="CR228" s="54" t="e" cm="1">
        <f t="array" ref="CR228">IF($CR$3,INDEX(Eu_tabel_g[[#This Row],[Styrke venstre]:[Styrke tosidet]],CR$7),NA())</f>
        <v>#N/A</v>
      </c>
      <c r="CS228" s="89" t="e">
        <f>Eu_tabel_g[[#This Row],[Falsk positiv
Nulhypotese accepteres
Fejltype 1]]</f>
        <v>#N/A</v>
      </c>
      <c r="CT228" s="89" t="e">
        <f>IF(CHOOSE(CR$7,Eu_tabel_g[[#This Row],[x base]]&gt;0,Eu_tabel_g[[#This Row],[x base]]&lt;0,Eu_tabel_g[[#This Row],[x base]]=0),Eu_tabel_g[[#This Row],[Styrke, aktiv]],NA())</f>
        <v>#N/A</v>
      </c>
      <c r="CU228" s="89" t="e">
        <f>IFERROR(IF($CR$3,Eu_tabel_g[[#This Row],[Styrke, aktiv]],NA()),NA())</f>
        <v>#N/A</v>
      </c>
      <c r="CV228" s="89" t="e">
        <f>IF(ISNA(Eu_tabel_g[[#This Row],[Sand negativ
Nulhypotese afvises
Korrekt]]),NA(),IF($CR$3,1,NA()))</f>
        <v>#N/A</v>
      </c>
      <c r="CW228" s="56" t="str" cm="1">
        <f t="array" ref="CW228">_xlfn.SWITCH(BZ228,_xlfn.IFNA(CU$2,-99),CU$5,_xlfn.IFNA(CU$3,-99),CU$6,_xlfn.IFNA(CU$4,-99),CU$7,"")</f>
        <v/>
      </c>
      <c r="DA228" s="7">
        <f t="shared" si="364"/>
        <v>0.8</v>
      </c>
      <c r="DB228">
        <f>IF(ROW(Styrkeberegning_G[[#This Row],[X base venstre]])=ROW(Styrkeberegning_G[[#Headers],[X base venstre]])+1,DB$7/(DA$7/$B$67),DB227/(DA227/$B$67))</f>
        <v>-2.8015817870135784</v>
      </c>
      <c r="DC228">
        <f>Styrkeberegning_G[[#This Row],[X base venstre]]*-1</f>
        <v>2.8015817870135784</v>
      </c>
      <c r="DN228" s="54">
        <f t="shared" si="365"/>
        <v>218</v>
      </c>
      <c r="DO228" s="54">
        <f t="shared" si="366"/>
        <v>219</v>
      </c>
      <c r="DP228" s="54">
        <f t="shared" si="367"/>
        <v>26.701299363559908</v>
      </c>
      <c r="DQ228" s="54" t="e">
        <f t="shared" si="368"/>
        <v>#N/A</v>
      </c>
      <c r="DR228" s="54" t="e">
        <f t="shared" si="369"/>
        <v>#N/A</v>
      </c>
      <c r="DS228" s="54">
        <f t="shared" si="370"/>
        <v>1.765064386567556E-3</v>
      </c>
      <c r="DT228" s="54" t="e">
        <f t="shared" si="371"/>
        <v>#N/A</v>
      </c>
      <c r="DU228" s="54" t="b">
        <f t="shared" si="372"/>
        <v>0</v>
      </c>
      <c r="DV228" s="54" t="b">
        <f t="shared" si="373"/>
        <v>1</v>
      </c>
      <c r="DW228" s="54" t="b">
        <f t="shared" si="374"/>
        <v>1</v>
      </c>
      <c r="DX228" s="54" t="b">
        <f t="shared" si="375"/>
        <v>0</v>
      </c>
      <c r="DY228" s="54">
        <f t="shared" si="376"/>
        <v>1.765064386567556E-3</v>
      </c>
      <c r="DZ228" s="54">
        <f t="shared" si="377"/>
        <v>1.765064386567556E-3</v>
      </c>
      <c r="EA228" s="54" t="e">
        <f t="shared" si="378"/>
        <v>#N/A</v>
      </c>
      <c r="EB228" s="69" t="str">
        <f t="shared" si="379"/>
        <v/>
      </c>
      <c r="EG228" s="54">
        <f t="shared" si="380"/>
        <v>218</v>
      </c>
      <c r="EH228" s="54">
        <f t="shared" si="381"/>
        <v>219</v>
      </c>
      <c r="EI228" s="54">
        <f t="shared" si="382"/>
        <v>2.1320207383638401</v>
      </c>
      <c r="EJ228" s="54">
        <f t="shared" si="383"/>
        <v>4.1102154102044132E-2</v>
      </c>
      <c r="EK228" s="54" t="e">
        <f t="shared" si="384"/>
        <v>#N/A</v>
      </c>
      <c r="EL228" s="54" t="e">
        <f t="shared" si="385"/>
        <v>#N/A</v>
      </c>
      <c r="EM228" s="54" t="e">
        <f t="shared" si="386"/>
        <v>#N/A</v>
      </c>
      <c r="EN228" s="54" t="b">
        <f t="shared" si="387"/>
        <v>0</v>
      </c>
      <c r="EO228" s="54" t="b">
        <f t="shared" si="388"/>
        <v>1</v>
      </c>
      <c r="EP228" s="54" t="b">
        <f t="shared" si="389"/>
        <v>1</v>
      </c>
      <c r="EQ228" s="54" t="b">
        <f t="shared" si="390"/>
        <v>0</v>
      </c>
      <c r="ER228" s="54">
        <f t="shared" si="391"/>
        <v>4.1102154102044132E-2</v>
      </c>
      <c r="ES228" s="54">
        <f t="shared" si="392"/>
        <v>4.1102154102044132E-2</v>
      </c>
      <c r="ET228" s="54" t="e">
        <f t="shared" si="393"/>
        <v>#N/A</v>
      </c>
      <c r="EU228" s="69" t="str">
        <f t="shared" si="394"/>
        <v/>
      </c>
      <c r="EV22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2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2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28" s="54" t="e" cm="1">
        <f t="array" ref="EY228">IF($CR$3,INDEX(Eu_tabel_a[[#This Row],[Styrke venstre]:[Styrke tosidet]],EY$7),NA())</f>
        <v>#N/A</v>
      </c>
      <c r="EZ228" s="54" t="e">
        <f>IF(EY$3,IF(CHOOSE(EY$7,Eu_tabel_a[[#This Row],[x base]]&gt;0,Eu_tabel_a[[#This Row],[x base]]&lt;0,Eu_tabel_a[[#This Row],[x base]]=0),1,NA()),NA())</f>
        <v>#N/A</v>
      </c>
      <c r="FA228" s="54" t="e">
        <f>IF(CHOOSE(EY$7,Eu_tabel_a[[#This Row],[x base]]&gt;0,Eu_tabel_a[[#This Row],[x base]]&lt;0,Eu_tabel_a[[#This Row],[x base]]=0),Eu_tabel_a[[#This Row],[Styrke, aktiv]],NA())</f>
        <v>#N/A</v>
      </c>
      <c r="FB228" s="54" t="e">
        <f>IFERROR(IF($EY$3,Eu_tabel_a[[#This Row],[Styrke, aktiv]],NA()),NA())</f>
        <v>#N/A</v>
      </c>
      <c r="FC228" s="54" t="e">
        <f>IF(ISNA(Eu_tabel_a[[#This Row],[Sand negativ
Nulhypotese afvises
Korrekt]]),NA(),IF(EY$3,1,NA()))</f>
        <v>#N/A</v>
      </c>
      <c r="FD228" s="55" t="str" cm="1">
        <f t="array" ref="FD228">IFERROR(_xlfn.SWITCH(Eu_tabel_a[[#This Row],[Indeks]],_xlfn.IFNA(FB$2,-99),FB$5,_xlfn.IFNA(FB$3,-99),FB$6,_xlfn.IFNA(FB$4,-99),FB$7,""),"")</f>
        <v/>
      </c>
      <c r="FE228" s="54">
        <f>Eu_tabel_a[[#This Row],[x base]]*SQRT(Eu_a_h0_x*(1-Eu_a_h0_x)/Eu_a_n_x)+Eu_a_h0_x</f>
        <v>0</v>
      </c>
      <c r="FJ228" s="144" t="e">
        <f t="shared" si="338"/>
        <v>#N/A</v>
      </c>
      <c r="FK228" s="152" t="e">
        <f t="shared" si="426"/>
        <v>#DIV/0!</v>
      </c>
      <c r="FL228" s="7" t="e">
        <f t="shared" si="332"/>
        <v>#DIV/0!</v>
      </c>
      <c r="FM228" t="e">
        <f t="shared" si="427"/>
        <v>#DIV/0!</v>
      </c>
      <c r="FN228" s="8" t="e">
        <f t="shared" si="428"/>
        <v>#DIV/0!</v>
      </c>
      <c r="FO228" s="8" t="e">
        <f t="shared" si="429"/>
        <v>#DIV/0!</v>
      </c>
      <c r="FP228" s="151" t="e">
        <f t="shared" si="430"/>
        <v>#DIV/0!</v>
      </c>
      <c r="FQ228" s="144" t="e">
        <f t="shared" ca="1" si="333"/>
        <v>#N/A</v>
      </c>
      <c r="FR228" s="152" t="e" vm="3">
        <f t="shared" ca="1" si="339"/>
        <v>#VALUE!</v>
      </c>
      <c r="FS228" s="7" t="e" vm="3">
        <f t="shared" ca="1" si="334"/>
        <v>#VALUE!</v>
      </c>
      <c r="FT228" t="e" vm="3">
        <f t="shared" ca="1" si="328"/>
        <v>#VALUE!</v>
      </c>
      <c r="FU228" s="8" t="e" vm="3">
        <f t="shared" ca="1" si="329"/>
        <v>#VALUE!</v>
      </c>
      <c r="FV228" s="8" t="e" vm="3">
        <f t="shared" ca="1" si="330"/>
        <v>#VALUE!</v>
      </c>
      <c r="FW228" s="151" t="e" vm="3">
        <f t="shared" ca="1" si="331"/>
        <v>#VALUE!</v>
      </c>
      <c r="FX228" s="144" t="e">
        <f t="shared" si="335"/>
        <v>#N/A</v>
      </c>
      <c r="FY228" s="152" t="e">
        <f t="shared" si="340"/>
        <v>#N/A</v>
      </c>
      <c r="FZ228" s="7" t="e">
        <f t="shared" si="336"/>
        <v>#N/A</v>
      </c>
      <c r="GA228" t="e">
        <f t="shared" si="341"/>
        <v>#N/A</v>
      </c>
      <c r="GB228" s="8" t="e">
        <f t="shared" si="342"/>
        <v>#N/A</v>
      </c>
      <c r="GC228" s="8" t="e">
        <f t="shared" si="343"/>
        <v>#N/A</v>
      </c>
      <c r="GD228" s="151" t="e">
        <f t="shared" si="344"/>
        <v>#N/A</v>
      </c>
      <c r="GE228" s="144" t="e">
        <f t="shared" si="345"/>
        <v>#N/A</v>
      </c>
      <c r="GF228" s="152" t="e">
        <f t="shared" si="346"/>
        <v>#N/A</v>
      </c>
      <c r="GG228" s="7" t="e">
        <f t="shared" si="337"/>
        <v>#N/A</v>
      </c>
      <c r="GH228" t="e">
        <f t="shared" si="347"/>
        <v>#N/A</v>
      </c>
      <c r="GI228" s="8" t="e">
        <f t="shared" si="348"/>
        <v>#N/A</v>
      </c>
      <c r="GJ228" s="8" t="e">
        <f t="shared" si="349"/>
        <v>#N/A</v>
      </c>
      <c r="GK228" s="151" t="e">
        <f t="shared" si="350"/>
        <v>#N/A</v>
      </c>
      <c r="GL228" s="151"/>
      <c r="GM228" s="151"/>
      <c r="GP228" s="54">
        <f t="shared" si="395"/>
        <v>218</v>
      </c>
      <c r="GQ228" s="54">
        <f t="shared" si="396"/>
        <v>219</v>
      </c>
      <c r="GR228" s="54">
        <f t="shared" si="397"/>
        <v>2.1320207383638401</v>
      </c>
      <c r="GS228" s="54">
        <f t="shared" si="398"/>
        <v>4.1102154102044132E-2</v>
      </c>
      <c r="GT228" s="54" t="e">
        <f t="shared" si="399"/>
        <v>#N/A</v>
      </c>
      <c r="GU228" s="54" t="e">
        <f t="shared" si="400"/>
        <v>#N/A</v>
      </c>
      <c r="GV228" s="54" t="e">
        <f t="shared" si="401"/>
        <v>#N/A</v>
      </c>
      <c r="GW228" s="54" t="b">
        <f t="shared" si="402"/>
        <v>0</v>
      </c>
      <c r="GX228" s="54" t="b">
        <f t="shared" si="403"/>
        <v>1</v>
      </c>
      <c r="GY228" s="54" t="b">
        <f t="shared" si="404"/>
        <v>1</v>
      </c>
      <c r="GZ228" s="54" t="b">
        <f t="shared" si="405"/>
        <v>0</v>
      </c>
      <c r="HA228" s="54">
        <f t="shared" si="406"/>
        <v>4.1102154102044132E-2</v>
      </c>
      <c r="HB228" s="54">
        <f t="shared" si="407"/>
        <v>4.1102154102044132E-2</v>
      </c>
      <c r="HC228" s="54" t="e">
        <f t="shared" si="408"/>
        <v>#N/A</v>
      </c>
      <c r="HD228" s="69" t="str">
        <f t="shared" si="409"/>
        <v/>
      </c>
      <c r="HJ228" s="54">
        <f t="shared" si="410"/>
        <v>218</v>
      </c>
      <c r="HK228" s="54">
        <f t="shared" si="411"/>
        <v>219</v>
      </c>
      <c r="HL228" s="54">
        <f t="shared" si="412"/>
        <v>3.3014788910760604</v>
      </c>
      <c r="HM228" s="54" t="e">
        <f t="shared" si="413"/>
        <v>#N/A</v>
      </c>
      <c r="HN228" s="54">
        <f t="shared" si="414"/>
        <v>9.0043866481057076E-3</v>
      </c>
      <c r="HO228" s="54" t="e">
        <f t="shared" si="415"/>
        <v>#N/A</v>
      </c>
      <c r="HP228" s="54" t="e">
        <f t="shared" si="416"/>
        <v>#N/A</v>
      </c>
      <c r="HQ228" s="54" t="b">
        <f t="shared" si="417"/>
        <v>0</v>
      </c>
      <c r="HR228" s="54" t="b">
        <f t="shared" si="418"/>
        <v>1</v>
      </c>
      <c r="HS228" s="54" t="b">
        <f t="shared" si="419"/>
        <v>1</v>
      </c>
      <c r="HT228" s="54" t="b">
        <f t="shared" si="420"/>
        <v>0</v>
      </c>
      <c r="HU228" s="54">
        <f t="shared" si="421"/>
        <v>9.0043866481057076E-3</v>
      </c>
      <c r="HV228" s="54" t="e">
        <f t="shared" si="422"/>
        <v>#N/A</v>
      </c>
      <c r="HW228" s="54">
        <f t="shared" si="423"/>
        <v>9.0043866481057076E-3</v>
      </c>
      <c r="HX228" s="69" t="str">
        <f t="shared" si="424"/>
        <v/>
      </c>
    </row>
    <row r="229" spans="78:232" x14ac:dyDescent="0.2">
      <c r="BZ229" s="54">
        <f t="shared" si="351"/>
        <v>219</v>
      </c>
      <c r="CA229" s="54">
        <f>Eu_tabel_g[[#This Row],[Indeks]]+1</f>
        <v>220</v>
      </c>
      <c r="CB229" s="54">
        <f t="shared" si="352"/>
        <v>2.155976027558939</v>
      </c>
      <c r="CC229" s="54">
        <f t="shared" si="353"/>
        <v>3.9044437871557792E-2</v>
      </c>
      <c r="CD229" s="54" t="e">
        <f t="shared" si="354"/>
        <v>#N/A</v>
      </c>
      <c r="CE229" s="54" t="e">
        <f t="shared" si="355"/>
        <v>#N/A</v>
      </c>
      <c r="CF229" s="54" t="e">
        <f t="shared" si="356"/>
        <v>#N/A</v>
      </c>
      <c r="CG229" s="54" t="b">
        <f t="shared" si="357"/>
        <v>0</v>
      </c>
      <c r="CH229" s="54" t="b">
        <f t="shared" si="358"/>
        <v>1</v>
      </c>
      <c r="CI229" s="54" t="b">
        <f t="shared" si="359"/>
        <v>1</v>
      </c>
      <c r="CJ229" s="54" t="b">
        <f t="shared" si="360"/>
        <v>0</v>
      </c>
      <c r="CK229" s="54">
        <f t="shared" si="425"/>
        <v>3.9044437871557792E-2</v>
      </c>
      <c r="CL229" s="54">
        <f t="shared" si="361"/>
        <v>3.9044437871557792E-2</v>
      </c>
      <c r="CM229" s="54" t="e">
        <f t="shared" si="362"/>
        <v>#N/A</v>
      </c>
      <c r="CN229" s="69" t="str">
        <f t="shared" si="363"/>
        <v/>
      </c>
      <c r="CO229" s="54">
        <f>_xlfn.NORM.DIST(_xlfn.NORM.INV(1-Eu_g_konfidensniveau,0,1)-Eu_tabel_g[[#This Row],[x base]],0,1,TRUE)</f>
        <v>7.2106210282316994E-5</v>
      </c>
      <c r="CP229" s="54">
        <f>1-_xlfn.NORM.DIST(_xlfn.NORM.INV(Eu_g_konfidensniveau,0,1)-Eu_tabel_g[[#This Row],[x base]],0,1,TRUE)</f>
        <v>0.69536732432934523</v>
      </c>
      <c r="CQ229" s="54">
        <f>_xlfn.NORM.DIST(_xlfn.NORM.INV((1-Eu_g_konfidensniveau)/2,0,1)-Eu_tabel_g[[#This Row],[x base]],0,1,TRUE)+1-_xlfn.NORM.DIST(_xlfn.NORM.INV(1-(1-Eu_g_konfidensniveau)/2,0,1)-Eu_tabel_g[[#This Row],[x base]],0,1,TRUE)</f>
        <v>0.57771891029166766</v>
      </c>
      <c r="CR229" s="54" t="e" cm="1">
        <f t="array" ref="CR229">IF($CR$3,INDEX(Eu_tabel_g[[#This Row],[Styrke venstre]:[Styrke tosidet]],CR$7),NA())</f>
        <v>#N/A</v>
      </c>
      <c r="CS229" s="89" t="e">
        <f>Eu_tabel_g[[#This Row],[Falsk positiv
Nulhypotese accepteres
Fejltype 1]]</f>
        <v>#N/A</v>
      </c>
      <c r="CT229" s="89" t="e">
        <f>IF(CHOOSE(CR$7,Eu_tabel_g[[#This Row],[x base]]&gt;0,Eu_tabel_g[[#This Row],[x base]]&lt;0,Eu_tabel_g[[#This Row],[x base]]=0),Eu_tabel_g[[#This Row],[Styrke, aktiv]],NA())</f>
        <v>#N/A</v>
      </c>
      <c r="CU229" s="89" t="e">
        <f>IFERROR(IF($CR$3,Eu_tabel_g[[#This Row],[Styrke, aktiv]],NA()),NA())</f>
        <v>#N/A</v>
      </c>
      <c r="CV229" s="89" t="e">
        <f>IF(ISNA(Eu_tabel_g[[#This Row],[Sand negativ
Nulhypotese afvises
Korrekt]]),NA(),IF($CR$3,1,NA()))</f>
        <v>#N/A</v>
      </c>
      <c r="CW229" s="56" t="str" cm="1">
        <f t="array" ref="CW229">_xlfn.SWITCH(BZ229,_xlfn.IFNA(CU$2,-99),CU$5,_xlfn.IFNA(CU$3,-99),CU$6,_xlfn.IFNA(CU$4,-99),CU$7,"")</f>
        <v/>
      </c>
      <c r="DA229" s="7">
        <f t="shared" si="364"/>
        <v>0.8</v>
      </c>
      <c r="DB229">
        <f>IF(ROW(Styrkeberegning_G[[#This Row],[X base venstre]])=ROW(Styrkeberegning_G[[#Headers],[X base venstre]])+1,DB$7/(DA$7/$B$67),DB228/(DA228/$B$67))</f>
        <v>-2.8015817870135784</v>
      </c>
      <c r="DC229">
        <f>Styrkeberegning_G[[#This Row],[X base venstre]]*-1</f>
        <v>2.8015817870135784</v>
      </c>
      <c r="DN229" s="54">
        <f t="shared" si="365"/>
        <v>219</v>
      </c>
      <c r="DO229" s="54">
        <f t="shared" si="366"/>
        <v>220</v>
      </c>
      <c r="DP229" s="54">
        <f t="shared" si="367"/>
        <v>26.815370219976909</v>
      </c>
      <c r="DQ229" s="54" t="e">
        <f t="shared" si="368"/>
        <v>#N/A</v>
      </c>
      <c r="DR229" s="54" t="e">
        <f t="shared" si="369"/>
        <v>#N/A</v>
      </c>
      <c r="DS229" s="54">
        <f t="shared" si="370"/>
        <v>1.6995020269909965E-3</v>
      </c>
      <c r="DT229" s="54" t="e">
        <f t="shared" si="371"/>
        <v>#N/A</v>
      </c>
      <c r="DU229" s="54" t="b">
        <f t="shared" si="372"/>
        <v>0</v>
      </c>
      <c r="DV229" s="54" t="b">
        <f t="shared" si="373"/>
        <v>1</v>
      </c>
      <c r="DW229" s="54" t="b">
        <f t="shared" si="374"/>
        <v>1</v>
      </c>
      <c r="DX229" s="54" t="b">
        <f t="shared" si="375"/>
        <v>0</v>
      </c>
      <c r="DY229" s="54">
        <f t="shared" si="376"/>
        <v>1.6995020269909965E-3</v>
      </c>
      <c r="DZ229" s="54">
        <f t="shared" si="377"/>
        <v>1.6995020269909965E-3</v>
      </c>
      <c r="EA229" s="54" t="e">
        <f t="shared" si="378"/>
        <v>#N/A</v>
      </c>
      <c r="EB229" s="69" t="str">
        <f t="shared" si="379"/>
        <v/>
      </c>
      <c r="EG229" s="54">
        <f t="shared" si="380"/>
        <v>219</v>
      </c>
      <c r="EH229" s="54">
        <f t="shared" si="381"/>
        <v>220</v>
      </c>
      <c r="EI229" s="54">
        <f t="shared" si="382"/>
        <v>2.155976027558939</v>
      </c>
      <c r="EJ229" s="54">
        <f t="shared" si="383"/>
        <v>3.9044437871557792E-2</v>
      </c>
      <c r="EK229" s="54" t="e">
        <f t="shared" si="384"/>
        <v>#N/A</v>
      </c>
      <c r="EL229" s="54" t="e">
        <f t="shared" si="385"/>
        <v>#N/A</v>
      </c>
      <c r="EM229" s="54" t="e">
        <f t="shared" si="386"/>
        <v>#N/A</v>
      </c>
      <c r="EN229" s="54" t="b">
        <f t="shared" si="387"/>
        <v>0</v>
      </c>
      <c r="EO229" s="54" t="b">
        <f t="shared" si="388"/>
        <v>1</v>
      </c>
      <c r="EP229" s="54" t="b">
        <f t="shared" si="389"/>
        <v>1</v>
      </c>
      <c r="EQ229" s="54" t="b">
        <f t="shared" si="390"/>
        <v>0</v>
      </c>
      <c r="ER229" s="54">
        <f t="shared" si="391"/>
        <v>3.9044437871557792E-2</v>
      </c>
      <c r="ES229" s="54">
        <f t="shared" si="392"/>
        <v>3.9044437871557792E-2</v>
      </c>
      <c r="ET229" s="54" t="e">
        <f t="shared" si="393"/>
        <v>#N/A</v>
      </c>
      <c r="EU229" s="69" t="str">
        <f t="shared" si="394"/>
        <v/>
      </c>
      <c r="EV22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2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2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29" s="54" t="e" cm="1">
        <f t="array" ref="EY229">IF($CR$3,INDEX(Eu_tabel_a[[#This Row],[Styrke venstre]:[Styrke tosidet]],EY$7),NA())</f>
        <v>#N/A</v>
      </c>
      <c r="EZ229" s="54" t="e">
        <f>IF(EY$3,IF(CHOOSE(EY$7,Eu_tabel_a[[#This Row],[x base]]&gt;0,Eu_tabel_a[[#This Row],[x base]]&lt;0,Eu_tabel_a[[#This Row],[x base]]=0),1,NA()),NA())</f>
        <v>#N/A</v>
      </c>
      <c r="FA229" s="54" t="e">
        <f>IF(CHOOSE(EY$7,Eu_tabel_a[[#This Row],[x base]]&gt;0,Eu_tabel_a[[#This Row],[x base]]&lt;0,Eu_tabel_a[[#This Row],[x base]]=0),Eu_tabel_a[[#This Row],[Styrke, aktiv]],NA())</f>
        <v>#N/A</v>
      </c>
      <c r="FB229" s="54" t="e">
        <f>IFERROR(IF($EY$3,Eu_tabel_a[[#This Row],[Styrke, aktiv]],NA()),NA())</f>
        <v>#N/A</v>
      </c>
      <c r="FC229" s="54" t="e">
        <f>IF(ISNA(Eu_tabel_a[[#This Row],[Sand negativ
Nulhypotese afvises
Korrekt]]),NA(),IF(EY$3,1,NA()))</f>
        <v>#N/A</v>
      </c>
      <c r="FD229" s="55" t="str" cm="1">
        <f t="array" ref="FD229">IFERROR(_xlfn.SWITCH(Eu_tabel_a[[#This Row],[Indeks]],_xlfn.IFNA(FB$2,-99),FB$5,_xlfn.IFNA(FB$3,-99),FB$6,_xlfn.IFNA(FB$4,-99),FB$7,""),"")</f>
        <v/>
      </c>
      <c r="FE229" s="54">
        <f>Eu_tabel_a[[#This Row],[x base]]*SQRT(Eu_a_h0_x*(1-Eu_a_h0_x)/Eu_a_n_x)+Eu_a_h0_x</f>
        <v>0</v>
      </c>
      <c r="FJ229" s="144" t="e">
        <f t="shared" si="338"/>
        <v>#N/A</v>
      </c>
      <c r="FK229" s="152" t="e">
        <f t="shared" si="426"/>
        <v>#DIV/0!</v>
      </c>
      <c r="FL229" s="7" t="e">
        <f t="shared" si="332"/>
        <v>#DIV/0!</v>
      </c>
      <c r="FM229" t="e">
        <f t="shared" si="427"/>
        <v>#DIV/0!</v>
      </c>
      <c r="FN229" s="8" t="e">
        <f t="shared" si="428"/>
        <v>#DIV/0!</v>
      </c>
      <c r="FO229" s="8" t="e">
        <f t="shared" si="429"/>
        <v>#DIV/0!</v>
      </c>
      <c r="FP229" s="151" t="e">
        <f t="shared" si="430"/>
        <v>#DIV/0!</v>
      </c>
      <c r="FQ229" s="144" t="e">
        <f t="shared" ca="1" si="333"/>
        <v>#N/A</v>
      </c>
      <c r="FR229" s="152" t="e" vm="3">
        <f t="shared" ca="1" si="339"/>
        <v>#VALUE!</v>
      </c>
      <c r="FS229" s="7" t="e" vm="3">
        <f t="shared" ca="1" si="334"/>
        <v>#VALUE!</v>
      </c>
      <c r="FT229" t="e" vm="3">
        <f t="shared" ca="1" si="328"/>
        <v>#VALUE!</v>
      </c>
      <c r="FU229" s="8" t="e" vm="3">
        <f t="shared" ca="1" si="329"/>
        <v>#VALUE!</v>
      </c>
      <c r="FV229" s="8" t="e" vm="3">
        <f t="shared" ca="1" si="330"/>
        <v>#VALUE!</v>
      </c>
      <c r="FW229" s="151" t="e" vm="3">
        <f t="shared" ca="1" si="331"/>
        <v>#VALUE!</v>
      </c>
      <c r="FX229" s="144" t="e">
        <f t="shared" si="335"/>
        <v>#N/A</v>
      </c>
      <c r="FY229" s="152" t="e">
        <f t="shared" si="340"/>
        <v>#N/A</v>
      </c>
      <c r="FZ229" s="7" t="e">
        <f t="shared" si="336"/>
        <v>#N/A</v>
      </c>
      <c r="GA229" t="e">
        <f t="shared" si="341"/>
        <v>#N/A</v>
      </c>
      <c r="GB229" s="8" t="e">
        <f t="shared" si="342"/>
        <v>#N/A</v>
      </c>
      <c r="GC229" s="8" t="e">
        <f t="shared" si="343"/>
        <v>#N/A</v>
      </c>
      <c r="GD229" s="151" t="e">
        <f t="shared" si="344"/>
        <v>#N/A</v>
      </c>
      <c r="GE229" s="144" t="e">
        <f t="shared" si="345"/>
        <v>#N/A</v>
      </c>
      <c r="GF229" s="152" t="e">
        <f t="shared" si="346"/>
        <v>#N/A</v>
      </c>
      <c r="GG229" s="7" t="e">
        <f t="shared" si="337"/>
        <v>#N/A</v>
      </c>
      <c r="GH229" t="e">
        <f t="shared" si="347"/>
        <v>#N/A</v>
      </c>
      <c r="GI229" s="8" t="e">
        <f t="shared" si="348"/>
        <v>#N/A</v>
      </c>
      <c r="GJ229" s="8" t="e">
        <f t="shared" si="349"/>
        <v>#N/A</v>
      </c>
      <c r="GK229" s="151" t="e">
        <f t="shared" si="350"/>
        <v>#N/A</v>
      </c>
      <c r="GL229" s="151"/>
      <c r="GM229" s="151"/>
      <c r="GP229" s="54">
        <f t="shared" si="395"/>
        <v>219</v>
      </c>
      <c r="GQ229" s="54">
        <f t="shared" si="396"/>
        <v>220</v>
      </c>
      <c r="GR229" s="54">
        <f t="shared" si="397"/>
        <v>2.155976027558939</v>
      </c>
      <c r="GS229" s="54">
        <f t="shared" si="398"/>
        <v>3.9044437871557792E-2</v>
      </c>
      <c r="GT229" s="54" t="e">
        <f t="shared" si="399"/>
        <v>#N/A</v>
      </c>
      <c r="GU229" s="54" t="e">
        <f t="shared" si="400"/>
        <v>#N/A</v>
      </c>
      <c r="GV229" s="54" t="e">
        <f t="shared" si="401"/>
        <v>#N/A</v>
      </c>
      <c r="GW229" s="54" t="b">
        <f t="shared" si="402"/>
        <v>0</v>
      </c>
      <c r="GX229" s="54" t="b">
        <f t="shared" si="403"/>
        <v>1</v>
      </c>
      <c r="GY229" s="54" t="b">
        <f t="shared" si="404"/>
        <v>1</v>
      </c>
      <c r="GZ229" s="54" t="b">
        <f t="shared" si="405"/>
        <v>0</v>
      </c>
      <c r="HA229" s="54">
        <f t="shared" si="406"/>
        <v>3.9044437871557792E-2</v>
      </c>
      <c r="HB229" s="54">
        <f t="shared" si="407"/>
        <v>3.9044437871557792E-2</v>
      </c>
      <c r="HC229" s="54" t="e">
        <f t="shared" si="408"/>
        <v>#N/A</v>
      </c>
      <c r="HD229" s="69" t="str">
        <f t="shared" si="409"/>
        <v/>
      </c>
      <c r="HJ229" s="54">
        <f t="shared" si="410"/>
        <v>219</v>
      </c>
      <c r="HK229" s="54">
        <f t="shared" si="411"/>
        <v>220</v>
      </c>
      <c r="HL229" s="54">
        <f t="shared" si="412"/>
        <v>3.338574159515117</v>
      </c>
      <c r="HM229" s="54" t="e">
        <f t="shared" si="413"/>
        <v>#N/A</v>
      </c>
      <c r="HN229" s="54">
        <f t="shared" si="414"/>
        <v>8.5253498118103913E-3</v>
      </c>
      <c r="HO229" s="54" t="e">
        <f t="shared" si="415"/>
        <v>#N/A</v>
      </c>
      <c r="HP229" s="54" t="e">
        <f t="shared" si="416"/>
        <v>#N/A</v>
      </c>
      <c r="HQ229" s="54" t="b">
        <f t="shared" si="417"/>
        <v>0</v>
      </c>
      <c r="HR229" s="54" t="b">
        <f t="shared" si="418"/>
        <v>1</v>
      </c>
      <c r="HS229" s="54" t="b">
        <f t="shared" si="419"/>
        <v>1</v>
      </c>
      <c r="HT229" s="54" t="b">
        <f t="shared" si="420"/>
        <v>0</v>
      </c>
      <c r="HU229" s="54">
        <f t="shared" si="421"/>
        <v>8.5253498118103913E-3</v>
      </c>
      <c r="HV229" s="54" t="e">
        <f t="shared" si="422"/>
        <v>#N/A</v>
      </c>
      <c r="HW229" s="54">
        <f t="shared" si="423"/>
        <v>8.5253498118103913E-3</v>
      </c>
      <c r="HX229" s="69" t="str">
        <f t="shared" si="424"/>
        <v/>
      </c>
    </row>
    <row r="230" spans="78:232" x14ac:dyDescent="0.2">
      <c r="BZ230" s="54">
        <f t="shared" si="351"/>
        <v>220</v>
      </c>
      <c r="CA230" s="54">
        <f>Eu_tabel_g[[#This Row],[Indeks]]+1</f>
        <v>221</v>
      </c>
      <c r="CB230" s="54">
        <f t="shared" si="352"/>
        <v>2.1799313167540388</v>
      </c>
      <c r="CC230" s="54">
        <f t="shared" si="353"/>
        <v>3.706845998598688E-2</v>
      </c>
      <c r="CD230" s="54" t="e">
        <f t="shared" si="354"/>
        <v>#N/A</v>
      </c>
      <c r="CE230" s="54" t="e">
        <f t="shared" si="355"/>
        <v>#N/A</v>
      </c>
      <c r="CF230" s="54" t="e">
        <f t="shared" si="356"/>
        <v>#N/A</v>
      </c>
      <c r="CG230" s="54" t="b">
        <f t="shared" si="357"/>
        <v>0</v>
      </c>
      <c r="CH230" s="54" t="b">
        <f t="shared" si="358"/>
        <v>1</v>
      </c>
      <c r="CI230" s="54" t="b">
        <f t="shared" si="359"/>
        <v>1</v>
      </c>
      <c r="CJ230" s="54" t="b">
        <f t="shared" si="360"/>
        <v>0</v>
      </c>
      <c r="CK230" s="54">
        <f t="shared" si="425"/>
        <v>3.706845998598688E-2</v>
      </c>
      <c r="CL230" s="54">
        <f t="shared" si="361"/>
        <v>3.706845998598688E-2</v>
      </c>
      <c r="CM230" s="54" t="e">
        <f t="shared" si="362"/>
        <v>#N/A</v>
      </c>
      <c r="CN230" s="69" t="str">
        <f t="shared" si="363"/>
        <v/>
      </c>
      <c r="CO230" s="54">
        <f>_xlfn.NORM.DIST(_xlfn.NORM.INV(1-Eu_g_konfidensniveau,0,1)-Eu_tabel_g[[#This Row],[x base]],0,1,TRUE)</f>
        <v>6.5443143886424751E-5</v>
      </c>
      <c r="CP230" s="54">
        <f>1-_xlfn.NORM.DIST(_xlfn.NORM.INV(Eu_g_konfidensniveau,0,1)-Eu_tabel_g[[#This Row],[x base]],0,1,TRUE)</f>
        <v>0.70370193173370943</v>
      </c>
      <c r="CQ230" s="54">
        <f>_xlfn.NORM.DIST(_xlfn.NORM.INV((1-Eu_g_konfidensniveau)/2,0,1)-Eu_tabel_g[[#This Row],[x base]],0,1,TRUE)+1-_xlfn.NORM.DIST(_xlfn.NORM.INV(1-(1-Eu_g_konfidensniveau)/2,0,1)-Eu_tabel_g[[#This Row],[x base]],0,1,TRUE)</f>
        <v>0.58706907486227267</v>
      </c>
      <c r="CR230" s="54" t="e" cm="1">
        <f t="array" ref="CR230">IF($CR$3,INDEX(Eu_tabel_g[[#This Row],[Styrke venstre]:[Styrke tosidet]],CR$7),NA())</f>
        <v>#N/A</v>
      </c>
      <c r="CS230" s="89" t="e">
        <f>Eu_tabel_g[[#This Row],[Falsk positiv
Nulhypotese accepteres
Fejltype 1]]</f>
        <v>#N/A</v>
      </c>
      <c r="CT230" s="89" t="e">
        <f>IF(CHOOSE(CR$7,Eu_tabel_g[[#This Row],[x base]]&gt;0,Eu_tabel_g[[#This Row],[x base]]&lt;0,Eu_tabel_g[[#This Row],[x base]]=0),Eu_tabel_g[[#This Row],[Styrke, aktiv]],NA())</f>
        <v>#N/A</v>
      </c>
      <c r="CU230" s="89" t="e">
        <f>IFERROR(IF($CR$3,Eu_tabel_g[[#This Row],[Styrke, aktiv]],NA()),NA())</f>
        <v>#N/A</v>
      </c>
      <c r="CV230" s="89" t="e">
        <f>IF(ISNA(Eu_tabel_g[[#This Row],[Sand negativ
Nulhypotese afvises
Korrekt]]),NA(),IF($CR$3,1,NA()))</f>
        <v>#N/A</v>
      </c>
      <c r="CW230" s="56" t="str" cm="1">
        <f t="array" ref="CW230">_xlfn.SWITCH(BZ230,_xlfn.IFNA(CU$2,-99),CU$5,_xlfn.IFNA(CU$3,-99),CU$6,_xlfn.IFNA(CU$4,-99),CU$7,"")</f>
        <v/>
      </c>
      <c r="DA230" s="7">
        <f t="shared" si="364"/>
        <v>0.8</v>
      </c>
      <c r="DB230">
        <f>IF(ROW(Styrkeberegning_G[[#This Row],[X base venstre]])=ROW(Styrkeberegning_G[[#Headers],[X base venstre]])+1,DB$7/(DA$7/$B$67),DB229/(DA229/$B$67))</f>
        <v>-2.8015817870135784</v>
      </c>
      <c r="DC230">
        <f>Styrkeberegning_G[[#This Row],[X base venstre]]*-1</f>
        <v>2.8015817870135784</v>
      </c>
      <c r="DN230" s="54">
        <f t="shared" si="365"/>
        <v>220</v>
      </c>
      <c r="DO230" s="54">
        <f t="shared" si="366"/>
        <v>221</v>
      </c>
      <c r="DP230" s="54">
        <f t="shared" si="367"/>
        <v>26.92944107639391</v>
      </c>
      <c r="DQ230" s="54" t="e">
        <f t="shared" si="368"/>
        <v>#N/A</v>
      </c>
      <c r="DR230" s="54" t="e">
        <f t="shared" si="369"/>
        <v>#N/A</v>
      </c>
      <c r="DS230" s="54">
        <f t="shared" si="370"/>
        <v>1.6362416968852462E-3</v>
      </c>
      <c r="DT230" s="54" t="e">
        <f t="shared" si="371"/>
        <v>#N/A</v>
      </c>
      <c r="DU230" s="54" t="b">
        <f t="shared" si="372"/>
        <v>0</v>
      </c>
      <c r="DV230" s="54" t="b">
        <f t="shared" si="373"/>
        <v>1</v>
      </c>
      <c r="DW230" s="54" t="b">
        <f t="shared" si="374"/>
        <v>1</v>
      </c>
      <c r="DX230" s="54" t="b">
        <f t="shared" si="375"/>
        <v>0</v>
      </c>
      <c r="DY230" s="54">
        <f t="shared" si="376"/>
        <v>1.6362416968852462E-3</v>
      </c>
      <c r="DZ230" s="54">
        <f t="shared" si="377"/>
        <v>1.6362416968852462E-3</v>
      </c>
      <c r="EA230" s="54" t="e">
        <f t="shared" si="378"/>
        <v>#N/A</v>
      </c>
      <c r="EB230" s="69" t="str">
        <f t="shared" si="379"/>
        <v/>
      </c>
      <c r="EG230" s="54">
        <f t="shared" si="380"/>
        <v>220</v>
      </c>
      <c r="EH230" s="54">
        <f t="shared" si="381"/>
        <v>221</v>
      </c>
      <c r="EI230" s="54">
        <f t="shared" si="382"/>
        <v>2.1799313167540388</v>
      </c>
      <c r="EJ230" s="54">
        <f t="shared" si="383"/>
        <v>3.706845998598688E-2</v>
      </c>
      <c r="EK230" s="54" t="e">
        <f t="shared" si="384"/>
        <v>#N/A</v>
      </c>
      <c r="EL230" s="54" t="e">
        <f t="shared" si="385"/>
        <v>#N/A</v>
      </c>
      <c r="EM230" s="54" t="e">
        <f t="shared" si="386"/>
        <v>#N/A</v>
      </c>
      <c r="EN230" s="54" t="b">
        <f t="shared" si="387"/>
        <v>0</v>
      </c>
      <c r="EO230" s="54" t="b">
        <f t="shared" si="388"/>
        <v>1</v>
      </c>
      <c r="EP230" s="54" t="b">
        <f t="shared" si="389"/>
        <v>1</v>
      </c>
      <c r="EQ230" s="54" t="b">
        <f t="shared" si="390"/>
        <v>0</v>
      </c>
      <c r="ER230" s="54">
        <f t="shared" si="391"/>
        <v>3.706845998598688E-2</v>
      </c>
      <c r="ES230" s="54">
        <f t="shared" si="392"/>
        <v>3.706845998598688E-2</v>
      </c>
      <c r="ET230" s="54" t="e">
        <f t="shared" si="393"/>
        <v>#N/A</v>
      </c>
      <c r="EU230" s="69" t="str">
        <f t="shared" si="394"/>
        <v/>
      </c>
      <c r="EV23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3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3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30" s="54" t="e" cm="1">
        <f t="array" ref="EY230">IF($CR$3,INDEX(Eu_tabel_a[[#This Row],[Styrke venstre]:[Styrke tosidet]],EY$7),NA())</f>
        <v>#N/A</v>
      </c>
      <c r="EZ230" s="54" t="e">
        <f>IF(EY$3,IF(CHOOSE(EY$7,Eu_tabel_a[[#This Row],[x base]]&gt;0,Eu_tabel_a[[#This Row],[x base]]&lt;0,Eu_tabel_a[[#This Row],[x base]]=0),1,NA()),NA())</f>
        <v>#N/A</v>
      </c>
      <c r="FA230" s="54" t="e">
        <f>IF(CHOOSE(EY$7,Eu_tabel_a[[#This Row],[x base]]&gt;0,Eu_tabel_a[[#This Row],[x base]]&lt;0,Eu_tabel_a[[#This Row],[x base]]=0),Eu_tabel_a[[#This Row],[Styrke, aktiv]],NA())</f>
        <v>#N/A</v>
      </c>
      <c r="FB230" s="54" t="e">
        <f>IFERROR(IF($EY$3,Eu_tabel_a[[#This Row],[Styrke, aktiv]],NA()),NA())</f>
        <v>#N/A</v>
      </c>
      <c r="FC230" s="54" t="e">
        <f>IF(ISNA(Eu_tabel_a[[#This Row],[Sand negativ
Nulhypotese afvises
Korrekt]]),NA(),IF(EY$3,1,NA()))</f>
        <v>#N/A</v>
      </c>
      <c r="FD230" s="55" t="str" cm="1">
        <f t="array" ref="FD230">IFERROR(_xlfn.SWITCH(Eu_tabel_a[[#This Row],[Indeks]],_xlfn.IFNA(FB$2,-99),FB$5,_xlfn.IFNA(FB$3,-99),FB$6,_xlfn.IFNA(FB$4,-99),FB$7,""),"")</f>
        <v/>
      </c>
      <c r="FE230" s="54">
        <f>Eu_tabel_a[[#This Row],[x base]]*SQRT(Eu_a_h0_x*(1-Eu_a_h0_x)/Eu_a_n_x)+Eu_a_h0_x</f>
        <v>0</v>
      </c>
      <c r="FJ230" s="144" t="e">
        <f t="shared" si="338"/>
        <v>#N/A</v>
      </c>
      <c r="FK230" s="152" t="e">
        <f t="shared" si="426"/>
        <v>#DIV/0!</v>
      </c>
      <c r="FL230" s="7" t="e">
        <f t="shared" si="332"/>
        <v>#DIV/0!</v>
      </c>
      <c r="FM230" t="e">
        <f t="shared" si="427"/>
        <v>#DIV/0!</v>
      </c>
      <c r="FN230" s="8" t="e">
        <f t="shared" si="428"/>
        <v>#DIV/0!</v>
      </c>
      <c r="FO230" s="8" t="e">
        <f t="shared" si="429"/>
        <v>#DIV/0!</v>
      </c>
      <c r="FP230" s="151" t="e">
        <f t="shared" si="430"/>
        <v>#DIV/0!</v>
      </c>
      <c r="FQ230" s="144" t="e">
        <f t="shared" ca="1" si="333"/>
        <v>#N/A</v>
      </c>
      <c r="FR230" s="152" t="e" vm="3">
        <f t="shared" ca="1" si="339"/>
        <v>#VALUE!</v>
      </c>
      <c r="FS230" s="7" t="e" vm="3">
        <f t="shared" ca="1" si="334"/>
        <v>#VALUE!</v>
      </c>
      <c r="FT230" t="e" vm="3">
        <f t="shared" ca="1" si="328"/>
        <v>#VALUE!</v>
      </c>
      <c r="FU230" s="8" t="e" vm="3">
        <f t="shared" ca="1" si="329"/>
        <v>#VALUE!</v>
      </c>
      <c r="FV230" s="8" t="e" vm="3">
        <f t="shared" ca="1" si="330"/>
        <v>#VALUE!</v>
      </c>
      <c r="FW230" s="151" t="e" vm="3">
        <f t="shared" ca="1" si="331"/>
        <v>#VALUE!</v>
      </c>
      <c r="FX230" s="144" t="e">
        <f t="shared" si="335"/>
        <v>#N/A</v>
      </c>
      <c r="FY230" s="152" t="e">
        <f t="shared" si="340"/>
        <v>#N/A</v>
      </c>
      <c r="FZ230" s="7" t="e">
        <f t="shared" si="336"/>
        <v>#N/A</v>
      </c>
      <c r="GA230" t="e">
        <f t="shared" si="341"/>
        <v>#N/A</v>
      </c>
      <c r="GB230" s="8" t="e">
        <f t="shared" si="342"/>
        <v>#N/A</v>
      </c>
      <c r="GC230" s="8" t="e">
        <f t="shared" si="343"/>
        <v>#N/A</v>
      </c>
      <c r="GD230" s="151" t="e">
        <f t="shared" si="344"/>
        <v>#N/A</v>
      </c>
      <c r="GE230" s="144" t="e">
        <f t="shared" si="345"/>
        <v>#N/A</v>
      </c>
      <c r="GF230" s="152" t="e">
        <f t="shared" si="346"/>
        <v>#N/A</v>
      </c>
      <c r="GG230" s="7" t="e">
        <f t="shared" si="337"/>
        <v>#N/A</v>
      </c>
      <c r="GH230" t="e">
        <f t="shared" si="347"/>
        <v>#N/A</v>
      </c>
      <c r="GI230" s="8" t="e">
        <f t="shared" si="348"/>
        <v>#N/A</v>
      </c>
      <c r="GJ230" s="8" t="e">
        <f t="shared" si="349"/>
        <v>#N/A</v>
      </c>
      <c r="GK230" s="151" t="e">
        <f t="shared" si="350"/>
        <v>#N/A</v>
      </c>
      <c r="GL230" s="151"/>
      <c r="GM230" s="151"/>
      <c r="GP230" s="54">
        <f t="shared" si="395"/>
        <v>220</v>
      </c>
      <c r="GQ230" s="54">
        <f t="shared" si="396"/>
        <v>221</v>
      </c>
      <c r="GR230" s="54">
        <f t="shared" si="397"/>
        <v>2.1799313167540388</v>
      </c>
      <c r="GS230" s="54">
        <f t="shared" si="398"/>
        <v>3.706845998598688E-2</v>
      </c>
      <c r="GT230" s="54" t="e">
        <f t="shared" si="399"/>
        <v>#N/A</v>
      </c>
      <c r="GU230" s="54" t="e">
        <f t="shared" si="400"/>
        <v>#N/A</v>
      </c>
      <c r="GV230" s="54" t="e">
        <f t="shared" si="401"/>
        <v>#N/A</v>
      </c>
      <c r="GW230" s="54" t="b">
        <f t="shared" si="402"/>
        <v>0</v>
      </c>
      <c r="GX230" s="54" t="b">
        <f t="shared" si="403"/>
        <v>1</v>
      </c>
      <c r="GY230" s="54" t="b">
        <f t="shared" si="404"/>
        <v>1</v>
      </c>
      <c r="GZ230" s="54" t="b">
        <f t="shared" si="405"/>
        <v>0</v>
      </c>
      <c r="HA230" s="54">
        <f t="shared" si="406"/>
        <v>3.706845998598688E-2</v>
      </c>
      <c r="HB230" s="54">
        <f t="shared" si="407"/>
        <v>3.706845998598688E-2</v>
      </c>
      <c r="HC230" s="54" t="e">
        <f t="shared" si="408"/>
        <v>#N/A</v>
      </c>
      <c r="HD230" s="69" t="str">
        <f t="shared" si="409"/>
        <v/>
      </c>
      <c r="HJ230" s="54">
        <f t="shared" si="410"/>
        <v>220</v>
      </c>
      <c r="HK230" s="54">
        <f t="shared" si="411"/>
        <v>221</v>
      </c>
      <c r="HL230" s="54">
        <f t="shared" si="412"/>
        <v>3.3756694279541737</v>
      </c>
      <c r="HM230" s="54" t="e">
        <f t="shared" si="413"/>
        <v>#N/A</v>
      </c>
      <c r="HN230" s="54">
        <f t="shared" si="414"/>
        <v>8.0729166739766517E-3</v>
      </c>
      <c r="HO230" s="54" t="e">
        <f t="shared" si="415"/>
        <v>#N/A</v>
      </c>
      <c r="HP230" s="54" t="e">
        <f t="shared" si="416"/>
        <v>#N/A</v>
      </c>
      <c r="HQ230" s="54" t="b">
        <f t="shared" si="417"/>
        <v>0</v>
      </c>
      <c r="HR230" s="54" t="b">
        <f t="shared" si="418"/>
        <v>1</v>
      </c>
      <c r="HS230" s="54" t="b">
        <f t="shared" si="419"/>
        <v>1</v>
      </c>
      <c r="HT230" s="54" t="b">
        <f t="shared" si="420"/>
        <v>0</v>
      </c>
      <c r="HU230" s="54">
        <f t="shared" si="421"/>
        <v>8.0729166739766517E-3</v>
      </c>
      <c r="HV230" s="54" t="e">
        <f t="shared" si="422"/>
        <v>#N/A</v>
      </c>
      <c r="HW230" s="54">
        <f t="shared" si="423"/>
        <v>8.0729166739766517E-3</v>
      </c>
      <c r="HX230" s="69" t="str">
        <f t="shared" si="424"/>
        <v/>
      </c>
    </row>
    <row r="231" spans="78:232" x14ac:dyDescent="0.2">
      <c r="BZ231" s="54">
        <f t="shared" si="351"/>
        <v>221</v>
      </c>
      <c r="CA231" s="54">
        <f>Eu_tabel_g[[#This Row],[Indeks]]+1</f>
        <v>222</v>
      </c>
      <c r="CB231" s="54">
        <f t="shared" si="352"/>
        <v>2.2038866059491378</v>
      </c>
      <c r="CC231" s="54">
        <f t="shared" si="353"/>
        <v>3.5172293628326259E-2</v>
      </c>
      <c r="CD231" s="54" t="e">
        <f t="shared" si="354"/>
        <v>#N/A</v>
      </c>
      <c r="CE231" s="54" t="e">
        <f t="shared" si="355"/>
        <v>#N/A</v>
      </c>
      <c r="CF231" s="54" t="e">
        <f t="shared" si="356"/>
        <v>#N/A</v>
      </c>
      <c r="CG231" s="54" t="b">
        <f t="shared" si="357"/>
        <v>0</v>
      </c>
      <c r="CH231" s="54" t="b">
        <f t="shared" si="358"/>
        <v>1</v>
      </c>
      <c r="CI231" s="54" t="b">
        <f t="shared" si="359"/>
        <v>1</v>
      </c>
      <c r="CJ231" s="54" t="b">
        <f t="shared" si="360"/>
        <v>0</v>
      </c>
      <c r="CK231" s="54">
        <f t="shared" si="425"/>
        <v>3.5172293628326259E-2</v>
      </c>
      <c r="CL231" s="54">
        <f t="shared" si="361"/>
        <v>3.5172293628326259E-2</v>
      </c>
      <c r="CM231" s="54" t="e">
        <f t="shared" si="362"/>
        <v>#N/A</v>
      </c>
      <c r="CN231" s="69" t="str">
        <f t="shared" si="363"/>
        <v/>
      </c>
      <c r="CO231" s="54">
        <f>_xlfn.NORM.DIST(_xlfn.NORM.INV(1-Eu_g_konfidensniveau,0,1)-Eu_tabel_g[[#This Row],[x base]],0,1,TRUE)</f>
        <v>5.9363413504991642E-5</v>
      </c>
      <c r="CP231" s="54">
        <f>1-_xlfn.NORM.DIST(_xlfn.NORM.INV(Eu_g_konfidensniveau,0,1)-Eu_tabel_g[[#This Row],[x base]],0,1,TRUE)</f>
        <v>0.71193039344774489</v>
      </c>
      <c r="CQ231" s="54">
        <f>_xlfn.NORM.DIST(_xlfn.NORM.INV((1-Eu_g_konfidensniveau)/2,0,1)-Eu_tabel_g[[#This Row],[x base]],0,1,TRUE)+1-_xlfn.NORM.DIST(_xlfn.NORM.INV(1-(1-Eu_g_konfidensniveau)/2,0,1)-Eu_tabel_g[[#This Row],[x base]],0,1,TRUE)</f>
        <v>0.59637027179631974</v>
      </c>
      <c r="CR231" s="54" t="e" cm="1">
        <f t="array" ref="CR231">IF($CR$3,INDEX(Eu_tabel_g[[#This Row],[Styrke venstre]:[Styrke tosidet]],CR$7),NA())</f>
        <v>#N/A</v>
      </c>
      <c r="CS231" s="89" t="e">
        <f>Eu_tabel_g[[#This Row],[Falsk positiv
Nulhypotese accepteres
Fejltype 1]]</f>
        <v>#N/A</v>
      </c>
      <c r="CT231" s="89" t="e">
        <f>IF(CHOOSE(CR$7,Eu_tabel_g[[#This Row],[x base]]&gt;0,Eu_tabel_g[[#This Row],[x base]]&lt;0,Eu_tabel_g[[#This Row],[x base]]=0),Eu_tabel_g[[#This Row],[Styrke, aktiv]],NA())</f>
        <v>#N/A</v>
      </c>
      <c r="CU231" s="89" t="e">
        <f>IFERROR(IF($CR$3,Eu_tabel_g[[#This Row],[Styrke, aktiv]],NA()),NA())</f>
        <v>#N/A</v>
      </c>
      <c r="CV231" s="89" t="e">
        <f>IF(ISNA(Eu_tabel_g[[#This Row],[Sand negativ
Nulhypotese afvises
Korrekt]]),NA(),IF($CR$3,1,NA()))</f>
        <v>#N/A</v>
      </c>
      <c r="CW231" s="56" t="str" cm="1">
        <f t="array" ref="CW231">_xlfn.SWITCH(BZ231,_xlfn.IFNA(CU$2,-99),CU$5,_xlfn.IFNA(CU$3,-99),CU$6,_xlfn.IFNA(CU$4,-99),CU$7,"")</f>
        <v/>
      </c>
      <c r="DA231" s="7">
        <f t="shared" si="364"/>
        <v>0.8</v>
      </c>
      <c r="DB231">
        <f>IF(ROW(Styrkeberegning_G[[#This Row],[X base venstre]])=ROW(Styrkeberegning_G[[#Headers],[X base venstre]])+1,DB$7/(DA$7/$B$67),DB230/(DA230/$B$67))</f>
        <v>-2.8015817870135784</v>
      </c>
      <c r="DC231">
        <f>Styrkeberegning_G[[#This Row],[X base venstre]]*-1</f>
        <v>2.8015817870135784</v>
      </c>
      <c r="DN231" s="54">
        <f t="shared" si="365"/>
        <v>221</v>
      </c>
      <c r="DO231" s="54">
        <f t="shared" si="366"/>
        <v>222</v>
      </c>
      <c r="DP231" s="54">
        <f t="shared" si="367"/>
        <v>27.043511932810912</v>
      </c>
      <c r="DQ231" s="54" t="e">
        <f t="shared" si="368"/>
        <v>#N/A</v>
      </c>
      <c r="DR231" s="54" t="e">
        <f t="shared" si="369"/>
        <v>#N/A</v>
      </c>
      <c r="DS231" s="54">
        <f t="shared" si="370"/>
        <v>1.5752089032837508E-3</v>
      </c>
      <c r="DT231" s="54" t="e">
        <f t="shared" si="371"/>
        <v>#N/A</v>
      </c>
      <c r="DU231" s="54" t="b">
        <f t="shared" si="372"/>
        <v>0</v>
      </c>
      <c r="DV231" s="54" t="b">
        <f t="shared" si="373"/>
        <v>1</v>
      </c>
      <c r="DW231" s="54" t="b">
        <f t="shared" si="374"/>
        <v>1</v>
      </c>
      <c r="DX231" s="54" t="b">
        <f t="shared" si="375"/>
        <v>0</v>
      </c>
      <c r="DY231" s="54">
        <f t="shared" si="376"/>
        <v>1.5752089032837508E-3</v>
      </c>
      <c r="DZ231" s="54">
        <f t="shared" si="377"/>
        <v>1.5752089032837508E-3</v>
      </c>
      <c r="EA231" s="54" t="e">
        <f t="shared" si="378"/>
        <v>#N/A</v>
      </c>
      <c r="EB231" s="69" t="str">
        <f t="shared" si="379"/>
        <v/>
      </c>
      <c r="EG231" s="54">
        <f t="shared" si="380"/>
        <v>221</v>
      </c>
      <c r="EH231" s="54">
        <f t="shared" si="381"/>
        <v>222</v>
      </c>
      <c r="EI231" s="54">
        <f t="shared" si="382"/>
        <v>2.2038866059491378</v>
      </c>
      <c r="EJ231" s="54">
        <f t="shared" si="383"/>
        <v>3.5172293628326259E-2</v>
      </c>
      <c r="EK231" s="54" t="e">
        <f t="shared" si="384"/>
        <v>#N/A</v>
      </c>
      <c r="EL231" s="54" t="e">
        <f t="shared" si="385"/>
        <v>#N/A</v>
      </c>
      <c r="EM231" s="54" t="e">
        <f t="shared" si="386"/>
        <v>#N/A</v>
      </c>
      <c r="EN231" s="54" t="b">
        <f t="shared" si="387"/>
        <v>0</v>
      </c>
      <c r="EO231" s="54" t="b">
        <f t="shared" si="388"/>
        <v>1</v>
      </c>
      <c r="EP231" s="54" t="b">
        <f t="shared" si="389"/>
        <v>1</v>
      </c>
      <c r="EQ231" s="54" t="b">
        <f t="shared" si="390"/>
        <v>0</v>
      </c>
      <c r="ER231" s="54">
        <f t="shared" si="391"/>
        <v>3.5172293628326259E-2</v>
      </c>
      <c r="ES231" s="54">
        <f t="shared" si="392"/>
        <v>3.5172293628326259E-2</v>
      </c>
      <c r="ET231" s="54" t="e">
        <f t="shared" si="393"/>
        <v>#N/A</v>
      </c>
      <c r="EU231" s="69" t="str">
        <f t="shared" si="394"/>
        <v/>
      </c>
      <c r="EV23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3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3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31" s="54" t="e" cm="1">
        <f t="array" ref="EY231">IF($CR$3,INDEX(Eu_tabel_a[[#This Row],[Styrke venstre]:[Styrke tosidet]],EY$7),NA())</f>
        <v>#N/A</v>
      </c>
      <c r="EZ231" s="54" t="e">
        <f>IF(EY$3,IF(CHOOSE(EY$7,Eu_tabel_a[[#This Row],[x base]]&gt;0,Eu_tabel_a[[#This Row],[x base]]&lt;0,Eu_tabel_a[[#This Row],[x base]]=0),1,NA()),NA())</f>
        <v>#N/A</v>
      </c>
      <c r="FA231" s="54" t="e">
        <f>IF(CHOOSE(EY$7,Eu_tabel_a[[#This Row],[x base]]&gt;0,Eu_tabel_a[[#This Row],[x base]]&lt;0,Eu_tabel_a[[#This Row],[x base]]=0),Eu_tabel_a[[#This Row],[Styrke, aktiv]],NA())</f>
        <v>#N/A</v>
      </c>
      <c r="FB231" s="54" t="e">
        <f>IFERROR(IF($EY$3,Eu_tabel_a[[#This Row],[Styrke, aktiv]],NA()),NA())</f>
        <v>#N/A</v>
      </c>
      <c r="FC231" s="54" t="e">
        <f>IF(ISNA(Eu_tabel_a[[#This Row],[Sand negativ
Nulhypotese afvises
Korrekt]]),NA(),IF(EY$3,1,NA()))</f>
        <v>#N/A</v>
      </c>
      <c r="FD231" s="55" t="str" cm="1">
        <f t="array" ref="FD231">IFERROR(_xlfn.SWITCH(Eu_tabel_a[[#This Row],[Indeks]],_xlfn.IFNA(FB$2,-99),FB$5,_xlfn.IFNA(FB$3,-99),FB$6,_xlfn.IFNA(FB$4,-99),FB$7,""),"")</f>
        <v/>
      </c>
      <c r="FE231" s="54">
        <f>Eu_tabel_a[[#This Row],[x base]]*SQRT(Eu_a_h0_x*(1-Eu_a_h0_x)/Eu_a_n_x)+Eu_a_h0_x</f>
        <v>0</v>
      </c>
      <c r="FJ231" s="144" t="e">
        <f t="shared" si="338"/>
        <v>#N/A</v>
      </c>
      <c r="FK231" s="152" t="e">
        <f t="shared" si="426"/>
        <v>#DIV/0!</v>
      </c>
      <c r="FL231" s="7" t="e">
        <f t="shared" si="332"/>
        <v>#DIV/0!</v>
      </c>
      <c r="FM231" t="e">
        <f t="shared" si="427"/>
        <v>#DIV/0!</v>
      </c>
      <c r="FN231" s="8" t="e">
        <f t="shared" si="428"/>
        <v>#DIV/0!</v>
      </c>
      <c r="FO231" s="8" t="e">
        <f t="shared" si="429"/>
        <v>#DIV/0!</v>
      </c>
      <c r="FP231" s="151" t="e">
        <f t="shared" si="430"/>
        <v>#DIV/0!</v>
      </c>
      <c r="FQ231" s="144" t="e">
        <f t="shared" ca="1" si="333"/>
        <v>#N/A</v>
      </c>
      <c r="FR231" s="152" t="e" vm="3">
        <f t="shared" ca="1" si="339"/>
        <v>#VALUE!</v>
      </c>
      <c r="FS231" s="7" t="e" vm="3">
        <f t="shared" ca="1" si="334"/>
        <v>#VALUE!</v>
      </c>
      <c r="FT231" t="e" vm="3">
        <f t="shared" ca="1" si="328"/>
        <v>#VALUE!</v>
      </c>
      <c r="FU231" s="8" t="e" vm="3">
        <f t="shared" ca="1" si="329"/>
        <v>#VALUE!</v>
      </c>
      <c r="FV231" s="8" t="e" vm="3">
        <f t="shared" ca="1" si="330"/>
        <v>#VALUE!</v>
      </c>
      <c r="FW231" s="151" t="e" vm="3">
        <f t="shared" ca="1" si="331"/>
        <v>#VALUE!</v>
      </c>
      <c r="FX231" s="144" t="e">
        <f t="shared" si="335"/>
        <v>#N/A</v>
      </c>
      <c r="FY231" s="152" t="e">
        <f t="shared" si="340"/>
        <v>#N/A</v>
      </c>
      <c r="FZ231" s="7" t="e">
        <f t="shared" si="336"/>
        <v>#N/A</v>
      </c>
      <c r="GA231" t="e">
        <f t="shared" si="341"/>
        <v>#N/A</v>
      </c>
      <c r="GB231" s="8" t="e">
        <f t="shared" si="342"/>
        <v>#N/A</v>
      </c>
      <c r="GC231" s="8" t="e">
        <f t="shared" si="343"/>
        <v>#N/A</v>
      </c>
      <c r="GD231" s="151" t="e">
        <f t="shared" si="344"/>
        <v>#N/A</v>
      </c>
      <c r="GE231" s="144" t="e">
        <f t="shared" si="345"/>
        <v>#N/A</v>
      </c>
      <c r="GF231" s="152" t="e">
        <f t="shared" si="346"/>
        <v>#N/A</v>
      </c>
      <c r="GG231" s="7" t="e">
        <f t="shared" si="337"/>
        <v>#N/A</v>
      </c>
      <c r="GH231" t="e">
        <f t="shared" si="347"/>
        <v>#N/A</v>
      </c>
      <c r="GI231" s="8" t="e">
        <f t="shared" si="348"/>
        <v>#N/A</v>
      </c>
      <c r="GJ231" s="8" t="e">
        <f t="shared" si="349"/>
        <v>#N/A</v>
      </c>
      <c r="GK231" s="151" t="e">
        <f t="shared" si="350"/>
        <v>#N/A</v>
      </c>
      <c r="GL231" s="151"/>
      <c r="GM231" s="151"/>
      <c r="GP231" s="54">
        <f t="shared" si="395"/>
        <v>221</v>
      </c>
      <c r="GQ231" s="54">
        <f t="shared" si="396"/>
        <v>222</v>
      </c>
      <c r="GR231" s="54">
        <f t="shared" si="397"/>
        <v>2.2038866059491378</v>
      </c>
      <c r="GS231" s="54">
        <f t="shared" si="398"/>
        <v>3.5172293628326259E-2</v>
      </c>
      <c r="GT231" s="54" t="e">
        <f t="shared" si="399"/>
        <v>#N/A</v>
      </c>
      <c r="GU231" s="54" t="e">
        <f t="shared" si="400"/>
        <v>#N/A</v>
      </c>
      <c r="GV231" s="54" t="e">
        <f t="shared" si="401"/>
        <v>#N/A</v>
      </c>
      <c r="GW231" s="54" t="b">
        <f t="shared" si="402"/>
        <v>0</v>
      </c>
      <c r="GX231" s="54" t="b">
        <f t="shared" si="403"/>
        <v>1</v>
      </c>
      <c r="GY231" s="54" t="b">
        <f t="shared" si="404"/>
        <v>1</v>
      </c>
      <c r="GZ231" s="54" t="b">
        <f t="shared" si="405"/>
        <v>0</v>
      </c>
      <c r="HA231" s="54">
        <f t="shared" si="406"/>
        <v>3.5172293628326259E-2</v>
      </c>
      <c r="HB231" s="54">
        <f t="shared" si="407"/>
        <v>3.5172293628326259E-2</v>
      </c>
      <c r="HC231" s="54" t="e">
        <f t="shared" si="408"/>
        <v>#N/A</v>
      </c>
      <c r="HD231" s="69" t="str">
        <f t="shared" si="409"/>
        <v/>
      </c>
      <c r="HJ231" s="54">
        <f t="shared" si="410"/>
        <v>221</v>
      </c>
      <c r="HK231" s="54">
        <f t="shared" si="411"/>
        <v>222</v>
      </c>
      <c r="HL231" s="54">
        <f t="shared" si="412"/>
        <v>3.4127646963932303</v>
      </c>
      <c r="HM231" s="54" t="e">
        <f t="shared" si="413"/>
        <v>#N/A</v>
      </c>
      <c r="HN231" s="54">
        <f t="shared" si="414"/>
        <v>7.645586764636743E-3</v>
      </c>
      <c r="HO231" s="54" t="e">
        <f t="shared" si="415"/>
        <v>#N/A</v>
      </c>
      <c r="HP231" s="54" t="e">
        <f t="shared" si="416"/>
        <v>#N/A</v>
      </c>
      <c r="HQ231" s="54" t="b">
        <f t="shared" si="417"/>
        <v>0</v>
      </c>
      <c r="HR231" s="54" t="b">
        <f t="shared" si="418"/>
        <v>1</v>
      </c>
      <c r="HS231" s="54" t="b">
        <f t="shared" si="419"/>
        <v>1</v>
      </c>
      <c r="HT231" s="54" t="b">
        <f t="shared" si="420"/>
        <v>0</v>
      </c>
      <c r="HU231" s="54">
        <f t="shared" si="421"/>
        <v>7.645586764636743E-3</v>
      </c>
      <c r="HV231" s="54" t="e">
        <f t="shared" si="422"/>
        <v>#N/A</v>
      </c>
      <c r="HW231" s="54">
        <f t="shared" si="423"/>
        <v>7.645586764636743E-3</v>
      </c>
      <c r="HX231" s="69" t="str">
        <f t="shared" si="424"/>
        <v/>
      </c>
    </row>
    <row r="232" spans="78:232" x14ac:dyDescent="0.2">
      <c r="BZ232" s="54">
        <f t="shared" si="351"/>
        <v>222</v>
      </c>
      <c r="CA232" s="54">
        <f>Eu_tabel_g[[#This Row],[Indeks]]+1</f>
        <v>223</v>
      </c>
      <c r="CB232" s="54">
        <f t="shared" si="352"/>
        <v>2.2278418951442376</v>
      </c>
      <c r="CC232" s="54">
        <f t="shared" si="353"/>
        <v>3.3353976175184367E-2</v>
      </c>
      <c r="CD232" s="54" t="e">
        <f t="shared" si="354"/>
        <v>#N/A</v>
      </c>
      <c r="CE232" s="54" t="e">
        <f t="shared" si="355"/>
        <v>#N/A</v>
      </c>
      <c r="CF232" s="54" t="e">
        <f t="shared" si="356"/>
        <v>#N/A</v>
      </c>
      <c r="CG232" s="54" t="b">
        <f t="shared" si="357"/>
        <v>0</v>
      </c>
      <c r="CH232" s="54" t="b">
        <f t="shared" si="358"/>
        <v>1</v>
      </c>
      <c r="CI232" s="54" t="b">
        <f t="shared" si="359"/>
        <v>1</v>
      </c>
      <c r="CJ232" s="54" t="b">
        <f t="shared" si="360"/>
        <v>0</v>
      </c>
      <c r="CK232" s="54">
        <f t="shared" si="425"/>
        <v>3.3353976175184367E-2</v>
      </c>
      <c r="CL232" s="54">
        <f t="shared" si="361"/>
        <v>3.3353976175184367E-2</v>
      </c>
      <c r="CM232" s="54" t="e">
        <f t="shared" si="362"/>
        <v>#N/A</v>
      </c>
      <c r="CN232" s="69" t="str">
        <f t="shared" si="363"/>
        <v/>
      </c>
      <c r="CO232" s="54">
        <f>_xlfn.NORM.DIST(_xlfn.NORM.INV(1-Eu_g_konfidensniveau,0,1)-Eu_tabel_g[[#This Row],[x base]],0,1,TRUE)</f>
        <v>5.3819131801990506E-5</v>
      </c>
      <c r="CP232" s="54">
        <f>1-_xlfn.NORM.DIST(_xlfn.NORM.INV(Eu_g_konfidensniveau,0,1)-Eu_tabel_g[[#This Row],[x base]],0,1,TRUE)</f>
        <v>0.72004940103926862</v>
      </c>
      <c r="CQ232" s="54">
        <f>_xlfn.NORM.DIST(_xlfn.NORM.INV((1-Eu_g_konfidensniveau)/2,0,1)-Eu_tabel_g[[#This Row],[x base]],0,1,TRUE)+1-_xlfn.NORM.DIST(_xlfn.NORM.INV(1-(1-Eu_g_konfidensniveau)/2,0,1)-Eu_tabel_g[[#This Row],[x base]],0,1,TRUE)</f>
        <v>0.60561743457312678</v>
      </c>
      <c r="CR232" s="54" t="e" cm="1">
        <f t="array" ref="CR232">IF($CR$3,INDEX(Eu_tabel_g[[#This Row],[Styrke venstre]:[Styrke tosidet]],CR$7),NA())</f>
        <v>#N/A</v>
      </c>
      <c r="CS232" s="89" t="e">
        <f>Eu_tabel_g[[#This Row],[Falsk positiv
Nulhypotese accepteres
Fejltype 1]]</f>
        <v>#N/A</v>
      </c>
      <c r="CT232" s="89" t="e">
        <f>IF(CHOOSE(CR$7,Eu_tabel_g[[#This Row],[x base]]&gt;0,Eu_tabel_g[[#This Row],[x base]]&lt;0,Eu_tabel_g[[#This Row],[x base]]=0),Eu_tabel_g[[#This Row],[Styrke, aktiv]],NA())</f>
        <v>#N/A</v>
      </c>
      <c r="CU232" s="89" t="e">
        <f>IFERROR(IF($CR$3,Eu_tabel_g[[#This Row],[Styrke, aktiv]],NA()),NA())</f>
        <v>#N/A</v>
      </c>
      <c r="CV232" s="89" t="e">
        <f>IF(ISNA(Eu_tabel_g[[#This Row],[Sand negativ
Nulhypotese afvises
Korrekt]]),NA(),IF($CR$3,1,NA()))</f>
        <v>#N/A</v>
      </c>
      <c r="CW232" s="56" t="str" cm="1">
        <f t="array" ref="CW232">_xlfn.SWITCH(BZ232,_xlfn.IFNA(CU$2,-99),CU$5,_xlfn.IFNA(CU$3,-99),CU$6,_xlfn.IFNA(CU$4,-99),CU$7,"")</f>
        <v/>
      </c>
      <c r="DA232" s="7">
        <f t="shared" si="364"/>
        <v>0.8</v>
      </c>
      <c r="DB232">
        <f>IF(ROW(Styrkeberegning_G[[#This Row],[X base venstre]])=ROW(Styrkeberegning_G[[#Headers],[X base venstre]])+1,DB$7/(DA$7/$B$67),DB231/(DA231/$B$67))</f>
        <v>-2.8015817870135784</v>
      </c>
      <c r="DC232">
        <f>Styrkeberegning_G[[#This Row],[X base venstre]]*-1</f>
        <v>2.8015817870135784</v>
      </c>
      <c r="DN232" s="54">
        <f t="shared" si="365"/>
        <v>222</v>
      </c>
      <c r="DO232" s="54">
        <f t="shared" si="366"/>
        <v>223</v>
      </c>
      <c r="DP232" s="54">
        <f t="shared" si="367"/>
        <v>27.157582789227913</v>
      </c>
      <c r="DQ232" s="54" t="e">
        <f t="shared" si="368"/>
        <v>#N/A</v>
      </c>
      <c r="DR232" s="54" t="e">
        <f t="shared" si="369"/>
        <v>#N/A</v>
      </c>
      <c r="DS232" s="54">
        <f t="shared" si="370"/>
        <v>1.5163312603205478E-3</v>
      </c>
      <c r="DT232" s="54" t="e">
        <f t="shared" si="371"/>
        <v>#N/A</v>
      </c>
      <c r="DU232" s="54" t="b">
        <f t="shared" si="372"/>
        <v>0</v>
      </c>
      <c r="DV232" s="54" t="b">
        <f t="shared" si="373"/>
        <v>1</v>
      </c>
      <c r="DW232" s="54" t="b">
        <f t="shared" si="374"/>
        <v>1</v>
      </c>
      <c r="DX232" s="54" t="b">
        <f t="shared" si="375"/>
        <v>0</v>
      </c>
      <c r="DY232" s="54">
        <f t="shared" si="376"/>
        <v>1.5163312603205478E-3</v>
      </c>
      <c r="DZ232" s="54">
        <f t="shared" si="377"/>
        <v>1.5163312603205478E-3</v>
      </c>
      <c r="EA232" s="54" t="e">
        <f t="shared" si="378"/>
        <v>#N/A</v>
      </c>
      <c r="EB232" s="69" t="str">
        <f t="shared" si="379"/>
        <v/>
      </c>
      <c r="EG232" s="54">
        <f t="shared" si="380"/>
        <v>222</v>
      </c>
      <c r="EH232" s="54">
        <f t="shared" si="381"/>
        <v>223</v>
      </c>
      <c r="EI232" s="54">
        <f t="shared" si="382"/>
        <v>2.2278418951442376</v>
      </c>
      <c r="EJ232" s="54">
        <f t="shared" si="383"/>
        <v>3.3353976175184367E-2</v>
      </c>
      <c r="EK232" s="54" t="e">
        <f t="shared" si="384"/>
        <v>#N/A</v>
      </c>
      <c r="EL232" s="54" t="e">
        <f t="shared" si="385"/>
        <v>#N/A</v>
      </c>
      <c r="EM232" s="54" t="e">
        <f t="shared" si="386"/>
        <v>#N/A</v>
      </c>
      <c r="EN232" s="54" t="b">
        <f t="shared" si="387"/>
        <v>0</v>
      </c>
      <c r="EO232" s="54" t="b">
        <f t="shared" si="388"/>
        <v>1</v>
      </c>
      <c r="EP232" s="54" t="b">
        <f t="shared" si="389"/>
        <v>1</v>
      </c>
      <c r="EQ232" s="54" t="b">
        <f t="shared" si="390"/>
        <v>0</v>
      </c>
      <c r="ER232" s="54">
        <f t="shared" si="391"/>
        <v>3.3353976175184367E-2</v>
      </c>
      <c r="ES232" s="54">
        <f t="shared" si="392"/>
        <v>3.3353976175184367E-2</v>
      </c>
      <c r="ET232" s="54" t="e">
        <f t="shared" si="393"/>
        <v>#N/A</v>
      </c>
      <c r="EU232" s="69" t="str">
        <f t="shared" si="394"/>
        <v/>
      </c>
      <c r="EV23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3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3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32" s="54" t="e" cm="1">
        <f t="array" ref="EY232">IF($CR$3,INDEX(Eu_tabel_a[[#This Row],[Styrke venstre]:[Styrke tosidet]],EY$7),NA())</f>
        <v>#N/A</v>
      </c>
      <c r="EZ232" s="54" t="e">
        <f>IF(EY$3,IF(CHOOSE(EY$7,Eu_tabel_a[[#This Row],[x base]]&gt;0,Eu_tabel_a[[#This Row],[x base]]&lt;0,Eu_tabel_a[[#This Row],[x base]]=0),1,NA()),NA())</f>
        <v>#N/A</v>
      </c>
      <c r="FA232" s="54" t="e">
        <f>IF(CHOOSE(EY$7,Eu_tabel_a[[#This Row],[x base]]&gt;0,Eu_tabel_a[[#This Row],[x base]]&lt;0,Eu_tabel_a[[#This Row],[x base]]=0),Eu_tabel_a[[#This Row],[Styrke, aktiv]],NA())</f>
        <v>#N/A</v>
      </c>
      <c r="FB232" s="54" t="e">
        <f>IFERROR(IF($EY$3,Eu_tabel_a[[#This Row],[Styrke, aktiv]],NA()),NA())</f>
        <v>#N/A</v>
      </c>
      <c r="FC232" s="54" t="e">
        <f>IF(ISNA(Eu_tabel_a[[#This Row],[Sand negativ
Nulhypotese afvises
Korrekt]]),NA(),IF(EY$3,1,NA()))</f>
        <v>#N/A</v>
      </c>
      <c r="FD232" s="55" t="str" cm="1">
        <f t="array" ref="FD232">IFERROR(_xlfn.SWITCH(Eu_tabel_a[[#This Row],[Indeks]],_xlfn.IFNA(FB$2,-99),FB$5,_xlfn.IFNA(FB$3,-99),FB$6,_xlfn.IFNA(FB$4,-99),FB$7,""),"")</f>
        <v/>
      </c>
      <c r="FE232" s="54">
        <f>Eu_tabel_a[[#This Row],[x base]]*SQRT(Eu_a_h0_x*(1-Eu_a_h0_x)/Eu_a_n_x)+Eu_a_h0_x</f>
        <v>0</v>
      </c>
      <c r="FJ232" s="144" t="e">
        <f t="shared" si="338"/>
        <v>#N/A</v>
      </c>
      <c r="FK232" s="152" t="e">
        <f t="shared" si="426"/>
        <v>#DIV/0!</v>
      </c>
      <c r="FL232" s="7" t="e">
        <f t="shared" si="332"/>
        <v>#DIV/0!</v>
      </c>
      <c r="FM232" t="e">
        <f t="shared" si="427"/>
        <v>#DIV/0!</v>
      </c>
      <c r="FN232" s="8" t="e">
        <f t="shared" si="428"/>
        <v>#DIV/0!</v>
      </c>
      <c r="FO232" s="8" t="e">
        <f t="shared" si="429"/>
        <v>#DIV/0!</v>
      </c>
      <c r="FP232" s="151" t="e">
        <f t="shared" si="430"/>
        <v>#DIV/0!</v>
      </c>
      <c r="FQ232" s="144" t="e">
        <f t="shared" ca="1" si="333"/>
        <v>#N/A</v>
      </c>
      <c r="FR232" s="152" t="e" vm="3">
        <f t="shared" ca="1" si="339"/>
        <v>#VALUE!</v>
      </c>
      <c r="FS232" s="7" t="e" vm="3">
        <f t="shared" ca="1" si="334"/>
        <v>#VALUE!</v>
      </c>
      <c r="FT232" t="e" vm="3">
        <f t="shared" ca="1" si="328"/>
        <v>#VALUE!</v>
      </c>
      <c r="FU232" s="8" t="e" vm="3">
        <f t="shared" ca="1" si="329"/>
        <v>#VALUE!</v>
      </c>
      <c r="FV232" s="8" t="e" vm="3">
        <f t="shared" ca="1" si="330"/>
        <v>#VALUE!</v>
      </c>
      <c r="FW232" s="151" t="e" vm="3">
        <f t="shared" ca="1" si="331"/>
        <v>#VALUE!</v>
      </c>
      <c r="FX232" s="144" t="e">
        <f t="shared" si="335"/>
        <v>#N/A</v>
      </c>
      <c r="FY232" s="152" t="e">
        <f t="shared" si="340"/>
        <v>#N/A</v>
      </c>
      <c r="FZ232" s="7" t="e">
        <f t="shared" si="336"/>
        <v>#N/A</v>
      </c>
      <c r="GA232" t="e">
        <f t="shared" si="341"/>
        <v>#N/A</v>
      </c>
      <c r="GB232" s="8" t="e">
        <f t="shared" si="342"/>
        <v>#N/A</v>
      </c>
      <c r="GC232" s="8" t="e">
        <f t="shared" si="343"/>
        <v>#N/A</v>
      </c>
      <c r="GD232" s="151" t="e">
        <f t="shared" si="344"/>
        <v>#N/A</v>
      </c>
      <c r="GE232" s="144" t="e">
        <f t="shared" si="345"/>
        <v>#N/A</v>
      </c>
      <c r="GF232" s="152" t="e">
        <f t="shared" si="346"/>
        <v>#N/A</v>
      </c>
      <c r="GG232" s="7" t="e">
        <f t="shared" si="337"/>
        <v>#N/A</v>
      </c>
      <c r="GH232" t="e">
        <f t="shared" si="347"/>
        <v>#N/A</v>
      </c>
      <c r="GI232" s="8" t="e">
        <f t="shared" si="348"/>
        <v>#N/A</v>
      </c>
      <c r="GJ232" s="8" t="e">
        <f t="shared" si="349"/>
        <v>#N/A</v>
      </c>
      <c r="GK232" s="151" t="e">
        <f t="shared" si="350"/>
        <v>#N/A</v>
      </c>
      <c r="GL232" s="151"/>
      <c r="GM232" s="151"/>
      <c r="GP232" s="54">
        <f t="shared" si="395"/>
        <v>222</v>
      </c>
      <c r="GQ232" s="54">
        <f t="shared" si="396"/>
        <v>223</v>
      </c>
      <c r="GR232" s="54">
        <f t="shared" si="397"/>
        <v>2.2278418951442376</v>
      </c>
      <c r="GS232" s="54">
        <f t="shared" si="398"/>
        <v>3.3353976175184367E-2</v>
      </c>
      <c r="GT232" s="54" t="e">
        <f t="shared" si="399"/>
        <v>#N/A</v>
      </c>
      <c r="GU232" s="54" t="e">
        <f t="shared" si="400"/>
        <v>#N/A</v>
      </c>
      <c r="GV232" s="54" t="e">
        <f t="shared" si="401"/>
        <v>#N/A</v>
      </c>
      <c r="GW232" s="54" t="b">
        <f t="shared" si="402"/>
        <v>0</v>
      </c>
      <c r="GX232" s="54" t="b">
        <f t="shared" si="403"/>
        <v>1</v>
      </c>
      <c r="GY232" s="54" t="b">
        <f t="shared" si="404"/>
        <v>1</v>
      </c>
      <c r="GZ232" s="54" t="b">
        <f t="shared" si="405"/>
        <v>0</v>
      </c>
      <c r="HA232" s="54">
        <f t="shared" si="406"/>
        <v>3.3353976175184367E-2</v>
      </c>
      <c r="HB232" s="54">
        <f t="shared" si="407"/>
        <v>3.3353976175184367E-2</v>
      </c>
      <c r="HC232" s="54" t="e">
        <f t="shared" si="408"/>
        <v>#N/A</v>
      </c>
      <c r="HD232" s="69" t="str">
        <f t="shared" si="409"/>
        <v/>
      </c>
      <c r="HJ232" s="54">
        <f t="shared" si="410"/>
        <v>222</v>
      </c>
      <c r="HK232" s="54">
        <f t="shared" si="411"/>
        <v>223</v>
      </c>
      <c r="HL232" s="54">
        <f t="shared" si="412"/>
        <v>3.449859964832287</v>
      </c>
      <c r="HM232" s="54" t="e">
        <f t="shared" si="413"/>
        <v>#N/A</v>
      </c>
      <c r="HN232" s="54">
        <f t="shared" si="414"/>
        <v>7.2419422765507679E-3</v>
      </c>
      <c r="HO232" s="54" t="e">
        <f t="shared" si="415"/>
        <v>#N/A</v>
      </c>
      <c r="HP232" s="54" t="e">
        <f t="shared" si="416"/>
        <v>#N/A</v>
      </c>
      <c r="HQ232" s="54" t="b">
        <f t="shared" si="417"/>
        <v>0</v>
      </c>
      <c r="HR232" s="54" t="b">
        <f t="shared" si="418"/>
        <v>1</v>
      </c>
      <c r="HS232" s="54" t="b">
        <f t="shared" si="419"/>
        <v>1</v>
      </c>
      <c r="HT232" s="54" t="b">
        <f t="shared" si="420"/>
        <v>0</v>
      </c>
      <c r="HU232" s="54">
        <f t="shared" si="421"/>
        <v>7.2419422765507679E-3</v>
      </c>
      <c r="HV232" s="54" t="e">
        <f t="shared" si="422"/>
        <v>#N/A</v>
      </c>
      <c r="HW232" s="54">
        <f t="shared" si="423"/>
        <v>7.2419422765507679E-3</v>
      </c>
      <c r="HX232" s="69" t="str">
        <f t="shared" si="424"/>
        <v/>
      </c>
    </row>
    <row r="233" spans="78:232" x14ac:dyDescent="0.2">
      <c r="BZ233" s="54">
        <f t="shared" si="351"/>
        <v>223</v>
      </c>
      <c r="CA233" s="54">
        <f>Eu_tabel_g[[#This Row],[Indeks]]+1</f>
        <v>224</v>
      </c>
      <c r="CB233" s="54">
        <f t="shared" si="352"/>
        <v>2.2517971843393365</v>
      </c>
      <c r="CC233" s="54">
        <f t="shared" si="353"/>
        <v>3.161151541500333E-2</v>
      </c>
      <c r="CD233" s="54" t="e">
        <f t="shared" si="354"/>
        <v>#N/A</v>
      </c>
      <c r="CE233" s="54" t="e">
        <f t="shared" si="355"/>
        <v>#N/A</v>
      </c>
      <c r="CF233" s="54" t="e">
        <f t="shared" si="356"/>
        <v>#N/A</v>
      </c>
      <c r="CG233" s="54" t="b">
        <f t="shared" si="357"/>
        <v>0</v>
      </c>
      <c r="CH233" s="54" t="b">
        <f t="shared" si="358"/>
        <v>1</v>
      </c>
      <c r="CI233" s="54" t="b">
        <f t="shared" si="359"/>
        <v>1</v>
      </c>
      <c r="CJ233" s="54" t="b">
        <f t="shared" si="360"/>
        <v>0</v>
      </c>
      <c r="CK233" s="54">
        <f t="shared" si="425"/>
        <v>3.161151541500333E-2</v>
      </c>
      <c r="CL233" s="54">
        <f t="shared" si="361"/>
        <v>3.161151541500333E-2</v>
      </c>
      <c r="CM233" s="54" t="e">
        <f t="shared" si="362"/>
        <v>#N/A</v>
      </c>
      <c r="CN233" s="69" t="str">
        <f t="shared" si="363"/>
        <v/>
      </c>
      <c r="CO233" s="54">
        <f>_xlfn.NORM.DIST(_xlfn.NORM.INV(1-Eu_g_konfidensniveau,0,1)-Eu_tabel_g[[#This Row],[x base]],0,1,TRUE)</f>
        <v>4.8766041650325435E-5</v>
      </c>
      <c r="CP233" s="54">
        <f>1-_xlfn.NORM.DIST(_xlfn.NORM.INV(Eu_g_konfidensniveau,0,1)-Eu_tabel_g[[#This Row],[x base]],0,1,TRUE)</f>
        <v>0.72805581482902693</v>
      </c>
      <c r="CQ233" s="54">
        <f>_xlfn.NORM.DIST(_xlfn.NORM.INV((1-Eu_g_konfidensniveau)/2,0,1)-Eu_tabel_g[[#This Row],[x base]],0,1,TRUE)+1-_xlfn.NORM.DIST(_xlfn.NORM.INV(1-(1-Eu_g_konfidensniveau)/2,0,1)-Eu_tabel_g[[#This Row],[x base]],0,1,TRUE)</f>
        <v>0.61480558944640129</v>
      </c>
      <c r="CR233" s="54" t="e" cm="1">
        <f t="array" ref="CR233">IF($CR$3,INDEX(Eu_tabel_g[[#This Row],[Styrke venstre]:[Styrke tosidet]],CR$7),NA())</f>
        <v>#N/A</v>
      </c>
      <c r="CS233" s="89" t="e">
        <f>Eu_tabel_g[[#This Row],[Falsk positiv
Nulhypotese accepteres
Fejltype 1]]</f>
        <v>#N/A</v>
      </c>
      <c r="CT233" s="89" t="e">
        <f>IF(CHOOSE(CR$7,Eu_tabel_g[[#This Row],[x base]]&gt;0,Eu_tabel_g[[#This Row],[x base]]&lt;0,Eu_tabel_g[[#This Row],[x base]]=0),Eu_tabel_g[[#This Row],[Styrke, aktiv]],NA())</f>
        <v>#N/A</v>
      </c>
      <c r="CU233" s="89" t="e">
        <f>IFERROR(IF($CR$3,Eu_tabel_g[[#This Row],[Styrke, aktiv]],NA()),NA())</f>
        <v>#N/A</v>
      </c>
      <c r="CV233" s="89" t="e">
        <f>IF(ISNA(Eu_tabel_g[[#This Row],[Sand negativ
Nulhypotese afvises
Korrekt]]),NA(),IF($CR$3,1,NA()))</f>
        <v>#N/A</v>
      </c>
      <c r="CW233" s="56" t="str" cm="1">
        <f t="array" ref="CW233">_xlfn.SWITCH(BZ233,_xlfn.IFNA(CU$2,-99),CU$5,_xlfn.IFNA(CU$3,-99),CU$6,_xlfn.IFNA(CU$4,-99),CU$7,"")</f>
        <v/>
      </c>
      <c r="DA233" s="7">
        <f t="shared" si="364"/>
        <v>0.8</v>
      </c>
      <c r="DB233">
        <f>IF(ROW(Styrkeberegning_G[[#This Row],[X base venstre]])=ROW(Styrkeberegning_G[[#Headers],[X base venstre]])+1,DB$7/(DA$7/$B$67),DB232/(DA232/$B$67))</f>
        <v>-2.8015817870135784</v>
      </c>
      <c r="DC233">
        <f>Styrkeberegning_G[[#This Row],[X base venstre]]*-1</f>
        <v>2.8015817870135784</v>
      </c>
      <c r="DN233" s="54">
        <f t="shared" si="365"/>
        <v>223</v>
      </c>
      <c r="DO233" s="54">
        <f t="shared" si="366"/>
        <v>224</v>
      </c>
      <c r="DP233" s="54">
        <f t="shared" si="367"/>
        <v>27.271653645644914</v>
      </c>
      <c r="DQ233" s="54" t="e">
        <f t="shared" si="368"/>
        <v>#N/A</v>
      </c>
      <c r="DR233" s="54" t="e">
        <f t="shared" si="369"/>
        <v>#N/A</v>
      </c>
      <c r="DS233" s="54">
        <f t="shared" si="370"/>
        <v>1.4595384445448083E-3</v>
      </c>
      <c r="DT233" s="54" t="e">
        <f t="shared" si="371"/>
        <v>#N/A</v>
      </c>
      <c r="DU233" s="54" t="b">
        <f t="shared" si="372"/>
        <v>0</v>
      </c>
      <c r="DV233" s="54" t="b">
        <f t="shared" si="373"/>
        <v>1</v>
      </c>
      <c r="DW233" s="54" t="b">
        <f t="shared" si="374"/>
        <v>1</v>
      </c>
      <c r="DX233" s="54" t="b">
        <f t="shared" si="375"/>
        <v>0</v>
      </c>
      <c r="DY233" s="54">
        <f t="shared" si="376"/>
        <v>1.4595384445448083E-3</v>
      </c>
      <c r="DZ233" s="54">
        <f t="shared" si="377"/>
        <v>1.4595384445448083E-3</v>
      </c>
      <c r="EA233" s="54" t="e">
        <f t="shared" si="378"/>
        <v>#N/A</v>
      </c>
      <c r="EB233" s="69" t="str">
        <f t="shared" si="379"/>
        <v/>
      </c>
      <c r="EG233" s="54">
        <f t="shared" si="380"/>
        <v>223</v>
      </c>
      <c r="EH233" s="54">
        <f t="shared" si="381"/>
        <v>224</v>
      </c>
      <c r="EI233" s="54">
        <f t="shared" si="382"/>
        <v>2.2517971843393365</v>
      </c>
      <c r="EJ233" s="54">
        <f t="shared" si="383"/>
        <v>3.161151541500333E-2</v>
      </c>
      <c r="EK233" s="54" t="e">
        <f t="shared" si="384"/>
        <v>#N/A</v>
      </c>
      <c r="EL233" s="54" t="e">
        <f t="shared" si="385"/>
        <v>#N/A</v>
      </c>
      <c r="EM233" s="54" t="e">
        <f t="shared" si="386"/>
        <v>#N/A</v>
      </c>
      <c r="EN233" s="54" t="b">
        <f t="shared" si="387"/>
        <v>0</v>
      </c>
      <c r="EO233" s="54" t="b">
        <f t="shared" si="388"/>
        <v>1</v>
      </c>
      <c r="EP233" s="54" t="b">
        <f t="shared" si="389"/>
        <v>1</v>
      </c>
      <c r="EQ233" s="54" t="b">
        <f t="shared" si="390"/>
        <v>0</v>
      </c>
      <c r="ER233" s="54">
        <f t="shared" si="391"/>
        <v>3.161151541500333E-2</v>
      </c>
      <c r="ES233" s="54">
        <f t="shared" si="392"/>
        <v>3.161151541500333E-2</v>
      </c>
      <c r="ET233" s="54" t="e">
        <f t="shared" si="393"/>
        <v>#N/A</v>
      </c>
      <c r="EU233" s="69" t="str">
        <f t="shared" si="394"/>
        <v/>
      </c>
      <c r="EV23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3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3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33" s="54" t="e" cm="1">
        <f t="array" ref="EY233">IF($CR$3,INDEX(Eu_tabel_a[[#This Row],[Styrke venstre]:[Styrke tosidet]],EY$7),NA())</f>
        <v>#N/A</v>
      </c>
      <c r="EZ233" s="54" t="e">
        <f>IF(EY$3,IF(CHOOSE(EY$7,Eu_tabel_a[[#This Row],[x base]]&gt;0,Eu_tabel_a[[#This Row],[x base]]&lt;0,Eu_tabel_a[[#This Row],[x base]]=0),1,NA()),NA())</f>
        <v>#N/A</v>
      </c>
      <c r="FA233" s="54" t="e">
        <f>IF(CHOOSE(EY$7,Eu_tabel_a[[#This Row],[x base]]&gt;0,Eu_tabel_a[[#This Row],[x base]]&lt;0,Eu_tabel_a[[#This Row],[x base]]=0),Eu_tabel_a[[#This Row],[Styrke, aktiv]],NA())</f>
        <v>#N/A</v>
      </c>
      <c r="FB233" s="54" t="e">
        <f>IFERROR(IF($EY$3,Eu_tabel_a[[#This Row],[Styrke, aktiv]],NA()),NA())</f>
        <v>#N/A</v>
      </c>
      <c r="FC233" s="54" t="e">
        <f>IF(ISNA(Eu_tabel_a[[#This Row],[Sand negativ
Nulhypotese afvises
Korrekt]]),NA(),IF(EY$3,1,NA()))</f>
        <v>#N/A</v>
      </c>
      <c r="FD233" s="55" t="str" cm="1">
        <f t="array" ref="FD233">IFERROR(_xlfn.SWITCH(Eu_tabel_a[[#This Row],[Indeks]],_xlfn.IFNA(FB$2,-99),FB$5,_xlfn.IFNA(FB$3,-99),FB$6,_xlfn.IFNA(FB$4,-99),FB$7,""),"")</f>
        <v/>
      </c>
      <c r="FE233" s="54">
        <f>Eu_tabel_a[[#This Row],[x base]]*SQRT(Eu_a_h0_x*(1-Eu_a_h0_x)/Eu_a_n_x)+Eu_a_h0_x</f>
        <v>0</v>
      </c>
      <c r="FJ233" s="144" t="e">
        <f t="shared" si="338"/>
        <v>#N/A</v>
      </c>
      <c r="FK233" s="152" t="e">
        <f t="shared" si="426"/>
        <v>#DIV/0!</v>
      </c>
      <c r="FL233" s="7" t="e">
        <f t="shared" si="332"/>
        <v>#DIV/0!</v>
      </c>
      <c r="FM233" t="e">
        <f t="shared" si="427"/>
        <v>#DIV/0!</v>
      </c>
      <c r="FN233" s="8" t="e">
        <f t="shared" si="428"/>
        <v>#DIV/0!</v>
      </c>
      <c r="FO233" s="8" t="e">
        <f t="shared" si="429"/>
        <v>#DIV/0!</v>
      </c>
      <c r="FP233" s="151" t="e">
        <f t="shared" si="430"/>
        <v>#DIV/0!</v>
      </c>
      <c r="FQ233" s="144" t="e">
        <f t="shared" ca="1" si="333"/>
        <v>#N/A</v>
      </c>
      <c r="FR233" s="152" t="e" vm="3">
        <f t="shared" ca="1" si="339"/>
        <v>#VALUE!</v>
      </c>
      <c r="FS233" s="7" t="e" vm="3">
        <f t="shared" ca="1" si="334"/>
        <v>#VALUE!</v>
      </c>
      <c r="FT233" t="e" vm="3">
        <f t="shared" ca="1" si="328"/>
        <v>#VALUE!</v>
      </c>
      <c r="FU233" s="8" t="e" vm="3">
        <f t="shared" ca="1" si="329"/>
        <v>#VALUE!</v>
      </c>
      <c r="FV233" s="8" t="e" vm="3">
        <f t="shared" ca="1" si="330"/>
        <v>#VALUE!</v>
      </c>
      <c r="FW233" s="151" t="e" vm="3">
        <f t="shared" ca="1" si="331"/>
        <v>#VALUE!</v>
      </c>
      <c r="FX233" s="144" t="e">
        <f t="shared" si="335"/>
        <v>#N/A</v>
      </c>
      <c r="FY233" s="152" t="e">
        <f t="shared" si="340"/>
        <v>#N/A</v>
      </c>
      <c r="FZ233" s="7" t="e">
        <f t="shared" si="336"/>
        <v>#N/A</v>
      </c>
      <c r="GA233" t="e">
        <f t="shared" si="341"/>
        <v>#N/A</v>
      </c>
      <c r="GB233" s="8" t="e">
        <f t="shared" si="342"/>
        <v>#N/A</v>
      </c>
      <c r="GC233" s="8" t="e">
        <f t="shared" si="343"/>
        <v>#N/A</v>
      </c>
      <c r="GD233" s="151" t="e">
        <f t="shared" si="344"/>
        <v>#N/A</v>
      </c>
      <c r="GE233" s="144" t="e">
        <f t="shared" si="345"/>
        <v>#N/A</v>
      </c>
      <c r="GF233" s="152" t="e">
        <f t="shared" si="346"/>
        <v>#N/A</v>
      </c>
      <c r="GG233" s="7" t="e">
        <f t="shared" si="337"/>
        <v>#N/A</v>
      </c>
      <c r="GH233" t="e">
        <f t="shared" si="347"/>
        <v>#N/A</v>
      </c>
      <c r="GI233" s="8" t="e">
        <f t="shared" si="348"/>
        <v>#N/A</v>
      </c>
      <c r="GJ233" s="8" t="e">
        <f t="shared" si="349"/>
        <v>#N/A</v>
      </c>
      <c r="GK233" s="151" t="e">
        <f t="shared" si="350"/>
        <v>#N/A</v>
      </c>
      <c r="GL233" s="151"/>
      <c r="GM233" s="151"/>
      <c r="GP233" s="54">
        <f t="shared" si="395"/>
        <v>223</v>
      </c>
      <c r="GQ233" s="54">
        <f t="shared" si="396"/>
        <v>224</v>
      </c>
      <c r="GR233" s="54">
        <f t="shared" si="397"/>
        <v>2.2517971843393365</v>
      </c>
      <c r="GS233" s="54">
        <f t="shared" si="398"/>
        <v>3.161151541500333E-2</v>
      </c>
      <c r="GT233" s="54" t="e">
        <f t="shared" si="399"/>
        <v>#N/A</v>
      </c>
      <c r="GU233" s="54" t="e">
        <f t="shared" si="400"/>
        <v>#N/A</v>
      </c>
      <c r="GV233" s="54" t="e">
        <f t="shared" si="401"/>
        <v>#N/A</v>
      </c>
      <c r="GW233" s="54" t="b">
        <f t="shared" si="402"/>
        <v>0</v>
      </c>
      <c r="GX233" s="54" t="b">
        <f t="shared" si="403"/>
        <v>1</v>
      </c>
      <c r="GY233" s="54" t="b">
        <f t="shared" si="404"/>
        <v>1</v>
      </c>
      <c r="GZ233" s="54" t="b">
        <f t="shared" si="405"/>
        <v>0</v>
      </c>
      <c r="HA233" s="54">
        <f t="shared" si="406"/>
        <v>3.161151541500333E-2</v>
      </c>
      <c r="HB233" s="54">
        <f t="shared" si="407"/>
        <v>3.161151541500333E-2</v>
      </c>
      <c r="HC233" s="54" t="e">
        <f t="shared" si="408"/>
        <v>#N/A</v>
      </c>
      <c r="HD233" s="69" t="str">
        <f t="shared" si="409"/>
        <v/>
      </c>
      <c r="HJ233" s="54">
        <f t="shared" si="410"/>
        <v>223</v>
      </c>
      <c r="HK233" s="54">
        <f t="shared" si="411"/>
        <v>224</v>
      </c>
      <c r="HL233" s="54">
        <f t="shared" si="412"/>
        <v>3.4869552332713436</v>
      </c>
      <c r="HM233" s="54" t="e">
        <f t="shared" si="413"/>
        <v>#N/A</v>
      </c>
      <c r="HN233" s="54">
        <f t="shared" si="414"/>
        <v>6.8606439370502287E-3</v>
      </c>
      <c r="HO233" s="54" t="e">
        <f t="shared" si="415"/>
        <v>#N/A</v>
      </c>
      <c r="HP233" s="54" t="e">
        <f t="shared" si="416"/>
        <v>#N/A</v>
      </c>
      <c r="HQ233" s="54" t="b">
        <f t="shared" si="417"/>
        <v>0</v>
      </c>
      <c r="HR233" s="54" t="b">
        <f t="shared" si="418"/>
        <v>1</v>
      </c>
      <c r="HS233" s="54" t="b">
        <f t="shared" si="419"/>
        <v>1</v>
      </c>
      <c r="HT233" s="54" t="b">
        <f t="shared" si="420"/>
        <v>0</v>
      </c>
      <c r="HU233" s="54">
        <f t="shared" si="421"/>
        <v>6.8606439370502287E-3</v>
      </c>
      <c r="HV233" s="54" t="e">
        <f t="shared" si="422"/>
        <v>#N/A</v>
      </c>
      <c r="HW233" s="54">
        <f t="shared" si="423"/>
        <v>6.8606439370502287E-3</v>
      </c>
      <c r="HX233" s="69" t="str">
        <f t="shared" si="424"/>
        <v/>
      </c>
    </row>
    <row r="234" spans="78:232" x14ac:dyDescent="0.2">
      <c r="BZ234" s="54">
        <f t="shared" si="351"/>
        <v>224</v>
      </c>
      <c r="CA234" s="54">
        <f>Eu_tabel_g[[#This Row],[Indeks]]+1</f>
        <v>225</v>
      </c>
      <c r="CB234" s="54">
        <f t="shared" si="352"/>
        <v>2.2757524735344363</v>
      </c>
      <c r="CC234" s="54">
        <f t="shared" si="353"/>
        <v>2.9942895529230493E-2</v>
      </c>
      <c r="CD234" s="54" t="e">
        <f t="shared" si="354"/>
        <v>#N/A</v>
      </c>
      <c r="CE234" s="54" t="e">
        <f t="shared" si="355"/>
        <v>#N/A</v>
      </c>
      <c r="CF234" s="54" t="e">
        <f t="shared" si="356"/>
        <v>#N/A</v>
      </c>
      <c r="CG234" s="54" t="b">
        <f t="shared" si="357"/>
        <v>0</v>
      </c>
      <c r="CH234" s="54" t="b">
        <f t="shared" si="358"/>
        <v>1</v>
      </c>
      <c r="CI234" s="54" t="b">
        <f t="shared" si="359"/>
        <v>1</v>
      </c>
      <c r="CJ234" s="54" t="b">
        <f t="shared" si="360"/>
        <v>0</v>
      </c>
      <c r="CK234" s="54">
        <f t="shared" si="425"/>
        <v>2.9942895529230493E-2</v>
      </c>
      <c r="CL234" s="54">
        <f t="shared" si="361"/>
        <v>2.9942895529230493E-2</v>
      </c>
      <c r="CM234" s="54" t="e">
        <f t="shared" si="362"/>
        <v>#N/A</v>
      </c>
      <c r="CN234" s="69" t="str">
        <f t="shared" si="363"/>
        <v/>
      </c>
      <c r="CO234" s="54">
        <f>_xlfn.NORM.DIST(_xlfn.NORM.INV(1-Eu_g_konfidensniveau,0,1)-Eu_tabel_g[[#This Row],[x base]],0,1,TRUE)</f>
        <v>4.4163268256781084E-5</v>
      </c>
      <c r="CP234" s="54">
        <f>1-_xlfn.NORM.DIST(_xlfn.NORM.INV(Eu_g_konfidensniveau,0,1)-Eu_tabel_g[[#This Row],[x base]],0,1,TRUE)</f>
        <v>0.73594666696484901</v>
      </c>
      <c r="CQ234" s="54">
        <f>_xlfn.NORM.DIST(_xlfn.NORM.INV((1-Eu_g_konfidensniveau)/2,0,1)-Eu_tabel_g[[#This Row],[x base]],0,1,TRUE)+1-_xlfn.NORM.DIST(_xlfn.NORM.INV(1-(1-Eu_g_konfidensniveau)/2,0,1)-Eu_tabel_g[[#This Row],[x base]],0,1,TRUE)</f>
        <v>0.62392986328924083</v>
      </c>
      <c r="CR234" s="54" t="e" cm="1">
        <f t="array" ref="CR234">IF($CR$3,INDEX(Eu_tabel_g[[#This Row],[Styrke venstre]:[Styrke tosidet]],CR$7),NA())</f>
        <v>#N/A</v>
      </c>
      <c r="CS234" s="89" t="e">
        <f>Eu_tabel_g[[#This Row],[Falsk positiv
Nulhypotese accepteres
Fejltype 1]]</f>
        <v>#N/A</v>
      </c>
      <c r="CT234" s="89" t="e">
        <f>IF(CHOOSE(CR$7,Eu_tabel_g[[#This Row],[x base]]&gt;0,Eu_tabel_g[[#This Row],[x base]]&lt;0,Eu_tabel_g[[#This Row],[x base]]=0),Eu_tabel_g[[#This Row],[Styrke, aktiv]],NA())</f>
        <v>#N/A</v>
      </c>
      <c r="CU234" s="89" t="e">
        <f>IFERROR(IF($CR$3,Eu_tabel_g[[#This Row],[Styrke, aktiv]],NA()),NA())</f>
        <v>#N/A</v>
      </c>
      <c r="CV234" s="89" t="e">
        <f>IF(ISNA(Eu_tabel_g[[#This Row],[Sand negativ
Nulhypotese afvises
Korrekt]]),NA(),IF($CR$3,1,NA()))</f>
        <v>#N/A</v>
      </c>
      <c r="CW234" s="56" t="str" cm="1">
        <f t="array" ref="CW234">_xlfn.SWITCH(BZ234,_xlfn.IFNA(CU$2,-99),CU$5,_xlfn.IFNA(CU$3,-99),CU$6,_xlfn.IFNA(CU$4,-99),CU$7,"")</f>
        <v/>
      </c>
      <c r="DA234" s="7">
        <f t="shared" si="364"/>
        <v>0.8</v>
      </c>
      <c r="DB234">
        <f>IF(ROW(Styrkeberegning_G[[#This Row],[X base venstre]])=ROW(Styrkeberegning_G[[#Headers],[X base venstre]])+1,DB$7/(DA$7/$B$67),DB233/(DA233/$B$67))</f>
        <v>-2.8015817870135784</v>
      </c>
      <c r="DC234">
        <f>Styrkeberegning_G[[#This Row],[X base venstre]]*-1</f>
        <v>2.8015817870135784</v>
      </c>
      <c r="DN234" s="54">
        <f t="shared" si="365"/>
        <v>224</v>
      </c>
      <c r="DO234" s="54">
        <f t="shared" si="366"/>
        <v>225</v>
      </c>
      <c r="DP234" s="54">
        <f t="shared" si="367"/>
        <v>27.385724502061915</v>
      </c>
      <c r="DQ234" s="54" t="e">
        <f t="shared" si="368"/>
        <v>#N/A</v>
      </c>
      <c r="DR234" s="54" t="e">
        <f t="shared" si="369"/>
        <v>#N/A</v>
      </c>
      <c r="DS234" s="54">
        <f t="shared" si="370"/>
        <v>1.4047621503929077E-3</v>
      </c>
      <c r="DT234" s="54" t="e">
        <f t="shared" si="371"/>
        <v>#N/A</v>
      </c>
      <c r="DU234" s="54" t="b">
        <f t="shared" si="372"/>
        <v>0</v>
      </c>
      <c r="DV234" s="54" t="b">
        <f t="shared" si="373"/>
        <v>1</v>
      </c>
      <c r="DW234" s="54" t="b">
        <f t="shared" si="374"/>
        <v>1</v>
      </c>
      <c r="DX234" s="54" t="b">
        <f t="shared" si="375"/>
        <v>0</v>
      </c>
      <c r="DY234" s="54">
        <f t="shared" si="376"/>
        <v>1.4047621503929077E-3</v>
      </c>
      <c r="DZ234" s="54">
        <f t="shared" si="377"/>
        <v>1.4047621503929077E-3</v>
      </c>
      <c r="EA234" s="54" t="e">
        <f t="shared" si="378"/>
        <v>#N/A</v>
      </c>
      <c r="EB234" s="69" t="str">
        <f t="shared" si="379"/>
        <v/>
      </c>
      <c r="EG234" s="54">
        <f t="shared" si="380"/>
        <v>224</v>
      </c>
      <c r="EH234" s="54">
        <f t="shared" si="381"/>
        <v>225</v>
      </c>
      <c r="EI234" s="54">
        <f t="shared" si="382"/>
        <v>2.2757524735344363</v>
      </c>
      <c r="EJ234" s="54">
        <f t="shared" si="383"/>
        <v>2.9942895529230493E-2</v>
      </c>
      <c r="EK234" s="54" t="e">
        <f t="shared" si="384"/>
        <v>#N/A</v>
      </c>
      <c r="EL234" s="54" t="e">
        <f t="shared" si="385"/>
        <v>#N/A</v>
      </c>
      <c r="EM234" s="54" t="e">
        <f t="shared" si="386"/>
        <v>#N/A</v>
      </c>
      <c r="EN234" s="54" t="b">
        <f t="shared" si="387"/>
        <v>0</v>
      </c>
      <c r="EO234" s="54" t="b">
        <f t="shared" si="388"/>
        <v>1</v>
      </c>
      <c r="EP234" s="54" t="b">
        <f t="shared" si="389"/>
        <v>1</v>
      </c>
      <c r="EQ234" s="54" t="b">
        <f t="shared" si="390"/>
        <v>0</v>
      </c>
      <c r="ER234" s="54">
        <f t="shared" si="391"/>
        <v>2.9942895529230493E-2</v>
      </c>
      <c r="ES234" s="54">
        <f t="shared" si="392"/>
        <v>2.9942895529230493E-2</v>
      </c>
      <c r="ET234" s="54" t="e">
        <f t="shared" si="393"/>
        <v>#N/A</v>
      </c>
      <c r="EU234" s="69" t="str">
        <f t="shared" si="394"/>
        <v/>
      </c>
      <c r="EV23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3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3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34" s="54" t="e" cm="1">
        <f t="array" ref="EY234">IF($CR$3,INDEX(Eu_tabel_a[[#This Row],[Styrke venstre]:[Styrke tosidet]],EY$7),NA())</f>
        <v>#N/A</v>
      </c>
      <c r="EZ234" s="54" t="e">
        <f>IF(EY$3,IF(CHOOSE(EY$7,Eu_tabel_a[[#This Row],[x base]]&gt;0,Eu_tabel_a[[#This Row],[x base]]&lt;0,Eu_tabel_a[[#This Row],[x base]]=0),1,NA()),NA())</f>
        <v>#N/A</v>
      </c>
      <c r="FA234" s="54" t="e">
        <f>IF(CHOOSE(EY$7,Eu_tabel_a[[#This Row],[x base]]&gt;0,Eu_tabel_a[[#This Row],[x base]]&lt;0,Eu_tabel_a[[#This Row],[x base]]=0),Eu_tabel_a[[#This Row],[Styrke, aktiv]],NA())</f>
        <v>#N/A</v>
      </c>
      <c r="FB234" s="54" t="e">
        <f>IFERROR(IF($EY$3,Eu_tabel_a[[#This Row],[Styrke, aktiv]],NA()),NA())</f>
        <v>#N/A</v>
      </c>
      <c r="FC234" s="54" t="e">
        <f>IF(ISNA(Eu_tabel_a[[#This Row],[Sand negativ
Nulhypotese afvises
Korrekt]]),NA(),IF(EY$3,1,NA()))</f>
        <v>#N/A</v>
      </c>
      <c r="FD234" s="55" t="str" cm="1">
        <f t="array" ref="FD234">IFERROR(_xlfn.SWITCH(Eu_tabel_a[[#This Row],[Indeks]],_xlfn.IFNA(FB$2,-99),FB$5,_xlfn.IFNA(FB$3,-99),FB$6,_xlfn.IFNA(FB$4,-99),FB$7,""),"")</f>
        <v/>
      </c>
      <c r="FE234" s="54">
        <f>Eu_tabel_a[[#This Row],[x base]]*SQRT(Eu_a_h0_x*(1-Eu_a_h0_x)/Eu_a_n_x)+Eu_a_h0_x</f>
        <v>0</v>
      </c>
      <c r="FJ234" s="144" t="e">
        <f t="shared" si="338"/>
        <v>#N/A</v>
      </c>
      <c r="FK234" s="152" t="e">
        <f t="shared" si="426"/>
        <v>#DIV/0!</v>
      </c>
      <c r="FL234" s="7" t="e">
        <f t="shared" si="332"/>
        <v>#DIV/0!</v>
      </c>
      <c r="FM234" t="e">
        <f t="shared" si="427"/>
        <v>#DIV/0!</v>
      </c>
      <c r="FN234" s="8" t="e">
        <f t="shared" si="428"/>
        <v>#DIV/0!</v>
      </c>
      <c r="FO234" s="8" t="e">
        <f t="shared" si="429"/>
        <v>#DIV/0!</v>
      </c>
      <c r="FP234" s="151" t="e">
        <f t="shared" si="430"/>
        <v>#DIV/0!</v>
      </c>
      <c r="FQ234" s="144" t="e">
        <f t="shared" ca="1" si="333"/>
        <v>#N/A</v>
      </c>
      <c r="FR234" s="152" t="e" vm="3">
        <f t="shared" ca="1" si="339"/>
        <v>#VALUE!</v>
      </c>
      <c r="FS234" s="7" t="e" vm="3">
        <f t="shared" ca="1" si="334"/>
        <v>#VALUE!</v>
      </c>
      <c r="FT234" t="e" vm="3">
        <f t="shared" ca="1" si="328"/>
        <v>#VALUE!</v>
      </c>
      <c r="FU234" s="8" t="e" vm="3">
        <f t="shared" ca="1" si="329"/>
        <v>#VALUE!</v>
      </c>
      <c r="FV234" s="8" t="e" vm="3">
        <f t="shared" ca="1" si="330"/>
        <v>#VALUE!</v>
      </c>
      <c r="FW234" s="151" t="e" vm="3">
        <f t="shared" ca="1" si="331"/>
        <v>#VALUE!</v>
      </c>
      <c r="FX234" s="144" t="e">
        <f t="shared" si="335"/>
        <v>#N/A</v>
      </c>
      <c r="FY234" s="152" t="e">
        <f t="shared" si="340"/>
        <v>#N/A</v>
      </c>
      <c r="FZ234" s="7" t="e">
        <f t="shared" si="336"/>
        <v>#N/A</v>
      </c>
      <c r="GA234" t="e">
        <f t="shared" si="341"/>
        <v>#N/A</v>
      </c>
      <c r="GB234" s="8" t="e">
        <f t="shared" si="342"/>
        <v>#N/A</v>
      </c>
      <c r="GC234" s="8" t="e">
        <f t="shared" si="343"/>
        <v>#N/A</v>
      </c>
      <c r="GD234" s="151" t="e">
        <f t="shared" si="344"/>
        <v>#N/A</v>
      </c>
      <c r="GE234" s="144" t="e">
        <f t="shared" si="345"/>
        <v>#N/A</v>
      </c>
      <c r="GF234" s="152" t="e">
        <f t="shared" si="346"/>
        <v>#N/A</v>
      </c>
      <c r="GG234" s="7" t="e">
        <f t="shared" si="337"/>
        <v>#N/A</v>
      </c>
      <c r="GH234" t="e">
        <f t="shared" si="347"/>
        <v>#N/A</v>
      </c>
      <c r="GI234" s="8" t="e">
        <f t="shared" si="348"/>
        <v>#N/A</v>
      </c>
      <c r="GJ234" s="8" t="e">
        <f t="shared" si="349"/>
        <v>#N/A</v>
      </c>
      <c r="GK234" s="151" t="e">
        <f t="shared" si="350"/>
        <v>#N/A</v>
      </c>
      <c r="GL234" s="151"/>
      <c r="GM234" s="151"/>
      <c r="GP234" s="54">
        <f t="shared" si="395"/>
        <v>224</v>
      </c>
      <c r="GQ234" s="54">
        <f t="shared" si="396"/>
        <v>225</v>
      </c>
      <c r="GR234" s="54">
        <f t="shared" si="397"/>
        <v>2.2757524735344363</v>
      </c>
      <c r="GS234" s="54">
        <f t="shared" si="398"/>
        <v>2.9942895529230493E-2</v>
      </c>
      <c r="GT234" s="54" t="e">
        <f t="shared" si="399"/>
        <v>#N/A</v>
      </c>
      <c r="GU234" s="54" t="e">
        <f t="shared" si="400"/>
        <v>#N/A</v>
      </c>
      <c r="GV234" s="54" t="e">
        <f t="shared" si="401"/>
        <v>#N/A</v>
      </c>
      <c r="GW234" s="54" t="b">
        <f t="shared" si="402"/>
        <v>0</v>
      </c>
      <c r="GX234" s="54" t="b">
        <f t="shared" si="403"/>
        <v>1</v>
      </c>
      <c r="GY234" s="54" t="b">
        <f t="shared" si="404"/>
        <v>1</v>
      </c>
      <c r="GZ234" s="54" t="b">
        <f t="shared" si="405"/>
        <v>0</v>
      </c>
      <c r="HA234" s="54">
        <f t="shared" si="406"/>
        <v>2.9942895529230493E-2</v>
      </c>
      <c r="HB234" s="54">
        <f t="shared" si="407"/>
        <v>2.9942895529230493E-2</v>
      </c>
      <c r="HC234" s="54" t="e">
        <f t="shared" si="408"/>
        <v>#N/A</v>
      </c>
      <c r="HD234" s="69" t="str">
        <f t="shared" si="409"/>
        <v/>
      </c>
      <c r="HJ234" s="54">
        <f t="shared" si="410"/>
        <v>224</v>
      </c>
      <c r="HK234" s="54">
        <f t="shared" si="411"/>
        <v>225</v>
      </c>
      <c r="HL234" s="54">
        <f t="shared" si="412"/>
        <v>3.5240505017104002</v>
      </c>
      <c r="HM234" s="54" t="e">
        <f t="shared" si="413"/>
        <v>#N/A</v>
      </c>
      <c r="HN234" s="54">
        <f t="shared" si="414"/>
        <v>6.5004270274693883E-3</v>
      </c>
      <c r="HO234" s="54" t="e">
        <f t="shared" si="415"/>
        <v>#N/A</v>
      </c>
      <c r="HP234" s="54" t="e">
        <f t="shared" si="416"/>
        <v>#N/A</v>
      </c>
      <c r="HQ234" s="54" t="b">
        <f t="shared" si="417"/>
        <v>0</v>
      </c>
      <c r="HR234" s="54" t="b">
        <f t="shared" si="418"/>
        <v>1</v>
      </c>
      <c r="HS234" s="54" t="b">
        <f t="shared" si="419"/>
        <v>1</v>
      </c>
      <c r="HT234" s="54" t="b">
        <f t="shared" si="420"/>
        <v>0</v>
      </c>
      <c r="HU234" s="54">
        <f t="shared" si="421"/>
        <v>6.5004270274693883E-3</v>
      </c>
      <c r="HV234" s="54" t="e">
        <f t="shared" si="422"/>
        <v>#N/A</v>
      </c>
      <c r="HW234" s="54">
        <f t="shared" si="423"/>
        <v>6.5004270274693883E-3</v>
      </c>
      <c r="HX234" s="69" t="str">
        <f t="shared" si="424"/>
        <v/>
      </c>
    </row>
    <row r="235" spans="78:232" x14ac:dyDescent="0.2">
      <c r="BZ235" s="54">
        <f t="shared" si="351"/>
        <v>225</v>
      </c>
      <c r="CA235" s="54">
        <f>Eu_tabel_g[[#This Row],[Indeks]]+1</f>
        <v>226</v>
      </c>
      <c r="CB235" s="54">
        <f t="shared" si="352"/>
        <v>2.2997077627295353</v>
      </c>
      <c r="CC235" s="54">
        <f t="shared" si="353"/>
        <v>2.8346082828649768E-2</v>
      </c>
      <c r="CD235" s="54" t="e">
        <f t="shared" si="354"/>
        <v>#N/A</v>
      </c>
      <c r="CE235" s="54" t="e">
        <f t="shared" si="355"/>
        <v>#N/A</v>
      </c>
      <c r="CF235" s="54" t="e">
        <f t="shared" si="356"/>
        <v>#N/A</v>
      </c>
      <c r="CG235" s="54" t="b">
        <f t="shared" si="357"/>
        <v>0</v>
      </c>
      <c r="CH235" s="54" t="b">
        <f t="shared" si="358"/>
        <v>1</v>
      </c>
      <c r="CI235" s="54" t="b">
        <f t="shared" si="359"/>
        <v>1</v>
      </c>
      <c r="CJ235" s="54" t="b">
        <f t="shared" si="360"/>
        <v>0</v>
      </c>
      <c r="CK235" s="54">
        <f t="shared" si="425"/>
        <v>2.8346082828649768E-2</v>
      </c>
      <c r="CL235" s="54">
        <f t="shared" si="361"/>
        <v>2.8346082828649768E-2</v>
      </c>
      <c r="CM235" s="54" t="e">
        <f t="shared" si="362"/>
        <v>#N/A</v>
      </c>
      <c r="CN235" s="69" t="str">
        <f t="shared" si="363"/>
        <v/>
      </c>
      <c r="CO235" s="54">
        <f>_xlfn.NORM.DIST(_xlfn.NORM.INV(1-Eu_g_konfidensniveau,0,1)-Eu_tabel_g[[#This Row],[x base]],0,1,TRUE)</f>
        <v>3.9973085832098853E-5</v>
      </c>
      <c r="CP235" s="54">
        <f>1-_xlfn.NORM.DIST(_xlfn.NORM.INV(Eu_g_konfidensniveau,0,1)-Eu_tabel_g[[#This Row],[x base]],0,1,TRUE)</f>
        <v>0.74371916406168304</v>
      </c>
      <c r="CQ235" s="54">
        <f>_xlfn.NORM.DIST(_xlfn.NORM.INV((1-Eu_g_konfidensniveau)/2,0,1)-Eu_tabel_g[[#This Row],[x base]],0,1,TRUE)+1-_xlfn.NORM.DIST(_xlfn.NORM.INV(1-(1-Eu_g_konfidensniveau)/2,0,1)-Eu_tabel_g[[#This Row],[x base]],0,1,TRUE)</f>
        <v>0.63298549116825498</v>
      </c>
      <c r="CR235" s="54" t="e" cm="1">
        <f t="array" ref="CR235">IF($CR$3,INDEX(Eu_tabel_g[[#This Row],[Styrke venstre]:[Styrke tosidet]],CR$7),NA())</f>
        <v>#N/A</v>
      </c>
      <c r="CS235" s="89" t="e">
        <f>Eu_tabel_g[[#This Row],[Falsk positiv
Nulhypotese accepteres
Fejltype 1]]</f>
        <v>#N/A</v>
      </c>
      <c r="CT235" s="89" t="e">
        <f>IF(CHOOSE(CR$7,Eu_tabel_g[[#This Row],[x base]]&gt;0,Eu_tabel_g[[#This Row],[x base]]&lt;0,Eu_tabel_g[[#This Row],[x base]]=0),Eu_tabel_g[[#This Row],[Styrke, aktiv]],NA())</f>
        <v>#N/A</v>
      </c>
      <c r="CU235" s="89" t="e">
        <f>IFERROR(IF($CR$3,Eu_tabel_g[[#This Row],[Styrke, aktiv]],NA()),NA())</f>
        <v>#N/A</v>
      </c>
      <c r="CV235" s="89" t="e">
        <f>IF(ISNA(Eu_tabel_g[[#This Row],[Sand negativ
Nulhypotese afvises
Korrekt]]),NA(),IF($CR$3,1,NA()))</f>
        <v>#N/A</v>
      </c>
      <c r="CW235" s="56" t="str" cm="1">
        <f t="array" ref="CW235">_xlfn.SWITCH(BZ235,_xlfn.IFNA(CU$2,-99),CU$5,_xlfn.IFNA(CU$3,-99),CU$6,_xlfn.IFNA(CU$4,-99),CU$7,"")</f>
        <v/>
      </c>
      <c r="DA235" s="7">
        <f t="shared" si="364"/>
        <v>0.8</v>
      </c>
      <c r="DB235">
        <f>IF(ROW(Styrkeberegning_G[[#This Row],[X base venstre]])=ROW(Styrkeberegning_G[[#Headers],[X base venstre]])+1,DB$7/(DA$7/$B$67),DB234/(DA234/$B$67))</f>
        <v>-2.8015817870135784</v>
      </c>
      <c r="DC235">
        <f>Styrkeberegning_G[[#This Row],[X base venstre]]*-1</f>
        <v>2.8015817870135784</v>
      </c>
      <c r="DN235" s="54">
        <f t="shared" si="365"/>
        <v>225</v>
      </c>
      <c r="DO235" s="54">
        <f t="shared" si="366"/>
        <v>226</v>
      </c>
      <c r="DP235" s="54">
        <f t="shared" si="367"/>
        <v>27.499795358478917</v>
      </c>
      <c r="DQ235" s="54" t="e">
        <f t="shared" si="368"/>
        <v>#N/A</v>
      </c>
      <c r="DR235" s="54" t="e">
        <f t="shared" si="369"/>
        <v>#N/A</v>
      </c>
      <c r="DS235" s="54">
        <f t="shared" si="370"/>
        <v>1.3519360458704474E-3</v>
      </c>
      <c r="DT235" s="54" t="e">
        <f t="shared" si="371"/>
        <v>#N/A</v>
      </c>
      <c r="DU235" s="54" t="b">
        <f t="shared" si="372"/>
        <v>0</v>
      </c>
      <c r="DV235" s="54" t="b">
        <f t="shared" si="373"/>
        <v>1</v>
      </c>
      <c r="DW235" s="54" t="b">
        <f t="shared" si="374"/>
        <v>1</v>
      </c>
      <c r="DX235" s="54" t="b">
        <f t="shared" si="375"/>
        <v>0</v>
      </c>
      <c r="DY235" s="54">
        <f t="shared" si="376"/>
        <v>1.3519360458704474E-3</v>
      </c>
      <c r="DZ235" s="54">
        <f t="shared" si="377"/>
        <v>1.3519360458704474E-3</v>
      </c>
      <c r="EA235" s="54" t="e">
        <f t="shared" si="378"/>
        <v>#N/A</v>
      </c>
      <c r="EB235" s="69" t="str">
        <f t="shared" si="379"/>
        <v/>
      </c>
      <c r="EG235" s="54">
        <f t="shared" si="380"/>
        <v>225</v>
      </c>
      <c r="EH235" s="54">
        <f t="shared" si="381"/>
        <v>226</v>
      </c>
      <c r="EI235" s="54">
        <f t="shared" si="382"/>
        <v>2.2997077627295353</v>
      </c>
      <c r="EJ235" s="54">
        <f t="shared" si="383"/>
        <v>2.8346082828649768E-2</v>
      </c>
      <c r="EK235" s="54" t="e">
        <f t="shared" si="384"/>
        <v>#N/A</v>
      </c>
      <c r="EL235" s="54" t="e">
        <f t="shared" si="385"/>
        <v>#N/A</v>
      </c>
      <c r="EM235" s="54" t="e">
        <f t="shared" si="386"/>
        <v>#N/A</v>
      </c>
      <c r="EN235" s="54" t="b">
        <f t="shared" si="387"/>
        <v>0</v>
      </c>
      <c r="EO235" s="54" t="b">
        <f t="shared" si="388"/>
        <v>1</v>
      </c>
      <c r="EP235" s="54" t="b">
        <f t="shared" si="389"/>
        <v>1</v>
      </c>
      <c r="EQ235" s="54" t="b">
        <f t="shared" si="390"/>
        <v>0</v>
      </c>
      <c r="ER235" s="54">
        <f t="shared" si="391"/>
        <v>2.8346082828649768E-2</v>
      </c>
      <c r="ES235" s="54">
        <f t="shared" si="392"/>
        <v>2.8346082828649768E-2</v>
      </c>
      <c r="ET235" s="54" t="e">
        <f t="shared" si="393"/>
        <v>#N/A</v>
      </c>
      <c r="EU235" s="69" t="str">
        <f t="shared" si="394"/>
        <v/>
      </c>
      <c r="EV23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3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3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35" s="54" t="e" cm="1">
        <f t="array" ref="EY235">IF($CR$3,INDEX(Eu_tabel_a[[#This Row],[Styrke venstre]:[Styrke tosidet]],EY$7),NA())</f>
        <v>#N/A</v>
      </c>
      <c r="EZ235" s="54" t="e">
        <f>IF(EY$3,IF(CHOOSE(EY$7,Eu_tabel_a[[#This Row],[x base]]&gt;0,Eu_tabel_a[[#This Row],[x base]]&lt;0,Eu_tabel_a[[#This Row],[x base]]=0),1,NA()),NA())</f>
        <v>#N/A</v>
      </c>
      <c r="FA235" s="54" t="e">
        <f>IF(CHOOSE(EY$7,Eu_tabel_a[[#This Row],[x base]]&gt;0,Eu_tabel_a[[#This Row],[x base]]&lt;0,Eu_tabel_a[[#This Row],[x base]]=0),Eu_tabel_a[[#This Row],[Styrke, aktiv]],NA())</f>
        <v>#N/A</v>
      </c>
      <c r="FB235" s="54" t="e">
        <f>IFERROR(IF($EY$3,Eu_tabel_a[[#This Row],[Styrke, aktiv]],NA()),NA())</f>
        <v>#N/A</v>
      </c>
      <c r="FC235" s="54" t="e">
        <f>IF(ISNA(Eu_tabel_a[[#This Row],[Sand negativ
Nulhypotese afvises
Korrekt]]),NA(),IF(EY$3,1,NA()))</f>
        <v>#N/A</v>
      </c>
      <c r="FD235" s="55" t="str" cm="1">
        <f t="array" ref="FD235">IFERROR(_xlfn.SWITCH(Eu_tabel_a[[#This Row],[Indeks]],_xlfn.IFNA(FB$2,-99),FB$5,_xlfn.IFNA(FB$3,-99),FB$6,_xlfn.IFNA(FB$4,-99),FB$7,""),"")</f>
        <v/>
      </c>
      <c r="FE235" s="54">
        <f>Eu_tabel_a[[#This Row],[x base]]*SQRT(Eu_a_h0_x*(1-Eu_a_h0_x)/Eu_a_n_x)+Eu_a_h0_x</f>
        <v>0</v>
      </c>
      <c r="FJ235" s="144" t="e">
        <f t="shared" si="338"/>
        <v>#N/A</v>
      </c>
      <c r="FK235" s="152" t="e">
        <f t="shared" si="426"/>
        <v>#DIV/0!</v>
      </c>
      <c r="FL235" s="7" t="e">
        <f t="shared" si="332"/>
        <v>#DIV/0!</v>
      </c>
      <c r="FM235" t="e">
        <f t="shared" si="427"/>
        <v>#DIV/0!</v>
      </c>
      <c r="FN235" s="8" t="e">
        <f t="shared" si="428"/>
        <v>#DIV/0!</v>
      </c>
      <c r="FO235" s="8" t="e">
        <f t="shared" si="429"/>
        <v>#DIV/0!</v>
      </c>
      <c r="FP235" s="151" t="e">
        <f t="shared" si="430"/>
        <v>#DIV/0!</v>
      </c>
      <c r="FQ235" s="144" t="e">
        <f t="shared" ca="1" si="333"/>
        <v>#N/A</v>
      </c>
      <c r="FR235" s="152" t="e" vm="3">
        <f t="shared" ca="1" si="339"/>
        <v>#VALUE!</v>
      </c>
      <c r="FS235" s="7" t="e" vm="3">
        <f t="shared" ca="1" si="334"/>
        <v>#VALUE!</v>
      </c>
      <c r="FT235" t="e" vm="3">
        <f t="shared" ca="1" si="328"/>
        <v>#VALUE!</v>
      </c>
      <c r="FU235" s="8" t="e" vm="3">
        <f t="shared" ca="1" si="329"/>
        <v>#VALUE!</v>
      </c>
      <c r="FV235" s="8" t="e" vm="3">
        <f t="shared" ca="1" si="330"/>
        <v>#VALUE!</v>
      </c>
      <c r="FW235" s="151" t="e" vm="3">
        <f t="shared" ca="1" si="331"/>
        <v>#VALUE!</v>
      </c>
      <c r="FX235" s="144" t="e">
        <f t="shared" si="335"/>
        <v>#N/A</v>
      </c>
      <c r="FY235" s="152" t="e">
        <f t="shared" si="340"/>
        <v>#N/A</v>
      </c>
      <c r="FZ235" s="7" t="e">
        <f t="shared" si="336"/>
        <v>#N/A</v>
      </c>
      <c r="GA235" t="e">
        <f t="shared" si="341"/>
        <v>#N/A</v>
      </c>
      <c r="GB235" s="8" t="e">
        <f t="shared" si="342"/>
        <v>#N/A</v>
      </c>
      <c r="GC235" s="8" t="e">
        <f t="shared" si="343"/>
        <v>#N/A</v>
      </c>
      <c r="GD235" s="151" t="e">
        <f t="shared" si="344"/>
        <v>#N/A</v>
      </c>
      <c r="GE235" s="144" t="e">
        <f t="shared" si="345"/>
        <v>#N/A</v>
      </c>
      <c r="GF235" s="152" t="e">
        <f t="shared" si="346"/>
        <v>#N/A</v>
      </c>
      <c r="GG235" s="7" t="e">
        <f t="shared" si="337"/>
        <v>#N/A</v>
      </c>
      <c r="GH235" t="e">
        <f t="shared" si="347"/>
        <v>#N/A</v>
      </c>
      <c r="GI235" s="8" t="e">
        <f t="shared" si="348"/>
        <v>#N/A</v>
      </c>
      <c r="GJ235" s="8" t="e">
        <f t="shared" si="349"/>
        <v>#N/A</v>
      </c>
      <c r="GK235" s="151" t="e">
        <f t="shared" si="350"/>
        <v>#N/A</v>
      </c>
      <c r="GL235" s="151"/>
      <c r="GM235" s="151"/>
      <c r="GP235" s="54">
        <f t="shared" si="395"/>
        <v>225</v>
      </c>
      <c r="GQ235" s="54">
        <f t="shared" si="396"/>
        <v>226</v>
      </c>
      <c r="GR235" s="54">
        <f t="shared" si="397"/>
        <v>2.2997077627295353</v>
      </c>
      <c r="GS235" s="54">
        <f t="shared" si="398"/>
        <v>2.8346082828649768E-2</v>
      </c>
      <c r="GT235" s="54" t="e">
        <f t="shared" si="399"/>
        <v>#N/A</v>
      </c>
      <c r="GU235" s="54" t="e">
        <f t="shared" si="400"/>
        <v>#N/A</v>
      </c>
      <c r="GV235" s="54" t="e">
        <f t="shared" si="401"/>
        <v>#N/A</v>
      </c>
      <c r="GW235" s="54" t="b">
        <f t="shared" si="402"/>
        <v>0</v>
      </c>
      <c r="GX235" s="54" t="b">
        <f t="shared" si="403"/>
        <v>1</v>
      </c>
      <c r="GY235" s="54" t="b">
        <f t="shared" si="404"/>
        <v>1</v>
      </c>
      <c r="GZ235" s="54" t="b">
        <f t="shared" si="405"/>
        <v>0</v>
      </c>
      <c r="HA235" s="54">
        <f t="shared" si="406"/>
        <v>2.8346082828649768E-2</v>
      </c>
      <c r="HB235" s="54">
        <f t="shared" si="407"/>
        <v>2.8346082828649768E-2</v>
      </c>
      <c r="HC235" s="54" t="e">
        <f t="shared" si="408"/>
        <v>#N/A</v>
      </c>
      <c r="HD235" s="69" t="str">
        <f t="shared" si="409"/>
        <v/>
      </c>
      <c r="HJ235" s="54">
        <f t="shared" si="410"/>
        <v>225</v>
      </c>
      <c r="HK235" s="54">
        <f t="shared" si="411"/>
        <v>226</v>
      </c>
      <c r="HL235" s="54">
        <f t="shared" si="412"/>
        <v>3.5611457701494569</v>
      </c>
      <c r="HM235" s="54" t="e">
        <f t="shared" si="413"/>
        <v>#N/A</v>
      </c>
      <c r="HN235" s="54">
        <f t="shared" si="414"/>
        <v>6.160097552727048E-3</v>
      </c>
      <c r="HO235" s="54" t="e">
        <f t="shared" si="415"/>
        <v>#N/A</v>
      </c>
      <c r="HP235" s="54" t="e">
        <f t="shared" si="416"/>
        <v>#N/A</v>
      </c>
      <c r="HQ235" s="54" t="b">
        <f t="shared" si="417"/>
        <v>0</v>
      </c>
      <c r="HR235" s="54" t="b">
        <f t="shared" si="418"/>
        <v>1</v>
      </c>
      <c r="HS235" s="54" t="b">
        <f t="shared" si="419"/>
        <v>1</v>
      </c>
      <c r="HT235" s="54" t="b">
        <f t="shared" si="420"/>
        <v>0</v>
      </c>
      <c r="HU235" s="54">
        <f t="shared" si="421"/>
        <v>6.160097552727048E-3</v>
      </c>
      <c r="HV235" s="54" t="e">
        <f t="shared" si="422"/>
        <v>#N/A</v>
      </c>
      <c r="HW235" s="54">
        <f t="shared" si="423"/>
        <v>6.160097552727048E-3</v>
      </c>
      <c r="HX235" s="69" t="str">
        <f t="shared" si="424"/>
        <v/>
      </c>
    </row>
    <row r="236" spans="78:232" x14ac:dyDescent="0.2">
      <c r="BZ236" s="54">
        <f t="shared" si="351"/>
        <v>226</v>
      </c>
      <c r="CA236" s="54">
        <f>Eu_tabel_g[[#This Row],[Indeks]]+1</f>
        <v>227</v>
      </c>
      <c r="CB236" s="54">
        <f t="shared" si="352"/>
        <v>2.3236630519246351</v>
      </c>
      <c r="CC236" s="54">
        <f t="shared" si="353"/>
        <v>2.6819031238439629E-2</v>
      </c>
      <c r="CD236" s="54" t="e">
        <f t="shared" si="354"/>
        <v>#N/A</v>
      </c>
      <c r="CE236" s="54" t="e">
        <f t="shared" si="355"/>
        <v>#N/A</v>
      </c>
      <c r="CF236" s="54" t="e">
        <f t="shared" si="356"/>
        <v>#N/A</v>
      </c>
      <c r="CG236" s="54" t="b">
        <f t="shared" si="357"/>
        <v>0</v>
      </c>
      <c r="CH236" s="54" t="b">
        <f t="shared" si="358"/>
        <v>1</v>
      </c>
      <c r="CI236" s="54" t="b">
        <f t="shared" si="359"/>
        <v>1</v>
      </c>
      <c r="CJ236" s="54" t="b">
        <f t="shared" si="360"/>
        <v>0</v>
      </c>
      <c r="CK236" s="54">
        <f t="shared" si="425"/>
        <v>2.6819031238439629E-2</v>
      </c>
      <c r="CL236" s="54">
        <f t="shared" si="361"/>
        <v>2.6819031238439629E-2</v>
      </c>
      <c r="CM236" s="54" t="e">
        <f t="shared" si="362"/>
        <v>#N/A</v>
      </c>
      <c r="CN236" s="69" t="str">
        <f t="shared" si="363"/>
        <v/>
      </c>
      <c r="CO236" s="54">
        <f>_xlfn.NORM.DIST(_xlfn.NORM.INV(1-Eu_g_konfidensniveau,0,1)-Eu_tabel_g[[#This Row],[x base]],0,1,TRUE)</f>
        <v>3.616069815297626E-5</v>
      </c>
      <c r="CP236" s="54">
        <f>1-_xlfn.NORM.DIST(_xlfn.NORM.INV(Eu_g_konfidensniveau,0,1)-Eu_tabel_g[[#This Row],[x base]],0,1,TRUE)</f>
        <v>0.75137068940614915</v>
      </c>
      <c r="CQ236" s="54">
        <f>_xlfn.NORM.DIST(_xlfn.NORM.INV((1-Eu_g_konfidensniveau)/2,0,1)-Eu_tabel_g[[#This Row],[x base]],0,1,TRUE)+1-_xlfn.NORM.DIST(_xlfn.NORM.INV(1-(1-Eu_g_konfidensniveau)/2,0,1)-Eu_tabel_g[[#This Row],[x base]],0,1,TRUE)</f>
        <v>0.64196782362632787</v>
      </c>
      <c r="CR236" s="54" t="e" cm="1">
        <f t="array" ref="CR236">IF($CR$3,INDEX(Eu_tabel_g[[#This Row],[Styrke venstre]:[Styrke tosidet]],CR$7),NA())</f>
        <v>#N/A</v>
      </c>
      <c r="CS236" s="89" t="e">
        <f>Eu_tabel_g[[#This Row],[Falsk positiv
Nulhypotese accepteres
Fejltype 1]]</f>
        <v>#N/A</v>
      </c>
      <c r="CT236" s="89" t="e">
        <f>IF(CHOOSE(CR$7,Eu_tabel_g[[#This Row],[x base]]&gt;0,Eu_tabel_g[[#This Row],[x base]]&lt;0,Eu_tabel_g[[#This Row],[x base]]=0),Eu_tabel_g[[#This Row],[Styrke, aktiv]],NA())</f>
        <v>#N/A</v>
      </c>
      <c r="CU236" s="89" t="e">
        <f>IFERROR(IF($CR$3,Eu_tabel_g[[#This Row],[Styrke, aktiv]],NA()),NA())</f>
        <v>#N/A</v>
      </c>
      <c r="CV236" s="89" t="e">
        <f>IF(ISNA(Eu_tabel_g[[#This Row],[Sand negativ
Nulhypotese afvises
Korrekt]]),NA(),IF($CR$3,1,NA()))</f>
        <v>#N/A</v>
      </c>
      <c r="CW236" s="56" t="str" cm="1">
        <f t="array" ref="CW236">_xlfn.SWITCH(BZ236,_xlfn.IFNA(CU$2,-99),CU$5,_xlfn.IFNA(CU$3,-99),CU$6,_xlfn.IFNA(CU$4,-99),CU$7,"")</f>
        <v/>
      </c>
      <c r="DA236" s="7">
        <f t="shared" si="364"/>
        <v>0.8</v>
      </c>
      <c r="DB236">
        <f>IF(ROW(Styrkeberegning_G[[#This Row],[X base venstre]])=ROW(Styrkeberegning_G[[#Headers],[X base venstre]])+1,DB$7/(DA$7/$B$67),DB235/(DA235/$B$67))</f>
        <v>-2.8015817870135784</v>
      </c>
      <c r="DC236">
        <f>Styrkeberegning_G[[#This Row],[X base venstre]]*-1</f>
        <v>2.8015817870135784</v>
      </c>
      <c r="DN236" s="54">
        <f t="shared" si="365"/>
        <v>226</v>
      </c>
      <c r="DO236" s="54">
        <f t="shared" si="366"/>
        <v>227</v>
      </c>
      <c r="DP236" s="54">
        <f t="shared" si="367"/>
        <v>27.613866214895918</v>
      </c>
      <c r="DQ236" s="54" t="e">
        <f t="shared" si="368"/>
        <v>#N/A</v>
      </c>
      <c r="DR236" s="54" t="e">
        <f t="shared" si="369"/>
        <v>#N/A</v>
      </c>
      <c r="DS236" s="54">
        <f t="shared" si="370"/>
        <v>1.3009957284929644E-3</v>
      </c>
      <c r="DT236" s="54" t="e">
        <f t="shared" si="371"/>
        <v>#N/A</v>
      </c>
      <c r="DU236" s="54" t="b">
        <f t="shared" si="372"/>
        <v>0</v>
      </c>
      <c r="DV236" s="54" t="b">
        <f t="shared" si="373"/>
        <v>1</v>
      </c>
      <c r="DW236" s="54" t="b">
        <f t="shared" si="374"/>
        <v>1</v>
      </c>
      <c r="DX236" s="54" t="b">
        <f t="shared" si="375"/>
        <v>0</v>
      </c>
      <c r="DY236" s="54">
        <f t="shared" si="376"/>
        <v>1.3009957284929644E-3</v>
      </c>
      <c r="DZ236" s="54">
        <f t="shared" si="377"/>
        <v>1.3009957284929644E-3</v>
      </c>
      <c r="EA236" s="54" t="e">
        <f t="shared" si="378"/>
        <v>#N/A</v>
      </c>
      <c r="EB236" s="69" t="str">
        <f t="shared" si="379"/>
        <v/>
      </c>
      <c r="EG236" s="54">
        <f t="shared" si="380"/>
        <v>226</v>
      </c>
      <c r="EH236" s="54">
        <f t="shared" si="381"/>
        <v>227</v>
      </c>
      <c r="EI236" s="54">
        <f t="shared" si="382"/>
        <v>2.3236630519246351</v>
      </c>
      <c r="EJ236" s="54">
        <f t="shared" si="383"/>
        <v>2.6819031238439629E-2</v>
      </c>
      <c r="EK236" s="54" t="e">
        <f t="shared" si="384"/>
        <v>#N/A</v>
      </c>
      <c r="EL236" s="54" t="e">
        <f t="shared" si="385"/>
        <v>#N/A</v>
      </c>
      <c r="EM236" s="54" t="e">
        <f t="shared" si="386"/>
        <v>#N/A</v>
      </c>
      <c r="EN236" s="54" t="b">
        <f t="shared" si="387"/>
        <v>0</v>
      </c>
      <c r="EO236" s="54" t="b">
        <f t="shared" si="388"/>
        <v>1</v>
      </c>
      <c r="EP236" s="54" t="b">
        <f t="shared" si="389"/>
        <v>1</v>
      </c>
      <c r="EQ236" s="54" t="b">
        <f t="shared" si="390"/>
        <v>0</v>
      </c>
      <c r="ER236" s="54">
        <f t="shared" si="391"/>
        <v>2.6819031238439629E-2</v>
      </c>
      <c r="ES236" s="54">
        <f t="shared" si="392"/>
        <v>2.6819031238439629E-2</v>
      </c>
      <c r="ET236" s="54" t="e">
        <f t="shared" si="393"/>
        <v>#N/A</v>
      </c>
      <c r="EU236" s="69" t="str">
        <f t="shared" si="394"/>
        <v/>
      </c>
      <c r="EV23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3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3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36" s="54" t="e" cm="1">
        <f t="array" ref="EY236">IF($CR$3,INDEX(Eu_tabel_a[[#This Row],[Styrke venstre]:[Styrke tosidet]],EY$7),NA())</f>
        <v>#N/A</v>
      </c>
      <c r="EZ236" s="54" t="e">
        <f>IF(EY$3,IF(CHOOSE(EY$7,Eu_tabel_a[[#This Row],[x base]]&gt;0,Eu_tabel_a[[#This Row],[x base]]&lt;0,Eu_tabel_a[[#This Row],[x base]]=0),1,NA()),NA())</f>
        <v>#N/A</v>
      </c>
      <c r="FA236" s="54" t="e">
        <f>IF(CHOOSE(EY$7,Eu_tabel_a[[#This Row],[x base]]&gt;0,Eu_tabel_a[[#This Row],[x base]]&lt;0,Eu_tabel_a[[#This Row],[x base]]=0),Eu_tabel_a[[#This Row],[Styrke, aktiv]],NA())</f>
        <v>#N/A</v>
      </c>
      <c r="FB236" s="54" t="e">
        <f>IFERROR(IF($EY$3,Eu_tabel_a[[#This Row],[Styrke, aktiv]],NA()),NA())</f>
        <v>#N/A</v>
      </c>
      <c r="FC236" s="54" t="e">
        <f>IF(ISNA(Eu_tabel_a[[#This Row],[Sand negativ
Nulhypotese afvises
Korrekt]]),NA(),IF(EY$3,1,NA()))</f>
        <v>#N/A</v>
      </c>
      <c r="FD236" s="55" t="str" cm="1">
        <f t="array" ref="FD236">IFERROR(_xlfn.SWITCH(Eu_tabel_a[[#This Row],[Indeks]],_xlfn.IFNA(FB$2,-99),FB$5,_xlfn.IFNA(FB$3,-99),FB$6,_xlfn.IFNA(FB$4,-99),FB$7,""),"")</f>
        <v/>
      </c>
      <c r="FE236" s="54">
        <f>Eu_tabel_a[[#This Row],[x base]]*SQRT(Eu_a_h0_x*(1-Eu_a_h0_x)/Eu_a_n_x)+Eu_a_h0_x</f>
        <v>0</v>
      </c>
      <c r="FJ236" s="144" t="e">
        <f t="shared" si="338"/>
        <v>#N/A</v>
      </c>
      <c r="FK236" s="152" t="e">
        <f t="shared" si="426"/>
        <v>#DIV/0!</v>
      </c>
      <c r="FL236" s="7" t="e">
        <f t="shared" si="332"/>
        <v>#DIV/0!</v>
      </c>
      <c r="FM236" t="e">
        <f t="shared" si="427"/>
        <v>#DIV/0!</v>
      </c>
      <c r="FN236" s="8" t="e">
        <f t="shared" si="428"/>
        <v>#DIV/0!</v>
      </c>
      <c r="FO236" s="8" t="e">
        <f t="shared" si="429"/>
        <v>#DIV/0!</v>
      </c>
      <c r="FP236" s="151" t="e">
        <f t="shared" si="430"/>
        <v>#DIV/0!</v>
      </c>
      <c r="FQ236" s="144" t="e">
        <f t="shared" ca="1" si="333"/>
        <v>#N/A</v>
      </c>
      <c r="FR236" s="152" t="e" vm="3">
        <f t="shared" ca="1" si="339"/>
        <v>#VALUE!</v>
      </c>
      <c r="FS236" s="7" t="e" vm="3">
        <f t="shared" ca="1" si="334"/>
        <v>#VALUE!</v>
      </c>
      <c r="FT236" t="e" vm="3">
        <f t="shared" ca="1" si="328"/>
        <v>#VALUE!</v>
      </c>
      <c r="FU236" s="8" t="e" vm="3">
        <f t="shared" ca="1" si="329"/>
        <v>#VALUE!</v>
      </c>
      <c r="FV236" s="8" t="e" vm="3">
        <f t="shared" ca="1" si="330"/>
        <v>#VALUE!</v>
      </c>
      <c r="FW236" s="151" t="e" vm="3">
        <f t="shared" ca="1" si="331"/>
        <v>#VALUE!</v>
      </c>
      <c r="FX236" s="144" t="e">
        <f t="shared" si="335"/>
        <v>#N/A</v>
      </c>
      <c r="FY236" s="152" t="e">
        <f t="shared" si="340"/>
        <v>#N/A</v>
      </c>
      <c r="FZ236" s="7" t="e">
        <f t="shared" si="336"/>
        <v>#N/A</v>
      </c>
      <c r="GA236" t="e">
        <f t="shared" si="341"/>
        <v>#N/A</v>
      </c>
      <c r="GB236" s="8" t="e">
        <f t="shared" si="342"/>
        <v>#N/A</v>
      </c>
      <c r="GC236" s="8" t="e">
        <f t="shared" si="343"/>
        <v>#N/A</v>
      </c>
      <c r="GD236" s="151" t="e">
        <f t="shared" si="344"/>
        <v>#N/A</v>
      </c>
      <c r="GE236" s="144" t="e">
        <f t="shared" si="345"/>
        <v>#N/A</v>
      </c>
      <c r="GF236" s="152" t="e">
        <f t="shared" si="346"/>
        <v>#N/A</v>
      </c>
      <c r="GG236" s="7" t="e">
        <f t="shared" si="337"/>
        <v>#N/A</v>
      </c>
      <c r="GH236" t="e">
        <f t="shared" si="347"/>
        <v>#N/A</v>
      </c>
      <c r="GI236" s="8" t="e">
        <f t="shared" si="348"/>
        <v>#N/A</v>
      </c>
      <c r="GJ236" s="8" t="e">
        <f t="shared" si="349"/>
        <v>#N/A</v>
      </c>
      <c r="GK236" s="151" t="e">
        <f t="shared" si="350"/>
        <v>#N/A</v>
      </c>
      <c r="GL236" s="151"/>
      <c r="GM236" s="151"/>
      <c r="GP236" s="54">
        <f t="shared" si="395"/>
        <v>226</v>
      </c>
      <c r="GQ236" s="54">
        <f t="shared" si="396"/>
        <v>227</v>
      </c>
      <c r="GR236" s="54">
        <f t="shared" si="397"/>
        <v>2.3236630519246351</v>
      </c>
      <c r="GS236" s="54">
        <f t="shared" si="398"/>
        <v>2.6819031238439629E-2</v>
      </c>
      <c r="GT236" s="54" t="e">
        <f t="shared" si="399"/>
        <v>#N/A</v>
      </c>
      <c r="GU236" s="54" t="e">
        <f t="shared" si="400"/>
        <v>#N/A</v>
      </c>
      <c r="GV236" s="54" t="e">
        <f t="shared" si="401"/>
        <v>#N/A</v>
      </c>
      <c r="GW236" s="54" t="b">
        <f t="shared" si="402"/>
        <v>0</v>
      </c>
      <c r="GX236" s="54" t="b">
        <f t="shared" si="403"/>
        <v>1</v>
      </c>
      <c r="GY236" s="54" t="b">
        <f t="shared" si="404"/>
        <v>1</v>
      </c>
      <c r="GZ236" s="54" t="b">
        <f t="shared" si="405"/>
        <v>0</v>
      </c>
      <c r="HA236" s="54">
        <f t="shared" si="406"/>
        <v>2.6819031238439629E-2</v>
      </c>
      <c r="HB236" s="54">
        <f t="shared" si="407"/>
        <v>2.6819031238439629E-2</v>
      </c>
      <c r="HC236" s="54" t="e">
        <f t="shared" si="408"/>
        <v>#N/A</v>
      </c>
      <c r="HD236" s="69" t="str">
        <f t="shared" si="409"/>
        <v/>
      </c>
      <c r="HJ236" s="54">
        <f t="shared" si="410"/>
        <v>226</v>
      </c>
      <c r="HK236" s="54">
        <f t="shared" si="411"/>
        <v>227</v>
      </c>
      <c r="HL236" s="54">
        <f t="shared" si="412"/>
        <v>3.5982410385885135</v>
      </c>
      <c r="HM236" s="54" t="e">
        <f t="shared" si="413"/>
        <v>#N/A</v>
      </c>
      <c r="HN236" s="54">
        <f t="shared" si="414"/>
        <v>5.8385285622718358E-3</v>
      </c>
      <c r="HO236" s="54" t="e">
        <f t="shared" si="415"/>
        <v>#N/A</v>
      </c>
      <c r="HP236" s="54" t="e">
        <f t="shared" si="416"/>
        <v>#N/A</v>
      </c>
      <c r="HQ236" s="54" t="b">
        <f t="shared" si="417"/>
        <v>0</v>
      </c>
      <c r="HR236" s="54" t="b">
        <f t="shared" si="418"/>
        <v>1</v>
      </c>
      <c r="HS236" s="54" t="b">
        <f t="shared" si="419"/>
        <v>1</v>
      </c>
      <c r="HT236" s="54" t="b">
        <f t="shared" si="420"/>
        <v>0</v>
      </c>
      <c r="HU236" s="54">
        <f t="shared" si="421"/>
        <v>5.8385285622718358E-3</v>
      </c>
      <c r="HV236" s="54" t="e">
        <f t="shared" si="422"/>
        <v>#N/A</v>
      </c>
      <c r="HW236" s="54">
        <f t="shared" si="423"/>
        <v>5.8385285622718358E-3</v>
      </c>
      <c r="HX236" s="69" t="str">
        <f t="shared" si="424"/>
        <v/>
      </c>
    </row>
    <row r="237" spans="78:232" x14ac:dyDescent="0.2">
      <c r="BZ237" s="54">
        <f t="shared" si="351"/>
        <v>227</v>
      </c>
      <c r="CA237" s="54">
        <f>Eu_tabel_g[[#This Row],[Indeks]]+1</f>
        <v>228</v>
      </c>
      <c r="CB237" s="54">
        <f t="shared" si="352"/>
        <v>2.347618341119734</v>
      </c>
      <c r="CC237" s="54">
        <f t="shared" si="353"/>
        <v>2.5359687526847842E-2</v>
      </c>
      <c r="CD237" s="54" t="e">
        <f t="shared" si="354"/>
        <v>#N/A</v>
      </c>
      <c r="CE237" s="54" t="e">
        <f t="shared" si="355"/>
        <v>#N/A</v>
      </c>
      <c r="CF237" s="54" t="e">
        <f t="shared" si="356"/>
        <v>#N/A</v>
      </c>
      <c r="CG237" s="54" t="b">
        <f t="shared" si="357"/>
        <v>0</v>
      </c>
      <c r="CH237" s="54" t="b">
        <f t="shared" si="358"/>
        <v>1</v>
      </c>
      <c r="CI237" s="54" t="b">
        <f t="shared" si="359"/>
        <v>1</v>
      </c>
      <c r="CJ237" s="54" t="b">
        <f t="shared" si="360"/>
        <v>0</v>
      </c>
      <c r="CK237" s="54">
        <f t="shared" si="425"/>
        <v>2.5359687526847842E-2</v>
      </c>
      <c r="CL237" s="54">
        <f t="shared" si="361"/>
        <v>2.5359687526847842E-2</v>
      </c>
      <c r="CM237" s="54" t="e">
        <f t="shared" si="362"/>
        <v>#N/A</v>
      </c>
      <c r="CN237" s="69" t="str">
        <f t="shared" si="363"/>
        <v/>
      </c>
      <c r="CO237" s="54">
        <f>_xlfn.NORM.DIST(_xlfn.NORM.INV(1-Eu_g_konfidensniveau,0,1)-Eu_tabel_g[[#This Row],[x base]],0,1,TRUE)</f>
        <v>3.2694032375353574E-5</v>
      </c>
      <c r="CP237" s="54">
        <f>1-_xlfn.NORM.DIST(_xlfn.NORM.INV(Eu_g_konfidensniveau,0,1)-Eu_tabel_g[[#This Row],[x base]],0,1,TRUE)</f>
        <v>0.7588988047257339</v>
      </c>
      <c r="CQ237" s="54">
        <f>_xlfn.NORM.DIST(_xlfn.NORM.INV((1-Eu_g_konfidensniveau)/2,0,1)-Eu_tabel_g[[#This Row],[x base]],0,1,TRUE)+1-_xlfn.NORM.DIST(_xlfn.NORM.INV(1-(1-Eu_g_konfidensniveau)/2,0,1)-Eu_tabel_g[[#This Row],[x base]],0,1,TRUE)</f>
        <v>0.6508723336546951</v>
      </c>
      <c r="CR237" s="54" t="e" cm="1">
        <f t="array" ref="CR237">IF($CR$3,INDEX(Eu_tabel_g[[#This Row],[Styrke venstre]:[Styrke tosidet]],CR$7),NA())</f>
        <v>#N/A</v>
      </c>
      <c r="CS237" s="89" t="e">
        <f>Eu_tabel_g[[#This Row],[Falsk positiv
Nulhypotese accepteres
Fejltype 1]]</f>
        <v>#N/A</v>
      </c>
      <c r="CT237" s="89" t="e">
        <f>IF(CHOOSE(CR$7,Eu_tabel_g[[#This Row],[x base]]&gt;0,Eu_tabel_g[[#This Row],[x base]]&lt;0,Eu_tabel_g[[#This Row],[x base]]=0),Eu_tabel_g[[#This Row],[Styrke, aktiv]],NA())</f>
        <v>#N/A</v>
      </c>
      <c r="CU237" s="89" t="e">
        <f>IFERROR(IF($CR$3,Eu_tabel_g[[#This Row],[Styrke, aktiv]],NA()),NA())</f>
        <v>#N/A</v>
      </c>
      <c r="CV237" s="89" t="e">
        <f>IF(ISNA(Eu_tabel_g[[#This Row],[Sand negativ
Nulhypotese afvises
Korrekt]]),NA(),IF($CR$3,1,NA()))</f>
        <v>#N/A</v>
      </c>
      <c r="CW237" s="56" t="str" cm="1">
        <f t="array" ref="CW237">_xlfn.SWITCH(BZ237,_xlfn.IFNA(CU$2,-99),CU$5,_xlfn.IFNA(CU$3,-99),CU$6,_xlfn.IFNA(CU$4,-99),CU$7,"")</f>
        <v/>
      </c>
      <c r="DA237" s="7">
        <f t="shared" si="364"/>
        <v>0.8</v>
      </c>
      <c r="DB237">
        <f>IF(ROW(Styrkeberegning_G[[#This Row],[X base venstre]])=ROW(Styrkeberegning_G[[#Headers],[X base venstre]])+1,DB$7/(DA$7/$B$67),DB236/(DA236/$B$67))</f>
        <v>-2.8015817870135784</v>
      </c>
      <c r="DC237">
        <f>Styrkeberegning_G[[#This Row],[X base venstre]]*-1</f>
        <v>2.8015817870135784</v>
      </c>
      <c r="DN237" s="54">
        <f t="shared" si="365"/>
        <v>227</v>
      </c>
      <c r="DO237" s="54">
        <f t="shared" si="366"/>
        <v>228</v>
      </c>
      <c r="DP237" s="54">
        <f t="shared" si="367"/>
        <v>27.727937071312919</v>
      </c>
      <c r="DQ237" s="54" t="e">
        <f t="shared" si="368"/>
        <v>#N/A</v>
      </c>
      <c r="DR237" s="54" t="e">
        <f t="shared" si="369"/>
        <v>#N/A</v>
      </c>
      <c r="DS237" s="54">
        <f t="shared" si="370"/>
        <v>1.2518786815304316E-3</v>
      </c>
      <c r="DT237" s="54" t="e">
        <f t="shared" si="371"/>
        <v>#N/A</v>
      </c>
      <c r="DU237" s="54" t="b">
        <f t="shared" si="372"/>
        <v>0</v>
      </c>
      <c r="DV237" s="54" t="b">
        <f t="shared" si="373"/>
        <v>1</v>
      </c>
      <c r="DW237" s="54" t="b">
        <f t="shared" si="374"/>
        <v>1</v>
      </c>
      <c r="DX237" s="54" t="b">
        <f t="shared" si="375"/>
        <v>0</v>
      </c>
      <c r="DY237" s="54">
        <f t="shared" si="376"/>
        <v>1.2518786815304316E-3</v>
      </c>
      <c r="DZ237" s="54">
        <f t="shared" si="377"/>
        <v>1.2518786815304316E-3</v>
      </c>
      <c r="EA237" s="54" t="e">
        <f t="shared" si="378"/>
        <v>#N/A</v>
      </c>
      <c r="EB237" s="69" t="str">
        <f t="shared" si="379"/>
        <v/>
      </c>
      <c r="EG237" s="54">
        <f t="shared" si="380"/>
        <v>227</v>
      </c>
      <c r="EH237" s="54">
        <f t="shared" si="381"/>
        <v>228</v>
      </c>
      <c r="EI237" s="54">
        <f t="shared" si="382"/>
        <v>2.347618341119734</v>
      </c>
      <c r="EJ237" s="54">
        <f t="shared" si="383"/>
        <v>2.5359687526847842E-2</v>
      </c>
      <c r="EK237" s="54" t="e">
        <f t="shared" si="384"/>
        <v>#N/A</v>
      </c>
      <c r="EL237" s="54" t="e">
        <f t="shared" si="385"/>
        <v>#N/A</v>
      </c>
      <c r="EM237" s="54" t="e">
        <f t="shared" si="386"/>
        <v>#N/A</v>
      </c>
      <c r="EN237" s="54" t="b">
        <f t="shared" si="387"/>
        <v>0</v>
      </c>
      <c r="EO237" s="54" t="b">
        <f t="shared" si="388"/>
        <v>1</v>
      </c>
      <c r="EP237" s="54" t="b">
        <f t="shared" si="389"/>
        <v>1</v>
      </c>
      <c r="EQ237" s="54" t="b">
        <f t="shared" si="390"/>
        <v>0</v>
      </c>
      <c r="ER237" s="54">
        <f t="shared" si="391"/>
        <v>2.5359687526847842E-2</v>
      </c>
      <c r="ES237" s="54">
        <f t="shared" si="392"/>
        <v>2.5359687526847842E-2</v>
      </c>
      <c r="ET237" s="54" t="e">
        <f t="shared" si="393"/>
        <v>#N/A</v>
      </c>
      <c r="EU237" s="69" t="str">
        <f t="shared" si="394"/>
        <v/>
      </c>
      <c r="EV23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3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3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37" s="54" t="e" cm="1">
        <f t="array" ref="EY237">IF($CR$3,INDEX(Eu_tabel_a[[#This Row],[Styrke venstre]:[Styrke tosidet]],EY$7),NA())</f>
        <v>#N/A</v>
      </c>
      <c r="EZ237" s="54" t="e">
        <f>IF(EY$3,IF(CHOOSE(EY$7,Eu_tabel_a[[#This Row],[x base]]&gt;0,Eu_tabel_a[[#This Row],[x base]]&lt;0,Eu_tabel_a[[#This Row],[x base]]=0),1,NA()),NA())</f>
        <v>#N/A</v>
      </c>
      <c r="FA237" s="54" t="e">
        <f>IF(CHOOSE(EY$7,Eu_tabel_a[[#This Row],[x base]]&gt;0,Eu_tabel_a[[#This Row],[x base]]&lt;0,Eu_tabel_a[[#This Row],[x base]]=0),Eu_tabel_a[[#This Row],[Styrke, aktiv]],NA())</f>
        <v>#N/A</v>
      </c>
      <c r="FB237" s="54" t="e">
        <f>IFERROR(IF($EY$3,Eu_tabel_a[[#This Row],[Styrke, aktiv]],NA()),NA())</f>
        <v>#N/A</v>
      </c>
      <c r="FC237" s="54" t="e">
        <f>IF(ISNA(Eu_tabel_a[[#This Row],[Sand negativ
Nulhypotese afvises
Korrekt]]),NA(),IF(EY$3,1,NA()))</f>
        <v>#N/A</v>
      </c>
      <c r="FD237" s="55" t="str" cm="1">
        <f t="array" ref="FD237">IFERROR(_xlfn.SWITCH(Eu_tabel_a[[#This Row],[Indeks]],_xlfn.IFNA(FB$2,-99),FB$5,_xlfn.IFNA(FB$3,-99),FB$6,_xlfn.IFNA(FB$4,-99),FB$7,""),"")</f>
        <v/>
      </c>
      <c r="FE237" s="54">
        <f>Eu_tabel_a[[#This Row],[x base]]*SQRT(Eu_a_h0_x*(1-Eu_a_h0_x)/Eu_a_n_x)+Eu_a_h0_x</f>
        <v>0</v>
      </c>
      <c r="FJ237" s="144" t="e">
        <f t="shared" si="338"/>
        <v>#N/A</v>
      </c>
      <c r="FK237" s="152" t="e">
        <f t="shared" si="426"/>
        <v>#DIV/0!</v>
      </c>
      <c r="FL237" s="7" t="e">
        <f t="shared" si="332"/>
        <v>#DIV/0!</v>
      </c>
      <c r="FM237" t="e">
        <f t="shared" si="427"/>
        <v>#DIV/0!</v>
      </c>
      <c r="FN237" s="8" t="e">
        <f t="shared" si="428"/>
        <v>#DIV/0!</v>
      </c>
      <c r="FO237" s="8" t="e">
        <f t="shared" si="429"/>
        <v>#DIV/0!</v>
      </c>
      <c r="FP237" s="151" t="e">
        <f t="shared" si="430"/>
        <v>#DIV/0!</v>
      </c>
      <c r="FQ237" s="144" t="e">
        <f t="shared" ca="1" si="333"/>
        <v>#N/A</v>
      </c>
      <c r="FR237" s="152" t="e" vm="3">
        <f t="shared" ca="1" si="339"/>
        <v>#VALUE!</v>
      </c>
      <c r="FS237" s="7" t="e" vm="3">
        <f t="shared" ca="1" si="334"/>
        <v>#VALUE!</v>
      </c>
      <c r="FT237" t="e" vm="3">
        <f t="shared" ca="1" si="328"/>
        <v>#VALUE!</v>
      </c>
      <c r="FU237" s="8" t="e" vm="3">
        <f t="shared" ca="1" si="329"/>
        <v>#VALUE!</v>
      </c>
      <c r="FV237" s="8" t="e" vm="3">
        <f t="shared" ca="1" si="330"/>
        <v>#VALUE!</v>
      </c>
      <c r="FW237" s="151" t="e" vm="3">
        <f t="shared" ca="1" si="331"/>
        <v>#VALUE!</v>
      </c>
      <c r="FX237" s="144" t="e">
        <f t="shared" si="335"/>
        <v>#N/A</v>
      </c>
      <c r="FY237" s="152" t="e">
        <f t="shared" si="340"/>
        <v>#N/A</v>
      </c>
      <c r="FZ237" s="7" t="e">
        <f t="shared" si="336"/>
        <v>#N/A</v>
      </c>
      <c r="GA237" t="e">
        <f t="shared" si="341"/>
        <v>#N/A</v>
      </c>
      <c r="GB237" s="8" t="e">
        <f t="shared" si="342"/>
        <v>#N/A</v>
      </c>
      <c r="GC237" s="8" t="e">
        <f t="shared" si="343"/>
        <v>#N/A</v>
      </c>
      <c r="GD237" s="151" t="e">
        <f t="shared" si="344"/>
        <v>#N/A</v>
      </c>
      <c r="GE237" s="144" t="e">
        <f t="shared" si="345"/>
        <v>#N/A</v>
      </c>
      <c r="GF237" s="152" t="e">
        <f t="shared" si="346"/>
        <v>#N/A</v>
      </c>
      <c r="GG237" s="7" t="e">
        <f t="shared" si="337"/>
        <v>#N/A</v>
      </c>
      <c r="GH237" t="e">
        <f t="shared" si="347"/>
        <v>#N/A</v>
      </c>
      <c r="GI237" s="8" t="e">
        <f t="shared" si="348"/>
        <v>#N/A</v>
      </c>
      <c r="GJ237" s="8" t="e">
        <f t="shared" si="349"/>
        <v>#N/A</v>
      </c>
      <c r="GK237" s="151" t="e">
        <f t="shared" si="350"/>
        <v>#N/A</v>
      </c>
      <c r="GL237" s="151"/>
      <c r="GM237" s="151"/>
      <c r="GP237" s="54">
        <f t="shared" si="395"/>
        <v>227</v>
      </c>
      <c r="GQ237" s="54">
        <f t="shared" si="396"/>
        <v>228</v>
      </c>
      <c r="GR237" s="54">
        <f t="shared" si="397"/>
        <v>2.347618341119734</v>
      </c>
      <c r="GS237" s="54">
        <f t="shared" si="398"/>
        <v>2.5359687526847842E-2</v>
      </c>
      <c r="GT237" s="54" t="e">
        <f t="shared" si="399"/>
        <v>#N/A</v>
      </c>
      <c r="GU237" s="54" t="e">
        <f t="shared" si="400"/>
        <v>#N/A</v>
      </c>
      <c r="GV237" s="54" t="e">
        <f t="shared" si="401"/>
        <v>#N/A</v>
      </c>
      <c r="GW237" s="54" t="b">
        <f t="shared" si="402"/>
        <v>0</v>
      </c>
      <c r="GX237" s="54" t="b">
        <f t="shared" si="403"/>
        <v>1</v>
      </c>
      <c r="GY237" s="54" t="b">
        <f t="shared" si="404"/>
        <v>1</v>
      </c>
      <c r="GZ237" s="54" t="b">
        <f t="shared" si="405"/>
        <v>0</v>
      </c>
      <c r="HA237" s="54">
        <f t="shared" si="406"/>
        <v>2.5359687526847842E-2</v>
      </c>
      <c r="HB237" s="54">
        <f t="shared" si="407"/>
        <v>2.5359687526847842E-2</v>
      </c>
      <c r="HC237" s="54" t="e">
        <f t="shared" si="408"/>
        <v>#N/A</v>
      </c>
      <c r="HD237" s="69" t="str">
        <f t="shared" si="409"/>
        <v/>
      </c>
      <c r="HJ237" s="54">
        <f t="shared" si="410"/>
        <v>227</v>
      </c>
      <c r="HK237" s="54">
        <f t="shared" si="411"/>
        <v>228</v>
      </c>
      <c r="HL237" s="54">
        <f t="shared" si="412"/>
        <v>3.6353363070275719</v>
      </c>
      <c r="HM237" s="54" t="e">
        <f t="shared" si="413"/>
        <v>#N/A</v>
      </c>
      <c r="HN237" s="54">
        <f t="shared" si="414"/>
        <v>5.5346566224468846E-3</v>
      </c>
      <c r="HO237" s="54" t="e">
        <f t="shared" si="415"/>
        <v>#N/A</v>
      </c>
      <c r="HP237" s="54" t="e">
        <f t="shared" si="416"/>
        <v>#N/A</v>
      </c>
      <c r="HQ237" s="54" t="b">
        <f t="shared" si="417"/>
        <v>0</v>
      </c>
      <c r="HR237" s="54" t="b">
        <f t="shared" si="418"/>
        <v>1</v>
      </c>
      <c r="HS237" s="54" t="b">
        <f t="shared" si="419"/>
        <v>1</v>
      </c>
      <c r="HT237" s="54" t="b">
        <f t="shared" si="420"/>
        <v>0</v>
      </c>
      <c r="HU237" s="54">
        <f t="shared" si="421"/>
        <v>5.5346566224468846E-3</v>
      </c>
      <c r="HV237" s="54" t="e">
        <f t="shared" si="422"/>
        <v>#N/A</v>
      </c>
      <c r="HW237" s="54">
        <f t="shared" si="423"/>
        <v>5.5346566224468846E-3</v>
      </c>
      <c r="HX237" s="69" t="str">
        <f t="shared" si="424"/>
        <v/>
      </c>
    </row>
    <row r="238" spans="78:232" x14ac:dyDescent="0.2">
      <c r="BZ238" s="54">
        <f t="shared" si="351"/>
        <v>228</v>
      </c>
      <c r="CA238" s="54">
        <f>Eu_tabel_g[[#This Row],[Indeks]]+1</f>
        <v>229</v>
      </c>
      <c r="CB238" s="54">
        <f t="shared" si="352"/>
        <v>2.3715736303148329</v>
      </c>
      <c r="CC238" s="54">
        <f t="shared" si="353"/>
        <v>2.3965996273642022E-2</v>
      </c>
      <c r="CD238" s="54" t="e">
        <f t="shared" si="354"/>
        <v>#N/A</v>
      </c>
      <c r="CE238" s="54" t="e">
        <f t="shared" si="355"/>
        <v>#N/A</v>
      </c>
      <c r="CF238" s="54" t="e">
        <f t="shared" si="356"/>
        <v>#N/A</v>
      </c>
      <c r="CG238" s="54" t="b">
        <f t="shared" si="357"/>
        <v>0</v>
      </c>
      <c r="CH238" s="54" t="b">
        <f t="shared" si="358"/>
        <v>1</v>
      </c>
      <c r="CI238" s="54" t="b">
        <f t="shared" si="359"/>
        <v>1</v>
      </c>
      <c r="CJ238" s="54" t="b">
        <f t="shared" si="360"/>
        <v>0</v>
      </c>
      <c r="CK238" s="54">
        <f t="shared" si="425"/>
        <v>2.3965996273642022E-2</v>
      </c>
      <c r="CL238" s="54">
        <f t="shared" si="361"/>
        <v>2.3965996273642022E-2</v>
      </c>
      <c r="CM238" s="54" t="e">
        <f t="shared" si="362"/>
        <v>#N/A</v>
      </c>
      <c r="CN238" s="69" t="str">
        <f t="shared" si="363"/>
        <v/>
      </c>
      <c r="CO238" s="54">
        <f>_xlfn.NORM.DIST(_xlfn.NORM.INV(1-Eu_g_konfidensniveau,0,1)-Eu_tabel_g[[#This Row],[x base]],0,1,TRUE)</f>
        <v>2.9543545472232729E-5</v>
      </c>
      <c r="CP238" s="54">
        <f>1-_xlfn.NORM.DIST(_xlfn.NORM.INV(Eu_g_konfidensniveau,0,1)-Eu_tabel_g[[#This Row],[x base]],0,1,TRUE)</f>
        <v>0.76630125152424833</v>
      </c>
      <c r="CQ238" s="54">
        <f>_xlfn.NORM.DIST(_xlfn.NORM.INV((1-Eu_g_konfidensniveau)/2,0,1)-Eu_tabel_g[[#This Row],[x base]],0,1,TRUE)+1-_xlfn.NORM.DIST(_xlfn.NORM.INV(1-(1-Eu_g_konfidensniveau)/2,0,1)-Eu_tabel_g[[#This Row],[x base]],0,1,TRUE)</f>
        <v>0.65969462333628104</v>
      </c>
      <c r="CR238" s="54" t="e" cm="1">
        <f t="array" ref="CR238">IF($CR$3,INDEX(Eu_tabel_g[[#This Row],[Styrke venstre]:[Styrke tosidet]],CR$7),NA())</f>
        <v>#N/A</v>
      </c>
      <c r="CS238" s="89" t="e">
        <f>Eu_tabel_g[[#This Row],[Falsk positiv
Nulhypotese accepteres
Fejltype 1]]</f>
        <v>#N/A</v>
      </c>
      <c r="CT238" s="89" t="e">
        <f>IF(CHOOSE(CR$7,Eu_tabel_g[[#This Row],[x base]]&gt;0,Eu_tabel_g[[#This Row],[x base]]&lt;0,Eu_tabel_g[[#This Row],[x base]]=0),Eu_tabel_g[[#This Row],[Styrke, aktiv]],NA())</f>
        <v>#N/A</v>
      </c>
      <c r="CU238" s="89" t="e">
        <f>IFERROR(IF($CR$3,Eu_tabel_g[[#This Row],[Styrke, aktiv]],NA()),NA())</f>
        <v>#N/A</v>
      </c>
      <c r="CV238" s="89" t="e">
        <f>IF(ISNA(Eu_tabel_g[[#This Row],[Sand negativ
Nulhypotese afvises
Korrekt]]),NA(),IF($CR$3,1,NA()))</f>
        <v>#N/A</v>
      </c>
      <c r="CW238" s="56" t="str" cm="1">
        <f t="array" ref="CW238">_xlfn.SWITCH(BZ238,_xlfn.IFNA(CU$2,-99),CU$5,_xlfn.IFNA(CU$3,-99),CU$6,_xlfn.IFNA(CU$4,-99),CU$7,"")</f>
        <v/>
      </c>
      <c r="DA238" s="7">
        <f t="shared" si="364"/>
        <v>0.8</v>
      </c>
      <c r="DB238">
        <f>IF(ROW(Styrkeberegning_G[[#This Row],[X base venstre]])=ROW(Styrkeberegning_G[[#Headers],[X base venstre]])+1,DB$7/(DA$7/$B$67),DB237/(DA237/$B$67))</f>
        <v>-2.8015817870135784</v>
      </c>
      <c r="DC238">
        <f>Styrkeberegning_G[[#This Row],[X base venstre]]*-1</f>
        <v>2.8015817870135784</v>
      </c>
      <c r="DN238" s="54">
        <f t="shared" si="365"/>
        <v>228</v>
      </c>
      <c r="DO238" s="54">
        <f t="shared" si="366"/>
        <v>229</v>
      </c>
      <c r="DP238" s="54">
        <f t="shared" si="367"/>
        <v>27.84200792772992</v>
      </c>
      <c r="DQ238" s="54" t="e">
        <f t="shared" si="368"/>
        <v>#N/A</v>
      </c>
      <c r="DR238" s="54" t="e">
        <f t="shared" si="369"/>
        <v>#N/A</v>
      </c>
      <c r="DS238" s="54">
        <f t="shared" si="370"/>
        <v>1.2045242305972269E-3</v>
      </c>
      <c r="DT238" s="54" t="e">
        <f t="shared" si="371"/>
        <v>#N/A</v>
      </c>
      <c r="DU238" s="54" t="b">
        <f t="shared" si="372"/>
        <v>0</v>
      </c>
      <c r="DV238" s="54" t="b">
        <f t="shared" si="373"/>
        <v>1</v>
      </c>
      <c r="DW238" s="54" t="b">
        <f t="shared" si="374"/>
        <v>1</v>
      </c>
      <c r="DX238" s="54" t="b">
        <f t="shared" si="375"/>
        <v>0</v>
      </c>
      <c r="DY238" s="54">
        <f t="shared" si="376"/>
        <v>1.2045242305972269E-3</v>
      </c>
      <c r="DZ238" s="54">
        <f t="shared" si="377"/>
        <v>1.2045242305972269E-3</v>
      </c>
      <c r="EA238" s="54" t="e">
        <f t="shared" si="378"/>
        <v>#N/A</v>
      </c>
      <c r="EB238" s="69" t="str">
        <f t="shared" si="379"/>
        <v/>
      </c>
      <c r="EG238" s="54">
        <f t="shared" si="380"/>
        <v>228</v>
      </c>
      <c r="EH238" s="54">
        <f t="shared" si="381"/>
        <v>229</v>
      </c>
      <c r="EI238" s="54">
        <f t="shared" si="382"/>
        <v>2.3715736303148329</v>
      </c>
      <c r="EJ238" s="54">
        <f t="shared" si="383"/>
        <v>2.3965996273642022E-2</v>
      </c>
      <c r="EK238" s="54" t="e">
        <f t="shared" si="384"/>
        <v>#N/A</v>
      </c>
      <c r="EL238" s="54" t="e">
        <f t="shared" si="385"/>
        <v>#N/A</v>
      </c>
      <c r="EM238" s="54" t="e">
        <f t="shared" si="386"/>
        <v>#N/A</v>
      </c>
      <c r="EN238" s="54" t="b">
        <f t="shared" si="387"/>
        <v>0</v>
      </c>
      <c r="EO238" s="54" t="b">
        <f t="shared" si="388"/>
        <v>1</v>
      </c>
      <c r="EP238" s="54" t="b">
        <f t="shared" si="389"/>
        <v>1</v>
      </c>
      <c r="EQ238" s="54" t="b">
        <f t="shared" si="390"/>
        <v>0</v>
      </c>
      <c r="ER238" s="54">
        <f t="shared" si="391"/>
        <v>2.3965996273642022E-2</v>
      </c>
      <c r="ES238" s="54">
        <f t="shared" si="392"/>
        <v>2.3965996273642022E-2</v>
      </c>
      <c r="ET238" s="54" t="e">
        <f t="shared" si="393"/>
        <v>#N/A</v>
      </c>
      <c r="EU238" s="69" t="str">
        <f t="shared" si="394"/>
        <v/>
      </c>
      <c r="EV23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3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3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38" s="54" t="e" cm="1">
        <f t="array" ref="EY238">IF($CR$3,INDEX(Eu_tabel_a[[#This Row],[Styrke venstre]:[Styrke tosidet]],EY$7),NA())</f>
        <v>#N/A</v>
      </c>
      <c r="EZ238" s="54" t="e">
        <f>IF(EY$3,IF(CHOOSE(EY$7,Eu_tabel_a[[#This Row],[x base]]&gt;0,Eu_tabel_a[[#This Row],[x base]]&lt;0,Eu_tabel_a[[#This Row],[x base]]=0),1,NA()),NA())</f>
        <v>#N/A</v>
      </c>
      <c r="FA238" s="54" t="e">
        <f>IF(CHOOSE(EY$7,Eu_tabel_a[[#This Row],[x base]]&gt;0,Eu_tabel_a[[#This Row],[x base]]&lt;0,Eu_tabel_a[[#This Row],[x base]]=0),Eu_tabel_a[[#This Row],[Styrke, aktiv]],NA())</f>
        <v>#N/A</v>
      </c>
      <c r="FB238" s="54" t="e">
        <f>IFERROR(IF($EY$3,Eu_tabel_a[[#This Row],[Styrke, aktiv]],NA()),NA())</f>
        <v>#N/A</v>
      </c>
      <c r="FC238" s="54" t="e">
        <f>IF(ISNA(Eu_tabel_a[[#This Row],[Sand negativ
Nulhypotese afvises
Korrekt]]),NA(),IF(EY$3,1,NA()))</f>
        <v>#N/A</v>
      </c>
      <c r="FD238" s="55" t="str" cm="1">
        <f t="array" ref="FD238">IFERROR(_xlfn.SWITCH(Eu_tabel_a[[#This Row],[Indeks]],_xlfn.IFNA(FB$2,-99),FB$5,_xlfn.IFNA(FB$3,-99),FB$6,_xlfn.IFNA(FB$4,-99),FB$7,""),"")</f>
        <v/>
      </c>
      <c r="FE238" s="54">
        <f>Eu_tabel_a[[#This Row],[x base]]*SQRT(Eu_a_h0_x*(1-Eu_a_h0_x)/Eu_a_n_x)+Eu_a_h0_x</f>
        <v>0</v>
      </c>
      <c r="FJ238" s="144" t="e">
        <f t="shared" si="338"/>
        <v>#N/A</v>
      </c>
      <c r="FK238" s="152" t="e">
        <f t="shared" si="426"/>
        <v>#DIV/0!</v>
      </c>
      <c r="FL238" s="7" t="e">
        <f t="shared" si="332"/>
        <v>#DIV/0!</v>
      </c>
      <c r="FM238" t="e">
        <f t="shared" si="427"/>
        <v>#DIV/0!</v>
      </c>
      <c r="FN238" s="8" t="e">
        <f t="shared" si="428"/>
        <v>#DIV/0!</v>
      </c>
      <c r="FO238" s="8" t="e">
        <f t="shared" si="429"/>
        <v>#DIV/0!</v>
      </c>
      <c r="FP238" s="151" t="e">
        <f t="shared" si="430"/>
        <v>#DIV/0!</v>
      </c>
      <c r="FQ238" s="144" t="e">
        <f t="shared" ca="1" si="333"/>
        <v>#N/A</v>
      </c>
      <c r="FR238" s="152" t="e" vm="3">
        <f t="shared" ca="1" si="339"/>
        <v>#VALUE!</v>
      </c>
      <c r="FS238" s="7" t="e" vm="3">
        <f t="shared" ca="1" si="334"/>
        <v>#VALUE!</v>
      </c>
      <c r="FT238" t="e" vm="3">
        <f t="shared" ca="1" si="328"/>
        <v>#VALUE!</v>
      </c>
      <c r="FU238" s="8" t="e" vm="3">
        <f t="shared" ca="1" si="329"/>
        <v>#VALUE!</v>
      </c>
      <c r="FV238" s="8" t="e" vm="3">
        <f t="shared" ca="1" si="330"/>
        <v>#VALUE!</v>
      </c>
      <c r="FW238" s="151" t="e" vm="3">
        <f t="shared" ca="1" si="331"/>
        <v>#VALUE!</v>
      </c>
      <c r="FX238" s="144" t="e">
        <f t="shared" si="335"/>
        <v>#N/A</v>
      </c>
      <c r="FY238" s="152" t="e">
        <f t="shared" si="340"/>
        <v>#N/A</v>
      </c>
      <c r="FZ238" s="7" t="e">
        <f t="shared" si="336"/>
        <v>#N/A</v>
      </c>
      <c r="GA238" t="e">
        <f t="shared" si="341"/>
        <v>#N/A</v>
      </c>
      <c r="GB238" s="8" t="e">
        <f t="shared" si="342"/>
        <v>#N/A</v>
      </c>
      <c r="GC238" s="8" t="e">
        <f t="shared" si="343"/>
        <v>#N/A</v>
      </c>
      <c r="GD238" s="151" t="e">
        <f t="shared" si="344"/>
        <v>#N/A</v>
      </c>
      <c r="GE238" s="144" t="e">
        <f t="shared" si="345"/>
        <v>#N/A</v>
      </c>
      <c r="GF238" s="152" t="e">
        <f t="shared" si="346"/>
        <v>#N/A</v>
      </c>
      <c r="GG238" s="7" t="e">
        <f t="shared" si="337"/>
        <v>#N/A</v>
      </c>
      <c r="GH238" t="e">
        <f t="shared" si="347"/>
        <v>#N/A</v>
      </c>
      <c r="GI238" s="8" t="e">
        <f t="shared" si="348"/>
        <v>#N/A</v>
      </c>
      <c r="GJ238" s="8" t="e">
        <f t="shared" si="349"/>
        <v>#N/A</v>
      </c>
      <c r="GK238" s="151" t="e">
        <f t="shared" si="350"/>
        <v>#N/A</v>
      </c>
      <c r="GL238" s="151"/>
      <c r="GM238" s="151"/>
      <c r="GP238" s="54">
        <f t="shared" si="395"/>
        <v>228</v>
      </c>
      <c r="GQ238" s="54">
        <f t="shared" si="396"/>
        <v>229</v>
      </c>
      <c r="GR238" s="54">
        <f t="shared" si="397"/>
        <v>2.3715736303148329</v>
      </c>
      <c r="GS238" s="54">
        <f t="shared" si="398"/>
        <v>2.3965996273642022E-2</v>
      </c>
      <c r="GT238" s="54" t="e">
        <f t="shared" si="399"/>
        <v>#N/A</v>
      </c>
      <c r="GU238" s="54" t="e">
        <f t="shared" si="400"/>
        <v>#N/A</v>
      </c>
      <c r="GV238" s="54" t="e">
        <f t="shared" si="401"/>
        <v>#N/A</v>
      </c>
      <c r="GW238" s="54" t="b">
        <f t="shared" si="402"/>
        <v>0</v>
      </c>
      <c r="GX238" s="54" t="b">
        <f t="shared" si="403"/>
        <v>1</v>
      </c>
      <c r="GY238" s="54" t="b">
        <f t="shared" si="404"/>
        <v>1</v>
      </c>
      <c r="GZ238" s="54" t="b">
        <f t="shared" si="405"/>
        <v>0</v>
      </c>
      <c r="HA238" s="54">
        <f t="shared" si="406"/>
        <v>2.3965996273642022E-2</v>
      </c>
      <c r="HB238" s="54">
        <f t="shared" si="407"/>
        <v>2.3965996273642022E-2</v>
      </c>
      <c r="HC238" s="54" t="e">
        <f t="shared" si="408"/>
        <v>#N/A</v>
      </c>
      <c r="HD238" s="69" t="str">
        <f t="shared" si="409"/>
        <v/>
      </c>
      <c r="HJ238" s="54">
        <f t="shared" si="410"/>
        <v>228</v>
      </c>
      <c r="HK238" s="54">
        <f t="shared" si="411"/>
        <v>229</v>
      </c>
      <c r="HL238" s="54">
        <f t="shared" si="412"/>
        <v>3.6724315754666286</v>
      </c>
      <c r="HM238" s="54" t="e">
        <f t="shared" si="413"/>
        <v>#N/A</v>
      </c>
      <c r="HN238" s="54">
        <f t="shared" si="414"/>
        <v>5.2474784393453577E-3</v>
      </c>
      <c r="HO238" s="54" t="e">
        <f t="shared" si="415"/>
        <v>#N/A</v>
      </c>
      <c r="HP238" s="54" t="e">
        <f t="shared" si="416"/>
        <v>#N/A</v>
      </c>
      <c r="HQ238" s="54" t="b">
        <f t="shared" si="417"/>
        <v>0</v>
      </c>
      <c r="HR238" s="54" t="b">
        <f t="shared" si="418"/>
        <v>1</v>
      </c>
      <c r="HS238" s="54" t="b">
        <f t="shared" si="419"/>
        <v>1</v>
      </c>
      <c r="HT238" s="54" t="b">
        <f t="shared" si="420"/>
        <v>0</v>
      </c>
      <c r="HU238" s="54">
        <f t="shared" si="421"/>
        <v>5.2474784393453577E-3</v>
      </c>
      <c r="HV238" s="54" t="e">
        <f t="shared" si="422"/>
        <v>#N/A</v>
      </c>
      <c r="HW238" s="54">
        <f t="shared" si="423"/>
        <v>5.2474784393453577E-3</v>
      </c>
      <c r="HX238" s="69" t="str">
        <f t="shared" si="424"/>
        <v/>
      </c>
    </row>
    <row r="239" spans="78:232" x14ac:dyDescent="0.2">
      <c r="BZ239" s="54">
        <f t="shared" si="351"/>
        <v>229</v>
      </c>
      <c r="CA239" s="54">
        <f>Eu_tabel_g[[#This Row],[Indeks]]+1</f>
        <v>230</v>
      </c>
      <c r="CB239" s="54">
        <f t="shared" si="352"/>
        <v>2.3955289195099327</v>
      </c>
      <c r="CC239" s="54">
        <f t="shared" si="353"/>
        <v>2.2635904575720501E-2</v>
      </c>
      <c r="CD239" s="54" t="e">
        <f t="shared" si="354"/>
        <v>#N/A</v>
      </c>
      <c r="CE239" s="54" t="e">
        <f t="shared" si="355"/>
        <v>#N/A</v>
      </c>
      <c r="CF239" s="54" t="e">
        <f t="shared" si="356"/>
        <v>#N/A</v>
      </c>
      <c r="CG239" s="54" t="b">
        <f t="shared" si="357"/>
        <v>0</v>
      </c>
      <c r="CH239" s="54" t="b">
        <f t="shared" si="358"/>
        <v>1</v>
      </c>
      <c r="CI239" s="54" t="b">
        <f t="shared" si="359"/>
        <v>1</v>
      </c>
      <c r="CJ239" s="54" t="b">
        <f t="shared" si="360"/>
        <v>0</v>
      </c>
      <c r="CK239" s="54">
        <f t="shared" si="425"/>
        <v>2.2635904575720501E-2</v>
      </c>
      <c r="CL239" s="54">
        <f t="shared" si="361"/>
        <v>2.2635904575720501E-2</v>
      </c>
      <c r="CM239" s="54" t="e">
        <f t="shared" si="362"/>
        <v>#N/A</v>
      </c>
      <c r="CN239" s="69" t="str">
        <f t="shared" si="363"/>
        <v/>
      </c>
      <c r="CO239" s="54">
        <f>_xlfn.NORM.DIST(_xlfn.NORM.INV(1-Eu_g_konfidensniveau,0,1)-Eu_tabel_g[[#This Row],[x base]],0,1,TRUE)</f>
        <v>2.6682042684325417E-5</v>
      </c>
      <c r="CP239" s="54">
        <f>1-_xlfn.NORM.DIST(_xlfn.NORM.INV(Eu_g_konfidensniveau,0,1)-Eu_tabel_g[[#This Row],[x base]],0,1,TRUE)</f>
        <v>0.77357595198661899</v>
      </c>
      <c r="CQ239" s="54">
        <f>_xlfn.NORM.DIST(_xlfn.NORM.INV((1-Eu_g_konfidensniveau)/2,0,1)-Eu_tabel_g[[#This Row],[x base]],0,1,TRUE)+1-_xlfn.NORM.DIST(_xlfn.NORM.INV(1-(1-Eu_g_konfidensniveau)/2,0,1)-Eu_tabel_g[[#This Row],[x base]],0,1,TRUE)</f>
        <v>0.66843043014353232</v>
      </c>
      <c r="CR239" s="54" t="e" cm="1">
        <f t="array" ref="CR239">IF($CR$3,INDEX(Eu_tabel_g[[#This Row],[Styrke venstre]:[Styrke tosidet]],CR$7),NA())</f>
        <v>#N/A</v>
      </c>
      <c r="CS239" s="89" t="e">
        <f>Eu_tabel_g[[#This Row],[Falsk positiv
Nulhypotese accepteres
Fejltype 1]]</f>
        <v>#N/A</v>
      </c>
      <c r="CT239" s="89" t="e">
        <f>IF(CHOOSE(CR$7,Eu_tabel_g[[#This Row],[x base]]&gt;0,Eu_tabel_g[[#This Row],[x base]]&lt;0,Eu_tabel_g[[#This Row],[x base]]=0),Eu_tabel_g[[#This Row],[Styrke, aktiv]],NA())</f>
        <v>#N/A</v>
      </c>
      <c r="CU239" s="89" t="e">
        <f>IFERROR(IF($CR$3,Eu_tabel_g[[#This Row],[Styrke, aktiv]],NA()),NA())</f>
        <v>#N/A</v>
      </c>
      <c r="CV239" s="89" t="e">
        <f>IF(ISNA(Eu_tabel_g[[#This Row],[Sand negativ
Nulhypotese afvises
Korrekt]]),NA(),IF($CR$3,1,NA()))</f>
        <v>#N/A</v>
      </c>
      <c r="CW239" s="56" t="str" cm="1">
        <f t="array" ref="CW239">_xlfn.SWITCH(BZ239,_xlfn.IFNA(CU$2,-99),CU$5,_xlfn.IFNA(CU$3,-99),CU$6,_xlfn.IFNA(CU$4,-99),CU$7,"")</f>
        <v/>
      </c>
      <c r="DA239" s="7">
        <f t="shared" si="364"/>
        <v>0.8</v>
      </c>
      <c r="DB239">
        <f>IF(ROW(Styrkeberegning_G[[#This Row],[X base venstre]])=ROW(Styrkeberegning_G[[#Headers],[X base venstre]])+1,DB$7/(DA$7/$B$67),DB238/(DA238/$B$67))</f>
        <v>-2.8015817870135784</v>
      </c>
      <c r="DC239">
        <f>Styrkeberegning_G[[#This Row],[X base venstre]]*-1</f>
        <v>2.8015817870135784</v>
      </c>
      <c r="DN239" s="54">
        <f t="shared" si="365"/>
        <v>229</v>
      </c>
      <c r="DO239" s="54">
        <f t="shared" si="366"/>
        <v>230</v>
      </c>
      <c r="DP239" s="54">
        <f t="shared" si="367"/>
        <v>27.956078784146921</v>
      </c>
      <c r="DQ239" s="54" t="e">
        <f t="shared" si="368"/>
        <v>#N/A</v>
      </c>
      <c r="DR239" s="54" t="e">
        <f t="shared" si="369"/>
        <v>#N/A</v>
      </c>
      <c r="DS239" s="54">
        <f t="shared" si="370"/>
        <v>1.1588735006259946E-3</v>
      </c>
      <c r="DT239" s="54" t="e">
        <f t="shared" si="371"/>
        <v>#N/A</v>
      </c>
      <c r="DU239" s="54" t="b">
        <f t="shared" si="372"/>
        <v>0</v>
      </c>
      <c r="DV239" s="54" t="b">
        <f t="shared" si="373"/>
        <v>1</v>
      </c>
      <c r="DW239" s="54" t="b">
        <f t="shared" si="374"/>
        <v>1</v>
      </c>
      <c r="DX239" s="54" t="b">
        <f t="shared" si="375"/>
        <v>0</v>
      </c>
      <c r="DY239" s="54">
        <f t="shared" si="376"/>
        <v>1.1588735006259946E-3</v>
      </c>
      <c r="DZ239" s="54">
        <f t="shared" si="377"/>
        <v>1.1588735006259946E-3</v>
      </c>
      <c r="EA239" s="54" t="e">
        <f t="shared" si="378"/>
        <v>#N/A</v>
      </c>
      <c r="EB239" s="69" t="str">
        <f t="shared" si="379"/>
        <v/>
      </c>
      <c r="EG239" s="54">
        <f t="shared" si="380"/>
        <v>229</v>
      </c>
      <c r="EH239" s="54">
        <f t="shared" si="381"/>
        <v>230</v>
      </c>
      <c r="EI239" s="54">
        <f t="shared" si="382"/>
        <v>2.3955289195099327</v>
      </c>
      <c r="EJ239" s="54">
        <f t="shared" si="383"/>
        <v>2.2635904575720501E-2</v>
      </c>
      <c r="EK239" s="54" t="e">
        <f t="shared" si="384"/>
        <v>#N/A</v>
      </c>
      <c r="EL239" s="54" t="e">
        <f t="shared" si="385"/>
        <v>#N/A</v>
      </c>
      <c r="EM239" s="54" t="e">
        <f t="shared" si="386"/>
        <v>#N/A</v>
      </c>
      <c r="EN239" s="54" t="b">
        <f t="shared" si="387"/>
        <v>0</v>
      </c>
      <c r="EO239" s="54" t="b">
        <f t="shared" si="388"/>
        <v>1</v>
      </c>
      <c r="EP239" s="54" t="b">
        <f t="shared" si="389"/>
        <v>1</v>
      </c>
      <c r="EQ239" s="54" t="b">
        <f t="shared" si="390"/>
        <v>0</v>
      </c>
      <c r="ER239" s="54">
        <f t="shared" si="391"/>
        <v>2.2635904575720501E-2</v>
      </c>
      <c r="ES239" s="54">
        <f t="shared" si="392"/>
        <v>2.2635904575720501E-2</v>
      </c>
      <c r="ET239" s="54" t="e">
        <f t="shared" si="393"/>
        <v>#N/A</v>
      </c>
      <c r="EU239" s="69" t="str">
        <f t="shared" si="394"/>
        <v/>
      </c>
      <c r="EV23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3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3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39" s="54" t="e" cm="1">
        <f t="array" ref="EY239">IF($CR$3,INDEX(Eu_tabel_a[[#This Row],[Styrke venstre]:[Styrke tosidet]],EY$7),NA())</f>
        <v>#N/A</v>
      </c>
      <c r="EZ239" s="54" t="e">
        <f>IF(EY$3,IF(CHOOSE(EY$7,Eu_tabel_a[[#This Row],[x base]]&gt;0,Eu_tabel_a[[#This Row],[x base]]&lt;0,Eu_tabel_a[[#This Row],[x base]]=0),1,NA()),NA())</f>
        <v>#N/A</v>
      </c>
      <c r="FA239" s="54" t="e">
        <f>IF(CHOOSE(EY$7,Eu_tabel_a[[#This Row],[x base]]&gt;0,Eu_tabel_a[[#This Row],[x base]]&lt;0,Eu_tabel_a[[#This Row],[x base]]=0),Eu_tabel_a[[#This Row],[Styrke, aktiv]],NA())</f>
        <v>#N/A</v>
      </c>
      <c r="FB239" s="54" t="e">
        <f>IFERROR(IF($EY$3,Eu_tabel_a[[#This Row],[Styrke, aktiv]],NA()),NA())</f>
        <v>#N/A</v>
      </c>
      <c r="FC239" s="54" t="e">
        <f>IF(ISNA(Eu_tabel_a[[#This Row],[Sand negativ
Nulhypotese afvises
Korrekt]]),NA(),IF(EY$3,1,NA()))</f>
        <v>#N/A</v>
      </c>
      <c r="FD239" s="55" t="str" cm="1">
        <f t="array" ref="FD239">IFERROR(_xlfn.SWITCH(Eu_tabel_a[[#This Row],[Indeks]],_xlfn.IFNA(FB$2,-99),FB$5,_xlfn.IFNA(FB$3,-99),FB$6,_xlfn.IFNA(FB$4,-99),FB$7,""),"")</f>
        <v/>
      </c>
      <c r="FE239" s="54">
        <f>Eu_tabel_a[[#This Row],[x base]]*SQRT(Eu_a_h0_x*(1-Eu_a_h0_x)/Eu_a_n_x)+Eu_a_h0_x</f>
        <v>0</v>
      </c>
      <c r="FJ239" s="144" t="e">
        <f t="shared" si="338"/>
        <v>#N/A</v>
      </c>
      <c r="FK239" s="152" t="e">
        <f t="shared" si="426"/>
        <v>#DIV/0!</v>
      </c>
      <c r="FL239" s="7" t="e">
        <f t="shared" si="332"/>
        <v>#DIV/0!</v>
      </c>
      <c r="FM239" t="e">
        <f t="shared" si="427"/>
        <v>#DIV/0!</v>
      </c>
      <c r="FN239" s="8" t="e">
        <f t="shared" si="428"/>
        <v>#DIV/0!</v>
      </c>
      <c r="FO239" s="8" t="e">
        <f t="shared" si="429"/>
        <v>#DIV/0!</v>
      </c>
      <c r="FP239" s="151" t="e">
        <f t="shared" si="430"/>
        <v>#DIV/0!</v>
      </c>
      <c r="FQ239" s="144" t="e">
        <f t="shared" ca="1" si="333"/>
        <v>#N/A</v>
      </c>
      <c r="FR239" s="152" t="e" vm="3">
        <f t="shared" ca="1" si="339"/>
        <v>#VALUE!</v>
      </c>
      <c r="FS239" s="7" t="e" vm="3">
        <f t="shared" ca="1" si="334"/>
        <v>#VALUE!</v>
      </c>
      <c r="FT239" t="e" vm="3">
        <f t="shared" ca="1" si="328"/>
        <v>#VALUE!</v>
      </c>
      <c r="FU239" s="8" t="e" vm="3">
        <f t="shared" ca="1" si="329"/>
        <v>#VALUE!</v>
      </c>
      <c r="FV239" s="8" t="e" vm="3">
        <f t="shared" ca="1" si="330"/>
        <v>#VALUE!</v>
      </c>
      <c r="FW239" s="151" t="e" vm="3">
        <f t="shared" ca="1" si="331"/>
        <v>#VALUE!</v>
      </c>
      <c r="FX239" s="144" t="e">
        <f t="shared" si="335"/>
        <v>#N/A</v>
      </c>
      <c r="FY239" s="152" t="e">
        <f t="shared" si="340"/>
        <v>#N/A</v>
      </c>
      <c r="FZ239" s="7" t="e">
        <f t="shared" si="336"/>
        <v>#N/A</v>
      </c>
      <c r="GA239" t="e">
        <f t="shared" si="341"/>
        <v>#N/A</v>
      </c>
      <c r="GB239" s="8" t="e">
        <f t="shared" si="342"/>
        <v>#N/A</v>
      </c>
      <c r="GC239" s="8" t="e">
        <f t="shared" si="343"/>
        <v>#N/A</v>
      </c>
      <c r="GD239" s="151" t="e">
        <f t="shared" si="344"/>
        <v>#N/A</v>
      </c>
      <c r="GE239" s="144" t="e">
        <f t="shared" si="345"/>
        <v>#N/A</v>
      </c>
      <c r="GF239" s="152" t="e">
        <f t="shared" si="346"/>
        <v>#N/A</v>
      </c>
      <c r="GG239" s="7" t="e">
        <f t="shared" si="337"/>
        <v>#N/A</v>
      </c>
      <c r="GH239" t="e">
        <f t="shared" si="347"/>
        <v>#N/A</v>
      </c>
      <c r="GI239" s="8" t="e">
        <f t="shared" si="348"/>
        <v>#N/A</v>
      </c>
      <c r="GJ239" s="8" t="e">
        <f t="shared" si="349"/>
        <v>#N/A</v>
      </c>
      <c r="GK239" s="151" t="e">
        <f t="shared" si="350"/>
        <v>#N/A</v>
      </c>
      <c r="GL239" s="151"/>
      <c r="GM239" s="151"/>
      <c r="GP239" s="54">
        <f t="shared" si="395"/>
        <v>229</v>
      </c>
      <c r="GQ239" s="54">
        <f t="shared" si="396"/>
        <v>230</v>
      </c>
      <c r="GR239" s="54">
        <f t="shared" si="397"/>
        <v>2.3955289195099327</v>
      </c>
      <c r="GS239" s="54">
        <f t="shared" si="398"/>
        <v>2.2635904575720501E-2</v>
      </c>
      <c r="GT239" s="54" t="e">
        <f t="shared" si="399"/>
        <v>#N/A</v>
      </c>
      <c r="GU239" s="54" t="e">
        <f t="shared" si="400"/>
        <v>#N/A</v>
      </c>
      <c r="GV239" s="54" t="e">
        <f t="shared" si="401"/>
        <v>#N/A</v>
      </c>
      <c r="GW239" s="54" t="b">
        <f t="shared" si="402"/>
        <v>0</v>
      </c>
      <c r="GX239" s="54" t="b">
        <f t="shared" si="403"/>
        <v>1</v>
      </c>
      <c r="GY239" s="54" t="b">
        <f t="shared" si="404"/>
        <v>1</v>
      </c>
      <c r="GZ239" s="54" t="b">
        <f t="shared" si="405"/>
        <v>0</v>
      </c>
      <c r="HA239" s="54">
        <f t="shared" si="406"/>
        <v>2.2635904575720501E-2</v>
      </c>
      <c r="HB239" s="54">
        <f t="shared" si="407"/>
        <v>2.2635904575720501E-2</v>
      </c>
      <c r="HC239" s="54" t="e">
        <f t="shared" si="408"/>
        <v>#N/A</v>
      </c>
      <c r="HD239" s="69" t="str">
        <f t="shared" si="409"/>
        <v/>
      </c>
      <c r="HJ239" s="54">
        <f t="shared" si="410"/>
        <v>229</v>
      </c>
      <c r="HK239" s="54">
        <f t="shared" si="411"/>
        <v>230</v>
      </c>
      <c r="HL239" s="54">
        <f t="shared" si="412"/>
        <v>3.7095268439056852</v>
      </c>
      <c r="HM239" s="54" t="e">
        <f t="shared" si="413"/>
        <v>#N/A</v>
      </c>
      <c r="HN239" s="54">
        <f t="shared" si="414"/>
        <v>4.976047630397132E-3</v>
      </c>
      <c r="HO239" s="54" t="e">
        <f t="shared" si="415"/>
        <v>#N/A</v>
      </c>
      <c r="HP239" s="54" t="e">
        <f t="shared" si="416"/>
        <v>#N/A</v>
      </c>
      <c r="HQ239" s="54" t="b">
        <f t="shared" si="417"/>
        <v>0</v>
      </c>
      <c r="HR239" s="54" t="b">
        <f t="shared" si="418"/>
        <v>1</v>
      </c>
      <c r="HS239" s="54" t="b">
        <f t="shared" si="419"/>
        <v>1</v>
      </c>
      <c r="HT239" s="54" t="b">
        <f t="shared" si="420"/>
        <v>0</v>
      </c>
      <c r="HU239" s="54">
        <f t="shared" si="421"/>
        <v>4.976047630397132E-3</v>
      </c>
      <c r="HV239" s="54" t="e">
        <f t="shared" si="422"/>
        <v>#N/A</v>
      </c>
      <c r="HW239" s="54">
        <f t="shared" si="423"/>
        <v>4.976047630397132E-3</v>
      </c>
      <c r="HX239" s="69" t="str">
        <f t="shared" si="424"/>
        <v/>
      </c>
    </row>
    <row r="240" spans="78:232" x14ac:dyDescent="0.2">
      <c r="BZ240" s="54">
        <f t="shared" si="351"/>
        <v>230</v>
      </c>
      <c r="CA240" s="54">
        <f>Eu_tabel_g[[#This Row],[Indeks]]+1</f>
        <v>231</v>
      </c>
      <c r="CB240" s="54">
        <f t="shared" si="352"/>
        <v>2.4194842087050317</v>
      </c>
      <c r="CC240" s="54">
        <f t="shared" si="353"/>
        <v>2.136736648843357E-2</v>
      </c>
      <c r="CD240" s="54" t="e">
        <f t="shared" si="354"/>
        <v>#N/A</v>
      </c>
      <c r="CE240" s="54" t="e">
        <f t="shared" si="355"/>
        <v>#N/A</v>
      </c>
      <c r="CF240" s="54" t="e">
        <f t="shared" si="356"/>
        <v>#N/A</v>
      </c>
      <c r="CG240" s="54" t="b">
        <f t="shared" si="357"/>
        <v>0</v>
      </c>
      <c r="CH240" s="54" t="b">
        <f t="shared" si="358"/>
        <v>1</v>
      </c>
      <c r="CI240" s="54" t="b">
        <f t="shared" si="359"/>
        <v>1</v>
      </c>
      <c r="CJ240" s="54" t="b">
        <f t="shared" si="360"/>
        <v>0</v>
      </c>
      <c r="CK240" s="54">
        <f t="shared" si="425"/>
        <v>2.136736648843357E-2</v>
      </c>
      <c r="CL240" s="54">
        <f t="shared" si="361"/>
        <v>2.136736648843357E-2</v>
      </c>
      <c r="CM240" s="54" t="e">
        <f t="shared" si="362"/>
        <v>#N/A</v>
      </c>
      <c r="CN240" s="69" t="str">
        <f t="shared" si="363"/>
        <v/>
      </c>
      <c r="CO240" s="54">
        <f>_xlfn.NORM.DIST(_xlfn.NORM.INV(1-Eu_g_konfidensniveau,0,1)-Eu_tabel_g[[#This Row],[x base]],0,1,TRUE)</f>
        <v>2.4084507387846644E-5</v>
      </c>
      <c r="CP240" s="54">
        <f>1-_xlfn.NORM.DIST(_xlfn.NORM.INV(Eu_g_konfidensniveau,0,1)-Eu_tabel_g[[#This Row],[x base]],0,1,TRUE)</f>
        <v>0.780721009457505</v>
      </c>
      <c r="CQ240" s="54">
        <f>_xlfn.NORM.DIST(_xlfn.NORM.INV((1-Eu_g_konfidensniveau)/2,0,1)-Eu_tabel_g[[#This Row],[x base]],0,1,TRUE)+1-_xlfn.NORM.DIST(_xlfn.NORM.INV(1-(1-Eu_g_konfidensniveau)/2,0,1)-Eu_tabel_g[[#This Row],[x base]],0,1,TRUE)</f>
        <v>0.677075632875353</v>
      </c>
      <c r="CR240" s="54" t="e" cm="1">
        <f t="array" ref="CR240">IF($CR$3,INDEX(Eu_tabel_g[[#This Row],[Styrke venstre]:[Styrke tosidet]],CR$7),NA())</f>
        <v>#N/A</v>
      </c>
      <c r="CS240" s="89" t="e">
        <f>Eu_tabel_g[[#This Row],[Falsk positiv
Nulhypotese accepteres
Fejltype 1]]</f>
        <v>#N/A</v>
      </c>
      <c r="CT240" s="89" t="e">
        <f>IF(CHOOSE(CR$7,Eu_tabel_g[[#This Row],[x base]]&gt;0,Eu_tabel_g[[#This Row],[x base]]&lt;0,Eu_tabel_g[[#This Row],[x base]]=0),Eu_tabel_g[[#This Row],[Styrke, aktiv]],NA())</f>
        <v>#N/A</v>
      </c>
      <c r="CU240" s="89" t="e">
        <f>IFERROR(IF($CR$3,Eu_tabel_g[[#This Row],[Styrke, aktiv]],NA()),NA())</f>
        <v>#N/A</v>
      </c>
      <c r="CV240" s="89" t="e">
        <f>IF(ISNA(Eu_tabel_g[[#This Row],[Sand negativ
Nulhypotese afvises
Korrekt]]),NA(),IF($CR$3,1,NA()))</f>
        <v>#N/A</v>
      </c>
      <c r="CW240" s="56" t="str" cm="1">
        <f t="array" ref="CW240">_xlfn.SWITCH(BZ240,_xlfn.IFNA(CU$2,-99),CU$5,_xlfn.IFNA(CU$3,-99),CU$6,_xlfn.IFNA(CU$4,-99),CU$7,"")</f>
        <v/>
      </c>
      <c r="DA240" s="7">
        <f t="shared" si="364"/>
        <v>0.8</v>
      </c>
      <c r="DB240">
        <f>IF(ROW(Styrkeberegning_G[[#This Row],[X base venstre]])=ROW(Styrkeberegning_G[[#Headers],[X base venstre]])+1,DB$7/(DA$7/$B$67),DB239/(DA239/$B$67))</f>
        <v>-2.8015817870135784</v>
      </c>
      <c r="DC240">
        <f>Styrkeberegning_G[[#This Row],[X base venstre]]*-1</f>
        <v>2.8015817870135784</v>
      </c>
      <c r="DN240" s="54">
        <f t="shared" si="365"/>
        <v>230</v>
      </c>
      <c r="DO240" s="54">
        <f t="shared" si="366"/>
        <v>231</v>
      </c>
      <c r="DP240" s="54">
        <f t="shared" si="367"/>
        <v>28.070149640563923</v>
      </c>
      <c r="DQ240" s="54" t="e">
        <f t="shared" si="368"/>
        <v>#N/A</v>
      </c>
      <c r="DR240" s="54" t="e">
        <f t="shared" si="369"/>
        <v>#N/A</v>
      </c>
      <c r="DS240" s="54">
        <f t="shared" si="370"/>
        <v>1.1148693732606777E-3</v>
      </c>
      <c r="DT240" s="54" t="e">
        <f t="shared" si="371"/>
        <v>#N/A</v>
      </c>
      <c r="DU240" s="54" t="b">
        <f t="shared" si="372"/>
        <v>0</v>
      </c>
      <c r="DV240" s="54" t="b">
        <f t="shared" si="373"/>
        <v>1</v>
      </c>
      <c r="DW240" s="54" t="b">
        <f t="shared" si="374"/>
        <v>1</v>
      </c>
      <c r="DX240" s="54" t="b">
        <f t="shared" si="375"/>
        <v>0</v>
      </c>
      <c r="DY240" s="54">
        <f t="shared" si="376"/>
        <v>1.1148693732606777E-3</v>
      </c>
      <c r="DZ240" s="54">
        <f t="shared" si="377"/>
        <v>1.1148693732606777E-3</v>
      </c>
      <c r="EA240" s="54" t="e">
        <f t="shared" si="378"/>
        <v>#N/A</v>
      </c>
      <c r="EB240" s="69" t="str">
        <f t="shared" si="379"/>
        <v/>
      </c>
      <c r="EG240" s="54">
        <f t="shared" si="380"/>
        <v>230</v>
      </c>
      <c r="EH240" s="54">
        <f t="shared" si="381"/>
        <v>231</v>
      </c>
      <c r="EI240" s="54">
        <f t="shared" si="382"/>
        <v>2.4194842087050317</v>
      </c>
      <c r="EJ240" s="54">
        <f t="shared" si="383"/>
        <v>2.136736648843357E-2</v>
      </c>
      <c r="EK240" s="54" t="e">
        <f t="shared" si="384"/>
        <v>#N/A</v>
      </c>
      <c r="EL240" s="54" t="e">
        <f t="shared" si="385"/>
        <v>#N/A</v>
      </c>
      <c r="EM240" s="54" t="e">
        <f t="shared" si="386"/>
        <v>#N/A</v>
      </c>
      <c r="EN240" s="54" t="b">
        <f t="shared" si="387"/>
        <v>0</v>
      </c>
      <c r="EO240" s="54" t="b">
        <f t="shared" si="388"/>
        <v>1</v>
      </c>
      <c r="EP240" s="54" t="b">
        <f t="shared" si="389"/>
        <v>1</v>
      </c>
      <c r="EQ240" s="54" t="b">
        <f t="shared" si="390"/>
        <v>0</v>
      </c>
      <c r="ER240" s="54">
        <f t="shared" si="391"/>
        <v>2.136736648843357E-2</v>
      </c>
      <c r="ES240" s="54">
        <f t="shared" si="392"/>
        <v>2.136736648843357E-2</v>
      </c>
      <c r="ET240" s="54" t="e">
        <f t="shared" si="393"/>
        <v>#N/A</v>
      </c>
      <c r="EU240" s="69" t="str">
        <f t="shared" si="394"/>
        <v/>
      </c>
      <c r="EV24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4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4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40" s="54" t="e" cm="1">
        <f t="array" ref="EY240">IF($CR$3,INDEX(Eu_tabel_a[[#This Row],[Styrke venstre]:[Styrke tosidet]],EY$7),NA())</f>
        <v>#N/A</v>
      </c>
      <c r="EZ240" s="54" t="e">
        <f>IF(EY$3,IF(CHOOSE(EY$7,Eu_tabel_a[[#This Row],[x base]]&gt;0,Eu_tabel_a[[#This Row],[x base]]&lt;0,Eu_tabel_a[[#This Row],[x base]]=0),1,NA()),NA())</f>
        <v>#N/A</v>
      </c>
      <c r="FA240" s="54" t="e">
        <f>IF(CHOOSE(EY$7,Eu_tabel_a[[#This Row],[x base]]&gt;0,Eu_tabel_a[[#This Row],[x base]]&lt;0,Eu_tabel_a[[#This Row],[x base]]=0),Eu_tabel_a[[#This Row],[Styrke, aktiv]],NA())</f>
        <v>#N/A</v>
      </c>
      <c r="FB240" s="54" t="e">
        <f>IFERROR(IF($EY$3,Eu_tabel_a[[#This Row],[Styrke, aktiv]],NA()),NA())</f>
        <v>#N/A</v>
      </c>
      <c r="FC240" s="54" t="e">
        <f>IF(ISNA(Eu_tabel_a[[#This Row],[Sand negativ
Nulhypotese afvises
Korrekt]]),NA(),IF(EY$3,1,NA()))</f>
        <v>#N/A</v>
      </c>
      <c r="FD240" s="55" t="str" cm="1">
        <f t="array" ref="FD240">IFERROR(_xlfn.SWITCH(Eu_tabel_a[[#This Row],[Indeks]],_xlfn.IFNA(FB$2,-99),FB$5,_xlfn.IFNA(FB$3,-99),FB$6,_xlfn.IFNA(FB$4,-99),FB$7,""),"")</f>
        <v/>
      </c>
      <c r="FE240" s="54">
        <f>Eu_tabel_a[[#This Row],[x base]]*SQRT(Eu_a_h0_x*(1-Eu_a_h0_x)/Eu_a_n_x)+Eu_a_h0_x</f>
        <v>0</v>
      </c>
      <c r="FJ240" s="144" t="e">
        <f t="shared" si="338"/>
        <v>#N/A</v>
      </c>
      <c r="FK240" s="152" t="e">
        <f t="shared" si="426"/>
        <v>#DIV/0!</v>
      </c>
      <c r="FL240" s="7" t="e">
        <f t="shared" si="332"/>
        <v>#DIV/0!</v>
      </c>
      <c r="FM240" t="e">
        <f t="shared" si="427"/>
        <v>#DIV/0!</v>
      </c>
      <c r="FN240" s="8" t="e">
        <f t="shared" si="428"/>
        <v>#DIV/0!</v>
      </c>
      <c r="FO240" s="8" t="e">
        <f t="shared" si="429"/>
        <v>#DIV/0!</v>
      </c>
      <c r="FP240" s="151" t="e">
        <f t="shared" si="430"/>
        <v>#DIV/0!</v>
      </c>
      <c r="FQ240" s="144" t="e">
        <f t="shared" ca="1" si="333"/>
        <v>#N/A</v>
      </c>
      <c r="FR240" s="152" t="e" vm="3">
        <f t="shared" ca="1" si="339"/>
        <v>#VALUE!</v>
      </c>
      <c r="FS240" s="7" t="e" vm="3">
        <f t="shared" ca="1" si="334"/>
        <v>#VALUE!</v>
      </c>
      <c r="FT240" t="e" vm="3">
        <f t="shared" ca="1" si="328"/>
        <v>#VALUE!</v>
      </c>
      <c r="FU240" s="8" t="e" vm="3">
        <f t="shared" ca="1" si="329"/>
        <v>#VALUE!</v>
      </c>
      <c r="FV240" s="8" t="e" vm="3">
        <f t="shared" ca="1" si="330"/>
        <v>#VALUE!</v>
      </c>
      <c r="FW240" s="151" t="e" vm="3">
        <f t="shared" ca="1" si="331"/>
        <v>#VALUE!</v>
      </c>
      <c r="FX240" s="144" t="e">
        <f t="shared" si="335"/>
        <v>#N/A</v>
      </c>
      <c r="FY240" s="152" t="e">
        <f t="shared" si="340"/>
        <v>#N/A</v>
      </c>
      <c r="FZ240" s="7" t="e">
        <f t="shared" si="336"/>
        <v>#N/A</v>
      </c>
      <c r="GA240" t="e">
        <f t="shared" si="341"/>
        <v>#N/A</v>
      </c>
      <c r="GB240" s="8" t="e">
        <f t="shared" si="342"/>
        <v>#N/A</v>
      </c>
      <c r="GC240" s="8" t="e">
        <f t="shared" si="343"/>
        <v>#N/A</v>
      </c>
      <c r="GD240" s="151" t="e">
        <f t="shared" si="344"/>
        <v>#N/A</v>
      </c>
      <c r="GE240" s="144" t="e">
        <f t="shared" si="345"/>
        <v>#N/A</v>
      </c>
      <c r="GF240" s="152" t="e">
        <f t="shared" si="346"/>
        <v>#N/A</v>
      </c>
      <c r="GG240" s="7" t="e">
        <f t="shared" si="337"/>
        <v>#N/A</v>
      </c>
      <c r="GH240" t="e">
        <f t="shared" si="347"/>
        <v>#N/A</v>
      </c>
      <c r="GI240" s="8" t="e">
        <f t="shared" si="348"/>
        <v>#N/A</v>
      </c>
      <c r="GJ240" s="8" t="e">
        <f t="shared" si="349"/>
        <v>#N/A</v>
      </c>
      <c r="GK240" s="151" t="e">
        <f t="shared" si="350"/>
        <v>#N/A</v>
      </c>
      <c r="GL240" s="151"/>
      <c r="GM240" s="151"/>
      <c r="GP240" s="54">
        <f t="shared" si="395"/>
        <v>230</v>
      </c>
      <c r="GQ240" s="54">
        <f t="shared" si="396"/>
        <v>231</v>
      </c>
      <c r="GR240" s="54">
        <f t="shared" si="397"/>
        <v>2.4194842087050317</v>
      </c>
      <c r="GS240" s="54">
        <f t="shared" si="398"/>
        <v>2.136736648843357E-2</v>
      </c>
      <c r="GT240" s="54" t="e">
        <f t="shared" si="399"/>
        <v>#N/A</v>
      </c>
      <c r="GU240" s="54" t="e">
        <f t="shared" si="400"/>
        <v>#N/A</v>
      </c>
      <c r="GV240" s="54" t="e">
        <f t="shared" si="401"/>
        <v>#N/A</v>
      </c>
      <c r="GW240" s="54" t="b">
        <f t="shared" si="402"/>
        <v>0</v>
      </c>
      <c r="GX240" s="54" t="b">
        <f t="shared" si="403"/>
        <v>1</v>
      </c>
      <c r="GY240" s="54" t="b">
        <f t="shared" si="404"/>
        <v>1</v>
      </c>
      <c r="GZ240" s="54" t="b">
        <f t="shared" si="405"/>
        <v>0</v>
      </c>
      <c r="HA240" s="54">
        <f t="shared" si="406"/>
        <v>2.136736648843357E-2</v>
      </c>
      <c r="HB240" s="54">
        <f t="shared" si="407"/>
        <v>2.136736648843357E-2</v>
      </c>
      <c r="HC240" s="54" t="e">
        <f t="shared" si="408"/>
        <v>#N/A</v>
      </c>
      <c r="HD240" s="69" t="str">
        <f t="shared" si="409"/>
        <v/>
      </c>
      <c r="HJ240" s="54">
        <f t="shared" si="410"/>
        <v>230</v>
      </c>
      <c r="HK240" s="54">
        <f t="shared" si="411"/>
        <v>231</v>
      </c>
      <c r="HL240" s="54">
        <f t="shared" si="412"/>
        <v>3.7466221123447419</v>
      </c>
      <c r="HM240" s="54" t="e">
        <f t="shared" si="413"/>
        <v>#N/A</v>
      </c>
      <c r="HN240" s="54">
        <f t="shared" si="414"/>
        <v>4.7194716422334559E-3</v>
      </c>
      <c r="HO240" s="54" t="e">
        <f t="shared" si="415"/>
        <v>#N/A</v>
      </c>
      <c r="HP240" s="54" t="e">
        <f t="shared" si="416"/>
        <v>#N/A</v>
      </c>
      <c r="HQ240" s="54" t="b">
        <f t="shared" si="417"/>
        <v>0</v>
      </c>
      <c r="HR240" s="54" t="b">
        <f t="shared" si="418"/>
        <v>1</v>
      </c>
      <c r="HS240" s="54" t="b">
        <f t="shared" si="419"/>
        <v>1</v>
      </c>
      <c r="HT240" s="54" t="b">
        <f t="shared" si="420"/>
        <v>0</v>
      </c>
      <c r="HU240" s="54">
        <f t="shared" si="421"/>
        <v>4.7194716422334559E-3</v>
      </c>
      <c r="HV240" s="54" t="e">
        <f t="shared" si="422"/>
        <v>#N/A</v>
      </c>
      <c r="HW240" s="54">
        <f t="shared" si="423"/>
        <v>4.7194716422334559E-3</v>
      </c>
      <c r="HX240" s="69" t="str">
        <f t="shared" si="424"/>
        <v/>
      </c>
    </row>
    <row r="241" spans="78:232" x14ac:dyDescent="0.2">
      <c r="BZ241" s="54">
        <f t="shared" si="351"/>
        <v>231</v>
      </c>
      <c r="CA241" s="54">
        <f>Eu_tabel_g[[#This Row],[Indeks]]+1</f>
        <v>232</v>
      </c>
      <c r="CB241" s="54">
        <f t="shared" si="352"/>
        <v>2.4434394979001315</v>
      </c>
      <c r="CC241" s="54">
        <f t="shared" si="353"/>
        <v>2.0158347202276675E-2</v>
      </c>
      <c r="CD241" s="54" t="e">
        <f t="shared" si="354"/>
        <v>#N/A</v>
      </c>
      <c r="CE241" s="54" t="e">
        <f t="shared" si="355"/>
        <v>#N/A</v>
      </c>
      <c r="CF241" s="54" t="e">
        <f t="shared" si="356"/>
        <v>#N/A</v>
      </c>
      <c r="CG241" s="54" t="b">
        <f t="shared" si="357"/>
        <v>0</v>
      </c>
      <c r="CH241" s="54" t="b">
        <f t="shared" si="358"/>
        <v>1</v>
      </c>
      <c r="CI241" s="54" t="b">
        <f t="shared" si="359"/>
        <v>1</v>
      </c>
      <c r="CJ241" s="54" t="b">
        <f t="shared" si="360"/>
        <v>0</v>
      </c>
      <c r="CK241" s="54">
        <f t="shared" si="425"/>
        <v>2.0158347202276675E-2</v>
      </c>
      <c r="CL241" s="54">
        <f t="shared" si="361"/>
        <v>2.0158347202276675E-2</v>
      </c>
      <c r="CM241" s="54" t="e">
        <f t="shared" si="362"/>
        <v>#N/A</v>
      </c>
      <c r="CN241" s="69" t="str">
        <f t="shared" si="363"/>
        <v/>
      </c>
      <c r="CO241" s="54">
        <f>_xlfn.NORM.DIST(_xlfn.NORM.INV(1-Eu_g_konfidensniveau,0,1)-Eu_tabel_g[[#This Row],[x base]],0,1,TRUE)</f>
        <v>2.1727941800622994E-5</v>
      </c>
      <c r="CP241" s="54">
        <f>1-_xlfn.NORM.DIST(_xlfn.NORM.INV(Eu_g_konfidensniveau,0,1)-Eu_tabel_g[[#This Row],[x base]],0,1,TRUE)</f>
        <v>0.78773470849961547</v>
      </c>
      <c r="CQ241" s="54">
        <f>_xlfn.NORM.DIST(_xlfn.NORM.INV((1-Eu_g_konfidensniveau)/2,0,1)-Eu_tabel_g[[#This Row],[x base]],0,1,TRUE)+1-_xlfn.NORM.DIST(_xlfn.NORM.INV(1-(1-Eu_g_konfidensniveau)/2,0,1)-Eu_tabel_g[[#This Row],[x base]],0,1,TRUE)</f>
        <v>0.68562625721916726</v>
      </c>
      <c r="CR241" s="54" t="e" cm="1">
        <f t="array" ref="CR241">IF($CR$3,INDEX(Eu_tabel_g[[#This Row],[Styrke venstre]:[Styrke tosidet]],CR$7),NA())</f>
        <v>#N/A</v>
      </c>
      <c r="CS241" s="89" t="e">
        <f>Eu_tabel_g[[#This Row],[Falsk positiv
Nulhypotese accepteres
Fejltype 1]]</f>
        <v>#N/A</v>
      </c>
      <c r="CT241" s="89" t="e">
        <f>IF(CHOOSE(CR$7,Eu_tabel_g[[#This Row],[x base]]&gt;0,Eu_tabel_g[[#This Row],[x base]]&lt;0,Eu_tabel_g[[#This Row],[x base]]=0),Eu_tabel_g[[#This Row],[Styrke, aktiv]],NA())</f>
        <v>#N/A</v>
      </c>
      <c r="CU241" s="89" t="e">
        <f>IFERROR(IF($CR$3,Eu_tabel_g[[#This Row],[Styrke, aktiv]],NA()),NA())</f>
        <v>#N/A</v>
      </c>
      <c r="CV241" s="89" t="e">
        <f>IF(ISNA(Eu_tabel_g[[#This Row],[Sand negativ
Nulhypotese afvises
Korrekt]]),NA(),IF($CR$3,1,NA()))</f>
        <v>#N/A</v>
      </c>
      <c r="CW241" s="56" t="str" cm="1">
        <f t="array" ref="CW241">_xlfn.SWITCH(BZ241,_xlfn.IFNA(CU$2,-99),CU$5,_xlfn.IFNA(CU$3,-99),CU$6,_xlfn.IFNA(CU$4,-99),CU$7,"")</f>
        <v/>
      </c>
      <c r="DA241" s="7">
        <f t="shared" si="364"/>
        <v>0.8</v>
      </c>
      <c r="DB241">
        <f>IF(ROW(Styrkeberegning_G[[#This Row],[X base venstre]])=ROW(Styrkeberegning_G[[#Headers],[X base venstre]])+1,DB$7/(DA$7/$B$67),DB240/(DA240/$B$67))</f>
        <v>-2.8015817870135784</v>
      </c>
      <c r="DC241">
        <f>Styrkeberegning_G[[#This Row],[X base venstre]]*-1</f>
        <v>2.8015817870135784</v>
      </c>
      <c r="DN241" s="54">
        <f t="shared" si="365"/>
        <v>231</v>
      </c>
      <c r="DO241" s="54">
        <f t="shared" si="366"/>
        <v>232</v>
      </c>
      <c r="DP241" s="54">
        <f t="shared" si="367"/>
        <v>28.18422049698092</v>
      </c>
      <c r="DQ241" s="54" t="e">
        <f t="shared" si="368"/>
        <v>#N/A</v>
      </c>
      <c r="DR241" s="54" t="e">
        <f t="shared" si="369"/>
        <v>#N/A</v>
      </c>
      <c r="DS241" s="54">
        <f t="shared" si="370"/>
        <v>1.072456444701067E-3</v>
      </c>
      <c r="DT241" s="54" t="e">
        <f t="shared" si="371"/>
        <v>#N/A</v>
      </c>
      <c r="DU241" s="54" t="b">
        <f t="shared" si="372"/>
        <v>0</v>
      </c>
      <c r="DV241" s="54" t="b">
        <f t="shared" si="373"/>
        <v>1</v>
      </c>
      <c r="DW241" s="54" t="b">
        <f t="shared" si="374"/>
        <v>1</v>
      </c>
      <c r="DX241" s="54" t="b">
        <f t="shared" si="375"/>
        <v>0</v>
      </c>
      <c r="DY241" s="54">
        <f t="shared" si="376"/>
        <v>1.072456444701067E-3</v>
      </c>
      <c r="DZ241" s="54">
        <f t="shared" si="377"/>
        <v>1.072456444701067E-3</v>
      </c>
      <c r="EA241" s="54" t="e">
        <f t="shared" si="378"/>
        <v>#N/A</v>
      </c>
      <c r="EB241" s="69" t="str">
        <f t="shared" si="379"/>
        <v/>
      </c>
      <c r="EG241" s="54">
        <f t="shared" si="380"/>
        <v>231</v>
      </c>
      <c r="EH241" s="54">
        <f t="shared" si="381"/>
        <v>232</v>
      </c>
      <c r="EI241" s="54">
        <f t="shared" si="382"/>
        <v>2.4434394979001315</v>
      </c>
      <c r="EJ241" s="54">
        <f t="shared" si="383"/>
        <v>2.0158347202276675E-2</v>
      </c>
      <c r="EK241" s="54" t="e">
        <f t="shared" si="384"/>
        <v>#N/A</v>
      </c>
      <c r="EL241" s="54" t="e">
        <f t="shared" si="385"/>
        <v>#N/A</v>
      </c>
      <c r="EM241" s="54" t="e">
        <f t="shared" si="386"/>
        <v>#N/A</v>
      </c>
      <c r="EN241" s="54" t="b">
        <f t="shared" si="387"/>
        <v>0</v>
      </c>
      <c r="EO241" s="54" t="b">
        <f t="shared" si="388"/>
        <v>1</v>
      </c>
      <c r="EP241" s="54" t="b">
        <f t="shared" si="389"/>
        <v>1</v>
      </c>
      <c r="EQ241" s="54" t="b">
        <f t="shared" si="390"/>
        <v>0</v>
      </c>
      <c r="ER241" s="54">
        <f t="shared" si="391"/>
        <v>2.0158347202276675E-2</v>
      </c>
      <c r="ES241" s="54">
        <f t="shared" si="392"/>
        <v>2.0158347202276675E-2</v>
      </c>
      <c r="ET241" s="54" t="e">
        <f t="shared" si="393"/>
        <v>#N/A</v>
      </c>
      <c r="EU241" s="69" t="str">
        <f t="shared" si="394"/>
        <v/>
      </c>
      <c r="EV24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4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4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41" s="54" t="e" cm="1">
        <f t="array" ref="EY241">IF($CR$3,INDEX(Eu_tabel_a[[#This Row],[Styrke venstre]:[Styrke tosidet]],EY$7),NA())</f>
        <v>#N/A</v>
      </c>
      <c r="EZ241" s="54" t="e">
        <f>IF(EY$3,IF(CHOOSE(EY$7,Eu_tabel_a[[#This Row],[x base]]&gt;0,Eu_tabel_a[[#This Row],[x base]]&lt;0,Eu_tabel_a[[#This Row],[x base]]=0),1,NA()),NA())</f>
        <v>#N/A</v>
      </c>
      <c r="FA241" s="54" t="e">
        <f>IF(CHOOSE(EY$7,Eu_tabel_a[[#This Row],[x base]]&gt;0,Eu_tabel_a[[#This Row],[x base]]&lt;0,Eu_tabel_a[[#This Row],[x base]]=0),Eu_tabel_a[[#This Row],[Styrke, aktiv]],NA())</f>
        <v>#N/A</v>
      </c>
      <c r="FB241" s="54" t="e">
        <f>IFERROR(IF($EY$3,Eu_tabel_a[[#This Row],[Styrke, aktiv]],NA()),NA())</f>
        <v>#N/A</v>
      </c>
      <c r="FC241" s="54" t="e">
        <f>IF(ISNA(Eu_tabel_a[[#This Row],[Sand negativ
Nulhypotese afvises
Korrekt]]),NA(),IF(EY$3,1,NA()))</f>
        <v>#N/A</v>
      </c>
      <c r="FD241" s="55" t="str" cm="1">
        <f t="array" ref="FD241">IFERROR(_xlfn.SWITCH(Eu_tabel_a[[#This Row],[Indeks]],_xlfn.IFNA(FB$2,-99),FB$5,_xlfn.IFNA(FB$3,-99),FB$6,_xlfn.IFNA(FB$4,-99),FB$7,""),"")</f>
        <v/>
      </c>
      <c r="FE241" s="54">
        <f>Eu_tabel_a[[#This Row],[x base]]*SQRT(Eu_a_h0_x*(1-Eu_a_h0_x)/Eu_a_n_x)+Eu_a_h0_x</f>
        <v>0</v>
      </c>
      <c r="FJ241" s="144" t="e">
        <f t="shared" si="338"/>
        <v>#N/A</v>
      </c>
      <c r="FK241" s="152" t="e">
        <f t="shared" si="426"/>
        <v>#DIV/0!</v>
      </c>
      <c r="FL241" s="7" t="e">
        <f t="shared" si="332"/>
        <v>#DIV/0!</v>
      </c>
      <c r="FM241" t="e">
        <f t="shared" si="427"/>
        <v>#DIV/0!</v>
      </c>
      <c r="FN241" s="8" t="e">
        <f t="shared" si="428"/>
        <v>#DIV/0!</v>
      </c>
      <c r="FO241" s="8" t="e">
        <f t="shared" si="429"/>
        <v>#DIV/0!</v>
      </c>
      <c r="FP241" s="151" t="e">
        <f t="shared" si="430"/>
        <v>#DIV/0!</v>
      </c>
      <c r="FQ241" s="144" t="e">
        <f t="shared" ca="1" si="333"/>
        <v>#N/A</v>
      </c>
      <c r="FR241" s="152" t="e" vm="3">
        <f t="shared" ca="1" si="339"/>
        <v>#VALUE!</v>
      </c>
      <c r="FS241" s="7" t="e" vm="3">
        <f t="shared" ca="1" si="334"/>
        <v>#VALUE!</v>
      </c>
      <c r="FT241" t="e" vm="3">
        <f t="shared" ca="1" si="328"/>
        <v>#VALUE!</v>
      </c>
      <c r="FU241" s="8" t="e" vm="3">
        <f t="shared" ca="1" si="329"/>
        <v>#VALUE!</v>
      </c>
      <c r="FV241" s="8" t="e" vm="3">
        <f t="shared" ca="1" si="330"/>
        <v>#VALUE!</v>
      </c>
      <c r="FW241" s="151" t="e" vm="3">
        <f t="shared" ca="1" si="331"/>
        <v>#VALUE!</v>
      </c>
      <c r="FX241" s="144" t="e">
        <f t="shared" si="335"/>
        <v>#N/A</v>
      </c>
      <c r="FY241" s="152" t="e">
        <f t="shared" si="340"/>
        <v>#N/A</v>
      </c>
      <c r="FZ241" s="7" t="e">
        <f t="shared" si="336"/>
        <v>#N/A</v>
      </c>
      <c r="GA241" t="e">
        <f t="shared" si="341"/>
        <v>#N/A</v>
      </c>
      <c r="GB241" s="8" t="e">
        <f t="shared" si="342"/>
        <v>#N/A</v>
      </c>
      <c r="GC241" s="8" t="e">
        <f t="shared" si="343"/>
        <v>#N/A</v>
      </c>
      <c r="GD241" s="151" t="e">
        <f t="shared" si="344"/>
        <v>#N/A</v>
      </c>
      <c r="GE241" s="144" t="e">
        <f t="shared" si="345"/>
        <v>#N/A</v>
      </c>
      <c r="GF241" s="152" t="e">
        <f t="shared" si="346"/>
        <v>#N/A</v>
      </c>
      <c r="GG241" s="7" t="e">
        <f t="shared" si="337"/>
        <v>#N/A</v>
      </c>
      <c r="GH241" t="e">
        <f t="shared" si="347"/>
        <v>#N/A</v>
      </c>
      <c r="GI241" s="8" t="e">
        <f t="shared" si="348"/>
        <v>#N/A</v>
      </c>
      <c r="GJ241" s="8" t="e">
        <f t="shared" si="349"/>
        <v>#N/A</v>
      </c>
      <c r="GK241" s="151" t="e">
        <f t="shared" si="350"/>
        <v>#N/A</v>
      </c>
      <c r="GL241" s="151"/>
      <c r="GM241" s="151"/>
      <c r="GP241" s="54">
        <f t="shared" si="395"/>
        <v>231</v>
      </c>
      <c r="GQ241" s="54">
        <f t="shared" si="396"/>
        <v>232</v>
      </c>
      <c r="GR241" s="54">
        <f t="shared" si="397"/>
        <v>2.4434394979001315</v>
      </c>
      <c r="GS241" s="54">
        <f t="shared" si="398"/>
        <v>2.0158347202276675E-2</v>
      </c>
      <c r="GT241" s="54" t="e">
        <f t="shared" si="399"/>
        <v>#N/A</v>
      </c>
      <c r="GU241" s="54" t="e">
        <f t="shared" si="400"/>
        <v>#N/A</v>
      </c>
      <c r="GV241" s="54" t="e">
        <f t="shared" si="401"/>
        <v>#N/A</v>
      </c>
      <c r="GW241" s="54" t="b">
        <f t="shared" si="402"/>
        <v>0</v>
      </c>
      <c r="GX241" s="54" t="b">
        <f t="shared" si="403"/>
        <v>1</v>
      </c>
      <c r="GY241" s="54" t="b">
        <f t="shared" si="404"/>
        <v>1</v>
      </c>
      <c r="GZ241" s="54" t="b">
        <f t="shared" si="405"/>
        <v>0</v>
      </c>
      <c r="HA241" s="54">
        <f t="shared" si="406"/>
        <v>2.0158347202276675E-2</v>
      </c>
      <c r="HB241" s="54">
        <f t="shared" si="407"/>
        <v>2.0158347202276675E-2</v>
      </c>
      <c r="HC241" s="54" t="e">
        <f t="shared" si="408"/>
        <v>#N/A</v>
      </c>
      <c r="HD241" s="69" t="str">
        <f t="shared" si="409"/>
        <v/>
      </c>
      <c r="HJ241" s="54">
        <f t="shared" si="410"/>
        <v>231</v>
      </c>
      <c r="HK241" s="54">
        <f t="shared" si="411"/>
        <v>232</v>
      </c>
      <c r="HL241" s="54">
        <f t="shared" si="412"/>
        <v>3.7837173807837985</v>
      </c>
      <c r="HM241" s="54" t="e">
        <f t="shared" si="413"/>
        <v>#N/A</v>
      </c>
      <c r="HN241" s="54">
        <f t="shared" si="414"/>
        <v>4.4769088118036685E-3</v>
      </c>
      <c r="HO241" s="54" t="e">
        <f t="shared" si="415"/>
        <v>#N/A</v>
      </c>
      <c r="HP241" s="54" t="e">
        <f t="shared" si="416"/>
        <v>#N/A</v>
      </c>
      <c r="HQ241" s="54" t="b">
        <f t="shared" si="417"/>
        <v>0</v>
      </c>
      <c r="HR241" s="54" t="b">
        <f t="shared" si="418"/>
        <v>1</v>
      </c>
      <c r="HS241" s="54" t="b">
        <f t="shared" si="419"/>
        <v>1</v>
      </c>
      <c r="HT241" s="54" t="b">
        <f t="shared" si="420"/>
        <v>0</v>
      </c>
      <c r="HU241" s="54">
        <f t="shared" si="421"/>
        <v>4.4769088118036685E-3</v>
      </c>
      <c r="HV241" s="54" t="e">
        <f t="shared" si="422"/>
        <v>#N/A</v>
      </c>
      <c r="HW241" s="54">
        <f t="shared" si="423"/>
        <v>4.4769088118036685E-3</v>
      </c>
      <c r="HX241" s="69" t="str">
        <f t="shared" si="424"/>
        <v/>
      </c>
    </row>
    <row r="242" spans="78:232" x14ac:dyDescent="0.2">
      <c r="BZ242" s="54">
        <f t="shared" si="351"/>
        <v>232</v>
      </c>
      <c r="CA242" s="54">
        <f>Eu_tabel_g[[#This Row],[Indeks]]+1</f>
        <v>233</v>
      </c>
      <c r="CB242" s="54">
        <f t="shared" si="352"/>
        <v>2.4673947870952304</v>
      </c>
      <c r="CC242" s="54">
        <f t="shared" si="353"/>
        <v>1.9006826955669437E-2</v>
      </c>
      <c r="CD242" s="54" t="e">
        <f t="shared" si="354"/>
        <v>#N/A</v>
      </c>
      <c r="CE242" s="54" t="e">
        <f t="shared" si="355"/>
        <v>#N/A</v>
      </c>
      <c r="CF242" s="54" t="e">
        <f t="shared" si="356"/>
        <v>#N/A</v>
      </c>
      <c r="CG242" s="54" t="b">
        <f t="shared" si="357"/>
        <v>0</v>
      </c>
      <c r="CH242" s="54" t="b">
        <f t="shared" si="358"/>
        <v>1</v>
      </c>
      <c r="CI242" s="54" t="b">
        <f t="shared" si="359"/>
        <v>1</v>
      </c>
      <c r="CJ242" s="54" t="b">
        <f t="shared" si="360"/>
        <v>0</v>
      </c>
      <c r="CK242" s="54">
        <f t="shared" si="425"/>
        <v>1.9006826955669437E-2</v>
      </c>
      <c r="CL242" s="54">
        <f t="shared" si="361"/>
        <v>1.9006826955669437E-2</v>
      </c>
      <c r="CM242" s="54" t="e">
        <f t="shared" si="362"/>
        <v>#N/A</v>
      </c>
      <c r="CN242" s="69" t="str">
        <f t="shared" si="363"/>
        <v/>
      </c>
      <c r="CO242" s="54">
        <f>_xlfn.NORM.DIST(_xlfn.NORM.INV(1-Eu_g_konfidensniveau,0,1)-Eu_tabel_g[[#This Row],[x base]],0,1,TRUE)</f>
        <v>1.9591217965209483E-5</v>
      </c>
      <c r="CP242" s="54">
        <f>1-_xlfn.NORM.DIST(_xlfn.NORM.INV(Eu_g_konfidensniveau,0,1)-Eu_tabel_g[[#This Row],[x base]],0,1,TRUE)</f>
        <v>0.79461551453892709</v>
      </c>
      <c r="CQ242" s="54">
        <f>_xlfn.NORM.DIST(_xlfn.NORM.INV((1-Eu_g_konfidensniveau)/2,0,1)-Eu_tabel_g[[#This Row],[x base]],0,1,TRUE)+1-_xlfn.NORM.DIST(_xlfn.NORM.INV(1-(1-Eu_g_konfidensniveau)/2,0,1)-Eu_tabel_g[[#This Row],[x base]],0,1,TRUE)</f>
        <v>0.69407848092556357</v>
      </c>
      <c r="CR242" s="54" t="e" cm="1">
        <f t="array" ref="CR242">IF($CR$3,INDEX(Eu_tabel_g[[#This Row],[Styrke venstre]:[Styrke tosidet]],CR$7),NA())</f>
        <v>#N/A</v>
      </c>
      <c r="CS242" s="89" t="e">
        <f>Eu_tabel_g[[#This Row],[Falsk positiv
Nulhypotese accepteres
Fejltype 1]]</f>
        <v>#N/A</v>
      </c>
      <c r="CT242" s="89" t="e">
        <f>IF(CHOOSE(CR$7,Eu_tabel_g[[#This Row],[x base]]&gt;0,Eu_tabel_g[[#This Row],[x base]]&lt;0,Eu_tabel_g[[#This Row],[x base]]=0),Eu_tabel_g[[#This Row],[Styrke, aktiv]],NA())</f>
        <v>#N/A</v>
      </c>
      <c r="CU242" s="89" t="e">
        <f>IFERROR(IF($CR$3,Eu_tabel_g[[#This Row],[Styrke, aktiv]],NA()),NA())</f>
        <v>#N/A</v>
      </c>
      <c r="CV242" s="89" t="e">
        <f>IF(ISNA(Eu_tabel_g[[#This Row],[Sand negativ
Nulhypotese afvises
Korrekt]]),NA(),IF($CR$3,1,NA()))</f>
        <v>#N/A</v>
      </c>
      <c r="CW242" s="56" t="str" cm="1">
        <f t="array" ref="CW242">_xlfn.SWITCH(BZ242,_xlfn.IFNA(CU$2,-99),CU$5,_xlfn.IFNA(CU$3,-99),CU$6,_xlfn.IFNA(CU$4,-99),CU$7,"")</f>
        <v/>
      </c>
      <c r="DA242" s="7">
        <f t="shared" si="364"/>
        <v>0.8</v>
      </c>
      <c r="DB242">
        <f>IF(ROW(Styrkeberegning_G[[#This Row],[X base venstre]])=ROW(Styrkeberegning_G[[#Headers],[X base venstre]])+1,DB$7/(DA$7/$B$67),DB241/(DA241/$B$67))</f>
        <v>-2.8015817870135784</v>
      </c>
      <c r="DC242">
        <f>Styrkeberegning_G[[#This Row],[X base venstre]]*-1</f>
        <v>2.8015817870135784</v>
      </c>
      <c r="DN242" s="54">
        <f t="shared" si="365"/>
        <v>232</v>
      </c>
      <c r="DO242" s="54">
        <f t="shared" si="366"/>
        <v>233</v>
      </c>
      <c r="DP242" s="54">
        <f t="shared" si="367"/>
        <v>28.298291353397921</v>
      </c>
      <c r="DQ242" s="54" t="e">
        <f t="shared" si="368"/>
        <v>#N/A</v>
      </c>
      <c r="DR242" s="54" t="e">
        <f t="shared" si="369"/>
        <v>#N/A</v>
      </c>
      <c r="DS242" s="54">
        <f t="shared" si="370"/>
        <v>1.0315809840283814E-3</v>
      </c>
      <c r="DT242" s="54" t="e">
        <f t="shared" si="371"/>
        <v>#N/A</v>
      </c>
      <c r="DU242" s="54" t="b">
        <f t="shared" si="372"/>
        <v>0</v>
      </c>
      <c r="DV242" s="54" t="b">
        <f t="shared" si="373"/>
        <v>1</v>
      </c>
      <c r="DW242" s="54" t="b">
        <f t="shared" si="374"/>
        <v>1</v>
      </c>
      <c r="DX242" s="54" t="b">
        <f t="shared" si="375"/>
        <v>0</v>
      </c>
      <c r="DY242" s="54">
        <f t="shared" si="376"/>
        <v>1.0315809840283814E-3</v>
      </c>
      <c r="DZ242" s="54">
        <f t="shared" si="377"/>
        <v>1.0315809840283814E-3</v>
      </c>
      <c r="EA242" s="54" t="e">
        <f t="shared" si="378"/>
        <v>#N/A</v>
      </c>
      <c r="EB242" s="69" t="str">
        <f t="shared" si="379"/>
        <v/>
      </c>
      <c r="EG242" s="54">
        <f t="shared" si="380"/>
        <v>232</v>
      </c>
      <c r="EH242" s="54">
        <f t="shared" si="381"/>
        <v>233</v>
      </c>
      <c r="EI242" s="54">
        <f t="shared" si="382"/>
        <v>2.4673947870952304</v>
      </c>
      <c r="EJ242" s="54">
        <f t="shared" si="383"/>
        <v>1.9006826955669437E-2</v>
      </c>
      <c r="EK242" s="54" t="e">
        <f t="shared" si="384"/>
        <v>#N/A</v>
      </c>
      <c r="EL242" s="54" t="e">
        <f t="shared" si="385"/>
        <v>#N/A</v>
      </c>
      <c r="EM242" s="54" t="e">
        <f t="shared" si="386"/>
        <v>#N/A</v>
      </c>
      <c r="EN242" s="54" t="b">
        <f t="shared" si="387"/>
        <v>0</v>
      </c>
      <c r="EO242" s="54" t="b">
        <f t="shared" si="388"/>
        <v>1</v>
      </c>
      <c r="EP242" s="54" t="b">
        <f t="shared" si="389"/>
        <v>1</v>
      </c>
      <c r="EQ242" s="54" t="b">
        <f t="shared" si="390"/>
        <v>0</v>
      </c>
      <c r="ER242" s="54">
        <f t="shared" si="391"/>
        <v>1.9006826955669437E-2</v>
      </c>
      <c r="ES242" s="54">
        <f t="shared" si="392"/>
        <v>1.9006826955669437E-2</v>
      </c>
      <c r="ET242" s="54" t="e">
        <f t="shared" si="393"/>
        <v>#N/A</v>
      </c>
      <c r="EU242" s="69" t="str">
        <f t="shared" si="394"/>
        <v/>
      </c>
      <c r="EV24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4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4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42" s="54" t="e" cm="1">
        <f t="array" ref="EY242">IF($CR$3,INDEX(Eu_tabel_a[[#This Row],[Styrke venstre]:[Styrke tosidet]],EY$7),NA())</f>
        <v>#N/A</v>
      </c>
      <c r="EZ242" s="54" t="e">
        <f>IF(EY$3,IF(CHOOSE(EY$7,Eu_tabel_a[[#This Row],[x base]]&gt;0,Eu_tabel_a[[#This Row],[x base]]&lt;0,Eu_tabel_a[[#This Row],[x base]]=0),1,NA()),NA())</f>
        <v>#N/A</v>
      </c>
      <c r="FA242" s="54" t="e">
        <f>IF(CHOOSE(EY$7,Eu_tabel_a[[#This Row],[x base]]&gt;0,Eu_tabel_a[[#This Row],[x base]]&lt;0,Eu_tabel_a[[#This Row],[x base]]=0),Eu_tabel_a[[#This Row],[Styrke, aktiv]],NA())</f>
        <v>#N/A</v>
      </c>
      <c r="FB242" s="54" t="e">
        <f>IFERROR(IF($EY$3,Eu_tabel_a[[#This Row],[Styrke, aktiv]],NA()),NA())</f>
        <v>#N/A</v>
      </c>
      <c r="FC242" s="54" t="e">
        <f>IF(ISNA(Eu_tabel_a[[#This Row],[Sand negativ
Nulhypotese afvises
Korrekt]]),NA(),IF(EY$3,1,NA()))</f>
        <v>#N/A</v>
      </c>
      <c r="FD242" s="55" t="str" cm="1">
        <f t="array" ref="FD242">IFERROR(_xlfn.SWITCH(Eu_tabel_a[[#This Row],[Indeks]],_xlfn.IFNA(FB$2,-99),FB$5,_xlfn.IFNA(FB$3,-99),FB$6,_xlfn.IFNA(FB$4,-99),FB$7,""),"")</f>
        <v/>
      </c>
      <c r="FE242" s="54">
        <f>Eu_tabel_a[[#This Row],[x base]]*SQRT(Eu_a_h0_x*(1-Eu_a_h0_x)/Eu_a_n_x)+Eu_a_h0_x</f>
        <v>0</v>
      </c>
      <c r="FJ242" s="144" t="e">
        <f t="shared" si="338"/>
        <v>#N/A</v>
      </c>
      <c r="FK242" s="152" t="e">
        <f t="shared" si="426"/>
        <v>#DIV/0!</v>
      </c>
      <c r="FL242" s="7" t="e">
        <f t="shared" si="332"/>
        <v>#DIV/0!</v>
      </c>
      <c r="FM242" t="e">
        <f t="shared" si="427"/>
        <v>#DIV/0!</v>
      </c>
      <c r="FN242" s="8" t="e">
        <f t="shared" si="428"/>
        <v>#DIV/0!</v>
      </c>
      <c r="FO242" s="8" t="e">
        <f t="shared" si="429"/>
        <v>#DIV/0!</v>
      </c>
      <c r="FP242" s="151" t="e">
        <f t="shared" si="430"/>
        <v>#DIV/0!</v>
      </c>
      <c r="FQ242" s="144" t="e">
        <f t="shared" ca="1" si="333"/>
        <v>#N/A</v>
      </c>
      <c r="FR242" s="152" t="e" vm="3">
        <f t="shared" ca="1" si="339"/>
        <v>#VALUE!</v>
      </c>
      <c r="FS242" s="7" t="e" vm="3">
        <f t="shared" ca="1" si="334"/>
        <v>#VALUE!</v>
      </c>
      <c r="FT242" t="e" vm="3">
        <f t="shared" ca="1" si="328"/>
        <v>#VALUE!</v>
      </c>
      <c r="FU242" s="8" t="e" vm="3">
        <f t="shared" ca="1" si="329"/>
        <v>#VALUE!</v>
      </c>
      <c r="FV242" s="8" t="e" vm="3">
        <f t="shared" ca="1" si="330"/>
        <v>#VALUE!</v>
      </c>
      <c r="FW242" s="151" t="e" vm="3">
        <f t="shared" ca="1" si="331"/>
        <v>#VALUE!</v>
      </c>
      <c r="FX242" s="144" t="e">
        <f t="shared" si="335"/>
        <v>#N/A</v>
      </c>
      <c r="FY242" s="152" t="e">
        <f t="shared" si="340"/>
        <v>#N/A</v>
      </c>
      <c r="FZ242" s="7" t="e">
        <f t="shared" si="336"/>
        <v>#N/A</v>
      </c>
      <c r="GA242" t="e">
        <f t="shared" si="341"/>
        <v>#N/A</v>
      </c>
      <c r="GB242" s="8" t="e">
        <f t="shared" si="342"/>
        <v>#N/A</v>
      </c>
      <c r="GC242" s="8" t="e">
        <f t="shared" si="343"/>
        <v>#N/A</v>
      </c>
      <c r="GD242" s="151" t="e">
        <f t="shared" si="344"/>
        <v>#N/A</v>
      </c>
      <c r="GE242" s="144" t="e">
        <f t="shared" si="345"/>
        <v>#N/A</v>
      </c>
      <c r="GF242" s="152" t="e">
        <f t="shared" si="346"/>
        <v>#N/A</v>
      </c>
      <c r="GG242" s="7" t="e">
        <f t="shared" si="337"/>
        <v>#N/A</v>
      </c>
      <c r="GH242" t="e">
        <f t="shared" si="347"/>
        <v>#N/A</v>
      </c>
      <c r="GI242" s="8" t="e">
        <f t="shared" si="348"/>
        <v>#N/A</v>
      </c>
      <c r="GJ242" s="8" t="e">
        <f t="shared" si="349"/>
        <v>#N/A</v>
      </c>
      <c r="GK242" s="151" t="e">
        <f t="shared" si="350"/>
        <v>#N/A</v>
      </c>
      <c r="GL242" s="151"/>
      <c r="GM242" s="151"/>
      <c r="GP242" s="54">
        <f t="shared" si="395"/>
        <v>232</v>
      </c>
      <c r="GQ242" s="54">
        <f t="shared" si="396"/>
        <v>233</v>
      </c>
      <c r="GR242" s="54">
        <f t="shared" si="397"/>
        <v>2.4673947870952304</v>
      </c>
      <c r="GS242" s="54">
        <f t="shared" si="398"/>
        <v>1.9006826955669437E-2</v>
      </c>
      <c r="GT242" s="54" t="e">
        <f t="shared" si="399"/>
        <v>#N/A</v>
      </c>
      <c r="GU242" s="54" t="e">
        <f t="shared" si="400"/>
        <v>#N/A</v>
      </c>
      <c r="GV242" s="54" t="e">
        <f t="shared" si="401"/>
        <v>#N/A</v>
      </c>
      <c r="GW242" s="54" t="b">
        <f t="shared" si="402"/>
        <v>0</v>
      </c>
      <c r="GX242" s="54" t="b">
        <f t="shared" si="403"/>
        <v>1</v>
      </c>
      <c r="GY242" s="54" t="b">
        <f t="shared" si="404"/>
        <v>1</v>
      </c>
      <c r="GZ242" s="54" t="b">
        <f t="shared" si="405"/>
        <v>0</v>
      </c>
      <c r="HA242" s="54">
        <f t="shared" si="406"/>
        <v>1.9006826955669437E-2</v>
      </c>
      <c r="HB242" s="54">
        <f t="shared" si="407"/>
        <v>1.9006826955669437E-2</v>
      </c>
      <c r="HC242" s="54" t="e">
        <f t="shared" si="408"/>
        <v>#N/A</v>
      </c>
      <c r="HD242" s="69" t="str">
        <f t="shared" si="409"/>
        <v/>
      </c>
      <c r="HJ242" s="54">
        <f t="shared" si="410"/>
        <v>232</v>
      </c>
      <c r="HK242" s="54">
        <f t="shared" si="411"/>
        <v>233</v>
      </c>
      <c r="HL242" s="54">
        <f t="shared" si="412"/>
        <v>3.8208126492228551</v>
      </c>
      <c r="HM242" s="54" t="e">
        <f t="shared" si="413"/>
        <v>#N/A</v>
      </c>
      <c r="HN242" s="54">
        <f t="shared" si="414"/>
        <v>4.2475655672530406E-3</v>
      </c>
      <c r="HO242" s="54" t="e">
        <f t="shared" si="415"/>
        <v>#N/A</v>
      </c>
      <c r="HP242" s="54" t="e">
        <f t="shared" si="416"/>
        <v>#N/A</v>
      </c>
      <c r="HQ242" s="54" t="b">
        <f t="shared" si="417"/>
        <v>0</v>
      </c>
      <c r="HR242" s="54" t="b">
        <f t="shared" si="418"/>
        <v>1</v>
      </c>
      <c r="HS242" s="54" t="b">
        <f t="shared" si="419"/>
        <v>1</v>
      </c>
      <c r="HT242" s="54" t="b">
        <f t="shared" si="420"/>
        <v>0</v>
      </c>
      <c r="HU242" s="54">
        <f t="shared" si="421"/>
        <v>4.2475655672530406E-3</v>
      </c>
      <c r="HV242" s="54" t="e">
        <f t="shared" si="422"/>
        <v>#N/A</v>
      </c>
      <c r="HW242" s="54">
        <f t="shared" si="423"/>
        <v>4.2475655672530406E-3</v>
      </c>
      <c r="HX242" s="69" t="str">
        <f t="shared" si="424"/>
        <v/>
      </c>
    </row>
    <row r="243" spans="78:232" x14ac:dyDescent="0.2">
      <c r="BZ243" s="54">
        <f t="shared" si="351"/>
        <v>233</v>
      </c>
      <c r="CA243" s="54">
        <f>Eu_tabel_g[[#This Row],[Indeks]]+1</f>
        <v>234</v>
      </c>
      <c r="CB243" s="54">
        <f t="shared" si="352"/>
        <v>2.4913500762903302</v>
      </c>
      <c r="CC243" s="54">
        <f t="shared" si="353"/>
        <v>1.7910804685522155E-2</v>
      </c>
      <c r="CD243" s="54" t="e">
        <f t="shared" si="354"/>
        <v>#N/A</v>
      </c>
      <c r="CE243" s="54" t="e">
        <f t="shared" si="355"/>
        <v>#N/A</v>
      </c>
      <c r="CF243" s="54" t="e">
        <f t="shared" si="356"/>
        <v>#N/A</v>
      </c>
      <c r="CG243" s="54" t="b">
        <f t="shared" si="357"/>
        <v>0</v>
      </c>
      <c r="CH243" s="54" t="b">
        <f t="shared" si="358"/>
        <v>1</v>
      </c>
      <c r="CI243" s="54" t="b">
        <f t="shared" si="359"/>
        <v>1</v>
      </c>
      <c r="CJ243" s="54" t="b">
        <f t="shared" si="360"/>
        <v>0</v>
      </c>
      <c r="CK243" s="54">
        <f t="shared" si="425"/>
        <v>1.7910804685522155E-2</v>
      </c>
      <c r="CL243" s="54">
        <f t="shared" si="361"/>
        <v>1.7910804685522155E-2</v>
      </c>
      <c r="CM243" s="54" t="e">
        <f t="shared" si="362"/>
        <v>#N/A</v>
      </c>
      <c r="CN243" s="69" t="str">
        <f t="shared" si="363"/>
        <v/>
      </c>
      <c r="CO243" s="54">
        <f>_xlfn.NORM.DIST(_xlfn.NORM.INV(1-Eu_g_konfidensniveau,0,1)-Eu_tabel_g[[#This Row],[x base]],0,1,TRUE)</f>
        <v>1.7654938465766175E-5</v>
      </c>
      <c r="CP243" s="54">
        <f>1-_xlfn.NORM.DIST(_xlfn.NORM.INV(Eu_g_konfidensniveau,0,1)-Eu_tabel_g[[#This Row],[x base]],0,1,TRUE)</f>
        <v>0.80136207310529262</v>
      </c>
      <c r="CQ243" s="54">
        <f>_xlfn.NORM.DIST(_xlfn.NORM.INV((1-Eu_g_konfidensniveau)/2,0,1)-Eu_tabel_g[[#This Row],[x base]],0,1,TRUE)+1-_xlfn.NORM.DIST(_xlfn.NORM.INV(1-(1-Eu_g_konfidensniveau)/2,0,1)-Eu_tabel_g[[#This Row],[x base]],0,1,TRUE)</f>
        <v>0.7024286385844859</v>
      </c>
      <c r="CR243" s="54" t="e" cm="1">
        <f t="array" ref="CR243">IF($CR$3,INDEX(Eu_tabel_g[[#This Row],[Styrke venstre]:[Styrke tosidet]],CR$7),NA())</f>
        <v>#N/A</v>
      </c>
      <c r="CS243" s="89" t="e">
        <f>Eu_tabel_g[[#This Row],[Falsk positiv
Nulhypotese accepteres
Fejltype 1]]</f>
        <v>#N/A</v>
      </c>
      <c r="CT243" s="89" t="e">
        <f>IF(CHOOSE(CR$7,Eu_tabel_g[[#This Row],[x base]]&gt;0,Eu_tabel_g[[#This Row],[x base]]&lt;0,Eu_tabel_g[[#This Row],[x base]]=0),Eu_tabel_g[[#This Row],[Styrke, aktiv]],NA())</f>
        <v>#N/A</v>
      </c>
      <c r="CU243" s="89" t="e">
        <f>IFERROR(IF($CR$3,Eu_tabel_g[[#This Row],[Styrke, aktiv]],NA()),NA())</f>
        <v>#N/A</v>
      </c>
      <c r="CV243" s="89" t="e">
        <f>IF(ISNA(Eu_tabel_g[[#This Row],[Sand negativ
Nulhypotese afvises
Korrekt]]),NA(),IF($CR$3,1,NA()))</f>
        <v>#N/A</v>
      </c>
      <c r="CW243" s="56" t="str" cm="1">
        <f t="array" ref="CW243">_xlfn.SWITCH(BZ243,_xlfn.IFNA(CU$2,-99),CU$5,_xlfn.IFNA(CU$3,-99),CU$6,_xlfn.IFNA(CU$4,-99),CU$7,"")</f>
        <v/>
      </c>
      <c r="DA243" s="7">
        <f t="shared" si="364"/>
        <v>0.8</v>
      </c>
      <c r="DB243">
        <f>IF(ROW(Styrkeberegning_G[[#This Row],[X base venstre]])=ROW(Styrkeberegning_G[[#Headers],[X base venstre]])+1,DB$7/(DA$7/$B$67),DB242/(DA242/$B$67))</f>
        <v>-2.8015817870135784</v>
      </c>
      <c r="DC243">
        <f>Styrkeberegning_G[[#This Row],[X base venstre]]*-1</f>
        <v>2.8015817870135784</v>
      </c>
      <c r="DN243" s="54">
        <f t="shared" si="365"/>
        <v>233</v>
      </c>
      <c r="DO243" s="54">
        <f t="shared" si="366"/>
        <v>234</v>
      </c>
      <c r="DP243" s="54">
        <f t="shared" si="367"/>
        <v>28.412362209814923</v>
      </c>
      <c r="DQ243" s="54" t="e">
        <f t="shared" si="368"/>
        <v>#N/A</v>
      </c>
      <c r="DR243" s="54" t="e">
        <f t="shared" si="369"/>
        <v>#N/A</v>
      </c>
      <c r="DS243" s="54">
        <f t="shared" si="370"/>
        <v>9.9219089203870831E-4</v>
      </c>
      <c r="DT243" s="54" t="e">
        <f t="shared" si="371"/>
        <v>#N/A</v>
      </c>
      <c r="DU243" s="54" t="b">
        <f t="shared" si="372"/>
        <v>0</v>
      </c>
      <c r="DV243" s="54" t="b">
        <f t="shared" si="373"/>
        <v>1</v>
      </c>
      <c r="DW243" s="54" t="b">
        <f t="shared" si="374"/>
        <v>1</v>
      </c>
      <c r="DX243" s="54" t="b">
        <f t="shared" si="375"/>
        <v>0</v>
      </c>
      <c r="DY243" s="54">
        <f t="shared" si="376"/>
        <v>9.9219089203870831E-4</v>
      </c>
      <c r="DZ243" s="54">
        <f t="shared" si="377"/>
        <v>9.9219089203870831E-4</v>
      </c>
      <c r="EA243" s="54" t="e">
        <f t="shared" si="378"/>
        <v>#N/A</v>
      </c>
      <c r="EB243" s="69" t="str">
        <f t="shared" si="379"/>
        <v/>
      </c>
      <c r="EG243" s="54">
        <f t="shared" si="380"/>
        <v>233</v>
      </c>
      <c r="EH243" s="54">
        <f t="shared" si="381"/>
        <v>234</v>
      </c>
      <c r="EI243" s="54">
        <f t="shared" si="382"/>
        <v>2.4913500762903302</v>
      </c>
      <c r="EJ243" s="54">
        <f t="shared" si="383"/>
        <v>1.7910804685522155E-2</v>
      </c>
      <c r="EK243" s="54" t="e">
        <f t="shared" si="384"/>
        <v>#N/A</v>
      </c>
      <c r="EL243" s="54" t="e">
        <f t="shared" si="385"/>
        <v>#N/A</v>
      </c>
      <c r="EM243" s="54" t="e">
        <f t="shared" si="386"/>
        <v>#N/A</v>
      </c>
      <c r="EN243" s="54" t="b">
        <f t="shared" si="387"/>
        <v>0</v>
      </c>
      <c r="EO243" s="54" t="b">
        <f t="shared" si="388"/>
        <v>1</v>
      </c>
      <c r="EP243" s="54" t="b">
        <f t="shared" si="389"/>
        <v>1</v>
      </c>
      <c r="EQ243" s="54" t="b">
        <f t="shared" si="390"/>
        <v>0</v>
      </c>
      <c r="ER243" s="54">
        <f t="shared" si="391"/>
        <v>1.7910804685522155E-2</v>
      </c>
      <c r="ES243" s="54">
        <f t="shared" si="392"/>
        <v>1.7910804685522155E-2</v>
      </c>
      <c r="ET243" s="54" t="e">
        <f t="shared" si="393"/>
        <v>#N/A</v>
      </c>
      <c r="EU243" s="69" t="str">
        <f t="shared" si="394"/>
        <v/>
      </c>
      <c r="EV24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4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4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43" s="54" t="e" cm="1">
        <f t="array" ref="EY243">IF($CR$3,INDEX(Eu_tabel_a[[#This Row],[Styrke venstre]:[Styrke tosidet]],EY$7),NA())</f>
        <v>#N/A</v>
      </c>
      <c r="EZ243" s="54" t="e">
        <f>IF(EY$3,IF(CHOOSE(EY$7,Eu_tabel_a[[#This Row],[x base]]&gt;0,Eu_tabel_a[[#This Row],[x base]]&lt;0,Eu_tabel_a[[#This Row],[x base]]=0),1,NA()),NA())</f>
        <v>#N/A</v>
      </c>
      <c r="FA243" s="54" t="e">
        <f>IF(CHOOSE(EY$7,Eu_tabel_a[[#This Row],[x base]]&gt;0,Eu_tabel_a[[#This Row],[x base]]&lt;0,Eu_tabel_a[[#This Row],[x base]]=0),Eu_tabel_a[[#This Row],[Styrke, aktiv]],NA())</f>
        <v>#N/A</v>
      </c>
      <c r="FB243" s="54" t="e">
        <f>IFERROR(IF($EY$3,Eu_tabel_a[[#This Row],[Styrke, aktiv]],NA()),NA())</f>
        <v>#N/A</v>
      </c>
      <c r="FC243" s="54" t="e">
        <f>IF(ISNA(Eu_tabel_a[[#This Row],[Sand negativ
Nulhypotese afvises
Korrekt]]),NA(),IF(EY$3,1,NA()))</f>
        <v>#N/A</v>
      </c>
      <c r="FD243" s="55" t="str" cm="1">
        <f t="array" ref="FD243">IFERROR(_xlfn.SWITCH(Eu_tabel_a[[#This Row],[Indeks]],_xlfn.IFNA(FB$2,-99),FB$5,_xlfn.IFNA(FB$3,-99),FB$6,_xlfn.IFNA(FB$4,-99),FB$7,""),"")</f>
        <v/>
      </c>
      <c r="FE243" s="54">
        <f>Eu_tabel_a[[#This Row],[x base]]*SQRT(Eu_a_h0_x*(1-Eu_a_h0_x)/Eu_a_n_x)+Eu_a_h0_x</f>
        <v>0</v>
      </c>
      <c r="FJ243" s="144" t="e">
        <f t="shared" si="338"/>
        <v>#N/A</v>
      </c>
      <c r="FK243" s="152" t="e">
        <f t="shared" si="426"/>
        <v>#DIV/0!</v>
      </c>
      <c r="FL243" s="7" t="e">
        <f t="shared" si="332"/>
        <v>#DIV/0!</v>
      </c>
      <c r="FM243" t="e">
        <f t="shared" si="427"/>
        <v>#DIV/0!</v>
      </c>
      <c r="FN243" s="8" t="e">
        <f t="shared" si="428"/>
        <v>#DIV/0!</v>
      </c>
      <c r="FO243" s="8" t="e">
        <f t="shared" si="429"/>
        <v>#DIV/0!</v>
      </c>
      <c r="FP243" s="151" t="e">
        <f t="shared" si="430"/>
        <v>#DIV/0!</v>
      </c>
      <c r="FQ243" s="144" t="e">
        <f t="shared" ca="1" si="333"/>
        <v>#N/A</v>
      </c>
      <c r="FR243" s="152" t="e" vm="3">
        <f t="shared" ca="1" si="339"/>
        <v>#VALUE!</v>
      </c>
      <c r="FS243" s="7" t="e" vm="3">
        <f t="shared" ca="1" si="334"/>
        <v>#VALUE!</v>
      </c>
      <c r="FT243" t="e" vm="3">
        <f t="shared" ca="1" si="328"/>
        <v>#VALUE!</v>
      </c>
      <c r="FU243" s="8" t="e" vm="3">
        <f t="shared" ca="1" si="329"/>
        <v>#VALUE!</v>
      </c>
      <c r="FV243" s="8" t="e" vm="3">
        <f t="shared" ca="1" si="330"/>
        <v>#VALUE!</v>
      </c>
      <c r="FW243" s="151" t="e" vm="3">
        <f t="shared" ca="1" si="331"/>
        <v>#VALUE!</v>
      </c>
      <c r="FX243" s="144" t="e">
        <f t="shared" si="335"/>
        <v>#N/A</v>
      </c>
      <c r="FY243" s="152" t="e">
        <f t="shared" si="340"/>
        <v>#N/A</v>
      </c>
      <c r="FZ243" s="7" t="e">
        <f t="shared" si="336"/>
        <v>#N/A</v>
      </c>
      <c r="GA243" t="e">
        <f t="shared" si="341"/>
        <v>#N/A</v>
      </c>
      <c r="GB243" s="8" t="e">
        <f t="shared" si="342"/>
        <v>#N/A</v>
      </c>
      <c r="GC243" s="8" t="e">
        <f t="shared" si="343"/>
        <v>#N/A</v>
      </c>
      <c r="GD243" s="151" t="e">
        <f t="shared" si="344"/>
        <v>#N/A</v>
      </c>
      <c r="GE243" s="144" t="e">
        <f t="shared" si="345"/>
        <v>#N/A</v>
      </c>
      <c r="GF243" s="152" t="e">
        <f t="shared" si="346"/>
        <v>#N/A</v>
      </c>
      <c r="GG243" s="7" t="e">
        <f t="shared" si="337"/>
        <v>#N/A</v>
      </c>
      <c r="GH243" t="e">
        <f t="shared" si="347"/>
        <v>#N/A</v>
      </c>
      <c r="GI243" s="8" t="e">
        <f t="shared" si="348"/>
        <v>#N/A</v>
      </c>
      <c r="GJ243" s="8" t="e">
        <f t="shared" si="349"/>
        <v>#N/A</v>
      </c>
      <c r="GK243" s="151" t="e">
        <f t="shared" si="350"/>
        <v>#N/A</v>
      </c>
      <c r="GL243" s="151"/>
      <c r="GM243" s="151"/>
      <c r="GP243" s="54">
        <f t="shared" si="395"/>
        <v>233</v>
      </c>
      <c r="GQ243" s="54">
        <f t="shared" si="396"/>
        <v>234</v>
      </c>
      <c r="GR243" s="54">
        <f t="shared" si="397"/>
        <v>2.4913500762903302</v>
      </c>
      <c r="GS243" s="54">
        <f t="shared" si="398"/>
        <v>1.7910804685522155E-2</v>
      </c>
      <c r="GT243" s="54" t="e">
        <f t="shared" si="399"/>
        <v>#N/A</v>
      </c>
      <c r="GU243" s="54" t="e">
        <f t="shared" si="400"/>
        <v>#N/A</v>
      </c>
      <c r="GV243" s="54" t="e">
        <f t="shared" si="401"/>
        <v>#N/A</v>
      </c>
      <c r="GW243" s="54" t="b">
        <f t="shared" si="402"/>
        <v>0</v>
      </c>
      <c r="GX243" s="54" t="b">
        <f t="shared" si="403"/>
        <v>1</v>
      </c>
      <c r="GY243" s="54" t="b">
        <f t="shared" si="404"/>
        <v>1</v>
      </c>
      <c r="GZ243" s="54" t="b">
        <f t="shared" si="405"/>
        <v>0</v>
      </c>
      <c r="HA243" s="54">
        <f t="shared" si="406"/>
        <v>1.7910804685522155E-2</v>
      </c>
      <c r="HB243" s="54">
        <f t="shared" si="407"/>
        <v>1.7910804685522155E-2</v>
      </c>
      <c r="HC243" s="54" t="e">
        <f t="shared" si="408"/>
        <v>#N/A</v>
      </c>
      <c r="HD243" s="69" t="str">
        <f t="shared" si="409"/>
        <v/>
      </c>
      <c r="HJ243" s="54">
        <f t="shared" si="410"/>
        <v>233</v>
      </c>
      <c r="HK243" s="54">
        <f t="shared" si="411"/>
        <v>234</v>
      </c>
      <c r="HL243" s="54">
        <f t="shared" si="412"/>
        <v>3.8579079176619118</v>
      </c>
      <c r="HM243" s="54" t="e">
        <f t="shared" si="413"/>
        <v>#N/A</v>
      </c>
      <c r="HN243" s="54">
        <f t="shared" si="414"/>
        <v>4.0306937646998392E-3</v>
      </c>
      <c r="HO243" s="54" t="e">
        <f t="shared" si="415"/>
        <v>#N/A</v>
      </c>
      <c r="HP243" s="54" t="e">
        <f t="shared" si="416"/>
        <v>#N/A</v>
      </c>
      <c r="HQ243" s="54" t="b">
        <f t="shared" si="417"/>
        <v>0</v>
      </c>
      <c r="HR243" s="54" t="b">
        <f t="shared" si="418"/>
        <v>1</v>
      </c>
      <c r="HS243" s="54" t="b">
        <f t="shared" si="419"/>
        <v>1</v>
      </c>
      <c r="HT243" s="54" t="b">
        <f t="shared" si="420"/>
        <v>0</v>
      </c>
      <c r="HU243" s="54">
        <f t="shared" si="421"/>
        <v>4.0306937646998392E-3</v>
      </c>
      <c r="HV243" s="54" t="e">
        <f t="shared" si="422"/>
        <v>#N/A</v>
      </c>
      <c r="HW243" s="54">
        <f t="shared" si="423"/>
        <v>4.0306937646998392E-3</v>
      </c>
      <c r="HX243" s="69" t="str">
        <f t="shared" si="424"/>
        <v/>
      </c>
    </row>
    <row r="244" spans="78:232" x14ac:dyDescent="0.2">
      <c r="BZ244" s="54">
        <f t="shared" si="351"/>
        <v>234</v>
      </c>
      <c r="CA244" s="54">
        <f>Eu_tabel_g[[#This Row],[Indeks]]+1</f>
        <v>235</v>
      </c>
      <c r="CB244" s="54">
        <f t="shared" si="352"/>
        <v>2.5153053654854292</v>
      </c>
      <c r="CC244" s="54">
        <f t="shared" si="353"/>
        <v>1.6868301418220717E-2</v>
      </c>
      <c r="CD244" s="54" t="e">
        <f t="shared" si="354"/>
        <v>#N/A</v>
      </c>
      <c r="CE244" s="54" t="e">
        <f t="shared" si="355"/>
        <v>#N/A</v>
      </c>
      <c r="CF244" s="54" t="e">
        <f t="shared" si="356"/>
        <v>#N/A</v>
      </c>
      <c r="CG244" s="54" t="b">
        <f t="shared" si="357"/>
        <v>0</v>
      </c>
      <c r="CH244" s="54" t="b">
        <f t="shared" si="358"/>
        <v>1</v>
      </c>
      <c r="CI244" s="54" t="b">
        <f t="shared" si="359"/>
        <v>1</v>
      </c>
      <c r="CJ244" s="54" t="b">
        <f t="shared" si="360"/>
        <v>0</v>
      </c>
      <c r="CK244" s="54">
        <f t="shared" si="425"/>
        <v>1.6868301418220717E-2</v>
      </c>
      <c r="CL244" s="54">
        <f t="shared" si="361"/>
        <v>1.6868301418220717E-2</v>
      </c>
      <c r="CM244" s="54" t="e">
        <f t="shared" si="362"/>
        <v>#N/A</v>
      </c>
      <c r="CN244" s="69" t="str">
        <f t="shared" si="363"/>
        <v/>
      </c>
      <c r="CO244" s="54">
        <f>_xlfn.NORM.DIST(_xlfn.NORM.INV(1-Eu_g_konfidensniveau,0,1)-Eu_tabel_g[[#This Row],[x base]],0,1,TRUE)</f>
        <v>1.5901306353919218E-5</v>
      </c>
      <c r="CP244" s="54">
        <f>1-_xlfn.NORM.DIST(_xlfn.NORM.INV(Eu_g_konfidensniveau,0,1)-Eu_tabel_g[[#This Row],[x base]],0,1,TRUE)</f>
        <v>0.80797320867814038</v>
      </c>
      <c r="CQ244" s="54">
        <f>_xlfn.NORM.DIST(_xlfn.NORM.INV((1-Eu_g_konfidensniveau)/2,0,1)-Eu_tabel_g[[#This Row],[x base]],0,1,TRUE)+1-_xlfn.NORM.DIST(_xlfn.NORM.INV(1-(1-Eu_g_konfidensniveau)/2,0,1)-Eu_tabel_g[[#This Row],[x base]],0,1,TRUE)</f>
        <v>0.71067322599342742</v>
      </c>
      <c r="CR244" s="54" t="e" cm="1">
        <f t="array" ref="CR244">IF($CR$3,INDEX(Eu_tabel_g[[#This Row],[Styrke venstre]:[Styrke tosidet]],CR$7),NA())</f>
        <v>#N/A</v>
      </c>
      <c r="CS244" s="89" t="e">
        <f>Eu_tabel_g[[#This Row],[Falsk positiv
Nulhypotese accepteres
Fejltype 1]]</f>
        <v>#N/A</v>
      </c>
      <c r="CT244" s="89" t="e">
        <f>IF(CHOOSE(CR$7,Eu_tabel_g[[#This Row],[x base]]&gt;0,Eu_tabel_g[[#This Row],[x base]]&lt;0,Eu_tabel_g[[#This Row],[x base]]=0),Eu_tabel_g[[#This Row],[Styrke, aktiv]],NA())</f>
        <v>#N/A</v>
      </c>
      <c r="CU244" s="89" t="e">
        <f>IFERROR(IF($CR$3,Eu_tabel_g[[#This Row],[Styrke, aktiv]],NA()),NA())</f>
        <v>#N/A</v>
      </c>
      <c r="CV244" s="89" t="e">
        <f>IF(ISNA(Eu_tabel_g[[#This Row],[Sand negativ
Nulhypotese afvises
Korrekt]]),NA(),IF($CR$3,1,NA()))</f>
        <v>#N/A</v>
      </c>
      <c r="CW244" s="56" t="str" cm="1">
        <f t="array" ref="CW244">_xlfn.SWITCH(BZ244,_xlfn.IFNA(CU$2,-99),CU$5,_xlfn.IFNA(CU$3,-99),CU$6,_xlfn.IFNA(CU$4,-99),CU$7,"")</f>
        <v/>
      </c>
      <c r="DA244" s="7">
        <f t="shared" si="364"/>
        <v>0.8</v>
      </c>
      <c r="DB244">
        <f>IF(ROW(Styrkeberegning_G[[#This Row],[X base venstre]])=ROW(Styrkeberegning_G[[#Headers],[X base venstre]])+1,DB$7/(DA$7/$B$67),DB243/(DA243/$B$67))</f>
        <v>-2.8015817870135784</v>
      </c>
      <c r="DC244">
        <f>Styrkeberegning_G[[#This Row],[X base venstre]]*-1</f>
        <v>2.8015817870135784</v>
      </c>
      <c r="DN244" s="54">
        <f t="shared" si="365"/>
        <v>234</v>
      </c>
      <c r="DO244" s="54">
        <f t="shared" si="366"/>
        <v>235</v>
      </c>
      <c r="DP244" s="54">
        <f t="shared" si="367"/>
        <v>28.526433066231924</v>
      </c>
      <c r="DQ244" s="54" t="e">
        <f t="shared" si="368"/>
        <v>#N/A</v>
      </c>
      <c r="DR244" s="54" t="e">
        <f t="shared" si="369"/>
        <v>#N/A</v>
      </c>
      <c r="DS244" s="54">
        <f t="shared" si="370"/>
        <v>9.5423566060861794E-4</v>
      </c>
      <c r="DT244" s="54" t="e">
        <f t="shared" si="371"/>
        <v>#N/A</v>
      </c>
      <c r="DU244" s="54" t="b">
        <f t="shared" si="372"/>
        <v>0</v>
      </c>
      <c r="DV244" s="54" t="b">
        <f t="shared" si="373"/>
        <v>1</v>
      </c>
      <c r="DW244" s="54" t="b">
        <f t="shared" si="374"/>
        <v>1</v>
      </c>
      <c r="DX244" s="54" t="b">
        <f t="shared" si="375"/>
        <v>0</v>
      </c>
      <c r="DY244" s="54">
        <f t="shared" si="376"/>
        <v>9.5423566060861794E-4</v>
      </c>
      <c r="DZ244" s="54">
        <f t="shared" si="377"/>
        <v>9.5423566060861794E-4</v>
      </c>
      <c r="EA244" s="54" t="e">
        <f t="shared" si="378"/>
        <v>#N/A</v>
      </c>
      <c r="EB244" s="69" t="str">
        <f t="shared" si="379"/>
        <v/>
      </c>
      <c r="EG244" s="54">
        <f t="shared" si="380"/>
        <v>234</v>
      </c>
      <c r="EH244" s="54">
        <f t="shared" si="381"/>
        <v>235</v>
      </c>
      <c r="EI244" s="54">
        <f t="shared" si="382"/>
        <v>2.5153053654854292</v>
      </c>
      <c r="EJ244" s="54">
        <f t="shared" si="383"/>
        <v>1.6868301418220717E-2</v>
      </c>
      <c r="EK244" s="54" t="e">
        <f t="shared" si="384"/>
        <v>#N/A</v>
      </c>
      <c r="EL244" s="54" t="e">
        <f t="shared" si="385"/>
        <v>#N/A</v>
      </c>
      <c r="EM244" s="54" t="e">
        <f t="shared" si="386"/>
        <v>#N/A</v>
      </c>
      <c r="EN244" s="54" t="b">
        <f t="shared" si="387"/>
        <v>0</v>
      </c>
      <c r="EO244" s="54" t="b">
        <f t="shared" si="388"/>
        <v>1</v>
      </c>
      <c r="EP244" s="54" t="b">
        <f t="shared" si="389"/>
        <v>1</v>
      </c>
      <c r="EQ244" s="54" t="b">
        <f t="shared" si="390"/>
        <v>0</v>
      </c>
      <c r="ER244" s="54">
        <f t="shared" si="391"/>
        <v>1.6868301418220717E-2</v>
      </c>
      <c r="ES244" s="54">
        <f t="shared" si="392"/>
        <v>1.6868301418220717E-2</v>
      </c>
      <c r="ET244" s="54" t="e">
        <f t="shared" si="393"/>
        <v>#N/A</v>
      </c>
      <c r="EU244" s="69" t="str">
        <f t="shared" si="394"/>
        <v/>
      </c>
      <c r="EV24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4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4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44" s="54" t="e" cm="1">
        <f t="array" ref="EY244">IF($CR$3,INDEX(Eu_tabel_a[[#This Row],[Styrke venstre]:[Styrke tosidet]],EY$7),NA())</f>
        <v>#N/A</v>
      </c>
      <c r="EZ244" s="54" t="e">
        <f>IF(EY$3,IF(CHOOSE(EY$7,Eu_tabel_a[[#This Row],[x base]]&gt;0,Eu_tabel_a[[#This Row],[x base]]&lt;0,Eu_tabel_a[[#This Row],[x base]]=0),1,NA()),NA())</f>
        <v>#N/A</v>
      </c>
      <c r="FA244" s="54" t="e">
        <f>IF(CHOOSE(EY$7,Eu_tabel_a[[#This Row],[x base]]&gt;0,Eu_tabel_a[[#This Row],[x base]]&lt;0,Eu_tabel_a[[#This Row],[x base]]=0),Eu_tabel_a[[#This Row],[Styrke, aktiv]],NA())</f>
        <v>#N/A</v>
      </c>
      <c r="FB244" s="54" t="e">
        <f>IFERROR(IF($EY$3,Eu_tabel_a[[#This Row],[Styrke, aktiv]],NA()),NA())</f>
        <v>#N/A</v>
      </c>
      <c r="FC244" s="54" t="e">
        <f>IF(ISNA(Eu_tabel_a[[#This Row],[Sand negativ
Nulhypotese afvises
Korrekt]]),NA(),IF(EY$3,1,NA()))</f>
        <v>#N/A</v>
      </c>
      <c r="FD244" s="55" t="str" cm="1">
        <f t="array" ref="FD244">IFERROR(_xlfn.SWITCH(Eu_tabel_a[[#This Row],[Indeks]],_xlfn.IFNA(FB$2,-99),FB$5,_xlfn.IFNA(FB$3,-99),FB$6,_xlfn.IFNA(FB$4,-99),FB$7,""),"")</f>
        <v/>
      </c>
      <c r="FE244" s="54">
        <f>Eu_tabel_a[[#This Row],[x base]]*SQRT(Eu_a_h0_x*(1-Eu_a_h0_x)/Eu_a_n_x)+Eu_a_h0_x</f>
        <v>0</v>
      </c>
      <c r="FJ244" s="144" t="e">
        <f t="shared" si="338"/>
        <v>#N/A</v>
      </c>
      <c r="FK244" s="152" t="e">
        <f t="shared" si="426"/>
        <v>#DIV/0!</v>
      </c>
      <c r="FL244" s="7" t="e">
        <f t="shared" si="332"/>
        <v>#DIV/0!</v>
      </c>
      <c r="FM244" t="e">
        <f t="shared" si="427"/>
        <v>#DIV/0!</v>
      </c>
      <c r="FN244" s="8" t="e">
        <f t="shared" si="428"/>
        <v>#DIV/0!</v>
      </c>
      <c r="FO244" s="8" t="e">
        <f t="shared" si="429"/>
        <v>#DIV/0!</v>
      </c>
      <c r="FP244" s="151" t="e">
        <f t="shared" si="430"/>
        <v>#DIV/0!</v>
      </c>
      <c r="FQ244" s="144" t="e">
        <f t="shared" ca="1" si="333"/>
        <v>#N/A</v>
      </c>
      <c r="FR244" s="152" t="e" vm="3">
        <f t="shared" ca="1" si="339"/>
        <v>#VALUE!</v>
      </c>
      <c r="FS244" s="7" t="e" vm="3">
        <f t="shared" ca="1" si="334"/>
        <v>#VALUE!</v>
      </c>
      <c r="FT244" t="e" vm="3">
        <f t="shared" ca="1" si="328"/>
        <v>#VALUE!</v>
      </c>
      <c r="FU244" s="8" t="e" vm="3">
        <f t="shared" ca="1" si="329"/>
        <v>#VALUE!</v>
      </c>
      <c r="FV244" s="8" t="e" vm="3">
        <f t="shared" ca="1" si="330"/>
        <v>#VALUE!</v>
      </c>
      <c r="FW244" s="151" t="e" vm="3">
        <f t="shared" ca="1" si="331"/>
        <v>#VALUE!</v>
      </c>
      <c r="FX244" s="144" t="e">
        <f t="shared" si="335"/>
        <v>#N/A</v>
      </c>
      <c r="FY244" s="152" t="e">
        <f t="shared" si="340"/>
        <v>#N/A</v>
      </c>
      <c r="FZ244" s="7" t="e">
        <f t="shared" si="336"/>
        <v>#N/A</v>
      </c>
      <c r="GA244" t="e">
        <f t="shared" si="341"/>
        <v>#N/A</v>
      </c>
      <c r="GB244" s="8" t="e">
        <f t="shared" si="342"/>
        <v>#N/A</v>
      </c>
      <c r="GC244" s="8" t="e">
        <f t="shared" si="343"/>
        <v>#N/A</v>
      </c>
      <c r="GD244" s="151" t="e">
        <f t="shared" si="344"/>
        <v>#N/A</v>
      </c>
      <c r="GE244" s="144" t="e">
        <f t="shared" si="345"/>
        <v>#N/A</v>
      </c>
      <c r="GF244" s="152" t="e">
        <f t="shared" si="346"/>
        <v>#N/A</v>
      </c>
      <c r="GG244" s="7" t="e">
        <f t="shared" si="337"/>
        <v>#N/A</v>
      </c>
      <c r="GH244" t="e">
        <f t="shared" si="347"/>
        <v>#N/A</v>
      </c>
      <c r="GI244" s="8" t="e">
        <f t="shared" si="348"/>
        <v>#N/A</v>
      </c>
      <c r="GJ244" s="8" t="e">
        <f t="shared" si="349"/>
        <v>#N/A</v>
      </c>
      <c r="GK244" s="151" t="e">
        <f t="shared" si="350"/>
        <v>#N/A</v>
      </c>
      <c r="GL244" s="151"/>
      <c r="GM244" s="151"/>
      <c r="GP244" s="54">
        <f t="shared" si="395"/>
        <v>234</v>
      </c>
      <c r="GQ244" s="54">
        <f t="shared" si="396"/>
        <v>235</v>
      </c>
      <c r="GR244" s="54">
        <f t="shared" si="397"/>
        <v>2.5153053654854292</v>
      </c>
      <c r="GS244" s="54">
        <f t="shared" si="398"/>
        <v>1.6868301418220717E-2</v>
      </c>
      <c r="GT244" s="54" t="e">
        <f t="shared" si="399"/>
        <v>#N/A</v>
      </c>
      <c r="GU244" s="54" t="e">
        <f t="shared" si="400"/>
        <v>#N/A</v>
      </c>
      <c r="GV244" s="54" t="e">
        <f t="shared" si="401"/>
        <v>#N/A</v>
      </c>
      <c r="GW244" s="54" t="b">
        <f t="shared" si="402"/>
        <v>0</v>
      </c>
      <c r="GX244" s="54" t="b">
        <f t="shared" si="403"/>
        <v>1</v>
      </c>
      <c r="GY244" s="54" t="b">
        <f t="shared" si="404"/>
        <v>1</v>
      </c>
      <c r="GZ244" s="54" t="b">
        <f t="shared" si="405"/>
        <v>0</v>
      </c>
      <c r="HA244" s="54">
        <f t="shared" si="406"/>
        <v>1.6868301418220717E-2</v>
      </c>
      <c r="HB244" s="54">
        <f t="shared" si="407"/>
        <v>1.6868301418220717E-2</v>
      </c>
      <c r="HC244" s="54" t="e">
        <f t="shared" si="408"/>
        <v>#N/A</v>
      </c>
      <c r="HD244" s="69" t="str">
        <f t="shared" si="409"/>
        <v/>
      </c>
      <c r="HJ244" s="54">
        <f t="shared" si="410"/>
        <v>234</v>
      </c>
      <c r="HK244" s="54">
        <f t="shared" si="411"/>
        <v>235</v>
      </c>
      <c r="HL244" s="54">
        <f t="shared" si="412"/>
        <v>3.8950031861009684</v>
      </c>
      <c r="HM244" s="54" t="e">
        <f t="shared" si="413"/>
        <v>#N/A</v>
      </c>
      <c r="HN244" s="54">
        <f t="shared" si="414"/>
        <v>3.8255881567615399E-3</v>
      </c>
      <c r="HO244" s="54" t="e">
        <f t="shared" si="415"/>
        <v>#N/A</v>
      </c>
      <c r="HP244" s="54" t="e">
        <f t="shared" si="416"/>
        <v>#N/A</v>
      </c>
      <c r="HQ244" s="54" t="b">
        <f t="shared" si="417"/>
        <v>0</v>
      </c>
      <c r="HR244" s="54" t="b">
        <f t="shared" si="418"/>
        <v>1</v>
      </c>
      <c r="HS244" s="54" t="b">
        <f t="shared" si="419"/>
        <v>1</v>
      </c>
      <c r="HT244" s="54" t="b">
        <f t="shared" si="420"/>
        <v>0</v>
      </c>
      <c r="HU244" s="54">
        <f t="shared" si="421"/>
        <v>3.8255881567615399E-3</v>
      </c>
      <c r="HV244" s="54" t="e">
        <f t="shared" si="422"/>
        <v>#N/A</v>
      </c>
      <c r="HW244" s="54">
        <f t="shared" si="423"/>
        <v>3.8255881567615399E-3</v>
      </c>
      <c r="HX244" s="69" t="str">
        <f t="shared" si="424"/>
        <v/>
      </c>
    </row>
    <row r="245" spans="78:232" x14ac:dyDescent="0.2">
      <c r="BZ245" s="54">
        <f t="shared" si="351"/>
        <v>235</v>
      </c>
      <c r="CA245" s="54">
        <f>Eu_tabel_g[[#This Row],[Indeks]]+1</f>
        <v>236</v>
      </c>
      <c r="CB245" s="54">
        <f t="shared" si="352"/>
        <v>2.539260654680529</v>
      </c>
      <c r="CC245" s="54">
        <f t="shared" si="353"/>
        <v>1.5877363404520835E-2</v>
      </c>
      <c r="CD245" s="54" t="e">
        <f t="shared" si="354"/>
        <v>#N/A</v>
      </c>
      <c r="CE245" s="54" t="e">
        <f t="shared" si="355"/>
        <v>#N/A</v>
      </c>
      <c r="CF245" s="54" t="e">
        <f t="shared" si="356"/>
        <v>#N/A</v>
      </c>
      <c r="CG245" s="54" t="b">
        <f t="shared" si="357"/>
        <v>0</v>
      </c>
      <c r="CH245" s="54" t="b">
        <f t="shared" si="358"/>
        <v>1</v>
      </c>
      <c r="CI245" s="54" t="b">
        <f t="shared" si="359"/>
        <v>1</v>
      </c>
      <c r="CJ245" s="54" t="b">
        <f t="shared" si="360"/>
        <v>0</v>
      </c>
      <c r="CK245" s="54">
        <f t="shared" si="425"/>
        <v>1.5877363404520835E-2</v>
      </c>
      <c r="CL245" s="54">
        <f t="shared" si="361"/>
        <v>1.5877363404520835E-2</v>
      </c>
      <c r="CM245" s="54" t="e">
        <f t="shared" si="362"/>
        <v>#N/A</v>
      </c>
      <c r="CN245" s="69" t="str">
        <f t="shared" si="363"/>
        <v/>
      </c>
      <c r="CO245" s="54">
        <f>_xlfn.NORM.DIST(_xlfn.NORM.INV(1-Eu_g_konfidensniveau,0,1)-Eu_tabel_g[[#This Row],[x base]],0,1,TRUE)</f>
        <v>1.4314003777583852E-5</v>
      </c>
      <c r="CP245" s="54">
        <f>1-_xlfn.NORM.DIST(_xlfn.NORM.INV(Eu_g_konfidensniveau,0,1)-Eu_tabel_g[[#This Row],[x base]],0,1,TRUE)</f>
        <v>0.8144479231481434</v>
      </c>
      <c r="CQ245" s="54">
        <f>_xlfn.NORM.DIST(_xlfn.NORM.INV((1-Eu_g_konfidensniveau)/2,0,1)-Eu_tabel_g[[#This Row],[x base]],0,1,TRUE)+1-_xlfn.NORM.DIST(_xlfn.NORM.INV(1-(1-Eu_g_konfidensniveau)/2,0,1)-Eu_tabel_g[[#This Row],[x base]],0,1,TRUE)</f>
        <v>0.71880890410963227</v>
      </c>
      <c r="CR245" s="54" t="e" cm="1">
        <f t="array" ref="CR245">IF($CR$3,INDEX(Eu_tabel_g[[#This Row],[Styrke venstre]:[Styrke tosidet]],CR$7),NA())</f>
        <v>#N/A</v>
      </c>
      <c r="CS245" s="89" t="e">
        <f>Eu_tabel_g[[#This Row],[Falsk positiv
Nulhypotese accepteres
Fejltype 1]]</f>
        <v>#N/A</v>
      </c>
      <c r="CT245" s="89" t="e">
        <f>IF(CHOOSE(CR$7,Eu_tabel_g[[#This Row],[x base]]&gt;0,Eu_tabel_g[[#This Row],[x base]]&lt;0,Eu_tabel_g[[#This Row],[x base]]=0),Eu_tabel_g[[#This Row],[Styrke, aktiv]],NA())</f>
        <v>#N/A</v>
      </c>
      <c r="CU245" s="89" t="e">
        <f>IFERROR(IF($CR$3,Eu_tabel_g[[#This Row],[Styrke, aktiv]],NA()),NA())</f>
        <v>#N/A</v>
      </c>
      <c r="CV245" s="89" t="e">
        <f>IF(ISNA(Eu_tabel_g[[#This Row],[Sand negativ
Nulhypotese afvises
Korrekt]]),NA(),IF($CR$3,1,NA()))</f>
        <v>#N/A</v>
      </c>
      <c r="CW245" s="56" t="str" cm="1">
        <f t="array" ref="CW245">_xlfn.SWITCH(BZ245,_xlfn.IFNA(CU$2,-99),CU$5,_xlfn.IFNA(CU$3,-99),CU$6,_xlfn.IFNA(CU$4,-99),CU$7,"")</f>
        <v/>
      </c>
      <c r="DA245" s="7">
        <f t="shared" si="364"/>
        <v>0.8</v>
      </c>
      <c r="DB245">
        <f>IF(ROW(Styrkeberegning_G[[#This Row],[X base venstre]])=ROW(Styrkeberegning_G[[#Headers],[X base venstre]])+1,DB$7/(DA$7/$B$67),DB244/(DA244/$B$67))</f>
        <v>-2.8015817870135784</v>
      </c>
      <c r="DC245">
        <f>Styrkeberegning_G[[#This Row],[X base venstre]]*-1</f>
        <v>2.8015817870135784</v>
      </c>
      <c r="DN245" s="54">
        <f t="shared" si="365"/>
        <v>235</v>
      </c>
      <c r="DO245" s="54">
        <f t="shared" si="366"/>
        <v>236</v>
      </c>
      <c r="DP245" s="54">
        <f t="shared" si="367"/>
        <v>28.640503922648925</v>
      </c>
      <c r="DQ245" s="54" t="e">
        <f t="shared" si="368"/>
        <v>#N/A</v>
      </c>
      <c r="DR245" s="54" t="e">
        <f t="shared" si="369"/>
        <v>#N/A</v>
      </c>
      <c r="DS245" s="54">
        <f t="shared" si="370"/>
        <v>9.1766633261481496E-4</v>
      </c>
      <c r="DT245" s="54" t="e">
        <f t="shared" si="371"/>
        <v>#N/A</v>
      </c>
      <c r="DU245" s="54" t="b">
        <f t="shared" si="372"/>
        <v>0</v>
      </c>
      <c r="DV245" s="54" t="b">
        <f t="shared" si="373"/>
        <v>1</v>
      </c>
      <c r="DW245" s="54" t="b">
        <f t="shared" si="374"/>
        <v>1</v>
      </c>
      <c r="DX245" s="54" t="b">
        <f t="shared" si="375"/>
        <v>0</v>
      </c>
      <c r="DY245" s="54">
        <f t="shared" si="376"/>
        <v>9.1766633261481496E-4</v>
      </c>
      <c r="DZ245" s="54">
        <f t="shared" si="377"/>
        <v>9.1766633261481496E-4</v>
      </c>
      <c r="EA245" s="54" t="e">
        <f t="shared" si="378"/>
        <v>#N/A</v>
      </c>
      <c r="EB245" s="69" t="str">
        <f t="shared" si="379"/>
        <v/>
      </c>
      <c r="EG245" s="54">
        <f t="shared" si="380"/>
        <v>235</v>
      </c>
      <c r="EH245" s="54">
        <f t="shared" si="381"/>
        <v>236</v>
      </c>
      <c r="EI245" s="54">
        <f t="shared" si="382"/>
        <v>2.539260654680529</v>
      </c>
      <c r="EJ245" s="54">
        <f t="shared" si="383"/>
        <v>1.5877363404520835E-2</v>
      </c>
      <c r="EK245" s="54" t="e">
        <f t="shared" si="384"/>
        <v>#N/A</v>
      </c>
      <c r="EL245" s="54" t="e">
        <f t="shared" si="385"/>
        <v>#N/A</v>
      </c>
      <c r="EM245" s="54" t="e">
        <f t="shared" si="386"/>
        <v>#N/A</v>
      </c>
      <c r="EN245" s="54" t="b">
        <f t="shared" si="387"/>
        <v>0</v>
      </c>
      <c r="EO245" s="54" t="b">
        <f t="shared" si="388"/>
        <v>1</v>
      </c>
      <c r="EP245" s="54" t="b">
        <f t="shared" si="389"/>
        <v>1</v>
      </c>
      <c r="EQ245" s="54" t="b">
        <f t="shared" si="390"/>
        <v>0</v>
      </c>
      <c r="ER245" s="54">
        <f t="shared" si="391"/>
        <v>1.5877363404520835E-2</v>
      </c>
      <c r="ES245" s="54">
        <f t="shared" si="392"/>
        <v>1.5877363404520835E-2</v>
      </c>
      <c r="ET245" s="54" t="e">
        <f t="shared" si="393"/>
        <v>#N/A</v>
      </c>
      <c r="EU245" s="69" t="str">
        <f t="shared" si="394"/>
        <v/>
      </c>
      <c r="EV24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4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4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45" s="54" t="e" cm="1">
        <f t="array" ref="EY245">IF($CR$3,INDEX(Eu_tabel_a[[#This Row],[Styrke venstre]:[Styrke tosidet]],EY$7),NA())</f>
        <v>#N/A</v>
      </c>
      <c r="EZ245" s="54" t="e">
        <f>IF(EY$3,IF(CHOOSE(EY$7,Eu_tabel_a[[#This Row],[x base]]&gt;0,Eu_tabel_a[[#This Row],[x base]]&lt;0,Eu_tabel_a[[#This Row],[x base]]=0),1,NA()),NA())</f>
        <v>#N/A</v>
      </c>
      <c r="FA245" s="54" t="e">
        <f>IF(CHOOSE(EY$7,Eu_tabel_a[[#This Row],[x base]]&gt;0,Eu_tabel_a[[#This Row],[x base]]&lt;0,Eu_tabel_a[[#This Row],[x base]]=0),Eu_tabel_a[[#This Row],[Styrke, aktiv]],NA())</f>
        <v>#N/A</v>
      </c>
      <c r="FB245" s="54" t="e">
        <f>IFERROR(IF($EY$3,Eu_tabel_a[[#This Row],[Styrke, aktiv]],NA()),NA())</f>
        <v>#N/A</v>
      </c>
      <c r="FC245" s="54" t="e">
        <f>IF(ISNA(Eu_tabel_a[[#This Row],[Sand negativ
Nulhypotese afvises
Korrekt]]),NA(),IF(EY$3,1,NA()))</f>
        <v>#N/A</v>
      </c>
      <c r="FD245" s="55" t="str" cm="1">
        <f t="array" ref="FD245">IFERROR(_xlfn.SWITCH(Eu_tabel_a[[#This Row],[Indeks]],_xlfn.IFNA(FB$2,-99),FB$5,_xlfn.IFNA(FB$3,-99),FB$6,_xlfn.IFNA(FB$4,-99),FB$7,""),"")</f>
        <v/>
      </c>
      <c r="FE245" s="54">
        <f>Eu_tabel_a[[#This Row],[x base]]*SQRT(Eu_a_h0_x*(1-Eu_a_h0_x)/Eu_a_n_x)+Eu_a_h0_x</f>
        <v>0</v>
      </c>
      <c r="FJ245" s="144" t="e">
        <f t="shared" si="338"/>
        <v>#N/A</v>
      </c>
      <c r="FK245" s="152" t="e">
        <f t="shared" si="426"/>
        <v>#DIV/0!</v>
      </c>
      <c r="FL245" s="7" t="e">
        <f t="shared" si="332"/>
        <v>#DIV/0!</v>
      </c>
      <c r="FM245" t="e">
        <f t="shared" si="427"/>
        <v>#DIV/0!</v>
      </c>
      <c r="FN245" s="8" t="e">
        <f t="shared" si="428"/>
        <v>#DIV/0!</v>
      </c>
      <c r="FO245" s="8" t="e">
        <f t="shared" si="429"/>
        <v>#DIV/0!</v>
      </c>
      <c r="FP245" s="151" t="e">
        <f t="shared" si="430"/>
        <v>#DIV/0!</v>
      </c>
      <c r="FQ245" s="144" t="e">
        <f t="shared" ca="1" si="333"/>
        <v>#N/A</v>
      </c>
      <c r="FR245" s="152" t="e" vm="3">
        <f t="shared" ca="1" si="339"/>
        <v>#VALUE!</v>
      </c>
      <c r="FS245" s="7" t="e" vm="3">
        <f t="shared" ca="1" si="334"/>
        <v>#VALUE!</v>
      </c>
      <c r="FT245" t="e" vm="3">
        <f t="shared" ca="1" si="328"/>
        <v>#VALUE!</v>
      </c>
      <c r="FU245" s="8" t="e" vm="3">
        <f t="shared" ca="1" si="329"/>
        <v>#VALUE!</v>
      </c>
      <c r="FV245" s="8" t="e" vm="3">
        <f t="shared" ca="1" si="330"/>
        <v>#VALUE!</v>
      </c>
      <c r="FW245" s="151" t="e" vm="3">
        <f t="shared" ca="1" si="331"/>
        <v>#VALUE!</v>
      </c>
      <c r="FX245" s="144" t="e">
        <f t="shared" si="335"/>
        <v>#N/A</v>
      </c>
      <c r="FY245" s="152" t="e">
        <f t="shared" si="340"/>
        <v>#N/A</v>
      </c>
      <c r="FZ245" s="7" t="e">
        <f t="shared" si="336"/>
        <v>#N/A</v>
      </c>
      <c r="GA245" t="e">
        <f t="shared" si="341"/>
        <v>#N/A</v>
      </c>
      <c r="GB245" s="8" t="e">
        <f t="shared" si="342"/>
        <v>#N/A</v>
      </c>
      <c r="GC245" s="8" t="e">
        <f t="shared" si="343"/>
        <v>#N/A</v>
      </c>
      <c r="GD245" s="151" t="e">
        <f t="shared" si="344"/>
        <v>#N/A</v>
      </c>
      <c r="GE245" s="144" t="e">
        <f t="shared" si="345"/>
        <v>#N/A</v>
      </c>
      <c r="GF245" s="152" t="e">
        <f t="shared" si="346"/>
        <v>#N/A</v>
      </c>
      <c r="GG245" s="7" t="e">
        <f t="shared" si="337"/>
        <v>#N/A</v>
      </c>
      <c r="GH245" t="e">
        <f t="shared" si="347"/>
        <v>#N/A</v>
      </c>
      <c r="GI245" s="8" t="e">
        <f t="shared" si="348"/>
        <v>#N/A</v>
      </c>
      <c r="GJ245" s="8" t="e">
        <f t="shared" si="349"/>
        <v>#N/A</v>
      </c>
      <c r="GK245" s="151" t="e">
        <f t="shared" si="350"/>
        <v>#N/A</v>
      </c>
      <c r="GL245" s="151"/>
      <c r="GM245" s="151"/>
      <c r="GP245" s="54">
        <f t="shared" si="395"/>
        <v>235</v>
      </c>
      <c r="GQ245" s="54">
        <f t="shared" si="396"/>
        <v>236</v>
      </c>
      <c r="GR245" s="54">
        <f t="shared" si="397"/>
        <v>2.539260654680529</v>
      </c>
      <c r="GS245" s="54">
        <f t="shared" si="398"/>
        <v>1.5877363404520835E-2</v>
      </c>
      <c r="GT245" s="54" t="e">
        <f t="shared" si="399"/>
        <v>#N/A</v>
      </c>
      <c r="GU245" s="54" t="e">
        <f t="shared" si="400"/>
        <v>#N/A</v>
      </c>
      <c r="GV245" s="54" t="e">
        <f t="shared" si="401"/>
        <v>#N/A</v>
      </c>
      <c r="GW245" s="54" t="b">
        <f t="shared" si="402"/>
        <v>0</v>
      </c>
      <c r="GX245" s="54" t="b">
        <f t="shared" si="403"/>
        <v>1</v>
      </c>
      <c r="GY245" s="54" t="b">
        <f t="shared" si="404"/>
        <v>1</v>
      </c>
      <c r="GZ245" s="54" t="b">
        <f t="shared" si="405"/>
        <v>0</v>
      </c>
      <c r="HA245" s="54">
        <f t="shared" si="406"/>
        <v>1.5877363404520835E-2</v>
      </c>
      <c r="HB245" s="54">
        <f t="shared" si="407"/>
        <v>1.5877363404520835E-2</v>
      </c>
      <c r="HC245" s="54" t="e">
        <f t="shared" si="408"/>
        <v>#N/A</v>
      </c>
      <c r="HD245" s="69" t="str">
        <f t="shared" si="409"/>
        <v/>
      </c>
      <c r="HJ245" s="54">
        <f t="shared" si="410"/>
        <v>235</v>
      </c>
      <c r="HK245" s="54">
        <f t="shared" si="411"/>
        <v>236</v>
      </c>
      <c r="HL245" s="54">
        <f t="shared" si="412"/>
        <v>3.9320984545400268</v>
      </c>
      <c r="HM245" s="54" t="e">
        <f t="shared" si="413"/>
        <v>#N/A</v>
      </c>
      <c r="HN245" s="54">
        <f t="shared" si="414"/>
        <v>3.6315839884640327E-3</v>
      </c>
      <c r="HO245" s="54" t="e">
        <f t="shared" si="415"/>
        <v>#N/A</v>
      </c>
      <c r="HP245" s="54" t="e">
        <f t="shared" si="416"/>
        <v>#N/A</v>
      </c>
      <c r="HQ245" s="54" t="b">
        <f t="shared" si="417"/>
        <v>0</v>
      </c>
      <c r="HR245" s="54" t="b">
        <f t="shared" si="418"/>
        <v>1</v>
      </c>
      <c r="HS245" s="54" t="b">
        <f t="shared" si="419"/>
        <v>1</v>
      </c>
      <c r="HT245" s="54" t="b">
        <f t="shared" si="420"/>
        <v>0</v>
      </c>
      <c r="HU245" s="54">
        <f t="shared" si="421"/>
        <v>3.6315839884640327E-3</v>
      </c>
      <c r="HV245" s="54" t="e">
        <f t="shared" si="422"/>
        <v>#N/A</v>
      </c>
      <c r="HW245" s="54">
        <f t="shared" si="423"/>
        <v>3.6315839884640327E-3</v>
      </c>
      <c r="HX245" s="69" t="str">
        <f t="shared" si="424"/>
        <v/>
      </c>
    </row>
    <row r="246" spans="78:232" x14ac:dyDescent="0.2">
      <c r="BZ246" s="54">
        <f t="shared" si="351"/>
        <v>236</v>
      </c>
      <c r="CA246" s="54">
        <f>Eu_tabel_g[[#This Row],[Indeks]]+1</f>
        <v>237</v>
      </c>
      <c r="CB246" s="54">
        <f t="shared" si="352"/>
        <v>2.5632159438756279</v>
      </c>
      <c r="CC246" s="54">
        <f t="shared" si="353"/>
        <v>1.4936065002642981E-2</v>
      </c>
      <c r="CD246" s="54" t="e">
        <f t="shared" si="354"/>
        <v>#N/A</v>
      </c>
      <c r="CE246" s="54" t="e">
        <f t="shared" si="355"/>
        <v>#N/A</v>
      </c>
      <c r="CF246" s="54" t="e">
        <f t="shared" si="356"/>
        <v>#N/A</v>
      </c>
      <c r="CG246" s="54" t="b">
        <f t="shared" si="357"/>
        <v>0</v>
      </c>
      <c r="CH246" s="54" t="b">
        <f t="shared" si="358"/>
        <v>1</v>
      </c>
      <c r="CI246" s="54" t="b">
        <f t="shared" si="359"/>
        <v>1</v>
      </c>
      <c r="CJ246" s="54" t="b">
        <f t="shared" si="360"/>
        <v>0</v>
      </c>
      <c r="CK246" s="54">
        <f t="shared" si="425"/>
        <v>1.4936065002642981E-2</v>
      </c>
      <c r="CL246" s="54">
        <f t="shared" si="361"/>
        <v>1.4936065002642981E-2</v>
      </c>
      <c r="CM246" s="54" t="e">
        <f t="shared" si="362"/>
        <v>#N/A</v>
      </c>
      <c r="CN246" s="69" t="str">
        <f t="shared" si="363"/>
        <v/>
      </c>
      <c r="CO246" s="54">
        <f>_xlfn.NORM.DIST(_xlfn.NORM.INV(1-Eu_g_konfidensniveau,0,1)-Eu_tabel_g[[#This Row],[x base]],0,1,TRUE)</f>
        <v>1.2878078825668795E-5</v>
      </c>
      <c r="CP246" s="54">
        <f>1-_xlfn.NORM.DIST(_xlfn.NORM.INV(Eu_g_konfidensniveau,0,1)-Eu_tabel_g[[#This Row],[x base]],0,1,TRUE)</f>
        <v>0.82078539390681737</v>
      </c>
      <c r="CQ246" s="54">
        <f>_xlfn.NORM.DIST(_xlfn.NORM.INV((1-Eu_g_konfidensniveau)/2,0,1)-Eu_tabel_g[[#This Row],[x base]],0,1,TRUE)+1-_xlfn.NORM.DIST(_xlfn.NORM.INV(1-(1-Eu_g_konfidensniveau)/2,0,1)-Eu_tabel_g[[#This Row],[x base]],0,1,TRUE)</f>
        <v>0.72683250257983512</v>
      </c>
      <c r="CR246" s="54" t="e" cm="1">
        <f t="array" ref="CR246">IF($CR$3,INDEX(Eu_tabel_g[[#This Row],[Styrke venstre]:[Styrke tosidet]],CR$7),NA())</f>
        <v>#N/A</v>
      </c>
      <c r="CS246" s="89" t="e">
        <f>Eu_tabel_g[[#This Row],[Falsk positiv
Nulhypotese accepteres
Fejltype 1]]</f>
        <v>#N/A</v>
      </c>
      <c r="CT246" s="89" t="e">
        <f>IF(CHOOSE(CR$7,Eu_tabel_g[[#This Row],[x base]]&gt;0,Eu_tabel_g[[#This Row],[x base]]&lt;0,Eu_tabel_g[[#This Row],[x base]]=0),Eu_tabel_g[[#This Row],[Styrke, aktiv]],NA())</f>
        <v>#N/A</v>
      </c>
      <c r="CU246" s="89" t="e">
        <f>IFERROR(IF($CR$3,Eu_tabel_g[[#This Row],[Styrke, aktiv]],NA()),NA())</f>
        <v>#N/A</v>
      </c>
      <c r="CV246" s="89" t="e">
        <f>IF(ISNA(Eu_tabel_g[[#This Row],[Sand negativ
Nulhypotese afvises
Korrekt]]),NA(),IF($CR$3,1,NA()))</f>
        <v>#N/A</v>
      </c>
      <c r="CW246" s="56" t="str" cm="1">
        <f t="array" ref="CW246">_xlfn.SWITCH(BZ246,_xlfn.IFNA(CU$2,-99),CU$5,_xlfn.IFNA(CU$3,-99),CU$6,_xlfn.IFNA(CU$4,-99),CU$7,"")</f>
        <v/>
      </c>
      <c r="DA246" s="7">
        <f t="shared" si="364"/>
        <v>0.8</v>
      </c>
      <c r="DB246">
        <f>IF(ROW(Styrkeberegning_G[[#This Row],[X base venstre]])=ROW(Styrkeberegning_G[[#Headers],[X base venstre]])+1,DB$7/(DA$7/$B$67),DB245/(DA245/$B$67))</f>
        <v>-2.8015817870135784</v>
      </c>
      <c r="DC246">
        <f>Styrkeberegning_G[[#This Row],[X base venstre]]*-1</f>
        <v>2.8015817870135784</v>
      </c>
      <c r="DN246" s="54">
        <f t="shared" si="365"/>
        <v>236</v>
      </c>
      <c r="DO246" s="54">
        <f t="shared" si="366"/>
        <v>237</v>
      </c>
      <c r="DP246" s="54">
        <f t="shared" si="367"/>
        <v>28.754574779065926</v>
      </c>
      <c r="DQ246" s="54" t="e">
        <f t="shared" si="368"/>
        <v>#N/A</v>
      </c>
      <c r="DR246" s="54" t="e">
        <f t="shared" si="369"/>
        <v>#N/A</v>
      </c>
      <c r="DS246" s="54">
        <f t="shared" si="370"/>
        <v>8.8243546242745981E-4</v>
      </c>
      <c r="DT246" s="54" t="e">
        <f t="shared" si="371"/>
        <v>#N/A</v>
      </c>
      <c r="DU246" s="54" t="b">
        <f t="shared" si="372"/>
        <v>0</v>
      </c>
      <c r="DV246" s="54" t="b">
        <f t="shared" si="373"/>
        <v>1</v>
      </c>
      <c r="DW246" s="54" t="b">
        <f t="shared" si="374"/>
        <v>1</v>
      </c>
      <c r="DX246" s="54" t="b">
        <f t="shared" si="375"/>
        <v>0</v>
      </c>
      <c r="DY246" s="54">
        <f t="shared" si="376"/>
        <v>8.8243546242745981E-4</v>
      </c>
      <c r="DZ246" s="54">
        <f t="shared" si="377"/>
        <v>8.8243546242745981E-4</v>
      </c>
      <c r="EA246" s="54" t="e">
        <f t="shared" si="378"/>
        <v>#N/A</v>
      </c>
      <c r="EB246" s="69" t="str">
        <f t="shared" si="379"/>
        <v/>
      </c>
      <c r="EG246" s="54">
        <f t="shared" si="380"/>
        <v>236</v>
      </c>
      <c r="EH246" s="54">
        <f t="shared" si="381"/>
        <v>237</v>
      </c>
      <c r="EI246" s="54">
        <f t="shared" si="382"/>
        <v>2.5632159438756279</v>
      </c>
      <c r="EJ246" s="54">
        <f t="shared" si="383"/>
        <v>1.4936065002642981E-2</v>
      </c>
      <c r="EK246" s="54" t="e">
        <f t="shared" si="384"/>
        <v>#N/A</v>
      </c>
      <c r="EL246" s="54" t="e">
        <f t="shared" si="385"/>
        <v>#N/A</v>
      </c>
      <c r="EM246" s="54" t="e">
        <f t="shared" si="386"/>
        <v>#N/A</v>
      </c>
      <c r="EN246" s="54" t="b">
        <f t="shared" si="387"/>
        <v>0</v>
      </c>
      <c r="EO246" s="54" t="b">
        <f t="shared" si="388"/>
        <v>1</v>
      </c>
      <c r="EP246" s="54" t="b">
        <f t="shared" si="389"/>
        <v>1</v>
      </c>
      <c r="EQ246" s="54" t="b">
        <f t="shared" si="390"/>
        <v>0</v>
      </c>
      <c r="ER246" s="54">
        <f t="shared" si="391"/>
        <v>1.4936065002642981E-2</v>
      </c>
      <c r="ES246" s="54">
        <f t="shared" si="392"/>
        <v>1.4936065002642981E-2</v>
      </c>
      <c r="ET246" s="54" t="e">
        <f t="shared" si="393"/>
        <v>#N/A</v>
      </c>
      <c r="EU246" s="69" t="str">
        <f t="shared" si="394"/>
        <v/>
      </c>
      <c r="EV24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4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4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46" s="54" t="e" cm="1">
        <f t="array" ref="EY246">IF($CR$3,INDEX(Eu_tabel_a[[#This Row],[Styrke venstre]:[Styrke tosidet]],EY$7),NA())</f>
        <v>#N/A</v>
      </c>
      <c r="EZ246" s="54" t="e">
        <f>IF(EY$3,IF(CHOOSE(EY$7,Eu_tabel_a[[#This Row],[x base]]&gt;0,Eu_tabel_a[[#This Row],[x base]]&lt;0,Eu_tabel_a[[#This Row],[x base]]=0),1,NA()),NA())</f>
        <v>#N/A</v>
      </c>
      <c r="FA246" s="54" t="e">
        <f>IF(CHOOSE(EY$7,Eu_tabel_a[[#This Row],[x base]]&gt;0,Eu_tabel_a[[#This Row],[x base]]&lt;0,Eu_tabel_a[[#This Row],[x base]]=0),Eu_tabel_a[[#This Row],[Styrke, aktiv]],NA())</f>
        <v>#N/A</v>
      </c>
      <c r="FB246" s="54" t="e">
        <f>IFERROR(IF($EY$3,Eu_tabel_a[[#This Row],[Styrke, aktiv]],NA()),NA())</f>
        <v>#N/A</v>
      </c>
      <c r="FC246" s="54" t="e">
        <f>IF(ISNA(Eu_tabel_a[[#This Row],[Sand negativ
Nulhypotese afvises
Korrekt]]),NA(),IF(EY$3,1,NA()))</f>
        <v>#N/A</v>
      </c>
      <c r="FD246" s="55" t="str" cm="1">
        <f t="array" ref="FD246">IFERROR(_xlfn.SWITCH(Eu_tabel_a[[#This Row],[Indeks]],_xlfn.IFNA(FB$2,-99),FB$5,_xlfn.IFNA(FB$3,-99),FB$6,_xlfn.IFNA(FB$4,-99),FB$7,""),"")</f>
        <v/>
      </c>
      <c r="FE246" s="54">
        <f>Eu_tabel_a[[#This Row],[x base]]*SQRT(Eu_a_h0_x*(1-Eu_a_h0_x)/Eu_a_n_x)+Eu_a_h0_x</f>
        <v>0</v>
      </c>
      <c r="FJ246" s="144" t="e">
        <f t="shared" si="338"/>
        <v>#N/A</v>
      </c>
      <c r="FK246" s="152" t="e">
        <f t="shared" si="426"/>
        <v>#DIV/0!</v>
      </c>
      <c r="FL246" s="7" t="e">
        <f t="shared" si="332"/>
        <v>#DIV/0!</v>
      </c>
      <c r="FM246" t="e">
        <f t="shared" si="427"/>
        <v>#DIV/0!</v>
      </c>
      <c r="FN246" s="8" t="e">
        <f t="shared" si="428"/>
        <v>#DIV/0!</v>
      </c>
      <c r="FO246" s="8" t="e">
        <f t="shared" si="429"/>
        <v>#DIV/0!</v>
      </c>
      <c r="FP246" s="151" t="e">
        <f t="shared" si="430"/>
        <v>#DIV/0!</v>
      </c>
      <c r="FQ246" s="144" t="e">
        <f t="shared" ca="1" si="333"/>
        <v>#N/A</v>
      </c>
      <c r="FR246" s="152" t="e" vm="3">
        <f t="shared" ca="1" si="339"/>
        <v>#VALUE!</v>
      </c>
      <c r="FS246" s="7" t="e" vm="3">
        <f t="shared" ca="1" si="334"/>
        <v>#VALUE!</v>
      </c>
      <c r="FT246" t="e" vm="3">
        <f t="shared" ca="1" si="328"/>
        <v>#VALUE!</v>
      </c>
      <c r="FU246" s="8" t="e" vm="3">
        <f t="shared" ca="1" si="329"/>
        <v>#VALUE!</v>
      </c>
      <c r="FV246" s="8" t="e" vm="3">
        <f t="shared" ca="1" si="330"/>
        <v>#VALUE!</v>
      </c>
      <c r="FW246" s="151" t="e" vm="3">
        <f t="shared" ca="1" si="331"/>
        <v>#VALUE!</v>
      </c>
      <c r="FX246" s="144" t="e">
        <f t="shared" si="335"/>
        <v>#N/A</v>
      </c>
      <c r="FY246" s="152" t="e">
        <f t="shared" si="340"/>
        <v>#N/A</v>
      </c>
      <c r="FZ246" s="7" t="e">
        <f t="shared" si="336"/>
        <v>#N/A</v>
      </c>
      <c r="GA246" t="e">
        <f t="shared" si="341"/>
        <v>#N/A</v>
      </c>
      <c r="GB246" s="8" t="e">
        <f t="shared" si="342"/>
        <v>#N/A</v>
      </c>
      <c r="GC246" s="8" t="e">
        <f t="shared" si="343"/>
        <v>#N/A</v>
      </c>
      <c r="GD246" s="151" t="e">
        <f t="shared" si="344"/>
        <v>#N/A</v>
      </c>
      <c r="GE246" s="144" t="e">
        <f t="shared" si="345"/>
        <v>#N/A</v>
      </c>
      <c r="GF246" s="152" t="e">
        <f t="shared" si="346"/>
        <v>#N/A</v>
      </c>
      <c r="GG246" s="7" t="e">
        <f t="shared" si="337"/>
        <v>#N/A</v>
      </c>
      <c r="GH246" t="e">
        <f t="shared" si="347"/>
        <v>#N/A</v>
      </c>
      <c r="GI246" s="8" t="e">
        <f t="shared" si="348"/>
        <v>#N/A</v>
      </c>
      <c r="GJ246" s="8" t="e">
        <f t="shared" si="349"/>
        <v>#N/A</v>
      </c>
      <c r="GK246" s="151" t="e">
        <f t="shared" si="350"/>
        <v>#N/A</v>
      </c>
      <c r="GL246" s="151"/>
      <c r="GM246" s="151"/>
      <c r="GP246" s="54">
        <f t="shared" si="395"/>
        <v>236</v>
      </c>
      <c r="GQ246" s="54">
        <f t="shared" si="396"/>
        <v>237</v>
      </c>
      <c r="GR246" s="54">
        <f t="shared" si="397"/>
        <v>2.5632159438756279</v>
      </c>
      <c r="GS246" s="54">
        <f t="shared" si="398"/>
        <v>1.4936065002642981E-2</v>
      </c>
      <c r="GT246" s="54" t="e">
        <f t="shared" si="399"/>
        <v>#N/A</v>
      </c>
      <c r="GU246" s="54" t="e">
        <f t="shared" si="400"/>
        <v>#N/A</v>
      </c>
      <c r="GV246" s="54" t="e">
        <f t="shared" si="401"/>
        <v>#N/A</v>
      </c>
      <c r="GW246" s="54" t="b">
        <f t="shared" si="402"/>
        <v>0</v>
      </c>
      <c r="GX246" s="54" t="b">
        <f t="shared" si="403"/>
        <v>1</v>
      </c>
      <c r="GY246" s="54" t="b">
        <f t="shared" si="404"/>
        <v>1</v>
      </c>
      <c r="GZ246" s="54" t="b">
        <f t="shared" si="405"/>
        <v>0</v>
      </c>
      <c r="HA246" s="54">
        <f t="shared" si="406"/>
        <v>1.4936065002642981E-2</v>
      </c>
      <c r="HB246" s="54">
        <f t="shared" si="407"/>
        <v>1.4936065002642981E-2</v>
      </c>
      <c r="HC246" s="54" t="e">
        <f t="shared" si="408"/>
        <v>#N/A</v>
      </c>
      <c r="HD246" s="69" t="str">
        <f t="shared" si="409"/>
        <v/>
      </c>
      <c r="HJ246" s="54">
        <f t="shared" si="410"/>
        <v>236</v>
      </c>
      <c r="HK246" s="54">
        <f t="shared" si="411"/>
        <v>237</v>
      </c>
      <c r="HL246" s="54">
        <f t="shared" si="412"/>
        <v>3.9691937229790835</v>
      </c>
      <c r="HM246" s="54" t="e">
        <f t="shared" si="413"/>
        <v>#N/A</v>
      </c>
      <c r="HN246" s="54">
        <f t="shared" si="414"/>
        <v>3.4480547160141203E-3</v>
      </c>
      <c r="HO246" s="54" t="e">
        <f t="shared" si="415"/>
        <v>#N/A</v>
      </c>
      <c r="HP246" s="54" t="e">
        <f t="shared" si="416"/>
        <v>#N/A</v>
      </c>
      <c r="HQ246" s="54" t="b">
        <f t="shared" si="417"/>
        <v>0</v>
      </c>
      <c r="HR246" s="54" t="b">
        <f t="shared" si="418"/>
        <v>1</v>
      </c>
      <c r="HS246" s="54" t="b">
        <f t="shared" si="419"/>
        <v>1</v>
      </c>
      <c r="HT246" s="54" t="b">
        <f t="shared" si="420"/>
        <v>0</v>
      </c>
      <c r="HU246" s="54">
        <f t="shared" si="421"/>
        <v>3.4480547160141203E-3</v>
      </c>
      <c r="HV246" s="54" t="e">
        <f t="shared" si="422"/>
        <v>#N/A</v>
      </c>
      <c r="HW246" s="54">
        <f t="shared" si="423"/>
        <v>3.4480547160141203E-3</v>
      </c>
      <c r="HX246" s="69" t="str">
        <f t="shared" si="424"/>
        <v/>
      </c>
    </row>
    <row r="247" spans="78:232" x14ac:dyDescent="0.2">
      <c r="BZ247" s="54">
        <f t="shared" si="351"/>
        <v>237</v>
      </c>
      <c r="CA247" s="54">
        <f>Eu_tabel_g[[#This Row],[Indeks]]+1</f>
        <v>238</v>
      </c>
      <c r="CB247" s="54">
        <f t="shared" si="352"/>
        <v>2.5871712330707268</v>
      </c>
      <c r="CC247" s="54">
        <f t="shared" si="353"/>
        <v>1.4042511314589706E-2</v>
      </c>
      <c r="CD247" s="54" t="e">
        <f t="shared" si="354"/>
        <v>#N/A</v>
      </c>
      <c r="CE247" s="54" t="e">
        <f t="shared" si="355"/>
        <v>#N/A</v>
      </c>
      <c r="CF247" s="54" t="e">
        <f t="shared" si="356"/>
        <v>#N/A</v>
      </c>
      <c r="CG247" s="54" t="b">
        <f t="shared" si="357"/>
        <v>0</v>
      </c>
      <c r="CH247" s="54" t="b">
        <f t="shared" si="358"/>
        <v>1</v>
      </c>
      <c r="CI247" s="54" t="b">
        <f t="shared" si="359"/>
        <v>1</v>
      </c>
      <c r="CJ247" s="54" t="b">
        <f t="shared" si="360"/>
        <v>0</v>
      </c>
      <c r="CK247" s="54">
        <f t="shared" si="425"/>
        <v>1.4042511314589706E-2</v>
      </c>
      <c r="CL247" s="54">
        <f t="shared" si="361"/>
        <v>1.4042511314589706E-2</v>
      </c>
      <c r="CM247" s="54" t="e">
        <f t="shared" si="362"/>
        <v>#N/A</v>
      </c>
      <c r="CN247" s="69" t="str">
        <f t="shared" si="363"/>
        <v/>
      </c>
      <c r="CO247" s="54">
        <f>_xlfn.NORM.DIST(_xlfn.NORM.INV(1-Eu_g_konfidensniveau,0,1)-Eu_tabel_g[[#This Row],[x base]],0,1,TRUE)</f>
        <v>1.1579840120598073E-5</v>
      </c>
      <c r="CP247" s="54">
        <f>1-_xlfn.NORM.DIST(_xlfn.NORM.INV(Eu_g_konfidensniveau,0,1)-Eu_tabel_g[[#This Row],[x base]],0,1,TRUE)</f>
        <v>0.82698497157704665</v>
      </c>
      <c r="CQ247" s="54">
        <f>_xlfn.NORM.DIST(_xlfn.NORM.INV((1-Eu_g_konfidensniveau)/2,0,1)-Eu_tabel_g[[#This Row],[x base]],0,1,TRUE)+1-_xlfn.NORM.DIST(_xlfn.NORM.INV(1-(1-Eu_g_konfidensniveau)/2,0,1)-Eu_tabel_g[[#This Row],[x base]],0,1,TRUE)</f>
        <v>0.73474102284264009</v>
      </c>
      <c r="CR247" s="54" t="e" cm="1">
        <f t="array" ref="CR247">IF($CR$3,INDEX(Eu_tabel_g[[#This Row],[Styrke venstre]:[Styrke tosidet]],CR$7),NA())</f>
        <v>#N/A</v>
      </c>
      <c r="CS247" s="89" t="e">
        <f>Eu_tabel_g[[#This Row],[Falsk positiv
Nulhypotese accepteres
Fejltype 1]]</f>
        <v>#N/A</v>
      </c>
      <c r="CT247" s="89" t="e">
        <f>IF(CHOOSE(CR$7,Eu_tabel_g[[#This Row],[x base]]&gt;0,Eu_tabel_g[[#This Row],[x base]]&lt;0,Eu_tabel_g[[#This Row],[x base]]=0),Eu_tabel_g[[#This Row],[Styrke, aktiv]],NA())</f>
        <v>#N/A</v>
      </c>
      <c r="CU247" s="89" t="e">
        <f>IFERROR(IF($CR$3,Eu_tabel_g[[#This Row],[Styrke, aktiv]],NA()),NA())</f>
        <v>#N/A</v>
      </c>
      <c r="CV247" s="89" t="e">
        <f>IF(ISNA(Eu_tabel_g[[#This Row],[Sand negativ
Nulhypotese afvises
Korrekt]]),NA(),IF($CR$3,1,NA()))</f>
        <v>#N/A</v>
      </c>
      <c r="CW247" s="56" t="str" cm="1">
        <f t="array" ref="CW247">_xlfn.SWITCH(BZ247,_xlfn.IFNA(CU$2,-99),CU$5,_xlfn.IFNA(CU$3,-99),CU$6,_xlfn.IFNA(CU$4,-99),CU$7,"")</f>
        <v/>
      </c>
      <c r="DA247" s="7">
        <f t="shared" si="364"/>
        <v>0.8</v>
      </c>
      <c r="DB247">
        <f>IF(ROW(Styrkeberegning_G[[#This Row],[X base venstre]])=ROW(Styrkeberegning_G[[#Headers],[X base venstre]])+1,DB$7/(DA$7/$B$67),DB246/(DA246/$B$67))</f>
        <v>-2.8015817870135784</v>
      </c>
      <c r="DC247">
        <f>Styrkeberegning_G[[#This Row],[X base venstre]]*-1</f>
        <v>2.8015817870135784</v>
      </c>
      <c r="DN247" s="54">
        <f t="shared" si="365"/>
        <v>237</v>
      </c>
      <c r="DO247" s="54">
        <f t="shared" si="366"/>
        <v>238</v>
      </c>
      <c r="DP247" s="54">
        <f t="shared" si="367"/>
        <v>28.868645635482928</v>
      </c>
      <c r="DQ247" s="54" t="e">
        <f t="shared" si="368"/>
        <v>#N/A</v>
      </c>
      <c r="DR247" s="54" t="e">
        <f t="shared" si="369"/>
        <v>#N/A</v>
      </c>
      <c r="DS247" s="54">
        <f t="shared" si="370"/>
        <v>8.4849707699458045E-4</v>
      </c>
      <c r="DT247" s="54" t="e">
        <f t="shared" si="371"/>
        <v>#N/A</v>
      </c>
      <c r="DU247" s="54" t="b">
        <f t="shared" si="372"/>
        <v>0</v>
      </c>
      <c r="DV247" s="54" t="b">
        <f t="shared" si="373"/>
        <v>1</v>
      </c>
      <c r="DW247" s="54" t="b">
        <f t="shared" si="374"/>
        <v>1</v>
      </c>
      <c r="DX247" s="54" t="b">
        <f t="shared" si="375"/>
        <v>0</v>
      </c>
      <c r="DY247" s="54">
        <f t="shared" si="376"/>
        <v>8.4849707699458045E-4</v>
      </c>
      <c r="DZ247" s="54">
        <f t="shared" si="377"/>
        <v>8.4849707699458045E-4</v>
      </c>
      <c r="EA247" s="54" t="e">
        <f t="shared" si="378"/>
        <v>#N/A</v>
      </c>
      <c r="EB247" s="69" t="str">
        <f t="shared" si="379"/>
        <v/>
      </c>
      <c r="EG247" s="54">
        <f t="shared" si="380"/>
        <v>237</v>
      </c>
      <c r="EH247" s="54">
        <f t="shared" si="381"/>
        <v>238</v>
      </c>
      <c r="EI247" s="54">
        <f t="shared" si="382"/>
        <v>2.5871712330707268</v>
      </c>
      <c r="EJ247" s="54">
        <f t="shared" si="383"/>
        <v>1.4042511314589706E-2</v>
      </c>
      <c r="EK247" s="54" t="e">
        <f t="shared" si="384"/>
        <v>#N/A</v>
      </c>
      <c r="EL247" s="54" t="e">
        <f t="shared" si="385"/>
        <v>#N/A</v>
      </c>
      <c r="EM247" s="54" t="e">
        <f t="shared" si="386"/>
        <v>#N/A</v>
      </c>
      <c r="EN247" s="54" t="b">
        <f t="shared" si="387"/>
        <v>0</v>
      </c>
      <c r="EO247" s="54" t="b">
        <f t="shared" si="388"/>
        <v>1</v>
      </c>
      <c r="EP247" s="54" t="b">
        <f t="shared" si="389"/>
        <v>1</v>
      </c>
      <c r="EQ247" s="54" t="b">
        <f t="shared" si="390"/>
        <v>0</v>
      </c>
      <c r="ER247" s="54">
        <f t="shared" si="391"/>
        <v>1.4042511314589706E-2</v>
      </c>
      <c r="ES247" s="54">
        <f t="shared" si="392"/>
        <v>1.4042511314589706E-2</v>
      </c>
      <c r="ET247" s="54" t="e">
        <f t="shared" si="393"/>
        <v>#N/A</v>
      </c>
      <c r="EU247" s="69" t="str">
        <f t="shared" si="394"/>
        <v/>
      </c>
      <c r="EV24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4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4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47" s="54" t="e" cm="1">
        <f t="array" ref="EY247">IF($CR$3,INDEX(Eu_tabel_a[[#This Row],[Styrke venstre]:[Styrke tosidet]],EY$7),NA())</f>
        <v>#N/A</v>
      </c>
      <c r="EZ247" s="54" t="e">
        <f>IF(EY$3,IF(CHOOSE(EY$7,Eu_tabel_a[[#This Row],[x base]]&gt;0,Eu_tabel_a[[#This Row],[x base]]&lt;0,Eu_tabel_a[[#This Row],[x base]]=0),1,NA()),NA())</f>
        <v>#N/A</v>
      </c>
      <c r="FA247" s="54" t="e">
        <f>IF(CHOOSE(EY$7,Eu_tabel_a[[#This Row],[x base]]&gt;0,Eu_tabel_a[[#This Row],[x base]]&lt;0,Eu_tabel_a[[#This Row],[x base]]=0),Eu_tabel_a[[#This Row],[Styrke, aktiv]],NA())</f>
        <v>#N/A</v>
      </c>
      <c r="FB247" s="54" t="e">
        <f>IFERROR(IF($EY$3,Eu_tabel_a[[#This Row],[Styrke, aktiv]],NA()),NA())</f>
        <v>#N/A</v>
      </c>
      <c r="FC247" s="54" t="e">
        <f>IF(ISNA(Eu_tabel_a[[#This Row],[Sand negativ
Nulhypotese afvises
Korrekt]]),NA(),IF(EY$3,1,NA()))</f>
        <v>#N/A</v>
      </c>
      <c r="FD247" s="55" t="str" cm="1">
        <f t="array" ref="FD247">IFERROR(_xlfn.SWITCH(Eu_tabel_a[[#This Row],[Indeks]],_xlfn.IFNA(FB$2,-99),FB$5,_xlfn.IFNA(FB$3,-99),FB$6,_xlfn.IFNA(FB$4,-99),FB$7,""),"")</f>
        <v/>
      </c>
      <c r="FE247" s="54">
        <f>Eu_tabel_a[[#This Row],[x base]]*SQRT(Eu_a_h0_x*(1-Eu_a_h0_x)/Eu_a_n_x)+Eu_a_h0_x</f>
        <v>0</v>
      </c>
      <c r="FJ247" s="144" t="e">
        <f t="shared" si="338"/>
        <v>#N/A</v>
      </c>
      <c r="FK247" s="152" t="e">
        <f t="shared" si="426"/>
        <v>#DIV/0!</v>
      </c>
      <c r="FL247" s="7" t="e">
        <f t="shared" si="332"/>
        <v>#DIV/0!</v>
      </c>
      <c r="FM247" t="e">
        <f t="shared" si="427"/>
        <v>#DIV/0!</v>
      </c>
      <c r="FN247" s="8" t="e">
        <f t="shared" si="428"/>
        <v>#DIV/0!</v>
      </c>
      <c r="FO247" s="8" t="e">
        <f t="shared" si="429"/>
        <v>#DIV/0!</v>
      </c>
      <c r="FP247" s="151" t="e">
        <f t="shared" si="430"/>
        <v>#DIV/0!</v>
      </c>
      <c r="FQ247" s="144" t="e">
        <f t="shared" ca="1" si="333"/>
        <v>#N/A</v>
      </c>
      <c r="FR247" s="152" t="e" vm="3">
        <f t="shared" ca="1" si="339"/>
        <v>#VALUE!</v>
      </c>
      <c r="FS247" s="7" t="e" vm="3">
        <f t="shared" ca="1" si="334"/>
        <v>#VALUE!</v>
      </c>
      <c r="FT247" t="e" vm="3">
        <f t="shared" ca="1" si="328"/>
        <v>#VALUE!</v>
      </c>
      <c r="FU247" s="8" t="e" vm="3">
        <f t="shared" ca="1" si="329"/>
        <v>#VALUE!</v>
      </c>
      <c r="FV247" s="8" t="e" vm="3">
        <f t="shared" ca="1" si="330"/>
        <v>#VALUE!</v>
      </c>
      <c r="FW247" s="151" t="e" vm="3">
        <f t="shared" ca="1" si="331"/>
        <v>#VALUE!</v>
      </c>
      <c r="FX247" s="144" t="e">
        <f t="shared" si="335"/>
        <v>#N/A</v>
      </c>
      <c r="FY247" s="152" t="e">
        <f t="shared" si="340"/>
        <v>#N/A</v>
      </c>
      <c r="FZ247" s="7" t="e">
        <f t="shared" si="336"/>
        <v>#N/A</v>
      </c>
      <c r="GA247" t="e">
        <f t="shared" si="341"/>
        <v>#N/A</v>
      </c>
      <c r="GB247" s="8" t="e">
        <f t="shared" si="342"/>
        <v>#N/A</v>
      </c>
      <c r="GC247" s="8" t="e">
        <f t="shared" si="343"/>
        <v>#N/A</v>
      </c>
      <c r="GD247" s="151" t="e">
        <f t="shared" si="344"/>
        <v>#N/A</v>
      </c>
      <c r="GE247" s="144" t="e">
        <f t="shared" si="345"/>
        <v>#N/A</v>
      </c>
      <c r="GF247" s="152" t="e">
        <f t="shared" si="346"/>
        <v>#N/A</v>
      </c>
      <c r="GG247" s="7" t="e">
        <f t="shared" si="337"/>
        <v>#N/A</v>
      </c>
      <c r="GH247" t="e">
        <f t="shared" si="347"/>
        <v>#N/A</v>
      </c>
      <c r="GI247" s="8" t="e">
        <f t="shared" si="348"/>
        <v>#N/A</v>
      </c>
      <c r="GJ247" s="8" t="e">
        <f t="shared" si="349"/>
        <v>#N/A</v>
      </c>
      <c r="GK247" s="151" t="e">
        <f t="shared" si="350"/>
        <v>#N/A</v>
      </c>
      <c r="GL247" s="151"/>
      <c r="GM247" s="151"/>
      <c r="GP247" s="54">
        <f t="shared" si="395"/>
        <v>237</v>
      </c>
      <c r="GQ247" s="54">
        <f t="shared" si="396"/>
        <v>238</v>
      </c>
      <c r="GR247" s="54">
        <f t="shared" si="397"/>
        <v>2.5871712330707268</v>
      </c>
      <c r="GS247" s="54">
        <f t="shared" si="398"/>
        <v>1.4042511314589706E-2</v>
      </c>
      <c r="GT247" s="54" t="e">
        <f t="shared" si="399"/>
        <v>#N/A</v>
      </c>
      <c r="GU247" s="54" t="e">
        <f t="shared" si="400"/>
        <v>#N/A</v>
      </c>
      <c r="GV247" s="54" t="e">
        <f t="shared" si="401"/>
        <v>#N/A</v>
      </c>
      <c r="GW247" s="54" t="b">
        <f t="shared" si="402"/>
        <v>0</v>
      </c>
      <c r="GX247" s="54" t="b">
        <f t="shared" si="403"/>
        <v>1</v>
      </c>
      <c r="GY247" s="54" t="b">
        <f t="shared" si="404"/>
        <v>1</v>
      </c>
      <c r="GZ247" s="54" t="b">
        <f t="shared" si="405"/>
        <v>0</v>
      </c>
      <c r="HA247" s="54">
        <f t="shared" si="406"/>
        <v>1.4042511314589706E-2</v>
      </c>
      <c r="HB247" s="54">
        <f t="shared" si="407"/>
        <v>1.4042511314589706E-2</v>
      </c>
      <c r="HC247" s="54" t="e">
        <f t="shared" si="408"/>
        <v>#N/A</v>
      </c>
      <c r="HD247" s="69" t="str">
        <f t="shared" si="409"/>
        <v/>
      </c>
      <c r="HJ247" s="54">
        <f t="shared" si="410"/>
        <v>237</v>
      </c>
      <c r="HK247" s="54">
        <f t="shared" si="411"/>
        <v>238</v>
      </c>
      <c r="HL247" s="54">
        <f t="shared" si="412"/>
        <v>4.0062889914181401</v>
      </c>
      <c r="HM247" s="54" t="e">
        <f t="shared" si="413"/>
        <v>#N/A</v>
      </c>
      <c r="HN247" s="54">
        <f t="shared" si="414"/>
        <v>3.2744098438161427E-3</v>
      </c>
      <c r="HO247" s="54" t="e">
        <f t="shared" si="415"/>
        <v>#N/A</v>
      </c>
      <c r="HP247" s="54" t="e">
        <f t="shared" si="416"/>
        <v>#N/A</v>
      </c>
      <c r="HQ247" s="54" t="b">
        <f t="shared" si="417"/>
        <v>0</v>
      </c>
      <c r="HR247" s="54" t="b">
        <f t="shared" si="418"/>
        <v>1</v>
      </c>
      <c r="HS247" s="54" t="b">
        <f t="shared" si="419"/>
        <v>1</v>
      </c>
      <c r="HT247" s="54" t="b">
        <f t="shared" si="420"/>
        <v>0</v>
      </c>
      <c r="HU247" s="54">
        <f t="shared" si="421"/>
        <v>3.2744098438161427E-3</v>
      </c>
      <c r="HV247" s="54" t="e">
        <f t="shared" si="422"/>
        <v>#N/A</v>
      </c>
      <c r="HW247" s="54">
        <f t="shared" si="423"/>
        <v>3.2744098438161427E-3</v>
      </c>
      <c r="HX247" s="69" t="str">
        <f t="shared" si="424"/>
        <v/>
      </c>
    </row>
    <row r="248" spans="78:232" x14ac:dyDescent="0.2">
      <c r="BZ248" s="54">
        <f t="shared" si="351"/>
        <v>238</v>
      </c>
      <c r="CA248" s="54">
        <f>Eu_tabel_g[[#This Row],[Indeks]]+1</f>
        <v>239</v>
      </c>
      <c r="CB248" s="54">
        <f t="shared" si="352"/>
        <v>2.6111265222658266</v>
      </c>
      <c r="CC248" s="54">
        <f t="shared" si="353"/>
        <v>1.319484058137666E-2</v>
      </c>
      <c r="CD248" s="54" t="e">
        <f t="shared" si="354"/>
        <v>#N/A</v>
      </c>
      <c r="CE248" s="54" t="e">
        <f t="shared" si="355"/>
        <v>#N/A</v>
      </c>
      <c r="CF248" s="54" t="e">
        <f t="shared" si="356"/>
        <v>#N/A</v>
      </c>
      <c r="CG248" s="54" t="b">
        <f t="shared" si="357"/>
        <v>0</v>
      </c>
      <c r="CH248" s="54" t="b">
        <f t="shared" si="358"/>
        <v>1</v>
      </c>
      <c r="CI248" s="54" t="b">
        <f t="shared" si="359"/>
        <v>1</v>
      </c>
      <c r="CJ248" s="54" t="b">
        <f t="shared" si="360"/>
        <v>0</v>
      </c>
      <c r="CK248" s="54">
        <f t="shared" si="425"/>
        <v>1.319484058137666E-2</v>
      </c>
      <c r="CL248" s="54">
        <f t="shared" si="361"/>
        <v>1.319484058137666E-2</v>
      </c>
      <c r="CM248" s="54" t="e">
        <f t="shared" si="362"/>
        <v>#N/A</v>
      </c>
      <c r="CN248" s="69" t="str">
        <f t="shared" si="363"/>
        <v/>
      </c>
      <c r="CO248" s="54">
        <f>_xlfn.NORM.DIST(_xlfn.NORM.INV(1-Eu_g_konfidensniveau,0,1)-Eu_tabel_g[[#This Row],[x base]],0,1,TRUE)</f>
        <v>1.0406758709596886E-5</v>
      </c>
      <c r="CP248" s="54">
        <f>1-_xlfn.NORM.DIST(_xlfn.NORM.INV(Eu_g_konfidensniveau,0,1)-Eu_tabel_g[[#This Row],[x base]],0,1,TRUE)</f>
        <v>0.83304617739848219</v>
      </c>
      <c r="CQ248" s="54">
        <f>_xlfn.NORM.DIST(_xlfn.NORM.INV((1-Eu_g_konfidensniveau)/2,0,1)-Eu_tabel_g[[#This Row],[x base]],0,1,TRUE)+1-_xlfn.NORM.DIST(_xlfn.NORM.INV(1-(1-Eu_g_konfidensniveau)/2,0,1)-Eu_tabel_g[[#This Row],[x base]],0,1,TRUE)</f>
        <v>0.74253164080016687</v>
      </c>
      <c r="CR248" s="54" t="e" cm="1">
        <f t="array" ref="CR248">IF($CR$3,INDEX(Eu_tabel_g[[#This Row],[Styrke venstre]:[Styrke tosidet]],CR$7),NA())</f>
        <v>#N/A</v>
      </c>
      <c r="CS248" s="89" t="e">
        <f>Eu_tabel_g[[#This Row],[Falsk positiv
Nulhypotese accepteres
Fejltype 1]]</f>
        <v>#N/A</v>
      </c>
      <c r="CT248" s="89" t="e">
        <f>IF(CHOOSE(CR$7,Eu_tabel_g[[#This Row],[x base]]&gt;0,Eu_tabel_g[[#This Row],[x base]]&lt;0,Eu_tabel_g[[#This Row],[x base]]=0),Eu_tabel_g[[#This Row],[Styrke, aktiv]],NA())</f>
        <v>#N/A</v>
      </c>
      <c r="CU248" s="89" t="e">
        <f>IFERROR(IF($CR$3,Eu_tabel_g[[#This Row],[Styrke, aktiv]],NA()),NA())</f>
        <v>#N/A</v>
      </c>
      <c r="CV248" s="89" t="e">
        <f>IF(ISNA(Eu_tabel_g[[#This Row],[Sand negativ
Nulhypotese afvises
Korrekt]]),NA(),IF($CR$3,1,NA()))</f>
        <v>#N/A</v>
      </c>
      <c r="CW248" s="56" t="str" cm="1">
        <f t="array" ref="CW248">_xlfn.SWITCH(BZ248,_xlfn.IFNA(CU$2,-99),CU$5,_xlfn.IFNA(CU$3,-99),CU$6,_xlfn.IFNA(CU$4,-99),CU$7,"")</f>
        <v/>
      </c>
      <c r="DA248" s="7">
        <f t="shared" si="364"/>
        <v>0.8</v>
      </c>
      <c r="DB248">
        <f>IF(ROW(Styrkeberegning_G[[#This Row],[X base venstre]])=ROW(Styrkeberegning_G[[#Headers],[X base venstre]])+1,DB$7/(DA$7/$B$67),DB247/(DA247/$B$67))</f>
        <v>-2.8015817870135784</v>
      </c>
      <c r="DC248">
        <f>Styrkeberegning_G[[#This Row],[X base venstre]]*-1</f>
        <v>2.8015817870135784</v>
      </c>
      <c r="DN248" s="54">
        <f t="shared" si="365"/>
        <v>238</v>
      </c>
      <c r="DO248" s="54">
        <f t="shared" si="366"/>
        <v>239</v>
      </c>
      <c r="DP248" s="54">
        <f t="shared" si="367"/>
        <v>28.982716491899929</v>
      </c>
      <c r="DQ248" s="54" t="e">
        <f t="shared" si="368"/>
        <v>#N/A</v>
      </c>
      <c r="DR248" s="54" t="e">
        <f t="shared" si="369"/>
        <v>#N/A</v>
      </c>
      <c r="DS248" s="54">
        <f t="shared" si="370"/>
        <v>8.1580663753299219E-4</v>
      </c>
      <c r="DT248" s="54" t="e">
        <f t="shared" si="371"/>
        <v>#N/A</v>
      </c>
      <c r="DU248" s="54" t="b">
        <f t="shared" si="372"/>
        <v>0</v>
      </c>
      <c r="DV248" s="54" t="b">
        <f t="shared" si="373"/>
        <v>1</v>
      </c>
      <c r="DW248" s="54" t="b">
        <f t="shared" si="374"/>
        <v>1</v>
      </c>
      <c r="DX248" s="54" t="b">
        <f t="shared" si="375"/>
        <v>0</v>
      </c>
      <c r="DY248" s="54">
        <f t="shared" si="376"/>
        <v>8.1580663753299219E-4</v>
      </c>
      <c r="DZ248" s="54">
        <f t="shared" si="377"/>
        <v>8.1580663753299219E-4</v>
      </c>
      <c r="EA248" s="54" t="e">
        <f t="shared" si="378"/>
        <v>#N/A</v>
      </c>
      <c r="EB248" s="69" t="str">
        <f t="shared" si="379"/>
        <v/>
      </c>
      <c r="EG248" s="54">
        <f t="shared" si="380"/>
        <v>238</v>
      </c>
      <c r="EH248" s="54">
        <f t="shared" si="381"/>
        <v>239</v>
      </c>
      <c r="EI248" s="54">
        <f t="shared" si="382"/>
        <v>2.6111265222658266</v>
      </c>
      <c r="EJ248" s="54">
        <f t="shared" si="383"/>
        <v>1.319484058137666E-2</v>
      </c>
      <c r="EK248" s="54" t="e">
        <f t="shared" si="384"/>
        <v>#N/A</v>
      </c>
      <c r="EL248" s="54" t="e">
        <f t="shared" si="385"/>
        <v>#N/A</v>
      </c>
      <c r="EM248" s="54" t="e">
        <f t="shared" si="386"/>
        <v>#N/A</v>
      </c>
      <c r="EN248" s="54" t="b">
        <f t="shared" si="387"/>
        <v>0</v>
      </c>
      <c r="EO248" s="54" t="b">
        <f t="shared" si="388"/>
        <v>1</v>
      </c>
      <c r="EP248" s="54" t="b">
        <f t="shared" si="389"/>
        <v>1</v>
      </c>
      <c r="EQ248" s="54" t="b">
        <f t="shared" si="390"/>
        <v>0</v>
      </c>
      <c r="ER248" s="54">
        <f t="shared" si="391"/>
        <v>1.319484058137666E-2</v>
      </c>
      <c r="ES248" s="54">
        <f t="shared" si="392"/>
        <v>1.319484058137666E-2</v>
      </c>
      <c r="ET248" s="54" t="e">
        <f t="shared" si="393"/>
        <v>#N/A</v>
      </c>
      <c r="EU248" s="69" t="str">
        <f t="shared" si="394"/>
        <v/>
      </c>
      <c r="EV24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4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4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48" s="54" t="e" cm="1">
        <f t="array" ref="EY248">IF($CR$3,INDEX(Eu_tabel_a[[#This Row],[Styrke venstre]:[Styrke tosidet]],EY$7),NA())</f>
        <v>#N/A</v>
      </c>
      <c r="EZ248" s="54" t="e">
        <f>IF(EY$3,IF(CHOOSE(EY$7,Eu_tabel_a[[#This Row],[x base]]&gt;0,Eu_tabel_a[[#This Row],[x base]]&lt;0,Eu_tabel_a[[#This Row],[x base]]=0),1,NA()),NA())</f>
        <v>#N/A</v>
      </c>
      <c r="FA248" s="54" t="e">
        <f>IF(CHOOSE(EY$7,Eu_tabel_a[[#This Row],[x base]]&gt;0,Eu_tabel_a[[#This Row],[x base]]&lt;0,Eu_tabel_a[[#This Row],[x base]]=0),Eu_tabel_a[[#This Row],[Styrke, aktiv]],NA())</f>
        <v>#N/A</v>
      </c>
      <c r="FB248" s="54" t="e">
        <f>IFERROR(IF($EY$3,Eu_tabel_a[[#This Row],[Styrke, aktiv]],NA()),NA())</f>
        <v>#N/A</v>
      </c>
      <c r="FC248" s="54" t="e">
        <f>IF(ISNA(Eu_tabel_a[[#This Row],[Sand negativ
Nulhypotese afvises
Korrekt]]),NA(),IF(EY$3,1,NA()))</f>
        <v>#N/A</v>
      </c>
      <c r="FD248" s="55" t="str" cm="1">
        <f t="array" ref="FD248">IFERROR(_xlfn.SWITCH(Eu_tabel_a[[#This Row],[Indeks]],_xlfn.IFNA(FB$2,-99),FB$5,_xlfn.IFNA(FB$3,-99),FB$6,_xlfn.IFNA(FB$4,-99),FB$7,""),"")</f>
        <v/>
      </c>
      <c r="FE248" s="54">
        <f>Eu_tabel_a[[#This Row],[x base]]*SQRT(Eu_a_h0_x*(1-Eu_a_h0_x)/Eu_a_n_x)+Eu_a_h0_x</f>
        <v>0</v>
      </c>
      <c r="FJ248" s="144" t="e">
        <f t="shared" si="338"/>
        <v>#N/A</v>
      </c>
      <c r="FK248" s="152" t="e">
        <f t="shared" si="426"/>
        <v>#DIV/0!</v>
      </c>
      <c r="FL248" s="7" t="e">
        <f t="shared" si="332"/>
        <v>#DIV/0!</v>
      </c>
      <c r="FM248" t="e">
        <f t="shared" si="427"/>
        <v>#DIV/0!</v>
      </c>
      <c r="FN248" s="8" t="e">
        <f t="shared" si="428"/>
        <v>#DIV/0!</v>
      </c>
      <c r="FO248" s="8" t="e">
        <f t="shared" si="429"/>
        <v>#DIV/0!</v>
      </c>
      <c r="FP248" s="151" t="e">
        <f t="shared" si="430"/>
        <v>#DIV/0!</v>
      </c>
      <c r="FQ248" s="144" t="e">
        <f t="shared" ca="1" si="333"/>
        <v>#N/A</v>
      </c>
      <c r="FR248" s="152" t="e" vm="3">
        <f t="shared" ca="1" si="339"/>
        <v>#VALUE!</v>
      </c>
      <c r="FS248" s="7" t="e" vm="3">
        <f t="shared" ca="1" si="334"/>
        <v>#VALUE!</v>
      </c>
      <c r="FT248" t="e" vm="3">
        <f t="shared" ca="1" si="328"/>
        <v>#VALUE!</v>
      </c>
      <c r="FU248" s="8" t="e" vm="3">
        <f t="shared" ca="1" si="329"/>
        <v>#VALUE!</v>
      </c>
      <c r="FV248" s="8" t="e" vm="3">
        <f t="shared" ca="1" si="330"/>
        <v>#VALUE!</v>
      </c>
      <c r="FW248" s="151" t="e" vm="3">
        <f t="shared" ca="1" si="331"/>
        <v>#VALUE!</v>
      </c>
      <c r="FX248" s="144" t="e">
        <f t="shared" si="335"/>
        <v>#N/A</v>
      </c>
      <c r="FY248" s="152" t="e">
        <f t="shared" si="340"/>
        <v>#N/A</v>
      </c>
      <c r="FZ248" s="7" t="e">
        <f t="shared" si="336"/>
        <v>#N/A</v>
      </c>
      <c r="GA248" t="e">
        <f t="shared" si="341"/>
        <v>#N/A</v>
      </c>
      <c r="GB248" s="8" t="e">
        <f t="shared" si="342"/>
        <v>#N/A</v>
      </c>
      <c r="GC248" s="8" t="e">
        <f t="shared" si="343"/>
        <v>#N/A</v>
      </c>
      <c r="GD248" s="151" t="e">
        <f t="shared" si="344"/>
        <v>#N/A</v>
      </c>
      <c r="GE248" s="144" t="e">
        <f t="shared" si="345"/>
        <v>#N/A</v>
      </c>
      <c r="GF248" s="152" t="e">
        <f t="shared" si="346"/>
        <v>#N/A</v>
      </c>
      <c r="GG248" s="7" t="e">
        <f t="shared" si="337"/>
        <v>#N/A</v>
      </c>
      <c r="GH248" t="e">
        <f t="shared" si="347"/>
        <v>#N/A</v>
      </c>
      <c r="GI248" s="8" t="e">
        <f t="shared" si="348"/>
        <v>#N/A</v>
      </c>
      <c r="GJ248" s="8" t="e">
        <f t="shared" si="349"/>
        <v>#N/A</v>
      </c>
      <c r="GK248" s="151" t="e">
        <f t="shared" si="350"/>
        <v>#N/A</v>
      </c>
      <c r="GL248" s="151"/>
      <c r="GM248" s="151"/>
      <c r="GP248" s="54">
        <f t="shared" si="395"/>
        <v>238</v>
      </c>
      <c r="GQ248" s="54">
        <f t="shared" si="396"/>
        <v>239</v>
      </c>
      <c r="GR248" s="54">
        <f t="shared" si="397"/>
        <v>2.6111265222658266</v>
      </c>
      <c r="GS248" s="54">
        <f t="shared" si="398"/>
        <v>1.319484058137666E-2</v>
      </c>
      <c r="GT248" s="54" t="e">
        <f t="shared" si="399"/>
        <v>#N/A</v>
      </c>
      <c r="GU248" s="54" t="e">
        <f t="shared" si="400"/>
        <v>#N/A</v>
      </c>
      <c r="GV248" s="54" t="e">
        <f t="shared" si="401"/>
        <v>#N/A</v>
      </c>
      <c r="GW248" s="54" t="b">
        <f t="shared" si="402"/>
        <v>0</v>
      </c>
      <c r="GX248" s="54" t="b">
        <f t="shared" si="403"/>
        <v>1</v>
      </c>
      <c r="GY248" s="54" t="b">
        <f t="shared" si="404"/>
        <v>1</v>
      </c>
      <c r="GZ248" s="54" t="b">
        <f t="shared" si="405"/>
        <v>0</v>
      </c>
      <c r="HA248" s="54">
        <f t="shared" si="406"/>
        <v>1.319484058137666E-2</v>
      </c>
      <c r="HB248" s="54">
        <f t="shared" si="407"/>
        <v>1.319484058137666E-2</v>
      </c>
      <c r="HC248" s="54" t="e">
        <f t="shared" si="408"/>
        <v>#N/A</v>
      </c>
      <c r="HD248" s="69" t="str">
        <f t="shared" si="409"/>
        <v/>
      </c>
      <c r="HJ248" s="54">
        <f t="shared" si="410"/>
        <v>238</v>
      </c>
      <c r="HK248" s="54">
        <f t="shared" si="411"/>
        <v>239</v>
      </c>
      <c r="HL248" s="54">
        <f t="shared" si="412"/>
        <v>4.0433842598571967</v>
      </c>
      <c r="HM248" s="54" t="e">
        <f t="shared" si="413"/>
        <v>#N/A</v>
      </c>
      <c r="HN248" s="54">
        <f t="shared" si="414"/>
        <v>3.1100928750608632E-3</v>
      </c>
      <c r="HO248" s="54" t="e">
        <f t="shared" si="415"/>
        <v>#N/A</v>
      </c>
      <c r="HP248" s="54" t="e">
        <f t="shared" si="416"/>
        <v>#N/A</v>
      </c>
      <c r="HQ248" s="54" t="b">
        <f t="shared" si="417"/>
        <v>0</v>
      </c>
      <c r="HR248" s="54" t="b">
        <f t="shared" si="418"/>
        <v>1</v>
      </c>
      <c r="HS248" s="54" t="b">
        <f t="shared" si="419"/>
        <v>1</v>
      </c>
      <c r="HT248" s="54" t="b">
        <f t="shared" si="420"/>
        <v>0</v>
      </c>
      <c r="HU248" s="54">
        <f t="shared" si="421"/>
        <v>3.1100928750608632E-3</v>
      </c>
      <c r="HV248" s="54" t="e">
        <f t="shared" si="422"/>
        <v>#N/A</v>
      </c>
      <c r="HW248" s="54">
        <f t="shared" si="423"/>
        <v>3.1100928750608632E-3</v>
      </c>
      <c r="HX248" s="69" t="str">
        <f t="shared" si="424"/>
        <v/>
      </c>
    </row>
    <row r="249" spans="78:232" x14ac:dyDescent="0.2">
      <c r="BZ249" s="54">
        <f t="shared" si="351"/>
        <v>239</v>
      </c>
      <c r="CA249" s="54">
        <f>Eu_tabel_g[[#This Row],[Indeks]]+1</f>
        <v>240</v>
      </c>
      <c r="CB249" s="54">
        <f t="shared" si="352"/>
        <v>2.6350818114609256</v>
      </c>
      <c r="CC249" s="54">
        <f t="shared" si="353"/>
        <v>1.2391226343470832E-2</v>
      </c>
      <c r="CD249" s="54" t="e">
        <f t="shared" si="354"/>
        <v>#N/A</v>
      </c>
      <c r="CE249" s="54" t="e">
        <f t="shared" si="355"/>
        <v>#N/A</v>
      </c>
      <c r="CF249" s="54" t="e">
        <f t="shared" si="356"/>
        <v>#N/A</v>
      </c>
      <c r="CG249" s="54" t="b">
        <f t="shared" si="357"/>
        <v>0</v>
      </c>
      <c r="CH249" s="54" t="b">
        <f t="shared" si="358"/>
        <v>1</v>
      </c>
      <c r="CI249" s="54" t="b">
        <f t="shared" si="359"/>
        <v>1</v>
      </c>
      <c r="CJ249" s="54" t="b">
        <f t="shared" si="360"/>
        <v>0</v>
      </c>
      <c r="CK249" s="54">
        <f t="shared" si="425"/>
        <v>1.2391226343470832E-2</v>
      </c>
      <c r="CL249" s="54">
        <f t="shared" si="361"/>
        <v>1.2391226343470832E-2</v>
      </c>
      <c r="CM249" s="54" t="e">
        <f t="shared" si="362"/>
        <v>#N/A</v>
      </c>
      <c r="CN249" s="69" t="str">
        <f t="shared" si="363"/>
        <v/>
      </c>
      <c r="CO249" s="54">
        <f>_xlfn.NORM.DIST(_xlfn.NORM.INV(1-Eu_g_konfidensniveau,0,1)-Eu_tabel_g[[#This Row],[x base]],0,1,TRUE)</f>
        <v>9.3473768246039475E-6</v>
      </c>
      <c r="CP249" s="54">
        <f>1-_xlfn.NORM.DIST(_xlfn.NORM.INV(Eu_g_konfidensniveau,0,1)-Eu_tabel_g[[#This Row],[x base]],0,1,TRUE)</f>
        <v>0.83896870028264203</v>
      </c>
      <c r="CQ249" s="54">
        <f>_xlfn.NORM.DIST(_xlfn.NORM.INV((1-Eu_g_konfidensniveau)/2,0,1)-Eu_tabel_g[[#This Row],[x base]],0,1,TRUE)+1-_xlfn.NORM.DIST(_xlfn.NORM.INV(1-(1-Eu_g_konfidensniveau)/2,0,1)-Eu_tabel_g[[#This Row],[x base]],0,1,TRUE)</f>
        <v>0.75020170905714301</v>
      </c>
      <c r="CR249" s="54" t="e" cm="1">
        <f t="array" ref="CR249">IF($CR$3,INDEX(Eu_tabel_g[[#This Row],[Styrke venstre]:[Styrke tosidet]],CR$7),NA())</f>
        <v>#N/A</v>
      </c>
      <c r="CS249" s="89" t="e">
        <f>Eu_tabel_g[[#This Row],[Falsk positiv
Nulhypotese accepteres
Fejltype 1]]</f>
        <v>#N/A</v>
      </c>
      <c r="CT249" s="89" t="e">
        <f>IF(CHOOSE(CR$7,Eu_tabel_g[[#This Row],[x base]]&gt;0,Eu_tabel_g[[#This Row],[x base]]&lt;0,Eu_tabel_g[[#This Row],[x base]]=0),Eu_tabel_g[[#This Row],[Styrke, aktiv]],NA())</f>
        <v>#N/A</v>
      </c>
      <c r="CU249" s="89" t="e">
        <f>IFERROR(IF($CR$3,Eu_tabel_g[[#This Row],[Styrke, aktiv]],NA()),NA())</f>
        <v>#N/A</v>
      </c>
      <c r="CV249" s="89" t="e">
        <f>IF(ISNA(Eu_tabel_g[[#This Row],[Sand negativ
Nulhypotese afvises
Korrekt]]),NA(),IF($CR$3,1,NA()))</f>
        <v>#N/A</v>
      </c>
      <c r="CW249" s="56" t="str" cm="1">
        <f t="array" ref="CW249">_xlfn.SWITCH(BZ249,_xlfn.IFNA(CU$2,-99),CU$5,_xlfn.IFNA(CU$3,-99),CU$6,_xlfn.IFNA(CU$4,-99),CU$7,"")</f>
        <v/>
      </c>
      <c r="DA249" s="7">
        <f t="shared" si="364"/>
        <v>0.8</v>
      </c>
      <c r="DB249">
        <f>IF(ROW(Styrkeberegning_G[[#This Row],[X base venstre]])=ROW(Styrkeberegning_G[[#Headers],[X base venstre]])+1,DB$7/(DA$7/$B$67),DB248/(DA248/$B$67))</f>
        <v>-2.8015817870135784</v>
      </c>
      <c r="DC249">
        <f>Styrkeberegning_G[[#This Row],[X base venstre]]*-1</f>
        <v>2.8015817870135784</v>
      </c>
      <c r="DN249" s="54">
        <f t="shared" si="365"/>
        <v>239</v>
      </c>
      <c r="DO249" s="54">
        <f t="shared" si="366"/>
        <v>240</v>
      </c>
      <c r="DP249" s="54">
        <f t="shared" si="367"/>
        <v>29.09678734831693</v>
      </c>
      <c r="DQ249" s="54" t="e">
        <f t="shared" si="368"/>
        <v>#N/A</v>
      </c>
      <c r="DR249" s="54" t="e">
        <f t="shared" si="369"/>
        <v>#N/A</v>
      </c>
      <c r="DS249" s="54">
        <f t="shared" si="370"/>
        <v>7.8432100183917892E-4</v>
      </c>
      <c r="DT249" s="54" t="e">
        <f t="shared" si="371"/>
        <v>#N/A</v>
      </c>
      <c r="DU249" s="54" t="b">
        <f t="shared" si="372"/>
        <v>0</v>
      </c>
      <c r="DV249" s="54" t="b">
        <f t="shared" si="373"/>
        <v>1</v>
      </c>
      <c r="DW249" s="54" t="b">
        <f t="shared" si="374"/>
        <v>1</v>
      </c>
      <c r="DX249" s="54" t="b">
        <f t="shared" si="375"/>
        <v>0</v>
      </c>
      <c r="DY249" s="54">
        <f t="shared" si="376"/>
        <v>7.8432100183917892E-4</v>
      </c>
      <c r="DZ249" s="54">
        <f t="shared" si="377"/>
        <v>7.8432100183917892E-4</v>
      </c>
      <c r="EA249" s="54" t="e">
        <f t="shared" si="378"/>
        <v>#N/A</v>
      </c>
      <c r="EB249" s="69" t="str">
        <f t="shared" si="379"/>
        <v/>
      </c>
      <c r="EG249" s="54">
        <f t="shared" si="380"/>
        <v>239</v>
      </c>
      <c r="EH249" s="54">
        <f t="shared" si="381"/>
        <v>240</v>
      </c>
      <c r="EI249" s="54">
        <f t="shared" si="382"/>
        <v>2.6350818114609256</v>
      </c>
      <c r="EJ249" s="54">
        <f t="shared" si="383"/>
        <v>1.2391226343470832E-2</v>
      </c>
      <c r="EK249" s="54" t="e">
        <f t="shared" si="384"/>
        <v>#N/A</v>
      </c>
      <c r="EL249" s="54" t="e">
        <f t="shared" si="385"/>
        <v>#N/A</v>
      </c>
      <c r="EM249" s="54" t="e">
        <f t="shared" si="386"/>
        <v>#N/A</v>
      </c>
      <c r="EN249" s="54" t="b">
        <f t="shared" si="387"/>
        <v>0</v>
      </c>
      <c r="EO249" s="54" t="b">
        <f t="shared" si="388"/>
        <v>1</v>
      </c>
      <c r="EP249" s="54" t="b">
        <f t="shared" si="389"/>
        <v>1</v>
      </c>
      <c r="EQ249" s="54" t="b">
        <f t="shared" si="390"/>
        <v>0</v>
      </c>
      <c r="ER249" s="54">
        <f t="shared" si="391"/>
        <v>1.2391226343470832E-2</v>
      </c>
      <c r="ES249" s="54">
        <f t="shared" si="392"/>
        <v>1.2391226343470832E-2</v>
      </c>
      <c r="ET249" s="54" t="e">
        <f t="shared" si="393"/>
        <v>#N/A</v>
      </c>
      <c r="EU249" s="69" t="str">
        <f t="shared" si="394"/>
        <v/>
      </c>
      <c r="EV24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4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4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49" s="54" t="e" cm="1">
        <f t="array" ref="EY249">IF($CR$3,INDEX(Eu_tabel_a[[#This Row],[Styrke venstre]:[Styrke tosidet]],EY$7),NA())</f>
        <v>#N/A</v>
      </c>
      <c r="EZ249" s="54" t="e">
        <f>IF(EY$3,IF(CHOOSE(EY$7,Eu_tabel_a[[#This Row],[x base]]&gt;0,Eu_tabel_a[[#This Row],[x base]]&lt;0,Eu_tabel_a[[#This Row],[x base]]=0),1,NA()),NA())</f>
        <v>#N/A</v>
      </c>
      <c r="FA249" s="54" t="e">
        <f>IF(CHOOSE(EY$7,Eu_tabel_a[[#This Row],[x base]]&gt;0,Eu_tabel_a[[#This Row],[x base]]&lt;0,Eu_tabel_a[[#This Row],[x base]]=0),Eu_tabel_a[[#This Row],[Styrke, aktiv]],NA())</f>
        <v>#N/A</v>
      </c>
      <c r="FB249" s="54" t="e">
        <f>IFERROR(IF($EY$3,Eu_tabel_a[[#This Row],[Styrke, aktiv]],NA()),NA())</f>
        <v>#N/A</v>
      </c>
      <c r="FC249" s="54" t="e">
        <f>IF(ISNA(Eu_tabel_a[[#This Row],[Sand negativ
Nulhypotese afvises
Korrekt]]),NA(),IF(EY$3,1,NA()))</f>
        <v>#N/A</v>
      </c>
      <c r="FD249" s="55" t="str" cm="1">
        <f t="array" ref="FD249">IFERROR(_xlfn.SWITCH(Eu_tabel_a[[#This Row],[Indeks]],_xlfn.IFNA(FB$2,-99),FB$5,_xlfn.IFNA(FB$3,-99),FB$6,_xlfn.IFNA(FB$4,-99),FB$7,""),"")</f>
        <v/>
      </c>
      <c r="FE249" s="54">
        <f>Eu_tabel_a[[#This Row],[x base]]*SQRT(Eu_a_h0_x*(1-Eu_a_h0_x)/Eu_a_n_x)+Eu_a_h0_x</f>
        <v>0</v>
      </c>
      <c r="FJ249" s="144" t="e">
        <f t="shared" si="338"/>
        <v>#N/A</v>
      </c>
      <c r="FK249" s="152" t="e">
        <f t="shared" si="426"/>
        <v>#DIV/0!</v>
      </c>
      <c r="FL249" s="7" t="e">
        <f t="shared" si="332"/>
        <v>#DIV/0!</v>
      </c>
      <c r="FM249" t="e">
        <f t="shared" si="427"/>
        <v>#DIV/0!</v>
      </c>
      <c r="FN249" s="8" t="e">
        <f t="shared" si="428"/>
        <v>#DIV/0!</v>
      </c>
      <c r="FO249" s="8" t="e">
        <f t="shared" si="429"/>
        <v>#DIV/0!</v>
      </c>
      <c r="FP249" s="151" t="e">
        <f t="shared" si="430"/>
        <v>#DIV/0!</v>
      </c>
      <c r="FQ249" s="144" t="e">
        <f t="shared" ca="1" si="333"/>
        <v>#N/A</v>
      </c>
      <c r="FR249" s="152" t="e" vm="3">
        <f t="shared" ca="1" si="339"/>
        <v>#VALUE!</v>
      </c>
      <c r="FS249" s="7" t="e" vm="3">
        <f t="shared" ca="1" si="334"/>
        <v>#VALUE!</v>
      </c>
      <c r="FT249" t="e" vm="3">
        <f t="shared" ca="1" si="328"/>
        <v>#VALUE!</v>
      </c>
      <c r="FU249" s="8" t="e" vm="3">
        <f t="shared" ca="1" si="329"/>
        <v>#VALUE!</v>
      </c>
      <c r="FV249" s="8" t="e" vm="3">
        <f t="shared" ca="1" si="330"/>
        <v>#VALUE!</v>
      </c>
      <c r="FW249" s="151" t="e" vm="3">
        <f t="shared" ca="1" si="331"/>
        <v>#VALUE!</v>
      </c>
      <c r="FX249" s="144" t="e">
        <f t="shared" si="335"/>
        <v>#N/A</v>
      </c>
      <c r="FY249" s="152" t="e">
        <f t="shared" si="340"/>
        <v>#N/A</v>
      </c>
      <c r="FZ249" s="7" t="e">
        <f t="shared" si="336"/>
        <v>#N/A</v>
      </c>
      <c r="GA249" t="e">
        <f t="shared" si="341"/>
        <v>#N/A</v>
      </c>
      <c r="GB249" s="8" t="e">
        <f t="shared" si="342"/>
        <v>#N/A</v>
      </c>
      <c r="GC249" s="8" t="e">
        <f t="shared" si="343"/>
        <v>#N/A</v>
      </c>
      <c r="GD249" s="151" t="e">
        <f t="shared" si="344"/>
        <v>#N/A</v>
      </c>
      <c r="GE249" s="144" t="e">
        <f t="shared" si="345"/>
        <v>#N/A</v>
      </c>
      <c r="GF249" s="152" t="e">
        <f t="shared" si="346"/>
        <v>#N/A</v>
      </c>
      <c r="GG249" s="7" t="e">
        <f t="shared" si="337"/>
        <v>#N/A</v>
      </c>
      <c r="GH249" t="e">
        <f t="shared" si="347"/>
        <v>#N/A</v>
      </c>
      <c r="GI249" s="8" t="e">
        <f t="shared" si="348"/>
        <v>#N/A</v>
      </c>
      <c r="GJ249" s="8" t="e">
        <f t="shared" si="349"/>
        <v>#N/A</v>
      </c>
      <c r="GK249" s="151" t="e">
        <f t="shared" si="350"/>
        <v>#N/A</v>
      </c>
      <c r="GL249" s="151"/>
      <c r="GM249" s="151"/>
      <c r="GP249" s="54">
        <f t="shared" si="395"/>
        <v>239</v>
      </c>
      <c r="GQ249" s="54">
        <f t="shared" si="396"/>
        <v>240</v>
      </c>
      <c r="GR249" s="54">
        <f t="shared" si="397"/>
        <v>2.6350818114609256</v>
      </c>
      <c r="GS249" s="54">
        <f t="shared" si="398"/>
        <v>1.2391226343470832E-2</v>
      </c>
      <c r="GT249" s="54" t="e">
        <f t="shared" si="399"/>
        <v>#N/A</v>
      </c>
      <c r="GU249" s="54" t="e">
        <f t="shared" si="400"/>
        <v>#N/A</v>
      </c>
      <c r="GV249" s="54" t="e">
        <f t="shared" si="401"/>
        <v>#N/A</v>
      </c>
      <c r="GW249" s="54" t="b">
        <f t="shared" si="402"/>
        <v>0</v>
      </c>
      <c r="GX249" s="54" t="b">
        <f t="shared" si="403"/>
        <v>1</v>
      </c>
      <c r="GY249" s="54" t="b">
        <f t="shared" si="404"/>
        <v>1</v>
      </c>
      <c r="GZ249" s="54" t="b">
        <f t="shared" si="405"/>
        <v>0</v>
      </c>
      <c r="HA249" s="54">
        <f t="shared" si="406"/>
        <v>1.2391226343470832E-2</v>
      </c>
      <c r="HB249" s="54">
        <f t="shared" si="407"/>
        <v>1.2391226343470832E-2</v>
      </c>
      <c r="HC249" s="54" t="e">
        <f t="shared" si="408"/>
        <v>#N/A</v>
      </c>
      <c r="HD249" s="69" t="str">
        <f t="shared" si="409"/>
        <v/>
      </c>
      <c r="HJ249" s="54">
        <f t="shared" si="410"/>
        <v>239</v>
      </c>
      <c r="HK249" s="54">
        <f t="shared" si="411"/>
        <v>240</v>
      </c>
      <c r="HL249" s="54">
        <f t="shared" si="412"/>
        <v>4.0804795282962534</v>
      </c>
      <c r="HM249" s="54" t="e">
        <f t="shared" si="413"/>
        <v>#N/A</v>
      </c>
      <c r="HN249" s="54">
        <f t="shared" si="414"/>
        <v>2.9545793712011021E-3</v>
      </c>
      <c r="HO249" s="54" t="e">
        <f t="shared" si="415"/>
        <v>#N/A</v>
      </c>
      <c r="HP249" s="54" t="e">
        <f t="shared" si="416"/>
        <v>#N/A</v>
      </c>
      <c r="HQ249" s="54" t="b">
        <f t="shared" si="417"/>
        <v>0</v>
      </c>
      <c r="HR249" s="54" t="b">
        <f t="shared" si="418"/>
        <v>1</v>
      </c>
      <c r="HS249" s="54" t="b">
        <f t="shared" si="419"/>
        <v>1</v>
      </c>
      <c r="HT249" s="54" t="b">
        <f t="shared" si="420"/>
        <v>0</v>
      </c>
      <c r="HU249" s="54">
        <f t="shared" si="421"/>
        <v>2.9545793712011021E-3</v>
      </c>
      <c r="HV249" s="54" t="e">
        <f t="shared" si="422"/>
        <v>#N/A</v>
      </c>
      <c r="HW249" s="54">
        <f t="shared" si="423"/>
        <v>2.9545793712011021E-3</v>
      </c>
      <c r="HX249" s="69" t="str">
        <f t="shared" si="424"/>
        <v/>
      </c>
    </row>
    <row r="250" spans="78:232" x14ac:dyDescent="0.2">
      <c r="BZ250" s="54">
        <f t="shared" si="351"/>
        <v>240</v>
      </c>
      <c r="CA250" s="54">
        <f>Eu_tabel_g[[#This Row],[Indeks]]+1</f>
        <v>241</v>
      </c>
      <c r="CB250" s="54">
        <f t="shared" si="352"/>
        <v>2.6590371006560254</v>
      </c>
      <c r="CC250" s="54">
        <f t="shared" si="353"/>
        <v>1.1629879373268774E-2</v>
      </c>
      <c r="CD250" s="54" t="e">
        <f t="shared" si="354"/>
        <v>#N/A</v>
      </c>
      <c r="CE250" s="54" t="e">
        <f t="shared" si="355"/>
        <v>#N/A</v>
      </c>
      <c r="CF250" s="54" t="e">
        <f t="shared" si="356"/>
        <v>#N/A</v>
      </c>
      <c r="CG250" s="54" t="b">
        <f t="shared" si="357"/>
        <v>0</v>
      </c>
      <c r="CH250" s="54" t="b">
        <f t="shared" si="358"/>
        <v>1</v>
      </c>
      <c r="CI250" s="54" t="b">
        <f t="shared" si="359"/>
        <v>1</v>
      </c>
      <c r="CJ250" s="54" t="b">
        <f t="shared" si="360"/>
        <v>0</v>
      </c>
      <c r="CK250" s="54">
        <f t="shared" si="425"/>
        <v>1.1629879373268774E-2</v>
      </c>
      <c r="CL250" s="54">
        <f t="shared" si="361"/>
        <v>1.1629879373268774E-2</v>
      </c>
      <c r="CM250" s="54" t="e">
        <f t="shared" si="362"/>
        <v>#N/A</v>
      </c>
      <c r="CN250" s="69" t="str">
        <f t="shared" si="363"/>
        <v/>
      </c>
      <c r="CO250" s="54">
        <f>_xlfn.NORM.DIST(_xlfn.NORM.INV(1-Eu_g_konfidensniveau,0,1)-Eu_tabel_g[[#This Row],[x base]],0,1,TRUE)</f>
        <v>8.3912230994245577E-6</v>
      </c>
      <c r="CP250" s="54">
        <f>1-_xlfn.NORM.DIST(_xlfn.NORM.INV(Eu_g_konfidensniveau,0,1)-Eu_tabel_g[[#This Row],[x base]],0,1,TRUE)</f>
        <v>0.84475239355334408</v>
      </c>
      <c r="CQ250" s="54">
        <f>_xlfn.NORM.DIST(_xlfn.NORM.INV((1-Eu_g_konfidensniveau)/2,0,1)-Eu_tabel_g[[#This Row],[x base]],0,1,TRUE)+1-_xlfn.NORM.DIST(_xlfn.NORM.INV(1-(1-Eu_g_konfidensniveau)/2,0,1)-Eu_tabel_g[[#This Row],[x base]],0,1,TRUE)</f>
        <v>0.75774875872714709</v>
      </c>
      <c r="CR250" s="54" t="e" cm="1">
        <f t="array" ref="CR250">IF($CR$3,INDEX(Eu_tabel_g[[#This Row],[Styrke venstre]:[Styrke tosidet]],CR$7),NA())</f>
        <v>#N/A</v>
      </c>
      <c r="CS250" s="89" t="e">
        <f>Eu_tabel_g[[#This Row],[Falsk positiv
Nulhypotese accepteres
Fejltype 1]]</f>
        <v>#N/A</v>
      </c>
      <c r="CT250" s="89" t="e">
        <f>IF(CHOOSE(CR$7,Eu_tabel_g[[#This Row],[x base]]&gt;0,Eu_tabel_g[[#This Row],[x base]]&lt;0,Eu_tabel_g[[#This Row],[x base]]=0),Eu_tabel_g[[#This Row],[Styrke, aktiv]],NA())</f>
        <v>#N/A</v>
      </c>
      <c r="CU250" s="89" t="e">
        <f>IFERROR(IF($CR$3,Eu_tabel_g[[#This Row],[Styrke, aktiv]],NA()),NA())</f>
        <v>#N/A</v>
      </c>
      <c r="CV250" s="89" t="e">
        <f>IF(ISNA(Eu_tabel_g[[#This Row],[Sand negativ
Nulhypotese afvises
Korrekt]]),NA(),IF($CR$3,1,NA()))</f>
        <v>#N/A</v>
      </c>
      <c r="CW250" s="56" t="str" cm="1">
        <f t="array" ref="CW250">_xlfn.SWITCH(BZ250,_xlfn.IFNA(CU$2,-99),CU$5,_xlfn.IFNA(CU$3,-99),CU$6,_xlfn.IFNA(CU$4,-99),CU$7,"")</f>
        <v/>
      </c>
      <c r="DA250" s="7">
        <f t="shared" si="364"/>
        <v>0.8</v>
      </c>
      <c r="DB250">
        <f>IF(ROW(Styrkeberegning_G[[#This Row],[X base venstre]])=ROW(Styrkeberegning_G[[#Headers],[X base venstre]])+1,DB$7/(DA$7/$B$67),DB249/(DA249/$B$67))</f>
        <v>-2.8015817870135784</v>
      </c>
      <c r="DC250">
        <f>Styrkeberegning_G[[#This Row],[X base venstre]]*-1</f>
        <v>2.8015817870135784</v>
      </c>
      <c r="DN250" s="54">
        <f t="shared" si="365"/>
        <v>240</v>
      </c>
      <c r="DO250" s="54">
        <f t="shared" si="366"/>
        <v>241</v>
      </c>
      <c r="DP250" s="54">
        <f t="shared" si="367"/>
        <v>29.210858204733931</v>
      </c>
      <c r="DQ250" s="54" t="e">
        <f t="shared" si="368"/>
        <v>#N/A</v>
      </c>
      <c r="DR250" s="54" t="e">
        <f t="shared" si="369"/>
        <v>#N/A</v>
      </c>
      <c r="DS250" s="54">
        <f t="shared" si="370"/>
        <v>7.539983872317963E-4</v>
      </c>
      <c r="DT250" s="54" t="e">
        <f t="shared" si="371"/>
        <v>#N/A</v>
      </c>
      <c r="DU250" s="54" t="b">
        <f t="shared" si="372"/>
        <v>0</v>
      </c>
      <c r="DV250" s="54" t="b">
        <f t="shared" si="373"/>
        <v>1</v>
      </c>
      <c r="DW250" s="54" t="b">
        <f t="shared" si="374"/>
        <v>1</v>
      </c>
      <c r="DX250" s="54" t="b">
        <f t="shared" si="375"/>
        <v>0</v>
      </c>
      <c r="DY250" s="54">
        <f t="shared" si="376"/>
        <v>7.539983872317963E-4</v>
      </c>
      <c r="DZ250" s="54">
        <f t="shared" si="377"/>
        <v>7.539983872317963E-4</v>
      </c>
      <c r="EA250" s="54" t="e">
        <f t="shared" si="378"/>
        <v>#N/A</v>
      </c>
      <c r="EB250" s="69" t="str">
        <f t="shared" si="379"/>
        <v/>
      </c>
      <c r="EG250" s="54">
        <f t="shared" si="380"/>
        <v>240</v>
      </c>
      <c r="EH250" s="54">
        <f t="shared" si="381"/>
        <v>241</v>
      </c>
      <c r="EI250" s="54">
        <f t="shared" si="382"/>
        <v>2.6590371006560254</v>
      </c>
      <c r="EJ250" s="54">
        <f t="shared" si="383"/>
        <v>1.1629879373268774E-2</v>
      </c>
      <c r="EK250" s="54" t="e">
        <f t="shared" si="384"/>
        <v>#N/A</v>
      </c>
      <c r="EL250" s="54" t="e">
        <f t="shared" si="385"/>
        <v>#N/A</v>
      </c>
      <c r="EM250" s="54" t="e">
        <f t="shared" si="386"/>
        <v>#N/A</v>
      </c>
      <c r="EN250" s="54" t="b">
        <f t="shared" si="387"/>
        <v>0</v>
      </c>
      <c r="EO250" s="54" t="b">
        <f t="shared" si="388"/>
        <v>1</v>
      </c>
      <c r="EP250" s="54" t="b">
        <f t="shared" si="389"/>
        <v>1</v>
      </c>
      <c r="EQ250" s="54" t="b">
        <f t="shared" si="390"/>
        <v>0</v>
      </c>
      <c r="ER250" s="54">
        <f t="shared" si="391"/>
        <v>1.1629879373268774E-2</v>
      </c>
      <c r="ES250" s="54">
        <f t="shared" si="392"/>
        <v>1.1629879373268774E-2</v>
      </c>
      <c r="ET250" s="54" t="e">
        <f t="shared" si="393"/>
        <v>#N/A</v>
      </c>
      <c r="EU250" s="69" t="str">
        <f t="shared" si="394"/>
        <v/>
      </c>
      <c r="EV25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5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5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50" s="54" t="e" cm="1">
        <f t="array" ref="EY250">IF($CR$3,INDEX(Eu_tabel_a[[#This Row],[Styrke venstre]:[Styrke tosidet]],EY$7),NA())</f>
        <v>#N/A</v>
      </c>
      <c r="EZ250" s="54" t="e">
        <f>IF(EY$3,IF(CHOOSE(EY$7,Eu_tabel_a[[#This Row],[x base]]&gt;0,Eu_tabel_a[[#This Row],[x base]]&lt;0,Eu_tabel_a[[#This Row],[x base]]=0),1,NA()),NA())</f>
        <v>#N/A</v>
      </c>
      <c r="FA250" s="54" t="e">
        <f>IF(CHOOSE(EY$7,Eu_tabel_a[[#This Row],[x base]]&gt;0,Eu_tabel_a[[#This Row],[x base]]&lt;0,Eu_tabel_a[[#This Row],[x base]]=0),Eu_tabel_a[[#This Row],[Styrke, aktiv]],NA())</f>
        <v>#N/A</v>
      </c>
      <c r="FB250" s="54" t="e">
        <f>IFERROR(IF($EY$3,Eu_tabel_a[[#This Row],[Styrke, aktiv]],NA()),NA())</f>
        <v>#N/A</v>
      </c>
      <c r="FC250" s="54" t="e">
        <f>IF(ISNA(Eu_tabel_a[[#This Row],[Sand negativ
Nulhypotese afvises
Korrekt]]),NA(),IF(EY$3,1,NA()))</f>
        <v>#N/A</v>
      </c>
      <c r="FD250" s="55" t="str" cm="1">
        <f t="array" ref="FD250">IFERROR(_xlfn.SWITCH(Eu_tabel_a[[#This Row],[Indeks]],_xlfn.IFNA(FB$2,-99),FB$5,_xlfn.IFNA(FB$3,-99),FB$6,_xlfn.IFNA(FB$4,-99),FB$7,""),"")</f>
        <v/>
      </c>
      <c r="FE250" s="54">
        <f>Eu_tabel_a[[#This Row],[x base]]*SQRT(Eu_a_h0_x*(1-Eu_a_h0_x)/Eu_a_n_x)+Eu_a_h0_x</f>
        <v>0</v>
      </c>
      <c r="FJ250" s="144" t="e">
        <f t="shared" si="338"/>
        <v>#N/A</v>
      </c>
      <c r="FK250" s="152" t="e">
        <f t="shared" si="426"/>
        <v>#DIV/0!</v>
      </c>
      <c r="FL250" s="7" t="e">
        <f t="shared" si="332"/>
        <v>#DIV/0!</v>
      </c>
      <c r="FM250" t="e">
        <f t="shared" si="427"/>
        <v>#DIV/0!</v>
      </c>
      <c r="FN250" s="8" t="e">
        <f t="shared" si="428"/>
        <v>#DIV/0!</v>
      </c>
      <c r="FO250" s="8" t="e">
        <f t="shared" si="429"/>
        <v>#DIV/0!</v>
      </c>
      <c r="FP250" s="151" t="e">
        <f t="shared" si="430"/>
        <v>#DIV/0!</v>
      </c>
      <c r="FQ250" s="144" t="e">
        <f t="shared" ca="1" si="333"/>
        <v>#N/A</v>
      </c>
      <c r="FR250" s="152" t="e" vm="3">
        <f t="shared" ca="1" si="339"/>
        <v>#VALUE!</v>
      </c>
      <c r="FS250" s="7" t="e" vm="3">
        <f t="shared" ca="1" si="334"/>
        <v>#VALUE!</v>
      </c>
      <c r="FT250" t="e" vm="3">
        <f t="shared" ca="1" si="328"/>
        <v>#VALUE!</v>
      </c>
      <c r="FU250" s="8" t="e" vm="3">
        <f t="shared" ca="1" si="329"/>
        <v>#VALUE!</v>
      </c>
      <c r="FV250" s="8" t="e" vm="3">
        <f t="shared" ca="1" si="330"/>
        <v>#VALUE!</v>
      </c>
      <c r="FW250" s="151" t="e" vm="3">
        <f t="shared" ca="1" si="331"/>
        <v>#VALUE!</v>
      </c>
      <c r="FX250" s="144" t="e">
        <f t="shared" si="335"/>
        <v>#N/A</v>
      </c>
      <c r="FY250" s="152" t="e">
        <f t="shared" si="340"/>
        <v>#N/A</v>
      </c>
      <c r="FZ250" s="7" t="e">
        <f t="shared" si="336"/>
        <v>#N/A</v>
      </c>
      <c r="GA250" t="e">
        <f t="shared" si="341"/>
        <v>#N/A</v>
      </c>
      <c r="GB250" s="8" t="e">
        <f t="shared" si="342"/>
        <v>#N/A</v>
      </c>
      <c r="GC250" s="8" t="e">
        <f t="shared" si="343"/>
        <v>#N/A</v>
      </c>
      <c r="GD250" s="151" t="e">
        <f t="shared" si="344"/>
        <v>#N/A</v>
      </c>
      <c r="GE250" s="144" t="e">
        <f t="shared" si="345"/>
        <v>#N/A</v>
      </c>
      <c r="GF250" s="152" t="e">
        <f t="shared" si="346"/>
        <v>#N/A</v>
      </c>
      <c r="GG250" s="7" t="e">
        <f t="shared" si="337"/>
        <v>#N/A</v>
      </c>
      <c r="GH250" t="e">
        <f t="shared" si="347"/>
        <v>#N/A</v>
      </c>
      <c r="GI250" s="8" t="e">
        <f t="shared" si="348"/>
        <v>#N/A</v>
      </c>
      <c r="GJ250" s="8" t="e">
        <f t="shared" si="349"/>
        <v>#N/A</v>
      </c>
      <c r="GK250" s="151" t="e">
        <f t="shared" si="350"/>
        <v>#N/A</v>
      </c>
      <c r="GL250" s="151"/>
      <c r="GM250" s="151"/>
      <c r="GP250" s="54">
        <f t="shared" si="395"/>
        <v>240</v>
      </c>
      <c r="GQ250" s="54">
        <f t="shared" si="396"/>
        <v>241</v>
      </c>
      <c r="GR250" s="54">
        <f t="shared" si="397"/>
        <v>2.6590371006560254</v>
      </c>
      <c r="GS250" s="54">
        <f t="shared" si="398"/>
        <v>1.1629879373268774E-2</v>
      </c>
      <c r="GT250" s="54" t="e">
        <f t="shared" si="399"/>
        <v>#N/A</v>
      </c>
      <c r="GU250" s="54" t="e">
        <f t="shared" si="400"/>
        <v>#N/A</v>
      </c>
      <c r="GV250" s="54" t="e">
        <f t="shared" si="401"/>
        <v>#N/A</v>
      </c>
      <c r="GW250" s="54" t="b">
        <f t="shared" si="402"/>
        <v>0</v>
      </c>
      <c r="GX250" s="54" t="b">
        <f t="shared" si="403"/>
        <v>1</v>
      </c>
      <c r="GY250" s="54" t="b">
        <f t="shared" si="404"/>
        <v>1</v>
      </c>
      <c r="GZ250" s="54" t="b">
        <f t="shared" si="405"/>
        <v>0</v>
      </c>
      <c r="HA250" s="54">
        <f t="shared" si="406"/>
        <v>1.1629879373268774E-2</v>
      </c>
      <c r="HB250" s="54">
        <f t="shared" si="407"/>
        <v>1.1629879373268774E-2</v>
      </c>
      <c r="HC250" s="54" t="e">
        <f t="shared" si="408"/>
        <v>#N/A</v>
      </c>
      <c r="HD250" s="69" t="str">
        <f t="shared" si="409"/>
        <v/>
      </c>
      <c r="HJ250" s="54">
        <f t="shared" si="410"/>
        <v>240</v>
      </c>
      <c r="HK250" s="54">
        <f t="shared" si="411"/>
        <v>241</v>
      </c>
      <c r="HL250" s="54">
        <f t="shared" si="412"/>
        <v>4.11757479673531</v>
      </c>
      <c r="HM250" s="54" t="e">
        <f t="shared" si="413"/>
        <v>#N/A</v>
      </c>
      <c r="HN250" s="54">
        <f t="shared" si="414"/>
        <v>2.8073751156491695E-3</v>
      </c>
      <c r="HO250" s="54" t="e">
        <f t="shared" si="415"/>
        <v>#N/A</v>
      </c>
      <c r="HP250" s="54" t="e">
        <f t="shared" si="416"/>
        <v>#N/A</v>
      </c>
      <c r="HQ250" s="54" t="b">
        <f t="shared" si="417"/>
        <v>0</v>
      </c>
      <c r="HR250" s="54" t="b">
        <f t="shared" si="418"/>
        <v>1</v>
      </c>
      <c r="HS250" s="54" t="b">
        <f t="shared" si="419"/>
        <v>1</v>
      </c>
      <c r="HT250" s="54" t="b">
        <f t="shared" si="420"/>
        <v>0</v>
      </c>
      <c r="HU250" s="54">
        <f t="shared" si="421"/>
        <v>2.8073751156491695E-3</v>
      </c>
      <c r="HV250" s="54" t="e">
        <f t="shared" si="422"/>
        <v>#N/A</v>
      </c>
      <c r="HW250" s="54">
        <f t="shared" si="423"/>
        <v>2.8073751156491695E-3</v>
      </c>
      <c r="HX250" s="69" t="str">
        <f t="shared" si="424"/>
        <v/>
      </c>
    </row>
    <row r="251" spans="78:232" x14ac:dyDescent="0.2">
      <c r="BZ251" s="54">
        <f t="shared" si="351"/>
        <v>241</v>
      </c>
      <c r="CA251" s="54">
        <f>Eu_tabel_g[[#This Row],[Indeks]]+1</f>
        <v>242</v>
      </c>
      <c r="CB251" s="54">
        <f t="shared" si="352"/>
        <v>2.6829923898511243</v>
      </c>
      <c r="CC251" s="54">
        <f t="shared" si="353"/>
        <v>1.0909049386925553E-2</v>
      </c>
      <c r="CD251" s="54" t="e">
        <f t="shared" si="354"/>
        <v>#N/A</v>
      </c>
      <c r="CE251" s="54" t="e">
        <f t="shared" si="355"/>
        <v>#N/A</v>
      </c>
      <c r="CF251" s="54" t="e">
        <f t="shared" si="356"/>
        <v>#N/A</v>
      </c>
      <c r="CG251" s="54" t="b">
        <f t="shared" si="357"/>
        <v>0</v>
      </c>
      <c r="CH251" s="54" t="b">
        <f t="shared" si="358"/>
        <v>1</v>
      </c>
      <c r="CI251" s="54" t="b">
        <f t="shared" si="359"/>
        <v>1</v>
      </c>
      <c r="CJ251" s="54" t="b">
        <f t="shared" si="360"/>
        <v>0</v>
      </c>
      <c r="CK251" s="54">
        <f t="shared" si="425"/>
        <v>1.0909049386925553E-2</v>
      </c>
      <c r="CL251" s="54">
        <f t="shared" si="361"/>
        <v>1.0909049386925553E-2</v>
      </c>
      <c r="CM251" s="54" t="e">
        <f t="shared" si="362"/>
        <v>#N/A</v>
      </c>
      <c r="CN251" s="69" t="str">
        <f t="shared" si="363"/>
        <v/>
      </c>
      <c r="CO251" s="54">
        <f>_xlfn.NORM.DIST(_xlfn.NORM.INV(1-Eu_g_konfidensniveau,0,1)-Eu_tabel_g[[#This Row],[x base]],0,1,TRUE)</f>
        <v>7.5287338512584709E-6</v>
      </c>
      <c r="CP251" s="54">
        <f>1-_xlfn.NORM.DIST(_xlfn.NORM.INV(Eu_g_konfidensniveau,0,1)-Eu_tabel_g[[#This Row],[x base]],0,1,TRUE)</f>
        <v>0.85039727138881704</v>
      </c>
      <c r="CQ251" s="54">
        <f>_xlfn.NORM.DIST(_xlfn.NORM.INV((1-Eu_g_konfidensniveau)/2,0,1)-Eu_tabel_g[[#This Row],[x base]],0,1,TRUE)+1-_xlfn.NORM.DIST(_xlfn.NORM.INV(1-(1-Eu_g_konfidensniveau)/2,0,1)-Eu_tabel_g[[#This Row],[x base]],0,1,TRUE)</f>
        <v>0.76517050080719207</v>
      </c>
      <c r="CR251" s="54" t="e" cm="1">
        <f t="array" ref="CR251">IF($CR$3,INDEX(Eu_tabel_g[[#This Row],[Styrke venstre]:[Styrke tosidet]],CR$7),NA())</f>
        <v>#N/A</v>
      </c>
      <c r="CS251" s="89" t="e">
        <f>Eu_tabel_g[[#This Row],[Falsk positiv
Nulhypotese accepteres
Fejltype 1]]</f>
        <v>#N/A</v>
      </c>
      <c r="CT251" s="89" t="e">
        <f>IF(CHOOSE(CR$7,Eu_tabel_g[[#This Row],[x base]]&gt;0,Eu_tabel_g[[#This Row],[x base]]&lt;0,Eu_tabel_g[[#This Row],[x base]]=0),Eu_tabel_g[[#This Row],[Styrke, aktiv]],NA())</f>
        <v>#N/A</v>
      </c>
      <c r="CU251" s="89" t="e">
        <f>IFERROR(IF($CR$3,Eu_tabel_g[[#This Row],[Styrke, aktiv]],NA()),NA())</f>
        <v>#N/A</v>
      </c>
      <c r="CV251" s="89" t="e">
        <f>IF(ISNA(Eu_tabel_g[[#This Row],[Sand negativ
Nulhypotese afvises
Korrekt]]),NA(),IF($CR$3,1,NA()))</f>
        <v>#N/A</v>
      </c>
      <c r="CW251" s="56" t="str" cm="1">
        <f t="array" ref="CW251">_xlfn.SWITCH(BZ251,_xlfn.IFNA(CU$2,-99),CU$5,_xlfn.IFNA(CU$3,-99),CU$6,_xlfn.IFNA(CU$4,-99),CU$7,"")</f>
        <v/>
      </c>
      <c r="DA251" s="7">
        <f t="shared" si="364"/>
        <v>0.8</v>
      </c>
      <c r="DB251">
        <f>IF(ROW(Styrkeberegning_G[[#This Row],[X base venstre]])=ROW(Styrkeberegning_G[[#Headers],[X base venstre]])+1,DB$7/(DA$7/$B$67),DB250/(DA250/$B$67))</f>
        <v>-2.8015817870135784</v>
      </c>
      <c r="DC251">
        <f>Styrkeberegning_G[[#This Row],[X base venstre]]*-1</f>
        <v>2.8015817870135784</v>
      </c>
      <c r="DN251" s="54">
        <f t="shared" si="365"/>
        <v>241</v>
      </c>
      <c r="DO251" s="54">
        <f t="shared" si="366"/>
        <v>242</v>
      </c>
      <c r="DP251" s="54">
        <f t="shared" si="367"/>
        <v>29.324929061150932</v>
      </c>
      <c r="DQ251" s="54" t="e">
        <f t="shared" si="368"/>
        <v>#N/A</v>
      </c>
      <c r="DR251" s="54" t="e">
        <f t="shared" si="369"/>
        <v>#N/A</v>
      </c>
      <c r="DS251" s="54">
        <f t="shared" si="370"/>
        <v>7.2479833413572193E-4</v>
      </c>
      <c r="DT251" s="54" t="e">
        <f t="shared" si="371"/>
        <v>#N/A</v>
      </c>
      <c r="DU251" s="54" t="b">
        <f t="shared" si="372"/>
        <v>0</v>
      </c>
      <c r="DV251" s="54" t="b">
        <f t="shared" si="373"/>
        <v>1</v>
      </c>
      <c r="DW251" s="54" t="b">
        <f t="shared" si="374"/>
        <v>1</v>
      </c>
      <c r="DX251" s="54" t="b">
        <f t="shared" si="375"/>
        <v>0</v>
      </c>
      <c r="DY251" s="54">
        <f t="shared" si="376"/>
        <v>7.2479833413572193E-4</v>
      </c>
      <c r="DZ251" s="54">
        <f t="shared" si="377"/>
        <v>7.2479833413572193E-4</v>
      </c>
      <c r="EA251" s="54" t="e">
        <f t="shared" si="378"/>
        <v>#N/A</v>
      </c>
      <c r="EB251" s="69" t="str">
        <f t="shared" si="379"/>
        <v/>
      </c>
      <c r="EG251" s="54">
        <f t="shared" si="380"/>
        <v>241</v>
      </c>
      <c r="EH251" s="54">
        <f t="shared" si="381"/>
        <v>242</v>
      </c>
      <c r="EI251" s="54">
        <f t="shared" si="382"/>
        <v>2.6829923898511243</v>
      </c>
      <c r="EJ251" s="54">
        <f t="shared" si="383"/>
        <v>1.0909049386925553E-2</v>
      </c>
      <c r="EK251" s="54" t="e">
        <f t="shared" si="384"/>
        <v>#N/A</v>
      </c>
      <c r="EL251" s="54" t="e">
        <f t="shared" si="385"/>
        <v>#N/A</v>
      </c>
      <c r="EM251" s="54" t="e">
        <f t="shared" si="386"/>
        <v>#N/A</v>
      </c>
      <c r="EN251" s="54" t="b">
        <f t="shared" si="387"/>
        <v>0</v>
      </c>
      <c r="EO251" s="54" t="b">
        <f t="shared" si="388"/>
        <v>1</v>
      </c>
      <c r="EP251" s="54" t="b">
        <f t="shared" si="389"/>
        <v>1</v>
      </c>
      <c r="EQ251" s="54" t="b">
        <f t="shared" si="390"/>
        <v>0</v>
      </c>
      <c r="ER251" s="54">
        <f t="shared" si="391"/>
        <v>1.0909049386925553E-2</v>
      </c>
      <c r="ES251" s="54">
        <f t="shared" si="392"/>
        <v>1.0909049386925553E-2</v>
      </c>
      <c r="ET251" s="54" t="e">
        <f t="shared" si="393"/>
        <v>#N/A</v>
      </c>
      <c r="EU251" s="69" t="str">
        <f t="shared" si="394"/>
        <v/>
      </c>
      <c r="EV25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5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5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51" s="54" t="e" cm="1">
        <f t="array" ref="EY251">IF($CR$3,INDEX(Eu_tabel_a[[#This Row],[Styrke venstre]:[Styrke tosidet]],EY$7),NA())</f>
        <v>#N/A</v>
      </c>
      <c r="EZ251" s="54" t="e">
        <f>IF(EY$3,IF(CHOOSE(EY$7,Eu_tabel_a[[#This Row],[x base]]&gt;0,Eu_tabel_a[[#This Row],[x base]]&lt;0,Eu_tabel_a[[#This Row],[x base]]=0),1,NA()),NA())</f>
        <v>#N/A</v>
      </c>
      <c r="FA251" s="54" t="e">
        <f>IF(CHOOSE(EY$7,Eu_tabel_a[[#This Row],[x base]]&gt;0,Eu_tabel_a[[#This Row],[x base]]&lt;0,Eu_tabel_a[[#This Row],[x base]]=0),Eu_tabel_a[[#This Row],[Styrke, aktiv]],NA())</f>
        <v>#N/A</v>
      </c>
      <c r="FB251" s="54" t="e">
        <f>IFERROR(IF($EY$3,Eu_tabel_a[[#This Row],[Styrke, aktiv]],NA()),NA())</f>
        <v>#N/A</v>
      </c>
      <c r="FC251" s="54" t="e">
        <f>IF(ISNA(Eu_tabel_a[[#This Row],[Sand negativ
Nulhypotese afvises
Korrekt]]),NA(),IF(EY$3,1,NA()))</f>
        <v>#N/A</v>
      </c>
      <c r="FD251" s="55" t="str" cm="1">
        <f t="array" ref="FD251">IFERROR(_xlfn.SWITCH(Eu_tabel_a[[#This Row],[Indeks]],_xlfn.IFNA(FB$2,-99),FB$5,_xlfn.IFNA(FB$3,-99),FB$6,_xlfn.IFNA(FB$4,-99),FB$7,""),"")</f>
        <v/>
      </c>
      <c r="FE251" s="54">
        <f>Eu_tabel_a[[#This Row],[x base]]*SQRT(Eu_a_h0_x*(1-Eu_a_h0_x)/Eu_a_n_x)+Eu_a_h0_x</f>
        <v>0</v>
      </c>
      <c r="FJ251" s="144" t="e">
        <f t="shared" si="338"/>
        <v>#N/A</v>
      </c>
      <c r="FK251" s="152" t="e">
        <f t="shared" si="426"/>
        <v>#DIV/0!</v>
      </c>
      <c r="FL251" s="7" t="e">
        <f t="shared" si="332"/>
        <v>#DIV/0!</v>
      </c>
      <c r="FM251" t="e">
        <f t="shared" si="427"/>
        <v>#DIV/0!</v>
      </c>
      <c r="FN251" s="8" t="e">
        <f t="shared" si="428"/>
        <v>#DIV/0!</v>
      </c>
      <c r="FO251" s="8" t="e">
        <f t="shared" si="429"/>
        <v>#DIV/0!</v>
      </c>
      <c r="FP251" s="151" t="e">
        <f t="shared" si="430"/>
        <v>#DIV/0!</v>
      </c>
      <c r="FQ251" s="144" t="e">
        <f t="shared" ca="1" si="333"/>
        <v>#N/A</v>
      </c>
      <c r="FR251" s="152" t="e" vm="3">
        <f t="shared" ca="1" si="339"/>
        <v>#VALUE!</v>
      </c>
      <c r="FS251" s="7" t="e" vm="3">
        <f t="shared" ca="1" si="334"/>
        <v>#VALUE!</v>
      </c>
      <c r="FT251" t="e" vm="3">
        <f t="shared" ca="1" si="328"/>
        <v>#VALUE!</v>
      </c>
      <c r="FU251" s="8" t="e" vm="3">
        <f t="shared" ca="1" si="329"/>
        <v>#VALUE!</v>
      </c>
      <c r="FV251" s="8" t="e" vm="3">
        <f t="shared" ca="1" si="330"/>
        <v>#VALUE!</v>
      </c>
      <c r="FW251" s="151" t="e" vm="3">
        <f t="shared" ca="1" si="331"/>
        <v>#VALUE!</v>
      </c>
      <c r="FX251" s="144" t="e">
        <f t="shared" si="335"/>
        <v>#N/A</v>
      </c>
      <c r="FY251" s="152" t="e">
        <f t="shared" si="340"/>
        <v>#N/A</v>
      </c>
      <c r="FZ251" s="7" t="e">
        <f t="shared" si="336"/>
        <v>#N/A</v>
      </c>
      <c r="GA251" t="e">
        <f t="shared" si="341"/>
        <v>#N/A</v>
      </c>
      <c r="GB251" s="8" t="e">
        <f t="shared" si="342"/>
        <v>#N/A</v>
      </c>
      <c r="GC251" s="8" t="e">
        <f t="shared" si="343"/>
        <v>#N/A</v>
      </c>
      <c r="GD251" s="151" t="e">
        <f t="shared" si="344"/>
        <v>#N/A</v>
      </c>
      <c r="GE251" s="144" t="e">
        <f t="shared" si="345"/>
        <v>#N/A</v>
      </c>
      <c r="GF251" s="152" t="e">
        <f t="shared" si="346"/>
        <v>#N/A</v>
      </c>
      <c r="GG251" s="7" t="e">
        <f t="shared" si="337"/>
        <v>#N/A</v>
      </c>
      <c r="GH251" t="e">
        <f t="shared" si="347"/>
        <v>#N/A</v>
      </c>
      <c r="GI251" s="8" t="e">
        <f t="shared" si="348"/>
        <v>#N/A</v>
      </c>
      <c r="GJ251" s="8" t="e">
        <f t="shared" si="349"/>
        <v>#N/A</v>
      </c>
      <c r="GK251" s="151" t="e">
        <f t="shared" si="350"/>
        <v>#N/A</v>
      </c>
      <c r="GL251" s="151"/>
      <c r="GM251" s="151"/>
      <c r="GP251" s="54">
        <f t="shared" si="395"/>
        <v>241</v>
      </c>
      <c r="GQ251" s="54">
        <f t="shared" si="396"/>
        <v>242</v>
      </c>
      <c r="GR251" s="54">
        <f t="shared" si="397"/>
        <v>2.6829923898511243</v>
      </c>
      <c r="GS251" s="54">
        <f t="shared" si="398"/>
        <v>1.0909049386925553E-2</v>
      </c>
      <c r="GT251" s="54" t="e">
        <f t="shared" si="399"/>
        <v>#N/A</v>
      </c>
      <c r="GU251" s="54" t="e">
        <f t="shared" si="400"/>
        <v>#N/A</v>
      </c>
      <c r="GV251" s="54" t="e">
        <f t="shared" si="401"/>
        <v>#N/A</v>
      </c>
      <c r="GW251" s="54" t="b">
        <f t="shared" si="402"/>
        <v>0</v>
      </c>
      <c r="GX251" s="54" t="b">
        <f t="shared" si="403"/>
        <v>1</v>
      </c>
      <c r="GY251" s="54" t="b">
        <f t="shared" si="404"/>
        <v>1</v>
      </c>
      <c r="GZ251" s="54" t="b">
        <f t="shared" si="405"/>
        <v>0</v>
      </c>
      <c r="HA251" s="54">
        <f t="shared" si="406"/>
        <v>1.0909049386925553E-2</v>
      </c>
      <c r="HB251" s="54">
        <f t="shared" si="407"/>
        <v>1.0909049386925553E-2</v>
      </c>
      <c r="HC251" s="54" t="e">
        <f t="shared" si="408"/>
        <v>#N/A</v>
      </c>
      <c r="HD251" s="69" t="str">
        <f t="shared" si="409"/>
        <v/>
      </c>
      <c r="HJ251" s="54">
        <f t="shared" si="410"/>
        <v>241</v>
      </c>
      <c r="HK251" s="54">
        <f t="shared" si="411"/>
        <v>242</v>
      </c>
      <c r="HL251" s="54">
        <f t="shared" si="412"/>
        <v>4.1546700651743667</v>
      </c>
      <c r="HM251" s="54" t="e">
        <f t="shared" si="413"/>
        <v>#N/A</v>
      </c>
      <c r="HN251" s="54">
        <f t="shared" si="414"/>
        <v>2.6680143770795384E-3</v>
      </c>
      <c r="HO251" s="54" t="e">
        <f t="shared" si="415"/>
        <v>#N/A</v>
      </c>
      <c r="HP251" s="54" t="e">
        <f t="shared" si="416"/>
        <v>#N/A</v>
      </c>
      <c r="HQ251" s="54" t="b">
        <f t="shared" si="417"/>
        <v>0</v>
      </c>
      <c r="HR251" s="54" t="b">
        <f t="shared" si="418"/>
        <v>1</v>
      </c>
      <c r="HS251" s="54" t="b">
        <f t="shared" si="419"/>
        <v>1</v>
      </c>
      <c r="HT251" s="54" t="b">
        <f t="shared" si="420"/>
        <v>0</v>
      </c>
      <c r="HU251" s="54">
        <f t="shared" si="421"/>
        <v>2.6680143770795384E-3</v>
      </c>
      <c r="HV251" s="54" t="e">
        <f t="shared" si="422"/>
        <v>#N/A</v>
      </c>
      <c r="HW251" s="54">
        <f t="shared" si="423"/>
        <v>2.6680143770795384E-3</v>
      </c>
      <c r="HX251" s="69" t="str">
        <f t="shared" si="424"/>
        <v/>
      </c>
    </row>
    <row r="252" spans="78:232" x14ac:dyDescent="0.2">
      <c r="BZ252" s="54">
        <f t="shared" si="351"/>
        <v>242</v>
      </c>
      <c r="CA252" s="54">
        <f>Eu_tabel_g[[#This Row],[Indeks]]+1</f>
        <v>243</v>
      </c>
      <c r="CB252" s="54">
        <f t="shared" si="352"/>
        <v>2.7069476790462241</v>
      </c>
      <c r="CC252" s="54">
        <f t="shared" si="353"/>
        <v>1.0227026543258957E-2</v>
      </c>
      <c r="CD252" s="54" t="e">
        <f t="shared" si="354"/>
        <v>#N/A</v>
      </c>
      <c r="CE252" s="54" t="e">
        <f t="shared" si="355"/>
        <v>#N/A</v>
      </c>
      <c r="CF252" s="54" t="e">
        <f t="shared" si="356"/>
        <v>#N/A</v>
      </c>
      <c r="CG252" s="54" t="b">
        <f t="shared" si="357"/>
        <v>0</v>
      </c>
      <c r="CH252" s="54" t="b">
        <f t="shared" si="358"/>
        <v>1</v>
      </c>
      <c r="CI252" s="54" t="b">
        <f t="shared" si="359"/>
        <v>1</v>
      </c>
      <c r="CJ252" s="54" t="b">
        <f t="shared" si="360"/>
        <v>0</v>
      </c>
      <c r="CK252" s="54">
        <f t="shared" si="425"/>
        <v>1.0227026543258957E-2</v>
      </c>
      <c r="CL252" s="54">
        <f t="shared" si="361"/>
        <v>1.0227026543258957E-2</v>
      </c>
      <c r="CM252" s="54" t="e">
        <f t="shared" si="362"/>
        <v>#N/A</v>
      </c>
      <c r="CN252" s="69" t="str">
        <f t="shared" si="363"/>
        <v/>
      </c>
      <c r="CO252" s="54">
        <f>_xlfn.NORM.DIST(_xlfn.NORM.INV(1-Eu_g_konfidensniveau,0,1)-Eu_tabel_g[[#This Row],[x base]],0,1,TRUE)</f>
        <v>6.7511800519646735E-6</v>
      </c>
      <c r="CP252" s="54">
        <f>1-_xlfn.NORM.DIST(_xlfn.NORM.INV(Eu_g_konfidensniveau,0,1)-Eu_tabel_g[[#This Row],[x base]],0,1,TRUE)</f>
        <v>0.85590350498249024</v>
      </c>
      <c r="CQ252" s="54">
        <f>_xlfn.NORM.DIST(_xlfn.NORM.INV((1-Eu_g_konfidensniveau)/2,0,1)-Eu_tabel_g[[#This Row],[x base]],0,1,TRUE)+1-_xlfn.NORM.DIST(_xlfn.NORM.INV(1-(1-Eu_g_konfidensniveau)/2,0,1)-Eu_tabel_g[[#This Row],[x base]],0,1,TRUE)</f>
        <v>0.77246482712333397</v>
      </c>
      <c r="CR252" s="54" t="e" cm="1">
        <f t="array" ref="CR252">IF($CR$3,INDEX(Eu_tabel_g[[#This Row],[Styrke venstre]:[Styrke tosidet]],CR$7),NA())</f>
        <v>#N/A</v>
      </c>
      <c r="CS252" s="89" t="e">
        <f>Eu_tabel_g[[#This Row],[Falsk positiv
Nulhypotese accepteres
Fejltype 1]]</f>
        <v>#N/A</v>
      </c>
      <c r="CT252" s="89" t="e">
        <f>IF(CHOOSE(CR$7,Eu_tabel_g[[#This Row],[x base]]&gt;0,Eu_tabel_g[[#This Row],[x base]]&lt;0,Eu_tabel_g[[#This Row],[x base]]=0),Eu_tabel_g[[#This Row],[Styrke, aktiv]],NA())</f>
        <v>#N/A</v>
      </c>
      <c r="CU252" s="89" t="e">
        <f>IFERROR(IF($CR$3,Eu_tabel_g[[#This Row],[Styrke, aktiv]],NA()),NA())</f>
        <v>#N/A</v>
      </c>
      <c r="CV252" s="89" t="e">
        <f>IF(ISNA(Eu_tabel_g[[#This Row],[Sand negativ
Nulhypotese afvises
Korrekt]]),NA(),IF($CR$3,1,NA()))</f>
        <v>#N/A</v>
      </c>
      <c r="CW252" s="56" t="str" cm="1">
        <f t="array" ref="CW252">_xlfn.SWITCH(BZ252,_xlfn.IFNA(CU$2,-99),CU$5,_xlfn.IFNA(CU$3,-99),CU$6,_xlfn.IFNA(CU$4,-99),CU$7,"")</f>
        <v/>
      </c>
      <c r="DA252" s="7">
        <f t="shared" si="364"/>
        <v>0.8</v>
      </c>
      <c r="DB252">
        <f>IF(ROW(Styrkeberegning_G[[#This Row],[X base venstre]])=ROW(Styrkeberegning_G[[#Headers],[X base venstre]])+1,DB$7/(DA$7/$B$67),DB251/(DA251/$B$67))</f>
        <v>-2.8015817870135784</v>
      </c>
      <c r="DC252">
        <f>Styrkeberegning_G[[#This Row],[X base venstre]]*-1</f>
        <v>2.8015817870135784</v>
      </c>
      <c r="DN252" s="54">
        <f t="shared" si="365"/>
        <v>242</v>
      </c>
      <c r="DO252" s="54">
        <f t="shared" si="366"/>
        <v>243</v>
      </c>
      <c r="DP252" s="54">
        <f t="shared" si="367"/>
        <v>29.438999917567934</v>
      </c>
      <c r="DQ252" s="54" t="e">
        <f t="shared" si="368"/>
        <v>#N/A</v>
      </c>
      <c r="DR252" s="54" t="e">
        <f t="shared" si="369"/>
        <v>#N/A</v>
      </c>
      <c r="DS252" s="54">
        <f t="shared" si="370"/>
        <v>6.966816703159669E-4</v>
      </c>
      <c r="DT252" s="54" t="e">
        <f t="shared" si="371"/>
        <v>#N/A</v>
      </c>
      <c r="DU252" s="54" t="b">
        <f t="shared" si="372"/>
        <v>0</v>
      </c>
      <c r="DV252" s="54" t="b">
        <f t="shared" si="373"/>
        <v>1</v>
      </c>
      <c r="DW252" s="54" t="b">
        <f t="shared" si="374"/>
        <v>1</v>
      </c>
      <c r="DX252" s="54" t="b">
        <f t="shared" si="375"/>
        <v>0</v>
      </c>
      <c r="DY252" s="54">
        <f t="shared" si="376"/>
        <v>6.966816703159669E-4</v>
      </c>
      <c r="DZ252" s="54">
        <f t="shared" si="377"/>
        <v>6.966816703159669E-4</v>
      </c>
      <c r="EA252" s="54" t="e">
        <f t="shared" si="378"/>
        <v>#N/A</v>
      </c>
      <c r="EB252" s="69" t="str">
        <f t="shared" si="379"/>
        <v/>
      </c>
      <c r="EG252" s="54">
        <f t="shared" si="380"/>
        <v>242</v>
      </c>
      <c r="EH252" s="54">
        <f t="shared" si="381"/>
        <v>243</v>
      </c>
      <c r="EI252" s="54">
        <f t="shared" si="382"/>
        <v>2.7069476790462241</v>
      </c>
      <c r="EJ252" s="54">
        <f t="shared" si="383"/>
        <v>1.0227026543258957E-2</v>
      </c>
      <c r="EK252" s="54" t="e">
        <f t="shared" si="384"/>
        <v>#N/A</v>
      </c>
      <c r="EL252" s="54" t="e">
        <f t="shared" si="385"/>
        <v>#N/A</v>
      </c>
      <c r="EM252" s="54" t="e">
        <f t="shared" si="386"/>
        <v>#N/A</v>
      </c>
      <c r="EN252" s="54" t="b">
        <f t="shared" si="387"/>
        <v>0</v>
      </c>
      <c r="EO252" s="54" t="b">
        <f t="shared" si="388"/>
        <v>1</v>
      </c>
      <c r="EP252" s="54" t="b">
        <f t="shared" si="389"/>
        <v>1</v>
      </c>
      <c r="EQ252" s="54" t="b">
        <f t="shared" si="390"/>
        <v>0</v>
      </c>
      <c r="ER252" s="54">
        <f t="shared" si="391"/>
        <v>1.0227026543258957E-2</v>
      </c>
      <c r="ES252" s="54">
        <f t="shared" si="392"/>
        <v>1.0227026543258957E-2</v>
      </c>
      <c r="ET252" s="54" t="e">
        <f t="shared" si="393"/>
        <v>#N/A</v>
      </c>
      <c r="EU252" s="69" t="str">
        <f t="shared" si="394"/>
        <v/>
      </c>
      <c r="EV25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5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5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52" s="54" t="e" cm="1">
        <f t="array" ref="EY252">IF($CR$3,INDEX(Eu_tabel_a[[#This Row],[Styrke venstre]:[Styrke tosidet]],EY$7),NA())</f>
        <v>#N/A</v>
      </c>
      <c r="EZ252" s="54" t="e">
        <f>IF(EY$3,IF(CHOOSE(EY$7,Eu_tabel_a[[#This Row],[x base]]&gt;0,Eu_tabel_a[[#This Row],[x base]]&lt;0,Eu_tabel_a[[#This Row],[x base]]=0),1,NA()),NA())</f>
        <v>#N/A</v>
      </c>
      <c r="FA252" s="54" t="e">
        <f>IF(CHOOSE(EY$7,Eu_tabel_a[[#This Row],[x base]]&gt;0,Eu_tabel_a[[#This Row],[x base]]&lt;0,Eu_tabel_a[[#This Row],[x base]]=0),Eu_tabel_a[[#This Row],[Styrke, aktiv]],NA())</f>
        <v>#N/A</v>
      </c>
      <c r="FB252" s="54" t="e">
        <f>IFERROR(IF($EY$3,Eu_tabel_a[[#This Row],[Styrke, aktiv]],NA()),NA())</f>
        <v>#N/A</v>
      </c>
      <c r="FC252" s="54" t="e">
        <f>IF(ISNA(Eu_tabel_a[[#This Row],[Sand negativ
Nulhypotese afvises
Korrekt]]),NA(),IF(EY$3,1,NA()))</f>
        <v>#N/A</v>
      </c>
      <c r="FD252" s="55" t="str" cm="1">
        <f t="array" ref="FD252">IFERROR(_xlfn.SWITCH(Eu_tabel_a[[#This Row],[Indeks]],_xlfn.IFNA(FB$2,-99),FB$5,_xlfn.IFNA(FB$3,-99),FB$6,_xlfn.IFNA(FB$4,-99),FB$7,""),"")</f>
        <v/>
      </c>
      <c r="FE252" s="54">
        <f>Eu_tabel_a[[#This Row],[x base]]*SQRT(Eu_a_h0_x*(1-Eu_a_h0_x)/Eu_a_n_x)+Eu_a_h0_x</f>
        <v>0</v>
      </c>
      <c r="FJ252" s="144" t="e">
        <f t="shared" si="338"/>
        <v>#N/A</v>
      </c>
      <c r="FK252" s="152" t="e">
        <f t="shared" si="426"/>
        <v>#DIV/0!</v>
      </c>
      <c r="FL252" s="7" t="e">
        <f t="shared" si="332"/>
        <v>#DIV/0!</v>
      </c>
      <c r="FM252" t="e">
        <f t="shared" si="427"/>
        <v>#DIV/0!</v>
      </c>
      <c r="FN252" s="8" t="e">
        <f t="shared" si="428"/>
        <v>#DIV/0!</v>
      </c>
      <c r="FO252" s="8" t="e">
        <f t="shared" si="429"/>
        <v>#DIV/0!</v>
      </c>
      <c r="FP252" s="151" t="e">
        <f t="shared" si="430"/>
        <v>#DIV/0!</v>
      </c>
      <c r="FQ252" s="144" t="e">
        <f t="shared" ca="1" si="333"/>
        <v>#N/A</v>
      </c>
      <c r="FR252" s="152" t="e" vm="3">
        <f t="shared" ca="1" si="339"/>
        <v>#VALUE!</v>
      </c>
      <c r="FS252" s="7" t="e" vm="3">
        <f t="shared" ca="1" si="334"/>
        <v>#VALUE!</v>
      </c>
      <c r="FT252" t="e" vm="3">
        <f t="shared" ca="1" si="328"/>
        <v>#VALUE!</v>
      </c>
      <c r="FU252" s="8" t="e" vm="3">
        <f t="shared" ca="1" si="329"/>
        <v>#VALUE!</v>
      </c>
      <c r="FV252" s="8" t="e" vm="3">
        <f t="shared" ca="1" si="330"/>
        <v>#VALUE!</v>
      </c>
      <c r="FW252" s="151" t="e" vm="3">
        <f t="shared" ca="1" si="331"/>
        <v>#VALUE!</v>
      </c>
      <c r="FX252" s="144" t="e">
        <f t="shared" si="335"/>
        <v>#N/A</v>
      </c>
      <c r="FY252" s="152" t="e">
        <f t="shared" si="340"/>
        <v>#N/A</v>
      </c>
      <c r="FZ252" s="7" t="e">
        <f t="shared" si="336"/>
        <v>#N/A</v>
      </c>
      <c r="GA252" t="e">
        <f t="shared" si="341"/>
        <v>#N/A</v>
      </c>
      <c r="GB252" s="8" t="e">
        <f t="shared" si="342"/>
        <v>#N/A</v>
      </c>
      <c r="GC252" s="8" t="e">
        <f t="shared" si="343"/>
        <v>#N/A</v>
      </c>
      <c r="GD252" s="151" t="e">
        <f t="shared" si="344"/>
        <v>#N/A</v>
      </c>
      <c r="GE252" s="144" t="e">
        <f t="shared" si="345"/>
        <v>#N/A</v>
      </c>
      <c r="GF252" s="152" t="e">
        <f t="shared" si="346"/>
        <v>#N/A</v>
      </c>
      <c r="GG252" s="7" t="e">
        <f t="shared" si="337"/>
        <v>#N/A</v>
      </c>
      <c r="GH252" t="e">
        <f t="shared" si="347"/>
        <v>#N/A</v>
      </c>
      <c r="GI252" s="8" t="e">
        <f t="shared" si="348"/>
        <v>#N/A</v>
      </c>
      <c r="GJ252" s="8" t="e">
        <f t="shared" si="349"/>
        <v>#N/A</v>
      </c>
      <c r="GK252" s="151" t="e">
        <f t="shared" si="350"/>
        <v>#N/A</v>
      </c>
      <c r="GL252" s="151"/>
      <c r="GM252" s="151"/>
      <c r="GP252" s="54">
        <f t="shared" si="395"/>
        <v>242</v>
      </c>
      <c r="GQ252" s="54">
        <f t="shared" si="396"/>
        <v>243</v>
      </c>
      <c r="GR252" s="54">
        <f t="shared" si="397"/>
        <v>2.7069476790462241</v>
      </c>
      <c r="GS252" s="54">
        <f t="shared" si="398"/>
        <v>1.0227026543258957E-2</v>
      </c>
      <c r="GT252" s="54" t="e">
        <f t="shared" si="399"/>
        <v>#N/A</v>
      </c>
      <c r="GU252" s="54" t="e">
        <f t="shared" si="400"/>
        <v>#N/A</v>
      </c>
      <c r="GV252" s="54" t="e">
        <f t="shared" si="401"/>
        <v>#N/A</v>
      </c>
      <c r="GW252" s="54" t="b">
        <f t="shared" si="402"/>
        <v>0</v>
      </c>
      <c r="GX252" s="54" t="b">
        <f t="shared" si="403"/>
        <v>1</v>
      </c>
      <c r="GY252" s="54" t="b">
        <f t="shared" si="404"/>
        <v>1</v>
      </c>
      <c r="GZ252" s="54" t="b">
        <f t="shared" si="405"/>
        <v>0</v>
      </c>
      <c r="HA252" s="54">
        <f t="shared" si="406"/>
        <v>1.0227026543258957E-2</v>
      </c>
      <c r="HB252" s="54">
        <f t="shared" si="407"/>
        <v>1.0227026543258957E-2</v>
      </c>
      <c r="HC252" s="54" t="e">
        <f t="shared" si="408"/>
        <v>#N/A</v>
      </c>
      <c r="HD252" s="69" t="str">
        <f t="shared" si="409"/>
        <v/>
      </c>
      <c r="HJ252" s="54">
        <f t="shared" si="410"/>
        <v>242</v>
      </c>
      <c r="HK252" s="54">
        <f t="shared" si="411"/>
        <v>243</v>
      </c>
      <c r="HL252" s="54">
        <f t="shared" si="412"/>
        <v>4.1917653336134233</v>
      </c>
      <c r="HM252" s="54" t="e">
        <f t="shared" si="413"/>
        <v>#N/A</v>
      </c>
      <c r="HN252" s="54">
        <f t="shared" si="414"/>
        <v>2.5360582677923203E-3</v>
      </c>
      <c r="HO252" s="54" t="e">
        <f t="shared" si="415"/>
        <v>#N/A</v>
      </c>
      <c r="HP252" s="54" t="e">
        <f t="shared" si="416"/>
        <v>#N/A</v>
      </c>
      <c r="HQ252" s="54" t="b">
        <f t="shared" si="417"/>
        <v>0</v>
      </c>
      <c r="HR252" s="54" t="b">
        <f t="shared" si="418"/>
        <v>1</v>
      </c>
      <c r="HS252" s="54" t="b">
        <f t="shared" si="419"/>
        <v>1</v>
      </c>
      <c r="HT252" s="54" t="b">
        <f t="shared" si="420"/>
        <v>0</v>
      </c>
      <c r="HU252" s="54">
        <f t="shared" si="421"/>
        <v>2.5360582677923203E-3</v>
      </c>
      <c r="HV252" s="54" t="e">
        <f t="shared" si="422"/>
        <v>#N/A</v>
      </c>
      <c r="HW252" s="54">
        <f t="shared" si="423"/>
        <v>2.5360582677923203E-3</v>
      </c>
      <c r="HX252" s="69" t="str">
        <f t="shared" si="424"/>
        <v/>
      </c>
    </row>
    <row r="253" spans="78:232" x14ac:dyDescent="0.2">
      <c r="BZ253" s="54">
        <f t="shared" si="351"/>
        <v>243</v>
      </c>
      <c r="CA253" s="54">
        <f>Eu_tabel_g[[#This Row],[Indeks]]+1</f>
        <v>244</v>
      </c>
      <c r="CB253" s="54">
        <f t="shared" si="352"/>
        <v>2.7309029682413231</v>
      </c>
      <c r="CC253" s="54">
        <f t="shared" si="353"/>
        <v>9.582142737811215E-3</v>
      </c>
      <c r="CD253" s="54" t="e">
        <f t="shared" si="354"/>
        <v>#N/A</v>
      </c>
      <c r="CE253" s="54" t="e">
        <f t="shared" si="355"/>
        <v>#N/A</v>
      </c>
      <c r="CF253" s="54" t="e">
        <f t="shared" si="356"/>
        <v>#N/A</v>
      </c>
      <c r="CG253" s="54" t="b">
        <f t="shared" si="357"/>
        <v>0</v>
      </c>
      <c r="CH253" s="54" t="b">
        <f t="shared" si="358"/>
        <v>1</v>
      </c>
      <c r="CI253" s="54" t="b">
        <f t="shared" si="359"/>
        <v>1</v>
      </c>
      <c r="CJ253" s="54" t="b">
        <f t="shared" si="360"/>
        <v>0</v>
      </c>
      <c r="CK253" s="54">
        <f t="shared" si="425"/>
        <v>9.582142737811215E-3</v>
      </c>
      <c r="CL253" s="54">
        <f t="shared" si="361"/>
        <v>9.582142737811215E-3</v>
      </c>
      <c r="CM253" s="54" t="e">
        <f t="shared" si="362"/>
        <v>#N/A</v>
      </c>
      <c r="CN253" s="69" t="str">
        <f t="shared" si="363"/>
        <v/>
      </c>
      <c r="CO253" s="54">
        <f>_xlfn.NORM.DIST(_xlfn.NORM.INV(1-Eu_g_konfidensniveau,0,1)-Eu_tabel_g[[#This Row],[x base]],0,1,TRUE)</f>
        <v>6.0505996323154279E-6</v>
      </c>
      <c r="CP253" s="54">
        <f>1-_xlfn.NORM.DIST(_xlfn.NORM.INV(Eu_g_konfidensniveau,0,1)-Eu_tabel_g[[#This Row],[x base]],0,1,TRUE)</f>
        <v>0.86127141844000243</v>
      </c>
      <c r="CQ253" s="54">
        <f>_xlfn.NORM.DIST(_xlfn.NORM.INV((1-Eu_g_konfidensniveau)/2,0,1)-Eu_tabel_g[[#This Row],[x base]],0,1,TRUE)+1-_xlfn.NORM.DIST(_xlfn.NORM.INV(1-(1-Eu_g_konfidensniveau)/2,0,1)-Eu_tabel_g[[#This Row],[x base]],0,1,TRUE)</f>
        <v>0.77962981085140359</v>
      </c>
      <c r="CR253" s="54" t="e" cm="1">
        <f t="array" ref="CR253">IF($CR$3,INDEX(Eu_tabel_g[[#This Row],[Styrke venstre]:[Styrke tosidet]],CR$7),NA())</f>
        <v>#N/A</v>
      </c>
      <c r="CS253" s="89" t="e">
        <f>Eu_tabel_g[[#This Row],[Falsk positiv
Nulhypotese accepteres
Fejltype 1]]</f>
        <v>#N/A</v>
      </c>
      <c r="CT253" s="89" t="e">
        <f>IF(CHOOSE(CR$7,Eu_tabel_g[[#This Row],[x base]]&gt;0,Eu_tabel_g[[#This Row],[x base]]&lt;0,Eu_tabel_g[[#This Row],[x base]]=0),Eu_tabel_g[[#This Row],[Styrke, aktiv]],NA())</f>
        <v>#N/A</v>
      </c>
      <c r="CU253" s="89" t="e">
        <f>IFERROR(IF($CR$3,Eu_tabel_g[[#This Row],[Styrke, aktiv]],NA()),NA())</f>
        <v>#N/A</v>
      </c>
      <c r="CV253" s="89" t="e">
        <f>IF(ISNA(Eu_tabel_g[[#This Row],[Sand negativ
Nulhypotese afvises
Korrekt]]),NA(),IF($CR$3,1,NA()))</f>
        <v>#N/A</v>
      </c>
      <c r="CW253" s="56" t="str" cm="1">
        <f t="array" ref="CW253">_xlfn.SWITCH(BZ253,_xlfn.IFNA(CU$2,-99),CU$5,_xlfn.IFNA(CU$3,-99),CU$6,_xlfn.IFNA(CU$4,-99),CU$7,"")</f>
        <v/>
      </c>
      <c r="DA253" s="7">
        <f t="shared" si="364"/>
        <v>0.8</v>
      </c>
      <c r="DB253">
        <f>IF(ROW(Styrkeberegning_G[[#This Row],[X base venstre]])=ROW(Styrkeberegning_G[[#Headers],[X base venstre]])+1,DB$7/(DA$7/$B$67),DB252/(DA252/$B$67))</f>
        <v>-2.8015817870135784</v>
      </c>
      <c r="DC253">
        <f>Styrkeberegning_G[[#This Row],[X base venstre]]*-1</f>
        <v>2.8015817870135784</v>
      </c>
      <c r="DN253" s="54">
        <f t="shared" si="365"/>
        <v>243</v>
      </c>
      <c r="DO253" s="54">
        <f t="shared" si="366"/>
        <v>244</v>
      </c>
      <c r="DP253" s="54">
        <f t="shared" si="367"/>
        <v>29.553070773984935</v>
      </c>
      <c r="DQ253" s="54" t="e">
        <f t="shared" si="368"/>
        <v>#N/A</v>
      </c>
      <c r="DR253" s="54" t="e">
        <f t="shared" si="369"/>
        <v>#N/A</v>
      </c>
      <c r="DS253" s="54">
        <f t="shared" si="370"/>
        <v>6.696104757682301E-4</v>
      </c>
      <c r="DT253" s="54" t="e">
        <f t="shared" si="371"/>
        <v>#N/A</v>
      </c>
      <c r="DU253" s="54" t="b">
        <f t="shared" si="372"/>
        <v>0</v>
      </c>
      <c r="DV253" s="54" t="b">
        <f t="shared" si="373"/>
        <v>1</v>
      </c>
      <c r="DW253" s="54" t="b">
        <f t="shared" si="374"/>
        <v>1</v>
      </c>
      <c r="DX253" s="54" t="b">
        <f t="shared" si="375"/>
        <v>0</v>
      </c>
      <c r="DY253" s="54">
        <f t="shared" si="376"/>
        <v>6.696104757682301E-4</v>
      </c>
      <c r="DZ253" s="54">
        <f t="shared" si="377"/>
        <v>6.696104757682301E-4</v>
      </c>
      <c r="EA253" s="54" t="e">
        <f t="shared" si="378"/>
        <v>#N/A</v>
      </c>
      <c r="EB253" s="69" t="str">
        <f t="shared" si="379"/>
        <v/>
      </c>
      <c r="EG253" s="54">
        <f t="shared" si="380"/>
        <v>243</v>
      </c>
      <c r="EH253" s="54">
        <f t="shared" si="381"/>
        <v>244</v>
      </c>
      <c r="EI253" s="54">
        <f t="shared" si="382"/>
        <v>2.7309029682413231</v>
      </c>
      <c r="EJ253" s="54">
        <f t="shared" si="383"/>
        <v>9.582142737811215E-3</v>
      </c>
      <c r="EK253" s="54" t="e">
        <f t="shared" si="384"/>
        <v>#N/A</v>
      </c>
      <c r="EL253" s="54" t="e">
        <f t="shared" si="385"/>
        <v>#N/A</v>
      </c>
      <c r="EM253" s="54" t="e">
        <f t="shared" si="386"/>
        <v>#N/A</v>
      </c>
      <c r="EN253" s="54" t="b">
        <f t="shared" si="387"/>
        <v>0</v>
      </c>
      <c r="EO253" s="54" t="b">
        <f t="shared" si="388"/>
        <v>1</v>
      </c>
      <c r="EP253" s="54" t="b">
        <f t="shared" si="389"/>
        <v>1</v>
      </c>
      <c r="EQ253" s="54" t="b">
        <f t="shared" si="390"/>
        <v>0</v>
      </c>
      <c r="ER253" s="54">
        <f t="shared" si="391"/>
        <v>9.582142737811215E-3</v>
      </c>
      <c r="ES253" s="54">
        <f t="shared" si="392"/>
        <v>9.582142737811215E-3</v>
      </c>
      <c r="ET253" s="54" t="e">
        <f t="shared" si="393"/>
        <v>#N/A</v>
      </c>
      <c r="EU253" s="69" t="str">
        <f t="shared" si="394"/>
        <v/>
      </c>
      <c r="EV25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5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5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53" s="54" t="e" cm="1">
        <f t="array" ref="EY253">IF($CR$3,INDEX(Eu_tabel_a[[#This Row],[Styrke venstre]:[Styrke tosidet]],EY$7),NA())</f>
        <v>#N/A</v>
      </c>
      <c r="EZ253" s="54" t="e">
        <f>IF(EY$3,IF(CHOOSE(EY$7,Eu_tabel_a[[#This Row],[x base]]&gt;0,Eu_tabel_a[[#This Row],[x base]]&lt;0,Eu_tabel_a[[#This Row],[x base]]=0),1,NA()),NA())</f>
        <v>#N/A</v>
      </c>
      <c r="FA253" s="54" t="e">
        <f>IF(CHOOSE(EY$7,Eu_tabel_a[[#This Row],[x base]]&gt;0,Eu_tabel_a[[#This Row],[x base]]&lt;0,Eu_tabel_a[[#This Row],[x base]]=0),Eu_tabel_a[[#This Row],[Styrke, aktiv]],NA())</f>
        <v>#N/A</v>
      </c>
      <c r="FB253" s="54" t="e">
        <f>IFERROR(IF($EY$3,Eu_tabel_a[[#This Row],[Styrke, aktiv]],NA()),NA())</f>
        <v>#N/A</v>
      </c>
      <c r="FC253" s="54" t="e">
        <f>IF(ISNA(Eu_tabel_a[[#This Row],[Sand negativ
Nulhypotese afvises
Korrekt]]),NA(),IF(EY$3,1,NA()))</f>
        <v>#N/A</v>
      </c>
      <c r="FD253" s="55" t="str" cm="1">
        <f t="array" ref="FD253">IFERROR(_xlfn.SWITCH(Eu_tabel_a[[#This Row],[Indeks]],_xlfn.IFNA(FB$2,-99),FB$5,_xlfn.IFNA(FB$3,-99),FB$6,_xlfn.IFNA(FB$4,-99),FB$7,""),"")</f>
        <v/>
      </c>
      <c r="FE253" s="54">
        <f>Eu_tabel_a[[#This Row],[x base]]*SQRT(Eu_a_h0_x*(1-Eu_a_h0_x)/Eu_a_n_x)+Eu_a_h0_x</f>
        <v>0</v>
      </c>
      <c r="FJ253" s="144" t="e">
        <f t="shared" si="338"/>
        <v>#N/A</v>
      </c>
      <c r="FK253" s="152" t="e">
        <f t="shared" si="426"/>
        <v>#DIV/0!</v>
      </c>
      <c r="FL253" s="7" t="e">
        <f t="shared" si="332"/>
        <v>#DIV/0!</v>
      </c>
      <c r="FM253" t="e">
        <f t="shared" si="427"/>
        <v>#DIV/0!</v>
      </c>
      <c r="FN253" s="8" t="e">
        <f t="shared" si="428"/>
        <v>#DIV/0!</v>
      </c>
      <c r="FO253" s="8" t="e">
        <f t="shared" si="429"/>
        <v>#DIV/0!</v>
      </c>
      <c r="FP253" s="151" t="e">
        <f t="shared" si="430"/>
        <v>#DIV/0!</v>
      </c>
      <c r="FQ253" s="144" t="e">
        <f t="shared" ca="1" si="333"/>
        <v>#N/A</v>
      </c>
      <c r="FR253" s="152" t="e" vm="3">
        <f t="shared" ca="1" si="339"/>
        <v>#VALUE!</v>
      </c>
      <c r="FS253" s="7" t="e" vm="3">
        <f t="shared" ca="1" si="334"/>
        <v>#VALUE!</v>
      </c>
      <c r="FT253" t="e" vm="3">
        <f t="shared" ca="1" si="328"/>
        <v>#VALUE!</v>
      </c>
      <c r="FU253" s="8" t="e" vm="3">
        <f t="shared" ca="1" si="329"/>
        <v>#VALUE!</v>
      </c>
      <c r="FV253" s="8" t="e" vm="3">
        <f t="shared" ca="1" si="330"/>
        <v>#VALUE!</v>
      </c>
      <c r="FW253" s="151" t="e" vm="3">
        <f t="shared" ca="1" si="331"/>
        <v>#VALUE!</v>
      </c>
      <c r="FX253" s="144" t="e">
        <f t="shared" si="335"/>
        <v>#N/A</v>
      </c>
      <c r="FY253" s="152" t="e">
        <f t="shared" si="340"/>
        <v>#N/A</v>
      </c>
      <c r="FZ253" s="7" t="e">
        <f t="shared" si="336"/>
        <v>#N/A</v>
      </c>
      <c r="GA253" t="e">
        <f t="shared" si="341"/>
        <v>#N/A</v>
      </c>
      <c r="GB253" s="8" t="e">
        <f t="shared" si="342"/>
        <v>#N/A</v>
      </c>
      <c r="GC253" s="8" t="e">
        <f t="shared" si="343"/>
        <v>#N/A</v>
      </c>
      <c r="GD253" s="151" t="e">
        <f t="shared" si="344"/>
        <v>#N/A</v>
      </c>
      <c r="GE253" s="144" t="e">
        <f t="shared" si="345"/>
        <v>#N/A</v>
      </c>
      <c r="GF253" s="152" t="e">
        <f t="shared" si="346"/>
        <v>#N/A</v>
      </c>
      <c r="GG253" s="7" t="e">
        <f t="shared" si="337"/>
        <v>#N/A</v>
      </c>
      <c r="GH253" t="e">
        <f t="shared" si="347"/>
        <v>#N/A</v>
      </c>
      <c r="GI253" s="8" t="e">
        <f t="shared" si="348"/>
        <v>#N/A</v>
      </c>
      <c r="GJ253" s="8" t="e">
        <f t="shared" si="349"/>
        <v>#N/A</v>
      </c>
      <c r="GK253" s="151" t="e">
        <f t="shared" si="350"/>
        <v>#N/A</v>
      </c>
      <c r="GL253" s="151"/>
      <c r="GM253" s="151"/>
      <c r="GP253" s="54">
        <f t="shared" si="395"/>
        <v>243</v>
      </c>
      <c r="GQ253" s="54">
        <f t="shared" si="396"/>
        <v>244</v>
      </c>
      <c r="GR253" s="54">
        <f t="shared" si="397"/>
        <v>2.7309029682413231</v>
      </c>
      <c r="GS253" s="54">
        <f t="shared" si="398"/>
        <v>9.582142737811215E-3</v>
      </c>
      <c r="GT253" s="54" t="e">
        <f t="shared" si="399"/>
        <v>#N/A</v>
      </c>
      <c r="GU253" s="54" t="e">
        <f t="shared" si="400"/>
        <v>#N/A</v>
      </c>
      <c r="GV253" s="54" t="e">
        <f t="shared" si="401"/>
        <v>#N/A</v>
      </c>
      <c r="GW253" s="54" t="b">
        <f t="shared" si="402"/>
        <v>0</v>
      </c>
      <c r="GX253" s="54" t="b">
        <f t="shared" si="403"/>
        <v>1</v>
      </c>
      <c r="GY253" s="54" t="b">
        <f t="shared" si="404"/>
        <v>1</v>
      </c>
      <c r="GZ253" s="54" t="b">
        <f t="shared" si="405"/>
        <v>0</v>
      </c>
      <c r="HA253" s="54">
        <f t="shared" si="406"/>
        <v>9.582142737811215E-3</v>
      </c>
      <c r="HB253" s="54">
        <f t="shared" si="407"/>
        <v>9.582142737811215E-3</v>
      </c>
      <c r="HC253" s="54" t="e">
        <f t="shared" si="408"/>
        <v>#N/A</v>
      </c>
      <c r="HD253" s="69" t="str">
        <f t="shared" si="409"/>
        <v/>
      </c>
      <c r="HJ253" s="54">
        <f t="shared" si="410"/>
        <v>243</v>
      </c>
      <c r="HK253" s="54">
        <f t="shared" si="411"/>
        <v>244</v>
      </c>
      <c r="HL253" s="54">
        <f t="shared" si="412"/>
        <v>4.2288606020524799</v>
      </c>
      <c r="HM253" s="54" t="e">
        <f t="shared" si="413"/>
        <v>#N/A</v>
      </c>
      <c r="HN253" s="54">
        <f t="shared" si="414"/>
        <v>2.4110931926843594E-3</v>
      </c>
      <c r="HO253" s="54" t="e">
        <f t="shared" si="415"/>
        <v>#N/A</v>
      </c>
      <c r="HP253" s="54" t="e">
        <f t="shared" si="416"/>
        <v>#N/A</v>
      </c>
      <c r="HQ253" s="54" t="b">
        <f t="shared" si="417"/>
        <v>0</v>
      </c>
      <c r="HR253" s="54" t="b">
        <f t="shared" si="418"/>
        <v>1</v>
      </c>
      <c r="HS253" s="54" t="b">
        <f t="shared" si="419"/>
        <v>1</v>
      </c>
      <c r="HT253" s="54" t="b">
        <f t="shared" si="420"/>
        <v>0</v>
      </c>
      <c r="HU253" s="54">
        <f t="shared" si="421"/>
        <v>2.4110931926843594E-3</v>
      </c>
      <c r="HV253" s="54" t="e">
        <f t="shared" si="422"/>
        <v>#N/A</v>
      </c>
      <c r="HW253" s="54">
        <f t="shared" si="423"/>
        <v>2.4110931926843594E-3</v>
      </c>
      <c r="HX253" s="69" t="str">
        <f t="shared" si="424"/>
        <v/>
      </c>
    </row>
    <row r="254" spans="78:232" x14ac:dyDescent="0.2">
      <c r="BZ254" s="54">
        <f t="shared" si="351"/>
        <v>244</v>
      </c>
      <c r="CA254" s="54">
        <f>Eu_tabel_g[[#This Row],[Indeks]]+1</f>
        <v>245</v>
      </c>
      <c r="CB254" s="54">
        <f t="shared" si="352"/>
        <v>2.7548582574364229</v>
      </c>
      <c r="CC254" s="54">
        <f t="shared" si="353"/>
        <v>8.9727727004466386E-3</v>
      </c>
      <c r="CD254" s="54" t="e">
        <f t="shared" si="354"/>
        <v>#N/A</v>
      </c>
      <c r="CE254" s="54" t="e">
        <f t="shared" si="355"/>
        <v>#N/A</v>
      </c>
      <c r="CF254" s="54" t="e">
        <f t="shared" si="356"/>
        <v>#N/A</v>
      </c>
      <c r="CG254" s="54" t="b">
        <f t="shared" si="357"/>
        <v>0</v>
      </c>
      <c r="CH254" s="54" t="b">
        <f t="shared" si="358"/>
        <v>1</v>
      </c>
      <c r="CI254" s="54" t="b">
        <f t="shared" si="359"/>
        <v>1</v>
      </c>
      <c r="CJ254" s="54" t="b">
        <f t="shared" si="360"/>
        <v>0</v>
      </c>
      <c r="CK254" s="54">
        <f t="shared" ref="CK254:CK260" si="431">_xlfn.AGGREGATE(9,6,CC254:CF254)</f>
        <v>8.9727727004466386E-3</v>
      </c>
      <c r="CL254" s="54">
        <f t="shared" si="361"/>
        <v>8.9727727004466386E-3</v>
      </c>
      <c r="CM254" s="54" t="e">
        <f t="shared" si="362"/>
        <v>#N/A</v>
      </c>
      <c r="CN254" s="69" t="str">
        <f t="shared" si="363"/>
        <v/>
      </c>
      <c r="CO254" s="54">
        <f>_xlfn.NORM.DIST(_xlfn.NORM.INV(1-Eu_g_konfidensniveau,0,1)-Eu_tabel_g[[#This Row],[x base]],0,1,TRUE)</f>
        <v>5.4197347799901849E-6</v>
      </c>
      <c r="CP254" s="54">
        <f>1-_xlfn.NORM.DIST(_xlfn.NORM.INV(Eu_g_konfidensniveau,0,1)-Eu_tabel_g[[#This Row],[x base]],0,1,TRUE)</f>
        <v>0.8665014844304646</v>
      </c>
      <c r="CQ254" s="54">
        <f>_xlfn.NORM.DIST(_xlfn.NORM.INV((1-Eu_g_konfidensniveau)/2,0,1)-Eu_tabel_g[[#This Row],[x base]],0,1,TRUE)+1-_xlfn.NORM.DIST(_xlfn.NORM.INV(1-(1-Eu_g_konfidensniveau)/2,0,1)-Eu_tabel_g[[#This Row],[x base]],0,1,TRUE)</f>
        <v>0.78666370661837792</v>
      </c>
      <c r="CR254" s="54" t="e" cm="1">
        <f t="array" ref="CR254">IF($CR$3,INDEX(Eu_tabel_g[[#This Row],[Styrke venstre]:[Styrke tosidet]],CR$7),NA())</f>
        <v>#N/A</v>
      </c>
      <c r="CS254" s="89" t="e">
        <f>Eu_tabel_g[[#This Row],[Falsk positiv
Nulhypotese accepteres
Fejltype 1]]</f>
        <v>#N/A</v>
      </c>
      <c r="CT254" s="89" t="e">
        <f>IF(CHOOSE(CR$7,Eu_tabel_g[[#This Row],[x base]]&gt;0,Eu_tabel_g[[#This Row],[x base]]&lt;0,Eu_tabel_g[[#This Row],[x base]]=0),Eu_tabel_g[[#This Row],[Styrke, aktiv]],NA())</f>
        <v>#N/A</v>
      </c>
      <c r="CU254" s="89" t="e">
        <f>IFERROR(IF($CR$3,Eu_tabel_g[[#This Row],[Styrke, aktiv]],NA()),NA())</f>
        <v>#N/A</v>
      </c>
      <c r="CV254" s="89" t="e">
        <f>IF(ISNA(Eu_tabel_g[[#This Row],[Sand negativ
Nulhypotese afvises
Korrekt]]),NA(),IF($CR$3,1,NA()))</f>
        <v>#N/A</v>
      </c>
      <c r="CW254" s="56" t="str" cm="1">
        <f t="array" ref="CW254">_xlfn.SWITCH(BZ254,_xlfn.IFNA(CU$2,-99),CU$5,_xlfn.IFNA(CU$3,-99),CU$6,_xlfn.IFNA(CU$4,-99),CU$7,"")</f>
        <v/>
      </c>
      <c r="DA254" s="7">
        <f t="shared" si="364"/>
        <v>0.8</v>
      </c>
      <c r="DB254">
        <f>IF(ROW(Styrkeberegning_G[[#This Row],[X base venstre]])=ROW(Styrkeberegning_G[[#Headers],[X base venstre]])+1,DB$7/(DA$7/$B$67),DB253/(DA253/$B$67))</f>
        <v>-2.8015817870135784</v>
      </c>
      <c r="DC254">
        <f>Styrkeberegning_G[[#This Row],[X base venstre]]*-1</f>
        <v>2.8015817870135784</v>
      </c>
      <c r="DN254" s="54">
        <f t="shared" si="365"/>
        <v>244</v>
      </c>
      <c r="DO254" s="54">
        <f t="shared" si="366"/>
        <v>245</v>
      </c>
      <c r="DP254" s="54">
        <f t="shared" si="367"/>
        <v>29.667141630401936</v>
      </c>
      <c r="DQ254" s="54" t="e">
        <f t="shared" si="368"/>
        <v>#N/A</v>
      </c>
      <c r="DR254" s="54" t="e">
        <f t="shared" si="369"/>
        <v>#N/A</v>
      </c>
      <c r="DS254" s="54">
        <f t="shared" si="370"/>
        <v>6.4354804827147945E-4</v>
      </c>
      <c r="DT254" s="54" t="e">
        <f t="shared" si="371"/>
        <v>#N/A</v>
      </c>
      <c r="DU254" s="54" t="b">
        <f t="shared" si="372"/>
        <v>0</v>
      </c>
      <c r="DV254" s="54" t="b">
        <f t="shared" si="373"/>
        <v>1</v>
      </c>
      <c r="DW254" s="54" t="b">
        <f t="shared" si="374"/>
        <v>1</v>
      </c>
      <c r="DX254" s="54" t="b">
        <f t="shared" si="375"/>
        <v>0</v>
      </c>
      <c r="DY254" s="54">
        <f t="shared" si="376"/>
        <v>6.4354804827147945E-4</v>
      </c>
      <c r="DZ254" s="54">
        <f t="shared" si="377"/>
        <v>6.4354804827147945E-4</v>
      </c>
      <c r="EA254" s="54" t="e">
        <f t="shared" si="378"/>
        <v>#N/A</v>
      </c>
      <c r="EB254" s="69" t="str">
        <f t="shared" si="379"/>
        <v/>
      </c>
      <c r="EG254" s="54">
        <f t="shared" si="380"/>
        <v>244</v>
      </c>
      <c r="EH254" s="54">
        <f t="shared" si="381"/>
        <v>245</v>
      </c>
      <c r="EI254" s="54">
        <f t="shared" si="382"/>
        <v>2.7548582574364229</v>
      </c>
      <c r="EJ254" s="54">
        <f t="shared" si="383"/>
        <v>8.9727727004466386E-3</v>
      </c>
      <c r="EK254" s="54" t="e">
        <f t="shared" si="384"/>
        <v>#N/A</v>
      </c>
      <c r="EL254" s="54" t="e">
        <f t="shared" si="385"/>
        <v>#N/A</v>
      </c>
      <c r="EM254" s="54" t="e">
        <f t="shared" si="386"/>
        <v>#N/A</v>
      </c>
      <c r="EN254" s="54" t="b">
        <f t="shared" si="387"/>
        <v>0</v>
      </c>
      <c r="EO254" s="54" t="b">
        <f t="shared" si="388"/>
        <v>1</v>
      </c>
      <c r="EP254" s="54" t="b">
        <f t="shared" si="389"/>
        <v>1</v>
      </c>
      <c r="EQ254" s="54" t="b">
        <f t="shared" si="390"/>
        <v>0</v>
      </c>
      <c r="ER254" s="54">
        <f t="shared" si="391"/>
        <v>8.9727727004466386E-3</v>
      </c>
      <c r="ES254" s="54">
        <f t="shared" si="392"/>
        <v>8.9727727004466386E-3</v>
      </c>
      <c r="ET254" s="54" t="e">
        <f t="shared" si="393"/>
        <v>#N/A</v>
      </c>
      <c r="EU254" s="69" t="str">
        <f t="shared" si="394"/>
        <v/>
      </c>
      <c r="EV25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5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5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54" s="54" t="e" cm="1">
        <f t="array" ref="EY254">IF($CR$3,INDEX(Eu_tabel_a[[#This Row],[Styrke venstre]:[Styrke tosidet]],EY$7),NA())</f>
        <v>#N/A</v>
      </c>
      <c r="EZ254" s="54" t="e">
        <f>IF(EY$3,IF(CHOOSE(EY$7,Eu_tabel_a[[#This Row],[x base]]&gt;0,Eu_tabel_a[[#This Row],[x base]]&lt;0,Eu_tabel_a[[#This Row],[x base]]=0),1,NA()),NA())</f>
        <v>#N/A</v>
      </c>
      <c r="FA254" s="54" t="e">
        <f>IF(CHOOSE(EY$7,Eu_tabel_a[[#This Row],[x base]]&gt;0,Eu_tabel_a[[#This Row],[x base]]&lt;0,Eu_tabel_a[[#This Row],[x base]]=0),Eu_tabel_a[[#This Row],[Styrke, aktiv]],NA())</f>
        <v>#N/A</v>
      </c>
      <c r="FB254" s="54" t="e">
        <f>IFERROR(IF($EY$3,Eu_tabel_a[[#This Row],[Styrke, aktiv]],NA()),NA())</f>
        <v>#N/A</v>
      </c>
      <c r="FC254" s="54" t="e">
        <f>IF(ISNA(Eu_tabel_a[[#This Row],[Sand negativ
Nulhypotese afvises
Korrekt]]),NA(),IF(EY$3,1,NA()))</f>
        <v>#N/A</v>
      </c>
      <c r="FD254" s="55" t="str" cm="1">
        <f t="array" ref="FD254">IFERROR(_xlfn.SWITCH(Eu_tabel_a[[#This Row],[Indeks]],_xlfn.IFNA(FB$2,-99),FB$5,_xlfn.IFNA(FB$3,-99),FB$6,_xlfn.IFNA(FB$4,-99),FB$7,""),"")</f>
        <v/>
      </c>
      <c r="FE254" s="54">
        <f>Eu_tabel_a[[#This Row],[x base]]*SQRT(Eu_a_h0_x*(1-Eu_a_h0_x)/Eu_a_n_x)+Eu_a_h0_x</f>
        <v>0</v>
      </c>
      <c r="FJ254" s="144" t="e">
        <f t="shared" si="338"/>
        <v>#N/A</v>
      </c>
      <c r="FK254" s="152" t="e">
        <f t="shared" si="426"/>
        <v>#DIV/0!</v>
      </c>
      <c r="FL254" s="7" t="e">
        <f t="shared" si="332"/>
        <v>#DIV/0!</v>
      </c>
      <c r="FM254" t="e">
        <f t="shared" si="427"/>
        <v>#DIV/0!</v>
      </c>
      <c r="FN254" s="8" t="e">
        <f t="shared" si="428"/>
        <v>#DIV/0!</v>
      </c>
      <c r="FO254" s="8" t="e">
        <f t="shared" si="429"/>
        <v>#DIV/0!</v>
      </c>
      <c r="FP254" s="151" t="e">
        <f t="shared" si="430"/>
        <v>#DIV/0!</v>
      </c>
      <c r="FQ254" s="144" t="e">
        <f t="shared" ca="1" si="333"/>
        <v>#N/A</v>
      </c>
      <c r="FR254" s="152" t="e" vm="3">
        <f t="shared" ca="1" si="339"/>
        <v>#VALUE!</v>
      </c>
      <c r="FS254" s="7" t="e" vm="3">
        <f t="shared" ca="1" si="334"/>
        <v>#VALUE!</v>
      </c>
      <c r="FT254" t="e" vm="3">
        <f t="shared" ca="1" si="328"/>
        <v>#VALUE!</v>
      </c>
      <c r="FU254" s="8" t="e" vm="3">
        <f t="shared" ca="1" si="329"/>
        <v>#VALUE!</v>
      </c>
      <c r="FV254" s="8" t="e" vm="3">
        <f t="shared" ca="1" si="330"/>
        <v>#VALUE!</v>
      </c>
      <c r="FW254" s="151" t="e" vm="3">
        <f t="shared" ca="1" si="331"/>
        <v>#VALUE!</v>
      </c>
      <c r="FX254" s="144" t="e">
        <f t="shared" si="335"/>
        <v>#N/A</v>
      </c>
      <c r="FY254" s="152" t="e">
        <f t="shared" si="340"/>
        <v>#N/A</v>
      </c>
      <c r="FZ254" s="7" t="e">
        <f t="shared" si="336"/>
        <v>#N/A</v>
      </c>
      <c r="GA254" t="e">
        <f t="shared" si="341"/>
        <v>#N/A</v>
      </c>
      <c r="GB254" s="8" t="e">
        <f t="shared" si="342"/>
        <v>#N/A</v>
      </c>
      <c r="GC254" s="8" t="e">
        <f t="shared" si="343"/>
        <v>#N/A</v>
      </c>
      <c r="GD254" s="151" t="e">
        <f t="shared" si="344"/>
        <v>#N/A</v>
      </c>
      <c r="GE254" s="144" t="e">
        <f t="shared" si="345"/>
        <v>#N/A</v>
      </c>
      <c r="GF254" s="152" t="e">
        <f t="shared" si="346"/>
        <v>#N/A</v>
      </c>
      <c r="GG254" s="7" t="e">
        <f t="shared" si="337"/>
        <v>#N/A</v>
      </c>
      <c r="GH254" t="e">
        <f t="shared" si="347"/>
        <v>#N/A</v>
      </c>
      <c r="GI254" s="8" t="e">
        <f t="shared" si="348"/>
        <v>#N/A</v>
      </c>
      <c r="GJ254" s="8" t="e">
        <f t="shared" si="349"/>
        <v>#N/A</v>
      </c>
      <c r="GK254" s="151" t="e">
        <f t="shared" si="350"/>
        <v>#N/A</v>
      </c>
      <c r="GL254" s="151"/>
      <c r="GM254" s="151"/>
      <c r="GP254" s="54">
        <f t="shared" si="395"/>
        <v>244</v>
      </c>
      <c r="GQ254" s="54">
        <f t="shared" si="396"/>
        <v>245</v>
      </c>
      <c r="GR254" s="54">
        <f t="shared" si="397"/>
        <v>2.7548582574364229</v>
      </c>
      <c r="GS254" s="54">
        <f t="shared" si="398"/>
        <v>8.9727727004466386E-3</v>
      </c>
      <c r="GT254" s="54" t="e">
        <f t="shared" si="399"/>
        <v>#N/A</v>
      </c>
      <c r="GU254" s="54" t="e">
        <f t="shared" si="400"/>
        <v>#N/A</v>
      </c>
      <c r="GV254" s="54" t="e">
        <f t="shared" si="401"/>
        <v>#N/A</v>
      </c>
      <c r="GW254" s="54" t="b">
        <f t="shared" si="402"/>
        <v>0</v>
      </c>
      <c r="GX254" s="54" t="b">
        <f t="shared" si="403"/>
        <v>1</v>
      </c>
      <c r="GY254" s="54" t="b">
        <f t="shared" si="404"/>
        <v>1</v>
      </c>
      <c r="GZ254" s="54" t="b">
        <f t="shared" si="405"/>
        <v>0</v>
      </c>
      <c r="HA254" s="54">
        <f t="shared" si="406"/>
        <v>8.9727727004466386E-3</v>
      </c>
      <c r="HB254" s="54">
        <f t="shared" si="407"/>
        <v>8.9727727004466386E-3</v>
      </c>
      <c r="HC254" s="54" t="e">
        <f t="shared" si="408"/>
        <v>#N/A</v>
      </c>
      <c r="HD254" s="69" t="str">
        <f t="shared" si="409"/>
        <v/>
      </c>
      <c r="HJ254" s="54">
        <f t="shared" si="410"/>
        <v>244</v>
      </c>
      <c r="HK254" s="54">
        <f t="shared" si="411"/>
        <v>245</v>
      </c>
      <c r="HL254" s="54">
        <f t="shared" si="412"/>
        <v>4.2659558704915383</v>
      </c>
      <c r="HM254" s="54" t="e">
        <f t="shared" si="413"/>
        <v>#N/A</v>
      </c>
      <c r="HN254" s="54">
        <f t="shared" si="414"/>
        <v>2.2927293844818694E-3</v>
      </c>
      <c r="HO254" s="54" t="e">
        <f t="shared" si="415"/>
        <v>#N/A</v>
      </c>
      <c r="HP254" s="54" t="e">
        <f t="shared" si="416"/>
        <v>#N/A</v>
      </c>
      <c r="HQ254" s="54" t="b">
        <f t="shared" si="417"/>
        <v>0</v>
      </c>
      <c r="HR254" s="54" t="b">
        <f t="shared" si="418"/>
        <v>1</v>
      </c>
      <c r="HS254" s="54" t="b">
        <f t="shared" si="419"/>
        <v>1</v>
      </c>
      <c r="HT254" s="54" t="b">
        <f t="shared" si="420"/>
        <v>0</v>
      </c>
      <c r="HU254" s="54">
        <f t="shared" si="421"/>
        <v>2.2927293844818694E-3</v>
      </c>
      <c r="HV254" s="54" t="e">
        <f t="shared" si="422"/>
        <v>#N/A</v>
      </c>
      <c r="HW254" s="54">
        <f t="shared" si="423"/>
        <v>2.2927293844818694E-3</v>
      </c>
      <c r="HX254" s="69" t="str">
        <f t="shared" si="424"/>
        <v/>
      </c>
    </row>
    <row r="255" spans="78:232" x14ac:dyDescent="0.2">
      <c r="BZ255" s="54">
        <f t="shared" si="351"/>
        <v>245</v>
      </c>
      <c r="CA255" s="54">
        <f>Eu_tabel_g[[#This Row],[Indeks]]+1</f>
        <v>246</v>
      </c>
      <c r="CB255" s="54">
        <f t="shared" si="352"/>
        <v>2.7788135466315218</v>
      </c>
      <c r="CC255" s="54">
        <f t="shared" si="353"/>
        <v>8.3973349051078925E-3</v>
      </c>
      <c r="CD255" s="54" t="e">
        <f t="shared" si="354"/>
        <v>#N/A</v>
      </c>
      <c r="CE255" s="54" t="e">
        <f t="shared" si="355"/>
        <v>#N/A</v>
      </c>
      <c r="CF255" s="54" t="e">
        <f t="shared" si="356"/>
        <v>#N/A</v>
      </c>
      <c r="CG255" s="54" t="b">
        <f t="shared" si="357"/>
        <v>0</v>
      </c>
      <c r="CH255" s="54" t="b">
        <f t="shared" si="358"/>
        <v>1</v>
      </c>
      <c r="CI255" s="54" t="b">
        <f t="shared" si="359"/>
        <v>1</v>
      </c>
      <c r="CJ255" s="54" t="b">
        <f t="shared" si="360"/>
        <v>0</v>
      </c>
      <c r="CK255" s="54">
        <f t="shared" si="431"/>
        <v>8.3973349051078925E-3</v>
      </c>
      <c r="CL255" s="54">
        <f t="shared" si="361"/>
        <v>8.3973349051078925E-3</v>
      </c>
      <c r="CM255" s="54" t="e">
        <f t="shared" si="362"/>
        <v>#N/A</v>
      </c>
      <c r="CN255" s="69" t="str">
        <f t="shared" si="363"/>
        <v/>
      </c>
      <c r="CO255" s="54">
        <f>_xlfn.NORM.DIST(_xlfn.NORM.INV(1-Eu_g_konfidensniveau,0,1)-Eu_tabel_g[[#This Row],[x base]],0,1,TRUE)</f>
        <v>4.8519739091402132E-6</v>
      </c>
      <c r="CP255" s="54">
        <f>1-_xlfn.NORM.DIST(_xlfn.NORM.INV(Eu_g_konfidensniveau,0,1)-Eu_tabel_g[[#This Row],[x base]],0,1,TRUE)</f>
        <v>0.87159431961038669</v>
      </c>
      <c r="CQ255" s="54">
        <f>_xlfn.NORM.DIST(_xlfn.NORM.INV((1-Eu_g_konfidensniveau)/2,0,1)-Eu_tabel_g[[#This Row],[x base]],0,1,TRUE)+1-_xlfn.NORM.DIST(_xlfn.NORM.INV(1-(1-Eu_g_konfidensniveau)/2,0,1)-Eu_tabel_g[[#This Row],[x base]],0,1,TRUE)</f>
        <v>0.79356495019123918</v>
      </c>
      <c r="CR255" s="54" t="e" cm="1">
        <f t="array" ref="CR255">IF($CR$3,INDEX(Eu_tabel_g[[#This Row],[Styrke venstre]:[Styrke tosidet]],CR$7),NA())</f>
        <v>#N/A</v>
      </c>
      <c r="CS255" s="89" t="e">
        <f>Eu_tabel_g[[#This Row],[Falsk positiv
Nulhypotese accepteres
Fejltype 1]]</f>
        <v>#N/A</v>
      </c>
      <c r="CT255" s="89" t="e">
        <f>IF(CHOOSE(CR$7,Eu_tabel_g[[#This Row],[x base]]&gt;0,Eu_tabel_g[[#This Row],[x base]]&lt;0,Eu_tabel_g[[#This Row],[x base]]=0),Eu_tabel_g[[#This Row],[Styrke, aktiv]],NA())</f>
        <v>#N/A</v>
      </c>
      <c r="CU255" s="89" t="e">
        <f>IFERROR(IF($CR$3,Eu_tabel_g[[#This Row],[Styrke, aktiv]],NA()),NA())</f>
        <v>#N/A</v>
      </c>
      <c r="CV255" s="89" t="e">
        <f>IF(ISNA(Eu_tabel_g[[#This Row],[Sand negativ
Nulhypotese afvises
Korrekt]]),NA(),IF($CR$3,1,NA()))</f>
        <v>#N/A</v>
      </c>
      <c r="CW255" s="56" t="str" cm="1">
        <f t="array" ref="CW255">_xlfn.SWITCH(BZ255,_xlfn.IFNA(CU$2,-99),CU$5,_xlfn.IFNA(CU$3,-99),CU$6,_xlfn.IFNA(CU$4,-99),CU$7,"")</f>
        <v/>
      </c>
      <c r="DA255" s="7">
        <f t="shared" si="364"/>
        <v>0.8</v>
      </c>
      <c r="DB255">
        <f>IF(ROW(Styrkeberegning_G[[#This Row],[X base venstre]])=ROW(Styrkeberegning_G[[#Headers],[X base venstre]])+1,DB$7/(DA$7/$B$67),DB254/(DA254/$B$67))</f>
        <v>-2.8015817870135784</v>
      </c>
      <c r="DC255">
        <f>Styrkeberegning_G[[#This Row],[X base venstre]]*-1</f>
        <v>2.8015817870135784</v>
      </c>
      <c r="DN255" s="54">
        <f t="shared" si="365"/>
        <v>245</v>
      </c>
      <c r="DO255" s="54">
        <f t="shared" si="366"/>
        <v>246</v>
      </c>
      <c r="DP255" s="54">
        <f t="shared" si="367"/>
        <v>29.781212486818937</v>
      </c>
      <c r="DQ255" s="54" t="e">
        <f t="shared" si="368"/>
        <v>#N/A</v>
      </c>
      <c r="DR255" s="54" t="e">
        <f t="shared" si="369"/>
        <v>#N/A</v>
      </c>
      <c r="DS255" s="54">
        <f t="shared" si="370"/>
        <v>6.1845886960655789E-4</v>
      </c>
      <c r="DT255" s="54" t="e">
        <f t="shared" si="371"/>
        <v>#N/A</v>
      </c>
      <c r="DU255" s="54" t="b">
        <f t="shared" si="372"/>
        <v>0</v>
      </c>
      <c r="DV255" s="54" t="b">
        <f t="shared" si="373"/>
        <v>1</v>
      </c>
      <c r="DW255" s="54" t="b">
        <f t="shared" si="374"/>
        <v>1</v>
      </c>
      <c r="DX255" s="54" t="b">
        <f t="shared" si="375"/>
        <v>0</v>
      </c>
      <c r="DY255" s="54">
        <f t="shared" si="376"/>
        <v>6.1845886960655789E-4</v>
      </c>
      <c r="DZ255" s="54">
        <f t="shared" si="377"/>
        <v>6.1845886960655789E-4</v>
      </c>
      <c r="EA255" s="54" t="e">
        <f t="shared" si="378"/>
        <v>#N/A</v>
      </c>
      <c r="EB255" s="69" t="str">
        <f t="shared" si="379"/>
        <v/>
      </c>
      <c r="EG255" s="54">
        <f t="shared" si="380"/>
        <v>245</v>
      </c>
      <c r="EH255" s="54">
        <f t="shared" si="381"/>
        <v>246</v>
      </c>
      <c r="EI255" s="54">
        <f t="shared" si="382"/>
        <v>2.7788135466315218</v>
      </c>
      <c r="EJ255" s="54">
        <f t="shared" si="383"/>
        <v>8.3973349051078925E-3</v>
      </c>
      <c r="EK255" s="54" t="e">
        <f t="shared" si="384"/>
        <v>#N/A</v>
      </c>
      <c r="EL255" s="54" t="e">
        <f t="shared" si="385"/>
        <v>#N/A</v>
      </c>
      <c r="EM255" s="54" t="e">
        <f t="shared" si="386"/>
        <v>#N/A</v>
      </c>
      <c r="EN255" s="54" t="b">
        <f t="shared" si="387"/>
        <v>0</v>
      </c>
      <c r="EO255" s="54" t="b">
        <f t="shared" si="388"/>
        <v>1</v>
      </c>
      <c r="EP255" s="54" t="b">
        <f t="shared" si="389"/>
        <v>1</v>
      </c>
      <c r="EQ255" s="54" t="b">
        <f t="shared" si="390"/>
        <v>0</v>
      </c>
      <c r="ER255" s="54">
        <f t="shared" si="391"/>
        <v>8.3973349051078925E-3</v>
      </c>
      <c r="ES255" s="54">
        <f t="shared" si="392"/>
        <v>8.3973349051078925E-3</v>
      </c>
      <c r="ET255" s="54" t="e">
        <f t="shared" si="393"/>
        <v>#N/A</v>
      </c>
      <c r="EU255" s="69" t="str">
        <f t="shared" si="394"/>
        <v/>
      </c>
      <c r="EV25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5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5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55" s="54" t="e" cm="1">
        <f t="array" ref="EY255">IF($CR$3,INDEX(Eu_tabel_a[[#This Row],[Styrke venstre]:[Styrke tosidet]],EY$7),NA())</f>
        <v>#N/A</v>
      </c>
      <c r="EZ255" s="54" t="e">
        <f>IF(EY$3,IF(CHOOSE(EY$7,Eu_tabel_a[[#This Row],[x base]]&gt;0,Eu_tabel_a[[#This Row],[x base]]&lt;0,Eu_tabel_a[[#This Row],[x base]]=0),1,NA()),NA())</f>
        <v>#N/A</v>
      </c>
      <c r="FA255" s="54" t="e">
        <f>IF(CHOOSE(EY$7,Eu_tabel_a[[#This Row],[x base]]&gt;0,Eu_tabel_a[[#This Row],[x base]]&lt;0,Eu_tabel_a[[#This Row],[x base]]=0),Eu_tabel_a[[#This Row],[Styrke, aktiv]],NA())</f>
        <v>#N/A</v>
      </c>
      <c r="FB255" s="54" t="e">
        <f>IFERROR(IF($EY$3,Eu_tabel_a[[#This Row],[Styrke, aktiv]],NA()),NA())</f>
        <v>#N/A</v>
      </c>
      <c r="FC255" s="54" t="e">
        <f>IF(ISNA(Eu_tabel_a[[#This Row],[Sand negativ
Nulhypotese afvises
Korrekt]]),NA(),IF(EY$3,1,NA()))</f>
        <v>#N/A</v>
      </c>
      <c r="FD255" s="55" t="str" cm="1">
        <f t="array" ref="FD255">IFERROR(_xlfn.SWITCH(Eu_tabel_a[[#This Row],[Indeks]],_xlfn.IFNA(FB$2,-99),FB$5,_xlfn.IFNA(FB$3,-99),FB$6,_xlfn.IFNA(FB$4,-99),FB$7,""),"")</f>
        <v/>
      </c>
      <c r="FE255" s="54">
        <f>Eu_tabel_a[[#This Row],[x base]]*SQRT(Eu_a_h0_x*(1-Eu_a_h0_x)/Eu_a_n_x)+Eu_a_h0_x</f>
        <v>0</v>
      </c>
      <c r="FJ255" s="144" t="e">
        <f t="shared" si="338"/>
        <v>#N/A</v>
      </c>
      <c r="FK255" s="152" t="e">
        <f t="shared" si="426"/>
        <v>#DIV/0!</v>
      </c>
      <c r="FL255" s="7" t="e">
        <f t="shared" si="332"/>
        <v>#DIV/0!</v>
      </c>
      <c r="FM255" t="e">
        <f t="shared" si="427"/>
        <v>#DIV/0!</v>
      </c>
      <c r="FN255" s="8" t="e">
        <f t="shared" si="428"/>
        <v>#DIV/0!</v>
      </c>
      <c r="FO255" s="8" t="e">
        <f t="shared" si="429"/>
        <v>#DIV/0!</v>
      </c>
      <c r="FP255" s="151" t="e">
        <f t="shared" si="430"/>
        <v>#DIV/0!</v>
      </c>
      <c r="FQ255" s="144" t="e">
        <f t="shared" ca="1" si="333"/>
        <v>#N/A</v>
      </c>
      <c r="FR255" s="152" t="e" vm="3">
        <f t="shared" ca="1" si="339"/>
        <v>#VALUE!</v>
      </c>
      <c r="FS255" s="7" t="e" vm="3">
        <f t="shared" ca="1" si="334"/>
        <v>#VALUE!</v>
      </c>
      <c r="FT255" t="e" vm="3">
        <f t="shared" ca="1" si="328"/>
        <v>#VALUE!</v>
      </c>
      <c r="FU255" s="8" t="e" vm="3">
        <f t="shared" ca="1" si="329"/>
        <v>#VALUE!</v>
      </c>
      <c r="FV255" s="8" t="e" vm="3">
        <f t="shared" ca="1" si="330"/>
        <v>#VALUE!</v>
      </c>
      <c r="FW255" s="151" t="e" vm="3">
        <f t="shared" ca="1" si="331"/>
        <v>#VALUE!</v>
      </c>
      <c r="FX255" s="144" t="e">
        <f t="shared" si="335"/>
        <v>#N/A</v>
      </c>
      <c r="FY255" s="152" t="e">
        <f t="shared" si="340"/>
        <v>#N/A</v>
      </c>
      <c r="FZ255" s="7" t="e">
        <f t="shared" si="336"/>
        <v>#N/A</v>
      </c>
      <c r="GA255" t="e">
        <f t="shared" si="341"/>
        <v>#N/A</v>
      </c>
      <c r="GB255" s="8" t="e">
        <f t="shared" si="342"/>
        <v>#N/A</v>
      </c>
      <c r="GC255" s="8" t="e">
        <f t="shared" si="343"/>
        <v>#N/A</v>
      </c>
      <c r="GD255" s="151" t="e">
        <f t="shared" si="344"/>
        <v>#N/A</v>
      </c>
      <c r="GE255" s="144" t="e">
        <f t="shared" si="345"/>
        <v>#N/A</v>
      </c>
      <c r="GF255" s="152" t="e">
        <f t="shared" si="346"/>
        <v>#N/A</v>
      </c>
      <c r="GG255" s="7" t="e">
        <f t="shared" si="337"/>
        <v>#N/A</v>
      </c>
      <c r="GH255" t="e">
        <f t="shared" si="347"/>
        <v>#N/A</v>
      </c>
      <c r="GI255" s="8" t="e">
        <f t="shared" si="348"/>
        <v>#N/A</v>
      </c>
      <c r="GJ255" s="8" t="e">
        <f t="shared" si="349"/>
        <v>#N/A</v>
      </c>
      <c r="GK255" s="151" t="e">
        <f t="shared" si="350"/>
        <v>#N/A</v>
      </c>
      <c r="GL255" s="151"/>
      <c r="GM255" s="151"/>
      <c r="GP255" s="54">
        <f t="shared" si="395"/>
        <v>245</v>
      </c>
      <c r="GQ255" s="54">
        <f t="shared" si="396"/>
        <v>246</v>
      </c>
      <c r="GR255" s="54">
        <f t="shared" si="397"/>
        <v>2.7788135466315218</v>
      </c>
      <c r="GS255" s="54">
        <f t="shared" si="398"/>
        <v>8.3973349051078925E-3</v>
      </c>
      <c r="GT255" s="54" t="e">
        <f t="shared" si="399"/>
        <v>#N/A</v>
      </c>
      <c r="GU255" s="54" t="e">
        <f t="shared" si="400"/>
        <v>#N/A</v>
      </c>
      <c r="GV255" s="54" t="e">
        <f t="shared" si="401"/>
        <v>#N/A</v>
      </c>
      <c r="GW255" s="54" t="b">
        <f t="shared" si="402"/>
        <v>0</v>
      </c>
      <c r="GX255" s="54" t="b">
        <f t="shared" si="403"/>
        <v>1</v>
      </c>
      <c r="GY255" s="54" t="b">
        <f t="shared" si="404"/>
        <v>1</v>
      </c>
      <c r="GZ255" s="54" t="b">
        <f t="shared" si="405"/>
        <v>0</v>
      </c>
      <c r="HA255" s="54">
        <f t="shared" si="406"/>
        <v>8.3973349051078925E-3</v>
      </c>
      <c r="HB255" s="54">
        <f t="shared" si="407"/>
        <v>8.3973349051078925E-3</v>
      </c>
      <c r="HC255" s="54" t="e">
        <f t="shared" si="408"/>
        <v>#N/A</v>
      </c>
      <c r="HD255" s="69" t="str">
        <f t="shared" si="409"/>
        <v/>
      </c>
      <c r="HJ255" s="54">
        <f t="shared" si="410"/>
        <v>245</v>
      </c>
      <c r="HK255" s="54">
        <f t="shared" si="411"/>
        <v>246</v>
      </c>
      <c r="HL255" s="54">
        <f t="shared" si="412"/>
        <v>4.303051138930595</v>
      </c>
      <c r="HM255" s="54" t="e">
        <f t="shared" si="413"/>
        <v>#N/A</v>
      </c>
      <c r="HN255" s="54">
        <f t="shared" si="414"/>
        <v>2.1805995210078624E-3</v>
      </c>
      <c r="HO255" s="54" t="e">
        <f t="shared" si="415"/>
        <v>#N/A</v>
      </c>
      <c r="HP255" s="54" t="e">
        <f t="shared" si="416"/>
        <v>#N/A</v>
      </c>
      <c r="HQ255" s="54" t="b">
        <f t="shared" si="417"/>
        <v>0</v>
      </c>
      <c r="HR255" s="54" t="b">
        <f t="shared" si="418"/>
        <v>1</v>
      </c>
      <c r="HS255" s="54" t="b">
        <f t="shared" si="419"/>
        <v>1</v>
      </c>
      <c r="HT255" s="54" t="b">
        <f t="shared" si="420"/>
        <v>0</v>
      </c>
      <c r="HU255" s="54">
        <f t="shared" si="421"/>
        <v>2.1805995210078624E-3</v>
      </c>
      <c r="HV255" s="54" t="e">
        <f t="shared" si="422"/>
        <v>#N/A</v>
      </c>
      <c r="HW255" s="54">
        <f t="shared" si="423"/>
        <v>2.1805995210078624E-3</v>
      </c>
      <c r="HX255" s="69" t="str">
        <f t="shared" si="424"/>
        <v/>
      </c>
    </row>
    <row r="256" spans="78:232" x14ac:dyDescent="0.2">
      <c r="BZ256" s="54">
        <f t="shared" si="351"/>
        <v>246</v>
      </c>
      <c r="CA256" s="54">
        <f>Eu_tabel_g[[#This Row],[Indeks]]+1</f>
        <v>247</v>
      </c>
      <c r="CB256" s="54">
        <f t="shared" si="352"/>
        <v>2.8027688358266216</v>
      </c>
      <c r="CC256" s="54">
        <f t="shared" si="353"/>
        <v>7.8542923005407612E-3</v>
      </c>
      <c r="CD256" s="54" t="e">
        <f t="shared" si="354"/>
        <v>#N/A</v>
      </c>
      <c r="CE256" s="54" t="e">
        <f t="shared" si="355"/>
        <v>#N/A</v>
      </c>
      <c r="CF256" s="54" t="e">
        <f t="shared" si="356"/>
        <v>#N/A</v>
      </c>
      <c r="CG256" s="54" t="b">
        <f t="shared" si="357"/>
        <v>0</v>
      </c>
      <c r="CH256" s="54" t="b">
        <f t="shared" si="358"/>
        <v>1</v>
      </c>
      <c r="CI256" s="54" t="b">
        <f t="shared" si="359"/>
        <v>1</v>
      </c>
      <c r="CJ256" s="54" t="b">
        <f t="shared" si="360"/>
        <v>0</v>
      </c>
      <c r="CK256" s="54">
        <f t="shared" si="431"/>
        <v>7.8542923005407612E-3</v>
      </c>
      <c r="CL256" s="54">
        <f t="shared" si="361"/>
        <v>7.8542923005407612E-3</v>
      </c>
      <c r="CM256" s="54" t="e">
        <f t="shared" si="362"/>
        <v>#N/A</v>
      </c>
      <c r="CN256" s="69" t="str">
        <f t="shared" si="363"/>
        <v/>
      </c>
      <c r="CO256" s="54">
        <f>_xlfn.NORM.DIST(_xlfn.NORM.INV(1-Eu_g_konfidensniveau,0,1)-Eu_tabel_g[[#This Row],[x base]],0,1,TRUE)</f>
        <v>4.3412979959716034E-6</v>
      </c>
      <c r="CP256" s="54">
        <f>1-_xlfn.NORM.DIST(_xlfn.NORM.INV(Eu_g_konfidensniveau,0,1)-Eu_tabel_g[[#This Row],[x base]],0,1,TRUE)</f>
        <v>0.87655067983900459</v>
      </c>
      <c r="CQ256" s="54">
        <f>_xlfn.NORM.DIST(_xlfn.NORM.INV((1-Eu_g_konfidensniveau)/2,0,1)-Eu_tabel_g[[#This Row],[x base]],0,1,TRUE)+1-_xlfn.NORM.DIST(_xlfn.NORM.INV(1-(1-Eu_g_konfidensniveau)/2,0,1)-Eu_tabel_g[[#This Row],[x base]],0,1,TRUE)</f>
        <v>0.80033215776148392</v>
      </c>
      <c r="CR256" s="54" t="e" cm="1">
        <f t="array" ref="CR256">IF($CR$3,INDEX(Eu_tabel_g[[#This Row],[Styrke venstre]:[Styrke tosidet]],CR$7),NA())</f>
        <v>#N/A</v>
      </c>
      <c r="CS256" s="89" t="e">
        <f>Eu_tabel_g[[#This Row],[Falsk positiv
Nulhypotese accepteres
Fejltype 1]]</f>
        <v>#N/A</v>
      </c>
      <c r="CT256" s="89" t="e">
        <f>IF(CHOOSE(CR$7,Eu_tabel_g[[#This Row],[x base]]&gt;0,Eu_tabel_g[[#This Row],[x base]]&lt;0,Eu_tabel_g[[#This Row],[x base]]=0),Eu_tabel_g[[#This Row],[Styrke, aktiv]],NA())</f>
        <v>#N/A</v>
      </c>
      <c r="CU256" s="89" t="e">
        <f>IFERROR(IF($CR$3,Eu_tabel_g[[#This Row],[Styrke, aktiv]],NA()),NA())</f>
        <v>#N/A</v>
      </c>
      <c r="CV256" s="89" t="e">
        <f>IF(ISNA(Eu_tabel_g[[#This Row],[Sand negativ
Nulhypotese afvises
Korrekt]]),NA(),IF($CR$3,1,NA()))</f>
        <v>#N/A</v>
      </c>
      <c r="CW256" s="56" t="str" cm="1">
        <f t="array" ref="CW256">_xlfn.SWITCH(BZ256,_xlfn.IFNA(CU$2,-99),CU$5,_xlfn.IFNA(CU$3,-99),CU$6,_xlfn.IFNA(CU$4,-99),CU$7,"")</f>
        <v/>
      </c>
      <c r="DA256" s="7">
        <f t="shared" si="364"/>
        <v>0.8</v>
      </c>
      <c r="DB256">
        <f>IF(ROW(Styrkeberegning_G[[#This Row],[X base venstre]])=ROW(Styrkeberegning_G[[#Headers],[X base venstre]])+1,DB$7/(DA$7/$B$67),DB255/(DA255/$B$67))</f>
        <v>-2.8015817870135784</v>
      </c>
      <c r="DC256">
        <f>Styrkeberegning_G[[#This Row],[X base venstre]]*-1</f>
        <v>2.8015817870135784</v>
      </c>
      <c r="DN256" s="54">
        <f t="shared" si="365"/>
        <v>246</v>
      </c>
      <c r="DO256" s="54">
        <f t="shared" si="366"/>
        <v>247</v>
      </c>
      <c r="DP256" s="54">
        <f t="shared" si="367"/>
        <v>29.895283343235938</v>
      </c>
      <c r="DQ256" s="54" t="e">
        <f t="shared" si="368"/>
        <v>#N/A</v>
      </c>
      <c r="DR256" s="54" t="e">
        <f t="shared" si="369"/>
        <v>#N/A</v>
      </c>
      <c r="DS256" s="54">
        <f t="shared" si="370"/>
        <v>5.9430857244359425E-4</v>
      </c>
      <c r="DT256" s="54" t="e">
        <f t="shared" si="371"/>
        <v>#N/A</v>
      </c>
      <c r="DU256" s="54" t="b">
        <f t="shared" si="372"/>
        <v>0</v>
      </c>
      <c r="DV256" s="54" t="b">
        <f t="shared" si="373"/>
        <v>1</v>
      </c>
      <c r="DW256" s="54" t="b">
        <f t="shared" si="374"/>
        <v>1</v>
      </c>
      <c r="DX256" s="54" t="b">
        <f t="shared" si="375"/>
        <v>0</v>
      </c>
      <c r="DY256" s="54">
        <f t="shared" si="376"/>
        <v>5.9430857244359425E-4</v>
      </c>
      <c r="DZ256" s="54">
        <f t="shared" si="377"/>
        <v>5.9430857244359425E-4</v>
      </c>
      <c r="EA256" s="54" t="e">
        <f t="shared" si="378"/>
        <v>#N/A</v>
      </c>
      <c r="EB256" s="69" t="str">
        <f t="shared" si="379"/>
        <v/>
      </c>
      <c r="EG256" s="54">
        <f t="shared" si="380"/>
        <v>246</v>
      </c>
      <c r="EH256" s="54">
        <f t="shared" si="381"/>
        <v>247</v>
      </c>
      <c r="EI256" s="54">
        <f t="shared" si="382"/>
        <v>2.8027688358266216</v>
      </c>
      <c r="EJ256" s="54">
        <f t="shared" si="383"/>
        <v>7.8542923005407612E-3</v>
      </c>
      <c r="EK256" s="54" t="e">
        <f t="shared" si="384"/>
        <v>#N/A</v>
      </c>
      <c r="EL256" s="54" t="e">
        <f t="shared" si="385"/>
        <v>#N/A</v>
      </c>
      <c r="EM256" s="54" t="e">
        <f t="shared" si="386"/>
        <v>#N/A</v>
      </c>
      <c r="EN256" s="54" t="b">
        <f t="shared" si="387"/>
        <v>0</v>
      </c>
      <c r="EO256" s="54" t="b">
        <f t="shared" si="388"/>
        <v>1</v>
      </c>
      <c r="EP256" s="54" t="b">
        <f t="shared" si="389"/>
        <v>1</v>
      </c>
      <c r="EQ256" s="54" t="b">
        <f t="shared" si="390"/>
        <v>0</v>
      </c>
      <c r="ER256" s="54">
        <f t="shared" si="391"/>
        <v>7.8542923005407612E-3</v>
      </c>
      <c r="ES256" s="54">
        <f t="shared" si="392"/>
        <v>7.8542923005407612E-3</v>
      </c>
      <c r="ET256" s="54" t="e">
        <f t="shared" si="393"/>
        <v>#N/A</v>
      </c>
      <c r="EU256" s="69" t="str">
        <f t="shared" si="394"/>
        <v/>
      </c>
      <c r="EV25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5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5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56" s="54" t="e" cm="1">
        <f t="array" ref="EY256">IF($CR$3,INDEX(Eu_tabel_a[[#This Row],[Styrke venstre]:[Styrke tosidet]],EY$7),NA())</f>
        <v>#N/A</v>
      </c>
      <c r="EZ256" s="54" t="e">
        <f>IF(EY$3,IF(CHOOSE(EY$7,Eu_tabel_a[[#This Row],[x base]]&gt;0,Eu_tabel_a[[#This Row],[x base]]&lt;0,Eu_tabel_a[[#This Row],[x base]]=0),1,NA()),NA())</f>
        <v>#N/A</v>
      </c>
      <c r="FA256" s="54" t="e">
        <f>IF(CHOOSE(EY$7,Eu_tabel_a[[#This Row],[x base]]&gt;0,Eu_tabel_a[[#This Row],[x base]]&lt;0,Eu_tabel_a[[#This Row],[x base]]=0),Eu_tabel_a[[#This Row],[Styrke, aktiv]],NA())</f>
        <v>#N/A</v>
      </c>
      <c r="FB256" s="54" t="e">
        <f>IFERROR(IF($EY$3,Eu_tabel_a[[#This Row],[Styrke, aktiv]],NA()),NA())</f>
        <v>#N/A</v>
      </c>
      <c r="FC256" s="54" t="e">
        <f>IF(ISNA(Eu_tabel_a[[#This Row],[Sand negativ
Nulhypotese afvises
Korrekt]]),NA(),IF(EY$3,1,NA()))</f>
        <v>#N/A</v>
      </c>
      <c r="FD256" s="55" t="str" cm="1">
        <f t="array" ref="FD256">IFERROR(_xlfn.SWITCH(Eu_tabel_a[[#This Row],[Indeks]],_xlfn.IFNA(FB$2,-99),FB$5,_xlfn.IFNA(FB$3,-99),FB$6,_xlfn.IFNA(FB$4,-99),FB$7,""),"")</f>
        <v/>
      </c>
      <c r="FE256" s="54">
        <f>Eu_tabel_a[[#This Row],[x base]]*SQRT(Eu_a_h0_x*(1-Eu_a_h0_x)/Eu_a_n_x)+Eu_a_h0_x</f>
        <v>0</v>
      </c>
      <c r="FJ256" s="144" t="e">
        <f t="shared" si="338"/>
        <v>#N/A</v>
      </c>
      <c r="FK256" s="152" t="e">
        <f t="shared" si="426"/>
        <v>#DIV/0!</v>
      </c>
      <c r="FL256" s="7" t="e">
        <f t="shared" si="332"/>
        <v>#DIV/0!</v>
      </c>
      <c r="FM256" t="e">
        <f t="shared" si="427"/>
        <v>#DIV/0!</v>
      </c>
      <c r="FN256" s="8" t="e">
        <f t="shared" si="428"/>
        <v>#DIV/0!</v>
      </c>
      <c r="FO256" s="8" t="e">
        <f t="shared" si="429"/>
        <v>#DIV/0!</v>
      </c>
      <c r="FP256" s="151" t="e">
        <f t="shared" si="430"/>
        <v>#DIV/0!</v>
      </c>
      <c r="FQ256" s="144" t="e">
        <f t="shared" ca="1" si="333"/>
        <v>#N/A</v>
      </c>
      <c r="FR256" s="152" t="e" vm="3">
        <f t="shared" ca="1" si="339"/>
        <v>#VALUE!</v>
      </c>
      <c r="FS256" s="7" t="e" vm="3">
        <f t="shared" ca="1" si="334"/>
        <v>#VALUE!</v>
      </c>
      <c r="FT256" t="e" vm="3">
        <f t="shared" ca="1" si="328"/>
        <v>#VALUE!</v>
      </c>
      <c r="FU256" s="8" t="e" vm="3">
        <f t="shared" ca="1" si="329"/>
        <v>#VALUE!</v>
      </c>
      <c r="FV256" s="8" t="e" vm="3">
        <f t="shared" ca="1" si="330"/>
        <v>#VALUE!</v>
      </c>
      <c r="FW256" s="151" t="e" vm="3">
        <f t="shared" ca="1" si="331"/>
        <v>#VALUE!</v>
      </c>
      <c r="FX256" s="144" t="e">
        <f t="shared" si="335"/>
        <v>#N/A</v>
      </c>
      <c r="FY256" s="152" t="e">
        <f t="shared" si="340"/>
        <v>#N/A</v>
      </c>
      <c r="FZ256" s="7" t="e">
        <f t="shared" si="336"/>
        <v>#N/A</v>
      </c>
      <c r="GA256" t="e">
        <f t="shared" si="341"/>
        <v>#N/A</v>
      </c>
      <c r="GB256" s="8" t="e">
        <f t="shared" si="342"/>
        <v>#N/A</v>
      </c>
      <c r="GC256" s="8" t="e">
        <f t="shared" si="343"/>
        <v>#N/A</v>
      </c>
      <c r="GD256" s="151" t="e">
        <f t="shared" si="344"/>
        <v>#N/A</v>
      </c>
      <c r="GE256" s="144" t="e">
        <f t="shared" si="345"/>
        <v>#N/A</v>
      </c>
      <c r="GF256" s="152" t="e">
        <f t="shared" si="346"/>
        <v>#N/A</v>
      </c>
      <c r="GG256" s="7" t="e">
        <f t="shared" si="337"/>
        <v>#N/A</v>
      </c>
      <c r="GH256" t="e">
        <f t="shared" si="347"/>
        <v>#N/A</v>
      </c>
      <c r="GI256" s="8" t="e">
        <f t="shared" si="348"/>
        <v>#N/A</v>
      </c>
      <c r="GJ256" s="8" t="e">
        <f t="shared" si="349"/>
        <v>#N/A</v>
      </c>
      <c r="GK256" s="151" t="e">
        <f t="shared" si="350"/>
        <v>#N/A</v>
      </c>
      <c r="GL256" s="151"/>
      <c r="GM256" s="151"/>
      <c r="GP256" s="54">
        <f t="shared" si="395"/>
        <v>246</v>
      </c>
      <c r="GQ256" s="54">
        <f t="shared" si="396"/>
        <v>247</v>
      </c>
      <c r="GR256" s="54">
        <f t="shared" si="397"/>
        <v>2.8027688358266216</v>
      </c>
      <c r="GS256" s="54">
        <f t="shared" si="398"/>
        <v>7.8542923005407612E-3</v>
      </c>
      <c r="GT256" s="54" t="e">
        <f t="shared" si="399"/>
        <v>#N/A</v>
      </c>
      <c r="GU256" s="54" t="e">
        <f t="shared" si="400"/>
        <v>#N/A</v>
      </c>
      <c r="GV256" s="54" t="e">
        <f t="shared" si="401"/>
        <v>#N/A</v>
      </c>
      <c r="GW256" s="54" t="b">
        <f t="shared" si="402"/>
        <v>0</v>
      </c>
      <c r="GX256" s="54" t="b">
        <f t="shared" si="403"/>
        <v>1</v>
      </c>
      <c r="GY256" s="54" t="b">
        <f t="shared" si="404"/>
        <v>1</v>
      </c>
      <c r="GZ256" s="54" t="b">
        <f t="shared" si="405"/>
        <v>0</v>
      </c>
      <c r="HA256" s="54">
        <f t="shared" si="406"/>
        <v>7.8542923005407612E-3</v>
      </c>
      <c r="HB256" s="54">
        <f t="shared" si="407"/>
        <v>7.8542923005407612E-3</v>
      </c>
      <c r="HC256" s="54" t="e">
        <f t="shared" si="408"/>
        <v>#N/A</v>
      </c>
      <c r="HD256" s="69" t="str">
        <f t="shared" si="409"/>
        <v/>
      </c>
      <c r="HJ256" s="54">
        <f t="shared" si="410"/>
        <v>246</v>
      </c>
      <c r="HK256" s="54">
        <f t="shared" si="411"/>
        <v>247</v>
      </c>
      <c r="HL256" s="54">
        <f t="shared" si="412"/>
        <v>4.3401464073696516</v>
      </c>
      <c r="HM256" s="54" t="e">
        <f t="shared" si="413"/>
        <v>#N/A</v>
      </c>
      <c r="HN256" s="54">
        <f t="shared" si="414"/>
        <v>2.0743574203867855E-3</v>
      </c>
      <c r="HO256" s="54" t="e">
        <f t="shared" si="415"/>
        <v>#N/A</v>
      </c>
      <c r="HP256" s="54" t="e">
        <f t="shared" si="416"/>
        <v>#N/A</v>
      </c>
      <c r="HQ256" s="54" t="b">
        <f t="shared" si="417"/>
        <v>0</v>
      </c>
      <c r="HR256" s="54" t="b">
        <f t="shared" si="418"/>
        <v>1</v>
      </c>
      <c r="HS256" s="54" t="b">
        <f t="shared" si="419"/>
        <v>1</v>
      </c>
      <c r="HT256" s="54" t="b">
        <f t="shared" si="420"/>
        <v>0</v>
      </c>
      <c r="HU256" s="54">
        <f t="shared" si="421"/>
        <v>2.0743574203867855E-3</v>
      </c>
      <c r="HV256" s="54" t="e">
        <f t="shared" si="422"/>
        <v>#N/A</v>
      </c>
      <c r="HW256" s="54">
        <f t="shared" si="423"/>
        <v>2.0743574203867855E-3</v>
      </c>
      <c r="HX256" s="69" t="str">
        <f t="shared" si="424"/>
        <v/>
      </c>
    </row>
    <row r="257" spans="78:232" x14ac:dyDescent="0.2">
      <c r="BZ257" s="54">
        <f t="shared" si="351"/>
        <v>247</v>
      </c>
      <c r="CA257" s="54">
        <f>Eu_tabel_g[[#This Row],[Indeks]]+1</f>
        <v>248</v>
      </c>
      <c r="CB257" s="54">
        <f t="shared" si="352"/>
        <v>2.8267241250217205</v>
      </c>
      <c r="CC257" s="54">
        <f t="shared" si="353"/>
        <v>7.3421528709367023E-3</v>
      </c>
      <c r="CD257" s="54" t="e">
        <f t="shared" si="354"/>
        <v>#N/A</v>
      </c>
      <c r="CE257" s="54" t="e">
        <f t="shared" si="355"/>
        <v>#N/A</v>
      </c>
      <c r="CF257" s="54" t="e">
        <f t="shared" si="356"/>
        <v>#N/A</v>
      </c>
      <c r="CG257" s="54" t="b">
        <f t="shared" si="357"/>
        <v>0</v>
      </c>
      <c r="CH257" s="54" t="b">
        <f t="shared" si="358"/>
        <v>1</v>
      </c>
      <c r="CI257" s="54" t="b">
        <f t="shared" si="359"/>
        <v>1</v>
      </c>
      <c r="CJ257" s="54" t="b">
        <f t="shared" si="360"/>
        <v>0</v>
      </c>
      <c r="CK257" s="54">
        <f t="shared" si="431"/>
        <v>7.3421528709367023E-3</v>
      </c>
      <c r="CL257" s="54">
        <f t="shared" si="361"/>
        <v>7.3421528709367023E-3</v>
      </c>
      <c r="CM257" s="54" t="e">
        <f t="shared" si="362"/>
        <v>#N/A</v>
      </c>
      <c r="CN257" s="69" t="str">
        <f t="shared" si="363"/>
        <v/>
      </c>
      <c r="CO257" s="54">
        <f>_xlfn.NORM.DIST(_xlfn.NORM.INV(1-Eu_g_konfidensniveau,0,1)-Eu_tabel_g[[#This Row],[x base]],0,1,TRUE)</f>
        <v>3.8822309909310449E-6</v>
      </c>
      <c r="CP257" s="54">
        <f>1-_xlfn.NORM.DIST(_xlfn.NORM.INV(Eu_g_konfidensniveau,0,1)-Eu_tabel_g[[#This Row],[x base]],0,1,TRUE)</f>
        <v>0.88137145520395488</v>
      </c>
      <c r="CQ257" s="54">
        <f>_xlfn.NORM.DIST(_xlfn.NORM.INV((1-Eu_g_konfidensniveau)/2,0,1)-Eu_tabel_g[[#This Row],[x base]],0,1,TRUE)+1-_xlfn.NORM.DIST(_xlfn.NORM.INV(1-(1-Eu_g_konfidensniveau)/2,0,1)-Eu_tabel_g[[#This Row],[x base]],0,1,TRUE)</f>
        <v>0.80696412483467084</v>
      </c>
      <c r="CR257" s="54" t="e" cm="1">
        <f t="array" ref="CR257">IF($CR$3,INDEX(Eu_tabel_g[[#This Row],[Styrke venstre]:[Styrke tosidet]],CR$7),NA())</f>
        <v>#N/A</v>
      </c>
      <c r="CS257" s="89" t="e">
        <f>Eu_tabel_g[[#This Row],[Falsk positiv
Nulhypotese accepteres
Fejltype 1]]</f>
        <v>#N/A</v>
      </c>
      <c r="CT257" s="89" t="e">
        <f>IF(CHOOSE(CR$7,Eu_tabel_g[[#This Row],[x base]]&gt;0,Eu_tabel_g[[#This Row],[x base]]&lt;0,Eu_tabel_g[[#This Row],[x base]]=0),Eu_tabel_g[[#This Row],[Styrke, aktiv]],NA())</f>
        <v>#N/A</v>
      </c>
      <c r="CU257" s="89" t="e">
        <f>IFERROR(IF($CR$3,Eu_tabel_g[[#This Row],[Styrke, aktiv]],NA()),NA())</f>
        <v>#N/A</v>
      </c>
      <c r="CV257" s="89" t="e">
        <f>IF(ISNA(Eu_tabel_g[[#This Row],[Sand negativ
Nulhypotese afvises
Korrekt]]),NA(),IF($CR$3,1,NA()))</f>
        <v>#N/A</v>
      </c>
      <c r="CW257" s="56" t="str" cm="1">
        <f t="array" ref="CW257">_xlfn.SWITCH(BZ257,_xlfn.IFNA(CU$2,-99),CU$5,_xlfn.IFNA(CU$3,-99),CU$6,_xlfn.IFNA(CU$4,-99),CU$7,"")</f>
        <v/>
      </c>
      <c r="DA257" s="7">
        <f t="shared" si="364"/>
        <v>0.8</v>
      </c>
      <c r="DB257">
        <f>IF(ROW(Styrkeberegning_G[[#This Row],[X base venstre]])=ROW(Styrkeberegning_G[[#Headers],[X base venstre]])+1,DB$7/(DA$7/$B$67),DB256/(DA256/$B$67))</f>
        <v>-2.8015817870135784</v>
      </c>
      <c r="DC257">
        <f>Styrkeberegning_G[[#This Row],[X base venstre]]*-1</f>
        <v>2.8015817870135784</v>
      </c>
      <c r="DN257" s="54">
        <f t="shared" si="365"/>
        <v>247</v>
      </c>
      <c r="DO257" s="54">
        <f t="shared" si="366"/>
        <v>248</v>
      </c>
      <c r="DP257" s="54">
        <f t="shared" si="367"/>
        <v>30.00935419965294</v>
      </c>
      <c r="DQ257" s="54" t="e">
        <f t="shared" si="368"/>
        <v>#N/A</v>
      </c>
      <c r="DR257" s="54" t="e">
        <f t="shared" si="369"/>
        <v>#N/A</v>
      </c>
      <c r="DS257" s="54">
        <f t="shared" si="370"/>
        <v>5.7106390789980711E-4</v>
      </c>
      <c r="DT257" s="54" t="e">
        <f t="shared" si="371"/>
        <v>#N/A</v>
      </c>
      <c r="DU257" s="54" t="b">
        <f t="shared" si="372"/>
        <v>0</v>
      </c>
      <c r="DV257" s="54" t="b">
        <f t="shared" si="373"/>
        <v>1</v>
      </c>
      <c r="DW257" s="54" t="b">
        <f t="shared" si="374"/>
        <v>1</v>
      </c>
      <c r="DX257" s="54" t="b">
        <f t="shared" si="375"/>
        <v>0</v>
      </c>
      <c r="DY257" s="54">
        <f t="shared" si="376"/>
        <v>5.7106390789980711E-4</v>
      </c>
      <c r="DZ257" s="54">
        <f t="shared" si="377"/>
        <v>5.7106390789980711E-4</v>
      </c>
      <c r="EA257" s="54" t="e">
        <f t="shared" si="378"/>
        <v>#N/A</v>
      </c>
      <c r="EB257" s="69" t="str">
        <f t="shared" si="379"/>
        <v/>
      </c>
      <c r="EG257" s="54">
        <f t="shared" si="380"/>
        <v>247</v>
      </c>
      <c r="EH257" s="54">
        <f t="shared" si="381"/>
        <v>248</v>
      </c>
      <c r="EI257" s="54">
        <f t="shared" si="382"/>
        <v>2.8267241250217205</v>
      </c>
      <c r="EJ257" s="54">
        <f t="shared" si="383"/>
        <v>7.3421528709367023E-3</v>
      </c>
      <c r="EK257" s="54" t="e">
        <f t="shared" si="384"/>
        <v>#N/A</v>
      </c>
      <c r="EL257" s="54" t="e">
        <f t="shared" si="385"/>
        <v>#N/A</v>
      </c>
      <c r="EM257" s="54" t="e">
        <f t="shared" si="386"/>
        <v>#N/A</v>
      </c>
      <c r="EN257" s="54" t="b">
        <f t="shared" si="387"/>
        <v>0</v>
      </c>
      <c r="EO257" s="54" t="b">
        <f t="shared" si="388"/>
        <v>1</v>
      </c>
      <c r="EP257" s="54" t="b">
        <f t="shared" si="389"/>
        <v>1</v>
      </c>
      <c r="EQ257" s="54" t="b">
        <f t="shared" si="390"/>
        <v>0</v>
      </c>
      <c r="ER257" s="54">
        <f t="shared" si="391"/>
        <v>7.3421528709367023E-3</v>
      </c>
      <c r="ES257" s="54">
        <f t="shared" si="392"/>
        <v>7.3421528709367023E-3</v>
      </c>
      <c r="ET257" s="54" t="e">
        <f t="shared" si="393"/>
        <v>#N/A</v>
      </c>
      <c r="EU257" s="69" t="str">
        <f t="shared" si="394"/>
        <v/>
      </c>
      <c r="EV25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5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5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57" s="54" t="e" cm="1">
        <f t="array" ref="EY257">IF($CR$3,INDEX(Eu_tabel_a[[#This Row],[Styrke venstre]:[Styrke tosidet]],EY$7),NA())</f>
        <v>#N/A</v>
      </c>
      <c r="EZ257" s="54" t="e">
        <f>IF(EY$3,IF(CHOOSE(EY$7,Eu_tabel_a[[#This Row],[x base]]&gt;0,Eu_tabel_a[[#This Row],[x base]]&lt;0,Eu_tabel_a[[#This Row],[x base]]=0),1,NA()),NA())</f>
        <v>#N/A</v>
      </c>
      <c r="FA257" s="54" t="e">
        <f>IF(CHOOSE(EY$7,Eu_tabel_a[[#This Row],[x base]]&gt;0,Eu_tabel_a[[#This Row],[x base]]&lt;0,Eu_tabel_a[[#This Row],[x base]]=0),Eu_tabel_a[[#This Row],[Styrke, aktiv]],NA())</f>
        <v>#N/A</v>
      </c>
      <c r="FB257" s="54" t="e">
        <f>IFERROR(IF($EY$3,Eu_tabel_a[[#This Row],[Styrke, aktiv]],NA()),NA())</f>
        <v>#N/A</v>
      </c>
      <c r="FC257" s="54" t="e">
        <f>IF(ISNA(Eu_tabel_a[[#This Row],[Sand negativ
Nulhypotese afvises
Korrekt]]),NA(),IF(EY$3,1,NA()))</f>
        <v>#N/A</v>
      </c>
      <c r="FD257" s="55" t="str" cm="1">
        <f t="array" ref="FD257">IFERROR(_xlfn.SWITCH(Eu_tabel_a[[#This Row],[Indeks]],_xlfn.IFNA(FB$2,-99),FB$5,_xlfn.IFNA(FB$3,-99),FB$6,_xlfn.IFNA(FB$4,-99),FB$7,""),"")</f>
        <v/>
      </c>
      <c r="FE257" s="54">
        <f>Eu_tabel_a[[#This Row],[x base]]*SQRT(Eu_a_h0_x*(1-Eu_a_h0_x)/Eu_a_n_x)+Eu_a_h0_x</f>
        <v>0</v>
      </c>
      <c r="FJ257" s="144" t="e">
        <f t="shared" si="338"/>
        <v>#N/A</v>
      </c>
      <c r="FK257" s="152" t="e">
        <f t="shared" si="426"/>
        <v>#DIV/0!</v>
      </c>
      <c r="FL257" s="7" t="e">
        <f t="shared" si="332"/>
        <v>#DIV/0!</v>
      </c>
      <c r="FM257" t="e">
        <f t="shared" si="427"/>
        <v>#DIV/0!</v>
      </c>
      <c r="FN257" s="8" t="e">
        <f t="shared" si="428"/>
        <v>#DIV/0!</v>
      </c>
      <c r="FO257" s="8" t="e">
        <f t="shared" si="429"/>
        <v>#DIV/0!</v>
      </c>
      <c r="FP257" s="151" t="e">
        <f t="shared" si="430"/>
        <v>#DIV/0!</v>
      </c>
      <c r="FQ257" s="144" t="e">
        <f t="shared" ca="1" si="333"/>
        <v>#N/A</v>
      </c>
      <c r="FR257" s="152" t="e" vm="3">
        <f t="shared" ca="1" si="339"/>
        <v>#VALUE!</v>
      </c>
      <c r="FS257" s="7" t="e" vm="3">
        <f t="shared" ca="1" si="334"/>
        <v>#VALUE!</v>
      </c>
      <c r="FT257" t="e" vm="3">
        <f t="shared" ca="1" si="328"/>
        <v>#VALUE!</v>
      </c>
      <c r="FU257" s="8" t="e" vm="3">
        <f t="shared" ca="1" si="329"/>
        <v>#VALUE!</v>
      </c>
      <c r="FV257" s="8" t="e" vm="3">
        <f t="shared" ca="1" si="330"/>
        <v>#VALUE!</v>
      </c>
      <c r="FW257" s="151" t="e" vm="3">
        <f t="shared" ca="1" si="331"/>
        <v>#VALUE!</v>
      </c>
      <c r="FX257" s="144" t="e">
        <f t="shared" si="335"/>
        <v>#N/A</v>
      </c>
      <c r="FY257" s="152" t="e">
        <f t="shared" si="340"/>
        <v>#N/A</v>
      </c>
      <c r="FZ257" s="7" t="e">
        <f t="shared" si="336"/>
        <v>#N/A</v>
      </c>
      <c r="GA257" t="e">
        <f t="shared" si="341"/>
        <v>#N/A</v>
      </c>
      <c r="GB257" s="8" t="e">
        <f t="shared" si="342"/>
        <v>#N/A</v>
      </c>
      <c r="GC257" s="8" t="e">
        <f t="shared" si="343"/>
        <v>#N/A</v>
      </c>
      <c r="GD257" s="151" t="e">
        <f t="shared" si="344"/>
        <v>#N/A</v>
      </c>
      <c r="GE257" s="144" t="e">
        <f t="shared" si="345"/>
        <v>#N/A</v>
      </c>
      <c r="GF257" s="152" t="e">
        <f t="shared" si="346"/>
        <v>#N/A</v>
      </c>
      <c r="GG257" s="7" t="e">
        <f t="shared" si="337"/>
        <v>#N/A</v>
      </c>
      <c r="GH257" t="e">
        <f t="shared" si="347"/>
        <v>#N/A</v>
      </c>
      <c r="GI257" s="8" t="e">
        <f t="shared" si="348"/>
        <v>#N/A</v>
      </c>
      <c r="GJ257" s="8" t="e">
        <f t="shared" si="349"/>
        <v>#N/A</v>
      </c>
      <c r="GK257" s="151" t="e">
        <f t="shared" si="350"/>
        <v>#N/A</v>
      </c>
      <c r="GL257" s="151"/>
      <c r="GM257" s="151"/>
      <c r="GP257" s="54">
        <f t="shared" si="395"/>
        <v>247</v>
      </c>
      <c r="GQ257" s="54">
        <f t="shared" si="396"/>
        <v>248</v>
      </c>
      <c r="GR257" s="54">
        <f t="shared" si="397"/>
        <v>2.8267241250217205</v>
      </c>
      <c r="GS257" s="54">
        <f t="shared" si="398"/>
        <v>7.3421528709367023E-3</v>
      </c>
      <c r="GT257" s="54" t="e">
        <f t="shared" si="399"/>
        <v>#N/A</v>
      </c>
      <c r="GU257" s="54" t="e">
        <f t="shared" si="400"/>
        <v>#N/A</v>
      </c>
      <c r="GV257" s="54" t="e">
        <f t="shared" si="401"/>
        <v>#N/A</v>
      </c>
      <c r="GW257" s="54" t="b">
        <f t="shared" si="402"/>
        <v>0</v>
      </c>
      <c r="GX257" s="54" t="b">
        <f t="shared" si="403"/>
        <v>1</v>
      </c>
      <c r="GY257" s="54" t="b">
        <f t="shared" si="404"/>
        <v>1</v>
      </c>
      <c r="GZ257" s="54" t="b">
        <f t="shared" si="405"/>
        <v>0</v>
      </c>
      <c r="HA257" s="54">
        <f t="shared" si="406"/>
        <v>7.3421528709367023E-3</v>
      </c>
      <c r="HB257" s="54">
        <f t="shared" si="407"/>
        <v>7.3421528709367023E-3</v>
      </c>
      <c r="HC257" s="54" t="e">
        <f t="shared" si="408"/>
        <v>#N/A</v>
      </c>
      <c r="HD257" s="69" t="str">
        <f t="shared" si="409"/>
        <v/>
      </c>
      <c r="HJ257" s="54">
        <f t="shared" si="410"/>
        <v>247</v>
      </c>
      <c r="HK257" s="54">
        <f t="shared" si="411"/>
        <v>248</v>
      </c>
      <c r="HL257" s="54">
        <f t="shared" si="412"/>
        <v>4.3772416758087083</v>
      </c>
      <c r="HM257" s="54" t="e">
        <f t="shared" si="413"/>
        <v>#N/A</v>
      </c>
      <c r="HN257" s="54">
        <f t="shared" si="414"/>
        <v>1.9736768102251228E-3</v>
      </c>
      <c r="HO257" s="54" t="e">
        <f t="shared" si="415"/>
        <v>#N/A</v>
      </c>
      <c r="HP257" s="54" t="e">
        <f t="shared" si="416"/>
        <v>#N/A</v>
      </c>
      <c r="HQ257" s="54" t="b">
        <f t="shared" si="417"/>
        <v>0</v>
      </c>
      <c r="HR257" s="54" t="b">
        <f t="shared" si="418"/>
        <v>1</v>
      </c>
      <c r="HS257" s="54" t="b">
        <f t="shared" si="419"/>
        <v>1</v>
      </c>
      <c r="HT257" s="54" t="b">
        <f t="shared" si="420"/>
        <v>0</v>
      </c>
      <c r="HU257" s="54">
        <f t="shared" si="421"/>
        <v>1.9736768102251228E-3</v>
      </c>
      <c r="HV257" s="54" t="e">
        <f t="shared" si="422"/>
        <v>#N/A</v>
      </c>
      <c r="HW257" s="54">
        <f t="shared" si="423"/>
        <v>1.9736768102251228E-3</v>
      </c>
      <c r="HX257" s="69" t="str">
        <f t="shared" si="424"/>
        <v/>
      </c>
    </row>
    <row r="258" spans="78:232" x14ac:dyDescent="0.2">
      <c r="BZ258" s="54">
        <f t="shared" si="351"/>
        <v>248</v>
      </c>
      <c r="CA258" s="54">
        <f>Eu_tabel_g[[#This Row],[Indeks]]+1</f>
        <v>249</v>
      </c>
      <c r="CB258" s="54">
        <f t="shared" si="352"/>
        <v>2.8506794142168195</v>
      </c>
      <c r="CC258" s="54">
        <f t="shared" si="353"/>
        <v>6.8594700355305563E-3</v>
      </c>
      <c r="CD258" s="54" t="e">
        <f t="shared" si="354"/>
        <v>#N/A</v>
      </c>
      <c r="CE258" s="54" t="e">
        <f t="shared" si="355"/>
        <v>#N/A</v>
      </c>
      <c r="CF258" s="54" t="e">
        <f t="shared" si="356"/>
        <v>#N/A</v>
      </c>
      <c r="CG258" s="54" t="b">
        <f t="shared" si="357"/>
        <v>0</v>
      </c>
      <c r="CH258" s="54" t="b">
        <f t="shared" si="358"/>
        <v>1</v>
      </c>
      <c r="CI258" s="54" t="b">
        <f t="shared" si="359"/>
        <v>1</v>
      </c>
      <c r="CJ258" s="54" t="b">
        <f t="shared" si="360"/>
        <v>0</v>
      </c>
      <c r="CK258" s="54">
        <f t="shared" si="431"/>
        <v>6.8594700355305563E-3</v>
      </c>
      <c r="CL258" s="54">
        <f t="shared" si="361"/>
        <v>6.8594700355305563E-3</v>
      </c>
      <c r="CM258" s="54" t="e">
        <f t="shared" si="362"/>
        <v>#N/A</v>
      </c>
      <c r="CN258" s="69" t="str">
        <f t="shared" si="363"/>
        <v/>
      </c>
      <c r="CO258" s="54">
        <f>_xlfn.NORM.DIST(_xlfn.NORM.INV(1-Eu_g_konfidensniveau,0,1)-Eu_tabel_g[[#This Row],[x base]],0,1,TRUE)</f>
        <v>3.4697940337063963E-6</v>
      </c>
      <c r="CP258" s="54">
        <f>1-_xlfn.NORM.DIST(_xlfn.NORM.INV(Eu_g_konfidensniveau,0,1)-Eu_tabel_g[[#This Row],[x base]],0,1,TRUE)</f>
        <v>0.8860576648764078</v>
      </c>
      <c r="CQ258" s="54">
        <f>_xlfn.NORM.DIST(_xlfn.NORM.INV((1-Eu_g_konfidensniveau)/2,0,1)-Eu_tabel_g[[#This Row],[x base]],0,1,TRUE)+1-_xlfn.NORM.DIST(_xlfn.NORM.INV(1-(1-Eu_g_konfidensniveau)/2,0,1)-Eu_tabel_g[[#This Row],[x base]],0,1,TRUE)</f>
        <v>0.81345982473559109</v>
      </c>
      <c r="CR258" s="54" t="e" cm="1">
        <f t="array" ref="CR258">IF($CR$3,INDEX(Eu_tabel_g[[#This Row],[Styrke venstre]:[Styrke tosidet]],CR$7),NA())</f>
        <v>#N/A</v>
      </c>
      <c r="CS258" s="89" t="e">
        <f>Eu_tabel_g[[#This Row],[Falsk positiv
Nulhypotese accepteres
Fejltype 1]]</f>
        <v>#N/A</v>
      </c>
      <c r="CT258" s="89" t="e">
        <f>IF(CHOOSE(CR$7,Eu_tabel_g[[#This Row],[x base]]&gt;0,Eu_tabel_g[[#This Row],[x base]]&lt;0,Eu_tabel_g[[#This Row],[x base]]=0),Eu_tabel_g[[#This Row],[Styrke, aktiv]],NA())</f>
        <v>#N/A</v>
      </c>
      <c r="CU258" s="89" t="e">
        <f>IFERROR(IF($CR$3,Eu_tabel_g[[#This Row],[Styrke, aktiv]],NA()),NA())</f>
        <v>#N/A</v>
      </c>
      <c r="CV258" s="89" t="e">
        <f>IF(ISNA(Eu_tabel_g[[#This Row],[Sand negativ
Nulhypotese afvises
Korrekt]]),NA(),IF($CR$3,1,NA()))</f>
        <v>#N/A</v>
      </c>
      <c r="CW258" s="56" t="str" cm="1">
        <f t="array" ref="CW258">_xlfn.SWITCH(BZ258,_xlfn.IFNA(CU$2,-99),CU$5,_xlfn.IFNA(CU$3,-99),CU$6,_xlfn.IFNA(CU$4,-99),CU$7,"")</f>
        <v/>
      </c>
      <c r="DA258" s="7">
        <f t="shared" si="364"/>
        <v>0.8</v>
      </c>
      <c r="DB258">
        <f>IF(ROW(Styrkeberegning_G[[#This Row],[X base venstre]])=ROW(Styrkeberegning_G[[#Headers],[X base venstre]])+1,DB$7/(DA$7/$B$67),DB257/(DA257/$B$67))</f>
        <v>-2.8015817870135784</v>
      </c>
      <c r="DC258">
        <f>Styrkeberegning_G[[#This Row],[X base venstre]]*-1</f>
        <v>2.8015817870135784</v>
      </c>
      <c r="DN258" s="54">
        <f t="shared" si="365"/>
        <v>248</v>
      </c>
      <c r="DO258" s="54">
        <f t="shared" si="366"/>
        <v>249</v>
      </c>
      <c r="DP258" s="54">
        <f t="shared" si="367"/>
        <v>30.123425056069937</v>
      </c>
      <c r="DQ258" s="54" t="e">
        <f t="shared" si="368"/>
        <v>#N/A</v>
      </c>
      <c r="DR258" s="54" t="e">
        <f t="shared" si="369"/>
        <v>#N/A</v>
      </c>
      <c r="DS258" s="54">
        <f t="shared" si="370"/>
        <v>5.4869271376819053E-4</v>
      </c>
      <c r="DT258" s="54" t="e">
        <f t="shared" si="371"/>
        <v>#N/A</v>
      </c>
      <c r="DU258" s="54" t="b">
        <f t="shared" si="372"/>
        <v>0</v>
      </c>
      <c r="DV258" s="54" t="b">
        <f t="shared" si="373"/>
        <v>1</v>
      </c>
      <c r="DW258" s="54" t="b">
        <f t="shared" si="374"/>
        <v>1</v>
      </c>
      <c r="DX258" s="54" t="b">
        <f t="shared" si="375"/>
        <v>0</v>
      </c>
      <c r="DY258" s="54">
        <f t="shared" si="376"/>
        <v>5.4869271376819053E-4</v>
      </c>
      <c r="DZ258" s="54">
        <f t="shared" si="377"/>
        <v>5.4869271376819053E-4</v>
      </c>
      <c r="EA258" s="54" t="e">
        <f t="shared" si="378"/>
        <v>#N/A</v>
      </c>
      <c r="EB258" s="69" t="str">
        <f t="shared" si="379"/>
        <v/>
      </c>
      <c r="EG258" s="54">
        <f t="shared" si="380"/>
        <v>248</v>
      </c>
      <c r="EH258" s="54">
        <f t="shared" si="381"/>
        <v>249</v>
      </c>
      <c r="EI258" s="54">
        <f t="shared" si="382"/>
        <v>2.8506794142168195</v>
      </c>
      <c r="EJ258" s="54">
        <f t="shared" si="383"/>
        <v>6.8594700355305563E-3</v>
      </c>
      <c r="EK258" s="54" t="e">
        <f t="shared" si="384"/>
        <v>#N/A</v>
      </c>
      <c r="EL258" s="54" t="e">
        <f t="shared" si="385"/>
        <v>#N/A</v>
      </c>
      <c r="EM258" s="54" t="e">
        <f t="shared" si="386"/>
        <v>#N/A</v>
      </c>
      <c r="EN258" s="54" t="b">
        <f t="shared" si="387"/>
        <v>0</v>
      </c>
      <c r="EO258" s="54" t="b">
        <f t="shared" si="388"/>
        <v>1</v>
      </c>
      <c r="EP258" s="54" t="b">
        <f t="shared" si="389"/>
        <v>1</v>
      </c>
      <c r="EQ258" s="54" t="b">
        <f t="shared" si="390"/>
        <v>0</v>
      </c>
      <c r="ER258" s="54">
        <f t="shared" si="391"/>
        <v>6.8594700355305563E-3</v>
      </c>
      <c r="ES258" s="54">
        <f t="shared" si="392"/>
        <v>6.8594700355305563E-3</v>
      </c>
      <c r="ET258" s="54" t="e">
        <f t="shared" si="393"/>
        <v>#N/A</v>
      </c>
      <c r="EU258" s="69" t="str">
        <f t="shared" si="394"/>
        <v/>
      </c>
      <c r="EV25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5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5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58" s="54" t="e" cm="1">
        <f t="array" ref="EY258">IF($CR$3,INDEX(Eu_tabel_a[[#This Row],[Styrke venstre]:[Styrke tosidet]],EY$7),NA())</f>
        <v>#N/A</v>
      </c>
      <c r="EZ258" s="54" t="e">
        <f>IF(EY$3,IF(CHOOSE(EY$7,Eu_tabel_a[[#This Row],[x base]]&gt;0,Eu_tabel_a[[#This Row],[x base]]&lt;0,Eu_tabel_a[[#This Row],[x base]]=0),1,NA()),NA())</f>
        <v>#N/A</v>
      </c>
      <c r="FA258" s="54" t="e">
        <f>IF(CHOOSE(EY$7,Eu_tabel_a[[#This Row],[x base]]&gt;0,Eu_tabel_a[[#This Row],[x base]]&lt;0,Eu_tabel_a[[#This Row],[x base]]=0),Eu_tabel_a[[#This Row],[Styrke, aktiv]],NA())</f>
        <v>#N/A</v>
      </c>
      <c r="FB258" s="54" t="e">
        <f>IFERROR(IF($EY$3,Eu_tabel_a[[#This Row],[Styrke, aktiv]],NA()),NA())</f>
        <v>#N/A</v>
      </c>
      <c r="FC258" s="54" t="e">
        <f>IF(ISNA(Eu_tabel_a[[#This Row],[Sand negativ
Nulhypotese afvises
Korrekt]]),NA(),IF(EY$3,1,NA()))</f>
        <v>#N/A</v>
      </c>
      <c r="FD258" s="55" t="str" cm="1">
        <f t="array" ref="FD258">IFERROR(_xlfn.SWITCH(Eu_tabel_a[[#This Row],[Indeks]],_xlfn.IFNA(FB$2,-99),FB$5,_xlfn.IFNA(FB$3,-99),FB$6,_xlfn.IFNA(FB$4,-99),FB$7,""),"")</f>
        <v/>
      </c>
      <c r="FE258" s="54">
        <f>Eu_tabel_a[[#This Row],[x base]]*SQRT(Eu_a_h0_x*(1-Eu_a_h0_x)/Eu_a_n_x)+Eu_a_h0_x</f>
        <v>0</v>
      </c>
      <c r="FJ258" s="144" t="e">
        <f t="shared" si="338"/>
        <v>#N/A</v>
      </c>
      <c r="FK258" s="152" t="e">
        <f t="shared" si="426"/>
        <v>#DIV/0!</v>
      </c>
      <c r="FL258" s="7" t="e">
        <f t="shared" si="332"/>
        <v>#DIV/0!</v>
      </c>
      <c r="FM258" t="e">
        <f t="shared" si="427"/>
        <v>#DIV/0!</v>
      </c>
      <c r="FN258" s="8" t="e">
        <f t="shared" si="428"/>
        <v>#DIV/0!</v>
      </c>
      <c r="FO258" s="8" t="e">
        <f t="shared" si="429"/>
        <v>#DIV/0!</v>
      </c>
      <c r="FP258" s="151" t="e">
        <f t="shared" si="430"/>
        <v>#DIV/0!</v>
      </c>
      <c r="FQ258" s="144" t="e">
        <f t="shared" ca="1" si="333"/>
        <v>#N/A</v>
      </c>
      <c r="FR258" s="152" t="e" vm="3">
        <f t="shared" ca="1" si="339"/>
        <v>#VALUE!</v>
      </c>
      <c r="FS258" s="7" t="e" vm="3">
        <f t="shared" ca="1" si="334"/>
        <v>#VALUE!</v>
      </c>
      <c r="FT258" t="e" vm="3">
        <f t="shared" ca="1" si="328"/>
        <v>#VALUE!</v>
      </c>
      <c r="FU258" s="8" t="e" vm="3">
        <f t="shared" ca="1" si="329"/>
        <v>#VALUE!</v>
      </c>
      <c r="FV258" s="8" t="e" vm="3">
        <f t="shared" ca="1" si="330"/>
        <v>#VALUE!</v>
      </c>
      <c r="FW258" s="151" t="e" vm="3">
        <f t="shared" ca="1" si="331"/>
        <v>#VALUE!</v>
      </c>
      <c r="FX258" s="144" t="e">
        <f t="shared" si="335"/>
        <v>#N/A</v>
      </c>
      <c r="FY258" s="152" t="e">
        <f t="shared" si="340"/>
        <v>#N/A</v>
      </c>
      <c r="FZ258" s="7" t="e">
        <f t="shared" si="336"/>
        <v>#N/A</v>
      </c>
      <c r="GA258" t="e">
        <f t="shared" si="341"/>
        <v>#N/A</v>
      </c>
      <c r="GB258" s="8" t="e">
        <f t="shared" si="342"/>
        <v>#N/A</v>
      </c>
      <c r="GC258" s="8" t="e">
        <f t="shared" si="343"/>
        <v>#N/A</v>
      </c>
      <c r="GD258" s="151" t="e">
        <f t="shared" si="344"/>
        <v>#N/A</v>
      </c>
      <c r="GE258" s="144" t="e">
        <f t="shared" si="345"/>
        <v>#N/A</v>
      </c>
      <c r="GF258" s="152" t="e">
        <f t="shared" si="346"/>
        <v>#N/A</v>
      </c>
      <c r="GG258" s="7" t="e">
        <f t="shared" si="337"/>
        <v>#N/A</v>
      </c>
      <c r="GH258" t="e">
        <f t="shared" si="347"/>
        <v>#N/A</v>
      </c>
      <c r="GI258" s="8" t="e">
        <f t="shared" si="348"/>
        <v>#N/A</v>
      </c>
      <c r="GJ258" s="8" t="e">
        <f t="shared" si="349"/>
        <v>#N/A</v>
      </c>
      <c r="GK258" s="151" t="e">
        <f t="shared" si="350"/>
        <v>#N/A</v>
      </c>
      <c r="GL258" s="151"/>
      <c r="GM258" s="151"/>
      <c r="GP258" s="54">
        <f t="shared" si="395"/>
        <v>248</v>
      </c>
      <c r="GQ258" s="54">
        <f t="shared" si="396"/>
        <v>249</v>
      </c>
      <c r="GR258" s="54">
        <f t="shared" si="397"/>
        <v>2.8506794142168195</v>
      </c>
      <c r="GS258" s="54">
        <f t="shared" si="398"/>
        <v>6.8594700355305563E-3</v>
      </c>
      <c r="GT258" s="54" t="e">
        <f t="shared" si="399"/>
        <v>#N/A</v>
      </c>
      <c r="GU258" s="54" t="e">
        <f t="shared" si="400"/>
        <v>#N/A</v>
      </c>
      <c r="GV258" s="54" t="e">
        <f t="shared" si="401"/>
        <v>#N/A</v>
      </c>
      <c r="GW258" s="54" t="b">
        <f t="shared" si="402"/>
        <v>0</v>
      </c>
      <c r="GX258" s="54" t="b">
        <f t="shared" si="403"/>
        <v>1</v>
      </c>
      <c r="GY258" s="54" t="b">
        <f t="shared" si="404"/>
        <v>1</v>
      </c>
      <c r="GZ258" s="54" t="b">
        <f t="shared" si="405"/>
        <v>0</v>
      </c>
      <c r="HA258" s="54">
        <f t="shared" si="406"/>
        <v>6.8594700355305563E-3</v>
      </c>
      <c r="HB258" s="54">
        <f t="shared" si="407"/>
        <v>6.8594700355305563E-3</v>
      </c>
      <c r="HC258" s="54" t="e">
        <f t="shared" si="408"/>
        <v>#N/A</v>
      </c>
      <c r="HD258" s="69" t="str">
        <f t="shared" si="409"/>
        <v/>
      </c>
      <c r="HJ258" s="54">
        <f t="shared" si="410"/>
        <v>248</v>
      </c>
      <c r="HK258" s="54">
        <f t="shared" si="411"/>
        <v>249</v>
      </c>
      <c r="HL258" s="54">
        <f t="shared" si="412"/>
        <v>4.4143369442477649</v>
      </c>
      <c r="HM258" s="54" t="e">
        <f t="shared" si="413"/>
        <v>#N/A</v>
      </c>
      <c r="HN258" s="54">
        <f t="shared" si="414"/>
        <v>1.8782501669481135E-3</v>
      </c>
      <c r="HO258" s="54" t="e">
        <f t="shared" si="415"/>
        <v>#N/A</v>
      </c>
      <c r="HP258" s="54" t="e">
        <f t="shared" si="416"/>
        <v>#N/A</v>
      </c>
      <c r="HQ258" s="54" t="b">
        <f t="shared" si="417"/>
        <v>0</v>
      </c>
      <c r="HR258" s="54" t="b">
        <f t="shared" si="418"/>
        <v>1</v>
      </c>
      <c r="HS258" s="54" t="b">
        <f t="shared" si="419"/>
        <v>1</v>
      </c>
      <c r="HT258" s="54" t="b">
        <f t="shared" si="420"/>
        <v>0</v>
      </c>
      <c r="HU258" s="54">
        <f t="shared" si="421"/>
        <v>1.8782501669481135E-3</v>
      </c>
      <c r="HV258" s="54" t="e">
        <f t="shared" si="422"/>
        <v>#N/A</v>
      </c>
      <c r="HW258" s="54">
        <f t="shared" si="423"/>
        <v>1.8782501669481135E-3</v>
      </c>
      <c r="HX258" s="69" t="str">
        <f t="shared" si="424"/>
        <v/>
      </c>
    </row>
    <row r="259" spans="78:232" x14ac:dyDescent="0.2">
      <c r="BZ259" s="54">
        <f t="shared" si="351"/>
        <v>249</v>
      </c>
      <c r="CA259" s="54">
        <f>Eu_tabel_g[[#This Row],[Indeks]]+1</f>
        <v>250</v>
      </c>
      <c r="CB259" s="54">
        <f t="shared" si="352"/>
        <v>2.8746347034119193</v>
      </c>
      <c r="CC259" s="54">
        <f t="shared" si="353"/>
        <v>6.4048428962354522E-3</v>
      </c>
      <c r="CD259" s="54" t="e">
        <f t="shared" si="354"/>
        <v>#N/A</v>
      </c>
      <c r="CE259" s="54" t="e">
        <f t="shared" si="355"/>
        <v>#N/A</v>
      </c>
      <c r="CF259" s="54" t="e">
        <f t="shared" si="356"/>
        <v>#N/A</v>
      </c>
      <c r="CG259" s="54" t="b">
        <f t="shared" si="357"/>
        <v>0</v>
      </c>
      <c r="CH259" s="54" t="b">
        <f t="shared" si="358"/>
        <v>1</v>
      </c>
      <c r="CI259" s="54" t="b">
        <f t="shared" si="359"/>
        <v>1</v>
      </c>
      <c r="CJ259" s="54" t="b">
        <f t="shared" si="360"/>
        <v>0</v>
      </c>
      <c r="CK259" s="54">
        <f t="shared" si="431"/>
        <v>6.4048428962354522E-3</v>
      </c>
      <c r="CL259" s="54">
        <f t="shared" si="361"/>
        <v>6.4048428962354522E-3</v>
      </c>
      <c r="CM259" s="54" t="e">
        <f t="shared" si="362"/>
        <v>#N/A</v>
      </c>
      <c r="CN259" s="69" t="str">
        <f t="shared" si="363"/>
        <v/>
      </c>
      <c r="CO259" s="54">
        <f>_xlfn.NORM.DIST(_xlfn.NORM.INV(1-Eu_g_konfidensniveau,0,1)-Eu_tabel_g[[#This Row],[x base]],0,1,TRUE)</f>
        <v>3.0994632123592412E-6</v>
      </c>
      <c r="CP259" s="54">
        <f>1-_xlfn.NORM.DIST(_xlfn.NORM.INV(Eu_g_konfidensniveau,0,1)-Eu_tabel_g[[#This Row],[x base]],0,1,TRUE)</f>
        <v>0.89061045181482168</v>
      </c>
      <c r="CQ259" s="54">
        <f>_xlfn.NORM.DIST(_xlfn.NORM.INV((1-Eu_g_konfidensniveau)/2,0,1)-Eu_tabel_g[[#This Row],[x base]],0,1,TRUE)+1-_xlfn.NORM.DIST(_xlfn.NORM.INV(1-(1-Eu_g_konfidensniveau)/2,0,1)-Eu_tabel_g[[#This Row],[x base]],0,1,TRUE)</f>
        <v>0.81981840674074768</v>
      </c>
      <c r="CR259" s="54" t="e" cm="1">
        <f t="array" ref="CR259">IF($CR$3,INDEX(Eu_tabel_g[[#This Row],[Styrke venstre]:[Styrke tosidet]],CR$7),NA())</f>
        <v>#N/A</v>
      </c>
      <c r="CS259" s="89" t="e">
        <f>Eu_tabel_g[[#This Row],[Falsk positiv
Nulhypotese accepteres
Fejltype 1]]</f>
        <v>#N/A</v>
      </c>
      <c r="CT259" s="89" t="e">
        <f>IF(CHOOSE(CR$7,Eu_tabel_g[[#This Row],[x base]]&gt;0,Eu_tabel_g[[#This Row],[x base]]&lt;0,Eu_tabel_g[[#This Row],[x base]]=0),Eu_tabel_g[[#This Row],[Styrke, aktiv]],NA())</f>
        <v>#N/A</v>
      </c>
      <c r="CU259" s="89" t="e">
        <f>IFERROR(IF($CR$3,Eu_tabel_g[[#This Row],[Styrke, aktiv]],NA()),NA())</f>
        <v>#N/A</v>
      </c>
      <c r="CV259" s="89" t="e">
        <f>IF(ISNA(Eu_tabel_g[[#This Row],[Sand negativ
Nulhypotese afvises
Korrekt]]),NA(),IF($CR$3,1,NA()))</f>
        <v>#N/A</v>
      </c>
      <c r="CW259" s="56" t="str" cm="1">
        <f t="array" ref="CW259">_xlfn.SWITCH(BZ259,_xlfn.IFNA(CU$2,-99),CU$5,_xlfn.IFNA(CU$3,-99),CU$6,_xlfn.IFNA(CU$4,-99),CU$7,"")</f>
        <v/>
      </c>
      <c r="DA259" s="7">
        <f t="shared" si="364"/>
        <v>0.8</v>
      </c>
      <c r="DB259">
        <f>IF(ROW(Styrkeberegning_G[[#This Row],[X base venstre]])=ROW(Styrkeberegning_G[[#Headers],[X base venstre]])+1,DB$7/(DA$7/$B$67),DB258/(DA258/$B$67))</f>
        <v>-2.8015817870135784</v>
      </c>
      <c r="DC259">
        <f>Styrkeberegning_G[[#This Row],[X base venstre]]*-1</f>
        <v>2.8015817870135784</v>
      </c>
      <c r="DN259" s="54">
        <f t="shared" si="365"/>
        <v>249</v>
      </c>
      <c r="DO259" s="54">
        <f t="shared" si="366"/>
        <v>250</v>
      </c>
      <c r="DP259" s="54">
        <f t="shared" si="367"/>
        <v>30.237495912486938</v>
      </c>
      <c r="DQ259" s="54" t="e">
        <f t="shared" si="368"/>
        <v>#N/A</v>
      </c>
      <c r="DR259" s="54" t="e">
        <f t="shared" si="369"/>
        <v>#N/A</v>
      </c>
      <c r="DS259" s="54">
        <f t="shared" si="370"/>
        <v>5.2716388341654432E-4</v>
      </c>
      <c r="DT259" s="54" t="e">
        <f t="shared" si="371"/>
        <v>#N/A</v>
      </c>
      <c r="DU259" s="54" t="b">
        <f t="shared" si="372"/>
        <v>0</v>
      </c>
      <c r="DV259" s="54" t="b">
        <f t="shared" si="373"/>
        <v>1</v>
      </c>
      <c r="DW259" s="54" t="b">
        <f t="shared" si="374"/>
        <v>1</v>
      </c>
      <c r="DX259" s="54" t="b">
        <f t="shared" si="375"/>
        <v>0</v>
      </c>
      <c r="DY259" s="54">
        <f t="shared" si="376"/>
        <v>5.2716388341654432E-4</v>
      </c>
      <c r="DZ259" s="54">
        <f t="shared" si="377"/>
        <v>5.2716388341654432E-4</v>
      </c>
      <c r="EA259" s="54" t="e">
        <f t="shared" si="378"/>
        <v>#N/A</v>
      </c>
      <c r="EB259" s="69" t="str">
        <f t="shared" si="379"/>
        <v/>
      </c>
      <c r="EG259" s="54">
        <f t="shared" si="380"/>
        <v>249</v>
      </c>
      <c r="EH259" s="54">
        <f t="shared" si="381"/>
        <v>250</v>
      </c>
      <c r="EI259" s="54">
        <f t="shared" si="382"/>
        <v>2.8746347034119193</v>
      </c>
      <c r="EJ259" s="54">
        <f t="shared" si="383"/>
        <v>6.4048428962354522E-3</v>
      </c>
      <c r="EK259" s="54" t="e">
        <f t="shared" si="384"/>
        <v>#N/A</v>
      </c>
      <c r="EL259" s="54" t="e">
        <f t="shared" si="385"/>
        <v>#N/A</v>
      </c>
      <c r="EM259" s="54" t="e">
        <f t="shared" si="386"/>
        <v>#N/A</v>
      </c>
      <c r="EN259" s="54" t="b">
        <f t="shared" si="387"/>
        <v>0</v>
      </c>
      <c r="EO259" s="54" t="b">
        <f t="shared" si="388"/>
        <v>1</v>
      </c>
      <c r="EP259" s="54" t="b">
        <f t="shared" si="389"/>
        <v>1</v>
      </c>
      <c r="EQ259" s="54" t="b">
        <f t="shared" si="390"/>
        <v>0</v>
      </c>
      <c r="ER259" s="54">
        <f t="shared" si="391"/>
        <v>6.4048428962354522E-3</v>
      </c>
      <c r="ES259" s="54">
        <f t="shared" si="392"/>
        <v>6.4048428962354522E-3</v>
      </c>
      <c r="ET259" s="54" t="e">
        <f t="shared" si="393"/>
        <v>#N/A</v>
      </c>
      <c r="EU259" s="69" t="str">
        <f t="shared" si="394"/>
        <v/>
      </c>
      <c r="EV25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5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5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59" s="54" t="e" cm="1">
        <f t="array" ref="EY259">IF($CR$3,INDEX(Eu_tabel_a[[#This Row],[Styrke venstre]:[Styrke tosidet]],EY$7),NA())</f>
        <v>#N/A</v>
      </c>
      <c r="EZ259" s="54" t="e">
        <f>IF(EY$3,IF(CHOOSE(EY$7,Eu_tabel_a[[#This Row],[x base]]&gt;0,Eu_tabel_a[[#This Row],[x base]]&lt;0,Eu_tabel_a[[#This Row],[x base]]=0),1,NA()),NA())</f>
        <v>#N/A</v>
      </c>
      <c r="FA259" s="54" t="e">
        <f>IF(CHOOSE(EY$7,Eu_tabel_a[[#This Row],[x base]]&gt;0,Eu_tabel_a[[#This Row],[x base]]&lt;0,Eu_tabel_a[[#This Row],[x base]]=0),Eu_tabel_a[[#This Row],[Styrke, aktiv]],NA())</f>
        <v>#N/A</v>
      </c>
      <c r="FB259" s="54" t="e">
        <f>IFERROR(IF($EY$3,Eu_tabel_a[[#This Row],[Styrke, aktiv]],NA()),NA())</f>
        <v>#N/A</v>
      </c>
      <c r="FC259" s="54" t="e">
        <f>IF(ISNA(Eu_tabel_a[[#This Row],[Sand negativ
Nulhypotese afvises
Korrekt]]),NA(),IF(EY$3,1,NA()))</f>
        <v>#N/A</v>
      </c>
      <c r="FD259" s="55" t="str" cm="1">
        <f t="array" ref="FD259">IFERROR(_xlfn.SWITCH(Eu_tabel_a[[#This Row],[Indeks]],_xlfn.IFNA(FB$2,-99),FB$5,_xlfn.IFNA(FB$3,-99),FB$6,_xlfn.IFNA(FB$4,-99),FB$7,""),"")</f>
        <v/>
      </c>
      <c r="FE259" s="54">
        <f>Eu_tabel_a[[#This Row],[x base]]*SQRT(Eu_a_h0_x*(1-Eu_a_h0_x)/Eu_a_n_x)+Eu_a_h0_x</f>
        <v>0</v>
      </c>
      <c r="FJ259" s="144" t="e">
        <f t="shared" si="338"/>
        <v>#N/A</v>
      </c>
      <c r="FK259" s="152" t="e">
        <f t="shared" si="426"/>
        <v>#DIV/0!</v>
      </c>
      <c r="FL259" s="7" t="e">
        <f t="shared" si="332"/>
        <v>#DIV/0!</v>
      </c>
      <c r="FM259" t="e">
        <f t="shared" si="427"/>
        <v>#DIV/0!</v>
      </c>
      <c r="FN259" s="8" t="e">
        <f t="shared" si="428"/>
        <v>#DIV/0!</v>
      </c>
      <c r="FO259" s="8" t="e">
        <f t="shared" si="429"/>
        <v>#DIV/0!</v>
      </c>
      <c r="FP259" s="151" t="e">
        <f t="shared" si="430"/>
        <v>#DIV/0!</v>
      </c>
      <c r="FQ259" s="144" t="e">
        <f t="shared" ca="1" si="333"/>
        <v>#N/A</v>
      </c>
      <c r="FR259" s="152" t="e" vm="3">
        <f t="shared" ca="1" si="339"/>
        <v>#VALUE!</v>
      </c>
      <c r="FS259" s="7" t="e" vm="3">
        <f t="shared" ca="1" si="334"/>
        <v>#VALUE!</v>
      </c>
      <c r="FT259" t="e" vm="3">
        <f t="shared" ca="1" si="328"/>
        <v>#VALUE!</v>
      </c>
      <c r="FU259" s="8" t="e" vm="3">
        <f t="shared" ca="1" si="329"/>
        <v>#VALUE!</v>
      </c>
      <c r="FV259" s="8" t="e" vm="3">
        <f t="shared" ca="1" si="330"/>
        <v>#VALUE!</v>
      </c>
      <c r="FW259" s="151" t="e" vm="3">
        <f t="shared" ca="1" si="331"/>
        <v>#VALUE!</v>
      </c>
      <c r="FX259" s="144" t="e">
        <f t="shared" si="335"/>
        <v>#N/A</v>
      </c>
      <c r="FY259" s="152" t="e">
        <f t="shared" si="340"/>
        <v>#N/A</v>
      </c>
      <c r="FZ259" s="7" t="e">
        <f t="shared" si="336"/>
        <v>#N/A</v>
      </c>
      <c r="GA259" t="e">
        <f t="shared" si="341"/>
        <v>#N/A</v>
      </c>
      <c r="GB259" s="8" t="e">
        <f t="shared" si="342"/>
        <v>#N/A</v>
      </c>
      <c r="GC259" s="8" t="e">
        <f t="shared" si="343"/>
        <v>#N/A</v>
      </c>
      <c r="GD259" s="151" t="e">
        <f t="shared" si="344"/>
        <v>#N/A</v>
      </c>
      <c r="GE259" s="144" t="e">
        <f t="shared" si="345"/>
        <v>#N/A</v>
      </c>
      <c r="GF259" s="152" t="e">
        <f t="shared" si="346"/>
        <v>#N/A</v>
      </c>
      <c r="GG259" s="7" t="e">
        <f t="shared" si="337"/>
        <v>#N/A</v>
      </c>
      <c r="GH259" t="e">
        <f t="shared" si="347"/>
        <v>#N/A</v>
      </c>
      <c r="GI259" s="8" t="e">
        <f t="shared" si="348"/>
        <v>#N/A</v>
      </c>
      <c r="GJ259" s="8" t="e">
        <f t="shared" si="349"/>
        <v>#N/A</v>
      </c>
      <c r="GK259" s="151" t="e">
        <f t="shared" si="350"/>
        <v>#N/A</v>
      </c>
      <c r="GL259" s="151"/>
      <c r="GM259" s="151"/>
      <c r="GP259" s="54">
        <f t="shared" si="395"/>
        <v>249</v>
      </c>
      <c r="GQ259" s="54">
        <f t="shared" si="396"/>
        <v>250</v>
      </c>
      <c r="GR259" s="54">
        <f t="shared" si="397"/>
        <v>2.8746347034119193</v>
      </c>
      <c r="GS259" s="54">
        <f t="shared" si="398"/>
        <v>6.4048428962354522E-3</v>
      </c>
      <c r="GT259" s="54" t="e">
        <f t="shared" si="399"/>
        <v>#N/A</v>
      </c>
      <c r="GU259" s="54" t="e">
        <f t="shared" si="400"/>
        <v>#N/A</v>
      </c>
      <c r="GV259" s="54" t="e">
        <f t="shared" si="401"/>
        <v>#N/A</v>
      </c>
      <c r="GW259" s="54" t="b">
        <f t="shared" si="402"/>
        <v>0</v>
      </c>
      <c r="GX259" s="54" t="b">
        <f t="shared" si="403"/>
        <v>1</v>
      </c>
      <c r="GY259" s="54" t="b">
        <f t="shared" si="404"/>
        <v>1</v>
      </c>
      <c r="GZ259" s="54" t="b">
        <f t="shared" si="405"/>
        <v>0</v>
      </c>
      <c r="HA259" s="54">
        <f t="shared" si="406"/>
        <v>6.4048428962354522E-3</v>
      </c>
      <c r="HB259" s="54">
        <f t="shared" si="407"/>
        <v>6.4048428962354522E-3</v>
      </c>
      <c r="HC259" s="54" t="e">
        <f t="shared" si="408"/>
        <v>#N/A</v>
      </c>
      <c r="HD259" s="69" t="str">
        <f t="shared" si="409"/>
        <v/>
      </c>
      <c r="HJ259" s="54">
        <f t="shared" si="410"/>
        <v>249</v>
      </c>
      <c r="HK259" s="54">
        <f t="shared" si="411"/>
        <v>250</v>
      </c>
      <c r="HL259" s="54">
        <f t="shared" si="412"/>
        <v>4.4514322126868215</v>
      </c>
      <c r="HM259" s="54" t="e">
        <f t="shared" si="413"/>
        <v>#N/A</v>
      </c>
      <c r="HN259" s="54">
        <f t="shared" si="414"/>
        <v>1.7877876216175568E-3</v>
      </c>
      <c r="HO259" s="54" t="e">
        <f t="shared" si="415"/>
        <v>#N/A</v>
      </c>
      <c r="HP259" s="54" t="e">
        <f t="shared" si="416"/>
        <v>#N/A</v>
      </c>
      <c r="HQ259" s="54" t="b">
        <f t="shared" si="417"/>
        <v>0</v>
      </c>
      <c r="HR259" s="54" t="b">
        <f t="shared" si="418"/>
        <v>1</v>
      </c>
      <c r="HS259" s="54" t="b">
        <f t="shared" si="419"/>
        <v>1</v>
      </c>
      <c r="HT259" s="54" t="b">
        <f t="shared" si="420"/>
        <v>0</v>
      </c>
      <c r="HU259" s="54">
        <f t="shared" si="421"/>
        <v>1.7877876216175568E-3</v>
      </c>
      <c r="HV259" s="54" t="e">
        <f t="shared" si="422"/>
        <v>#N/A</v>
      </c>
      <c r="HW259" s="54">
        <f t="shared" si="423"/>
        <v>1.7877876216175568E-3</v>
      </c>
      <c r="HX259" s="69" t="str">
        <f t="shared" si="424"/>
        <v/>
      </c>
    </row>
    <row r="260" spans="78:232" x14ac:dyDescent="0.2">
      <c r="BZ260" s="127">
        <f t="shared" si="351"/>
        <v>250</v>
      </c>
      <c r="CA260" s="54">
        <f>Eu_tabel_g[[#This Row],[Indeks]]+1</f>
        <v>251</v>
      </c>
      <c r="CB260" s="127">
        <f t="shared" si="352"/>
        <v>2.8985899926070182</v>
      </c>
      <c r="CC260" s="127">
        <f t="shared" si="353"/>
        <v>5.9769163423966497E-3</v>
      </c>
      <c r="CD260" s="127" t="e">
        <f t="shared" si="354"/>
        <v>#N/A</v>
      </c>
      <c r="CE260" s="127" t="e">
        <f t="shared" si="355"/>
        <v>#N/A</v>
      </c>
      <c r="CF260" s="127" t="e">
        <f t="shared" si="356"/>
        <v>#N/A</v>
      </c>
      <c r="CG260" s="127" t="b">
        <f t="shared" si="357"/>
        <v>0</v>
      </c>
      <c r="CH260" s="127" t="b">
        <f t="shared" si="358"/>
        <v>1</v>
      </c>
      <c r="CI260" s="127" t="b">
        <f t="shared" si="359"/>
        <v>1</v>
      </c>
      <c r="CJ260" s="127" t="b">
        <f t="shared" si="360"/>
        <v>0</v>
      </c>
      <c r="CK260" s="127">
        <f t="shared" si="431"/>
        <v>5.9769163423966497E-3</v>
      </c>
      <c r="CL260" s="127">
        <f t="shared" si="361"/>
        <v>5.9769163423966497E-3</v>
      </c>
      <c r="CM260" s="127" t="e">
        <f t="shared" si="362"/>
        <v>#N/A</v>
      </c>
      <c r="CN260" s="128" t="str">
        <f t="shared" si="363"/>
        <v/>
      </c>
      <c r="CO260" s="54">
        <f>_xlfn.NORM.DIST(_xlfn.NORM.INV(1-Eu_g_konfidensniveau,0,1)-Eu_tabel_g[[#This Row],[x base]],0,1,TRUE)</f>
        <v>2.7671306224738396E-6</v>
      </c>
      <c r="CP260" s="54">
        <f>1-_xlfn.NORM.DIST(_xlfn.NORM.INV(Eu_g_konfidensniveau,0,1)-Eu_tabel_g[[#This Row],[x base]],0,1,TRUE)</f>
        <v>0.89503107733648157</v>
      </c>
      <c r="CQ260" s="54">
        <f>_xlfn.NORM.DIST(_xlfn.NORM.INV((1-Eu_g_konfidensniveau)/2,0,1)-Eu_tabel_g[[#This Row],[x base]],0,1,TRUE)+1-_xlfn.NORM.DIST(_xlfn.NORM.INV(1-(1-Eu_g_konfidensniveau)/2,0,1)-Eu_tabel_g[[#This Row],[x base]],0,1,TRUE)</f>
        <v>0.82603919385088265</v>
      </c>
      <c r="CR260" s="54" t="e" cm="1">
        <f t="array" ref="CR260">IF($CR$3,INDEX(Eu_tabel_g[[#This Row],[Styrke venstre]:[Styrke tosidet]],CR$7),NA())</f>
        <v>#N/A</v>
      </c>
      <c r="CS260" s="89" t="e">
        <f>Eu_tabel_g[[#This Row],[Falsk positiv
Nulhypotese accepteres
Fejltype 1]]</f>
        <v>#N/A</v>
      </c>
      <c r="CT260" s="89" t="e">
        <f>IF(CHOOSE(CR$7,Eu_tabel_g[[#This Row],[x base]]&gt;0,Eu_tabel_g[[#This Row],[x base]]&lt;0,Eu_tabel_g[[#This Row],[x base]]=0),Eu_tabel_g[[#This Row],[Styrke, aktiv]],NA())</f>
        <v>#N/A</v>
      </c>
      <c r="CU260" s="89" t="e">
        <f>IFERROR(IF($CR$3,Eu_tabel_g[[#This Row],[Styrke, aktiv]],NA()),NA())</f>
        <v>#N/A</v>
      </c>
      <c r="CV260" s="89" t="e">
        <f>IF(ISNA(Eu_tabel_g[[#This Row],[Sand negativ
Nulhypotese afvises
Korrekt]]),NA(),IF($CR$3,1,NA()))</f>
        <v>#N/A</v>
      </c>
      <c r="CW260" s="56" t="str" cm="1">
        <f t="array" ref="CW260">_xlfn.SWITCH(BZ260,_xlfn.IFNA(CU$2,-99),CU$5,_xlfn.IFNA(CU$3,-99),CU$6,_xlfn.IFNA(CU$4,-99),CU$7,"")</f>
        <v/>
      </c>
      <c r="DA260" s="7">
        <f t="shared" si="364"/>
        <v>0.8</v>
      </c>
      <c r="DB260">
        <f>IF(ROW(Styrkeberegning_G[[#This Row],[X base venstre]])=ROW(Styrkeberegning_G[[#Headers],[X base venstre]])+1,DB$7/(DA$7/$B$67),DB259/(DA259/$B$67))</f>
        <v>-2.8015817870135784</v>
      </c>
      <c r="DC260">
        <f>Styrkeberegning_G[[#This Row],[X base venstre]]*-1</f>
        <v>2.8015817870135784</v>
      </c>
      <c r="DN260" s="127">
        <f t="shared" si="365"/>
        <v>250</v>
      </c>
      <c r="DO260" s="54">
        <f t="shared" si="366"/>
        <v>251</v>
      </c>
      <c r="DP260" s="127">
        <f t="shared" si="367"/>
        <v>30.35156676890394</v>
      </c>
      <c r="DQ260" s="127" t="e">
        <f t="shared" si="368"/>
        <v>#N/A</v>
      </c>
      <c r="DR260" s="127" t="e">
        <f t="shared" si="369"/>
        <v>#N/A</v>
      </c>
      <c r="DS260" s="127">
        <f t="shared" si="370"/>
        <v>5.0644733535538239E-4</v>
      </c>
      <c r="DT260" s="127" t="e">
        <f t="shared" si="371"/>
        <v>#N/A</v>
      </c>
      <c r="DU260" s="127" t="b">
        <f t="shared" si="372"/>
        <v>0</v>
      </c>
      <c r="DV260" s="127" t="b">
        <f t="shared" si="373"/>
        <v>1</v>
      </c>
      <c r="DW260" s="127" t="b">
        <f t="shared" si="374"/>
        <v>1</v>
      </c>
      <c r="DX260" s="127" t="b">
        <f t="shared" si="375"/>
        <v>0</v>
      </c>
      <c r="DY260" s="127">
        <f t="shared" si="376"/>
        <v>5.0644733535538239E-4</v>
      </c>
      <c r="DZ260" s="127">
        <f t="shared" si="377"/>
        <v>5.0644733535538239E-4</v>
      </c>
      <c r="EA260" s="127" t="e">
        <f t="shared" si="378"/>
        <v>#N/A</v>
      </c>
      <c r="EB260" s="128" t="str">
        <f t="shared" si="379"/>
        <v/>
      </c>
      <c r="EG260" s="127">
        <f t="shared" si="380"/>
        <v>250</v>
      </c>
      <c r="EH260" s="54">
        <f t="shared" si="381"/>
        <v>251</v>
      </c>
      <c r="EI260" s="127">
        <f t="shared" si="382"/>
        <v>2.8985899926070182</v>
      </c>
      <c r="EJ260" s="127">
        <f t="shared" si="383"/>
        <v>5.9769163423966497E-3</v>
      </c>
      <c r="EK260" s="127" t="e">
        <f t="shared" si="384"/>
        <v>#N/A</v>
      </c>
      <c r="EL260" s="127" t="e">
        <f t="shared" si="385"/>
        <v>#N/A</v>
      </c>
      <c r="EM260" s="127" t="e">
        <f t="shared" si="386"/>
        <v>#N/A</v>
      </c>
      <c r="EN260" s="127" t="b">
        <f t="shared" si="387"/>
        <v>0</v>
      </c>
      <c r="EO260" s="127" t="b">
        <f t="shared" si="388"/>
        <v>1</v>
      </c>
      <c r="EP260" s="127" t="b">
        <f t="shared" si="389"/>
        <v>1</v>
      </c>
      <c r="EQ260" s="127" t="b">
        <f t="shared" si="390"/>
        <v>0</v>
      </c>
      <c r="ER260" s="127">
        <f t="shared" si="391"/>
        <v>5.9769163423966497E-3</v>
      </c>
      <c r="ES260" s="127">
        <f t="shared" si="392"/>
        <v>5.9769163423966497E-3</v>
      </c>
      <c r="ET260" s="127" t="e">
        <f t="shared" si="393"/>
        <v>#N/A</v>
      </c>
      <c r="EU260" s="128" t="str">
        <f t="shared" si="394"/>
        <v/>
      </c>
      <c r="EV26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6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6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60" s="54" t="e" cm="1">
        <f t="array" ref="EY260">IF($CR$3,INDEX(Eu_tabel_a[[#This Row],[Styrke venstre]:[Styrke tosidet]],EY$7),NA())</f>
        <v>#N/A</v>
      </c>
      <c r="EZ260" s="54" t="e">
        <f>IF(EY$3,IF(CHOOSE(EY$7,Eu_tabel_a[[#This Row],[x base]]&gt;0,Eu_tabel_a[[#This Row],[x base]]&lt;0,Eu_tabel_a[[#This Row],[x base]]=0),1,NA()),NA())</f>
        <v>#N/A</v>
      </c>
      <c r="FA260" s="54" t="e">
        <f>IF(CHOOSE(EY$7,Eu_tabel_a[[#This Row],[x base]]&gt;0,Eu_tabel_a[[#This Row],[x base]]&lt;0,Eu_tabel_a[[#This Row],[x base]]=0),Eu_tabel_a[[#This Row],[Styrke, aktiv]],NA())</f>
        <v>#N/A</v>
      </c>
      <c r="FB260" s="54" t="e">
        <f>IFERROR(IF($EY$3,Eu_tabel_a[[#This Row],[Styrke, aktiv]],NA()),NA())</f>
        <v>#N/A</v>
      </c>
      <c r="FC260" s="54" t="e">
        <f>IF(ISNA(Eu_tabel_a[[#This Row],[Sand negativ
Nulhypotese afvises
Korrekt]]),NA(),IF(EY$3,1,NA()))</f>
        <v>#N/A</v>
      </c>
      <c r="FD260" s="55" t="str" cm="1">
        <f t="array" ref="FD260">IFERROR(_xlfn.SWITCH(Eu_tabel_a[[#This Row],[Indeks]],_xlfn.IFNA(FB$2,-99),FB$5,_xlfn.IFNA(FB$3,-99),FB$6,_xlfn.IFNA(FB$4,-99),FB$7,""),"")</f>
        <v/>
      </c>
      <c r="FE260" s="54">
        <f>Eu_tabel_a[[#This Row],[x base]]*SQRT(Eu_a_h0_x*(1-Eu_a_h0_x)/Eu_a_n_x)+Eu_a_h0_x</f>
        <v>0</v>
      </c>
      <c r="FJ260" s="144" t="e">
        <f t="shared" si="338"/>
        <v>#N/A</v>
      </c>
      <c r="FK260" s="152" t="e">
        <f t="shared" si="426"/>
        <v>#DIV/0!</v>
      </c>
      <c r="FL260" s="7" t="e">
        <f t="shared" si="332"/>
        <v>#DIV/0!</v>
      </c>
      <c r="FM260" t="e">
        <f t="shared" si="427"/>
        <v>#DIV/0!</v>
      </c>
      <c r="FN260" s="8" t="e">
        <f t="shared" si="428"/>
        <v>#DIV/0!</v>
      </c>
      <c r="FO260" s="8" t="e">
        <f t="shared" si="429"/>
        <v>#DIV/0!</v>
      </c>
      <c r="FP260" s="151" t="e">
        <f t="shared" si="430"/>
        <v>#DIV/0!</v>
      </c>
      <c r="FQ260" s="144" t="e">
        <f t="shared" ca="1" si="333"/>
        <v>#N/A</v>
      </c>
      <c r="FR260" s="152" t="e" vm="3">
        <f t="shared" ca="1" si="339"/>
        <v>#VALUE!</v>
      </c>
      <c r="FS260" s="7" t="e" vm="3">
        <f t="shared" ca="1" si="334"/>
        <v>#VALUE!</v>
      </c>
      <c r="FT260" t="e" vm="3">
        <f t="shared" ca="1" si="328"/>
        <v>#VALUE!</v>
      </c>
      <c r="FU260" s="8" t="e" vm="3">
        <f t="shared" ca="1" si="329"/>
        <v>#VALUE!</v>
      </c>
      <c r="FV260" s="8" t="e" vm="3">
        <f t="shared" ca="1" si="330"/>
        <v>#VALUE!</v>
      </c>
      <c r="FW260" s="151" t="e" vm="3">
        <f t="shared" ca="1" si="331"/>
        <v>#VALUE!</v>
      </c>
      <c r="FX260" s="144" t="e">
        <f t="shared" si="335"/>
        <v>#N/A</v>
      </c>
      <c r="FY260" s="152" t="e">
        <f t="shared" si="340"/>
        <v>#N/A</v>
      </c>
      <c r="FZ260" s="7" t="e">
        <f t="shared" si="336"/>
        <v>#N/A</v>
      </c>
      <c r="GA260" t="e">
        <f t="shared" si="341"/>
        <v>#N/A</v>
      </c>
      <c r="GB260" s="8" t="e">
        <f t="shared" si="342"/>
        <v>#N/A</v>
      </c>
      <c r="GC260" s="8" t="e">
        <f t="shared" si="343"/>
        <v>#N/A</v>
      </c>
      <c r="GD260" s="151" t="e">
        <f t="shared" si="344"/>
        <v>#N/A</v>
      </c>
      <c r="GE260" s="144" t="e">
        <f t="shared" si="345"/>
        <v>#N/A</v>
      </c>
      <c r="GF260" s="152" t="e">
        <f t="shared" si="346"/>
        <v>#N/A</v>
      </c>
      <c r="GG260" s="7" t="e">
        <f t="shared" si="337"/>
        <v>#N/A</v>
      </c>
      <c r="GH260" t="e">
        <f t="shared" si="347"/>
        <v>#N/A</v>
      </c>
      <c r="GI260" s="8" t="e">
        <f t="shared" si="348"/>
        <v>#N/A</v>
      </c>
      <c r="GJ260" s="8" t="e">
        <f t="shared" si="349"/>
        <v>#N/A</v>
      </c>
      <c r="GK260" s="151" t="e">
        <f t="shared" si="350"/>
        <v>#N/A</v>
      </c>
      <c r="GL260" s="151"/>
      <c r="GM260" s="151"/>
      <c r="GP260" s="127">
        <f t="shared" si="395"/>
        <v>250</v>
      </c>
      <c r="GQ260" s="54">
        <f t="shared" si="396"/>
        <v>251</v>
      </c>
      <c r="GR260" s="127">
        <f t="shared" si="397"/>
        <v>2.8985899926070182</v>
      </c>
      <c r="GS260" s="127">
        <f t="shared" si="398"/>
        <v>5.9769163423966497E-3</v>
      </c>
      <c r="GT260" s="127" t="e">
        <f t="shared" si="399"/>
        <v>#N/A</v>
      </c>
      <c r="GU260" s="127" t="e">
        <f t="shared" si="400"/>
        <v>#N/A</v>
      </c>
      <c r="GV260" s="127" t="e">
        <f t="shared" si="401"/>
        <v>#N/A</v>
      </c>
      <c r="GW260" s="127" t="b">
        <f t="shared" si="402"/>
        <v>0</v>
      </c>
      <c r="GX260" s="127" t="b">
        <f t="shared" si="403"/>
        <v>1</v>
      </c>
      <c r="GY260" s="127" t="b">
        <f t="shared" si="404"/>
        <v>1</v>
      </c>
      <c r="GZ260" s="127" t="b">
        <f t="shared" si="405"/>
        <v>0</v>
      </c>
      <c r="HA260" s="127">
        <f t="shared" si="406"/>
        <v>5.9769163423966497E-3</v>
      </c>
      <c r="HB260" s="127">
        <f t="shared" si="407"/>
        <v>5.9769163423966497E-3</v>
      </c>
      <c r="HC260" s="127" t="e">
        <f t="shared" si="408"/>
        <v>#N/A</v>
      </c>
      <c r="HD260" s="128" t="str">
        <f t="shared" si="409"/>
        <v/>
      </c>
      <c r="HJ260" s="127">
        <f t="shared" si="410"/>
        <v>250</v>
      </c>
      <c r="HK260" s="54">
        <f t="shared" si="411"/>
        <v>251</v>
      </c>
      <c r="HL260" s="127">
        <f t="shared" si="412"/>
        <v>4.4885274811258782</v>
      </c>
      <c r="HM260" s="127" t="e">
        <f t="shared" si="413"/>
        <v>#N/A</v>
      </c>
      <c r="HN260" s="127">
        <f t="shared" si="414"/>
        <v>1.7020159287022905E-3</v>
      </c>
      <c r="HO260" s="127" t="e">
        <f t="shared" si="415"/>
        <v>#N/A</v>
      </c>
      <c r="HP260" s="127" t="e">
        <f t="shared" si="416"/>
        <v>#N/A</v>
      </c>
      <c r="HQ260" s="127" t="b">
        <f t="shared" si="417"/>
        <v>0</v>
      </c>
      <c r="HR260" s="127" t="b">
        <f t="shared" si="418"/>
        <v>1</v>
      </c>
      <c r="HS260" s="127" t="b">
        <f t="shared" si="419"/>
        <v>1</v>
      </c>
      <c r="HT260" s="127" t="b">
        <f t="shared" si="420"/>
        <v>0</v>
      </c>
      <c r="HU260" s="127">
        <f t="shared" si="421"/>
        <v>1.7020159287022905E-3</v>
      </c>
      <c r="HV260" s="127" t="e">
        <f t="shared" si="422"/>
        <v>#N/A</v>
      </c>
      <c r="HW260" s="127">
        <f t="shared" si="423"/>
        <v>1.7020159287022905E-3</v>
      </c>
      <c r="HX260" s="128" t="str">
        <f t="shared" si="424"/>
        <v/>
      </c>
    </row>
    <row r="261" spans="78:232" x14ac:dyDescent="0.2">
      <c r="BZ261" s="127">
        <f t="shared" si="351"/>
        <v>251</v>
      </c>
      <c r="CA261" s="54">
        <f>Eu_tabel_g[[#This Row],[Indeks]]+1</f>
        <v>252</v>
      </c>
      <c r="CB261" s="127">
        <f t="shared" si="352"/>
        <v>2.922545281802118</v>
      </c>
      <c r="CC261" s="127">
        <f t="shared" si="353"/>
        <v>5.5743810217063422E-3</v>
      </c>
      <c r="CD261" s="127" t="e">
        <f t="shared" si="354"/>
        <v>#N/A</v>
      </c>
      <c r="CE261" s="127" t="e">
        <f t="shared" si="355"/>
        <v>#N/A</v>
      </c>
      <c r="CF261" s="127" t="e">
        <f t="shared" si="356"/>
        <v>#N/A</v>
      </c>
      <c r="CG261" s="127" t="b">
        <f t="shared" si="357"/>
        <v>0</v>
      </c>
      <c r="CH261" s="127" t="b">
        <f t="shared" si="358"/>
        <v>1</v>
      </c>
      <c r="CI261" s="127" t="b">
        <f t="shared" si="359"/>
        <v>1</v>
      </c>
      <c r="CJ261" s="127" t="b">
        <f t="shared" si="360"/>
        <v>0</v>
      </c>
      <c r="CK261" s="127">
        <f t="shared" ref="CK261:CK266" si="432">_xlfn.AGGREGATE(9,6,CC261:CF261)</f>
        <v>5.5743810217063422E-3</v>
      </c>
      <c r="CL261" s="127">
        <f t="shared" si="361"/>
        <v>5.5743810217063422E-3</v>
      </c>
      <c r="CM261" s="127" t="e">
        <f t="shared" si="362"/>
        <v>#N/A</v>
      </c>
      <c r="CN261" s="128" t="str">
        <f t="shared" si="363"/>
        <v/>
      </c>
      <c r="CO261" s="54">
        <f>_xlfn.NORM.DIST(_xlfn.NORM.INV(1-Eu_g_konfidensniveau,0,1)-Eu_tabel_g[[#This Row],[x base]],0,1,TRUE)</f>
        <v>2.4690684962284573E-6</v>
      </c>
      <c r="CP261" s="54">
        <f>1-_xlfn.NORM.DIST(_xlfn.NORM.INV(Eu_g_konfidensniveau,0,1)-Eu_tabel_g[[#This Row],[x base]],0,1,TRUE)</f>
        <v>0.89932091557589511</v>
      </c>
      <c r="CQ261" s="54">
        <f>_xlfn.NORM.DIST(_xlfn.NORM.INV((1-Eu_g_konfidensniveau)/2,0,1)-Eu_tabel_g[[#This Row],[x base]],0,1,TRUE)+1-_xlfn.NORM.DIST(_xlfn.NORM.INV(1-(1-Eu_g_konfidensniveau)/2,0,1)-Eu_tabel_g[[#This Row],[x base]],0,1,TRUE)</f>
        <v>0.83212168021726474</v>
      </c>
      <c r="CR261" s="54" t="e" cm="1">
        <f t="array" ref="CR261">IF($CR$3,INDEX(Eu_tabel_g[[#This Row],[Styrke venstre]:[Styrke tosidet]],CR$7),NA())</f>
        <v>#N/A</v>
      </c>
      <c r="CS261" s="89" t="e">
        <f>Eu_tabel_g[[#This Row],[Falsk positiv
Nulhypotese accepteres
Fejltype 1]]</f>
        <v>#N/A</v>
      </c>
      <c r="CT261" s="89" t="e">
        <f>IF(CHOOSE(CR$7,Eu_tabel_g[[#This Row],[x base]]&gt;0,Eu_tabel_g[[#This Row],[x base]]&lt;0,Eu_tabel_g[[#This Row],[x base]]=0),Eu_tabel_g[[#This Row],[Styrke, aktiv]],NA())</f>
        <v>#N/A</v>
      </c>
      <c r="CU261" s="89" t="e">
        <f>IFERROR(IF($CR$3,Eu_tabel_g[[#This Row],[Styrke, aktiv]],NA()),NA())</f>
        <v>#N/A</v>
      </c>
      <c r="CV261" s="89" t="e">
        <f>IF(ISNA(Eu_tabel_g[[#This Row],[Sand negativ
Nulhypotese afvises
Korrekt]]),NA(),IF($CR$3,1,NA()))</f>
        <v>#N/A</v>
      </c>
      <c r="CW261" s="56" t="str" cm="1">
        <f t="array" ref="CW261">_xlfn.SWITCH(BZ261,_xlfn.IFNA(CU$2,-99),CU$5,_xlfn.IFNA(CU$3,-99),CU$6,_xlfn.IFNA(CU$4,-99),CU$7,"")</f>
        <v/>
      </c>
      <c r="DA261" s="7">
        <f t="shared" si="364"/>
        <v>0.8</v>
      </c>
      <c r="DB261">
        <f>IF(ROW(Styrkeberegning_G[[#This Row],[X base venstre]])=ROW(Styrkeberegning_G[[#Headers],[X base venstre]])+1,DB$7/(DA$7/$B$67),DB260/(DA260/$B$67))</f>
        <v>-2.8015817870135784</v>
      </c>
      <c r="DC261">
        <f>Styrkeberegning_G[[#This Row],[X base venstre]]*-1</f>
        <v>2.8015817870135784</v>
      </c>
      <c r="DN261" s="127">
        <f t="shared" si="365"/>
        <v>251</v>
      </c>
      <c r="DO261" s="54">
        <f t="shared" si="366"/>
        <v>252</v>
      </c>
      <c r="DP261" s="127">
        <f t="shared" si="367"/>
        <v>30.465637625320941</v>
      </c>
      <c r="DQ261" s="127" t="e">
        <f t="shared" si="368"/>
        <v>#N/A</v>
      </c>
      <c r="DR261" s="127" t="e">
        <f t="shared" si="369"/>
        <v>#N/A</v>
      </c>
      <c r="DS261" s="127">
        <f t="shared" si="370"/>
        <v>4.8651398347232842E-4</v>
      </c>
      <c r="DT261" s="127" t="e">
        <f t="shared" si="371"/>
        <v>#N/A</v>
      </c>
      <c r="DU261" s="127" t="b">
        <f t="shared" si="372"/>
        <v>0</v>
      </c>
      <c r="DV261" s="127" t="b">
        <f t="shared" si="373"/>
        <v>1</v>
      </c>
      <c r="DW261" s="127" t="b">
        <f t="shared" si="374"/>
        <v>1</v>
      </c>
      <c r="DX261" s="127" t="b">
        <f t="shared" si="375"/>
        <v>0</v>
      </c>
      <c r="DY261" s="127">
        <f t="shared" si="376"/>
        <v>4.8651398347232842E-4</v>
      </c>
      <c r="DZ261" s="127">
        <f t="shared" si="377"/>
        <v>4.8651398347232842E-4</v>
      </c>
      <c r="EA261" s="127" t="e">
        <f t="shared" si="378"/>
        <v>#N/A</v>
      </c>
      <c r="EB261" s="128" t="str">
        <f t="shared" si="379"/>
        <v/>
      </c>
      <c r="EG261" s="127">
        <f t="shared" si="380"/>
        <v>251</v>
      </c>
      <c r="EH261" s="54">
        <f t="shared" si="381"/>
        <v>252</v>
      </c>
      <c r="EI261" s="127">
        <f t="shared" si="382"/>
        <v>2.922545281802118</v>
      </c>
      <c r="EJ261" s="127">
        <f t="shared" si="383"/>
        <v>5.5743810217063422E-3</v>
      </c>
      <c r="EK261" s="127" t="e">
        <f t="shared" si="384"/>
        <v>#N/A</v>
      </c>
      <c r="EL261" s="127" t="e">
        <f t="shared" si="385"/>
        <v>#N/A</v>
      </c>
      <c r="EM261" s="127" t="e">
        <f t="shared" si="386"/>
        <v>#N/A</v>
      </c>
      <c r="EN261" s="127" t="b">
        <f t="shared" si="387"/>
        <v>0</v>
      </c>
      <c r="EO261" s="127" t="b">
        <f t="shared" si="388"/>
        <v>1</v>
      </c>
      <c r="EP261" s="127" t="b">
        <f t="shared" si="389"/>
        <v>1</v>
      </c>
      <c r="EQ261" s="127" t="b">
        <f t="shared" si="390"/>
        <v>0</v>
      </c>
      <c r="ER261" s="127">
        <f t="shared" si="391"/>
        <v>5.5743810217063422E-3</v>
      </c>
      <c r="ES261" s="127">
        <f t="shared" si="392"/>
        <v>5.5743810217063422E-3</v>
      </c>
      <c r="ET261" s="127" t="e">
        <f t="shared" si="393"/>
        <v>#N/A</v>
      </c>
      <c r="EU261" s="128" t="str">
        <f t="shared" si="394"/>
        <v/>
      </c>
      <c r="EV26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6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6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61" s="54" t="e" cm="1">
        <f t="array" ref="EY261">IF($CR$3,INDEX(Eu_tabel_a[[#This Row],[Styrke venstre]:[Styrke tosidet]],EY$7),NA())</f>
        <v>#N/A</v>
      </c>
      <c r="EZ261" s="54" t="e">
        <f>IF(EY$3,IF(CHOOSE(EY$7,Eu_tabel_a[[#This Row],[x base]]&gt;0,Eu_tabel_a[[#This Row],[x base]]&lt;0,Eu_tabel_a[[#This Row],[x base]]=0),1,NA()),NA())</f>
        <v>#N/A</v>
      </c>
      <c r="FA261" s="54" t="e">
        <f>IF(CHOOSE(EY$7,Eu_tabel_a[[#This Row],[x base]]&gt;0,Eu_tabel_a[[#This Row],[x base]]&lt;0,Eu_tabel_a[[#This Row],[x base]]=0),Eu_tabel_a[[#This Row],[Styrke, aktiv]],NA())</f>
        <v>#N/A</v>
      </c>
      <c r="FB261" s="54" t="e">
        <f>IFERROR(IF($EY$3,Eu_tabel_a[[#This Row],[Styrke, aktiv]],NA()),NA())</f>
        <v>#N/A</v>
      </c>
      <c r="FC261" s="54" t="e">
        <f>IF(ISNA(Eu_tabel_a[[#This Row],[Sand negativ
Nulhypotese afvises
Korrekt]]),NA(),IF(EY$3,1,NA()))</f>
        <v>#N/A</v>
      </c>
      <c r="FD261" s="55" t="str" cm="1">
        <f t="array" ref="FD261">IFERROR(_xlfn.SWITCH(Eu_tabel_a[[#This Row],[Indeks]],_xlfn.IFNA(FB$2,-99),FB$5,_xlfn.IFNA(FB$3,-99),FB$6,_xlfn.IFNA(FB$4,-99),FB$7,""),"")</f>
        <v/>
      </c>
      <c r="FE261" s="54">
        <f>Eu_tabel_a[[#This Row],[x base]]*SQRT(Eu_a_h0_x*(1-Eu_a_h0_x)/Eu_a_n_x)+Eu_a_h0_x</f>
        <v>0</v>
      </c>
      <c r="FJ261" s="144" t="e">
        <f t="shared" si="338"/>
        <v>#N/A</v>
      </c>
      <c r="FK261" s="152" t="e">
        <f t="shared" si="426"/>
        <v>#DIV/0!</v>
      </c>
      <c r="FL261" s="7" t="e">
        <f t="shared" si="332"/>
        <v>#DIV/0!</v>
      </c>
      <c r="FM261" t="e">
        <f t="shared" si="427"/>
        <v>#DIV/0!</v>
      </c>
      <c r="FN261" s="8" t="e">
        <f t="shared" si="428"/>
        <v>#DIV/0!</v>
      </c>
      <c r="FO261" s="8" t="e">
        <f t="shared" si="429"/>
        <v>#DIV/0!</v>
      </c>
      <c r="FP261" s="151" t="e">
        <f t="shared" si="430"/>
        <v>#DIV/0!</v>
      </c>
      <c r="FQ261" s="144" t="e">
        <f t="shared" ca="1" si="333"/>
        <v>#N/A</v>
      </c>
      <c r="FR261" s="152" t="e" vm="3">
        <f t="shared" ca="1" si="339"/>
        <v>#VALUE!</v>
      </c>
      <c r="FS261" s="7" t="e" vm="3">
        <f t="shared" ca="1" si="334"/>
        <v>#VALUE!</v>
      </c>
      <c r="FT261" t="e" vm="3">
        <f t="shared" ref="FT261:FT268" ca="1" si="433">FR261-FR260</f>
        <v>#VALUE!</v>
      </c>
      <c r="FU261" s="8" t="e" vm="3">
        <f t="shared" ref="FU261:FU268" ca="1" si="434">FS261-FS260</f>
        <v>#VALUE!</v>
      </c>
      <c r="FV261" s="8" t="e" vm="3">
        <f t="shared" ref="FV261:FV268" ca="1" si="435">$P$67-FS260</f>
        <v>#VALUE!</v>
      </c>
      <c r="FW261" s="151" t="e" vm="3">
        <f t="shared" ref="FW261:FW268" ca="1" si="436">FT261/(FU261/FV261)</f>
        <v>#VALUE!</v>
      </c>
      <c r="FX261" s="144" t="e">
        <f t="shared" si="335"/>
        <v>#N/A</v>
      </c>
      <c r="FY261" s="152" t="e">
        <f t="shared" si="340"/>
        <v>#N/A</v>
      </c>
      <c r="FZ261" s="7" t="e">
        <f t="shared" si="336"/>
        <v>#N/A</v>
      </c>
      <c r="GA261" t="e">
        <f t="shared" si="341"/>
        <v>#N/A</v>
      </c>
      <c r="GB261" s="8" t="e">
        <f t="shared" si="342"/>
        <v>#N/A</v>
      </c>
      <c r="GC261" s="8" t="e">
        <f t="shared" si="343"/>
        <v>#N/A</v>
      </c>
      <c r="GD261" s="151" t="e">
        <f t="shared" si="344"/>
        <v>#N/A</v>
      </c>
      <c r="GE261" s="144" t="e">
        <f t="shared" si="345"/>
        <v>#N/A</v>
      </c>
      <c r="GF261" s="152" t="e">
        <f t="shared" si="346"/>
        <v>#N/A</v>
      </c>
      <c r="GG261" s="7" t="e">
        <f t="shared" si="337"/>
        <v>#N/A</v>
      </c>
      <c r="GH261" t="e">
        <f t="shared" si="347"/>
        <v>#N/A</v>
      </c>
      <c r="GI261" s="8" t="e">
        <f t="shared" si="348"/>
        <v>#N/A</v>
      </c>
      <c r="GJ261" s="8" t="e">
        <f t="shared" si="349"/>
        <v>#N/A</v>
      </c>
      <c r="GK261" s="151" t="e">
        <f t="shared" si="350"/>
        <v>#N/A</v>
      </c>
      <c r="GL261" s="151"/>
      <c r="GM261" s="151"/>
      <c r="GP261" s="127">
        <f t="shared" si="395"/>
        <v>251</v>
      </c>
      <c r="GQ261" s="54">
        <f t="shared" si="396"/>
        <v>252</v>
      </c>
      <c r="GR261" s="127">
        <f t="shared" si="397"/>
        <v>2.922545281802118</v>
      </c>
      <c r="GS261" s="127">
        <f t="shared" si="398"/>
        <v>5.5743810217063422E-3</v>
      </c>
      <c r="GT261" s="127" t="e">
        <f t="shared" si="399"/>
        <v>#N/A</v>
      </c>
      <c r="GU261" s="127" t="e">
        <f t="shared" si="400"/>
        <v>#N/A</v>
      </c>
      <c r="GV261" s="127" t="e">
        <f t="shared" si="401"/>
        <v>#N/A</v>
      </c>
      <c r="GW261" s="127" t="b">
        <f t="shared" si="402"/>
        <v>0</v>
      </c>
      <c r="GX261" s="127" t="b">
        <f t="shared" si="403"/>
        <v>1</v>
      </c>
      <c r="GY261" s="127" t="b">
        <f t="shared" si="404"/>
        <v>1</v>
      </c>
      <c r="GZ261" s="127" t="b">
        <f t="shared" si="405"/>
        <v>0</v>
      </c>
      <c r="HA261" s="127">
        <f t="shared" si="406"/>
        <v>5.5743810217063422E-3</v>
      </c>
      <c r="HB261" s="127">
        <f t="shared" si="407"/>
        <v>5.5743810217063422E-3</v>
      </c>
      <c r="HC261" s="127" t="e">
        <f t="shared" si="408"/>
        <v>#N/A</v>
      </c>
      <c r="HD261" s="128" t="str">
        <f t="shared" si="409"/>
        <v/>
      </c>
      <c r="HJ261" s="127">
        <f t="shared" si="410"/>
        <v>251</v>
      </c>
      <c r="HK261" s="54">
        <f t="shared" si="411"/>
        <v>252</v>
      </c>
      <c r="HL261" s="127">
        <f t="shared" si="412"/>
        <v>4.5256227495649348</v>
      </c>
      <c r="HM261" s="127" t="e">
        <f t="shared" si="413"/>
        <v>#N/A</v>
      </c>
      <c r="HN261" s="127">
        <f t="shared" si="414"/>
        <v>1.6206774944199514E-3</v>
      </c>
      <c r="HO261" s="127" t="e">
        <f t="shared" si="415"/>
        <v>#N/A</v>
      </c>
      <c r="HP261" s="127" t="e">
        <f t="shared" si="416"/>
        <v>#N/A</v>
      </c>
      <c r="HQ261" s="127" t="b">
        <f t="shared" si="417"/>
        <v>0</v>
      </c>
      <c r="HR261" s="127" t="b">
        <f t="shared" si="418"/>
        <v>1</v>
      </c>
      <c r="HS261" s="127" t="b">
        <f t="shared" si="419"/>
        <v>1</v>
      </c>
      <c r="HT261" s="127" t="b">
        <f t="shared" si="420"/>
        <v>0</v>
      </c>
      <c r="HU261" s="127">
        <f t="shared" si="421"/>
        <v>1.6206774944199514E-3</v>
      </c>
      <c r="HV261" s="127" t="e">
        <f t="shared" si="422"/>
        <v>#N/A</v>
      </c>
      <c r="HW261" s="127">
        <f t="shared" si="423"/>
        <v>1.6206774944199514E-3</v>
      </c>
      <c r="HX261" s="128" t="str">
        <f t="shared" si="424"/>
        <v/>
      </c>
    </row>
    <row r="262" spans="78:232" x14ac:dyDescent="0.2">
      <c r="BZ262" s="127">
        <f t="shared" si="351"/>
        <v>252</v>
      </c>
      <c r="CA262" s="54">
        <f>Eu_tabel_g[[#This Row],[Indeks]]+1</f>
        <v>253</v>
      </c>
      <c r="CB262" s="127">
        <f t="shared" si="352"/>
        <v>2.946500570997217</v>
      </c>
      <c r="CC262" s="127">
        <f t="shared" si="353"/>
        <v>5.1959731862444561E-3</v>
      </c>
      <c r="CD262" s="127" t="e">
        <f t="shared" si="354"/>
        <v>#N/A</v>
      </c>
      <c r="CE262" s="127" t="e">
        <f t="shared" si="355"/>
        <v>#N/A</v>
      </c>
      <c r="CF262" s="127" t="e">
        <f t="shared" si="356"/>
        <v>#N/A</v>
      </c>
      <c r="CG262" s="127" t="b">
        <f t="shared" si="357"/>
        <v>0</v>
      </c>
      <c r="CH262" s="127" t="b">
        <f t="shared" si="358"/>
        <v>1</v>
      </c>
      <c r="CI262" s="127" t="b">
        <f t="shared" si="359"/>
        <v>1</v>
      </c>
      <c r="CJ262" s="127" t="b">
        <f t="shared" si="360"/>
        <v>0</v>
      </c>
      <c r="CK262" s="127">
        <f t="shared" si="432"/>
        <v>5.1959731862444561E-3</v>
      </c>
      <c r="CL262" s="127">
        <f t="shared" si="361"/>
        <v>5.1959731862444561E-3</v>
      </c>
      <c r="CM262" s="127" t="e">
        <f t="shared" si="362"/>
        <v>#N/A</v>
      </c>
      <c r="CN262" s="128" t="str">
        <f t="shared" si="363"/>
        <v/>
      </c>
      <c r="CO262" s="54">
        <f>_xlfn.NORM.DIST(_xlfn.NORM.INV(1-Eu_g_konfidensniveau,0,1)-Eu_tabel_g[[#This Row],[x base]],0,1,TRUE)</f>
        <v>2.2018961847651585E-6</v>
      </c>
      <c r="CP262" s="54">
        <f>1-_xlfn.NORM.DIST(_xlfn.NORM.INV(Eu_g_konfidensniveau,0,1)-Eu_tabel_g[[#This Row],[x base]],0,1,TRUE)</f>
        <v>0.90348144784895701</v>
      </c>
      <c r="CQ262" s="54">
        <f>_xlfn.NORM.DIST(_xlfn.NORM.INV((1-Eu_g_konfidensniveau)/2,0,1)-Eu_tabel_g[[#This Row],[x base]],0,1,TRUE)+1-_xlfn.NORM.DIST(_xlfn.NORM.INV(1-(1-Eu_g_konfidensniveau)/2,0,1)-Eu_tabel_g[[#This Row],[x base]],0,1,TRUE)</f>
        <v>0.83806552823634339</v>
      </c>
      <c r="CR262" s="54" t="e" cm="1">
        <f t="array" ref="CR262">IF($CR$3,INDEX(Eu_tabel_g[[#This Row],[Styrke venstre]:[Styrke tosidet]],CR$7),NA())</f>
        <v>#N/A</v>
      </c>
      <c r="CS262" s="89" t="e">
        <f>Eu_tabel_g[[#This Row],[Falsk positiv
Nulhypotese accepteres
Fejltype 1]]</f>
        <v>#N/A</v>
      </c>
      <c r="CT262" s="89" t="e">
        <f>IF(CHOOSE(CR$7,Eu_tabel_g[[#This Row],[x base]]&gt;0,Eu_tabel_g[[#This Row],[x base]]&lt;0,Eu_tabel_g[[#This Row],[x base]]=0),Eu_tabel_g[[#This Row],[Styrke, aktiv]],NA())</f>
        <v>#N/A</v>
      </c>
      <c r="CU262" s="89" t="e">
        <f>IFERROR(IF($CR$3,Eu_tabel_g[[#This Row],[Styrke, aktiv]],NA()),NA())</f>
        <v>#N/A</v>
      </c>
      <c r="CV262" s="89" t="e">
        <f>IF(ISNA(Eu_tabel_g[[#This Row],[Sand negativ
Nulhypotese afvises
Korrekt]]),NA(),IF($CR$3,1,NA()))</f>
        <v>#N/A</v>
      </c>
      <c r="CW262" s="56" t="str" cm="1">
        <f t="array" ref="CW262">_xlfn.SWITCH(BZ262,_xlfn.IFNA(CU$2,-99),CU$5,_xlfn.IFNA(CU$3,-99),CU$6,_xlfn.IFNA(CU$4,-99),CU$7,"")</f>
        <v/>
      </c>
      <c r="DA262" s="7">
        <f t="shared" si="364"/>
        <v>0.8</v>
      </c>
      <c r="DB262">
        <f>IF(ROW(Styrkeberegning_G[[#This Row],[X base venstre]])=ROW(Styrkeberegning_G[[#Headers],[X base venstre]])+1,DB$7/(DA$7/$B$67),DB261/(DA261/$B$67))</f>
        <v>-2.8015817870135784</v>
      </c>
      <c r="DC262">
        <f>Styrkeberegning_G[[#This Row],[X base venstre]]*-1</f>
        <v>2.8015817870135784</v>
      </c>
      <c r="DN262" s="127">
        <f t="shared" si="365"/>
        <v>252</v>
      </c>
      <c r="DO262" s="54">
        <f t="shared" si="366"/>
        <v>253</v>
      </c>
      <c r="DP262" s="127">
        <f t="shared" si="367"/>
        <v>30.579708481737942</v>
      </c>
      <c r="DQ262" s="127" t="e">
        <f t="shared" si="368"/>
        <v>#N/A</v>
      </c>
      <c r="DR262" s="127" t="e">
        <f t="shared" si="369"/>
        <v>#N/A</v>
      </c>
      <c r="DS262" s="127">
        <f t="shared" si="370"/>
        <v>4.6733570792980748E-4</v>
      </c>
      <c r="DT262" s="127" t="e">
        <f t="shared" si="371"/>
        <v>#N/A</v>
      </c>
      <c r="DU262" s="127" t="b">
        <f t="shared" si="372"/>
        <v>0</v>
      </c>
      <c r="DV262" s="127" t="b">
        <f t="shared" si="373"/>
        <v>1</v>
      </c>
      <c r="DW262" s="127" t="b">
        <f t="shared" si="374"/>
        <v>1</v>
      </c>
      <c r="DX262" s="127" t="b">
        <f t="shared" si="375"/>
        <v>0</v>
      </c>
      <c r="DY262" s="127">
        <f t="shared" si="376"/>
        <v>4.6733570792980748E-4</v>
      </c>
      <c r="DZ262" s="127">
        <f t="shared" si="377"/>
        <v>4.6733570792980748E-4</v>
      </c>
      <c r="EA262" s="127" t="e">
        <f t="shared" si="378"/>
        <v>#N/A</v>
      </c>
      <c r="EB262" s="128" t="str">
        <f t="shared" si="379"/>
        <v/>
      </c>
      <c r="EG262" s="127">
        <f t="shared" si="380"/>
        <v>252</v>
      </c>
      <c r="EH262" s="54">
        <f t="shared" si="381"/>
        <v>253</v>
      </c>
      <c r="EI262" s="127">
        <f t="shared" si="382"/>
        <v>2.946500570997217</v>
      </c>
      <c r="EJ262" s="127">
        <f t="shared" si="383"/>
        <v>5.1959731862444561E-3</v>
      </c>
      <c r="EK262" s="127" t="e">
        <f t="shared" si="384"/>
        <v>#N/A</v>
      </c>
      <c r="EL262" s="127" t="e">
        <f t="shared" si="385"/>
        <v>#N/A</v>
      </c>
      <c r="EM262" s="127" t="e">
        <f t="shared" si="386"/>
        <v>#N/A</v>
      </c>
      <c r="EN262" s="127" t="b">
        <f t="shared" si="387"/>
        <v>0</v>
      </c>
      <c r="EO262" s="127" t="b">
        <f t="shared" si="388"/>
        <v>1</v>
      </c>
      <c r="EP262" s="127" t="b">
        <f t="shared" si="389"/>
        <v>1</v>
      </c>
      <c r="EQ262" s="127" t="b">
        <f t="shared" si="390"/>
        <v>0</v>
      </c>
      <c r="ER262" s="127">
        <f t="shared" si="391"/>
        <v>5.1959731862444561E-3</v>
      </c>
      <c r="ES262" s="127">
        <f t="shared" si="392"/>
        <v>5.1959731862444561E-3</v>
      </c>
      <c r="ET262" s="127" t="e">
        <f t="shared" si="393"/>
        <v>#N/A</v>
      </c>
      <c r="EU262" s="128" t="str">
        <f t="shared" si="394"/>
        <v/>
      </c>
      <c r="EV26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6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6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62" s="54" t="e" cm="1">
        <f t="array" ref="EY262">IF($CR$3,INDEX(Eu_tabel_a[[#This Row],[Styrke venstre]:[Styrke tosidet]],EY$7),NA())</f>
        <v>#N/A</v>
      </c>
      <c r="EZ262" s="54" t="e">
        <f>IF(EY$3,IF(CHOOSE(EY$7,Eu_tabel_a[[#This Row],[x base]]&gt;0,Eu_tabel_a[[#This Row],[x base]]&lt;0,Eu_tabel_a[[#This Row],[x base]]=0),1,NA()),NA())</f>
        <v>#N/A</v>
      </c>
      <c r="FA262" s="54" t="e">
        <f>IF(CHOOSE(EY$7,Eu_tabel_a[[#This Row],[x base]]&gt;0,Eu_tabel_a[[#This Row],[x base]]&lt;0,Eu_tabel_a[[#This Row],[x base]]=0),Eu_tabel_a[[#This Row],[Styrke, aktiv]],NA())</f>
        <v>#N/A</v>
      </c>
      <c r="FB262" s="54" t="e">
        <f>IFERROR(IF($EY$3,Eu_tabel_a[[#This Row],[Styrke, aktiv]],NA()),NA())</f>
        <v>#N/A</v>
      </c>
      <c r="FC262" s="54" t="e">
        <f>IF(ISNA(Eu_tabel_a[[#This Row],[Sand negativ
Nulhypotese afvises
Korrekt]]),NA(),IF(EY$3,1,NA()))</f>
        <v>#N/A</v>
      </c>
      <c r="FD262" s="55" t="str" cm="1">
        <f t="array" ref="FD262">IFERROR(_xlfn.SWITCH(Eu_tabel_a[[#This Row],[Indeks]],_xlfn.IFNA(FB$2,-99),FB$5,_xlfn.IFNA(FB$3,-99),FB$6,_xlfn.IFNA(FB$4,-99),FB$7,""),"")</f>
        <v/>
      </c>
      <c r="FE262" s="54">
        <f>Eu_tabel_a[[#This Row],[x base]]*SQRT(Eu_a_h0_x*(1-Eu_a_h0_x)/Eu_a_n_x)+Eu_a_h0_x</f>
        <v>0</v>
      </c>
      <c r="FJ262" s="144" t="e">
        <f t="shared" si="338"/>
        <v>#N/A</v>
      </c>
      <c r="FK262" s="152" t="e">
        <f t="shared" si="426"/>
        <v>#DIV/0!</v>
      </c>
      <c r="FL262" s="7" t="e">
        <f t="shared" ref="FL262:FL268" si="437">_xlfn.NORM.DIST(-(SQRT(Eu_a_n_x)*(FK262-Eu_a_h0_x)/SQRT(FK262*(1-FK262)))-(_xlfn.NORM.INV(Eu_a_konfidensniveau,0,1)*SQRT((Eu_a_h0_x*(1-Eu_a_h0_x))/(FK262*(1-FK262)))),0,1,TRUE)</f>
        <v>#DIV/0!</v>
      </c>
      <c r="FM262" t="e">
        <f t="shared" si="427"/>
        <v>#DIV/0!</v>
      </c>
      <c r="FN262" s="8" t="e">
        <f t="shared" si="428"/>
        <v>#DIV/0!</v>
      </c>
      <c r="FO262" s="8" t="e">
        <f t="shared" si="429"/>
        <v>#DIV/0!</v>
      </c>
      <c r="FP262" s="151" t="e">
        <f t="shared" si="430"/>
        <v>#DIV/0!</v>
      </c>
      <c r="FQ262" s="144" t="e">
        <f t="shared" ref="FQ262:FQ268" ca="1" si="438">IF(ISERROR(FR262),NA(),ROW(FQ262)-ROW(FQ$5))</f>
        <v>#N/A</v>
      </c>
      <c r="FR262" s="152" t="e" vm="3">
        <f t="shared" ca="1" si="339"/>
        <v>#VALUE!</v>
      </c>
      <c r="FS262" s="7" t="e" vm="3">
        <f t="shared" ref="FS262:FS268" ca="1" si="439">_xlfn.NORM.DIST((SQRT(Eu_a_n_x)*(FR262-Eu_a_h0_x)/SQRT(FR262*(1-FR262)))-(_xlfn.NORM.INV(Eu_a_konfidensniveau,0,1)*SQRT((Eu_a_h0_x*(1-Eu_a_h0_x))/(FR262*(1-FR262)))),0,1,TRUE)</f>
        <v>#VALUE!</v>
      </c>
      <c r="FT262" t="e" vm="3">
        <f t="shared" ca="1" si="433"/>
        <v>#VALUE!</v>
      </c>
      <c r="FU262" s="8" t="e" vm="3">
        <f t="shared" ca="1" si="434"/>
        <v>#VALUE!</v>
      </c>
      <c r="FV262" s="8" t="e" vm="3">
        <f t="shared" ca="1" si="435"/>
        <v>#VALUE!</v>
      </c>
      <c r="FW262" s="151" t="e" vm="3">
        <f t="shared" ca="1" si="436"/>
        <v>#VALUE!</v>
      </c>
      <c r="FX262" s="144" t="e">
        <f t="shared" ref="FX262:FX268" si="440">IF(ISERROR(FY262),NA(),ROW(FX262)-ROW(FX$5))</f>
        <v>#N/A</v>
      </c>
      <c r="FY262" s="152" t="e">
        <f t="shared" si="340"/>
        <v>#N/A</v>
      </c>
      <c r="FZ262" s="7" t="e">
        <f t="shared" ref="FZ262:FZ268" si="441">_xlfn.NORM.DIST(-(SQRT(Eu_a_n_x)*(FY262-Eu_a_h0_x)/SQRT(FY262*(1-FY262)))-(_xlfn.NORM.INV(1-(1-Eu_a_konfidensniveau)/2,0,1)*SQRT((Eu_a_h0_x*(1-Eu_a_h0_x))/(FY262*(1-FY262)))),0,1,TRUE)+_xlfn.NORM.DIST((SQRT(Eu_a_n_x)*(FY262-Eu_a_h0_x)/SQRT(FY262*(1-FY262)))-(_xlfn.NORM.INV(1-(1-Eu_a_konfidensniveau)/2,0,1)*SQRT((Eu_a_h0_x*(1-Eu_a_h0_x))/(FY262*(1-FY262)))),0,1,TRUE)</f>
        <v>#N/A</v>
      </c>
      <c r="GA262" t="e">
        <f t="shared" si="341"/>
        <v>#N/A</v>
      </c>
      <c r="GB262" s="8" t="e">
        <f t="shared" si="342"/>
        <v>#N/A</v>
      </c>
      <c r="GC262" s="8" t="e">
        <f t="shared" si="343"/>
        <v>#N/A</v>
      </c>
      <c r="GD262" s="151" t="e">
        <f t="shared" si="344"/>
        <v>#N/A</v>
      </c>
      <c r="GE262" s="144" t="e">
        <f t="shared" si="345"/>
        <v>#N/A</v>
      </c>
      <c r="GF262" s="152" t="e">
        <f t="shared" si="346"/>
        <v>#N/A</v>
      </c>
      <c r="GG262" s="7" t="e">
        <f t="shared" ref="GG262:GG268" si="442">_xlfn.NORM.DIST(-(SQRT(Eu_a_n_x)*(GF262-Eu_a_h0_x)/SQRT(GF262*(1-GF262)))-(_xlfn.NORM.INV(1-(1-Eu_a_konfidensniveau)/2,0,1)*SQRT((Eu_a_h0_x*(1-Eu_a_h0_x))/(GF262*(1-GF262)))),0,1,TRUE)+_xlfn.NORM.DIST((SQRT(Eu_a_n_x)*(GF262-Eu_a_h0_x)/SQRT(GF262*(1-GF262)))-(_xlfn.NORM.INV(1-(1-Eu_a_konfidensniveau)/2,0,1)*SQRT((Eu_a_h0_x*(1-Eu_a_h0_x))/(GF262*(1-GF262)))),0,1,TRUE)</f>
        <v>#N/A</v>
      </c>
      <c r="GH262" t="e">
        <f t="shared" si="347"/>
        <v>#N/A</v>
      </c>
      <c r="GI262" s="8" t="e">
        <f t="shared" si="348"/>
        <v>#N/A</v>
      </c>
      <c r="GJ262" s="8" t="e">
        <f t="shared" si="349"/>
        <v>#N/A</v>
      </c>
      <c r="GK262" s="151" t="e">
        <f t="shared" si="350"/>
        <v>#N/A</v>
      </c>
      <c r="GL262" s="151"/>
      <c r="GM262" s="151"/>
      <c r="GP262" s="127">
        <f t="shared" si="395"/>
        <v>252</v>
      </c>
      <c r="GQ262" s="54">
        <f t="shared" si="396"/>
        <v>253</v>
      </c>
      <c r="GR262" s="127">
        <f t="shared" si="397"/>
        <v>2.946500570997217</v>
      </c>
      <c r="GS262" s="127">
        <f t="shared" si="398"/>
        <v>5.1959731862444561E-3</v>
      </c>
      <c r="GT262" s="127" t="e">
        <f t="shared" si="399"/>
        <v>#N/A</v>
      </c>
      <c r="GU262" s="127" t="e">
        <f t="shared" si="400"/>
        <v>#N/A</v>
      </c>
      <c r="GV262" s="127" t="e">
        <f t="shared" si="401"/>
        <v>#N/A</v>
      </c>
      <c r="GW262" s="127" t="b">
        <f t="shared" si="402"/>
        <v>0</v>
      </c>
      <c r="GX262" s="127" t="b">
        <f t="shared" si="403"/>
        <v>1</v>
      </c>
      <c r="GY262" s="127" t="b">
        <f t="shared" si="404"/>
        <v>1</v>
      </c>
      <c r="GZ262" s="127" t="b">
        <f t="shared" si="405"/>
        <v>0</v>
      </c>
      <c r="HA262" s="127">
        <f t="shared" si="406"/>
        <v>5.1959731862444561E-3</v>
      </c>
      <c r="HB262" s="127">
        <f t="shared" si="407"/>
        <v>5.1959731862444561E-3</v>
      </c>
      <c r="HC262" s="127" t="e">
        <f t="shared" si="408"/>
        <v>#N/A</v>
      </c>
      <c r="HD262" s="128" t="str">
        <f t="shared" si="409"/>
        <v/>
      </c>
      <c r="HJ262" s="127">
        <f t="shared" si="410"/>
        <v>252</v>
      </c>
      <c r="HK262" s="54">
        <f t="shared" si="411"/>
        <v>253</v>
      </c>
      <c r="HL262" s="127">
        <f t="shared" si="412"/>
        <v>4.5627180180039932</v>
      </c>
      <c r="HM262" s="127" t="e">
        <f t="shared" si="413"/>
        <v>#N/A</v>
      </c>
      <c r="HN262" s="127">
        <f t="shared" si="414"/>
        <v>1.5435294614151295E-3</v>
      </c>
      <c r="HO262" s="127" t="e">
        <f t="shared" si="415"/>
        <v>#N/A</v>
      </c>
      <c r="HP262" s="127" t="e">
        <f t="shared" si="416"/>
        <v>#N/A</v>
      </c>
      <c r="HQ262" s="127" t="b">
        <f t="shared" si="417"/>
        <v>0</v>
      </c>
      <c r="HR262" s="127" t="b">
        <f t="shared" si="418"/>
        <v>1</v>
      </c>
      <c r="HS262" s="127" t="b">
        <f t="shared" si="419"/>
        <v>1</v>
      </c>
      <c r="HT262" s="127" t="b">
        <f t="shared" si="420"/>
        <v>0</v>
      </c>
      <c r="HU262" s="127">
        <f t="shared" si="421"/>
        <v>1.5435294614151295E-3</v>
      </c>
      <c r="HV262" s="127" t="e">
        <f t="shared" si="422"/>
        <v>#N/A</v>
      </c>
      <c r="HW262" s="127">
        <f t="shared" si="423"/>
        <v>1.5435294614151295E-3</v>
      </c>
      <c r="HX262" s="128" t="str">
        <f t="shared" si="424"/>
        <v/>
      </c>
    </row>
    <row r="263" spans="78:232" x14ac:dyDescent="0.2">
      <c r="BZ263" s="127">
        <f t="shared" si="351"/>
        <v>253</v>
      </c>
      <c r="CA263" s="54">
        <f>Eu_tabel_g[[#This Row],[Indeks]]+1</f>
        <v>254</v>
      </c>
      <c r="CB263" s="127">
        <f t="shared" si="352"/>
        <v>2.9704558601923168</v>
      </c>
      <c r="CC263" s="127">
        <f t="shared" si="353"/>
        <v>4.8404744224978778E-3</v>
      </c>
      <c r="CD263" s="127" t="e">
        <f t="shared" si="354"/>
        <v>#N/A</v>
      </c>
      <c r="CE263" s="127" t="e">
        <f t="shared" si="355"/>
        <v>#N/A</v>
      </c>
      <c r="CF263" s="127" t="e">
        <f t="shared" si="356"/>
        <v>#N/A</v>
      </c>
      <c r="CG263" s="127" t="b">
        <f t="shared" si="357"/>
        <v>0</v>
      </c>
      <c r="CH263" s="127" t="b">
        <f t="shared" si="358"/>
        <v>1</v>
      </c>
      <c r="CI263" s="127" t="b">
        <f t="shared" si="359"/>
        <v>1</v>
      </c>
      <c r="CJ263" s="127" t="b">
        <f t="shared" si="360"/>
        <v>0</v>
      </c>
      <c r="CK263" s="127">
        <f t="shared" si="432"/>
        <v>4.8404744224978778E-3</v>
      </c>
      <c r="CL263" s="127">
        <f t="shared" si="361"/>
        <v>4.8404744224978778E-3</v>
      </c>
      <c r="CM263" s="127" t="e">
        <f t="shared" si="362"/>
        <v>#N/A</v>
      </c>
      <c r="CN263" s="128" t="str">
        <f t="shared" si="363"/>
        <v/>
      </c>
      <c r="CO263" s="54">
        <f>_xlfn.NORM.DIST(_xlfn.NORM.INV(1-Eu_g_konfidensniveau,0,1)-Eu_tabel_g[[#This Row],[x base]],0,1,TRUE)</f>
        <v>1.9625497901493715E-6</v>
      </c>
      <c r="CP263" s="54">
        <f>1-_xlfn.NORM.DIST(_xlfn.NORM.INV(Eu_g_konfidensniveau,0,1)-Eu_tabel_g[[#This Row],[x base]],0,1,TRUE)</f>
        <v>0.90751425694156995</v>
      </c>
      <c r="CQ263" s="54">
        <f>_xlfn.NORM.DIST(_xlfn.NORM.INV((1-Eu_g_konfidensniveau)/2,0,1)-Eu_tabel_g[[#This Row],[x base]],0,1,TRUE)+1-_xlfn.NORM.DIST(_xlfn.NORM.INV(1-(1-Eu_g_konfidensniveau)/2,0,1)-Eu_tabel_g[[#This Row],[x base]],0,1,TRUE)</f>
        <v>0.84387056532820115</v>
      </c>
      <c r="CR263" s="54" t="e" cm="1">
        <f t="array" ref="CR263">IF($CR$3,INDEX(Eu_tabel_g[[#This Row],[Styrke venstre]:[Styrke tosidet]],CR$7),NA())</f>
        <v>#N/A</v>
      </c>
      <c r="CS263" s="89" t="e">
        <f>Eu_tabel_g[[#This Row],[Falsk positiv
Nulhypotese accepteres
Fejltype 1]]</f>
        <v>#N/A</v>
      </c>
      <c r="CT263" s="89" t="e">
        <f>IF(CHOOSE(CR$7,Eu_tabel_g[[#This Row],[x base]]&gt;0,Eu_tabel_g[[#This Row],[x base]]&lt;0,Eu_tabel_g[[#This Row],[x base]]=0),Eu_tabel_g[[#This Row],[Styrke, aktiv]],NA())</f>
        <v>#N/A</v>
      </c>
      <c r="CU263" s="89" t="e">
        <f>IFERROR(IF($CR$3,Eu_tabel_g[[#This Row],[Styrke, aktiv]],NA()),NA())</f>
        <v>#N/A</v>
      </c>
      <c r="CV263" s="89" t="e">
        <f>IF(ISNA(Eu_tabel_g[[#This Row],[Sand negativ
Nulhypotese afvises
Korrekt]]),NA(),IF($CR$3,1,NA()))</f>
        <v>#N/A</v>
      </c>
      <c r="CW263" s="56" t="str" cm="1">
        <f t="array" ref="CW263">_xlfn.SWITCH(BZ263,_xlfn.IFNA(CU$2,-99),CU$5,_xlfn.IFNA(CU$3,-99),CU$6,_xlfn.IFNA(CU$4,-99),CU$7,"")</f>
        <v/>
      </c>
      <c r="DA263" s="7">
        <f t="shared" si="364"/>
        <v>0.8</v>
      </c>
      <c r="DB263">
        <f>IF(ROW(Styrkeberegning_G[[#This Row],[X base venstre]])=ROW(Styrkeberegning_G[[#Headers],[X base venstre]])+1,DB$7/(DA$7/$B$67),DB262/(DA262/$B$67))</f>
        <v>-2.8015817870135784</v>
      </c>
      <c r="DC263">
        <f>Styrkeberegning_G[[#This Row],[X base venstre]]*-1</f>
        <v>2.8015817870135784</v>
      </c>
      <c r="DN263" s="127">
        <f t="shared" si="365"/>
        <v>253</v>
      </c>
      <c r="DO263" s="54">
        <f t="shared" si="366"/>
        <v>254</v>
      </c>
      <c r="DP263" s="127">
        <f t="shared" si="367"/>
        <v>30.693779338154943</v>
      </c>
      <c r="DQ263" s="127" t="e">
        <f t="shared" si="368"/>
        <v>#N/A</v>
      </c>
      <c r="DR263" s="127" t="e">
        <f t="shared" si="369"/>
        <v>#N/A</v>
      </c>
      <c r="DS263" s="127">
        <f t="shared" si="370"/>
        <v>4.4888532672208905E-4</v>
      </c>
      <c r="DT263" s="127" t="e">
        <f t="shared" si="371"/>
        <v>#N/A</v>
      </c>
      <c r="DU263" s="127" t="b">
        <f t="shared" si="372"/>
        <v>0</v>
      </c>
      <c r="DV263" s="127" t="b">
        <f t="shared" si="373"/>
        <v>1</v>
      </c>
      <c r="DW263" s="127" t="b">
        <f t="shared" si="374"/>
        <v>1</v>
      </c>
      <c r="DX263" s="127" t="b">
        <f t="shared" si="375"/>
        <v>0</v>
      </c>
      <c r="DY263" s="127">
        <f t="shared" si="376"/>
        <v>4.4888532672208905E-4</v>
      </c>
      <c r="DZ263" s="127">
        <f t="shared" si="377"/>
        <v>4.4888532672208905E-4</v>
      </c>
      <c r="EA263" s="127" t="e">
        <f t="shared" si="378"/>
        <v>#N/A</v>
      </c>
      <c r="EB263" s="128" t="str">
        <f t="shared" si="379"/>
        <v/>
      </c>
      <c r="EG263" s="127">
        <f t="shared" si="380"/>
        <v>253</v>
      </c>
      <c r="EH263" s="54">
        <f t="shared" si="381"/>
        <v>254</v>
      </c>
      <c r="EI263" s="127">
        <f t="shared" si="382"/>
        <v>2.9704558601923168</v>
      </c>
      <c r="EJ263" s="127">
        <f t="shared" si="383"/>
        <v>4.8404744224978778E-3</v>
      </c>
      <c r="EK263" s="127" t="e">
        <f t="shared" si="384"/>
        <v>#N/A</v>
      </c>
      <c r="EL263" s="127" t="e">
        <f t="shared" si="385"/>
        <v>#N/A</v>
      </c>
      <c r="EM263" s="127" t="e">
        <f t="shared" si="386"/>
        <v>#N/A</v>
      </c>
      <c r="EN263" s="127" t="b">
        <f t="shared" si="387"/>
        <v>0</v>
      </c>
      <c r="EO263" s="127" t="b">
        <f t="shared" si="388"/>
        <v>1</v>
      </c>
      <c r="EP263" s="127" t="b">
        <f t="shared" si="389"/>
        <v>1</v>
      </c>
      <c r="EQ263" s="127" t="b">
        <f t="shared" si="390"/>
        <v>0</v>
      </c>
      <c r="ER263" s="127">
        <f t="shared" si="391"/>
        <v>4.8404744224978778E-3</v>
      </c>
      <c r="ES263" s="127">
        <f t="shared" si="392"/>
        <v>4.8404744224978778E-3</v>
      </c>
      <c r="ET263" s="127" t="e">
        <f t="shared" si="393"/>
        <v>#N/A</v>
      </c>
      <c r="EU263" s="128" t="str">
        <f t="shared" si="394"/>
        <v/>
      </c>
      <c r="EV26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6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6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63" s="54" t="e" cm="1">
        <f t="array" ref="EY263">IF($CR$3,INDEX(Eu_tabel_a[[#This Row],[Styrke venstre]:[Styrke tosidet]],EY$7),NA())</f>
        <v>#N/A</v>
      </c>
      <c r="EZ263" s="54" t="e">
        <f>IF(EY$3,IF(CHOOSE(EY$7,Eu_tabel_a[[#This Row],[x base]]&gt;0,Eu_tabel_a[[#This Row],[x base]]&lt;0,Eu_tabel_a[[#This Row],[x base]]=0),1,NA()),NA())</f>
        <v>#N/A</v>
      </c>
      <c r="FA263" s="54" t="e">
        <f>IF(CHOOSE(EY$7,Eu_tabel_a[[#This Row],[x base]]&gt;0,Eu_tabel_a[[#This Row],[x base]]&lt;0,Eu_tabel_a[[#This Row],[x base]]=0),Eu_tabel_a[[#This Row],[Styrke, aktiv]],NA())</f>
        <v>#N/A</v>
      </c>
      <c r="FB263" s="54" t="e">
        <f>IFERROR(IF($EY$3,Eu_tabel_a[[#This Row],[Styrke, aktiv]],NA()),NA())</f>
        <v>#N/A</v>
      </c>
      <c r="FC263" s="54" t="e">
        <f>IF(ISNA(Eu_tabel_a[[#This Row],[Sand negativ
Nulhypotese afvises
Korrekt]]),NA(),IF(EY$3,1,NA()))</f>
        <v>#N/A</v>
      </c>
      <c r="FD263" s="55" t="str" cm="1">
        <f t="array" ref="FD263">IFERROR(_xlfn.SWITCH(Eu_tabel_a[[#This Row],[Indeks]],_xlfn.IFNA(FB$2,-99),FB$5,_xlfn.IFNA(FB$3,-99),FB$6,_xlfn.IFNA(FB$4,-99),FB$7,""),"")</f>
        <v/>
      </c>
      <c r="FE263" s="54">
        <f>Eu_tabel_a[[#This Row],[x base]]*SQRT(Eu_a_h0_x*(1-Eu_a_h0_x)/Eu_a_n_x)+Eu_a_h0_x</f>
        <v>0</v>
      </c>
      <c r="FJ263" s="144" t="e">
        <f t="shared" ref="FJ263:FJ268" si="443">IF(ISERROR(FK263),NA(),ROW(FJ263)-ROW(FJ$5))</f>
        <v>#N/A</v>
      </c>
      <c r="FK263" s="152" t="e">
        <f t="shared" si="426"/>
        <v>#DIV/0!</v>
      </c>
      <c r="FL263" s="7" t="e">
        <f t="shared" si="437"/>
        <v>#DIV/0!</v>
      </c>
      <c r="FM263" t="e">
        <f t="shared" si="427"/>
        <v>#DIV/0!</v>
      </c>
      <c r="FN263" s="8" t="e">
        <f t="shared" si="428"/>
        <v>#DIV/0!</v>
      </c>
      <c r="FO263" s="8" t="e">
        <f t="shared" si="429"/>
        <v>#DIV/0!</v>
      </c>
      <c r="FP263" s="151" t="e">
        <f t="shared" si="430"/>
        <v>#DIV/0!</v>
      </c>
      <c r="FQ263" s="144" t="e">
        <f t="shared" ca="1" si="438"/>
        <v>#N/A</v>
      </c>
      <c r="FR263" s="152" t="e" vm="3">
        <f t="shared" ref="FR263:FR268" ca="1" si="444">FR261+FW262</f>
        <v>#VALUE!</v>
      </c>
      <c r="FS263" s="7" t="e" vm="3">
        <f t="shared" ca="1" si="439"/>
        <v>#VALUE!</v>
      </c>
      <c r="FT263" t="e" vm="3">
        <f t="shared" ca="1" si="433"/>
        <v>#VALUE!</v>
      </c>
      <c r="FU263" s="8" t="e" vm="3">
        <f t="shared" ca="1" si="434"/>
        <v>#VALUE!</v>
      </c>
      <c r="FV263" s="8" t="e" vm="3">
        <f t="shared" ca="1" si="435"/>
        <v>#VALUE!</v>
      </c>
      <c r="FW263" s="151" t="e" vm="3">
        <f t="shared" ca="1" si="436"/>
        <v>#VALUE!</v>
      </c>
      <c r="FX263" s="144" t="e">
        <f t="shared" si="440"/>
        <v>#N/A</v>
      </c>
      <c r="FY263" s="152" t="e">
        <f t="shared" ref="FY263:FY268" si="445">FY261+GD262</f>
        <v>#N/A</v>
      </c>
      <c r="FZ263" s="7" t="e">
        <f t="shared" si="441"/>
        <v>#N/A</v>
      </c>
      <c r="GA263" t="e">
        <f t="shared" ref="GA263:GA268" si="446">FY263-FY262</f>
        <v>#N/A</v>
      </c>
      <c r="GB263" s="8" t="e">
        <f t="shared" ref="GB263:GB268" si="447">FZ263-FZ262</f>
        <v>#N/A</v>
      </c>
      <c r="GC263" s="8" t="e">
        <f t="shared" ref="GC263:GC268" si="448">$P$67-FZ262</f>
        <v>#N/A</v>
      </c>
      <c r="GD263" s="151" t="e">
        <f t="shared" ref="GD263:GD268" si="449">GA263/(GB263/GC263)</f>
        <v>#N/A</v>
      </c>
      <c r="GE263" s="144" t="e">
        <f t="shared" ref="GE263:GE268" si="450">IF(ISERROR(GF263),NA(),ROW(GE263)-ROW(GE$5))</f>
        <v>#N/A</v>
      </c>
      <c r="GF263" s="152" t="e">
        <f t="shared" ref="GF263:GF268" si="451">GF261+GK262</f>
        <v>#N/A</v>
      </c>
      <c r="GG263" s="7" t="e">
        <f t="shared" si="442"/>
        <v>#N/A</v>
      </c>
      <c r="GH263" t="e">
        <f t="shared" ref="GH263:GH268" si="452">GF263-GF262</f>
        <v>#N/A</v>
      </c>
      <c r="GI263" s="8" t="e">
        <f t="shared" ref="GI263:GI268" si="453">GG263-GG262</f>
        <v>#N/A</v>
      </c>
      <c r="GJ263" s="8" t="e">
        <f t="shared" ref="GJ263:GJ268" si="454">$P$67-GG262</f>
        <v>#N/A</v>
      </c>
      <c r="GK263" s="151" t="e">
        <f t="shared" ref="GK263:GK268" si="455">GH263/(GI263/GJ263)</f>
        <v>#N/A</v>
      </c>
      <c r="GL263" s="151"/>
      <c r="GM263" s="151"/>
      <c r="GP263" s="127">
        <f t="shared" si="395"/>
        <v>253</v>
      </c>
      <c r="GQ263" s="54">
        <f t="shared" si="396"/>
        <v>254</v>
      </c>
      <c r="GR263" s="127">
        <f t="shared" si="397"/>
        <v>2.9704558601923168</v>
      </c>
      <c r="GS263" s="127">
        <f t="shared" si="398"/>
        <v>4.8404744224978778E-3</v>
      </c>
      <c r="GT263" s="127" t="e">
        <f t="shared" si="399"/>
        <v>#N/A</v>
      </c>
      <c r="GU263" s="127" t="e">
        <f t="shared" si="400"/>
        <v>#N/A</v>
      </c>
      <c r="GV263" s="127" t="e">
        <f t="shared" si="401"/>
        <v>#N/A</v>
      </c>
      <c r="GW263" s="127" t="b">
        <f t="shared" si="402"/>
        <v>0</v>
      </c>
      <c r="GX263" s="127" t="b">
        <f t="shared" si="403"/>
        <v>1</v>
      </c>
      <c r="GY263" s="127" t="b">
        <f t="shared" si="404"/>
        <v>1</v>
      </c>
      <c r="GZ263" s="127" t="b">
        <f t="shared" si="405"/>
        <v>0</v>
      </c>
      <c r="HA263" s="127">
        <f t="shared" si="406"/>
        <v>4.8404744224978778E-3</v>
      </c>
      <c r="HB263" s="127">
        <f t="shared" si="407"/>
        <v>4.8404744224978778E-3</v>
      </c>
      <c r="HC263" s="127" t="e">
        <f t="shared" si="408"/>
        <v>#N/A</v>
      </c>
      <c r="HD263" s="128" t="str">
        <f t="shared" si="409"/>
        <v/>
      </c>
      <c r="HJ263" s="127">
        <f t="shared" si="410"/>
        <v>253</v>
      </c>
      <c r="HK263" s="54">
        <f t="shared" si="411"/>
        <v>254</v>
      </c>
      <c r="HL263" s="127">
        <f t="shared" si="412"/>
        <v>4.5998132864430499</v>
      </c>
      <c r="HM263" s="127" t="e">
        <f t="shared" si="413"/>
        <v>#N/A</v>
      </c>
      <c r="HN263" s="127">
        <f t="shared" si="414"/>
        <v>1.4703428466840082E-3</v>
      </c>
      <c r="HO263" s="127" t="e">
        <f t="shared" si="415"/>
        <v>#N/A</v>
      </c>
      <c r="HP263" s="127" t="e">
        <f t="shared" si="416"/>
        <v>#N/A</v>
      </c>
      <c r="HQ263" s="127" t="b">
        <f t="shared" si="417"/>
        <v>0</v>
      </c>
      <c r="HR263" s="127" t="b">
        <f t="shared" si="418"/>
        <v>1</v>
      </c>
      <c r="HS263" s="127" t="b">
        <f t="shared" si="419"/>
        <v>1</v>
      </c>
      <c r="HT263" s="127" t="b">
        <f t="shared" si="420"/>
        <v>0</v>
      </c>
      <c r="HU263" s="127">
        <f t="shared" si="421"/>
        <v>1.4703428466840082E-3</v>
      </c>
      <c r="HV263" s="127" t="e">
        <f t="shared" si="422"/>
        <v>#N/A</v>
      </c>
      <c r="HW263" s="127">
        <f t="shared" si="423"/>
        <v>1.4703428466840082E-3</v>
      </c>
      <c r="HX263" s="128" t="str">
        <f t="shared" si="424"/>
        <v/>
      </c>
    </row>
    <row r="264" spans="78:232" x14ac:dyDescent="0.2">
      <c r="BZ264" s="127">
        <f t="shared" si="351"/>
        <v>254</v>
      </c>
      <c r="CA264" s="54">
        <f>Eu_tabel_g[[#This Row],[Indeks]]+1</f>
        <v>255</v>
      </c>
      <c r="CB264" s="127">
        <f t="shared" si="352"/>
        <v>2.9944111493874157</v>
      </c>
      <c r="CC264" s="127">
        <f t="shared" si="353"/>
        <v>4.5067112740675413E-3</v>
      </c>
      <c r="CD264" s="127" t="e">
        <f t="shared" si="354"/>
        <v>#N/A</v>
      </c>
      <c r="CE264" s="127" t="e">
        <f t="shared" si="355"/>
        <v>#N/A</v>
      </c>
      <c r="CF264" s="127" t="e">
        <f t="shared" si="356"/>
        <v>#N/A</v>
      </c>
      <c r="CG264" s="127" t="b">
        <f t="shared" si="357"/>
        <v>0</v>
      </c>
      <c r="CH264" s="127" t="b">
        <f t="shared" si="358"/>
        <v>1</v>
      </c>
      <c r="CI264" s="127" t="b">
        <f t="shared" si="359"/>
        <v>1</v>
      </c>
      <c r="CJ264" s="127" t="b">
        <f t="shared" si="360"/>
        <v>0</v>
      </c>
      <c r="CK264" s="127">
        <f t="shared" si="432"/>
        <v>4.5067112740675413E-3</v>
      </c>
      <c r="CL264" s="127">
        <f t="shared" si="361"/>
        <v>4.5067112740675413E-3</v>
      </c>
      <c r="CM264" s="127" t="e">
        <f t="shared" si="362"/>
        <v>#N/A</v>
      </c>
      <c r="CN264" s="128" t="str">
        <f t="shared" si="363"/>
        <v/>
      </c>
      <c r="CO264" s="54">
        <f>_xlfn.NORM.DIST(_xlfn.NORM.INV(1-Eu_g_konfidensniveau,0,1)-Eu_tabel_g[[#This Row],[x base]],0,1,TRUE)</f>
        <v>1.7482542555738399E-6</v>
      </c>
      <c r="CP264" s="54">
        <f>1-_xlfn.NORM.DIST(_xlfn.NORM.INV(Eu_g_konfidensniveau,0,1)-Eu_tabel_g[[#This Row],[x base]],0,1,TRUE)</f>
        <v>0.91142102134110681</v>
      </c>
      <c r="CQ264" s="54">
        <f>_xlfn.NORM.DIST(_xlfn.NORM.INV((1-Eu_g_konfidensniveau)/2,0,1)-Eu_tabel_g[[#This Row],[x base]],0,1,TRUE)+1-_xlfn.NORM.DIST(_xlfn.NORM.INV(1-(1-Eu_g_konfidensniveau)/2,0,1)-Eu_tabel_g[[#This Row],[x base]],0,1,TRUE)</f>
        <v>0.84953678041496683</v>
      </c>
      <c r="CR264" s="54" t="e" cm="1">
        <f t="array" ref="CR264">IF($CR$3,INDEX(Eu_tabel_g[[#This Row],[Styrke venstre]:[Styrke tosidet]],CR$7),NA())</f>
        <v>#N/A</v>
      </c>
      <c r="CS264" s="89" t="e">
        <f>Eu_tabel_g[[#This Row],[Falsk positiv
Nulhypotese accepteres
Fejltype 1]]</f>
        <v>#N/A</v>
      </c>
      <c r="CT264" s="89" t="e">
        <f>IF(CHOOSE(CR$7,Eu_tabel_g[[#This Row],[x base]]&gt;0,Eu_tabel_g[[#This Row],[x base]]&lt;0,Eu_tabel_g[[#This Row],[x base]]=0),Eu_tabel_g[[#This Row],[Styrke, aktiv]],NA())</f>
        <v>#N/A</v>
      </c>
      <c r="CU264" s="89" t="e">
        <f>IFERROR(IF($CR$3,Eu_tabel_g[[#This Row],[Styrke, aktiv]],NA()),NA())</f>
        <v>#N/A</v>
      </c>
      <c r="CV264" s="89" t="e">
        <f>IF(ISNA(Eu_tabel_g[[#This Row],[Sand negativ
Nulhypotese afvises
Korrekt]]),NA(),IF($CR$3,1,NA()))</f>
        <v>#N/A</v>
      </c>
      <c r="CW264" s="56" t="str" cm="1">
        <f t="array" ref="CW264">_xlfn.SWITCH(BZ264,_xlfn.IFNA(CU$2,-99),CU$5,_xlfn.IFNA(CU$3,-99),CU$6,_xlfn.IFNA(CU$4,-99),CU$7,"")</f>
        <v/>
      </c>
      <c r="DA264" s="7">
        <f t="shared" si="364"/>
        <v>0.8</v>
      </c>
      <c r="DB264">
        <f>IF(ROW(Styrkeberegning_G[[#This Row],[X base venstre]])=ROW(Styrkeberegning_G[[#Headers],[X base venstre]])+1,DB$7/(DA$7/$B$67),DB263/(DA263/$B$67))</f>
        <v>-2.8015817870135784</v>
      </c>
      <c r="DC264">
        <f>Styrkeberegning_G[[#This Row],[X base venstre]]*-1</f>
        <v>2.8015817870135784</v>
      </c>
      <c r="DN264" s="127">
        <f t="shared" si="365"/>
        <v>254</v>
      </c>
      <c r="DO264" s="54">
        <f t="shared" si="366"/>
        <v>255</v>
      </c>
      <c r="DP264" s="127">
        <f t="shared" si="367"/>
        <v>30.807850194571945</v>
      </c>
      <c r="DQ264" s="127" t="e">
        <f t="shared" si="368"/>
        <v>#N/A</v>
      </c>
      <c r="DR264" s="127" t="e">
        <f t="shared" si="369"/>
        <v>#N/A</v>
      </c>
      <c r="DS264" s="127">
        <f t="shared" si="370"/>
        <v>4.3113656788701659E-4</v>
      </c>
      <c r="DT264" s="127" t="e">
        <f t="shared" si="371"/>
        <v>#N/A</v>
      </c>
      <c r="DU264" s="127" t="b">
        <f t="shared" si="372"/>
        <v>0</v>
      </c>
      <c r="DV264" s="127" t="b">
        <f t="shared" si="373"/>
        <v>1</v>
      </c>
      <c r="DW264" s="127" t="b">
        <f t="shared" si="374"/>
        <v>1</v>
      </c>
      <c r="DX264" s="127" t="b">
        <f t="shared" si="375"/>
        <v>0</v>
      </c>
      <c r="DY264" s="127">
        <f t="shared" si="376"/>
        <v>4.3113656788701659E-4</v>
      </c>
      <c r="DZ264" s="127">
        <f t="shared" si="377"/>
        <v>4.3113656788701659E-4</v>
      </c>
      <c r="EA264" s="127" t="e">
        <f t="shared" si="378"/>
        <v>#N/A</v>
      </c>
      <c r="EB264" s="128" t="str">
        <f t="shared" si="379"/>
        <v/>
      </c>
      <c r="EG264" s="127">
        <f t="shared" si="380"/>
        <v>254</v>
      </c>
      <c r="EH264" s="54">
        <f t="shared" si="381"/>
        <v>255</v>
      </c>
      <c r="EI264" s="127">
        <f t="shared" si="382"/>
        <v>2.9944111493874157</v>
      </c>
      <c r="EJ264" s="127">
        <f t="shared" si="383"/>
        <v>4.5067112740675413E-3</v>
      </c>
      <c r="EK264" s="127" t="e">
        <f t="shared" si="384"/>
        <v>#N/A</v>
      </c>
      <c r="EL264" s="127" t="e">
        <f t="shared" si="385"/>
        <v>#N/A</v>
      </c>
      <c r="EM264" s="127" t="e">
        <f t="shared" si="386"/>
        <v>#N/A</v>
      </c>
      <c r="EN264" s="127" t="b">
        <f t="shared" si="387"/>
        <v>0</v>
      </c>
      <c r="EO264" s="127" t="b">
        <f t="shared" si="388"/>
        <v>1</v>
      </c>
      <c r="EP264" s="127" t="b">
        <f t="shared" si="389"/>
        <v>1</v>
      </c>
      <c r="EQ264" s="127" t="b">
        <f t="shared" si="390"/>
        <v>0</v>
      </c>
      <c r="ER264" s="127">
        <f t="shared" si="391"/>
        <v>4.5067112740675413E-3</v>
      </c>
      <c r="ES264" s="127">
        <f t="shared" si="392"/>
        <v>4.5067112740675413E-3</v>
      </c>
      <c r="ET264" s="127" t="e">
        <f t="shared" si="393"/>
        <v>#N/A</v>
      </c>
      <c r="EU264" s="128" t="str">
        <f t="shared" si="394"/>
        <v/>
      </c>
      <c r="EV26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6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6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64" s="54" t="e" cm="1">
        <f t="array" ref="EY264">IF($CR$3,INDEX(Eu_tabel_a[[#This Row],[Styrke venstre]:[Styrke tosidet]],EY$7),NA())</f>
        <v>#N/A</v>
      </c>
      <c r="EZ264" s="54" t="e">
        <f>IF(EY$3,IF(CHOOSE(EY$7,Eu_tabel_a[[#This Row],[x base]]&gt;0,Eu_tabel_a[[#This Row],[x base]]&lt;0,Eu_tabel_a[[#This Row],[x base]]=0),1,NA()),NA())</f>
        <v>#N/A</v>
      </c>
      <c r="FA264" s="54" t="e">
        <f>IF(CHOOSE(EY$7,Eu_tabel_a[[#This Row],[x base]]&gt;0,Eu_tabel_a[[#This Row],[x base]]&lt;0,Eu_tabel_a[[#This Row],[x base]]=0),Eu_tabel_a[[#This Row],[Styrke, aktiv]],NA())</f>
        <v>#N/A</v>
      </c>
      <c r="FB264" s="54" t="e">
        <f>IFERROR(IF($EY$3,Eu_tabel_a[[#This Row],[Styrke, aktiv]],NA()),NA())</f>
        <v>#N/A</v>
      </c>
      <c r="FC264" s="54" t="e">
        <f>IF(ISNA(Eu_tabel_a[[#This Row],[Sand negativ
Nulhypotese afvises
Korrekt]]),NA(),IF(EY$3,1,NA()))</f>
        <v>#N/A</v>
      </c>
      <c r="FD264" s="55" t="str" cm="1">
        <f t="array" ref="FD264">IFERROR(_xlfn.SWITCH(Eu_tabel_a[[#This Row],[Indeks]],_xlfn.IFNA(FB$2,-99),FB$5,_xlfn.IFNA(FB$3,-99),FB$6,_xlfn.IFNA(FB$4,-99),FB$7,""),"")</f>
        <v/>
      </c>
      <c r="FE264" s="54">
        <f>Eu_tabel_a[[#This Row],[x base]]*SQRT(Eu_a_h0_x*(1-Eu_a_h0_x)/Eu_a_n_x)+Eu_a_h0_x</f>
        <v>0</v>
      </c>
      <c r="FJ264" s="144" t="e">
        <f t="shared" si="443"/>
        <v>#N/A</v>
      </c>
      <c r="FK264" s="152" t="e">
        <f t="shared" si="426"/>
        <v>#DIV/0!</v>
      </c>
      <c r="FL264" s="7" t="e">
        <f t="shared" si="437"/>
        <v>#DIV/0!</v>
      </c>
      <c r="FM264" t="e">
        <f t="shared" si="427"/>
        <v>#DIV/0!</v>
      </c>
      <c r="FN264" s="8" t="e">
        <f t="shared" si="428"/>
        <v>#DIV/0!</v>
      </c>
      <c r="FO264" s="8" t="e">
        <f t="shared" si="429"/>
        <v>#DIV/0!</v>
      </c>
      <c r="FP264" s="151" t="e">
        <f t="shared" si="430"/>
        <v>#DIV/0!</v>
      </c>
      <c r="FQ264" s="144" t="e">
        <f t="shared" ca="1" si="438"/>
        <v>#N/A</v>
      </c>
      <c r="FR264" s="152" t="e" vm="3">
        <f t="shared" ca="1" si="444"/>
        <v>#VALUE!</v>
      </c>
      <c r="FS264" s="7" t="e" vm="3">
        <f t="shared" ca="1" si="439"/>
        <v>#VALUE!</v>
      </c>
      <c r="FT264" t="e" vm="3">
        <f t="shared" ca="1" si="433"/>
        <v>#VALUE!</v>
      </c>
      <c r="FU264" s="8" t="e" vm="3">
        <f t="shared" ca="1" si="434"/>
        <v>#VALUE!</v>
      </c>
      <c r="FV264" s="8" t="e" vm="3">
        <f t="shared" ca="1" si="435"/>
        <v>#VALUE!</v>
      </c>
      <c r="FW264" s="151" t="e" vm="3">
        <f t="shared" ca="1" si="436"/>
        <v>#VALUE!</v>
      </c>
      <c r="FX264" s="144" t="e">
        <f t="shared" si="440"/>
        <v>#N/A</v>
      </c>
      <c r="FY264" s="152" t="e">
        <f t="shared" si="445"/>
        <v>#N/A</v>
      </c>
      <c r="FZ264" s="7" t="e">
        <f t="shared" si="441"/>
        <v>#N/A</v>
      </c>
      <c r="GA264" t="e">
        <f t="shared" si="446"/>
        <v>#N/A</v>
      </c>
      <c r="GB264" s="8" t="e">
        <f t="shared" si="447"/>
        <v>#N/A</v>
      </c>
      <c r="GC264" s="8" t="e">
        <f t="shared" si="448"/>
        <v>#N/A</v>
      </c>
      <c r="GD264" s="151" t="e">
        <f t="shared" si="449"/>
        <v>#N/A</v>
      </c>
      <c r="GE264" s="144" t="e">
        <f t="shared" si="450"/>
        <v>#N/A</v>
      </c>
      <c r="GF264" s="152" t="e">
        <f t="shared" si="451"/>
        <v>#N/A</v>
      </c>
      <c r="GG264" s="7" t="e">
        <f t="shared" si="442"/>
        <v>#N/A</v>
      </c>
      <c r="GH264" t="e">
        <f t="shared" si="452"/>
        <v>#N/A</v>
      </c>
      <c r="GI264" s="8" t="e">
        <f t="shared" si="453"/>
        <v>#N/A</v>
      </c>
      <c r="GJ264" s="8" t="e">
        <f t="shared" si="454"/>
        <v>#N/A</v>
      </c>
      <c r="GK264" s="151" t="e">
        <f t="shared" si="455"/>
        <v>#N/A</v>
      </c>
      <c r="GL264" s="151"/>
      <c r="GM264" s="151"/>
      <c r="GP264" s="127">
        <f t="shared" si="395"/>
        <v>254</v>
      </c>
      <c r="GQ264" s="54">
        <f t="shared" si="396"/>
        <v>255</v>
      </c>
      <c r="GR264" s="127">
        <f t="shared" si="397"/>
        <v>2.9944111493874157</v>
      </c>
      <c r="GS264" s="127">
        <f t="shared" si="398"/>
        <v>4.5067112740675413E-3</v>
      </c>
      <c r="GT264" s="127" t="e">
        <f t="shared" si="399"/>
        <v>#N/A</v>
      </c>
      <c r="GU264" s="127" t="e">
        <f t="shared" si="400"/>
        <v>#N/A</v>
      </c>
      <c r="GV264" s="127" t="e">
        <f t="shared" si="401"/>
        <v>#N/A</v>
      </c>
      <c r="GW264" s="127" t="b">
        <f t="shared" si="402"/>
        <v>0</v>
      </c>
      <c r="GX264" s="127" t="b">
        <f t="shared" si="403"/>
        <v>1</v>
      </c>
      <c r="GY264" s="127" t="b">
        <f t="shared" si="404"/>
        <v>1</v>
      </c>
      <c r="GZ264" s="127" t="b">
        <f t="shared" si="405"/>
        <v>0</v>
      </c>
      <c r="HA264" s="127">
        <f t="shared" si="406"/>
        <v>4.5067112740675413E-3</v>
      </c>
      <c r="HB264" s="127">
        <f t="shared" si="407"/>
        <v>4.5067112740675413E-3</v>
      </c>
      <c r="HC264" s="127" t="e">
        <f t="shared" si="408"/>
        <v>#N/A</v>
      </c>
      <c r="HD264" s="128" t="str">
        <f t="shared" si="409"/>
        <v/>
      </c>
      <c r="HJ264" s="127">
        <f t="shared" si="410"/>
        <v>254</v>
      </c>
      <c r="HK264" s="54">
        <f t="shared" si="411"/>
        <v>255</v>
      </c>
      <c r="HL264" s="127">
        <f t="shared" si="412"/>
        <v>4.6369085548821065</v>
      </c>
      <c r="HM264" s="127" t="e">
        <f t="shared" si="413"/>
        <v>#N/A</v>
      </c>
      <c r="HN264" s="127">
        <f t="shared" si="414"/>
        <v>1.4009017297980497E-3</v>
      </c>
      <c r="HO264" s="127" t="e">
        <f t="shared" si="415"/>
        <v>#N/A</v>
      </c>
      <c r="HP264" s="127" t="e">
        <f t="shared" si="416"/>
        <v>#N/A</v>
      </c>
      <c r="HQ264" s="127" t="b">
        <f t="shared" si="417"/>
        <v>0</v>
      </c>
      <c r="HR264" s="127" t="b">
        <f t="shared" si="418"/>
        <v>1</v>
      </c>
      <c r="HS264" s="127" t="b">
        <f t="shared" si="419"/>
        <v>1</v>
      </c>
      <c r="HT264" s="127" t="b">
        <f t="shared" si="420"/>
        <v>0</v>
      </c>
      <c r="HU264" s="127">
        <f t="shared" si="421"/>
        <v>1.4009017297980497E-3</v>
      </c>
      <c r="HV264" s="127" t="e">
        <f t="shared" si="422"/>
        <v>#N/A</v>
      </c>
      <c r="HW264" s="127">
        <f t="shared" si="423"/>
        <v>1.4009017297980497E-3</v>
      </c>
      <c r="HX264" s="128" t="str">
        <f t="shared" si="424"/>
        <v/>
      </c>
    </row>
    <row r="265" spans="78:232" x14ac:dyDescent="0.2">
      <c r="BZ265" s="127">
        <f t="shared" si="351"/>
        <v>255</v>
      </c>
      <c r="CA265" s="54">
        <f>Eu_tabel_g[[#This Row],[Indeks]]+1</f>
        <v>256</v>
      </c>
      <c r="CB265" s="127">
        <f t="shared" si="352"/>
        <v>3.0183664385825155</v>
      </c>
      <c r="CC265" s="127">
        <f t="shared" si="353"/>
        <v>4.1935547655993438E-3</v>
      </c>
      <c r="CD265" s="127" t="e">
        <f t="shared" si="354"/>
        <v>#N/A</v>
      </c>
      <c r="CE265" s="127" t="e">
        <f t="shared" si="355"/>
        <v>#N/A</v>
      </c>
      <c r="CF265" s="127" t="e">
        <f t="shared" si="356"/>
        <v>#N/A</v>
      </c>
      <c r="CG265" s="127" t="b">
        <f t="shared" si="357"/>
        <v>0</v>
      </c>
      <c r="CH265" s="127" t="b">
        <f t="shared" si="358"/>
        <v>1</v>
      </c>
      <c r="CI265" s="127" t="b">
        <f t="shared" si="359"/>
        <v>1</v>
      </c>
      <c r="CJ265" s="127" t="b">
        <f t="shared" si="360"/>
        <v>0</v>
      </c>
      <c r="CK265" s="127">
        <f t="shared" si="432"/>
        <v>4.1935547655993438E-3</v>
      </c>
      <c r="CL265" s="127">
        <f t="shared" si="361"/>
        <v>4.1935547655993438E-3</v>
      </c>
      <c r="CM265" s="127" t="e">
        <f t="shared" si="362"/>
        <v>#N/A</v>
      </c>
      <c r="CN265" s="128" t="str">
        <f t="shared" si="363"/>
        <v/>
      </c>
      <c r="CO265" s="54">
        <f>_xlfn.NORM.DIST(_xlfn.NORM.INV(1-Eu_g_konfidensniveau,0,1)-Eu_tabel_g[[#This Row],[x base]],0,1,TRUE)</f>
        <v>1.5564977342734397E-6</v>
      </c>
      <c r="CP265" s="54">
        <f>1-_xlfn.NORM.DIST(_xlfn.NORM.INV(Eu_g_konfidensniveau,0,1)-Eu_tabel_g[[#This Row],[x base]],0,1,TRUE)</f>
        <v>0.91520350942874473</v>
      </c>
      <c r="CQ265" s="54">
        <f>_xlfn.NORM.DIST(_xlfn.NORM.INV((1-Eu_g_konfidensniveau)/2,0,1)-Eu_tabel_g[[#This Row],[x base]],0,1,TRUE)+1-_xlfn.NORM.DIST(_xlfn.NORM.INV(1-(1-Eu_g_konfidensniveau)/2,0,1)-Eu_tabel_g[[#This Row],[x base]],0,1,TRUE)</f>
        <v>0.85506432011602818</v>
      </c>
      <c r="CR265" s="54" t="e" cm="1">
        <f t="array" ref="CR265">IF($CR$3,INDEX(Eu_tabel_g[[#This Row],[Styrke venstre]:[Styrke tosidet]],CR$7),NA())</f>
        <v>#N/A</v>
      </c>
      <c r="CS265" s="89" t="e">
        <f>Eu_tabel_g[[#This Row],[Falsk positiv
Nulhypotese accepteres
Fejltype 1]]</f>
        <v>#N/A</v>
      </c>
      <c r="CT265" s="89" t="e">
        <f>IF(CHOOSE(CR$7,Eu_tabel_g[[#This Row],[x base]]&gt;0,Eu_tabel_g[[#This Row],[x base]]&lt;0,Eu_tabel_g[[#This Row],[x base]]=0),Eu_tabel_g[[#This Row],[Styrke, aktiv]],NA())</f>
        <v>#N/A</v>
      </c>
      <c r="CU265" s="89" t="e">
        <f>IFERROR(IF($CR$3,Eu_tabel_g[[#This Row],[Styrke, aktiv]],NA()),NA())</f>
        <v>#N/A</v>
      </c>
      <c r="CV265" s="89" t="e">
        <f>IF(ISNA(Eu_tabel_g[[#This Row],[Sand negativ
Nulhypotese afvises
Korrekt]]),NA(),IF($CR$3,1,NA()))</f>
        <v>#N/A</v>
      </c>
      <c r="CW265" s="56" t="str" cm="1">
        <f t="array" ref="CW265">_xlfn.SWITCH(BZ265,_xlfn.IFNA(CU$2,-99),CU$5,_xlfn.IFNA(CU$3,-99),CU$6,_xlfn.IFNA(CU$4,-99),CU$7,"")</f>
        <v/>
      </c>
      <c r="DA265" s="7">
        <f t="shared" si="364"/>
        <v>0.8</v>
      </c>
      <c r="DB265">
        <f>IF(ROW(Styrkeberegning_G[[#This Row],[X base venstre]])=ROW(Styrkeberegning_G[[#Headers],[X base venstre]])+1,DB$7/(DA$7/$B$67),DB264/(DA264/$B$67))</f>
        <v>-2.8015817870135784</v>
      </c>
      <c r="DC265">
        <f>Styrkeberegning_G[[#This Row],[X base venstre]]*-1</f>
        <v>2.8015817870135784</v>
      </c>
      <c r="DN265" s="127">
        <f t="shared" si="365"/>
        <v>255</v>
      </c>
      <c r="DO265" s="54">
        <f t="shared" si="366"/>
        <v>256</v>
      </c>
      <c r="DP265" s="127">
        <f t="shared" si="367"/>
        <v>30.921921050988946</v>
      </c>
      <c r="DQ265" s="127" t="e">
        <f t="shared" si="368"/>
        <v>#N/A</v>
      </c>
      <c r="DR265" s="127" t="e">
        <f t="shared" si="369"/>
        <v>#N/A</v>
      </c>
      <c r="DS265" s="127">
        <f t="shared" si="370"/>
        <v>4.1406404236711146E-4</v>
      </c>
      <c r="DT265" s="127" t="e">
        <f t="shared" si="371"/>
        <v>#N/A</v>
      </c>
      <c r="DU265" s="127" t="b">
        <f t="shared" si="372"/>
        <v>0</v>
      </c>
      <c r="DV265" s="127" t="b">
        <f t="shared" si="373"/>
        <v>1</v>
      </c>
      <c r="DW265" s="127" t="b">
        <f t="shared" si="374"/>
        <v>1</v>
      </c>
      <c r="DX265" s="127" t="b">
        <f t="shared" si="375"/>
        <v>0</v>
      </c>
      <c r="DY265" s="127">
        <f t="shared" si="376"/>
        <v>4.1406404236711146E-4</v>
      </c>
      <c r="DZ265" s="127">
        <f t="shared" si="377"/>
        <v>4.1406404236711146E-4</v>
      </c>
      <c r="EA265" s="127" t="e">
        <f t="shared" si="378"/>
        <v>#N/A</v>
      </c>
      <c r="EB265" s="128" t="str">
        <f t="shared" si="379"/>
        <v/>
      </c>
      <c r="EG265" s="127">
        <f t="shared" si="380"/>
        <v>255</v>
      </c>
      <c r="EH265" s="54">
        <f t="shared" si="381"/>
        <v>256</v>
      </c>
      <c r="EI265" s="127">
        <f t="shared" si="382"/>
        <v>3.0183664385825155</v>
      </c>
      <c r="EJ265" s="127">
        <f t="shared" si="383"/>
        <v>4.1935547655993438E-3</v>
      </c>
      <c r="EK265" s="127" t="e">
        <f t="shared" si="384"/>
        <v>#N/A</v>
      </c>
      <c r="EL265" s="127" t="e">
        <f t="shared" si="385"/>
        <v>#N/A</v>
      </c>
      <c r="EM265" s="127" t="e">
        <f t="shared" si="386"/>
        <v>#N/A</v>
      </c>
      <c r="EN265" s="127" t="b">
        <f t="shared" si="387"/>
        <v>0</v>
      </c>
      <c r="EO265" s="127" t="b">
        <f t="shared" si="388"/>
        <v>1</v>
      </c>
      <c r="EP265" s="127" t="b">
        <f t="shared" si="389"/>
        <v>1</v>
      </c>
      <c r="EQ265" s="127" t="b">
        <f t="shared" si="390"/>
        <v>0</v>
      </c>
      <c r="ER265" s="127">
        <f t="shared" si="391"/>
        <v>4.1935547655993438E-3</v>
      </c>
      <c r="ES265" s="127">
        <f t="shared" si="392"/>
        <v>4.1935547655993438E-3</v>
      </c>
      <c r="ET265" s="127" t="e">
        <f t="shared" si="393"/>
        <v>#N/A</v>
      </c>
      <c r="EU265" s="128" t="str">
        <f t="shared" si="394"/>
        <v/>
      </c>
      <c r="EV26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6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6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65" s="54" t="e" cm="1">
        <f t="array" ref="EY265">IF($CR$3,INDEX(Eu_tabel_a[[#This Row],[Styrke venstre]:[Styrke tosidet]],EY$7),NA())</f>
        <v>#N/A</v>
      </c>
      <c r="EZ265" s="54" t="e">
        <f>IF(EY$3,IF(CHOOSE(EY$7,Eu_tabel_a[[#This Row],[x base]]&gt;0,Eu_tabel_a[[#This Row],[x base]]&lt;0,Eu_tabel_a[[#This Row],[x base]]=0),1,NA()),NA())</f>
        <v>#N/A</v>
      </c>
      <c r="FA265" s="54" t="e">
        <f>IF(CHOOSE(EY$7,Eu_tabel_a[[#This Row],[x base]]&gt;0,Eu_tabel_a[[#This Row],[x base]]&lt;0,Eu_tabel_a[[#This Row],[x base]]=0),Eu_tabel_a[[#This Row],[Styrke, aktiv]],NA())</f>
        <v>#N/A</v>
      </c>
      <c r="FB265" s="54" t="e">
        <f>IFERROR(IF($EY$3,Eu_tabel_a[[#This Row],[Styrke, aktiv]],NA()),NA())</f>
        <v>#N/A</v>
      </c>
      <c r="FC265" s="54" t="e">
        <f>IF(ISNA(Eu_tabel_a[[#This Row],[Sand negativ
Nulhypotese afvises
Korrekt]]),NA(),IF(EY$3,1,NA()))</f>
        <v>#N/A</v>
      </c>
      <c r="FD265" s="55" t="str" cm="1">
        <f t="array" ref="FD265">IFERROR(_xlfn.SWITCH(Eu_tabel_a[[#This Row],[Indeks]],_xlfn.IFNA(FB$2,-99),FB$5,_xlfn.IFNA(FB$3,-99),FB$6,_xlfn.IFNA(FB$4,-99),FB$7,""),"")</f>
        <v/>
      </c>
      <c r="FE265" s="54">
        <f>Eu_tabel_a[[#This Row],[x base]]*SQRT(Eu_a_h0_x*(1-Eu_a_h0_x)/Eu_a_n_x)+Eu_a_h0_x</f>
        <v>0</v>
      </c>
      <c r="FJ265" s="144" t="e">
        <f t="shared" si="443"/>
        <v>#N/A</v>
      </c>
      <c r="FK265" s="152" t="e">
        <f t="shared" si="426"/>
        <v>#DIV/0!</v>
      </c>
      <c r="FL265" s="7" t="e">
        <f t="shared" si="437"/>
        <v>#DIV/0!</v>
      </c>
      <c r="FM265" t="e">
        <f t="shared" si="427"/>
        <v>#DIV/0!</v>
      </c>
      <c r="FN265" s="8" t="e">
        <f t="shared" si="428"/>
        <v>#DIV/0!</v>
      </c>
      <c r="FO265" s="8" t="e">
        <f t="shared" si="429"/>
        <v>#DIV/0!</v>
      </c>
      <c r="FP265" s="151" t="e">
        <f t="shared" si="430"/>
        <v>#DIV/0!</v>
      </c>
      <c r="FQ265" s="144" t="e">
        <f t="shared" ca="1" si="438"/>
        <v>#N/A</v>
      </c>
      <c r="FR265" s="152" t="e" vm="3">
        <f t="shared" ca="1" si="444"/>
        <v>#VALUE!</v>
      </c>
      <c r="FS265" s="7" t="e" vm="3">
        <f t="shared" ca="1" si="439"/>
        <v>#VALUE!</v>
      </c>
      <c r="FT265" t="e" vm="3">
        <f t="shared" ca="1" si="433"/>
        <v>#VALUE!</v>
      </c>
      <c r="FU265" s="8" t="e" vm="3">
        <f t="shared" ca="1" si="434"/>
        <v>#VALUE!</v>
      </c>
      <c r="FV265" s="8" t="e" vm="3">
        <f t="shared" ca="1" si="435"/>
        <v>#VALUE!</v>
      </c>
      <c r="FW265" s="151" t="e" vm="3">
        <f t="shared" ca="1" si="436"/>
        <v>#VALUE!</v>
      </c>
      <c r="FX265" s="144" t="e">
        <f t="shared" si="440"/>
        <v>#N/A</v>
      </c>
      <c r="FY265" s="152" t="e">
        <f t="shared" si="445"/>
        <v>#N/A</v>
      </c>
      <c r="FZ265" s="7" t="e">
        <f t="shared" si="441"/>
        <v>#N/A</v>
      </c>
      <c r="GA265" t="e">
        <f t="shared" si="446"/>
        <v>#N/A</v>
      </c>
      <c r="GB265" s="8" t="e">
        <f t="shared" si="447"/>
        <v>#N/A</v>
      </c>
      <c r="GC265" s="8" t="e">
        <f t="shared" si="448"/>
        <v>#N/A</v>
      </c>
      <c r="GD265" s="151" t="e">
        <f t="shared" si="449"/>
        <v>#N/A</v>
      </c>
      <c r="GE265" s="144" t="e">
        <f t="shared" si="450"/>
        <v>#N/A</v>
      </c>
      <c r="GF265" s="152" t="e">
        <f t="shared" si="451"/>
        <v>#N/A</v>
      </c>
      <c r="GG265" s="7" t="e">
        <f t="shared" si="442"/>
        <v>#N/A</v>
      </c>
      <c r="GH265" t="e">
        <f t="shared" si="452"/>
        <v>#N/A</v>
      </c>
      <c r="GI265" s="8" t="e">
        <f t="shared" si="453"/>
        <v>#N/A</v>
      </c>
      <c r="GJ265" s="8" t="e">
        <f t="shared" si="454"/>
        <v>#N/A</v>
      </c>
      <c r="GK265" s="151" t="e">
        <f t="shared" si="455"/>
        <v>#N/A</v>
      </c>
      <c r="GL265" s="151"/>
      <c r="GM265" s="151"/>
      <c r="GP265" s="127">
        <f t="shared" si="395"/>
        <v>255</v>
      </c>
      <c r="GQ265" s="54">
        <f t="shared" si="396"/>
        <v>256</v>
      </c>
      <c r="GR265" s="127">
        <f t="shared" si="397"/>
        <v>3.0183664385825155</v>
      </c>
      <c r="GS265" s="127">
        <f t="shared" si="398"/>
        <v>4.1935547655993438E-3</v>
      </c>
      <c r="GT265" s="127" t="e">
        <f t="shared" si="399"/>
        <v>#N/A</v>
      </c>
      <c r="GU265" s="127" t="e">
        <f t="shared" si="400"/>
        <v>#N/A</v>
      </c>
      <c r="GV265" s="127" t="e">
        <f t="shared" si="401"/>
        <v>#N/A</v>
      </c>
      <c r="GW265" s="127" t="b">
        <f t="shared" si="402"/>
        <v>0</v>
      </c>
      <c r="GX265" s="127" t="b">
        <f t="shared" si="403"/>
        <v>1</v>
      </c>
      <c r="GY265" s="127" t="b">
        <f t="shared" si="404"/>
        <v>1</v>
      </c>
      <c r="GZ265" s="127" t="b">
        <f t="shared" si="405"/>
        <v>0</v>
      </c>
      <c r="HA265" s="127">
        <f t="shared" si="406"/>
        <v>4.1935547655993438E-3</v>
      </c>
      <c r="HB265" s="127">
        <f t="shared" si="407"/>
        <v>4.1935547655993438E-3</v>
      </c>
      <c r="HC265" s="127" t="e">
        <f t="shared" si="408"/>
        <v>#N/A</v>
      </c>
      <c r="HD265" s="128" t="str">
        <f t="shared" si="409"/>
        <v/>
      </c>
      <c r="HJ265" s="127">
        <f t="shared" si="410"/>
        <v>255</v>
      </c>
      <c r="HK265" s="54">
        <f t="shared" si="411"/>
        <v>256</v>
      </c>
      <c r="HL265" s="127">
        <f t="shared" si="412"/>
        <v>4.6740038233211632</v>
      </c>
      <c r="HM265" s="127" t="e">
        <f t="shared" si="413"/>
        <v>#N/A</v>
      </c>
      <c r="HN265" s="127">
        <f t="shared" si="414"/>
        <v>1.3350024886192543E-3</v>
      </c>
      <c r="HO265" s="127" t="e">
        <f t="shared" si="415"/>
        <v>#N/A</v>
      </c>
      <c r="HP265" s="127" t="e">
        <f t="shared" si="416"/>
        <v>#N/A</v>
      </c>
      <c r="HQ265" s="127" t="b">
        <f t="shared" si="417"/>
        <v>0</v>
      </c>
      <c r="HR265" s="127" t="b">
        <f t="shared" si="418"/>
        <v>1</v>
      </c>
      <c r="HS265" s="127" t="b">
        <f t="shared" si="419"/>
        <v>1</v>
      </c>
      <c r="HT265" s="127" t="b">
        <f t="shared" si="420"/>
        <v>0</v>
      </c>
      <c r="HU265" s="127">
        <f t="shared" si="421"/>
        <v>1.3350024886192543E-3</v>
      </c>
      <c r="HV265" s="127" t="e">
        <f t="shared" si="422"/>
        <v>#N/A</v>
      </c>
      <c r="HW265" s="127">
        <f t="shared" si="423"/>
        <v>1.3350024886192543E-3</v>
      </c>
      <c r="HX265" s="128" t="str">
        <f t="shared" si="424"/>
        <v/>
      </c>
    </row>
    <row r="266" spans="78:232" x14ac:dyDescent="0.2">
      <c r="BZ266" s="127">
        <f t="shared" si="351"/>
        <v>256</v>
      </c>
      <c r="CA266" s="54">
        <f>Eu_tabel_g[[#This Row],[Indeks]]+1</f>
        <v>257</v>
      </c>
      <c r="CB266" s="127">
        <f t="shared" si="352"/>
        <v>3.0423217277776144</v>
      </c>
      <c r="CC266" s="127">
        <f t="shared" ref="CC266:CC268" si="456">IF(CC$3,_xlfn.NORM.DIST(CB266,CC$5,CC$7,FALSE),NA())</f>
        <v>3.8999198362770038E-3</v>
      </c>
      <c r="CD266" s="127" t="e">
        <f t="shared" si="354"/>
        <v>#N/A</v>
      </c>
      <c r="CE266" s="127" t="e">
        <f t="shared" si="355"/>
        <v>#N/A</v>
      </c>
      <c r="CF266" s="127" t="e">
        <f t="shared" si="356"/>
        <v>#N/A</v>
      </c>
      <c r="CG266" s="127" t="b">
        <f t="shared" si="357"/>
        <v>0</v>
      </c>
      <c r="CH266" s="127" t="b">
        <f t="shared" ref="CH266:CH268" si="457">CB266&gt;CG$3</f>
        <v>1</v>
      </c>
      <c r="CI266" s="127" t="b">
        <f t="shared" si="359"/>
        <v>1</v>
      </c>
      <c r="CJ266" s="127" t="b">
        <f t="shared" ref="CJ266:CJ268" si="458">AND(CB266&gt;CI$3,CB266&lt;CI$5)</f>
        <v>0</v>
      </c>
      <c r="CK266" s="127">
        <f t="shared" si="432"/>
        <v>3.8999198362770038E-3</v>
      </c>
      <c r="CL266" s="127">
        <f t="shared" ref="CL266:CL268" si="459">IF(INDEX(CG266:CJ266,CK$7),CK266,NA())</f>
        <v>3.8999198362770038E-3</v>
      </c>
      <c r="CM266" s="127" t="e">
        <f t="shared" ref="CM266:CM268" si="460">IF(INDEX(CG266:CJ266,CL$7),CK266,NA())</f>
        <v>#N/A</v>
      </c>
      <c r="CN266" s="128" t="str">
        <f t="shared" si="363"/>
        <v/>
      </c>
      <c r="CO266" s="54">
        <f>_xlfn.NORM.DIST(_xlfn.NORM.INV(1-Eu_g_konfidensniveau,0,1)-Eu_tabel_g[[#This Row],[x base]],0,1,TRUE)</f>
        <v>1.3850080688862689E-6</v>
      </c>
      <c r="CP266" s="54">
        <f>1-_xlfn.NORM.DIST(_xlfn.NORM.INV(Eu_g_konfidensniveau,0,1)-Eu_tabel_g[[#This Row],[x base]],0,1,TRUE)</f>
        <v>0.91886357365027505</v>
      </c>
      <c r="CQ266" s="54">
        <f>_xlfn.NORM.DIST(_xlfn.NORM.INV((1-Eu_g_konfidensniveau)/2,0,1)-Eu_tabel_g[[#This Row],[x base]],0,1,TRUE)+1-_xlfn.NORM.DIST(_xlfn.NORM.INV(1-(1-Eu_g_konfidensniveau)/2,0,1)-Eu_tabel_g[[#This Row],[x base]],0,1,TRUE)</f>
        <v>0.8604534846774361</v>
      </c>
      <c r="CR266" s="54" t="e" cm="1">
        <f t="array" ref="CR266">IF($CR$3,INDEX(Eu_tabel_g[[#This Row],[Styrke venstre]:[Styrke tosidet]],CR$7),NA())</f>
        <v>#N/A</v>
      </c>
      <c r="CS266" s="89" t="e">
        <f>Eu_tabel_g[[#This Row],[Falsk positiv
Nulhypotese accepteres
Fejltype 1]]</f>
        <v>#N/A</v>
      </c>
      <c r="CT266" s="89" t="e">
        <f>IF(CHOOSE(CR$7,Eu_tabel_g[[#This Row],[x base]]&gt;0,Eu_tabel_g[[#This Row],[x base]]&lt;0,Eu_tabel_g[[#This Row],[x base]]=0),Eu_tabel_g[[#This Row],[Styrke, aktiv]],NA())</f>
        <v>#N/A</v>
      </c>
      <c r="CU266" s="89" t="e">
        <f>IFERROR(IF($CR$3,Eu_tabel_g[[#This Row],[Styrke, aktiv]],NA()),NA())</f>
        <v>#N/A</v>
      </c>
      <c r="CV266" s="89" t="e">
        <f>IF(ISNA(Eu_tabel_g[[#This Row],[Sand negativ
Nulhypotese afvises
Korrekt]]),NA(),IF($CR$3,1,NA()))</f>
        <v>#N/A</v>
      </c>
      <c r="CW266" s="56" t="str" cm="1">
        <f t="array" ref="CW266">_xlfn.SWITCH(BZ266,_xlfn.IFNA(CU$2,-99),CU$5,_xlfn.IFNA(CU$3,-99),CU$6,_xlfn.IFNA(CU$4,-99),CU$7,"")</f>
        <v/>
      </c>
      <c r="DA266" s="7">
        <f t="shared" ref="DA266:DA268" si="461">_xlfn.NORM.DIST(_xlfn.NORM.INV((1-Eu_g_konfidensniveau)/2,0,1)-DB266,0,1,TRUE)+1-_xlfn.NORM.DIST(_xlfn.NORM.INV(1-(1-Eu_g_konfidensniveau)/2,0,1)-DB266,0,1,TRUE)</f>
        <v>0.8</v>
      </c>
      <c r="DB266">
        <f>IF(ROW(Styrkeberegning_G[[#This Row],[X base venstre]])=ROW(Styrkeberegning_G[[#Headers],[X base venstre]])+1,DB$7/(DA$7/$B$67),DB265/(DA265/$B$67))</f>
        <v>-2.8015817870135784</v>
      </c>
      <c r="DC266">
        <f>Styrkeberegning_G[[#This Row],[X base venstre]]*-1</f>
        <v>2.8015817870135784</v>
      </c>
      <c r="DN266" s="127">
        <f t="shared" si="365"/>
        <v>256</v>
      </c>
      <c r="DO266" s="54">
        <f t="shared" ref="DO266:DO268" si="462">DN266+1</f>
        <v>257</v>
      </c>
      <c r="DP266" s="127">
        <f t="shared" si="367"/>
        <v>31.035991907405947</v>
      </c>
      <c r="DQ266" s="127" t="e">
        <f t="shared" ref="DQ266:DQ268" si="463">IF(DQ$3,_xlfn.NORM.DIST(DP266,DQ$5,DQ$7,FALSE),NA())</f>
        <v>#N/A</v>
      </c>
      <c r="DR266" s="127" t="e">
        <f t="shared" si="369"/>
        <v>#N/A</v>
      </c>
      <c r="DS266" s="127">
        <f t="shared" si="370"/>
        <v>3.9764321751416568E-4</v>
      </c>
      <c r="DT266" s="127" t="e">
        <f t="shared" si="371"/>
        <v>#N/A</v>
      </c>
      <c r="DU266" s="127" t="b">
        <f t="shared" si="372"/>
        <v>0</v>
      </c>
      <c r="DV266" s="127" t="b">
        <f t="shared" ref="DV266:DV268" si="464">DP266&gt;DU$3</f>
        <v>1</v>
      </c>
      <c r="DW266" s="127" t="b">
        <f t="shared" si="374"/>
        <v>1</v>
      </c>
      <c r="DX266" s="127" t="b">
        <f t="shared" ref="DX266:DX268" si="465">AND(DP266&gt;DW$3,DP266&lt;DW$5)</f>
        <v>0</v>
      </c>
      <c r="DY266" s="127">
        <f t="shared" ref="DY266:DY268" si="466">_xlfn.AGGREGATE(9,6,DQ266:DT266)</f>
        <v>3.9764321751416568E-4</v>
      </c>
      <c r="DZ266" s="127">
        <f t="shared" ref="DZ266:DZ268" si="467">IF(INDEX(DU266:DX266,DY$7),DY266,NA())</f>
        <v>3.9764321751416568E-4</v>
      </c>
      <c r="EA266" s="127" t="e">
        <f t="shared" ref="EA266:EA268" si="468">IF(INDEX(DU266:DX266,DZ$7),DY266,NA())</f>
        <v>#N/A</v>
      </c>
      <c r="EB266" s="128" t="str">
        <f t="shared" si="379"/>
        <v/>
      </c>
      <c r="EG266" s="127">
        <f t="shared" si="380"/>
        <v>256</v>
      </c>
      <c r="EH266" s="54">
        <f t="shared" ref="EH266:EH268" si="469">EG266+1</f>
        <v>257</v>
      </c>
      <c r="EI266" s="127">
        <f t="shared" si="382"/>
        <v>3.0423217277776144</v>
      </c>
      <c r="EJ266" s="127">
        <f t="shared" ref="EJ266:EJ268" si="470">IF(EJ$3,_xlfn.NORM.DIST(EI266,EJ$5,EJ$7,FALSE),NA())</f>
        <v>3.8999198362770038E-3</v>
      </c>
      <c r="EK266" s="127" t="e">
        <f t="shared" si="384"/>
        <v>#N/A</v>
      </c>
      <c r="EL266" s="127" t="e">
        <f t="shared" si="385"/>
        <v>#N/A</v>
      </c>
      <c r="EM266" s="127" t="e">
        <f t="shared" si="386"/>
        <v>#N/A</v>
      </c>
      <c r="EN266" s="127" t="b">
        <f t="shared" si="387"/>
        <v>0</v>
      </c>
      <c r="EO266" s="127" t="b">
        <f t="shared" ref="EO266:EO268" si="471">EI266&gt;EN$3</f>
        <v>1</v>
      </c>
      <c r="EP266" s="127" t="b">
        <f t="shared" si="389"/>
        <v>1</v>
      </c>
      <c r="EQ266" s="127" t="b">
        <f t="shared" ref="EQ266:EQ268" si="472">AND(EI266&gt;EP$3,EI266&lt;EP$5)</f>
        <v>0</v>
      </c>
      <c r="ER266" s="127">
        <f t="shared" ref="ER266:ER268" si="473">_xlfn.AGGREGATE(9,6,EJ266:EM266)</f>
        <v>3.8999198362770038E-3</v>
      </c>
      <c r="ES266" s="127">
        <f t="shared" ref="ES266:ES268" si="474">IF(INDEX(EN266:EQ266,ER$7),ER266,NA())</f>
        <v>3.8999198362770038E-3</v>
      </c>
      <c r="ET266" s="127" t="e">
        <f t="shared" ref="ET266:ET268" si="475">IF(INDEX(EN266:EQ266,ES$7),ER266,NA())</f>
        <v>#N/A</v>
      </c>
      <c r="EU266" s="128" t="str">
        <f t="shared" si="394"/>
        <v/>
      </c>
      <c r="EV26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6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6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66" s="54" t="e" cm="1">
        <f t="array" ref="EY266">IF($CR$3,INDEX(Eu_tabel_a[[#This Row],[Styrke venstre]:[Styrke tosidet]],EY$7),NA())</f>
        <v>#N/A</v>
      </c>
      <c r="EZ266" s="54" t="e">
        <f>IF(EY$3,IF(CHOOSE(EY$7,Eu_tabel_a[[#This Row],[x base]]&gt;0,Eu_tabel_a[[#This Row],[x base]]&lt;0,Eu_tabel_a[[#This Row],[x base]]=0),1,NA()),NA())</f>
        <v>#N/A</v>
      </c>
      <c r="FA266" s="54" t="e">
        <f>IF(CHOOSE(EY$7,Eu_tabel_a[[#This Row],[x base]]&gt;0,Eu_tabel_a[[#This Row],[x base]]&lt;0,Eu_tabel_a[[#This Row],[x base]]=0),Eu_tabel_a[[#This Row],[Styrke, aktiv]],NA())</f>
        <v>#N/A</v>
      </c>
      <c r="FB266" s="54" t="e">
        <f>IFERROR(IF($EY$3,Eu_tabel_a[[#This Row],[Styrke, aktiv]],NA()),NA())</f>
        <v>#N/A</v>
      </c>
      <c r="FC266" s="54" t="e">
        <f>IF(ISNA(Eu_tabel_a[[#This Row],[Sand negativ
Nulhypotese afvises
Korrekt]]),NA(),IF(EY$3,1,NA()))</f>
        <v>#N/A</v>
      </c>
      <c r="FD266" s="55" t="str" cm="1">
        <f t="array" ref="FD266">IFERROR(_xlfn.SWITCH(Eu_tabel_a[[#This Row],[Indeks]],_xlfn.IFNA(FB$2,-99),FB$5,_xlfn.IFNA(FB$3,-99),FB$6,_xlfn.IFNA(FB$4,-99),FB$7,""),"")</f>
        <v/>
      </c>
      <c r="FE266" s="54">
        <f>Eu_tabel_a[[#This Row],[x base]]*SQRT(Eu_a_h0_x*(1-Eu_a_h0_x)/Eu_a_n_x)+Eu_a_h0_x</f>
        <v>0</v>
      </c>
      <c r="FJ266" s="144" t="e">
        <f t="shared" si="443"/>
        <v>#N/A</v>
      </c>
      <c r="FK266" s="152" t="e">
        <f t="shared" si="426"/>
        <v>#DIV/0!</v>
      </c>
      <c r="FL266" s="7" t="e">
        <f t="shared" si="437"/>
        <v>#DIV/0!</v>
      </c>
      <c r="FM266" t="e">
        <f t="shared" si="427"/>
        <v>#DIV/0!</v>
      </c>
      <c r="FN266" s="8" t="e">
        <f t="shared" si="428"/>
        <v>#DIV/0!</v>
      </c>
      <c r="FO266" s="8" t="e">
        <f t="shared" si="429"/>
        <v>#DIV/0!</v>
      </c>
      <c r="FP266" s="151" t="e">
        <f t="shared" si="430"/>
        <v>#DIV/0!</v>
      </c>
      <c r="FQ266" s="144" t="e">
        <f t="shared" ca="1" si="438"/>
        <v>#N/A</v>
      </c>
      <c r="FR266" s="152" t="e" vm="3">
        <f t="shared" ca="1" si="444"/>
        <v>#VALUE!</v>
      </c>
      <c r="FS266" s="7" t="e" vm="3">
        <f t="shared" ca="1" si="439"/>
        <v>#VALUE!</v>
      </c>
      <c r="FT266" t="e" vm="3">
        <f t="shared" ca="1" si="433"/>
        <v>#VALUE!</v>
      </c>
      <c r="FU266" s="8" t="e" vm="3">
        <f t="shared" ca="1" si="434"/>
        <v>#VALUE!</v>
      </c>
      <c r="FV266" s="8" t="e" vm="3">
        <f t="shared" ca="1" si="435"/>
        <v>#VALUE!</v>
      </c>
      <c r="FW266" s="151" t="e" vm="3">
        <f t="shared" ca="1" si="436"/>
        <v>#VALUE!</v>
      </c>
      <c r="FX266" s="144" t="e">
        <f t="shared" si="440"/>
        <v>#N/A</v>
      </c>
      <c r="FY266" s="152" t="e">
        <f t="shared" si="445"/>
        <v>#N/A</v>
      </c>
      <c r="FZ266" s="7" t="e">
        <f t="shared" si="441"/>
        <v>#N/A</v>
      </c>
      <c r="GA266" t="e">
        <f t="shared" si="446"/>
        <v>#N/A</v>
      </c>
      <c r="GB266" s="8" t="e">
        <f t="shared" si="447"/>
        <v>#N/A</v>
      </c>
      <c r="GC266" s="8" t="e">
        <f t="shared" si="448"/>
        <v>#N/A</v>
      </c>
      <c r="GD266" s="151" t="e">
        <f t="shared" si="449"/>
        <v>#N/A</v>
      </c>
      <c r="GE266" s="144" t="e">
        <f t="shared" si="450"/>
        <v>#N/A</v>
      </c>
      <c r="GF266" s="152" t="e">
        <f t="shared" si="451"/>
        <v>#N/A</v>
      </c>
      <c r="GG266" s="7" t="e">
        <f t="shared" si="442"/>
        <v>#N/A</v>
      </c>
      <c r="GH266" t="e">
        <f t="shared" si="452"/>
        <v>#N/A</v>
      </c>
      <c r="GI266" s="8" t="e">
        <f t="shared" si="453"/>
        <v>#N/A</v>
      </c>
      <c r="GJ266" s="8" t="e">
        <f t="shared" si="454"/>
        <v>#N/A</v>
      </c>
      <c r="GK266" s="151" t="e">
        <f t="shared" si="455"/>
        <v>#N/A</v>
      </c>
      <c r="GL266" s="151"/>
      <c r="GM266" s="151"/>
      <c r="GP266" s="127">
        <f t="shared" si="395"/>
        <v>256</v>
      </c>
      <c r="GQ266" s="54">
        <f t="shared" ref="GQ266:GQ268" si="476">GP266+1</f>
        <v>257</v>
      </c>
      <c r="GR266" s="127">
        <f t="shared" si="397"/>
        <v>3.0423217277776144</v>
      </c>
      <c r="GS266" s="127">
        <f t="shared" ref="GS266:GS268" si="477">IF(GS$3,_xlfn.NORM.DIST(GR266,GS$5,GS$7,FALSE),NA())</f>
        <v>3.8999198362770038E-3</v>
      </c>
      <c r="GT266" s="127" t="e">
        <f t="shared" si="399"/>
        <v>#N/A</v>
      </c>
      <c r="GU266" s="127" t="e">
        <f t="shared" si="400"/>
        <v>#N/A</v>
      </c>
      <c r="GV266" s="127" t="e">
        <f t="shared" si="401"/>
        <v>#N/A</v>
      </c>
      <c r="GW266" s="127" t="b">
        <f t="shared" si="402"/>
        <v>0</v>
      </c>
      <c r="GX266" s="127" t="b">
        <f t="shared" ref="GX266:GX268" si="478">GR266&gt;GW$3</f>
        <v>1</v>
      </c>
      <c r="GY266" s="127" t="b">
        <f t="shared" si="404"/>
        <v>1</v>
      </c>
      <c r="GZ266" s="127" t="b">
        <f t="shared" ref="GZ266:GZ268" si="479">AND(GR266&gt;GY$3,GR266&lt;GY$5)</f>
        <v>0</v>
      </c>
      <c r="HA266" s="127">
        <f t="shared" ref="HA266:HA268" si="480">_xlfn.AGGREGATE(9,6,GS266:GV266)</f>
        <v>3.8999198362770038E-3</v>
      </c>
      <c r="HB266" s="127">
        <f t="shared" ref="HB266:HB268" si="481">IF(INDEX(GW266:GZ266,HA$7),HA266,NA())</f>
        <v>3.8999198362770038E-3</v>
      </c>
      <c r="HC266" s="127" t="e">
        <f t="shared" ref="HC266:HC268" si="482">IF(INDEX(GW266:GZ266,HB$7),HA266,NA())</f>
        <v>#N/A</v>
      </c>
      <c r="HD266" s="128" t="str">
        <f t="shared" si="409"/>
        <v/>
      </c>
      <c r="HJ266" s="127">
        <f t="shared" si="410"/>
        <v>256</v>
      </c>
      <c r="HK266" s="54">
        <f t="shared" ref="HK266:HK268" si="483">HJ266+1</f>
        <v>257</v>
      </c>
      <c r="HL266" s="127">
        <f t="shared" si="412"/>
        <v>4.7110990917602198</v>
      </c>
      <c r="HM266" s="127" t="e">
        <f t="shared" ref="HM266:HM268" si="484">IF(HM$3,_xlfn.NORM.DIST(HL266,HM$5,HM$7,FALSE),NA())</f>
        <v>#N/A</v>
      </c>
      <c r="HN266" s="127">
        <f t="shared" si="414"/>
        <v>1.2724530798355995E-3</v>
      </c>
      <c r="HO266" s="127" t="e">
        <f t="shared" si="415"/>
        <v>#N/A</v>
      </c>
      <c r="HP266" s="127" t="e">
        <f t="shared" si="416"/>
        <v>#N/A</v>
      </c>
      <c r="HQ266" s="127" t="b">
        <f t="shared" si="417"/>
        <v>0</v>
      </c>
      <c r="HR266" s="127" t="b">
        <f t="shared" ref="HR266:HR268" si="485">HL266&gt;HQ$3</f>
        <v>1</v>
      </c>
      <c r="HS266" s="127" t="b">
        <f t="shared" si="419"/>
        <v>1</v>
      </c>
      <c r="HT266" s="127" t="b">
        <f t="shared" ref="HT266:HT268" si="486">AND(HL266&gt;HS$3,HL266&lt;HS$5)</f>
        <v>0</v>
      </c>
      <c r="HU266" s="127">
        <f t="shared" ref="HU266:HU268" si="487">_xlfn.AGGREGATE(9,6,HM266:HP266)</f>
        <v>1.2724530798355995E-3</v>
      </c>
      <c r="HV266" s="127" t="e">
        <f t="shared" ref="HV266:HV268" si="488">IF(INDEX(HQ266:HT266,HU$7),HU266,NA())</f>
        <v>#N/A</v>
      </c>
      <c r="HW266" s="127">
        <f t="shared" ref="HW266:HW268" si="489">IF(INDEX(HQ266:HT266,HV$7),HU266,NA())</f>
        <v>1.2724530798355995E-3</v>
      </c>
      <c r="HX266" s="128" t="str">
        <f t="shared" si="424"/>
        <v/>
      </c>
    </row>
    <row r="267" spans="78:232" x14ac:dyDescent="0.2">
      <c r="BZ267" s="127">
        <f t="shared" si="351"/>
        <v>257</v>
      </c>
      <c r="CA267" s="54">
        <f>Eu_tabel_g[[#This Row],[Indeks]]+1</f>
        <v>258</v>
      </c>
      <c r="CB267" s="127">
        <f t="shared" si="352"/>
        <v>3.0662770169727134</v>
      </c>
      <c r="CC267" s="127">
        <f t="shared" si="456"/>
        <v>3.6247646909920261E-3</v>
      </c>
      <c r="CD267" s="127" t="e">
        <f t="shared" si="354"/>
        <v>#N/A</v>
      </c>
      <c r="CE267" s="127" t="e">
        <f t="shared" si="355"/>
        <v>#N/A</v>
      </c>
      <c r="CF267" s="127" t="e">
        <f t="shared" si="356"/>
        <v>#N/A</v>
      </c>
      <c r="CG267" s="127" t="b">
        <f t="shared" si="357"/>
        <v>0</v>
      </c>
      <c r="CH267" s="127" t="b">
        <f t="shared" si="457"/>
        <v>1</v>
      </c>
      <c r="CI267" s="127" t="b">
        <f t="shared" si="359"/>
        <v>1</v>
      </c>
      <c r="CJ267" s="127" t="b">
        <f t="shared" si="458"/>
        <v>0</v>
      </c>
      <c r="CK267" s="127">
        <f t="shared" ref="CK267:CK268" si="490">_xlfn.AGGREGATE(9,6,CC267:CF267)</f>
        <v>3.6247646909920261E-3</v>
      </c>
      <c r="CL267" s="127">
        <f t="shared" si="459"/>
        <v>3.6247646909920261E-3</v>
      </c>
      <c r="CM267" s="127" t="e">
        <f t="shared" si="460"/>
        <v>#N/A</v>
      </c>
      <c r="CN267" s="128" t="str">
        <f t="shared" si="363"/>
        <v/>
      </c>
      <c r="CO267" s="54">
        <f>_xlfn.NORM.DIST(_xlfn.NORM.INV(1-Eu_g_konfidensniveau,0,1)-Eu_tabel_g[[#This Row],[x base]],0,1,TRUE)</f>
        <v>1.2317312237274667E-6</v>
      </c>
      <c r="CP267" s="54">
        <f>1-_xlfn.NORM.DIST(_xlfn.NORM.INV(Eu_g_konfidensniveau,0,1)-Eu_tabel_g[[#This Row],[x base]],0,1,TRUE)</f>
        <v>0.92240314468252083</v>
      </c>
      <c r="CQ267" s="54">
        <f>_xlfn.NORM.DIST(_xlfn.NORM.INV((1-Eu_g_konfidensniveau)/2,0,1)-Eu_tabel_g[[#This Row],[x base]],0,1,TRUE)+1-_xlfn.NORM.DIST(_xlfn.NORM.INV(1-(1-Eu_g_konfidensniveau)/2,0,1)-Eu_tabel_g[[#This Row],[x base]],0,1,TRUE)</f>
        <v>0.86570472365340967</v>
      </c>
      <c r="CR267" s="54" t="e" cm="1">
        <f t="array" ref="CR267">IF($CR$3,INDEX(Eu_tabel_g[[#This Row],[Styrke venstre]:[Styrke tosidet]],CR$7),NA())</f>
        <v>#N/A</v>
      </c>
      <c r="CS267" s="89" t="e">
        <f>Eu_tabel_g[[#This Row],[Falsk positiv
Nulhypotese accepteres
Fejltype 1]]</f>
        <v>#N/A</v>
      </c>
      <c r="CT267" s="89" t="e">
        <f>IF(CHOOSE(CR$7,Eu_tabel_g[[#This Row],[x base]]&gt;0,Eu_tabel_g[[#This Row],[x base]]&lt;0,Eu_tabel_g[[#This Row],[x base]]=0),Eu_tabel_g[[#This Row],[Styrke, aktiv]],NA())</f>
        <v>#N/A</v>
      </c>
      <c r="CU267" s="89" t="e">
        <f>IFERROR(IF($CR$3,Eu_tabel_g[[#This Row],[Styrke, aktiv]],NA()),NA())</f>
        <v>#N/A</v>
      </c>
      <c r="CV267" s="89" t="e">
        <f>IF(ISNA(Eu_tabel_g[[#This Row],[Sand negativ
Nulhypotese afvises
Korrekt]]),NA(),IF($CR$3,1,NA()))</f>
        <v>#N/A</v>
      </c>
      <c r="CW267" s="56" t="str" cm="1">
        <f t="array" ref="CW267">_xlfn.SWITCH(BZ267,_xlfn.IFNA(CU$2,-99),CU$5,_xlfn.IFNA(CU$3,-99),CU$6,_xlfn.IFNA(CU$4,-99),CU$7,"")</f>
        <v/>
      </c>
      <c r="DA267" s="7">
        <f t="shared" si="461"/>
        <v>0.8</v>
      </c>
      <c r="DB267">
        <f>IF(ROW(Styrkeberegning_G[[#This Row],[X base venstre]])=ROW(Styrkeberegning_G[[#Headers],[X base venstre]])+1,DB$7/(DA$7/$B$67),DB266/(DA266/$B$67))</f>
        <v>-2.8015817870135784</v>
      </c>
      <c r="DC267">
        <f>Styrkeberegning_G[[#This Row],[X base venstre]]*-1</f>
        <v>2.8015817870135784</v>
      </c>
      <c r="DN267" s="127">
        <f t="shared" si="365"/>
        <v>257</v>
      </c>
      <c r="DO267" s="54">
        <f t="shared" si="462"/>
        <v>258</v>
      </c>
      <c r="DP267" s="127">
        <f t="shared" si="367"/>
        <v>31.150062763822948</v>
      </c>
      <c r="DQ267" s="127" t="e">
        <f t="shared" si="463"/>
        <v>#N/A</v>
      </c>
      <c r="DR267" s="127" t="e">
        <f t="shared" si="369"/>
        <v>#N/A</v>
      </c>
      <c r="DS267" s="127">
        <f t="shared" si="370"/>
        <v>3.8185039123086372E-4</v>
      </c>
      <c r="DT267" s="127" t="e">
        <f t="shared" si="371"/>
        <v>#N/A</v>
      </c>
      <c r="DU267" s="127" t="b">
        <f t="shared" si="372"/>
        <v>0</v>
      </c>
      <c r="DV267" s="127" t="b">
        <f t="shared" si="464"/>
        <v>1</v>
      </c>
      <c r="DW267" s="127" t="b">
        <f t="shared" si="374"/>
        <v>1</v>
      </c>
      <c r="DX267" s="127" t="b">
        <f t="shared" si="465"/>
        <v>0</v>
      </c>
      <c r="DY267" s="127">
        <f t="shared" si="466"/>
        <v>3.8185039123086372E-4</v>
      </c>
      <c r="DZ267" s="127">
        <f t="shared" si="467"/>
        <v>3.8185039123086372E-4</v>
      </c>
      <c r="EA267" s="127" t="e">
        <f t="shared" si="468"/>
        <v>#N/A</v>
      </c>
      <c r="EB267" s="128" t="str">
        <f t="shared" si="379"/>
        <v/>
      </c>
      <c r="EG267" s="127">
        <f t="shared" si="380"/>
        <v>257</v>
      </c>
      <c r="EH267" s="54">
        <f t="shared" si="469"/>
        <v>258</v>
      </c>
      <c r="EI267" s="127">
        <f t="shared" si="382"/>
        <v>3.0662770169727134</v>
      </c>
      <c r="EJ267" s="127">
        <f t="shared" si="470"/>
        <v>3.6247646909920261E-3</v>
      </c>
      <c r="EK267" s="127" t="e">
        <f t="shared" si="384"/>
        <v>#N/A</v>
      </c>
      <c r="EL267" s="127" t="e">
        <f t="shared" si="385"/>
        <v>#N/A</v>
      </c>
      <c r="EM267" s="127" t="e">
        <f t="shared" si="386"/>
        <v>#N/A</v>
      </c>
      <c r="EN267" s="127" t="b">
        <f t="shared" si="387"/>
        <v>0</v>
      </c>
      <c r="EO267" s="127" t="b">
        <f t="shared" si="471"/>
        <v>1</v>
      </c>
      <c r="EP267" s="127" t="b">
        <f t="shared" si="389"/>
        <v>1</v>
      </c>
      <c r="EQ267" s="127" t="b">
        <f t="shared" si="472"/>
        <v>0</v>
      </c>
      <c r="ER267" s="127">
        <f t="shared" si="473"/>
        <v>3.6247646909920261E-3</v>
      </c>
      <c r="ES267" s="127">
        <f t="shared" si="474"/>
        <v>3.6247646909920261E-3</v>
      </c>
      <c r="ET267" s="127" t="e">
        <f t="shared" si="475"/>
        <v>#N/A</v>
      </c>
      <c r="EU267" s="128" t="str">
        <f t="shared" si="394"/>
        <v/>
      </c>
      <c r="EV26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6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6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67" s="54" t="e" cm="1">
        <f t="array" ref="EY267">IF($CR$3,INDEX(Eu_tabel_a[[#This Row],[Styrke venstre]:[Styrke tosidet]],EY$7),NA())</f>
        <v>#N/A</v>
      </c>
      <c r="EZ267" s="54" t="e">
        <f>IF(EY$3,IF(CHOOSE(EY$7,Eu_tabel_a[[#This Row],[x base]]&gt;0,Eu_tabel_a[[#This Row],[x base]]&lt;0,Eu_tabel_a[[#This Row],[x base]]=0),1,NA()),NA())</f>
        <v>#N/A</v>
      </c>
      <c r="FA267" s="54" t="e">
        <f>IF(CHOOSE(EY$7,Eu_tabel_a[[#This Row],[x base]]&gt;0,Eu_tabel_a[[#This Row],[x base]]&lt;0,Eu_tabel_a[[#This Row],[x base]]=0),Eu_tabel_a[[#This Row],[Styrke, aktiv]],NA())</f>
        <v>#N/A</v>
      </c>
      <c r="FB267" s="54" t="e">
        <f>IFERROR(IF($EY$3,Eu_tabel_a[[#This Row],[Styrke, aktiv]],NA()),NA())</f>
        <v>#N/A</v>
      </c>
      <c r="FC267" s="54" t="e">
        <f>IF(ISNA(Eu_tabel_a[[#This Row],[Sand negativ
Nulhypotese afvises
Korrekt]]),NA(),IF(EY$3,1,NA()))</f>
        <v>#N/A</v>
      </c>
      <c r="FD267" s="55" t="str" cm="1">
        <f t="array" ref="FD267">IFERROR(_xlfn.SWITCH(Eu_tabel_a[[#This Row],[Indeks]],_xlfn.IFNA(FB$2,-99),FB$5,_xlfn.IFNA(FB$3,-99),FB$6,_xlfn.IFNA(FB$4,-99),FB$7,""),"")</f>
        <v/>
      </c>
      <c r="FE267" s="54">
        <f>Eu_tabel_a[[#This Row],[x base]]*SQRT(Eu_a_h0_x*(1-Eu_a_h0_x)/Eu_a_n_x)+Eu_a_h0_x</f>
        <v>0</v>
      </c>
      <c r="FJ267" s="144" t="e">
        <f t="shared" si="443"/>
        <v>#N/A</v>
      </c>
      <c r="FK267" s="152" t="e">
        <f t="shared" si="426"/>
        <v>#DIV/0!</v>
      </c>
      <c r="FL267" s="7" t="e">
        <f t="shared" si="437"/>
        <v>#DIV/0!</v>
      </c>
      <c r="FM267" t="e">
        <f t="shared" si="427"/>
        <v>#DIV/0!</v>
      </c>
      <c r="FN267" s="8" t="e">
        <f t="shared" si="428"/>
        <v>#DIV/0!</v>
      </c>
      <c r="FO267" s="8" t="e">
        <f t="shared" si="429"/>
        <v>#DIV/0!</v>
      </c>
      <c r="FP267" s="151" t="e">
        <f t="shared" si="430"/>
        <v>#DIV/0!</v>
      </c>
      <c r="FQ267" s="144" t="e">
        <f t="shared" ca="1" si="438"/>
        <v>#N/A</v>
      </c>
      <c r="FR267" s="152" t="e" vm="3">
        <f t="shared" ca="1" si="444"/>
        <v>#VALUE!</v>
      </c>
      <c r="FS267" s="7" t="e" vm="3">
        <f t="shared" ca="1" si="439"/>
        <v>#VALUE!</v>
      </c>
      <c r="FT267" t="e" vm="3">
        <f t="shared" ca="1" si="433"/>
        <v>#VALUE!</v>
      </c>
      <c r="FU267" s="8" t="e" vm="3">
        <f t="shared" ca="1" si="434"/>
        <v>#VALUE!</v>
      </c>
      <c r="FV267" s="8" t="e" vm="3">
        <f t="shared" ca="1" si="435"/>
        <v>#VALUE!</v>
      </c>
      <c r="FW267" s="151" t="e" vm="3">
        <f t="shared" ca="1" si="436"/>
        <v>#VALUE!</v>
      </c>
      <c r="FX267" s="144" t="e">
        <f t="shared" si="440"/>
        <v>#N/A</v>
      </c>
      <c r="FY267" s="152" t="e">
        <f t="shared" si="445"/>
        <v>#N/A</v>
      </c>
      <c r="FZ267" s="7" t="e">
        <f t="shared" si="441"/>
        <v>#N/A</v>
      </c>
      <c r="GA267" t="e">
        <f t="shared" si="446"/>
        <v>#N/A</v>
      </c>
      <c r="GB267" s="8" t="e">
        <f t="shared" si="447"/>
        <v>#N/A</v>
      </c>
      <c r="GC267" s="8" t="e">
        <f t="shared" si="448"/>
        <v>#N/A</v>
      </c>
      <c r="GD267" s="151" t="e">
        <f t="shared" si="449"/>
        <v>#N/A</v>
      </c>
      <c r="GE267" s="144" t="e">
        <f t="shared" si="450"/>
        <v>#N/A</v>
      </c>
      <c r="GF267" s="152" t="e">
        <f t="shared" si="451"/>
        <v>#N/A</v>
      </c>
      <c r="GG267" s="7" t="e">
        <f t="shared" si="442"/>
        <v>#N/A</v>
      </c>
      <c r="GH267" t="e">
        <f t="shared" si="452"/>
        <v>#N/A</v>
      </c>
      <c r="GI267" s="8" t="e">
        <f t="shared" si="453"/>
        <v>#N/A</v>
      </c>
      <c r="GJ267" s="8" t="e">
        <f t="shared" si="454"/>
        <v>#N/A</v>
      </c>
      <c r="GK267" s="151" t="e">
        <f t="shared" si="455"/>
        <v>#N/A</v>
      </c>
      <c r="GL267" s="151"/>
      <c r="GM267" s="151"/>
      <c r="GP267" s="127">
        <f t="shared" si="395"/>
        <v>257</v>
      </c>
      <c r="GQ267" s="54">
        <f t="shared" si="476"/>
        <v>258</v>
      </c>
      <c r="GR267" s="127">
        <f t="shared" si="397"/>
        <v>3.0662770169727134</v>
      </c>
      <c r="GS267" s="127">
        <f t="shared" si="477"/>
        <v>3.6247646909920261E-3</v>
      </c>
      <c r="GT267" s="127" t="e">
        <f t="shared" si="399"/>
        <v>#N/A</v>
      </c>
      <c r="GU267" s="127" t="e">
        <f t="shared" si="400"/>
        <v>#N/A</v>
      </c>
      <c r="GV267" s="127" t="e">
        <f t="shared" si="401"/>
        <v>#N/A</v>
      </c>
      <c r="GW267" s="127" t="b">
        <f t="shared" si="402"/>
        <v>0</v>
      </c>
      <c r="GX267" s="127" t="b">
        <f t="shared" si="478"/>
        <v>1</v>
      </c>
      <c r="GY267" s="127" t="b">
        <f t="shared" si="404"/>
        <v>1</v>
      </c>
      <c r="GZ267" s="127" t="b">
        <f t="shared" si="479"/>
        <v>0</v>
      </c>
      <c r="HA267" s="127">
        <f t="shared" si="480"/>
        <v>3.6247646909920261E-3</v>
      </c>
      <c r="HB267" s="127">
        <f t="shared" si="481"/>
        <v>3.6247646909920261E-3</v>
      </c>
      <c r="HC267" s="127" t="e">
        <f t="shared" si="482"/>
        <v>#N/A</v>
      </c>
      <c r="HD267" s="128" t="str">
        <f t="shared" si="409"/>
        <v/>
      </c>
      <c r="HJ267" s="127">
        <f t="shared" si="410"/>
        <v>257</v>
      </c>
      <c r="HK267" s="54">
        <f t="shared" si="483"/>
        <v>258</v>
      </c>
      <c r="HL267" s="127">
        <f t="shared" si="412"/>
        <v>4.7481943601992764</v>
      </c>
      <c r="HM267" s="127" t="e">
        <f t="shared" si="484"/>
        <v>#N/A</v>
      </c>
      <c r="HN267" s="127">
        <f t="shared" si="414"/>
        <v>1.2130723617778491E-3</v>
      </c>
      <c r="HO267" s="127" t="e">
        <f t="shared" si="415"/>
        <v>#N/A</v>
      </c>
      <c r="HP267" s="127" t="e">
        <f t="shared" si="416"/>
        <v>#N/A</v>
      </c>
      <c r="HQ267" s="127" t="b">
        <f t="shared" si="417"/>
        <v>0</v>
      </c>
      <c r="HR267" s="127" t="b">
        <f t="shared" si="485"/>
        <v>1</v>
      </c>
      <c r="HS267" s="127" t="b">
        <f t="shared" si="419"/>
        <v>1</v>
      </c>
      <c r="HT267" s="127" t="b">
        <f t="shared" si="486"/>
        <v>0</v>
      </c>
      <c r="HU267" s="127">
        <f t="shared" si="487"/>
        <v>1.2130723617778491E-3</v>
      </c>
      <c r="HV267" s="127" t="e">
        <f t="shared" si="488"/>
        <v>#N/A</v>
      </c>
      <c r="HW267" s="127">
        <f t="shared" si="489"/>
        <v>1.2130723617778491E-3</v>
      </c>
      <c r="HX267" s="128" t="str">
        <f t="shared" si="424"/>
        <v/>
      </c>
    </row>
    <row r="268" spans="78:232" x14ac:dyDescent="0.2">
      <c r="BZ268" s="127">
        <f t="shared" si="351"/>
        <v>258</v>
      </c>
      <c r="CA268" s="54">
        <f>Eu_tabel_g[[#This Row],[Indeks]]+1</f>
        <v>259</v>
      </c>
      <c r="CB268" s="127">
        <f t="shared" si="352"/>
        <v>3.0902323061678132</v>
      </c>
      <c r="CC268" s="127">
        <f t="shared" si="456"/>
        <v>3.3670900770639959E-3</v>
      </c>
      <c r="CD268" s="127" t="e">
        <f t="shared" si="354"/>
        <v>#N/A</v>
      </c>
      <c r="CE268" s="127" t="e">
        <f t="shared" si="355"/>
        <v>#N/A</v>
      </c>
      <c r="CF268" s="127" t="e">
        <f t="shared" si="356"/>
        <v>#N/A</v>
      </c>
      <c r="CG268" s="127" t="b">
        <f t="shared" si="357"/>
        <v>0</v>
      </c>
      <c r="CH268" s="127" t="b">
        <f t="shared" si="457"/>
        <v>1</v>
      </c>
      <c r="CI268" s="127" t="b">
        <f t="shared" si="359"/>
        <v>1</v>
      </c>
      <c r="CJ268" s="127" t="b">
        <f t="shared" si="458"/>
        <v>0</v>
      </c>
      <c r="CK268" s="127">
        <f t="shared" si="490"/>
        <v>3.3670900770639959E-3</v>
      </c>
      <c r="CL268" s="127">
        <f t="shared" si="459"/>
        <v>3.3670900770639959E-3</v>
      </c>
      <c r="CM268" s="127" t="e">
        <f t="shared" si="460"/>
        <v>#N/A</v>
      </c>
      <c r="CN268" s="128" t="str">
        <f t="shared" si="363"/>
        <v/>
      </c>
      <c r="CO268" s="54">
        <f>_xlfn.NORM.DIST(_xlfn.NORM.INV(1-Eu_g_konfidensniveau,0,1)-Eu_tabel_g[[#This Row],[x base]],0,1,TRUE)</f>
        <v>1.0948115226473381E-6</v>
      </c>
      <c r="CP268" s="54">
        <f>1-_xlfn.NORM.DIST(_xlfn.NORM.INV(Eu_g_konfidensniveau,0,1)-Eu_tabel_g[[#This Row],[x base]],0,1,TRUE)</f>
        <v>0.92582422561196043</v>
      </c>
      <c r="CQ268" s="54">
        <f>_xlfn.NORM.DIST(_xlfn.NORM.INV((1-Eu_g_konfidensniveau)/2,0,1)-Eu_tabel_g[[#This Row],[x base]],0,1,TRUE)+1-_xlfn.NORM.DIST(_xlfn.NORM.INV(1-(1-Eu_g_konfidensniveau)/2,0,1)-Eu_tabel_g[[#This Row],[x base]],0,1,TRUE)</f>
        <v>0.870818631358238</v>
      </c>
      <c r="CR268" s="54" t="e" cm="1">
        <f t="array" ref="CR268">IF($CR$3,INDEX(Eu_tabel_g[[#This Row],[Styrke venstre]:[Styrke tosidet]],CR$7),NA())</f>
        <v>#N/A</v>
      </c>
      <c r="CS268" s="89" t="e">
        <f>Eu_tabel_g[[#This Row],[Falsk positiv
Nulhypotese accepteres
Fejltype 1]]</f>
        <v>#N/A</v>
      </c>
      <c r="CT268" s="89" t="e">
        <f>IF(CHOOSE(CR$7,Eu_tabel_g[[#This Row],[x base]]&gt;0,Eu_tabel_g[[#This Row],[x base]]&lt;0,Eu_tabel_g[[#This Row],[x base]]=0),Eu_tabel_g[[#This Row],[Styrke, aktiv]],NA())</f>
        <v>#N/A</v>
      </c>
      <c r="CU268" s="89" t="e">
        <f>IFERROR(IF($CR$3,Eu_tabel_g[[#This Row],[Styrke, aktiv]],NA()),NA())</f>
        <v>#N/A</v>
      </c>
      <c r="CV268" s="89" t="e">
        <f>IF(ISNA(Eu_tabel_g[[#This Row],[Sand negativ
Nulhypotese afvises
Korrekt]]),NA(),IF($CR$3,1,NA()))</f>
        <v>#N/A</v>
      </c>
      <c r="CW268" s="56" t="str" cm="1">
        <f t="array" ref="CW268">_xlfn.SWITCH(BZ268,_xlfn.IFNA(CU$2,-99),CU$5,_xlfn.IFNA(CU$3,-99),CU$6,_xlfn.IFNA(CU$4,-99),CU$7,"")</f>
        <v/>
      </c>
      <c r="DA268" s="7">
        <f t="shared" si="461"/>
        <v>0.8</v>
      </c>
      <c r="DB268">
        <f>IF(ROW(Styrkeberegning_G[[#This Row],[X base venstre]])=ROW(Styrkeberegning_G[[#Headers],[X base venstre]])+1,DB$7/(DA$7/$B$67),DB267/(DA267/$B$67))</f>
        <v>-2.8015817870135784</v>
      </c>
      <c r="DC268">
        <f>Styrkeberegning_G[[#This Row],[X base venstre]]*-1</f>
        <v>2.8015817870135784</v>
      </c>
      <c r="DN268" s="127">
        <f t="shared" si="365"/>
        <v>258</v>
      </c>
      <c r="DO268" s="54">
        <f t="shared" si="462"/>
        <v>259</v>
      </c>
      <c r="DP268" s="127">
        <f t="shared" si="367"/>
        <v>31.264133620239949</v>
      </c>
      <c r="DQ268" s="127" t="e">
        <f t="shared" si="463"/>
        <v>#N/A</v>
      </c>
      <c r="DR268" s="127" t="e">
        <f t="shared" si="369"/>
        <v>#N/A</v>
      </c>
      <c r="DS268" s="127">
        <f t="shared" si="370"/>
        <v>3.6666266674250183E-4</v>
      </c>
      <c r="DT268" s="127" t="e">
        <f t="shared" si="371"/>
        <v>#N/A</v>
      </c>
      <c r="DU268" s="127" t="b">
        <f t="shared" si="372"/>
        <v>0</v>
      </c>
      <c r="DV268" s="127" t="b">
        <f t="shared" si="464"/>
        <v>1</v>
      </c>
      <c r="DW268" s="127" t="b">
        <f t="shared" si="374"/>
        <v>1</v>
      </c>
      <c r="DX268" s="127" t="b">
        <f t="shared" si="465"/>
        <v>0</v>
      </c>
      <c r="DY268" s="127">
        <f t="shared" si="466"/>
        <v>3.6666266674250183E-4</v>
      </c>
      <c r="DZ268" s="127">
        <f t="shared" si="467"/>
        <v>3.6666266674250183E-4</v>
      </c>
      <c r="EA268" s="127" t="e">
        <f t="shared" si="468"/>
        <v>#N/A</v>
      </c>
      <c r="EB268" s="128" t="str">
        <f t="shared" si="379"/>
        <v/>
      </c>
      <c r="EG268" s="127">
        <f t="shared" si="380"/>
        <v>258</v>
      </c>
      <c r="EH268" s="54">
        <f t="shared" si="469"/>
        <v>259</v>
      </c>
      <c r="EI268" s="127">
        <f t="shared" si="382"/>
        <v>3.0902323061678132</v>
      </c>
      <c r="EJ268" s="127">
        <f t="shared" si="470"/>
        <v>3.3670900770639959E-3</v>
      </c>
      <c r="EK268" s="127" t="e">
        <f t="shared" si="384"/>
        <v>#N/A</v>
      </c>
      <c r="EL268" s="127" t="e">
        <f t="shared" si="385"/>
        <v>#N/A</v>
      </c>
      <c r="EM268" s="127" t="e">
        <f t="shared" si="386"/>
        <v>#N/A</v>
      </c>
      <c r="EN268" s="127" t="b">
        <f t="shared" si="387"/>
        <v>0</v>
      </c>
      <c r="EO268" s="127" t="b">
        <f t="shared" si="471"/>
        <v>1</v>
      </c>
      <c r="EP268" s="127" t="b">
        <f t="shared" si="389"/>
        <v>1</v>
      </c>
      <c r="EQ268" s="127" t="b">
        <f t="shared" si="472"/>
        <v>0</v>
      </c>
      <c r="ER268" s="127">
        <f t="shared" si="473"/>
        <v>3.3670900770639959E-3</v>
      </c>
      <c r="ES268" s="127">
        <f t="shared" si="474"/>
        <v>3.3670900770639959E-3</v>
      </c>
      <c r="ET268" s="127" t="e">
        <f t="shared" si="475"/>
        <v>#N/A</v>
      </c>
      <c r="EU268" s="128" t="str">
        <f t="shared" si="394"/>
        <v/>
      </c>
      <c r="EV26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6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6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68" s="54" t="e" cm="1">
        <f t="array" ref="EY268">IF($CR$3,INDEX(Eu_tabel_a[[#This Row],[Styrke venstre]:[Styrke tosidet]],EY$7),NA())</f>
        <v>#N/A</v>
      </c>
      <c r="EZ268" s="54" t="e">
        <f>IF(EY$3,IF(CHOOSE(EY$7,Eu_tabel_a[[#This Row],[x base]]&gt;0,Eu_tabel_a[[#This Row],[x base]]&lt;0,Eu_tabel_a[[#This Row],[x base]]=0),1,NA()),NA())</f>
        <v>#N/A</v>
      </c>
      <c r="FA268" s="54" t="e">
        <f>IF(CHOOSE(EY$7,Eu_tabel_a[[#This Row],[x base]]&gt;0,Eu_tabel_a[[#This Row],[x base]]&lt;0,Eu_tabel_a[[#This Row],[x base]]=0),Eu_tabel_a[[#This Row],[Styrke, aktiv]],NA())</f>
        <v>#N/A</v>
      </c>
      <c r="FB268" s="54" t="e">
        <f>IFERROR(IF($EY$3,Eu_tabel_a[[#This Row],[Styrke, aktiv]],NA()),NA())</f>
        <v>#N/A</v>
      </c>
      <c r="FC268" s="54" t="e">
        <f>IF(ISNA(Eu_tabel_a[[#This Row],[Sand negativ
Nulhypotese afvises
Korrekt]]),NA(),IF(EY$3,1,NA()))</f>
        <v>#N/A</v>
      </c>
      <c r="FD268" s="55" t="str" cm="1">
        <f t="array" ref="FD268">IFERROR(_xlfn.SWITCH(Eu_tabel_a[[#This Row],[Indeks]],_xlfn.IFNA(FB$2,-99),FB$5,_xlfn.IFNA(FB$3,-99),FB$6,_xlfn.IFNA(FB$4,-99),FB$7,""),"")</f>
        <v/>
      </c>
      <c r="FE268" s="54">
        <f>Eu_tabel_a[[#This Row],[x base]]*SQRT(Eu_a_h0_x*(1-Eu_a_h0_x)/Eu_a_n_x)+Eu_a_h0_x</f>
        <v>0</v>
      </c>
      <c r="FJ268" s="144" t="e">
        <f t="shared" si="443"/>
        <v>#N/A</v>
      </c>
      <c r="FK268" s="152" t="e">
        <f t="shared" si="426"/>
        <v>#DIV/0!</v>
      </c>
      <c r="FL268" s="7" t="e">
        <f t="shared" si="437"/>
        <v>#DIV/0!</v>
      </c>
      <c r="FM268" t="e">
        <f t="shared" si="427"/>
        <v>#DIV/0!</v>
      </c>
      <c r="FN268" s="8" t="e">
        <f t="shared" si="428"/>
        <v>#DIV/0!</v>
      </c>
      <c r="FO268" s="8" t="e">
        <f t="shared" si="429"/>
        <v>#DIV/0!</v>
      </c>
      <c r="FP268" s="151" t="e">
        <f t="shared" si="430"/>
        <v>#DIV/0!</v>
      </c>
      <c r="FQ268" s="144" t="e">
        <f t="shared" ca="1" si="438"/>
        <v>#N/A</v>
      </c>
      <c r="FR268" s="152" t="e" vm="3">
        <f t="shared" ca="1" si="444"/>
        <v>#VALUE!</v>
      </c>
      <c r="FS268" s="7" t="e" vm="3">
        <f t="shared" ca="1" si="439"/>
        <v>#VALUE!</v>
      </c>
      <c r="FT268" t="e" vm="3">
        <f t="shared" ca="1" si="433"/>
        <v>#VALUE!</v>
      </c>
      <c r="FU268" s="8" t="e" vm="3">
        <f t="shared" ca="1" si="434"/>
        <v>#VALUE!</v>
      </c>
      <c r="FV268" s="8" t="e" vm="3">
        <f t="shared" ca="1" si="435"/>
        <v>#VALUE!</v>
      </c>
      <c r="FW268" s="151" t="e" vm="3">
        <f t="shared" ca="1" si="436"/>
        <v>#VALUE!</v>
      </c>
      <c r="FX268" s="144" t="e">
        <f t="shared" si="440"/>
        <v>#N/A</v>
      </c>
      <c r="FY268" s="152" t="e">
        <f t="shared" si="445"/>
        <v>#N/A</v>
      </c>
      <c r="FZ268" s="7" t="e">
        <f t="shared" si="441"/>
        <v>#N/A</v>
      </c>
      <c r="GA268" t="e">
        <f t="shared" si="446"/>
        <v>#N/A</v>
      </c>
      <c r="GB268" s="8" t="e">
        <f t="shared" si="447"/>
        <v>#N/A</v>
      </c>
      <c r="GC268" s="8" t="e">
        <f t="shared" si="448"/>
        <v>#N/A</v>
      </c>
      <c r="GD268" s="151" t="e">
        <f t="shared" si="449"/>
        <v>#N/A</v>
      </c>
      <c r="GE268" s="144" t="e">
        <f t="shared" si="450"/>
        <v>#N/A</v>
      </c>
      <c r="GF268" s="152" t="e">
        <f t="shared" si="451"/>
        <v>#N/A</v>
      </c>
      <c r="GG268" s="7" t="e">
        <f t="shared" si="442"/>
        <v>#N/A</v>
      </c>
      <c r="GH268" t="e">
        <f t="shared" si="452"/>
        <v>#N/A</v>
      </c>
      <c r="GI268" s="8" t="e">
        <f t="shared" si="453"/>
        <v>#N/A</v>
      </c>
      <c r="GJ268" s="8" t="e">
        <f t="shared" si="454"/>
        <v>#N/A</v>
      </c>
      <c r="GK268" s="151" t="e">
        <f t="shared" si="455"/>
        <v>#N/A</v>
      </c>
      <c r="GL268" s="151"/>
      <c r="GM268" s="151"/>
      <c r="GP268" s="127">
        <f t="shared" si="395"/>
        <v>258</v>
      </c>
      <c r="GQ268" s="54">
        <f t="shared" si="476"/>
        <v>259</v>
      </c>
      <c r="GR268" s="127">
        <f t="shared" si="397"/>
        <v>3.0902323061678132</v>
      </c>
      <c r="GS268" s="127">
        <f t="shared" si="477"/>
        <v>3.3670900770639959E-3</v>
      </c>
      <c r="GT268" s="127" t="e">
        <f t="shared" si="399"/>
        <v>#N/A</v>
      </c>
      <c r="GU268" s="127" t="e">
        <f t="shared" si="400"/>
        <v>#N/A</v>
      </c>
      <c r="GV268" s="127" t="e">
        <f t="shared" si="401"/>
        <v>#N/A</v>
      </c>
      <c r="GW268" s="127" t="b">
        <f t="shared" si="402"/>
        <v>0</v>
      </c>
      <c r="GX268" s="127" t="b">
        <f t="shared" si="478"/>
        <v>1</v>
      </c>
      <c r="GY268" s="127" t="b">
        <f t="shared" si="404"/>
        <v>1</v>
      </c>
      <c r="GZ268" s="127" t="b">
        <f t="shared" si="479"/>
        <v>0</v>
      </c>
      <c r="HA268" s="127">
        <f t="shared" si="480"/>
        <v>3.3670900770639959E-3</v>
      </c>
      <c r="HB268" s="127">
        <f t="shared" si="481"/>
        <v>3.3670900770639959E-3</v>
      </c>
      <c r="HC268" s="127" t="e">
        <f t="shared" si="482"/>
        <v>#N/A</v>
      </c>
      <c r="HD268" s="128" t="str">
        <f t="shared" si="409"/>
        <v/>
      </c>
      <c r="HJ268" s="127">
        <f t="shared" si="410"/>
        <v>258</v>
      </c>
      <c r="HK268" s="54">
        <f t="shared" si="483"/>
        <v>259</v>
      </c>
      <c r="HL268" s="127">
        <f t="shared" si="412"/>
        <v>4.7852896286383331</v>
      </c>
      <c r="HM268" s="127" t="e">
        <f t="shared" si="484"/>
        <v>#N/A</v>
      </c>
      <c r="HN268" s="127">
        <f t="shared" si="414"/>
        <v>1.1566894571072798E-3</v>
      </c>
      <c r="HO268" s="127" t="e">
        <f t="shared" si="415"/>
        <v>#N/A</v>
      </c>
      <c r="HP268" s="127" t="e">
        <f t="shared" si="416"/>
        <v>#N/A</v>
      </c>
      <c r="HQ268" s="127" t="b">
        <f t="shared" si="417"/>
        <v>0</v>
      </c>
      <c r="HR268" s="127" t="b">
        <f t="shared" si="485"/>
        <v>1</v>
      </c>
      <c r="HS268" s="127" t="b">
        <f t="shared" si="419"/>
        <v>1</v>
      </c>
      <c r="HT268" s="127" t="b">
        <f t="shared" si="486"/>
        <v>0</v>
      </c>
      <c r="HU268" s="127">
        <f t="shared" si="487"/>
        <v>1.1566894571072798E-3</v>
      </c>
      <c r="HV268" s="127" t="e">
        <f t="shared" si="488"/>
        <v>#N/A</v>
      </c>
      <c r="HW268" s="127">
        <f t="shared" si="489"/>
        <v>1.1566894571072798E-3</v>
      </c>
      <c r="HX268" s="128" t="str">
        <f t="shared" si="424"/>
        <v/>
      </c>
    </row>
  </sheetData>
  <phoneticPr fontId="15" type="noConversion"/>
  <conditionalFormatting sqref="C35:C38">
    <cfRule type="cellIs" dxfId="33" priority="36" operator="equal">
      <formula>"Ikke opfyldt"</formula>
    </cfRule>
  </conditionalFormatting>
  <conditionalFormatting sqref="J35:J38">
    <cfRule type="cellIs" dxfId="32" priority="34" operator="equal">
      <formula>"Ikke opfyldt"</formula>
    </cfRule>
  </conditionalFormatting>
  <conditionalFormatting sqref="Q35:Q38">
    <cfRule type="cellIs" dxfId="31" priority="32" operator="equal">
      <formula>"Ikke opfyldt"</formula>
    </cfRule>
  </conditionalFormatting>
  <conditionalFormatting sqref="X35:X38">
    <cfRule type="cellIs" dxfId="30" priority="28" operator="equal">
      <formula>"Ikke opfyldt"</formula>
    </cfRule>
  </conditionalFormatting>
  <conditionalFormatting sqref="AE35:AE38">
    <cfRule type="cellIs" dxfId="29" priority="22" operator="equal">
      <formula>"Ikke opfyldt"</formula>
    </cfRule>
  </conditionalFormatting>
  <conditionalFormatting sqref="C6:C11">
    <cfRule type="expression" dxfId="28" priority="191">
      <formula>NOT($BF$4)</formula>
    </cfRule>
  </conditionalFormatting>
  <conditionalFormatting sqref="J6:J9 X8">
    <cfRule type="expression" dxfId="27" priority="192">
      <formula>NOT($BG$4)</formula>
    </cfRule>
  </conditionalFormatting>
  <conditionalFormatting sqref="Q6:Q9">
    <cfRule type="expression" dxfId="26" priority="194">
      <formula>NOT($BH$4)</formula>
    </cfRule>
  </conditionalFormatting>
  <conditionalFormatting sqref="B16">
    <cfRule type="expression" dxfId="25" priority="195">
      <formula>NOT($BF$2)</formula>
    </cfRule>
  </conditionalFormatting>
  <conditionalFormatting sqref="P16">
    <cfRule type="expression" dxfId="24" priority="196">
      <formula>NOT($BH$2)</formula>
    </cfRule>
  </conditionalFormatting>
  <conditionalFormatting sqref="X6:X7 X9">
    <cfRule type="expression" dxfId="23" priority="197">
      <formula>NOT($BI$4)</formula>
    </cfRule>
  </conditionalFormatting>
  <conditionalFormatting sqref="W16">
    <cfRule type="expression" dxfId="22" priority="199">
      <formula>NOT($BI$2)</formula>
    </cfRule>
  </conditionalFormatting>
  <conditionalFormatting sqref="B8">
    <cfRule type="expression" dxfId="21" priority="200">
      <formula>$BF$2</formula>
    </cfRule>
  </conditionalFormatting>
  <conditionalFormatting sqref="B9:C9">
    <cfRule type="expression" dxfId="20" priority="18">
      <formula>$BF$5</formula>
    </cfRule>
  </conditionalFormatting>
  <conditionalFormatting sqref="B10:C10">
    <cfRule type="expression" dxfId="19" priority="17">
      <formula>NOT($BF$5)</formula>
    </cfRule>
  </conditionalFormatting>
  <conditionalFormatting sqref="I8">
    <cfRule type="expression" dxfId="18" priority="16">
      <formula>NOT($BG$3)</formula>
    </cfRule>
  </conditionalFormatting>
  <conditionalFormatting sqref="P8">
    <cfRule type="expression" dxfId="17" priority="15">
      <formula>$BH$2</formula>
    </cfRule>
  </conditionalFormatting>
  <conditionalFormatting sqref="W8">
    <cfRule type="expression" dxfId="16" priority="14">
      <formula>NOT($BI$3)</formula>
    </cfRule>
  </conditionalFormatting>
  <conditionalFormatting sqref="A35:C38">
    <cfRule type="expression" dxfId="15" priority="10">
      <formula>ISBLANK($A35)</formula>
    </cfRule>
  </conditionalFormatting>
  <conditionalFormatting sqref="E35:F46">
    <cfRule type="expression" dxfId="14" priority="9">
      <formula>ISBLANK($E35)</formula>
    </cfRule>
  </conditionalFormatting>
  <conditionalFormatting sqref="L35:M46">
    <cfRule type="expression" dxfId="13" priority="8">
      <formula>ISBLANK($L35)</formula>
    </cfRule>
  </conditionalFormatting>
  <conditionalFormatting sqref="H35:J38">
    <cfRule type="expression" dxfId="12" priority="7">
      <formula>ISBLANK($H35)</formula>
    </cfRule>
  </conditionalFormatting>
  <conditionalFormatting sqref="O35:Q38">
    <cfRule type="expression" dxfId="11" priority="6">
      <formula>ISBLANK($O35)</formula>
    </cfRule>
  </conditionalFormatting>
  <conditionalFormatting sqref="V35:X38">
    <cfRule type="expression" dxfId="10" priority="5">
      <formula>ISBLANK($V35)</formula>
    </cfRule>
  </conditionalFormatting>
  <conditionalFormatting sqref="AC35:AE38">
    <cfRule type="expression" dxfId="9" priority="4">
      <formula>ISBLANK($AC35)</formula>
    </cfRule>
  </conditionalFormatting>
  <conditionalFormatting sqref="S35:T46">
    <cfRule type="expression" dxfId="8" priority="3">
      <formula>ISBLANK($S35)</formula>
    </cfRule>
  </conditionalFormatting>
  <conditionalFormatting sqref="Z35:AA46">
    <cfRule type="expression" dxfId="7" priority="2">
      <formula>ISBLANK($Z35)</formula>
    </cfRule>
  </conditionalFormatting>
  <conditionalFormatting sqref="AG35:AH46">
    <cfRule type="expression" dxfId="6" priority="1">
      <formula>ISBLANK($AG35)</formula>
    </cfRule>
  </conditionalFormatting>
  <dataValidations xWindow="1058" yWindow="952" count="39">
    <dataValidation type="custom" allowBlank="1" showInputMessage="1" showErrorMessage="1" errorTitle="Vælg et tal" error="Indtast et tal." promptTitle="Vælg et gennemsnit" prompt="Indtast et tal." sqref="B7" xr:uid="{2EAC87B4-B724-4413-99C5-B998ADF8669A}">
      <formula1>ISNUMBER(B7)</formula1>
    </dataValidation>
    <dataValidation type="decimal" allowBlank="1" showInputMessage="1" showErrorMessage="1" errorTitle="Vælg et konfidensniveau" error="Indtast et procenttal mellem 50% og 100%" promptTitle="Vælg et konfidensniveau" prompt="Indtast et procenttal mellem 50% og 100%" sqref="B15 I16 P15 W15 AD16" xr:uid="{C3BF607E-C741-48C2-87BD-17BAD7458F3E}">
      <formula1>0.5</formula1>
      <formula2>1</formula2>
    </dataValidation>
    <dataValidation type="custom" allowBlank="1" showInputMessage="1" showErrorMessage="1" errorTitle="Vælg et positivt tal" error="Indtast et tal, der er større end 0." promptTitle="Vælg en intensitet" prompt="Indtast et tal, der er større end 0." sqref="W7" xr:uid="{FB50DC0C-2850-4102-A665-39067D4FAF4B}">
      <formula1>AND(ISNUMBER(W7),W7&gt;0)</formula1>
    </dataValidation>
    <dataValidation type="custom" allowBlank="1" showInputMessage="1" showErrorMessage="1" errorTitle="Vælg et naturligt antal" error="Indtast et heltal som er større end 0." promptTitle="Vælg en stikprøvestørrelse" prompt="Indtast et heltal som er større end 0." sqref="B11 I9 P9 W9 AD10" xr:uid="{FC5F1998-9D40-4054-BC90-06F86DB8F86A}">
      <formula1>AND(MOD(B9,1)=0,B9&gt;0)</formula1>
    </dataValidation>
    <dataValidation allowBlank="1" showInputMessage="1" showErrorMessage="1" promptTitle="Vælg en titel" prompt="Indtast en titel." sqref="B6 I6 P6 W6 AD6" xr:uid="{273568FC-BBB6-48FF-9A5A-2C72AB793F61}"/>
    <dataValidation allowBlank="1" showInputMessage="1" showErrorMessage="1" promptTitle="Vælg en titel" prompt="Indtast en titel._x000a_Dette valg er kun relevant, hvis den valgte hypotesetype er en hypotese om forskel. Hvis dette felt har hvid baggrund, så er det ikke relevant ved den valgte hypotesetype." sqref="C6" xr:uid="{D610F8C7-90AB-4FFF-B778-016029AB4659}"/>
    <dataValidation type="custom" allowBlank="1" showInputMessage="1" showErrorMessage="1" errorTitle="Vælg et tal" error="Indtast et tal." promptTitle="Vælg et gennemsnit" prompt="Indtast et tal._x000a_Dette valg er kun relevant, hvis den valgte hypotesetype er en hypotese om forskel. Hvis dette felt har hvid baggrund, så er det ikke relevant ved den valgte hypotesetype." sqref="C7" xr:uid="{369FD243-6E1C-4589-9861-84145233BE07}">
      <formula1>ISNUMBER(C7)</formula1>
    </dataValidation>
    <dataValidation type="custom" allowBlank="1" showInputMessage="1" showErrorMessage="1" errorTitle="Vælg et positivt tal" error="Indtast et tal, der er større end 0." promptTitle="Vælg en standardafvigelse" prompt="Indtast et tal, der er større end 0._x000a_Dette valg er kun relevant, hvis den valgte hypotesetype er en hypotese om forskel med kendte standardafvigelser. Hvis dette felt har hvid baggrund, så er det ikke relevant." sqref="C10" xr:uid="{C35E44C4-5A7C-4842-8ADB-6B59C2D5E14D}">
      <formula1>AND(ISNUMBER(C10),C10&gt;=0)</formula1>
    </dataValidation>
    <dataValidation type="custom" allowBlank="1" showInputMessage="1" showErrorMessage="1" errorTitle="Vælg et naturligt antal" error="Indtast et heltal som er større end 0." promptTitle="Vælg en stikprøvestørrelse" prompt="Indtast et heltal som er større end 0._x000a_Dette valg er kun relevant, hvis den valgte hypotesetype er en hypotese om forskel. Hvis dette felt har hvid baggrund, så er det ikke relevant." sqref="X9 C11 J9 Q9" xr:uid="{541300EB-8433-41BA-804C-19E024362902}">
      <formula1>AND(MOD(C9,1)=0,C9&gt;0)</formula1>
    </dataValidation>
    <dataValidation type="custom" allowBlank="1" showInputMessage="1" showErrorMessage="1" errorTitle="Vælg et tal" error="Indtast et tal." promptTitle="Vælg en hypoteseværdi" prompt="Indtast et tal._x000a_Dette valg er kun relevant, hvis den valgte hypotesetype er en hypotese om forskel. Hvis dette felt har hvid baggrund, så er det ikke relevant." sqref="C8" xr:uid="{37201DE3-B25A-4773-AE08-769B3AD4F286}">
      <formula1>ISNUMBER(C8)</formula1>
    </dataValidation>
    <dataValidation type="custom" allowBlank="1" showInputMessage="1" showErrorMessage="1" errorTitle="Vælg et tal" error="Indtast et tal." promptTitle="Vælg en hypoteseværdi" prompt="Indtast et tal._x000a_Dette valg er ikke relevant, hvis den valgte hypotesetype er konfidensinterval. Hvis dette felt har hvid baggrund, så er det ikke relevant." sqref="B8" xr:uid="{59F3161F-D486-43C9-915F-CAF488438077}">
      <formula1>ISNUMBER(B8)</formula1>
    </dataValidation>
    <dataValidation allowBlank="1" showInputMessage="1" showErrorMessage="1" promptTitle="Kontrol af forudsætning" prompt="Viser Ikke opfyldt, hvis kontrollen har identificeret et problem med denne forudsætning. Viser Skal vurderes, hvis kontrollen ikke kan vurdere forudsætningen. Viser Opfyldt, hvis kontrollen ikke har identificeret nogen problemer." sqref="C35:C38 J35:J38 Q35:Q38 X35:X38 AE35 AE37:AE38" xr:uid="{F5017CC7-1DE8-4BEE-A8CD-F0FA4D9FE04E}"/>
    <dataValidation type="decimal" allowBlank="1" showInputMessage="1" showErrorMessage="1" errorTitle="Vælg et procenttal" error="Indtast et procenttal mellem 0% og 100%." promptTitle="Vælg en andel" prompt="Indtast et procenttal mellem 0% og 100%." sqref="P7" xr:uid="{4F39FF3A-1835-4ADB-A4EB-203A3CE61C64}">
      <formula1>0</formula1>
      <formula2>1</formula2>
    </dataValidation>
    <dataValidation type="decimal" allowBlank="1" showInputMessage="1" showErrorMessage="1" errorTitle="Vælg et procenttal" error="Indtast et procenttal mellem 0% og 100%." promptTitle="Vælg en hypoteseværdi" prompt="Indtast et procenttal mellem 0% og 100%._x000a_Dette valg er ikke relevant, hvis den valgte hypotesetype er konfidensinterval. Hvis dette felt har hvid baggrund, så er det ikke relevant." sqref="P8" xr:uid="{52C5B227-54E0-476E-A90D-96248D101F3D}">
      <formula1>0</formula1>
      <formula2>1</formula2>
    </dataValidation>
    <dataValidation allowBlank="1" showInputMessage="1" showErrorMessage="1" promptTitle="Nødvendig stikprøvestørrelse" prompt="Nødvendig stikprøvestørrelse for at opnå den ønskede fejlmargin i et konfidensinterval for det valgte observationssæt. Givet en beregningsmetode og et konfidensniveau. Viser fejl hvis der ikke er valgt en ønsket fejlmargin." sqref="C16 Q16 X16" xr:uid="{BC21140B-A459-4C51-A3A4-DF86BEAB9D43}"/>
    <dataValidation type="decimal" allowBlank="1" showInputMessage="1" showErrorMessage="1" errorTitle="Vælg et procenttal" error="Indtast et procenttal mellem 0% og 100%." promptTitle="Vælg en ønsket fejlmargin" prompt="Indtast et procenttal mellem 0% og 100%._x000a_Dette valg kan kun være relevant, hvis den valgte hypotesetype er et konfidensinterval. Hvis dette felt har hvid baggrund, så er det ikke relevant." sqref="P16" xr:uid="{9C1C3B2B-2AFC-43EF-A527-6F353C68B9D6}">
      <formula1>0</formula1>
      <formula2>1</formula2>
    </dataValidation>
    <dataValidation allowBlank="1" showInputMessage="1" showErrorMessage="1" promptTitle="Hypoteseværdi y er ikke relevant" prompt="Denne værdi er ikke relevant._x000a_Ved hypotesetest om forskel for standardafvigelser anvendes hypoteseværdier ikke." sqref="J8" xr:uid="{5DB18D7F-5FFB-4C94-A7FB-03CE34E9C0CC}"/>
    <dataValidation type="decimal" allowBlank="1" showInputMessage="1" showErrorMessage="1" errorTitle="Vælg et procenttal" error="Indtast et procenttal mellem 0% og 100%." promptTitle="Vælg en hypoteseværdi" prompt="Indtast et procenttal mellem 0% og 100%._x000a_Dette valg er kun relevant, hvis den valgte hypotesetype er en hypotese om forskel. Hvis dette felt har hvid baggrund, så er det ikke relevant." sqref="Q8" xr:uid="{A9EAD364-8B88-4B4D-840D-69E8B1AFD711}">
      <formula1>0</formula1>
      <formula2>1</formula2>
    </dataValidation>
    <dataValidation type="decimal" allowBlank="1" showInputMessage="1" showErrorMessage="1" errorTitle="Vælg et procenttal" error="Indtast et procenttal mellem 0% og 100%." promptTitle="Vælg en andel" prompt="Indtast et procenttal mellem 0% og 100%._x000a_Dette valg er kun relevant, hvis den valgte hypotesetype er en hypotese om forskel. Hvis dette felt har hvid baggrund, så er det ikke relevant." sqref="Q7" xr:uid="{B6113795-73D6-49DB-876E-4334462AD0F2}">
      <formula1>0</formula1>
      <formula2>1</formula2>
    </dataValidation>
    <dataValidation type="custom" allowBlank="1" showInputMessage="1" showErrorMessage="1" errorTitle="Vælg et positivt tal" error="Indtast et tal, der er større end 0." promptTitle="Vælg en ønsket fejlmargin" prompt="Indtast et tal, der er større end 0._x000a_Dette valg kan kun være relevant, hvis den valgte hypotesetype er et konfidensinterval. Hvis dette felt har hvid baggrund, så er det ikke relevant." sqref="W16 B16" xr:uid="{1944D2A3-7C99-410E-8FA4-6684DC23E929}">
      <formula1>AND(B16&gt;0,ISNUMBER(B16))</formula1>
    </dataValidation>
    <dataValidation type="custom" allowBlank="1" showInputMessage="1" showErrorMessage="1" errorTitle="Vælg et positivt tal" error="Indtast et tal, der er større end 0." promptTitle="Vælg en hypoteseværdi" prompt="Indtast et tal, der er større end 0._x000a_Dette valg er kun relevant, hvis den valgte hypotesetype er en hypotese om værdi. Hvis dette felt har hvid baggrund, så er det ikke relevant." sqref="W8 I8" xr:uid="{606F7D6D-3F2F-43FF-BAA3-99569CB8B51F}">
      <formula1>AND(ISNUMBER(I8),I8&gt;0)</formula1>
    </dataValidation>
    <dataValidation type="custom" allowBlank="1" showInputMessage="1" showErrorMessage="1" errorTitle="Vælg et positivt tal" error="Indtast et tal, der er større end 0." promptTitle="Vælg en standardafvigelse" prompt="Indtast et tal, der er større end 0." sqref="I7 AD9" xr:uid="{06B201EA-C630-47DC-ADBF-B0957405C2DE}">
      <formula1>AND(ISNUMBER(I7),I7&gt;0)</formula1>
    </dataValidation>
    <dataValidation type="custom" allowBlank="1" showInputMessage="1" showErrorMessage="1" errorTitle="Vælg et positivt tal" error="Indtast et tal, der er større end 0." promptTitle="Vælg en standardafvigelse" prompt="Indtast et tal, der er større end 0._x000a_Dette valg er kun relevant, hvis den valgte hypotesetype er en hypotese om forskel. Hvis dette felt har hvid baggrund, så er det ikke relevant." sqref="J7" xr:uid="{A0C239B7-E821-40C2-8D33-571333F7FA2E}">
      <formula1>AND(ISNUMBER(J7),J7&gt;0)</formula1>
    </dataValidation>
    <dataValidation type="custom" allowBlank="1" showInputMessage="1" showErrorMessage="1" errorTitle="Vælg et positivt tal" error="Indtast et tal, der er større end 0." promptTitle="Vælg en standardafvigelse" prompt="Indtast et tal, der er større end 0._x000a_Dette valg er kun relevant, hvis den valgte beregningsmetode er med kendte standardafvigelser. Hvis dette felt har hvid baggrund, så er det ikke relevant." sqref="B10" xr:uid="{AD05DCF0-54B3-40E4-9628-1938F24AFAC9}">
      <formula1>AND(ISNUMBER(B10),B10&gt;=0)</formula1>
    </dataValidation>
    <dataValidation type="custom" allowBlank="1" showInputMessage="1" showErrorMessage="1" errorTitle="Vælg et tal" error="Indtast et tal, der er større end 0." promptTitle="Vælg en standardafvigelse" prompt="Indtast et tal, der er større end 0._x000a_Dette valg er kun relevant, hvis den valgte hypotesetype er en hypotese om forskel uden kendte standardafvigelser. Hvis dette felt har hvid baggrund, så er det ikke relevant." sqref="C9" xr:uid="{7AF122F1-786F-47CA-B1EA-060B982C4B2C}">
      <formula1>AND(ISNUMBER(C9),C9&gt;=0)</formula1>
    </dataValidation>
    <dataValidation type="custom" allowBlank="1" showInputMessage="1" showErrorMessage="1" errorTitle="Vælg et positivt tal" error="Indtast et tal, der er større end 0." promptTitle="Vælg en intensitet" prompt="Indtast et tal, der er større end 0._x000a_Dette valg er kun relevant, hvis den valgte hypotesetype er en hypotese om forskel. Hvis dette felt har hvid baggrund, så er det ikke relevant." sqref="X7" xr:uid="{BF8BDC37-DDCA-479C-93BE-28F537B33ABB}">
      <formula1>AND(ISNUMBER(X7),X7&gt;=0)</formula1>
    </dataValidation>
    <dataValidation allowBlank="1" showInputMessage="1" showErrorMessage="1" promptTitle="Hypoteseværdi y er ikke relevant" prompt="Denne værdi er ikke relevant._x000a_Ved hypotesetest om forskel for intensiteter anvendes hypoteseværdier ikke." sqref="X8" xr:uid="{80A41DA8-5081-4C38-9316-4C64A846571D}"/>
    <dataValidation type="custom" allowBlank="1" showInputMessage="1" showErrorMessage="1" errorTitle="Vælg et naturligt antal" error="Indtast et heltal som er større end 0." promptTitle="Vælg et antal koefficienter" prompt="Indtast et heltal som er større end 0._x000a_Antallet af koefficienter i den lineære regressionsmodel er lig antallet af uafhængige variable i modellen + 1 for konstanten, hvis den er inkluderet." sqref="AD11" xr:uid="{4F81DDE2-5E35-47D4-952E-A12BB5ED2D00}">
      <formula1>AND(MOD(AD11,1)=0,AD11&gt;0)</formula1>
    </dataValidation>
    <dataValidation type="custom" allowBlank="1" showInputMessage="1" showErrorMessage="1" errorTitle="Vælg et tal" error="Indtast et tal." promptTitle="Vælg en koefficient" prompt="Indtast et tal." sqref="AD7" xr:uid="{92D4DB1D-A520-41E0-959D-A14A83892C13}">
      <formula1>ISNUMBER(AD7)</formula1>
    </dataValidation>
    <dataValidation type="custom" allowBlank="1" showInputMessage="1" showErrorMessage="1" errorTitle="Vælg et tal" error="Indtast et tal." promptTitle="Vælg en hypoteseværdi" prompt="Indtast et tal." sqref="AD8" xr:uid="{E3AA99E4-0ABB-4744-81B7-AB18FB7971C0}">
      <formula1>ISNUMBER(AD8)</formula1>
    </dataValidation>
    <dataValidation type="custom" allowBlank="1" showInputMessage="1" showErrorMessage="1" errorTitle="Vælg et positivt tal" error="Indtast et tal, der er større end 0." promptTitle="Vælg en standardafvigelse" prompt="Indtast et tal, der er større end 0._x000a_Dette valg er kun relevant, hvis den valgte beregningsmetode er uden kendte standardafvigelser. Hvis dette felt har hvid baggrund, så er det ikke relevant." sqref="B9" xr:uid="{1D4577D5-02AC-46C3-8588-89B9A5BF4232}">
      <formula1>AND(ISNUMBER(B9),B9&gt;=0)</formula1>
    </dataValidation>
    <dataValidation allowBlank="1" showInputMessage="1" showErrorMessage="1" promptTitle="Vælg en titel" prompt="Indtast en titel._x000a_Dette valg er kun relevant, hvis den valgte hypotesetype er en hypotese om forskel. Hvis dette felt har hvid baggrund, så er det ikke relevant." sqref="J6 Q6 X6" xr:uid="{7BB6A30A-4DF4-4C44-A8B7-79D6103DE117}"/>
    <dataValidation type="list" allowBlank="1" showInputMessage="1" showErrorMessage="1" errorTitle="Vælg fra listen" error="Vælg et observationssæt fra listen (baseret på overskrifterne i datatabellen)" promptTitle="Vælg et observationssæt" prompt="Vælg et observationssæt fra listen i drop-down menuen (baseret på overskrifterne i data arket)." sqref="W41 P41 I41 B41 AD42" xr:uid="{9CC49157-6AB2-46A2-ABF4-5B3B88EBEE5C}">
      <formula1>DataTitel_liste</formula1>
    </dataValidation>
    <dataValidation allowBlank="1" showInputMessage="1" showErrorMessage="1" promptTitle="Kontrol af forudsætning" prompt="Denne forudsætning skal altid vurderes." sqref="AE36" xr:uid="{F417650B-C485-499F-A54D-62B295E01A35}"/>
    <dataValidation allowBlank="1" showInputMessage="1" showErrorMessage="1" promptTitle="Kontrol af input" prompt="Viser &quot;Værdier hentet fra lineær regression&quot;, hvis observationssættet indgår som uafhængig variabel i den aktive lineære regression. Hvis ikke observationssættet er en del af den aktive lineære regression vises &quot;Værdier ikke fundet i lineær regression&quot;." sqref="AE42" xr:uid="{40372B6F-CAE0-451A-AA8B-25350693B4B6}"/>
    <dataValidation type="decimal" allowBlank="1" showInputMessage="1" showErrorMessage="1" errorTitle="Vælg et styrkeniveau" error="Indtast et procenttal mellem 0% og 100%" promptTitle="Vælg et styrkeniveau" prompt="Indtast et procenttal mellem 0% og 100%" sqref="B67 P67" xr:uid="{08C10ED0-5D83-4A5C-9459-F73D4279E601}">
      <formula1>0</formula1>
      <formula2>1</formula2>
    </dataValidation>
    <dataValidation type="custom" allowBlank="1" showInputMessage="1" showErrorMessage="1" errorTitle="Vælg en ønsket fejlmargin" error="Indtast et tal." promptTitle="Vælg en ønsket fejlmargin" prompt="Indtast et tal." sqref="B68" xr:uid="{8DA01C50-4B8F-4631-886B-9E1A66C458BC}">
      <formula1>ISNUMBER(B68)</formula1>
    </dataValidation>
    <dataValidation type="custom" allowBlank="1" showInputMessage="1" showErrorMessage="1" errorTitle="Vælg en stikprøvestørrelse" error="Indtast et tal, der er større end 0." promptTitle="Vælg en stikprøvestørrelse" prompt="Indtast et tal, der er større end 0." sqref="B69" xr:uid="{37E7D6C6-82B8-4A25-B8D6-4C65E14D0D57}">
      <formula1>AND(B69&gt;0,ISNUMBER(B69))</formula1>
    </dataValidation>
    <dataValidation type="custom" allowBlank="1" showInputMessage="1" showErrorMessage="1" errorTitle="Vælg en ønsket fejlmargin" error="Indtast et procenttal." promptTitle="Vælg en ønsket fejlmargin" prompt="Indtast et procenttal." sqref="P68:P69" xr:uid="{E973F9AD-1B94-46BE-8253-4204A5A98D46}">
      <formula1>ISNUMBER(P68)</formula1>
    </dataValidation>
  </dataValidations>
  <pageMargins left="0.7" right="0.7" top="0.75" bottom="0.75" header="0.3" footer="0.3"/>
  <pageSetup paperSize="9" orientation="portrait" r:id="rId1"/>
  <drawing r:id="rId2"/>
  <tableParts count="6">
    <tablePart r:id="rId3"/>
    <tablePart r:id="rId4"/>
    <tablePart r:id="rId5"/>
    <tablePart r:id="rId6"/>
    <tablePart r:id="rId7"/>
    <tablePart r:id="rId8"/>
  </tableParts>
  <extLst>
    <ext xmlns:x15="http://schemas.microsoft.com/office/spreadsheetml/2010/11/main" uri="{3A4CF648-6AED-40f4-86FF-DC5316D8AED3}">
      <x14:slicerList xmlns:x14="http://schemas.microsoft.com/office/spreadsheetml/2009/9/main">
        <x14:slicer r:id="rId9"/>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92EEFA-D7B4-4C5D-8228-E557056F2350}">
  <sheetPr codeName="Sheet10"/>
  <dimension ref="A1:AX60"/>
  <sheetViews>
    <sheetView showGridLines="0" topLeftCell="C1" zoomScaleNormal="100" workbookViewId="0">
      <selection activeCell="S2" sqref="S2"/>
    </sheetView>
  </sheetViews>
  <sheetFormatPr defaultRowHeight="14.25" x14ac:dyDescent="0.2"/>
  <cols>
    <col min="1" max="1" width="22.625" bestFit="1" customWidth="1"/>
    <col min="2" max="2" width="26.375" bestFit="1" customWidth="1"/>
    <col min="3" max="3" width="38.375" bestFit="1" customWidth="1"/>
    <col min="4" max="4" width="13.5" bestFit="1" customWidth="1"/>
    <col min="5" max="6" width="12.75" bestFit="1" customWidth="1"/>
    <col min="7" max="7" width="13.375" bestFit="1" customWidth="1"/>
    <col min="8" max="8" width="23" bestFit="1" customWidth="1"/>
    <col min="9" max="9" width="19.25" bestFit="1" customWidth="1"/>
    <col min="10" max="10" width="22" bestFit="1" customWidth="1"/>
    <col min="11" max="11" width="17" bestFit="1" customWidth="1"/>
    <col min="12" max="12" width="14" bestFit="1" customWidth="1"/>
    <col min="13" max="13" width="16.5" bestFit="1" customWidth="1"/>
    <col min="14" max="14" width="11.75" bestFit="1" customWidth="1"/>
    <col min="15" max="15" width="12.125" bestFit="1" customWidth="1"/>
    <col min="16" max="16" width="8.25" bestFit="1" customWidth="1"/>
    <col min="17" max="17" width="12.125" bestFit="1" customWidth="1"/>
    <col min="18" max="18" width="30.5" bestFit="1" customWidth="1"/>
    <col min="19" max="19" width="32.5" bestFit="1" customWidth="1"/>
    <col min="20" max="20" width="12.5" bestFit="1" customWidth="1"/>
    <col min="21" max="21" width="12" bestFit="1" customWidth="1"/>
    <col min="22" max="22" width="20.75" bestFit="1" customWidth="1"/>
    <col min="23" max="23" width="23.5" bestFit="1" customWidth="1"/>
    <col min="24" max="24" width="18.75" bestFit="1" customWidth="1"/>
    <col min="25" max="25" width="23.25" bestFit="1" customWidth="1"/>
    <col min="26" max="26" width="21" bestFit="1" customWidth="1"/>
    <col min="27" max="27" width="12" bestFit="1" customWidth="1"/>
    <col min="28" max="28" width="22" bestFit="1" customWidth="1"/>
    <col min="29" max="29" width="19.75" bestFit="1" customWidth="1"/>
    <col min="30" max="30" width="23.125" bestFit="1" customWidth="1"/>
    <col min="31" max="31" width="29.25" bestFit="1" customWidth="1"/>
    <col min="32" max="32" width="21.5" bestFit="1" customWidth="1"/>
    <col min="33" max="33" width="17.125" bestFit="1" customWidth="1"/>
    <col min="34" max="34" width="19.75" bestFit="1" customWidth="1"/>
    <col min="35" max="35" width="15" bestFit="1" customWidth="1"/>
    <col min="36" max="36" width="14" bestFit="1" customWidth="1"/>
    <col min="37" max="37" width="7.5" customWidth="1"/>
    <col min="38" max="38" width="15" bestFit="1" customWidth="1"/>
    <col min="39" max="39" width="7.75" bestFit="1" customWidth="1"/>
    <col min="40" max="40" width="158.125" bestFit="1" customWidth="1"/>
    <col min="41" max="41" width="111.75" bestFit="1" customWidth="1"/>
    <col min="42" max="42" width="17.375" bestFit="1" customWidth="1"/>
    <col min="43" max="43" width="26.75" bestFit="1" customWidth="1"/>
    <col min="44" max="44" width="46.75" bestFit="1" customWidth="1"/>
    <col min="45" max="45" width="26.75" bestFit="1" customWidth="1"/>
    <col min="46" max="46" width="52.75" bestFit="1" customWidth="1"/>
    <col min="47" max="47" width="26.75" bestFit="1" customWidth="1"/>
    <col min="48" max="48" width="67.25" bestFit="1" customWidth="1"/>
    <col min="49" max="49" width="26.75" bestFit="1" customWidth="1"/>
    <col min="50" max="50" width="40.125" bestFit="1" customWidth="1"/>
  </cols>
  <sheetData>
    <row r="1" spans="1:50" x14ac:dyDescent="0.2">
      <c r="A1" t="s">
        <v>136</v>
      </c>
      <c r="B1" t="s">
        <v>143</v>
      </c>
      <c r="C1" t="s">
        <v>219</v>
      </c>
      <c r="D1" t="s">
        <v>147</v>
      </c>
      <c r="E1" t="s">
        <v>288</v>
      </c>
      <c r="F1" t="s">
        <v>289</v>
      </c>
      <c r="G1" t="s">
        <v>123</v>
      </c>
      <c r="H1" t="s">
        <v>304</v>
      </c>
      <c r="I1" t="s">
        <v>326</v>
      </c>
      <c r="J1" t="s">
        <v>327</v>
      </c>
      <c r="K1" t="s">
        <v>328</v>
      </c>
      <c r="L1" t="s">
        <v>305</v>
      </c>
      <c r="M1" t="s">
        <v>302</v>
      </c>
      <c r="N1" t="s">
        <v>314</v>
      </c>
      <c r="O1" t="s">
        <v>329</v>
      </c>
      <c r="P1" t="s">
        <v>124</v>
      </c>
      <c r="Q1" t="s">
        <v>333</v>
      </c>
      <c r="R1" t="s">
        <v>332</v>
      </c>
      <c r="S1" t="s">
        <v>325</v>
      </c>
      <c r="T1" t="s">
        <v>36</v>
      </c>
      <c r="U1" t="s">
        <v>37</v>
      </c>
      <c r="V1" t="s">
        <v>307</v>
      </c>
      <c r="W1" t="s">
        <v>316</v>
      </c>
      <c r="X1" t="s">
        <v>308</v>
      </c>
      <c r="Y1" t="s">
        <v>309</v>
      </c>
      <c r="Z1" t="s">
        <v>311</v>
      </c>
      <c r="AA1" t="s">
        <v>312</v>
      </c>
      <c r="AB1" t="s">
        <v>310</v>
      </c>
      <c r="AC1" t="s">
        <v>313</v>
      </c>
      <c r="AD1" t="s">
        <v>319</v>
      </c>
      <c r="AE1" t="s">
        <v>320</v>
      </c>
      <c r="AF1" t="s">
        <v>321</v>
      </c>
      <c r="AG1" t="s">
        <v>306</v>
      </c>
      <c r="AH1" t="s">
        <v>303</v>
      </c>
      <c r="AI1" t="s">
        <v>315</v>
      </c>
      <c r="AJ1" t="s">
        <v>301</v>
      </c>
      <c r="AK1" t="s">
        <v>144</v>
      </c>
      <c r="AL1" t="s">
        <v>280</v>
      </c>
      <c r="AM1" t="s">
        <v>16</v>
      </c>
      <c r="AN1" t="s">
        <v>151</v>
      </c>
      <c r="AO1" t="s">
        <v>149</v>
      </c>
      <c r="AP1" t="s">
        <v>152</v>
      </c>
      <c r="AQ1" t="s">
        <v>169</v>
      </c>
      <c r="AR1" t="s">
        <v>153</v>
      </c>
      <c r="AS1" t="s">
        <v>170</v>
      </c>
      <c r="AT1" t="s">
        <v>157</v>
      </c>
      <c r="AU1" t="s">
        <v>173</v>
      </c>
      <c r="AV1" t="s">
        <v>162</v>
      </c>
      <c r="AW1" t="s">
        <v>184</v>
      </c>
      <c r="AX1" t="s">
        <v>409</v>
      </c>
    </row>
    <row r="2" spans="1:50" x14ac:dyDescent="0.2">
      <c r="A2" t="s">
        <v>0</v>
      </c>
      <c r="B2" t="s">
        <v>44</v>
      </c>
      <c r="C2" t="s">
        <v>126</v>
      </c>
      <c r="D2" t="s">
        <v>126</v>
      </c>
      <c r="E2" s="29">
        <v>0</v>
      </c>
      <c r="F2">
        <v>1</v>
      </c>
      <c r="G2">
        <f>IF(ISNUMBER(Eu_g_g_x),_xlfn.NORM.INV((1-Eu_g_konfidensniveau)/2,0,1),NA())</f>
        <v>-1.9599639845400536</v>
      </c>
      <c r="H2">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1.9599639845400536</v>
      </c>
      <c r="I2">
        <f>Eu_g_g_x+E_g_valg[[#This Row],[Venstre teststørrelse]]*Eu_g_s_x/SQRT(Eu_g_n_x)</f>
        <v>-0.58278968089955363</v>
      </c>
      <c r="J2">
        <f>Eu_g_g_x+E_g_valg[[#This Row],[Midtpunkt teststørrelse]]*Eu_g_s_x/SQRT(Eu_g_n_x)</f>
        <v>1.8540044183209705</v>
      </c>
      <c r="K2">
        <f>Eu_g_g_x+E_g_valg[[#This Row],[Højre teststørrelse]]*Eu_g_s_x/SQRT(Eu_g_n_x)</f>
        <v>4.2907985175414947</v>
      </c>
      <c r="L2">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-0.58299999999999996</v>
      </c>
      <c r="M2">
        <f>IF(E_g_valg[[#This Row],[Parameter]]="andel",ROUND(E_g_valg[[#This Row],[Midtpunkt label base]],5)*100&amp;"%",ROUND(E_g_valg[[#This Row],[Midtpunkt label base]],3))</f>
        <v>1.8540000000000001</v>
      </c>
      <c r="N2">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4.2910000000000004</v>
      </c>
      <c r="O2" t="b">
        <f>E_g_valg[[#This Row],[Teststørrelse]]=E_g_valg[[#This Row],[Venstre teststørrelse]]</f>
        <v>1</v>
      </c>
      <c r="P2" t="b">
        <f>OR(MATCH(E_g_valg[[#This Row],[Hypotese]],HypoteseRetning_liste,0)=2,MATCH(E_g_valg[[#This Row],[Hypotese]],HypoteseRetning_liste,0)=3)</f>
        <v>0</v>
      </c>
      <c r="Q2" t="e">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#N/A</v>
      </c>
      <c r="R2" t="e">
        <f>E_g_valg[[#This Row],[p-værdi]]&gt;1-Eu_g_konfidensniveau</f>
        <v>#N/A</v>
      </c>
      <c r="S2">
        <f t="shared" ref="S2:S25" si="0">IF(Eu_g_konfidensniveau&lt;=0.998,0.999,0.99999)</f>
        <v>0.999</v>
      </c>
      <c r="T2">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2">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2">
        <f>MIN(E_g_valg[[#This Row],[Teststørrelse]],E_g_valg[[#This Row],[Teststørrelse omvendt]])</f>
        <v>-1.9599639845400536</v>
      </c>
      <c r="W2">
        <f>CHOOSE(MATCH(E_g_valg[[#This Row],[Fordeling]],Fordeling_liste,0),_xlfn.NORM.INV(0.5,E_g_valg[[#This Row],[Parameter 1]],E_g_valg[[#This Row],[Parameter 2]]),_xlfn.T.INV(0.5,E_g_valg[[#This Row],[Parameter 1]]),_xlfn.CHISQ.INV(0.5,E_g_valg[[#This Row],[Parameter 1]]),_xlfn.F.INV(0.5,E_g_valg[[#This Row],[Parameter 1]],E_g_valg[[#This Row],[Parameter 2]]))</f>
        <v>0</v>
      </c>
      <c r="X2">
        <f>MAX(E_g_valg[[#This Row],[Teststørrelse]],E_g_valg[[#This Row],[Teststørrelse omvendt]])</f>
        <v>1.9599639845400536</v>
      </c>
      <c r="Y2">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2.500000000000004E-2</v>
      </c>
      <c r="Z2">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0.97499999999999998</v>
      </c>
      <c r="AA2">
        <f>E_g_valg[[#This Row],[Mindre end højre %]]-E_g_valg[[#This Row],[Mindre end venstre %]]</f>
        <v>0.95</v>
      </c>
      <c r="AB2">
        <f>1-E_g_valg[[#This Row],[Mindre end venstre %]]</f>
        <v>0.97499999999999998</v>
      </c>
      <c r="AC2">
        <f>1-E_g_valg[[#This Row],[Mindre end højre %]]</f>
        <v>2.5000000000000022E-2</v>
      </c>
      <c r="AD2"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2.5% mindre end -0.583</v>
      </c>
      <c r="AE2" t="str">
        <f>IF(OR(MATCH(E_g_valg[[#This Row],[Hypotese]],HypoteseRetning_liste,0)=1,MATCH(E_g_valg[[#This Row],[Hypotese]],HypoteseRetning_liste,0)=4),ROUND(E_g_valg[[#This Row],[Midt %]],5)*100&amp;"% mellem "&amp;E_g_valg[[#This Row],[Venstre label]]&amp;" og "&amp;E_g_valg[[#This Row],[Højre label]]," ")</f>
        <v>95% mellem -0.583 og 4.291</v>
      </c>
      <c r="AF2"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2.5% større end 4.291</v>
      </c>
      <c r="AG2">
        <f>IF(AND(NOT(E_g_valg[[#This Row],[Orientering]]),E_g_valg[[#This Row],[Ensidet]]),(E_g_valg[[#This Row],[Højre teststørrelse]]-E_g_valg[[#This Row],[X min]])/(E_g_valg[[#This Row],[X max]]-E_g_valg[[#This Row],[X min]]),(E_g_valg[[#This Row],[Venstre teststørrelse]]-E_g_valg[[#This Row],[X min]])/(E_g_valg[[#This Row],[X max]]-E_g_valg[[#This Row],[X min]]))</f>
        <v>0.18287756544578385</v>
      </c>
      <c r="AH2">
        <f>(E_g_valg[[#This Row],[Midtpunkt teststørrelse]]-E_g_valg[[#This Row],[X min]])/(E_g_valg[[#This Row],[X max]]-E_g_valg[[#This Row],[X min]])</f>
        <v>0.5</v>
      </c>
      <c r="AI2">
        <f>IF(AND(E_g_valg[[#This Row],[Orientering]],E_g_valg[[#This Row],[Ensidet]]),(E_g_valg[[#This Row],[Venstre teststørrelse]]-E_g_valg[[#This Row],[X min]])/(E_g_valg[[#This Row],[X max]]-E_g_valg[[#This Row],[X min]]),(E_g_valg[[#This Row],[Højre teststørrelse]]-E_g_valg[[#This Row],[X min]])/(E_g_valg[[#This Row],[X max]]-E_g_valg[[#This Row],[X min]]))</f>
        <v>0.81712243455421607</v>
      </c>
      <c r="AJ2" t="s">
        <v>44</v>
      </c>
      <c r="AK2">
        <f>_xlfn.AGGREGATE(3,5,E_g_valg[[#This Row],[Parameter]])</f>
        <v>1</v>
      </c>
      <c r="AL2">
        <v>1</v>
      </c>
      <c r="AM2">
        <v>1</v>
      </c>
      <c r="AN2" t="str">
        <f>IF(E_g_valg[[#This Row],[Kontrol af forudsætning 1]],Eu_g_konfidensniveau*100&amp;"% Konfidensinterval for gennemsnit
af "&amp;Eu_g_t_x,"Kan ikke beregne konfidensinterval for gennemsnit")</f>
        <v>95% Konfidensinterval for gennemsnit
af Eksempel 1 (interval)</v>
      </c>
      <c r="AO2" t="str">
        <f>"Populationsestimat for gennemsnit fra stikprøver af størrelsen n = "&amp;Eu_g_n_x&amp;"
fra en population med gennemsnit = "&amp;IFERROR(ROUND(Eu_g_g_x,3),"Kan ikke beregnes")&amp;"
 og standardafvigelse = "&amp;IFERROR(ROUND(Eu_g_s_x,3),"Kan ikke beregnes")</f>
        <v>Populationsestimat for gennemsnit fra stikprøver af størrelsen n = 12
fra en population med gennemsnit = 1.854
 og standardafvigelse = 4.307</v>
      </c>
      <c r="AP2" t="s">
        <v>15</v>
      </c>
      <c r="AQ2" t="b">
        <f t="shared" ref="AQ2:AQ13" si="1">NOT(ISNA(Eu_g_g_x))</f>
        <v>1</v>
      </c>
      <c r="AT2" t="s">
        <v>163</v>
      </c>
      <c r="AU2" t="b">
        <f>Eu_g_n_x&gt;=30</f>
        <v>0</v>
      </c>
      <c r="AV2" t="s">
        <v>155</v>
      </c>
      <c r="AW2" t="s">
        <v>185</v>
      </c>
      <c r="AX2">
        <f>ROUNDUP((_xlfn.NORM.INV((1-Eu_g_konfidensniveau)/2,0,1)*Eu_g_s_x/Eu_g_ønsket_fejlmargin)^2,0)</f>
        <v>72</v>
      </c>
    </row>
    <row r="3" spans="1:50" x14ac:dyDescent="0.2">
      <c r="A3" t="s">
        <v>0</v>
      </c>
      <c r="B3" t="s">
        <v>44</v>
      </c>
      <c r="C3" t="s">
        <v>128</v>
      </c>
      <c r="D3" t="s">
        <v>128</v>
      </c>
      <c r="E3" s="29">
        <f>Eu_g_n_x-1</f>
        <v>11</v>
      </c>
      <c r="G3">
        <f>IF(ISNUMBER(Eu_g_g_x),_xlfn.T.INV((1-Eu_g_konfidensniveau)/2,Eu_g_n_x-1),NA())</f>
        <v>-2.2009851600916384</v>
      </c>
      <c r="H3">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2.2009851600916384</v>
      </c>
      <c r="I3">
        <f>Eu_g_g_x+E_g_valg[[#This Row],[Venstre teststørrelse]]*Eu_g_s_x/SQRT(Eu_g_n_x)</f>
        <v>-0.88244772717182807</v>
      </c>
      <c r="J3">
        <f>Eu_g_g_x+E_g_valg[[#This Row],[Midtpunkt teststørrelse]]*Eu_g_s_x/SQRT(Eu_g_n_x)</f>
        <v>1.8540044183209705</v>
      </c>
      <c r="K3">
        <f>Eu_g_g_x+E_g_valg[[#This Row],[Højre teststørrelse]]*Eu_g_s_x/SQRT(Eu_g_n_x)</f>
        <v>4.5904565638137687</v>
      </c>
      <c r="L3">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-0.88200000000000001</v>
      </c>
      <c r="M3">
        <f>IF(E_g_valg[[#This Row],[Parameter]]="andel",ROUND(E_g_valg[[#This Row],[Midtpunkt label base]],5)*100&amp;"%",ROUND(E_g_valg[[#This Row],[Midtpunkt label base]],3))</f>
        <v>1.8540000000000001</v>
      </c>
      <c r="N3">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4.59</v>
      </c>
      <c r="O3" t="b">
        <f>E_g_valg[[#This Row],[Teststørrelse]]=E_g_valg[[#This Row],[Venstre teststørrelse]]</f>
        <v>1</v>
      </c>
      <c r="P3" t="b">
        <f>OR(MATCH(E_g_valg[[#This Row],[Hypotese]],HypoteseRetning_liste,0)=2,MATCH(E_g_valg[[#This Row],[Hypotese]],HypoteseRetning_liste,0)=3)</f>
        <v>0</v>
      </c>
      <c r="Q3" t="e">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#N/A</v>
      </c>
      <c r="R3" t="e">
        <f>E_g_valg[[#This Row],[p-værdi]]&gt;1-Eu_g_konfidensniveau</f>
        <v>#N/A</v>
      </c>
      <c r="S3">
        <f t="shared" si="0"/>
        <v>0.999</v>
      </c>
      <c r="T3">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-4.0247010376307379</v>
      </c>
      <c r="U3">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4.0247010376307379</v>
      </c>
      <c r="V3">
        <f>MIN(E_g_valg[[#This Row],[Teststørrelse]],E_g_valg[[#This Row],[Teststørrelse omvendt]])</f>
        <v>-2.2009851600916384</v>
      </c>
      <c r="W3">
        <f>CHOOSE(MATCH(E_g_valg[[#This Row],[Fordeling]],Fordeling_liste,0),_xlfn.NORM.INV(0.5,E_g_valg[[#This Row],[Parameter 1]],E_g_valg[[#This Row],[Parameter 2]]),_xlfn.T.INV(0.5,E_g_valg[[#This Row],[Parameter 1]]),_xlfn.CHISQ.INV(0.5,E_g_valg[[#This Row],[Parameter 1]]),_xlfn.F.INV(0.5,E_g_valg[[#This Row],[Parameter 1]],E_g_valg[[#This Row],[Parameter 2]]))</f>
        <v>0</v>
      </c>
      <c r="X3">
        <f>MAX(E_g_valg[[#This Row],[Teststørrelse]],E_g_valg[[#This Row],[Teststørrelse omvendt]])</f>
        <v>2.2009851600916384</v>
      </c>
      <c r="Y3">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2.5000000000000046E-2</v>
      </c>
      <c r="Z3">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0.97499999999999998</v>
      </c>
      <c r="AA3">
        <f>E_g_valg[[#This Row],[Mindre end højre %]]-E_g_valg[[#This Row],[Mindre end venstre %]]</f>
        <v>0.95</v>
      </c>
      <c r="AB3">
        <f>1-E_g_valg[[#This Row],[Mindre end venstre %]]</f>
        <v>0.97499999999999998</v>
      </c>
      <c r="AC3">
        <f>1-E_g_valg[[#This Row],[Mindre end højre %]]</f>
        <v>2.5000000000000022E-2</v>
      </c>
      <c r="AD3"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2.5% mindre end -0.882</v>
      </c>
      <c r="AE3" t="str">
        <f>IF(OR(MATCH(E_g_valg[[#This Row],[Hypotese]],HypoteseRetning_liste,0)=1,MATCH(E_g_valg[[#This Row],[Hypotese]],HypoteseRetning_liste,0)=4),ROUND(E_g_valg[[#This Row],[Midt %]],5)*100&amp;"% mellem "&amp;E_g_valg[[#This Row],[Venstre label]]&amp;" og "&amp;E_g_valg[[#This Row],[Højre label]]," ")</f>
        <v>95% mellem -0.882 og 4.59</v>
      </c>
      <c r="AF3"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2.5% større end 4.59</v>
      </c>
      <c r="AG3">
        <f>IF(AND(NOT(E_g_valg[[#This Row],[Orientering]]),E_g_valg[[#This Row],[Ensidet]]),(E_g_valg[[#This Row],[Højre teststørrelse]]-E_g_valg[[#This Row],[X min]])/(E_g_valg[[#This Row],[X max]]-E_g_valg[[#This Row],[X min]]),(E_g_valg[[#This Row],[Venstre teststørrelse]]-E_g_valg[[#This Row],[X min]])/(E_g_valg[[#This Row],[X max]]-E_g_valg[[#This Row],[X min]]))</f>
        <v>0.22656538466925299</v>
      </c>
      <c r="AH3">
        <f>(E_g_valg[[#This Row],[Midtpunkt teststørrelse]]-E_g_valg[[#This Row],[X min]])/(E_g_valg[[#This Row],[X max]]-E_g_valg[[#This Row],[X min]])</f>
        <v>0.5</v>
      </c>
      <c r="AI3">
        <f>IF(AND(E_g_valg[[#This Row],[Orientering]],E_g_valg[[#This Row],[Ensidet]]),(E_g_valg[[#This Row],[Venstre teststørrelse]]-E_g_valg[[#This Row],[X min]])/(E_g_valg[[#This Row],[X max]]-E_g_valg[[#This Row],[X min]]),(E_g_valg[[#This Row],[Højre teststørrelse]]-E_g_valg[[#This Row],[X min]])/(E_g_valg[[#This Row],[X max]]-E_g_valg[[#This Row],[X min]]))</f>
        <v>0.77343461533074709</v>
      </c>
      <c r="AJ3" t="s">
        <v>44</v>
      </c>
      <c r="AK3">
        <f>_xlfn.AGGREGATE(3,5,E_g_valg[[#This Row],[Parameter]])</f>
        <v>1</v>
      </c>
      <c r="AL3">
        <v>1</v>
      </c>
      <c r="AM3">
        <v>2</v>
      </c>
      <c r="AN3" t="str">
        <f>IF(E_g_valg[[#This Row],[Kontrol af forudsætning 1]],Eu_g_konfidensniveau*100&amp;"% Konfidensinterval for gennemsnit
af "&amp;Eu_g_t_x,"Kan ikke beregne konfidensinterval for gennemsnit")</f>
        <v>95% Konfidensinterval for gennemsnit
af Eksempel 1 (interval)</v>
      </c>
      <c r="AO3" t="str">
        <f>"Gennemsnit i stikprøver af størrelsen n = "&amp;Eu_g_n_x&amp;"
fra en population med gennemsnit = "&amp;IFERROR(ROUND(Eu_g_g_x,3),"Kan ikke beregnes")&amp;"
 og standardafvigelse = "&amp;IFERROR(ROUND(Eu_g_s_x,3),"Kan ikke beregnes")</f>
        <v>Gennemsnit i stikprøver af størrelsen n = 12
fra en population med gennemsnit = 1.854
 og standardafvigelse = 4.307</v>
      </c>
      <c r="AP3" t="s">
        <v>15</v>
      </c>
      <c r="AQ3" t="b">
        <f t="shared" si="1"/>
        <v>1</v>
      </c>
      <c r="AT3" t="s">
        <v>164</v>
      </c>
      <c r="AU3" t="b">
        <f>Eu_g_n_x&lt;30</f>
        <v>1</v>
      </c>
      <c r="AV3" t="s">
        <v>155</v>
      </c>
      <c r="AW3" t="s">
        <v>185</v>
      </c>
      <c r="AX3">
        <f>ROUNDUP((_xlfn.T.INV((1-Eu_g_konfidensniveau)/2,Eu_g_n_x-1)*Eu_g_s_x/Eu_g_ønsket_fejlmargin)^2,0)</f>
        <v>90</v>
      </c>
    </row>
    <row r="4" spans="1:50" x14ac:dyDescent="0.2">
      <c r="A4" t="s">
        <v>0</v>
      </c>
      <c r="B4" t="s">
        <v>44</v>
      </c>
      <c r="C4" t="s">
        <v>129</v>
      </c>
      <c r="D4" t="s">
        <v>126</v>
      </c>
      <c r="E4" s="29">
        <v>0</v>
      </c>
      <c r="F4">
        <v>1</v>
      </c>
      <c r="G4">
        <f>IF(ISNUMBER(Eu_g_g_x),_xlfn.NORM.INV((1-Eu_g_konfidensniveau)/2,0,1),NA())</f>
        <v>-1.9599639845400536</v>
      </c>
      <c r="H4">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1.9599639845400536</v>
      </c>
      <c r="I4">
        <f>Eu_g_g_x+E_g_valg[[#This Row],[Venstre teststørrelse]]*Eu_g_s_population_x/SQRT(Eu_g_n_x)</f>
        <v>1.8540044183209705</v>
      </c>
      <c r="J4">
        <f>Eu_g_g_x+E_g_valg[[#This Row],[Midtpunkt teststørrelse]]*Eu_g_s_population_x/SQRT(Eu_g_n_x)</f>
        <v>1.8540044183209705</v>
      </c>
      <c r="K4">
        <f>Eu_g_g_x+E_g_valg[[#This Row],[Højre teststørrelse]]*Eu_g_s_population_x/SQRT(Eu_g_n_x)</f>
        <v>1.8540044183209705</v>
      </c>
      <c r="L4">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4">
        <f>IF(E_g_valg[[#This Row],[Parameter]]="andel",ROUND(E_g_valg[[#This Row],[Midtpunkt label base]],5)*100&amp;"%",ROUND(E_g_valg[[#This Row],[Midtpunkt label base]],3))</f>
        <v>1.8540000000000001</v>
      </c>
      <c r="N4">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4" t="b">
        <f>E_g_valg[[#This Row],[Teststørrelse]]=E_g_valg[[#This Row],[Venstre teststørrelse]]</f>
        <v>1</v>
      </c>
      <c r="P4" t="b">
        <f>OR(MATCH(E_g_valg[[#This Row],[Hypotese]],HypoteseRetning_liste,0)=2,MATCH(E_g_valg[[#This Row],[Hypotese]],HypoteseRetning_liste,0)=3)</f>
        <v>0</v>
      </c>
      <c r="Q4" t="e">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#N/A</v>
      </c>
      <c r="R4" t="e">
        <f>E_g_valg[[#This Row],[p-værdi]]&gt;1-Eu_g_konfidensniveau</f>
        <v>#N/A</v>
      </c>
      <c r="S4">
        <f t="shared" si="0"/>
        <v>0.999</v>
      </c>
      <c r="T4">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4">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4">
        <f>MIN(E_g_valg[[#This Row],[Teststørrelse]],E_g_valg[[#This Row],[Teststørrelse omvendt]])</f>
        <v>-1.9599639845400536</v>
      </c>
      <c r="W4">
        <f>CHOOSE(MATCH(E_g_valg[[#This Row],[Fordeling]],Fordeling_liste,0),_xlfn.NORM.INV(0.5,E_g_valg[[#This Row],[Parameter 1]],E_g_valg[[#This Row],[Parameter 2]]),_xlfn.T.INV(0.5,E_g_valg[[#This Row],[Parameter 1]]),_xlfn.CHISQ.INV(0.5,E_g_valg[[#This Row],[Parameter 1]]),_xlfn.F.INV(0.5,E_g_valg[[#This Row],[Parameter 1]],E_g_valg[[#This Row],[Parameter 2]]))</f>
        <v>0</v>
      </c>
      <c r="X4">
        <f>MAX(E_g_valg[[#This Row],[Teststørrelse]],E_g_valg[[#This Row],[Teststørrelse omvendt]])</f>
        <v>1.9599639845400536</v>
      </c>
      <c r="Y4">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2.500000000000004E-2</v>
      </c>
      <c r="Z4">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0.97499999999999998</v>
      </c>
      <c r="AA4">
        <f>E_g_valg[[#This Row],[Mindre end højre %]]-E_g_valg[[#This Row],[Mindre end venstre %]]</f>
        <v>0.95</v>
      </c>
      <c r="AB4">
        <f>1-E_g_valg[[#This Row],[Mindre end venstre %]]</f>
        <v>0.97499999999999998</v>
      </c>
      <c r="AC4">
        <f>1-E_g_valg[[#This Row],[Mindre end højre %]]</f>
        <v>2.5000000000000022E-2</v>
      </c>
      <c r="AD4"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2.5% mindre end 1.854</v>
      </c>
      <c r="AE4" t="str">
        <f>IF(OR(MATCH(E_g_valg[[#This Row],[Hypotese]],HypoteseRetning_liste,0)=1,MATCH(E_g_valg[[#This Row],[Hypotese]],HypoteseRetning_liste,0)=4),ROUND(E_g_valg[[#This Row],[Midt %]],5)*100&amp;"% mellem "&amp;E_g_valg[[#This Row],[Venstre label]]&amp;" og "&amp;E_g_valg[[#This Row],[Højre label]]," ")</f>
        <v>95% mellem 1.854 og 1.854</v>
      </c>
      <c r="AF4"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2.5% større end 1.854</v>
      </c>
      <c r="AG4">
        <f>IF(AND(NOT(E_g_valg[[#This Row],[Orientering]]),E_g_valg[[#This Row],[Ensidet]]),(E_g_valg[[#This Row],[Højre teststørrelse]]-E_g_valg[[#This Row],[X min]])/(E_g_valg[[#This Row],[X max]]-E_g_valg[[#This Row],[X min]]),(E_g_valg[[#This Row],[Venstre teststørrelse]]-E_g_valg[[#This Row],[X min]])/(E_g_valg[[#This Row],[X max]]-E_g_valg[[#This Row],[X min]]))</f>
        <v>0.18287756544578385</v>
      </c>
      <c r="AH4">
        <f>(E_g_valg[[#This Row],[Midtpunkt teststørrelse]]-E_g_valg[[#This Row],[X min]])/(E_g_valg[[#This Row],[X max]]-E_g_valg[[#This Row],[X min]])</f>
        <v>0.5</v>
      </c>
      <c r="AI4">
        <f>IF(AND(E_g_valg[[#This Row],[Orientering]],E_g_valg[[#This Row],[Ensidet]]),(E_g_valg[[#This Row],[Venstre teststørrelse]]-E_g_valg[[#This Row],[X min]])/(E_g_valg[[#This Row],[X max]]-E_g_valg[[#This Row],[X min]]),(E_g_valg[[#This Row],[Højre teststørrelse]]-E_g_valg[[#This Row],[X min]])/(E_g_valg[[#This Row],[X max]]-E_g_valg[[#This Row],[X min]]))</f>
        <v>0.81712243455421607</v>
      </c>
      <c r="AJ4" t="s">
        <v>44</v>
      </c>
      <c r="AK4">
        <f>_xlfn.AGGREGATE(3,5,E_g_valg[[#This Row],[Parameter]])</f>
        <v>1</v>
      </c>
      <c r="AL4">
        <v>1</v>
      </c>
      <c r="AM4">
        <v>3</v>
      </c>
      <c r="AN4" t="str">
        <f>IF(E_g_valg[[#This Row],[Kontrol af forudsætning 1]],Eu_g_konfidensniveau*100&amp;"% Konfidensinterval for gennemsnit
af "&amp;Eu_g_t_x,"Kan ikke beregne konfidensinterval for gennemsnit med angivet standardafvigelse")</f>
        <v>95% Konfidensinterval for gennemsnit
af Eksempel 1 (interval)</v>
      </c>
      <c r="AO4" t="str">
        <f>"Gennemsnit i stikprøver af størrelsen n = "&amp;Eu_g_n_x&amp;"
fra en population med gennemsnit = "&amp;IFERROR(ROUND(Eu_g_g_x,3),"Kan ikke beregnes")&amp;"
 og standardafvigelse = "&amp;IFERROR(ROUND(Eu_g_s_population_x,3),"Hypotese ikke angivet")</f>
        <v>Gennemsnit i stikprøver af størrelsen n = 12
fra en population med gennemsnit = 1.854
 og standardafvigelse = 0</v>
      </c>
      <c r="AP4" t="s">
        <v>15</v>
      </c>
      <c r="AQ4" t="b">
        <f t="shared" si="1"/>
        <v>1</v>
      </c>
      <c r="AT4" t="s">
        <v>174</v>
      </c>
      <c r="AU4" t="b">
        <f>NOT(ISNA(Eu_g_s_population_x))</f>
        <v>1</v>
      </c>
      <c r="AV4" t="s">
        <v>154</v>
      </c>
      <c r="AW4" t="s">
        <v>185</v>
      </c>
      <c r="AX4">
        <f>ROUNDUP((_xlfn.NORM.INV((1-Eu_g_konfidensniveau)/2,0,1)*Eu_g_s_population_x/Eu_g_ønsket_fejlmargin)^2,0)</f>
        <v>0</v>
      </c>
    </row>
    <row r="5" spans="1:50" x14ac:dyDescent="0.2">
      <c r="A5" t="s">
        <v>0</v>
      </c>
      <c r="B5" t="s">
        <v>130</v>
      </c>
      <c r="C5" t="s">
        <v>126</v>
      </c>
      <c r="D5" t="s">
        <v>126</v>
      </c>
      <c r="E5" s="29">
        <v>0</v>
      </c>
      <c r="F5">
        <v>1</v>
      </c>
      <c r="G5">
        <f>IFERROR((Eu_g_g_x-Eu_g_h0_x)/(Eu_g_s_x/SQRT(Eu_g_n_x)),NA())</f>
        <v>1.4912141687513114</v>
      </c>
      <c r="H5">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-1.4912141687513114</v>
      </c>
      <c r="I5">
        <f>E_g_valg[[#This Row],[Venstre teststørrelse]]*Eu_g_s_x/SQRT(Eu_g_n_x)+Eu_g_h0_x</f>
        <v>-1.8540044183209705</v>
      </c>
      <c r="J5">
        <f>(E_g_valg[[#This Row],[Midtpunkt teststørrelse]]*Eu_g_s_x/SQRT(Eu_g_n_x)+Eu_g_h0_x)</f>
        <v>0</v>
      </c>
      <c r="K5">
        <f>(E_g_valg[[#This Row],[Højre teststørrelse]]*Eu_g_s_x/SQRT(Eu_g_n_x)+Eu_g_h0_x)</f>
        <v>1.8540044183209705</v>
      </c>
      <c r="L5">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5">
        <f>IF(E_g_valg[[#This Row],[Parameter]]="andel",ROUND(E_g_valg[[#This Row],[Midtpunkt label base]],5)*100&amp;"%",ROUND(E_g_valg[[#This Row],[Midtpunkt label base]],3))</f>
        <v>0</v>
      </c>
      <c r="N5">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5" t="b">
        <f>E_g_valg[[#This Row],[Teststørrelse]]=E_g_valg[[#This Row],[Venstre teststørrelse]]</f>
        <v>0</v>
      </c>
      <c r="P5" t="b">
        <f>OR(MATCH(E_g_valg[[#This Row],[Hypotese]],HypoteseRetning_liste,0)=2,MATCH(E_g_valg[[#This Row],[Hypotese]],HypoteseRetning_liste,0)=3)</f>
        <v>1</v>
      </c>
      <c r="Q5">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0.93204736255089604</v>
      </c>
      <c r="R5" t="b">
        <f>E_g_valg[[#This Row],[p-værdi]]&gt;1-Eu_g_konfidensniveau</f>
        <v>1</v>
      </c>
      <c r="S5">
        <f t="shared" si="0"/>
        <v>0.999</v>
      </c>
      <c r="T5">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5">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5">
        <f>MIN(E_g_valg[[#This Row],[Teststørrelse]],E_g_valg[[#This Row],[Teststørrelse omvendt]])</f>
        <v>-1.4912141687513114</v>
      </c>
      <c r="W5">
        <f>CHOOSE(MATCH(E_g_valg[[#This Row],[Fordeling]],Fordeling_liste,0),_xlfn.NORM.INV(0.5,E_g_valg[[#This Row],[Parameter 1]],E_g_valg[[#This Row],[Parameter 2]]),_xlfn.T.INV(0.5,E_g_valg[[#This Row],[Parameter 1]]),_xlfn.CHISQ.INV(0.5,E_g_valg[[#This Row],[Parameter 1]]),_xlfn.F.INV(0.5,E_g_valg[[#This Row],[Parameter 1]],E_g_valg[[#This Row],[Parameter 2]]))</f>
        <v>0</v>
      </c>
      <c r="X5">
        <f>MAX(E_g_valg[[#This Row],[Teststørrelse]],E_g_valg[[#This Row],[Teststørrelse omvendt]])</f>
        <v>1.4912141687513114</v>
      </c>
      <c r="Y5">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6.7952637449104014E-2</v>
      </c>
      <c r="Z5">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0.93204736255089604</v>
      </c>
      <c r="AA5">
        <f>E_g_valg[[#This Row],[Mindre end højre %]]-E_g_valg[[#This Row],[Mindre end venstre %]]</f>
        <v>0.86409472510179208</v>
      </c>
      <c r="AB5">
        <f>1-E_g_valg[[#This Row],[Mindre end venstre %]]</f>
        <v>0.93204736255089604</v>
      </c>
      <c r="AC5">
        <f>1-E_g_valg[[#This Row],[Mindre end højre %]]</f>
        <v>6.7952637449103959E-2</v>
      </c>
      <c r="AD5"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93.205% mindre end 1.854</v>
      </c>
      <c r="AE5" t="str">
        <f>IF(OR(MATCH(E_g_valg[[#This Row],[Hypotese]],HypoteseRetning_liste,0)=1,MATCH(E_g_valg[[#This Row],[Hypotese]],HypoteseRetning_liste,0)=4),ROUND(E_g_valg[[#This Row],[Midt %]],5)*100&amp;"% mellem "&amp;E_g_valg[[#This Row],[Venstre label]]&amp;" og "&amp;E_g_valg[[#This Row],[Højre label]]," ")</f>
        <v xml:space="preserve"> </v>
      </c>
      <c r="AF5"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6.795% større end 1.854</v>
      </c>
      <c r="AG5">
        <f>IF(AND(NOT(E_g_valg[[#This Row],[Orientering]]),E_g_valg[[#This Row],[Ensidet]]),(E_g_valg[[#This Row],[Højre teststørrelse]]-E_g_valg[[#This Row],[X min]])/(E_g_valg[[#This Row],[X max]]-E_g_valg[[#This Row],[X min]]),(E_g_valg[[#This Row],[Venstre teststørrelse]]-E_g_valg[[#This Row],[X min]])/(E_g_valg[[#This Row],[X max]]-E_g_valg[[#This Row],[X min]]))</f>
        <v>0.74127865173355867</v>
      </c>
      <c r="AH5">
        <f>(E_g_valg[[#This Row],[Midtpunkt teststørrelse]]-E_g_valg[[#This Row],[X min]])/(E_g_valg[[#This Row],[X max]]-E_g_valg[[#This Row],[X min]])</f>
        <v>0.5</v>
      </c>
      <c r="AI5">
        <f>IF(AND(E_g_valg[[#This Row],[Orientering]],E_g_valg[[#This Row],[Ensidet]]),(E_g_valg[[#This Row],[Venstre teststørrelse]]-E_g_valg[[#This Row],[X min]])/(E_g_valg[[#This Row],[X max]]-E_g_valg[[#This Row],[X min]]),(E_g_valg[[#This Row],[Højre teststørrelse]]-E_g_valg[[#This Row],[X min]])/(E_g_valg[[#This Row],[X max]]-E_g_valg[[#This Row],[X min]]))</f>
        <v>0.74127865173355867</v>
      </c>
      <c r="AJ5" t="s">
        <v>299</v>
      </c>
      <c r="AK5">
        <f>_xlfn.AGGREGATE(3,5,E_g_valg[[#This Row],[Parameter]])</f>
        <v>1</v>
      </c>
      <c r="AL5">
        <v>1</v>
      </c>
      <c r="AM5">
        <v>4</v>
      </c>
      <c r="AN5" t="str">
        <f>IF(AND(E_g_valg[[#This Row],[Kontrol af forudsætning 1]],E_g_valg[[#This Row],[Kontrol af forudsætning 2]]),"Hypotesetest om gennemsnit
Nulhypotesen om at gennemsnittet af "&amp;Eu_g_t_x&amp;" er større end "&amp;ROUND(Eu_g_h0_x,3)&amp;"
"&amp;IF(E_g_valg[[#This Row],[Nulhypotese kan ikke afvises]],"kan ikke ","")&amp;"afvises med "&amp;Eu_g_konfidensniveau*100&amp;"% konfidens","Kan ikke beregne hypotesetest om gennemsnit")</f>
        <v>Hypotesetest om gennemsnit
Nulhypotesen om at gennemsnittet af Eksempel 1 (interval) er større end 0
kan ikke afvises med 95% konfidens</v>
      </c>
      <c r="AO5" t="str">
        <f>"Gennemsnit i stikprøver af størrelsen n = "&amp;Eu_g_n_x&amp;"
fra en population med gennemsnit = "&amp;IFERROR(ROUND(Eu_g_h0_x,3),"Hypotese ikke angivet")&amp;"
 og standardafvigelse = "&amp;IFERROR(ROUND(Eu_g_s_x,3),"Kan ikke beregnes")</f>
        <v>Gennemsnit i stikprøver af størrelsen n = 12
fra en population med gennemsnit = 0
 og standardafvigelse = 4.307</v>
      </c>
      <c r="AP5" t="s">
        <v>15</v>
      </c>
      <c r="AQ5" t="b">
        <f t="shared" si="1"/>
        <v>1</v>
      </c>
      <c r="AR5" t="s">
        <v>171</v>
      </c>
      <c r="AS5" t="b">
        <f t="shared" ref="AS5:AS13" si="2">NOT(ISNA(Eu_g_h0_x))</f>
        <v>1</v>
      </c>
      <c r="AT5" t="s">
        <v>163</v>
      </c>
      <c r="AU5" t="b">
        <f>Eu_g_n_x&gt;=30</f>
        <v>0</v>
      </c>
      <c r="AV5" t="s">
        <v>155</v>
      </c>
      <c r="AW5" t="s">
        <v>185</v>
      </c>
    </row>
    <row r="6" spans="1:50" x14ac:dyDescent="0.2">
      <c r="A6" t="s">
        <v>0</v>
      </c>
      <c r="B6" t="s">
        <v>130</v>
      </c>
      <c r="C6" t="s">
        <v>128</v>
      </c>
      <c r="D6" t="s">
        <v>128</v>
      </c>
      <c r="E6" s="29">
        <f>Eu_g_n_x-1</f>
        <v>11</v>
      </c>
      <c r="G6">
        <f>IFERROR((Eu_g_g_x-Eu_g_h0_x)/(Eu_g_s_x/SQRT(Eu_g_n_x)),NA())</f>
        <v>1.4912141687513114</v>
      </c>
      <c r="H6">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-1.4912141687513114</v>
      </c>
      <c r="I6">
        <f>(E_g_valg[[#This Row],[Venstre teststørrelse]]*Eu_g_s_x/SQRT(Eu_g_n_x)+Eu_g_h0_x)</f>
        <v>-1.8540044183209705</v>
      </c>
      <c r="J6">
        <f>(E_g_valg[[#This Row],[Midtpunkt teststørrelse]]*Eu_g_s_x/SQRT(Eu_g_n_x)+Eu_g_h0_x)</f>
        <v>0</v>
      </c>
      <c r="K6">
        <f>(E_g_valg[[#This Row],[Højre teststørrelse]]*Eu_g_s_x/SQRT(Eu_g_n_x)+Eu_g_h0_x)</f>
        <v>1.8540044183209705</v>
      </c>
      <c r="L6">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6">
        <f>IF(E_g_valg[[#This Row],[Parameter]]="andel",ROUND(E_g_valg[[#This Row],[Midtpunkt label base]],5)*100&amp;"%",ROUND(E_g_valg[[#This Row],[Midtpunkt label base]],3))</f>
        <v>0</v>
      </c>
      <c r="N6">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6" t="b">
        <f>E_g_valg[[#This Row],[Teststørrelse]]=E_g_valg[[#This Row],[Venstre teststørrelse]]</f>
        <v>0</v>
      </c>
      <c r="P6" t="b">
        <f>OR(MATCH(E_g_valg[[#This Row],[Hypotese]],HypoteseRetning_liste,0)=2,MATCH(E_g_valg[[#This Row],[Hypotese]],HypoteseRetning_liste,0)=3)</f>
        <v>1</v>
      </c>
      <c r="Q6">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0.91799252704365397</v>
      </c>
      <c r="R6" t="b">
        <f>E_g_valg[[#This Row],[p-værdi]]&gt;1-Eu_g_konfidensniveau</f>
        <v>1</v>
      </c>
      <c r="S6">
        <f t="shared" si="0"/>
        <v>0.999</v>
      </c>
      <c r="T6">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-4.0247010376307379</v>
      </c>
      <c r="U6">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4.0247010376307379</v>
      </c>
      <c r="V6">
        <f>MIN(E_g_valg[[#This Row],[Teststørrelse]],E_g_valg[[#This Row],[Teststørrelse omvendt]])</f>
        <v>-1.4912141687513114</v>
      </c>
      <c r="W6">
        <f>CHOOSE(MATCH(E_g_valg[[#This Row],[Fordeling]],Fordeling_liste,0),_xlfn.NORM.INV(0.5,E_g_valg[[#This Row],[Parameter 1]],E_g_valg[[#This Row],[Parameter 2]]),_xlfn.T.INV(0.5,E_g_valg[[#This Row],[Parameter 1]]),_xlfn.CHISQ.INV(0.5,E_g_valg[[#This Row],[Parameter 1]]),_xlfn.F.INV(0.5,E_g_valg[[#This Row],[Parameter 1]],E_g_valg[[#This Row],[Parameter 2]]))</f>
        <v>0</v>
      </c>
      <c r="X6">
        <f>MAX(E_g_valg[[#This Row],[Teststørrelse]],E_g_valg[[#This Row],[Teststørrelse omvendt]])</f>
        <v>1.4912141687513114</v>
      </c>
      <c r="Y6">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8.2007472956346028E-2</v>
      </c>
      <c r="Z6">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0.91799252704365397</v>
      </c>
      <c r="AA6">
        <f>E_g_valg[[#This Row],[Mindre end højre %]]-E_g_valg[[#This Row],[Mindre end venstre %]]</f>
        <v>0.83598505408730794</v>
      </c>
      <c r="AB6">
        <f>1-E_g_valg[[#This Row],[Mindre end venstre %]]</f>
        <v>0.91799252704365397</v>
      </c>
      <c r="AC6">
        <f>1-E_g_valg[[#This Row],[Mindre end højre %]]</f>
        <v>8.2007472956346028E-2</v>
      </c>
      <c r="AD6"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91.799% mindre end 1.854</v>
      </c>
      <c r="AE6" t="str">
        <f>IF(OR(MATCH(E_g_valg[[#This Row],[Hypotese]],HypoteseRetning_liste,0)=1,MATCH(E_g_valg[[#This Row],[Hypotese]],HypoteseRetning_liste,0)=4),ROUND(E_g_valg[[#This Row],[Midt %]],5)*100&amp;"% mellem "&amp;E_g_valg[[#This Row],[Venstre label]]&amp;" og "&amp;E_g_valg[[#This Row],[Højre label]]," ")</f>
        <v xml:space="preserve"> </v>
      </c>
      <c r="AF6"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8.201% større end 1.854</v>
      </c>
      <c r="AG6">
        <f>IF(AND(NOT(E_g_valg[[#This Row],[Orientering]]),E_g_valg[[#This Row],[Ensidet]]),(E_g_valg[[#This Row],[Højre teststørrelse]]-E_g_valg[[#This Row],[X min]])/(E_g_valg[[#This Row],[X max]]-E_g_valg[[#This Row],[X min]]),(E_g_valg[[#This Row],[Venstre teststørrelse]]-E_g_valg[[#This Row],[X min]])/(E_g_valg[[#This Row],[X max]]-E_g_valg[[#This Row],[X min]]))</f>
        <v>0.68525775639091435</v>
      </c>
      <c r="AH6">
        <f>(E_g_valg[[#This Row],[Midtpunkt teststørrelse]]-E_g_valg[[#This Row],[X min]])/(E_g_valg[[#This Row],[X max]]-E_g_valg[[#This Row],[X min]])</f>
        <v>0.5</v>
      </c>
      <c r="AI6">
        <f>IF(AND(E_g_valg[[#This Row],[Orientering]],E_g_valg[[#This Row],[Ensidet]]),(E_g_valg[[#This Row],[Venstre teststørrelse]]-E_g_valg[[#This Row],[X min]])/(E_g_valg[[#This Row],[X max]]-E_g_valg[[#This Row],[X min]]),(E_g_valg[[#This Row],[Højre teststørrelse]]-E_g_valg[[#This Row],[X min]])/(E_g_valg[[#This Row],[X max]]-E_g_valg[[#This Row],[X min]]))</f>
        <v>0.68525775639091435</v>
      </c>
      <c r="AJ6" t="s">
        <v>299</v>
      </c>
      <c r="AK6">
        <f>_xlfn.AGGREGATE(3,5,E_g_valg[[#This Row],[Parameter]])</f>
        <v>1</v>
      </c>
      <c r="AL6">
        <v>1</v>
      </c>
      <c r="AM6">
        <v>5</v>
      </c>
      <c r="AN6" t="str">
        <f>IF(AND(E_g_valg[[#This Row],[Kontrol af forudsætning 1]],E_g_valg[[#This Row],[Kontrol af forudsætning 2]]),"Hypotesetest om gennemsnit
Nulhypotesen om at gennemsnittet af "&amp;Eu_g_t_x&amp;" er større end "&amp;ROUND(Eu_g_h0_x,3)&amp;"
"&amp;IF(E_g_valg[[#This Row],[Nulhypotese kan ikke afvises]],"kan ikke ","")&amp;"afvises med "&amp;Eu_g_konfidensniveau*100&amp;"% konfidens","Kan ikke beregne hypotesetest om gennemsnit")</f>
        <v>Hypotesetest om gennemsnit
Nulhypotesen om at gennemsnittet af Eksempel 1 (interval) er større end 0
kan ikke afvises med 95% konfidens</v>
      </c>
      <c r="AO6" t="str">
        <f>"Gennemsnit i stikprøver af størrelsen n = "&amp;Eu_g_n_x&amp;"
fra en population med gennemsnit = "&amp;IFERROR(ROUND(Eu_g_h0_x,3),"Hypotese ikke angivet")&amp;"
 og standardafvigelse = "&amp;IFERROR(ROUND(Eu_g_s_x,3),"Kan ikke beregnes")</f>
        <v>Gennemsnit i stikprøver af størrelsen n = 12
fra en population med gennemsnit = 0
 og standardafvigelse = 4.307</v>
      </c>
      <c r="AP6" t="s">
        <v>15</v>
      </c>
      <c r="AQ6" t="b">
        <f t="shared" si="1"/>
        <v>1</v>
      </c>
      <c r="AR6" t="s">
        <v>171</v>
      </c>
      <c r="AS6" t="b">
        <f t="shared" si="2"/>
        <v>1</v>
      </c>
      <c r="AT6" t="s">
        <v>164</v>
      </c>
      <c r="AU6" t="b">
        <f>Eu_g_n_x&lt;30</f>
        <v>1</v>
      </c>
      <c r="AV6" t="s">
        <v>155</v>
      </c>
      <c r="AW6" t="s">
        <v>185</v>
      </c>
    </row>
    <row r="7" spans="1:50" x14ac:dyDescent="0.2">
      <c r="A7" t="s">
        <v>0</v>
      </c>
      <c r="B7" t="s">
        <v>130</v>
      </c>
      <c r="C7" t="s">
        <v>129</v>
      </c>
      <c r="D7" t="s">
        <v>126</v>
      </c>
      <c r="E7" s="29">
        <v>0</v>
      </c>
      <c r="F7">
        <v>1</v>
      </c>
      <c r="G7" t="e">
        <f>IFERROR((Eu_g_g_x-Eu_g_h0_x)/(Eu_g_s_population_x/SQRT(Eu_g_n_x)),NA())</f>
        <v>#N/A</v>
      </c>
      <c r="H7" t="e">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#N/A</v>
      </c>
      <c r="I7" t="e">
        <f>(E_g_valg[[#This Row],[Venstre teststørrelse]]*Eu_g_s_population_x/SQRT(Eu_g_n_x)+Eu_g_h0_x)</f>
        <v>#N/A</v>
      </c>
      <c r="J7">
        <f>(E_g_valg[[#This Row],[Midtpunkt teststørrelse]]*Eu_g_s_population_x/SQRT(Eu_g_n_x)+Eu_g_h0_x)</f>
        <v>0</v>
      </c>
      <c r="K7" t="e">
        <f>(E_g_valg[[#This Row],[Højre teststørrelse]]*Eu_g_s_population_x/SQRT(Eu_g_n_x)+Eu_g_h0_x)</f>
        <v>#N/A</v>
      </c>
      <c r="L7" t="e">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#N/A</v>
      </c>
      <c r="M7">
        <f>IF(E_g_valg[[#This Row],[Parameter]]="andel",ROUND(E_g_valg[[#This Row],[Midtpunkt label base]],5)*100&amp;"%",ROUND(E_g_valg[[#This Row],[Midtpunkt label base]],3))</f>
        <v>0</v>
      </c>
      <c r="N7" t="e">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#N/A</v>
      </c>
      <c r="O7" t="e">
        <f>E_g_valg[[#This Row],[Teststørrelse]]=E_g_valg[[#This Row],[Venstre teststørrelse]]</f>
        <v>#N/A</v>
      </c>
      <c r="P7" t="b">
        <f>OR(MATCH(E_g_valg[[#This Row],[Hypotese]],HypoteseRetning_liste,0)=2,MATCH(E_g_valg[[#This Row],[Hypotese]],HypoteseRetning_liste,0)=3)</f>
        <v>1</v>
      </c>
      <c r="Q7" t="e">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#N/A</v>
      </c>
      <c r="R7" t="e">
        <f>E_g_valg[[#This Row],[p-værdi]]&gt;1-Eu_g_konfidensniveau</f>
        <v>#N/A</v>
      </c>
      <c r="S7">
        <f t="shared" si="0"/>
        <v>0.999</v>
      </c>
      <c r="T7">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7">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7" t="e">
        <f>MIN(E_g_valg[[#This Row],[Teststørrelse]],E_g_valg[[#This Row],[Teststørrelse omvendt]])</f>
        <v>#N/A</v>
      </c>
      <c r="W7">
        <f>CHOOSE(MATCH(E_g_valg[[#This Row],[Fordeling]],Fordeling_liste,0),_xlfn.NORM.INV(0.5,E_g_valg[[#This Row],[Parameter 1]],E_g_valg[[#This Row],[Parameter 2]]),_xlfn.T.INV(0.5,E_g_valg[[#This Row],[Parameter 1]]),_xlfn.CHISQ.INV(0.5,E_g_valg[[#This Row],[Parameter 1]]),_xlfn.F.INV(0.5,E_g_valg[[#This Row],[Parameter 1]],E_g_valg[[#This Row],[Parameter 2]]))</f>
        <v>0</v>
      </c>
      <c r="X7" t="e">
        <f>MAX(E_g_valg[[#This Row],[Teststørrelse]],E_g_valg[[#This Row],[Teststørrelse omvendt]])</f>
        <v>#N/A</v>
      </c>
      <c r="Y7" t="e">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#N/A</v>
      </c>
      <c r="Z7" t="e">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#N/A</v>
      </c>
      <c r="AA7" t="e">
        <f>E_g_valg[[#This Row],[Mindre end højre %]]-E_g_valg[[#This Row],[Mindre end venstre %]]</f>
        <v>#N/A</v>
      </c>
      <c r="AB7" t="e">
        <f>1-E_g_valg[[#This Row],[Mindre end venstre %]]</f>
        <v>#N/A</v>
      </c>
      <c r="AC7" t="e">
        <f>1-E_g_valg[[#This Row],[Mindre end højre %]]</f>
        <v>#N/A</v>
      </c>
      <c r="AD7" t="e">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#N/A</v>
      </c>
      <c r="AE7" t="str">
        <f>IF(OR(MATCH(E_g_valg[[#This Row],[Hypotese]],HypoteseRetning_liste,0)=1,MATCH(E_g_valg[[#This Row],[Hypotese]],HypoteseRetning_liste,0)=4),ROUND(E_g_valg[[#This Row],[Midt %]],5)*100&amp;"% mellem "&amp;E_g_valg[[#This Row],[Venstre label]]&amp;" og "&amp;E_g_valg[[#This Row],[Højre label]]," ")</f>
        <v xml:space="preserve"> </v>
      </c>
      <c r="AF7" t="e">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#N/A</v>
      </c>
      <c r="AG7" t="e">
        <f>IF(AND(NOT(E_g_valg[[#This Row],[Orientering]]),E_g_valg[[#This Row],[Ensidet]]),(E_g_valg[[#This Row],[Højre teststørrelse]]-E_g_valg[[#This Row],[X min]])/(E_g_valg[[#This Row],[X max]]-E_g_valg[[#This Row],[X min]]),(E_g_valg[[#This Row],[Venstre teststørrelse]]-E_g_valg[[#This Row],[X min]])/(E_g_valg[[#This Row],[X max]]-E_g_valg[[#This Row],[X min]]))</f>
        <v>#N/A</v>
      </c>
      <c r="AH7">
        <f>(E_g_valg[[#This Row],[Midtpunkt teststørrelse]]-E_g_valg[[#This Row],[X min]])/(E_g_valg[[#This Row],[X max]]-E_g_valg[[#This Row],[X min]])</f>
        <v>0.5</v>
      </c>
      <c r="AI7" t="e">
        <f>IF(AND(E_g_valg[[#This Row],[Orientering]],E_g_valg[[#This Row],[Ensidet]]),(E_g_valg[[#This Row],[Venstre teststørrelse]]-E_g_valg[[#This Row],[X min]])/(E_g_valg[[#This Row],[X max]]-E_g_valg[[#This Row],[X min]]),(E_g_valg[[#This Row],[Højre teststørrelse]]-E_g_valg[[#This Row],[X min]])/(E_g_valg[[#This Row],[X max]]-E_g_valg[[#This Row],[X min]]))</f>
        <v>#N/A</v>
      </c>
      <c r="AJ7" t="s">
        <v>299</v>
      </c>
      <c r="AK7">
        <f>_xlfn.AGGREGATE(3,5,E_g_valg[[#This Row],[Parameter]])</f>
        <v>1</v>
      </c>
      <c r="AL7">
        <v>1</v>
      </c>
      <c r="AM7">
        <v>6</v>
      </c>
      <c r="AN7" t="e">
        <f>IF(AND(E_g_valg[[#This Row],[Kontrol af forudsætning 1]],E_g_valg[[#This Row],[Kontrol af forudsætning 2]],E_g_valg[[#This Row],[Kontrol af forudsætning 3]]),"Hypotesetest om gennemsnit
Nulhypotesen om at gennemsnittet af "&amp;Eu_g_t_x&amp;" er større end "&amp;ROUND(Eu_g_h0_x,3)&amp;"
"&amp;IF(E_g_valg[[#This Row],[Nulhypotese kan ikke afvises]],"kan ikke ","")&amp;"afvises med "&amp;Eu_g_konfidensniveau*100&amp;"% konfidens","Kan ikke beregne hypotesetest om gennemsnit med angivet standardafvigelse")</f>
        <v>#N/A</v>
      </c>
      <c r="AO7" t="str">
        <f>"Gennemsnit i stikprøver af størrelsen n = "&amp;Eu_g_n_x&amp;"
fra en population med gennemsnit = "&amp;IFERROR(ROUND(Eu_g_h0_x,3),"Hypotese ikke angivet")&amp;"
 og standardafvigelse = "&amp;IFERROR(ROUND(Eu_g_s_population_x,3),"Hypotese ikke angivet")</f>
        <v>Gennemsnit i stikprøver af størrelsen n = 12
fra en population med gennemsnit = 0
 og standardafvigelse = 0</v>
      </c>
      <c r="AP7" t="s">
        <v>15</v>
      </c>
      <c r="AQ7" t="b">
        <f t="shared" si="1"/>
        <v>1</v>
      </c>
      <c r="AR7" t="s">
        <v>171</v>
      </c>
      <c r="AS7" t="b">
        <f t="shared" si="2"/>
        <v>1</v>
      </c>
      <c r="AT7" t="s">
        <v>174</v>
      </c>
      <c r="AU7" t="b">
        <f>NOT(ISNA(Eu_g_s_population_x))</f>
        <v>1</v>
      </c>
      <c r="AV7" t="s">
        <v>154</v>
      </c>
      <c r="AW7" t="s">
        <v>185</v>
      </c>
    </row>
    <row r="8" spans="1:50" x14ac:dyDescent="0.2">
      <c r="A8" t="s">
        <v>0</v>
      </c>
      <c r="B8" t="s">
        <v>131</v>
      </c>
      <c r="C8" t="s">
        <v>126</v>
      </c>
      <c r="D8" t="s">
        <v>126</v>
      </c>
      <c r="E8" s="29">
        <v>0</v>
      </c>
      <c r="F8">
        <v>1</v>
      </c>
      <c r="G8">
        <f>IFERROR((Eu_g_g_x-Eu_g_h0_x)/(Eu_g_s_x/SQRT(Eu_g_n_x)),NA())</f>
        <v>1.4912141687513114</v>
      </c>
      <c r="H8">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-1.4912141687513114</v>
      </c>
      <c r="I8">
        <f>(E_g_valg[[#This Row],[Venstre teststørrelse]]*Eu_g_s_x/SQRT(Eu_g_n_x)+Eu_g_h0_x)</f>
        <v>-1.8540044183209705</v>
      </c>
      <c r="J8">
        <f>(E_g_valg[[#This Row],[Midtpunkt teststørrelse]]*Eu_g_s_x/SQRT(Eu_g_n_x)+Eu_g_h0_x)</f>
        <v>0</v>
      </c>
      <c r="K8">
        <f>(E_g_valg[[#This Row],[Højre teststørrelse]]*Eu_g_s_x/SQRT(Eu_g_n_x)+Eu_g_h0_x)</f>
        <v>1.8540044183209705</v>
      </c>
      <c r="L8">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8">
        <f>IF(E_g_valg[[#This Row],[Parameter]]="andel",ROUND(E_g_valg[[#This Row],[Midtpunkt label base]],5)*100&amp;"%",ROUND(E_g_valg[[#This Row],[Midtpunkt label base]],3))</f>
        <v>0</v>
      </c>
      <c r="N8">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8" t="b">
        <f>E_g_valg[[#This Row],[Teststørrelse]]=E_g_valg[[#This Row],[Venstre teststørrelse]]</f>
        <v>0</v>
      </c>
      <c r="P8" t="b">
        <f>OR(MATCH(E_g_valg[[#This Row],[Hypotese]],HypoteseRetning_liste,0)=2,MATCH(E_g_valg[[#This Row],[Hypotese]],HypoteseRetning_liste,0)=3)</f>
        <v>1</v>
      </c>
      <c r="Q8">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6.7952637449103959E-2</v>
      </c>
      <c r="R8" t="b">
        <f>E_g_valg[[#This Row],[p-værdi]]&gt;1-Eu_g_konfidensniveau</f>
        <v>1</v>
      </c>
      <c r="S8">
        <f t="shared" si="0"/>
        <v>0.999</v>
      </c>
      <c r="T8">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8">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8">
        <f>MIN(E_g_valg[[#This Row],[Teststørrelse]],E_g_valg[[#This Row],[Teststørrelse omvendt]])</f>
        <v>-1.4912141687513114</v>
      </c>
      <c r="W8">
        <f>CHOOSE(MATCH(E_g_valg[[#This Row],[Fordeling]],Fordeling_liste,0),_xlfn.NORM.INV(0.5,E_g_valg[[#This Row],[Parameter 1]],E_g_valg[[#This Row],[Parameter 2]]),_xlfn.T.INV(0.5,E_g_valg[[#This Row],[Parameter 1]]),_xlfn.CHISQ.INV(0.5,E_g_valg[[#This Row],[Parameter 1]]),_xlfn.F.INV(0.5,E_g_valg[[#This Row],[Parameter 1]],E_g_valg[[#This Row],[Parameter 2]]))</f>
        <v>0</v>
      </c>
      <c r="X8">
        <f>MAX(E_g_valg[[#This Row],[Teststørrelse]],E_g_valg[[#This Row],[Teststørrelse omvendt]])</f>
        <v>1.4912141687513114</v>
      </c>
      <c r="Y8">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6.7952637449104014E-2</v>
      </c>
      <c r="Z8">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0.93204736255089604</v>
      </c>
      <c r="AA8">
        <f>E_g_valg[[#This Row],[Mindre end højre %]]-E_g_valg[[#This Row],[Mindre end venstre %]]</f>
        <v>0.86409472510179208</v>
      </c>
      <c r="AB8">
        <f>1-E_g_valg[[#This Row],[Mindre end venstre %]]</f>
        <v>0.93204736255089604</v>
      </c>
      <c r="AC8">
        <f>1-E_g_valg[[#This Row],[Mindre end højre %]]</f>
        <v>6.7952637449103959E-2</v>
      </c>
      <c r="AD8"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93.205% mindre end 1.854</v>
      </c>
      <c r="AE8" t="str">
        <f>IF(OR(MATCH(E_g_valg[[#This Row],[Hypotese]],HypoteseRetning_liste,0)=1,MATCH(E_g_valg[[#This Row],[Hypotese]],HypoteseRetning_liste,0)=4),ROUND(E_g_valg[[#This Row],[Midt %]],5)*100&amp;"% mellem "&amp;E_g_valg[[#This Row],[Venstre label]]&amp;" og "&amp;E_g_valg[[#This Row],[Højre label]]," ")</f>
        <v xml:space="preserve"> </v>
      </c>
      <c r="AF8"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6.795% større end 1.854</v>
      </c>
      <c r="AG8">
        <f>IF(AND(NOT(E_g_valg[[#This Row],[Orientering]]),E_g_valg[[#This Row],[Ensidet]]),(E_g_valg[[#This Row],[Højre teststørrelse]]-E_g_valg[[#This Row],[X min]])/(E_g_valg[[#This Row],[X max]]-E_g_valg[[#This Row],[X min]]),(E_g_valg[[#This Row],[Venstre teststørrelse]]-E_g_valg[[#This Row],[X min]])/(E_g_valg[[#This Row],[X max]]-E_g_valg[[#This Row],[X min]]))</f>
        <v>0.74127865173355867</v>
      </c>
      <c r="AH8">
        <f>(E_g_valg[[#This Row],[Midtpunkt teststørrelse]]-E_g_valg[[#This Row],[X min]])/(E_g_valg[[#This Row],[X max]]-E_g_valg[[#This Row],[X min]])</f>
        <v>0.5</v>
      </c>
      <c r="AI8">
        <f>IF(AND(E_g_valg[[#This Row],[Orientering]],E_g_valg[[#This Row],[Ensidet]]),(E_g_valg[[#This Row],[Venstre teststørrelse]]-E_g_valg[[#This Row],[X min]])/(E_g_valg[[#This Row],[X max]]-E_g_valg[[#This Row],[X min]]),(E_g_valg[[#This Row],[Højre teststørrelse]]-E_g_valg[[#This Row],[X min]])/(E_g_valg[[#This Row],[X max]]-E_g_valg[[#This Row],[X min]]))</f>
        <v>0.74127865173355867</v>
      </c>
      <c r="AJ8" t="s">
        <v>300</v>
      </c>
      <c r="AK8">
        <f>_xlfn.AGGREGATE(3,5,E_g_valg[[#This Row],[Parameter]])</f>
        <v>1</v>
      </c>
      <c r="AL8">
        <v>1</v>
      </c>
      <c r="AM8">
        <v>7</v>
      </c>
      <c r="AN8" t="str">
        <f>IF(AND(E_g_valg[[#This Row],[Kontrol af forudsætning 1]],E_g_valg[[#This Row],[Kontrol af forudsætning 2]]),"Hypotesetest om gennemsnit
Nulhypotesen om at gennemsnittet af "&amp;Eu_g_t_x&amp;" er mindre end "&amp;ROUND(Eu_g_h0_x,3)&amp;"
"&amp;IF(E_g_valg[[#This Row],[Nulhypotese kan ikke afvises]],"kan ikke ","")&amp;"afvises med "&amp;Eu_g_konfidensniveau*100&amp;"% konfidens","Kan ikke beregne hypotesetest om gennemsnit")</f>
        <v>Hypotesetest om gennemsnit
Nulhypotesen om at gennemsnittet af Eksempel 1 (interval) er mindre end 0
kan ikke afvises med 95% konfidens</v>
      </c>
      <c r="AO8" t="str">
        <f>"Gennemsnit i stikprøver af størrelsen n = "&amp;Eu_g_n_x&amp;"
fra en population med gennemsnit = "&amp;IFERROR(ROUND(Eu_g_h0_x,3),"Hypotese ikke angivet")&amp;"
 og standardafvigelse = "&amp;IFERROR(ROUND(Eu_g_s_x,3),"Kan ikke beregnes")</f>
        <v>Gennemsnit i stikprøver af størrelsen n = 12
fra en population med gennemsnit = 0
 og standardafvigelse = 4.307</v>
      </c>
      <c r="AP8" t="s">
        <v>15</v>
      </c>
      <c r="AQ8" t="b">
        <f t="shared" si="1"/>
        <v>1</v>
      </c>
      <c r="AR8" t="s">
        <v>171</v>
      </c>
      <c r="AS8" t="b">
        <f t="shared" si="2"/>
        <v>1</v>
      </c>
      <c r="AT8" t="s">
        <v>163</v>
      </c>
      <c r="AU8" t="b">
        <f>Eu_g_n_x&gt;=30</f>
        <v>0</v>
      </c>
      <c r="AV8" t="s">
        <v>155</v>
      </c>
      <c r="AW8" t="s">
        <v>185</v>
      </c>
    </row>
    <row r="9" spans="1:50" x14ac:dyDescent="0.2">
      <c r="A9" t="s">
        <v>0</v>
      </c>
      <c r="B9" t="s">
        <v>131</v>
      </c>
      <c r="C9" t="s">
        <v>128</v>
      </c>
      <c r="D9" t="s">
        <v>128</v>
      </c>
      <c r="E9" s="29">
        <f>Eu_g_n_x-1</f>
        <v>11</v>
      </c>
      <c r="G9">
        <f>IFERROR((Eu_g_g_x-Eu_g_h0_x)/(Eu_g_s_x/SQRT(Eu_g_n_x)),NA())</f>
        <v>1.4912141687513114</v>
      </c>
      <c r="H9">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-1.4912141687513114</v>
      </c>
      <c r="I9">
        <f>(E_g_valg[[#This Row],[Venstre teststørrelse]]*Eu_g_s_x/SQRT(Eu_g_n_x)+Eu_g_h0_x)</f>
        <v>-1.8540044183209705</v>
      </c>
      <c r="J9">
        <f>(E_g_valg[[#This Row],[Midtpunkt teststørrelse]]*Eu_g_s_x/SQRT(Eu_g_n_x)+Eu_g_h0_x)</f>
        <v>0</v>
      </c>
      <c r="K9">
        <f>(E_g_valg[[#This Row],[Højre teststørrelse]]*Eu_g_s_x/SQRT(Eu_g_n_x)+Eu_g_h0_x)</f>
        <v>1.8540044183209705</v>
      </c>
      <c r="L9">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9">
        <f>IF(E_g_valg[[#This Row],[Parameter]]="andel",ROUND(E_g_valg[[#This Row],[Midtpunkt label base]],5)*100&amp;"%",ROUND(E_g_valg[[#This Row],[Midtpunkt label base]],3))</f>
        <v>0</v>
      </c>
      <c r="N9">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9" t="b">
        <f>E_g_valg[[#This Row],[Teststørrelse]]=E_g_valg[[#This Row],[Venstre teststørrelse]]</f>
        <v>0</v>
      </c>
      <c r="P9" t="b">
        <f>OR(MATCH(E_g_valg[[#This Row],[Hypotese]],HypoteseRetning_liste,0)=2,MATCH(E_g_valg[[#This Row],[Hypotese]],HypoteseRetning_liste,0)=3)</f>
        <v>1</v>
      </c>
      <c r="Q9">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8.2007472956346028E-2</v>
      </c>
      <c r="R9" t="b">
        <f>E_g_valg[[#This Row],[p-værdi]]&gt;1-Eu_g_konfidensniveau</f>
        <v>1</v>
      </c>
      <c r="S9">
        <f t="shared" si="0"/>
        <v>0.999</v>
      </c>
      <c r="T9">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-4.0247010376307379</v>
      </c>
      <c r="U9">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4.0247010376307379</v>
      </c>
      <c r="V9">
        <f>MIN(E_g_valg[[#This Row],[Teststørrelse]],E_g_valg[[#This Row],[Teststørrelse omvendt]])</f>
        <v>-1.4912141687513114</v>
      </c>
      <c r="W9">
        <f>CHOOSE(MATCH(E_g_valg[[#This Row],[Fordeling]],Fordeling_liste,0),_xlfn.NORM.INV(0.5,E_g_valg[[#This Row],[Parameter 1]],E_g_valg[[#This Row],[Parameter 2]]),_xlfn.T.INV(0.5,E_g_valg[[#This Row],[Parameter 1]]),_xlfn.CHISQ.INV(0.5,E_g_valg[[#This Row],[Parameter 1]]),_xlfn.F.INV(0.5,E_g_valg[[#This Row],[Parameter 1]],E_g_valg[[#This Row],[Parameter 2]]))</f>
        <v>0</v>
      </c>
      <c r="X9">
        <f>MAX(E_g_valg[[#This Row],[Teststørrelse]],E_g_valg[[#This Row],[Teststørrelse omvendt]])</f>
        <v>1.4912141687513114</v>
      </c>
      <c r="Y9">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8.2007472956346028E-2</v>
      </c>
      <c r="Z9">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0.91799252704365397</v>
      </c>
      <c r="AA9">
        <f>E_g_valg[[#This Row],[Mindre end højre %]]-E_g_valg[[#This Row],[Mindre end venstre %]]</f>
        <v>0.83598505408730794</v>
      </c>
      <c r="AB9">
        <f>1-E_g_valg[[#This Row],[Mindre end venstre %]]</f>
        <v>0.91799252704365397</v>
      </c>
      <c r="AC9">
        <f>1-E_g_valg[[#This Row],[Mindre end højre %]]</f>
        <v>8.2007472956346028E-2</v>
      </c>
      <c r="AD9"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91.799% mindre end 1.854</v>
      </c>
      <c r="AE9" t="str">
        <f>IF(OR(MATCH(E_g_valg[[#This Row],[Hypotese]],HypoteseRetning_liste,0)=1,MATCH(E_g_valg[[#This Row],[Hypotese]],HypoteseRetning_liste,0)=4),ROUND(E_g_valg[[#This Row],[Midt %]],5)*100&amp;"% mellem "&amp;E_g_valg[[#This Row],[Venstre label]]&amp;" og "&amp;E_g_valg[[#This Row],[Højre label]]," ")</f>
        <v xml:space="preserve"> </v>
      </c>
      <c r="AF9"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8.201% større end 1.854</v>
      </c>
      <c r="AG9">
        <f>IF(AND(NOT(E_g_valg[[#This Row],[Orientering]]),E_g_valg[[#This Row],[Ensidet]]),(E_g_valg[[#This Row],[Højre teststørrelse]]-E_g_valg[[#This Row],[X min]])/(E_g_valg[[#This Row],[X max]]-E_g_valg[[#This Row],[X min]]),(E_g_valg[[#This Row],[Venstre teststørrelse]]-E_g_valg[[#This Row],[X min]])/(E_g_valg[[#This Row],[X max]]-E_g_valg[[#This Row],[X min]]))</f>
        <v>0.68525775639091435</v>
      </c>
      <c r="AH9">
        <f>(E_g_valg[[#This Row],[Midtpunkt teststørrelse]]-E_g_valg[[#This Row],[X min]])/(E_g_valg[[#This Row],[X max]]-E_g_valg[[#This Row],[X min]])</f>
        <v>0.5</v>
      </c>
      <c r="AI9">
        <f>IF(AND(E_g_valg[[#This Row],[Orientering]],E_g_valg[[#This Row],[Ensidet]]),(E_g_valg[[#This Row],[Venstre teststørrelse]]-E_g_valg[[#This Row],[X min]])/(E_g_valg[[#This Row],[X max]]-E_g_valg[[#This Row],[X min]]),(E_g_valg[[#This Row],[Højre teststørrelse]]-E_g_valg[[#This Row],[X min]])/(E_g_valg[[#This Row],[X max]]-E_g_valg[[#This Row],[X min]]))</f>
        <v>0.68525775639091435</v>
      </c>
      <c r="AJ9" t="s">
        <v>300</v>
      </c>
      <c r="AK9">
        <f>_xlfn.AGGREGATE(3,5,E_g_valg[[#This Row],[Parameter]])</f>
        <v>1</v>
      </c>
      <c r="AL9">
        <v>1</v>
      </c>
      <c r="AM9">
        <v>8</v>
      </c>
      <c r="AN9" t="str">
        <f>IF(AND(E_g_valg[[#This Row],[Kontrol af forudsætning 1]],E_g_valg[[#This Row],[Kontrol af forudsætning 2]]),"Hypotesetest om gennemsnit
Nulhypotesen om at gennemsnittet af "&amp;Eu_g_t_x&amp;" er mindre end "&amp;ROUND(Eu_g_h0_x,3)&amp;"
"&amp;IF(E_g_valg[[#This Row],[Nulhypotese kan ikke afvises]],"kan ikke ","")&amp;"afvises med "&amp;Eu_g_konfidensniveau*100&amp;"% konfidens","Kan ikke beregne hypotesetest om gennemsnit")</f>
        <v>Hypotesetest om gennemsnit
Nulhypotesen om at gennemsnittet af Eksempel 1 (interval) er mindre end 0
kan ikke afvises med 95% konfidens</v>
      </c>
      <c r="AO9" t="str">
        <f>"Gennemsnit i stikprøver af størrelsen n = "&amp;Eu_g_n_x&amp;"
fra en population med gennemsnit = "&amp;IFERROR(ROUND(Eu_g_h0_x,3),"Hypotese ikke angivet")&amp;"
 og standardafvigelse = "&amp;IFERROR(ROUND(Eu_g_s_x,3),"Kan ikke beregnes")</f>
        <v>Gennemsnit i stikprøver af størrelsen n = 12
fra en population med gennemsnit = 0
 og standardafvigelse = 4.307</v>
      </c>
      <c r="AP9" t="s">
        <v>15</v>
      </c>
      <c r="AQ9" t="b">
        <f t="shared" si="1"/>
        <v>1</v>
      </c>
      <c r="AR9" t="s">
        <v>171</v>
      </c>
      <c r="AS9" t="b">
        <f t="shared" si="2"/>
        <v>1</v>
      </c>
      <c r="AT9" t="s">
        <v>164</v>
      </c>
      <c r="AU9" t="b">
        <f>Eu_g_n_x&lt;30</f>
        <v>1</v>
      </c>
      <c r="AV9" t="s">
        <v>155</v>
      </c>
      <c r="AW9" t="s">
        <v>185</v>
      </c>
    </row>
    <row r="10" spans="1:50" x14ac:dyDescent="0.2">
      <c r="A10" t="s">
        <v>0</v>
      </c>
      <c r="B10" t="s">
        <v>131</v>
      </c>
      <c r="C10" t="s">
        <v>129</v>
      </c>
      <c r="D10" t="s">
        <v>126</v>
      </c>
      <c r="E10" s="29">
        <v>0</v>
      </c>
      <c r="F10">
        <v>1</v>
      </c>
      <c r="G10" t="e">
        <f>IFERROR((Eu_g_g_x-Eu_g_h0_x)/(Eu_g_s_population_x/SQRT(Eu_g_n_x)),NA())</f>
        <v>#N/A</v>
      </c>
      <c r="H10" t="e">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#N/A</v>
      </c>
      <c r="I10" t="e">
        <f>(E_g_valg[[#This Row],[Venstre teststørrelse]]*Eu_g_s_population_x/SQRT(Eu_g_n_x)+Eu_g_h0_x)</f>
        <v>#N/A</v>
      </c>
      <c r="J10">
        <f>(E_g_valg[[#This Row],[Midtpunkt teststørrelse]]*Eu_g_s_population_x/SQRT(Eu_g_n_x)+Eu_g_h0_x)</f>
        <v>0</v>
      </c>
      <c r="K10" t="e">
        <f>(E_g_valg[[#This Row],[Højre teststørrelse]]*Eu_g_s_population_x/SQRT(Eu_g_n_x)+Eu_g_h0_x)</f>
        <v>#N/A</v>
      </c>
      <c r="L10" t="e">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#N/A</v>
      </c>
      <c r="M10">
        <f>IF(E_g_valg[[#This Row],[Parameter]]="andel",ROUND(E_g_valg[[#This Row],[Midtpunkt label base]],5)*100&amp;"%",ROUND(E_g_valg[[#This Row],[Midtpunkt label base]],3))</f>
        <v>0</v>
      </c>
      <c r="N10" t="e">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#N/A</v>
      </c>
      <c r="O10" t="e">
        <f>E_g_valg[[#This Row],[Teststørrelse]]=E_g_valg[[#This Row],[Venstre teststørrelse]]</f>
        <v>#N/A</v>
      </c>
      <c r="P10" t="b">
        <f>OR(MATCH(E_g_valg[[#This Row],[Hypotese]],HypoteseRetning_liste,0)=2,MATCH(E_g_valg[[#This Row],[Hypotese]],HypoteseRetning_liste,0)=3)</f>
        <v>1</v>
      </c>
      <c r="Q10" t="e">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#N/A</v>
      </c>
      <c r="R10" t="e">
        <f>E_g_valg[[#This Row],[p-værdi]]&gt;1-Eu_g_konfidensniveau</f>
        <v>#N/A</v>
      </c>
      <c r="S10">
        <f t="shared" si="0"/>
        <v>0.999</v>
      </c>
      <c r="T10">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10">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10" t="e">
        <f>MIN(E_g_valg[[#This Row],[Teststørrelse]],E_g_valg[[#This Row],[Teststørrelse omvendt]])</f>
        <v>#N/A</v>
      </c>
      <c r="W10">
        <f>CHOOSE(MATCH(E_g_valg[[#This Row],[Fordeling]],Fordeling_liste,0),_xlfn.NORM.INV(0.5,E_g_valg[[#This Row],[Parameter 1]],E_g_valg[[#This Row],[Parameter 2]]),_xlfn.T.INV(0.5,E_g_valg[[#This Row],[Parameter 1]]),_xlfn.CHISQ.INV(0.5,E_g_valg[[#This Row],[Parameter 1]]),_xlfn.F.INV(0.5,E_g_valg[[#This Row],[Parameter 1]],E_g_valg[[#This Row],[Parameter 2]]))</f>
        <v>0</v>
      </c>
      <c r="X10" t="e">
        <f>MAX(E_g_valg[[#This Row],[Teststørrelse]],E_g_valg[[#This Row],[Teststørrelse omvendt]])</f>
        <v>#N/A</v>
      </c>
      <c r="Y10" t="e">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#N/A</v>
      </c>
      <c r="Z10" t="e">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#N/A</v>
      </c>
      <c r="AA10" t="e">
        <f>E_g_valg[[#This Row],[Mindre end højre %]]-E_g_valg[[#This Row],[Mindre end venstre %]]</f>
        <v>#N/A</v>
      </c>
      <c r="AB10" t="e">
        <f>1-E_g_valg[[#This Row],[Mindre end venstre %]]</f>
        <v>#N/A</v>
      </c>
      <c r="AC10" t="e">
        <f>1-E_g_valg[[#This Row],[Mindre end højre %]]</f>
        <v>#N/A</v>
      </c>
      <c r="AD10" t="e">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#N/A</v>
      </c>
      <c r="AE10" t="str">
        <f>IF(OR(MATCH(E_g_valg[[#This Row],[Hypotese]],HypoteseRetning_liste,0)=1,MATCH(E_g_valg[[#This Row],[Hypotese]],HypoteseRetning_liste,0)=4),ROUND(E_g_valg[[#This Row],[Midt %]],5)*100&amp;"% mellem "&amp;E_g_valg[[#This Row],[Venstre label]]&amp;" og "&amp;E_g_valg[[#This Row],[Højre label]]," ")</f>
        <v xml:space="preserve"> </v>
      </c>
      <c r="AF10" t="e">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#N/A</v>
      </c>
      <c r="AG10" t="e">
        <f>IF(AND(NOT(E_g_valg[[#This Row],[Orientering]]),E_g_valg[[#This Row],[Ensidet]]),(E_g_valg[[#This Row],[Højre teststørrelse]]-E_g_valg[[#This Row],[X min]])/(E_g_valg[[#This Row],[X max]]-E_g_valg[[#This Row],[X min]]),(E_g_valg[[#This Row],[Venstre teststørrelse]]-E_g_valg[[#This Row],[X min]])/(E_g_valg[[#This Row],[X max]]-E_g_valg[[#This Row],[X min]]))</f>
        <v>#N/A</v>
      </c>
      <c r="AH10">
        <f>(E_g_valg[[#This Row],[Midtpunkt teststørrelse]]-E_g_valg[[#This Row],[X min]])/(E_g_valg[[#This Row],[X max]]-E_g_valg[[#This Row],[X min]])</f>
        <v>0.5</v>
      </c>
      <c r="AI10" t="e">
        <f>IF(AND(E_g_valg[[#This Row],[Orientering]],E_g_valg[[#This Row],[Ensidet]]),(E_g_valg[[#This Row],[Venstre teststørrelse]]-E_g_valg[[#This Row],[X min]])/(E_g_valg[[#This Row],[X max]]-E_g_valg[[#This Row],[X min]]),(E_g_valg[[#This Row],[Højre teststørrelse]]-E_g_valg[[#This Row],[X min]])/(E_g_valg[[#This Row],[X max]]-E_g_valg[[#This Row],[X min]]))</f>
        <v>#N/A</v>
      </c>
      <c r="AJ10" t="s">
        <v>300</v>
      </c>
      <c r="AK10">
        <f>_xlfn.AGGREGATE(3,5,E_g_valg[[#This Row],[Parameter]])</f>
        <v>1</v>
      </c>
      <c r="AL10">
        <v>1</v>
      </c>
      <c r="AM10">
        <v>9</v>
      </c>
      <c r="AN10" t="e">
        <f>IF(AND(E_g_valg[[#This Row],[Kontrol af forudsætning 1]],E_g_valg[[#This Row],[Kontrol af forudsætning 2]],E_g_valg[[#This Row],[Kontrol af forudsætning 3]]),"Hypotesetest om gennemsnit
Nulhypotesen om at gennemsnittet af "&amp;Eu_g_t_x&amp;" er mindre end "&amp;ROUND(Eu_g_h0_x,3)&amp;"
"&amp;IF(E_g_valg[[#This Row],[Nulhypotese kan ikke afvises]],"kan ikke ","")&amp;"afvises med "&amp;Eu_g_konfidensniveau*100&amp;"% konfidens","Kan ikke beregne hypotesetest om gennemsnit med angivet standardafvigelse")</f>
        <v>#N/A</v>
      </c>
      <c r="AO10" t="str">
        <f>"Gennemsnit i stikprøver af størrelsen n = "&amp;Eu_g_n_x&amp;"
fra en population med gennemsnit = "&amp;IFERROR(ROUND(Eu_g_h0_x,3),"Hypotese ikke angivet")&amp;"
 og standardafvigelse = "&amp;IFERROR(ROUND(Eu_g_s_population_x,3),"Hypotese ikke angivet")</f>
        <v>Gennemsnit i stikprøver af størrelsen n = 12
fra en population med gennemsnit = 0
 og standardafvigelse = 0</v>
      </c>
      <c r="AP10" t="s">
        <v>15</v>
      </c>
      <c r="AQ10" t="b">
        <f t="shared" si="1"/>
        <v>1</v>
      </c>
      <c r="AR10" t="s">
        <v>171</v>
      </c>
      <c r="AS10" t="b">
        <f t="shared" si="2"/>
        <v>1</v>
      </c>
      <c r="AT10" t="s">
        <v>174</v>
      </c>
      <c r="AU10" t="b">
        <f>NOT(ISNA(Eu_g_s_population_x))</f>
        <v>1</v>
      </c>
      <c r="AV10" t="s">
        <v>154</v>
      </c>
      <c r="AW10" t="s">
        <v>185</v>
      </c>
    </row>
    <row r="11" spans="1:50" x14ac:dyDescent="0.2">
      <c r="A11" t="s">
        <v>0</v>
      </c>
      <c r="B11" t="s">
        <v>132</v>
      </c>
      <c r="C11" t="s">
        <v>126</v>
      </c>
      <c r="D11" t="s">
        <v>126</v>
      </c>
      <c r="E11" s="29">
        <v>0</v>
      </c>
      <c r="F11">
        <v>1</v>
      </c>
      <c r="G11">
        <f>IFERROR((Eu_g_g_x-Eu_g_h0_x)/(Eu_g_s_x/SQRT(Eu_g_n_x)),NA())</f>
        <v>1.4912141687513114</v>
      </c>
      <c r="H11">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-1.4912141687513114</v>
      </c>
      <c r="I11">
        <f>(E_g_valg[[#This Row],[Venstre teststørrelse]]*Eu_g_s_x/SQRT(Eu_g_n_x)+Eu_g_h0_x)</f>
        <v>-1.8540044183209705</v>
      </c>
      <c r="J11">
        <f>(E_g_valg[[#This Row],[Midtpunkt teststørrelse]]*Eu_g_s_x/SQRT(Eu_g_n_x)+Eu_g_h0_x)</f>
        <v>0</v>
      </c>
      <c r="K11">
        <f>(E_g_valg[[#This Row],[Højre teststørrelse]]*Eu_g_s_x/SQRT(Eu_g_n_x)+Eu_g_h0_x)</f>
        <v>1.8540044183209705</v>
      </c>
      <c r="L11">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11">
        <f>IF(E_g_valg[[#This Row],[Parameter]]="andel",ROUND(E_g_valg[[#This Row],[Midtpunkt label base]],5)*100&amp;"%",ROUND(E_g_valg[[#This Row],[Midtpunkt label base]],3))</f>
        <v>0</v>
      </c>
      <c r="N11">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11" t="b">
        <f>E_g_valg[[#This Row],[Teststørrelse]]=E_g_valg[[#This Row],[Venstre teststørrelse]]</f>
        <v>0</v>
      </c>
      <c r="P11" t="b">
        <f>OR(MATCH(E_g_valg[[#This Row],[Hypotese]],HypoteseRetning_liste,0)=2,MATCH(E_g_valg[[#This Row],[Hypotese]],HypoteseRetning_liste,0)=3)</f>
        <v>0</v>
      </c>
      <c r="Q11">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0.13590527489820792</v>
      </c>
      <c r="R11" t="b">
        <f>E_g_valg[[#This Row],[p-værdi]]&gt;1-Eu_g_konfidensniveau</f>
        <v>1</v>
      </c>
      <c r="S11">
        <f t="shared" si="0"/>
        <v>0.999</v>
      </c>
      <c r="T11">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11">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11">
        <f>MIN(E_g_valg[[#This Row],[Teststørrelse]],E_g_valg[[#This Row],[Teststørrelse omvendt]])</f>
        <v>-1.4912141687513114</v>
      </c>
      <c r="W11">
        <f>CHOOSE(MATCH(E_g_valg[[#This Row],[Fordeling]],Fordeling_liste,0),_xlfn.NORM.INV(0.5,E_g_valg[[#This Row],[Parameter 1]],E_g_valg[[#This Row],[Parameter 2]]),_xlfn.T.INV(0.5,E_g_valg[[#This Row],[Parameter 1]]),_xlfn.CHISQ.INV(0.5,E_g_valg[[#This Row],[Parameter 1]]),_xlfn.F.INV(0.5,E_g_valg[[#This Row],[Parameter 1]],E_g_valg[[#This Row],[Parameter 2]]))</f>
        <v>0</v>
      </c>
      <c r="X11">
        <f>MAX(E_g_valg[[#This Row],[Teststørrelse]],E_g_valg[[#This Row],[Teststørrelse omvendt]])</f>
        <v>1.4912141687513114</v>
      </c>
      <c r="Y11">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6.7952637449104014E-2</v>
      </c>
      <c r="Z11">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0.93204736255089604</v>
      </c>
      <c r="AA11">
        <f>E_g_valg[[#This Row],[Mindre end højre %]]-E_g_valg[[#This Row],[Mindre end venstre %]]</f>
        <v>0.86409472510179208</v>
      </c>
      <c r="AB11">
        <f>1-E_g_valg[[#This Row],[Mindre end venstre %]]</f>
        <v>0.93204736255089604</v>
      </c>
      <c r="AC11">
        <f>1-E_g_valg[[#This Row],[Mindre end højre %]]</f>
        <v>6.7952637449103959E-2</v>
      </c>
      <c r="AD11"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6.795% mindre end -1.854</v>
      </c>
      <c r="AE11" t="str">
        <f>IF(OR(MATCH(E_g_valg[[#This Row],[Hypotese]],HypoteseRetning_liste,0)=1,MATCH(E_g_valg[[#This Row],[Hypotese]],HypoteseRetning_liste,0)=4),ROUND(E_g_valg[[#This Row],[Midt %]],5)*100&amp;"% mellem "&amp;E_g_valg[[#This Row],[Venstre label]]&amp;" og "&amp;E_g_valg[[#This Row],[Højre label]]," ")</f>
        <v>86.409% mellem -1.854 og 1.854</v>
      </c>
      <c r="AF11"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6.795% større end 1.854</v>
      </c>
      <c r="AG11">
        <f>IF(AND(NOT(E_g_valg[[#This Row],[Orientering]]),E_g_valg[[#This Row],[Ensidet]]),(E_g_valg[[#This Row],[Højre teststørrelse]]-E_g_valg[[#This Row],[X min]])/(E_g_valg[[#This Row],[X max]]-E_g_valg[[#This Row],[X min]]),(E_g_valg[[#This Row],[Venstre teststørrelse]]-E_g_valg[[#This Row],[X min]])/(E_g_valg[[#This Row],[X max]]-E_g_valg[[#This Row],[X min]]))</f>
        <v>0.25872134826644133</v>
      </c>
      <c r="AH11">
        <f>(E_g_valg[[#This Row],[Midtpunkt teststørrelse]]-E_g_valg[[#This Row],[X min]])/(E_g_valg[[#This Row],[X max]]-E_g_valg[[#This Row],[X min]])</f>
        <v>0.5</v>
      </c>
      <c r="AI11">
        <f>IF(AND(E_g_valg[[#This Row],[Orientering]],E_g_valg[[#This Row],[Ensidet]]),(E_g_valg[[#This Row],[Venstre teststørrelse]]-E_g_valg[[#This Row],[X min]])/(E_g_valg[[#This Row],[X max]]-E_g_valg[[#This Row],[X min]]),(E_g_valg[[#This Row],[Højre teststørrelse]]-E_g_valg[[#This Row],[X min]])/(E_g_valg[[#This Row],[X max]]-E_g_valg[[#This Row],[X min]]))</f>
        <v>0.74127865173355867</v>
      </c>
      <c r="AJ11" t="s">
        <v>125</v>
      </c>
      <c r="AK11">
        <f>_xlfn.AGGREGATE(3,5,E_g_valg[[#This Row],[Parameter]])</f>
        <v>1</v>
      </c>
      <c r="AL11">
        <v>1</v>
      </c>
      <c r="AM11">
        <v>10</v>
      </c>
      <c r="AN11" t="str">
        <f>IF(AND(E_g_valg[[#This Row],[Kontrol af forudsætning 1]],E_g_valg[[#This Row],[Kontrol af forudsætning 2]]),"Hypotesetest om gennemsnit
Nulhypotesen om at gennemsnittet af "&amp;Eu_g_t_x&amp;" er lig med "&amp;ROUND(Eu_g_h0_x,3)&amp;"
"&amp;IF(E_g_valg[[#This Row],[Nulhypotese kan ikke afvises]],"kan ikke ","")&amp;"afvises med "&amp;Eu_g_konfidensniveau*100&amp;"% konfidens","Kan ikke beregne hypotesetest om gennemsnit")</f>
        <v>Hypotesetest om gennemsnit
Nulhypotesen om at gennemsnittet af Eksempel 1 (interval) er lig med 0
kan ikke afvises med 95% konfidens</v>
      </c>
      <c r="AO11" t="str">
        <f>"Gennemsnit i stikprøver af størrelsen n = "&amp;Eu_g_n_x&amp;"
fra en population med gennemsnit = "&amp;IFERROR(ROUND(Eu_g_h0_x,3),"Hypotese ikke angivet")&amp;"
 og standardafvigelse = "&amp;IFERROR(ROUND(Eu_g_s_x,3),"Kan ikke beregnes")</f>
        <v>Gennemsnit i stikprøver af størrelsen n = 12
fra en population med gennemsnit = 0
 og standardafvigelse = 4.307</v>
      </c>
      <c r="AP11" t="s">
        <v>15</v>
      </c>
      <c r="AQ11" t="b">
        <f t="shared" si="1"/>
        <v>1</v>
      </c>
      <c r="AR11" t="s">
        <v>171</v>
      </c>
      <c r="AS11" t="b">
        <f t="shared" si="2"/>
        <v>1</v>
      </c>
      <c r="AT11" t="s">
        <v>163</v>
      </c>
      <c r="AU11" t="b">
        <f>Eu_g_n_x&gt;=30</f>
        <v>0</v>
      </c>
      <c r="AV11" t="s">
        <v>155</v>
      </c>
      <c r="AW11" t="s">
        <v>185</v>
      </c>
    </row>
    <row r="12" spans="1:50" x14ac:dyDescent="0.2">
      <c r="A12" t="s">
        <v>0</v>
      </c>
      <c r="B12" t="s">
        <v>132</v>
      </c>
      <c r="C12" t="s">
        <v>128</v>
      </c>
      <c r="D12" t="s">
        <v>128</v>
      </c>
      <c r="E12" s="29">
        <f>Eu_g_n_x-1</f>
        <v>11</v>
      </c>
      <c r="G12">
        <f>IFERROR((Eu_g_g_x-Eu_g_h0_x)/(Eu_g_s_x/SQRT(Eu_g_n_x)),NA())</f>
        <v>1.4912141687513114</v>
      </c>
      <c r="H12">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-1.4912141687513114</v>
      </c>
      <c r="I12">
        <f>(E_g_valg[[#This Row],[Venstre teststørrelse]]*Eu_g_s_x/SQRT(Eu_g_n_x)+Eu_g_h0_x)</f>
        <v>-1.8540044183209705</v>
      </c>
      <c r="J12">
        <f>(E_g_valg[[#This Row],[Midtpunkt teststørrelse]]*Eu_g_s_x/SQRT(Eu_g_n_x)+Eu_g_h0_x)</f>
        <v>0</v>
      </c>
      <c r="K12">
        <f>(E_g_valg[[#This Row],[Højre teststørrelse]]*Eu_g_s_x/SQRT(Eu_g_n_x)+Eu_g_h0_x)</f>
        <v>1.8540044183209705</v>
      </c>
      <c r="L12">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12">
        <f>IF(E_g_valg[[#This Row],[Parameter]]="andel",ROUND(E_g_valg[[#This Row],[Midtpunkt label base]],5)*100&amp;"%",ROUND(E_g_valg[[#This Row],[Midtpunkt label base]],3))</f>
        <v>0</v>
      </c>
      <c r="N12">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12" t="b">
        <f>E_g_valg[[#This Row],[Teststørrelse]]=E_g_valg[[#This Row],[Venstre teststørrelse]]</f>
        <v>0</v>
      </c>
      <c r="P12" t="b">
        <f>OR(MATCH(E_g_valg[[#This Row],[Hypotese]],HypoteseRetning_liste,0)=2,MATCH(E_g_valg[[#This Row],[Hypotese]],HypoteseRetning_liste,0)=3)</f>
        <v>0</v>
      </c>
      <c r="Q12">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0.16401494591269206</v>
      </c>
      <c r="R12" t="b">
        <f>E_g_valg[[#This Row],[p-værdi]]&gt;1-Eu_g_konfidensniveau</f>
        <v>1</v>
      </c>
      <c r="S12">
        <f t="shared" si="0"/>
        <v>0.999</v>
      </c>
      <c r="T12">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-4.0247010376307379</v>
      </c>
      <c r="U12">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4.0247010376307379</v>
      </c>
      <c r="V12">
        <f>MIN(E_g_valg[[#This Row],[Teststørrelse]],E_g_valg[[#This Row],[Teststørrelse omvendt]])</f>
        <v>-1.4912141687513114</v>
      </c>
      <c r="W12">
        <f>CHOOSE(MATCH(E_g_valg[[#This Row],[Fordeling]],Fordeling_liste,0),_xlfn.NORM.INV(0.5,E_g_valg[[#This Row],[Parameter 1]],E_g_valg[[#This Row],[Parameter 2]]),_xlfn.T.INV(0.5,E_g_valg[[#This Row],[Parameter 1]]),_xlfn.CHISQ.INV(0.5,E_g_valg[[#This Row],[Parameter 1]]),_xlfn.F.INV(0.5,E_g_valg[[#This Row],[Parameter 1]],E_g_valg[[#This Row],[Parameter 2]]))</f>
        <v>0</v>
      </c>
      <c r="X12">
        <f>MAX(E_g_valg[[#This Row],[Teststørrelse]],E_g_valg[[#This Row],[Teststørrelse omvendt]])</f>
        <v>1.4912141687513114</v>
      </c>
      <c r="Y12">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8.2007472956346028E-2</v>
      </c>
      <c r="Z12">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0.91799252704365397</v>
      </c>
      <c r="AA12">
        <f>E_g_valg[[#This Row],[Mindre end højre %]]-E_g_valg[[#This Row],[Mindre end venstre %]]</f>
        <v>0.83598505408730794</v>
      </c>
      <c r="AB12">
        <f>1-E_g_valg[[#This Row],[Mindre end venstre %]]</f>
        <v>0.91799252704365397</v>
      </c>
      <c r="AC12">
        <f>1-E_g_valg[[#This Row],[Mindre end højre %]]</f>
        <v>8.2007472956346028E-2</v>
      </c>
      <c r="AD12"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8.201% mindre end -1.854</v>
      </c>
      <c r="AE12" t="str">
        <f>IF(OR(MATCH(E_g_valg[[#This Row],[Hypotese]],HypoteseRetning_liste,0)=1,MATCH(E_g_valg[[#This Row],[Hypotese]],HypoteseRetning_liste,0)=4),ROUND(E_g_valg[[#This Row],[Midt %]],5)*100&amp;"% mellem "&amp;E_g_valg[[#This Row],[Venstre label]]&amp;" og "&amp;E_g_valg[[#This Row],[Højre label]]," ")</f>
        <v>83.599% mellem -1.854 og 1.854</v>
      </c>
      <c r="AF12"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8.201% større end 1.854</v>
      </c>
      <c r="AG12">
        <f>IF(AND(NOT(E_g_valg[[#This Row],[Orientering]]),E_g_valg[[#This Row],[Ensidet]]),(E_g_valg[[#This Row],[Højre teststørrelse]]-E_g_valg[[#This Row],[X min]])/(E_g_valg[[#This Row],[X max]]-E_g_valg[[#This Row],[X min]]),(E_g_valg[[#This Row],[Venstre teststørrelse]]-E_g_valg[[#This Row],[X min]])/(E_g_valg[[#This Row],[X max]]-E_g_valg[[#This Row],[X min]]))</f>
        <v>0.31474224360908559</v>
      </c>
      <c r="AH12">
        <f>(E_g_valg[[#This Row],[Midtpunkt teststørrelse]]-E_g_valg[[#This Row],[X min]])/(E_g_valg[[#This Row],[X max]]-E_g_valg[[#This Row],[X min]])</f>
        <v>0.5</v>
      </c>
      <c r="AI12">
        <f>IF(AND(E_g_valg[[#This Row],[Orientering]],E_g_valg[[#This Row],[Ensidet]]),(E_g_valg[[#This Row],[Venstre teststørrelse]]-E_g_valg[[#This Row],[X min]])/(E_g_valg[[#This Row],[X max]]-E_g_valg[[#This Row],[X min]]),(E_g_valg[[#This Row],[Højre teststørrelse]]-E_g_valg[[#This Row],[X min]])/(E_g_valg[[#This Row],[X max]]-E_g_valg[[#This Row],[X min]]))</f>
        <v>0.68525775639091435</v>
      </c>
      <c r="AJ12" t="s">
        <v>125</v>
      </c>
      <c r="AK12">
        <f>_xlfn.AGGREGATE(3,5,E_g_valg[[#This Row],[Parameter]])</f>
        <v>1</v>
      </c>
      <c r="AL12">
        <v>1</v>
      </c>
      <c r="AM12">
        <v>11</v>
      </c>
      <c r="AN12" t="str">
        <f>IF(AND(E_g_valg[[#This Row],[Kontrol af forudsætning 1]],E_g_valg[[#This Row],[Kontrol af forudsætning 2]]),"Hypotesetest om gennemsnit
Nulhypotesen om at gennemsnittet af "&amp;Eu_g_t_x&amp;" er lig med "&amp;ROUND(Eu_g_h0_x,3)&amp;"
"&amp;IF(E_g_valg[[#This Row],[Nulhypotese kan ikke afvises]],"kan ikke ","")&amp;"afvises med "&amp;Eu_g_konfidensniveau*100&amp;"% konfidens","Kan ikke beregne hypotesetest om gennemsnit")</f>
        <v>Hypotesetest om gennemsnit
Nulhypotesen om at gennemsnittet af Eksempel 1 (interval) er lig med 0
kan ikke afvises med 95% konfidens</v>
      </c>
      <c r="AO12" t="str">
        <f>"Gennemsnit i stikprøver af størrelsen n = "&amp;Eu_g_n_x&amp;"
fra en population med gennemsnit = "&amp;IFERROR(ROUND(Eu_g_h0_x,3),"Hypotese ikke angivet")&amp;"
 og standardafvigelse = "&amp;IFERROR(ROUND(Eu_g_s_x,3),"Kan ikke beregnes")</f>
        <v>Gennemsnit i stikprøver af størrelsen n = 12
fra en population med gennemsnit = 0
 og standardafvigelse = 4.307</v>
      </c>
      <c r="AP12" t="s">
        <v>15</v>
      </c>
      <c r="AQ12" t="b">
        <f t="shared" si="1"/>
        <v>1</v>
      </c>
      <c r="AR12" t="s">
        <v>171</v>
      </c>
      <c r="AS12" t="b">
        <f t="shared" si="2"/>
        <v>1</v>
      </c>
      <c r="AT12" t="s">
        <v>164</v>
      </c>
      <c r="AU12" t="b">
        <f>Eu_g_n_x&lt;30</f>
        <v>1</v>
      </c>
      <c r="AV12" t="s">
        <v>155</v>
      </c>
      <c r="AW12" t="s">
        <v>185</v>
      </c>
    </row>
    <row r="13" spans="1:50" x14ac:dyDescent="0.2">
      <c r="A13" t="s">
        <v>0</v>
      </c>
      <c r="B13" t="s">
        <v>132</v>
      </c>
      <c r="C13" t="s">
        <v>129</v>
      </c>
      <c r="D13" t="s">
        <v>126</v>
      </c>
      <c r="E13" s="29">
        <v>0</v>
      </c>
      <c r="F13">
        <v>1</v>
      </c>
      <c r="G13" t="e">
        <f>IFERROR((Eu_g_g_x-Eu_g_h0_x)/(Eu_g_s_population_x/SQRT(Eu_g_n_x)),NA())</f>
        <v>#N/A</v>
      </c>
      <c r="H13" t="e">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#N/A</v>
      </c>
      <c r="I13" t="e">
        <f>(E_g_valg[[#This Row],[Venstre teststørrelse]]*Eu_g_s_population_x/SQRT(Eu_g_n_x)+Eu_g_h0_x)</f>
        <v>#N/A</v>
      </c>
      <c r="J13">
        <f>(E_g_valg[[#This Row],[Midtpunkt teststørrelse]]*Eu_g_s_population_x/SQRT(Eu_g_n_x)+Eu_g_h0_x)</f>
        <v>0</v>
      </c>
      <c r="K13" t="e">
        <f>(E_g_valg[[#This Row],[Højre teststørrelse]]*Eu_g_s_population_x/SQRT(Eu_g_n_x)+Eu_g_h0_x)</f>
        <v>#N/A</v>
      </c>
      <c r="L13" t="e">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#N/A</v>
      </c>
      <c r="M13">
        <f>IF(E_g_valg[[#This Row],[Parameter]]="andel",ROUND(E_g_valg[[#This Row],[Midtpunkt label base]],5)*100&amp;"%",ROUND(E_g_valg[[#This Row],[Midtpunkt label base]],3))</f>
        <v>0</v>
      </c>
      <c r="N13" t="e">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#N/A</v>
      </c>
      <c r="O13" t="e">
        <f>E_g_valg[[#This Row],[Teststørrelse]]=E_g_valg[[#This Row],[Venstre teststørrelse]]</f>
        <v>#N/A</v>
      </c>
      <c r="P13" t="b">
        <f>OR(MATCH(E_g_valg[[#This Row],[Hypotese]],HypoteseRetning_liste,0)=2,MATCH(E_g_valg[[#This Row],[Hypotese]],HypoteseRetning_liste,0)=3)</f>
        <v>0</v>
      </c>
      <c r="Q13" t="e">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#N/A</v>
      </c>
      <c r="R13" t="e">
        <f>E_g_valg[[#This Row],[p-værdi]]&gt;1-Eu_g_konfidensniveau</f>
        <v>#N/A</v>
      </c>
      <c r="S13">
        <f t="shared" si="0"/>
        <v>0.999</v>
      </c>
      <c r="T13">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13">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13" t="e">
        <f>MIN(E_g_valg[[#This Row],[Teststørrelse]],E_g_valg[[#This Row],[Teststørrelse omvendt]])</f>
        <v>#N/A</v>
      </c>
      <c r="W13">
        <f>CHOOSE(MATCH(E_g_valg[[#This Row],[Fordeling]],Fordeling_liste,0),_xlfn.NORM.INV(0.5,E_g_valg[[#This Row],[Parameter 1]],E_g_valg[[#This Row],[Parameter 2]]),_xlfn.T.INV(0.5,E_g_valg[[#This Row],[Parameter 1]]),_xlfn.CHISQ.INV(0.5,E_g_valg[[#This Row],[Parameter 1]]),_xlfn.F.INV(0.5,E_g_valg[[#This Row],[Parameter 1]],E_g_valg[[#This Row],[Parameter 2]]))</f>
        <v>0</v>
      </c>
      <c r="X13" t="e">
        <f>MAX(E_g_valg[[#This Row],[Teststørrelse]],E_g_valg[[#This Row],[Teststørrelse omvendt]])</f>
        <v>#N/A</v>
      </c>
      <c r="Y13" t="e">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#N/A</v>
      </c>
      <c r="Z13" t="e">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#N/A</v>
      </c>
      <c r="AA13" t="e">
        <f>E_g_valg[[#This Row],[Mindre end højre %]]-E_g_valg[[#This Row],[Mindre end venstre %]]</f>
        <v>#N/A</v>
      </c>
      <c r="AB13" t="e">
        <f>1-E_g_valg[[#This Row],[Mindre end venstre %]]</f>
        <v>#N/A</v>
      </c>
      <c r="AC13" t="e">
        <f>1-E_g_valg[[#This Row],[Mindre end højre %]]</f>
        <v>#N/A</v>
      </c>
      <c r="AD13" t="e">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#N/A</v>
      </c>
      <c r="AE13" t="e">
        <f>IF(OR(MATCH(E_g_valg[[#This Row],[Hypotese]],HypoteseRetning_liste,0)=1,MATCH(E_g_valg[[#This Row],[Hypotese]],HypoteseRetning_liste,0)=4),ROUND(E_g_valg[[#This Row],[Midt %]],5)*100&amp;"% mellem "&amp;E_g_valg[[#This Row],[Venstre label]]&amp;" og "&amp;E_g_valg[[#This Row],[Højre label]]," ")</f>
        <v>#N/A</v>
      </c>
      <c r="AF13" t="e">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#N/A</v>
      </c>
      <c r="AG13" t="e">
        <f>IF(AND(NOT(E_g_valg[[#This Row],[Orientering]]),E_g_valg[[#This Row],[Ensidet]]),(E_g_valg[[#This Row],[Højre teststørrelse]]-E_g_valg[[#This Row],[X min]])/(E_g_valg[[#This Row],[X max]]-E_g_valg[[#This Row],[X min]]),(E_g_valg[[#This Row],[Venstre teststørrelse]]-E_g_valg[[#This Row],[X min]])/(E_g_valg[[#This Row],[X max]]-E_g_valg[[#This Row],[X min]]))</f>
        <v>#N/A</v>
      </c>
      <c r="AH13">
        <f>(E_g_valg[[#This Row],[Midtpunkt teststørrelse]]-E_g_valg[[#This Row],[X min]])/(E_g_valg[[#This Row],[X max]]-E_g_valg[[#This Row],[X min]])</f>
        <v>0.5</v>
      </c>
      <c r="AI13" t="e">
        <f>IF(AND(E_g_valg[[#This Row],[Orientering]],E_g_valg[[#This Row],[Ensidet]]),(E_g_valg[[#This Row],[Venstre teststørrelse]]-E_g_valg[[#This Row],[X min]])/(E_g_valg[[#This Row],[X max]]-E_g_valg[[#This Row],[X min]]),(E_g_valg[[#This Row],[Højre teststørrelse]]-E_g_valg[[#This Row],[X min]])/(E_g_valg[[#This Row],[X max]]-E_g_valg[[#This Row],[X min]]))</f>
        <v>#N/A</v>
      </c>
      <c r="AJ13" t="s">
        <v>125</v>
      </c>
      <c r="AK13">
        <f>_xlfn.AGGREGATE(3,5,E_g_valg[[#This Row],[Parameter]])</f>
        <v>1</v>
      </c>
      <c r="AL13">
        <v>1</v>
      </c>
      <c r="AM13">
        <v>12</v>
      </c>
      <c r="AN13" t="e">
        <f>IF(AND(E_g_valg[[#This Row],[Kontrol af forudsætning 1]],E_g_valg[[#This Row],[Kontrol af forudsætning 2]],E_g_valg[[#This Row],[Kontrol af forudsætning 3]]),"Hypotesetest om gennemsnit
Nulhypotesen om at gennemsnittet af "&amp;Eu_g_t_x&amp;" er lig med "&amp;ROUND(Eu_g_h0_x,3)&amp;"
"&amp;IF(E_g_valg[[#This Row],[Nulhypotese kan ikke afvises]],"kan ikke ","")&amp;"afvises med "&amp;Eu_g_konfidensniveau*100&amp;"% konfidens","Kan ikke beregne hypotesetest om gennemsnit med angivet standardafvigelse")</f>
        <v>#N/A</v>
      </c>
      <c r="AO13" t="str">
        <f>"Gennemsnit i stikprøver af størrelsen n = "&amp;Eu_g_n_x&amp;"
fra en population med gennemsnit = "&amp;IFERROR(ROUND(Eu_g_h0_x,3),"Hypotese ikke angivet")&amp;"
 og standardafvigelse = "&amp;IFERROR(ROUND(Eu_g_s_population_x,3),"Hypotese ikke angivet")</f>
        <v>Gennemsnit i stikprøver af størrelsen n = 12
fra en population med gennemsnit = 0
 og standardafvigelse = 0</v>
      </c>
      <c r="AP13" t="s">
        <v>15</v>
      </c>
      <c r="AQ13" t="b">
        <f t="shared" si="1"/>
        <v>1</v>
      </c>
      <c r="AR13" t="s">
        <v>171</v>
      </c>
      <c r="AS13" t="b">
        <f t="shared" si="2"/>
        <v>1</v>
      </c>
      <c r="AT13" t="s">
        <v>174</v>
      </c>
      <c r="AU13" t="b">
        <f>NOT(ISNA(Eu_g_s_population_x))</f>
        <v>1</v>
      </c>
      <c r="AV13" t="s">
        <v>154</v>
      </c>
      <c r="AW13" t="s">
        <v>185</v>
      </c>
    </row>
    <row r="14" spans="1:50" x14ac:dyDescent="0.2">
      <c r="A14" t="s">
        <v>0</v>
      </c>
      <c r="B14" t="s">
        <v>133</v>
      </c>
      <c r="C14" t="s">
        <v>126</v>
      </c>
      <c r="D14" t="s">
        <v>126</v>
      </c>
      <c r="E14" s="29">
        <v>0</v>
      </c>
      <c r="F14">
        <v>1</v>
      </c>
      <c r="G14">
        <f>IFERROR((Eu_g_g_x-Eu_g_g_y-(Eu_g_h0_x-Eu_g_h0_y))/SQRT(Eu_g_s_x^2/Eu_g_n_x+Eu_g_s_y^2/Eu_g_n_y),NA())</f>
        <v>-0.8845698192548983</v>
      </c>
      <c r="H14">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14">
        <f>E_g_valg[[#This Row],[Venstre teststørrelse]]*SQRT(Eu_g_s_x^2/Eu_g_n_x+Eu_g_s_y^2/Eu_g_n_y)+(Eu_g_h0_x-Eu_g_h0_y)</f>
        <v>-1.5054022174376644</v>
      </c>
      <c r="J14">
        <f>E_g_valg[[#This Row],[Midtpunkt teststørrelse]]*SQRT(Eu_g_s_x^2/Eu_g_n_x+Eu_g_s_y^2/Eu_g_n_y)+(Eu_g_h0_x-Eu_g_h0_y)</f>
        <v>0</v>
      </c>
      <c r="K14">
        <f>E_g_valg[[#This Row],[Højre teststørrelse]]*SQRT(Eu_g_s_x^2/Eu_g_n_x+Eu_g_s_y^2/Eu_g_n_y)+(Eu_g_h0_x-Eu_g_h0_y)</f>
        <v>1.5054022174376644</v>
      </c>
      <c r="L14">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14">
        <f>IF(E_g_valg[[#This Row],[Parameter]]="andel",ROUND(E_g_valg[[#This Row],[Midtpunkt label base]],5)*100&amp;"%",ROUND(E_g_valg[[#This Row],[Midtpunkt label base]],3))</f>
        <v>0</v>
      </c>
      <c r="N14">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14" t="b">
        <f>E_g_valg[[#This Row],[Teststørrelse]]=E_g_valg[[#This Row],[Venstre teststørrelse]]</f>
        <v>1</v>
      </c>
      <c r="P14" t="b">
        <f>OR(MATCH(E_g_valg[[#This Row],[Hypotese]],HypoteseRetning_liste,0)=2,MATCH(E_g_valg[[#This Row],[Hypotese]],HypoteseRetning_liste,0)=3)</f>
        <v>1</v>
      </c>
      <c r="Q14">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0.1881943452138089</v>
      </c>
      <c r="R14" t="b">
        <f>E_g_valg[[#This Row],[p-værdi]]&gt;1-Eu_g_konfidensniveau</f>
        <v>1</v>
      </c>
      <c r="S14">
        <f t="shared" si="0"/>
        <v>0.999</v>
      </c>
      <c r="T14">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14">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14">
        <f>MIN(E_g_valg[[#This Row],[Teststørrelse]],E_g_valg[[#This Row],[Teststørrelse omvendt]])</f>
        <v>-0.8845698192548983</v>
      </c>
      <c r="W14">
        <f>CHOOSE(MATCH(E_g_valg[[#This Row],[Fordeling]],Fordeling_liste,0),_xlfn.NORM.INV(0.5,E_g_valg[[#This Row],[Parameter 1]],E_g_valg[[#This Row],[Parameter 2]]),_xlfn.T.INV(0.5,E_g_valg[[#This Row],[Parameter 1]]),_xlfn.CHISQ.INV(0.5,E_g_valg[[#This Row],[Parameter 1]]),_xlfn.F.INV(0.5,E_g_valg[[#This Row],[Parameter 1]],E_g_valg[[#This Row],[Parameter 2]]))</f>
        <v>0</v>
      </c>
      <c r="X14">
        <f>MAX(E_g_valg[[#This Row],[Teststørrelse]],E_g_valg[[#This Row],[Teststørrelse omvendt]])</f>
        <v>0.8845698192548983</v>
      </c>
      <c r="Y14">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0.1881943452138089</v>
      </c>
      <c r="Z14">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0.81180565478619116</v>
      </c>
      <c r="AA14">
        <f>E_g_valg[[#This Row],[Mindre end højre %]]-E_g_valg[[#This Row],[Mindre end venstre %]]</f>
        <v>0.62361130957238231</v>
      </c>
      <c r="AB14">
        <f>1-E_g_valg[[#This Row],[Mindre end venstre %]]</f>
        <v>0.81180565478619116</v>
      </c>
      <c r="AC14">
        <f>1-E_g_valg[[#This Row],[Mindre end højre %]]</f>
        <v>0.18819434521380884</v>
      </c>
      <c r="AD14"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18.819% mindre end -1.505</v>
      </c>
      <c r="AE14" t="str">
        <f>IF(OR(MATCH(E_g_valg[[#This Row],[Hypotese]],HypoteseRetning_liste,0)=1,MATCH(E_g_valg[[#This Row],[Hypotese]],HypoteseRetning_liste,0)=4),ROUND(E_g_valg[[#This Row],[Midt %]],5)*100&amp;"% mellem "&amp;E_g_valg[[#This Row],[Venstre label]]&amp;" og "&amp;E_g_valg[[#This Row],[Højre label]]," ")</f>
        <v xml:space="preserve"> </v>
      </c>
      <c r="AF14"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81.181% større end -1.505</v>
      </c>
      <c r="AG14">
        <f>IF(AND(NOT(E_g_valg[[#This Row],[Orientering]]),E_g_valg[[#This Row],[Ensidet]]),(E_g_valg[[#This Row],[Højre teststørrelse]]-E_g_valg[[#This Row],[X min]])/(E_g_valg[[#This Row],[X max]]-E_g_valg[[#This Row],[X min]]),(E_g_valg[[#This Row],[Venstre teststørrelse]]-E_g_valg[[#This Row],[X min]])/(E_g_valg[[#This Row],[X max]]-E_g_valg[[#This Row],[X min]]))</f>
        <v>0.35687648506402248</v>
      </c>
      <c r="AH14">
        <f>(E_g_valg[[#This Row],[Midtpunkt teststørrelse]]-E_g_valg[[#This Row],[X min]])/(E_g_valg[[#This Row],[X max]]-E_g_valg[[#This Row],[X min]])</f>
        <v>0.5</v>
      </c>
      <c r="AI14">
        <f>IF(AND(E_g_valg[[#This Row],[Orientering]],E_g_valg[[#This Row],[Ensidet]]),(E_g_valg[[#This Row],[Venstre teststørrelse]]-E_g_valg[[#This Row],[X min]])/(E_g_valg[[#This Row],[X max]]-E_g_valg[[#This Row],[X min]]),(E_g_valg[[#This Row],[Højre teststørrelse]]-E_g_valg[[#This Row],[X min]])/(E_g_valg[[#This Row],[X max]]-E_g_valg[[#This Row],[X min]]))</f>
        <v>0.35687648506402248</v>
      </c>
      <c r="AJ14" t="s">
        <v>299</v>
      </c>
      <c r="AK14">
        <f>_xlfn.AGGREGATE(3,5,E_g_valg[[#This Row],[Parameter]])</f>
        <v>1</v>
      </c>
      <c r="AL14">
        <v>2</v>
      </c>
      <c r="AM14">
        <v>13</v>
      </c>
      <c r="AN14" t="str">
        <f>IF(AND(E_g_valg[[#This Row],[Kontrol af forudsætning 1]],E_g_valg[[#This Row],[Kontrol af forudsætning 2]]),"Hypotesetest om forskel mellem gennemsnit
Nulhypotesen om at forskellen mellem gennemsnittene i "&amp;Eu_g_t_x&amp;" og "&amp;Eu_g_t_y&amp;" er større end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større end 0
kan ikke afvises med 95% konfidens</v>
      </c>
      <c r="AO14"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14" t="s">
        <v>15</v>
      </c>
      <c r="AQ14" t="b">
        <f t="shared" ref="AQ14:AQ25" si="3">NOT(OR(ISNA(Eu_g_g_x),ISNA(Eu_g_g_y)))</f>
        <v>1</v>
      </c>
      <c r="AR14" t="s">
        <v>172</v>
      </c>
      <c r="AS14" t="b">
        <f t="shared" ref="AS14:AS25" si="4">NOT(OR(ISNA(Eu_g_h0_x),ISNA(Eu_g_h0_y)))</f>
        <v>1</v>
      </c>
      <c r="AT14" t="s">
        <v>165</v>
      </c>
      <c r="AU14" t="b">
        <f>AND(Eu_g_n_x&gt;=30,Eu_g_n_y&gt;=30)</f>
        <v>0</v>
      </c>
      <c r="AV14" t="s">
        <v>180</v>
      </c>
      <c r="AW14" t="s">
        <v>185</v>
      </c>
    </row>
    <row r="15" spans="1:50" x14ac:dyDescent="0.2">
      <c r="A15" t="s">
        <v>0</v>
      </c>
      <c r="B15" t="s">
        <v>133</v>
      </c>
      <c r="C15" t="s">
        <v>137</v>
      </c>
      <c r="D15" t="s">
        <v>128</v>
      </c>
      <c r="E15" s="29">
        <f>Eu_g_n_x+Eu_g_n_y-2</f>
        <v>22</v>
      </c>
      <c r="G15">
        <f>IFERROR((Eu_g_g_x-Eu_g_g_y-(Eu_g_h0_x-Eu_g_h0_y))/(SQRT(((Eu_g_n_x-1)*Eu_g_s_x^2+(Eu_g_n_y-1)*Eu_g_s_y^2)/(Eu_g_n_x+Eu_g_n_y-2))*SQRT(1/Eu_g_n_x+1/Eu_g_n_y)),NA())</f>
        <v>-0.8845698192548983</v>
      </c>
      <c r="H15">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15">
        <f>E_g_valg[[#This Row],[Venstre teststørrelse]]*(SQRT(((Eu_g_n_x-1)*Eu_g_s_x^2+(Eu_g_n_y-1)*Eu_g_s_y^2)/(Eu_g_n_x+Eu_g_n_y-2))*SQRT(1/Eu_g_n_x+1/Eu_g_n_y))+(Eu_g_h0_x-Eu_g_h0_y)</f>
        <v>-1.5054022174376644</v>
      </c>
      <c r="J15">
        <f>E_g_valg[[#This Row],[Midtpunkt teststørrelse]]*(SQRT(((Eu_g_n_x-1)*Eu_g_s_x^2+(Eu_g_n_y-1)*Eu_g_s_y^2)/(Eu_g_n_x+Eu_g_n_y-2))*SQRT(1/Eu_g_n_x+1/Eu_g_n_y))+(Eu_g_h0_x-Eu_g_h0_y)</f>
        <v>0</v>
      </c>
      <c r="K15">
        <f>E_g_valg[[#This Row],[Højre teststørrelse]]*(SQRT(((Eu_g_n_x-1)*Eu_g_s_x^2+(Eu_g_n_y-1)*Eu_g_s_y^2)/(Eu_g_n_x+Eu_g_n_y-2))*SQRT(1/Eu_g_n_x+1/Eu_g_n_y))+(Eu_g_h0_x-Eu_g_h0_y)</f>
        <v>1.5054022174376644</v>
      </c>
      <c r="L15">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15">
        <f>IF(E_g_valg[[#This Row],[Parameter]]="andel",ROUND(E_g_valg[[#This Row],[Midtpunkt label base]],5)*100&amp;"%",ROUND(E_g_valg[[#This Row],[Midtpunkt label base]],3))</f>
        <v>0</v>
      </c>
      <c r="N15">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15" t="b">
        <f>E_g_valg[[#This Row],[Teststørrelse]]=E_g_valg[[#This Row],[Venstre teststørrelse]]</f>
        <v>1</v>
      </c>
      <c r="P15" t="b">
        <f>OR(MATCH(E_g_valg[[#This Row],[Hypotese]],HypoteseRetning_liste,0)=2,MATCH(E_g_valg[[#This Row],[Hypotese]],HypoteseRetning_liste,0)=3)</f>
        <v>1</v>
      </c>
      <c r="Q15">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0.19297719287988857</v>
      </c>
      <c r="R15" t="b">
        <f>E_g_valg[[#This Row],[p-værdi]]&gt;1-Eu_g_konfidensniveau</f>
        <v>1</v>
      </c>
      <c r="S15">
        <f t="shared" si="0"/>
        <v>0.999</v>
      </c>
      <c r="T15">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-3.5049920310846616</v>
      </c>
      <c r="U15">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3.5049920310846616</v>
      </c>
      <c r="V15">
        <f>MIN(E_g_valg[[#This Row],[Teststørrelse]],E_g_valg[[#This Row],[Teststørrelse omvendt]])</f>
        <v>-0.8845698192548983</v>
      </c>
      <c r="W15">
        <f>CHOOSE(MATCH(E_g_valg[[#This Row],[Fordeling]],Fordeling_liste,0),_xlfn.NORM.INV(0.5,E_g_valg[[#This Row],[Parameter 1]],E_g_valg[[#This Row],[Parameter 2]]),_xlfn.T.INV(0.5,E_g_valg[[#This Row],[Parameter 1]]),_xlfn.CHISQ.INV(0.5,E_g_valg[[#This Row],[Parameter 1]]),_xlfn.F.INV(0.5,E_g_valg[[#This Row],[Parameter 1]],E_g_valg[[#This Row],[Parameter 2]]))</f>
        <v>0</v>
      </c>
      <c r="X15">
        <f>MAX(E_g_valg[[#This Row],[Teststørrelse]],E_g_valg[[#This Row],[Teststørrelse omvendt]])</f>
        <v>0.8845698192548983</v>
      </c>
      <c r="Y15">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0.19297719287988857</v>
      </c>
      <c r="Z15">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0.80702280712011143</v>
      </c>
      <c r="AA15">
        <f>E_g_valg[[#This Row],[Mindre end højre %]]-E_g_valg[[#This Row],[Mindre end venstre %]]</f>
        <v>0.61404561424022286</v>
      </c>
      <c r="AB15">
        <f>1-E_g_valg[[#This Row],[Mindre end venstre %]]</f>
        <v>0.80702280712011143</v>
      </c>
      <c r="AC15">
        <f>1-E_g_valg[[#This Row],[Mindre end højre %]]</f>
        <v>0.19297719287988857</v>
      </c>
      <c r="AD15"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19.298% mindre end -1.505</v>
      </c>
      <c r="AE15" t="str">
        <f>IF(OR(MATCH(E_g_valg[[#This Row],[Hypotese]],HypoteseRetning_liste,0)=1,MATCH(E_g_valg[[#This Row],[Hypotese]],HypoteseRetning_liste,0)=4),ROUND(E_g_valg[[#This Row],[Midt %]],5)*100&amp;"% mellem "&amp;E_g_valg[[#This Row],[Venstre label]]&amp;" og "&amp;E_g_valg[[#This Row],[Højre label]]," ")</f>
        <v xml:space="preserve"> </v>
      </c>
      <c r="AF15"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80.702% større end -1.505</v>
      </c>
      <c r="AG15">
        <f>IF(AND(NOT(E_g_valg[[#This Row],[Orientering]]),E_g_valg[[#This Row],[Ensidet]]),(E_g_valg[[#This Row],[Højre teststørrelse]]-E_g_valg[[#This Row],[X min]])/(E_g_valg[[#This Row],[X max]]-E_g_valg[[#This Row],[X min]]),(E_g_valg[[#This Row],[Venstre teststørrelse]]-E_g_valg[[#This Row],[X min]])/(E_g_valg[[#This Row],[X max]]-E_g_valg[[#This Row],[X min]]))</f>
        <v>0.37381286299513244</v>
      </c>
      <c r="AH15">
        <f>(E_g_valg[[#This Row],[Midtpunkt teststørrelse]]-E_g_valg[[#This Row],[X min]])/(E_g_valg[[#This Row],[X max]]-E_g_valg[[#This Row],[X min]])</f>
        <v>0.5</v>
      </c>
      <c r="AI15">
        <f>IF(AND(E_g_valg[[#This Row],[Orientering]],E_g_valg[[#This Row],[Ensidet]]),(E_g_valg[[#This Row],[Venstre teststørrelse]]-E_g_valg[[#This Row],[X min]])/(E_g_valg[[#This Row],[X max]]-E_g_valg[[#This Row],[X min]]),(E_g_valg[[#This Row],[Højre teststørrelse]]-E_g_valg[[#This Row],[X min]])/(E_g_valg[[#This Row],[X max]]-E_g_valg[[#This Row],[X min]]))</f>
        <v>0.37381286299513244</v>
      </c>
      <c r="AJ15" t="s">
        <v>299</v>
      </c>
      <c r="AK15">
        <f>_xlfn.AGGREGATE(3,5,E_g_valg[[#This Row],[Parameter]])</f>
        <v>1</v>
      </c>
      <c r="AL15">
        <v>2</v>
      </c>
      <c r="AM15">
        <v>14</v>
      </c>
      <c r="AN15" t="str">
        <f>IF(AND(E_g_valg[[#This Row],[Kontrol af forudsætning 1]],E_g_valg[[#This Row],[Kontrol af forudsætning 2]]),"Hypotesetest om forskel mellem gennemsnit
Nulhypotesen om at forskellen mellem gennemsnittene i "&amp;Eu_g_t_x&amp;" og "&amp;Eu_g_t_y&amp;" er større end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større end 0
kan ikke afvises med 95% konfidens</v>
      </c>
      <c r="AO15"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15" t="s">
        <v>15</v>
      </c>
      <c r="AQ15" t="b">
        <f t="shared" si="3"/>
        <v>1</v>
      </c>
      <c r="AR15" t="s">
        <v>172</v>
      </c>
      <c r="AS15" t="b">
        <f t="shared" si="4"/>
        <v>1</v>
      </c>
      <c r="AT15" t="s">
        <v>166</v>
      </c>
      <c r="AU15" t="b">
        <f>NOT(AND(Eu_g_n_x&gt;=30,Eu_g_n_y&gt;=30))</f>
        <v>1</v>
      </c>
      <c r="AV15" t="s">
        <v>182</v>
      </c>
      <c r="AW15" t="s">
        <v>186</v>
      </c>
    </row>
    <row r="16" spans="1:50" x14ac:dyDescent="0.2">
      <c r="A16" t="s">
        <v>0</v>
      </c>
      <c r="B16" t="s">
        <v>133</v>
      </c>
      <c r="C16" t="s">
        <v>139</v>
      </c>
      <c r="D16" t="s">
        <v>128</v>
      </c>
      <c r="E16" s="29">
        <f>(Eu_g_s_x^2/Eu_g_n_x+Eu_g_s_y^2/Eu_g_n_y)^2/((Eu_g_s_x^2/Eu_g_n_x)^2/(Eu_g_n_x-1)+(Eu_g_s_y^2/Eu_g_n_y)^2/(Eu_g_n_y-1))</f>
        <v>21.900486557523873</v>
      </c>
      <c r="G16">
        <f>IFERROR((Eu_g_g_x-Eu_g_g_y-(Eu_g_h0_x-Eu_g_h0_y))/(SQRT(Eu_g_s_x^2/Eu_g_n_x+Eu_g_s_y^2/Eu_g_n_y)),NA())</f>
        <v>-0.8845698192548983</v>
      </c>
      <c r="H16">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16">
        <f>E_g_valg[[#This Row],[Venstre teststørrelse]]*(SQRT(Eu_g_s_x^2/Eu_g_n_x+Eu_g_s_y^2/Eu_g_n_y))+(Eu_g_h0_x-Eu_g_h0_y)</f>
        <v>-1.5054022174376644</v>
      </c>
      <c r="J16">
        <f>E_g_valg[[#This Row],[Midtpunkt teststørrelse]]*(SQRT(Eu_g_s_x^2/Eu_g_n_x+Eu_g_s_y^2/Eu_g_n_y))+(Eu_g_h0_x-Eu_g_h0_y)</f>
        <v>0</v>
      </c>
      <c r="K16">
        <f>E_g_valg[[#This Row],[Højre teststørrelse]]*(SQRT(Eu_g_s_x^2/Eu_g_n_x+Eu_g_s_y^2/Eu_g_n_y))+(Eu_g_h0_x-Eu_g_h0_y)</f>
        <v>1.5054022174376644</v>
      </c>
      <c r="L16">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16">
        <f>IF(E_g_valg[[#This Row],[Parameter]]="andel",ROUND(E_g_valg[[#This Row],[Midtpunkt label base]],5)*100&amp;"%",ROUND(E_g_valg[[#This Row],[Midtpunkt label base]],3))</f>
        <v>0</v>
      </c>
      <c r="N16">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16" t="b">
        <f>E_g_valg[[#This Row],[Teststørrelse]]=E_g_valg[[#This Row],[Venstre teststørrelse]]</f>
        <v>1</v>
      </c>
      <c r="P16" t="b">
        <f>OR(MATCH(E_g_valg[[#This Row],[Hypotese]],HypoteseRetning_liste,0)=2,MATCH(E_g_valg[[#This Row],[Hypotese]],HypoteseRetning_liste,0)=3)</f>
        <v>1</v>
      </c>
      <c r="Q16">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0.19320238440389431</v>
      </c>
      <c r="R16" t="b">
        <f>E_g_valg[[#This Row],[p-værdi]]&gt;1-Eu_g_konfidensniveau</f>
        <v>1</v>
      </c>
      <c r="S16">
        <f t="shared" si="0"/>
        <v>0.999</v>
      </c>
      <c r="T16">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-3.5271536688691771</v>
      </c>
      <c r="U16">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3.5271536688691771</v>
      </c>
      <c r="V16">
        <f>MIN(E_g_valg[[#This Row],[Teststørrelse]],E_g_valg[[#This Row],[Teststørrelse omvendt]])</f>
        <v>-0.8845698192548983</v>
      </c>
      <c r="W16">
        <f>CHOOSE(MATCH(E_g_valg[[#This Row],[Fordeling]],Fordeling_liste,0),_xlfn.NORM.INV(0.5,E_g_valg[[#This Row],[Parameter 1]],E_g_valg[[#This Row],[Parameter 2]]),_xlfn.T.INV(0.5,E_g_valg[[#This Row],[Parameter 1]]),_xlfn.CHISQ.INV(0.5,E_g_valg[[#This Row],[Parameter 1]]),_xlfn.F.INV(0.5,E_g_valg[[#This Row],[Parameter 1]],E_g_valg[[#This Row],[Parameter 2]]))</f>
        <v>0</v>
      </c>
      <c r="X16">
        <f>MAX(E_g_valg[[#This Row],[Teststørrelse]],E_g_valg[[#This Row],[Teststørrelse omvendt]])</f>
        <v>0.8845698192548983</v>
      </c>
      <c r="Y16">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0.19320238440389431</v>
      </c>
      <c r="Z16">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0.80679761559610563</v>
      </c>
      <c r="AA16">
        <f>E_g_valg[[#This Row],[Mindre end højre %]]-E_g_valg[[#This Row],[Mindre end venstre %]]</f>
        <v>0.61359523119221127</v>
      </c>
      <c r="AB16">
        <f>1-E_g_valg[[#This Row],[Mindre end venstre %]]</f>
        <v>0.80679761559610563</v>
      </c>
      <c r="AC16">
        <f>1-E_g_valg[[#This Row],[Mindre end højre %]]</f>
        <v>0.19320238440389437</v>
      </c>
      <c r="AD16"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19.32% mindre end -1.505</v>
      </c>
      <c r="AE16" t="str">
        <f>IF(OR(MATCH(E_g_valg[[#This Row],[Hypotese]],HypoteseRetning_liste,0)=1,MATCH(E_g_valg[[#This Row],[Hypotese]],HypoteseRetning_liste,0)=4),ROUND(E_g_valg[[#This Row],[Midt %]],5)*100&amp;"% mellem "&amp;E_g_valg[[#This Row],[Venstre label]]&amp;" og "&amp;E_g_valg[[#This Row],[Højre label]]," ")</f>
        <v xml:space="preserve"> </v>
      </c>
      <c r="AF16"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80.68% større end -1.505</v>
      </c>
      <c r="AG16">
        <f>IF(AND(NOT(E_g_valg[[#This Row],[Orientering]]),E_g_valg[[#This Row],[Ensidet]]),(E_g_valg[[#This Row],[Højre teststørrelse]]-E_g_valg[[#This Row],[X min]])/(E_g_valg[[#This Row],[X max]]-E_g_valg[[#This Row],[X min]]),(E_g_valg[[#This Row],[Venstre teststørrelse]]-E_g_valg[[#This Row],[X min]])/(E_g_valg[[#This Row],[X max]]-E_g_valg[[#This Row],[X min]]))</f>
        <v>0.37460571578406787</v>
      </c>
      <c r="AH16">
        <f>(E_g_valg[[#This Row],[Midtpunkt teststørrelse]]-E_g_valg[[#This Row],[X min]])/(E_g_valg[[#This Row],[X max]]-E_g_valg[[#This Row],[X min]])</f>
        <v>0.5</v>
      </c>
      <c r="AI16">
        <f>IF(AND(E_g_valg[[#This Row],[Orientering]],E_g_valg[[#This Row],[Ensidet]]),(E_g_valg[[#This Row],[Venstre teststørrelse]]-E_g_valg[[#This Row],[X min]])/(E_g_valg[[#This Row],[X max]]-E_g_valg[[#This Row],[X min]]),(E_g_valg[[#This Row],[Højre teststørrelse]]-E_g_valg[[#This Row],[X min]])/(E_g_valg[[#This Row],[X max]]-E_g_valg[[#This Row],[X min]]))</f>
        <v>0.37460571578406787</v>
      </c>
      <c r="AJ16" t="s">
        <v>299</v>
      </c>
      <c r="AK16">
        <f>_xlfn.AGGREGATE(3,5,E_g_valg[[#This Row],[Parameter]])</f>
        <v>1</v>
      </c>
      <c r="AL16">
        <v>2</v>
      </c>
      <c r="AM16">
        <v>15</v>
      </c>
      <c r="AN16" t="str">
        <f>IF(AND(E_g_valg[[#This Row],[Kontrol af forudsætning 1]],E_g_valg[[#This Row],[Kontrol af forudsætning 2]]),"Hypotesetest om forskel mellem gennemsnit
Nulhypotesen om at forskellen mellem gennemsnittene i "&amp;Eu_g_t_x&amp;" og "&amp;Eu_g_t_y&amp;" er større end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større end 0
kan ikke afvises med 95% konfidens</v>
      </c>
      <c r="AO16"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16" t="s">
        <v>15</v>
      </c>
      <c r="AQ16" t="b">
        <f t="shared" si="3"/>
        <v>1</v>
      </c>
      <c r="AR16" t="s">
        <v>172</v>
      </c>
      <c r="AS16" t="b">
        <f t="shared" si="4"/>
        <v>1</v>
      </c>
      <c r="AT16" t="s">
        <v>166</v>
      </c>
      <c r="AU16" t="b">
        <f>NOT(AND(Eu_g_n_x&gt;=30,Eu_g_n_y&gt;=30))</f>
        <v>1</v>
      </c>
      <c r="AV16" t="s">
        <v>183</v>
      </c>
      <c r="AW16" t="s">
        <v>186</v>
      </c>
    </row>
    <row r="17" spans="1:50" x14ac:dyDescent="0.2">
      <c r="A17" t="s">
        <v>0</v>
      </c>
      <c r="B17" t="s">
        <v>133</v>
      </c>
      <c r="C17" t="s">
        <v>138</v>
      </c>
      <c r="D17" t="s">
        <v>126</v>
      </c>
      <c r="E17" s="29">
        <v>0</v>
      </c>
      <c r="F17">
        <v>1</v>
      </c>
      <c r="G17" t="e">
        <f>IFERROR((Eu_g_g_x-Eu_g_g_y-(Eu_g_h0_x-Eu_g_h0_y))/SQRT(Eu_g_s_population_x^2/Eu_g_n_x+Eu_g_s_population_y^2/Eu_g_n_y),NA())</f>
        <v>#N/A</v>
      </c>
      <c r="H17" t="e">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#N/A</v>
      </c>
      <c r="I17" t="e">
        <f>E_g_valg[[#This Row],[Venstre teststørrelse]]*SQRT(Eu_g_s_population_x^2/Eu_g_n_x+Eu_g_s_population_y^2/Eu_g_n_y)+(Eu_g_h0_x-Eu_g_h0_y)</f>
        <v>#N/A</v>
      </c>
      <c r="J17">
        <f>E_g_valg[[#This Row],[Midtpunkt teststørrelse]]*SQRT(Eu_g_s_population_x^2/Eu_g_n_x+Eu_g_s_population_y^2/Eu_g_n_y)+(Eu_g_h0_x-Eu_g_h0_y)</f>
        <v>0</v>
      </c>
      <c r="K17" t="e">
        <f>E_g_valg[[#This Row],[Højre teststørrelse]]*SQRT(Eu_g_s_population_x^2/Eu_g_n_x+Eu_g_s_population_y^2/Eu_g_n_y)+(Eu_g_h0_x-Eu_g_h0_y)</f>
        <v>#N/A</v>
      </c>
      <c r="L17" t="e">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#N/A</v>
      </c>
      <c r="M17">
        <f>IF(E_g_valg[[#This Row],[Parameter]]="andel",ROUND(E_g_valg[[#This Row],[Midtpunkt label base]],5)*100&amp;"%",ROUND(E_g_valg[[#This Row],[Midtpunkt label base]],3))</f>
        <v>0</v>
      </c>
      <c r="N17" t="e">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#N/A</v>
      </c>
      <c r="O17" t="e">
        <f>E_g_valg[[#This Row],[Teststørrelse]]=E_g_valg[[#This Row],[Venstre teststørrelse]]</f>
        <v>#N/A</v>
      </c>
      <c r="P17" t="b">
        <f>OR(MATCH(E_g_valg[[#This Row],[Hypotese]],HypoteseRetning_liste,0)=2,MATCH(E_g_valg[[#This Row],[Hypotese]],HypoteseRetning_liste,0)=3)</f>
        <v>1</v>
      </c>
      <c r="Q17" t="e">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#N/A</v>
      </c>
      <c r="R17" t="e">
        <f>E_g_valg[[#This Row],[p-værdi]]&gt;1-Eu_g_konfidensniveau</f>
        <v>#N/A</v>
      </c>
      <c r="S17">
        <f t="shared" si="0"/>
        <v>0.999</v>
      </c>
      <c r="T17">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17">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17" t="e">
        <f>MIN(E_g_valg[[#This Row],[Teststørrelse]],E_g_valg[[#This Row],[Teststørrelse omvendt]])</f>
        <v>#N/A</v>
      </c>
      <c r="W17">
        <f>CHOOSE(MATCH(E_g_valg[[#This Row],[Fordeling]],Fordeling_liste,0),_xlfn.NORM.INV(0.5,E_g_valg[[#This Row],[Parameter 1]],E_g_valg[[#This Row],[Parameter 2]]),_xlfn.T.INV(0.5,E_g_valg[[#This Row],[Parameter 1]]),_xlfn.CHISQ.INV(0.5,E_g_valg[[#This Row],[Parameter 1]]),_xlfn.F.INV(0.5,E_g_valg[[#This Row],[Parameter 1]],E_g_valg[[#This Row],[Parameter 2]]))</f>
        <v>0</v>
      </c>
      <c r="X17" t="e">
        <f>MAX(E_g_valg[[#This Row],[Teststørrelse]],E_g_valg[[#This Row],[Teststørrelse omvendt]])</f>
        <v>#N/A</v>
      </c>
      <c r="Y17" t="e">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#N/A</v>
      </c>
      <c r="Z17" t="e">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#N/A</v>
      </c>
      <c r="AA17" t="e">
        <f>E_g_valg[[#This Row],[Mindre end højre %]]-E_g_valg[[#This Row],[Mindre end venstre %]]</f>
        <v>#N/A</v>
      </c>
      <c r="AB17" t="e">
        <f>1-E_g_valg[[#This Row],[Mindre end venstre %]]</f>
        <v>#N/A</v>
      </c>
      <c r="AC17" t="e">
        <f>1-E_g_valg[[#This Row],[Mindre end højre %]]</f>
        <v>#N/A</v>
      </c>
      <c r="AD17" t="e">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#N/A</v>
      </c>
      <c r="AE17" t="str">
        <f>IF(OR(MATCH(E_g_valg[[#This Row],[Hypotese]],HypoteseRetning_liste,0)=1,MATCH(E_g_valg[[#This Row],[Hypotese]],HypoteseRetning_liste,0)=4),ROUND(E_g_valg[[#This Row],[Midt %]],5)*100&amp;"% mellem "&amp;E_g_valg[[#This Row],[Venstre label]]&amp;" og "&amp;E_g_valg[[#This Row],[Højre label]]," ")</f>
        <v xml:space="preserve"> </v>
      </c>
      <c r="AF17" t="e">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#N/A</v>
      </c>
      <c r="AG17" t="e">
        <f>IF(AND(NOT(E_g_valg[[#This Row],[Orientering]]),E_g_valg[[#This Row],[Ensidet]]),(E_g_valg[[#This Row],[Højre teststørrelse]]-E_g_valg[[#This Row],[X min]])/(E_g_valg[[#This Row],[X max]]-E_g_valg[[#This Row],[X min]]),(E_g_valg[[#This Row],[Venstre teststørrelse]]-E_g_valg[[#This Row],[X min]])/(E_g_valg[[#This Row],[X max]]-E_g_valg[[#This Row],[X min]]))</f>
        <v>#N/A</v>
      </c>
      <c r="AH17">
        <f>(E_g_valg[[#This Row],[Midtpunkt teststørrelse]]-E_g_valg[[#This Row],[X min]])/(E_g_valg[[#This Row],[X max]]-E_g_valg[[#This Row],[X min]])</f>
        <v>0.5</v>
      </c>
      <c r="AI17" t="e">
        <f>IF(AND(E_g_valg[[#This Row],[Orientering]],E_g_valg[[#This Row],[Ensidet]]),(E_g_valg[[#This Row],[Venstre teststørrelse]]-E_g_valg[[#This Row],[X min]])/(E_g_valg[[#This Row],[X max]]-E_g_valg[[#This Row],[X min]]),(E_g_valg[[#This Row],[Højre teststørrelse]]-E_g_valg[[#This Row],[X min]])/(E_g_valg[[#This Row],[X max]]-E_g_valg[[#This Row],[X min]]))</f>
        <v>#N/A</v>
      </c>
      <c r="AJ17" t="s">
        <v>299</v>
      </c>
      <c r="AK17">
        <f>_xlfn.AGGREGATE(3,5,E_g_valg[[#This Row],[Parameter]])</f>
        <v>1</v>
      </c>
      <c r="AL17">
        <v>2</v>
      </c>
      <c r="AM17">
        <v>16</v>
      </c>
      <c r="AN17" t="e">
        <f>IF(AND(E_g_valg[[#This Row],[Kontrol af forudsætning 1]],E_g_valg[[#This Row],[Kontrol af forudsætning 2]],E_g_valg[[#This Row],[Kontrol af forudsætning 3]]),"Hypotesetest om forskel mellem gennemsnit
Nulhypotesen om at forskellen mellem gennemsnittene i "&amp;Eu_g_t_x&amp;" og "&amp;Eu_g_t_y&amp;" er større end "&amp;ROUND(Eu_g_h0_x-Eu_g_h0_y,3)&amp;"
"&amp;IF(E_g_valg[[#This Row],[Nulhypotese kan ikke afvises]],"kan ikke ","")&amp;"afvises med "&amp;Eu_g_konfidensniveau*100&amp;"% konfidens","Kan ikke beregne hypotesetest om forskel mellem gennemsnit med angivne standardafvigelser")</f>
        <v>#N/A</v>
      </c>
      <c r="AO17" t="str">
        <f>"Forskel i gennemsnit i stikprøver af størrelsen n = "&amp;Eu_g_n_x&amp;" og "&amp;Eu_g_n_y&amp;"
fra to populationer med forskel = "&amp;IFERROR(ROUND(Eu_g_h0_x-Eu_g_h0_y,3),"Hypotese ikke angivet")&amp;"
og standardafvigelser = "&amp;IFERROR(ROUND(Eu_g_s_population_x,3)&amp;" og "&amp;ROUND(Eu_g_s_population_y,3),"Hypotese ikke angivet")</f>
        <v>Forskel i gennemsnit i stikprøver af størrelsen n = 12 og 12
fra to populationer med forskel = 0
og standardafvigelser = 0 og 0</v>
      </c>
      <c r="AP17" t="s">
        <v>15</v>
      </c>
      <c r="AQ17" t="b">
        <f t="shared" si="3"/>
        <v>1</v>
      </c>
      <c r="AR17" t="s">
        <v>172</v>
      </c>
      <c r="AS17" t="b">
        <f t="shared" si="4"/>
        <v>1</v>
      </c>
      <c r="AT17" t="s">
        <v>175</v>
      </c>
      <c r="AU17" t="b">
        <f>NOT(OR(ISNA(Eu_g_s_population_x),ISNA(Eu_g_s_population_y)))</f>
        <v>1</v>
      </c>
      <c r="AV17" t="s">
        <v>181</v>
      </c>
      <c r="AW17" t="s">
        <v>185</v>
      </c>
    </row>
    <row r="18" spans="1:50" x14ac:dyDescent="0.2">
      <c r="A18" t="s">
        <v>0</v>
      </c>
      <c r="B18" t="s">
        <v>134</v>
      </c>
      <c r="C18" t="s">
        <v>126</v>
      </c>
      <c r="D18" t="s">
        <v>126</v>
      </c>
      <c r="E18" s="29">
        <v>0</v>
      </c>
      <c r="F18">
        <v>1</v>
      </c>
      <c r="G18">
        <f>IFERROR((Eu_g_g_x-Eu_g_g_y-(Eu_g_h0_x-Eu_g_h0_y))/SQRT(Eu_g_s_x^2/Eu_g_n_x+Eu_g_s_y^2/Eu_g_n_y),NA())</f>
        <v>-0.8845698192548983</v>
      </c>
      <c r="H18">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18">
        <f>E_g_valg[[#This Row],[Venstre teststørrelse]]*SQRT(Eu_g_s_x^2/Eu_g_n_x+Eu_g_s_y^2/Eu_g_n_y)+(Eu_g_h0_x-Eu_g_h0_y)</f>
        <v>-1.5054022174376644</v>
      </c>
      <c r="J18">
        <f>E_g_valg[[#This Row],[Midtpunkt teststørrelse]]*SQRT(Eu_g_s_x^2/Eu_g_n_x+Eu_g_s_y^2/Eu_g_n_y)+(Eu_g_h0_x-Eu_g_h0_y)</f>
        <v>0</v>
      </c>
      <c r="K18">
        <f>E_g_valg[[#This Row],[Højre teststørrelse]]*SQRT(Eu_g_s_x^2/Eu_g_n_x+Eu_g_s_y^2/Eu_g_n_y)+(Eu_g_h0_x-Eu_g_h0_y)</f>
        <v>1.5054022174376644</v>
      </c>
      <c r="L18">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18">
        <f>IF(E_g_valg[[#This Row],[Parameter]]="andel",ROUND(E_g_valg[[#This Row],[Midtpunkt label base]],5)*100&amp;"%",ROUND(E_g_valg[[#This Row],[Midtpunkt label base]],3))</f>
        <v>0</v>
      </c>
      <c r="N18">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18" t="b">
        <f>E_g_valg[[#This Row],[Teststørrelse]]=E_g_valg[[#This Row],[Venstre teststørrelse]]</f>
        <v>1</v>
      </c>
      <c r="P18" t="b">
        <f>OR(MATCH(E_g_valg[[#This Row],[Hypotese]],HypoteseRetning_liste,0)=2,MATCH(E_g_valg[[#This Row],[Hypotese]],HypoteseRetning_liste,0)=3)</f>
        <v>1</v>
      </c>
      <c r="Q18">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0.81180565478619116</v>
      </c>
      <c r="R18" t="b">
        <f>E_g_valg[[#This Row],[p-værdi]]&gt;1-Eu_g_konfidensniveau</f>
        <v>1</v>
      </c>
      <c r="S18">
        <f t="shared" si="0"/>
        <v>0.999</v>
      </c>
      <c r="T18">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18">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18">
        <f>MIN(E_g_valg[[#This Row],[Teststørrelse]],E_g_valg[[#This Row],[Teststørrelse omvendt]])</f>
        <v>-0.8845698192548983</v>
      </c>
      <c r="W18">
        <f>CHOOSE(MATCH(E_g_valg[[#This Row],[Fordeling]],Fordeling_liste,0),_xlfn.NORM.INV(0.5,E_g_valg[[#This Row],[Parameter 1]],E_g_valg[[#This Row],[Parameter 2]]),_xlfn.T.INV(0.5,E_g_valg[[#This Row],[Parameter 1]]),_xlfn.CHISQ.INV(0.5,E_g_valg[[#This Row],[Parameter 1]]),_xlfn.F.INV(0.5,E_g_valg[[#This Row],[Parameter 1]],E_g_valg[[#This Row],[Parameter 2]]))</f>
        <v>0</v>
      </c>
      <c r="X18">
        <f>MAX(E_g_valg[[#This Row],[Teststørrelse]],E_g_valg[[#This Row],[Teststørrelse omvendt]])</f>
        <v>0.8845698192548983</v>
      </c>
      <c r="Y18">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0.1881943452138089</v>
      </c>
      <c r="Z18">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0.81180565478619116</v>
      </c>
      <c r="AA18">
        <f>E_g_valg[[#This Row],[Mindre end højre %]]-E_g_valg[[#This Row],[Mindre end venstre %]]</f>
        <v>0.62361130957238231</v>
      </c>
      <c r="AB18">
        <f>1-E_g_valg[[#This Row],[Mindre end venstre %]]</f>
        <v>0.81180565478619116</v>
      </c>
      <c r="AC18">
        <f>1-E_g_valg[[#This Row],[Mindre end højre %]]</f>
        <v>0.18819434521380884</v>
      </c>
      <c r="AD18"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18.819% mindre end -1.505</v>
      </c>
      <c r="AE18" t="str">
        <f>IF(OR(MATCH(E_g_valg[[#This Row],[Hypotese]],HypoteseRetning_liste,0)=1,MATCH(E_g_valg[[#This Row],[Hypotese]],HypoteseRetning_liste,0)=4),ROUND(E_g_valg[[#This Row],[Midt %]],5)*100&amp;"% mellem "&amp;E_g_valg[[#This Row],[Venstre label]]&amp;" og "&amp;E_g_valg[[#This Row],[Højre label]]," ")</f>
        <v xml:space="preserve"> </v>
      </c>
      <c r="AF18"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81.181% større end -1.505</v>
      </c>
      <c r="AG18">
        <f>IF(AND(NOT(E_g_valg[[#This Row],[Orientering]]),E_g_valg[[#This Row],[Ensidet]]),(E_g_valg[[#This Row],[Højre teststørrelse]]-E_g_valg[[#This Row],[X min]])/(E_g_valg[[#This Row],[X max]]-E_g_valg[[#This Row],[X min]]),(E_g_valg[[#This Row],[Venstre teststørrelse]]-E_g_valg[[#This Row],[X min]])/(E_g_valg[[#This Row],[X max]]-E_g_valg[[#This Row],[X min]]))</f>
        <v>0.35687648506402248</v>
      </c>
      <c r="AH18">
        <f>(E_g_valg[[#This Row],[Midtpunkt teststørrelse]]-E_g_valg[[#This Row],[X min]])/(E_g_valg[[#This Row],[X max]]-E_g_valg[[#This Row],[X min]])</f>
        <v>0.5</v>
      </c>
      <c r="AI18">
        <f>IF(AND(E_g_valg[[#This Row],[Orientering]],E_g_valg[[#This Row],[Ensidet]]),(E_g_valg[[#This Row],[Venstre teststørrelse]]-E_g_valg[[#This Row],[X min]])/(E_g_valg[[#This Row],[X max]]-E_g_valg[[#This Row],[X min]]),(E_g_valg[[#This Row],[Højre teststørrelse]]-E_g_valg[[#This Row],[X min]])/(E_g_valg[[#This Row],[X max]]-E_g_valg[[#This Row],[X min]]))</f>
        <v>0.35687648506402248</v>
      </c>
      <c r="AJ18" t="s">
        <v>300</v>
      </c>
      <c r="AK18">
        <f>_xlfn.AGGREGATE(3,5,E_g_valg[[#This Row],[Parameter]])</f>
        <v>1</v>
      </c>
      <c r="AL18">
        <v>2</v>
      </c>
      <c r="AM18">
        <v>17</v>
      </c>
      <c r="AN18" t="str">
        <f>IF(AND(E_g_valg[[#This Row],[Kontrol af forudsætning 1]],E_g_valg[[#This Row],[Kontrol af forudsætning 2]]),"Hypotesetest om forskel mellem gennemsnit
Nulhypotesen om at forskellen mellem gennemsnittene i "&amp;Eu_g_t_x&amp;" og "&amp;Eu_g_t_y&amp;" er mindre end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mindre end 0
kan ikke afvises med 95% konfidens</v>
      </c>
      <c r="AO18"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18" t="s">
        <v>15</v>
      </c>
      <c r="AQ18" t="b">
        <f t="shared" si="3"/>
        <v>1</v>
      </c>
      <c r="AR18" t="s">
        <v>172</v>
      </c>
      <c r="AS18" t="b">
        <f t="shared" si="4"/>
        <v>1</v>
      </c>
      <c r="AT18" t="s">
        <v>165</v>
      </c>
      <c r="AU18" t="b">
        <f>AND(Eu_g_n_x&gt;=30,Eu_g_n_y&gt;=30)</f>
        <v>0</v>
      </c>
      <c r="AV18" t="s">
        <v>180</v>
      </c>
      <c r="AW18" t="s">
        <v>185</v>
      </c>
    </row>
    <row r="19" spans="1:50" x14ac:dyDescent="0.2">
      <c r="A19" t="s">
        <v>0</v>
      </c>
      <c r="B19" t="s">
        <v>134</v>
      </c>
      <c r="C19" t="s">
        <v>137</v>
      </c>
      <c r="D19" t="s">
        <v>128</v>
      </c>
      <c r="E19" s="29">
        <f>Eu_g_n_x+Eu_g_n_y-2</f>
        <v>22</v>
      </c>
      <c r="G19">
        <f>IFERROR((Eu_g_g_x-Eu_g_g_y-(Eu_g_h0_x-Eu_g_h0_y))/(SQRT(((Eu_g_n_x-1)*Eu_g_s_x^2+(Eu_g_n_y-1)*Eu_g_s_y^2)/(Eu_g_n_x+Eu_g_n_y-2))*SQRT(1/Eu_g_n_x+1/Eu_g_n_y)),NA())</f>
        <v>-0.8845698192548983</v>
      </c>
      <c r="H19">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19">
        <f>E_g_valg[[#This Row],[Venstre teststørrelse]]*(SQRT(((Eu_g_n_x-1)*Eu_g_s_x^2+(Eu_g_n_y-1)*Eu_g_s_y^2)/(Eu_g_n_x+Eu_g_n_y-2))*SQRT(1/Eu_g_n_x+1/Eu_g_n_y))+(Eu_g_h0_x-Eu_g_h0_y)</f>
        <v>-1.5054022174376644</v>
      </c>
      <c r="J19">
        <f>E_g_valg[[#This Row],[Midtpunkt teststørrelse]]*(SQRT(((Eu_g_n_x-1)*Eu_g_s_x^2+(Eu_g_n_y-1)*Eu_g_s_y^2)/(Eu_g_n_x+Eu_g_n_y-2))*SQRT(1/Eu_g_n_x+1/Eu_g_n_y))+(Eu_g_h0_x-Eu_g_h0_y)</f>
        <v>0</v>
      </c>
      <c r="K19">
        <f>E_g_valg[[#This Row],[Højre teststørrelse]]*(SQRT(((Eu_g_n_x-1)*Eu_g_s_x^2+(Eu_g_n_y-1)*Eu_g_s_y^2)/(Eu_g_n_x+Eu_g_n_y-2))*SQRT(1/Eu_g_n_x+1/Eu_g_n_y))+(Eu_g_h0_x-Eu_g_h0_y)</f>
        <v>1.5054022174376644</v>
      </c>
      <c r="L19">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19">
        <f>IF(E_g_valg[[#This Row],[Parameter]]="andel",ROUND(E_g_valg[[#This Row],[Midtpunkt label base]],5)*100&amp;"%",ROUND(E_g_valg[[#This Row],[Midtpunkt label base]],3))</f>
        <v>0</v>
      </c>
      <c r="N19">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19" t="b">
        <f>E_g_valg[[#This Row],[Teststørrelse]]=E_g_valg[[#This Row],[Venstre teststørrelse]]</f>
        <v>1</v>
      </c>
      <c r="P19" t="b">
        <f>OR(MATCH(E_g_valg[[#This Row],[Hypotese]],HypoteseRetning_liste,0)=2,MATCH(E_g_valg[[#This Row],[Hypotese]],HypoteseRetning_liste,0)=3)</f>
        <v>1</v>
      </c>
      <c r="Q19">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0.80702280712011143</v>
      </c>
      <c r="R19" t="b">
        <f>E_g_valg[[#This Row],[p-værdi]]&gt;1-Eu_g_konfidensniveau</f>
        <v>1</v>
      </c>
      <c r="S19">
        <f t="shared" si="0"/>
        <v>0.999</v>
      </c>
      <c r="T19">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-3.5049920310846616</v>
      </c>
      <c r="U19">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3.5049920310846616</v>
      </c>
      <c r="V19">
        <f>MIN(E_g_valg[[#This Row],[Teststørrelse]],E_g_valg[[#This Row],[Teststørrelse omvendt]])</f>
        <v>-0.8845698192548983</v>
      </c>
      <c r="W19">
        <f>CHOOSE(MATCH(E_g_valg[[#This Row],[Fordeling]],Fordeling_liste,0),_xlfn.NORM.INV(0.5,E_g_valg[[#This Row],[Parameter 1]],E_g_valg[[#This Row],[Parameter 2]]),_xlfn.T.INV(0.5,E_g_valg[[#This Row],[Parameter 1]]),_xlfn.CHISQ.INV(0.5,E_g_valg[[#This Row],[Parameter 1]]),_xlfn.F.INV(0.5,E_g_valg[[#This Row],[Parameter 1]],E_g_valg[[#This Row],[Parameter 2]]))</f>
        <v>0</v>
      </c>
      <c r="X19">
        <f>MAX(E_g_valg[[#This Row],[Teststørrelse]],E_g_valg[[#This Row],[Teststørrelse omvendt]])</f>
        <v>0.8845698192548983</v>
      </c>
      <c r="Y19">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0.19297719287988857</v>
      </c>
      <c r="Z19">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0.80702280712011143</v>
      </c>
      <c r="AA19">
        <f>E_g_valg[[#This Row],[Mindre end højre %]]-E_g_valg[[#This Row],[Mindre end venstre %]]</f>
        <v>0.61404561424022286</v>
      </c>
      <c r="AB19">
        <f>1-E_g_valg[[#This Row],[Mindre end venstre %]]</f>
        <v>0.80702280712011143</v>
      </c>
      <c r="AC19">
        <f>1-E_g_valg[[#This Row],[Mindre end højre %]]</f>
        <v>0.19297719287988857</v>
      </c>
      <c r="AD19"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19.298% mindre end -1.505</v>
      </c>
      <c r="AE19" t="str">
        <f>IF(OR(MATCH(E_g_valg[[#This Row],[Hypotese]],HypoteseRetning_liste,0)=1,MATCH(E_g_valg[[#This Row],[Hypotese]],HypoteseRetning_liste,0)=4),ROUND(E_g_valg[[#This Row],[Midt %]],5)*100&amp;"% mellem "&amp;E_g_valg[[#This Row],[Venstre label]]&amp;" og "&amp;E_g_valg[[#This Row],[Højre label]]," ")</f>
        <v xml:space="preserve"> </v>
      </c>
      <c r="AF19"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80.702% større end -1.505</v>
      </c>
      <c r="AG19">
        <f>IF(AND(NOT(E_g_valg[[#This Row],[Orientering]]),E_g_valg[[#This Row],[Ensidet]]),(E_g_valg[[#This Row],[Højre teststørrelse]]-E_g_valg[[#This Row],[X min]])/(E_g_valg[[#This Row],[X max]]-E_g_valg[[#This Row],[X min]]),(E_g_valg[[#This Row],[Venstre teststørrelse]]-E_g_valg[[#This Row],[X min]])/(E_g_valg[[#This Row],[X max]]-E_g_valg[[#This Row],[X min]]))</f>
        <v>0.37381286299513244</v>
      </c>
      <c r="AH19">
        <f>(E_g_valg[[#This Row],[Midtpunkt teststørrelse]]-E_g_valg[[#This Row],[X min]])/(E_g_valg[[#This Row],[X max]]-E_g_valg[[#This Row],[X min]])</f>
        <v>0.5</v>
      </c>
      <c r="AI19">
        <f>IF(AND(E_g_valg[[#This Row],[Orientering]],E_g_valg[[#This Row],[Ensidet]]),(E_g_valg[[#This Row],[Venstre teststørrelse]]-E_g_valg[[#This Row],[X min]])/(E_g_valg[[#This Row],[X max]]-E_g_valg[[#This Row],[X min]]),(E_g_valg[[#This Row],[Højre teststørrelse]]-E_g_valg[[#This Row],[X min]])/(E_g_valg[[#This Row],[X max]]-E_g_valg[[#This Row],[X min]]))</f>
        <v>0.37381286299513244</v>
      </c>
      <c r="AJ19" t="s">
        <v>300</v>
      </c>
      <c r="AK19">
        <f>_xlfn.AGGREGATE(3,5,E_g_valg[[#This Row],[Parameter]])</f>
        <v>1</v>
      </c>
      <c r="AL19">
        <v>2</v>
      </c>
      <c r="AM19">
        <v>18</v>
      </c>
      <c r="AN19" t="str">
        <f>IF(AND(E_g_valg[[#This Row],[Kontrol af forudsætning 1]],E_g_valg[[#This Row],[Kontrol af forudsætning 2]]),"Hypotesetest om forskel mellem gennemsnit
Nulhypotesen om at forskellen mellem gennemsnittene i "&amp;Eu_g_t_x&amp;" og "&amp;Eu_g_t_y&amp;" er mindre end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mindre end 0
kan ikke afvises med 95% konfidens</v>
      </c>
      <c r="AO19"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19" t="s">
        <v>15</v>
      </c>
      <c r="AQ19" t="b">
        <f t="shared" si="3"/>
        <v>1</v>
      </c>
      <c r="AR19" t="s">
        <v>172</v>
      </c>
      <c r="AS19" t="b">
        <f t="shared" si="4"/>
        <v>1</v>
      </c>
      <c r="AT19" t="s">
        <v>166</v>
      </c>
      <c r="AU19" t="b">
        <f>NOT(AND(Eu_g_n_x&gt;=30,Eu_g_n_y&gt;=30))</f>
        <v>1</v>
      </c>
      <c r="AV19" t="s">
        <v>182</v>
      </c>
      <c r="AW19" t="s">
        <v>186</v>
      </c>
    </row>
    <row r="20" spans="1:50" x14ac:dyDescent="0.2">
      <c r="A20" t="s">
        <v>0</v>
      </c>
      <c r="B20" t="s">
        <v>134</v>
      </c>
      <c r="C20" t="s">
        <v>139</v>
      </c>
      <c r="D20" t="s">
        <v>128</v>
      </c>
      <c r="E20" s="29">
        <f>(Eu_g_s_x^2/Eu_g_n_x+Eu_g_s_y^2/Eu_g_n_y)^2/((Eu_g_s_x^2/Eu_g_n_x)^2/(Eu_g_n_x-1)+(Eu_g_s_y^2/Eu_g_n_y)^2/(Eu_g_n_y-1))</f>
        <v>21.900486557523873</v>
      </c>
      <c r="G20">
        <f>IFERROR((Eu_g_g_x-Eu_g_g_y-(Eu_g_h0_x-Eu_g_h0_y))/(SQRT(Eu_g_s_x^2/Eu_g_n_x+Eu_g_s_y^2/Eu_g_n_y)),NA())</f>
        <v>-0.8845698192548983</v>
      </c>
      <c r="H20">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20">
        <f>E_g_valg[[#This Row],[Venstre teststørrelse]]*(SQRT(Eu_g_s_x^2/Eu_g_n_x+Eu_g_s_y^2/Eu_g_n_y))+(Eu_g_h0_x-Eu_g_h0_y)</f>
        <v>-1.5054022174376644</v>
      </c>
      <c r="J20">
        <f>E_g_valg[[#This Row],[Midtpunkt teststørrelse]]*(SQRT(Eu_g_s_x^2/Eu_g_n_x+Eu_g_s_y^2/Eu_g_n_y))+(Eu_g_h0_x-Eu_g_h0_y)</f>
        <v>0</v>
      </c>
      <c r="K20">
        <f>E_g_valg[[#This Row],[Højre teststørrelse]]*(SQRT(Eu_g_s_x^2/Eu_g_n_x+Eu_g_s_y^2/Eu_g_n_y))+(Eu_g_h0_x-Eu_g_h0_y)</f>
        <v>1.5054022174376644</v>
      </c>
      <c r="L20">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20">
        <f>IF(E_g_valg[[#This Row],[Parameter]]="andel",ROUND(E_g_valg[[#This Row],[Midtpunkt label base]],5)*100&amp;"%",ROUND(E_g_valg[[#This Row],[Midtpunkt label base]],3))</f>
        <v>0</v>
      </c>
      <c r="N20">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20" t="b">
        <f>E_g_valg[[#This Row],[Teststørrelse]]=E_g_valg[[#This Row],[Venstre teststørrelse]]</f>
        <v>1</v>
      </c>
      <c r="P20" t="b">
        <f>OR(MATCH(E_g_valg[[#This Row],[Hypotese]],HypoteseRetning_liste,0)=2,MATCH(E_g_valg[[#This Row],[Hypotese]],HypoteseRetning_liste,0)=3)</f>
        <v>1</v>
      </c>
      <c r="Q20">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0.80679761559610563</v>
      </c>
      <c r="R20" t="b">
        <f>E_g_valg[[#This Row],[p-værdi]]&gt;1-Eu_g_konfidensniveau</f>
        <v>1</v>
      </c>
      <c r="S20">
        <f t="shared" si="0"/>
        <v>0.999</v>
      </c>
      <c r="T20">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-3.5271536688691771</v>
      </c>
      <c r="U20">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3.5271536688691771</v>
      </c>
      <c r="V20">
        <f>MIN(E_g_valg[[#This Row],[Teststørrelse]],E_g_valg[[#This Row],[Teststørrelse omvendt]])</f>
        <v>-0.8845698192548983</v>
      </c>
      <c r="W20">
        <f>CHOOSE(MATCH(E_g_valg[[#This Row],[Fordeling]],Fordeling_liste,0),_xlfn.NORM.INV(0.5,E_g_valg[[#This Row],[Parameter 1]],E_g_valg[[#This Row],[Parameter 2]]),_xlfn.T.INV(0.5,E_g_valg[[#This Row],[Parameter 1]]),_xlfn.CHISQ.INV(0.5,E_g_valg[[#This Row],[Parameter 1]]),_xlfn.F.INV(0.5,E_g_valg[[#This Row],[Parameter 1]],E_g_valg[[#This Row],[Parameter 2]]))</f>
        <v>0</v>
      </c>
      <c r="X20">
        <f>MAX(E_g_valg[[#This Row],[Teststørrelse]],E_g_valg[[#This Row],[Teststørrelse omvendt]])</f>
        <v>0.8845698192548983</v>
      </c>
      <c r="Y20">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0.19320238440389431</v>
      </c>
      <c r="Z20">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0.80679761559610563</v>
      </c>
      <c r="AA20">
        <f>E_g_valg[[#This Row],[Mindre end højre %]]-E_g_valg[[#This Row],[Mindre end venstre %]]</f>
        <v>0.61359523119221127</v>
      </c>
      <c r="AB20">
        <f>1-E_g_valg[[#This Row],[Mindre end venstre %]]</f>
        <v>0.80679761559610563</v>
      </c>
      <c r="AC20">
        <f>1-E_g_valg[[#This Row],[Mindre end højre %]]</f>
        <v>0.19320238440389437</v>
      </c>
      <c r="AD20"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19.32% mindre end -1.505</v>
      </c>
      <c r="AE20" t="str">
        <f>IF(OR(MATCH(E_g_valg[[#This Row],[Hypotese]],HypoteseRetning_liste,0)=1,MATCH(E_g_valg[[#This Row],[Hypotese]],HypoteseRetning_liste,0)=4),ROUND(E_g_valg[[#This Row],[Midt %]],5)*100&amp;"% mellem "&amp;E_g_valg[[#This Row],[Venstre label]]&amp;" og "&amp;E_g_valg[[#This Row],[Højre label]]," ")</f>
        <v xml:space="preserve"> </v>
      </c>
      <c r="AF20"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80.68% større end -1.505</v>
      </c>
      <c r="AG20">
        <f>IF(AND(NOT(E_g_valg[[#This Row],[Orientering]]),E_g_valg[[#This Row],[Ensidet]]),(E_g_valg[[#This Row],[Højre teststørrelse]]-E_g_valg[[#This Row],[X min]])/(E_g_valg[[#This Row],[X max]]-E_g_valg[[#This Row],[X min]]),(E_g_valg[[#This Row],[Venstre teststørrelse]]-E_g_valg[[#This Row],[X min]])/(E_g_valg[[#This Row],[X max]]-E_g_valg[[#This Row],[X min]]))</f>
        <v>0.37460571578406787</v>
      </c>
      <c r="AH20">
        <f>(E_g_valg[[#This Row],[Midtpunkt teststørrelse]]-E_g_valg[[#This Row],[X min]])/(E_g_valg[[#This Row],[X max]]-E_g_valg[[#This Row],[X min]])</f>
        <v>0.5</v>
      </c>
      <c r="AI20">
        <f>IF(AND(E_g_valg[[#This Row],[Orientering]],E_g_valg[[#This Row],[Ensidet]]),(E_g_valg[[#This Row],[Venstre teststørrelse]]-E_g_valg[[#This Row],[X min]])/(E_g_valg[[#This Row],[X max]]-E_g_valg[[#This Row],[X min]]),(E_g_valg[[#This Row],[Højre teststørrelse]]-E_g_valg[[#This Row],[X min]])/(E_g_valg[[#This Row],[X max]]-E_g_valg[[#This Row],[X min]]))</f>
        <v>0.37460571578406787</v>
      </c>
      <c r="AJ20" t="s">
        <v>300</v>
      </c>
      <c r="AK20">
        <f>_xlfn.AGGREGATE(3,5,E_g_valg[[#This Row],[Parameter]])</f>
        <v>1</v>
      </c>
      <c r="AL20">
        <v>2</v>
      </c>
      <c r="AM20">
        <v>19</v>
      </c>
      <c r="AN20" t="str">
        <f>IF(AND(E_g_valg[[#This Row],[Kontrol af forudsætning 1]],E_g_valg[[#This Row],[Kontrol af forudsætning 2]]),"Hypotesetest om forskel mellem gennemsnit
Nulhypotesen om at forskellen mellem gennemsnittene i "&amp;Eu_g_t_x&amp;" og "&amp;Eu_g_t_y&amp;" er mindre end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mindre end 0
kan ikke afvises med 95% konfidens</v>
      </c>
      <c r="AO20"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20" t="s">
        <v>15</v>
      </c>
      <c r="AQ20" t="b">
        <f t="shared" si="3"/>
        <v>1</v>
      </c>
      <c r="AR20" t="s">
        <v>172</v>
      </c>
      <c r="AS20" t="b">
        <f t="shared" si="4"/>
        <v>1</v>
      </c>
      <c r="AT20" t="s">
        <v>166</v>
      </c>
      <c r="AU20" t="b">
        <f>NOT(AND(Eu_g_n_x&gt;=30,Eu_g_n_y&gt;=30))</f>
        <v>1</v>
      </c>
      <c r="AV20" t="s">
        <v>183</v>
      </c>
      <c r="AW20" t="s">
        <v>186</v>
      </c>
    </row>
    <row r="21" spans="1:50" x14ac:dyDescent="0.2">
      <c r="A21" t="s">
        <v>0</v>
      </c>
      <c r="B21" t="s">
        <v>134</v>
      </c>
      <c r="C21" t="s">
        <v>138</v>
      </c>
      <c r="D21" t="s">
        <v>126</v>
      </c>
      <c r="E21" s="29">
        <v>0</v>
      </c>
      <c r="F21">
        <v>1</v>
      </c>
      <c r="G21" t="e">
        <f>IFERROR((Eu_g_g_x-Eu_g_g_y-(Eu_g_h0_x-Eu_g_h0_y))/SQRT(Eu_g_s_population_x^2/Eu_g_n_x+Eu_g_s_population_y^2/Eu_g_n_y),NA())</f>
        <v>#N/A</v>
      </c>
      <c r="H21" t="e">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#N/A</v>
      </c>
      <c r="I21" t="e">
        <f>E_g_valg[[#This Row],[Venstre teststørrelse]]*SQRT(Eu_g_s_population_x^2/Eu_g_n_x+Eu_g_s_population_y^2/Eu_g_n_y)+(Eu_g_h0_x-Eu_g_h0_y)</f>
        <v>#N/A</v>
      </c>
      <c r="J21">
        <f>E_g_valg[[#This Row],[Midtpunkt teststørrelse]]*SQRT(Eu_g_s_population_x^2/Eu_g_n_x+Eu_g_s_population_y^2/Eu_g_n_y)+(Eu_g_h0_x-Eu_g_h0_y)</f>
        <v>0</v>
      </c>
      <c r="K21" t="e">
        <f>E_g_valg[[#This Row],[Højre teststørrelse]]*SQRT(Eu_g_s_population_x^2/Eu_g_n_x+Eu_g_s_population_y^2/Eu_g_n_y)+(Eu_g_h0_x-Eu_g_h0_y)</f>
        <v>#N/A</v>
      </c>
      <c r="L21" t="e">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#N/A</v>
      </c>
      <c r="M21">
        <f>IF(E_g_valg[[#This Row],[Parameter]]="andel",ROUND(E_g_valg[[#This Row],[Midtpunkt label base]],5)*100&amp;"%",ROUND(E_g_valg[[#This Row],[Midtpunkt label base]],3))</f>
        <v>0</v>
      </c>
      <c r="N21" t="e">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#N/A</v>
      </c>
      <c r="O21" t="e">
        <f>E_g_valg[[#This Row],[Teststørrelse]]=E_g_valg[[#This Row],[Venstre teststørrelse]]</f>
        <v>#N/A</v>
      </c>
      <c r="P21" t="b">
        <f>OR(MATCH(E_g_valg[[#This Row],[Hypotese]],HypoteseRetning_liste,0)=2,MATCH(E_g_valg[[#This Row],[Hypotese]],HypoteseRetning_liste,0)=3)</f>
        <v>1</v>
      </c>
      <c r="Q21" t="e">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#N/A</v>
      </c>
      <c r="R21" t="e">
        <f>E_g_valg[[#This Row],[p-værdi]]&gt;1-Eu_g_konfidensniveau</f>
        <v>#N/A</v>
      </c>
      <c r="S21">
        <f t="shared" si="0"/>
        <v>0.999</v>
      </c>
      <c r="T21">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21">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21" t="e">
        <f>MIN(E_g_valg[[#This Row],[Teststørrelse]],E_g_valg[[#This Row],[Teststørrelse omvendt]])</f>
        <v>#N/A</v>
      </c>
      <c r="W21">
        <f>CHOOSE(MATCH(E_g_valg[[#This Row],[Fordeling]],Fordeling_liste,0),_xlfn.NORM.INV(0.5,E_g_valg[[#This Row],[Parameter 1]],E_g_valg[[#This Row],[Parameter 2]]),_xlfn.T.INV(0.5,E_g_valg[[#This Row],[Parameter 1]]),_xlfn.CHISQ.INV(0.5,E_g_valg[[#This Row],[Parameter 1]]),_xlfn.F.INV(0.5,E_g_valg[[#This Row],[Parameter 1]],E_g_valg[[#This Row],[Parameter 2]]))</f>
        <v>0</v>
      </c>
      <c r="X21" t="e">
        <f>MAX(E_g_valg[[#This Row],[Teststørrelse]],E_g_valg[[#This Row],[Teststørrelse omvendt]])</f>
        <v>#N/A</v>
      </c>
      <c r="Y21" t="e">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#N/A</v>
      </c>
      <c r="Z21" t="e">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#N/A</v>
      </c>
      <c r="AA21" t="e">
        <f>E_g_valg[[#This Row],[Mindre end højre %]]-E_g_valg[[#This Row],[Mindre end venstre %]]</f>
        <v>#N/A</v>
      </c>
      <c r="AB21" t="e">
        <f>1-E_g_valg[[#This Row],[Mindre end venstre %]]</f>
        <v>#N/A</v>
      </c>
      <c r="AC21" t="e">
        <f>1-E_g_valg[[#This Row],[Mindre end højre %]]</f>
        <v>#N/A</v>
      </c>
      <c r="AD21" t="e">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#N/A</v>
      </c>
      <c r="AE21" t="str">
        <f>IF(OR(MATCH(E_g_valg[[#This Row],[Hypotese]],HypoteseRetning_liste,0)=1,MATCH(E_g_valg[[#This Row],[Hypotese]],HypoteseRetning_liste,0)=4),ROUND(E_g_valg[[#This Row],[Midt %]],5)*100&amp;"% mellem "&amp;E_g_valg[[#This Row],[Venstre label]]&amp;" og "&amp;E_g_valg[[#This Row],[Højre label]]," ")</f>
        <v xml:space="preserve"> </v>
      </c>
      <c r="AF21" t="e">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#N/A</v>
      </c>
      <c r="AG21" t="e">
        <f>IF(AND(NOT(E_g_valg[[#This Row],[Orientering]]),E_g_valg[[#This Row],[Ensidet]]),(E_g_valg[[#This Row],[Højre teststørrelse]]-E_g_valg[[#This Row],[X min]])/(E_g_valg[[#This Row],[X max]]-E_g_valg[[#This Row],[X min]]),(E_g_valg[[#This Row],[Venstre teststørrelse]]-E_g_valg[[#This Row],[X min]])/(E_g_valg[[#This Row],[X max]]-E_g_valg[[#This Row],[X min]]))</f>
        <v>#N/A</v>
      </c>
      <c r="AH21">
        <f>(E_g_valg[[#This Row],[Midtpunkt teststørrelse]]-E_g_valg[[#This Row],[X min]])/(E_g_valg[[#This Row],[X max]]-E_g_valg[[#This Row],[X min]])</f>
        <v>0.5</v>
      </c>
      <c r="AI21" t="e">
        <f>IF(AND(E_g_valg[[#This Row],[Orientering]],E_g_valg[[#This Row],[Ensidet]]),(E_g_valg[[#This Row],[Venstre teststørrelse]]-E_g_valg[[#This Row],[X min]])/(E_g_valg[[#This Row],[X max]]-E_g_valg[[#This Row],[X min]]),(E_g_valg[[#This Row],[Højre teststørrelse]]-E_g_valg[[#This Row],[X min]])/(E_g_valg[[#This Row],[X max]]-E_g_valg[[#This Row],[X min]]))</f>
        <v>#N/A</v>
      </c>
      <c r="AJ21" t="s">
        <v>300</v>
      </c>
      <c r="AK21">
        <f>_xlfn.AGGREGATE(3,5,E_g_valg[[#This Row],[Parameter]])</f>
        <v>1</v>
      </c>
      <c r="AL21">
        <v>2</v>
      </c>
      <c r="AM21">
        <v>20</v>
      </c>
      <c r="AN21" t="e">
        <f>IF(AND(E_g_valg[[#This Row],[Kontrol af forudsætning 1]],E_g_valg[[#This Row],[Kontrol af forudsætning 2]],E_g_valg[[#This Row],[Kontrol af forudsætning 3]]),"Hypotesetest om forskel mellem gennemsnit
Nulhypotesen om at forskellen mellem gennemsnittene i "&amp;Eu_g_t_x&amp;" og "&amp;Eu_g_t_y&amp;" er mindre end "&amp;ROUND(Eu_g_h0_x-Eu_g_h0_y,3)&amp;"
"&amp;IF(E_g_valg[[#This Row],[Nulhypotese kan ikke afvises]],"kan ikke ","")&amp;"afvises med "&amp;Eu_g_konfidensniveau*100&amp;"% konfidens","Kan ikke beregne hypotesetest om forskel mellem gennemsnit med angivne standardafvigelser")</f>
        <v>#N/A</v>
      </c>
      <c r="AO21" t="str">
        <f>"Forskel i gennemsnit i stikprøver af størrelsen n = "&amp;Eu_g_n_x&amp;" og "&amp;Eu_g_n_y&amp;"
fra to populationer med forskel = "&amp;IFERROR(ROUND(Eu_g_h0_x-Eu_g_h0_y,3),"Hypotese ikke angivet")&amp;"
og standardafvigelser = "&amp;IFERROR(ROUND(Eu_g_s_population_x,3)&amp;" og "&amp;ROUND(Eu_g_s_population_y,3),"Hypotese ikke angivet")</f>
        <v>Forskel i gennemsnit i stikprøver af størrelsen n = 12 og 12
fra to populationer med forskel = 0
og standardafvigelser = 0 og 0</v>
      </c>
      <c r="AP21" t="s">
        <v>15</v>
      </c>
      <c r="AQ21" t="b">
        <f t="shared" si="3"/>
        <v>1</v>
      </c>
      <c r="AR21" t="s">
        <v>172</v>
      </c>
      <c r="AS21" t="b">
        <f t="shared" si="4"/>
        <v>1</v>
      </c>
      <c r="AT21" t="s">
        <v>175</v>
      </c>
      <c r="AU21" t="b">
        <f>NOT(OR(ISNA(Eu_g_s_population_x),ISNA(Eu_g_s_population_y)))</f>
        <v>1</v>
      </c>
      <c r="AV21" t="s">
        <v>181</v>
      </c>
      <c r="AW21" t="s">
        <v>185</v>
      </c>
    </row>
    <row r="22" spans="1:50" x14ac:dyDescent="0.2">
      <c r="A22" t="s">
        <v>0</v>
      </c>
      <c r="B22" t="s">
        <v>135</v>
      </c>
      <c r="C22" t="s">
        <v>126</v>
      </c>
      <c r="D22" t="s">
        <v>126</v>
      </c>
      <c r="E22" s="29">
        <v>0</v>
      </c>
      <c r="F22">
        <v>1</v>
      </c>
      <c r="G22">
        <f>IFERROR((Eu_g_g_x-Eu_g_g_y-(Eu_g_h0_x-Eu_g_h0_y))/SQRT(Eu_g_s_x^2/Eu_g_n_x+Eu_g_s_y^2/Eu_g_n_y),NA())</f>
        <v>-0.8845698192548983</v>
      </c>
      <c r="H22">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22">
        <f>E_g_valg[[#This Row],[Venstre teststørrelse]]*SQRT(Eu_g_s_x^2/Eu_g_n_x+Eu_g_s_y^2/Eu_g_n_y)+(Eu_g_h0_x-Eu_g_h0_y)</f>
        <v>-1.5054022174376644</v>
      </c>
      <c r="J22">
        <f>E_g_valg[[#This Row],[Midtpunkt teststørrelse]]*SQRT(Eu_g_s_x^2/Eu_g_n_x+Eu_g_s_y^2/Eu_g_n_y)+(Eu_g_h0_x-Eu_g_h0_y)</f>
        <v>0</v>
      </c>
      <c r="K22">
        <f>E_g_valg[[#This Row],[Højre teststørrelse]]*SQRT(Eu_g_s_x^2/Eu_g_n_x+Eu_g_s_y^2/Eu_g_n_y)+(Eu_g_h0_x-Eu_g_h0_y)</f>
        <v>1.5054022174376644</v>
      </c>
      <c r="L22">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22">
        <f>IF(E_g_valg[[#This Row],[Parameter]]="andel",ROUND(E_g_valg[[#This Row],[Midtpunkt label base]],5)*100&amp;"%",ROUND(E_g_valg[[#This Row],[Midtpunkt label base]],3))</f>
        <v>0</v>
      </c>
      <c r="N22">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22" t="b">
        <f>E_g_valg[[#This Row],[Teststørrelse]]=E_g_valg[[#This Row],[Venstre teststørrelse]]</f>
        <v>1</v>
      </c>
      <c r="P22" t="b">
        <f>OR(MATCH(E_g_valg[[#This Row],[Hypotese]],HypoteseRetning_liste,0)=2,MATCH(E_g_valg[[#This Row],[Hypotese]],HypoteseRetning_liste,0)=3)</f>
        <v>0</v>
      </c>
      <c r="Q22">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0.37638869042761769</v>
      </c>
      <c r="R22" t="b">
        <f>E_g_valg[[#This Row],[p-værdi]]&gt;1-Eu_g_konfidensniveau</f>
        <v>1</v>
      </c>
      <c r="S22">
        <f t="shared" si="0"/>
        <v>0.999</v>
      </c>
      <c r="T22">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22">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22">
        <f>MIN(E_g_valg[[#This Row],[Teststørrelse]],E_g_valg[[#This Row],[Teststørrelse omvendt]])</f>
        <v>-0.8845698192548983</v>
      </c>
      <c r="W22">
        <f>CHOOSE(MATCH(E_g_valg[[#This Row],[Fordeling]],Fordeling_liste,0),_xlfn.NORM.INV(0.5,E_g_valg[[#This Row],[Parameter 1]],E_g_valg[[#This Row],[Parameter 2]]),_xlfn.T.INV(0.5,E_g_valg[[#This Row],[Parameter 1]]),_xlfn.CHISQ.INV(0.5,E_g_valg[[#This Row],[Parameter 1]]),_xlfn.F.INV(0.5,E_g_valg[[#This Row],[Parameter 1]],E_g_valg[[#This Row],[Parameter 2]]))</f>
        <v>0</v>
      </c>
      <c r="X22">
        <f>MAX(E_g_valg[[#This Row],[Teststørrelse]],E_g_valg[[#This Row],[Teststørrelse omvendt]])</f>
        <v>0.8845698192548983</v>
      </c>
      <c r="Y22">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0.1881943452138089</v>
      </c>
      <c r="Z22">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0.81180565478619116</v>
      </c>
      <c r="AA22">
        <f>E_g_valg[[#This Row],[Mindre end højre %]]-E_g_valg[[#This Row],[Mindre end venstre %]]</f>
        <v>0.62361130957238231</v>
      </c>
      <c r="AB22">
        <f>1-E_g_valg[[#This Row],[Mindre end venstre %]]</f>
        <v>0.81180565478619116</v>
      </c>
      <c r="AC22">
        <f>1-E_g_valg[[#This Row],[Mindre end højre %]]</f>
        <v>0.18819434521380884</v>
      </c>
      <c r="AD22"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18.819% mindre end -1.505</v>
      </c>
      <c r="AE22" t="str">
        <f>IF(OR(MATCH(E_g_valg[[#This Row],[Hypotese]],HypoteseRetning_liste,0)=1,MATCH(E_g_valg[[#This Row],[Hypotese]],HypoteseRetning_liste,0)=4),ROUND(E_g_valg[[#This Row],[Midt %]],5)*100&amp;"% mellem "&amp;E_g_valg[[#This Row],[Venstre label]]&amp;" og "&amp;E_g_valg[[#This Row],[Højre label]]," ")</f>
        <v>62.361% mellem -1.505 og 1.505</v>
      </c>
      <c r="AF22"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18.819% større end 1.505</v>
      </c>
      <c r="AG22">
        <f>IF(AND(NOT(E_g_valg[[#This Row],[Orientering]]),E_g_valg[[#This Row],[Ensidet]]),(E_g_valg[[#This Row],[Højre teststørrelse]]-E_g_valg[[#This Row],[X min]])/(E_g_valg[[#This Row],[X max]]-E_g_valg[[#This Row],[X min]]),(E_g_valg[[#This Row],[Venstre teststørrelse]]-E_g_valg[[#This Row],[X min]])/(E_g_valg[[#This Row],[X max]]-E_g_valg[[#This Row],[X min]]))</f>
        <v>0.35687648506402248</v>
      </c>
      <c r="AH22">
        <f>(E_g_valg[[#This Row],[Midtpunkt teststørrelse]]-E_g_valg[[#This Row],[X min]])/(E_g_valg[[#This Row],[X max]]-E_g_valg[[#This Row],[X min]])</f>
        <v>0.5</v>
      </c>
      <c r="AI22">
        <f>IF(AND(E_g_valg[[#This Row],[Orientering]],E_g_valg[[#This Row],[Ensidet]]),(E_g_valg[[#This Row],[Venstre teststørrelse]]-E_g_valg[[#This Row],[X min]])/(E_g_valg[[#This Row],[X max]]-E_g_valg[[#This Row],[X min]]),(E_g_valg[[#This Row],[Højre teststørrelse]]-E_g_valg[[#This Row],[X min]])/(E_g_valg[[#This Row],[X max]]-E_g_valg[[#This Row],[X min]]))</f>
        <v>0.64312351493597752</v>
      </c>
      <c r="AJ22" t="s">
        <v>125</v>
      </c>
      <c r="AK22">
        <f>_xlfn.AGGREGATE(3,5,E_g_valg[[#This Row],[Parameter]])</f>
        <v>1</v>
      </c>
      <c r="AL22">
        <v>2</v>
      </c>
      <c r="AM22">
        <v>21</v>
      </c>
      <c r="AN22" t="str">
        <f>IF(AND(E_g_valg[[#This Row],[Kontrol af forudsætning 1]],E_g_valg[[#This Row],[Kontrol af forudsætning 2]]),"Hypotesetest om forskel mellem gennemsnit
Nulhypotesen om at forskellen mellem gennemsnittene i "&amp;Eu_g_t_x&amp;" og "&amp;Eu_g_t_y&amp;" er lig med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lig med 0
kan ikke afvises med 95% konfidens</v>
      </c>
      <c r="AO22"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22" t="s">
        <v>15</v>
      </c>
      <c r="AQ22" t="b">
        <f t="shared" si="3"/>
        <v>1</v>
      </c>
      <c r="AR22" t="s">
        <v>172</v>
      </c>
      <c r="AS22" t="b">
        <f t="shared" si="4"/>
        <v>1</v>
      </c>
      <c r="AT22" t="s">
        <v>165</v>
      </c>
      <c r="AU22" t="b">
        <f>AND(Eu_g_n_x&gt;=30,Eu_g_n_y&gt;=30)</f>
        <v>0</v>
      </c>
      <c r="AV22" t="s">
        <v>180</v>
      </c>
      <c r="AW22" t="s">
        <v>185</v>
      </c>
    </row>
    <row r="23" spans="1:50" x14ac:dyDescent="0.2">
      <c r="A23" t="s">
        <v>0</v>
      </c>
      <c r="B23" t="s">
        <v>135</v>
      </c>
      <c r="C23" t="s">
        <v>137</v>
      </c>
      <c r="D23" t="s">
        <v>128</v>
      </c>
      <c r="E23" s="29">
        <f>Eu_g_n_x+Eu_g_n_y-2</f>
        <v>22</v>
      </c>
      <c r="G23">
        <f>IFERROR((Eu_g_g_x-Eu_g_g_y-(Eu_g_h0_x-Eu_g_h0_y))/(SQRT(((Eu_g_n_x-1)*Eu_g_s_x^2+(Eu_g_n_y-1)*Eu_g_s_y^2)/(Eu_g_n_x+Eu_g_n_y-2))*SQRT(1/Eu_g_n_x+1/Eu_g_n_y)),NA())</f>
        <v>-0.8845698192548983</v>
      </c>
      <c r="H23">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23">
        <f>E_g_valg[[#This Row],[Venstre teststørrelse]]*(SQRT(((Eu_g_n_x-1)*Eu_g_s_x^2+(Eu_g_n_y-1)*Eu_g_s_y^2)/(Eu_g_n_x+Eu_g_n_y-2))*SQRT(1/Eu_g_n_x+1/Eu_g_n_y))+(Eu_g_h0_x-Eu_g_h0_y)</f>
        <v>-1.5054022174376644</v>
      </c>
      <c r="J23">
        <f>E_g_valg[[#This Row],[Midtpunkt teststørrelse]]*(SQRT(((Eu_g_n_x-1)*Eu_g_s_x^2+(Eu_g_n_y-1)*Eu_g_s_y^2)/(Eu_g_n_x+Eu_g_n_y-2))*SQRT(1/Eu_g_n_x+1/Eu_g_n_y))+(Eu_g_h0_x-Eu_g_h0_y)</f>
        <v>0</v>
      </c>
      <c r="K23">
        <f>E_g_valg[[#This Row],[Højre teststørrelse]]*(SQRT(((Eu_g_n_x-1)*Eu_g_s_x^2+(Eu_g_n_y-1)*Eu_g_s_y^2)/(Eu_g_n_x+Eu_g_n_y-2))*SQRT(1/Eu_g_n_x+1/Eu_g_n_y))+(Eu_g_h0_x-Eu_g_h0_y)</f>
        <v>1.5054022174376644</v>
      </c>
      <c r="L23">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23">
        <f>IF(E_g_valg[[#This Row],[Parameter]]="andel",ROUND(E_g_valg[[#This Row],[Midtpunkt label base]],5)*100&amp;"%",ROUND(E_g_valg[[#This Row],[Midtpunkt label base]],3))</f>
        <v>0</v>
      </c>
      <c r="N23">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23" t="b">
        <f>E_g_valg[[#This Row],[Teststørrelse]]=E_g_valg[[#This Row],[Venstre teststørrelse]]</f>
        <v>1</v>
      </c>
      <c r="P23" t="b">
        <f>OR(MATCH(E_g_valg[[#This Row],[Hypotese]],HypoteseRetning_liste,0)=2,MATCH(E_g_valg[[#This Row],[Hypotese]],HypoteseRetning_liste,0)=3)</f>
        <v>0</v>
      </c>
      <c r="Q23">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0.38595438575977714</v>
      </c>
      <c r="R23" t="b">
        <f>E_g_valg[[#This Row],[p-værdi]]&gt;1-Eu_g_konfidensniveau</f>
        <v>1</v>
      </c>
      <c r="S23">
        <f t="shared" si="0"/>
        <v>0.999</v>
      </c>
      <c r="T23">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-3.5049920310846616</v>
      </c>
      <c r="U23">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3.5049920310846616</v>
      </c>
      <c r="V23">
        <f>MIN(E_g_valg[[#This Row],[Teststørrelse]],E_g_valg[[#This Row],[Teststørrelse omvendt]])</f>
        <v>-0.8845698192548983</v>
      </c>
      <c r="W23">
        <f>CHOOSE(MATCH(E_g_valg[[#This Row],[Fordeling]],Fordeling_liste,0),_xlfn.NORM.INV(0.5,E_g_valg[[#This Row],[Parameter 1]],E_g_valg[[#This Row],[Parameter 2]]),_xlfn.T.INV(0.5,E_g_valg[[#This Row],[Parameter 1]]),_xlfn.CHISQ.INV(0.5,E_g_valg[[#This Row],[Parameter 1]]),_xlfn.F.INV(0.5,E_g_valg[[#This Row],[Parameter 1]],E_g_valg[[#This Row],[Parameter 2]]))</f>
        <v>0</v>
      </c>
      <c r="X23">
        <f>MAX(E_g_valg[[#This Row],[Teststørrelse]],E_g_valg[[#This Row],[Teststørrelse omvendt]])</f>
        <v>0.8845698192548983</v>
      </c>
      <c r="Y23">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0.19297719287988857</v>
      </c>
      <c r="Z23">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0.80702280712011143</v>
      </c>
      <c r="AA23">
        <f>E_g_valg[[#This Row],[Mindre end højre %]]-E_g_valg[[#This Row],[Mindre end venstre %]]</f>
        <v>0.61404561424022286</v>
      </c>
      <c r="AB23">
        <f>1-E_g_valg[[#This Row],[Mindre end venstre %]]</f>
        <v>0.80702280712011143</v>
      </c>
      <c r="AC23">
        <f>1-E_g_valg[[#This Row],[Mindre end højre %]]</f>
        <v>0.19297719287988857</v>
      </c>
      <c r="AD23"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19.298% mindre end -1.505</v>
      </c>
      <c r="AE23" t="str">
        <f>IF(OR(MATCH(E_g_valg[[#This Row],[Hypotese]],HypoteseRetning_liste,0)=1,MATCH(E_g_valg[[#This Row],[Hypotese]],HypoteseRetning_liste,0)=4),ROUND(E_g_valg[[#This Row],[Midt %]],5)*100&amp;"% mellem "&amp;E_g_valg[[#This Row],[Venstre label]]&amp;" og "&amp;E_g_valg[[#This Row],[Højre label]]," ")</f>
        <v>61.405% mellem -1.505 og 1.505</v>
      </c>
      <c r="AF23"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19.298% større end 1.505</v>
      </c>
      <c r="AG23">
        <f>IF(AND(NOT(E_g_valg[[#This Row],[Orientering]]),E_g_valg[[#This Row],[Ensidet]]),(E_g_valg[[#This Row],[Højre teststørrelse]]-E_g_valg[[#This Row],[X min]])/(E_g_valg[[#This Row],[X max]]-E_g_valg[[#This Row],[X min]]),(E_g_valg[[#This Row],[Venstre teststørrelse]]-E_g_valg[[#This Row],[X min]])/(E_g_valg[[#This Row],[X max]]-E_g_valg[[#This Row],[X min]]))</f>
        <v>0.37381286299513244</v>
      </c>
      <c r="AH23">
        <f>(E_g_valg[[#This Row],[Midtpunkt teststørrelse]]-E_g_valg[[#This Row],[X min]])/(E_g_valg[[#This Row],[X max]]-E_g_valg[[#This Row],[X min]])</f>
        <v>0.5</v>
      </c>
      <c r="AI23">
        <f>IF(AND(E_g_valg[[#This Row],[Orientering]],E_g_valg[[#This Row],[Ensidet]]),(E_g_valg[[#This Row],[Venstre teststørrelse]]-E_g_valg[[#This Row],[X min]])/(E_g_valg[[#This Row],[X max]]-E_g_valg[[#This Row],[X min]]),(E_g_valg[[#This Row],[Højre teststørrelse]]-E_g_valg[[#This Row],[X min]])/(E_g_valg[[#This Row],[X max]]-E_g_valg[[#This Row],[X min]]))</f>
        <v>0.62618713700486761</v>
      </c>
      <c r="AJ23" t="s">
        <v>125</v>
      </c>
      <c r="AK23">
        <f>_xlfn.AGGREGATE(3,5,E_g_valg[[#This Row],[Parameter]])</f>
        <v>1</v>
      </c>
      <c r="AL23">
        <v>2</v>
      </c>
      <c r="AM23">
        <v>22</v>
      </c>
      <c r="AN23" t="str">
        <f>IF(AND(E_g_valg[[#This Row],[Kontrol af forudsætning 1]],E_g_valg[[#This Row],[Kontrol af forudsætning 2]]),"Hypotesetest om forskel mellem gennemsnit
Nulhypotesen om at forskellen mellem gennemsnittene i "&amp;Eu_g_t_x&amp;" og "&amp;Eu_g_t_y&amp;" er lig med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lig med 0
kan ikke afvises med 95% konfidens</v>
      </c>
      <c r="AO23"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23" t="s">
        <v>15</v>
      </c>
      <c r="AQ23" t="b">
        <f t="shared" si="3"/>
        <v>1</v>
      </c>
      <c r="AR23" t="s">
        <v>172</v>
      </c>
      <c r="AS23" t="b">
        <f t="shared" si="4"/>
        <v>1</v>
      </c>
      <c r="AT23" t="s">
        <v>166</v>
      </c>
      <c r="AU23" t="b">
        <f>NOT(AND(Eu_g_n_x&gt;=30,Eu_g_n_y&gt;=30))</f>
        <v>1</v>
      </c>
      <c r="AV23" t="s">
        <v>182</v>
      </c>
      <c r="AW23" t="s">
        <v>186</v>
      </c>
    </row>
    <row r="24" spans="1:50" x14ac:dyDescent="0.2">
      <c r="A24" t="s">
        <v>0</v>
      </c>
      <c r="B24" t="s">
        <v>135</v>
      </c>
      <c r="C24" t="s">
        <v>139</v>
      </c>
      <c r="D24" t="s">
        <v>128</v>
      </c>
      <c r="E24" s="29">
        <f>(Eu_g_s_x^2/Eu_g_n_x+Eu_g_s_y^2/Eu_g_n_y)^2/((Eu_g_s_x^2/Eu_g_n_x)^2/(Eu_g_n_x-1)+(Eu_g_s_y^2/Eu_g_n_y)^2/(Eu_g_n_y-1))</f>
        <v>21.900486557523873</v>
      </c>
      <c r="G24">
        <f>IFERROR((Eu_g_g_x-Eu_g_g_y-(Eu_g_h0_x-Eu_g_h0_y))/(SQRT(Eu_g_s_x^2/Eu_g_n_x+Eu_g_s_y^2/Eu_g_n_y)),NA())</f>
        <v>-0.8845698192548983</v>
      </c>
      <c r="H24">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24">
        <f>E_g_valg[[#This Row],[Venstre teststørrelse]]*(SQRT(Eu_g_s_x^2/Eu_g_n_x+Eu_g_s_y^2/Eu_g_n_y))+(Eu_g_h0_x-Eu_g_h0_y)</f>
        <v>-1.5054022174376644</v>
      </c>
      <c r="J24">
        <f>E_g_valg[[#This Row],[Midtpunkt teststørrelse]]*(SQRT(Eu_g_s_x^2/Eu_g_n_x+Eu_g_s_y^2/Eu_g_n_y))+(Eu_g_h0_x-Eu_g_h0_y)</f>
        <v>0</v>
      </c>
      <c r="K24">
        <f>E_g_valg[[#This Row],[Højre teststørrelse]]*(SQRT(Eu_g_s_x^2/Eu_g_n_x+Eu_g_s_y^2/Eu_g_n_y))+(Eu_g_h0_x-Eu_g_h0_y)</f>
        <v>1.5054022174376644</v>
      </c>
      <c r="L24">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24">
        <f>IF(E_g_valg[[#This Row],[Parameter]]="andel",ROUND(E_g_valg[[#This Row],[Midtpunkt label base]],5)*100&amp;"%",ROUND(E_g_valg[[#This Row],[Midtpunkt label base]],3))</f>
        <v>0</v>
      </c>
      <c r="N24">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24" t="b">
        <f>E_g_valg[[#This Row],[Teststørrelse]]=E_g_valg[[#This Row],[Venstre teststørrelse]]</f>
        <v>1</v>
      </c>
      <c r="P24" t="b">
        <f>OR(MATCH(E_g_valg[[#This Row],[Hypotese]],HypoteseRetning_liste,0)=2,MATCH(E_g_valg[[#This Row],[Hypotese]],HypoteseRetning_liste,0)=3)</f>
        <v>0</v>
      </c>
      <c r="Q24">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0.38640476880778873</v>
      </c>
      <c r="R24" t="b">
        <f>E_g_valg[[#This Row],[p-værdi]]&gt;1-Eu_g_konfidensniveau</f>
        <v>1</v>
      </c>
      <c r="S24">
        <f t="shared" si="0"/>
        <v>0.999</v>
      </c>
      <c r="T24">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-3.5271536688691771</v>
      </c>
      <c r="U24">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3.5271536688691771</v>
      </c>
      <c r="V24">
        <f>MIN(E_g_valg[[#This Row],[Teststørrelse]],E_g_valg[[#This Row],[Teststørrelse omvendt]])</f>
        <v>-0.8845698192548983</v>
      </c>
      <c r="W24">
        <f>CHOOSE(MATCH(E_g_valg[[#This Row],[Fordeling]],Fordeling_liste,0),_xlfn.NORM.INV(0.5,E_g_valg[[#This Row],[Parameter 1]],E_g_valg[[#This Row],[Parameter 2]]),_xlfn.T.INV(0.5,E_g_valg[[#This Row],[Parameter 1]]),_xlfn.CHISQ.INV(0.5,E_g_valg[[#This Row],[Parameter 1]]),_xlfn.F.INV(0.5,E_g_valg[[#This Row],[Parameter 1]],E_g_valg[[#This Row],[Parameter 2]]))</f>
        <v>0</v>
      </c>
      <c r="X24">
        <f>MAX(E_g_valg[[#This Row],[Teststørrelse]],E_g_valg[[#This Row],[Teststørrelse omvendt]])</f>
        <v>0.8845698192548983</v>
      </c>
      <c r="Y24">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0.19320238440389431</v>
      </c>
      <c r="Z24">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0.80679761559610563</v>
      </c>
      <c r="AA24">
        <f>E_g_valg[[#This Row],[Mindre end højre %]]-E_g_valg[[#This Row],[Mindre end venstre %]]</f>
        <v>0.61359523119221127</v>
      </c>
      <c r="AB24">
        <f>1-E_g_valg[[#This Row],[Mindre end venstre %]]</f>
        <v>0.80679761559610563</v>
      </c>
      <c r="AC24">
        <f>1-E_g_valg[[#This Row],[Mindre end højre %]]</f>
        <v>0.19320238440389437</v>
      </c>
      <c r="AD24"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19.32% mindre end -1.505</v>
      </c>
      <c r="AE24" t="str">
        <f>IF(OR(MATCH(E_g_valg[[#This Row],[Hypotese]],HypoteseRetning_liste,0)=1,MATCH(E_g_valg[[#This Row],[Hypotese]],HypoteseRetning_liste,0)=4),ROUND(E_g_valg[[#This Row],[Midt %]],5)*100&amp;"% mellem "&amp;E_g_valg[[#This Row],[Venstre label]]&amp;" og "&amp;E_g_valg[[#This Row],[Højre label]]," ")</f>
        <v>61.36% mellem -1.505 og 1.505</v>
      </c>
      <c r="AF24"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19.32% større end 1.505</v>
      </c>
      <c r="AG24">
        <f>IF(AND(NOT(E_g_valg[[#This Row],[Orientering]]),E_g_valg[[#This Row],[Ensidet]]),(E_g_valg[[#This Row],[Højre teststørrelse]]-E_g_valg[[#This Row],[X min]])/(E_g_valg[[#This Row],[X max]]-E_g_valg[[#This Row],[X min]]),(E_g_valg[[#This Row],[Venstre teststørrelse]]-E_g_valg[[#This Row],[X min]])/(E_g_valg[[#This Row],[X max]]-E_g_valg[[#This Row],[X min]]))</f>
        <v>0.37460571578406787</v>
      </c>
      <c r="AH24">
        <f>(E_g_valg[[#This Row],[Midtpunkt teststørrelse]]-E_g_valg[[#This Row],[X min]])/(E_g_valg[[#This Row],[X max]]-E_g_valg[[#This Row],[X min]])</f>
        <v>0.5</v>
      </c>
      <c r="AI24">
        <f>IF(AND(E_g_valg[[#This Row],[Orientering]],E_g_valg[[#This Row],[Ensidet]]),(E_g_valg[[#This Row],[Venstre teststørrelse]]-E_g_valg[[#This Row],[X min]])/(E_g_valg[[#This Row],[X max]]-E_g_valg[[#This Row],[X min]]),(E_g_valg[[#This Row],[Højre teststørrelse]]-E_g_valg[[#This Row],[X min]])/(E_g_valg[[#This Row],[X max]]-E_g_valg[[#This Row],[X min]]))</f>
        <v>0.62539428421593213</v>
      </c>
      <c r="AJ24" t="s">
        <v>125</v>
      </c>
      <c r="AK24">
        <f>_xlfn.AGGREGATE(3,5,E_g_valg[[#This Row],[Parameter]])</f>
        <v>1</v>
      </c>
      <c r="AL24">
        <v>2</v>
      </c>
      <c r="AM24">
        <v>23</v>
      </c>
      <c r="AN24" t="str">
        <f>IF(AND(E_g_valg[[#This Row],[Kontrol af forudsætning 1]],E_g_valg[[#This Row],[Kontrol af forudsætning 2]]),"Hypotesetest om forskel mellem gennemsnit
Nulhypotesen om at forskellen mellem gennemsnittene i "&amp;Eu_g_t_x&amp;" og "&amp;Eu_g_t_y&amp;" er lig med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lig med 0
kan ikke afvises med 95% konfidens</v>
      </c>
      <c r="AO24"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24" t="s">
        <v>15</v>
      </c>
      <c r="AQ24" t="b">
        <f t="shared" si="3"/>
        <v>1</v>
      </c>
      <c r="AR24" t="s">
        <v>172</v>
      </c>
      <c r="AS24" t="b">
        <f t="shared" si="4"/>
        <v>1</v>
      </c>
      <c r="AT24" t="s">
        <v>166</v>
      </c>
      <c r="AU24" t="b">
        <f>NOT(AND(Eu_g_n_x&gt;=30,Eu_g_n_y&gt;=30))</f>
        <v>1</v>
      </c>
      <c r="AV24" t="s">
        <v>183</v>
      </c>
      <c r="AW24" t="s">
        <v>186</v>
      </c>
    </row>
    <row r="25" spans="1:50" x14ac:dyDescent="0.2">
      <c r="A25" t="s">
        <v>0</v>
      </c>
      <c r="B25" t="s">
        <v>135</v>
      </c>
      <c r="C25" t="s">
        <v>138</v>
      </c>
      <c r="D25" t="s">
        <v>126</v>
      </c>
      <c r="E25" s="29">
        <v>0</v>
      </c>
      <c r="F25">
        <v>1</v>
      </c>
      <c r="G25" t="e">
        <f>IFERROR((Eu_g_g_x-Eu_g_g_y-(Eu_g_h0_x-Eu_g_h0_y))/SQRT(Eu_g_s_population_x^2/Eu_g_n_x+Eu_g_s_population_y^2/Eu_g_n_y),NA())</f>
        <v>#N/A</v>
      </c>
      <c r="H25" t="e">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#N/A</v>
      </c>
      <c r="I25" t="e">
        <f>E_g_valg[[#This Row],[Venstre teststørrelse]]*SQRT(Eu_g_s_population_x^2/Eu_g_n_x+Eu_g_s_population_y^2/Eu_g_n_y)+(Eu_g_h0_x-Eu_g_h0_y)</f>
        <v>#N/A</v>
      </c>
      <c r="J25">
        <f>E_g_valg[[#This Row],[Midtpunkt teststørrelse]]*SQRT(Eu_g_s_population_x^2/Eu_g_n_x+Eu_g_s_population_y^2/Eu_g_n_y)+(Eu_g_h0_x-Eu_g_h0_y)</f>
        <v>0</v>
      </c>
      <c r="K25" t="e">
        <f>E_g_valg[[#This Row],[Højre teststørrelse]]*SQRT(Eu_g_s_population_x^2/Eu_g_n_x+Eu_g_s_population_y^2/Eu_g_n_y)+(Eu_g_h0_x-Eu_g_h0_y)</f>
        <v>#N/A</v>
      </c>
      <c r="L25" t="e">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#N/A</v>
      </c>
      <c r="M25">
        <f>IF(E_g_valg[[#This Row],[Parameter]]="andel",ROUND(E_g_valg[[#This Row],[Midtpunkt label base]],5)*100&amp;"%",ROUND(E_g_valg[[#This Row],[Midtpunkt label base]],3))</f>
        <v>0</v>
      </c>
      <c r="N25" t="e">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#N/A</v>
      </c>
      <c r="O25" t="e">
        <f>E_g_valg[[#This Row],[Teststørrelse]]=E_g_valg[[#This Row],[Venstre teststørrelse]]</f>
        <v>#N/A</v>
      </c>
      <c r="P25" t="b">
        <f>OR(MATCH(E_g_valg[[#This Row],[Hypotese]],HypoteseRetning_liste,0)=2,MATCH(E_g_valg[[#This Row],[Hypotese]],HypoteseRetning_liste,0)=3)</f>
        <v>0</v>
      </c>
      <c r="Q25" t="e">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#N/A</v>
      </c>
      <c r="R25" t="e">
        <f>E_g_valg[[#This Row],[p-værdi]]&gt;1-Eu_g_konfidensniveau</f>
        <v>#N/A</v>
      </c>
      <c r="S25">
        <f t="shared" si="0"/>
        <v>0.999</v>
      </c>
      <c r="T25">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25">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25" t="e">
        <f>MIN(E_g_valg[[#This Row],[Teststørrelse]],E_g_valg[[#This Row],[Teststørrelse omvendt]])</f>
        <v>#N/A</v>
      </c>
      <c r="W25">
        <f>CHOOSE(MATCH(E_g_valg[[#This Row],[Fordeling]],Fordeling_liste,0),_xlfn.NORM.INV(0.5,E_g_valg[[#This Row],[Parameter 1]],E_g_valg[[#This Row],[Parameter 2]]),_xlfn.T.INV(0.5,E_g_valg[[#This Row],[Parameter 1]]),_xlfn.CHISQ.INV(0.5,E_g_valg[[#This Row],[Parameter 1]]),_xlfn.F.INV(0.5,E_g_valg[[#This Row],[Parameter 1]],E_g_valg[[#This Row],[Parameter 2]]))</f>
        <v>0</v>
      </c>
      <c r="X25" t="e">
        <f>MAX(E_g_valg[[#This Row],[Teststørrelse]],E_g_valg[[#This Row],[Teststørrelse omvendt]])</f>
        <v>#N/A</v>
      </c>
      <c r="Y25" t="e">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#N/A</v>
      </c>
      <c r="Z25" t="e">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#N/A</v>
      </c>
      <c r="AA25" t="e">
        <f>E_g_valg[[#This Row],[Mindre end højre %]]-E_g_valg[[#This Row],[Mindre end venstre %]]</f>
        <v>#N/A</v>
      </c>
      <c r="AB25" t="e">
        <f>1-E_g_valg[[#This Row],[Mindre end venstre %]]</f>
        <v>#N/A</v>
      </c>
      <c r="AC25" t="e">
        <f>1-E_g_valg[[#This Row],[Mindre end højre %]]</f>
        <v>#N/A</v>
      </c>
      <c r="AD25" t="e">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#N/A</v>
      </c>
      <c r="AE25" t="e">
        <f>IF(OR(MATCH(E_g_valg[[#This Row],[Hypotese]],HypoteseRetning_liste,0)=1,MATCH(E_g_valg[[#This Row],[Hypotese]],HypoteseRetning_liste,0)=4),ROUND(E_g_valg[[#This Row],[Midt %]],5)*100&amp;"% mellem "&amp;E_g_valg[[#This Row],[Venstre label]]&amp;" og "&amp;E_g_valg[[#This Row],[Højre label]]," ")</f>
        <v>#N/A</v>
      </c>
      <c r="AF25" t="e">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#N/A</v>
      </c>
      <c r="AG25" t="e">
        <f>IF(AND(NOT(E_g_valg[[#This Row],[Orientering]]),E_g_valg[[#This Row],[Ensidet]]),(E_g_valg[[#This Row],[Højre teststørrelse]]-E_g_valg[[#This Row],[X min]])/(E_g_valg[[#This Row],[X max]]-E_g_valg[[#This Row],[X min]]),(E_g_valg[[#This Row],[Venstre teststørrelse]]-E_g_valg[[#This Row],[X min]])/(E_g_valg[[#This Row],[X max]]-E_g_valg[[#This Row],[X min]]))</f>
        <v>#N/A</v>
      </c>
      <c r="AH25">
        <f>(E_g_valg[[#This Row],[Midtpunkt teststørrelse]]-E_g_valg[[#This Row],[X min]])/(E_g_valg[[#This Row],[X max]]-E_g_valg[[#This Row],[X min]])</f>
        <v>0.5</v>
      </c>
      <c r="AI25" t="e">
        <f>IF(AND(E_g_valg[[#This Row],[Orientering]],E_g_valg[[#This Row],[Ensidet]]),(E_g_valg[[#This Row],[Venstre teststørrelse]]-E_g_valg[[#This Row],[X min]])/(E_g_valg[[#This Row],[X max]]-E_g_valg[[#This Row],[X min]]),(E_g_valg[[#This Row],[Højre teststørrelse]]-E_g_valg[[#This Row],[X min]])/(E_g_valg[[#This Row],[X max]]-E_g_valg[[#This Row],[X min]]))</f>
        <v>#N/A</v>
      </c>
      <c r="AJ25" t="s">
        <v>125</v>
      </c>
      <c r="AK25">
        <f>_xlfn.AGGREGATE(3,5,E_g_valg[[#This Row],[Parameter]])</f>
        <v>1</v>
      </c>
      <c r="AL25">
        <v>2</v>
      </c>
      <c r="AM25">
        <v>24</v>
      </c>
      <c r="AN25" t="e">
        <f>IF(AND(E_g_valg[[#This Row],[Kontrol af forudsætning 1]],E_g_valg[[#This Row],[Kontrol af forudsætning 2]],E_g_valg[[#This Row],[Kontrol af forudsætning 3]]),"Hypotesetest om forskel mellem gennemsnit
Nulhypotesen om at forskellen mellem gennemsnittene i "&amp;Eu_g_t_x&amp;" og "&amp;Eu_g_t_y&amp;" er lig med "&amp;ROUND(Eu_g_h0_x-Eu_g_h0_y,3)&amp;"
"&amp;IF(E_g_valg[[#This Row],[Nulhypotese kan ikke afvises]],"kan ikke ","")&amp;"afvises med "&amp;Eu_g_konfidensniveau*100&amp;"% konfidens","Kan ikke beregne hypotesetest om forskel mellem gennemsnit med angivne standardafvigelser")</f>
        <v>#N/A</v>
      </c>
      <c r="AO25" t="str">
        <f>"Forskel i gennemsnit i stikprøver af størrelsen n = "&amp;Eu_g_n_x&amp;" og "&amp;Eu_g_n_y&amp;"
fra to populationer med forskel = "&amp;IFERROR(ROUND(Eu_g_h0_x-Eu_g_h0_y,3),"Hypotese ikke angivet")&amp;"
og standardafvigelser = "&amp;IFERROR(ROUND(Eu_g_s_population_x,3)&amp;" og "&amp;ROUND(Eu_g_s_population_y,3),"Hypotese ikke angivet")</f>
        <v>Forskel i gennemsnit i stikprøver af størrelsen n = 12 og 12
fra to populationer med forskel = 0
og standardafvigelser = 0 og 0</v>
      </c>
      <c r="AP25" t="s">
        <v>15</v>
      </c>
      <c r="AQ25" t="b">
        <f t="shared" si="3"/>
        <v>1</v>
      </c>
      <c r="AR25" t="s">
        <v>172</v>
      </c>
      <c r="AS25" t="b">
        <f t="shared" si="4"/>
        <v>1</v>
      </c>
      <c r="AT25" t="s">
        <v>175</v>
      </c>
      <c r="AU25" t="b">
        <f>NOT(OR(ISNA(Eu_g_s_population_x),ISNA(Eu_g_s_population_y)))</f>
        <v>1</v>
      </c>
      <c r="AV25" t="s">
        <v>181</v>
      </c>
      <c r="AW25" t="s">
        <v>185</v>
      </c>
    </row>
    <row r="27" spans="1:50" x14ac:dyDescent="0.2">
      <c r="A27" t="s">
        <v>136</v>
      </c>
      <c r="B27" t="s">
        <v>143</v>
      </c>
      <c r="C27" t="s">
        <v>219</v>
      </c>
      <c r="D27" t="s">
        <v>147</v>
      </c>
      <c r="E27" t="s">
        <v>288</v>
      </c>
      <c r="F27" t="s">
        <v>289</v>
      </c>
      <c r="G27" t="s">
        <v>123</v>
      </c>
      <c r="H27" t="s">
        <v>304</v>
      </c>
      <c r="I27" t="s">
        <v>326</v>
      </c>
      <c r="J27" t="s">
        <v>327</v>
      </c>
      <c r="K27" t="s">
        <v>328</v>
      </c>
      <c r="L27" t="s">
        <v>305</v>
      </c>
      <c r="M27" t="s">
        <v>302</v>
      </c>
      <c r="N27" t="s">
        <v>314</v>
      </c>
      <c r="O27" t="s">
        <v>329</v>
      </c>
      <c r="P27" t="s">
        <v>124</v>
      </c>
      <c r="Q27" t="s">
        <v>333</v>
      </c>
      <c r="R27" t="s">
        <v>332</v>
      </c>
      <c r="S27" t="s">
        <v>325</v>
      </c>
      <c r="T27" t="s">
        <v>36</v>
      </c>
      <c r="U27" t="s">
        <v>37</v>
      </c>
      <c r="V27" t="s">
        <v>307</v>
      </c>
      <c r="W27" t="s">
        <v>316</v>
      </c>
      <c r="X27" t="s">
        <v>308</v>
      </c>
      <c r="Y27" t="s">
        <v>309</v>
      </c>
      <c r="Z27" t="s">
        <v>311</v>
      </c>
      <c r="AA27" t="s">
        <v>312</v>
      </c>
      <c r="AB27" t="s">
        <v>310</v>
      </c>
      <c r="AC27" t="s">
        <v>313</v>
      </c>
      <c r="AD27" t="s">
        <v>319</v>
      </c>
      <c r="AE27" t="s">
        <v>320</v>
      </c>
      <c r="AF27" t="s">
        <v>321</v>
      </c>
      <c r="AG27" t="s">
        <v>306</v>
      </c>
      <c r="AH27" t="s">
        <v>303</v>
      </c>
      <c r="AI27" t="s">
        <v>315</v>
      </c>
      <c r="AJ27" t="s">
        <v>301</v>
      </c>
      <c r="AK27" t="s">
        <v>144</v>
      </c>
      <c r="AL27" t="s">
        <v>280</v>
      </c>
      <c r="AM27" t="s">
        <v>16</v>
      </c>
      <c r="AN27" t="s">
        <v>151</v>
      </c>
      <c r="AO27" t="s">
        <v>149</v>
      </c>
      <c r="AP27" t="s">
        <v>152</v>
      </c>
      <c r="AQ27" t="s">
        <v>169</v>
      </c>
      <c r="AR27" t="s">
        <v>153</v>
      </c>
      <c r="AS27" t="s">
        <v>170</v>
      </c>
      <c r="AT27" t="s">
        <v>157</v>
      </c>
      <c r="AU27" t="s">
        <v>173</v>
      </c>
      <c r="AV27" t="s">
        <v>162</v>
      </c>
      <c r="AW27" t="s">
        <v>184</v>
      </c>
      <c r="AX27" t="s">
        <v>409</v>
      </c>
    </row>
    <row r="28" spans="1:50" x14ac:dyDescent="0.2">
      <c r="A28" t="s">
        <v>1</v>
      </c>
      <c r="B28" t="s">
        <v>44</v>
      </c>
      <c r="C28" t="s">
        <v>140</v>
      </c>
      <c r="D28" t="s">
        <v>140</v>
      </c>
      <c r="E28">
        <f t="shared" ref="E28:E34" si="5">Eu_s_n_x-1</f>
        <v>11</v>
      </c>
      <c r="G28">
        <f>IF(ISNUMBER(Eu_s_s_x),_xlfn.CHISQ.INV((1-Eu_s_konfidensniveau)/2,E_s_valg[[#This Row],[Parameter 1]]),NA())</f>
        <v>3.8157482522360993</v>
      </c>
      <c r="H28">
        <f>IFERROR(CHOOSE(MATCH(E_s_valg[[#This Row],[Fordeling]],Fordeling_liste,0),E_s_valg[[#This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21.920049261021205</v>
      </c>
      <c r="I28">
        <f>SQRT((Eu_s_n_x-1)*Eu_s_s_x^2/_xlfn.CHISQ.INV(1-(1-Eu_s_konfidensniveau)/2,Eu_s_n_x-1))</f>
        <v>3.0509630363038913</v>
      </c>
      <c r="J28">
        <f>Eu_s_s_x</f>
        <v>4.3068660656276769</v>
      </c>
      <c r="K28">
        <f>SQRT((Eu_s_n_x-1)*Eu_s_s_x^2/_xlfn.CHISQ.INV((1-Eu_s_konfidensniveau)/2,Eu_s_n_x-1))</f>
        <v>7.3125332181107092</v>
      </c>
      <c r="L28">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3.0510000000000002</v>
      </c>
      <c r="M28">
        <f>IF(E_s_valg[[#This Row],[Parameter]]="andel",ROUND(E_s_valg[[#This Row],[Midtpunkt label base]],5)*100&amp;"%",ROUND(E_s_valg[[#This Row],[Midtpunkt label base]],3))</f>
        <v>4.3070000000000004</v>
      </c>
      <c r="N28">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7.3129999999999997</v>
      </c>
      <c r="O28" t="b">
        <f>E_s_valg[[#This Row],[Teststørrelse]]=E_s_valg[[#This Row],[Venstre teststørrelse]]</f>
        <v>1</v>
      </c>
      <c r="P28" t="b">
        <f>OR(MATCH(E_s_valg[[#This Row],[Hypotese]],HypoteseRetning_liste,0)=2,MATCH(E_s_valg[[#This Row],[Hypotese]],HypoteseRetning_liste,0)=3)</f>
        <v>0</v>
      </c>
      <c r="Q28" t="e">
        <f>CHOOSE(MATCH(E_s_valg[[#This Row],[Hypotese]],HypoteseRetning_liste,0),NA(),IF(E_s_valg[[#This Row],[Orientering]],E_s_valg[[#This Row],[Mindre end venstre %]],E_s_valg[[#This Row],[Mindre end højre %]]),IF(E_s_valg[[#This Row],[Orientering]],E_s_valg[[#This Row],[Større end venstre %]],E_s_valg[[#This Row],[Større end højre %]]),1-E_s_valg[[#This Row],[Midt %]])</f>
        <v>#N/A</v>
      </c>
      <c r="R28" t="e">
        <f>E_s_valg[[#This Row],[p-værdi]]&gt;1-Eu_s_konfidensniveau</f>
        <v>#N/A</v>
      </c>
      <c r="S28">
        <f t="shared" ref="S28:S34" si="6">IF(Eu_s_konfidensniveau&lt;=0.998,0.999,0.99999)</f>
        <v>0.999</v>
      </c>
      <c r="T28">
        <f>CHOOSE(MATCH(E_s_valg[[#This Row],[Fordeling]],Fordeling_liste,0),_xlfn.NORM.INV(1-E_s_valg[[#This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1.8338526646536903</v>
      </c>
      <c r="U28">
        <f>CHOOSE(MATCH(E_s_valg[[#This Row],[Fordeling]],Fordeling_liste,0),_xlfn.NORM.INV(E_s_valg[[#This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31.264133620239949</v>
      </c>
      <c r="V28">
        <f>MIN(E_s_valg[[#This Row],[Teststørrelse]],E_s_valg[[#This Row],[Teststørrelse omvendt]])</f>
        <v>3.8157482522360993</v>
      </c>
      <c r="W28">
        <f>CHOOSE(MATCH(E_s_valg[[#This Row],[Fordeling]],Fordeling_liste,0),_xlfn.NORM.INV(0.5,E_s_valg[[#This Row],[Parameter 1]],E_s_valg[[#This Row],[Parameter 2]]),_xlfn.T.INV(0.5,E_s_valg[[#This Row],[Parameter 1]]),_xlfn.CHISQ.INV(0.5,E_s_valg[[#This Row],[Parameter 1]]),_xlfn.F.INV(0.5,E_s_valg[[#This Row],[Parameter 1]],E_s_valg[[#This Row],[Parameter 2]]))</f>
        <v>10.340998074391823</v>
      </c>
      <c r="X28">
        <f>MAX(E_s_valg[[#This Row],[Teststørrelse]],E_s_valg[[#This Row],[Teststørrelse omvendt]])</f>
        <v>21.920049261021205</v>
      </c>
      <c r="Y28">
        <f>CHOOSE(MATCH(E_s_valg[[#This Row],[Fordeling]],Fordeling_liste,0),_xlfn.NORM.DIST(E_s_valg[[#This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2.5000000000000001E-2</v>
      </c>
      <c r="Z28">
        <f>CHOOSE(MATCH(E_s_valg[[#This Row],[Fordeling]],Fordeling_liste,0),_xlfn.NORM.DIST(E_s_valg[[#This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0.97499999999999998</v>
      </c>
      <c r="AA28">
        <f>E_s_valg[[#This Row],[Mindre end højre %]]-E_s_valg[[#This Row],[Mindre end venstre %]]</f>
        <v>0.95</v>
      </c>
      <c r="AB28">
        <f>1-E_s_valg[[#This Row],[Mindre end venstre %]]</f>
        <v>0.97499999999999998</v>
      </c>
      <c r="AC28">
        <f>1-E_s_valg[[#This Row],[Mindre end højre %]]</f>
        <v>2.5000000000000022E-2</v>
      </c>
      <c r="AD28" t="str">
        <f>IF(OR(MATCH(E_s_valg[[#This Row],[Hypotese]],HypoteseRetning_liste,0)=2,MATCH(E_s_valg[[#This Row],[Hypotese]],HypoteseRetning_liste,0)=3),IF(E_s_valg[[#This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2.5% mindre end 3.051</v>
      </c>
      <c r="AE28" t="str">
        <f>IF(OR(MATCH(E_s_valg[[#This Row],[Hypotese]],HypoteseRetning_liste,0)=1,MATCH(E_s_valg[[#This Row],[Hypotese]],HypoteseRetning_liste,0)=4),ROUND(E_s_valg[[#This Row],[Midt %]],5)*100&amp;"% mellem "&amp;E_s_valg[[#This Row],[Venstre label]]&amp;" og "&amp;E_s_valg[[#This Row],[Højre label]]," ")</f>
        <v>95% mellem 3.051 og 7.313</v>
      </c>
      <c r="AF28" t="str">
        <f>IF(OR(MATCH(E_s_valg[[#This Row],[Hypotese]],HypoteseRetning_liste,0)=2,MATCH(E_s_valg[[#This Row],[Hypotese]],HypoteseRetning_liste,0)=3),IF(E_s_valg[[#This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2.5% større end 7.313</v>
      </c>
      <c r="AG28">
        <f>IF(AND(NOT(E_s_valg[[#This Row],[Orientering]]),E_s_valg[[#This Row],[Ensidet]]),(E_s_valg[[#This Row],[Højre teststørrelse]]-E_s_valg[[#This Row],[X min]])/(E_s_valg[[#This Row],[X max]]-E_s_valg[[#This Row],[X min]]),(E_s_valg[[#This Row],[Venstre teststørrelse]]-E_s_valg[[#This Row],[X min]])/(E_s_valg[[#This Row],[X max]]-E_s_valg[[#This Row],[X min]]))</f>
        <v>6.7342054619638922E-2</v>
      </c>
      <c r="AH28">
        <f>(E_s_valg[[#This Row],[Midtpunkt teststørrelse]]-E_s_valg[[#This Row],[X min]])/(E_s_valg[[#This Row],[X max]]-E_s_valg[[#This Row],[X min]])</f>
        <v>0.28906096488091337</v>
      </c>
      <c r="AI28">
        <f>IF(AND(E_s_valg[[#This Row],[Orientering]],E_s_valg[[#This Row],[Ensidet]]),(E_s_valg[[#This Row],[Venstre teststørrelse]]-E_s_valg[[#This Row],[X min]])/(E_s_valg[[#This Row],[X max]]-E_s_valg[[#This Row],[X min]]),(E_s_valg[[#This Row],[Højre teststørrelse]]-E_s_valg[[#This Row],[X min]])/(E_s_valg[[#This Row],[X max]]-E_s_valg[[#This Row],[X min]]))</f>
        <v>0.68250101406371</v>
      </c>
      <c r="AJ28" t="s">
        <v>44</v>
      </c>
      <c r="AK28">
        <f>_xlfn.AGGREGATE(3,5,E_s_valg[[#This Row],[Parameter]])</f>
        <v>1</v>
      </c>
      <c r="AL28">
        <v>1</v>
      </c>
      <c r="AM28">
        <v>25</v>
      </c>
      <c r="AN28" t="str">
        <f>IF(E_s_valg[[#This Row],[Kontrol af forudsætning 1]],Eu_s_konfidensniveau*100&amp;"% Konfidensinterval for standardafvigelse
af "&amp;Eu_s_t_x,"Kan ikke beregne konfidensinterval for standardafvigelse")</f>
        <v>95% Konfidensinterval for standardafvigelse
af Eksempel 1 (interval)</v>
      </c>
      <c r="AO28" t="str">
        <f>"Populationsestimat for standardafvigelse fra stikprøver af størrelsen n = "&amp;Eu_s_n_x&amp;"
baseret på en stikprøve med standardafvigelse = "&amp;IFERROR(ROUND(Eu_s_s_x,3),"Kan ikke beregnes")</f>
        <v>Populationsestimat for standardafvigelse fra stikprøver af størrelsen n = 12
baseret på en stikprøve med standardafvigelse = 4.307</v>
      </c>
      <c r="AP28" t="s">
        <v>15</v>
      </c>
      <c r="AQ28" t="b">
        <f>NOT(ISNA(Eu_s_s_x))</f>
        <v>1</v>
      </c>
      <c r="AV28" t="s">
        <v>156</v>
      </c>
      <c r="AW28" t="s">
        <v>185</v>
      </c>
    </row>
    <row r="29" spans="1:50" x14ac:dyDescent="0.2">
      <c r="A29" t="s">
        <v>1</v>
      </c>
      <c r="B29" t="s">
        <v>130</v>
      </c>
      <c r="C29" t="s">
        <v>140</v>
      </c>
      <c r="D29" t="s">
        <v>140</v>
      </c>
      <c r="E29">
        <f t="shared" si="5"/>
        <v>11</v>
      </c>
      <c r="G29" t="e">
        <f>IFERROR((Eu_s_n_x-1)*Eu_s_s_x^2/Eu_s_h0_x^2,NA())</f>
        <v>#N/A</v>
      </c>
      <c r="H29" t="e">
        <f>IFERROR(CHOOSE(MATCH(E_s_valg[[#This Row],[Fordeling]],Fordeling_liste,0),E_s_valg[[#This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#N/A</v>
      </c>
      <c r="I29" t="e">
        <f>SQRT(E_s_valg[[#This Row],[Venstre teststørrelse]]/(Eu_s_n_x-1))*Eu_s_h0_x</f>
        <v>#N/A</v>
      </c>
      <c r="J29">
        <f>Eu_s_h0_x</f>
        <v>0</v>
      </c>
      <c r="K29" t="e">
        <f>SQRT(E_s_valg[[#This Row],[Højre teststørrelse]]/(Eu_s_n_x-1))*Eu_s_h0_x</f>
        <v>#N/A</v>
      </c>
      <c r="L29" t="e">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#N/A</v>
      </c>
      <c r="M29">
        <f>IF(E_s_valg[[#This Row],[Parameter]]="andel",ROUND(E_s_valg[[#This Row],[Midtpunkt label base]],5)*100&amp;"%",ROUND(E_s_valg[[#This Row],[Midtpunkt label base]],3))</f>
        <v>0</v>
      </c>
      <c r="N29" t="e">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#N/A</v>
      </c>
      <c r="O29" t="e">
        <f>E_s_valg[[#This Row],[Teststørrelse]]=E_s_valg[[#This Row],[Venstre teststørrelse]]</f>
        <v>#N/A</v>
      </c>
      <c r="P29" t="b">
        <f>OR(MATCH(E_s_valg[[#This Row],[Hypotese]],HypoteseRetning_liste,0)=2,MATCH(E_s_valg[[#This Row],[Hypotese]],HypoteseRetning_liste,0)=3)</f>
        <v>1</v>
      </c>
      <c r="Q29" t="e">
        <f>CHOOSE(MATCH(E_s_valg[[#This Row],[Hypotese]],HypoteseRetning_liste,0),NA(),IF(E_s_valg[[#This Row],[Orientering]],E_s_valg[[#This Row],[Mindre end venstre %]],E_s_valg[[#This Row],[Mindre end højre %]]),IF(E_s_valg[[#This Row],[Orientering]],E_s_valg[[#This Row],[Større end venstre %]],E_s_valg[[#This Row],[Større end højre %]]),1-E_s_valg[[#This Row],[Midt %]])</f>
        <v>#N/A</v>
      </c>
      <c r="R29" t="e">
        <f>E_s_valg[[#This Row],[p-værdi]]&gt;1-Eu_s_konfidensniveau</f>
        <v>#N/A</v>
      </c>
      <c r="S29">
        <f t="shared" si="6"/>
        <v>0.999</v>
      </c>
      <c r="T29">
        <f>CHOOSE(MATCH(E_s_valg[[#This Row],[Fordeling]],Fordeling_liste,0),_xlfn.NORM.INV(1-E_s_valg[[#This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1.8338526646536903</v>
      </c>
      <c r="U29">
        <f>CHOOSE(MATCH(E_s_valg[[#This Row],[Fordeling]],Fordeling_liste,0),_xlfn.NORM.INV(E_s_valg[[#This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31.264133620239949</v>
      </c>
      <c r="V29" t="e">
        <f>MIN(E_s_valg[[#This Row],[Teststørrelse]],E_s_valg[[#This Row],[Teststørrelse omvendt]])</f>
        <v>#N/A</v>
      </c>
      <c r="W29">
        <f>CHOOSE(MATCH(E_s_valg[[#This Row],[Fordeling]],Fordeling_liste,0),_xlfn.NORM.INV(0.5,E_s_valg[[#This Row],[Parameter 1]],E_s_valg[[#This Row],[Parameter 2]]),_xlfn.T.INV(0.5,E_s_valg[[#This Row],[Parameter 1]]),_xlfn.CHISQ.INV(0.5,E_s_valg[[#This Row],[Parameter 1]]),_xlfn.F.INV(0.5,E_s_valg[[#This Row],[Parameter 1]],E_s_valg[[#This Row],[Parameter 2]]))</f>
        <v>10.340998074391823</v>
      </c>
      <c r="X29" t="e">
        <f>MAX(E_s_valg[[#This Row],[Teststørrelse]],E_s_valg[[#This Row],[Teststørrelse omvendt]])</f>
        <v>#N/A</v>
      </c>
      <c r="Y29" t="e">
        <f>CHOOSE(MATCH(E_s_valg[[#This Row],[Fordeling]],Fordeling_liste,0),_xlfn.NORM.DIST(E_s_valg[[#This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#N/A</v>
      </c>
      <c r="Z29" t="e">
        <f>CHOOSE(MATCH(E_s_valg[[#This Row],[Fordeling]],Fordeling_liste,0),_xlfn.NORM.DIST(E_s_valg[[#This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#N/A</v>
      </c>
      <c r="AA29" t="e">
        <f>E_s_valg[[#This Row],[Mindre end højre %]]-E_s_valg[[#This Row],[Mindre end venstre %]]</f>
        <v>#N/A</v>
      </c>
      <c r="AB29" t="e">
        <f>1-E_s_valg[[#This Row],[Mindre end venstre %]]</f>
        <v>#N/A</v>
      </c>
      <c r="AC29" t="e">
        <f>1-E_s_valg[[#This Row],[Mindre end højre %]]</f>
        <v>#N/A</v>
      </c>
      <c r="AD29" t="e">
        <f>IF(OR(MATCH(E_s_valg[[#This Row],[Hypotese]],HypoteseRetning_liste,0)=2,MATCH(E_s_valg[[#This Row],[Hypotese]],HypoteseRetning_liste,0)=3),IF(E_s_valg[[#This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#N/A</v>
      </c>
      <c r="AE29" t="str">
        <f>IF(OR(MATCH(E_s_valg[[#This Row],[Hypotese]],HypoteseRetning_liste,0)=1,MATCH(E_s_valg[[#This Row],[Hypotese]],HypoteseRetning_liste,0)=4),ROUND(E_s_valg[[#This Row],[Midt %]],5)*100&amp;"% mellem "&amp;E_s_valg[[#This Row],[Venstre label]]&amp;" og "&amp;E_s_valg[[#This Row],[Højre label]]," ")</f>
        <v xml:space="preserve"> </v>
      </c>
      <c r="AF29" t="e">
        <f>IF(OR(MATCH(E_s_valg[[#This Row],[Hypotese]],HypoteseRetning_liste,0)=2,MATCH(E_s_valg[[#This Row],[Hypotese]],HypoteseRetning_liste,0)=3),IF(E_s_valg[[#This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#N/A</v>
      </c>
      <c r="AG29" t="e">
        <f>IF(AND(NOT(E_s_valg[[#This Row],[Orientering]]),E_s_valg[[#This Row],[Ensidet]]),(E_s_valg[[#This Row],[Højre teststørrelse]]-E_s_valg[[#This Row],[X min]])/(E_s_valg[[#This Row],[X max]]-E_s_valg[[#This Row],[X min]]),(E_s_valg[[#This Row],[Venstre teststørrelse]]-E_s_valg[[#This Row],[X min]])/(E_s_valg[[#This Row],[X max]]-E_s_valg[[#This Row],[X min]]))</f>
        <v>#N/A</v>
      </c>
      <c r="AH29">
        <f>(E_s_valg[[#This Row],[Midtpunkt teststørrelse]]-E_s_valg[[#This Row],[X min]])/(E_s_valg[[#This Row],[X max]]-E_s_valg[[#This Row],[X min]])</f>
        <v>0.28906096488091337</v>
      </c>
      <c r="AI29" t="e">
        <f>IF(AND(E_s_valg[[#This Row],[Orientering]],E_s_valg[[#This Row],[Ensidet]]),(E_s_valg[[#This Row],[Venstre teststørrelse]]-E_s_valg[[#This Row],[X min]])/(E_s_valg[[#This Row],[X max]]-E_s_valg[[#This Row],[X min]]),(E_s_valg[[#This Row],[Højre teststørrelse]]-E_s_valg[[#This Row],[X min]])/(E_s_valg[[#This Row],[X max]]-E_s_valg[[#This Row],[X min]]))</f>
        <v>#N/A</v>
      </c>
      <c r="AJ29" t="s">
        <v>299</v>
      </c>
      <c r="AK29">
        <f>_xlfn.AGGREGATE(3,5,E_s_valg[[#This Row],[Parameter]])</f>
        <v>1</v>
      </c>
      <c r="AL29">
        <v>1</v>
      </c>
      <c r="AM29">
        <v>26</v>
      </c>
      <c r="AN29" t="e">
        <f>IF(AND(E_s_valg[[#This Row],[Kontrol af forudsætning 1]],E_s_valg[[#This Row],[Kontrol af forudsætning 2]]),"Hypotesetest om standardafvigelse
Nulhypotesen om at standardafvigelsen af "&amp;Eu_s_t_x&amp;" er større end "&amp;ROUND(Eu_s_h0_x,3)&amp;"
"&amp;IF(E_s_valg[[#This Row],[Nulhypotese kan ikke afvises]],"kan ikke ","")&amp;"afvises med "&amp;Eu_s_konfidensniveau*100&amp;"% konfidens","Kan ikke beregne hypotesetest om standardafvigelse")</f>
        <v>#N/A</v>
      </c>
      <c r="AO29" t="str">
        <f>"Standardafvigelse i stikprøver af størrelsen n = "&amp;Eu_s_n_x&amp;"
fra en population med standardafvigelse = "&amp;IFERROR(ROUND(Eu_s_h0_x,3),"Hypotese ikke angivet")</f>
        <v>Standardafvigelse i stikprøver af størrelsen n = 12
fra en population med standardafvigelse = 0</v>
      </c>
      <c r="AP29" t="s">
        <v>15</v>
      </c>
      <c r="AQ29" t="b">
        <f>NOT(ISNA(Eu_s_s_x))</f>
        <v>1</v>
      </c>
      <c r="AR29" t="s">
        <v>174</v>
      </c>
      <c r="AS29" t="b">
        <f>NOT(ISNA(Eu_s_h0_x))</f>
        <v>1</v>
      </c>
      <c r="AV29" t="s">
        <v>156</v>
      </c>
      <c r="AW29" t="s">
        <v>185</v>
      </c>
    </row>
    <row r="30" spans="1:50" x14ac:dyDescent="0.2">
      <c r="A30" t="s">
        <v>1</v>
      </c>
      <c r="B30" t="s">
        <v>131</v>
      </c>
      <c r="C30" t="s">
        <v>140</v>
      </c>
      <c r="D30" t="s">
        <v>140</v>
      </c>
      <c r="E30">
        <f t="shared" si="5"/>
        <v>11</v>
      </c>
      <c r="G30" t="e">
        <f>IFERROR((Eu_s_n_x-1)*Eu_s_s_x^2/Eu_s_h0_x^2,NA())</f>
        <v>#N/A</v>
      </c>
      <c r="H30" t="e">
        <f>IFERROR(CHOOSE(MATCH(E_s_valg[[#This Row],[Fordeling]],Fordeling_liste,0),E_s_valg[[#This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#N/A</v>
      </c>
      <c r="I30" t="e">
        <f>SQRT(E_s_valg[[#This Row],[Venstre teststørrelse]]/(Eu_s_n_x-1))*Eu_s_h0_x</f>
        <v>#N/A</v>
      </c>
      <c r="J30">
        <f>Eu_s_h0_x</f>
        <v>0</v>
      </c>
      <c r="K30" t="e">
        <f>SQRT(E_s_valg[[#This Row],[Højre teststørrelse]]/(Eu_s_n_x-1))*Eu_s_h0_x</f>
        <v>#N/A</v>
      </c>
      <c r="L30" t="e">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#N/A</v>
      </c>
      <c r="M30">
        <f>IF(E_s_valg[[#This Row],[Parameter]]="andel",ROUND(E_s_valg[[#This Row],[Midtpunkt label base]],5)*100&amp;"%",ROUND(E_s_valg[[#This Row],[Midtpunkt label base]],3))</f>
        <v>0</v>
      </c>
      <c r="N30" t="e">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#N/A</v>
      </c>
      <c r="O30" t="e">
        <f>E_s_valg[[#This Row],[Teststørrelse]]=E_s_valg[[#This Row],[Venstre teststørrelse]]</f>
        <v>#N/A</v>
      </c>
      <c r="P30" t="b">
        <f>OR(MATCH(E_s_valg[[#This Row],[Hypotese]],HypoteseRetning_liste,0)=2,MATCH(E_s_valg[[#This Row],[Hypotese]],HypoteseRetning_liste,0)=3)</f>
        <v>1</v>
      </c>
      <c r="Q30" t="e">
        <f>CHOOSE(MATCH(E_s_valg[[#This Row],[Hypotese]],HypoteseRetning_liste,0),NA(),IF(E_s_valg[[#This Row],[Orientering]],E_s_valg[[#This Row],[Mindre end venstre %]],E_s_valg[[#This Row],[Mindre end højre %]]),IF(E_s_valg[[#This Row],[Orientering]],E_s_valg[[#This Row],[Større end venstre %]],E_s_valg[[#This Row],[Større end højre %]]),1-E_s_valg[[#This Row],[Midt %]])</f>
        <v>#N/A</v>
      </c>
      <c r="R30" t="e">
        <f>E_s_valg[[#This Row],[p-værdi]]&gt;1-Eu_s_konfidensniveau</f>
        <v>#N/A</v>
      </c>
      <c r="S30">
        <f t="shared" si="6"/>
        <v>0.999</v>
      </c>
      <c r="T30">
        <f>CHOOSE(MATCH(E_s_valg[[#This Row],[Fordeling]],Fordeling_liste,0),_xlfn.NORM.INV(1-E_s_valg[[#This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1.8338526646536903</v>
      </c>
      <c r="U30">
        <f>CHOOSE(MATCH(E_s_valg[[#This Row],[Fordeling]],Fordeling_liste,0),_xlfn.NORM.INV(E_s_valg[[#This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31.264133620239949</v>
      </c>
      <c r="V30" t="e">
        <f>MIN(E_s_valg[[#This Row],[Teststørrelse]],E_s_valg[[#This Row],[Teststørrelse omvendt]])</f>
        <v>#N/A</v>
      </c>
      <c r="W30">
        <f>CHOOSE(MATCH(E_s_valg[[#This Row],[Fordeling]],Fordeling_liste,0),_xlfn.NORM.INV(0.5,E_s_valg[[#This Row],[Parameter 1]],E_s_valg[[#This Row],[Parameter 2]]),_xlfn.T.INV(0.5,E_s_valg[[#This Row],[Parameter 1]]),_xlfn.CHISQ.INV(0.5,E_s_valg[[#This Row],[Parameter 1]]),_xlfn.F.INV(0.5,E_s_valg[[#This Row],[Parameter 1]],E_s_valg[[#This Row],[Parameter 2]]))</f>
        <v>10.340998074391823</v>
      </c>
      <c r="X30" t="e">
        <f>MAX(E_s_valg[[#This Row],[Teststørrelse]],E_s_valg[[#This Row],[Teststørrelse omvendt]])</f>
        <v>#N/A</v>
      </c>
      <c r="Y30" t="e">
        <f>CHOOSE(MATCH(E_s_valg[[#This Row],[Fordeling]],Fordeling_liste,0),_xlfn.NORM.DIST(E_s_valg[[#This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#N/A</v>
      </c>
      <c r="Z30" t="e">
        <f>CHOOSE(MATCH(E_s_valg[[#This Row],[Fordeling]],Fordeling_liste,0),_xlfn.NORM.DIST(E_s_valg[[#This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#N/A</v>
      </c>
      <c r="AA30" t="e">
        <f>E_s_valg[[#This Row],[Mindre end højre %]]-E_s_valg[[#This Row],[Mindre end venstre %]]</f>
        <v>#N/A</v>
      </c>
      <c r="AB30" t="e">
        <f>1-E_s_valg[[#This Row],[Mindre end venstre %]]</f>
        <v>#N/A</v>
      </c>
      <c r="AC30" t="e">
        <f>1-E_s_valg[[#This Row],[Mindre end højre %]]</f>
        <v>#N/A</v>
      </c>
      <c r="AD30" t="e">
        <f>IF(OR(MATCH(E_s_valg[[#This Row],[Hypotese]],HypoteseRetning_liste,0)=2,MATCH(E_s_valg[[#This Row],[Hypotese]],HypoteseRetning_liste,0)=3),IF(E_s_valg[[#This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#N/A</v>
      </c>
      <c r="AE30" t="str">
        <f>IF(OR(MATCH(E_s_valg[[#This Row],[Hypotese]],HypoteseRetning_liste,0)=1,MATCH(E_s_valg[[#This Row],[Hypotese]],HypoteseRetning_liste,0)=4),ROUND(E_s_valg[[#This Row],[Midt %]],5)*100&amp;"% mellem "&amp;E_s_valg[[#This Row],[Venstre label]]&amp;" og "&amp;E_s_valg[[#This Row],[Højre label]]," ")</f>
        <v xml:space="preserve"> </v>
      </c>
      <c r="AF30" t="e">
        <f>IF(OR(MATCH(E_s_valg[[#This Row],[Hypotese]],HypoteseRetning_liste,0)=2,MATCH(E_s_valg[[#This Row],[Hypotese]],HypoteseRetning_liste,0)=3),IF(E_s_valg[[#This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#N/A</v>
      </c>
      <c r="AG30" t="e">
        <f>IF(AND(NOT(E_s_valg[[#This Row],[Orientering]]),E_s_valg[[#This Row],[Ensidet]]),(E_s_valg[[#This Row],[Højre teststørrelse]]-E_s_valg[[#This Row],[X min]])/(E_s_valg[[#This Row],[X max]]-E_s_valg[[#This Row],[X min]]),(E_s_valg[[#This Row],[Venstre teststørrelse]]-E_s_valg[[#This Row],[X min]])/(E_s_valg[[#This Row],[X max]]-E_s_valg[[#This Row],[X min]]))</f>
        <v>#N/A</v>
      </c>
      <c r="AH30">
        <f>(E_s_valg[[#This Row],[Midtpunkt teststørrelse]]-E_s_valg[[#This Row],[X min]])/(E_s_valg[[#This Row],[X max]]-E_s_valg[[#This Row],[X min]])</f>
        <v>0.28906096488091337</v>
      </c>
      <c r="AI30" t="e">
        <f>IF(AND(E_s_valg[[#This Row],[Orientering]],E_s_valg[[#This Row],[Ensidet]]),(E_s_valg[[#This Row],[Venstre teststørrelse]]-E_s_valg[[#This Row],[X min]])/(E_s_valg[[#This Row],[X max]]-E_s_valg[[#This Row],[X min]]),(E_s_valg[[#This Row],[Højre teststørrelse]]-E_s_valg[[#This Row],[X min]])/(E_s_valg[[#This Row],[X max]]-E_s_valg[[#This Row],[X min]]))</f>
        <v>#N/A</v>
      </c>
      <c r="AJ30" t="s">
        <v>300</v>
      </c>
      <c r="AK30">
        <f>_xlfn.AGGREGATE(3,5,E_s_valg[[#This Row],[Parameter]])</f>
        <v>1</v>
      </c>
      <c r="AL30">
        <v>1</v>
      </c>
      <c r="AM30">
        <v>27</v>
      </c>
      <c r="AN30" t="e">
        <f>IF(AND(E_s_valg[[#This Row],[Kontrol af forudsætning 1]],E_s_valg[[#This Row],[Kontrol af forudsætning 2]]),"Hypotesetest om standardafvigelse
Nulhypotesen om at standardafvigelsen af "&amp;Eu_s_t_x&amp;" er mindre end "&amp;ROUND(Eu_s_h0_x,3)&amp;"
"&amp;IF(E_s_valg[[#This Row],[Nulhypotese kan ikke afvises]],"kan ikke ","")&amp;"afvises med "&amp;Eu_s_konfidensniveau*100&amp;"% konfidens","Kan ikke beregne hypotesetest om standardafvigelse")</f>
        <v>#N/A</v>
      </c>
      <c r="AO30" t="str">
        <f>"Standardafvigelse i stikprøver af størrelsen n = "&amp;Eu_s_n_x&amp;"
fra en population med standardafvigelse = "&amp;IFERROR(ROUND(Eu_s_h0_x,3),"Hypotese ikke angivet")</f>
        <v>Standardafvigelse i stikprøver af størrelsen n = 12
fra en population med standardafvigelse = 0</v>
      </c>
      <c r="AP30" t="s">
        <v>15</v>
      </c>
      <c r="AQ30" t="b">
        <f>NOT(ISNA(Eu_s_s_x))</f>
        <v>1</v>
      </c>
      <c r="AR30" t="s">
        <v>174</v>
      </c>
      <c r="AS30" t="b">
        <f>NOT(ISNA(Eu_s_h0_x))</f>
        <v>1</v>
      </c>
      <c r="AV30" t="s">
        <v>156</v>
      </c>
      <c r="AW30" t="s">
        <v>185</v>
      </c>
    </row>
    <row r="31" spans="1:50" x14ac:dyDescent="0.2">
      <c r="A31" t="s">
        <v>1</v>
      </c>
      <c r="B31" t="s">
        <v>132</v>
      </c>
      <c r="C31" t="s">
        <v>140</v>
      </c>
      <c r="D31" t="s">
        <v>140</v>
      </c>
      <c r="E31">
        <f t="shared" si="5"/>
        <v>11</v>
      </c>
      <c r="G31" t="e">
        <f>IFERROR((Eu_s_n_x-1)*Eu_s_s_x^2/Eu_s_h0_x^2,NA())</f>
        <v>#N/A</v>
      </c>
      <c r="H31" t="e">
        <f>IFERROR(CHOOSE(MATCH(E_s_valg[[#This Row],[Fordeling]],Fordeling_liste,0),E_s_valg[[#This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#N/A</v>
      </c>
      <c r="I31" t="e">
        <f>SQRT(E_s_valg[[#This Row],[Venstre teststørrelse]]/(Eu_s_n_x-1))*Eu_s_h0_x</f>
        <v>#N/A</v>
      </c>
      <c r="J31">
        <f>Eu_s_h0_x</f>
        <v>0</v>
      </c>
      <c r="K31" t="e">
        <f>SQRT(E_s_valg[[#This Row],[Højre teststørrelse]]/(Eu_s_n_x-1))*Eu_s_h0_x</f>
        <v>#N/A</v>
      </c>
      <c r="L31" t="e">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#N/A</v>
      </c>
      <c r="M31">
        <f>IF(E_s_valg[[#This Row],[Parameter]]="andel",ROUND(E_s_valg[[#This Row],[Midtpunkt label base]],5)*100&amp;"%",ROUND(E_s_valg[[#This Row],[Midtpunkt label base]],3))</f>
        <v>0</v>
      </c>
      <c r="N31" t="e">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#N/A</v>
      </c>
      <c r="O31" t="e">
        <f>E_s_valg[[#This Row],[Teststørrelse]]=E_s_valg[[#This Row],[Venstre teststørrelse]]</f>
        <v>#N/A</v>
      </c>
      <c r="P31" t="b">
        <f>OR(MATCH(E_s_valg[[#This Row],[Hypotese]],HypoteseRetning_liste,0)=2,MATCH(E_s_valg[[#This Row],[Hypotese]],HypoteseRetning_liste,0)=3)</f>
        <v>0</v>
      </c>
      <c r="Q31" t="e">
        <f>CHOOSE(MATCH(E_s_valg[[#This Row],[Hypotese]],HypoteseRetning_liste,0),NA(),IF(E_s_valg[[#This Row],[Orientering]],E_s_valg[[#This Row],[Mindre end venstre %]],E_s_valg[[#This Row],[Mindre end højre %]]),IF(E_s_valg[[#This Row],[Orientering]],E_s_valg[[#This Row],[Større end venstre %]],E_s_valg[[#This Row],[Større end højre %]]),1-E_s_valg[[#This Row],[Midt %]])</f>
        <v>#N/A</v>
      </c>
      <c r="R31" t="e">
        <f>E_s_valg[[#This Row],[p-værdi]]&gt;1-Eu_s_konfidensniveau</f>
        <v>#N/A</v>
      </c>
      <c r="S31">
        <f t="shared" si="6"/>
        <v>0.999</v>
      </c>
      <c r="T31">
        <f>CHOOSE(MATCH(E_s_valg[[#This Row],[Fordeling]],Fordeling_liste,0),_xlfn.NORM.INV(1-E_s_valg[[#This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1.8338526646536903</v>
      </c>
      <c r="U31">
        <f>CHOOSE(MATCH(E_s_valg[[#This Row],[Fordeling]],Fordeling_liste,0),_xlfn.NORM.INV(E_s_valg[[#This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31.264133620239949</v>
      </c>
      <c r="V31" t="e">
        <f>MIN(E_s_valg[[#This Row],[Teststørrelse]],E_s_valg[[#This Row],[Teststørrelse omvendt]])</f>
        <v>#N/A</v>
      </c>
      <c r="W31">
        <f>CHOOSE(MATCH(E_s_valg[[#This Row],[Fordeling]],Fordeling_liste,0),_xlfn.NORM.INV(0.5,E_s_valg[[#This Row],[Parameter 1]],E_s_valg[[#This Row],[Parameter 2]]),_xlfn.T.INV(0.5,E_s_valg[[#This Row],[Parameter 1]]),_xlfn.CHISQ.INV(0.5,E_s_valg[[#This Row],[Parameter 1]]),_xlfn.F.INV(0.5,E_s_valg[[#This Row],[Parameter 1]],E_s_valg[[#This Row],[Parameter 2]]))</f>
        <v>10.340998074391823</v>
      </c>
      <c r="X31" t="e">
        <f>MAX(E_s_valg[[#This Row],[Teststørrelse]],E_s_valg[[#This Row],[Teststørrelse omvendt]])</f>
        <v>#N/A</v>
      </c>
      <c r="Y31" t="e">
        <f>CHOOSE(MATCH(E_s_valg[[#This Row],[Fordeling]],Fordeling_liste,0),_xlfn.NORM.DIST(E_s_valg[[#This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#N/A</v>
      </c>
      <c r="Z31" t="e">
        <f>CHOOSE(MATCH(E_s_valg[[#This Row],[Fordeling]],Fordeling_liste,0),_xlfn.NORM.DIST(E_s_valg[[#This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#N/A</v>
      </c>
      <c r="AA31" t="e">
        <f>E_s_valg[[#This Row],[Mindre end højre %]]-E_s_valg[[#This Row],[Mindre end venstre %]]</f>
        <v>#N/A</v>
      </c>
      <c r="AB31" t="e">
        <f>1-E_s_valg[[#This Row],[Mindre end venstre %]]</f>
        <v>#N/A</v>
      </c>
      <c r="AC31" t="e">
        <f>1-E_s_valg[[#This Row],[Mindre end højre %]]</f>
        <v>#N/A</v>
      </c>
      <c r="AD31" t="e">
        <f>IF(OR(MATCH(E_s_valg[[#This Row],[Hypotese]],HypoteseRetning_liste,0)=2,MATCH(E_s_valg[[#This Row],[Hypotese]],HypoteseRetning_liste,0)=3),IF(E_s_valg[[#This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#N/A</v>
      </c>
      <c r="AE31" t="e">
        <f>IF(OR(MATCH(E_s_valg[[#This Row],[Hypotese]],HypoteseRetning_liste,0)=1,MATCH(E_s_valg[[#This Row],[Hypotese]],HypoteseRetning_liste,0)=4),ROUND(E_s_valg[[#This Row],[Midt %]],5)*100&amp;"% mellem "&amp;E_s_valg[[#This Row],[Venstre label]]&amp;" og "&amp;E_s_valg[[#This Row],[Højre label]]," ")</f>
        <v>#N/A</v>
      </c>
      <c r="AF31" t="e">
        <f>IF(OR(MATCH(E_s_valg[[#This Row],[Hypotese]],HypoteseRetning_liste,0)=2,MATCH(E_s_valg[[#This Row],[Hypotese]],HypoteseRetning_liste,0)=3),IF(E_s_valg[[#This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#N/A</v>
      </c>
      <c r="AG31" t="e">
        <f>IF(AND(NOT(E_s_valg[[#This Row],[Orientering]]),E_s_valg[[#This Row],[Ensidet]]),(E_s_valg[[#This Row],[Højre teststørrelse]]-E_s_valg[[#This Row],[X min]])/(E_s_valg[[#This Row],[X max]]-E_s_valg[[#This Row],[X min]]),(E_s_valg[[#This Row],[Venstre teststørrelse]]-E_s_valg[[#This Row],[X min]])/(E_s_valg[[#This Row],[X max]]-E_s_valg[[#This Row],[X min]]))</f>
        <v>#N/A</v>
      </c>
      <c r="AH31">
        <f>(E_s_valg[[#This Row],[Midtpunkt teststørrelse]]-E_s_valg[[#This Row],[X min]])/(E_s_valg[[#This Row],[X max]]-E_s_valg[[#This Row],[X min]])</f>
        <v>0.28906096488091337</v>
      </c>
      <c r="AI31" t="e">
        <f>IF(AND(E_s_valg[[#This Row],[Orientering]],E_s_valg[[#This Row],[Ensidet]]),(E_s_valg[[#This Row],[Venstre teststørrelse]]-E_s_valg[[#This Row],[X min]])/(E_s_valg[[#This Row],[X max]]-E_s_valg[[#This Row],[X min]]),(E_s_valg[[#This Row],[Højre teststørrelse]]-E_s_valg[[#This Row],[X min]])/(E_s_valg[[#This Row],[X max]]-E_s_valg[[#This Row],[X min]]))</f>
        <v>#N/A</v>
      </c>
      <c r="AJ31" t="s">
        <v>125</v>
      </c>
      <c r="AK31">
        <f>_xlfn.AGGREGATE(3,5,E_s_valg[[#This Row],[Parameter]])</f>
        <v>1</v>
      </c>
      <c r="AL31">
        <v>1</v>
      </c>
      <c r="AM31">
        <v>28</v>
      </c>
      <c r="AN31" t="e">
        <f>IF(AND(E_s_valg[[#This Row],[Kontrol af forudsætning 1]],E_s_valg[[#This Row],[Kontrol af forudsætning 2]]),"Hypotesetest om standardafvigelse
Nulhypotesen om at standardafvigelsen af "&amp;Eu_s_t_x&amp;" er lig med "&amp;ROUND(Eu_s_h0_x,3)&amp;"
"&amp;IF(E_s_valg[[#This Row],[Nulhypotese kan ikke afvises]],"kan ikke ","")&amp;"afvises med "&amp;Eu_s_konfidensniveau*100&amp;"% konfidens","Kan ikke beregne hypotesetest om standardafvigelse")</f>
        <v>#N/A</v>
      </c>
      <c r="AO31" t="str">
        <f>"Standardafvigelse i stikprøver af størrelsen n = "&amp;Eu_s_n_x&amp;"
fra en population med standardafvigelse = "&amp;IFERROR(ROUND(Eu_s_h0_x,3),"Hypotese ikke angivet")</f>
        <v>Standardafvigelse i stikprøver af størrelsen n = 12
fra en population med standardafvigelse = 0</v>
      </c>
      <c r="AP31" t="s">
        <v>15</v>
      </c>
      <c r="AQ31" t="b">
        <f>NOT(ISNA(Eu_s_s_x))</f>
        <v>1</v>
      </c>
      <c r="AR31" t="s">
        <v>174</v>
      </c>
      <c r="AS31" t="b">
        <f>NOT(ISNA(Eu_s_h0_x))</f>
        <v>1</v>
      </c>
      <c r="AV31" t="s">
        <v>156</v>
      </c>
      <c r="AW31" t="s">
        <v>185</v>
      </c>
    </row>
    <row r="32" spans="1:50" x14ac:dyDescent="0.2">
      <c r="A32" t="s">
        <v>1</v>
      </c>
      <c r="B32" t="s">
        <v>133</v>
      </c>
      <c r="C32" t="s">
        <v>141</v>
      </c>
      <c r="D32" t="s">
        <v>141</v>
      </c>
      <c r="E32">
        <f t="shared" si="5"/>
        <v>11</v>
      </c>
      <c r="F32">
        <f>Eu_s_n_y-1</f>
        <v>11</v>
      </c>
      <c r="G32">
        <f>IFERROR(Eu_s_s_x^2/Eu_s_s_y^2,NA())</f>
        <v>1.1445614473379149</v>
      </c>
      <c r="H32">
        <f>IFERROR(CHOOSE(MATCH(E_s_valg[[#This Row],[Fordeling]],Fordeling_liste,0),E_s_valg[[#This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0.87369708487548248</v>
      </c>
      <c r="I32">
        <f>SQRT(E_s_valg[[#This Row],[Venstre teststørrelse]])</f>
        <v>0.93471764981489591</v>
      </c>
      <c r="J32">
        <v>1</v>
      </c>
      <c r="K32">
        <f>SQRT(E_s_valg[[#This Row],[Højre teststørrelse]])</f>
        <v>1.069841786124432</v>
      </c>
      <c r="L32">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1.07</v>
      </c>
      <c r="M32">
        <f>IF(E_s_valg[[#This Row],[Parameter]]="andel",ROUND(E_s_valg[[#This Row],[Midtpunkt label base]],5)*100&amp;"%",ROUND(E_s_valg[[#This Row],[Midtpunkt label base]],3))</f>
        <v>1</v>
      </c>
      <c r="N32">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1.07</v>
      </c>
      <c r="O32" t="b">
        <f>E_s_valg[[#This Row],[Teststørrelse]]=E_s_valg[[#This Row],[Venstre teststørrelse]]</f>
        <v>0</v>
      </c>
      <c r="P32" t="b">
        <f>OR(MATCH(E_s_valg[[#This Row],[Hypotese]],HypoteseRetning_liste,0)=2,MATCH(E_s_valg[[#This Row],[Hypotese]],HypoteseRetning_liste,0)=3)</f>
        <v>1</v>
      </c>
      <c r="Q32">
        <f>CHOOSE(MATCH(E_s_valg[[#This Row],[Hypotese]],HypoteseRetning_liste,0),NA(),IF(E_s_valg[[#This Row],[Orientering]],E_s_valg[[#This Row],[Mindre end venstre %]],E_s_valg[[#This Row],[Mindre end højre %]]),IF(E_s_valg[[#This Row],[Orientering]],E_s_valg[[#This Row],[Større end venstre %]],E_s_valg[[#This Row],[Større end højre %]]),1-E_s_valg[[#This Row],[Midt %]])</f>
        <v>0.58659792841049052</v>
      </c>
      <c r="R32" t="b">
        <f>E_s_valg[[#This Row],[p-værdi]]&gt;1-Eu_s_konfidensniveau</f>
        <v>1</v>
      </c>
      <c r="S32">
        <f t="shared" si="6"/>
        <v>0.999</v>
      </c>
      <c r="T32">
        <f>CHOOSE(MATCH(E_s_valg[[#This Row],[Fordeling]],Fordeling_liste,0),_xlfn.NORM.INV(1-E_s_valg[[#This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0.12884242197627424</v>
      </c>
      <c r="U32">
        <f>CHOOSE(MATCH(E_s_valg[[#This Row],[Fordeling]],Fordeling_liste,0),_xlfn.NORM.INV(E_s_valg[[#This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7.7614188297713431</v>
      </c>
      <c r="V32">
        <f>MIN(E_s_valg[[#This Row],[Teststørrelse]],E_s_valg[[#This Row],[Teststørrelse omvendt]])</f>
        <v>0.87369708487548248</v>
      </c>
      <c r="W32">
        <f>CHOOSE(MATCH(E_s_valg[[#This Row],[Fordeling]],Fordeling_liste,0),_xlfn.NORM.INV(0.5,E_s_valg[[#This Row],[Parameter 1]],E_s_valg[[#This Row],[Parameter 2]]),_xlfn.T.INV(0.5,E_s_valg[[#This Row],[Parameter 1]]),_xlfn.CHISQ.INV(0.5,E_s_valg[[#This Row],[Parameter 1]]),_xlfn.F.INV(0.5,E_s_valg[[#This Row],[Parameter 1]],E_s_valg[[#This Row],[Parameter 2]]))</f>
        <v>0.99999999999999989</v>
      </c>
      <c r="X32">
        <f>MAX(E_s_valg[[#This Row],[Teststørrelse]],E_s_valg[[#This Row],[Teststørrelse omvendt]])</f>
        <v>1.1445614473379149</v>
      </c>
      <c r="Y32">
        <f>CHOOSE(MATCH(E_s_valg[[#This Row],[Fordeling]],Fordeling_liste,0),_xlfn.NORM.DIST(E_s_valg[[#This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0.41340207158950926</v>
      </c>
      <c r="Z32">
        <f>CHOOSE(MATCH(E_s_valg[[#This Row],[Fordeling]],Fordeling_liste,0),_xlfn.NORM.DIST(E_s_valg[[#This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0.58659792841049052</v>
      </c>
      <c r="AA32">
        <f>E_s_valg[[#This Row],[Mindre end højre %]]-E_s_valg[[#This Row],[Mindre end venstre %]]</f>
        <v>0.17319585682098126</v>
      </c>
      <c r="AB32">
        <f>1-E_s_valg[[#This Row],[Mindre end venstre %]]</f>
        <v>0.58659792841049074</v>
      </c>
      <c r="AC32">
        <f>1-E_s_valg[[#This Row],[Mindre end højre %]]</f>
        <v>0.41340207158950948</v>
      </c>
      <c r="AD32" t="str">
        <f>IF(OR(MATCH(E_s_valg[[#This Row],[Hypotese]],HypoteseRetning_liste,0)=2,MATCH(E_s_valg[[#This Row],[Hypotese]],HypoteseRetning_liste,0)=3),IF(E_s_valg[[#This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58.66% mindre end 1.07</v>
      </c>
      <c r="AE32" t="str">
        <f>IF(OR(MATCH(E_s_valg[[#This Row],[Hypotese]],HypoteseRetning_liste,0)=1,MATCH(E_s_valg[[#This Row],[Hypotese]],HypoteseRetning_liste,0)=4),ROUND(E_s_valg[[#This Row],[Midt %]],5)*100&amp;"% mellem "&amp;E_s_valg[[#This Row],[Venstre label]]&amp;" og "&amp;E_s_valg[[#This Row],[Højre label]]," ")</f>
        <v xml:space="preserve"> </v>
      </c>
      <c r="AF32" t="str">
        <f>IF(OR(MATCH(E_s_valg[[#This Row],[Hypotese]],HypoteseRetning_liste,0)=2,MATCH(E_s_valg[[#This Row],[Hypotese]],HypoteseRetning_liste,0)=3),IF(E_s_valg[[#This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41.34% større end 1.07</v>
      </c>
      <c r="AG32">
        <f>IF(AND(NOT(E_s_valg[[#This Row],[Orientering]]),E_s_valg[[#This Row],[Ensidet]]),(E_s_valg[[#This Row],[Højre teststørrelse]]-E_s_valg[[#This Row],[X min]])/(E_s_valg[[#This Row],[X max]]-E_s_valg[[#This Row],[X min]]),(E_s_valg[[#This Row],[Venstre teststørrelse]]-E_s_valg[[#This Row],[X min]])/(E_s_valg[[#This Row],[X max]]-E_s_valg[[#This Row],[X min]]))</f>
        <v>0.13307682374778423</v>
      </c>
      <c r="AH32">
        <f>(E_s_valg[[#This Row],[Midtpunkt teststørrelse]]-E_s_valg[[#This Row],[X min]])/(E_s_valg[[#This Row],[X max]]-E_s_valg[[#This Row],[X min]])</f>
        <v>0.11413676476713966</v>
      </c>
      <c r="AI32">
        <f>IF(AND(E_s_valg[[#This Row],[Orientering]],E_s_valg[[#This Row],[Ensidet]]),(E_s_valg[[#This Row],[Venstre teststørrelse]]-E_s_valg[[#This Row],[X min]])/(E_s_valg[[#This Row],[X max]]-E_s_valg[[#This Row],[X min]]),(E_s_valg[[#This Row],[Højre teststørrelse]]-E_s_valg[[#This Row],[X min]])/(E_s_valg[[#This Row],[X max]]-E_s_valg[[#This Row],[X min]]))</f>
        <v>0.13307682374778423</v>
      </c>
      <c r="AJ32" t="s">
        <v>299</v>
      </c>
      <c r="AK32">
        <f>_xlfn.AGGREGATE(3,5,E_s_valg[[#This Row],[Parameter]])</f>
        <v>1</v>
      </c>
      <c r="AL32">
        <v>2</v>
      </c>
      <c r="AM32">
        <v>29</v>
      </c>
      <c r="AN32" t="str">
        <f>IF(AND(E_s_valg[[#This Row],[Kontrol af forudsætning 1]],E_s_valg[[#This Row],[Kontrol af forudsætning 2]]),"Hypotesetest om forhold mellem standardafvigelser
Nulhypotesen om at standardafvigelsen af "&amp;Eu_s_t_x&amp;" er større end standardafvigelsen af "&amp;Eu_s_t_y&amp;"
"&amp;IF(E_s_valg[[#This Row],[Nulhypotese kan ikke afvises]],"kan ikke ","")&amp;"afvises med "&amp;Eu_s_konfidensniveau*100&amp;"% konfidens","Kan ikke beregne hypotesetest om forhold mellem standardafvigelser")</f>
        <v>Hypotesetest om forhold mellem standardafvigelser
Nulhypotesen om at standardafvigelsen af Eksempel 1 (interval) er større end standardafvigelsen af Eksempel 2 (interval)
kan ikke afvises med 95% konfidens</v>
      </c>
      <c r="AO32" t="str">
        <f>"Forhold mellem standardafvigelser
 i stikprøver af størrelsen n = "&amp;Eu_s_n_x&amp;" og "&amp;Eu_s_n_y&amp;"
fra to populationer med forholdet = 1"</f>
        <v>Forhold mellem standardafvigelser
 i stikprøver af størrelsen n = 12 og 12
fra to populationer med forholdet = 1</v>
      </c>
      <c r="AP32" t="s">
        <v>15</v>
      </c>
      <c r="AQ32" t="b">
        <f>NOT(OR(ISNA(Eu_s_s_x),ISNA(Eu_s_s_y)))</f>
        <v>1</v>
      </c>
      <c r="AV32" t="s">
        <v>161</v>
      </c>
      <c r="AW32" t="s">
        <v>185</v>
      </c>
    </row>
    <row r="33" spans="1:50" x14ac:dyDescent="0.2">
      <c r="A33" t="s">
        <v>1</v>
      </c>
      <c r="B33" t="s">
        <v>134</v>
      </c>
      <c r="C33" t="s">
        <v>141</v>
      </c>
      <c r="D33" t="s">
        <v>141</v>
      </c>
      <c r="E33">
        <f t="shared" si="5"/>
        <v>11</v>
      </c>
      <c r="F33">
        <f>Eu_s_n_y-1</f>
        <v>11</v>
      </c>
      <c r="G33">
        <f>IFERROR(Eu_s_s_x^2/Eu_s_s_y^2,NA())</f>
        <v>1.1445614473379149</v>
      </c>
      <c r="H33">
        <f>IFERROR(CHOOSE(MATCH(E_s_valg[[#This Row],[Fordeling]],Fordeling_liste,0),E_s_valg[[#This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0.87369708487548248</v>
      </c>
      <c r="I33">
        <f>SQRT(E_s_valg[[#This Row],[Venstre teststørrelse]])</f>
        <v>0.93471764981489591</v>
      </c>
      <c r="J33">
        <v>1</v>
      </c>
      <c r="K33">
        <f>SQRT(E_s_valg[[#This Row],[Højre teststørrelse]])</f>
        <v>1.069841786124432</v>
      </c>
      <c r="L33">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1.07</v>
      </c>
      <c r="M33">
        <f>IF(E_s_valg[[#This Row],[Parameter]]="andel",ROUND(E_s_valg[[#This Row],[Midtpunkt label base]],5)*100&amp;"%",ROUND(E_s_valg[[#This Row],[Midtpunkt label base]],3))</f>
        <v>1</v>
      </c>
      <c r="N33">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1.07</v>
      </c>
      <c r="O33" t="b">
        <f>E_s_valg[[#This Row],[Teststørrelse]]=E_s_valg[[#This Row],[Venstre teststørrelse]]</f>
        <v>0</v>
      </c>
      <c r="P33" t="b">
        <f>OR(MATCH(E_s_valg[[#This Row],[Hypotese]],HypoteseRetning_liste,0)=2,MATCH(E_s_valg[[#This Row],[Hypotese]],HypoteseRetning_liste,0)=3)</f>
        <v>1</v>
      </c>
      <c r="Q33">
        <f>CHOOSE(MATCH(E_s_valg[[#This Row],[Hypotese]],HypoteseRetning_liste,0),NA(),IF(E_s_valg[[#This Row],[Orientering]],E_s_valg[[#This Row],[Mindre end venstre %]],E_s_valg[[#This Row],[Mindre end højre %]]),IF(E_s_valg[[#This Row],[Orientering]],E_s_valg[[#This Row],[Større end venstre %]],E_s_valg[[#This Row],[Større end højre %]]),1-E_s_valg[[#This Row],[Midt %]])</f>
        <v>0.41340207158950948</v>
      </c>
      <c r="R33" t="b">
        <f>E_s_valg[[#This Row],[p-værdi]]&gt;1-Eu_s_konfidensniveau</f>
        <v>1</v>
      </c>
      <c r="S33">
        <f t="shared" si="6"/>
        <v>0.999</v>
      </c>
      <c r="T33">
        <f>CHOOSE(MATCH(E_s_valg[[#This Row],[Fordeling]],Fordeling_liste,0),_xlfn.NORM.INV(1-E_s_valg[[#This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0.12884242197627424</v>
      </c>
      <c r="U33">
        <f>CHOOSE(MATCH(E_s_valg[[#This Row],[Fordeling]],Fordeling_liste,0),_xlfn.NORM.INV(E_s_valg[[#This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7.7614188297713431</v>
      </c>
      <c r="V33">
        <f>MIN(E_s_valg[[#This Row],[Teststørrelse]],E_s_valg[[#This Row],[Teststørrelse omvendt]])</f>
        <v>0.87369708487548248</v>
      </c>
      <c r="W33">
        <f>CHOOSE(MATCH(E_s_valg[[#This Row],[Fordeling]],Fordeling_liste,0),_xlfn.NORM.INV(0.5,E_s_valg[[#This Row],[Parameter 1]],E_s_valg[[#This Row],[Parameter 2]]),_xlfn.T.INV(0.5,E_s_valg[[#This Row],[Parameter 1]]),_xlfn.CHISQ.INV(0.5,E_s_valg[[#This Row],[Parameter 1]]),_xlfn.F.INV(0.5,E_s_valg[[#This Row],[Parameter 1]],E_s_valg[[#This Row],[Parameter 2]]))</f>
        <v>0.99999999999999989</v>
      </c>
      <c r="X33">
        <f>MAX(E_s_valg[[#This Row],[Teststørrelse]],E_s_valg[[#This Row],[Teststørrelse omvendt]])</f>
        <v>1.1445614473379149</v>
      </c>
      <c r="Y33">
        <f>CHOOSE(MATCH(E_s_valg[[#This Row],[Fordeling]],Fordeling_liste,0),_xlfn.NORM.DIST(E_s_valg[[#This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0.41340207158950926</v>
      </c>
      <c r="Z33">
        <f>CHOOSE(MATCH(E_s_valg[[#This Row],[Fordeling]],Fordeling_liste,0),_xlfn.NORM.DIST(E_s_valg[[#This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0.58659792841049052</v>
      </c>
      <c r="AA33">
        <f>E_s_valg[[#This Row],[Mindre end højre %]]-E_s_valg[[#This Row],[Mindre end venstre %]]</f>
        <v>0.17319585682098126</v>
      </c>
      <c r="AB33">
        <f>1-E_s_valg[[#This Row],[Mindre end venstre %]]</f>
        <v>0.58659792841049074</v>
      </c>
      <c r="AC33">
        <f>1-E_s_valg[[#This Row],[Mindre end højre %]]</f>
        <v>0.41340207158950948</v>
      </c>
      <c r="AD33" t="str">
        <f>IF(OR(MATCH(E_s_valg[[#This Row],[Hypotese]],HypoteseRetning_liste,0)=2,MATCH(E_s_valg[[#This Row],[Hypotese]],HypoteseRetning_liste,0)=3),IF(E_s_valg[[#This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58.66% mindre end 1.07</v>
      </c>
      <c r="AE33" t="str">
        <f>IF(OR(MATCH(E_s_valg[[#This Row],[Hypotese]],HypoteseRetning_liste,0)=1,MATCH(E_s_valg[[#This Row],[Hypotese]],HypoteseRetning_liste,0)=4),ROUND(E_s_valg[[#This Row],[Midt %]],5)*100&amp;"% mellem "&amp;E_s_valg[[#This Row],[Venstre label]]&amp;" og "&amp;E_s_valg[[#This Row],[Højre label]]," ")</f>
        <v xml:space="preserve"> </v>
      </c>
      <c r="AF33" t="str">
        <f>IF(OR(MATCH(E_s_valg[[#This Row],[Hypotese]],HypoteseRetning_liste,0)=2,MATCH(E_s_valg[[#This Row],[Hypotese]],HypoteseRetning_liste,0)=3),IF(E_s_valg[[#This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41.34% større end 1.07</v>
      </c>
      <c r="AG33">
        <f>IF(AND(NOT(E_s_valg[[#This Row],[Orientering]]),E_s_valg[[#This Row],[Ensidet]]),(E_s_valg[[#This Row],[Højre teststørrelse]]-E_s_valg[[#This Row],[X min]])/(E_s_valg[[#This Row],[X max]]-E_s_valg[[#This Row],[X min]]),(E_s_valg[[#This Row],[Venstre teststørrelse]]-E_s_valg[[#This Row],[X min]])/(E_s_valg[[#This Row],[X max]]-E_s_valg[[#This Row],[X min]]))</f>
        <v>0.13307682374778423</v>
      </c>
      <c r="AH33">
        <f>(E_s_valg[[#This Row],[Midtpunkt teststørrelse]]-E_s_valg[[#This Row],[X min]])/(E_s_valg[[#This Row],[X max]]-E_s_valg[[#This Row],[X min]])</f>
        <v>0.11413676476713966</v>
      </c>
      <c r="AI33">
        <f>IF(AND(E_s_valg[[#This Row],[Orientering]],E_s_valg[[#This Row],[Ensidet]]),(E_s_valg[[#This Row],[Venstre teststørrelse]]-E_s_valg[[#This Row],[X min]])/(E_s_valg[[#This Row],[X max]]-E_s_valg[[#This Row],[X min]]),(E_s_valg[[#This Row],[Højre teststørrelse]]-E_s_valg[[#This Row],[X min]])/(E_s_valg[[#This Row],[X max]]-E_s_valg[[#This Row],[X min]]))</f>
        <v>0.13307682374778423</v>
      </c>
      <c r="AJ33" t="s">
        <v>300</v>
      </c>
      <c r="AK33">
        <f>_xlfn.AGGREGATE(3,5,E_s_valg[[#This Row],[Parameter]])</f>
        <v>1</v>
      </c>
      <c r="AL33">
        <v>2</v>
      </c>
      <c r="AM33">
        <v>30</v>
      </c>
      <c r="AN33" t="str">
        <f>IF(AND(E_s_valg[[#This Row],[Kontrol af forudsætning 1]],E_s_valg[[#This Row],[Kontrol af forudsætning 2]]),"Hypotesetest om forhold mellem standardafvigelser
Nulhypotesen om at standardafvigelsen af "&amp;Eu_s_t_x&amp;" er mindre end standardafvigelsen af "&amp;Eu_s_t_y&amp;"
"&amp;IF(E_s_valg[[#This Row],[Nulhypotese kan ikke afvises]],"kan ikke ","")&amp;"afvises med "&amp;Eu_s_konfidensniveau*100&amp;"% konfidens","Kan ikke beregne hypotesetest om forhold mellem standardafvigelser")</f>
        <v>Hypotesetest om forhold mellem standardafvigelser
Nulhypotesen om at standardafvigelsen af Eksempel 1 (interval) er mindre end standardafvigelsen af Eksempel 2 (interval)
kan ikke afvises med 95% konfidens</v>
      </c>
      <c r="AO33" t="str">
        <f>"Forhold mellem standardafvigelser
 i stikprøver af størrelsen n = "&amp;Eu_s_n_x&amp;" og "&amp;Eu_s_n_y&amp;"
fra to populationer med forholdet = 1"</f>
        <v>Forhold mellem standardafvigelser
 i stikprøver af størrelsen n = 12 og 12
fra to populationer med forholdet = 1</v>
      </c>
      <c r="AP33" t="s">
        <v>15</v>
      </c>
      <c r="AQ33" t="b">
        <f>NOT(OR(ISNA(Eu_s_s_x),ISNA(Eu_s_s_y)))</f>
        <v>1</v>
      </c>
      <c r="AV33" t="s">
        <v>161</v>
      </c>
      <c r="AW33" t="s">
        <v>185</v>
      </c>
    </row>
    <row r="34" spans="1:50" x14ac:dyDescent="0.2">
      <c r="A34" t="s">
        <v>1</v>
      </c>
      <c r="B34" t="s">
        <v>135</v>
      </c>
      <c r="C34" t="s">
        <v>141</v>
      </c>
      <c r="D34" t="s">
        <v>141</v>
      </c>
      <c r="E34">
        <f t="shared" si="5"/>
        <v>11</v>
      </c>
      <c r="F34">
        <f>Eu_s_n_y-1</f>
        <v>11</v>
      </c>
      <c r="G34">
        <f>IFERROR(Eu_s_s_x^2/Eu_s_s_y^2,NA())</f>
        <v>1.1445614473379149</v>
      </c>
      <c r="H34">
        <f>IFERROR(CHOOSE(MATCH(E_s_valg[[#This Row],[Fordeling]],Fordeling_liste,0),E_s_valg[[#This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0.87369708487548248</v>
      </c>
      <c r="I34">
        <f>SQRT(E_s_valg[[#This Row],[Venstre teststørrelse]])</f>
        <v>0.93471764981489591</v>
      </c>
      <c r="J34">
        <v>1</v>
      </c>
      <c r="K34">
        <f>SQRT(E_s_valg[[#This Row],[Højre teststørrelse]])</f>
        <v>1.069841786124432</v>
      </c>
      <c r="L34">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0.93500000000000005</v>
      </c>
      <c r="M34">
        <f>IF(E_s_valg[[#This Row],[Parameter]]="andel",ROUND(E_s_valg[[#This Row],[Midtpunkt label base]],5)*100&amp;"%",ROUND(E_s_valg[[#This Row],[Midtpunkt label base]],3))</f>
        <v>1</v>
      </c>
      <c r="N34">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1.07</v>
      </c>
      <c r="O34" t="b">
        <f>E_s_valg[[#This Row],[Teststørrelse]]=E_s_valg[[#This Row],[Venstre teststørrelse]]</f>
        <v>0</v>
      </c>
      <c r="P34" t="b">
        <f>OR(MATCH(E_s_valg[[#This Row],[Hypotese]],HypoteseRetning_liste,0)=2,MATCH(E_s_valg[[#This Row],[Hypotese]],HypoteseRetning_liste,0)=3)</f>
        <v>0</v>
      </c>
      <c r="Q34">
        <f>CHOOSE(MATCH(E_s_valg[[#This Row],[Hypotese]],HypoteseRetning_liste,0),NA(),IF(E_s_valg[[#This Row],[Orientering]],E_s_valg[[#This Row],[Mindre end venstre %]],E_s_valg[[#This Row],[Mindre end højre %]]),IF(E_s_valg[[#This Row],[Orientering]],E_s_valg[[#This Row],[Større end venstre %]],E_s_valg[[#This Row],[Større end højre %]]),1-E_s_valg[[#This Row],[Midt %]])</f>
        <v>0.82680414317901874</v>
      </c>
      <c r="R34" t="b">
        <f>E_s_valg[[#This Row],[p-værdi]]&gt;1-Eu_s_konfidensniveau</f>
        <v>1</v>
      </c>
      <c r="S34">
        <f t="shared" si="6"/>
        <v>0.999</v>
      </c>
      <c r="T34">
        <f>CHOOSE(MATCH(E_s_valg[[#This Row],[Fordeling]],Fordeling_liste,0),_xlfn.NORM.INV(1-E_s_valg[[#This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0.12884242197627424</v>
      </c>
      <c r="U34">
        <f>CHOOSE(MATCH(E_s_valg[[#This Row],[Fordeling]],Fordeling_liste,0),_xlfn.NORM.INV(E_s_valg[[#This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7.7614188297713431</v>
      </c>
      <c r="V34">
        <f>MIN(E_s_valg[[#This Row],[Teststørrelse]],E_s_valg[[#This Row],[Teststørrelse omvendt]])</f>
        <v>0.87369708487548248</v>
      </c>
      <c r="W34">
        <f>CHOOSE(MATCH(E_s_valg[[#This Row],[Fordeling]],Fordeling_liste,0),_xlfn.NORM.INV(0.5,E_s_valg[[#This Row],[Parameter 1]],E_s_valg[[#This Row],[Parameter 2]]),_xlfn.T.INV(0.5,E_s_valg[[#This Row],[Parameter 1]]),_xlfn.CHISQ.INV(0.5,E_s_valg[[#This Row],[Parameter 1]]),_xlfn.F.INV(0.5,E_s_valg[[#This Row],[Parameter 1]],E_s_valg[[#This Row],[Parameter 2]]))</f>
        <v>0.99999999999999989</v>
      </c>
      <c r="X34">
        <f>MAX(E_s_valg[[#This Row],[Teststørrelse]],E_s_valg[[#This Row],[Teststørrelse omvendt]])</f>
        <v>1.1445614473379149</v>
      </c>
      <c r="Y34">
        <f>CHOOSE(MATCH(E_s_valg[[#This Row],[Fordeling]],Fordeling_liste,0),_xlfn.NORM.DIST(E_s_valg[[#This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0.41340207158950926</v>
      </c>
      <c r="Z34">
        <f>CHOOSE(MATCH(E_s_valg[[#This Row],[Fordeling]],Fordeling_liste,0),_xlfn.NORM.DIST(E_s_valg[[#This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0.58659792841049052</v>
      </c>
      <c r="AA34">
        <f>E_s_valg[[#This Row],[Mindre end højre %]]-E_s_valg[[#This Row],[Mindre end venstre %]]</f>
        <v>0.17319585682098126</v>
      </c>
      <c r="AB34">
        <f>1-E_s_valg[[#This Row],[Mindre end venstre %]]</f>
        <v>0.58659792841049074</v>
      </c>
      <c r="AC34">
        <f>1-E_s_valg[[#This Row],[Mindre end højre %]]</f>
        <v>0.41340207158950948</v>
      </c>
      <c r="AD34" t="str">
        <f>IF(OR(MATCH(E_s_valg[[#This Row],[Hypotese]],HypoteseRetning_liste,0)=2,MATCH(E_s_valg[[#This Row],[Hypotese]],HypoteseRetning_liste,0)=3),IF(E_s_valg[[#This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41.34% mindre end 0.935</v>
      </c>
      <c r="AE34" t="str">
        <f>IF(OR(MATCH(E_s_valg[[#This Row],[Hypotese]],HypoteseRetning_liste,0)=1,MATCH(E_s_valg[[#This Row],[Hypotese]],HypoteseRetning_liste,0)=4),ROUND(E_s_valg[[#This Row],[Midt %]],5)*100&amp;"% mellem "&amp;E_s_valg[[#This Row],[Venstre label]]&amp;" og "&amp;E_s_valg[[#This Row],[Højre label]]," ")</f>
        <v>17.32% mellem 0.935 og 1.07</v>
      </c>
      <c r="AF34" t="str">
        <f>IF(OR(MATCH(E_s_valg[[#This Row],[Hypotese]],HypoteseRetning_liste,0)=2,MATCH(E_s_valg[[#This Row],[Hypotese]],HypoteseRetning_liste,0)=3),IF(E_s_valg[[#This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41.34% større end 1.07</v>
      </c>
      <c r="AG34">
        <f>IF(AND(NOT(E_s_valg[[#This Row],[Orientering]]),E_s_valg[[#This Row],[Ensidet]]),(E_s_valg[[#This Row],[Højre teststørrelse]]-E_s_valg[[#This Row],[X min]])/(E_s_valg[[#This Row],[X max]]-E_s_valg[[#This Row],[X min]]),(E_s_valg[[#This Row],[Venstre teststørrelse]]-E_s_valg[[#This Row],[X min]])/(E_s_valg[[#This Row],[X max]]-E_s_valg[[#This Row],[X min]]))</f>
        <v>9.7588890448380719E-2</v>
      </c>
      <c r="AH34">
        <f>(E_s_valg[[#This Row],[Midtpunkt teststørrelse]]-E_s_valg[[#This Row],[X min]])/(E_s_valg[[#This Row],[X max]]-E_s_valg[[#This Row],[X min]])</f>
        <v>0.11413676476713966</v>
      </c>
      <c r="AI34">
        <f>IF(AND(E_s_valg[[#This Row],[Orientering]],E_s_valg[[#This Row],[Ensidet]]),(E_s_valg[[#This Row],[Venstre teststørrelse]]-E_s_valg[[#This Row],[X min]])/(E_s_valg[[#This Row],[X max]]-E_s_valg[[#This Row],[X min]]),(E_s_valg[[#This Row],[Højre teststørrelse]]-E_s_valg[[#This Row],[X min]])/(E_s_valg[[#This Row],[X max]]-E_s_valg[[#This Row],[X min]]))</f>
        <v>0.13307682374778423</v>
      </c>
      <c r="AJ34" t="s">
        <v>125</v>
      </c>
      <c r="AK34">
        <f>_xlfn.AGGREGATE(3,5,E_s_valg[[#This Row],[Parameter]])</f>
        <v>1</v>
      </c>
      <c r="AL34">
        <v>2</v>
      </c>
      <c r="AM34">
        <v>31</v>
      </c>
      <c r="AN34" t="str">
        <f>IF(AND(E_s_valg[[#This Row],[Kontrol af forudsætning 1]],E_s_valg[[#This Row],[Kontrol af forudsætning 2]]),"Hypotesetest om forhold mellem standardafvigelser
Nulhypotesen om at standardafvigelsen af "&amp;Eu_s_t_x&amp;" er lig med standardafvigelsen af "&amp;Eu_s_t_y&amp;"
"&amp;IF(E_s_valg[[#This Row],[Nulhypotese kan ikke afvises]],"kan ikke ","")&amp;"afvises med "&amp;Eu_s_konfidensniveau*100&amp;"% konfidens","Kan ikke beregne hypotesetest om forhold mellem standardafvigelser")</f>
        <v>Hypotesetest om forhold mellem standardafvigelser
Nulhypotesen om at standardafvigelsen af Eksempel 1 (interval) er lig med standardafvigelsen af Eksempel 2 (interval)
kan ikke afvises med 95% konfidens</v>
      </c>
      <c r="AO34" t="str">
        <f>"Forhold mellem standardafvigelser
 i stikprøver af størrelsen n = "&amp;Eu_s_n_x&amp;" og "&amp;Eu_s_n_y&amp;"
fra to populationer med forholdet = 1"</f>
        <v>Forhold mellem standardafvigelser
 i stikprøver af størrelsen n = 12 og 12
fra to populationer med forholdet = 1</v>
      </c>
      <c r="AP34" t="s">
        <v>15</v>
      </c>
      <c r="AQ34" t="b">
        <f>NOT(OR(ISNA(Eu_s_s_x),ISNA(Eu_s_s_y)))</f>
        <v>1</v>
      </c>
      <c r="AV34" t="s">
        <v>161</v>
      </c>
      <c r="AW34" t="s">
        <v>185</v>
      </c>
    </row>
    <row r="36" spans="1:50" x14ac:dyDescent="0.2">
      <c r="A36" t="s">
        <v>136</v>
      </c>
      <c r="B36" t="s">
        <v>143</v>
      </c>
      <c r="C36" t="s">
        <v>219</v>
      </c>
      <c r="D36" t="s">
        <v>147</v>
      </c>
      <c r="E36" t="s">
        <v>288</v>
      </c>
      <c r="F36" t="s">
        <v>289</v>
      </c>
      <c r="G36" t="s">
        <v>123</v>
      </c>
      <c r="H36" t="s">
        <v>304</v>
      </c>
      <c r="I36" t="s">
        <v>326</v>
      </c>
      <c r="J36" t="s">
        <v>327</v>
      </c>
      <c r="K36" t="s">
        <v>328</v>
      </c>
      <c r="L36" t="s">
        <v>305</v>
      </c>
      <c r="M36" t="s">
        <v>302</v>
      </c>
      <c r="N36" t="s">
        <v>314</v>
      </c>
      <c r="O36" t="s">
        <v>329</v>
      </c>
      <c r="P36" t="s">
        <v>124</v>
      </c>
      <c r="Q36" t="s">
        <v>333</v>
      </c>
      <c r="R36" t="s">
        <v>332</v>
      </c>
      <c r="S36" t="s">
        <v>325</v>
      </c>
      <c r="T36" t="s">
        <v>36</v>
      </c>
      <c r="U36" t="s">
        <v>37</v>
      </c>
      <c r="V36" t="s">
        <v>307</v>
      </c>
      <c r="W36" t="s">
        <v>316</v>
      </c>
      <c r="X36" t="s">
        <v>308</v>
      </c>
      <c r="Y36" t="s">
        <v>309</v>
      </c>
      <c r="Z36" t="s">
        <v>311</v>
      </c>
      <c r="AA36" t="s">
        <v>312</v>
      </c>
      <c r="AB36" t="s">
        <v>310</v>
      </c>
      <c r="AC36" t="s">
        <v>313</v>
      </c>
      <c r="AD36" t="s">
        <v>319</v>
      </c>
      <c r="AE36" t="s">
        <v>320</v>
      </c>
      <c r="AF36" t="s">
        <v>321</v>
      </c>
      <c r="AG36" t="s">
        <v>306</v>
      </c>
      <c r="AH36" t="s">
        <v>303</v>
      </c>
      <c r="AI36" t="s">
        <v>315</v>
      </c>
      <c r="AJ36" t="s">
        <v>301</v>
      </c>
      <c r="AK36" t="s">
        <v>144</v>
      </c>
      <c r="AL36" t="s">
        <v>280</v>
      </c>
      <c r="AM36" t="s">
        <v>16</v>
      </c>
      <c r="AN36" t="s">
        <v>151</v>
      </c>
      <c r="AO36" t="s">
        <v>149</v>
      </c>
      <c r="AP36" t="s">
        <v>152</v>
      </c>
      <c r="AQ36" t="s">
        <v>169</v>
      </c>
      <c r="AR36" t="s">
        <v>153</v>
      </c>
      <c r="AS36" t="s">
        <v>170</v>
      </c>
      <c r="AT36" t="s">
        <v>157</v>
      </c>
      <c r="AU36" t="s">
        <v>173</v>
      </c>
      <c r="AV36" t="s">
        <v>162</v>
      </c>
      <c r="AW36" t="s">
        <v>184</v>
      </c>
      <c r="AX36" t="s">
        <v>409</v>
      </c>
    </row>
    <row r="37" spans="1:50" ht="15" x14ac:dyDescent="0.2">
      <c r="A37" s="30" t="s">
        <v>2</v>
      </c>
      <c r="B37" s="30" t="s">
        <v>44</v>
      </c>
      <c r="C37" s="30" t="s">
        <v>126</v>
      </c>
      <c r="D37" s="30" t="s">
        <v>126</v>
      </c>
      <c r="E37" s="30">
        <v>0</v>
      </c>
      <c r="F37" s="30">
        <v>1</v>
      </c>
      <c r="G37" s="30">
        <f>IF(ISNUMBER(Eu_a_a_x),_xlfn.NORM.INV((1-Eu_a_konfidensniveau)/2,0,1),NA())</f>
        <v>-1.9599639845400536</v>
      </c>
      <c r="H37" s="30">
        <f>IFERROR(CHOOSE(MATCH(E_a_valg[[#This Row],[Fordeling]],Fordeling_liste,0),E_a_valg[[#This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1.9599639845400536</v>
      </c>
      <c r="I37" s="8">
        <f>Eu_a_a_x-NORMINV(1-(1-(Eu_a_konfidensniveau))/2,0,1)*SQRT(Eu_a_a_x*(1-Eu_a_a_x)/Eu_a_n_x)</f>
        <v>0.20060094659432398</v>
      </c>
      <c r="J37" s="7">
        <f>Eu_a_a_x+NORMINV(0.5,0,1)*SQRT(Eu_a_a_x*(1-Eu_a_a_x)/Eu_a_n_x)</f>
        <v>0.41666666666666669</v>
      </c>
      <c r="K37" s="7">
        <f>Eu_a_a_x+NORMINV(1-(1-(Eu_a_konfidensniveau))/2,0,1)*SQRT(Eu_a_a_x*(1-Eu_a_a_x)/Eu_a_n_x)</f>
        <v>0.63273238673900933</v>
      </c>
      <c r="L37"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20.06%</v>
      </c>
      <c r="M37" t="str">
        <f>IF(E_a_valg[[#This Row],[Parameter]]="andel",ROUND(E_a_valg[[#This Row],[Midtpunkt label base]],5)*100&amp;"%",ROUND(E_a_valg[[#This Row],[Midtpunkt label base]],3))</f>
        <v>41.667%</v>
      </c>
      <c r="N37"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63.273%</v>
      </c>
      <c r="O37" s="30" t="b">
        <f>E_a_valg[[#This Row],[Teststørrelse]]=E_a_valg[[#This Row],[Venstre teststørrelse]]</f>
        <v>1</v>
      </c>
      <c r="P37" s="30" t="b">
        <f>OR(MATCH(E_a_valg[[#This Row],[Hypotese]],HypoteseRetning_liste,0)=2,MATCH(E_a_valg[[#This Row],[Hypotese]],HypoteseRetning_liste,0)=3)</f>
        <v>0</v>
      </c>
      <c r="Q37" s="40" t="e">
        <f>CHOOSE(MATCH(E_a_valg[[#This Row],[Hypotese]],HypoteseRetning_liste,0),NA(),IF(E_a_valg[[#This Row],[Orientering]],E_a_valg[[#This Row],[Mindre end venstre %]],E_a_valg[[#This Row],[Mindre end højre %]]),IF(E_a_valg[[#This Row],[Orientering]],E_a_valg[[#This Row],[Større end venstre %]],E_a_valg[[#This Row],[Større end højre %]]),1-E_a_valg[[#This Row],[Midt %]])</f>
        <v>#N/A</v>
      </c>
      <c r="R37" s="30" t="e">
        <f>E_a_valg[[#This Row],[p-værdi]]&gt;1-Eu_a_konfidensniveau</f>
        <v>#N/A</v>
      </c>
      <c r="S37" s="30">
        <f t="shared" ref="S37:S46" si="7">IF(Eu_a_konfidensniveau&lt;=0.998,0.999,0.99999)</f>
        <v>0.999</v>
      </c>
      <c r="T37" s="30">
        <f>CHOOSE(MATCH(E_a_valg[[#This Row],[Fordeling]],Fordeling_liste,0),_xlfn.NORM.INV(1-E_a_valg[[#This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37" s="30">
        <f>CHOOSE(MATCH(E_a_valg[[#This Row],[Fordeling]],Fordeling_liste,0),_xlfn.NORM.INV(E_a_valg[[#This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37" s="30">
        <f>MIN(E_a_valg[[#This Row],[Teststørrelse]],E_a_valg[[#This Row],[Teststørrelse omvendt]])</f>
        <v>-1.9599639845400536</v>
      </c>
      <c r="W37" s="30">
        <f>CHOOSE(MATCH(E_a_valg[[#This Row],[Fordeling]],Fordeling_liste,0),_xlfn.NORM.INV(0.5,E_a_valg[[#This Row],[Parameter 1]],E_a_valg[[#This Row],[Parameter 2]]),_xlfn.T.INV(0.5,E_a_valg[[#This Row],[Parameter 1]]),_xlfn.CHISQ.INV(0.5,E_a_valg[[#This Row],[Parameter 1]]),_xlfn.F.INV(0.5,E_a_valg[[#This Row],[Parameter 1]],E_a_valg[[#This Row],[Parameter 2]]))</f>
        <v>0</v>
      </c>
      <c r="X37" s="30">
        <f>MAX(E_a_valg[[#This Row],[Teststørrelse]],E_a_valg[[#This Row],[Teststørrelse omvendt]])</f>
        <v>1.9599639845400536</v>
      </c>
      <c r="Y37" s="40">
        <f>CHOOSE(MATCH(E_a_valg[[#This Row],[Fordeling]],Fordeling_liste,0),_xlfn.NORM.DIST(E_a_valg[[#This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2.500000000000004E-2</v>
      </c>
      <c r="Z37" s="40">
        <f>CHOOSE(MATCH(E_a_valg[[#This Row],[Fordeling]],Fordeling_liste,0),_xlfn.NORM.DIST(E_a_valg[[#This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0.97499999999999998</v>
      </c>
      <c r="AA37" s="40">
        <f>E_a_valg[[#This Row],[Mindre end højre %]]-E_a_valg[[#This Row],[Mindre end venstre %]]</f>
        <v>0.95</v>
      </c>
      <c r="AB37" s="40">
        <f>1-E_a_valg[[#This Row],[Mindre end venstre %]]</f>
        <v>0.97499999999999998</v>
      </c>
      <c r="AC37" s="40">
        <f>1-E_a_valg[[#This Row],[Mindre end højre %]]</f>
        <v>2.5000000000000022E-2</v>
      </c>
      <c r="AD37" s="30" t="str">
        <f>IF(OR(MATCH(E_a_valg[[#This Row],[Hypotese]],HypoteseRetning_liste,0)=2,MATCH(E_a_valg[[#This Row],[Hypotese]],HypoteseRetning_liste,0)=3),IF(E_a_valg[[#This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2.5% mindre end 20.06%</v>
      </c>
      <c r="AE37" s="30" t="str">
        <f>IF(OR(MATCH(E_a_valg[[#This Row],[Hypotese]],HypoteseRetning_liste,0)=1,MATCH(E_a_valg[[#This Row],[Hypotese]],HypoteseRetning_liste,0)=4),ROUND(E_a_valg[[#This Row],[Midt %]],5)*100&amp;"% mellem "&amp;E_a_valg[[#This Row],[Venstre label]]&amp;" og "&amp;E_a_valg[[#This Row],[Højre label]]," ")</f>
        <v>95% mellem 20.06% og 63.273%</v>
      </c>
      <c r="AF37" s="30" t="str">
        <f>IF(OR(MATCH(E_a_valg[[#This Row],[Hypotese]],HypoteseRetning_liste,0)=2,MATCH(E_a_valg[[#This Row],[Hypotese]],HypoteseRetning_liste,0)=3),IF(E_a_valg[[#This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2.5% større end 63.273%</v>
      </c>
      <c r="AG37" s="30">
        <f>IF(AND(NOT(E_a_valg[[#This Row],[Orientering]]),E_a_valg[[#This Row],[Ensidet]]),(E_a_valg[[#This Row],[Højre teststørrelse]]-E_a_valg[[#This Row],[X min]])/(E_a_valg[[#This Row],[X max]]-E_a_valg[[#This Row],[X min]]),(E_a_valg[[#This Row],[Venstre teststørrelse]]-E_a_valg[[#This Row],[X min]])/(E_a_valg[[#This Row],[X max]]-E_a_valg[[#This Row],[X min]]))</f>
        <v>0.18287756544578385</v>
      </c>
      <c r="AH37" s="30">
        <f>(E_a_valg[[#This Row],[Midtpunkt teststørrelse]]-E_a_valg[[#This Row],[X min]])/(E_a_valg[[#This Row],[X max]]-E_a_valg[[#This Row],[X min]])</f>
        <v>0.5</v>
      </c>
      <c r="AI37" s="30">
        <f>IF(AND(E_a_valg[[#This Row],[Orientering]],E_a_valg[[#This Row],[Ensidet]]),(E_a_valg[[#This Row],[Venstre teststørrelse]]-E_a_valg[[#This Row],[X min]])/(E_a_valg[[#This Row],[X max]]-E_a_valg[[#This Row],[X min]]),(E_a_valg[[#This Row],[Højre teststørrelse]]-E_a_valg[[#This Row],[X min]])/(E_a_valg[[#This Row],[X max]]-E_a_valg[[#This Row],[X min]]))</f>
        <v>0.81712243455421607</v>
      </c>
      <c r="AJ37" s="30" t="s">
        <v>44</v>
      </c>
      <c r="AK37" s="30">
        <f>_xlfn.AGGREGATE(3,5,E_a_valg[[#This Row],[Parameter]])</f>
        <v>1</v>
      </c>
      <c r="AL37">
        <v>1</v>
      </c>
      <c r="AM37" s="30">
        <v>32</v>
      </c>
      <c r="AN37" s="30" t="str">
        <f>IF(E_a_valg[[#This Row],[Kontrol af forudsætning 1]],Eu_a_konfidensniveau*100&amp;"% Konfidensinterval for andel
af "&amp;Eu_a_t_x,"Kan ikke beregne konfidensinterval for andel")</f>
        <v>95% Konfidensinterval for andel
af Eksempel 4 (nominal)</v>
      </c>
      <c r="AO37" s="30" t="str">
        <f>"Populationsestimat for andel fra stikprøver af størrelsen n = "&amp;Eu_a_n_x&amp;"
fra en population med andel = "&amp;IFERROR(ROUND(Eu_a_a_x,5)*100&amp;"%","Kan ikke beregnes")</f>
        <v>Populationsestimat for andel fra stikprøver af størrelsen n = 20
fra en population med andel = 41.667%</v>
      </c>
      <c r="AP37" s="31" t="str">
        <f>"Datatypen er nominal, hvor succes er "&amp;TRUE&amp;" og øvrige værdier er "&amp;FALSE</f>
        <v>Datatypen er nominal, hvor succes er TRUE og øvrige værdier er FALSE</v>
      </c>
      <c r="AQ37" s="31" t="b">
        <f>NOT(ISNA(Eu_a_a_x))</f>
        <v>1</v>
      </c>
      <c r="AR37" s="31"/>
      <c r="AS37" s="31"/>
      <c r="AT37" s="31" t="s">
        <v>159</v>
      </c>
      <c r="AU37" s="31" t="b">
        <f>IFERROR(Eu_a_n_x*Eu_a_a_x*(1-Eu_a_a_x)&gt;9,FALSE)</f>
        <v>0</v>
      </c>
      <c r="AV37" s="31"/>
      <c r="AW37" s="31"/>
      <c r="AX37" s="31">
        <f>ROUNDUP(_xlfn.NORM.INV(1-(1-Eu_a_konfidensniveau)/2,0,1)^2*Eu_a_a_x*(1-Eu_a_a_x)/Eu_a_ønsket_fejlmargin^2,0)</f>
        <v>9337</v>
      </c>
    </row>
    <row r="38" spans="1:50" ht="15" x14ac:dyDescent="0.2">
      <c r="A38" s="30" t="s">
        <v>2</v>
      </c>
      <c r="B38" s="30" t="s">
        <v>130</v>
      </c>
      <c r="C38" s="30" t="s">
        <v>126</v>
      </c>
      <c r="D38" s="30" t="s">
        <v>126</v>
      </c>
      <c r="E38" s="30">
        <v>0</v>
      </c>
      <c r="F38" s="30">
        <v>1</v>
      </c>
      <c r="G38" s="39" t="e">
        <f>IFERROR((Eu_a_a_x-Eu_a_h0_x)/SQRT(Eu_a_h0_x*(1-Eu_a_h0_x)/Eu_a_n_x),NA())</f>
        <v>#N/A</v>
      </c>
      <c r="H38" s="30" t="e">
        <f>IFERROR(CHOOSE(MATCH(E_a_valg[[#This Row],[Fordeling]],Fordeling_liste,0),E_a_valg[[#This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#N/A</v>
      </c>
      <c r="I38" s="7" t="e">
        <f>E_a_valg[[#This Row],[Venstre teststørrelse]]*SQRT(Eu_a_h0_x*(1-Eu_a_h0_x)/Eu_a_n_x)+Eu_a_h0_x</f>
        <v>#N/A</v>
      </c>
      <c r="J38" s="7">
        <f>E_a_valg[[#This Row],[Midtpunkt teststørrelse]]*SQRT(Eu_a_h0_x*(1-Eu_a_h0_x)/Eu_a_n_x)+Eu_a_h0_x</f>
        <v>0</v>
      </c>
      <c r="K38" s="7" t="e">
        <f>E_a_valg[[#This Row],[Højre teststørrelse]]*SQRT(Eu_a_h0_x*(1-Eu_a_h0_x)/Eu_a_n_x)+Eu_a_h0_x</f>
        <v>#N/A</v>
      </c>
      <c r="L38" t="e">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#N/A</v>
      </c>
      <c r="M38" t="str">
        <f>IF(E_a_valg[[#This Row],[Parameter]]="andel",ROUND(E_a_valg[[#This Row],[Midtpunkt label base]],5)*100&amp;"%",ROUND(E_a_valg[[#This Row],[Midtpunkt label base]],3))</f>
        <v>0%</v>
      </c>
      <c r="N38" t="e">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#N/A</v>
      </c>
      <c r="O38" s="30" t="e">
        <f>E_a_valg[[#This Row],[Teststørrelse]]=E_a_valg[[#This Row],[Venstre teststørrelse]]</f>
        <v>#N/A</v>
      </c>
      <c r="P38" s="30" t="b">
        <f>OR(MATCH(E_a_valg[[#This Row],[Hypotese]],HypoteseRetning_liste,0)=2,MATCH(E_a_valg[[#This Row],[Hypotese]],HypoteseRetning_liste,0)=3)</f>
        <v>1</v>
      </c>
      <c r="Q38" s="40" t="e">
        <f>CHOOSE(MATCH(E_a_valg[[#This Row],[Hypotese]],HypoteseRetning_liste,0),NA(),IF(E_a_valg[[#This Row],[Orientering]],E_a_valg[[#This Row],[Mindre end venstre %]],E_a_valg[[#This Row],[Mindre end højre %]]),IF(E_a_valg[[#This Row],[Orientering]],E_a_valg[[#This Row],[Større end venstre %]],E_a_valg[[#This Row],[Større end højre %]]),1-E_a_valg[[#This Row],[Midt %]])</f>
        <v>#N/A</v>
      </c>
      <c r="R38" s="30" t="e">
        <f>E_a_valg[[#This Row],[p-værdi]]&gt;1-Eu_a_konfidensniveau</f>
        <v>#N/A</v>
      </c>
      <c r="S38" s="30">
        <f t="shared" si="7"/>
        <v>0.999</v>
      </c>
      <c r="T38" s="30">
        <f>CHOOSE(MATCH(E_a_valg[[#This Row],[Fordeling]],Fordeling_liste,0),_xlfn.NORM.INV(1-E_a_valg[[#This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38" s="30">
        <f>CHOOSE(MATCH(E_a_valg[[#This Row],[Fordeling]],Fordeling_liste,0),_xlfn.NORM.INV(E_a_valg[[#This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38" s="30" t="e">
        <f>MIN(E_a_valg[[#This Row],[Teststørrelse]],E_a_valg[[#This Row],[Teststørrelse omvendt]])</f>
        <v>#N/A</v>
      </c>
      <c r="W38" s="30">
        <f>CHOOSE(MATCH(E_a_valg[[#This Row],[Fordeling]],Fordeling_liste,0),_xlfn.NORM.INV(0.5,E_a_valg[[#This Row],[Parameter 1]],E_a_valg[[#This Row],[Parameter 2]]),_xlfn.T.INV(0.5,E_a_valg[[#This Row],[Parameter 1]]),_xlfn.CHISQ.INV(0.5,E_a_valg[[#This Row],[Parameter 1]]),_xlfn.F.INV(0.5,E_a_valg[[#This Row],[Parameter 1]],E_a_valg[[#This Row],[Parameter 2]]))</f>
        <v>0</v>
      </c>
      <c r="X38" s="30" t="e">
        <f>MAX(E_a_valg[[#This Row],[Teststørrelse]],E_a_valg[[#This Row],[Teststørrelse omvendt]])</f>
        <v>#N/A</v>
      </c>
      <c r="Y38" s="40" t="e">
        <f>CHOOSE(MATCH(E_a_valg[[#This Row],[Fordeling]],Fordeling_liste,0),_xlfn.NORM.DIST(E_a_valg[[#This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#N/A</v>
      </c>
      <c r="Z38" s="40" t="e">
        <f>CHOOSE(MATCH(E_a_valg[[#This Row],[Fordeling]],Fordeling_liste,0),_xlfn.NORM.DIST(E_a_valg[[#This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#N/A</v>
      </c>
      <c r="AA38" s="40" t="e">
        <f>E_a_valg[[#This Row],[Mindre end højre %]]-E_a_valg[[#This Row],[Mindre end venstre %]]</f>
        <v>#N/A</v>
      </c>
      <c r="AB38" s="40" t="e">
        <f>1-E_a_valg[[#This Row],[Mindre end venstre %]]</f>
        <v>#N/A</v>
      </c>
      <c r="AC38" s="40" t="e">
        <f>1-E_a_valg[[#This Row],[Mindre end højre %]]</f>
        <v>#N/A</v>
      </c>
      <c r="AD38" s="30" t="e">
        <f>IF(OR(MATCH(E_a_valg[[#This Row],[Hypotese]],HypoteseRetning_liste,0)=2,MATCH(E_a_valg[[#This Row],[Hypotese]],HypoteseRetning_liste,0)=3),IF(E_a_valg[[#This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#N/A</v>
      </c>
      <c r="AE38" s="30" t="str">
        <f>IF(OR(MATCH(E_a_valg[[#This Row],[Hypotese]],HypoteseRetning_liste,0)=1,MATCH(E_a_valg[[#This Row],[Hypotese]],HypoteseRetning_liste,0)=4),ROUND(E_a_valg[[#This Row],[Midt %]],5)*100&amp;"% mellem "&amp;E_a_valg[[#This Row],[Venstre label]]&amp;" og "&amp;E_a_valg[[#This Row],[Højre label]]," ")</f>
        <v xml:space="preserve"> </v>
      </c>
      <c r="AF38" s="30" t="e">
        <f>IF(OR(MATCH(E_a_valg[[#This Row],[Hypotese]],HypoteseRetning_liste,0)=2,MATCH(E_a_valg[[#This Row],[Hypotese]],HypoteseRetning_liste,0)=3),IF(E_a_valg[[#This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#N/A</v>
      </c>
      <c r="AG38" s="30" t="e">
        <f>IF(AND(NOT(E_a_valg[[#This Row],[Orientering]]),E_a_valg[[#This Row],[Ensidet]]),(E_a_valg[[#This Row],[Højre teststørrelse]]-E_a_valg[[#This Row],[X min]])/(E_a_valg[[#This Row],[X max]]-E_a_valg[[#This Row],[X min]]),(E_a_valg[[#This Row],[Venstre teststørrelse]]-E_a_valg[[#This Row],[X min]])/(E_a_valg[[#This Row],[X max]]-E_a_valg[[#This Row],[X min]]))</f>
        <v>#N/A</v>
      </c>
      <c r="AH38" s="30">
        <f>(E_a_valg[[#This Row],[Midtpunkt teststørrelse]]-E_a_valg[[#This Row],[X min]])/(E_a_valg[[#This Row],[X max]]-E_a_valg[[#This Row],[X min]])</f>
        <v>0.5</v>
      </c>
      <c r="AI38" s="30" t="e">
        <f>IF(AND(E_a_valg[[#This Row],[Orientering]],E_a_valg[[#This Row],[Ensidet]]),(E_a_valg[[#This Row],[Venstre teststørrelse]]-E_a_valg[[#This Row],[X min]])/(E_a_valg[[#This Row],[X max]]-E_a_valg[[#This Row],[X min]]),(E_a_valg[[#This Row],[Højre teststørrelse]]-E_a_valg[[#This Row],[X min]])/(E_a_valg[[#This Row],[X max]]-E_a_valg[[#This Row],[X min]]))</f>
        <v>#N/A</v>
      </c>
      <c r="AJ38" s="30" t="s">
        <v>299</v>
      </c>
      <c r="AK38" s="30">
        <f>_xlfn.AGGREGATE(3,5,E_a_valg[[#This Row],[Parameter]])</f>
        <v>1</v>
      </c>
      <c r="AL38">
        <v>1</v>
      </c>
      <c r="AM38" s="30">
        <v>33</v>
      </c>
      <c r="AN38" s="30" t="e">
        <f>IF(AND(E_a_valg[[#This Row],[Kontrol af forudsætning 1]],E_a_valg[[#This Row],[Kontrol af forudsætning 2]]),"Hypotesetest om andel
Nulhypotesen om at andelen af "&amp;Eu_a_t_x&amp;" er større end "&amp;ROUND(Eu_a_h0_x,5)*100&amp;"%"&amp;"
"&amp;IF(E_a_valg[[#This Row],[Nulhypotese kan ikke afvises]],"kan ikke ","")&amp;"afvises med "&amp;Eu_a_konfidensniveau*100&amp;"% konfidens","Kan ikke beregne hypotesetest om andel")</f>
        <v>#N/A</v>
      </c>
      <c r="AO38" s="30" t="str">
        <f>"Andel i stikprøver af størrelsen n = "&amp;Eu_a_n_x&amp;"
fra en population med andel = "&amp;IFERROR(ROUND(Eu_a_h0_x,5)*100&amp;"%","Hypotese ikke angivet")</f>
        <v>Andel i stikprøver af størrelsen n = 20
fra en population med andel = 0%</v>
      </c>
      <c r="AP38" s="31" t="str">
        <f t="shared" ref="AP38:AP46" si="8">"Datatypen er nominal, hvor succes er "&amp;TRUE&amp;" og øvrige værdier er "&amp;FALSE</f>
        <v>Datatypen er nominal, hvor succes er TRUE og øvrige værdier er FALSE</v>
      </c>
      <c r="AQ38" s="31" t="b">
        <f>NOT(ISNA(Eu_a_a_x))</f>
        <v>1</v>
      </c>
      <c r="AR38" s="31" t="s">
        <v>176</v>
      </c>
      <c r="AS38" s="31" t="b">
        <f>NOT(ISNA(Eu_a_h0_x))</f>
        <v>1</v>
      </c>
      <c r="AT38" s="31" t="s">
        <v>159</v>
      </c>
      <c r="AU38" s="31" t="b">
        <f>IFERROR(Eu_a_n_x*Eu_a_a_x*(1-Eu_a_a_x)&gt;9,FALSE)</f>
        <v>0</v>
      </c>
      <c r="AV38" s="31"/>
      <c r="AW38" s="31"/>
      <c r="AX38" s="31"/>
    </row>
    <row r="39" spans="1:50" ht="15" x14ac:dyDescent="0.2">
      <c r="A39" s="30" t="s">
        <v>2</v>
      </c>
      <c r="B39" s="30" t="s">
        <v>131</v>
      </c>
      <c r="C39" s="30" t="s">
        <v>126</v>
      </c>
      <c r="D39" s="30" t="s">
        <v>126</v>
      </c>
      <c r="E39" s="30">
        <v>0</v>
      </c>
      <c r="F39" s="30">
        <v>1</v>
      </c>
      <c r="G39" s="39" t="e">
        <f>IFERROR((Eu_a_a_x-Eu_a_h0_x)/SQRT(Eu_a_h0_x*(1-Eu_a_h0_x)/Eu_a_n_x),NA())</f>
        <v>#N/A</v>
      </c>
      <c r="H39" s="30" t="e">
        <f>IFERROR(CHOOSE(MATCH(E_a_valg[[#This Row],[Fordeling]],Fordeling_liste,0),E_a_valg[[#This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#N/A</v>
      </c>
      <c r="I39" s="7" t="e">
        <f>E_a_valg[[#This Row],[Venstre teststørrelse]]*SQRT(Eu_a_h0_x*(1-Eu_a_h0_x)/Eu_a_n_x)+Eu_a_h0_x</f>
        <v>#N/A</v>
      </c>
      <c r="J39" s="7">
        <f>E_a_valg[[#This Row],[Midtpunkt teststørrelse]]*SQRT(Eu_a_h0_x*(1-Eu_a_h0_x)/Eu_a_n_x)+Eu_a_h0_x</f>
        <v>0</v>
      </c>
      <c r="K39" s="7" t="e">
        <f>E_a_valg[[#This Row],[Højre teststørrelse]]*SQRT(Eu_a_h0_x*(1-Eu_a_h0_x)/Eu_a_n_x)+Eu_a_h0_x</f>
        <v>#N/A</v>
      </c>
      <c r="L39" t="e">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#N/A</v>
      </c>
      <c r="M39" t="str">
        <f>IF(E_a_valg[[#This Row],[Parameter]]="andel",ROUND(E_a_valg[[#This Row],[Midtpunkt label base]],5)*100&amp;"%",ROUND(E_a_valg[[#This Row],[Midtpunkt label base]],3))</f>
        <v>0%</v>
      </c>
      <c r="N39" t="e">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#N/A</v>
      </c>
      <c r="O39" s="30" t="e">
        <f>E_a_valg[[#This Row],[Teststørrelse]]=E_a_valg[[#This Row],[Venstre teststørrelse]]</f>
        <v>#N/A</v>
      </c>
      <c r="P39" s="30" t="b">
        <f>OR(MATCH(E_a_valg[[#This Row],[Hypotese]],HypoteseRetning_liste,0)=2,MATCH(E_a_valg[[#This Row],[Hypotese]],HypoteseRetning_liste,0)=3)</f>
        <v>1</v>
      </c>
      <c r="Q39" s="40" t="e">
        <f>CHOOSE(MATCH(E_a_valg[[#This Row],[Hypotese]],HypoteseRetning_liste,0),NA(),IF(E_a_valg[[#This Row],[Orientering]],E_a_valg[[#This Row],[Mindre end venstre %]],E_a_valg[[#This Row],[Mindre end højre %]]),IF(E_a_valg[[#This Row],[Orientering]],E_a_valg[[#This Row],[Større end venstre %]],E_a_valg[[#This Row],[Større end højre %]]),1-E_a_valg[[#This Row],[Midt %]])</f>
        <v>#N/A</v>
      </c>
      <c r="R39" s="30" t="e">
        <f>E_a_valg[[#This Row],[p-værdi]]&gt;1-Eu_a_konfidensniveau</f>
        <v>#N/A</v>
      </c>
      <c r="S39" s="30">
        <f t="shared" si="7"/>
        <v>0.999</v>
      </c>
      <c r="T39" s="30">
        <f>CHOOSE(MATCH(E_a_valg[[#This Row],[Fordeling]],Fordeling_liste,0),_xlfn.NORM.INV(1-E_a_valg[[#This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39" s="30">
        <f>CHOOSE(MATCH(E_a_valg[[#This Row],[Fordeling]],Fordeling_liste,0),_xlfn.NORM.INV(E_a_valg[[#This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39" s="30" t="e">
        <f>MIN(E_a_valg[[#This Row],[Teststørrelse]],E_a_valg[[#This Row],[Teststørrelse omvendt]])</f>
        <v>#N/A</v>
      </c>
      <c r="W39" s="30">
        <f>CHOOSE(MATCH(E_a_valg[[#This Row],[Fordeling]],Fordeling_liste,0),_xlfn.NORM.INV(0.5,E_a_valg[[#This Row],[Parameter 1]],E_a_valg[[#This Row],[Parameter 2]]),_xlfn.T.INV(0.5,E_a_valg[[#This Row],[Parameter 1]]),_xlfn.CHISQ.INV(0.5,E_a_valg[[#This Row],[Parameter 1]]),_xlfn.F.INV(0.5,E_a_valg[[#This Row],[Parameter 1]],E_a_valg[[#This Row],[Parameter 2]]))</f>
        <v>0</v>
      </c>
      <c r="X39" s="30" t="e">
        <f>MAX(E_a_valg[[#This Row],[Teststørrelse]],E_a_valg[[#This Row],[Teststørrelse omvendt]])</f>
        <v>#N/A</v>
      </c>
      <c r="Y39" s="40" t="e">
        <f>CHOOSE(MATCH(E_a_valg[[#This Row],[Fordeling]],Fordeling_liste,0),_xlfn.NORM.DIST(E_a_valg[[#This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#N/A</v>
      </c>
      <c r="Z39" s="40" t="e">
        <f>CHOOSE(MATCH(E_a_valg[[#This Row],[Fordeling]],Fordeling_liste,0),_xlfn.NORM.DIST(E_a_valg[[#This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#N/A</v>
      </c>
      <c r="AA39" s="40" t="e">
        <f>E_a_valg[[#This Row],[Mindre end højre %]]-E_a_valg[[#This Row],[Mindre end venstre %]]</f>
        <v>#N/A</v>
      </c>
      <c r="AB39" s="40" t="e">
        <f>1-E_a_valg[[#This Row],[Mindre end venstre %]]</f>
        <v>#N/A</v>
      </c>
      <c r="AC39" s="40" t="e">
        <f>1-E_a_valg[[#This Row],[Mindre end højre %]]</f>
        <v>#N/A</v>
      </c>
      <c r="AD39" s="30" t="e">
        <f>IF(OR(MATCH(E_a_valg[[#This Row],[Hypotese]],HypoteseRetning_liste,0)=2,MATCH(E_a_valg[[#This Row],[Hypotese]],HypoteseRetning_liste,0)=3),IF(E_a_valg[[#This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#N/A</v>
      </c>
      <c r="AE39" s="30" t="str">
        <f>IF(OR(MATCH(E_a_valg[[#This Row],[Hypotese]],HypoteseRetning_liste,0)=1,MATCH(E_a_valg[[#This Row],[Hypotese]],HypoteseRetning_liste,0)=4),ROUND(E_a_valg[[#This Row],[Midt %]],5)*100&amp;"% mellem "&amp;E_a_valg[[#This Row],[Venstre label]]&amp;" og "&amp;E_a_valg[[#This Row],[Højre label]]," ")</f>
        <v xml:space="preserve"> </v>
      </c>
      <c r="AF39" s="30" t="e">
        <f>IF(OR(MATCH(E_a_valg[[#This Row],[Hypotese]],HypoteseRetning_liste,0)=2,MATCH(E_a_valg[[#This Row],[Hypotese]],HypoteseRetning_liste,0)=3),IF(E_a_valg[[#This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#N/A</v>
      </c>
      <c r="AG39" s="30" t="e">
        <f>IF(AND(NOT(E_a_valg[[#This Row],[Orientering]]),E_a_valg[[#This Row],[Ensidet]]),(E_a_valg[[#This Row],[Højre teststørrelse]]-E_a_valg[[#This Row],[X min]])/(E_a_valg[[#This Row],[X max]]-E_a_valg[[#This Row],[X min]]),(E_a_valg[[#This Row],[Venstre teststørrelse]]-E_a_valg[[#This Row],[X min]])/(E_a_valg[[#This Row],[X max]]-E_a_valg[[#This Row],[X min]]))</f>
        <v>#N/A</v>
      </c>
      <c r="AH39" s="30">
        <f>(E_a_valg[[#This Row],[Midtpunkt teststørrelse]]-E_a_valg[[#This Row],[X min]])/(E_a_valg[[#This Row],[X max]]-E_a_valg[[#This Row],[X min]])</f>
        <v>0.5</v>
      </c>
      <c r="AI39" s="30" t="e">
        <f>IF(AND(E_a_valg[[#This Row],[Orientering]],E_a_valg[[#This Row],[Ensidet]]),(E_a_valg[[#This Row],[Venstre teststørrelse]]-E_a_valg[[#This Row],[X min]])/(E_a_valg[[#This Row],[X max]]-E_a_valg[[#This Row],[X min]]),(E_a_valg[[#This Row],[Højre teststørrelse]]-E_a_valg[[#This Row],[X min]])/(E_a_valg[[#This Row],[X max]]-E_a_valg[[#This Row],[X min]]))</f>
        <v>#N/A</v>
      </c>
      <c r="AJ39" s="30" t="s">
        <v>300</v>
      </c>
      <c r="AK39" s="30">
        <f>_xlfn.AGGREGATE(3,5,E_a_valg[[#This Row],[Parameter]])</f>
        <v>1</v>
      </c>
      <c r="AL39">
        <v>1</v>
      </c>
      <c r="AM39" s="30">
        <v>34</v>
      </c>
      <c r="AN39" s="30" t="e">
        <f>IF(AND(E_a_valg[[#This Row],[Kontrol af forudsætning 1]],E_a_valg[[#This Row],[Kontrol af forudsætning 2]]),"Hypotesetest om andel
Nulhypotesen om at andelen af "&amp;Eu_a_t_x&amp;" er mindre end "&amp;ROUND(Eu_a_h0_x,5)*100&amp;"%"&amp;"
"&amp;IF(E_a_valg[[#This Row],[Nulhypotese kan ikke afvises]],"kan ikke ","")&amp;"afvises med "&amp;Eu_a_konfidensniveau*100&amp;"% konfidens","Kan ikke beregne hypotesetest om andel")</f>
        <v>#N/A</v>
      </c>
      <c r="AO39" s="30" t="str">
        <f>"Andel i stikprøver af størrelsen n = "&amp;Eu_a_n_x&amp;"
fra en population med andel = "&amp;IFERROR(ROUND(Eu_a_h0_x,5)*100&amp;"%","Hypotese ikke angivet")</f>
        <v>Andel i stikprøver af størrelsen n = 20
fra en population med andel = 0%</v>
      </c>
      <c r="AP39" s="31" t="str">
        <f t="shared" si="8"/>
        <v>Datatypen er nominal, hvor succes er TRUE og øvrige værdier er FALSE</v>
      </c>
      <c r="AQ39" s="31" t="b">
        <f>NOT(ISNA(Eu_a_a_x))</f>
        <v>1</v>
      </c>
      <c r="AR39" s="31" t="s">
        <v>176</v>
      </c>
      <c r="AS39" s="31" t="b">
        <f>NOT(ISNA(Eu_a_h0_x))</f>
        <v>1</v>
      </c>
      <c r="AT39" s="31" t="s">
        <v>159</v>
      </c>
      <c r="AU39" s="31" t="b">
        <f>IFERROR(Eu_a_n_x*Eu_a_a_x*(1-Eu_a_a_x)&gt;9,FALSE)</f>
        <v>0</v>
      </c>
      <c r="AV39" s="31"/>
      <c r="AW39" s="31"/>
      <c r="AX39" s="31"/>
    </row>
    <row r="40" spans="1:50" ht="15" x14ac:dyDescent="0.2">
      <c r="A40" s="30" t="s">
        <v>2</v>
      </c>
      <c r="B40" s="30" t="s">
        <v>132</v>
      </c>
      <c r="C40" s="30" t="s">
        <v>126</v>
      </c>
      <c r="D40" s="30" t="s">
        <v>126</v>
      </c>
      <c r="E40" s="30">
        <v>0</v>
      </c>
      <c r="F40" s="30">
        <v>1</v>
      </c>
      <c r="G40" s="39" t="e">
        <f>IFERROR((Eu_a_a_x-Eu_a_h0_x)/SQRT(Eu_a_h0_x*(1-Eu_a_h0_x)/Eu_a_n_x),NA())</f>
        <v>#N/A</v>
      </c>
      <c r="H40" s="30" t="e">
        <f>IFERROR(CHOOSE(MATCH(E_a_valg[[#This Row],[Fordeling]],Fordeling_liste,0),E_a_valg[[#This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#N/A</v>
      </c>
      <c r="I40" s="7" t="e">
        <f>E_a_valg[[#This Row],[Venstre teststørrelse]]*SQRT(Eu_a_h0_x*(1-Eu_a_h0_x)/Eu_a_n_x)+Eu_a_h0_x</f>
        <v>#N/A</v>
      </c>
      <c r="J40" s="7">
        <f>E_a_valg[[#This Row],[Midtpunkt teststørrelse]]*SQRT(Eu_a_h0_x*(1-Eu_a_h0_x)/Eu_a_n_x)+Eu_a_h0_x</f>
        <v>0</v>
      </c>
      <c r="K40" s="7" t="e">
        <f>E_a_valg[[#This Row],[Højre teststørrelse]]*SQRT(Eu_a_h0_x*(1-Eu_a_h0_x)/Eu_a_n_x)+Eu_a_h0_x</f>
        <v>#N/A</v>
      </c>
      <c r="L40" t="e">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#N/A</v>
      </c>
      <c r="M40" t="str">
        <f>IF(E_a_valg[[#This Row],[Parameter]]="andel",ROUND(E_a_valg[[#This Row],[Midtpunkt label base]],5)*100&amp;"%",ROUND(E_a_valg[[#This Row],[Midtpunkt label base]],3))</f>
        <v>0%</v>
      </c>
      <c r="N40" t="e">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#N/A</v>
      </c>
      <c r="O40" s="30" t="e">
        <f>E_a_valg[[#This Row],[Teststørrelse]]=E_a_valg[[#This Row],[Venstre teststørrelse]]</f>
        <v>#N/A</v>
      </c>
      <c r="P40" s="30" t="b">
        <f>OR(MATCH(E_a_valg[[#This Row],[Hypotese]],HypoteseRetning_liste,0)=2,MATCH(E_a_valg[[#This Row],[Hypotese]],HypoteseRetning_liste,0)=3)</f>
        <v>0</v>
      </c>
      <c r="Q40" s="40" t="e">
        <f>CHOOSE(MATCH(E_a_valg[[#This Row],[Hypotese]],HypoteseRetning_liste,0),NA(),IF(E_a_valg[[#This Row],[Orientering]],E_a_valg[[#This Row],[Mindre end venstre %]],E_a_valg[[#This Row],[Mindre end højre %]]),IF(E_a_valg[[#This Row],[Orientering]],E_a_valg[[#This Row],[Større end venstre %]],E_a_valg[[#This Row],[Større end højre %]]),1-E_a_valg[[#This Row],[Midt %]])</f>
        <v>#N/A</v>
      </c>
      <c r="R40" s="30" t="e">
        <f>E_a_valg[[#This Row],[p-værdi]]&gt;1-Eu_a_konfidensniveau</f>
        <v>#N/A</v>
      </c>
      <c r="S40" s="30">
        <f t="shared" si="7"/>
        <v>0.999</v>
      </c>
      <c r="T40" s="30">
        <f>CHOOSE(MATCH(E_a_valg[[#This Row],[Fordeling]],Fordeling_liste,0),_xlfn.NORM.INV(1-E_a_valg[[#This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0" s="30">
        <f>CHOOSE(MATCH(E_a_valg[[#This Row],[Fordeling]],Fordeling_liste,0),_xlfn.NORM.INV(E_a_valg[[#This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0" s="30" t="e">
        <f>MIN(E_a_valg[[#This Row],[Teststørrelse]],E_a_valg[[#This Row],[Teststørrelse omvendt]])</f>
        <v>#N/A</v>
      </c>
      <c r="W40" s="30">
        <f>CHOOSE(MATCH(E_a_valg[[#This Row],[Fordeling]],Fordeling_liste,0),_xlfn.NORM.INV(0.5,E_a_valg[[#This Row],[Parameter 1]],E_a_valg[[#This Row],[Parameter 2]]),_xlfn.T.INV(0.5,E_a_valg[[#This Row],[Parameter 1]]),_xlfn.CHISQ.INV(0.5,E_a_valg[[#This Row],[Parameter 1]]),_xlfn.F.INV(0.5,E_a_valg[[#This Row],[Parameter 1]],E_a_valg[[#This Row],[Parameter 2]]))</f>
        <v>0</v>
      </c>
      <c r="X40" s="30" t="e">
        <f>MAX(E_a_valg[[#This Row],[Teststørrelse]],E_a_valg[[#This Row],[Teststørrelse omvendt]])</f>
        <v>#N/A</v>
      </c>
      <c r="Y40" s="40" t="e">
        <f>CHOOSE(MATCH(E_a_valg[[#This Row],[Fordeling]],Fordeling_liste,0),_xlfn.NORM.DIST(E_a_valg[[#This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#N/A</v>
      </c>
      <c r="Z40" s="40" t="e">
        <f>CHOOSE(MATCH(E_a_valg[[#This Row],[Fordeling]],Fordeling_liste,0),_xlfn.NORM.DIST(E_a_valg[[#This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#N/A</v>
      </c>
      <c r="AA40" s="40" t="e">
        <f>E_a_valg[[#This Row],[Mindre end højre %]]-E_a_valg[[#This Row],[Mindre end venstre %]]</f>
        <v>#N/A</v>
      </c>
      <c r="AB40" s="40" t="e">
        <f>1-E_a_valg[[#This Row],[Mindre end venstre %]]</f>
        <v>#N/A</v>
      </c>
      <c r="AC40" s="40" t="e">
        <f>1-E_a_valg[[#This Row],[Mindre end højre %]]</f>
        <v>#N/A</v>
      </c>
      <c r="AD40" s="30" t="e">
        <f>IF(OR(MATCH(E_a_valg[[#This Row],[Hypotese]],HypoteseRetning_liste,0)=2,MATCH(E_a_valg[[#This Row],[Hypotese]],HypoteseRetning_liste,0)=3),IF(E_a_valg[[#This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#N/A</v>
      </c>
      <c r="AE40" s="30" t="e">
        <f>IF(OR(MATCH(E_a_valg[[#This Row],[Hypotese]],HypoteseRetning_liste,0)=1,MATCH(E_a_valg[[#This Row],[Hypotese]],HypoteseRetning_liste,0)=4),ROUND(E_a_valg[[#This Row],[Midt %]],5)*100&amp;"% mellem "&amp;E_a_valg[[#This Row],[Venstre label]]&amp;" og "&amp;E_a_valg[[#This Row],[Højre label]]," ")</f>
        <v>#N/A</v>
      </c>
      <c r="AF40" s="30" t="e">
        <f>IF(OR(MATCH(E_a_valg[[#This Row],[Hypotese]],HypoteseRetning_liste,0)=2,MATCH(E_a_valg[[#This Row],[Hypotese]],HypoteseRetning_liste,0)=3),IF(E_a_valg[[#This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#N/A</v>
      </c>
      <c r="AG40" s="30" t="e">
        <f>IF(AND(NOT(E_a_valg[[#This Row],[Orientering]]),E_a_valg[[#This Row],[Ensidet]]),(E_a_valg[[#This Row],[Højre teststørrelse]]-E_a_valg[[#This Row],[X min]])/(E_a_valg[[#This Row],[X max]]-E_a_valg[[#This Row],[X min]]),(E_a_valg[[#This Row],[Venstre teststørrelse]]-E_a_valg[[#This Row],[X min]])/(E_a_valg[[#This Row],[X max]]-E_a_valg[[#This Row],[X min]]))</f>
        <v>#N/A</v>
      </c>
      <c r="AH40" s="30">
        <f>(E_a_valg[[#This Row],[Midtpunkt teststørrelse]]-E_a_valg[[#This Row],[X min]])/(E_a_valg[[#This Row],[X max]]-E_a_valg[[#This Row],[X min]])</f>
        <v>0.5</v>
      </c>
      <c r="AI40" s="30" t="e">
        <f>IF(AND(E_a_valg[[#This Row],[Orientering]],E_a_valg[[#This Row],[Ensidet]]),(E_a_valg[[#This Row],[Venstre teststørrelse]]-E_a_valg[[#This Row],[X min]])/(E_a_valg[[#This Row],[X max]]-E_a_valg[[#This Row],[X min]]),(E_a_valg[[#This Row],[Højre teststørrelse]]-E_a_valg[[#This Row],[X min]])/(E_a_valg[[#This Row],[X max]]-E_a_valg[[#This Row],[X min]]))</f>
        <v>#N/A</v>
      </c>
      <c r="AJ40" s="30" t="s">
        <v>125</v>
      </c>
      <c r="AK40" s="30">
        <f>_xlfn.AGGREGATE(3,5,E_a_valg[[#This Row],[Parameter]])</f>
        <v>1</v>
      </c>
      <c r="AL40">
        <v>1</v>
      </c>
      <c r="AM40" s="30">
        <v>35</v>
      </c>
      <c r="AN40" s="30" t="e">
        <f>IF(AND(E_a_valg[[#This Row],[Kontrol af forudsætning 1]],E_a_valg[[#This Row],[Kontrol af forudsætning 2]]),"Hypotesetest om andel
Nulhypotesen om at andelen af "&amp;Eu_a_t_x&amp;" er lig med "&amp;ROUND(Eu_a_h0_x,5)*100&amp;"%"&amp;"
"&amp;IF(E_a_valg[[#This Row],[Nulhypotese kan ikke afvises]],"kan ikke ","")&amp;"afvises med "&amp;Eu_a_konfidensniveau*100&amp;"% konfidens","Kan ikke beregne hypotesetest om andel")</f>
        <v>#N/A</v>
      </c>
      <c r="AO40" s="30" t="str">
        <f>"Andel i stikprøver af størrelsen n = "&amp;Eu_a_n_x&amp;"
fra en population med andel = "&amp;IFERROR(ROUND(Eu_a_h0_x,5)*100&amp;"%","Hypotese ikke angivet")</f>
        <v>Andel i stikprøver af størrelsen n = 20
fra en population med andel = 0%</v>
      </c>
      <c r="AP40" s="31" t="str">
        <f t="shared" si="8"/>
        <v>Datatypen er nominal, hvor succes er TRUE og øvrige værdier er FALSE</v>
      </c>
      <c r="AQ40" s="31" t="b">
        <f>NOT(ISNA(Eu_a_a_x))</f>
        <v>1</v>
      </c>
      <c r="AR40" s="31" t="s">
        <v>176</v>
      </c>
      <c r="AS40" s="31" t="b">
        <f>NOT(ISNA(Eu_a_h0_x))</f>
        <v>1</v>
      </c>
      <c r="AT40" s="31" t="s">
        <v>159</v>
      </c>
      <c r="AU40" s="31" t="b">
        <f>IFERROR(Eu_a_n_x*Eu_a_a_x*(1-Eu_a_a_x)&gt;9,FALSE)</f>
        <v>0</v>
      </c>
      <c r="AV40" s="31"/>
      <c r="AW40" s="31"/>
      <c r="AX40" s="31"/>
    </row>
    <row r="41" spans="1:50" ht="15" x14ac:dyDescent="0.2">
      <c r="A41" s="30" t="s">
        <v>2</v>
      </c>
      <c r="B41" s="30" t="s">
        <v>133</v>
      </c>
      <c r="C41" s="30" t="s">
        <v>126</v>
      </c>
      <c r="D41" s="30" t="s">
        <v>126</v>
      </c>
      <c r="E41" s="30">
        <v>0</v>
      </c>
      <c r="F41" s="30">
        <v>1</v>
      </c>
      <c r="G41" s="39">
        <f>IFERROR((Eu_a_a_x-Eu_a_a_y-(Eu_a_h0_x-Eu_a_h0_y))/SQRT(Eu_a_a_x*(1-Eu_a_a_x)/Eu_a_n_x+Eu_a_a_y*(1-Eu_a_a_y)/Eu_a_n_y),NA())</f>
        <v>0</v>
      </c>
      <c r="H41" s="30">
        <f>IFERROR(CHOOSE(MATCH(E_a_valg[[#This Row],[Fordeling]],Fordeling_liste,0),E_a_valg[[#This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0</v>
      </c>
      <c r="I41" s="7">
        <f>E_a_valg[[#This Row],[Venstre teststørrelse]]*SQRT(Eu_a_a_x*(1-Eu_a_a_x)/Eu_a_n_x+Eu_a_a_y*(1-Eu_a_a_y)/Eu_a_n_y)+(Eu_a_h0_x-Eu_a_h0_y)</f>
        <v>0</v>
      </c>
      <c r="J41" s="7">
        <f>E_a_valg[[#This Row],[Midtpunkt teststørrelse]]*SQRT(Eu_a_a_x*(1-Eu_a_a_x)/Eu_a_n_x+Eu_a_a_y*(1-Eu_a_a_y)/Eu_a_n_y)+(Eu_a_h0_x-Eu_a_h0_y)</f>
        <v>0</v>
      </c>
      <c r="K41" s="7">
        <f>E_a_valg[[#This Row],[Højre teststørrelse]]*SQRT(Eu_a_a_x*(1-Eu_a_a_x)/Eu_a_n_x+Eu_a_a_y*(1-Eu_a_a_y)/Eu_a_n_y)+(Eu_a_h0_x-Eu_a_h0_y)</f>
        <v>0</v>
      </c>
      <c r="L41"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0%</v>
      </c>
      <c r="M41" t="str">
        <f>IF(E_a_valg[[#This Row],[Parameter]]="andel",ROUND(E_a_valg[[#This Row],[Midtpunkt label base]],5)*100&amp;"%",ROUND(E_a_valg[[#This Row],[Midtpunkt label base]],3))</f>
        <v>0%</v>
      </c>
      <c r="N41"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0%</v>
      </c>
      <c r="O41" s="30" t="b">
        <f>E_a_valg[[#This Row],[Teststørrelse]]=E_a_valg[[#This Row],[Venstre teststørrelse]]</f>
        <v>1</v>
      </c>
      <c r="P41" s="30" t="b">
        <f>OR(MATCH(E_a_valg[[#This Row],[Hypotese]],HypoteseRetning_liste,0)=2,MATCH(E_a_valg[[#This Row],[Hypotese]],HypoteseRetning_liste,0)=3)</f>
        <v>1</v>
      </c>
      <c r="Q41" s="40">
        <f>CHOOSE(MATCH(E_a_valg[[#This Row],[Hypotese]],HypoteseRetning_liste,0),NA(),IF(E_a_valg[[#This Row],[Orientering]],E_a_valg[[#This Row],[Mindre end venstre %]],E_a_valg[[#This Row],[Mindre end højre %]]),IF(E_a_valg[[#This Row],[Orientering]],E_a_valg[[#This Row],[Større end venstre %]],E_a_valg[[#This Row],[Større end højre %]]),1-E_a_valg[[#This Row],[Midt %]])</f>
        <v>0.5</v>
      </c>
      <c r="R41" s="30" t="b">
        <f>E_a_valg[[#This Row],[p-værdi]]&gt;1-Eu_a_konfidensniveau</f>
        <v>1</v>
      </c>
      <c r="S41" s="30">
        <f t="shared" si="7"/>
        <v>0.999</v>
      </c>
      <c r="T41" s="30">
        <f>CHOOSE(MATCH(E_a_valg[[#This Row],[Fordeling]],Fordeling_liste,0),_xlfn.NORM.INV(1-E_a_valg[[#This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1" s="30">
        <f>CHOOSE(MATCH(E_a_valg[[#This Row],[Fordeling]],Fordeling_liste,0),_xlfn.NORM.INV(E_a_valg[[#This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1" s="30">
        <f>MIN(E_a_valg[[#This Row],[Teststørrelse]],E_a_valg[[#This Row],[Teststørrelse omvendt]])</f>
        <v>0</v>
      </c>
      <c r="W41" s="30">
        <f>CHOOSE(MATCH(E_a_valg[[#This Row],[Fordeling]],Fordeling_liste,0),_xlfn.NORM.INV(0.5,E_a_valg[[#This Row],[Parameter 1]],E_a_valg[[#This Row],[Parameter 2]]),_xlfn.T.INV(0.5,E_a_valg[[#This Row],[Parameter 1]]),_xlfn.CHISQ.INV(0.5,E_a_valg[[#This Row],[Parameter 1]]),_xlfn.F.INV(0.5,E_a_valg[[#This Row],[Parameter 1]],E_a_valg[[#This Row],[Parameter 2]]))</f>
        <v>0</v>
      </c>
      <c r="X41" s="30">
        <f>MAX(E_a_valg[[#This Row],[Teststørrelse]],E_a_valg[[#This Row],[Teststørrelse omvendt]])</f>
        <v>0</v>
      </c>
      <c r="Y41" s="40">
        <f>CHOOSE(MATCH(E_a_valg[[#This Row],[Fordeling]],Fordeling_liste,0),_xlfn.NORM.DIST(E_a_valg[[#This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0.5</v>
      </c>
      <c r="Z41" s="40">
        <f>CHOOSE(MATCH(E_a_valg[[#This Row],[Fordeling]],Fordeling_liste,0),_xlfn.NORM.DIST(E_a_valg[[#This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0.5</v>
      </c>
      <c r="AA41" s="40">
        <f>E_a_valg[[#This Row],[Mindre end højre %]]-E_a_valg[[#This Row],[Mindre end venstre %]]</f>
        <v>0</v>
      </c>
      <c r="AB41" s="40">
        <f>1-E_a_valg[[#This Row],[Mindre end venstre %]]</f>
        <v>0.5</v>
      </c>
      <c r="AC41" s="40">
        <f>1-E_a_valg[[#This Row],[Mindre end højre %]]</f>
        <v>0.5</v>
      </c>
      <c r="AD41" s="30" t="str">
        <f>IF(OR(MATCH(E_a_valg[[#This Row],[Hypotese]],HypoteseRetning_liste,0)=2,MATCH(E_a_valg[[#This Row],[Hypotese]],HypoteseRetning_liste,0)=3),IF(E_a_valg[[#This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50% mindre end 0%</v>
      </c>
      <c r="AE41" s="30" t="str">
        <f>IF(OR(MATCH(E_a_valg[[#This Row],[Hypotese]],HypoteseRetning_liste,0)=1,MATCH(E_a_valg[[#This Row],[Hypotese]],HypoteseRetning_liste,0)=4),ROUND(E_a_valg[[#This Row],[Midt %]],5)*100&amp;"% mellem "&amp;E_a_valg[[#This Row],[Venstre label]]&amp;" og "&amp;E_a_valg[[#This Row],[Højre label]]," ")</f>
        <v xml:space="preserve"> </v>
      </c>
      <c r="AF41" s="30" t="str">
        <f>IF(OR(MATCH(E_a_valg[[#This Row],[Hypotese]],HypoteseRetning_liste,0)=2,MATCH(E_a_valg[[#This Row],[Hypotese]],HypoteseRetning_liste,0)=3),IF(E_a_valg[[#This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50% større end 0%</v>
      </c>
      <c r="AG41" s="30">
        <f>IF(AND(NOT(E_a_valg[[#This Row],[Orientering]]),E_a_valg[[#This Row],[Ensidet]]),(E_a_valg[[#This Row],[Højre teststørrelse]]-E_a_valg[[#This Row],[X min]])/(E_a_valg[[#This Row],[X max]]-E_a_valg[[#This Row],[X min]]),(E_a_valg[[#This Row],[Venstre teststørrelse]]-E_a_valg[[#This Row],[X min]])/(E_a_valg[[#This Row],[X max]]-E_a_valg[[#This Row],[X min]]))</f>
        <v>0.5</v>
      </c>
      <c r="AH41" s="30">
        <f>(E_a_valg[[#This Row],[Midtpunkt teststørrelse]]-E_a_valg[[#This Row],[X min]])/(E_a_valg[[#This Row],[X max]]-E_a_valg[[#This Row],[X min]])</f>
        <v>0.5</v>
      </c>
      <c r="AI41" s="30">
        <f>IF(AND(E_a_valg[[#This Row],[Orientering]],E_a_valg[[#This Row],[Ensidet]]),(E_a_valg[[#This Row],[Venstre teststørrelse]]-E_a_valg[[#This Row],[X min]])/(E_a_valg[[#This Row],[X max]]-E_a_valg[[#This Row],[X min]]),(E_a_valg[[#This Row],[Højre teststørrelse]]-E_a_valg[[#This Row],[X min]])/(E_a_valg[[#This Row],[X max]]-E_a_valg[[#This Row],[X min]]))</f>
        <v>0.5</v>
      </c>
      <c r="AJ41" s="30" t="s">
        <v>299</v>
      </c>
      <c r="AK41" s="30">
        <f>_xlfn.AGGREGATE(3,5,E_a_valg[[#This Row],[Parameter]])</f>
        <v>1</v>
      </c>
      <c r="AL41">
        <v>2</v>
      </c>
      <c r="AM41" s="30">
        <v>36</v>
      </c>
      <c r="AN41" s="30" t="str">
        <f>IF(E_a_valg[[#This Row],[Kontrol af forudsætning 1]],IF(E_a_valg[[#This Row],[Kontrol af forudsætning 2]],"Hypotesetest om forskel mellem andele
Nulhypotesen om at forskellen mellem andelene af "&amp;Eu_a_t_x&amp;" og "&amp;Eu_a_t_y&amp;" er større end "&amp;ROUND(Eu_a_h0_x-Eu_a_h0_y,5)*100&amp;"%"&amp;"
"&amp;IF(E_a_valg[[#This Row],[Nulhypotese kan ikke afvises]],"kan ikke ","")&amp;"afvises med "&amp;Eu_a_konfidensniveau*100&amp;"% konfidens","Kan ikke beregne hypotesetest om forskel mellem andele,
fordi der ikke er angivet hypoteser om forskellige andele for "&amp;Eu_a_t_x&amp;" og "&amp;Eu_a_t_y),"Kan ikke beregne hypotesetest om forskel mellem andele")</f>
        <v>Kan ikke beregne hypotesetest om forskel mellem andele,
fordi der ikke er angivet hypoteser om forskellige andele for Eksempel 4 (nominal) og Eksempel 4 (nominal)</v>
      </c>
      <c r="AO41" s="30" t="str">
        <f>"Forskel i andel i stikprøver af størrelsen n = "&amp;Eu_a_n_x&amp;" og "&amp;Eu_a_n_y&amp;"
fra to populationer med forskel = "&amp;IFERROR(ROUND(Eu_a_h0_x-Eu_a_h0_y,5)*100&amp;"%","Hypotese ikke angivet")&amp;"
og stikprøveandele = "&amp;IFERROR(ROUND(Eu_a_a_x,5)*100&amp;"% og "&amp;ROUND(Eu_a_a_y,5)*100&amp;"%","Kan ikke beregnes")</f>
        <v>Forskel i andel i stikprøver af størrelsen n = 20 og 12
fra to populationer med forskel = 0%
og stikprøveandele = 41.667% og 41.667%</v>
      </c>
      <c r="AP41" s="31" t="str">
        <f t="shared" si="8"/>
        <v>Datatypen er nominal, hvor succes er TRUE og øvrige værdier er FALSE</v>
      </c>
      <c r="AQ41" s="31" t="b">
        <f t="shared" ref="AQ41:AQ46" si="9">NOT(OR(ISNA(Eu_a_a_x),ISNA(Eu_a_a_y)))</f>
        <v>1</v>
      </c>
      <c r="AR41" s="31" t="s">
        <v>179</v>
      </c>
      <c r="AS41" s="31" t="b">
        <f>IF(NOT(OR(ISNA(Eu_a_h0_x),ISNA(Eu_a_h0_y))),Eu_a_h0_x&lt;&gt;Eu_a_h0_y)</f>
        <v>0</v>
      </c>
      <c r="AT41" s="31" t="s">
        <v>167</v>
      </c>
      <c r="AU41" s="31" t="b">
        <f t="shared" ref="AU41:AU46" si="10">IFERROR(AND(Eu_a_n_x*Eu_a_a_x*(1-Eu_a_a_x)&gt;9,Eu_a_n_y*Eu_a_a_y*(1-Eu_a_a_y)&gt;9),FALSE)</f>
        <v>0</v>
      </c>
      <c r="AV41" s="31"/>
      <c r="AW41" s="31"/>
      <c r="AX41" s="31"/>
    </row>
    <row r="42" spans="1:50" ht="15" x14ac:dyDescent="0.2">
      <c r="A42" s="30" t="s">
        <v>2</v>
      </c>
      <c r="B42" s="30" t="s">
        <v>133</v>
      </c>
      <c r="C42" s="30" t="s">
        <v>142</v>
      </c>
      <c r="D42" s="30" t="s">
        <v>126</v>
      </c>
      <c r="E42" s="30">
        <v>0</v>
      </c>
      <c r="F42" s="30">
        <v>1</v>
      </c>
      <c r="G42" s="39">
        <f>IFERROR((Eu_a_a_x-Eu_a_a_y)/SQRT((Eu_a_a_x*Eu_a_n_x+Eu_a_a_y*Eu_a_n_y)/(Eu_a_n_x+Eu_a_n_y)*(1-(Eu_a_a_x*Eu_a_n_x+Eu_a_a_y*Eu_a_n_y)/(Eu_a_n_x+Eu_a_n_y))*(1/Eu_a_n_x+1/Eu_a_n_y)),NA())</f>
        <v>0</v>
      </c>
      <c r="H42" s="30">
        <f>IFERROR(CHOOSE(MATCH(E_a_valg[[#This Row],[Fordeling]],Fordeling_liste,0),E_a_valg[[#This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0</v>
      </c>
      <c r="I42" s="7">
        <f>MIN(Eu_a_a_x-Eu_a_a_y,-1*(Eu_a_a_x-Eu_a_a_y))</f>
        <v>0</v>
      </c>
      <c r="J42" s="30">
        <v>0</v>
      </c>
      <c r="K42" s="7">
        <f>MAX(Eu_a_a_x-Eu_a_a_y,-1*(Eu_a_a_x-Eu_a_a_y))</f>
        <v>0</v>
      </c>
      <c r="L42"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0%</v>
      </c>
      <c r="M42" t="str">
        <f>IF(E_a_valg[[#This Row],[Parameter]]="andel",ROUND(E_a_valg[[#This Row],[Midtpunkt label base]],5)*100&amp;"%",ROUND(E_a_valg[[#This Row],[Midtpunkt label base]],3))</f>
        <v>0%</v>
      </c>
      <c r="N42"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0%</v>
      </c>
      <c r="O42" s="30" t="b">
        <f>E_a_valg[[#This Row],[Teststørrelse]]=E_a_valg[[#This Row],[Venstre teststørrelse]]</f>
        <v>1</v>
      </c>
      <c r="P42" s="30" t="b">
        <f>OR(MATCH(E_a_valg[[#This Row],[Hypotese]],HypoteseRetning_liste,0)=2,MATCH(E_a_valg[[#This Row],[Hypotese]],HypoteseRetning_liste,0)=3)</f>
        <v>1</v>
      </c>
      <c r="Q42" s="40">
        <f>CHOOSE(MATCH(E_a_valg[[#This Row],[Hypotese]],HypoteseRetning_liste,0),NA(),IF(E_a_valg[[#This Row],[Orientering]],E_a_valg[[#This Row],[Mindre end venstre %]],E_a_valg[[#This Row],[Mindre end højre %]]),IF(E_a_valg[[#This Row],[Orientering]],E_a_valg[[#This Row],[Større end venstre %]],E_a_valg[[#This Row],[Større end højre %]]),1-E_a_valg[[#This Row],[Midt %]])</f>
        <v>0.5</v>
      </c>
      <c r="R42" s="30" t="b">
        <f>E_a_valg[[#This Row],[p-værdi]]&gt;1-Eu_a_konfidensniveau</f>
        <v>1</v>
      </c>
      <c r="S42" s="30">
        <f t="shared" si="7"/>
        <v>0.999</v>
      </c>
      <c r="T42" s="30">
        <f>CHOOSE(MATCH(E_a_valg[[#This Row],[Fordeling]],Fordeling_liste,0),_xlfn.NORM.INV(1-E_a_valg[[#This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2" s="30">
        <f>CHOOSE(MATCH(E_a_valg[[#This Row],[Fordeling]],Fordeling_liste,0),_xlfn.NORM.INV(E_a_valg[[#This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2" s="30">
        <f>MIN(E_a_valg[[#This Row],[Teststørrelse]],E_a_valg[[#This Row],[Teststørrelse omvendt]])</f>
        <v>0</v>
      </c>
      <c r="W42" s="30">
        <f>CHOOSE(MATCH(E_a_valg[[#This Row],[Fordeling]],Fordeling_liste,0),_xlfn.NORM.INV(0.5,E_a_valg[[#This Row],[Parameter 1]],E_a_valg[[#This Row],[Parameter 2]]),_xlfn.T.INV(0.5,E_a_valg[[#This Row],[Parameter 1]]),_xlfn.CHISQ.INV(0.5,E_a_valg[[#This Row],[Parameter 1]]),_xlfn.F.INV(0.5,E_a_valg[[#This Row],[Parameter 1]],E_a_valg[[#This Row],[Parameter 2]]))</f>
        <v>0</v>
      </c>
      <c r="X42" s="30">
        <f>MAX(E_a_valg[[#This Row],[Teststørrelse]],E_a_valg[[#This Row],[Teststørrelse omvendt]])</f>
        <v>0</v>
      </c>
      <c r="Y42" s="40">
        <f>CHOOSE(MATCH(E_a_valg[[#This Row],[Fordeling]],Fordeling_liste,0),_xlfn.NORM.DIST(E_a_valg[[#This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0.5</v>
      </c>
      <c r="Z42" s="40">
        <f>CHOOSE(MATCH(E_a_valg[[#This Row],[Fordeling]],Fordeling_liste,0),_xlfn.NORM.DIST(E_a_valg[[#This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0.5</v>
      </c>
      <c r="AA42" s="40">
        <f>E_a_valg[[#This Row],[Mindre end højre %]]-E_a_valg[[#This Row],[Mindre end venstre %]]</f>
        <v>0</v>
      </c>
      <c r="AB42" s="40">
        <f>1-E_a_valg[[#This Row],[Mindre end venstre %]]</f>
        <v>0.5</v>
      </c>
      <c r="AC42" s="40">
        <f>1-E_a_valg[[#This Row],[Mindre end højre %]]</f>
        <v>0.5</v>
      </c>
      <c r="AD42" s="30" t="str">
        <f>IF(OR(MATCH(E_a_valg[[#This Row],[Hypotese]],HypoteseRetning_liste,0)=2,MATCH(E_a_valg[[#This Row],[Hypotese]],HypoteseRetning_liste,0)=3),IF(E_a_valg[[#This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50% mindre end 0%</v>
      </c>
      <c r="AE42" s="30" t="str">
        <f>IF(OR(MATCH(E_a_valg[[#This Row],[Hypotese]],HypoteseRetning_liste,0)=1,MATCH(E_a_valg[[#This Row],[Hypotese]],HypoteseRetning_liste,0)=4),ROUND(E_a_valg[[#This Row],[Midt %]],5)*100&amp;"% mellem "&amp;E_a_valg[[#This Row],[Venstre label]]&amp;" og "&amp;E_a_valg[[#This Row],[Højre label]]," ")</f>
        <v xml:space="preserve"> </v>
      </c>
      <c r="AF42" s="30" t="str">
        <f>IF(OR(MATCH(E_a_valg[[#This Row],[Hypotese]],HypoteseRetning_liste,0)=2,MATCH(E_a_valg[[#This Row],[Hypotese]],HypoteseRetning_liste,0)=3),IF(E_a_valg[[#This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50% større end 0%</v>
      </c>
      <c r="AG42" s="30">
        <f>IF(AND(NOT(E_a_valg[[#This Row],[Orientering]]),E_a_valg[[#This Row],[Ensidet]]),(E_a_valg[[#This Row],[Højre teststørrelse]]-E_a_valg[[#This Row],[X min]])/(E_a_valg[[#This Row],[X max]]-E_a_valg[[#This Row],[X min]]),(E_a_valg[[#This Row],[Venstre teststørrelse]]-E_a_valg[[#This Row],[X min]])/(E_a_valg[[#This Row],[X max]]-E_a_valg[[#This Row],[X min]]))</f>
        <v>0.5</v>
      </c>
      <c r="AH42" s="30">
        <f>(E_a_valg[[#This Row],[Midtpunkt teststørrelse]]-E_a_valg[[#This Row],[X min]])/(E_a_valg[[#This Row],[X max]]-E_a_valg[[#This Row],[X min]])</f>
        <v>0.5</v>
      </c>
      <c r="AI42" s="30">
        <f>IF(AND(E_a_valg[[#This Row],[Orientering]],E_a_valg[[#This Row],[Ensidet]]),(E_a_valg[[#This Row],[Venstre teststørrelse]]-E_a_valg[[#This Row],[X min]])/(E_a_valg[[#This Row],[X max]]-E_a_valg[[#This Row],[X min]]),(E_a_valg[[#This Row],[Højre teststørrelse]]-E_a_valg[[#This Row],[X min]])/(E_a_valg[[#This Row],[X max]]-E_a_valg[[#This Row],[X min]]))</f>
        <v>0.5</v>
      </c>
      <c r="AJ42" s="30" t="s">
        <v>299</v>
      </c>
      <c r="AK42" s="30">
        <f>_xlfn.AGGREGATE(3,5,E_a_valg[[#This Row],[Parameter]])</f>
        <v>1</v>
      </c>
      <c r="AL42">
        <v>2</v>
      </c>
      <c r="AM42" s="30">
        <v>37</v>
      </c>
      <c r="AN42" s="30" t="str">
        <f>IF(E_a_valg[[#This Row],[Kontrol af forudsætning 1]],IF(E_a_valg[[#This Row],[Kontrol af forudsætning 2]],"Hypotesetest om forskel mellem andele
Nulhypotesen om at forskellen mellem andelene af "&amp;Eu_a_t_x&amp;" og "&amp;Eu_a_t_y&amp;" er større end "&amp;ROUND(Eu_a_h0_x-Eu_a_h0_y,5)*100&amp;"%"&amp;"
"&amp;IF(E_a_valg[[#This Row],[Nulhypotese kan ikke afvises]],"kan ikke ","")&amp;"afvises med "&amp;Eu_a_konfidensniveau*100&amp;"% konfidens","Kan ikke beregne hypotesetest om forskel mellem andele,
fordi der ikke er angivet hypoteser om ens andele for "&amp;Eu_a_t_x&amp;" og "&amp;Eu_a_t_y),"Kan ikke beregne hypotesetest om forskel mellem andele")</f>
        <v>Hypotesetest om forskel mellem andele
Nulhypotesen om at forskellen mellem andelene af Eksempel 4 (nominal) og Eksempel 4 (nominal) er større end 0%
kan ikke afvises med 95% konfidens</v>
      </c>
      <c r="AO42" s="30" t="str">
        <f>IFERROR(IF(Eu_a_h0_x=Eu_a_h0_y,"Forskel i andel i stikprøver af størrelsen n = "&amp;Eu_a_n_x&amp;" og "&amp;Eu_a_n_y&amp;"
fra to populationer med forskel = "&amp;ROUND(Eu_a_h0_x-Eu_a_h0_y,5)*100&amp;"%
og stikprøveandele = "&amp;IFERROR(ROUND(Eu_a_a_x,5)*100&amp;"% og "&amp;ROUND(Eu_a_a_y,5)*100&amp;"%","Kan ikke beregnes"),"Forudsætning ikke opfyldt"),"Hypotese ikke angivet")</f>
        <v>Forskel i andel i stikprøver af størrelsen n = 20 og 12
fra to populationer med forskel = 0%
og stikprøveandele = 41.667% og 41.667%</v>
      </c>
      <c r="AP42" s="31" t="str">
        <f t="shared" si="8"/>
        <v>Datatypen er nominal, hvor succes er TRUE og øvrige værdier er FALSE</v>
      </c>
      <c r="AQ42" s="31" t="b">
        <f t="shared" si="9"/>
        <v>1</v>
      </c>
      <c r="AR42" s="31" t="s">
        <v>177</v>
      </c>
      <c r="AS42" s="31" t="b">
        <f>IF(NOT(OR(ISNA(Eu_a_h0_x),ISNA(Eu_a_h0_y))),Eu_a_h0_x=Eu_a_h0_y)</f>
        <v>1</v>
      </c>
      <c r="AT42" s="31" t="s">
        <v>167</v>
      </c>
      <c r="AU42" s="31" t="b">
        <f t="shared" si="10"/>
        <v>0</v>
      </c>
      <c r="AV42" s="31"/>
      <c r="AW42" s="31"/>
      <c r="AX42" s="31"/>
    </row>
    <row r="43" spans="1:50" ht="15" x14ac:dyDescent="0.2">
      <c r="A43" s="30" t="s">
        <v>2</v>
      </c>
      <c r="B43" s="30" t="s">
        <v>134</v>
      </c>
      <c r="C43" s="30" t="s">
        <v>126</v>
      </c>
      <c r="D43" s="30" t="s">
        <v>126</v>
      </c>
      <c r="E43" s="30">
        <v>0</v>
      </c>
      <c r="F43" s="30">
        <v>1</v>
      </c>
      <c r="G43" s="39">
        <f>IFERROR((Eu_a_a_x-Eu_a_a_y-(Eu_a_h0_x-Eu_a_h0_y))/SQRT(Eu_a_a_x*(1-Eu_a_a_x)/Eu_a_n_x+Eu_a_a_y*(1-Eu_a_a_y)/Eu_a_n_y),NA())</f>
        <v>0</v>
      </c>
      <c r="H43" s="30">
        <f>IFERROR(CHOOSE(MATCH(E_a_valg[[#This Row],[Fordeling]],Fordeling_liste,0),E_a_valg[[#This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0</v>
      </c>
      <c r="I43" s="7">
        <f>E_a_valg[[#This Row],[Venstre teststørrelse]]*SQRT(Eu_a_a_x*(1-Eu_a_a_x)/Eu_a_n_x+Eu_a_a_y*(1-Eu_a_a_y)/Eu_a_n_y)+(Eu_a_h0_x-Eu_a_h0_y)</f>
        <v>0</v>
      </c>
      <c r="J43" s="7">
        <f>E_a_valg[[#This Row],[Midtpunkt teststørrelse]]*SQRT(Eu_a_a_x*(1-Eu_a_a_x)/Eu_a_n_x+Eu_a_a_y*(1-Eu_a_a_y)/Eu_a_n_y)+(Eu_a_h0_x-Eu_a_h0_y)</f>
        <v>0</v>
      </c>
      <c r="K43" s="7">
        <f>E_a_valg[[#This Row],[Højre teststørrelse]]*SQRT(Eu_a_a_x*(1-Eu_a_a_x)/Eu_a_n_x+Eu_a_a_y*(1-Eu_a_a_y)/Eu_a_n_y)+(Eu_a_h0_x-Eu_a_h0_y)</f>
        <v>0</v>
      </c>
      <c r="L43"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0%</v>
      </c>
      <c r="M43" t="str">
        <f>IF(E_a_valg[[#This Row],[Parameter]]="andel",ROUND(E_a_valg[[#This Row],[Midtpunkt label base]],5)*100&amp;"%",ROUND(E_a_valg[[#This Row],[Midtpunkt label base]],3))</f>
        <v>0%</v>
      </c>
      <c r="N43"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0%</v>
      </c>
      <c r="O43" s="30" t="b">
        <f>E_a_valg[[#This Row],[Teststørrelse]]=E_a_valg[[#This Row],[Venstre teststørrelse]]</f>
        <v>1</v>
      </c>
      <c r="P43" s="30" t="b">
        <f>OR(MATCH(E_a_valg[[#This Row],[Hypotese]],HypoteseRetning_liste,0)=2,MATCH(E_a_valg[[#This Row],[Hypotese]],HypoteseRetning_liste,0)=3)</f>
        <v>1</v>
      </c>
      <c r="Q43" s="40">
        <f>CHOOSE(MATCH(E_a_valg[[#This Row],[Hypotese]],HypoteseRetning_liste,0),NA(),IF(E_a_valg[[#This Row],[Orientering]],E_a_valg[[#This Row],[Mindre end venstre %]],E_a_valg[[#This Row],[Mindre end højre %]]),IF(E_a_valg[[#This Row],[Orientering]],E_a_valg[[#This Row],[Større end venstre %]],E_a_valg[[#This Row],[Større end højre %]]),1-E_a_valg[[#This Row],[Midt %]])</f>
        <v>0.5</v>
      </c>
      <c r="R43" s="30" t="b">
        <f>E_a_valg[[#This Row],[p-værdi]]&gt;1-Eu_a_konfidensniveau</f>
        <v>1</v>
      </c>
      <c r="S43" s="30">
        <f t="shared" si="7"/>
        <v>0.999</v>
      </c>
      <c r="T43" s="30">
        <f>CHOOSE(MATCH(E_a_valg[[#This Row],[Fordeling]],Fordeling_liste,0),_xlfn.NORM.INV(1-E_a_valg[[#This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3" s="30">
        <f>CHOOSE(MATCH(E_a_valg[[#This Row],[Fordeling]],Fordeling_liste,0),_xlfn.NORM.INV(E_a_valg[[#This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3" s="30">
        <f>MIN(E_a_valg[[#This Row],[Teststørrelse]],E_a_valg[[#This Row],[Teststørrelse omvendt]])</f>
        <v>0</v>
      </c>
      <c r="W43" s="30">
        <f>CHOOSE(MATCH(E_a_valg[[#This Row],[Fordeling]],Fordeling_liste,0),_xlfn.NORM.INV(0.5,E_a_valg[[#This Row],[Parameter 1]],E_a_valg[[#This Row],[Parameter 2]]),_xlfn.T.INV(0.5,E_a_valg[[#This Row],[Parameter 1]]),_xlfn.CHISQ.INV(0.5,E_a_valg[[#This Row],[Parameter 1]]),_xlfn.F.INV(0.5,E_a_valg[[#This Row],[Parameter 1]],E_a_valg[[#This Row],[Parameter 2]]))</f>
        <v>0</v>
      </c>
      <c r="X43" s="30">
        <f>MAX(E_a_valg[[#This Row],[Teststørrelse]],E_a_valg[[#This Row],[Teststørrelse omvendt]])</f>
        <v>0</v>
      </c>
      <c r="Y43" s="40">
        <f>CHOOSE(MATCH(E_a_valg[[#This Row],[Fordeling]],Fordeling_liste,0),_xlfn.NORM.DIST(E_a_valg[[#This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0.5</v>
      </c>
      <c r="Z43" s="40">
        <f>CHOOSE(MATCH(E_a_valg[[#This Row],[Fordeling]],Fordeling_liste,0),_xlfn.NORM.DIST(E_a_valg[[#This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0.5</v>
      </c>
      <c r="AA43" s="40">
        <f>E_a_valg[[#This Row],[Mindre end højre %]]-E_a_valg[[#This Row],[Mindre end venstre %]]</f>
        <v>0</v>
      </c>
      <c r="AB43" s="40">
        <f>1-E_a_valg[[#This Row],[Mindre end venstre %]]</f>
        <v>0.5</v>
      </c>
      <c r="AC43" s="40">
        <f>1-E_a_valg[[#This Row],[Mindre end højre %]]</f>
        <v>0.5</v>
      </c>
      <c r="AD43" s="30" t="str">
        <f>IF(OR(MATCH(E_a_valg[[#This Row],[Hypotese]],HypoteseRetning_liste,0)=2,MATCH(E_a_valg[[#This Row],[Hypotese]],HypoteseRetning_liste,0)=3),IF(E_a_valg[[#This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50% mindre end 0%</v>
      </c>
      <c r="AE43" s="30" t="str">
        <f>IF(OR(MATCH(E_a_valg[[#This Row],[Hypotese]],HypoteseRetning_liste,0)=1,MATCH(E_a_valg[[#This Row],[Hypotese]],HypoteseRetning_liste,0)=4),ROUND(E_a_valg[[#This Row],[Midt %]],5)*100&amp;"% mellem "&amp;E_a_valg[[#This Row],[Venstre label]]&amp;" og "&amp;E_a_valg[[#This Row],[Højre label]]," ")</f>
        <v xml:space="preserve"> </v>
      </c>
      <c r="AF43" s="30" t="str">
        <f>IF(OR(MATCH(E_a_valg[[#This Row],[Hypotese]],HypoteseRetning_liste,0)=2,MATCH(E_a_valg[[#This Row],[Hypotese]],HypoteseRetning_liste,0)=3),IF(E_a_valg[[#This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50% større end 0%</v>
      </c>
      <c r="AG43" s="30">
        <f>IF(AND(NOT(E_a_valg[[#This Row],[Orientering]]),E_a_valg[[#This Row],[Ensidet]]),(E_a_valg[[#This Row],[Højre teststørrelse]]-E_a_valg[[#This Row],[X min]])/(E_a_valg[[#This Row],[X max]]-E_a_valg[[#This Row],[X min]]),(E_a_valg[[#This Row],[Venstre teststørrelse]]-E_a_valg[[#This Row],[X min]])/(E_a_valg[[#This Row],[X max]]-E_a_valg[[#This Row],[X min]]))</f>
        <v>0.5</v>
      </c>
      <c r="AH43" s="30">
        <f>(E_a_valg[[#This Row],[Midtpunkt teststørrelse]]-E_a_valg[[#This Row],[X min]])/(E_a_valg[[#This Row],[X max]]-E_a_valg[[#This Row],[X min]])</f>
        <v>0.5</v>
      </c>
      <c r="AI43" s="30">
        <f>IF(AND(E_a_valg[[#This Row],[Orientering]],E_a_valg[[#This Row],[Ensidet]]),(E_a_valg[[#This Row],[Venstre teststørrelse]]-E_a_valg[[#This Row],[X min]])/(E_a_valg[[#This Row],[X max]]-E_a_valg[[#This Row],[X min]]),(E_a_valg[[#This Row],[Højre teststørrelse]]-E_a_valg[[#This Row],[X min]])/(E_a_valg[[#This Row],[X max]]-E_a_valg[[#This Row],[X min]]))</f>
        <v>0.5</v>
      </c>
      <c r="AJ43" s="30" t="s">
        <v>300</v>
      </c>
      <c r="AK43" s="30">
        <f>_xlfn.AGGREGATE(3,5,E_a_valg[[#This Row],[Parameter]])</f>
        <v>1</v>
      </c>
      <c r="AL43">
        <v>2</v>
      </c>
      <c r="AM43" s="30">
        <v>38</v>
      </c>
      <c r="AN43" s="30" t="str">
        <f>IF(E_a_valg[[#This Row],[Kontrol af forudsætning 1]],IF(E_a_valg[[#This Row],[Kontrol af forudsætning 2]],"Hypotesetest om forskel mellem andele
Nulhypotesen om at forskellen mellem andelene af "&amp;Eu_a_t_x&amp;" og "&amp;Eu_a_t_y&amp;" er mindre end "&amp;ROUND(Eu_a_h0_x-Eu_a_h0_y,5)*100&amp;"%"&amp;"
"&amp;IF(E_a_valg[[#This Row],[Nulhypotese kan ikke afvises]],"kan ikke ","")&amp;"afvises med "&amp;Eu_a_konfidensniveau*100&amp;"% konfidens","Kan ikke beregne hypotesetest om forskel mellem andele,
fordi der ikke er angivet hypoteser om forskellige andele for "&amp;Eu_a_t_x&amp;" og "&amp;Eu_a_t_y),"Kan ikke beregne hypotesetest om forskel mellem andele")</f>
        <v>Kan ikke beregne hypotesetest om forskel mellem andele,
fordi der ikke er angivet hypoteser om forskellige andele for Eksempel 4 (nominal) og Eksempel 4 (nominal)</v>
      </c>
      <c r="AO43" s="30" t="str">
        <f>"Forskel i andel i stikprøver af størrelsen n = "&amp;Eu_a_n_x&amp;" og "&amp;Eu_a_n_y&amp;"
fra to populationer med forskel = "&amp;IFERROR(ROUND(Eu_a_h0_x-Eu_a_h0_y,5)*100&amp;"%","Hypotese ikke angivet")&amp;"
og stikprøveandele = "&amp;IFERROR(ROUND(Eu_a_a_x,5)*100&amp;"% og "&amp;ROUND(Eu_a_a_y,5)*100&amp;"%","Kan ikke beregnes")</f>
        <v>Forskel i andel i stikprøver af størrelsen n = 20 og 12
fra to populationer med forskel = 0%
og stikprøveandele = 41.667% og 41.667%</v>
      </c>
      <c r="AP43" s="31" t="str">
        <f t="shared" si="8"/>
        <v>Datatypen er nominal, hvor succes er TRUE og øvrige værdier er FALSE</v>
      </c>
      <c r="AQ43" s="31" t="b">
        <f t="shared" si="9"/>
        <v>1</v>
      </c>
      <c r="AR43" s="31" t="s">
        <v>179</v>
      </c>
      <c r="AS43" s="31" t="b">
        <f>IF(NOT(OR(ISNA(Eu_a_h0_x),ISNA(Eu_a_h0_y))),Eu_a_h0_x&lt;&gt;Eu_a_h0_y)</f>
        <v>0</v>
      </c>
      <c r="AT43" s="31" t="s">
        <v>167</v>
      </c>
      <c r="AU43" s="31" t="b">
        <f t="shared" si="10"/>
        <v>0</v>
      </c>
      <c r="AV43" s="31"/>
      <c r="AW43" s="31"/>
      <c r="AX43" s="31"/>
    </row>
    <row r="44" spans="1:50" ht="15" x14ac:dyDescent="0.2">
      <c r="A44" s="30" t="s">
        <v>2</v>
      </c>
      <c r="B44" s="30" t="s">
        <v>134</v>
      </c>
      <c r="C44" s="30" t="s">
        <v>142</v>
      </c>
      <c r="D44" s="30" t="s">
        <v>126</v>
      </c>
      <c r="E44" s="30">
        <v>0</v>
      </c>
      <c r="F44" s="30">
        <v>1</v>
      </c>
      <c r="G44" s="39">
        <f>IFERROR((Eu_a_a_x-Eu_a_a_y)/SQRT((Eu_a_a_x*Eu_a_n_x+Eu_a_a_y*Eu_a_n_y)/(Eu_a_n_x+Eu_a_n_y)*(1-(Eu_a_a_x*Eu_a_n_x+Eu_a_a_y*Eu_a_n_y)/(Eu_a_n_x+Eu_a_n_y))*(1/Eu_a_n_x+1/Eu_a_n_y)),NA())</f>
        <v>0</v>
      </c>
      <c r="H44" s="30">
        <f>IFERROR(CHOOSE(MATCH(E_a_valg[[#This Row],[Fordeling]],Fordeling_liste,0),E_a_valg[[#This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0</v>
      </c>
      <c r="I44" s="7">
        <f>MIN(Eu_a_a_x-Eu_a_a_y,-1*(Eu_a_a_x-Eu_a_a_y))</f>
        <v>0</v>
      </c>
      <c r="J44" s="30">
        <v>0</v>
      </c>
      <c r="K44" s="7">
        <f>MAX(Eu_a_a_x-Eu_a_a_y,-1*(Eu_a_a_x-Eu_a_a_y))</f>
        <v>0</v>
      </c>
      <c r="L44"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0%</v>
      </c>
      <c r="M44" t="str">
        <f>IF(E_a_valg[[#This Row],[Parameter]]="andel",ROUND(E_a_valg[[#This Row],[Midtpunkt label base]],5)*100&amp;"%",ROUND(E_a_valg[[#This Row],[Midtpunkt label base]],3))</f>
        <v>0%</v>
      </c>
      <c r="N44"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0%</v>
      </c>
      <c r="O44" s="30" t="b">
        <f>E_a_valg[[#This Row],[Teststørrelse]]=E_a_valg[[#This Row],[Venstre teststørrelse]]</f>
        <v>1</v>
      </c>
      <c r="P44" s="30" t="b">
        <f>OR(MATCH(E_a_valg[[#This Row],[Hypotese]],HypoteseRetning_liste,0)=2,MATCH(E_a_valg[[#This Row],[Hypotese]],HypoteseRetning_liste,0)=3)</f>
        <v>1</v>
      </c>
      <c r="Q44" s="40">
        <f>CHOOSE(MATCH(E_a_valg[[#This Row],[Hypotese]],HypoteseRetning_liste,0),NA(),IF(E_a_valg[[#This Row],[Orientering]],E_a_valg[[#This Row],[Mindre end venstre %]],E_a_valg[[#This Row],[Mindre end højre %]]),IF(E_a_valg[[#This Row],[Orientering]],E_a_valg[[#This Row],[Større end venstre %]],E_a_valg[[#This Row],[Større end højre %]]),1-E_a_valg[[#This Row],[Midt %]])</f>
        <v>0.5</v>
      </c>
      <c r="R44" s="30" t="b">
        <f>E_a_valg[[#This Row],[p-værdi]]&gt;1-Eu_a_konfidensniveau</f>
        <v>1</v>
      </c>
      <c r="S44" s="30">
        <f t="shared" si="7"/>
        <v>0.999</v>
      </c>
      <c r="T44" s="30">
        <f>CHOOSE(MATCH(E_a_valg[[#This Row],[Fordeling]],Fordeling_liste,0),_xlfn.NORM.INV(1-E_a_valg[[#This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4" s="30">
        <f>CHOOSE(MATCH(E_a_valg[[#This Row],[Fordeling]],Fordeling_liste,0),_xlfn.NORM.INV(E_a_valg[[#This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4" s="30">
        <f>MIN(E_a_valg[[#This Row],[Teststørrelse]],E_a_valg[[#This Row],[Teststørrelse omvendt]])</f>
        <v>0</v>
      </c>
      <c r="W44" s="30">
        <f>CHOOSE(MATCH(E_a_valg[[#This Row],[Fordeling]],Fordeling_liste,0),_xlfn.NORM.INV(0.5,E_a_valg[[#This Row],[Parameter 1]],E_a_valg[[#This Row],[Parameter 2]]),_xlfn.T.INV(0.5,E_a_valg[[#This Row],[Parameter 1]]),_xlfn.CHISQ.INV(0.5,E_a_valg[[#This Row],[Parameter 1]]),_xlfn.F.INV(0.5,E_a_valg[[#This Row],[Parameter 1]],E_a_valg[[#This Row],[Parameter 2]]))</f>
        <v>0</v>
      </c>
      <c r="X44" s="30">
        <f>MAX(E_a_valg[[#This Row],[Teststørrelse]],E_a_valg[[#This Row],[Teststørrelse omvendt]])</f>
        <v>0</v>
      </c>
      <c r="Y44" s="40">
        <f>CHOOSE(MATCH(E_a_valg[[#This Row],[Fordeling]],Fordeling_liste,0),_xlfn.NORM.DIST(E_a_valg[[#This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0.5</v>
      </c>
      <c r="Z44" s="40">
        <f>CHOOSE(MATCH(E_a_valg[[#This Row],[Fordeling]],Fordeling_liste,0),_xlfn.NORM.DIST(E_a_valg[[#This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0.5</v>
      </c>
      <c r="AA44" s="40">
        <f>E_a_valg[[#This Row],[Mindre end højre %]]-E_a_valg[[#This Row],[Mindre end venstre %]]</f>
        <v>0</v>
      </c>
      <c r="AB44" s="40">
        <f>1-E_a_valg[[#This Row],[Mindre end venstre %]]</f>
        <v>0.5</v>
      </c>
      <c r="AC44" s="40">
        <f>1-E_a_valg[[#This Row],[Mindre end højre %]]</f>
        <v>0.5</v>
      </c>
      <c r="AD44" s="30" t="str">
        <f>IF(OR(MATCH(E_a_valg[[#This Row],[Hypotese]],HypoteseRetning_liste,0)=2,MATCH(E_a_valg[[#This Row],[Hypotese]],HypoteseRetning_liste,0)=3),IF(E_a_valg[[#This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50% mindre end 0%</v>
      </c>
      <c r="AE44" s="30" t="str">
        <f>IF(OR(MATCH(E_a_valg[[#This Row],[Hypotese]],HypoteseRetning_liste,0)=1,MATCH(E_a_valg[[#This Row],[Hypotese]],HypoteseRetning_liste,0)=4),ROUND(E_a_valg[[#This Row],[Midt %]],5)*100&amp;"% mellem "&amp;E_a_valg[[#This Row],[Venstre label]]&amp;" og "&amp;E_a_valg[[#This Row],[Højre label]]," ")</f>
        <v xml:space="preserve"> </v>
      </c>
      <c r="AF44" s="30" t="str">
        <f>IF(OR(MATCH(E_a_valg[[#This Row],[Hypotese]],HypoteseRetning_liste,0)=2,MATCH(E_a_valg[[#This Row],[Hypotese]],HypoteseRetning_liste,0)=3),IF(E_a_valg[[#This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50% større end 0%</v>
      </c>
      <c r="AG44" s="30">
        <f>IF(AND(NOT(E_a_valg[[#This Row],[Orientering]]),E_a_valg[[#This Row],[Ensidet]]),(E_a_valg[[#This Row],[Højre teststørrelse]]-E_a_valg[[#This Row],[X min]])/(E_a_valg[[#This Row],[X max]]-E_a_valg[[#This Row],[X min]]),(E_a_valg[[#This Row],[Venstre teststørrelse]]-E_a_valg[[#This Row],[X min]])/(E_a_valg[[#This Row],[X max]]-E_a_valg[[#This Row],[X min]]))</f>
        <v>0.5</v>
      </c>
      <c r="AH44" s="30">
        <f>(E_a_valg[[#This Row],[Midtpunkt teststørrelse]]-E_a_valg[[#This Row],[X min]])/(E_a_valg[[#This Row],[X max]]-E_a_valg[[#This Row],[X min]])</f>
        <v>0.5</v>
      </c>
      <c r="AI44" s="30">
        <f>IF(AND(E_a_valg[[#This Row],[Orientering]],E_a_valg[[#This Row],[Ensidet]]),(E_a_valg[[#This Row],[Venstre teststørrelse]]-E_a_valg[[#This Row],[X min]])/(E_a_valg[[#This Row],[X max]]-E_a_valg[[#This Row],[X min]]),(E_a_valg[[#This Row],[Højre teststørrelse]]-E_a_valg[[#This Row],[X min]])/(E_a_valg[[#This Row],[X max]]-E_a_valg[[#This Row],[X min]]))</f>
        <v>0.5</v>
      </c>
      <c r="AJ44" s="30" t="s">
        <v>300</v>
      </c>
      <c r="AK44" s="30">
        <f>_xlfn.AGGREGATE(3,5,E_a_valg[[#This Row],[Parameter]])</f>
        <v>1</v>
      </c>
      <c r="AL44">
        <v>2</v>
      </c>
      <c r="AM44" s="30">
        <v>39</v>
      </c>
      <c r="AN44" s="30" t="str">
        <f>IF(E_a_valg[[#This Row],[Kontrol af forudsætning 1]],IF(E_a_valg[[#This Row],[Kontrol af forudsætning 2]],"Hypotesetest om forskel mellem andele
Nulhypotesen om at forskellen mellem andelene af "&amp;Eu_a_t_x&amp;" og "&amp;Eu_a_t_y&amp;" er mindre end "&amp;ROUND(Eu_a_h0_x-Eu_a_h0_y,5)*100&amp;"%"&amp;"
"&amp;IF(E_a_valg[[#This Row],[Nulhypotese kan ikke afvises]],"kan ikke ","")&amp;"afvises med "&amp;Eu_a_konfidensniveau*100&amp;"% konfidens","Kan ikke beregne hypotesetest om forskel mellem andele,
fordi der ikke er angivet hypoteser om ens andele for "&amp;Eu_a_t_x&amp;" og "&amp;Eu_a_t_y),"Kan ikke beregne hypotesetest om forskel mellem andele")</f>
        <v>Hypotesetest om forskel mellem andele
Nulhypotesen om at forskellen mellem andelene af Eksempel 4 (nominal) og Eksempel 4 (nominal) er mindre end 0%
kan ikke afvises med 95% konfidens</v>
      </c>
      <c r="AO44" s="30" t="str">
        <f>IFERROR(IF(Eu_a_h0_x=Eu_a_h0_y,"Forskel i andel i stikprøver af størrelsen n = "&amp;Eu_a_n_x&amp;" og "&amp;Eu_a_n_y&amp;"
fra to populationer med forskel = "&amp;ROUND(Eu_a_h0_x-Eu_a_h0_y,5)*100&amp;"%
og stikprøveandele = "&amp;IFERROR(ROUND(Eu_a_a_x,5)*100&amp;"% og "&amp;ROUND(Eu_a_a_y,5)*100&amp;"%","Kan ikke beregnes"),"Forudsætning ikke opfyldt"),"Hypotese ikke angivet")</f>
        <v>Forskel i andel i stikprøver af størrelsen n = 20 og 12
fra to populationer med forskel = 0%
og stikprøveandele = 41.667% og 41.667%</v>
      </c>
      <c r="AP44" s="31" t="str">
        <f t="shared" si="8"/>
        <v>Datatypen er nominal, hvor succes er TRUE og øvrige værdier er FALSE</v>
      </c>
      <c r="AQ44" s="31" t="b">
        <f t="shared" si="9"/>
        <v>1</v>
      </c>
      <c r="AR44" s="31" t="s">
        <v>177</v>
      </c>
      <c r="AS44" s="31" t="b">
        <f>IF(NOT(OR(ISNA(Eu_a_h0_x),ISNA(Eu_a_h0_y))),Eu_a_h0_x=Eu_a_h0_y)</f>
        <v>1</v>
      </c>
      <c r="AT44" s="31" t="s">
        <v>167</v>
      </c>
      <c r="AU44" s="31" t="b">
        <f t="shared" si="10"/>
        <v>0</v>
      </c>
      <c r="AV44" s="31"/>
      <c r="AW44" s="31"/>
      <c r="AX44" s="31"/>
    </row>
    <row r="45" spans="1:50" ht="15" x14ac:dyDescent="0.2">
      <c r="A45" s="30" t="s">
        <v>2</v>
      </c>
      <c r="B45" s="30" t="s">
        <v>135</v>
      </c>
      <c r="C45" s="30" t="s">
        <v>126</v>
      </c>
      <c r="D45" s="30" t="s">
        <v>126</v>
      </c>
      <c r="E45" s="30">
        <v>0</v>
      </c>
      <c r="F45" s="30">
        <v>1</v>
      </c>
      <c r="G45" s="39">
        <f>IFERROR((Eu_a_a_x-Eu_a_a_y-(Eu_a_h0_x-Eu_a_h0_y))/SQRT(Eu_a_a_x*(1-Eu_a_a_x)/Eu_a_n_x+Eu_a_a_y*(1-Eu_a_a_y)/Eu_a_n_y),NA())</f>
        <v>0</v>
      </c>
      <c r="H45" s="30">
        <f>IFERROR(CHOOSE(MATCH(E_a_valg[[#This Row],[Fordeling]],Fordeling_liste,0),E_a_valg[[#This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0</v>
      </c>
      <c r="I45" s="7">
        <f>E_a_valg[[#This Row],[Venstre teststørrelse]]*SQRT(Eu_a_a_x*(1-Eu_a_a_x)/Eu_a_n_x+Eu_a_a_y*(1-Eu_a_a_y)/Eu_a_n_y)+(Eu_a_h0_x-Eu_a_h0_y)</f>
        <v>0</v>
      </c>
      <c r="J45" s="7">
        <f>E_a_valg[[#This Row],[Midtpunkt teststørrelse]]*SQRT(Eu_a_a_x*(1-Eu_a_a_x)/Eu_a_n_x+Eu_a_a_y*(1-Eu_a_a_y)/Eu_a_n_y)+(Eu_a_h0_x-Eu_a_h0_y)</f>
        <v>0</v>
      </c>
      <c r="K45" s="7">
        <f>E_a_valg[[#This Row],[Højre teststørrelse]]*SQRT(Eu_a_a_x*(1-Eu_a_a_x)/Eu_a_n_x+Eu_a_a_y*(1-Eu_a_a_y)/Eu_a_n_y)+(Eu_a_h0_x-Eu_a_h0_y)</f>
        <v>0</v>
      </c>
      <c r="L45"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0%</v>
      </c>
      <c r="M45" t="str">
        <f>IF(E_a_valg[[#This Row],[Parameter]]="andel",ROUND(E_a_valg[[#This Row],[Midtpunkt label base]],5)*100&amp;"%",ROUND(E_a_valg[[#This Row],[Midtpunkt label base]],3))</f>
        <v>0%</v>
      </c>
      <c r="N45"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0%</v>
      </c>
      <c r="O45" s="30" t="b">
        <f>E_a_valg[[#This Row],[Teststørrelse]]=E_a_valg[[#This Row],[Venstre teststørrelse]]</f>
        <v>1</v>
      </c>
      <c r="P45" s="30" t="b">
        <f>OR(MATCH(E_a_valg[[#This Row],[Hypotese]],HypoteseRetning_liste,0)=2,MATCH(E_a_valg[[#This Row],[Hypotese]],HypoteseRetning_liste,0)=3)</f>
        <v>0</v>
      </c>
      <c r="Q45" s="40">
        <f>CHOOSE(MATCH(E_a_valg[[#This Row],[Hypotese]],HypoteseRetning_liste,0),NA(),IF(E_a_valg[[#This Row],[Orientering]],E_a_valg[[#This Row],[Mindre end venstre %]],E_a_valg[[#This Row],[Mindre end højre %]]),IF(E_a_valg[[#This Row],[Orientering]],E_a_valg[[#This Row],[Større end venstre %]],E_a_valg[[#This Row],[Større end højre %]]),1-E_a_valg[[#This Row],[Midt %]])</f>
        <v>1</v>
      </c>
      <c r="R45" s="30" t="b">
        <f>E_a_valg[[#This Row],[p-værdi]]&gt;1-Eu_a_konfidensniveau</f>
        <v>1</v>
      </c>
      <c r="S45" s="30">
        <f t="shared" si="7"/>
        <v>0.999</v>
      </c>
      <c r="T45" s="30">
        <f>CHOOSE(MATCH(E_a_valg[[#This Row],[Fordeling]],Fordeling_liste,0),_xlfn.NORM.INV(1-E_a_valg[[#This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5" s="30">
        <f>CHOOSE(MATCH(E_a_valg[[#This Row],[Fordeling]],Fordeling_liste,0),_xlfn.NORM.INV(E_a_valg[[#This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5" s="30">
        <f>MIN(E_a_valg[[#This Row],[Teststørrelse]],E_a_valg[[#This Row],[Teststørrelse omvendt]])</f>
        <v>0</v>
      </c>
      <c r="W45" s="30">
        <f>CHOOSE(MATCH(E_a_valg[[#This Row],[Fordeling]],Fordeling_liste,0),_xlfn.NORM.INV(0.5,E_a_valg[[#This Row],[Parameter 1]],E_a_valg[[#This Row],[Parameter 2]]),_xlfn.T.INV(0.5,E_a_valg[[#This Row],[Parameter 1]]),_xlfn.CHISQ.INV(0.5,E_a_valg[[#This Row],[Parameter 1]]),_xlfn.F.INV(0.5,E_a_valg[[#This Row],[Parameter 1]],E_a_valg[[#This Row],[Parameter 2]]))</f>
        <v>0</v>
      </c>
      <c r="X45" s="30">
        <f>MAX(E_a_valg[[#This Row],[Teststørrelse]],E_a_valg[[#This Row],[Teststørrelse omvendt]])</f>
        <v>0</v>
      </c>
      <c r="Y45" s="40">
        <f>CHOOSE(MATCH(E_a_valg[[#This Row],[Fordeling]],Fordeling_liste,0),_xlfn.NORM.DIST(E_a_valg[[#This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0.5</v>
      </c>
      <c r="Z45" s="40">
        <f>CHOOSE(MATCH(E_a_valg[[#This Row],[Fordeling]],Fordeling_liste,0),_xlfn.NORM.DIST(E_a_valg[[#This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0.5</v>
      </c>
      <c r="AA45" s="40">
        <f>E_a_valg[[#This Row],[Mindre end højre %]]-E_a_valg[[#This Row],[Mindre end venstre %]]</f>
        <v>0</v>
      </c>
      <c r="AB45" s="40">
        <f>1-E_a_valg[[#This Row],[Mindre end venstre %]]</f>
        <v>0.5</v>
      </c>
      <c r="AC45" s="40">
        <f>1-E_a_valg[[#This Row],[Mindre end højre %]]</f>
        <v>0.5</v>
      </c>
      <c r="AD45" s="30" t="str">
        <f>IF(OR(MATCH(E_a_valg[[#This Row],[Hypotese]],HypoteseRetning_liste,0)=2,MATCH(E_a_valg[[#This Row],[Hypotese]],HypoteseRetning_liste,0)=3),IF(E_a_valg[[#This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50% mindre end 0%</v>
      </c>
      <c r="AE45" s="30" t="str">
        <f>IF(OR(MATCH(E_a_valg[[#This Row],[Hypotese]],HypoteseRetning_liste,0)=1,MATCH(E_a_valg[[#This Row],[Hypotese]],HypoteseRetning_liste,0)=4),ROUND(E_a_valg[[#This Row],[Midt %]],5)*100&amp;"% mellem "&amp;E_a_valg[[#This Row],[Venstre label]]&amp;" og "&amp;E_a_valg[[#This Row],[Højre label]]," ")</f>
        <v>0% mellem 0% og 0%</v>
      </c>
      <c r="AF45" s="30" t="str">
        <f>IF(OR(MATCH(E_a_valg[[#This Row],[Hypotese]],HypoteseRetning_liste,0)=2,MATCH(E_a_valg[[#This Row],[Hypotese]],HypoteseRetning_liste,0)=3),IF(E_a_valg[[#This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50% større end 0%</v>
      </c>
      <c r="AG45" s="30">
        <f>IF(AND(NOT(E_a_valg[[#This Row],[Orientering]]),E_a_valg[[#This Row],[Ensidet]]),(E_a_valg[[#This Row],[Højre teststørrelse]]-E_a_valg[[#This Row],[X min]])/(E_a_valg[[#This Row],[X max]]-E_a_valg[[#This Row],[X min]]),(E_a_valg[[#This Row],[Venstre teststørrelse]]-E_a_valg[[#This Row],[X min]])/(E_a_valg[[#This Row],[X max]]-E_a_valg[[#This Row],[X min]]))</f>
        <v>0.5</v>
      </c>
      <c r="AH45" s="30">
        <f>(E_a_valg[[#This Row],[Midtpunkt teststørrelse]]-E_a_valg[[#This Row],[X min]])/(E_a_valg[[#This Row],[X max]]-E_a_valg[[#This Row],[X min]])</f>
        <v>0.5</v>
      </c>
      <c r="AI45" s="30">
        <f>IF(AND(E_a_valg[[#This Row],[Orientering]],E_a_valg[[#This Row],[Ensidet]]),(E_a_valg[[#This Row],[Venstre teststørrelse]]-E_a_valg[[#This Row],[X min]])/(E_a_valg[[#This Row],[X max]]-E_a_valg[[#This Row],[X min]]),(E_a_valg[[#This Row],[Højre teststørrelse]]-E_a_valg[[#This Row],[X min]])/(E_a_valg[[#This Row],[X max]]-E_a_valg[[#This Row],[X min]]))</f>
        <v>0.5</v>
      </c>
      <c r="AJ45" s="30" t="s">
        <v>125</v>
      </c>
      <c r="AK45" s="30">
        <f>_xlfn.AGGREGATE(3,5,E_a_valg[[#This Row],[Parameter]])</f>
        <v>1</v>
      </c>
      <c r="AL45">
        <v>2</v>
      </c>
      <c r="AM45" s="30">
        <v>40</v>
      </c>
      <c r="AN45" s="30" t="str">
        <f>IF(E_a_valg[[#This Row],[Kontrol af forudsætning 1]],IF(E_a_valg[[#This Row],[Kontrol af forudsætning 2]],"Hypotesetest om forskel mellem andele
Nulhypotesen om at forskellen mellem andelene af "&amp;Eu_a_t_x&amp;" og "&amp;Eu_a_t_y&amp;" er lig med "&amp;ROUND(Eu_a_h0_x-Eu_a_h0_y,5)*100&amp;"%"&amp;"
"&amp;IF(E_a_valg[[#This Row],[Nulhypotese kan ikke afvises]],"kan ikke ","")&amp;"afvises med "&amp;Eu_a_konfidensniveau*100&amp;"% konfidens","Kan ikke beregne hypotesetest om forskel mellem andele,
fordi der ikke er angivet hypoteser om forskellige andele for "&amp;Eu_a_t_x&amp;" og "&amp;Eu_a_t_y),"Kan ikke beregne hypotesetest om forskel mellem andele")</f>
        <v>Kan ikke beregne hypotesetest om forskel mellem andele,
fordi der ikke er angivet hypoteser om forskellige andele for Eksempel 4 (nominal) og Eksempel 4 (nominal)</v>
      </c>
      <c r="AO45" s="30" t="str">
        <f>"Forskel i andel i stikprøver af størrelsen n = "&amp;Eu_a_n_x&amp;" og "&amp;Eu_a_n_y&amp;"
fra to populationer med forskel = "&amp;IFERROR(ROUND(Eu_a_h0_x-Eu_a_h0_y,5)*100&amp;"%","Hypotese ikke angivet")&amp;"
og stikprøveandele = "&amp;IFERROR(ROUND(Eu_a_a_x,5)*100&amp;"% og "&amp;ROUND(Eu_a_a_y,5)*100&amp;"%","Kan ikke beregnes")</f>
        <v>Forskel i andel i stikprøver af størrelsen n = 20 og 12
fra to populationer med forskel = 0%
og stikprøveandele = 41.667% og 41.667%</v>
      </c>
      <c r="AP45" s="31" t="str">
        <f t="shared" si="8"/>
        <v>Datatypen er nominal, hvor succes er TRUE og øvrige værdier er FALSE</v>
      </c>
      <c r="AQ45" s="31" t="b">
        <f t="shared" si="9"/>
        <v>1</v>
      </c>
      <c r="AR45" s="31" t="s">
        <v>179</v>
      </c>
      <c r="AS45" s="31" t="b">
        <f>IF(NOT(OR(ISNA(Eu_a_h0_x),ISNA(Eu_a_h0_y))),Eu_a_h0_x&lt;&gt;Eu_a_h0_y)</f>
        <v>0</v>
      </c>
      <c r="AT45" s="31" t="s">
        <v>167</v>
      </c>
      <c r="AU45" s="31" t="b">
        <f t="shared" si="10"/>
        <v>0</v>
      </c>
      <c r="AV45" s="31"/>
      <c r="AW45" s="31"/>
      <c r="AX45" s="31"/>
    </row>
    <row r="46" spans="1:50" ht="15" x14ac:dyDescent="0.2">
      <c r="A46" s="30" t="s">
        <v>2</v>
      </c>
      <c r="B46" s="30" t="s">
        <v>135</v>
      </c>
      <c r="C46" s="30" t="s">
        <v>142</v>
      </c>
      <c r="D46" s="30" t="s">
        <v>126</v>
      </c>
      <c r="E46" s="30">
        <v>0</v>
      </c>
      <c r="F46" s="30">
        <v>1</v>
      </c>
      <c r="G46" s="39">
        <f>IFERROR((Eu_a_a_x-Eu_a_a_y)/SQRT((Eu_a_a_x*Eu_a_n_x+Eu_a_a_y*Eu_a_n_y)/(Eu_a_n_x+Eu_a_n_y)*(1-(Eu_a_a_x*Eu_a_n_x+Eu_a_a_y*Eu_a_n_y)/(Eu_a_n_x+Eu_a_n_y))*(1/Eu_a_n_x+1/Eu_a_n_y)),NA())</f>
        <v>0</v>
      </c>
      <c r="H46" s="30">
        <f>IFERROR(CHOOSE(MATCH(E_a_valg[[#This Row],[Fordeling]],Fordeling_liste,0),E_a_valg[[#This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0</v>
      </c>
      <c r="I46" s="7">
        <f>MIN(Eu_a_a_x-Eu_a_a_y,-1*(Eu_a_a_x-Eu_a_a_y))</f>
        <v>0</v>
      </c>
      <c r="J46" s="30">
        <v>0</v>
      </c>
      <c r="K46" s="7">
        <f>MAX(Eu_a_a_x-Eu_a_a_y,-1*(Eu_a_a_x-Eu_a_a_y))</f>
        <v>0</v>
      </c>
      <c r="L46"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0%</v>
      </c>
      <c r="M46" t="str">
        <f>IF(E_a_valg[[#This Row],[Parameter]]="andel",ROUND(E_a_valg[[#This Row],[Midtpunkt label base]],5)*100&amp;"%",ROUND(E_a_valg[[#This Row],[Midtpunkt label base]],3))</f>
        <v>0%</v>
      </c>
      <c r="N46"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0%</v>
      </c>
      <c r="O46" s="30" t="b">
        <f>E_a_valg[[#This Row],[Teststørrelse]]=E_a_valg[[#This Row],[Venstre teststørrelse]]</f>
        <v>1</v>
      </c>
      <c r="P46" s="30" t="b">
        <f>OR(MATCH(E_a_valg[[#This Row],[Hypotese]],HypoteseRetning_liste,0)=2,MATCH(E_a_valg[[#This Row],[Hypotese]],HypoteseRetning_liste,0)=3)</f>
        <v>0</v>
      </c>
      <c r="Q46" s="40">
        <f>CHOOSE(MATCH(E_a_valg[[#This Row],[Hypotese]],HypoteseRetning_liste,0),NA(),IF(E_a_valg[[#This Row],[Orientering]],E_a_valg[[#This Row],[Mindre end venstre %]],E_a_valg[[#This Row],[Mindre end højre %]]),IF(E_a_valg[[#This Row],[Orientering]],E_a_valg[[#This Row],[Større end venstre %]],E_a_valg[[#This Row],[Større end højre %]]),1-E_a_valg[[#This Row],[Midt %]])</f>
        <v>1</v>
      </c>
      <c r="R46" s="30" t="b">
        <f>E_a_valg[[#This Row],[p-værdi]]&gt;1-Eu_a_konfidensniveau</f>
        <v>1</v>
      </c>
      <c r="S46" s="30">
        <f t="shared" si="7"/>
        <v>0.999</v>
      </c>
      <c r="T46" s="30">
        <f>CHOOSE(MATCH(E_a_valg[[#This Row],[Fordeling]],Fordeling_liste,0),_xlfn.NORM.INV(1-E_a_valg[[#This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6" s="30">
        <f>CHOOSE(MATCH(E_a_valg[[#This Row],[Fordeling]],Fordeling_liste,0),_xlfn.NORM.INV(E_a_valg[[#This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6" s="30">
        <f>MIN(E_a_valg[[#This Row],[Teststørrelse]],E_a_valg[[#This Row],[Teststørrelse omvendt]])</f>
        <v>0</v>
      </c>
      <c r="W46" s="30">
        <f>CHOOSE(MATCH(E_a_valg[[#This Row],[Fordeling]],Fordeling_liste,0),_xlfn.NORM.INV(0.5,E_a_valg[[#This Row],[Parameter 1]],E_a_valg[[#This Row],[Parameter 2]]),_xlfn.T.INV(0.5,E_a_valg[[#This Row],[Parameter 1]]),_xlfn.CHISQ.INV(0.5,E_a_valg[[#This Row],[Parameter 1]]),_xlfn.F.INV(0.5,E_a_valg[[#This Row],[Parameter 1]],E_a_valg[[#This Row],[Parameter 2]]))</f>
        <v>0</v>
      </c>
      <c r="X46" s="30">
        <f>MAX(E_a_valg[[#This Row],[Teststørrelse]],E_a_valg[[#This Row],[Teststørrelse omvendt]])</f>
        <v>0</v>
      </c>
      <c r="Y46" s="40">
        <f>CHOOSE(MATCH(E_a_valg[[#This Row],[Fordeling]],Fordeling_liste,0),_xlfn.NORM.DIST(E_a_valg[[#This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0.5</v>
      </c>
      <c r="Z46" s="40">
        <f>CHOOSE(MATCH(E_a_valg[[#This Row],[Fordeling]],Fordeling_liste,0),_xlfn.NORM.DIST(E_a_valg[[#This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0.5</v>
      </c>
      <c r="AA46" s="40">
        <f>E_a_valg[[#This Row],[Mindre end højre %]]-E_a_valg[[#This Row],[Mindre end venstre %]]</f>
        <v>0</v>
      </c>
      <c r="AB46" s="40">
        <f>1-E_a_valg[[#This Row],[Mindre end venstre %]]</f>
        <v>0.5</v>
      </c>
      <c r="AC46" s="40">
        <f>1-E_a_valg[[#This Row],[Mindre end højre %]]</f>
        <v>0.5</v>
      </c>
      <c r="AD46" s="30" t="str">
        <f>IF(OR(MATCH(E_a_valg[[#This Row],[Hypotese]],HypoteseRetning_liste,0)=2,MATCH(E_a_valg[[#This Row],[Hypotese]],HypoteseRetning_liste,0)=3),IF(E_a_valg[[#This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50% mindre end 0%</v>
      </c>
      <c r="AE46" s="30" t="str">
        <f>IF(OR(MATCH(E_a_valg[[#This Row],[Hypotese]],HypoteseRetning_liste,0)=1,MATCH(E_a_valg[[#This Row],[Hypotese]],HypoteseRetning_liste,0)=4),ROUND(E_a_valg[[#This Row],[Midt %]],5)*100&amp;"% mellem "&amp;E_a_valg[[#This Row],[Venstre label]]&amp;" og "&amp;E_a_valg[[#This Row],[Højre label]]," ")</f>
        <v>0% mellem 0% og 0%</v>
      </c>
      <c r="AF46" s="30" t="str">
        <f>IF(OR(MATCH(E_a_valg[[#This Row],[Hypotese]],HypoteseRetning_liste,0)=2,MATCH(E_a_valg[[#This Row],[Hypotese]],HypoteseRetning_liste,0)=3),IF(E_a_valg[[#This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50% større end 0%</v>
      </c>
      <c r="AG46" s="30">
        <f>IF(AND(NOT(E_a_valg[[#This Row],[Orientering]]),E_a_valg[[#This Row],[Ensidet]]),(E_a_valg[[#This Row],[Højre teststørrelse]]-E_a_valg[[#This Row],[X min]])/(E_a_valg[[#This Row],[X max]]-E_a_valg[[#This Row],[X min]]),(E_a_valg[[#This Row],[Venstre teststørrelse]]-E_a_valg[[#This Row],[X min]])/(E_a_valg[[#This Row],[X max]]-E_a_valg[[#This Row],[X min]]))</f>
        <v>0.5</v>
      </c>
      <c r="AH46" s="30">
        <f>(E_a_valg[[#This Row],[Midtpunkt teststørrelse]]-E_a_valg[[#This Row],[X min]])/(E_a_valg[[#This Row],[X max]]-E_a_valg[[#This Row],[X min]])</f>
        <v>0.5</v>
      </c>
      <c r="AI46" s="30">
        <f>IF(AND(E_a_valg[[#This Row],[Orientering]],E_a_valg[[#This Row],[Ensidet]]),(E_a_valg[[#This Row],[Venstre teststørrelse]]-E_a_valg[[#This Row],[X min]])/(E_a_valg[[#This Row],[X max]]-E_a_valg[[#This Row],[X min]]),(E_a_valg[[#This Row],[Højre teststørrelse]]-E_a_valg[[#This Row],[X min]])/(E_a_valg[[#This Row],[X max]]-E_a_valg[[#This Row],[X min]]))</f>
        <v>0.5</v>
      </c>
      <c r="AJ46" s="30" t="s">
        <v>125</v>
      </c>
      <c r="AK46" s="30">
        <f>_xlfn.AGGREGATE(3,5,E_a_valg[[#This Row],[Parameter]])</f>
        <v>1</v>
      </c>
      <c r="AL46">
        <v>2</v>
      </c>
      <c r="AM46" s="30">
        <v>41</v>
      </c>
      <c r="AN46" s="30" t="str">
        <f>IF(E_a_valg[[#This Row],[Kontrol af forudsætning 1]],IF(E_a_valg[[#This Row],[Kontrol af forudsætning 2]],"Hypotesetest om forskel mellem andele
Nulhypotesen om at forskellen mellem andelene af "&amp;Eu_a_t_x&amp;" og "&amp;Eu_a_t_y&amp;" er lig med "&amp;ROUND(Eu_a_h0_x-Eu_a_h0_y,5)*100&amp;"%"&amp;"
"&amp;IF(E_a_valg[[#This Row],[Nulhypotese kan ikke afvises]],"kan ikke ","")&amp;"afvises med "&amp;Eu_a_konfidensniveau*100&amp;"% konfidens","Kan ikke beregne hypotesetest om forskel mellem andele,
fordi der ikke er angivet hypoteser om ens andele for "&amp;Eu_a_t_x&amp;" og "&amp;Eu_a_t_y),"Kan ikke beregne hypotesetest om forskel mellem andele")</f>
        <v>Hypotesetest om forskel mellem andele
Nulhypotesen om at forskellen mellem andelene af Eksempel 4 (nominal) og Eksempel 4 (nominal) er lig med 0%
kan ikke afvises med 95% konfidens</v>
      </c>
      <c r="AO46" s="30" t="str">
        <f>IFERROR(IF(Eu_a_h0_x=Eu_a_h0_y,"Forskel i andel i stikprøver af størrelsen n = "&amp;Eu_a_n_x&amp;" og "&amp;Eu_a_n_y&amp;"
fra to populationer med forskel = "&amp;ROUND(Eu_a_h0_x-Eu_a_h0_y,5)*100&amp;"%
og stikprøveandele = "&amp;IFERROR(ROUND(Eu_a_a_x,5)*100&amp;"% og "&amp;ROUND(Eu_a_a_y,5)*100&amp;"%","Kan ikke beregnes"),"Forudsætning ikke opfyldt"),"Hypotese ikke angivet")</f>
        <v>Forskel i andel i stikprøver af størrelsen n = 20 og 12
fra to populationer med forskel = 0%
og stikprøveandele = 41.667% og 41.667%</v>
      </c>
      <c r="AP46" s="31" t="str">
        <f t="shared" si="8"/>
        <v>Datatypen er nominal, hvor succes er TRUE og øvrige værdier er FALSE</v>
      </c>
      <c r="AQ46" s="31" t="b">
        <f t="shared" si="9"/>
        <v>1</v>
      </c>
      <c r="AR46" s="31" t="s">
        <v>177</v>
      </c>
      <c r="AS46" s="31" t="b">
        <f>IF(NOT(OR(ISNA(Eu_a_h0_x),ISNA(Eu_a_h0_y))),Eu_a_h0_x=Eu_a_h0_y)</f>
        <v>1</v>
      </c>
      <c r="AT46" s="31" t="s">
        <v>167</v>
      </c>
      <c r="AU46" s="31" t="b">
        <f t="shared" si="10"/>
        <v>0</v>
      </c>
      <c r="AV46" s="31"/>
      <c r="AW46" s="31"/>
      <c r="AX46" s="31"/>
    </row>
    <row r="48" spans="1:50" x14ac:dyDescent="0.2">
      <c r="A48" t="s">
        <v>136</v>
      </c>
      <c r="B48" t="s">
        <v>143</v>
      </c>
      <c r="C48" t="s">
        <v>219</v>
      </c>
      <c r="D48" t="s">
        <v>147</v>
      </c>
      <c r="E48" t="s">
        <v>288</v>
      </c>
      <c r="F48" t="s">
        <v>289</v>
      </c>
      <c r="G48" t="s">
        <v>123</v>
      </c>
      <c r="H48" t="s">
        <v>304</v>
      </c>
      <c r="I48" t="s">
        <v>326</v>
      </c>
      <c r="J48" t="s">
        <v>327</v>
      </c>
      <c r="K48" t="s">
        <v>328</v>
      </c>
      <c r="L48" t="s">
        <v>305</v>
      </c>
      <c r="M48" t="s">
        <v>302</v>
      </c>
      <c r="N48" t="s">
        <v>314</v>
      </c>
      <c r="O48" t="s">
        <v>329</v>
      </c>
      <c r="P48" t="s">
        <v>124</v>
      </c>
      <c r="Q48" t="s">
        <v>333</v>
      </c>
      <c r="R48" t="s">
        <v>332</v>
      </c>
      <c r="S48" t="s">
        <v>325</v>
      </c>
      <c r="T48" t="s">
        <v>36</v>
      </c>
      <c r="U48" t="s">
        <v>37</v>
      </c>
      <c r="V48" t="s">
        <v>307</v>
      </c>
      <c r="W48" t="s">
        <v>316</v>
      </c>
      <c r="X48" t="s">
        <v>308</v>
      </c>
      <c r="Y48" t="s">
        <v>309</v>
      </c>
      <c r="Z48" t="s">
        <v>311</v>
      </c>
      <c r="AA48" t="s">
        <v>312</v>
      </c>
      <c r="AB48" t="s">
        <v>310</v>
      </c>
      <c r="AC48" t="s">
        <v>313</v>
      </c>
      <c r="AD48" t="s">
        <v>319</v>
      </c>
      <c r="AE48" t="s">
        <v>320</v>
      </c>
      <c r="AF48" t="s">
        <v>321</v>
      </c>
      <c r="AG48" t="s">
        <v>306</v>
      </c>
      <c r="AH48" t="s">
        <v>303</v>
      </c>
      <c r="AI48" t="s">
        <v>315</v>
      </c>
      <c r="AJ48" t="s">
        <v>301</v>
      </c>
      <c r="AK48" t="s">
        <v>144</v>
      </c>
      <c r="AL48" t="s">
        <v>280</v>
      </c>
      <c r="AM48" t="s">
        <v>16</v>
      </c>
      <c r="AN48" t="s">
        <v>151</v>
      </c>
      <c r="AO48" t="s">
        <v>149</v>
      </c>
      <c r="AP48" t="s">
        <v>152</v>
      </c>
      <c r="AQ48" t="s">
        <v>169</v>
      </c>
      <c r="AR48" t="s">
        <v>153</v>
      </c>
      <c r="AS48" t="s">
        <v>170</v>
      </c>
      <c r="AT48" t="s">
        <v>157</v>
      </c>
      <c r="AU48" t="s">
        <v>173</v>
      </c>
      <c r="AV48" t="s">
        <v>162</v>
      </c>
      <c r="AW48" t="s">
        <v>184</v>
      </c>
      <c r="AX48" t="s">
        <v>409</v>
      </c>
    </row>
    <row r="49" spans="1:50" ht="16.5" x14ac:dyDescent="0.2">
      <c r="A49" s="30" t="s">
        <v>3</v>
      </c>
      <c r="B49" s="30" t="s">
        <v>44</v>
      </c>
      <c r="C49" s="30" t="s">
        <v>126</v>
      </c>
      <c r="D49" s="30" t="s">
        <v>126</v>
      </c>
      <c r="E49" s="30">
        <v>0</v>
      </c>
      <c r="F49" s="30">
        <v>1</v>
      </c>
      <c r="G49">
        <f>IF(Eu_i_i_x&gt;0,_xlfn.NORM.INV((1-Eu_i_konfidensniveau)/2,0,1),NA())</f>
        <v>-1.9599639845400536</v>
      </c>
      <c r="H49" s="30">
        <f>IFERROR(CHOOSE(MATCH(E_i_valg[[#This Row],[Fordeling]],Fordeling_liste,0),E_i_valg[[#This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1.9599639845400536</v>
      </c>
      <c r="I49">
        <f>IFERROR(Eu_i_i_x-_xlfn.NORM.INV(1-(1-(Eu_i_konfidensniveau))/2,0,1)*SQRT(Eu_i_i_x/Eu_i_n_x),NA())</f>
        <v>1.08361049168533</v>
      </c>
      <c r="J49">
        <f>IFERROR(Eu_i_i_x+_xlfn.NORM.INV(0.5,0,1)*SQRT(Eu_i_i_x/Eu_i_n_x),NA())</f>
        <v>1.8540044183209705</v>
      </c>
      <c r="K49">
        <f>IFERROR(Eu_i_i_x+_xlfn.NORM.INV(1-(1-(Eu_i_konfidensniveau))/2,0,1)*SQRT(Eu_i_i_x/Eu_i_n_x),NA())</f>
        <v>2.6243983449566111</v>
      </c>
      <c r="L49">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1.0840000000000001</v>
      </c>
      <c r="M49">
        <f>IF(E_i_valg[[#This Row],[Parameter]]="andel",ROUND(E_i_valg[[#This Row],[Midtpunkt label base]],5)*100&amp;"%",ROUND(E_i_valg[[#This Row],[Midtpunkt label base]],3))</f>
        <v>1.8540000000000001</v>
      </c>
      <c r="N49">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2.6240000000000001</v>
      </c>
      <c r="O49" s="30" t="b">
        <f>E_i_valg[[#This Row],[Teststørrelse]]=E_i_valg[[#This Row],[Venstre teststørrelse]]</f>
        <v>1</v>
      </c>
      <c r="P49" s="30" t="b">
        <f>OR(MATCH(E_i_valg[[#This Row],[Hypotese]],HypoteseRetning_liste,0)=2,MATCH(E_i_valg[[#This Row],[Hypotese]],HypoteseRetning_liste,0)=3)</f>
        <v>0</v>
      </c>
      <c r="Q49" s="40" t="e">
        <f>CHOOSE(MATCH(E_i_valg[[#This Row],[Hypotese]],HypoteseRetning_liste,0),NA(),IF(E_i_valg[[#This Row],[Orientering]],E_i_valg[[#This Row],[Mindre end venstre %]],E_i_valg[[#This Row],[Mindre end højre %]]),IF(E_i_valg[[#This Row],[Orientering]],E_i_valg[[#This Row],[Større end venstre %]],E_i_valg[[#This Row],[Større end højre %]]),1-E_i_valg[[#This Row],[Midt %]])</f>
        <v>#N/A</v>
      </c>
      <c r="R49" s="30" t="e">
        <f>E_i_valg[[#This Row],[p-værdi]]&gt;1-Eu_i_konfidensniveau</f>
        <v>#N/A</v>
      </c>
      <c r="S49" s="30">
        <f t="shared" ref="S49:S55" si="11">IF(Eu_i_konfidensniveau&lt;=0.998,0.999,0.99999)</f>
        <v>0.999</v>
      </c>
      <c r="T49" s="30">
        <f>CHOOSE(MATCH(E_i_valg[[#This Row],[Fordeling]],Fordeling_liste,0),_xlfn.NORM.INV(1-E_i_valg[[#This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49" s="30">
        <f>CHOOSE(MATCH(E_i_valg[[#This Row],[Fordeling]],Fordeling_liste,0),_xlfn.NORM.INV(E_i_valg[[#This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49" s="30">
        <f>MIN(E_i_valg[[#This Row],[Teststørrelse]],E_i_valg[[#This Row],[Teststørrelse omvendt]])</f>
        <v>-1.9599639845400536</v>
      </c>
      <c r="W49" s="30">
        <f>CHOOSE(MATCH(E_i_valg[[#This Row],[Fordeling]],Fordeling_liste,0),_xlfn.NORM.INV(0.5,E_i_valg[[#This Row],[Parameter 1]],E_i_valg[[#This Row],[Parameter 2]]),_xlfn.T.INV(0.5,E_i_valg[[#This Row],[Parameter 1]]),_xlfn.CHISQ.INV(0.5,E_i_valg[[#This Row],[Parameter 1]]),_xlfn.F.INV(0.5,E_i_valg[[#This Row],[Parameter 1]],E_i_valg[[#This Row],[Parameter 2]]))</f>
        <v>0</v>
      </c>
      <c r="X49" s="30">
        <f>MAX(E_i_valg[[#This Row],[Teststørrelse]],E_i_valg[[#This Row],[Teststørrelse omvendt]])</f>
        <v>1.9599639845400536</v>
      </c>
      <c r="Y49" s="40">
        <f>CHOOSE(MATCH(E_i_valg[[#This Row],[Fordeling]],Fordeling_liste,0),_xlfn.NORM.DIST(E_i_valg[[#This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2.500000000000004E-2</v>
      </c>
      <c r="Z49" s="40">
        <f>CHOOSE(MATCH(E_i_valg[[#This Row],[Fordeling]],Fordeling_liste,0),_xlfn.NORM.DIST(E_i_valg[[#This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0.97499999999999998</v>
      </c>
      <c r="AA49" s="40">
        <f>E_i_valg[[#This Row],[Mindre end højre %]]-E_i_valg[[#This Row],[Mindre end venstre %]]</f>
        <v>0.95</v>
      </c>
      <c r="AB49" s="40">
        <f>1-E_i_valg[[#This Row],[Mindre end venstre %]]</f>
        <v>0.97499999999999998</v>
      </c>
      <c r="AC49" s="40">
        <f>1-E_i_valg[[#This Row],[Mindre end højre %]]</f>
        <v>2.5000000000000022E-2</v>
      </c>
      <c r="AD49" s="30" t="str">
        <f>IF(OR(MATCH(E_i_valg[[#This Row],[Hypotese]],HypoteseRetning_liste,0)=2,MATCH(E_i_valg[[#This Row],[Hypotese]],HypoteseRetning_liste,0)=3),IF(E_i_valg[[#This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2.5% mindre end 1.084</v>
      </c>
      <c r="AE49" s="30" t="str">
        <f>IF(OR(MATCH(E_i_valg[[#This Row],[Hypotese]],HypoteseRetning_liste,0)=1,MATCH(E_i_valg[[#This Row],[Hypotese]],HypoteseRetning_liste,0)=4),ROUND(E_i_valg[[#This Row],[Midt %]],5)*100&amp;"% mellem "&amp;E_i_valg[[#This Row],[Venstre label]]&amp;" og "&amp;E_i_valg[[#This Row],[Højre label]]," ")</f>
        <v>95% mellem 1.084 og 2.624</v>
      </c>
      <c r="AF49" s="30" t="str">
        <f>IF(OR(MATCH(E_i_valg[[#This Row],[Hypotese]],HypoteseRetning_liste,0)=2,MATCH(E_i_valg[[#This Row],[Hypotese]],HypoteseRetning_liste,0)=3),IF(E_i_valg[[#This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2.5% større end 2.624</v>
      </c>
      <c r="AG49" s="30">
        <f>IF(AND(NOT(E_i_valg[[#This Row],[Orientering]]),E_i_valg[[#This Row],[Ensidet]]),(E_i_valg[[#This Row],[Højre teststørrelse]]-E_i_valg[[#This Row],[X min]])/(E_i_valg[[#This Row],[X max]]-E_i_valg[[#This Row],[X min]]),(E_i_valg[[#This Row],[Venstre teststørrelse]]-E_i_valg[[#This Row],[X min]])/(E_i_valg[[#This Row],[X max]]-E_i_valg[[#This Row],[X min]]))</f>
        <v>0.18287756544578385</v>
      </c>
      <c r="AH49" s="30">
        <f>(E_i_valg[[#This Row],[Midtpunkt teststørrelse]]-E_i_valg[[#This Row],[X min]])/(E_i_valg[[#This Row],[X max]]-E_i_valg[[#This Row],[X min]])</f>
        <v>0.5</v>
      </c>
      <c r="AI49" s="30">
        <f>IF(AND(E_i_valg[[#This Row],[Orientering]],E_i_valg[[#This Row],[Ensidet]]),(E_i_valg[[#This Row],[Venstre teststørrelse]]-E_i_valg[[#This Row],[X min]])/(E_i_valg[[#This Row],[X max]]-E_i_valg[[#This Row],[X min]]),(E_i_valg[[#This Row],[Højre teststørrelse]]-E_i_valg[[#This Row],[X min]])/(E_i_valg[[#This Row],[X max]]-E_i_valg[[#This Row],[X min]]))</f>
        <v>0.81712243455421607</v>
      </c>
      <c r="AJ49" s="30" t="s">
        <v>44</v>
      </c>
      <c r="AK49" s="30">
        <f>_xlfn.AGGREGATE(3,5,E_i_valg[[#This Row],[Parameter]])</f>
        <v>1</v>
      </c>
      <c r="AL49">
        <v>1</v>
      </c>
      <c r="AM49" s="30">
        <v>42</v>
      </c>
      <c r="AN49" s="30" t="str">
        <f>IF(E_i_valg[[#This Row],[Kontrol af forudsætning 1]],Eu_i_konfidensniveau*100&amp;"% Konfidensinterval for intensitet
af "&amp;Eu_i_t_x,"Kan ikke beregne konfidensinterval for intensitet")</f>
        <v>95% Konfidensinterval for intensitet
af Eksempel 1 (interval)</v>
      </c>
      <c r="AO49" s="30" t="str">
        <f>"Populationsestimat for intensitet fra stikprøver af størrelsen n = "&amp;Eu_i_n_x&amp;"
fra en population med intensitet = "&amp;IFERROR(ROUND(Eu_i_i_x,3),"Kan ikke beregnes")</f>
        <v>Populationsestimat for intensitet fra stikprøver af størrelsen n = 12
fra en population med intensitet = 1.854</v>
      </c>
      <c r="AP49" s="31" t="s">
        <v>158</v>
      </c>
      <c r="AQ49" s="31" t="b">
        <f>NOT(ISNA(Eu_i_i_x))</f>
        <v>1</v>
      </c>
      <c r="AR49" s="31"/>
      <c r="AS49" s="31"/>
      <c r="AT49" s="31" t="s">
        <v>160</v>
      </c>
      <c r="AU49" s="31" t="b">
        <f>IFERROR(Eu_i_n_x*Eu_i_i_x&gt;9,FALSE)</f>
        <v>1</v>
      </c>
      <c r="AV49" s="31"/>
      <c r="AW49" s="31"/>
      <c r="AX49" s="31">
        <f>ROUNDUP(_xlfn.NORM.INV(1-(1-(Eu_i_konfidensniveau))/2,0,1)^2*Eu_i_i_x/Eu_i_ønsket_fejlmargin^2,0)</f>
        <v>8</v>
      </c>
    </row>
    <row r="50" spans="1:50" ht="16.5" x14ac:dyDescent="0.2">
      <c r="A50" s="30" t="s">
        <v>3</v>
      </c>
      <c r="B50" s="30" t="s">
        <v>130</v>
      </c>
      <c r="C50" s="30" t="s">
        <v>126</v>
      </c>
      <c r="D50" s="30" t="s">
        <v>126</v>
      </c>
      <c r="E50" s="30">
        <v>0</v>
      </c>
      <c r="F50" s="30">
        <v>1</v>
      </c>
      <c r="G50">
        <f>IFERROR((Eu_i_i_x-Eu_i_h0_x)/SQRT(Eu_i_h0_x/Eu_i_n_x),NA())</f>
        <v>2.9583580848404529</v>
      </c>
      <c r="H50" s="30">
        <f>IFERROR(CHOOSE(MATCH(E_i_valg[[#This Row],[Fordeling]],Fordeling_liste,0),E_i_valg[[#This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-2.9583580848404529</v>
      </c>
      <c r="I50" s="5">
        <f>E_i_valg[[#This Row],[Venstre teststørrelse]]*SQRT(Eu_i_h0_x/Eu_i_n_x)+Eu_i_h0_x</f>
        <v>0.14599558167902948</v>
      </c>
      <c r="J50" s="5">
        <f>E_i_valg[[#This Row],[Midtpunkt teststørrelse]]*SQRT(Eu_i_h0_x/Eu_i_n_x)+Eu_i_h0_x</f>
        <v>1</v>
      </c>
      <c r="K50" s="5">
        <f>E_i_valg[[#This Row],[Højre teststørrelse]]*SQRT(Eu_i_h0_x/Eu_i_n_x)+Eu_i_h0_x</f>
        <v>1.8540044183209705</v>
      </c>
      <c r="L50">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1.8540000000000001</v>
      </c>
      <c r="M50">
        <f>IF(E_i_valg[[#This Row],[Parameter]]="andel",ROUND(E_i_valg[[#This Row],[Midtpunkt label base]],5)*100&amp;"%",ROUND(E_i_valg[[#This Row],[Midtpunkt label base]],3))</f>
        <v>1</v>
      </c>
      <c r="N50">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1.8540000000000001</v>
      </c>
      <c r="O50" s="30" t="b">
        <f>E_i_valg[[#This Row],[Teststørrelse]]=E_i_valg[[#This Row],[Venstre teststørrelse]]</f>
        <v>0</v>
      </c>
      <c r="P50" s="30" t="b">
        <f>OR(MATCH(E_i_valg[[#This Row],[Hypotese]],HypoteseRetning_liste,0)=2,MATCH(E_i_valg[[#This Row],[Hypotese]],HypoteseRetning_liste,0)=3)</f>
        <v>1</v>
      </c>
      <c r="Q50" s="40">
        <f>CHOOSE(MATCH(E_i_valg[[#This Row],[Hypotese]],HypoteseRetning_liste,0),NA(),IF(E_i_valg[[#This Row],[Orientering]],E_i_valg[[#This Row],[Mindre end venstre %]],E_i_valg[[#This Row],[Mindre end højre %]]),IF(E_i_valg[[#This Row],[Orientering]],E_i_valg[[#This Row],[Større end venstre %]],E_i_valg[[#This Row],[Større end højre %]]),1-E_i_valg[[#This Row],[Midt %]])</f>
        <v>0.99845358692151742</v>
      </c>
      <c r="R50" s="30" t="b">
        <f>E_i_valg[[#This Row],[p-værdi]]&gt;1-Eu_i_konfidensniveau</f>
        <v>1</v>
      </c>
      <c r="S50" s="30">
        <f t="shared" si="11"/>
        <v>0.999</v>
      </c>
      <c r="T50" s="30">
        <f>CHOOSE(MATCH(E_i_valg[[#This Row],[Fordeling]],Fordeling_liste,0),_xlfn.NORM.INV(1-E_i_valg[[#This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50" s="30">
        <f>CHOOSE(MATCH(E_i_valg[[#This Row],[Fordeling]],Fordeling_liste,0),_xlfn.NORM.INV(E_i_valg[[#This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50" s="30">
        <f>MIN(E_i_valg[[#This Row],[Teststørrelse]],E_i_valg[[#This Row],[Teststørrelse omvendt]])</f>
        <v>-2.9583580848404529</v>
      </c>
      <c r="W50" s="30">
        <f>CHOOSE(MATCH(E_i_valg[[#This Row],[Fordeling]],Fordeling_liste,0),_xlfn.NORM.INV(0.5,E_i_valg[[#This Row],[Parameter 1]],E_i_valg[[#This Row],[Parameter 2]]),_xlfn.T.INV(0.5,E_i_valg[[#This Row],[Parameter 1]]),_xlfn.CHISQ.INV(0.5,E_i_valg[[#This Row],[Parameter 1]]),_xlfn.F.INV(0.5,E_i_valg[[#This Row],[Parameter 1]],E_i_valg[[#This Row],[Parameter 2]]))</f>
        <v>0</v>
      </c>
      <c r="X50" s="30">
        <f>MAX(E_i_valg[[#This Row],[Teststørrelse]],E_i_valg[[#This Row],[Teststørrelse omvendt]])</f>
        <v>2.9583580848404529</v>
      </c>
      <c r="Y50" s="40">
        <f>CHOOSE(MATCH(E_i_valg[[#This Row],[Fordeling]],Fordeling_liste,0),_xlfn.NORM.DIST(E_i_valg[[#This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1.5464130784825657E-3</v>
      </c>
      <c r="Z50" s="40">
        <f>CHOOSE(MATCH(E_i_valg[[#This Row],[Fordeling]],Fordeling_liste,0),_xlfn.NORM.DIST(E_i_valg[[#This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0.99845358692151742</v>
      </c>
      <c r="AA50" s="40">
        <f>E_i_valg[[#This Row],[Mindre end højre %]]-E_i_valg[[#This Row],[Mindre end venstre %]]</f>
        <v>0.99690717384303484</v>
      </c>
      <c r="AB50" s="40">
        <f>1-E_i_valg[[#This Row],[Mindre end venstre %]]</f>
        <v>0.99845358692151742</v>
      </c>
      <c r="AC50" s="40">
        <f>1-E_i_valg[[#This Row],[Mindre end højre %]]</f>
        <v>1.546413078482578E-3</v>
      </c>
      <c r="AD50" s="30" t="str">
        <f>IF(OR(MATCH(E_i_valg[[#This Row],[Hypotese]],HypoteseRetning_liste,0)=2,MATCH(E_i_valg[[#This Row],[Hypotese]],HypoteseRetning_liste,0)=3),IF(E_i_valg[[#This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99.845% mindre end 1.854</v>
      </c>
      <c r="AE50" s="30" t="str">
        <f>IF(OR(MATCH(E_i_valg[[#This Row],[Hypotese]],HypoteseRetning_liste,0)=1,MATCH(E_i_valg[[#This Row],[Hypotese]],HypoteseRetning_liste,0)=4),ROUND(E_i_valg[[#This Row],[Midt %]],5)*100&amp;"% mellem "&amp;E_i_valg[[#This Row],[Venstre label]]&amp;" og "&amp;E_i_valg[[#This Row],[Højre label]]," ")</f>
        <v xml:space="preserve"> </v>
      </c>
      <c r="AF50" s="30" t="str">
        <f>IF(OR(MATCH(E_i_valg[[#This Row],[Hypotese]],HypoteseRetning_liste,0)=2,MATCH(E_i_valg[[#This Row],[Hypotese]],HypoteseRetning_liste,0)=3),IF(E_i_valg[[#This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0.155% større end 1.854</v>
      </c>
      <c r="AG50" s="30">
        <f>IF(AND(NOT(E_i_valg[[#This Row],[Orientering]]),E_i_valg[[#This Row],[Ensidet]]),(E_i_valg[[#This Row],[Højre teststørrelse]]-E_i_valg[[#This Row],[X min]])/(E_i_valg[[#This Row],[X max]]-E_i_valg[[#This Row],[X min]]),(E_i_valg[[#This Row],[Venstre teststørrelse]]-E_i_valg[[#This Row],[X min]])/(E_i_valg[[#This Row],[X max]]-E_i_valg[[#This Row],[X min]]))</f>
        <v>0.978662733370538</v>
      </c>
      <c r="AH50" s="30">
        <f>(E_i_valg[[#This Row],[Midtpunkt teststørrelse]]-E_i_valg[[#This Row],[X min]])/(E_i_valg[[#This Row],[X max]]-E_i_valg[[#This Row],[X min]])</f>
        <v>0.5</v>
      </c>
      <c r="AI50" s="30">
        <f>IF(AND(E_i_valg[[#This Row],[Orientering]],E_i_valg[[#This Row],[Ensidet]]),(E_i_valg[[#This Row],[Venstre teststørrelse]]-E_i_valg[[#This Row],[X min]])/(E_i_valg[[#This Row],[X max]]-E_i_valg[[#This Row],[X min]]),(E_i_valg[[#This Row],[Højre teststørrelse]]-E_i_valg[[#This Row],[X min]])/(E_i_valg[[#This Row],[X max]]-E_i_valg[[#This Row],[X min]]))</f>
        <v>0.978662733370538</v>
      </c>
      <c r="AJ50" s="30" t="s">
        <v>299</v>
      </c>
      <c r="AK50" s="30">
        <f>_xlfn.AGGREGATE(3,5,E_i_valg[[#This Row],[Parameter]])</f>
        <v>1</v>
      </c>
      <c r="AL50">
        <v>1</v>
      </c>
      <c r="AM50" s="30">
        <v>43</v>
      </c>
      <c r="AN50" s="30" t="str">
        <f>IF(AND(E_i_valg[[#This Row],[Kontrol af forudsætning 1]],E_i_valg[[#This Row],[Kontrol af forudsætning 2]]),"Hypotesetest om intensitet
Nulhypotesen om at intensiteten af "&amp;Eu_i_t_x&amp;" er større end "&amp;ROUND(Eu_i_h0_x,3)&amp;"
"&amp;IF(E_i_valg[[#This Row],[Nulhypotese kan ikke afvises]],"kan ikke ","")&amp;"afvises med "&amp;Eu_i_konfidensniveau*100&amp;"% konfidens","Kan ikke beregne hypotesetest om intensitet")</f>
        <v>Hypotesetest om intensitet
Nulhypotesen om at intensiteten af Eksempel 1 (interval) er større end 1
kan ikke afvises med 95% konfidens</v>
      </c>
      <c r="AO50" s="30" t="str">
        <f>"Intensitet i stikprøver af størrelsen n = "&amp;Eu_i_n_x&amp;"
fra en population med intensitet = "&amp;IFERROR(ROUND(Eu_i_h0_x,3),"Hypotese ikke angivet")</f>
        <v>Intensitet i stikprøver af størrelsen n = 12
fra en population med intensitet = 1</v>
      </c>
      <c r="AP50" s="31" t="s">
        <v>158</v>
      </c>
      <c r="AQ50" s="31" t="b">
        <f>NOT(ISNA(Eu_i_i_x))</f>
        <v>1</v>
      </c>
      <c r="AR50" s="31" t="s">
        <v>178</v>
      </c>
      <c r="AS50" s="31" t="b">
        <f>NOT(ISNA(Eu_i_h0_x))</f>
        <v>1</v>
      </c>
      <c r="AT50" s="31" t="s">
        <v>160</v>
      </c>
      <c r="AU50" s="31" t="b">
        <f>IFERROR(Eu_i_n_x*Eu_i_i_x&gt;9,FALSE)</f>
        <v>1</v>
      </c>
      <c r="AV50" s="31"/>
      <c r="AW50" s="31"/>
      <c r="AX50" s="31"/>
    </row>
    <row r="51" spans="1:50" ht="16.5" x14ac:dyDescent="0.2">
      <c r="A51" s="30" t="s">
        <v>3</v>
      </c>
      <c r="B51" s="30" t="s">
        <v>131</v>
      </c>
      <c r="C51" s="30" t="s">
        <v>126</v>
      </c>
      <c r="D51" s="30" t="s">
        <v>126</v>
      </c>
      <c r="E51" s="30">
        <v>0</v>
      </c>
      <c r="F51" s="30">
        <v>1</v>
      </c>
      <c r="G51">
        <f>IFERROR((Eu_i_i_x-Eu_i_h0_x)/SQRT(Eu_i_h0_x/Eu_i_n_x),NA())</f>
        <v>2.9583580848404529</v>
      </c>
      <c r="H51" s="30">
        <f>IFERROR(CHOOSE(MATCH(E_i_valg[[#This Row],[Fordeling]],Fordeling_liste,0),E_i_valg[[#This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-2.9583580848404529</v>
      </c>
      <c r="I51" s="5">
        <f>E_i_valg[[#This Row],[Venstre teststørrelse]]*SQRT(Eu_i_h0_x/Eu_i_n_x)+Eu_i_h0_x</f>
        <v>0.14599558167902948</v>
      </c>
      <c r="J51" s="5">
        <f>E_i_valg[[#This Row],[Midtpunkt teststørrelse]]*SQRT(Eu_i_h0_x/Eu_i_n_x)+Eu_i_h0_x</f>
        <v>1</v>
      </c>
      <c r="K51" s="5">
        <f>E_i_valg[[#This Row],[Højre teststørrelse]]*SQRT(Eu_i_h0_x/Eu_i_n_x)+Eu_i_h0_x</f>
        <v>1.8540044183209705</v>
      </c>
      <c r="L51">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1.8540000000000001</v>
      </c>
      <c r="M51">
        <f>IF(E_i_valg[[#This Row],[Parameter]]="andel",ROUND(E_i_valg[[#This Row],[Midtpunkt label base]],5)*100&amp;"%",ROUND(E_i_valg[[#This Row],[Midtpunkt label base]],3))</f>
        <v>1</v>
      </c>
      <c r="N51">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1.8540000000000001</v>
      </c>
      <c r="O51" s="30" t="b">
        <f>E_i_valg[[#This Row],[Teststørrelse]]=E_i_valg[[#This Row],[Venstre teststørrelse]]</f>
        <v>0</v>
      </c>
      <c r="P51" s="30" t="b">
        <f>OR(MATCH(E_i_valg[[#This Row],[Hypotese]],HypoteseRetning_liste,0)=2,MATCH(E_i_valg[[#This Row],[Hypotese]],HypoteseRetning_liste,0)=3)</f>
        <v>1</v>
      </c>
      <c r="Q51" s="40">
        <f>CHOOSE(MATCH(E_i_valg[[#This Row],[Hypotese]],HypoteseRetning_liste,0),NA(),IF(E_i_valg[[#This Row],[Orientering]],E_i_valg[[#This Row],[Mindre end venstre %]],E_i_valg[[#This Row],[Mindre end højre %]]),IF(E_i_valg[[#This Row],[Orientering]],E_i_valg[[#This Row],[Større end venstre %]],E_i_valg[[#This Row],[Større end højre %]]),1-E_i_valg[[#This Row],[Midt %]])</f>
        <v>1.546413078482578E-3</v>
      </c>
      <c r="R51" s="30" t="b">
        <f>E_i_valg[[#This Row],[p-værdi]]&gt;1-Eu_i_konfidensniveau</f>
        <v>0</v>
      </c>
      <c r="S51" s="30">
        <f t="shared" si="11"/>
        <v>0.999</v>
      </c>
      <c r="T51" s="30">
        <f>CHOOSE(MATCH(E_i_valg[[#This Row],[Fordeling]],Fordeling_liste,0),_xlfn.NORM.INV(1-E_i_valg[[#This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51" s="30">
        <f>CHOOSE(MATCH(E_i_valg[[#This Row],[Fordeling]],Fordeling_liste,0),_xlfn.NORM.INV(E_i_valg[[#This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51" s="30">
        <f>MIN(E_i_valg[[#This Row],[Teststørrelse]],E_i_valg[[#This Row],[Teststørrelse omvendt]])</f>
        <v>-2.9583580848404529</v>
      </c>
      <c r="W51" s="30">
        <f>CHOOSE(MATCH(E_i_valg[[#This Row],[Fordeling]],Fordeling_liste,0),_xlfn.NORM.INV(0.5,E_i_valg[[#This Row],[Parameter 1]],E_i_valg[[#This Row],[Parameter 2]]),_xlfn.T.INV(0.5,E_i_valg[[#This Row],[Parameter 1]]),_xlfn.CHISQ.INV(0.5,E_i_valg[[#This Row],[Parameter 1]]),_xlfn.F.INV(0.5,E_i_valg[[#This Row],[Parameter 1]],E_i_valg[[#This Row],[Parameter 2]]))</f>
        <v>0</v>
      </c>
      <c r="X51" s="30">
        <f>MAX(E_i_valg[[#This Row],[Teststørrelse]],E_i_valg[[#This Row],[Teststørrelse omvendt]])</f>
        <v>2.9583580848404529</v>
      </c>
      <c r="Y51" s="40">
        <f>CHOOSE(MATCH(E_i_valg[[#This Row],[Fordeling]],Fordeling_liste,0),_xlfn.NORM.DIST(E_i_valg[[#This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1.5464130784825657E-3</v>
      </c>
      <c r="Z51" s="40">
        <f>CHOOSE(MATCH(E_i_valg[[#This Row],[Fordeling]],Fordeling_liste,0),_xlfn.NORM.DIST(E_i_valg[[#This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0.99845358692151742</v>
      </c>
      <c r="AA51" s="40">
        <f>E_i_valg[[#This Row],[Mindre end højre %]]-E_i_valg[[#This Row],[Mindre end venstre %]]</f>
        <v>0.99690717384303484</v>
      </c>
      <c r="AB51" s="40">
        <f>1-E_i_valg[[#This Row],[Mindre end venstre %]]</f>
        <v>0.99845358692151742</v>
      </c>
      <c r="AC51" s="40">
        <f>1-E_i_valg[[#This Row],[Mindre end højre %]]</f>
        <v>1.546413078482578E-3</v>
      </c>
      <c r="AD51" s="30" t="str">
        <f>IF(OR(MATCH(E_i_valg[[#This Row],[Hypotese]],HypoteseRetning_liste,0)=2,MATCH(E_i_valg[[#This Row],[Hypotese]],HypoteseRetning_liste,0)=3),IF(E_i_valg[[#This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99.845% mindre end 1.854</v>
      </c>
      <c r="AE51" s="30" t="str">
        <f>IF(OR(MATCH(E_i_valg[[#This Row],[Hypotese]],HypoteseRetning_liste,0)=1,MATCH(E_i_valg[[#This Row],[Hypotese]],HypoteseRetning_liste,0)=4),ROUND(E_i_valg[[#This Row],[Midt %]],5)*100&amp;"% mellem "&amp;E_i_valg[[#This Row],[Venstre label]]&amp;" og "&amp;E_i_valg[[#This Row],[Højre label]]," ")</f>
        <v xml:space="preserve"> </v>
      </c>
      <c r="AF51" s="30" t="str">
        <f>IF(OR(MATCH(E_i_valg[[#This Row],[Hypotese]],HypoteseRetning_liste,0)=2,MATCH(E_i_valg[[#This Row],[Hypotese]],HypoteseRetning_liste,0)=3),IF(E_i_valg[[#This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0.155% større end 1.854</v>
      </c>
      <c r="AG51" s="30">
        <f>IF(AND(NOT(E_i_valg[[#This Row],[Orientering]]),E_i_valg[[#This Row],[Ensidet]]),(E_i_valg[[#This Row],[Højre teststørrelse]]-E_i_valg[[#This Row],[X min]])/(E_i_valg[[#This Row],[X max]]-E_i_valg[[#This Row],[X min]]),(E_i_valg[[#This Row],[Venstre teststørrelse]]-E_i_valg[[#This Row],[X min]])/(E_i_valg[[#This Row],[X max]]-E_i_valg[[#This Row],[X min]]))</f>
        <v>0.978662733370538</v>
      </c>
      <c r="AH51" s="30">
        <f>(E_i_valg[[#This Row],[Midtpunkt teststørrelse]]-E_i_valg[[#This Row],[X min]])/(E_i_valg[[#This Row],[X max]]-E_i_valg[[#This Row],[X min]])</f>
        <v>0.5</v>
      </c>
      <c r="AI51" s="30">
        <f>IF(AND(E_i_valg[[#This Row],[Orientering]],E_i_valg[[#This Row],[Ensidet]]),(E_i_valg[[#This Row],[Venstre teststørrelse]]-E_i_valg[[#This Row],[X min]])/(E_i_valg[[#This Row],[X max]]-E_i_valg[[#This Row],[X min]]),(E_i_valg[[#This Row],[Højre teststørrelse]]-E_i_valg[[#This Row],[X min]])/(E_i_valg[[#This Row],[X max]]-E_i_valg[[#This Row],[X min]]))</f>
        <v>0.978662733370538</v>
      </c>
      <c r="AJ51" s="30" t="s">
        <v>300</v>
      </c>
      <c r="AK51" s="30">
        <f>_xlfn.AGGREGATE(3,5,E_i_valg[[#This Row],[Parameter]])</f>
        <v>1</v>
      </c>
      <c r="AL51">
        <v>1</v>
      </c>
      <c r="AM51" s="30">
        <v>44</v>
      </c>
      <c r="AN51" s="30" t="str">
        <f>IF(AND(E_i_valg[[#This Row],[Kontrol af forudsætning 1]],E_i_valg[[#This Row],[Kontrol af forudsætning 2]]),"Hypotesetest om intensitet
Nulhypotesen om at intensiteten af "&amp;Eu_i_t_x&amp;" er mindre end "&amp;ROUND(Eu_i_h0_x,3)&amp;"
"&amp;IF(E_i_valg[[#This Row],[Nulhypotese kan ikke afvises]],"kan ikke ","")&amp;"afvises med "&amp;Eu_i_konfidensniveau*100&amp;"% konfidens","Kan ikke beregne hypotesetest om intensitet")</f>
        <v>Hypotesetest om intensitet
Nulhypotesen om at intensiteten af Eksempel 1 (interval) er mindre end 1
afvises med 95% konfidens</v>
      </c>
      <c r="AO51" s="30" t="str">
        <f>"Intensitet i stikprøver af størrelsen n = "&amp;Eu_i_n_x&amp;"
fra en population med intensitet = "&amp;IFERROR(ROUND(Eu_i_h0_x,3),"Hypotese ikke angivet")</f>
        <v>Intensitet i stikprøver af størrelsen n = 12
fra en population med intensitet = 1</v>
      </c>
      <c r="AP51" s="31" t="s">
        <v>158</v>
      </c>
      <c r="AQ51" s="31" t="b">
        <f>NOT(ISNA(Eu_i_i_x))</f>
        <v>1</v>
      </c>
      <c r="AR51" s="31" t="s">
        <v>178</v>
      </c>
      <c r="AS51" s="31" t="b">
        <f>NOT(ISNA(Eu_i_h0_x))</f>
        <v>1</v>
      </c>
      <c r="AT51" s="31" t="s">
        <v>160</v>
      </c>
      <c r="AU51" s="31" t="b">
        <f>IFERROR(Eu_i_n_x*Eu_i_i_x&gt;9,FALSE)</f>
        <v>1</v>
      </c>
      <c r="AV51" s="31"/>
      <c r="AW51" s="31"/>
      <c r="AX51" s="31"/>
    </row>
    <row r="52" spans="1:50" ht="16.5" x14ac:dyDescent="0.2">
      <c r="A52" s="30" t="s">
        <v>3</v>
      </c>
      <c r="B52" s="30" t="s">
        <v>132</v>
      </c>
      <c r="C52" s="30" t="s">
        <v>126</v>
      </c>
      <c r="D52" s="30" t="s">
        <v>126</v>
      </c>
      <c r="E52" s="30">
        <v>0</v>
      </c>
      <c r="F52" s="30">
        <v>1</v>
      </c>
      <c r="G52">
        <f>IFERROR((Eu_i_i_x-Eu_i_h0_x)/SQRT(Eu_i_h0_x/Eu_i_n_x),NA())</f>
        <v>2.9583580848404529</v>
      </c>
      <c r="H52" s="30">
        <f>IFERROR(CHOOSE(MATCH(E_i_valg[[#This Row],[Fordeling]],Fordeling_liste,0),E_i_valg[[#This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-2.9583580848404529</v>
      </c>
      <c r="I52" s="5">
        <f>E_i_valg[[#This Row],[Venstre teststørrelse]]*SQRT(Eu_i_h0_x/Eu_i_n_x)+Eu_i_h0_x</f>
        <v>0.14599558167902948</v>
      </c>
      <c r="J52" s="5">
        <f>E_i_valg[[#This Row],[Midtpunkt teststørrelse]]*SQRT(Eu_i_h0_x/Eu_i_n_x)+Eu_i_h0_x</f>
        <v>1</v>
      </c>
      <c r="K52" s="5">
        <f>E_i_valg[[#This Row],[Højre teststørrelse]]*SQRT(Eu_i_h0_x/Eu_i_n_x)+Eu_i_h0_x</f>
        <v>1.8540044183209705</v>
      </c>
      <c r="L52">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0.14599999999999999</v>
      </c>
      <c r="M52">
        <f>IF(E_i_valg[[#This Row],[Parameter]]="andel",ROUND(E_i_valg[[#This Row],[Midtpunkt label base]],5)*100&amp;"%",ROUND(E_i_valg[[#This Row],[Midtpunkt label base]],3))</f>
        <v>1</v>
      </c>
      <c r="N52">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1.8540000000000001</v>
      </c>
      <c r="O52" s="30" t="b">
        <f>E_i_valg[[#This Row],[Teststørrelse]]=E_i_valg[[#This Row],[Venstre teststørrelse]]</f>
        <v>0</v>
      </c>
      <c r="P52" s="30" t="b">
        <f>OR(MATCH(E_i_valg[[#This Row],[Hypotese]],HypoteseRetning_liste,0)=2,MATCH(E_i_valg[[#This Row],[Hypotese]],HypoteseRetning_liste,0)=3)</f>
        <v>0</v>
      </c>
      <c r="Q52" s="40">
        <f>CHOOSE(MATCH(E_i_valg[[#This Row],[Hypotese]],HypoteseRetning_liste,0),NA(),IF(E_i_valg[[#This Row],[Orientering]],E_i_valg[[#This Row],[Mindre end venstre %]],E_i_valg[[#This Row],[Mindre end højre %]]),IF(E_i_valg[[#This Row],[Orientering]],E_i_valg[[#This Row],[Større end venstre %]],E_i_valg[[#This Row],[Større end højre %]]),1-E_i_valg[[#This Row],[Midt %]])</f>
        <v>3.0928261569651561E-3</v>
      </c>
      <c r="R52" s="30" t="b">
        <f>E_i_valg[[#This Row],[p-værdi]]&gt;1-Eu_i_konfidensniveau</f>
        <v>0</v>
      </c>
      <c r="S52" s="30">
        <f t="shared" si="11"/>
        <v>0.999</v>
      </c>
      <c r="T52" s="30">
        <f>CHOOSE(MATCH(E_i_valg[[#This Row],[Fordeling]],Fordeling_liste,0),_xlfn.NORM.INV(1-E_i_valg[[#This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52" s="30">
        <f>CHOOSE(MATCH(E_i_valg[[#This Row],[Fordeling]],Fordeling_liste,0),_xlfn.NORM.INV(E_i_valg[[#This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52" s="30">
        <f>MIN(E_i_valg[[#This Row],[Teststørrelse]],E_i_valg[[#This Row],[Teststørrelse omvendt]])</f>
        <v>-2.9583580848404529</v>
      </c>
      <c r="W52" s="30">
        <f>CHOOSE(MATCH(E_i_valg[[#This Row],[Fordeling]],Fordeling_liste,0),_xlfn.NORM.INV(0.5,E_i_valg[[#This Row],[Parameter 1]],E_i_valg[[#This Row],[Parameter 2]]),_xlfn.T.INV(0.5,E_i_valg[[#This Row],[Parameter 1]]),_xlfn.CHISQ.INV(0.5,E_i_valg[[#This Row],[Parameter 1]]),_xlfn.F.INV(0.5,E_i_valg[[#This Row],[Parameter 1]],E_i_valg[[#This Row],[Parameter 2]]))</f>
        <v>0</v>
      </c>
      <c r="X52" s="30">
        <f>MAX(E_i_valg[[#This Row],[Teststørrelse]],E_i_valg[[#This Row],[Teststørrelse omvendt]])</f>
        <v>2.9583580848404529</v>
      </c>
      <c r="Y52" s="40">
        <f>CHOOSE(MATCH(E_i_valg[[#This Row],[Fordeling]],Fordeling_liste,0),_xlfn.NORM.DIST(E_i_valg[[#This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1.5464130784825657E-3</v>
      </c>
      <c r="Z52" s="40">
        <f>CHOOSE(MATCH(E_i_valg[[#This Row],[Fordeling]],Fordeling_liste,0),_xlfn.NORM.DIST(E_i_valg[[#This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0.99845358692151742</v>
      </c>
      <c r="AA52" s="40">
        <f>E_i_valg[[#This Row],[Mindre end højre %]]-E_i_valg[[#This Row],[Mindre end venstre %]]</f>
        <v>0.99690717384303484</v>
      </c>
      <c r="AB52" s="40">
        <f>1-E_i_valg[[#This Row],[Mindre end venstre %]]</f>
        <v>0.99845358692151742</v>
      </c>
      <c r="AC52" s="40">
        <f>1-E_i_valg[[#This Row],[Mindre end højre %]]</f>
        <v>1.546413078482578E-3</v>
      </c>
      <c r="AD52" s="30" t="str">
        <f>IF(OR(MATCH(E_i_valg[[#This Row],[Hypotese]],HypoteseRetning_liste,0)=2,MATCH(E_i_valg[[#This Row],[Hypotese]],HypoteseRetning_liste,0)=3),IF(E_i_valg[[#This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0.155% mindre end 0.146</v>
      </c>
      <c r="AE52" s="30" t="str">
        <f>IF(OR(MATCH(E_i_valg[[#This Row],[Hypotese]],HypoteseRetning_liste,0)=1,MATCH(E_i_valg[[#This Row],[Hypotese]],HypoteseRetning_liste,0)=4),ROUND(E_i_valg[[#This Row],[Midt %]],5)*100&amp;"% mellem "&amp;E_i_valg[[#This Row],[Venstre label]]&amp;" og "&amp;E_i_valg[[#This Row],[Højre label]]," ")</f>
        <v>99.691% mellem 0.146 og 1.854</v>
      </c>
      <c r="AF52" s="30" t="str">
        <f>IF(OR(MATCH(E_i_valg[[#This Row],[Hypotese]],HypoteseRetning_liste,0)=2,MATCH(E_i_valg[[#This Row],[Hypotese]],HypoteseRetning_liste,0)=3),IF(E_i_valg[[#This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0.155% større end 1.854</v>
      </c>
      <c r="AG52" s="30">
        <f>IF(AND(NOT(E_i_valg[[#This Row],[Orientering]]),E_i_valg[[#This Row],[Ensidet]]),(E_i_valg[[#This Row],[Højre teststørrelse]]-E_i_valg[[#This Row],[X min]])/(E_i_valg[[#This Row],[X max]]-E_i_valg[[#This Row],[X min]]),(E_i_valg[[#This Row],[Venstre teststørrelse]]-E_i_valg[[#This Row],[X min]])/(E_i_valg[[#This Row],[X max]]-E_i_valg[[#This Row],[X min]]))</f>
        <v>2.133726662946208E-2</v>
      </c>
      <c r="AH52" s="30">
        <f>(E_i_valg[[#This Row],[Midtpunkt teststørrelse]]-E_i_valg[[#This Row],[X min]])/(E_i_valg[[#This Row],[X max]]-E_i_valg[[#This Row],[X min]])</f>
        <v>0.5</v>
      </c>
      <c r="AI52" s="30">
        <f>IF(AND(E_i_valg[[#This Row],[Orientering]],E_i_valg[[#This Row],[Ensidet]]),(E_i_valg[[#This Row],[Venstre teststørrelse]]-E_i_valg[[#This Row],[X min]])/(E_i_valg[[#This Row],[X max]]-E_i_valg[[#This Row],[X min]]),(E_i_valg[[#This Row],[Højre teststørrelse]]-E_i_valg[[#This Row],[X min]])/(E_i_valg[[#This Row],[X max]]-E_i_valg[[#This Row],[X min]]))</f>
        <v>0.978662733370538</v>
      </c>
      <c r="AJ52" s="30" t="s">
        <v>125</v>
      </c>
      <c r="AK52" s="30">
        <f>_xlfn.AGGREGATE(3,5,E_i_valg[[#This Row],[Parameter]])</f>
        <v>1</v>
      </c>
      <c r="AL52">
        <v>1</v>
      </c>
      <c r="AM52" s="30">
        <v>45</v>
      </c>
      <c r="AN52" s="30" t="str">
        <f>IF(AND(E_i_valg[[#This Row],[Kontrol af forudsætning 1]],E_i_valg[[#This Row],[Kontrol af forudsætning 2]]),"Hypotesetest om intensitet
Nulhypotesen om at intensiteten af "&amp;Eu_i_t_x&amp;" er lig med "&amp;ROUND(Eu_i_h0_x,3)&amp;"
"&amp;IF(E_i_valg[[#This Row],[Nulhypotese kan ikke afvises]],"kan ikke ","")&amp;"afvises med "&amp;Eu_i_konfidensniveau*100&amp;"% konfidens","Kan ikke beregne hypotesetest om intensitet")</f>
        <v>Hypotesetest om intensitet
Nulhypotesen om at intensiteten af Eksempel 1 (interval) er lig med 1
afvises med 95% konfidens</v>
      </c>
      <c r="AO52" s="30" t="str">
        <f>"Intensitet i stikprøver af størrelsen n = "&amp;Eu_i_n_x&amp;"
fra en population med intensitet = "&amp;IFERROR(ROUND(Eu_i_h0_x,3),"Hypotese ikke angivet")</f>
        <v>Intensitet i stikprøver af størrelsen n = 12
fra en population med intensitet = 1</v>
      </c>
      <c r="AP52" s="31" t="s">
        <v>158</v>
      </c>
      <c r="AQ52" s="31" t="b">
        <f>NOT(ISNA(Eu_i_i_x))</f>
        <v>1</v>
      </c>
      <c r="AR52" s="31" t="s">
        <v>178</v>
      </c>
      <c r="AS52" s="31" t="b">
        <f>NOT(ISNA(Eu_i_h0_x))</f>
        <v>1</v>
      </c>
      <c r="AT52" s="31" t="s">
        <v>160</v>
      </c>
      <c r="AU52" s="31" t="b">
        <f>IFERROR(Eu_i_n_x*Eu_i_i_x&gt;9,FALSE)</f>
        <v>1</v>
      </c>
      <c r="AV52" s="31"/>
      <c r="AW52" s="31"/>
      <c r="AX52" s="31"/>
    </row>
    <row r="53" spans="1:50" ht="16.5" x14ac:dyDescent="0.2">
      <c r="A53" s="30" t="s">
        <v>3</v>
      </c>
      <c r="B53" s="30" t="s">
        <v>133</v>
      </c>
      <c r="C53" s="30" t="s">
        <v>126</v>
      </c>
      <c r="D53" s="30" t="s">
        <v>126</v>
      </c>
      <c r="E53" s="30">
        <v>0</v>
      </c>
      <c r="F53" s="30">
        <v>1</v>
      </c>
      <c r="G53">
        <f>IFERROR((Eu_i_i_x-Eu_i_i_y)/SQRT(Eu_i_i_x/Eu_i_n_x+Eu_i_i_y/Eu_i_n_y),NA())</f>
        <v>-2.2839268503653543</v>
      </c>
      <c r="H53" s="30">
        <f>IFERROR(CHOOSE(MATCH(E_i_valg[[#This Row],[Fordeling]],Fordeling_liste,0),E_i_valg[[#This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2.2839268503653543</v>
      </c>
      <c r="I53" s="5">
        <f>MIN(Eu_i_i_x-Eu_i_i_y,-1*(Eu_i_i_x-Eu_i_i_y))</f>
        <v>-1.5054022174376644</v>
      </c>
      <c r="J53" s="30">
        <v>0</v>
      </c>
      <c r="K53" s="5">
        <f>MAX(Eu_i_i_x-Eu_i_i_y,-1*(Eu_i_i_x-Eu_i_i_y))</f>
        <v>1.5054022174376644</v>
      </c>
      <c r="L53">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-1.5049999999999999</v>
      </c>
      <c r="M53">
        <f>IF(E_i_valg[[#This Row],[Parameter]]="andel",ROUND(E_i_valg[[#This Row],[Midtpunkt label base]],5)*100&amp;"%",ROUND(E_i_valg[[#This Row],[Midtpunkt label base]],3))</f>
        <v>0</v>
      </c>
      <c r="N53">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-1.5049999999999999</v>
      </c>
      <c r="O53" s="30" t="b">
        <f>E_i_valg[[#This Row],[Teststørrelse]]=E_i_valg[[#This Row],[Venstre teststørrelse]]</f>
        <v>1</v>
      </c>
      <c r="P53" s="30" t="b">
        <f>OR(MATCH(E_i_valg[[#This Row],[Hypotese]],HypoteseRetning_liste,0)=2,MATCH(E_i_valg[[#This Row],[Hypotese]],HypoteseRetning_liste,0)=3)</f>
        <v>1</v>
      </c>
      <c r="Q53" s="40">
        <f>CHOOSE(MATCH(E_i_valg[[#This Row],[Hypotese]],HypoteseRetning_liste,0),NA(),IF(E_i_valg[[#This Row],[Orientering]],E_i_valg[[#This Row],[Mindre end venstre %]],E_i_valg[[#This Row],[Mindre end højre %]]),IF(E_i_valg[[#This Row],[Orientering]],E_i_valg[[#This Row],[Større end venstre %]],E_i_valg[[#This Row],[Større end højre %]]),1-E_i_valg[[#This Row],[Midt %]])</f>
        <v>1.1187915163413267E-2</v>
      </c>
      <c r="R53" s="30" t="b">
        <f>E_i_valg[[#This Row],[p-værdi]]&gt;1-Eu_i_konfidensniveau</f>
        <v>0</v>
      </c>
      <c r="S53" s="30">
        <f t="shared" si="11"/>
        <v>0.999</v>
      </c>
      <c r="T53" s="30">
        <f>CHOOSE(MATCH(E_i_valg[[#This Row],[Fordeling]],Fordeling_liste,0),_xlfn.NORM.INV(1-E_i_valg[[#This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53" s="30">
        <f>CHOOSE(MATCH(E_i_valg[[#This Row],[Fordeling]],Fordeling_liste,0),_xlfn.NORM.INV(E_i_valg[[#This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53" s="30">
        <f>MIN(E_i_valg[[#This Row],[Teststørrelse]],E_i_valg[[#This Row],[Teststørrelse omvendt]])</f>
        <v>-2.2839268503653543</v>
      </c>
      <c r="W53" s="30">
        <f>CHOOSE(MATCH(E_i_valg[[#This Row],[Fordeling]],Fordeling_liste,0),_xlfn.NORM.INV(0.5,E_i_valg[[#This Row],[Parameter 1]],E_i_valg[[#This Row],[Parameter 2]]),_xlfn.T.INV(0.5,E_i_valg[[#This Row],[Parameter 1]]),_xlfn.CHISQ.INV(0.5,E_i_valg[[#This Row],[Parameter 1]]),_xlfn.F.INV(0.5,E_i_valg[[#This Row],[Parameter 1]],E_i_valg[[#This Row],[Parameter 2]]))</f>
        <v>0</v>
      </c>
      <c r="X53" s="30">
        <f>MAX(E_i_valg[[#This Row],[Teststørrelse]],E_i_valg[[#This Row],[Teststørrelse omvendt]])</f>
        <v>2.2839268503653543</v>
      </c>
      <c r="Y53" s="40">
        <f>CHOOSE(MATCH(E_i_valg[[#This Row],[Fordeling]],Fordeling_liste,0),_xlfn.NORM.DIST(E_i_valg[[#This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1.1187915163413267E-2</v>
      </c>
      <c r="Z53" s="40">
        <f>CHOOSE(MATCH(E_i_valg[[#This Row],[Fordeling]],Fordeling_liste,0),_xlfn.NORM.DIST(E_i_valg[[#This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0.98881208483658678</v>
      </c>
      <c r="AA53" s="40">
        <f>E_i_valg[[#This Row],[Mindre end højre %]]-E_i_valg[[#This Row],[Mindre end venstre %]]</f>
        <v>0.97762416967317356</v>
      </c>
      <c r="AB53" s="40">
        <f>1-E_i_valg[[#This Row],[Mindre end venstre %]]</f>
        <v>0.98881208483658678</v>
      </c>
      <c r="AC53" s="40">
        <f>1-E_i_valg[[#This Row],[Mindre end højre %]]</f>
        <v>1.118791516341322E-2</v>
      </c>
      <c r="AD53" s="30" t="str">
        <f>IF(OR(MATCH(E_i_valg[[#This Row],[Hypotese]],HypoteseRetning_liste,0)=2,MATCH(E_i_valg[[#This Row],[Hypotese]],HypoteseRetning_liste,0)=3),IF(E_i_valg[[#This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1.119% mindre end -1.505</v>
      </c>
      <c r="AE53" s="30" t="str">
        <f>IF(OR(MATCH(E_i_valg[[#This Row],[Hypotese]],HypoteseRetning_liste,0)=1,MATCH(E_i_valg[[#This Row],[Hypotese]],HypoteseRetning_liste,0)=4),ROUND(E_i_valg[[#This Row],[Midt %]],5)*100&amp;"% mellem "&amp;E_i_valg[[#This Row],[Venstre label]]&amp;" og "&amp;E_i_valg[[#This Row],[Højre label]]," ")</f>
        <v xml:space="preserve"> </v>
      </c>
      <c r="AF53" s="30" t="str">
        <f>IF(OR(MATCH(E_i_valg[[#This Row],[Hypotese]],HypoteseRetning_liste,0)=2,MATCH(E_i_valg[[#This Row],[Hypotese]],HypoteseRetning_liste,0)=3),IF(E_i_valg[[#This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98.881% større end -1.505</v>
      </c>
      <c r="AG53" s="30">
        <f>IF(AND(NOT(E_i_valg[[#This Row],[Orientering]]),E_i_valg[[#This Row],[Ensidet]]),(E_i_valg[[#This Row],[Højre teststørrelse]]-E_i_valg[[#This Row],[X min]])/(E_i_valg[[#This Row],[X max]]-E_i_valg[[#This Row],[X min]]),(E_i_valg[[#This Row],[Venstre teststørrelse]]-E_i_valg[[#This Row],[X min]])/(E_i_valg[[#This Row],[X max]]-E_i_valg[[#This Row],[X min]]))</f>
        <v>0.13046033047307626</v>
      </c>
      <c r="AH53" s="30">
        <f>(E_i_valg[[#This Row],[Midtpunkt teststørrelse]]-E_i_valg[[#This Row],[X min]])/(E_i_valg[[#This Row],[X max]]-E_i_valg[[#This Row],[X min]])</f>
        <v>0.5</v>
      </c>
      <c r="AI53" s="30">
        <f>IF(AND(E_i_valg[[#This Row],[Orientering]],E_i_valg[[#This Row],[Ensidet]]),(E_i_valg[[#This Row],[Venstre teststørrelse]]-E_i_valg[[#This Row],[X min]])/(E_i_valg[[#This Row],[X max]]-E_i_valg[[#This Row],[X min]]),(E_i_valg[[#This Row],[Højre teststørrelse]]-E_i_valg[[#This Row],[X min]])/(E_i_valg[[#This Row],[X max]]-E_i_valg[[#This Row],[X min]]))</f>
        <v>0.13046033047307626</v>
      </c>
      <c r="AJ53" s="30" t="s">
        <v>299</v>
      </c>
      <c r="AK53" s="30">
        <f>_xlfn.AGGREGATE(3,5,E_i_valg[[#This Row],[Parameter]])</f>
        <v>1</v>
      </c>
      <c r="AL53">
        <v>2</v>
      </c>
      <c r="AM53" s="30">
        <v>46</v>
      </c>
      <c r="AN53" s="30" t="str">
        <f>IF(AND(E_i_valg[[#This Row],[Kontrol af forudsætning 1]],E_i_valg[[#This Row],[Kontrol af forudsætning 2]]),"Hypotesetest om forhold mellem intensiteter
Nulhypotesen om at intensiteten af "&amp;Eu_i_t_x&amp;" er større end intensiteten af "&amp;Eu_i_t_y&amp;"
"&amp;IF(E_i_valg[[#This Row],[Nulhypotese kan ikke afvises]],"kan ikke ","")&amp;"afvises med "&amp;Eu_i_konfidensniveau*100&amp;"% konfidens","Kan ikke beregne hypotesetest om forskel i intensitet")</f>
        <v>Hypotesetest om forhold mellem intensiteter
Nulhypotesen om at intensiteten af Eksempel 1 (interval) er større end intensiteten af Eksempel 2 (interval)
afvises med 95% konfidens</v>
      </c>
      <c r="AO53" s="30" t="str">
        <f>"Forskel i intensitet i stikprøver af størrelsen n = "&amp;Eu_i_n_x&amp;" og "&amp;Eu_i_n_y&amp;"
med stikprøveintensitet = "&amp;IFERROR(ROUND(Eu_i_i_x,3)&amp;" og "&amp;ROUND(Eu_i_i_y,3),"Kan ikke beregnes")&amp;"
Fra to populationer med 0 forskel i intensitet"</f>
        <v>Forskel i intensitet i stikprøver af størrelsen n = 12 og 12
med stikprøveintensitet = 1.854 og 3.359
Fra to populationer med 0 forskel i intensitet</v>
      </c>
      <c r="AP53" s="31" t="s">
        <v>158</v>
      </c>
      <c r="AQ53" s="31" t="b">
        <f>NOT(OR(ISNA(Eu_i_i_x),ISNA(Eu_i_i_y)))</f>
        <v>1</v>
      </c>
      <c r="AR53" s="31"/>
      <c r="AS53" s="31"/>
      <c r="AT53" s="31" t="s">
        <v>168</v>
      </c>
      <c r="AU53" s="31" t="b">
        <f>IFERROR(AND(Eu_i_n_x*Eu_i_i_x&gt;9,Eu_i_n_y*Eu_i_i_y&gt;9),FALSE)</f>
        <v>1</v>
      </c>
      <c r="AV53" s="31"/>
      <c r="AW53" s="31"/>
      <c r="AX53" s="31"/>
    </row>
    <row r="54" spans="1:50" ht="16.5" x14ac:dyDescent="0.2">
      <c r="A54" s="30" t="s">
        <v>3</v>
      </c>
      <c r="B54" s="30" t="s">
        <v>134</v>
      </c>
      <c r="C54" s="30" t="s">
        <v>126</v>
      </c>
      <c r="D54" s="30" t="s">
        <v>126</v>
      </c>
      <c r="E54" s="30">
        <v>0</v>
      </c>
      <c r="F54" s="30">
        <v>1</v>
      </c>
      <c r="G54">
        <f>IFERROR((Eu_i_i_x-Eu_i_i_y)/SQRT(Eu_i_i_x/Eu_i_n_x+Eu_i_i_y/Eu_i_n_y),NA())</f>
        <v>-2.2839268503653543</v>
      </c>
      <c r="H54" s="30">
        <f>IFERROR(CHOOSE(MATCH(E_i_valg[[#This Row],[Fordeling]],Fordeling_liste,0),E_i_valg[[#This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2.2839268503653543</v>
      </c>
      <c r="I54" s="5">
        <f>MIN(Eu_i_i_x-Eu_i_i_y,-1*(Eu_i_i_x-Eu_i_i_y))</f>
        <v>-1.5054022174376644</v>
      </c>
      <c r="J54" s="30">
        <v>0</v>
      </c>
      <c r="K54" s="5">
        <f>MAX(Eu_i_i_x-Eu_i_i_y,-1*(Eu_i_i_x-Eu_i_i_y))</f>
        <v>1.5054022174376644</v>
      </c>
      <c r="L54">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-1.5049999999999999</v>
      </c>
      <c r="M54">
        <f>IF(E_i_valg[[#This Row],[Parameter]]="andel",ROUND(E_i_valg[[#This Row],[Midtpunkt label base]],5)*100&amp;"%",ROUND(E_i_valg[[#This Row],[Midtpunkt label base]],3))</f>
        <v>0</v>
      </c>
      <c r="N54">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-1.5049999999999999</v>
      </c>
      <c r="O54" s="30" t="b">
        <f>E_i_valg[[#This Row],[Teststørrelse]]=E_i_valg[[#This Row],[Venstre teststørrelse]]</f>
        <v>1</v>
      </c>
      <c r="P54" s="30" t="b">
        <f>OR(MATCH(E_i_valg[[#This Row],[Hypotese]],HypoteseRetning_liste,0)=2,MATCH(E_i_valg[[#This Row],[Hypotese]],HypoteseRetning_liste,0)=3)</f>
        <v>1</v>
      </c>
      <c r="Q54" s="40">
        <f>CHOOSE(MATCH(E_i_valg[[#This Row],[Hypotese]],HypoteseRetning_liste,0),NA(),IF(E_i_valg[[#This Row],[Orientering]],E_i_valg[[#This Row],[Mindre end venstre %]],E_i_valg[[#This Row],[Mindre end højre %]]),IF(E_i_valg[[#This Row],[Orientering]],E_i_valg[[#This Row],[Større end venstre %]],E_i_valg[[#This Row],[Større end højre %]]),1-E_i_valg[[#This Row],[Midt %]])</f>
        <v>0.98881208483658678</v>
      </c>
      <c r="R54" s="30" t="b">
        <f>E_i_valg[[#This Row],[p-værdi]]&gt;1-Eu_i_konfidensniveau</f>
        <v>1</v>
      </c>
      <c r="S54" s="30">
        <f t="shared" si="11"/>
        <v>0.999</v>
      </c>
      <c r="T54" s="30">
        <f>CHOOSE(MATCH(E_i_valg[[#This Row],[Fordeling]],Fordeling_liste,0),_xlfn.NORM.INV(1-E_i_valg[[#This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54" s="30">
        <f>CHOOSE(MATCH(E_i_valg[[#This Row],[Fordeling]],Fordeling_liste,0),_xlfn.NORM.INV(E_i_valg[[#This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54" s="30">
        <f>MIN(E_i_valg[[#This Row],[Teststørrelse]],E_i_valg[[#This Row],[Teststørrelse omvendt]])</f>
        <v>-2.2839268503653543</v>
      </c>
      <c r="W54" s="30">
        <f>CHOOSE(MATCH(E_i_valg[[#This Row],[Fordeling]],Fordeling_liste,0),_xlfn.NORM.INV(0.5,E_i_valg[[#This Row],[Parameter 1]],E_i_valg[[#This Row],[Parameter 2]]),_xlfn.T.INV(0.5,E_i_valg[[#This Row],[Parameter 1]]),_xlfn.CHISQ.INV(0.5,E_i_valg[[#This Row],[Parameter 1]]),_xlfn.F.INV(0.5,E_i_valg[[#This Row],[Parameter 1]],E_i_valg[[#This Row],[Parameter 2]]))</f>
        <v>0</v>
      </c>
      <c r="X54" s="30">
        <f>MAX(E_i_valg[[#This Row],[Teststørrelse]],E_i_valg[[#This Row],[Teststørrelse omvendt]])</f>
        <v>2.2839268503653543</v>
      </c>
      <c r="Y54" s="40">
        <f>CHOOSE(MATCH(E_i_valg[[#This Row],[Fordeling]],Fordeling_liste,0),_xlfn.NORM.DIST(E_i_valg[[#This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1.1187915163413267E-2</v>
      </c>
      <c r="Z54" s="40">
        <f>CHOOSE(MATCH(E_i_valg[[#This Row],[Fordeling]],Fordeling_liste,0),_xlfn.NORM.DIST(E_i_valg[[#This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0.98881208483658678</v>
      </c>
      <c r="AA54" s="40">
        <f>E_i_valg[[#This Row],[Mindre end højre %]]-E_i_valg[[#This Row],[Mindre end venstre %]]</f>
        <v>0.97762416967317356</v>
      </c>
      <c r="AB54" s="40">
        <f>1-E_i_valg[[#This Row],[Mindre end venstre %]]</f>
        <v>0.98881208483658678</v>
      </c>
      <c r="AC54" s="40">
        <f>1-E_i_valg[[#This Row],[Mindre end højre %]]</f>
        <v>1.118791516341322E-2</v>
      </c>
      <c r="AD54" s="30" t="str">
        <f>IF(OR(MATCH(E_i_valg[[#This Row],[Hypotese]],HypoteseRetning_liste,0)=2,MATCH(E_i_valg[[#This Row],[Hypotese]],HypoteseRetning_liste,0)=3),IF(E_i_valg[[#This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1.119% mindre end -1.505</v>
      </c>
      <c r="AE54" s="30" t="str">
        <f>IF(OR(MATCH(E_i_valg[[#This Row],[Hypotese]],HypoteseRetning_liste,0)=1,MATCH(E_i_valg[[#This Row],[Hypotese]],HypoteseRetning_liste,0)=4),ROUND(E_i_valg[[#This Row],[Midt %]],5)*100&amp;"% mellem "&amp;E_i_valg[[#This Row],[Venstre label]]&amp;" og "&amp;E_i_valg[[#This Row],[Højre label]]," ")</f>
        <v xml:space="preserve"> </v>
      </c>
      <c r="AF54" s="30" t="str">
        <f>IF(OR(MATCH(E_i_valg[[#This Row],[Hypotese]],HypoteseRetning_liste,0)=2,MATCH(E_i_valg[[#This Row],[Hypotese]],HypoteseRetning_liste,0)=3),IF(E_i_valg[[#This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98.881% større end -1.505</v>
      </c>
      <c r="AG54" s="30">
        <f>IF(AND(NOT(E_i_valg[[#This Row],[Orientering]]),E_i_valg[[#This Row],[Ensidet]]),(E_i_valg[[#This Row],[Højre teststørrelse]]-E_i_valg[[#This Row],[X min]])/(E_i_valg[[#This Row],[X max]]-E_i_valg[[#This Row],[X min]]),(E_i_valg[[#This Row],[Venstre teststørrelse]]-E_i_valg[[#This Row],[X min]])/(E_i_valg[[#This Row],[X max]]-E_i_valg[[#This Row],[X min]]))</f>
        <v>0.13046033047307626</v>
      </c>
      <c r="AH54" s="30">
        <f>(E_i_valg[[#This Row],[Midtpunkt teststørrelse]]-E_i_valg[[#This Row],[X min]])/(E_i_valg[[#This Row],[X max]]-E_i_valg[[#This Row],[X min]])</f>
        <v>0.5</v>
      </c>
      <c r="AI54" s="30">
        <f>IF(AND(E_i_valg[[#This Row],[Orientering]],E_i_valg[[#This Row],[Ensidet]]),(E_i_valg[[#This Row],[Venstre teststørrelse]]-E_i_valg[[#This Row],[X min]])/(E_i_valg[[#This Row],[X max]]-E_i_valg[[#This Row],[X min]]),(E_i_valg[[#This Row],[Højre teststørrelse]]-E_i_valg[[#This Row],[X min]])/(E_i_valg[[#This Row],[X max]]-E_i_valg[[#This Row],[X min]]))</f>
        <v>0.13046033047307626</v>
      </c>
      <c r="AJ54" s="30" t="s">
        <v>300</v>
      </c>
      <c r="AK54" s="30">
        <f>_xlfn.AGGREGATE(3,5,E_i_valg[[#This Row],[Parameter]])</f>
        <v>1</v>
      </c>
      <c r="AL54">
        <v>2</v>
      </c>
      <c r="AM54" s="30">
        <v>47</v>
      </c>
      <c r="AN54" s="30" t="str">
        <f>IF(AND(E_i_valg[[#This Row],[Kontrol af forudsætning 1]],E_i_valg[[#This Row],[Kontrol af forudsætning 2]]),"Hypotesetest om forhold mellem intensiteter
Nulhypotesen om at intensiteten af "&amp;Eu_i_t_x&amp;" er mindre end intensiteten af "&amp;Eu_i_t_y&amp;"
"&amp;IF(E_i_valg[[#This Row],[Nulhypotese kan ikke afvises]],"kan ikke ","")&amp;"afvises med "&amp;Eu_i_konfidensniveau*100&amp;"% konfidens","Kan ikke beregne hypotesetest om forskel i intensitet")</f>
        <v>Hypotesetest om forhold mellem intensiteter
Nulhypotesen om at intensiteten af Eksempel 1 (interval) er mindre end intensiteten af Eksempel 2 (interval)
kan ikke afvises med 95% konfidens</v>
      </c>
      <c r="AO54" s="30" t="str">
        <f>"Forskel i intensitet i stikprøver af størrelsen n = "&amp;Eu_i_n_x&amp;" og "&amp;Eu_i_n_y&amp;"
med stikprøveintensitet = "&amp;IFERROR(ROUND(Eu_i_i_x,3)&amp;" og "&amp;ROUND(Eu_i_i_y,3),"Kan ikke beregnes")&amp;"
Fra to populationer med 0 forskel i intensitet"</f>
        <v>Forskel i intensitet i stikprøver af størrelsen n = 12 og 12
med stikprøveintensitet = 1.854 og 3.359
Fra to populationer med 0 forskel i intensitet</v>
      </c>
      <c r="AP54" s="31" t="s">
        <v>158</v>
      </c>
      <c r="AQ54" s="31" t="b">
        <f>NOT(OR(ISNA(Eu_i_i_x),ISNA(Eu_i_i_y)))</f>
        <v>1</v>
      </c>
      <c r="AR54" s="31"/>
      <c r="AS54" s="31"/>
      <c r="AT54" s="31" t="s">
        <v>168</v>
      </c>
      <c r="AU54" s="31" t="b">
        <f>IFERROR(AND(Eu_i_n_x*Eu_i_i_x&gt;9,Eu_i_n_y*Eu_i_i_y&gt;9),FALSE)</f>
        <v>1</v>
      </c>
      <c r="AV54" s="31"/>
      <c r="AW54" s="31"/>
      <c r="AX54" s="31"/>
    </row>
    <row r="55" spans="1:50" ht="16.5" x14ac:dyDescent="0.2">
      <c r="A55" s="30" t="s">
        <v>3</v>
      </c>
      <c r="B55" s="30" t="s">
        <v>135</v>
      </c>
      <c r="C55" s="30" t="s">
        <v>126</v>
      </c>
      <c r="D55" s="30" t="s">
        <v>126</v>
      </c>
      <c r="E55" s="30">
        <v>0</v>
      </c>
      <c r="F55" s="30">
        <v>1</v>
      </c>
      <c r="G55">
        <f>IFERROR((Eu_i_i_x-Eu_i_i_y)/SQRT(Eu_i_i_x/Eu_i_n_x+Eu_i_i_y/Eu_i_n_y),NA())</f>
        <v>-2.2839268503653543</v>
      </c>
      <c r="H55" s="30">
        <f>IFERROR(CHOOSE(MATCH(E_i_valg[[#This Row],[Fordeling]],Fordeling_liste,0),E_i_valg[[#This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2.2839268503653543</v>
      </c>
      <c r="I55" s="5">
        <f>MIN(Eu_i_i_x-Eu_i_i_y,-1*(Eu_i_i_x-Eu_i_i_y))</f>
        <v>-1.5054022174376644</v>
      </c>
      <c r="J55" s="30">
        <v>0</v>
      </c>
      <c r="K55" s="5">
        <f>MAX(Eu_i_i_x-Eu_i_i_y,-1*(Eu_i_i_x-Eu_i_i_y))</f>
        <v>1.5054022174376644</v>
      </c>
      <c r="L55">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-1.5049999999999999</v>
      </c>
      <c r="M55">
        <f>IF(E_i_valg[[#This Row],[Parameter]]="andel",ROUND(E_i_valg[[#This Row],[Midtpunkt label base]],5)*100&amp;"%",ROUND(E_i_valg[[#This Row],[Midtpunkt label base]],3))</f>
        <v>0</v>
      </c>
      <c r="N55">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1.5049999999999999</v>
      </c>
      <c r="O55" s="30" t="b">
        <f>E_i_valg[[#This Row],[Teststørrelse]]=E_i_valg[[#This Row],[Venstre teststørrelse]]</f>
        <v>1</v>
      </c>
      <c r="P55" s="30" t="b">
        <f>OR(MATCH(E_i_valg[[#This Row],[Hypotese]],HypoteseRetning_liste,0)=2,MATCH(E_i_valg[[#This Row],[Hypotese]],HypoteseRetning_liste,0)=3)</f>
        <v>0</v>
      </c>
      <c r="Q55" s="40">
        <f>CHOOSE(MATCH(E_i_valg[[#This Row],[Hypotese]],HypoteseRetning_liste,0),NA(),IF(E_i_valg[[#This Row],[Orientering]],E_i_valg[[#This Row],[Mindre end venstre %]],E_i_valg[[#This Row],[Mindre end højre %]]),IF(E_i_valg[[#This Row],[Orientering]],E_i_valg[[#This Row],[Større end venstre %]],E_i_valg[[#This Row],[Større end højre %]]),1-E_i_valg[[#This Row],[Midt %]])</f>
        <v>2.237583032682644E-2</v>
      </c>
      <c r="R55" s="30" t="b">
        <f>E_i_valg[[#This Row],[p-værdi]]&gt;1-Eu_i_konfidensniveau</f>
        <v>0</v>
      </c>
      <c r="S55" s="30">
        <f t="shared" si="11"/>
        <v>0.999</v>
      </c>
      <c r="T55" s="30">
        <f>CHOOSE(MATCH(E_i_valg[[#This Row],[Fordeling]],Fordeling_liste,0),_xlfn.NORM.INV(1-E_i_valg[[#This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55" s="30">
        <f>CHOOSE(MATCH(E_i_valg[[#This Row],[Fordeling]],Fordeling_liste,0),_xlfn.NORM.INV(E_i_valg[[#This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55" s="30">
        <f>MIN(E_i_valg[[#This Row],[Teststørrelse]],E_i_valg[[#This Row],[Teststørrelse omvendt]])</f>
        <v>-2.2839268503653543</v>
      </c>
      <c r="W55" s="30">
        <f>CHOOSE(MATCH(E_i_valg[[#This Row],[Fordeling]],Fordeling_liste,0),_xlfn.NORM.INV(0.5,E_i_valg[[#This Row],[Parameter 1]],E_i_valg[[#This Row],[Parameter 2]]),_xlfn.T.INV(0.5,E_i_valg[[#This Row],[Parameter 1]]),_xlfn.CHISQ.INV(0.5,E_i_valg[[#This Row],[Parameter 1]]),_xlfn.F.INV(0.5,E_i_valg[[#This Row],[Parameter 1]],E_i_valg[[#This Row],[Parameter 2]]))</f>
        <v>0</v>
      </c>
      <c r="X55" s="30">
        <f>MAX(E_i_valg[[#This Row],[Teststørrelse]],E_i_valg[[#This Row],[Teststørrelse omvendt]])</f>
        <v>2.2839268503653543</v>
      </c>
      <c r="Y55" s="40">
        <f>CHOOSE(MATCH(E_i_valg[[#This Row],[Fordeling]],Fordeling_liste,0),_xlfn.NORM.DIST(E_i_valg[[#This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1.1187915163413267E-2</v>
      </c>
      <c r="Z55" s="40">
        <f>CHOOSE(MATCH(E_i_valg[[#This Row],[Fordeling]],Fordeling_liste,0),_xlfn.NORM.DIST(E_i_valg[[#This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0.98881208483658678</v>
      </c>
      <c r="AA55" s="40">
        <f>E_i_valg[[#This Row],[Mindre end højre %]]-E_i_valg[[#This Row],[Mindre end venstre %]]</f>
        <v>0.97762416967317356</v>
      </c>
      <c r="AB55" s="40">
        <f>1-E_i_valg[[#This Row],[Mindre end venstre %]]</f>
        <v>0.98881208483658678</v>
      </c>
      <c r="AC55" s="40">
        <f>1-E_i_valg[[#This Row],[Mindre end højre %]]</f>
        <v>1.118791516341322E-2</v>
      </c>
      <c r="AD55" s="30" t="str">
        <f>IF(OR(MATCH(E_i_valg[[#This Row],[Hypotese]],HypoteseRetning_liste,0)=2,MATCH(E_i_valg[[#This Row],[Hypotese]],HypoteseRetning_liste,0)=3),IF(E_i_valg[[#This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1.119% mindre end -1.505</v>
      </c>
      <c r="AE55" s="30" t="str">
        <f>IF(OR(MATCH(E_i_valg[[#This Row],[Hypotese]],HypoteseRetning_liste,0)=1,MATCH(E_i_valg[[#This Row],[Hypotese]],HypoteseRetning_liste,0)=4),ROUND(E_i_valg[[#This Row],[Midt %]],5)*100&amp;"% mellem "&amp;E_i_valg[[#This Row],[Venstre label]]&amp;" og "&amp;E_i_valg[[#This Row],[Højre label]]," ")</f>
        <v>97.762% mellem -1.505 og 1.505</v>
      </c>
      <c r="AF55" s="30" t="str">
        <f>IF(OR(MATCH(E_i_valg[[#This Row],[Hypotese]],HypoteseRetning_liste,0)=2,MATCH(E_i_valg[[#This Row],[Hypotese]],HypoteseRetning_liste,0)=3),IF(E_i_valg[[#This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1.119% større end 1.505</v>
      </c>
      <c r="AG55" s="30">
        <f>IF(AND(NOT(E_i_valg[[#This Row],[Orientering]]),E_i_valg[[#This Row],[Ensidet]]),(E_i_valg[[#This Row],[Højre teststørrelse]]-E_i_valg[[#This Row],[X min]])/(E_i_valg[[#This Row],[X max]]-E_i_valg[[#This Row],[X min]]),(E_i_valg[[#This Row],[Venstre teststørrelse]]-E_i_valg[[#This Row],[X min]])/(E_i_valg[[#This Row],[X max]]-E_i_valg[[#This Row],[X min]]))</f>
        <v>0.13046033047307626</v>
      </c>
      <c r="AH55" s="30">
        <f>(E_i_valg[[#This Row],[Midtpunkt teststørrelse]]-E_i_valg[[#This Row],[X min]])/(E_i_valg[[#This Row],[X max]]-E_i_valg[[#This Row],[X min]])</f>
        <v>0.5</v>
      </c>
      <c r="AI55" s="30">
        <f>IF(AND(E_i_valg[[#This Row],[Orientering]],E_i_valg[[#This Row],[Ensidet]]),(E_i_valg[[#This Row],[Venstre teststørrelse]]-E_i_valg[[#This Row],[X min]])/(E_i_valg[[#This Row],[X max]]-E_i_valg[[#This Row],[X min]]),(E_i_valg[[#This Row],[Højre teststørrelse]]-E_i_valg[[#This Row],[X min]])/(E_i_valg[[#This Row],[X max]]-E_i_valg[[#This Row],[X min]]))</f>
        <v>0.86953966952692374</v>
      </c>
      <c r="AJ55" s="30" t="s">
        <v>125</v>
      </c>
      <c r="AK55" s="30">
        <f>_xlfn.AGGREGATE(3,5,E_i_valg[[#This Row],[Parameter]])</f>
        <v>1</v>
      </c>
      <c r="AL55">
        <v>2</v>
      </c>
      <c r="AM55" s="30">
        <v>48</v>
      </c>
      <c r="AN55" s="30" t="str">
        <f>IF(AND(E_i_valg[[#This Row],[Kontrol af forudsætning 1]],E_i_valg[[#This Row],[Kontrol af forudsætning 2]]),"Hypotesetest om forhold mellem intensiteter
Nulhypotesen om at intensiteten af "&amp;Eu_i_t_x&amp;" er lig med intensiteten af "&amp;Eu_i_t_y&amp;"
"&amp;IF(E_i_valg[[#This Row],[Nulhypotese kan ikke afvises]],"kan ikke ","")&amp;"afvises med "&amp;Eu_i_konfidensniveau*100&amp;"% konfidens","Kan ikke beregne hypotesetest om forskel i intensitet")</f>
        <v>Hypotesetest om forhold mellem intensiteter
Nulhypotesen om at intensiteten af Eksempel 1 (interval) er lig med intensiteten af Eksempel 2 (interval)
afvises med 95% konfidens</v>
      </c>
      <c r="AO55" s="30" t="str">
        <f>"Forskel i intensitet i stikprøver af størrelsen n = "&amp;Eu_i_n_x&amp;" og "&amp;Eu_i_n_y&amp;"
med stikprøveintensitet = "&amp;IFERROR(ROUND(Eu_i_i_x,3)&amp;" og "&amp;ROUND(Eu_i_i_y,3),"Kan ikke beregnes")&amp;"
Fra to populationer med 0 forskel i intensitet"</f>
        <v>Forskel i intensitet i stikprøver af størrelsen n = 12 og 12
med stikprøveintensitet = 1.854 og 3.359
Fra to populationer med 0 forskel i intensitet</v>
      </c>
      <c r="AP55" s="31" t="s">
        <v>158</v>
      </c>
      <c r="AQ55" s="31" t="b">
        <f>NOT(OR(ISNA(Eu_i_i_x),ISNA(Eu_i_i_y)))</f>
        <v>1</v>
      </c>
      <c r="AR55" s="31"/>
      <c r="AS55" s="31"/>
      <c r="AT55" s="31" t="s">
        <v>168</v>
      </c>
      <c r="AU55" s="31" t="b">
        <f>IFERROR(AND(Eu_i_n_x*Eu_i_i_x&gt;9,Eu_i_n_y*Eu_i_i_y&gt;9),FALSE)</f>
        <v>1</v>
      </c>
      <c r="AV55" s="31"/>
      <c r="AW55" s="31"/>
      <c r="AX55" s="31"/>
    </row>
    <row r="57" spans="1:50" x14ac:dyDescent="0.2">
      <c r="A57" s="129" t="s">
        <v>136</v>
      </c>
      <c r="B57" s="129" t="s">
        <v>143</v>
      </c>
      <c r="C57" s="129" t="s">
        <v>219</v>
      </c>
      <c r="D57" s="129" t="s">
        <v>147</v>
      </c>
      <c r="E57" s="129" t="s">
        <v>288</v>
      </c>
      <c r="F57" s="129" t="s">
        <v>289</v>
      </c>
      <c r="G57" s="129" t="s">
        <v>123</v>
      </c>
      <c r="H57" s="129" t="s">
        <v>304</v>
      </c>
      <c r="I57" s="129" t="s">
        <v>326</v>
      </c>
      <c r="J57" s="129" t="s">
        <v>327</v>
      </c>
      <c r="K57" s="129" t="s">
        <v>328</v>
      </c>
      <c r="L57" s="129" t="s">
        <v>305</v>
      </c>
      <c r="M57" s="129" t="s">
        <v>302</v>
      </c>
      <c r="N57" s="129" t="s">
        <v>314</v>
      </c>
      <c r="O57" s="129" t="s">
        <v>329</v>
      </c>
      <c r="P57" s="129" t="s">
        <v>124</v>
      </c>
      <c r="Q57" s="129" t="s">
        <v>333</v>
      </c>
      <c r="R57" s="129" t="s">
        <v>332</v>
      </c>
      <c r="S57" s="129" t="s">
        <v>325</v>
      </c>
      <c r="T57" s="129" t="s">
        <v>36</v>
      </c>
      <c r="U57" s="129" t="s">
        <v>37</v>
      </c>
      <c r="V57" s="129" t="s">
        <v>307</v>
      </c>
      <c r="W57" s="129" t="s">
        <v>316</v>
      </c>
      <c r="X57" s="129" t="s">
        <v>308</v>
      </c>
      <c r="Y57" s="129" t="s">
        <v>309</v>
      </c>
      <c r="Z57" s="129" t="s">
        <v>311</v>
      </c>
      <c r="AA57" s="129" t="s">
        <v>312</v>
      </c>
      <c r="AB57" s="129" t="s">
        <v>310</v>
      </c>
      <c r="AC57" s="129" t="s">
        <v>313</v>
      </c>
      <c r="AD57" s="129" t="s">
        <v>319</v>
      </c>
      <c r="AE57" s="129" t="s">
        <v>320</v>
      </c>
      <c r="AF57" s="129" t="s">
        <v>321</v>
      </c>
      <c r="AG57" s="129" t="s">
        <v>306</v>
      </c>
      <c r="AH57" s="129" t="s">
        <v>303</v>
      </c>
      <c r="AI57" s="129" t="s">
        <v>315</v>
      </c>
      <c r="AJ57" s="129" t="s">
        <v>301</v>
      </c>
      <c r="AK57" s="129" t="s">
        <v>144</v>
      </c>
      <c r="AL57" s="129" t="s">
        <v>280</v>
      </c>
      <c r="AM57" s="129" t="s">
        <v>16</v>
      </c>
      <c r="AN57" s="129" t="s">
        <v>151</v>
      </c>
      <c r="AO57" s="129" t="s">
        <v>149</v>
      </c>
      <c r="AP57" s="129" t="s">
        <v>152</v>
      </c>
      <c r="AQ57" s="129" t="s">
        <v>169</v>
      </c>
      <c r="AR57" s="129" t="s">
        <v>153</v>
      </c>
      <c r="AS57" s="129" t="s">
        <v>170</v>
      </c>
      <c r="AT57" s="129" t="s">
        <v>157</v>
      </c>
      <c r="AU57" s="129" t="s">
        <v>173</v>
      </c>
      <c r="AV57" s="129" t="s">
        <v>162</v>
      </c>
      <c r="AW57" s="129" t="s">
        <v>184</v>
      </c>
      <c r="AX57" s="129" t="s">
        <v>409</v>
      </c>
    </row>
    <row r="58" spans="1:50" x14ac:dyDescent="0.2">
      <c r="A58" s="30" t="s">
        <v>279</v>
      </c>
      <c r="B58" s="30" t="s">
        <v>130</v>
      </c>
      <c r="C58" s="30" t="s">
        <v>128</v>
      </c>
      <c r="D58" s="30" t="s">
        <v>128</v>
      </c>
      <c r="E58" s="30">
        <f>Eu_k_n-Eu_k_antal_koefficienter</f>
        <v>7</v>
      </c>
      <c r="F58" s="30"/>
      <c r="G58" s="30">
        <f>(Eu_k_k-Eu_k_h0)/Eu_k_s</f>
        <v>1.7059050335879198</v>
      </c>
      <c r="H58" s="30">
        <f>IFERROR(CHOOSE(MATCH(E_k_valg[[#This Row],[Fordeling]],Fordeling_liste,0),E_k_valg[[#This Row],[Teststørrelse]]*-1,E_k_valg[[#This Row],[Teststørrelse]]*-1,IFERROR(_xlfn.CHISQ.INV(1-_xlfn.CHISQ.DIST(E_k_valg[[#This Row],[Teststørrelse]],E_k_valg[[#This Row],[Parameter 1]],TRUE),E_k_valg[[#This Row],[Parameter 1]]),IF(E_k_valg[[#This Row],[Teststørrelse]]&gt;E_k_valg[[#This Row],[Parameter 1]],_xlfn.CHISQ.INV(10^-16,E_k_valg[[#This Row],[Parameter 1]]),_xlfn.CHISQ.INV(1-10^-16,E_k_valg[[#This Row],[Parameter 1]]))),IFERROR(_xlfn.F.INV(1-_xlfn.F.DIST(E_k_valg[[#This Row],[Teststørrelse]],E_k_valg[[#This Row],[Parameter 1]],E_k_valg[[#This Row],[Parameter 2]],TRUE),E_k_valg[[#This Row],[Parameter 1]],E_k_valg[[#This Row],[Parameter 2]]),IF(_xlfn.F.DIST(E_k_valg[[#This Row],[Teststørrelse]],E_k_valg[[#This Row],[Parameter 1]],E_k_valg[[#This Row],[Parameter 2]],TRUE)&lt;0.5,_xlfn.F.INV(1-10^-16,E_k_valg[[#This Row],[Parameter 1]],E_k_valg[[#This Row],[Parameter 2]]),_xlfn.F.INV(10^-16,E_k_valg[[#This Row],[Parameter 1]],E_k_valg[[#This Row],[Parameter 2]])))),NA())</f>
        <v>-1.7059050335879198</v>
      </c>
      <c r="I58">
        <f>E_k_valg[[#This Row],[Venstre teststørrelse]]*Eu_k_s+Eu_k_h0</f>
        <v>-0.34073089457687977</v>
      </c>
      <c r="J58">
        <f>E_k_valg[[#This Row],[Midtpunkt teststørrelse]]*Eu_k_s+Eu_k_h0</f>
        <v>0</v>
      </c>
      <c r="K58">
        <f>E_k_valg[[#This Row],[Højre teststørrelse]]*Eu_k_s+Eu_k_h0</f>
        <v>0.34073089457687977</v>
      </c>
      <c r="L58">
        <f>IF(AND(NOT(E_k_valg[[#This Row],[Orientering]]),E_k_valg[[#This Row],[Ensidet]]),IF(E_k_valg[[#This Row],[Parameter]]="andel",ROUND(E_k_valg[[#This Row],[Højre label base]],5)*100&amp;"%",ROUND(E_k_valg[[#This Row],[Højre label base]],3)),IF(E_k_valg[[#This Row],[Parameter]]="andel",ROUND(E_k_valg[[#This Row],[Venstre label base]],5)*100&amp;"%",ROUND(E_k_valg[[#This Row],[Venstre label base]],3)))</f>
        <v>0.34100000000000003</v>
      </c>
      <c r="M58">
        <f>IF(E_k_valg[[#This Row],[Parameter]]="andel",ROUND(E_k_valg[[#This Row],[Midtpunkt label base]],5)*100&amp;"%",ROUND(E_k_valg[[#This Row],[Midtpunkt label base]],3))</f>
        <v>0</v>
      </c>
      <c r="N58">
        <f>IF(AND(E_k_valg[[#This Row],[Orientering]],E_k_valg[[#This Row],[Ensidet]]),IF(E_k_valg[[#This Row],[Parameter]]="andel",ROUND(E_k_valg[[#This Row],[Venstre label base]],5)*100&amp;"%",ROUND(E_k_valg[[#This Row],[Venstre label base]],3)),IF(E_k_valg[[#This Row],[Parameter]]="andel",ROUND(E_k_valg[[#This Row],[Højre label base]],5)*100&amp;"%",ROUND(E_k_valg[[#This Row],[Højre label base]],3)))</f>
        <v>0.34100000000000003</v>
      </c>
      <c r="O58" s="30" t="b">
        <f>E_k_valg[[#This Row],[Teststørrelse]]=E_k_valg[[#This Row],[Venstre teststørrelse]]</f>
        <v>0</v>
      </c>
      <c r="P58" s="30" t="b">
        <f>OR(MATCH(E_k_valg[[#This Row],[Hypotese]],HypoteseRetning_liste,0)=2,MATCH(E_k_valg[[#This Row],[Hypotese]],HypoteseRetning_liste,0)=3)</f>
        <v>1</v>
      </c>
      <c r="Q58" s="40">
        <f>CHOOSE(MATCH(E_k_valg[[#This Row],[Hypotese]],HypoteseRetning_liste,0),NA(),IF(E_k_valg[[#This Row],[Orientering]],E_k_valg[[#This Row],[Mindre end venstre %]],E_k_valg[[#This Row],[Mindre end højre %]]),IF(E_k_valg[[#This Row],[Orientering]],E_k_valg[[#This Row],[Større end venstre %]],E_k_valg[[#This Row],[Større end højre %]]),1-E_k_valg[[#This Row],[Midt %]])</f>
        <v>0.93410377293293312</v>
      </c>
      <c r="R58" s="30" t="b">
        <f>E_k_valg[[#This Row],[p-værdi]]&gt;1-Eu_k_konfidensniveau</f>
        <v>1</v>
      </c>
      <c r="S58" s="30">
        <f>IF(Eu_k_konfidensniveau&lt;=0.998,0.999,0.99999)</f>
        <v>0.999</v>
      </c>
      <c r="T58" s="30">
        <f>CHOOSE(MATCH(E_k_valg[[#This Row],[Fordeling]],Fordeling_liste,0),_xlfn.NORM.INV(1-E_k_valg[[#This Row],[Konfidensniveaubaseret x akse]],E_k_valg[[#This Row],[Parameter 1]],E_k_valg[[#This Row],[Parameter 2]]),_xlfn.T.INV(1-E_k_valg[[#This Row],[Konfidensniveaubaseret x akse]],E_k_valg[[#This Row],[Parameter 1]]),_xlfn.CHISQ.INV(1-E_k_valg[[#This Row],[Konfidensniveaubaseret x akse]],E_k_valg[[#This Row],[Parameter 1]]),_xlfn.F.INV(1-E_k_valg[[#This Row],[Konfidensniveaubaseret x akse]],E_k_valg[[#This Row],[Parameter 1]],E_k_valg[[#This Row],[Parameter 2]]))</f>
        <v>-4.7852896286383331</v>
      </c>
      <c r="U58" s="30">
        <f>CHOOSE(MATCH(E_k_valg[[#This Row],[Fordeling]],Fordeling_liste,0),_xlfn.NORM.INV(E_k_valg[[#This Row],[Konfidensniveaubaseret x akse]],E_k_valg[[#This Row],[Parameter 1]],E_k_valg[[#This Row],[Parameter 2]]),_xlfn.T.INV(E_k_valg[[#This Row],[Konfidensniveaubaseret x akse]],E_k_valg[[#This Row],[Parameter 1]]),_xlfn.CHISQ.INV(E_k_valg[[#This Row],[Konfidensniveaubaseret x akse]],E_k_valg[[#This Row],[Parameter 1]]),_xlfn.F.INV(E_k_valg[[#This Row],[Konfidensniveaubaseret x akse]],E_k_valg[[#This Row],[Parameter 1]],E_k_valg[[#This Row],[Parameter 2]]))</f>
        <v>4.7852896286383331</v>
      </c>
      <c r="V58" s="30">
        <f>MIN(E_k_valg[[#This Row],[Teststørrelse]],E_k_valg[[#This Row],[Teststørrelse omvendt]])</f>
        <v>-1.7059050335879198</v>
      </c>
      <c r="W58" s="30">
        <f>CHOOSE(MATCH(E_k_valg[[#This Row],[Fordeling]],Fordeling_liste,0),_xlfn.NORM.INV(0.5,E_k_valg[[#This Row],[Parameter 1]],E_k_valg[[#This Row],[Parameter 2]]),_xlfn.T.INV(0.5,E_k_valg[[#This Row],[Parameter 1]]),_xlfn.CHISQ.INV(0.5,E_k_valg[[#This Row],[Parameter 1]]),_xlfn.F.INV(0.5,E_k_valg[[#This Row],[Parameter 1]],E_k_valg[[#This Row],[Parameter 2]]))</f>
        <v>0</v>
      </c>
      <c r="X58" s="30">
        <f>MAX(E_k_valg[[#This Row],[Teststørrelse]],E_k_valg[[#This Row],[Teststørrelse omvendt]])</f>
        <v>1.7059050335879198</v>
      </c>
      <c r="Y58" s="40">
        <f>CHOOSE(MATCH(E_k_valg[[#This Row],[Fordeling]],Fordeling_liste,0),_xlfn.NORM.DIST(E_k_valg[[#This Row],[Venstre teststørrelse]],E_k_valg[[#This Row],[Parameter 1]],E_k_valg[[#This Row],[Parameter 2]],TRUE),_xlfn.T.DIST(E_k_valg[[#This Row],[Venstre teststørrelse]],E_k_valg[[#This Row],[Parameter 1]],TRUE),_xlfn.CHISQ.DIST(E_k_valg[[#This Row],[Venstre teststørrelse]],E_k_valg[[#This Row],[Parameter 1]],TRUE),_xlfn.F.DIST(E_k_valg[[#This Row],[Venstre teststørrelse]],E_k_valg[[#This Row],[Parameter 1]],E_k_valg[[#This Row],[Parameter 2]],TRUE))</f>
        <v>6.5896227067066868E-2</v>
      </c>
      <c r="Z58" s="40">
        <f>CHOOSE(MATCH(E_k_valg[[#This Row],[Fordeling]],Fordeling_liste,0),_xlfn.NORM.DIST(E_k_valg[[#This Row],[Højre teststørrelse]],E_k_valg[[#This Row],[Parameter 1]],E_k_valg[[#This Row],[Parameter 2]],TRUE),_xlfn.T.DIST(E_k_valg[[#This Row],[Højre teststørrelse]],E_k_valg[[#This Row],[Parameter 1]],TRUE),_xlfn.CHISQ.DIST(E_k_valg[[#This Row],[Højre teststørrelse]],E_k_valg[[#This Row],[Parameter 1]],TRUE),_xlfn.F.DIST(E_k_valg[[#This Row],[Højre teststørrelse]],E_k_valg[[#This Row],[Parameter 1]],E_k_valg[[#This Row],[Parameter 2]],TRUE))</f>
        <v>0.93410377293293312</v>
      </c>
      <c r="AA58" s="40">
        <f>E_k_valg[[#This Row],[Mindre end højre %]]-E_k_valg[[#This Row],[Mindre end venstre %]]</f>
        <v>0.86820754586586624</v>
      </c>
      <c r="AB58" s="40">
        <f>1-E_k_valg[[#This Row],[Mindre end venstre %]]</f>
        <v>0.93410377293293312</v>
      </c>
      <c r="AC58" s="40">
        <f>1-E_k_valg[[#This Row],[Mindre end højre %]]</f>
        <v>6.5896227067066881E-2</v>
      </c>
      <c r="AD58" s="30" t="str">
        <f>IF(OR(MATCH(E_k_valg[[#This Row],[Hypotese]],HypoteseRetning_liste,0)=2,MATCH(E_k_valg[[#This Row],[Hypotese]],HypoteseRetning_liste,0)=3),IF(E_k_valg[[#This Row],[Teststørrelse]]=E_k_valg[[#This Row],[Venstre teststørrelse]],ROUND(E_k_valg[[#This Row],[Mindre end venstre %]],5)*100&amp;"% mindre end "&amp;E_k_valg[[#This Row],[Venstre label]],ROUND(E_k_valg[[#This Row],[Mindre end højre %]],5)*100&amp;"% mindre end "&amp;E_k_valg[[#This Row],[Højre label]]),ROUND(E_k_valg[[#This Row],[Mindre end venstre %]],5)*100&amp;"% mindre end "&amp;E_k_valg[[#This Row],[Venstre label]])</f>
        <v>93.41% mindre end 0.341</v>
      </c>
      <c r="AE58" s="30" t="str">
        <f>IF(OR(MATCH(E_k_valg[[#This Row],[Hypotese]],HypoteseRetning_liste,0)=1,MATCH(E_k_valg[[#This Row],[Hypotese]],HypoteseRetning_liste,0)=4),ROUND(E_k_valg[[#This Row],[Midt %]],5)*100&amp;"% mellem "&amp;E_k_valg[[#This Row],[Venstre label]]&amp;" og "&amp;E_k_valg[[#This Row],[Højre label]]," ")</f>
        <v xml:space="preserve"> </v>
      </c>
      <c r="AF58" s="30" t="str">
        <f>IF(OR(MATCH(E_k_valg[[#This Row],[Hypotese]],HypoteseRetning_liste,0)=2,MATCH(E_k_valg[[#This Row],[Hypotese]],HypoteseRetning_liste,0)=3),IF(E_k_valg[[#This Row],[Teststørrelse]]=E_k_valg[[#This Row],[Venstre teststørrelse]],ROUND(E_k_valg[[#This Row],[Større end venstre %]],5)*100&amp;"% større end "&amp;E_k_valg[[#This Row],[Venstre label]],ROUND(E_k_valg[[#This Row],[Større end højre %]],5)*100&amp;"% større end "&amp;E_k_valg[[#This Row],[Højre label]]),ROUND(E_k_valg[[#This Row],[Større end højre %]],5)*100&amp;"% større end "&amp;E_k_valg[[#This Row],[Højre label]])</f>
        <v>6.59% større end 0.341</v>
      </c>
      <c r="AG58" s="30">
        <f>IF(AND(NOT(E_k_valg[[#This Row],[Orientering]]),E_k_valg[[#This Row],[Ensidet]]),(E_k_valg[[#This Row],[Højre teststørrelse]]-E_k_valg[[#This Row],[X min]])/(E_k_valg[[#This Row],[X max]]-E_k_valg[[#This Row],[X min]]),(E_k_valg[[#This Row],[Venstre teststørrelse]]-E_k_valg[[#This Row],[X min]])/(E_k_valg[[#This Row],[X max]]-E_k_valg[[#This Row],[X min]]))</f>
        <v>0.67824470052749342</v>
      </c>
      <c r="AH58" s="30">
        <f>(E_k_valg[[#This Row],[Midtpunkt teststørrelse]]-E_k_valg[[#This Row],[X min]])/(E_k_valg[[#This Row],[X max]]-E_k_valg[[#This Row],[X min]])</f>
        <v>0.5</v>
      </c>
      <c r="AI58" s="30">
        <f>IF(AND(E_k_valg[[#This Row],[Orientering]],E_k_valg[[#This Row],[Ensidet]]),(E_k_valg[[#This Row],[Venstre teststørrelse]]-E_k_valg[[#This Row],[X min]])/(E_k_valg[[#This Row],[X max]]-E_k_valg[[#This Row],[X min]]),(E_k_valg[[#This Row],[Højre teststørrelse]]-E_k_valg[[#This Row],[X min]])/(E_k_valg[[#This Row],[X max]]-E_k_valg[[#This Row],[X min]]))</f>
        <v>0.67824470052749342</v>
      </c>
      <c r="AJ58" s="30" t="s">
        <v>299</v>
      </c>
      <c r="AK58" s="31">
        <f>_xlfn.AGGREGATE(3,5,E_k_valg[[#This Row],[Parameter]])</f>
        <v>1</v>
      </c>
      <c r="AL58">
        <v>1</v>
      </c>
      <c r="AM58" s="30">
        <v>50</v>
      </c>
      <c r="AN58" s="30" t="str">
        <f>IF(E_k_valg[[#This Row],[Kontrol af forudsætning 1]],"Hypotesetest om koefficient i regressionsmodel
Nulhypotesen om at koefficienten for "&amp;Eu_k_t&amp;" er større end "&amp;ROUND(Eu_k_h0,3)&amp;"
"&amp;IF(E_k_valg[[#This Row],[Nulhypotese kan ikke afvises]],"kan ikke ","")&amp;"afvises med "&amp;Eu_k_konfidensniveau*100&amp;"% konfidens","Kan ikke beregne signifikans af variabel")</f>
        <v>Hypotesetest om koefficient i regressionsmodel
Nulhypotesen om at koefficienten for Eksempel 1 (interval) er større end 0
kan ikke afvises med 95% konfidens</v>
      </c>
      <c r="AO58" s="30" t="str">
        <f>"Koefficient i stikprøver af størrelsen n = "&amp;Eu_k_n&amp;"
fra en population med koefficient = "&amp;IFERROR(ROUND(Eu_k_h0,3),"Hypotese ikke angivet")</f>
        <v>Koefficient i stikprøver af størrelsen n = 12
fra en population med koefficient = 0</v>
      </c>
      <c r="AP58" s="31" t="s">
        <v>15</v>
      </c>
      <c r="AQ58" s="31" t="b">
        <f>NOT(ISNA(K_average))</f>
        <v>1</v>
      </c>
      <c r="AR58" s="31" t="s">
        <v>471</v>
      </c>
      <c r="AS58" s="31" t="s">
        <v>185</v>
      </c>
      <c r="AT58" s="31"/>
      <c r="AU58" s="31"/>
      <c r="AV58" s="31"/>
      <c r="AW58" s="31"/>
      <c r="AX58" s="31"/>
    </row>
    <row r="59" spans="1:50" x14ac:dyDescent="0.2">
      <c r="A59" s="30" t="s">
        <v>279</v>
      </c>
      <c r="B59" s="30" t="s">
        <v>131</v>
      </c>
      <c r="C59" s="30" t="s">
        <v>128</v>
      </c>
      <c r="D59" s="30" t="s">
        <v>128</v>
      </c>
      <c r="E59" s="30">
        <f>Eu_k_n-Eu_k_antal_koefficienter</f>
        <v>7</v>
      </c>
      <c r="F59" s="30"/>
      <c r="G59" s="30">
        <f>(Eu_k_k-Eu_k_h0)/Eu_k_s</f>
        <v>1.7059050335879198</v>
      </c>
      <c r="H59" s="30">
        <f>IFERROR(CHOOSE(MATCH(E_k_valg[[#This Row],[Fordeling]],Fordeling_liste,0),E_k_valg[[#This Row],[Teststørrelse]]*-1,E_k_valg[[#This Row],[Teststørrelse]]*-1,IFERROR(_xlfn.CHISQ.INV(1-_xlfn.CHISQ.DIST(E_k_valg[[#This Row],[Teststørrelse]],E_k_valg[[#This Row],[Parameter 1]],TRUE),E_k_valg[[#This Row],[Parameter 1]]),IF(E_k_valg[[#This Row],[Teststørrelse]]&gt;E_k_valg[[#This Row],[Parameter 1]],_xlfn.CHISQ.INV(10^-16,E_k_valg[[#This Row],[Parameter 1]]),_xlfn.CHISQ.INV(1-10^-16,E_k_valg[[#This Row],[Parameter 1]]))),IFERROR(_xlfn.F.INV(1-_xlfn.F.DIST(E_k_valg[[#This Row],[Teststørrelse]],E_k_valg[[#This Row],[Parameter 1]],E_k_valg[[#This Row],[Parameter 2]],TRUE),E_k_valg[[#This Row],[Parameter 1]],E_k_valg[[#This Row],[Parameter 2]]),IF(_xlfn.F.DIST(E_k_valg[[#This Row],[Teststørrelse]],E_k_valg[[#This Row],[Parameter 1]],E_k_valg[[#This Row],[Parameter 2]],TRUE)&lt;0.5,_xlfn.F.INV(1-10^-16,E_k_valg[[#This Row],[Parameter 1]],E_k_valg[[#This Row],[Parameter 2]]),_xlfn.F.INV(10^-16,E_k_valg[[#This Row],[Parameter 1]],E_k_valg[[#This Row],[Parameter 2]])))),NA())</f>
        <v>-1.7059050335879198</v>
      </c>
      <c r="I59">
        <f>E_k_valg[[#This Row],[Venstre teststørrelse]]*Eu_k_s+Eu_k_h0</f>
        <v>-0.34073089457687977</v>
      </c>
      <c r="J59">
        <f>E_k_valg[[#This Row],[Midtpunkt teststørrelse]]*Eu_k_s+Eu_k_h0</f>
        <v>0</v>
      </c>
      <c r="K59">
        <f>E_k_valg[[#This Row],[Højre teststørrelse]]*Eu_k_s+Eu_k_h0</f>
        <v>0.34073089457687977</v>
      </c>
      <c r="L59">
        <f>IF(AND(NOT(E_k_valg[[#This Row],[Orientering]]),E_k_valg[[#This Row],[Ensidet]]),IF(E_k_valg[[#This Row],[Parameter]]="andel",ROUND(E_k_valg[[#This Row],[Højre label base]],5)*100&amp;"%",ROUND(E_k_valg[[#This Row],[Højre label base]],3)),IF(E_k_valg[[#This Row],[Parameter]]="andel",ROUND(E_k_valg[[#This Row],[Venstre label base]],5)*100&amp;"%",ROUND(E_k_valg[[#This Row],[Venstre label base]],3)))</f>
        <v>0.34100000000000003</v>
      </c>
      <c r="M59">
        <f>IF(E_k_valg[[#This Row],[Parameter]]="andel",ROUND(E_k_valg[[#This Row],[Midtpunkt label base]],5)*100&amp;"%",ROUND(E_k_valg[[#This Row],[Midtpunkt label base]],3))</f>
        <v>0</v>
      </c>
      <c r="N59">
        <f>IF(AND(E_k_valg[[#This Row],[Orientering]],E_k_valg[[#This Row],[Ensidet]]),IF(E_k_valg[[#This Row],[Parameter]]="andel",ROUND(E_k_valg[[#This Row],[Venstre label base]],5)*100&amp;"%",ROUND(E_k_valg[[#This Row],[Venstre label base]],3)),IF(E_k_valg[[#This Row],[Parameter]]="andel",ROUND(E_k_valg[[#This Row],[Højre label base]],5)*100&amp;"%",ROUND(E_k_valg[[#This Row],[Højre label base]],3)))</f>
        <v>0.34100000000000003</v>
      </c>
      <c r="O59" s="30" t="b">
        <f>E_k_valg[[#This Row],[Teststørrelse]]=E_k_valg[[#This Row],[Venstre teststørrelse]]</f>
        <v>0</v>
      </c>
      <c r="P59" s="30" t="b">
        <f>OR(MATCH(E_k_valg[[#This Row],[Hypotese]],HypoteseRetning_liste,0)=2,MATCH(E_k_valg[[#This Row],[Hypotese]],HypoteseRetning_liste,0)=3)</f>
        <v>1</v>
      </c>
      <c r="Q59" s="40">
        <f>CHOOSE(MATCH(E_k_valg[[#This Row],[Hypotese]],HypoteseRetning_liste,0),NA(),IF(E_k_valg[[#This Row],[Orientering]],E_k_valg[[#This Row],[Mindre end venstre %]],E_k_valg[[#This Row],[Mindre end højre %]]),IF(E_k_valg[[#This Row],[Orientering]],E_k_valg[[#This Row],[Større end venstre %]],E_k_valg[[#This Row],[Større end højre %]]),1-E_k_valg[[#This Row],[Midt %]])</f>
        <v>6.5896227067066881E-2</v>
      </c>
      <c r="R59" s="30" t="b">
        <f>E_k_valg[[#This Row],[p-værdi]]&gt;1-Eu_k_konfidensniveau</f>
        <v>1</v>
      </c>
      <c r="S59" s="30">
        <f>IF(Eu_k_konfidensniveau&lt;=0.998,0.999,0.99999)</f>
        <v>0.999</v>
      </c>
      <c r="T59" s="30">
        <f>CHOOSE(MATCH(E_k_valg[[#This Row],[Fordeling]],Fordeling_liste,0),_xlfn.NORM.INV(1-E_k_valg[[#This Row],[Konfidensniveaubaseret x akse]],E_k_valg[[#This Row],[Parameter 1]],E_k_valg[[#This Row],[Parameter 2]]),_xlfn.T.INV(1-E_k_valg[[#This Row],[Konfidensniveaubaseret x akse]],E_k_valg[[#This Row],[Parameter 1]]),_xlfn.CHISQ.INV(1-E_k_valg[[#This Row],[Konfidensniveaubaseret x akse]],E_k_valg[[#This Row],[Parameter 1]]),_xlfn.F.INV(1-E_k_valg[[#This Row],[Konfidensniveaubaseret x akse]],E_k_valg[[#This Row],[Parameter 1]],E_k_valg[[#This Row],[Parameter 2]]))</f>
        <v>-4.7852896286383331</v>
      </c>
      <c r="U59" s="30">
        <f>CHOOSE(MATCH(E_k_valg[[#This Row],[Fordeling]],Fordeling_liste,0),_xlfn.NORM.INV(E_k_valg[[#This Row],[Konfidensniveaubaseret x akse]],E_k_valg[[#This Row],[Parameter 1]],E_k_valg[[#This Row],[Parameter 2]]),_xlfn.T.INV(E_k_valg[[#This Row],[Konfidensniveaubaseret x akse]],E_k_valg[[#This Row],[Parameter 1]]),_xlfn.CHISQ.INV(E_k_valg[[#This Row],[Konfidensniveaubaseret x akse]],E_k_valg[[#This Row],[Parameter 1]]),_xlfn.F.INV(E_k_valg[[#This Row],[Konfidensniveaubaseret x akse]],E_k_valg[[#This Row],[Parameter 1]],E_k_valg[[#This Row],[Parameter 2]]))</f>
        <v>4.7852896286383331</v>
      </c>
      <c r="V59" s="30">
        <f>MIN(E_k_valg[[#This Row],[Teststørrelse]],E_k_valg[[#This Row],[Teststørrelse omvendt]])</f>
        <v>-1.7059050335879198</v>
      </c>
      <c r="W59" s="30">
        <f>CHOOSE(MATCH(E_k_valg[[#This Row],[Fordeling]],Fordeling_liste,0),_xlfn.NORM.INV(0.5,E_k_valg[[#This Row],[Parameter 1]],E_k_valg[[#This Row],[Parameter 2]]),_xlfn.T.INV(0.5,E_k_valg[[#This Row],[Parameter 1]]),_xlfn.CHISQ.INV(0.5,E_k_valg[[#This Row],[Parameter 1]]),_xlfn.F.INV(0.5,E_k_valg[[#This Row],[Parameter 1]],E_k_valg[[#This Row],[Parameter 2]]))</f>
        <v>0</v>
      </c>
      <c r="X59" s="30">
        <f>MAX(E_k_valg[[#This Row],[Teststørrelse]],E_k_valg[[#This Row],[Teststørrelse omvendt]])</f>
        <v>1.7059050335879198</v>
      </c>
      <c r="Y59" s="40">
        <f>CHOOSE(MATCH(E_k_valg[[#This Row],[Fordeling]],Fordeling_liste,0),_xlfn.NORM.DIST(E_k_valg[[#This Row],[Venstre teststørrelse]],E_k_valg[[#This Row],[Parameter 1]],E_k_valg[[#This Row],[Parameter 2]],TRUE),_xlfn.T.DIST(E_k_valg[[#This Row],[Venstre teststørrelse]],E_k_valg[[#This Row],[Parameter 1]],TRUE),_xlfn.CHISQ.DIST(E_k_valg[[#This Row],[Venstre teststørrelse]],E_k_valg[[#This Row],[Parameter 1]],TRUE),_xlfn.F.DIST(E_k_valg[[#This Row],[Venstre teststørrelse]],E_k_valg[[#This Row],[Parameter 1]],E_k_valg[[#This Row],[Parameter 2]],TRUE))</f>
        <v>6.5896227067066868E-2</v>
      </c>
      <c r="Z59" s="40">
        <f>CHOOSE(MATCH(E_k_valg[[#This Row],[Fordeling]],Fordeling_liste,0),_xlfn.NORM.DIST(E_k_valg[[#This Row],[Højre teststørrelse]],E_k_valg[[#This Row],[Parameter 1]],E_k_valg[[#This Row],[Parameter 2]],TRUE),_xlfn.T.DIST(E_k_valg[[#This Row],[Højre teststørrelse]],E_k_valg[[#This Row],[Parameter 1]],TRUE),_xlfn.CHISQ.DIST(E_k_valg[[#This Row],[Højre teststørrelse]],E_k_valg[[#This Row],[Parameter 1]],TRUE),_xlfn.F.DIST(E_k_valg[[#This Row],[Højre teststørrelse]],E_k_valg[[#This Row],[Parameter 1]],E_k_valg[[#This Row],[Parameter 2]],TRUE))</f>
        <v>0.93410377293293312</v>
      </c>
      <c r="AA59" s="40">
        <f>E_k_valg[[#This Row],[Mindre end højre %]]-E_k_valg[[#This Row],[Mindre end venstre %]]</f>
        <v>0.86820754586586624</v>
      </c>
      <c r="AB59" s="40">
        <f>1-E_k_valg[[#This Row],[Mindre end venstre %]]</f>
        <v>0.93410377293293312</v>
      </c>
      <c r="AC59" s="40">
        <f>1-E_k_valg[[#This Row],[Mindre end højre %]]</f>
        <v>6.5896227067066881E-2</v>
      </c>
      <c r="AD59" s="30" t="str">
        <f>IF(OR(MATCH(E_k_valg[[#This Row],[Hypotese]],HypoteseRetning_liste,0)=2,MATCH(E_k_valg[[#This Row],[Hypotese]],HypoteseRetning_liste,0)=3),IF(E_k_valg[[#This Row],[Teststørrelse]]=E_k_valg[[#This Row],[Venstre teststørrelse]],ROUND(E_k_valg[[#This Row],[Mindre end venstre %]],5)*100&amp;"% mindre end "&amp;E_k_valg[[#This Row],[Venstre label]],ROUND(E_k_valg[[#This Row],[Mindre end højre %]],5)*100&amp;"% mindre end "&amp;E_k_valg[[#This Row],[Højre label]]),ROUND(E_k_valg[[#This Row],[Mindre end venstre %]],5)*100&amp;"% mindre end "&amp;E_k_valg[[#This Row],[Venstre label]])</f>
        <v>93.41% mindre end 0.341</v>
      </c>
      <c r="AE59" s="30" t="str">
        <f>IF(OR(MATCH(E_k_valg[[#This Row],[Hypotese]],HypoteseRetning_liste,0)=1,MATCH(E_k_valg[[#This Row],[Hypotese]],HypoteseRetning_liste,0)=4),ROUND(E_k_valg[[#This Row],[Midt %]],5)*100&amp;"% mellem "&amp;E_k_valg[[#This Row],[Venstre label]]&amp;" og "&amp;E_k_valg[[#This Row],[Højre label]]," ")</f>
        <v xml:space="preserve"> </v>
      </c>
      <c r="AF59" s="30" t="str">
        <f>IF(OR(MATCH(E_k_valg[[#This Row],[Hypotese]],HypoteseRetning_liste,0)=2,MATCH(E_k_valg[[#This Row],[Hypotese]],HypoteseRetning_liste,0)=3),IF(E_k_valg[[#This Row],[Teststørrelse]]=E_k_valg[[#This Row],[Venstre teststørrelse]],ROUND(E_k_valg[[#This Row],[Større end venstre %]],5)*100&amp;"% større end "&amp;E_k_valg[[#This Row],[Venstre label]],ROUND(E_k_valg[[#This Row],[Større end højre %]],5)*100&amp;"% større end "&amp;E_k_valg[[#This Row],[Højre label]]),ROUND(E_k_valg[[#This Row],[Større end højre %]],5)*100&amp;"% større end "&amp;E_k_valg[[#This Row],[Højre label]])</f>
        <v>6.59% større end 0.341</v>
      </c>
      <c r="AG59" s="30">
        <f>IF(AND(NOT(E_k_valg[[#This Row],[Orientering]]),E_k_valg[[#This Row],[Ensidet]]),(E_k_valg[[#This Row],[Højre teststørrelse]]-E_k_valg[[#This Row],[X min]])/(E_k_valg[[#This Row],[X max]]-E_k_valg[[#This Row],[X min]]),(E_k_valg[[#This Row],[Venstre teststørrelse]]-E_k_valg[[#This Row],[X min]])/(E_k_valg[[#This Row],[X max]]-E_k_valg[[#This Row],[X min]]))</f>
        <v>0.67824470052749342</v>
      </c>
      <c r="AH59" s="30">
        <f>(E_k_valg[[#This Row],[Midtpunkt teststørrelse]]-E_k_valg[[#This Row],[X min]])/(E_k_valg[[#This Row],[X max]]-E_k_valg[[#This Row],[X min]])</f>
        <v>0.5</v>
      </c>
      <c r="AI59" s="30">
        <f>IF(AND(E_k_valg[[#This Row],[Orientering]],E_k_valg[[#This Row],[Ensidet]]),(E_k_valg[[#This Row],[Venstre teststørrelse]]-E_k_valg[[#This Row],[X min]])/(E_k_valg[[#This Row],[X max]]-E_k_valg[[#This Row],[X min]]),(E_k_valg[[#This Row],[Højre teststørrelse]]-E_k_valg[[#This Row],[X min]])/(E_k_valg[[#This Row],[X max]]-E_k_valg[[#This Row],[X min]]))</f>
        <v>0.67824470052749342</v>
      </c>
      <c r="AJ59" s="30" t="s">
        <v>300</v>
      </c>
      <c r="AK59" s="31">
        <f>_xlfn.AGGREGATE(3,5,E_k_valg[[#This Row],[Parameter]])</f>
        <v>1</v>
      </c>
      <c r="AL59">
        <v>1</v>
      </c>
      <c r="AM59" s="30">
        <v>51</v>
      </c>
      <c r="AN59" s="30" t="str">
        <f>IF(E_k_valg[[#This Row],[Kontrol af forudsætning 1]],"Hypotesetest om koefficient i regressionsmodel
Nulhypotesen om at koefficienten for "&amp;Eu_k_t&amp;" er mindre end "&amp;ROUND(Eu_k_h0,3)&amp;"
"&amp;IF(E_k_valg[[#This Row],[Nulhypotese kan ikke afvises]],"kan ikke ","")&amp;"afvises med "&amp;Eu_k_konfidensniveau*100&amp;"% konfidens","Kan ikke beregne signifikans af variabel")</f>
        <v>Hypotesetest om koefficient i regressionsmodel
Nulhypotesen om at koefficienten for Eksempel 1 (interval) er mindre end 0
kan ikke afvises med 95% konfidens</v>
      </c>
      <c r="AO59" s="30" t="str">
        <f>"Koefficient i stikprøver af størrelsen n = "&amp;Eu_k_n&amp;"
fra en population med koefficient = "&amp;IFERROR(ROUND(Eu_k_h0,3),"Hypotese ikke angivet")</f>
        <v>Koefficient i stikprøver af størrelsen n = 12
fra en population med koefficient = 0</v>
      </c>
      <c r="AP59" s="31" t="s">
        <v>15</v>
      </c>
      <c r="AQ59" s="31" t="b">
        <f>NOT(ISNA(K_average))</f>
        <v>1</v>
      </c>
      <c r="AR59" s="31" t="s">
        <v>471</v>
      </c>
      <c r="AS59" s="31" t="s">
        <v>185</v>
      </c>
      <c r="AT59" s="31"/>
      <c r="AU59" s="31"/>
      <c r="AV59" s="31"/>
      <c r="AW59" s="31"/>
      <c r="AX59" s="31"/>
    </row>
    <row r="60" spans="1:50" x14ac:dyDescent="0.2">
      <c r="A60" s="30" t="s">
        <v>279</v>
      </c>
      <c r="B60" s="30" t="s">
        <v>132</v>
      </c>
      <c r="C60" s="30" t="s">
        <v>128</v>
      </c>
      <c r="D60" s="30" t="s">
        <v>128</v>
      </c>
      <c r="E60" s="30">
        <f>Eu_k_n-Eu_k_antal_koefficienter</f>
        <v>7</v>
      </c>
      <c r="F60" s="30"/>
      <c r="G60" s="30">
        <f>(Eu_k_k-Eu_k_h0)/Eu_k_s</f>
        <v>1.7059050335879198</v>
      </c>
      <c r="H60" s="30">
        <f>IFERROR(CHOOSE(MATCH(E_k_valg[[#This Row],[Fordeling]],Fordeling_liste,0),E_k_valg[[#This Row],[Teststørrelse]]*-1,E_k_valg[[#This Row],[Teststørrelse]]*-1,IFERROR(_xlfn.CHISQ.INV(1-_xlfn.CHISQ.DIST(E_k_valg[[#This Row],[Teststørrelse]],E_k_valg[[#This Row],[Parameter 1]],TRUE),E_k_valg[[#This Row],[Parameter 1]]),IF(E_k_valg[[#This Row],[Teststørrelse]]&gt;E_k_valg[[#This Row],[Parameter 1]],_xlfn.CHISQ.INV(10^-16,E_k_valg[[#This Row],[Parameter 1]]),_xlfn.CHISQ.INV(1-10^-16,E_k_valg[[#This Row],[Parameter 1]]))),IFERROR(_xlfn.F.INV(1-_xlfn.F.DIST(E_k_valg[[#This Row],[Teststørrelse]],E_k_valg[[#This Row],[Parameter 1]],E_k_valg[[#This Row],[Parameter 2]],TRUE),E_k_valg[[#This Row],[Parameter 1]],E_k_valg[[#This Row],[Parameter 2]]),IF(_xlfn.F.DIST(E_k_valg[[#This Row],[Teststørrelse]],E_k_valg[[#This Row],[Parameter 1]],E_k_valg[[#This Row],[Parameter 2]],TRUE)&lt;0.5,_xlfn.F.INV(1-10^-16,E_k_valg[[#This Row],[Parameter 1]],E_k_valg[[#This Row],[Parameter 2]]),_xlfn.F.INV(10^-16,E_k_valg[[#This Row],[Parameter 1]],E_k_valg[[#This Row],[Parameter 2]])))),NA())</f>
        <v>-1.7059050335879198</v>
      </c>
      <c r="I60">
        <f>E_k_valg[[#This Row],[Venstre teststørrelse]]*Eu_k_s+Eu_k_h0</f>
        <v>-0.34073089457687977</v>
      </c>
      <c r="J60">
        <f>E_k_valg[[#This Row],[Midtpunkt teststørrelse]]*Eu_k_s+Eu_k_h0</f>
        <v>0</v>
      </c>
      <c r="K60">
        <f>E_k_valg[[#This Row],[Højre teststørrelse]]*Eu_k_s+Eu_k_h0</f>
        <v>0.34073089457687977</v>
      </c>
      <c r="L60">
        <f>IF(AND(NOT(E_k_valg[[#This Row],[Orientering]]),E_k_valg[[#This Row],[Ensidet]]),IF(E_k_valg[[#This Row],[Parameter]]="andel",ROUND(E_k_valg[[#This Row],[Højre label base]],5)*100&amp;"%",ROUND(E_k_valg[[#This Row],[Højre label base]],3)),IF(E_k_valg[[#This Row],[Parameter]]="andel",ROUND(E_k_valg[[#This Row],[Venstre label base]],5)*100&amp;"%",ROUND(E_k_valg[[#This Row],[Venstre label base]],3)))</f>
        <v>-0.34100000000000003</v>
      </c>
      <c r="M60">
        <f>IF(E_k_valg[[#This Row],[Parameter]]="andel",ROUND(E_k_valg[[#This Row],[Midtpunkt label base]],5)*100&amp;"%",ROUND(E_k_valg[[#This Row],[Midtpunkt label base]],3))</f>
        <v>0</v>
      </c>
      <c r="N60">
        <f>IF(AND(E_k_valg[[#This Row],[Orientering]],E_k_valg[[#This Row],[Ensidet]]),IF(E_k_valg[[#This Row],[Parameter]]="andel",ROUND(E_k_valg[[#This Row],[Venstre label base]],5)*100&amp;"%",ROUND(E_k_valg[[#This Row],[Venstre label base]],3)),IF(E_k_valg[[#This Row],[Parameter]]="andel",ROUND(E_k_valg[[#This Row],[Højre label base]],5)*100&amp;"%",ROUND(E_k_valg[[#This Row],[Højre label base]],3)))</f>
        <v>0.34100000000000003</v>
      </c>
      <c r="O60" s="30" t="b">
        <f>E_k_valg[[#This Row],[Teststørrelse]]=E_k_valg[[#This Row],[Venstre teststørrelse]]</f>
        <v>0</v>
      </c>
      <c r="P60" s="30" t="b">
        <f>OR(MATCH(E_k_valg[[#This Row],[Hypotese]],HypoteseRetning_liste,0)=2,MATCH(E_k_valg[[#This Row],[Hypotese]],HypoteseRetning_liste,0)=3)</f>
        <v>0</v>
      </c>
      <c r="Q60" s="40">
        <f>CHOOSE(MATCH(E_k_valg[[#This Row],[Hypotese]],HypoteseRetning_liste,0),NA(),IF(E_k_valg[[#This Row],[Orientering]],E_k_valg[[#This Row],[Mindre end venstre %]],E_k_valg[[#This Row],[Mindre end højre %]]),IF(E_k_valg[[#This Row],[Orientering]],E_k_valg[[#This Row],[Større end venstre %]],E_k_valg[[#This Row],[Større end højre %]]),1-E_k_valg[[#This Row],[Midt %]])</f>
        <v>0.13179245413413376</v>
      </c>
      <c r="R60" s="30" t="b">
        <f>E_k_valg[[#This Row],[p-værdi]]&gt;1-Eu_k_konfidensniveau</f>
        <v>1</v>
      </c>
      <c r="S60" s="30">
        <f>IF(Eu_k_konfidensniveau&lt;=0.998,0.999,0.99999)</f>
        <v>0.999</v>
      </c>
      <c r="T60" s="30">
        <f>CHOOSE(MATCH(E_k_valg[[#This Row],[Fordeling]],Fordeling_liste,0),_xlfn.NORM.INV(1-E_k_valg[[#This Row],[Konfidensniveaubaseret x akse]],E_k_valg[[#This Row],[Parameter 1]],E_k_valg[[#This Row],[Parameter 2]]),_xlfn.T.INV(1-E_k_valg[[#This Row],[Konfidensniveaubaseret x akse]],E_k_valg[[#This Row],[Parameter 1]]),_xlfn.CHISQ.INV(1-E_k_valg[[#This Row],[Konfidensniveaubaseret x akse]],E_k_valg[[#This Row],[Parameter 1]]),_xlfn.F.INV(1-E_k_valg[[#This Row],[Konfidensniveaubaseret x akse]],E_k_valg[[#This Row],[Parameter 1]],E_k_valg[[#This Row],[Parameter 2]]))</f>
        <v>-4.7852896286383331</v>
      </c>
      <c r="U60" s="30">
        <f>CHOOSE(MATCH(E_k_valg[[#This Row],[Fordeling]],Fordeling_liste,0),_xlfn.NORM.INV(E_k_valg[[#This Row],[Konfidensniveaubaseret x akse]],E_k_valg[[#This Row],[Parameter 1]],E_k_valg[[#This Row],[Parameter 2]]),_xlfn.T.INV(E_k_valg[[#This Row],[Konfidensniveaubaseret x akse]],E_k_valg[[#This Row],[Parameter 1]]),_xlfn.CHISQ.INV(E_k_valg[[#This Row],[Konfidensniveaubaseret x akse]],E_k_valg[[#This Row],[Parameter 1]]),_xlfn.F.INV(E_k_valg[[#This Row],[Konfidensniveaubaseret x akse]],E_k_valg[[#This Row],[Parameter 1]],E_k_valg[[#This Row],[Parameter 2]]))</f>
        <v>4.7852896286383331</v>
      </c>
      <c r="V60" s="30">
        <f>MIN(E_k_valg[[#This Row],[Teststørrelse]],E_k_valg[[#This Row],[Teststørrelse omvendt]])</f>
        <v>-1.7059050335879198</v>
      </c>
      <c r="W60" s="30">
        <f>CHOOSE(MATCH(E_k_valg[[#This Row],[Fordeling]],Fordeling_liste,0),_xlfn.NORM.INV(0.5,E_k_valg[[#This Row],[Parameter 1]],E_k_valg[[#This Row],[Parameter 2]]),_xlfn.T.INV(0.5,E_k_valg[[#This Row],[Parameter 1]]),_xlfn.CHISQ.INV(0.5,E_k_valg[[#This Row],[Parameter 1]]),_xlfn.F.INV(0.5,E_k_valg[[#This Row],[Parameter 1]],E_k_valg[[#This Row],[Parameter 2]]))</f>
        <v>0</v>
      </c>
      <c r="X60" s="30">
        <f>MAX(E_k_valg[[#This Row],[Teststørrelse]],E_k_valg[[#This Row],[Teststørrelse omvendt]])</f>
        <v>1.7059050335879198</v>
      </c>
      <c r="Y60" s="40">
        <f>CHOOSE(MATCH(E_k_valg[[#This Row],[Fordeling]],Fordeling_liste,0),_xlfn.NORM.DIST(E_k_valg[[#This Row],[Venstre teststørrelse]],E_k_valg[[#This Row],[Parameter 1]],E_k_valg[[#This Row],[Parameter 2]],TRUE),_xlfn.T.DIST(E_k_valg[[#This Row],[Venstre teststørrelse]],E_k_valg[[#This Row],[Parameter 1]],TRUE),_xlfn.CHISQ.DIST(E_k_valg[[#This Row],[Venstre teststørrelse]],E_k_valg[[#This Row],[Parameter 1]],TRUE),_xlfn.F.DIST(E_k_valg[[#This Row],[Venstre teststørrelse]],E_k_valg[[#This Row],[Parameter 1]],E_k_valg[[#This Row],[Parameter 2]],TRUE))</f>
        <v>6.5896227067066868E-2</v>
      </c>
      <c r="Z60" s="40">
        <f>CHOOSE(MATCH(E_k_valg[[#This Row],[Fordeling]],Fordeling_liste,0),_xlfn.NORM.DIST(E_k_valg[[#This Row],[Højre teststørrelse]],E_k_valg[[#This Row],[Parameter 1]],E_k_valg[[#This Row],[Parameter 2]],TRUE),_xlfn.T.DIST(E_k_valg[[#This Row],[Højre teststørrelse]],E_k_valg[[#This Row],[Parameter 1]],TRUE),_xlfn.CHISQ.DIST(E_k_valg[[#This Row],[Højre teststørrelse]],E_k_valg[[#This Row],[Parameter 1]],TRUE),_xlfn.F.DIST(E_k_valg[[#This Row],[Højre teststørrelse]],E_k_valg[[#This Row],[Parameter 1]],E_k_valg[[#This Row],[Parameter 2]],TRUE))</f>
        <v>0.93410377293293312</v>
      </c>
      <c r="AA60" s="40">
        <f>E_k_valg[[#This Row],[Mindre end højre %]]-E_k_valg[[#This Row],[Mindre end venstre %]]</f>
        <v>0.86820754586586624</v>
      </c>
      <c r="AB60" s="40">
        <f>1-E_k_valg[[#This Row],[Mindre end venstre %]]</f>
        <v>0.93410377293293312</v>
      </c>
      <c r="AC60" s="40">
        <f>1-E_k_valg[[#This Row],[Mindre end højre %]]</f>
        <v>6.5896227067066881E-2</v>
      </c>
      <c r="AD60" s="30" t="str">
        <f>IF(OR(MATCH(E_k_valg[[#This Row],[Hypotese]],HypoteseRetning_liste,0)=2,MATCH(E_k_valg[[#This Row],[Hypotese]],HypoteseRetning_liste,0)=3),IF(E_k_valg[[#This Row],[Teststørrelse]]=E_k_valg[[#This Row],[Venstre teststørrelse]],ROUND(E_k_valg[[#This Row],[Mindre end venstre %]],5)*100&amp;"% mindre end "&amp;E_k_valg[[#This Row],[Venstre label]],ROUND(E_k_valg[[#This Row],[Mindre end højre %]],5)*100&amp;"% mindre end "&amp;E_k_valg[[#This Row],[Højre label]]),ROUND(E_k_valg[[#This Row],[Mindre end venstre %]],5)*100&amp;"% mindre end "&amp;E_k_valg[[#This Row],[Venstre label]])</f>
        <v>6.59% mindre end -0.341</v>
      </c>
      <c r="AE60" s="30" t="str">
        <f>IF(OR(MATCH(E_k_valg[[#This Row],[Hypotese]],HypoteseRetning_liste,0)=1,MATCH(E_k_valg[[#This Row],[Hypotese]],HypoteseRetning_liste,0)=4),ROUND(E_k_valg[[#This Row],[Midt %]],5)*100&amp;"% mellem "&amp;E_k_valg[[#This Row],[Venstre label]]&amp;" og "&amp;E_k_valg[[#This Row],[Højre label]]," ")</f>
        <v>86.821% mellem -0.341 og 0.341</v>
      </c>
      <c r="AF60" s="30" t="str">
        <f>IF(OR(MATCH(E_k_valg[[#This Row],[Hypotese]],HypoteseRetning_liste,0)=2,MATCH(E_k_valg[[#This Row],[Hypotese]],HypoteseRetning_liste,0)=3),IF(E_k_valg[[#This Row],[Teststørrelse]]=E_k_valg[[#This Row],[Venstre teststørrelse]],ROUND(E_k_valg[[#This Row],[Større end venstre %]],5)*100&amp;"% større end "&amp;E_k_valg[[#This Row],[Venstre label]],ROUND(E_k_valg[[#This Row],[Større end højre %]],5)*100&amp;"% større end "&amp;E_k_valg[[#This Row],[Højre label]]),ROUND(E_k_valg[[#This Row],[Større end højre %]],5)*100&amp;"% større end "&amp;E_k_valg[[#This Row],[Højre label]])</f>
        <v>6.59% større end 0.341</v>
      </c>
      <c r="AG60" s="30">
        <f>IF(AND(NOT(E_k_valg[[#This Row],[Orientering]]),E_k_valg[[#This Row],[Ensidet]]),(E_k_valg[[#This Row],[Højre teststørrelse]]-E_k_valg[[#This Row],[X min]])/(E_k_valg[[#This Row],[X max]]-E_k_valg[[#This Row],[X min]]),(E_k_valg[[#This Row],[Venstre teststørrelse]]-E_k_valg[[#This Row],[X min]])/(E_k_valg[[#This Row],[X max]]-E_k_valg[[#This Row],[X min]]))</f>
        <v>0.32175529947250658</v>
      </c>
      <c r="AH60" s="30">
        <f>(E_k_valg[[#This Row],[Midtpunkt teststørrelse]]-E_k_valg[[#This Row],[X min]])/(E_k_valg[[#This Row],[X max]]-E_k_valg[[#This Row],[X min]])</f>
        <v>0.5</v>
      </c>
      <c r="AI60" s="30">
        <f>IF(AND(E_k_valg[[#This Row],[Orientering]],E_k_valg[[#This Row],[Ensidet]]),(E_k_valg[[#This Row],[Venstre teststørrelse]]-E_k_valg[[#This Row],[X min]])/(E_k_valg[[#This Row],[X max]]-E_k_valg[[#This Row],[X min]]),(E_k_valg[[#This Row],[Højre teststørrelse]]-E_k_valg[[#This Row],[X min]])/(E_k_valg[[#This Row],[X max]]-E_k_valg[[#This Row],[X min]]))</f>
        <v>0.67824470052749342</v>
      </c>
      <c r="AJ60" s="30" t="s">
        <v>125</v>
      </c>
      <c r="AK60" s="31">
        <f>_xlfn.AGGREGATE(3,5,E_k_valg[[#This Row],[Parameter]])</f>
        <v>1</v>
      </c>
      <c r="AL60">
        <v>1</v>
      </c>
      <c r="AM60" s="30">
        <v>52</v>
      </c>
      <c r="AN60" s="30" t="str">
        <f>IF(E_k_valg[[#This Row],[Kontrol af forudsætning 1]],"Hypotesetest om koefficient i regressionsmodel
Nulhypotesen om at koefficienten for "&amp;Eu_k_t&amp;" er lig med "&amp;ROUND(Eu_k_h0,3)&amp;"
"&amp;IF(E_k_valg[[#This Row],[Nulhypotese kan ikke afvises]],"kan ikke ","")&amp;"afvises med "&amp;Eu_k_konfidensniveau*100&amp;"% konfidens","Kan ikke beregne signifikans af variabel")</f>
        <v>Hypotesetest om koefficient i regressionsmodel
Nulhypotesen om at koefficienten for Eksempel 1 (interval) er lig med 0
kan ikke afvises med 95% konfidens</v>
      </c>
      <c r="AO60" s="30" t="str">
        <f>"Koefficient i stikprøver af størrelsen n = "&amp;Eu_k_n&amp;"
fra en population med koefficient = "&amp;IFERROR(ROUND(Eu_k_h0,3),"Hypotese ikke angivet")</f>
        <v>Koefficient i stikprøver af størrelsen n = 12
fra en population med koefficient = 0</v>
      </c>
      <c r="AP60" s="31" t="s">
        <v>15</v>
      </c>
      <c r="AQ60" s="31" t="b">
        <f>NOT(ISNA(K_average))</f>
        <v>1</v>
      </c>
      <c r="AR60" s="31" t="s">
        <v>471</v>
      </c>
      <c r="AS60" s="31" t="s">
        <v>185</v>
      </c>
      <c r="AT60" s="31"/>
      <c r="AU60" s="31"/>
      <c r="AV60" s="31"/>
      <c r="AW60" s="31"/>
      <c r="AX60" s="31"/>
    </row>
  </sheetData>
  <phoneticPr fontId="15" type="noConversion"/>
  <pageMargins left="0.7" right="0.7" top="0.75" bottom="0.75" header="0.3" footer="0.3"/>
  <pageSetup paperSize="9" orientation="portrait" r:id="rId1"/>
  <tableParts count="5">
    <tablePart r:id="rId2"/>
    <tablePart r:id="rId3"/>
    <tablePart r:id="rId4"/>
    <tablePart r:id="rId5"/>
    <tablePart r:id="rId6"/>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F414A-3251-410F-BD87-57012D87B543}">
  <sheetPr codeName="Sheet7">
    <tabColor theme="8"/>
  </sheetPr>
  <dimension ref="A1:FA109"/>
  <sheetViews>
    <sheetView showGridLines="0" zoomScaleNormal="100" workbookViewId="0"/>
  </sheetViews>
  <sheetFormatPr defaultColWidth="8.75" defaultRowHeight="14.25" x14ac:dyDescent="0.2"/>
  <cols>
    <col min="1" max="1" width="40.875" style="42" customWidth="1"/>
    <col min="2" max="4" width="35.5" style="42" customWidth="1"/>
    <col min="5" max="5" width="4.125" style="42" customWidth="1"/>
    <col min="6" max="18" width="16.75" style="42" customWidth="1"/>
    <col min="19" max="42" width="15.75" style="42" customWidth="1"/>
    <col min="43" max="43" width="21.5" style="42" bestFit="1" customWidth="1"/>
    <col min="44" max="44" width="88.125" style="42" customWidth="1"/>
    <col min="45" max="45" width="14.375" style="42" customWidth="1"/>
    <col min="46" max="46" width="21.375" style="42" customWidth="1"/>
    <col min="47" max="47" width="28.375" style="42" customWidth="1"/>
    <col min="48" max="48" width="30" style="42" customWidth="1"/>
    <col min="49" max="49" width="23.75" style="42" customWidth="1"/>
    <col min="50" max="50" width="109.25" style="42" customWidth="1"/>
    <col min="51" max="51" width="16" style="42" customWidth="1"/>
    <col min="52" max="52" width="12.5" style="42" customWidth="1"/>
    <col min="53" max="53" width="15" style="42" customWidth="1"/>
    <col min="54" max="54" width="44.875" style="42" customWidth="1"/>
    <col min="55" max="55" width="30.375" style="42" customWidth="1"/>
    <col min="56" max="56" width="11.875" style="42" customWidth="1"/>
    <col min="57" max="57" width="26.25" style="42" customWidth="1"/>
    <col min="58" max="58" width="27" style="42" customWidth="1"/>
    <col min="59" max="59" width="114.625" style="42" customWidth="1"/>
    <col min="60" max="60" width="32.875" style="42" customWidth="1"/>
    <col min="61" max="61" width="11.875" style="42" customWidth="1"/>
    <col min="62" max="62" width="28.5" style="42" customWidth="1"/>
    <col min="63" max="63" width="29.25" style="42" customWidth="1"/>
    <col min="64" max="64" width="66.625" style="42" customWidth="1"/>
    <col min="65" max="65" width="19.25" style="42" customWidth="1"/>
    <col min="66" max="66" width="31" style="42" customWidth="1"/>
    <col min="67" max="67" width="35" style="42" customWidth="1"/>
    <col min="68" max="68" width="28.75" style="42" customWidth="1"/>
    <col min="69" max="69" width="70" style="42" customWidth="1"/>
    <col min="70" max="70" width="8.625" style="42" customWidth="1"/>
    <col min="71" max="71" width="3.875" style="42" customWidth="1"/>
    <col min="72" max="72" width="6" style="42" customWidth="1"/>
    <col min="73" max="74" width="12.625" style="42" customWidth="1"/>
    <col min="75" max="75" width="9.125" style="42" customWidth="1"/>
    <col min="76" max="77" width="11.875" style="42" customWidth="1"/>
    <col min="78" max="79" width="12.5" style="42" customWidth="1"/>
    <col min="80" max="80" width="9.375" style="42" customWidth="1"/>
    <col min="81" max="81" width="21.75" style="42" bestFit="1" customWidth="1"/>
    <col min="82" max="82" width="20.875" style="42" bestFit="1" customWidth="1"/>
    <col min="83" max="83" width="14" style="42" customWidth="1"/>
    <col min="84" max="84" width="4.75" style="42" customWidth="1"/>
    <col min="85" max="85" width="6.125" style="42" customWidth="1"/>
    <col min="86" max="87" width="18.375" style="42" customWidth="1"/>
    <col min="88" max="88" width="22.875" style="42" customWidth="1"/>
    <col min="89" max="90" width="11.875" style="42" customWidth="1"/>
    <col min="91" max="91" width="28.25" style="42" bestFit="1" customWidth="1"/>
    <col min="92" max="92" width="28.875" style="42" bestFit="1" customWidth="1"/>
    <col min="93" max="93" width="19.625" style="42" bestFit="1" customWidth="1"/>
    <col min="94" max="94" width="152.125" style="42" customWidth="1"/>
    <col min="95" max="95" width="4" style="42" customWidth="1"/>
    <col min="96" max="96" width="12.5" style="42" customWidth="1"/>
    <col min="97" max="97" width="18.25" style="42" customWidth="1"/>
    <col min="98" max="98" width="28" style="42" customWidth="1"/>
    <col min="99" max="99" width="12.125" style="42" customWidth="1"/>
    <col min="100" max="100" width="5.625" style="42" customWidth="1"/>
    <col min="101" max="101" width="12.125" style="42" customWidth="1"/>
    <col min="102" max="102" width="14.875" style="42" customWidth="1"/>
    <col min="103" max="103" width="16.25" style="42" customWidth="1"/>
    <col min="104" max="104" width="12.25" style="42" customWidth="1"/>
    <col min="105" max="105" width="7" style="42" customWidth="1"/>
    <col min="106" max="106" width="11.875" style="42" customWidth="1"/>
    <col min="107" max="108" width="22.875" style="42" customWidth="1"/>
    <col min="109" max="109" width="12.25" style="42" customWidth="1"/>
    <col min="110" max="110" width="10" style="42" customWidth="1"/>
    <col min="111" max="111" width="11.25" style="42" customWidth="1"/>
    <col min="112" max="113" width="28.75" style="42" customWidth="1"/>
    <col min="114" max="114" width="12.25" style="42" customWidth="1"/>
    <col min="115" max="115" width="12.5" style="42" customWidth="1"/>
    <col min="116" max="117" width="16.75" style="42" customWidth="1"/>
    <col min="118" max="118" width="24" style="42" customWidth="1"/>
    <col min="119" max="119" width="16.75" style="42" customWidth="1"/>
    <col min="120" max="121" width="16.5" style="42" customWidth="1"/>
    <col min="122" max="122" width="16.75" style="42" customWidth="1"/>
    <col min="123" max="124" width="17.875" style="42" customWidth="1"/>
    <col min="125" max="125" width="15.25" style="42" customWidth="1"/>
    <col min="126" max="126" width="19.125" style="42" customWidth="1"/>
    <col min="127" max="127" width="55.5" style="42" customWidth="1"/>
    <col min="128" max="128" width="9.125" style="42" customWidth="1"/>
    <col min="129" max="129" width="21.25" style="42" customWidth="1"/>
    <col min="130" max="130" width="21.5" style="42" customWidth="1"/>
    <col min="131" max="131" width="12.5" style="42" customWidth="1"/>
    <col min="132" max="132" width="17.125" style="42" customWidth="1"/>
    <col min="133" max="133" width="12.5" style="42" customWidth="1"/>
    <col min="134" max="134" width="18.625" style="42" customWidth="1"/>
    <col min="135" max="135" width="56.5" style="42" customWidth="1"/>
    <col min="136" max="136" width="9.125" style="42" customWidth="1"/>
    <col min="137" max="137" width="14.25" style="42" customWidth="1"/>
    <col min="138" max="138" width="13.5" style="42" customWidth="1"/>
    <col min="139" max="139" width="12.5" style="42" customWidth="1"/>
    <col min="140" max="140" width="18.25" style="42" customWidth="1"/>
    <col min="141" max="141" width="12.5" style="42" customWidth="1"/>
    <col min="142" max="142" width="19.875" style="42" customWidth="1"/>
    <col min="143" max="143" width="96.125" style="42" customWidth="1"/>
    <col min="144" max="144" width="17.875" style="42" customWidth="1"/>
    <col min="145" max="145" width="17.625" style="42" customWidth="1"/>
    <col min="146" max="146" width="19.375" style="42" customWidth="1"/>
    <col min="147" max="147" width="24.5" style="42" customWidth="1"/>
    <col min="148" max="148" width="6.75" style="42" customWidth="1"/>
    <col min="149" max="149" width="62.875" style="42" bestFit="1" customWidth="1"/>
    <col min="150" max="151" width="16.75" style="42" bestFit="1" customWidth="1"/>
    <col min="152" max="155" width="12.5" bestFit="1" customWidth="1"/>
    <col min="158" max="16384" width="8.75" style="42"/>
  </cols>
  <sheetData>
    <row r="1" spans="1:155" s="44" customFormat="1" ht="18.75" x14ac:dyDescent="0.2">
      <c r="A1" s="64" t="s">
        <v>38</v>
      </c>
      <c r="B1" s="206" t="s">
        <v>63</v>
      </c>
      <c r="C1" s="206"/>
    </row>
    <row r="2" spans="1:155" x14ac:dyDescent="0.2">
      <c r="A2" s="65" t="s">
        <v>39</v>
      </c>
    </row>
    <row r="3" spans="1:155" ht="15" x14ac:dyDescent="0.2">
      <c r="C3" s="46"/>
    </row>
    <row r="4" spans="1:155" x14ac:dyDescent="0.2">
      <c r="A4" s="47" t="s">
        <v>899</v>
      </c>
    </row>
    <row r="5" spans="1:155" x14ac:dyDescent="0.2">
      <c r="A5" s="57" t="s">
        <v>4</v>
      </c>
      <c r="B5" s="50">
        <v>0.95</v>
      </c>
    </row>
    <row r="6" spans="1:155" x14ac:dyDescent="0.2">
      <c r="A6" s="57" t="s">
        <v>664</v>
      </c>
      <c r="B6" s="41" t="b">
        <v>1</v>
      </c>
      <c r="AN6"/>
      <c r="AO6"/>
    </row>
    <row r="7" spans="1:155" x14ac:dyDescent="0.2">
      <c r="AM7"/>
    </row>
    <row r="8" spans="1:155" x14ac:dyDescent="0.2">
      <c r="A8" s="45" t="s">
        <v>900</v>
      </c>
      <c r="B8" s="45" t="s">
        <v>1093</v>
      </c>
      <c r="C8" s="3" t="s">
        <v>1094</v>
      </c>
      <c r="D8" s="192"/>
      <c r="DF8" s="52"/>
      <c r="ES8" s="45" t="s">
        <v>912</v>
      </c>
    </row>
    <row r="9" spans="1:155" x14ac:dyDescent="0.2">
      <c r="AQ9" s="119" t="s">
        <v>50</v>
      </c>
      <c r="AR9" s="119" t="s">
        <v>686</v>
      </c>
      <c r="AS9" s="119" t="s">
        <v>682</v>
      </c>
      <c r="AT9" s="119" t="s">
        <v>683</v>
      </c>
      <c r="AU9" s="119" t="s">
        <v>685</v>
      </c>
      <c r="AV9" s="119" t="s">
        <v>684</v>
      </c>
      <c r="AW9" s="119" t="s">
        <v>713</v>
      </c>
      <c r="AX9" s="119" t="s">
        <v>699</v>
      </c>
      <c r="AY9" s="119" t="s">
        <v>697</v>
      </c>
      <c r="AZ9" s="119" t="s">
        <v>368</v>
      </c>
      <c r="BA9" s="119" t="s">
        <v>48</v>
      </c>
      <c r="BB9" s="119" t="s">
        <v>707</v>
      </c>
      <c r="BC9" s="119" t="s">
        <v>709</v>
      </c>
      <c r="BD9" s="119" t="s">
        <v>721</v>
      </c>
      <c r="BE9" s="119" t="s">
        <v>720</v>
      </c>
      <c r="BF9" s="119" t="s">
        <v>719</v>
      </c>
      <c r="BG9" s="119" t="s">
        <v>699</v>
      </c>
      <c r="BH9" s="119" t="s">
        <v>725</v>
      </c>
      <c r="BI9" s="119" t="s">
        <v>726</v>
      </c>
      <c r="BJ9" s="119" t="s">
        <v>727</v>
      </c>
      <c r="BK9" s="119" t="s">
        <v>728</v>
      </c>
      <c r="BL9" s="119" t="s">
        <v>741</v>
      </c>
      <c r="BM9" s="119" t="s">
        <v>667</v>
      </c>
      <c r="BN9" s="119" t="s">
        <v>745</v>
      </c>
      <c r="BO9" s="119" t="s">
        <v>746</v>
      </c>
      <c r="BP9" s="119" t="s">
        <v>747</v>
      </c>
      <c r="BQ9" s="119" t="s">
        <v>751</v>
      </c>
      <c r="BR9" s="119" t="s">
        <v>659</v>
      </c>
      <c r="BS9" s="119" t="s">
        <v>753</v>
      </c>
      <c r="BT9" s="119" t="s">
        <v>754</v>
      </c>
      <c r="BU9" s="119" t="s">
        <v>756</v>
      </c>
      <c r="BV9" s="119" t="s">
        <v>755</v>
      </c>
      <c r="BW9" s="119" t="s">
        <v>759</v>
      </c>
      <c r="BX9" s="119" t="s">
        <v>760</v>
      </c>
      <c r="BY9" s="119" t="s">
        <v>762</v>
      </c>
      <c r="BZ9" s="119" t="s">
        <v>761</v>
      </c>
      <c r="CA9" s="119" t="s">
        <v>763</v>
      </c>
      <c r="CB9" s="119" t="s">
        <v>776</v>
      </c>
      <c r="CC9" s="119" t="s">
        <v>778</v>
      </c>
      <c r="CD9" s="119" t="s">
        <v>953</v>
      </c>
      <c r="CE9" s="119" t="s">
        <v>764</v>
      </c>
      <c r="CF9" s="119" t="s">
        <v>765</v>
      </c>
      <c r="CG9" s="119" t="s">
        <v>766</v>
      </c>
      <c r="CH9" s="119" t="s">
        <v>767</v>
      </c>
      <c r="CI9" s="119" t="s">
        <v>768</v>
      </c>
      <c r="CJ9" s="119" t="s">
        <v>770</v>
      </c>
      <c r="CK9" s="119" t="s">
        <v>772</v>
      </c>
      <c r="CL9" s="119" t="s">
        <v>954</v>
      </c>
      <c r="CM9" s="119" t="s">
        <v>957</v>
      </c>
      <c r="CN9" s="119" t="s">
        <v>956</v>
      </c>
      <c r="CO9" s="119" t="s">
        <v>958</v>
      </c>
      <c r="CP9" s="119" t="s">
        <v>788</v>
      </c>
      <c r="CQ9" s="119" t="s">
        <v>787</v>
      </c>
      <c r="CR9" s="119" t="s">
        <v>782</v>
      </c>
      <c r="CS9" s="119" t="s">
        <v>793</v>
      </c>
      <c r="CT9" s="119" t="s">
        <v>794</v>
      </c>
      <c r="CU9" s="119" t="s">
        <v>796</v>
      </c>
      <c r="CV9" s="119" t="s">
        <v>798</v>
      </c>
      <c r="CW9" s="119" t="s">
        <v>801</v>
      </c>
      <c r="CX9" s="119" t="s">
        <v>799</v>
      </c>
      <c r="CY9" s="119" t="s">
        <v>800</v>
      </c>
      <c r="CZ9" s="119" t="s">
        <v>802</v>
      </c>
      <c r="DA9" s="119" t="s">
        <v>795</v>
      </c>
      <c r="DB9" s="119" t="s">
        <v>283</v>
      </c>
      <c r="DC9" s="119" t="s">
        <v>818</v>
      </c>
      <c r="DD9" s="119" t="s">
        <v>819</v>
      </c>
      <c r="DE9" s="119" t="s">
        <v>803</v>
      </c>
      <c r="DF9" s="119" t="s">
        <v>806</v>
      </c>
      <c r="DG9" s="119" t="s">
        <v>807</v>
      </c>
      <c r="DH9" s="119" t="s">
        <v>820</v>
      </c>
      <c r="DI9" s="119" t="s">
        <v>821</v>
      </c>
      <c r="DJ9" s="119" t="s">
        <v>802</v>
      </c>
      <c r="DK9" s="119" t="s">
        <v>285</v>
      </c>
      <c r="DL9" s="119" t="s">
        <v>808</v>
      </c>
      <c r="DM9" s="119" t="s">
        <v>809</v>
      </c>
      <c r="DN9" s="119" t="s">
        <v>811</v>
      </c>
      <c r="DO9" s="119" t="s">
        <v>808</v>
      </c>
      <c r="DP9" s="119" t="s">
        <v>822</v>
      </c>
      <c r="DQ9" s="119" t="s">
        <v>823</v>
      </c>
      <c r="DR9" s="119" t="s">
        <v>809</v>
      </c>
      <c r="DS9" s="119" t="s">
        <v>824</v>
      </c>
      <c r="DT9" s="119" t="s">
        <v>825</v>
      </c>
      <c r="DU9" s="119" t="s">
        <v>828</v>
      </c>
      <c r="DV9" s="119" t="s">
        <v>832</v>
      </c>
      <c r="DW9" s="119" t="s">
        <v>837</v>
      </c>
      <c r="DX9" s="119" t="s">
        <v>846</v>
      </c>
      <c r="DY9" s="119" t="s">
        <v>858</v>
      </c>
      <c r="DZ9" s="119" t="s">
        <v>848</v>
      </c>
      <c r="EA9" s="119" t="s">
        <v>47</v>
      </c>
      <c r="EB9" s="119" t="s">
        <v>849</v>
      </c>
      <c r="EC9" s="119" t="s">
        <v>850</v>
      </c>
      <c r="ED9" s="119" t="s">
        <v>851</v>
      </c>
      <c r="EE9" s="119" t="s">
        <v>853</v>
      </c>
      <c r="EF9" s="119" t="s">
        <v>846</v>
      </c>
      <c r="EG9" s="119" t="s">
        <v>847</v>
      </c>
      <c r="EH9" s="119" t="s">
        <v>859</v>
      </c>
      <c r="EI9" s="119" t="s">
        <v>47</v>
      </c>
      <c r="EJ9" s="119" t="s">
        <v>860</v>
      </c>
      <c r="EK9" s="119" t="s">
        <v>861</v>
      </c>
      <c r="EL9" s="119" t="s">
        <v>862</v>
      </c>
      <c r="EM9" s="119" t="s">
        <v>863</v>
      </c>
      <c r="EN9" s="119" t="s">
        <v>885</v>
      </c>
      <c r="EO9" s="119" t="s">
        <v>884</v>
      </c>
      <c r="EP9" s="119" t="s">
        <v>883</v>
      </c>
      <c r="EQ9" s="119" t="s">
        <v>882</v>
      </c>
      <c r="ES9" s="90" t="s">
        <v>669</v>
      </c>
      <c r="ET9" cm="1">
        <f t="array" ref="ET9:EU9">_xlfn.XMATCH(_xlfn.ANCHORARRAY(ET11),DataHeaders,0)</f>
        <v>2</v>
      </c>
      <c r="EU9" s="42">
        <v>3</v>
      </c>
      <c r="EV9" s="42"/>
      <c r="EW9" s="42"/>
      <c r="EX9" s="42"/>
      <c r="EY9" s="42"/>
    </row>
    <row r="10" spans="1:155" x14ac:dyDescent="0.2">
      <c r="AQ10" s="98" t="str" cm="1">
        <f t="array" ref="AQ10">_xlfn.UNIQUE(INDEX(_xlfn.LET(_xlpm.a,_xlfn.UNIQUE(LineærRegression_Valg[[Afhængig variabel]:[Synlig]]),_xlfn._xlws.FILTER(_xlpm.a,INDEX(_xlpm.a,,3)=1)),,1))</f>
        <v>Eksempel 1 (interval)</v>
      </c>
      <c r="AR10" s="96" t="str">
        <f>"Linjetilpasningsplot for simpel lineær regression
"&amp;AR18&amp;" forklarer "&amp;AR20&amp;"
af variationen i "&amp;AQ10</f>
        <v>Linjetilpasningsplot for simpel lineær regression
Eksempel 2 (interval) forklarer 19.5%
af variationen i Eksempel 1 (interval)</v>
      </c>
      <c r="AS10" s="42" cm="1">
        <f t="array" ref="AS10:AS21">_xlfn.SEQUENCE(AQ14)</f>
        <v>1</v>
      </c>
      <c r="AT10" cm="1">
        <f t="array" ref="AT10:AT21">INDEX(_xlfn.ANCHORARRAY(EU75),1,AR44):INDEX(_xlfn.ANCHORARRAY(EU75),AQ14,AR44)</f>
        <v>2</v>
      </c>
      <c r="AU10" s="42" cm="1">
        <f t="array" ref="AU10:AU21">_xlfn.SORTBY(_xlfn.ANCHORARRAY(ET75),_xlfn.ANCHORARRAY(AT10),1)</f>
        <v>-1.1469596428732241</v>
      </c>
      <c r="AV10" s="42" cm="1">
        <f t="array" ref="AV10:AV21">_xlfn.SORTBY(_xlfn.ANCHORARRAY(AT10),_xlfn.ANCHORARRAY(AT10),1)</f>
        <v>-3.2725647568992748</v>
      </c>
      <c r="AW10" s="42" cm="1">
        <f t="array" ref="AW10:AW21">ET34*_xlfn.ANCHORARRAY(AV10)+EU34</f>
        <v>-1.4374212088539973</v>
      </c>
      <c r="AX10" s="96" t="str">
        <f>"Konfidensinterval for simpel lineær regression
Gennemsnittet er med "&amp;B5*100&amp;"% sandsynlighed mellem
øvre og nedre grænse i konfidensintervallet"</f>
        <v>Konfidensinterval for simpel lineær regression
Gennemsnittet er med 95% sandsynlighed mellem
øvre og nedre grænse i konfidensintervallet</v>
      </c>
      <c r="AY10" s="42" cm="1">
        <f t="array" ref="AY10:AY21">_xlfn.SEQUENCE(AQ14)</f>
        <v>1</v>
      </c>
      <c r="AZ10" s="42" cm="1">
        <f t="array" ref="AZ10:AZ21">_xlfn.ANCHORARRAY(AU10)-_xlfn.ANCHORARRAY(AW10)</f>
        <v>0.29046156598077322</v>
      </c>
      <c r="BA10" s="42" cm="1">
        <f t="array" ref="BA10:BA21">_xlfn.ANCHORARRAY(AZ10)^2</f>
        <v>8.4367921312003075E-2</v>
      </c>
      <c r="BB10" s="42" cm="1">
        <f t="array" ref="BB10:BB21">(_xlfn.ANCHORARRAY(AV10)-AX30)^2</f>
        <v>54.98080570742097</v>
      </c>
      <c r="BC10" s="42" cm="1">
        <f t="array" ref="BC10:BC109">_xlfn.SEQUENCE(AX34,,0)</f>
        <v>0</v>
      </c>
      <c r="BD10" s="42" cm="1">
        <f t="array" ref="BD10:BD109">AX36+AX40*_xlfn.ANCHORARRAY(BC10)/(AX34-1)</f>
        <v>-3.2725647568992748</v>
      </c>
      <c r="BE10" s="42" cm="1">
        <f t="array" ref="BE10:BE109">EU34+ET34*_xlfn.ANCHORARRAY(BD10)+_xlfn.T.INV.2T(1-B5,EU37)*SQRT(AX28/EU37)*SQRT(1/AQ14+(_xlfn.ANCHORARRAY(BD10)-AX30)^2/AX32)</f>
        <v>3.9473397635976206</v>
      </c>
      <c r="BF10" s="42" cm="1">
        <f t="array" ref="BF10:BF109">EU34+ET34*_xlfn.ANCHORARRAY(BD10)-_xlfn.T.INV.2T(1-B5,EU37)*SQRT(AX28/EU37)*SQRT(1/AQ14+(_xlfn.ANCHORARRAY(BD10)-AX30)^2/AX32)</f>
        <v>-6.8221821813056156</v>
      </c>
      <c r="BG10" s="96" t="str">
        <f>"Forudsigelsesinterval for simpel lineær regression
Observationer er med "&amp;B5*100&amp;"% sandsynlighed mellem
øvre og nedre grænse i forudsigelsesintervallet"</f>
        <v>Forudsigelsesinterval for simpel lineær regression
Observationer er med 95% sandsynlighed mellem
øvre og nedre grænse i forudsigelsesintervallet</v>
      </c>
      <c r="BH10" s="42" cm="1">
        <f t="array" ref="BH10:BH109">_xlfn.SEQUENCE(BG28,,0)</f>
        <v>0</v>
      </c>
      <c r="BI10" s="42" cm="1">
        <f t="array" ref="BI10:BI109">BG30+BG34*_xlfn.ANCHORARRAY(BH10)/(BG28-1)</f>
        <v>-3.2725647568992748</v>
      </c>
      <c r="BJ10" s="42" cm="1">
        <f t="array" ref="BJ10:BJ109">EU34+ET34*_xlfn.ANCHORARRAY(BI10)+_xlfn.T.INV.2T(1-B5,EU37)*SQRT(AX28/EU37)*SQRT(1+(1/AQ14)+(_xlfn.ANCHORARRAY(BI10)-AX30)^2/AX32)</f>
        <v>9.0763047188477604</v>
      </c>
      <c r="BK10" s="42" cm="1">
        <f t="array" ref="BK10:BK109">EU34+ET34*_xlfn.ANCHORARRAY(BI10)-_xlfn.T.INV.2T(1-B5,EU37)*SQRT(AX28/EU37)*SQRT(1+(1/AQ14)+(_xlfn.ANCHORARRAY(BI10)-AX30)^2/AX32)</f>
        <v>-11.951147136555756</v>
      </c>
      <c r="BL10" s="96" t="str">
        <f>"Ud af "&amp;AQ16&amp;" inkluderede uafhængige variable
er "&amp;BL18&amp;" signifikante ved "&amp;B5*100&amp;"% konfidensniveau"</f>
        <v>Ud af 2 inkluderede uafhængige variable
er 0 signifikante ved 95% konfidensniveau</v>
      </c>
      <c r="BM10" s="42" cm="1">
        <f t="array" ref="BM10:BM11">_xlfn.SEQUENCE(AQ16)</f>
        <v>1</v>
      </c>
      <c r="BN10" s="42" t="e" cm="1">
        <f t="array" ref="BN10:BN11">TRANSPOSE(IF(_xlfn.ANCHORARRAY(ET13),_xlfn.ANCHORARRAY(ET12),NA()))</f>
        <v>#N/A</v>
      </c>
      <c r="BO10" s="42" cm="1">
        <f t="array" ref="BO10:BO11">TRANSPOSE(IF(NOT(_xlfn.ANCHORARRAY(ET13)),_xlfn.ANCHORARRAY(ET12),NA()))</f>
        <v>0.19806158153598377</v>
      </c>
      <c r="BP10" s="42" t="str" cm="1">
        <f t="array" ref="BP10:BP11">TRANSPOSE(_xlfn.ANCHORARRAY(ET11))&amp;REPT(" ",5)</f>
        <v xml:space="preserve">Eksempel 2 (interval)     </v>
      </c>
      <c r="BQ10" s="96" t="str">
        <f>"Koefficienteffekt i multipel lineær regression
Ændringer i "&amp;BQ30&amp;" har størst effekt"&amp;IF(BQ28&gt;1,"
Ændringer i "&amp;BQ31&amp;" har næststørst effekt","")
&amp;IF(BQ28&gt;2,"
Ændringer i "&amp;BQ32&amp;" har tredjestørst effekt","")</f>
        <v>Koefficienteffekt i multipel lineær regression
Ændringer i Eksempel 2 (interval) har størst effekt</v>
      </c>
      <c r="BR10" s="42" cm="1">
        <f t="array" ref="BR10:BR33">_xlfn.SEQUENCE(AQ14*AQ16)</f>
        <v>1</v>
      </c>
      <c r="BS10" s="42" cm="1">
        <f t="array" ref="BS10:BS33">MOD((_xlfn.ANCHORARRAY(BR10)-1),AQ14)+1</f>
        <v>1</v>
      </c>
      <c r="BT10" s="42" cm="1">
        <f t="array" ref="BT10:BT33">ROUNDDOWN((_xlfn.ANCHORARRAY(BR10)-1)/(AQ14),0)+1</f>
        <v>1</v>
      </c>
      <c r="BU10" s="42" cm="1">
        <f t="array" ref="BU10:BU33">INDEX((_xlfn.ANCHORARRAY(EU75)-_xlfn.ANCHORARRAY(ET18))/_xlfn.ANCHORARRAY(ET24),_xlfn.ANCHORARRAY(BS10),_xlfn.ANCHORARRAY(BT10))</f>
        <v>-0.52222925620854133</v>
      </c>
      <c r="BV10" s="42" cm="1">
        <f t="array" ref="BV10:BV33">INDEX(_xlfn.ANCHORARRAY(ET25)*_xlfn.ANCHORARRAY(EU75),_xlfn.ANCHORARRAY(BS10),_xlfn.ANCHORARRAY(BT10))</f>
        <v>0.84842139505218872</v>
      </c>
      <c r="BW10" s="42" cm="1">
        <f t="array" ref="BW10:BW11">_xlfn.SEQUENCE(AQ16)</f>
        <v>1</v>
      </c>
      <c r="BX10" s="42" cm="1">
        <f t="array" ref="BX10:BX11">_xlfn.MAXIFS(_xlfn.ANCHORARRAY(BU10),_xlfn.ANCHORARRAY(BT10),_xlfn.ANCHORARRAY(BW10))</f>
        <v>1.3568458048465697</v>
      </c>
      <c r="BY10" s="42" cm="1">
        <f t="array" ref="BY10:BY11">_xlfn.MAXIFS(_xlfn.ANCHORARRAY(BV10),_xlfn.ANCHORARRAY(BT10),_xlfn.ANCHORARRAY(BW10))</f>
        <v>4.118459773571125</v>
      </c>
      <c r="BZ10" s="42" cm="1">
        <f t="array" ref="BZ10:BZ11">_xlfn.MINIFS(_xlfn.ANCHORARRAY(BU10),_xlfn.ANCHORARRAY(BT10),_xlfn.ANCHORARRAY(BW10))</f>
        <v>-1.807500578536976</v>
      </c>
      <c r="CA10" s="42" cm="1">
        <f t="array" ref="CA10:CA11">_xlfn.MINIFS(_xlfn.ANCHORARRAY(BV10),_xlfn.ANCHORARRAY(BT10),_xlfn.ANCHORARRAY(BW10))</f>
        <v>-1.3882569782235548</v>
      </c>
      <c r="CB10" s="42" t="b" cm="1">
        <f t="array" ref="CB10:CB11">TRANSPOSE(MMULT((_xlfn.SEQUENCE(,BQ20,1,0)),(_xlfn.ANCHORARRAY(BU10)=TRANSPOSE(_xlfn.ANCHORARRAY(BX10)))*(_xlfn.ANCHORARRAY(BV10)=TRANSPOSE(_xlfn.ANCHORARRAY(BY10)))))&gt;=1</f>
        <v>1</v>
      </c>
      <c r="CC10" s="42" cm="1">
        <f t="array" ref="CC10:CC11">IF(_xlfn.ANCHORARRAY(CB10),_xlfn.ANCHORARRAY(BY10),_xlfn.ANCHORARRAY(CA10))</f>
        <v>4.118459773571125</v>
      </c>
      <c r="CD10" s="42" cm="1">
        <f t="array" ref="CD10:CD11">IF(_xlfn.ANCHORARRAY(CB10),_xlfn.ANCHORARRAY(CA10),_xlfn.ANCHORARRAY(BY10))</f>
        <v>-1.3882569782235548</v>
      </c>
      <c r="CE10" s="42" cm="1">
        <f t="array" ref="CE10:CE15">_xlfn.SEQUENCE(AQ16*3)</f>
        <v>1</v>
      </c>
      <c r="CF10" s="42" cm="1">
        <f t="array" ref="CF10:CF15">MOD(_xlfn.ANCHORARRAY(CE10)-1,3)+1</f>
        <v>1</v>
      </c>
      <c r="CG10" s="42" cm="1">
        <f t="array" ref="CG10:CG15">ROUNDDOWN((_xlfn.ANCHORARRAY(CE10)-1)/3,0)+1</f>
        <v>1</v>
      </c>
      <c r="CH10" s="42" cm="1">
        <f t="array" ref="CH10:CH15">CHOOSE(_xlfn.ANCHORARRAY(CF10),INDEX(_xlfn.ANCHORARRAY(BX10),_xlfn.ANCHORARRAY(CG10)),INDEX(_xlfn.ANCHORARRAY(BZ10),_xlfn.ANCHORARRAY(CG10)),NA())</f>
        <v>1.3568458048465697</v>
      </c>
      <c r="CI10" s="42" cm="1">
        <f t="array" ref="CI10:CI15">CHOOSE(_xlfn.ANCHORARRAY(CF10),INDEX(_xlfn.ANCHORARRAY(CC10),_xlfn.ANCHORARRAY(CG10)),INDEX(_xlfn.ANCHORARRAY(CD10),_xlfn.ANCHORARRAY(CG10)),NA())</f>
        <v>4.118459773571125</v>
      </c>
      <c r="CJ10" s="42" cm="1">
        <f t="array" ref="CJ10:CJ11">ABS((_xlfn.ANCHORARRAY(CC10)-_xlfn.ANCHORARRAY(CD10))/(_xlfn.ANCHORARRAY(BX10)-_xlfn.ANCHORARRAY(BZ10)))</f>
        <v>1.7402382939842713</v>
      </c>
      <c r="CK10" s="42" cm="1">
        <f t="array" ref="CK10:CK11">_xlfn.ANCHORARRAY(CJ10)/SUM(_xlfn.ANCHORARRAY(CJ10))*COUNT(_xlfn.ANCHORARRAY(CJ10))</f>
        <v>1.6274267564812548</v>
      </c>
      <c r="CL10" s="42" cm="1">
        <f t="array" ref="CL10:CL11">(_xlfn.ANCHORARRAY(CC10)-_xlfn.ANCHORARRAY(CD10))/(_xlfn.ANCHORARRAY(BX10)-_xlfn.ANCHORARRAY(BZ10))</f>
        <v>1.7402382939842713</v>
      </c>
      <c r="CM10" s="42" cm="1">
        <f t="array" ref="CM10:CM11">TRANSPOSE(_xlfn.ANCHORARRAY(ET30))</f>
        <v>-0.76599512378686307</v>
      </c>
      <c r="CN10" s="42" cm="1">
        <f t="array" ref="CN10:CN11">_xlfn.ANCHORARRAY(CM10)-_xlfn.ANCHORARRAY(BX10)</f>
        <v>-2.1228409286334329</v>
      </c>
      <c r="CO10" s="42" cm="1">
        <f t="array" ref="CO10:CO11">_xlfn.ANCHORARRAY(CN10)*_xlfn.ANCHORARRAY(CL10)+_xlfn.ANCHORARRAY(CC10)</f>
        <v>0.42421069752609331</v>
      </c>
      <c r="CP10" s="96" t="str">
        <f>CP30&amp;" par af uafhængige variable er stærkt korrelede"&amp;
IF(CP39&gt;0,"
"&amp;CP48,"")</f>
        <v>0 par af uafhængige variable er stærkt korrelede
Den stærkeste korrelation er mellem Eksempel 2 (interval) og Eksempel 3 (nominal)</v>
      </c>
      <c r="CQ10" s="42" cm="1">
        <f t="array" ref="CQ10:CQ33">ROUNDDOWN(_xlfn.SEQUENCE(AQ14*AQ16,,0)/AQ14+1,0)</f>
        <v>1</v>
      </c>
      <c r="CR10" s="42" cm="1">
        <f t="array" ref="CR10:CR33">INDEX(_xlfn.ANCHORARRAY(EU75),MOD(_xlfn.SEQUENCE(AQ14*AQ16,,0),AQ14)+1,ROUNDDOWN(_xlfn.SEQUENCE(AQ14*AQ16,,0)/AQ14+1,0))</f>
        <v>2</v>
      </c>
      <c r="CS10" s="42" cm="1">
        <f t="array" ref="CS10:CS11">_xlfn.SEQUENCE(AQ16)</f>
        <v>1</v>
      </c>
      <c r="CT10" s="42" cm="1">
        <f t="array" ref="CT10:CT33">(_xlfn.ANCHORARRAY(CR10)-INDEX(_xlfn.ANCHORARRAY(ET16),,_xlfn.ANCHORARRAY(CQ10)))/(INDEX(_xlfn.ANCHORARRAY(ET15),,_xlfn.ANCHORARRAY(CQ10))-INDEX(_xlfn.ANCHORARRAY(ET16),,_xlfn.ANCHORARRAY(CQ10)))</f>
        <v>0.40617276574953548</v>
      </c>
      <c r="CU10" s="42" cm="1">
        <f t="array" ref="CU10:CU45">_xlfn.SEQUENCE(CP24*AQ14*3,,0)</f>
        <v>0</v>
      </c>
      <c r="CV10" s="42" cm="1">
        <f t="array" ref="CV10:CV45">ROUNDDOWN(_xlfn.ANCHORARRAY(CU10)/(AQ14*3),0)</f>
        <v>0</v>
      </c>
      <c r="CW10" s="42" cm="1">
        <f t="array" ref="CW10:CW11">_xlfn.ANCHORARRAY(CS10)*(_xlfn.ANCHORARRAY(CS10)-1)/2</f>
        <v>0</v>
      </c>
      <c r="CX10" s="42" cm="1">
        <f t="array" ref="CX10:CX45">MATCH(_xlfn.ANCHORARRAY(CV10),_xlfn.ANCHORARRAY(CW10),1)</f>
        <v>1</v>
      </c>
      <c r="CY10" s="42" cm="1">
        <f t="array" ref="CY10:CY45">_xlfn.ANCHORARRAY(CV10)-INDEX(_xlfn.ANCHORARRAY(CW10),_xlfn.ANCHORARRAY(CX10))+1</f>
        <v>1</v>
      </c>
      <c r="CZ10" s="42" cm="1">
        <f t="array" ref="CZ10:CZ45">MOD(ROUNDDOWN(_xlfn.ANCHORARRAY(CU10)/3,0),AQ14)+1</f>
        <v>1</v>
      </c>
      <c r="DA10" s="42" cm="1">
        <f t="array" ref="DA10:DA45">MOD(_xlfn.ANCHORARRAY(CU10),3)+1</f>
        <v>1</v>
      </c>
      <c r="DB10" s="42" cm="1">
        <f t="array" ref="DB10:DB45">CHOOSE(_xlfn.ANCHORARRAY(DA10),INDEX(_xlfn.ANCHORARRAY(CT10),_xlfn.ANCHORARRAY(CX10)*AQ14+_xlfn.ANCHORARRAY(CZ10)),INDEX(_xlfn.ANCHORARRAY(CT10),(_xlfn.ANCHORARRAY(CY10)-1)*AQ14+_xlfn.ANCHORARRAY(CZ10)),NA())</f>
        <v>0</v>
      </c>
      <c r="DC10" s="42" cm="1">
        <f t="array" ref="DC10:DC45">IF(_xlfn.ANCHORARRAY(DA10)=3,NA(),_xlfn.ANCHORARRAY(DA10)-1+_xlfn.ANCHORARRAY(CY10)*CP20-1)</f>
        <v>1</v>
      </c>
      <c r="DD10" s="42" cm="1">
        <f t="array" ref="DD10:DD45">IF(_xlfn.ANCHORARRAY(DB10)=3,NA(),_xlfn.ANCHORARRAY(DB10)+_xlfn.ANCHORARRAY(CX10)*CP22-1)</f>
        <v>-2.5</v>
      </c>
      <c r="DE10" s="42" cm="1">
        <f t="array" ref="DE10">_xlfn.SEQUENCE(CP24,,0)</f>
        <v>0</v>
      </c>
      <c r="DF10" s="42" cm="1">
        <f t="array" ref="DF10">MATCH(_xlfn.ANCHORARRAY(DE10),_xlfn.ANCHORARRAY(CW10),1)</f>
        <v>1</v>
      </c>
      <c r="DG10" s="42" cm="1">
        <f t="array" ref="DG10">_xlfn.ANCHORARRAY(DE10)-INDEX(_xlfn.ANCHORARRAY(CW10),_xlfn.ANCHORARRAY(DF10))+1</f>
        <v>1</v>
      </c>
      <c r="DH10" s="42" cm="1">
        <f t="array" ref="DH10">_xlfn.ANCHORARRAY(DF10)*CP22-0.5</f>
        <v>-2</v>
      </c>
      <c r="DI10" s="42" cm="1">
        <f t="array" ref="DI10">_xlfn.ANCHORARRAY(DG10)*CP20</f>
        <v>2</v>
      </c>
      <c r="DJ10" s="42" cm="1">
        <f t="array" ref="DJ10:DJ21">_xlfn.SEQUENCE(AQ14)</f>
        <v>1</v>
      </c>
      <c r="DK10" s="175" cm="1">
        <f t="array" ref="DK10">TRANSPOSE(MMULT(_xlfn.SEQUENCE(,AQ14,1,0),INDEX((_xlfn.ANCHORARRAY(EU75)-_xlfn.ANCHORARRAY(ET18)),_xlfn.ANCHORARRAY(DJ10),TRANSPOSE(_xlfn.ANCHORARRAY(DF10)+1))*INDEX((_xlfn.ANCHORARRAY(EU75)-_xlfn.ANCHORARRAY(ET18)),_xlfn.ANCHORARRAY(DJ10),TRANSPOSE(_xlfn.ANCHORARRAY(DG10))))/SQRT(TRANSPOSE(INDEX(_xlfn.ANCHORARRAY(ET20),_xlfn.ANCHORARRAY(DF10)+1))*TRANSPOSE(INDEX(_xlfn.ANCHORARRAY(ET20),_xlfn.ANCHORARRAY(DG10)))))</f>
        <v>0.20266958709140057</v>
      </c>
      <c r="DL10" s="175" t="str" cm="1">
        <f t="array" ref="DL10">INDEX(_xlfn.ANCHORARRAY(ET11),_xlfn.ANCHORARRAY(DF10)+1)</f>
        <v>Eksempel 3 (nominal)</v>
      </c>
      <c r="DM10" s="175" t="str" cm="1">
        <f t="array" ref="DM10">INDEX(_xlfn.ANCHORARRAY(ET11),_xlfn.ANCHORARRAY(DG10))</f>
        <v>Eksempel 2 (interval)</v>
      </c>
      <c r="DN10" s="42" cm="1">
        <f t="array" ref="DN10">_xlfn.SEQUENCE(AQ16-1)</f>
        <v>1</v>
      </c>
      <c r="DO10" s="42" t="str" cm="1">
        <f t="array" ref="DO10">INDEX(_xlfn.ANCHORARRAY(ET11),_xlfn.ANCHORARRAY(DN10)+1)</f>
        <v>Eksempel 3 (nominal)</v>
      </c>
      <c r="DP10" s="42" cm="1">
        <f t="array" ref="DP10">_xlfn.ANCHORARRAY(DN10)*0+1</f>
        <v>1</v>
      </c>
      <c r="DQ10" s="42" cm="1">
        <f t="array" ref="DQ10">_xlfn.ANCHORARRAY(DN10)*CP22-0.5</f>
        <v>-2</v>
      </c>
      <c r="DR10" s="42" t="str" cm="1">
        <f t="array" ref="DR10">INDEX(_xlfn.ANCHORARRAY(ET11),_xlfn.ANCHORARRAY(DN10))</f>
        <v>Eksempel 2 (interval)</v>
      </c>
      <c r="DS10" s="42" cm="1">
        <f t="array" ref="DS10">_xlfn.ANCHORARRAY(DN10)*CP20</f>
        <v>2</v>
      </c>
      <c r="DT10" s="42" cm="1">
        <f t="array" ref="DT10">_xlfn.ANCHORARRAY(DN10)*0-1.5</f>
        <v>-1.5</v>
      </c>
      <c r="DU10" s="42" cm="1">
        <f t="array" ref="DU10">ABS(_xlfn.ANCHORARRAY(DK10))</f>
        <v>0.20266958709140057</v>
      </c>
      <c r="DV10" s="42" cm="1">
        <f t="array" ref="DV10">LARGE(_xlfn.ANCHORARRAY(DU10),_xlfn.SEQUENCE(CP34))</f>
        <v>0.20266958709140057</v>
      </c>
      <c r="DW10" s="96" t="s">
        <v>852</v>
      </c>
      <c r="DX10" s="42" cm="1">
        <f t="array" ref="DX10:DX21">_xlfn.SEQUENCE(AQ14)</f>
        <v>1</v>
      </c>
      <c r="DY10" s="42" cm="1">
        <f t="array" ref="DY10:DY21">_xlfn.ANCHORARRAY(AW10)</f>
        <v>-1.4374212088539973</v>
      </c>
      <c r="DZ10" s="42" cm="1">
        <f t="array" ref="DZ10:DZ21">_xlfn.ANCHORARRAY(AU10)</f>
        <v>-1.1469596428732241</v>
      </c>
      <c r="EA10" s="42" cm="1">
        <f t="array" ref="EA10:EA21">_xlfn.ANCHORARRAY(DZ10)-_xlfn.ANCHORARRAY(DY10)</f>
        <v>0.29046156598077322</v>
      </c>
      <c r="EB10" s="42" cm="1">
        <f t="array" ref="EB10:EB21">_xlfn._xlws.SORT(_xlfn.ANCHORARRAY(EA10))</f>
        <v>-5.2225330326511203</v>
      </c>
      <c r="EC10" s="42" cm="1">
        <f t="array" ref="EC10:EC21">(_xlfn.ANCHORARRAY(EB10)-DW20)/DW22</f>
        <v>-1.3515341605289024</v>
      </c>
      <c r="ED10" s="42" cm="1">
        <f t="array" ref="ED10:ED21">_xlfn.NORM.INV((_xlfn.ANCHORARRAY(DX10)-0.5)/AQ14,0,1)</f>
        <v>-1.7316643961222451</v>
      </c>
      <c r="EE10" s="96" t="str">
        <f>" Multipel lineær regression
Normalfraktildiagram af residualer"</f>
        <v xml:space="preserve"> Multipel lineær regression
Normalfraktildiagram af residualer</v>
      </c>
      <c r="EF10" s="42" cm="1">
        <f t="array" ref="EF10:EF21">_xlfn.SEQUENCE(AQ14)</f>
        <v>1</v>
      </c>
      <c r="EG10" s="42" cm="1">
        <f t="array" ref="EG10:EG21">MMULT(_xlfn.ANCHORARRAY(ET25)*_xlfn.ANCHORARRAY(EU75),_xlfn.SEQUENCE(AQ16,,1,0))+ET48</f>
        <v>0.71518493194619648</v>
      </c>
      <c r="EH10" s="42" cm="1">
        <f t="array" ref="EH10:EH21">_xlfn.ANCHORARRAY(ET75)</f>
        <v>1.2989587493526971</v>
      </c>
      <c r="EI10" s="42" cm="1">
        <f t="array" ref="EI10:EI21">_xlfn.ANCHORARRAY(EH10)-_xlfn.ANCHORARRAY(EG10)</f>
        <v>0.58377381740650058</v>
      </c>
      <c r="EJ10" s="42" cm="1">
        <f t="array" ref="EJ10:EJ21">_xlfn._xlws.SORT(_xlfn.ANCHORARRAY(EI10))</f>
        <v>-4.8829604311562198</v>
      </c>
      <c r="EK10" s="42" cm="1">
        <f t="array" ref="EK10:EK21">(_xlfn.ANCHORARRAY(EJ10)-EE20)/EE22</f>
        <v>-1.2707415438526144</v>
      </c>
      <c r="EL10" s="42" cm="1">
        <f t="array" ref="EL10:EL21">_xlfn.NORM.INV((_xlfn.ANCHORARRAY(EF10)-0.5)/AQ14,0,1)</f>
        <v>-1.7316643961222451</v>
      </c>
      <c r="EM10" s="96" t="str">
        <f>"Forklaringsgrad i simpel regression:   "&amp;EM32&amp;" (justeret "&amp;EM36&amp;")"&amp;IF(AQ16&gt;1,"
Forklaringsgrad i multipel regression: "&amp;EM34&amp;" (justeret "&amp;EM38&amp;")","")</f>
        <v>Forklaringsgrad i simpel regression:   19.5% (justeret 11.5%)
Forklaringsgrad i multipel regression: 20.4% (justeret 2.7%)</v>
      </c>
      <c r="EN10" s="42" cm="1">
        <f t="array" ref="EN10:EN21">_xlfn.ANCHORARRAY(ET75)</f>
        <v>1.2989587493526971</v>
      </c>
      <c r="EO10" s="42" cm="1">
        <f t="array" ref="EO10:EO21">ET34*_xlfn.ANCHORARRAY(AT10)+EU34</f>
        <v>0.90303445595636256</v>
      </c>
      <c r="EP10" s="42" cm="1">
        <f t="array" ref="EP10:EP21">MMULT(_xlfn.ANCHORARRAY(ET25)*_xlfn.ANCHORARRAY(EU75),_xlfn.SEQUENCE(AQ16,,1,0))+ET48</f>
        <v>0.71518493194619648</v>
      </c>
      <c r="EQ10" s="42" cm="1">
        <f t="array" ref="EQ10:EQ21">_xlfn._xlws.SORT(_xlfn.ANCHORARRAY(EN10))</f>
        <v>-1.479592604535932</v>
      </c>
      <c r="ES10" s="119" t="s">
        <v>670</v>
      </c>
      <c r="ET10" cm="1">
        <f t="array" ref="ET10:EU10">_xlfn.SEQUENCE(,AQ16)</f>
        <v>1</v>
      </c>
      <c r="EU10">
        <v>2</v>
      </c>
      <c r="EW10" s="42"/>
      <c r="EX10" s="42"/>
      <c r="EY10" s="42"/>
    </row>
    <row r="11" spans="1:155" x14ac:dyDescent="0.2">
      <c r="AQ11" s="162" t="s">
        <v>520</v>
      </c>
      <c r="AR11" s="119" t="s">
        <v>687</v>
      </c>
      <c r="AS11" s="42">
        <v>2</v>
      </c>
      <c r="AT11" s="42">
        <v>-3.2725647568992748</v>
      </c>
      <c r="AU11" s="42">
        <v>-1.479592604535932</v>
      </c>
      <c r="AV11" s="42">
        <v>-2.2379718387660041</v>
      </c>
      <c r="AW11" s="42">
        <v>-0.97817244327948039</v>
      </c>
      <c r="AX11" s="119" t="s">
        <v>698</v>
      </c>
      <c r="AY11" s="42">
        <v>2</v>
      </c>
      <c r="AZ11" s="42">
        <v>-0.50142016125645161</v>
      </c>
      <c r="BA11" s="42">
        <v>0.25142217811444595</v>
      </c>
      <c r="BB11" s="42">
        <v>40.708373268710531</v>
      </c>
      <c r="BC11" s="42">
        <v>1</v>
      </c>
      <c r="BD11" s="42">
        <v>-3.1414426473964658</v>
      </c>
      <c r="BE11" s="42">
        <v>3.932790807936239</v>
      </c>
      <c r="BF11" s="42">
        <v>-6.6912247989611213</v>
      </c>
      <c r="BG11" s="119" t="s">
        <v>698</v>
      </c>
      <c r="BH11" s="42">
        <v>1</v>
      </c>
      <c r="BI11" s="42">
        <v>-3.1414426473964658</v>
      </c>
      <c r="BJ11" s="42">
        <v>9.0974336647076335</v>
      </c>
      <c r="BK11" s="42">
        <v>-11.855867655732517</v>
      </c>
      <c r="BL11" s="119" t="s">
        <v>742</v>
      </c>
      <c r="BM11" s="42">
        <v>2</v>
      </c>
      <c r="BN11" s="42" t="e">
        <v>#N/A</v>
      </c>
      <c r="BO11" s="42">
        <v>0.7576462468032521</v>
      </c>
      <c r="BP11" s="42" t="str">
        <v xml:space="preserve">Eksempel 3 (nominal)     </v>
      </c>
      <c r="BQ11" s="119" t="s">
        <v>959</v>
      </c>
      <c r="BR11" s="42">
        <v>2</v>
      </c>
      <c r="BS11" s="42">
        <v>2</v>
      </c>
      <c r="BT11" s="42">
        <v>1</v>
      </c>
      <c r="BU11" s="42">
        <v>-1.807500578536976</v>
      </c>
      <c r="BV11" s="42">
        <v>-1.3882569782235548</v>
      </c>
      <c r="BW11" s="42">
        <v>2</v>
      </c>
      <c r="BX11" s="42">
        <v>1.7320508075688774</v>
      </c>
      <c r="BY11" s="42">
        <v>0.92006454592698861</v>
      </c>
      <c r="BZ11" s="42">
        <v>-0.57735026918962584</v>
      </c>
      <c r="CA11" s="42">
        <v>0</v>
      </c>
      <c r="CB11" s="42" t="b">
        <v>1</v>
      </c>
      <c r="CC11" s="42">
        <v>0.92006454592698861</v>
      </c>
      <c r="CD11" s="42">
        <v>0</v>
      </c>
      <c r="CE11" s="42">
        <v>2</v>
      </c>
      <c r="CF11" s="42">
        <v>2</v>
      </c>
      <c r="CG11" s="42">
        <v>1</v>
      </c>
      <c r="CH11" s="42">
        <v>-1.807500578536976</v>
      </c>
      <c r="CI11" s="42">
        <v>-1.3882569782235548</v>
      </c>
      <c r="CJ11" s="42">
        <v>0.39839963494708319</v>
      </c>
      <c r="CK11" s="42">
        <v>0.37257324351874516</v>
      </c>
      <c r="CL11" s="42">
        <v>0.39839963494708319</v>
      </c>
      <c r="CM11" s="42">
        <v>1.7320508075688774</v>
      </c>
      <c r="CN11" s="42">
        <v>0</v>
      </c>
      <c r="CO11" s="42">
        <v>0.92006454592698861</v>
      </c>
      <c r="CP11" s="119" t="s">
        <v>789</v>
      </c>
      <c r="CQ11" s="42">
        <v>1</v>
      </c>
      <c r="CR11" s="42">
        <v>-3.2725647568992748</v>
      </c>
      <c r="CS11" s="42">
        <v>2</v>
      </c>
      <c r="CT11" s="42">
        <v>0</v>
      </c>
      <c r="CU11" s="42">
        <v>1</v>
      </c>
      <c r="CV11" s="42">
        <v>0</v>
      </c>
      <c r="CW11" s="42">
        <v>1</v>
      </c>
      <c r="CX11" s="42">
        <v>1</v>
      </c>
      <c r="CY11" s="42">
        <v>1</v>
      </c>
      <c r="CZ11" s="42">
        <v>1</v>
      </c>
      <c r="DA11" s="42">
        <v>2</v>
      </c>
      <c r="DB11" s="42">
        <v>0.40617276574953548</v>
      </c>
      <c r="DC11" s="42">
        <v>2</v>
      </c>
      <c r="DD11" s="42">
        <v>-2.0938272342504645</v>
      </c>
      <c r="DJ11" s="42">
        <v>2</v>
      </c>
      <c r="DK11" s="175"/>
      <c r="DL11" s="175"/>
      <c r="DM11" s="175"/>
      <c r="DW11" s="119" t="s">
        <v>838</v>
      </c>
      <c r="DX11" s="42">
        <v>2</v>
      </c>
      <c r="DY11" s="42">
        <v>-0.97817244327948039</v>
      </c>
      <c r="DZ11" s="42">
        <v>-1.479592604535932</v>
      </c>
      <c r="EA11" s="42">
        <v>-0.50142016125645161</v>
      </c>
      <c r="EB11" s="42">
        <v>-3.4107040159871631</v>
      </c>
      <c r="EC11" s="42">
        <v>-0.88265272047877275</v>
      </c>
      <c r="ED11" s="42">
        <v>-1.1503493803760083</v>
      </c>
      <c r="EE11" s="119" t="s">
        <v>854</v>
      </c>
      <c r="EF11" s="42">
        <v>2</v>
      </c>
      <c r="EG11" s="42">
        <v>-1.5214934413295471</v>
      </c>
      <c r="EH11" s="42">
        <v>-1.1469596428732241</v>
      </c>
      <c r="EI11" s="42">
        <v>0.37453379845632306</v>
      </c>
      <c r="EJ11" s="42">
        <v>-3.071131414492263</v>
      </c>
      <c r="EK11" s="42">
        <v>-0.79923118977682861</v>
      </c>
      <c r="EL11" s="42">
        <v>-1.1503493803760083</v>
      </c>
      <c r="EM11" s="119" t="s">
        <v>864</v>
      </c>
      <c r="EN11" s="42">
        <v>-1.1469596428732241</v>
      </c>
      <c r="EO11" s="42">
        <v>-1.4374212088539973</v>
      </c>
      <c r="EP11" s="42">
        <v>-1.5214934413295471</v>
      </c>
      <c r="EQ11" s="42">
        <v>-1.1469596428732241</v>
      </c>
      <c r="ES11" s="119" t="s">
        <v>729</v>
      </c>
      <c r="ET11" s="42" t="str" cm="1">
        <f t="array" ref="ET11:EU11">TRANSPOSE(_xlfn.UNIQUE(INDEX(_xlfn.LET(_xlpm.a,_xlfn.UNIQUE(LineærRegression_Valg[[Afhængig variabel]:[Synlig]]),_xlfn._xlws.FILTER(_xlpm.a,INDEX(_xlpm.a,,3)=1)),,2)))</f>
        <v>Eksempel 2 (interval)</v>
      </c>
      <c r="EU11" s="42" t="str">
        <v>Eksempel 3 (nominal)</v>
      </c>
      <c r="EV11" s="42"/>
      <c r="EW11" s="42"/>
      <c r="EX11" s="42"/>
      <c r="EY11" s="42"/>
    </row>
    <row r="12" spans="1:155" x14ac:dyDescent="0.2">
      <c r="AQ12" s="96">
        <f>_xlfn.XMATCH(AQ10,DataHeaders,0)</f>
        <v>1</v>
      </c>
      <c r="AR12" s="96" t="str">
        <f>" Observationer (n="&amp;AQ14&amp;")"</f>
        <v xml:space="preserve"> Observationer (n=12)</v>
      </c>
      <c r="AS12" s="42">
        <v>3</v>
      </c>
      <c r="AT12" s="42">
        <v>2.0315172703350726</v>
      </c>
      <c r="AU12" s="42">
        <v>1.2989587493526971</v>
      </c>
      <c r="AV12" s="42">
        <v>2</v>
      </c>
      <c r="AW12" s="42">
        <v>0.90303445595636256</v>
      </c>
      <c r="AX12" s="96" t="str">
        <f>" "&amp;AQ10&amp;" = "&amp;AR22&amp;" * "&amp;AR18&amp;AR28</f>
        <v xml:space="preserve"> Eksempel 1 (interval) = 0.444 * Eksempel 2 (interval) + 0.015</v>
      </c>
      <c r="AY12" s="42">
        <v>3</v>
      </c>
      <c r="AZ12" s="42">
        <v>0.3959242933963345</v>
      </c>
      <c r="BA12" s="42">
        <v>0.15675604610138677</v>
      </c>
      <c r="BB12" s="42">
        <v>4.5896186974952968</v>
      </c>
      <c r="BC12" s="42">
        <v>2</v>
      </c>
      <c r="BD12" s="42">
        <v>-3.0103205378936564</v>
      </c>
      <c r="BE12" s="42">
        <v>3.9185566305684998</v>
      </c>
      <c r="BF12" s="42">
        <v>-6.5605821949102712</v>
      </c>
      <c r="BG12" s="96" t="str">
        <f>" Observationer (n="&amp;AQ14&amp;")"</f>
        <v xml:space="preserve"> Observationer (n=12)</v>
      </c>
      <c r="BH12" s="42">
        <v>2</v>
      </c>
      <c r="BI12" s="42">
        <v>-3.0103205378936564</v>
      </c>
      <c r="BJ12" s="42">
        <v>9.119095923360117</v>
      </c>
      <c r="BK12" s="42">
        <v>-11.761121487701889</v>
      </c>
      <c r="BL12" s="96" t="s">
        <v>51</v>
      </c>
      <c r="BQ12" s="96" t="s">
        <v>904</v>
      </c>
      <c r="BR12" s="42">
        <v>3</v>
      </c>
      <c r="BS12" s="42">
        <v>3</v>
      </c>
      <c r="BT12" s="42">
        <v>1</v>
      </c>
      <c r="BU12" s="42">
        <v>-0.51454642146161189</v>
      </c>
      <c r="BV12" s="42">
        <v>0.8617913582851483</v>
      </c>
      <c r="CE12" s="42">
        <v>3</v>
      </c>
      <c r="CF12" s="42">
        <v>3</v>
      </c>
      <c r="CG12" s="42">
        <v>1</v>
      </c>
      <c r="CH12" s="42" t="e">
        <v>#N/A</v>
      </c>
      <c r="CI12" s="42" t="e">
        <v>#N/A</v>
      </c>
      <c r="CP12" s="96" t="s">
        <v>817</v>
      </c>
      <c r="CQ12" s="42">
        <v>1</v>
      </c>
      <c r="CR12" s="42">
        <v>2.0315172703350726</v>
      </c>
      <c r="CT12" s="42">
        <v>0.40860070309143748</v>
      </c>
      <c r="CU12" s="42">
        <v>2</v>
      </c>
      <c r="CV12" s="42">
        <v>0</v>
      </c>
      <c r="CX12" s="42">
        <v>1</v>
      </c>
      <c r="CY12" s="42">
        <v>1</v>
      </c>
      <c r="CZ12" s="42">
        <v>1</v>
      </c>
      <c r="DA12" s="42">
        <v>3</v>
      </c>
      <c r="DB12" s="42" t="e">
        <v>#N/A</v>
      </c>
      <c r="DC12" s="42" t="e">
        <v>#N/A</v>
      </c>
      <c r="DD12" s="42" t="e">
        <v>#N/A</v>
      </c>
      <c r="DJ12" s="42">
        <v>3</v>
      </c>
      <c r="DK12" s="175"/>
      <c r="DL12" s="175"/>
      <c r="DM12" s="175"/>
      <c r="DW12" s="96" t="s">
        <v>845</v>
      </c>
      <c r="DX12" s="42">
        <v>3</v>
      </c>
      <c r="DY12" s="42">
        <v>0.90303445595636256</v>
      </c>
      <c r="DZ12" s="42">
        <v>1.2989587493526971</v>
      </c>
      <c r="EA12" s="42">
        <v>0.3959242933963345</v>
      </c>
      <c r="EB12" s="42">
        <v>-2.3376318932866593</v>
      </c>
      <c r="EC12" s="42">
        <v>-0.60495344668312601</v>
      </c>
      <c r="ED12" s="42">
        <v>-0.81221780149991241</v>
      </c>
      <c r="EE12" s="96" t="s">
        <v>845</v>
      </c>
      <c r="EF12" s="42">
        <v>3</v>
      </c>
      <c r="EG12" s="42">
        <v>0.72855489517915606</v>
      </c>
      <c r="EH12" s="42">
        <v>-0.40935481016144565</v>
      </c>
      <c r="EI12" s="42">
        <v>-1.1379097053406018</v>
      </c>
      <c r="EJ12" s="42">
        <v>-3.0024923898184595</v>
      </c>
      <c r="EK12" s="42">
        <v>-0.78136857110271551</v>
      </c>
      <c r="EL12" s="42">
        <v>-0.81221780149991241</v>
      </c>
      <c r="EM12" s="96" t="s">
        <v>869</v>
      </c>
      <c r="EN12" s="42">
        <v>-0.40935481016144565</v>
      </c>
      <c r="EO12" s="42">
        <v>0.91702475807613404</v>
      </c>
      <c r="EP12" s="42">
        <v>0.72855489517915606</v>
      </c>
      <c r="EQ12" s="42">
        <v>-0.89773712069108735</v>
      </c>
      <c r="ES12" s="119" t="s">
        <v>677</v>
      </c>
      <c r="ET12" s="42" cm="1">
        <f t="array" ref="ET12:EU12">INDEX(_xlfn.ANCHORARRAY(ET50),,2):INDEX(_xlfn.ANCHORARRAY(ET50),,AQ16+1)</f>
        <v>0.19806158153598377</v>
      </c>
      <c r="EU12" s="42">
        <v>0.7576462468032521</v>
      </c>
      <c r="EV12" s="42"/>
      <c r="EW12" s="42"/>
      <c r="EX12" s="42"/>
      <c r="EY12" s="42"/>
    </row>
    <row r="13" spans="1:155" x14ac:dyDescent="0.2">
      <c r="AQ13" s="162" t="s">
        <v>29</v>
      </c>
      <c r="AR13" s="119" t="s">
        <v>688</v>
      </c>
      <c r="AS13" s="42">
        <v>4</v>
      </c>
      <c r="AT13" s="42">
        <v>-2.2379718387660041</v>
      </c>
      <c r="AU13" s="42">
        <v>-0.30723615599325882</v>
      </c>
      <c r="AV13" s="42">
        <v>2.0228895016109072</v>
      </c>
      <c r="AW13" s="42">
        <v>0.91319495017121943</v>
      </c>
      <c r="AX13" s="119" t="s">
        <v>700</v>
      </c>
      <c r="AY13" s="42">
        <v>4</v>
      </c>
      <c r="AZ13" s="42">
        <v>-1.2204311061644781</v>
      </c>
      <c r="BA13" s="42">
        <v>1.4894520848938517</v>
      </c>
      <c r="BB13" s="42">
        <v>4.4920684581518273</v>
      </c>
      <c r="BC13" s="42">
        <v>3</v>
      </c>
      <c r="BD13" s="42">
        <v>-2.8791984283908474</v>
      </c>
      <c r="BE13" s="42">
        <v>3.9046504693713131</v>
      </c>
      <c r="BF13" s="42">
        <v>-6.4302676070299718</v>
      </c>
      <c r="BG13" s="119" t="s">
        <v>700</v>
      </c>
      <c r="BH13" s="42">
        <v>3</v>
      </c>
      <c r="BI13" s="42">
        <v>-2.8791984283908474</v>
      </c>
      <c r="BJ13" s="42">
        <v>9.1412971142109782</v>
      </c>
      <c r="BK13" s="42">
        <v>-11.666914251869638</v>
      </c>
      <c r="BL13" s="119" t="s">
        <v>743</v>
      </c>
      <c r="BQ13" s="119" t="s">
        <v>960</v>
      </c>
      <c r="BR13" s="42">
        <v>4</v>
      </c>
      <c r="BS13" s="42">
        <v>4</v>
      </c>
      <c r="BT13" s="42">
        <v>1</v>
      </c>
      <c r="BU13" s="42">
        <v>-1.5553021382578316</v>
      </c>
      <c r="BV13" s="42">
        <v>-0.94937159476668265</v>
      </c>
      <c r="CE13" s="42">
        <v>4</v>
      </c>
      <c r="CF13" s="42">
        <v>1</v>
      </c>
      <c r="CG13" s="42">
        <v>2</v>
      </c>
      <c r="CH13" s="42">
        <v>1.7320508075688774</v>
      </c>
      <c r="CI13" s="42">
        <v>0.92006454592698861</v>
      </c>
      <c r="CP13" s="119" t="s">
        <v>790</v>
      </c>
      <c r="CQ13" s="42">
        <v>1</v>
      </c>
      <c r="CR13" s="42">
        <v>-2.2379718387660041</v>
      </c>
      <c r="CT13" s="42">
        <v>7.9700010594123294E-2</v>
      </c>
      <c r="CU13" s="42">
        <v>3</v>
      </c>
      <c r="CV13" s="42">
        <v>0</v>
      </c>
      <c r="CX13" s="42">
        <v>1</v>
      </c>
      <c r="CY13" s="42">
        <v>1</v>
      </c>
      <c r="CZ13" s="42">
        <v>2</v>
      </c>
      <c r="DA13" s="42">
        <v>1</v>
      </c>
      <c r="DB13" s="42">
        <v>0</v>
      </c>
      <c r="DC13" s="42">
        <v>1</v>
      </c>
      <c r="DD13" s="42">
        <v>-2.5</v>
      </c>
      <c r="DJ13" s="42">
        <v>4</v>
      </c>
      <c r="DK13" s="175"/>
      <c r="DL13" s="175"/>
      <c r="DM13" s="175"/>
      <c r="DW13" s="119" t="s">
        <v>839</v>
      </c>
      <c r="DX13" s="42">
        <v>4</v>
      </c>
      <c r="DY13" s="42">
        <v>0.91319495017121943</v>
      </c>
      <c r="DZ13" s="42">
        <v>-0.30723615599325882</v>
      </c>
      <c r="EA13" s="42">
        <v>-1.2204311061644781</v>
      </c>
      <c r="EB13" s="42">
        <v>-1.4425399451454524</v>
      </c>
      <c r="EC13" s="42">
        <v>-0.37331348631065892</v>
      </c>
      <c r="ED13" s="42">
        <v>-0.54852228269809788</v>
      </c>
      <c r="EE13" s="119" t="s">
        <v>855</v>
      </c>
      <c r="EF13" s="42">
        <v>4</v>
      </c>
      <c r="EG13" s="42">
        <v>-1.0826080578726749</v>
      </c>
      <c r="EH13" s="42">
        <v>-1.479592604535932</v>
      </c>
      <c r="EI13" s="42">
        <v>-0.39698454666325711</v>
      </c>
      <c r="EJ13" s="42">
        <v>-2.0896260397300743</v>
      </c>
      <c r="EK13" s="42">
        <v>-0.54380424687825335</v>
      </c>
      <c r="EL13" s="42">
        <v>-0.54852228269809788</v>
      </c>
      <c r="EM13" s="119" t="s">
        <v>865</v>
      </c>
      <c r="EN13" s="42">
        <v>-1.479592604535932</v>
      </c>
      <c r="EO13" s="42">
        <v>-0.97817244327948039</v>
      </c>
      <c r="EP13" s="42">
        <v>-1.0826080578726749</v>
      </c>
      <c r="EQ13" s="42">
        <v>-0.40935481016144565</v>
      </c>
      <c r="ES13" s="119" t="s">
        <v>51</v>
      </c>
      <c r="ET13" t="b" cm="1">
        <f t="array" ref="ET13:EU13">INDEX(_xlfn.ANCHORARRAY(ET51),,2):INDEX(_xlfn.ANCHORARRAY(ET51),,AQ16+1)</f>
        <v>0</v>
      </c>
      <c r="EU13" t="b">
        <v>0</v>
      </c>
    </row>
    <row r="14" spans="1:155" x14ac:dyDescent="0.2">
      <c r="AQ14" s="96">
        <f>COUNTA(INDEX(Data,,AQ12))</f>
        <v>12</v>
      </c>
      <c r="AR14" s="96" t="str">
        <f>" "&amp;AQ10&amp;" = "&amp;AR22&amp;" * "&amp;AR18&amp;AR28</f>
        <v xml:space="preserve"> Eksempel 1 (interval) = 0.444 * Eksempel 2 (interval) + 0.015</v>
      </c>
      <c r="AS14" s="42">
        <v>5</v>
      </c>
      <c r="AT14" s="42">
        <v>4</v>
      </c>
      <c r="AU14" s="42">
        <v>-0.40935481016144565</v>
      </c>
      <c r="AV14" s="42">
        <v>2.0315172703350726</v>
      </c>
      <c r="AW14" s="42">
        <v>0.91702475807613404</v>
      </c>
      <c r="AX14" s="96" t="str">
        <f>" Givet at "&amp;AR18&amp;" = "&amp;C38&amp;" estimeres øvre grænse for konfidensinterval = "&amp;AX50</f>
        <v xml:space="preserve"> Givet at Eksempel 2 (interval) = 1 estimeres øvre grænse for konfidensinterval = 3.743</v>
      </c>
      <c r="AY14" s="42">
        <v>5</v>
      </c>
      <c r="AZ14" s="42">
        <v>-1.3263795682375796</v>
      </c>
      <c r="BA14" s="42">
        <v>1.7592827590381082</v>
      </c>
      <c r="BB14" s="42">
        <v>4.4555706470664997</v>
      </c>
      <c r="BC14" s="42">
        <v>4</v>
      </c>
      <c r="BD14" s="42">
        <v>-2.7480763188880384</v>
      </c>
      <c r="BE14" s="42">
        <v>3.8910862498768983</v>
      </c>
      <c r="BF14" s="42">
        <v>-6.3002949608524466</v>
      </c>
      <c r="BG14" s="96" t="str">
        <f>" Givet at "&amp;AR18&amp;" = "&amp;D38&amp;" estimeres øvre grænse for fjorudsigelsesinterval = "&amp;BG44</f>
        <v xml:space="preserve"> Givet at Eksempel 2 (interval) = 1 estimeres øvre grænse for fjorudsigelsesinterval = 10.068</v>
      </c>
      <c r="BH14" s="42">
        <v>4</v>
      </c>
      <c r="BI14" s="42">
        <v>-2.7480763188880384</v>
      </c>
      <c r="BJ14" s="42">
        <v>9.1640428512596852</v>
      </c>
      <c r="BK14" s="42">
        <v>-11.573251562235233</v>
      </c>
      <c r="BL14" s="96" t="s">
        <v>750</v>
      </c>
      <c r="BQ14" s="96" t="s">
        <v>963</v>
      </c>
      <c r="BR14" s="42">
        <v>5</v>
      </c>
      <c r="BS14" s="42">
        <v>5</v>
      </c>
      <c r="BT14" s="42">
        <v>1</v>
      </c>
      <c r="BU14" s="42">
        <v>-3.4697521051897919E-2</v>
      </c>
      <c r="BV14" s="42">
        <v>1.6968427901043774</v>
      </c>
      <c r="CE14" s="42">
        <v>5</v>
      </c>
      <c r="CF14" s="42">
        <v>2</v>
      </c>
      <c r="CG14" s="42">
        <v>2</v>
      </c>
      <c r="CH14" s="42">
        <v>-0.57735026918962584</v>
      </c>
      <c r="CI14" s="42">
        <v>0</v>
      </c>
      <c r="CP14" s="96" t="s">
        <v>814</v>
      </c>
      <c r="CQ14" s="42">
        <v>1</v>
      </c>
      <c r="CR14" s="42">
        <v>4</v>
      </c>
      <c r="CT14" s="42">
        <v>0.56024304633472843</v>
      </c>
      <c r="CU14" s="42">
        <v>4</v>
      </c>
      <c r="CV14" s="42">
        <v>0</v>
      </c>
      <c r="CX14" s="42">
        <v>1</v>
      </c>
      <c r="CY14" s="42">
        <v>1</v>
      </c>
      <c r="CZ14" s="42">
        <v>2</v>
      </c>
      <c r="DA14" s="42">
        <v>2</v>
      </c>
      <c r="DB14" s="42">
        <v>0</v>
      </c>
      <c r="DC14" s="42">
        <v>2</v>
      </c>
      <c r="DD14" s="42">
        <v>-2.5</v>
      </c>
      <c r="DJ14" s="42">
        <v>5</v>
      </c>
      <c r="DK14" s="175"/>
      <c r="DL14" s="175"/>
      <c r="DM14" s="175"/>
      <c r="DW14" s="96" t="s">
        <v>844</v>
      </c>
      <c r="DX14" s="42">
        <v>5</v>
      </c>
      <c r="DY14" s="42">
        <v>0.91702475807613404</v>
      </c>
      <c r="DZ14" s="42">
        <v>-0.40935481016144565</v>
      </c>
      <c r="EA14" s="42">
        <v>-1.3263795682375796</v>
      </c>
      <c r="EB14" s="42">
        <v>-1.3263795682375796</v>
      </c>
      <c r="EC14" s="42">
        <v>-0.34325245720670183</v>
      </c>
      <c r="ED14" s="42">
        <v>-0.3186393639643752</v>
      </c>
      <c r="EE14" s="96" t="s">
        <v>844</v>
      </c>
      <c r="EF14" s="42">
        <v>5</v>
      </c>
      <c r="EG14" s="42">
        <v>1.5636063269983851</v>
      </c>
      <c r="EH14" s="42">
        <v>1.8110756828005981</v>
      </c>
      <c r="EI14" s="42">
        <v>0.24746935580221296</v>
      </c>
      <c r="EJ14" s="42">
        <v>-1.1379097053406018</v>
      </c>
      <c r="EK14" s="42">
        <v>-0.29612960336584154</v>
      </c>
      <c r="EL14" s="42">
        <v>-0.3186393639643752</v>
      </c>
      <c r="EM14" s="96" t="s">
        <v>871</v>
      </c>
      <c r="EN14" s="42">
        <v>1.8110756828005981</v>
      </c>
      <c r="EO14" s="42">
        <v>1.7908208645529828</v>
      </c>
      <c r="EP14" s="42">
        <v>1.5636063269983851</v>
      </c>
      <c r="EQ14" s="42">
        <v>-0.30723615599325882</v>
      </c>
      <c r="ES14" s="119" t="s">
        <v>730</v>
      </c>
      <c r="ET14" s="42" t="str" cm="1">
        <f t="array" ref="ET14:EU14">"x"&amp;_xlfn.ANCHORARRAY(ET10)</f>
        <v>x1</v>
      </c>
      <c r="EU14" s="42" t="str">
        <v>x2</v>
      </c>
      <c r="EV14" s="42"/>
      <c r="EW14" s="42"/>
      <c r="EX14" s="42"/>
      <c r="EY14" s="42"/>
    </row>
    <row r="15" spans="1:155" x14ac:dyDescent="0.2">
      <c r="AQ15" s="119" t="s">
        <v>52</v>
      </c>
      <c r="AR15" s="119" t="s">
        <v>694</v>
      </c>
      <c r="AS15" s="42">
        <v>6</v>
      </c>
      <c r="AT15" s="42">
        <v>5</v>
      </c>
      <c r="AU15" s="42">
        <v>1.8110756828005981</v>
      </c>
      <c r="AV15" s="42">
        <v>4</v>
      </c>
      <c r="AW15" s="42">
        <v>1.7908208645529828</v>
      </c>
      <c r="AX15" s="119" t="s">
        <v>701</v>
      </c>
      <c r="AY15" s="42">
        <v>6</v>
      </c>
      <c r="AZ15" s="42">
        <v>2.0254818247615214E-2</v>
      </c>
      <c r="BA15" s="42">
        <v>4.1025766224392623E-4</v>
      </c>
      <c r="BB15" s="42">
        <v>2.0260544172216729E-2</v>
      </c>
      <c r="BC15" s="42">
        <v>5</v>
      </c>
      <c r="BD15" s="42">
        <v>-2.6169542093852289</v>
      </c>
      <c r="BE15" s="42">
        <v>3.8778786253262791</v>
      </c>
      <c r="BF15" s="42">
        <v>-6.1706789096187151</v>
      </c>
      <c r="BG15" s="119" t="s">
        <v>701</v>
      </c>
      <c r="BH15" s="42">
        <v>5</v>
      </c>
      <c r="BI15" s="42">
        <v>-2.6169542093852289</v>
      </c>
      <c r="BJ15" s="42">
        <v>9.1873387400621507</v>
      </c>
      <c r="BK15" s="42">
        <v>-11.480139024354587</v>
      </c>
      <c r="BL15" s="119" t="s">
        <v>749</v>
      </c>
      <c r="BQ15" s="119" t="s">
        <v>961</v>
      </c>
      <c r="BR15" s="42">
        <v>6</v>
      </c>
      <c r="BS15" s="42">
        <v>6</v>
      </c>
      <c r="BT15" s="42">
        <v>1</v>
      </c>
      <c r="BU15" s="42">
        <v>0.20906834652642378</v>
      </c>
      <c r="BV15" s="42">
        <v>2.1210534876304719</v>
      </c>
      <c r="CE15" s="42">
        <v>6</v>
      </c>
      <c r="CF15" s="42">
        <v>3</v>
      </c>
      <c r="CG15" s="42">
        <v>2</v>
      </c>
      <c r="CH15" s="42" t="e">
        <v>#N/A</v>
      </c>
      <c r="CI15" s="42" t="e">
        <v>#N/A</v>
      </c>
      <c r="CP15" s="119" t="s">
        <v>791</v>
      </c>
      <c r="CQ15" s="42">
        <v>1</v>
      </c>
      <c r="CR15" s="42">
        <v>5</v>
      </c>
      <c r="CT15" s="42">
        <v>0.63727818662732494</v>
      </c>
      <c r="CU15" s="42">
        <v>5</v>
      </c>
      <c r="CV15" s="42">
        <v>0</v>
      </c>
      <c r="CX15" s="42">
        <v>1</v>
      </c>
      <c r="CY15" s="42">
        <v>1</v>
      </c>
      <c r="CZ15" s="42">
        <v>2</v>
      </c>
      <c r="DA15" s="42">
        <v>3</v>
      </c>
      <c r="DB15" s="42" t="e">
        <v>#N/A</v>
      </c>
      <c r="DC15" s="42" t="e">
        <v>#N/A</v>
      </c>
      <c r="DD15" s="42" t="e">
        <v>#N/A</v>
      </c>
      <c r="DJ15" s="42">
        <v>6</v>
      </c>
      <c r="DK15" s="175"/>
      <c r="DL15" s="175"/>
      <c r="DM15" s="175"/>
      <c r="DW15" s="119" t="s">
        <v>840</v>
      </c>
      <c r="DX15" s="42">
        <v>6</v>
      </c>
      <c r="DY15" s="42">
        <v>1.7908208645529828</v>
      </c>
      <c r="DZ15" s="42">
        <v>1.8110756828005981</v>
      </c>
      <c r="EA15" s="42">
        <v>2.0254818247615214E-2</v>
      </c>
      <c r="EB15" s="42">
        <v>-1.2204311061644781</v>
      </c>
      <c r="EC15" s="42">
        <v>-0.3158341594473465</v>
      </c>
      <c r="ED15" s="42">
        <v>-0.10463345561407539</v>
      </c>
      <c r="EE15" s="119" t="s">
        <v>856</v>
      </c>
      <c r="EF15" s="42">
        <v>6</v>
      </c>
      <c r="EG15" s="42">
        <v>2.907881570451468</v>
      </c>
      <c r="EH15" s="42">
        <v>8</v>
      </c>
      <c r="EI15" s="42">
        <v>5.092118429548532</v>
      </c>
      <c r="EJ15" s="42">
        <v>-1.0321310593838429</v>
      </c>
      <c r="EK15" s="42">
        <v>-0.26860177024803294</v>
      </c>
      <c r="EL15" s="42">
        <v>-0.10463345561407539</v>
      </c>
      <c r="EM15" s="119" t="s">
        <v>870</v>
      </c>
      <c r="EN15" s="42">
        <v>8</v>
      </c>
      <c r="EO15" s="42">
        <v>2.234714068851293</v>
      </c>
      <c r="EP15" s="42">
        <v>2.907881570451468</v>
      </c>
      <c r="EQ15" s="42">
        <v>8.4427372017371785E-2</v>
      </c>
      <c r="ES15" s="119" t="s">
        <v>785</v>
      </c>
      <c r="ET15" s="42" cm="1">
        <f t="array" ref="ET15:EU15">TRANSPOSE(_xlfn.MAXIFS(_xlfn.ANCHORARRAY(CR10),_xlfn.ANCHORARRAY(CQ10),_xlfn.ANCHORARRAY(CS10)))</f>
        <v>9.7085240838788316</v>
      </c>
      <c r="EU15" s="42">
        <v>1</v>
      </c>
      <c r="EV15" s="42"/>
      <c r="EW15" s="42"/>
      <c r="EX15" s="42"/>
      <c r="EY15" s="42"/>
    </row>
    <row r="16" spans="1:155" x14ac:dyDescent="0.2">
      <c r="AQ16" s="96">
        <f>COUNTA(_xlfn.ANCHORARRAY(ET11))</f>
        <v>2</v>
      </c>
      <c r="AR16" s="96" t="str">
        <f>" Givet at "&amp;AR18&amp;" = "&amp;B38&amp;" estimeres "&amp;AQ10&amp;" = "&amp;AR40</f>
        <v xml:space="preserve"> Givet at Eksempel 2 (interval) = 1 estimeres Eksempel 1 (interval) = 0.459</v>
      </c>
      <c r="AS16" s="42">
        <v>7</v>
      </c>
      <c r="AT16" s="42">
        <v>2.0228895016109072</v>
      </c>
      <c r="AU16" s="42">
        <v>8</v>
      </c>
      <c r="AV16" s="42">
        <v>5</v>
      </c>
      <c r="AW16" s="42">
        <v>2.234714068851293</v>
      </c>
      <c r="AX16" s="96" t="str">
        <f>" Givet at "&amp;AR18&amp;" = "&amp;C38&amp;" estimeres nedre grænse for konfidensinterval = "&amp;AX52</f>
        <v xml:space="preserve"> Givet at Eksempel 2 (interval) = 1 estimeres nedre grænse for konfidensinterval = -2.825</v>
      </c>
      <c r="AY16" s="42">
        <v>7</v>
      </c>
      <c r="AZ16" s="42">
        <v>5.765285931148707</v>
      </c>
      <c r="BA16" s="42">
        <v>33.238521867901213</v>
      </c>
      <c r="BB16" s="42">
        <v>0.73558146751067677</v>
      </c>
      <c r="BC16" s="42">
        <v>6</v>
      </c>
      <c r="BD16" s="42">
        <v>-2.4858320998824199</v>
      </c>
      <c r="BE16" s="42">
        <v>3.8650430190456255</v>
      </c>
      <c r="BF16" s="42">
        <v>-6.0414348766549502</v>
      </c>
      <c r="BG16" s="96" t="str">
        <f>" Givet at "&amp;AR18&amp;" = "&amp;D38&amp;" estimeres nedre grænse for forudsigelsesinterval = "&amp;BG46</f>
        <v xml:space="preserve"> Givet at Eksempel 2 (interval) = 1 estimeres nedre grænse for forudsigelsesinterval = -9.149</v>
      </c>
      <c r="BH16" s="42">
        <v>6</v>
      </c>
      <c r="BI16" s="42">
        <v>-2.4858320998824199</v>
      </c>
      <c r="BJ16" s="42">
        <v>9.211190374606387</v>
      </c>
      <c r="BK16" s="42">
        <v>-11.387582232215712</v>
      </c>
      <c r="BL16" s="96" t="str">
        <f>"Grænse for signifikans = "&amp;BL24*100&amp;"%"</f>
        <v>Grænse for signifikans = 5%</v>
      </c>
      <c r="BQ16" s="96" t="s">
        <v>757</v>
      </c>
      <c r="BR16" s="42">
        <v>7</v>
      </c>
      <c r="BS16" s="42">
        <v>7</v>
      </c>
      <c r="BT16" s="42">
        <v>1</v>
      </c>
      <c r="BU16" s="42">
        <v>-0.5166495769899232</v>
      </c>
      <c r="BV16" s="42">
        <v>0.85813136649657629</v>
      </c>
      <c r="CP16" s="96" t="s">
        <v>815</v>
      </c>
      <c r="CQ16" s="42">
        <v>1</v>
      </c>
      <c r="CR16" s="42">
        <v>2.0228895016109072</v>
      </c>
      <c r="CT16" s="42">
        <v>0.4079360617173593</v>
      </c>
      <c r="CU16" s="42">
        <v>6</v>
      </c>
      <c r="CV16" s="42">
        <v>0</v>
      </c>
      <c r="CX16" s="42">
        <v>1</v>
      </c>
      <c r="CY16" s="42">
        <v>1</v>
      </c>
      <c r="CZ16" s="42">
        <v>3</v>
      </c>
      <c r="DA16" s="42">
        <v>1</v>
      </c>
      <c r="DB16" s="42">
        <v>0</v>
      </c>
      <c r="DC16" s="42">
        <v>1</v>
      </c>
      <c r="DD16" s="42">
        <v>-2.5</v>
      </c>
      <c r="DJ16" s="42">
        <v>7</v>
      </c>
      <c r="DK16" s="175"/>
      <c r="DL16" s="175"/>
      <c r="DM16" s="175"/>
      <c r="DW16" s="96" t="s">
        <v>842</v>
      </c>
      <c r="DX16" s="42">
        <v>7</v>
      </c>
      <c r="DY16" s="42">
        <v>2.234714068851293</v>
      </c>
      <c r="DZ16" s="42">
        <v>8</v>
      </c>
      <c r="EA16" s="42">
        <v>5.765285931148707</v>
      </c>
      <c r="EB16" s="42">
        <v>-0.50142016125645161</v>
      </c>
      <c r="EC16" s="42">
        <v>-0.12976202782809215</v>
      </c>
      <c r="ED16" s="42">
        <v>0.10463345561407525</v>
      </c>
      <c r="EE16" s="96" t="s">
        <v>842</v>
      </c>
      <c r="EF16" s="42">
        <v>7</v>
      </c>
      <c r="EG16" s="42">
        <v>0.72489490339058404</v>
      </c>
      <c r="EH16" s="42">
        <v>-0.30723615599325882</v>
      </c>
      <c r="EI16" s="42">
        <v>-1.0321310593838429</v>
      </c>
      <c r="EJ16" s="42">
        <v>-0.39698454666325711</v>
      </c>
      <c r="EK16" s="42">
        <v>-0.10331125202115289</v>
      </c>
      <c r="EL16" s="42">
        <v>0.10463345561407525</v>
      </c>
      <c r="EM16" s="96" t="s">
        <v>872</v>
      </c>
      <c r="EN16" s="42">
        <v>-0.30723615599325882</v>
      </c>
      <c r="EO16" s="42">
        <v>0.91319495017121943</v>
      </c>
      <c r="EP16" s="42">
        <v>0.72489490339058404</v>
      </c>
      <c r="EQ16" s="42">
        <v>0.91409189597286977</v>
      </c>
      <c r="ES16" s="119" t="s">
        <v>786</v>
      </c>
      <c r="ET16" s="42" cm="1">
        <f t="array" ref="ET16:EU16">TRANSPOSE(_xlfn.MINIFS(_xlfn.ANCHORARRAY(CR10),_xlfn.ANCHORARRAY(CQ10),_xlfn.ANCHORARRAY(CS10)))</f>
        <v>-3.2725647568992748</v>
      </c>
      <c r="EU16" s="42">
        <v>0</v>
      </c>
      <c r="EV16" s="42"/>
      <c r="EW16" s="42"/>
      <c r="EX16" s="42"/>
      <c r="EY16" s="42"/>
    </row>
    <row r="17" spans="1:155" x14ac:dyDescent="0.2">
      <c r="AQ17" s="119" t="s">
        <v>665</v>
      </c>
      <c r="AR17" s="119" t="s">
        <v>681</v>
      </c>
      <c r="AS17" s="42">
        <v>8</v>
      </c>
      <c r="AT17" s="42">
        <v>9</v>
      </c>
      <c r="AU17" s="42">
        <v>8.4427372017371785E-2</v>
      </c>
      <c r="AV17" s="42">
        <v>5.4220501567463426</v>
      </c>
      <c r="AW17" s="42">
        <v>2.4220592653040312</v>
      </c>
      <c r="AX17" s="119" t="s">
        <v>702</v>
      </c>
      <c r="AY17" s="42">
        <v>8</v>
      </c>
      <c r="AZ17" s="42">
        <v>-2.3376318932866593</v>
      </c>
      <c r="BA17" s="42">
        <v>5.4645228685109712</v>
      </c>
      <c r="BB17" s="42">
        <v>1.6376592668855674</v>
      </c>
      <c r="BC17" s="42">
        <v>7</v>
      </c>
      <c r="BD17" s="42">
        <v>-2.3547099903796109</v>
      </c>
      <c r="BE17" s="42">
        <v>3.8525956692418513</v>
      </c>
      <c r="BF17" s="42">
        <v>-5.9125791001680641</v>
      </c>
      <c r="BG17" s="119" t="s">
        <v>702</v>
      </c>
      <c r="BH17" s="42">
        <v>7</v>
      </c>
      <c r="BI17" s="42">
        <v>-2.3547099903796109</v>
      </c>
      <c r="BJ17" s="42">
        <v>9.2356033341027057</v>
      </c>
      <c r="BK17" s="42">
        <v>-11.295586765028919</v>
      </c>
      <c r="BL17" s="119" t="s">
        <v>744</v>
      </c>
      <c r="BQ17" s="119" t="s">
        <v>962</v>
      </c>
      <c r="BR17" s="42">
        <v>8</v>
      </c>
      <c r="BS17" s="42">
        <v>8</v>
      </c>
      <c r="BT17" s="42">
        <v>1</v>
      </c>
      <c r="BU17" s="42">
        <v>1.1841318168397106</v>
      </c>
      <c r="BV17" s="42">
        <v>3.8178962777348491</v>
      </c>
      <c r="CP17" s="119" t="s">
        <v>792</v>
      </c>
      <c r="CQ17" s="42">
        <v>1</v>
      </c>
      <c r="CR17" s="42">
        <v>9</v>
      </c>
      <c r="CT17" s="42">
        <v>0.94541874779771085</v>
      </c>
      <c r="CU17" s="42">
        <v>7</v>
      </c>
      <c r="CV17" s="42">
        <v>0</v>
      </c>
      <c r="CX17" s="42">
        <v>1</v>
      </c>
      <c r="CY17" s="42">
        <v>1</v>
      </c>
      <c r="CZ17" s="42">
        <v>3</v>
      </c>
      <c r="DA17" s="42">
        <v>2</v>
      </c>
      <c r="DB17" s="42">
        <v>0.40860070309143748</v>
      </c>
      <c r="DC17" s="42">
        <v>2</v>
      </c>
      <c r="DD17" s="42">
        <v>-2.0913992969085626</v>
      </c>
      <c r="DJ17" s="42">
        <v>8</v>
      </c>
      <c r="DK17" s="175"/>
      <c r="DL17" s="175"/>
      <c r="DM17" s="175"/>
      <c r="DW17" s="119" t="s">
        <v>841</v>
      </c>
      <c r="DX17" s="42">
        <v>8</v>
      </c>
      <c r="DY17" s="42">
        <v>2.4220592653040312</v>
      </c>
      <c r="DZ17" s="42">
        <v>8.4427372017371785E-2</v>
      </c>
      <c r="EA17" s="42">
        <v>-2.3376318932866593</v>
      </c>
      <c r="EB17" s="42">
        <v>2.0254818247615214E-2</v>
      </c>
      <c r="EC17" s="42">
        <v>5.2417243904074803E-3</v>
      </c>
      <c r="ED17" s="42">
        <v>0.3186393639643752</v>
      </c>
      <c r="EE17" s="119" t="s">
        <v>857</v>
      </c>
      <c r="EF17" s="42">
        <v>8</v>
      </c>
      <c r="EG17" s="42">
        <v>3.6846598146288567</v>
      </c>
      <c r="EH17" s="42">
        <v>13</v>
      </c>
      <c r="EI17" s="42">
        <v>9.3153401853711433</v>
      </c>
      <c r="EJ17" s="42">
        <v>0.24746935580221296</v>
      </c>
      <c r="EK17" s="42">
        <v>6.4401421162828029E-2</v>
      </c>
      <c r="EL17" s="42">
        <v>0.3186393639643752</v>
      </c>
      <c r="EM17" s="119" t="s">
        <v>866</v>
      </c>
      <c r="EN17" s="42">
        <v>13</v>
      </c>
      <c r="EO17" s="42">
        <v>4.0102868860445335</v>
      </c>
      <c r="EP17" s="42">
        <v>3.6846598146288567</v>
      </c>
      <c r="EQ17" s="42">
        <v>1.2989587493526971</v>
      </c>
      <c r="ES17" s="119" t="s">
        <v>739</v>
      </c>
      <c r="ET17" s="42" cm="1">
        <f t="array" ref="ET17:EU17">MMULT(_xlfn.SEQUENCE(,AQ14,1,0),_xlfn.ANCHORARRAY(EU75)*_xlfn.SEQUENCE(,AQ16,1,0))</f>
        <v>49.708074459969239</v>
      </c>
      <c r="EU17" s="42">
        <v>3</v>
      </c>
      <c r="EV17" s="42"/>
      <c r="EW17" s="42"/>
      <c r="EX17" s="42"/>
      <c r="EY17" s="42"/>
    </row>
    <row r="18" spans="1:155" x14ac:dyDescent="0.2">
      <c r="K18" s="51"/>
      <c r="AQ18" s="96" t="b">
        <f>B6</f>
        <v>1</v>
      </c>
      <c r="AR18" s="96" t="str" cm="1">
        <f t="array" ref="AR18">INDEX(_xlfn.ANCHORARRAY(ET11),,AR44)</f>
        <v>Eksempel 2 (interval)</v>
      </c>
      <c r="AS18" s="42">
        <v>9</v>
      </c>
      <c r="AT18" s="42">
        <v>6.3251059591845431</v>
      </c>
      <c r="AU18" s="42">
        <v>1.3803796539630533</v>
      </c>
      <c r="AV18" s="42">
        <v>6.3251059591845431</v>
      </c>
      <c r="AW18" s="42">
        <v>2.8229195991085057</v>
      </c>
      <c r="AX18" s="96" t="str">
        <f>" Grænser for "&amp;B5*100&amp;"% konfidensinterval"</f>
        <v xml:space="preserve"> Grænser for 95% konfidensinterval</v>
      </c>
      <c r="AY18" s="42">
        <v>9</v>
      </c>
      <c r="AZ18" s="42">
        <v>-1.4425399451454524</v>
      </c>
      <c r="BA18" s="42">
        <v>2.0809214933402447</v>
      </c>
      <c r="BB18" s="42">
        <v>4.7644692480067912</v>
      </c>
      <c r="BC18" s="42">
        <v>8</v>
      </c>
      <c r="BD18" s="42">
        <v>-2.2235878808768019</v>
      </c>
      <c r="BE18" s="42">
        <v>3.8405536763083283</v>
      </c>
      <c r="BF18" s="42">
        <v>-5.7841286805514294</v>
      </c>
      <c r="BG18" s="96" t="str">
        <f>" Grænser for "&amp;B5*100&amp;"% forudsigelsesinterval"</f>
        <v xml:space="preserve"> Grænser for 95% forudsigelsesinterval</v>
      </c>
      <c r="BH18" s="42">
        <v>8</v>
      </c>
      <c r="BI18" s="42">
        <v>-2.2235878808768019</v>
      </c>
      <c r="BJ18" s="42">
        <v>9.2605831796902613</v>
      </c>
      <c r="BK18" s="42">
        <v>-11.204158183933362</v>
      </c>
      <c r="BL18" s="96" cm="1">
        <f t="array" ref="BL18">SUM(--_xlfn.ANCHORARRAY(ET13))</f>
        <v>0</v>
      </c>
      <c r="BQ18" s="96" t="s">
        <v>758</v>
      </c>
      <c r="BR18" s="42">
        <v>9</v>
      </c>
      <c r="BS18" s="42">
        <v>9</v>
      </c>
      <c r="BT18" s="42">
        <v>1</v>
      </c>
      <c r="BU18" s="42">
        <v>0.53208395030024813</v>
      </c>
      <c r="BV18" s="42">
        <v>2.6831776108721312</v>
      </c>
      <c r="CP18" s="96" t="s">
        <v>816</v>
      </c>
      <c r="CQ18" s="42">
        <v>1</v>
      </c>
      <c r="CR18" s="42">
        <v>6.3251059591845431</v>
      </c>
      <c r="CT18" s="42">
        <v>0.73935791009566187</v>
      </c>
      <c r="CU18" s="42">
        <v>8</v>
      </c>
      <c r="CV18" s="42">
        <v>0</v>
      </c>
      <c r="CX18" s="42">
        <v>1</v>
      </c>
      <c r="CY18" s="42">
        <v>1</v>
      </c>
      <c r="CZ18" s="42">
        <v>3</v>
      </c>
      <c r="DA18" s="42">
        <v>3</v>
      </c>
      <c r="DB18" s="42" t="e">
        <v>#N/A</v>
      </c>
      <c r="DC18" s="42" t="e">
        <v>#N/A</v>
      </c>
      <c r="DD18" s="42" t="e">
        <v>#N/A</v>
      </c>
      <c r="DJ18" s="42">
        <v>9</v>
      </c>
      <c r="DK18" s="175"/>
      <c r="DL18" s="175"/>
      <c r="DM18" s="175"/>
      <c r="DW18" s="96" t="s">
        <v>843</v>
      </c>
      <c r="DX18" s="42">
        <v>9</v>
      </c>
      <c r="DY18" s="42">
        <v>2.8229195991085057</v>
      </c>
      <c r="DZ18" s="42">
        <v>1.3803796539630533</v>
      </c>
      <c r="EA18" s="42">
        <v>-1.4425399451454524</v>
      </c>
      <c r="EB18" s="42">
        <v>0.29046156598077322</v>
      </c>
      <c r="EC18" s="42">
        <v>7.5168261510153558E-2</v>
      </c>
      <c r="ED18" s="42">
        <v>0.54852228269809822</v>
      </c>
      <c r="EE18" s="96" t="s">
        <v>843</v>
      </c>
      <c r="EF18" s="42">
        <v>9</v>
      </c>
      <c r="EG18" s="42">
        <v>3.4700056936931274</v>
      </c>
      <c r="EH18" s="42">
        <v>1.3803796539630533</v>
      </c>
      <c r="EI18" s="42">
        <v>-2.0896260397300743</v>
      </c>
      <c r="EJ18" s="42">
        <v>0.37453379845632306</v>
      </c>
      <c r="EK18" s="42">
        <v>9.7468669669861882E-2</v>
      </c>
      <c r="EL18" s="42">
        <v>0.54852228269809822</v>
      </c>
      <c r="EM18" s="96" t="s">
        <v>868</v>
      </c>
      <c r="EN18" s="42">
        <v>1.3803796539630533</v>
      </c>
      <c r="EO18" s="42">
        <v>2.8229195991085057</v>
      </c>
      <c r="EP18" s="42">
        <v>3.4700056936931274</v>
      </c>
      <c r="EQ18" s="42">
        <v>1.3803796539630533</v>
      </c>
      <c r="ES18" s="119" t="s">
        <v>731</v>
      </c>
      <c r="ET18" s="42" cm="1">
        <f t="array" ref="ET18:EU18">MMULT(_xlfn.SEQUENCE(,AQ14,1,0),_xlfn.ANCHORARRAY(EU75)*_xlfn.SEQUENCE(,AQ16,1,0))/AQ14</f>
        <v>4.14233953833077</v>
      </c>
      <c r="EU18" s="42">
        <v>0.25</v>
      </c>
      <c r="EV18" s="42"/>
      <c r="EW18" s="42"/>
      <c r="EX18" s="42"/>
      <c r="EY18" s="42"/>
    </row>
    <row r="19" spans="1:155" x14ac:dyDescent="0.2">
      <c r="K19" s="51"/>
      <c r="AQ19" s="119" t="s">
        <v>784</v>
      </c>
      <c r="AR19" s="119" t="s">
        <v>680</v>
      </c>
      <c r="AS19" s="42">
        <v>10</v>
      </c>
      <c r="AT19" s="42">
        <v>5.4220501567463426</v>
      </c>
      <c r="AU19" s="42">
        <v>13</v>
      </c>
      <c r="AV19" s="42">
        <v>9</v>
      </c>
      <c r="AW19" s="42">
        <v>4.0102868860445335</v>
      </c>
      <c r="AX19" s="119" t="s">
        <v>714</v>
      </c>
      <c r="AY19" s="42">
        <v>10</v>
      </c>
      <c r="AZ19" s="42">
        <v>8.9897131139554673</v>
      </c>
      <c r="BA19" s="42">
        <v>80.814941871222899</v>
      </c>
      <c r="BB19" s="42">
        <v>23.596865160864517</v>
      </c>
      <c r="BC19" s="42">
        <v>9</v>
      </c>
      <c r="BD19" s="42">
        <v>-2.092465771373992</v>
      </c>
      <c r="BE19" s="42">
        <v>3.8289350527234558</v>
      </c>
      <c r="BF19" s="42">
        <v>-5.6561016302834446</v>
      </c>
      <c r="BG19" s="119" t="s">
        <v>714</v>
      </c>
      <c r="BH19" s="42">
        <v>9</v>
      </c>
      <c r="BI19" s="42">
        <v>-2.092465771373992</v>
      </c>
      <c r="BJ19" s="42">
        <v>9.286135451062135</v>
      </c>
      <c r="BK19" s="42">
        <v>-11.113302028622124</v>
      </c>
      <c r="BL19" s="119" t="s">
        <v>620</v>
      </c>
      <c r="BQ19" s="119" t="s">
        <v>777</v>
      </c>
      <c r="BR19" s="42">
        <v>10</v>
      </c>
      <c r="BS19" s="42">
        <v>10</v>
      </c>
      <c r="BT19" s="42">
        <v>1</v>
      </c>
      <c r="BU19" s="42">
        <v>0.31194976914726269</v>
      </c>
      <c r="BV19" s="42">
        <v>2.3000916790148351</v>
      </c>
      <c r="CP19" s="119" t="s">
        <v>804</v>
      </c>
      <c r="CQ19" s="42">
        <v>1</v>
      </c>
      <c r="CR19" s="42">
        <v>5.4220501567463426</v>
      </c>
      <c r="CT19" s="42">
        <v>0.66979087966279172</v>
      </c>
      <c r="CU19" s="42">
        <v>9</v>
      </c>
      <c r="CV19" s="42">
        <v>0</v>
      </c>
      <c r="CX19" s="42">
        <v>1</v>
      </c>
      <c r="CY19" s="42">
        <v>1</v>
      </c>
      <c r="CZ19" s="42">
        <v>4</v>
      </c>
      <c r="DA19" s="42">
        <v>1</v>
      </c>
      <c r="DB19" s="42">
        <v>0</v>
      </c>
      <c r="DC19" s="42">
        <v>1</v>
      </c>
      <c r="DD19" s="42">
        <v>-2.5</v>
      </c>
      <c r="DJ19" s="42">
        <v>10</v>
      </c>
      <c r="DK19" s="175"/>
      <c r="DL19" s="175"/>
      <c r="DM19" s="175"/>
      <c r="DW19" s="119" t="s">
        <v>0</v>
      </c>
      <c r="DX19" s="42">
        <v>10</v>
      </c>
      <c r="DY19" s="42">
        <v>4.0102868860445335</v>
      </c>
      <c r="DZ19" s="42">
        <v>13</v>
      </c>
      <c r="EA19" s="42">
        <v>8.9897131139554673</v>
      </c>
      <c r="EB19" s="42">
        <v>0.3959242933963345</v>
      </c>
      <c r="EC19" s="42">
        <v>0.10246085647768087</v>
      </c>
      <c r="ED19" s="42">
        <v>0.81221780149991241</v>
      </c>
      <c r="EE19" s="119" t="s">
        <v>0</v>
      </c>
      <c r="EF19" s="42">
        <v>10</v>
      </c>
      <c r="EG19" s="42">
        <v>3.0869197618358313</v>
      </c>
      <c r="EH19" s="42">
        <v>8.4427372017371785E-2</v>
      </c>
      <c r="EI19" s="42">
        <v>-3.0024923898184595</v>
      </c>
      <c r="EJ19" s="42">
        <v>0.58377381740650058</v>
      </c>
      <c r="EK19" s="42">
        <v>0.15192128882687186</v>
      </c>
      <c r="EL19" s="42">
        <v>0.81221780149991241</v>
      </c>
      <c r="EM19" s="119" t="s">
        <v>867</v>
      </c>
      <c r="EN19" s="42">
        <v>8.4427372017371785E-2</v>
      </c>
      <c r="EO19" s="42">
        <v>2.4220592653040312</v>
      </c>
      <c r="EP19" s="42">
        <v>3.0869197618358313</v>
      </c>
      <c r="EQ19" s="42">
        <v>1.8110756828005981</v>
      </c>
      <c r="ES19" s="119" t="s">
        <v>737</v>
      </c>
      <c r="ET19" s="42" cm="1">
        <f t="array" ref="ET19:EU19">MMULT(_xlfn.SEQUENCE(,AQ14,1,0),(_xlfn.ANCHORARRAY(EU75)*_xlfn.SEQUENCE(,AQ16,1,0)-MMULT(_xlfn.SEQUENCE(,AQ14,1,0),_xlfn.ANCHORARRAY(EU75)*_xlfn.SEQUENCE(,AQ16,1,0))/AQ14)*(_xlfn.ANCHORARRAY(ET75)-AVERAGE(_xlfn.ANCHORARRAY(ET75))))</f>
        <v>89.642498431144716</v>
      </c>
      <c r="EU19" s="42">
        <v>3.9027937710175147</v>
      </c>
      <c r="EV19" s="42"/>
      <c r="EW19" s="42"/>
      <c r="EX19" s="42"/>
      <c r="EY19" s="42"/>
    </row>
    <row r="20" spans="1:155" x14ac:dyDescent="0.2">
      <c r="K20" s="51"/>
      <c r="AQ20" s="96">
        <f>MAX(_xlfn.ANCHORARRAY(ET75))</f>
        <v>13</v>
      </c>
      <c r="AR20" s="96" t="str">
        <f>ROUND(ET36*100,1)&amp;"%"</f>
        <v>19.5%</v>
      </c>
      <c r="AS20" s="42">
        <v>11</v>
      </c>
      <c r="AT20" s="42">
        <v>9.7085240838788316</v>
      </c>
      <c r="AU20" s="42">
        <v>0.91409189597286977</v>
      </c>
      <c r="AV20" s="42">
        <v>9.7085240838788316</v>
      </c>
      <c r="AW20" s="42">
        <v>4.3247959119600328</v>
      </c>
      <c r="AX20" s="96" t="str">
        <f>"Givet at "&amp;AR18&amp;" = "&amp;C38&amp;" estimeres gennemsnit = "&amp;AX48</f>
        <v>Givet at Eksempel 2 (interval) = 1 estimeres gennemsnit = 0.459</v>
      </c>
      <c r="AY20" s="42">
        <v>11</v>
      </c>
      <c r="AZ20" s="42">
        <v>-3.4107040159871631</v>
      </c>
      <c r="BA20" s="42">
        <v>11.632901884670963</v>
      </c>
      <c r="BB20" s="42">
        <v>30.982410395098082</v>
      </c>
      <c r="BC20" s="42">
        <v>10</v>
      </c>
      <c r="BD20" s="42">
        <v>-1.961343661871183</v>
      </c>
      <c r="BE20" s="42">
        <v>3.8177587756134965</v>
      </c>
      <c r="BF20" s="42">
        <v>-5.528516926490374</v>
      </c>
      <c r="BG20" s="96" t="str">
        <f>"Givet at "&amp;AR18&amp;" = "&amp;D38&amp;" estimeres gennemsnit = "&amp;BG42</f>
        <v>Givet at Eksempel 2 (interval) = 1 estimeres gennemsnit = 0.459</v>
      </c>
      <c r="BH20" s="42">
        <v>10</v>
      </c>
      <c r="BI20" s="42">
        <v>-1.961343661871183</v>
      </c>
      <c r="BJ20" s="42">
        <v>9.3122656630112886</v>
      </c>
      <c r="BK20" s="42">
        <v>-11.023023813888166</v>
      </c>
      <c r="BL20" s="96">
        <v>0</v>
      </c>
      <c r="BQ20" s="96">
        <f>AQ14*AQ16</f>
        <v>24</v>
      </c>
      <c r="BR20" s="42">
        <v>11</v>
      </c>
      <c r="BS20" s="42">
        <v>11</v>
      </c>
      <c r="BT20" s="42">
        <v>1</v>
      </c>
      <c r="BU20" s="42">
        <v>1.3568458048465697</v>
      </c>
      <c r="BV20" s="42">
        <v>4.118459773571125</v>
      </c>
      <c r="CP20" s="96">
        <v>2</v>
      </c>
      <c r="CQ20" s="42">
        <v>1</v>
      </c>
      <c r="CR20" s="42">
        <v>9.7085240838788316</v>
      </c>
      <c r="CT20" s="42">
        <v>1</v>
      </c>
      <c r="CU20" s="42">
        <v>10</v>
      </c>
      <c r="CV20" s="42">
        <v>0</v>
      </c>
      <c r="CX20" s="42">
        <v>1</v>
      </c>
      <c r="CY20" s="42">
        <v>1</v>
      </c>
      <c r="CZ20" s="42">
        <v>4</v>
      </c>
      <c r="DA20" s="42">
        <v>2</v>
      </c>
      <c r="DB20" s="42">
        <v>7.9700010594123294E-2</v>
      </c>
      <c r="DC20" s="42">
        <v>2</v>
      </c>
      <c r="DD20" s="42">
        <v>-2.4202999894058768</v>
      </c>
      <c r="DJ20" s="42">
        <v>11</v>
      </c>
      <c r="DW20" s="96">
        <f>AVERAGE(_xlfn.ANCHORARRAY(EB10))</f>
        <v>0</v>
      </c>
      <c r="DX20" s="42">
        <v>11</v>
      </c>
      <c r="DY20" s="42">
        <v>4.3247959119600328</v>
      </c>
      <c r="DZ20" s="42">
        <v>0.91409189597286977</v>
      </c>
      <c r="EA20" s="42">
        <v>-3.4107040159871631</v>
      </c>
      <c r="EB20" s="42">
        <v>5.765285931148707</v>
      </c>
      <c r="EC20" s="42">
        <v>1.4919926465661257</v>
      </c>
      <c r="ED20" s="42">
        <v>1.1503493803760083</v>
      </c>
      <c r="EE20" s="96">
        <f>AVERAGE(_xlfn.ANCHORARRAY(EJ10))</f>
        <v>0</v>
      </c>
      <c r="EF20" s="42">
        <v>11</v>
      </c>
      <c r="EG20" s="42">
        <v>3.9852233104651327</v>
      </c>
      <c r="EH20" s="42">
        <v>0.91409189597286977</v>
      </c>
      <c r="EI20" s="42">
        <v>-3.071131414492263</v>
      </c>
      <c r="EJ20" s="42">
        <v>5.092118429548532</v>
      </c>
      <c r="EK20" s="42">
        <v>1.3251728179809683</v>
      </c>
      <c r="EL20" s="42">
        <v>1.1503493803760083</v>
      </c>
      <c r="EM20" s="96" t="str">
        <f>AQ10</f>
        <v>Eksempel 1 (interval)</v>
      </c>
      <c r="EN20" s="42">
        <v>0.91409189597286977</v>
      </c>
      <c r="EO20" s="42">
        <v>4.3247959119600328</v>
      </c>
      <c r="EP20" s="42">
        <v>3.9852233104651327</v>
      </c>
      <c r="EQ20" s="42">
        <v>8</v>
      </c>
      <c r="ES20" s="119" t="s">
        <v>738</v>
      </c>
      <c r="ET20" s="42" cm="1">
        <f t="array" ref="ET20:EU20">MMULT(_xlfn.SEQUENCE(,AQ14,1,0),(_xlfn.ANCHORARRAY(EU75)*_xlfn.SEQUENCE(,AQ16,1,0)-MMULT(_xlfn.SEQUENCE(,AQ14,1,0),_xlfn.ANCHORARRAY(EU75)*_xlfn.SEQUENCE(,AQ16,1,0))/AQ14)^2)</f>
        <v>201.94609325648105</v>
      </c>
      <c r="EU20" s="42">
        <v>2.25</v>
      </c>
      <c r="EV20" s="42"/>
      <c r="EW20" s="42"/>
      <c r="EX20" s="42"/>
      <c r="EY20" s="42"/>
    </row>
    <row r="21" spans="1:155" x14ac:dyDescent="0.2">
      <c r="K21" s="51"/>
      <c r="AQ21" s="119" t="s">
        <v>783</v>
      </c>
      <c r="AR21" s="119" t="s">
        <v>690</v>
      </c>
      <c r="AS21" s="42">
        <v>12</v>
      </c>
      <c r="AT21" s="42">
        <v>9.7085240838788316</v>
      </c>
      <c r="AU21" s="42">
        <v>-0.89773712069108735</v>
      </c>
      <c r="AV21" s="42">
        <v>9.7085240838788316</v>
      </c>
      <c r="AW21" s="42">
        <v>4.3247959119600328</v>
      </c>
      <c r="AX21" s="119" t="s">
        <v>722</v>
      </c>
      <c r="AY21" s="42">
        <v>12</v>
      </c>
      <c r="AZ21" s="42">
        <v>-5.2225330326511203</v>
      </c>
      <c r="BA21" s="42">
        <v>27.274851277132107</v>
      </c>
      <c r="BB21" s="42">
        <v>30.982410395098082</v>
      </c>
      <c r="BC21" s="42">
        <v>11</v>
      </c>
      <c r="BD21" s="42">
        <v>-1.8302215523683742</v>
      </c>
      <c r="BE21" s="42">
        <v>3.8070448420359329</v>
      </c>
      <c r="BF21" s="42">
        <v>-5.4013945662296985</v>
      </c>
      <c r="BG21" s="119" t="s">
        <v>722</v>
      </c>
      <c r="BH21" s="42">
        <v>11</v>
      </c>
      <c r="BI21" s="42">
        <v>-1.8302215523683742</v>
      </c>
      <c r="BJ21" s="42">
        <v>9.3389793019001779</v>
      </c>
      <c r="BK21" s="42">
        <v>-10.933329026093944</v>
      </c>
      <c r="BL21" s="119" t="s">
        <v>621</v>
      </c>
      <c r="BQ21" s="119" t="s">
        <v>769</v>
      </c>
      <c r="BR21" s="42">
        <v>12</v>
      </c>
      <c r="BS21" s="42">
        <v>12</v>
      </c>
      <c r="BT21" s="42">
        <v>1</v>
      </c>
      <c r="BU21" s="42">
        <v>1.3568458048465697</v>
      </c>
      <c r="BV21" s="42">
        <v>4.118459773571125</v>
      </c>
      <c r="CP21" s="119" t="s">
        <v>805</v>
      </c>
      <c r="CQ21" s="42">
        <v>1</v>
      </c>
      <c r="CR21" s="42">
        <v>9.7085240838788316</v>
      </c>
      <c r="CT21" s="42">
        <v>1</v>
      </c>
      <c r="CU21" s="42">
        <v>11</v>
      </c>
      <c r="CV21" s="42">
        <v>0</v>
      </c>
      <c r="CX21" s="42">
        <v>1</v>
      </c>
      <c r="CY21" s="42">
        <v>1</v>
      </c>
      <c r="CZ21" s="42">
        <v>4</v>
      </c>
      <c r="DA21" s="42">
        <v>3</v>
      </c>
      <c r="DB21" s="42" t="e">
        <v>#N/A</v>
      </c>
      <c r="DC21" s="42" t="e">
        <v>#N/A</v>
      </c>
      <c r="DD21" s="42" t="e">
        <v>#N/A</v>
      </c>
      <c r="DJ21" s="42">
        <v>12</v>
      </c>
      <c r="DW21" s="119" t="s">
        <v>1</v>
      </c>
      <c r="DX21" s="42">
        <v>12</v>
      </c>
      <c r="DY21" s="42">
        <v>4.3247959119600328</v>
      </c>
      <c r="DZ21" s="42">
        <v>-0.89773712069108735</v>
      </c>
      <c r="EA21" s="42">
        <v>-5.2225330326511203</v>
      </c>
      <c r="EB21" s="42">
        <v>8.9897131139554673</v>
      </c>
      <c r="EC21" s="42">
        <v>2.3264389695392311</v>
      </c>
      <c r="ED21" s="42">
        <v>1.7316643961222455</v>
      </c>
      <c r="EE21" s="119" t="s">
        <v>1</v>
      </c>
      <c r="EF21" s="42">
        <v>12</v>
      </c>
      <c r="EG21" s="42">
        <v>3.9852233104651327</v>
      </c>
      <c r="EH21" s="42">
        <v>-0.89773712069108735</v>
      </c>
      <c r="EI21" s="42">
        <v>-4.8829604311562198</v>
      </c>
      <c r="EJ21" s="42">
        <v>9.3153401853711433</v>
      </c>
      <c r="EK21" s="42">
        <v>2.4242239796049074</v>
      </c>
      <c r="EL21" s="42">
        <v>1.7316643961222455</v>
      </c>
      <c r="EM21" s="119" t="s">
        <v>873</v>
      </c>
      <c r="EN21" s="42">
        <v>-0.89773712069108735</v>
      </c>
      <c r="EO21" s="42">
        <v>4.3247959119600328</v>
      </c>
      <c r="EP21" s="42">
        <v>3.9852233104651327</v>
      </c>
      <c r="EQ21" s="42">
        <v>13</v>
      </c>
      <c r="ES21" s="119" t="s">
        <v>733</v>
      </c>
      <c r="ET21" s="42" cm="1">
        <f t="array" ref="ET21:EU21">MMULT(_xlfn.SEQUENCE(,AQ14,1,0),(_xlfn.ANCHORARRAY(EU75)*_xlfn.SEQUENCE(,AQ16,1,0)-MMULT(_xlfn.SEQUENCE(,AQ14,1,0),_xlfn.ANCHORARRAY(EU75)*_xlfn.SEQUENCE(,AQ16,1,0))/AQ14)*(_xlfn.ANCHORARRAY(ET75)-AVERAGE(_xlfn.ANCHORARRAY(ET75))))/MMULT(_xlfn.SEQUENCE(,AQ14,1,0),(_xlfn.ANCHORARRAY(EU75)*_xlfn.SEQUENCE(,AQ16,1,0)-MMULT(_xlfn.SEQUENCE(,AQ14,1,0),_xlfn.ANCHORARRAY(EU75)*_xlfn.SEQUENCE(,AQ16,1,0))/AQ14)^2)</f>
        <v>0.44389320429831003</v>
      </c>
      <c r="EU21" s="42">
        <v>1.7345750093411176</v>
      </c>
      <c r="EV21" s="42"/>
      <c r="EW21" s="42"/>
      <c r="EX21" s="42"/>
      <c r="EY21" s="42"/>
    </row>
    <row r="22" spans="1:155" x14ac:dyDescent="0.2">
      <c r="AQ22" s="96">
        <f>MIN(_xlfn.ANCHORARRAY(ET75))</f>
        <v>-1.479592604535932</v>
      </c>
      <c r="AR22" s="96">
        <f>ROUND(ET34,AR36)</f>
        <v>0.44400000000000001</v>
      </c>
      <c r="AX22" s="173">
        <f>EU34+ET34*C38</f>
        <v>0.45914125165805242</v>
      </c>
      <c r="BC22" s="42">
        <v>12</v>
      </c>
      <c r="BD22" s="42">
        <v>-1.699099442865565</v>
      </c>
      <c r="BE22" s="42">
        <v>3.7968143270199075</v>
      </c>
      <c r="BF22" s="42">
        <v>-5.2747556245305613</v>
      </c>
      <c r="BG22" s="173">
        <f>EU34+ET34*D38</f>
        <v>0.45914125165805242</v>
      </c>
      <c r="BH22" s="42">
        <v>12</v>
      </c>
      <c r="BI22" s="42">
        <v>-1.699099442865565</v>
      </c>
      <c r="BJ22" s="42">
        <v>9.3662818220569886</v>
      </c>
      <c r="BK22" s="42">
        <v>-10.844223119567642</v>
      </c>
      <c r="BL22" s="96">
        <v>1</v>
      </c>
      <c r="BQ22" s="97" t="s">
        <v>781</v>
      </c>
      <c r="BR22" s="42">
        <v>13</v>
      </c>
      <c r="BS22" s="42">
        <v>1</v>
      </c>
      <c r="BT22" s="42">
        <v>2</v>
      </c>
      <c r="BU22" s="42">
        <v>-0.57735026918962584</v>
      </c>
      <c r="BV22" s="42">
        <v>0</v>
      </c>
      <c r="CP22" s="96">
        <v>-1.5</v>
      </c>
      <c r="CQ22" s="42">
        <v>2</v>
      </c>
      <c r="CR22" s="42">
        <v>0</v>
      </c>
      <c r="CT22" s="42">
        <v>0</v>
      </c>
      <c r="CU22" s="42">
        <v>12</v>
      </c>
      <c r="CV22" s="42">
        <v>0</v>
      </c>
      <c r="CX22" s="42">
        <v>1</v>
      </c>
      <c r="CY22" s="42">
        <v>1</v>
      </c>
      <c r="CZ22" s="42">
        <v>5</v>
      </c>
      <c r="DA22" s="42">
        <v>1</v>
      </c>
      <c r="DB22" s="42">
        <v>0</v>
      </c>
      <c r="DC22" s="42">
        <v>1</v>
      </c>
      <c r="DD22" s="42">
        <v>-2.5</v>
      </c>
      <c r="DW22" s="96">
        <f>_xlfn.STDEV.S(_xlfn.ANCHORARRAY(EB10))</f>
        <v>3.8641517063892494</v>
      </c>
      <c r="EE22" s="96">
        <f>_xlfn.STDEV.S(_xlfn.ANCHORARRAY(EJ10))</f>
        <v>3.8426070626070321</v>
      </c>
      <c r="EM22" s="96">
        <f>ET36</f>
        <v>0.19501904741679588</v>
      </c>
      <c r="ES22" s="119" t="s">
        <v>734</v>
      </c>
      <c r="ET22" s="42" cm="1">
        <f t="array" ref="ET22:EU22">AVERAGE(_xlfn.ANCHORARRAY(ET75))-MMULT(_xlfn.SEQUENCE(,AQ14,1,0),(_xlfn.ANCHORARRAY(EU75)*_xlfn.SEQUENCE(,AQ16,1,0)-MMULT(_xlfn.SEQUENCE(,AQ14,1,0),_xlfn.ANCHORARRAY(EU75)*_xlfn.SEQUENCE(,AQ16,1,0))/AQ14)*(_xlfn.ANCHORARRAY(ET75)-AVERAGE(_xlfn.ANCHORARRAY(ET75))))/MMULT(_xlfn.SEQUENCE(,AQ14,1,0),(_xlfn.ANCHORARRAY(EU75)*_xlfn.SEQUENCE(,AQ16,1,0)-MMULT(_xlfn.SEQUENCE(,AQ14,1,0),_xlfn.ANCHORARRAY(EU75)*_xlfn.SEQUENCE(,AQ16,1,0))/AQ14)^2)*MMULT(_xlfn.SEQUENCE(,AQ14,1,0),_xlfn.ANCHORARRAY(EU75)*_xlfn.SEQUENCE(,AQ16,1,0))/AQ14</f>
        <v>1.5248047359742722E-2</v>
      </c>
      <c r="EU22" s="42">
        <v>1.4203606659856911</v>
      </c>
      <c r="EV22" s="42"/>
      <c r="EW22" s="42"/>
      <c r="EX22" s="42"/>
      <c r="EY22" s="42"/>
    </row>
    <row r="23" spans="1:155" x14ac:dyDescent="0.2">
      <c r="AQ23" s="119" t="s">
        <v>732</v>
      </c>
      <c r="AR23" s="119" t="s">
        <v>691</v>
      </c>
      <c r="AX23" s="119" t="s">
        <v>703</v>
      </c>
      <c r="BC23" s="42">
        <v>13</v>
      </c>
      <c r="BD23" s="42">
        <v>-1.5679773333627558</v>
      </c>
      <c r="BE23" s="42">
        <v>3.787089444375181</v>
      </c>
      <c r="BF23" s="42">
        <v>-5.1486223152027231</v>
      </c>
      <c r="BG23" s="119" t="s">
        <v>703</v>
      </c>
      <c r="BH23" s="42">
        <v>13</v>
      </c>
      <c r="BI23" s="42">
        <v>-1.5679773333627558</v>
      </c>
      <c r="BJ23" s="42">
        <v>9.3941786421017781</v>
      </c>
      <c r="BK23" s="42">
        <v>-10.75571151292932</v>
      </c>
      <c r="BL23" s="119" t="s">
        <v>748</v>
      </c>
      <c r="BQ23" s="119" t="s">
        <v>773</v>
      </c>
      <c r="BR23" s="42">
        <v>14</v>
      </c>
      <c r="BS23" s="42">
        <v>2</v>
      </c>
      <c r="BT23" s="42">
        <v>2</v>
      </c>
      <c r="BU23" s="42">
        <v>-0.57735026918962584</v>
      </c>
      <c r="BV23" s="42">
        <v>0</v>
      </c>
      <c r="CP23" s="119" t="s">
        <v>797</v>
      </c>
      <c r="CQ23" s="42">
        <v>2</v>
      </c>
      <c r="CR23" s="42">
        <v>0</v>
      </c>
      <c r="CT23" s="42">
        <v>0</v>
      </c>
      <c r="CU23" s="42">
        <v>13</v>
      </c>
      <c r="CV23" s="42">
        <v>0</v>
      </c>
      <c r="CX23" s="42">
        <v>1</v>
      </c>
      <c r="CY23" s="42">
        <v>1</v>
      </c>
      <c r="CZ23" s="42">
        <v>5</v>
      </c>
      <c r="DA23" s="42">
        <v>2</v>
      </c>
      <c r="DB23" s="42">
        <v>0.56024304633472843</v>
      </c>
      <c r="DC23" s="42">
        <v>2</v>
      </c>
      <c r="DD23" s="42">
        <v>-1.9397569536652717</v>
      </c>
      <c r="EM23" s="119" t="s">
        <v>874</v>
      </c>
      <c r="ES23" s="119" t="s">
        <v>736</v>
      </c>
      <c r="ET23" s="42" cm="1">
        <f t="array" ref="ET23:EU23">MMULT(_xlfn.SEQUENCE(,AQ14,1,0),(_xlfn.ANCHORARRAY(ET75)-(_xlfn.ANCHORARRAY(ET22)+_xlfn.ANCHORARRAY(ET21)*_xlfn.ANCHORARRAY(EU75)*_xlfn.SEQUENCE(,AQ16,1,0)))^2)</f>
        <v>164.24835250990043</v>
      </c>
      <c r="EU23" s="42">
        <v>197.27035983798831</v>
      </c>
      <c r="EV23" s="42"/>
      <c r="EW23" s="42"/>
      <c r="EX23" s="42"/>
      <c r="EY23" s="42"/>
    </row>
    <row r="24" spans="1:155" x14ac:dyDescent="0.2">
      <c r="AQ24" s="96">
        <f>AVERAGE(_xlfn.ANCHORARRAY(ET75))</f>
        <v>1.8540044183209705</v>
      </c>
      <c r="AR24" s="96">
        <f>ROUND(EU34,AR36)</f>
        <v>1.4999999999999999E-2</v>
      </c>
      <c r="AX24" s="173">
        <f>EU34+ET34*C38+_xlfn.T.INV.2T(1-B5,EU37)*SQRT(AX28/EU37)*SQRT(1/AQ14+(C38-AX30)^2/AX32)</f>
        <v>3.7427861990338451</v>
      </c>
      <c r="BC24" s="42">
        <v>14</v>
      </c>
      <c r="BD24" s="42">
        <v>-1.4368552238599468</v>
      </c>
      <c r="BE24" s="42">
        <v>3.7778936102494756</v>
      </c>
      <c r="BF24" s="42">
        <v>-5.0230180543939058</v>
      </c>
      <c r="BG24" s="173">
        <f>EU34+ET34*D38+_xlfn.T.INV.2T(1-B5,EU37)*SQRT(AX28/EU37)*SQRT(1+(1/AQ14)+(D38-AX30)^2/AX32)</f>
        <v>10.067736689744549</v>
      </c>
      <c r="BH24" s="42">
        <v>14</v>
      </c>
      <c r="BI24" s="42">
        <v>-1.4368552238599468</v>
      </c>
      <c r="BJ24" s="42">
        <v>9.4226751412061684</v>
      </c>
      <c r="BK24" s="42">
        <v>-10.667799585350599</v>
      </c>
      <c r="BL24" s="174">
        <f>1-B5</f>
        <v>5.0000000000000044E-2</v>
      </c>
      <c r="BQ24" s="96">
        <f>COUNTIF(_xlfn.ANCHORARRAY(CK10),"&gt;1")</f>
        <v>1</v>
      </c>
      <c r="BR24" s="42">
        <v>15</v>
      </c>
      <c r="BS24" s="42">
        <v>3</v>
      </c>
      <c r="BT24" s="42">
        <v>2</v>
      </c>
      <c r="BU24" s="42">
        <v>-0.57735026918962584</v>
      </c>
      <c r="BV24" s="42">
        <v>0</v>
      </c>
      <c r="CP24" s="96">
        <f>AQ16*(AQ16-1)/2</f>
        <v>1</v>
      </c>
      <c r="CQ24" s="42">
        <v>2</v>
      </c>
      <c r="CR24" s="42">
        <v>0</v>
      </c>
      <c r="CT24" s="42">
        <v>0</v>
      </c>
      <c r="CU24" s="42">
        <v>14</v>
      </c>
      <c r="CV24" s="42">
        <v>0</v>
      </c>
      <c r="CX24" s="42">
        <v>1</v>
      </c>
      <c r="CY24" s="42">
        <v>1</v>
      </c>
      <c r="CZ24" s="42">
        <v>5</v>
      </c>
      <c r="DA24" s="42">
        <v>3</v>
      </c>
      <c r="DB24" s="42" t="e">
        <v>#N/A</v>
      </c>
      <c r="DC24" s="42" t="e">
        <v>#N/A</v>
      </c>
      <c r="DD24" s="42" t="e">
        <v>#N/A</v>
      </c>
      <c r="EM24" s="96">
        <f>ET43</f>
        <v>0.20397039354139959</v>
      </c>
      <c r="ES24" s="119" t="s">
        <v>752</v>
      </c>
      <c r="ET24" s="42" cm="1">
        <f t="array" ref="ET24:EU24">SQRT(MMULT(_xlfn.SEQUENCE(,AQ14,1,0),(_xlfn.ANCHORARRAY(EU75)-_xlfn.ANCHORARRAY(ET18))^2)/AQ14)</f>
        <v>4.1022970522265636</v>
      </c>
      <c r="EU24" s="42">
        <v>0.4330127018922193</v>
      </c>
      <c r="EV24" s="42"/>
      <c r="EW24" s="42"/>
      <c r="EX24" s="42"/>
      <c r="EY24" s="42"/>
    </row>
    <row r="25" spans="1:155" x14ac:dyDescent="0.2">
      <c r="AQ25" s="119" t="s">
        <v>735</v>
      </c>
      <c r="AR25" s="119" t="s">
        <v>692</v>
      </c>
      <c r="AX25" s="119" t="s">
        <v>704</v>
      </c>
      <c r="BC25" s="42">
        <v>15</v>
      </c>
      <c r="BD25" s="42">
        <v>-1.3057331143571376</v>
      </c>
      <c r="BE25" s="42">
        <v>3.7692515093750201</v>
      </c>
      <c r="BF25" s="42">
        <v>-4.8979675268363385</v>
      </c>
      <c r="BG25" s="119" t="s">
        <v>704</v>
      </c>
      <c r="BH25" s="42">
        <v>15</v>
      </c>
      <c r="BI25" s="42">
        <v>-1.3057331143571376</v>
      </c>
      <c r="BJ25" s="42">
        <v>9.451776655290498</v>
      </c>
      <c r="BK25" s="42">
        <v>-10.580492672751816</v>
      </c>
      <c r="BQ25" s="119" t="s">
        <v>774</v>
      </c>
      <c r="BR25" s="42">
        <v>16</v>
      </c>
      <c r="BS25" s="42">
        <v>4</v>
      </c>
      <c r="BT25" s="42">
        <v>2</v>
      </c>
      <c r="BU25" s="42">
        <v>-0.57735026918962584</v>
      </c>
      <c r="BV25" s="42">
        <v>0</v>
      </c>
      <c r="CP25" s="119" t="s">
        <v>769</v>
      </c>
      <c r="CQ25" s="42">
        <v>2</v>
      </c>
      <c r="CR25" s="42">
        <v>0</v>
      </c>
      <c r="CT25" s="42">
        <v>0</v>
      </c>
      <c r="CU25" s="42">
        <v>15</v>
      </c>
      <c r="CV25" s="42">
        <v>0</v>
      </c>
      <c r="CX25" s="42">
        <v>1</v>
      </c>
      <c r="CY25" s="42">
        <v>1</v>
      </c>
      <c r="CZ25" s="42">
        <v>6</v>
      </c>
      <c r="DA25" s="42">
        <v>1</v>
      </c>
      <c r="DB25" s="42">
        <v>1</v>
      </c>
      <c r="DC25" s="42">
        <v>1</v>
      </c>
      <c r="DD25" s="42">
        <v>-1.5</v>
      </c>
      <c r="EM25" s="119" t="s">
        <v>875</v>
      </c>
      <c r="ES25" s="119" t="s">
        <v>49</v>
      </c>
      <c r="ET25" s="42" cm="1">
        <f t="array" ref="ET25:EU25">INDEX(_xlfn.ANCHORARRAY(ET48),,2):INDEX(_xlfn.ANCHORARRAY(ET48),,AQ16+1)</f>
        <v>0.42421069752609436</v>
      </c>
      <c r="EU25" s="42">
        <v>0.92006454592698861</v>
      </c>
      <c r="EV25" s="42"/>
      <c r="EW25" s="42"/>
      <c r="EX25" s="42"/>
      <c r="EY25" s="42"/>
    </row>
    <row r="26" spans="1:155" x14ac:dyDescent="0.2">
      <c r="AQ26" s="96" cm="1">
        <f t="array" ref="AQ26">SUM((_xlfn.ANCHORARRAY(ET75)-AVERAGE(_xlfn.ANCHORARRAY(ET75)))^2)</f>
        <v>204.04004837980742</v>
      </c>
      <c r="AR26" s="96" t="b">
        <f>AR24&lt;0</f>
        <v>0</v>
      </c>
      <c r="AX26" s="173">
        <f>EU34+ET34*C38-_xlfn.T.INV.2T(1-B5,EU37)*SQRT(AX28/EU37)*SQRT(1/AQ14+(C38-AX30)^2/AX32)</f>
        <v>-2.8245036957177403</v>
      </c>
      <c r="BC26" s="42">
        <v>16</v>
      </c>
      <c r="BD26" s="42">
        <v>-1.1746110048543286</v>
      </c>
      <c r="BE26" s="42">
        <v>3.7611891638972974</v>
      </c>
      <c r="BF26" s="42">
        <v>-4.7734967546755041</v>
      </c>
      <c r="BG26" s="173">
        <f>EU34+ET34*D38-_xlfn.T.INV.2T(1-B5,EU37)*SQRT(AX28/EU37)*SQRT(1+(1/AQ14)+(D38-AX30)^2/AX32)</f>
        <v>-9.1494541864284464</v>
      </c>
      <c r="BH26" s="42">
        <v>16</v>
      </c>
      <c r="BI26" s="42">
        <v>-1.1746110048543286</v>
      </c>
      <c r="BJ26" s="42">
        <v>9.481488473162635</v>
      </c>
      <c r="BK26" s="42">
        <v>-10.493796063940842</v>
      </c>
      <c r="BQ26" s="96">
        <v>3</v>
      </c>
      <c r="BR26" s="42">
        <v>17</v>
      </c>
      <c r="BS26" s="42">
        <v>5</v>
      </c>
      <c r="BT26" s="42">
        <v>2</v>
      </c>
      <c r="BU26" s="42">
        <v>-0.57735026918962584</v>
      </c>
      <c r="BV26" s="42">
        <v>0</v>
      </c>
      <c r="CP26" s="97" t="s">
        <v>826</v>
      </c>
      <c r="CQ26" s="42">
        <v>2</v>
      </c>
      <c r="CR26" s="42">
        <v>0</v>
      </c>
      <c r="CT26" s="42">
        <v>0</v>
      </c>
      <c r="CU26" s="42">
        <v>16</v>
      </c>
      <c r="CV26" s="42">
        <v>0</v>
      </c>
      <c r="CX26" s="42">
        <v>1</v>
      </c>
      <c r="CY26" s="42">
        <v>1</v>
      </c>
      <c r="CZ26" s="42">
        <v>6</v>
      </c>
      <c r="DA26" s="42">
        <v>2</v>
      </c>
      <c r="DB26" s="42">
        <v>0.63727818662732494</v>
      </c>
      <c r="DC26" s="42">
        <v>2</v>
      </c>
      <c r="DD26" s="42">
        <v>-1.8627218133726751</v>
      </c>
      <c r="EM26" s="96">
        <f>1-((1-EM22)*(AQ14-1)/(AQ14-1-1))</f>
        <v>0.11452095215847558</v>
      </c>
      <c r="ES26" s="119" t="s">
        <v>678</v>
      </c>
      <c r="ET26" cm="1">
        <f t="array" ref="ET26:EU26">1-MMULT(_xlfn.SEQUENCE(,AQ14,1,0),(_xlfn.ANCHORARRAY(ET75)-(_xlfn.ANCHORARRAY(ET22)+_xlfn.ANCHORARRAY(ET21)*_xlfn.ANCHORARRAY(EU75)*_xlfn.SEQUENCE(,AQ16,1,0)))^2)/SUM((_xlfn.ANCHORARRAY(ET75)-AVERAGE(_xlfn.ANCHORARRAY(ET75)))^2)</f>
        <v>0.19501904741679588</v>
      </c>
      <c r="EU26">
        <v>3.3178234349453661E-2</v>
      </c>
    </row>
    <row r="27" spans="1:155" x14ac:dyDescent="0.2">
      <c r="B27"/>
      <c r="AQ27" s="119" t="s">
        <v>886</v>
      </c>
      <c r="AR27" s="119" t="s">
        <v>695</v>
      </c>
      <c r="AX27" s="119" t="s">
        <v>705</v>
      </c>
      <c r="BC27" s="42">
        <v>17</v>
      </c>
      <c r="BD27" s="42">
        <v>-1.0434888953515191</v>
      </c>
      <c r="BE27" s="42">
        <v>3.7537340046209176</v>
      </c>
      <c r="BF27" s="42">
        <v>-4.6496331687160124</v>
      </c>
      <c r="BG27" s="119" t="s">
        <v>724</v>
      </c>
      <c r="BH27" s="42">
        <v>17</v>
      </c>
      <c r="BI27" s="42">
        <v>-1.0434888953515191</v>
      </c>
      <c r="BJ27" s="42">
        <v>9.5118158326030038</v>
      </c>
      <c r="BK27" s="42">
        <v>-10.407714996698099</v>
      </c>
      <c r="BQ27" s="119" t="s">
        <v>775</v>
      </c>
      <c r="BR27" s="42">
        <v>18</v>
      </c>
      <c r="BS27" s="42">
        <v>6</v>
      </c>
      <c r="BT27" s="42">
        <v>2</v>
      </c>
      <c r="BU27" s="42">
        <v>1.7320508075688774</v>
      </c>
      <c r="BV27" s="42">
        <v>0.92006454592698861</v>
      </c>
      <c r="CP27" s="119" t="s">
        <v>827</v>
      </c>
      <c r="CQ27" s="42">
        <v>2</v>
      </c>
      <c r="CR27" s="42">
        <v>1</v>
      </c>
      <c r="CT27" s="42">
        <v>1</v>
      </c>
      <c r="CU27" s="42">
        <v>17</v>
      </c>
      <c r="CV27" s="42">
        <v>0</v>
      </c>
      <c r="CX27" s="42">
        <v>1</v>
      </c>
      <c r="CY27" s="42">
        <v>1</v>
      </c>
      <c r="CZ27" s="42">
        <v>6</v>
      </c>
      <c r="DA27" s="42">
        <v>3</v>
      </c>
      <c r="DB27" s="42" t="e">
        <v>#N/A</v>
      </c>
      <c r="DC27" s="42" t="e">
        <v>#N/A</v>
      </c>
      <c r="DD27" s="42" t="e">
        <v>#N/A</v>
      </c>
      <c r="EM27" s="119" t="s">
        <v>876</v>
      </c>
      <c r="ES27" s="119" t="s">
        <v>949</v>
      </c>
      <c r="ET27" s="42" cm="1">
        <f t="array" ref="ET27:EU27">TRANSPOSE(INDEX(INDEX(_xlfn.ANCHORARRAY(A53),1,1):INDEX(_xlfn.ANCHORARRAY(D53),AQ16,1),,2))</f>
        <v>1</v>
      </c>
      <c r="EU27" s="42">
        <v>1</v>
      </c>
      <c r="EV27" s="42"/>
      <c r="EW27" s="42"/>
      <c r="EX27" s="42"/>
      <c r="EY27" s="42"/>
    </row>
    <row r="28" spans="1:155" x14ac:dyDescent="0.2">
      <c r="AQ28" s="96">
        <f>MIN(_xlfn.ANCHORARRAY(AU10),_xlfn.ANCHORARRAY(AW10),_xlfn.ANCHORARRAY(BF10),_xlfn.ANCHORARRAY(BK10),_xlfn.ANCHORARRAY(EO10),_xlfn.ANCHORARRAY(EP10))</f>
        <v>-11.951147136555756</v>
      </c>
      <c r="AR28" s="96" t="str">
        <f>IF(AR26," - "," + ")&amp;ABS(AR24)</f>
        <v xml:space="preserve"> + 0.015</v>
      </c>
      <c r="AX28" s="96">
        <f>SUM(_xlfn.ANCHORARRAY(BA10))</f>
        <v>164.24835250990043</v>
      </c>
      <c r="BC28" s="42">
        <v>18</v>
      </c>
      <c r="BD28" s="42">
        <v>-0.91236678584870967</v>
      </c>
      <c r="BE28" s="42">
        <v>3.7469149444379388</v>
      </c>
      <c r="BF28" s="42">
        <v>-4.5264056818499219</v>
      </c>
      <c r="BG28" s="96">
        <f>IF(AO3&lt;100,100,AO3)</f>
        <v>100</v>
      </c>
      <c r="BH28" s="42">
        <v>18</v>
      </c>
      <c r="BI28" s="42">
        <v>-0.91236678584870967</v>
      </c>
      <c r="BJ28" s="42">
        <v>9.5427639164006752</v>
      </c>
      <c r="BK28" s="42">
        <v>-10.322254653812658</v>
      </c>
      <c r="BQ28" s="96">
        <f>IF(COUNTA(_xlfn.ANCHORARRAY(BQ30))=COUNTA(_xlfn.ANCHORARRAY(BQ34)),COUNTA(_xlfn.ANCHORARRAY(BQ30)),1)</f>
        <v>1</v>
      </c>
      <c r="BR28" s="42">
        <v>19</v>
      </c>
      <c r="BS28" s="42">
        <v>7</v>
      </c>
      <c r="BT28" s="42">
        <v>2</v>
      </c>
      <c r="BU28" s="42">
        <v>-0.57735026918962584</v>
      </c>
      <c r="BV28" s="42">
        <v>0</v>
      </c>
      <c r="CP28" s="96">
        <v>0.7</v>
      </c>
      <c r="CQ28" s="42">
        <v>2</v>
      </c>
      <c r="CR28" s="42">
        <v>0</v>
      </c>
      <c r="CT28" s="42">
        <v>0</v>
      </c>
      <c r="CU28" s="42">
        <v>18</v>
      </c>
      <c r="CV28" s="42">
        <v>0</v>
      </c>
      <c r="CX28" s="42">
        <v>1</v>
      </c>
      <c r="CY28" s="42">
        <v>1</v>
      </c>
      <c r="CZ28" s="42">
        <v>7</v>
      </c>
      <c r="DA28" s="42">
        <v>1</v>
      </c>
      <c r="DB28" s="42">
        <v>0</v>
      </c>
      <c r="DC28" s="42">
        <v>1</v>
      </c>
      <c r="DD28" s="42">
        <v>-2.5</v>
      </c>
      <c r="EM28" s="96">
        <f>1-((1-EM24)*(AQ14-1)/(AQ14-AQ16-1))</f>
        <v>2.7074925439488307E-2</v>
      </c>
      <c r="ES28" s="119" t="s">
        <v>951</v>
      </c>
      <c r="ET28" s="96">
        <f>SUMPRODUCT(_xlfn.ANCHORARRAY(ET27),_xlfn.ANCHORARRAY(ET25))+ET48</f>
        <v>1.2110387803470906</v>
      </c>
    </row>
    <row r="29" spans="1:155" x14ac:dyDescent="0.2">
      <c r="A29" s="3" t="s">
        <v>430</v>
      </c>
      <c r="AQ29" s="119" t="s">
        <v>887</v>
      </c>
      <c r="AR29" s="119" t="s">
        <v>696</v>
      </c>
      <c r="AX29" s="119" t="s">
        <v>706</v>
      </c>
      <c r="BC29" s="42">
        <v>19</v>
      </c>
      <c r="BD29" s="42">
        <v>-0.78124467634590111</v>
      </c>
      <c r="BE29" s="42">
        <v>3.7407624536207549</v>
      </c>
      <c r="BF29" s="42">
        <v>-4.4038447643496266</v>
      </c>
      <c r="BG29" s="119" t="s">
        <v>711</v>
      </c>
      <c r="BH29" s="42">
        <v>19</v>
      </c>
      <c r="BI29" s="42">
        <v>-0.78124467634590111</v>
      </c>
      <c r="BJ29" s="42">
        <v>9.5743378483456283</v>
      </c>
      <c r="BK29" s="42">
        <v>-10.2374201590745</v>
      </c>
      <c r="BQ29" s="119" t="s">
        <v>771</v>
      </c>
      <c r="BR29" s="42">
        <v>20</v>
      </c>
      <c r="BS29" s="42">
        <v>8</v>
      </c>
      <c r="BT29" s="42">
        <v>2</v>
      </c>
      <c r="BU29" s="42">
        <v>-0.57735026918962584</v>
      </c>
      <c r="BV29" s="42">
        <v>0</v>
      </c>
      <c r="CP29" s="119" t="s">
        <v>831</v>
      </c>
      <c r="CQ29" s="42">
        <v>2</v>
      </c>
      <c r="CR29" s="42">
        <v>0</v>
      </c>
      <c r="CT29" s="42">
        <v>0</v>
      </c>
      <c r="CU29" s="42">
        <v>19</v>
      </c>
      <c r="CV29" s="42">
        <v>0</v>
      </c>
      <c r="CX29" s="42">
        <v>1</v>
      </c>
      <c r="CY29" s="42">
        <v>1</v>
      </c>
      <c r="CZ29" s="42">
        <v>7</v>
      </c>
      <c r="DA29" s="42">
        <v>2</v>
      </c>
      <c r="DB29" s="42">
        <v>0.4079360617173593</v>
      </c>
      <c r="DC29" s="42">
        <v>2</v>
      </c>
      <c r="DD29" s="42">
        <v>-2.0920639382826405</v>
      </c>
      <c r="EM29" s="119" t="s">
        <v>881</v>
      </c>
      <c r="ES29" s="119" t="s">
        <v>952</v>
      </c>
      <c r="ET29" s="42" cm="1">
        <f t="array" ref="ET29:EU29">_xlfn.ANCHORARRAY(ET25)*_xlfn.ANCHORARRAY(ET27)</f>
        <v>0.42421069752609436</v>
      </c>
      <c r="EU29" s="42">
        <v>0.92006454592698861</v>
      </c>
    </row>
    <row r="30" spans="1:155" x14ac:dyDescent="0.2">
      <c r="A30" s="177" t="s">
        <v>1101</v>
      </c>
      <c r="B30" s="178"/>
      <c r="C30" s="60" t="str" cm="1">
        <f t="array" ref="C30">IF(AND(AQ14=_xlfn.ANCHORARRAY(ET31)),"Opfyldt","Ikke opfyldt")</f>
        <v>Opfyldt</v>
      </c>
      <c r="AQ30" s="96">
        <f>MAX(_xlfn.ANCHORARRAY(AU10),_xlfn.ANCHORARRAY(AW10),_xlfn.ANCHORARRAY(BE10),_xlfn.ANCHORARRAY(BJ10),_xlfn.ANCHORARRAY(EO10),_xlfn.ANCHORARRAY(EP10))</f>
        <v>14.367118518839385</v>
      </c>
      <c r="AR30" s="172">
        <f>ET34*B38+EU34</f>
        <v>0.45914125165805242</v>
      </c>
      <c r="AX30" s="96">
        <f>AVERAGE(_xlfn.ANCHORARRAY(AT10))</f>
        <v>4.14233953833077</v>
      </c>
      <c r="BC30" s="42">
        <v>20</v>
      </c>
      <c r="BD30" s="42">
        <v>-0.65012256684309122</v>
      </c>
      <c r="BE30" s="42">
        <v>3.7353086365635431</v>
      </c>
      <c r="BF30" s="42">
        <v>-4.2819825206093025</v>
      </c>
      <c r="BG30" s="96">
        <f>MIN(_xlfn.ANCHORARRAY(AT10),D38)</f>
        <v>-3.2725647568992748</v>
      </c>
      <c r="BH30" s="42">
        <v>20</v>
      </c>
      <c r="BI30" s="42">
        <v>-0.65012256684309122</v>
      </c>
      <c r="BJ30" s="42">
        <v>9.6065426891826835</v>
      </c>
      <c r="BK30" s="42">
        <v>-10.153216573228443</v>
      </c>
      <c r="BQ30" s="96" t="str" cm="1">
        <f t="array" ref="BQ30">INDEX(_xlfn.ANCHORARRAY(ET11),MATCH(LARGE(_xlfn.ANCHORARRAY(CK10),_xlfn.SEQUENCE(MIN(BQ24,BQ26))),_xlfn.ANCHORARRAY(CK10),0))</f>
        <v>Eksempel 2 (interval)</v>
      </c>
      <c r="BR30" s="42">
        <v>21</v>
      </c>
      <c r="BS30" s="42">
        <v>9</v>
      </c>
      <c r="BT30" s="42">
        <v>2</v>
      </c>
      <c r="BU30" s="42">
        <v>1.7320508075688774</v>
      </c>
      <c r="BV30" s="42">
        <v>0.92006454592698861</v>
      </c>
      <c r="CP30" s="96">
        <f>COUNTIF(_xlfn.ANCHORARRAY(DK10),"&gt;"&amp;0.7)+COUNTIF(_xlfn.ANCHORARRAY(DK10),"&lt;"&amp;-0.7)</f>
        <v>0</v>
      </c>
      <c r="CQ30" s="42">
        <v>2</v>
      </c>
      <c r="CR30" s="42">
        <v>1</v>
      </c>
      <c r="CT30" s="42">
        <v>1</v>
      </c>
      <c r="CU30" s="42">
        <v>20</v>
      </c>
      <c r="CV30" s="42">
        <v>0</v>
      </c>
      <c r="CX30" s="42">
        <v>1</v>
      </c>
      <c r="CY30" s="42">
        <v>1</v>
      </c>
      <c r="CZ30" s="42">
        <v>7</v>
      </c>
      <c r="DA30" s="42">
        <v>3</v>
      </c>
      <c r="DB30" s="42" t="e">
        <v>#N/A</v>
      </c>
      <c r="DC30" s="42" t="e">
        <v>#N/A</v>
      </c>
      <c r="DD30" s="42" t="e">
        <v>#N/A</v>
      </c>
      <c r="EM30" s="96">
        <v>1</v>
      </c>
      <c r="ES30" s="119" t="s">
        <v>955</v>
      </c>
      <c r="ET30" s="42" cm="1">
        <f t="array" ref="ET30:EU30">(_xlfn.ANCHORARRAY(ET27)-_xlfn.ANCHORARRAY(ET18))/_xlfn.ANCHORARRAY(ET24)</f>
        <v>-0.76599512378686307</v>
      </c>
      <c r="EU30" s="42">
        <v>1.7320508075688774</v>
      </c>
    </row>
    <row r="31" spans="1:155" x14ac:dyDescent="0.2">
      <c r="A31" s="177" t="s">
        <v>914</v>
      </c>
      <c r="B31" s="178"/>
      <c r="C31" s="60" t="s">
        <v>185</v>
      </c>
      <c r="AR31" s="162" t="s">
        <v>578</v>
      </c>
      <c r="AX31" s="119" t="s">
        <v>708</v>
      </c>
      <c r="BC31" s="42">
        <v>21</v>
      </c>
      <c r="BD31" s="42">
        <v>-0.51900045734028266</v>
      </c>
      <c r="BE31" s="42">
        <v>3.7305873094410016</v>
      </c>
      <c r="BF31" s="42">
        <v>-4.1608527668036501</v>
      </c>
      <c r="BG31" s="119" t="s">
        <v>712</v>
      </c>
      <c r="BH31" s="42">
        <v>21</v>
      </c>
      <c r="BI31" s="42">
        <v>-0.51900045734028266</v>
      </c>
      <c r="BJ31" s="42">
        <v>9.6393834325327887</v>
      </c>
      <c r="BK31" s="42">
        <v>-10.069648889895436</v>
      </c>
      <c r="BQ31" s="96"/>
      <c r="BR31" s="42">
        <v>22</v>
      </c>
      <c r="BS31" s="42">
        <v>10</v>
      </c>
      <c r="BT31" s="42">
        <v>2</v>
      </c>
      <c r="BU31" s="42">
        <v>1.7320508075688774</v>
      </c>
      <c r="BV31" s="42">
        <v>0.92006454592698861</v>
      </c>
      <c r="CP31" s="119" t="s">
        <v>829</v>
      </c>
      <c r="CQ31" s="42">
        <v>2</v>
      </c>
      <c r="CR31" s="42">
        <v>1</v>
      </c>
      <c r="CT31" s="42">
        <v>1</v>
      </c>
      <c r="CU31" s="42">
        <v>21</v>
      </c>
      <c r="CV31" s="42">
        <v>0</v>
      </c>
      <c r="CX31" s="42">
        <v>1</v>
      </c>
      <c r="CY31" s="42">
        <v>1</v>
      </c>
      <c r="CZ31" s="42">
        <v>8</v>
      </c>
      <c r="DA31" s="42">
        <v>1</v>
      </c>
      <c r="DB31" s="42">
        <v>0</v>
      </c>
      <c r="DC31" s="42">
        <v>1</v>
      </c>
      <c r="DD31" s="42">
        <v>-2.5</v>
      </c>
      <c r="EM31" s="119" t="s">
        <v>877</v>
      </c>
      <c r="ES31" s="119" t="s">
        <v>1102</v>
      </c>
      <c r="ET31" s="42" cm="1">
        <f t="array" ref="ET31:EU31">INDEX(DataBeregning!B5:CW5,_xlfn.ANCHORARRAY(ET9))</f>
        <v>12</v>
      </c>
      <c r="EU31" s="42">
        <v>12</v>
      </c>
    </row>
    <row r="32" spans="1:155" x14ac:dyDescent="0.2">
      <c r="A32" s="177" t="s">
        <v>915</v>
      </c>
      <c r="B32" s="178"/>
      <c r="C32" s="60" t="s">
        <v>185</v>
      </c>
      <c r="AR32" s="96">
        <f>MAX(LEN(ROUND(ABS(ET34),0)),LEN(ROUND(ABS(EU34),0)))</f>
        <v>1</v>
      </c>
      <c r="AX32" s="96">
        <f>SUM(_xlfn.ANCHORARRAY(BB10))</f>
        <v>201.94609325648102</v>
      </c>
      <c r="BC32" s="42">
        <v>22</v>
      </c>
      <c r="BD32" s="42">
        <v>-0.38787834783747366</v>
      </c>
      <c r="BE32" s="42">
        <v>3.7266340781190403</v>
      </c>
      <c r="BF32" s="42">
        <v>-4.0404911087985775</v>
      </c>
      <c r="BG32" s="96">
        <f>MAX(_xlfn.ANCHORARRAY(AT10),D38)</f>
        <v>9.7085240838788316</v>
      </c>
      <c r="BH32" s="42">
        <v>22</v>
      </c>
      <c r="BI32" s="42">
        <v>-0.38787834783747366</v>
      </c>
      <c r="BJ32" s="42">
        <v>9.6728650007877501</v>
      </c>
      <c r="BK32" s="42">
        <v>-9.986722031467286</v>
      </c>
      <c r="BQ32" s="96"/>
      <c r="BR32" s="42">
        <v>23</v>
      </c>
      <c r="BS32" s="42">
        <v>11</v>
      </c>
      <c r="BT32" s="42">
        <v>2</v>
      </c>
      <c r="BU32" s="42">
        <v>-0.57735026918962584</v>
      </c>
      <c r="BV32" s="42">
        <v>0</v>
      </c>
      <c r="CP32" s="96">
        <v>2</v>
      </c>
      <c r="CQ32" s="42">
        <v>2</v>
      </c>
      <c r="CR32" s="42">
        <v>0</v>
      </c>
      <c r="CT32" s="42">
        <v>0</v>
      </c>
      <c r="CU32" s="42">
        <v>22</v>
      </c>
      <c r="CV32" s="42">
        <v>0</v>
      </c>
      <c r="CX32" s="42">
        <v>1</v>
      </c>
      <c r="CY32" s="42">
        <v>1</v>
      </c>
      <c r="CZ32" s="42">
        <v>8</v>
      </c>
      <c r="DA32" s="42">
        <v>2</v>
      </c>
      <c r="DB32" s="42">
        <v>0.94541874779771085</v>
      </c>
      <c r="DC32" s="42">
        <v>2</v>
      </c>
      <c r="DD32" s="42">
        <v>-1.554581252202289</v>
      </c>
      <c r="EM32" s="96" t="str">
        <f>ROUND(EM22*100,EM30)&amp;"%"</f>
        <v>19.5%</v>
      </c>
    </row>
    <row r="33" spans="1:155" x14ac:dyDescent="0.2">
      <c r="A33" s="177" t="s">
        <v>916</v>
      </c>
      <c r="B33" s="178"/>
      <c r="C33" s="60" t="s">
        <v>185</v>
      </c>
      <c r="E33" s="52"/>
      <c r="AR33" s="162" t="s">
        <v>689</v>
      </c>
      <c r="AX33" s="119" t="s">
        <v>710</v>
      </c>
      <c r="BC33" s="42">
        <v>23</v>
      </c>
      <c r="BD33" s="42">
        <v>-0.25675623833466421</v>
      </c>
      <c r="BE33" s="42">
        <v>3.7234864154973413</v>
      </c>
      <c r="BF33" s="42">
        <v>-3.9209350194937662</v>
      </c>
      <c r="BG33" s="119" t="s">
        <v>284</v>
      </c>
      <c r="BH33" s="42">
        <v>23</v>
      </c>
      <c r="BI33" s="42">
        <v>-0.25675623833466421</v>
      </c>
      <c r="BJ33" s="42">
        <v>9.7069922409846612</v>
      </c>
      <c r="BK33" s="42">
        <v>-9.9044408449810852</v>
      </c>
      <c r="BQ33" s="119" t="s">
        <v>905</v>
      </c>
      <c r="BR33" s="42">
        <v>24</v>
      </c>
      <c r="BS33" s="42">
        <v>12</v>
      </c>
      <c r="BT33" s="42">
        <v>2</v>
      </c>
      <c r="BU33" s="42">
        <v>-0.57735026918962584</v>
      </c>
      <c r="BV33" s="42">
        <v>0</v>
      </c>
      <c r="CP33" s="119" t="s">
        <v>830</v>
      </c>
      <c r="CQ33" s="42">
        <v>2</v>
      </c>
      <c r="CR33" s="42">
        <v>0</v>
      </c>
      <c r="CT33" s="42">
        <v>0</v>
      </c>
      <c r="CU33" s="42">
        <v>23</v>
      </c>
      <c r="CV33" s="42">
        <v>0</v>
      </c>
      <c r="CX33" s="42">
        <v>1</v>
      </c>
      <c r="CY33" s="42">
        <v>1</v>
      </c>
      <c r="CZ33" s="42">
        <v>8</v>
      </c>
      <c r="DA33" s="42">
        <v>3</v>
      </c>
      <c r="DB33" s="42" t="e">
        <v>#N/A</v>
      </c>
      <c r="DC33" s="42" t="e">
        <v>#N/A</v>
      </c>
      <c r="DD33" s="42" t="e">
        <v>#N/A</v>
      </c>
      <c r="EM33" s="119" t="s">
        <v>878</v>
      </c>
      <c r="ES33" s="119" t="s">
        <v>679</v>
      </c>
      <c r="ET33" s="42" t="s">
        <v>53</v>
      </c>
      <c r="EU33" s="42" t="s">
        <v>42</v>
      </c>
      <c r="EV33" s="42"/>
      <c r="EW33" s="42"/>
      <c r="EX33" s="42"/>
      <c r="EY33" s="42"/>
    </row>
    <row r="34" spans="1:155" x14ac:dyDescent="0.2">
      <c r="A34" s="177" t="s">
        <v>917</v>
      </c>
      <c r="B34" s="178"/>
      <c r="C34" s="60" t="s">
        <v>185</v>
      </c>
      <c r="AR34" s="96">
        <v>5</v>
      </c>
      <c r="AX34" s="96">
        <f>IF(AQ14&lt;100,100,AQ14)</f>
        <v>100</v>
      </c>
      <c r="BC34" s="42">
        <v>24</v>
      </c>
      <c r="BD34" s="42">
        <v>-0.12563412883185521</v>
      </c>
      <c r="BE34" s="42">
        <v>3.7211837372866006</v>
      </c>
      <c r="BF34" s="42">
        <v>-3.8022239145999137</v>
      </c>
      <c r="BG34" s="96">
        <f>BG32-BG30</f>
        <v>12.981088840778106</v>
      </c>
      <c r="BH34" s="42">
        <v>24</v>
      </c>
      <c r="BI34" s="42">
        <v>-0.12563412883185521</v>
      </c>
      <c r="BJ34" s="42">
        <v>9.7417699206666324</v>
      </c>
      <c r="BK34" s="42">
        <v>-9.8228100979799446</v>
      </c>
      <c r="BQ34" s="96" t="str" cm="1">
        <f t="array" ref="BQ34">_xlfn.UNIQUE(_xlfn.ANCHORARRAY(BQ30))</f>
        <v>Eksempel 2 (interval)</v>
      </c>
      <c r="CP34" s="96">
        <v>1</v>
      </c>
      <c r="CU34" s="42">
        <v>24</v>
      </c>
      <c r="CV34" s="42">
        <v>0</v>
      </c>
      <c r="CX34" s="42">
        <v>1</v>
      </c>
      <c r="CY34" s="42">
        <v>1</v>
      </c>
      <c r="CZ34" s="42">
        <v>9</v>
      </c>
      <c r="DA34" s="42">
        <v>1</v>
      </c>
      <c r="DB34" s="42">
        <v>1</v>
      </c>
      <c r="DC34" s="42">
        <v>1</v>
      </c>
      <c r="DD34" s="42">
        <v>-1.5</v>
      </c>
      <c r="EM34" s="96" t="str">
        <f>ROUND(EM24*100,EM30)&amp;"%"</f>
        <v>20.4%</v>
      </c>
      <c r="ES34" s="119" t="s">
        <v>672</v>
      </c>
      <c r="ET34" s="98" cm="1">
        <f t="array" ref="ET34:EU38">LINEST(_xlfn.ANCHORARRAY(ET75),INDEX(_xlfn.ANCHORARRAY(EU75),1,AR44):INDEX(_xlfn.ANCHORARRAY(EU75),AQ14,AR44),AQ18,TRUE)</f>
        <v>0.44389320429831014</v>
      </c>
      <c r="EU34" s="98">
        <v>1.5248047359742278E-2</v>
      </c>
      <c r="EV34" s="42"/>
      <c r="EW34" s="42"/>
      <c r="EX34" s="42"/>
      <c r="EY34" s="42"/>
    </row>
    <row r="35" spans="1:155" x14ac:dyDescent="0.2">
      <c r="AR35" s="162" t="s">
        <v>577</v>
      </c>
      <c r="AX35" s="119" t="s">
        <v>711</v>
      </c>
      <c r="BC35" s="42">
        <v>25</v>
      </c>
      <c r="BD35" s="42">
        <v>5.48798067095424E-3</v>
      </c>
      <c r="BE35" s="42">
        <v>3.7197674750225578</v>
      </c>
      <c r="BF35" s="42">
        <v>-3.6843992256527591</v>
      </c>
      <c r="BG35" s="162" t="s">
        <v>715</v>
      </c>
      <c r="BH35" s="42">
        <v>25</v>
      </c>
      <c r="BI35" s="42">
        <v>5.48798067095424E-3</v>
      </c>
      <c r="BJ35" s="42">
        <v>9.7772027237366679</v>
      </c>
      <c r="BK35" s="42">
        <v>-9.7418344743668683</v>
      </c>
      <c r="BQ35" s="96"/>
      <c r="CP35" s="119" t="s">
        <v>836</v>
      </c>
      <c r="CU35" s="42">
        <v>25</v>
      </c>
      <c r="CV35" s="42">
        <v>0</v>
      </c>
      <c r="CX35" s="42">
        <v>1</v>
      </c>
      <c r="CY35" s="42">
        <v>1</v>
      </c>
      <c r="CZ35" s="42">
        <v>9</v>
      </c>
      <c r="DA35" s="42">
        <v>2</v>
      </c>
      <c r="DB35" s="42">
        <v>0.73935791009566187</v>
      </c>
      <c r="DC35" s="42">
        <v>2</v>
      </c>
      <c r="DD35" s="42">
        <v>-1.760642089904338</v>
      </c>
      <c r="EM35" s="119" t="s">
        <v>879</v>
      </c>
      <c r="ES35" s="119" t="s">
        <v>673</v>
      </c>
      <c r="ET35" s="98">
        <v>0.28518900833341465</v>
      </c>
      <c r="EU35" s="98">
        <v>1.6626254529194178</v>
      </c>
      <c r="EV35" s="42"/>
      <c r="EW35" s="42"/>
      <c r="EX35" s="42"/>
      <c r="EY35" s="42"/>
    </row>
    <row r="36" spans="1:155" x14ac:dyDescent="0.2">
      <c r="A36" s="47" t="s">
        <v>918</v>
      </c>
      <c r="AR36" s="96">
        <f>MIN(3,MAX(0,AR34-AR32))</f>
        <v>3</v>
      </c>
      <c r="AX36" s="96">
        <f>MIN(_xlfn.ANCHORARRAY(AT10),C38)</f>
        <v>-3.2725647568992748</v>
      </c>
      <c r="BC36" s="42">
        <v>26</v>
      </c>
      <c r="BD36" s="42">
        <v>0.13661009017376324</v>
      </c>
      <c r="BE36" s="42">
        <v>3.7192811448936158</v>
      </c>
      <c r="BF36" s="42">
        <v>-3.5675044688407054</v>
      </c>
      <c r="BG36" s="96" cm="1">
        <f t="array" ref="BG36">MAX(LEN(ROUND(ABS(_xlfn.ANCHORARRAY(BI10)),0)),LEN(ROUND(ABS(_xlfn.ANCHORARRAY(BK10)),0)),LEN(ROUND(ABS(_xlfn.ANCHORARRAY(BJ10)),0)))</f>
        <v>2</v>
      </c>
      <c r="BH36" s="42">
        <v>26</v>
      </c>
      <c r="BI36" s="42">
        <v>0.13661009017376324</v>
      </c>
      <c r="BJ36" s="42">
        <v>9.8132952463117125</v>
      </c>
      <c r="BK36" s="42">
        <v>-9.6615185702588011</v>
      </c>
      <c r="BQ36" s="96"/>
      <c r="CP36" s="96" cm="1">
        <f t="array" ref="CP36">LARGE(_xlfn.ANCHORARRAY(DU10),_xlfn.SEQUENCE(CP34))</f>
        <v>0.20266958709140057</v>
      </c>
      <c r="CU36" s="42">
        <v>26</v>
      </c>
      <c r="CV36" s="42">
        <v>0</v>
      </c>
      <c r="CX36" s="42">
        <v>1</v>
      </c>
      <c r="CY36" s="42">
        <v>1</v>
      </c>
      <c r="CZ36" s="42">
        <v>9</v>
      </c>
      <c r="DA36" s="42">
        <v>3</v>
      </c>
      <c r="DB36" s="42" t="e">
        <v>#N/A</v>
      </c>
      <c r="DC36" s="42" t="e">
        <v>#N/A</v>
      </c>
      <c r="DD36" s="42" t="e">
        <v>#N/A</v>
      </c>
      <c r="EM36" s="96" t="str">
        <f>ROUND(EM26*100,EM30)&amp;"%"</f>
        <v>11.5%</v>
      </c>
      <c r="ES36" s="119" t="s">
        <v>674</v>
      </c>
      <c r="ET36" s="98">
        <v>0.19501904741679588</v>
      </c>
      <c r="EU36" s="98">
        <v>4.0527565003328343</v>
      </c>
      <c r="EV36" s="42"/>
      <c r="EW36" s="42"/>
      <c r="EX36" s="42"/>
      <c r="EY36" s="42"/>
    </row>
    <row r="37" spans="1:155" x14ac:dyDescent="0.2">
      <c r="A37" s="90" t="s">
        <v>892</v>
      </c>
      <c r="B37" s="119" t="s">
        <v>693</v>
      </c>
      <c r="C37" s="119" t="s">
        <v>44</v>
      </c>
      <c r="D37" s="119" t="s">
        <v>43</v>
      </c>
      <c r="AR37" s="119" t="s">
        <v>888</v>
      </c>
      <c r="AX37" s="119" t="s">
        <v>712</v>
      </c>
      <c r="BC37" s="42">
        <v>27</v>
      </c>
      <c r="BD37" s="42">
        <v>0.26773219967657269</v>
      </c>
      <c r="BE37" s="42">
        <v>3.719770410709021</v>
      </c>
      <c r="BF37" s="42">
        <v>-3.4515853079729988</v>
      </c>
      <c r="BG37" s="162" t="s">
        <v>689</v>
      </c>
      <c r="BH37" s="42">
        <v>27</v>
      </c>
      <c r="BI37" s="42">
        <v>0.26773219967657269</v>
      </c>
      <c r="BJ37" s="42">
        <v>9.8500519925842216</v>
      </c>
      <c r="BK37" s="42">
        <v>-9.5818668898481985</v>
      </c>
      <c r="CP37" s="96"/>
      <c r="CU37" s="42">
        <v>27</v>
      </c>
      <c r="CV37" s="42">
        <v>0</v>
      </c>
      <c r="CX37" s="42">
        <v>1</v>
      </c>
      <c r="CY37" s="42">
        <v>1</v>
      </c>
      <c r="CZ37" s="42">
        <v>10</v>
      </c>
      <c r="DA37" s="42">
        <v>1</v>
      </c>
      <c r="DB37" s="42">
        <v>1</v>
      </c>
      <c r="DC37" s="42">
        <v>1</v>
      </c>
      <c r="DD37" s="42">
        <v>-1.5</v>
      </c>
      <c r="EM37" s="119" t="s">
        <v>880</v>
      </c>
      <c r="ES37" s="57" t="s">
        <v>675</v>
      </c>
      <c r="ET37" s="98">
        <v>2.4226541856794852</v>
      </c>
      <c r="EU37" s="98">
        <v>10</v>
      </c>
      <c r="EV37" s="42"/>
      <c r="EW37" s="42"/>
      <c r="EX37" s="42"/>
      <c r="EY37" s="42"/>
    </row>
    <row r="38" spans="1:155" x14ac:dyDescent="0.2">
      <c r="A38" s="119" t="s">
        <v>113</v>
      </c>
      <c r="B38" s="41">
        <v>1</v>
      </c>
      <c r="C38" s="41">
        <v>1</v>
      </c>
      <c r="D38" s="41">
        <v>1</v>
      </c>
      <c r="AR38" s="96">
        <f>AVERAGE(_xlfn.ANCHORARRAY(AT10))</f>
        <v>4.14233953833077</v>
      </c>
      <c r="AX38" s="96">
        <f>MAX(_xlfn.ANCHORARRAY(AT10),C38)</f>
        <v>9.7085240838788316</v>
      </c>
      <c r="BC38" s="42">
        <v>28</v>
      </c>
      <c r="BD38" s="42">
        <v>0.39885430917938125</v>
      </c>
      <c r="BE38" s="42">
        <v>3.7212831390610166</v>
      </c>
      <c r="BF38" s="42">
        <v>-3.3366896096418834</v>
      </c>
      <c r="BG38" s="96">
        <v>5</v>
      </c>
      <c r="BH38" s="42">
        <v>28</v>
      </c>
      <c r="BI38" s="42">
        <v>0.39885430917938125</v>
      </c>
      <c r="BJ38" s="42">
        <v>9.8874773706987256</v>
      </c>
      <c r="BK38" s="42">
        <v>-9.5028838412795906</v>
      </c>
      <c r="CP38" s="119" t="s">
        <v>834</v>
      </c>
      <c r="CU38" s="42">
        <v>28</v>
      </c>
      <c r="CV38" s="42">
        <v>0</v>
      </c>
      <c r="CX38" s="42">
        <v>1</v>
      </c>
      <c r="CY38" s="42">
        <v>1</v>
      </c>
      <c r="CZ38" s="42">
        <v>10</v>
      </c>
      <c r="DA38" s="42">
        <v>2</v>
      </c>
      <c r="DB38" s="42">
        <v>0.66979087966279172</v>
      </c>
      <c r="DC38" s="42">
        <v>2</v>
      </c>
      <c r="DD38" s="42">
        <v>-1.8302091203372082</v>
      </c>
      <c r="EM38" s="96" t="str">
        <f>ROUND(EM28*100,EM30)&amp;"%"</f>
        <v>2.7%</v>
      </c>
      <c r="ES38" s="57" t="s">
        <v>676</v>
      </c>
      <c r="ET38" s="98">
        <v>39.791695869906988</v>
      </c>
      <c r="EU38" s="98">
        <v>164.24835250990043</v>
      </c>
      <c r="EV38" s="42"/>
      <c r="EW38" s="42"/>
      <c r="EX38" s="42"/>
      <c r="EY38" s="42"/>
    </row>
    <row r="39" spans="1:155" x14ac:dyDescent="0.2">
      <c r="A39" s="90" t="s">
        <v>919</v>
      </c>
      <c r="B39" s="119" t="str">
        <f>"Linjetilpasningsplot ved X = "&amp;B38</f>
        <v>Linjetilpasningsplot ved X = 1</v>
      </c>
      <c r="C39" s="119" t="str">
        <f>"Konfidensinterval ved X = "&amp;C38</f>
        <v>Konfidensinterval ved X = 1</v>
      </c>
      <c r="D39" s="119" t="str">
        <f>"Forudsigelsesinterval ved X = "&amp;D38</f>
        <v>Forudsigelsesinterval ved X = 1</v>
      </c>
      <c r="AR39" s="119" t="s">
        <v>903</v>
      </c>
      <c r="AX39" s="119" t="s">
        <v>284</v>
      </c>
      <c r="BC39" s="42">
        <v>29</v>
      </c>
      <c r="BD39" s="42">
        <v>0.52997641868219025</v>
      </c>
      <c r="BE39" s="42">
        <v>3.7238694444394724</v>
      </c>
      <c r="BF39" s="42">
        <v>-3.2228674883372275</v>
      </c>
      <c r="BG39" s="162" t="s">
        <v>716</v>
      </c>
      <c r="BH39" s="42">
        <v>29</v>
      </c>
      <c r="BI39" s="42">
        <v>0.52997641868219025</v>
      </c>
      <c r="BJ39" s="42">
        <v>9.9255756886510902</v>
      </c>
      <c r="BK39" s="42">
        <v>-9.4245737325488435</v>
      </c>
      <c r="CP39" s="96" cm="1">
        <f t="array" ref="CP39">MATCH(_xlfn.ANCHORARRAY(CP36),_xlfn.ANCHORARRAY(DU10),0)</f>
        <v>1</v>
      </c>
      <c r="CU39" s="42">
        <v>29</v>
      </c>
      <c r="CV39" s="42">
        <v>0</v>
      </c>
      <c r="CX39" s="42">
        <v>1</v>
      </c>
      <c r="CY39" s="42">
        <v>1</v>
      </c>
      <c r="CZ39" s="42">
        <v>10</v>
      </c>
      <c r="DA39" s="42">
        <v>3</v>
      </c>
      <c r="DB39" s="42" t="e">
        <v>#N/A</v>
      </c>
      <c r="DC39" s="42" t="e">
        <v>#N/A</v>
      </c>
      <c r="DD39" s="42" t="e">
        <v>#N/A</v>
      </c>
      <c r="EM39" s="119" t="s">
        <v>888</v>
      </c>
      <c r="ES39" s="119" t="s">
        <v>677</v>
      </c>
      <c r="ET39" s="98" cm="1">
        <f t="array" ref="ET39:EU39">_xlfn.T.DIST.2T(ABS(ET34:EU34/ET35:EU35),EU37)</f>
        <v>0.15064735282307382</v>
      </c>
      <c r="EU39" s="98">
        <v>0.99286303289835531</v>
      </c>
      <c r="EV39" s="42"/>
      <c r="EW39" s="42"/>
      <c r="EX39" s="42"/>
      <c r="EY39" s="42"/>
    </row>
    <row r="40" spans="1:155" x14ac:dyDescent="0.2">
      <c r="A40" s="119" t="s">
        <v>920</v>
      </c>
      <c r="B40" s="99">
        <f>IF(ISBLANK(B38),"X værdi af interesse mangler",AR30)</f>
        <v>0.45914125165805242</v>
      </c>
      <c r="C40" s="99">
        <f>IF(ISBLANK(C38),"X værdi af interesse mangler",AX22)</f>
        <v>0.45914125165805242</v>
      </c>
      <c r="D40" s="99">
        <f>IF(ISBLANK(D38),"X værdi af interesse mangler",BG22)</f>
        <v>0.45914125165805242</v>
      </c>
      <c r="AR40" s="172">
        <f>ROUND(AR30,AR36)</f>
        <v>0.45900000000000002</v>
      </c>
      <c r="AX40" s="96">
        <f>AX38-AX36</f>
        <v>12.981088840778106</v>
      </c>
      <c r="BC40" s="42">
        <v>30</v>
      </c>
      <c r="BD40" s="42">
        <v>0.6610985281849997</v>
      </c>
      <c r="BE40" s="42">
        <v>3.727581721745393</v>
      </c>
      <c r="BF40" s="42">
        <v>-3.1101713389600363</v>
      </c>
      <c r="BG40" s="96">
        <f>MIN(3,MAX(0,BG38-BG36))</f>
        <v>3</v>
      </c>
      <c r="BH40" s="42">
        <v>30</v>
      </c>
      <c r="BI40" s="42">
        <v>0.6610985281849997</v>
      </c>
      <c r="BJ40" s="42">
        <v>9.9643511502183593</v>
      </c>
      <c r="BK40" s="42">
        <v>-9.3469407674330007</v>
      </c>
      <c r="CP40" s="96"/>
      <c r="CU40" s="42">
        <v>30</v>
      </c>
      <c r="CV40" s="42">
        <v>0</v>
      </c>
      <c r="CX40" s="42">
        <v>1</v>
      </c>
      <c r="CY40" s="42">
        <v>1</v>
      </c>
      <c r="CZ40" s="42">
        <v>11</v>
      </c>
      <c r="DA40" s="42">
        <v>1</v>
      </c>
      <c r="DB40" s="42">
        <v>0</v>
      </c>
      <c r="DC40" s="42">
        <v>1</v>
      </c>
      <c r="DD40" s="42">
        <v>-2.5</v>
      </c>
      <c r="EM40" s="96">
        <f>AVERAGE(_xlfn.ANCHORARRAY(EN10))</f>
        <v>1.8540044183209705</v>
      </c>
      <c r="EV40" s="42"/>
      <c r="EW40" s="42"/>
      <c r="EX40" s="42"/>
      <c r="EY40" s="42"/>
    </row>
    <row r="41" spans="1:155" x14ac:dyDescent="0.2">
      <c r="A41" s="119" t="s">
        <v>921</v>
      </c>
      <c r="B41" s="121"/>
      <c r="C41" s="99">
        <f>IF(ISBLANK(C38),"X værdi af interesse mangler",AX24)</f>
        <v>3.7427861990338451</v>
      </c>
      <c r="D41" s="99">
        <f>IF(ISBLANK(D38),"X værdi af interesse mangler",BG24)</f>
        <v>10.067736689744549</v>
      </c>
      <c r="AR41" s="119" t="s">
        <v>906</v>
      </c>
      <c r="AX41" s="162" t="s">
        <v>715</v>
      </c>
      <c r="BC41" s="42">
        <v>31</v>
      </c>
      <c r="BD41" s="42">
        <v>0.7922206376878087</v>
      </c>
      <c r="BE41" s="42">
        <v>3.7324746633267907</v>
      </c>
      <c r="BF41" s="42">
        <v>-2.9986558538583221</v>
      </c>
      <c r="BG41" s="119" t="s">
        <v>723</v>
      </c>
      <c r="BH41" s="42">
        <v>31</v>
      </c>
      <c r="BI41" s="42">
        <v>0.7922206376878087</v>
      </c>
      <c r="BJ41" s="42">
        <v>10.003807850927142</v>
      </c>
      <c r="BK41" s="42">
        <v>-9.2699890414586719</v>
      </c>
      <c r="CP41" s="119" t="s">
        <v>835</v>
      </c>
      <c r="CU41" s="42">
        <v>31</v>
      </c>
      <c r="CV41" s="42">
        <v>0</v>
      </c>
      <c r="CX41" s="42">
        <v>1</v>
      </c>
      <c r="CY41" s="42">
        <v>1</v>
      </c>
      <c r="CZ41" s="42">
        <v>11</v>
      </c>
      <c r="DA41" s="42">
        <v>2</v>
      </c>
      <c r="DB41" s="42">
        <v>1</v>
      </c>
      <c r="DC41" s="42">
        <v>2</v>
      </c>
      <c r="DD41" s="42">
        <v>-1.5</v>
      </c>
      <c r="ES41" s="119" t="s">
        <v>910</v>
      </c>
      <c r="ET41" cm="1">
        <f t="array" ref="ET41:EV45">LINEST(_xlfn.ANCHORARRAY(ET75),INDEX(_xlfn.ANCHORARRAY(EU75),1,1):INDEX(_xlfn.ANCHORARRAY(EU75),AQ14,AQ16),AQ18,TRUE)</f>
        <v>0.92006454592698861</v>
      </c>
      <c r="EU41">
        <v>0.42421069752609436</v>
      </c>
      <c r="EV41">
        <v>-0.13323646310599227</v>
      </c>
    </row>
    <row r="42" spans="1:155" x14ac:dyDescent="0.2">
      <c r="A42" s="119" t="s">
        <v>922</v>
      </c>
      <c r="B42" s="99"/>
      <c r="C42" s="99">
        <f>IF(ISBLANK(C38),"X værdi af interesse mangler",AX26)</f>
        <v>-2.8245036957177403</v>
      </c>
      <c r="D42" s="99">
        <f>IF(ISBLANK(D38),"X værdi af interesse mangler",BG26)</f>
        <v>-9.1494541864284464</v>
      </c>
      <c r="AR42" s="96">
        <f>MAX(_xlfn.ANCHORARRAY(ET26))</f>
        <v>0.19501904741679588</v>
      </c>
      <c r="AX42" s="96" cm="1">
        <f t="array" ref="AX42">MAX(LEN(ROUND(ABS(_xlfn.ANCHORARRAY(BE10)),0)),LEN(ROUND(ABS(_xlfn.ANCHORARRAY(BF10)),0)),LEN(ROUND(ABS(_xlfn.ANCHORARRAY(AW10)),0)))</f>
        <v>1</v>
      </c>
      <c r="BC42" s="42">
        <v>32</v>
      </c>
      <c r="BD42" s="42">
        <v>0.92334274719061771</v>
      </c>
      <c r="BE42" s="42">
        <v>3.7386052573358994</v>
      </c>
      <c r="BF42" s="42">
        <v>-2.8883780211843191</v>
      </c>
      <c r="BG42" s="96">
        <f>ROUND(BG22,BG40)</f>
        <v>0.45900000000000002</v>
      </c>
      <c r="BH42" s="42">
        <v>32</v>
      </c>
      <c r="BI42" s="42">
        <v>0.92334274719061771</v>
      </c>
      <c r="BJ42" s="42">
        <v>10.043949774068713</v>
      </c>
      <c r="BK42" s="42">
        <v>-9.1937225379171341</v>
      </c>
      <c r="CP42" s="96" cm="1">
        <f t="array" ref="CP42">INDEX(_xlfn.ANCHORARRAY(DK10),_xlfn.ANCHORARRAY(CP39))</f>
        <v>0.20266958709140057</v>
      </c>
      <c r="CU42" s="42">
        <v>32</v>
      </c>
      <c r="CV42" s="42">
        <v>0</v>
      </c>
      <c r="CX42" s="42">
        <v>1</v>
      </c>
      <c r="CY42" s="42">
        <v>1</v>
      </c>
      <c r="CZ42" s="42">
        <v>11</v>
      </c>
      <c r="DA42" s="42">
        <v>3</v>
      </c>
      <c r="DB42" s="42" t="e">
        <v>#N/A</v>
      </c>
      <c r="DC42" s="42" t="e">
        <v>#N/A</v>
      </c>
      <c r="DD42" s="42" t="e">
        <v>#N/A</v>
      </c>
      <c r="ES42" s="119" t="s">
        <v>673</v>
      </c>
      <c r="ET42">
        <v>2.8921277738966626</v>
      </c>
      <c r="EU42">
        <v>0.30527483642677944</v>
      </c>
      <c r="EV42">
        <v>1.8042082487124089</v>
      </c>
    </row>
    <row r="43" spans="1:155" x14ac:dyDescent="0.2">
      <c r="AR43" s="119" t="s">
        <v>907</v>
      </c>
      <c r="AX43" s="162" t="s">
        <v>689</v>
      </c>
      <c r="BC43" s="42">
        <v>33</v>
      </c>
      <c r="BD43" s="42">
        <v>1.0544648566934276</v>
      </c>
      <c r="BE43" s="42">
        <v>3.7460327638932136</v>
      </c>
      <c r="BF43" s="42">
        <v>-2.7793971010585214</v>
      </c>
      <c r="BG43" s="119" t="s">
        <v>717</v>
      </c>
      <c r="BH43" s="42">
        <v>33</v>
      </c>
      <c r="BI43" s="42">
        <v>1.0544648566934276</v>
      </c>
      <c r="BJ43" s="42">
        <v>10.08478078676905</v>
      </c>
      <c r="BK43" s="42">
        <v>-9.1181451239343563</v>
      </c>
      <c r="CP43" s="96"/>
      <c r="CU43" s="42">
        <v>33</v>
      </c>
      <c r="CV43" s="42">
        <v>0</v>
      </c>
      <c r="CX43" s="42">
        <v>1</v>
      </c>
      <c r="CY43" s="42">
        <v>1</v>
      </c>
      <c r="CZ43" s="42">
        <v>12</v>
      </c>
      <c r="DA43" s="42">
        <v>1</v>
      </c>
      <c r="DB43" s="42">
        <v>0</v>
      </c>
      <c r="DC43" s="42">
        <v>1</v>
      </c>
      <c r="DD43" s="42">
        <v>-2.5</v>
      </c>
      <c r="ES43" s="119" t="s">
        <v>674</v>
      </c>
      <c r="ET43">
        <v>0.20397039354139959</v>
      </c>
      <c r="EU43">
        <v>4.2481619478124086</v>
      </c>
      <c r="EV43" t="e">
        <v>#N/A</v>
      </c>
    </row>
    <row r="44" spans="1:155" x14ac:dyDescent="0.2">
      <c r="A44" s="47" t="s">
        <v>927</v>
      </c>
      <c r="AR44" s="96">
        <f>_xlfn.XMATCH(AR42,_xlfn.ANCHORARRAY(ET26),0)</f>
        <v>1</v>
      </c>
      <c r="AX44" s="96">
        <v>5</v>
      </c>
      <c r="BC44" s="42">
        <v>34</v>
      </c>
      <c r="BD44" s="42">
        <v>1.1855869661962366</v>
      </c>
      <c r="BE44" s="42">
        <v>3.7548186652575861</v>
      </c>
      <c r="BF44" s="42">
        <v>-2.6717745757397822</v>
      </c>
      <c r="BG44" s="96">
        <f>ROUND(BG24,BG40)</f>
        <v>10.068</v>
      </c>
      <c r="BH44" s="42">
        <v>34</v>
      </c>
      <c r="BI44" s="42">
        <v>1.1855869661962366</v>
      </c>
      <c r="BJ44" s="42">
        <v>10.126304636122065</v>
      </c>
      <c r="BK44" s="42">
        <v>-9.0432605466042588</v>
      </c>
      <c r="CP44" s="119" t="s">
        <v>833</v>
      </c>
      <c r="CU44" s="42">
        <v>34</v>
      </c>
      <c r="CV44" s="42">
        <v>0</v>
      </c>
      <c r="CX44" s="42">
        <v>1</v>
      </c>
      <c r="CY44" s="42">
        <v>1</v>
      </c>
      <c r="CZ44" s="42">
        <v>12</v>
      </c>
      <c r="DA44" s="42">
        <v>2</v>
      </c>
      <c r="DB44" s="42">
        <v>1</v>
      </c>
      <c r="DC44" s="42">
        <v>2</v>
      </c>
      <c r="DD44" s="42">
        <v>-1.5</v>
      </c>
      <c r="ES44" s="57" t="s">
        <v>675</v>
      </c>
      <c r="ET44">
        <v>1.1530560716450364</v>
      </c>
      <c r="EU44">
        <v>9</v>
      </c>
      <c r="EV44" t="e">
        <v>#N/A</v>
      </c>
    </row>
    <row r="45" spans="1:155" x14ac:dyDescent="0.2">
      <c r="A45" s="179" t="s">
        <v>933</v>
      </c>
      <c r="B45" s="183" t="str">
        <f>ET65</f>
        <v>y = β0 + β1 * x1 + β2 * x2</v>
      </c>
      <c r="C45" s="184"/>
      <c r="D45" s="185"/>
      <c r="AM45"/>
      <c r="AN45"/>
      <c r="AX45" s="162" t="s">
        <v>716</v>
      </c>
      <c r="BC45" s="42">
        <v>35</v>
      </c>
      <c r="BD45" s="42">
        <v>1.3167090756990456</v>
      </c>
      <c r="BE45" s="42">
        <v>3.7650265859632701</v>
      </c>
      <c r="BF45" s="42">
        <v>-2.5655740697623544</v>
      </c>
      <c r="BG45" s="119" t="s">
        <v>718</v>
      </c>
      <c r="BH45" s="42">
        <v>35</v>
      </c>
      <c r="BI45" s="42">
        <v>1.3167090756990456</v>
      </c>
      <c r="BJ45" s="42">
        <v>10.168524945394413</v>
      </c>
      <c r="BK45" s="42">
        <v>-8.9690724291934991</v>
      </c>
      <c r="CP45" s="96" cm="1">
        <f t="array" ref="CP45">ROUND(_xlfn.ANCHORARRAY(CP42),2)</f>
        <v>0.2</v>
      </c>
      <c r="CU45" s="42">
        <v>35</v>
      </c>
      <c r="CV45" s="42">
        <v>0</v>
      </c>
      <c r="CX45" s="42">
        <v>1</v>
      </c>
      <c r="CY45" s="42">
        <v>1</v>
      </c>
      <c r="CZ45" s="42">
        <v>12</v>
      </c>
      <c r="DA45" s="42">
        <v>3</v>
      </c>
      <c r="DB45" s="42" t="e">
        <v>#N/A</v>
      </c>
      <c r="DC45" s="42" t="e">
        <v>#N/A</v>
      </c>
      <c r="DD45" s="42" t="e">
        <v>#N/A</v>
      </c>
      <c r="ES45" s="57" t="s">
        <v>676</v>
      </c>
      <c r="ET45">
        <v>41.618128966235531</v>
      </c>
      <c r="EU45">
        <v>162.42191941357189</v>
      </c>
      <c r="EV45" t="e">
        <v>#N/A</v>
      </c>
    </row>
    <row r="46" spans="1:155" x14ac:dyDescent="0.2">
      <c r="A46" s="179" t="s">
        <v>941</v>
      </c>
      <c r="B46" s="183" t="str">
        <f>ET66</f>
        <v>y = -0.133 + x1 * 0.424 + x2 * 0.92</v>
      </c>
      <c r="C46" s="184"/>
      <c r="D46" s="185"/>
      <c r="AM46"/>
      <c r="AN46"/>
      <c r="AX46" s="96">
        <f>MIN(3,MAX(0,AX44-AX42))</f>
        <v>3</v>
      </c>
      <c r="BC46" s="42">
        <v>36</v>
      </c>
      <c r="BD46" s="42">
        <v>1.4478311852018555</v>
      </c>
      <c r="BE46" s="42">
        <v>3.7767221787192868</v>
      </c>
      <c r="BF46" s="42">
        <v>-2.4608612358352584</v>
      </c>
      <c r="BG46" s="96">
        <f>ROUND(BG26,BG40)</f>
        <v>-9.1489999999999991</v>
      </c>
      <c r="BH46" s="42">
        <v>36</v>
      </c>
      <c r="BI46" s="42">
        <v>1.4478311852018555</v>
      </c>
      <c r="BJ46" s="42">
        <v>10.211445210310197</v>
      </c>
      <c r="BK46" s="42">
        <v>-8.8955842674261678</v>
      </c>
      <c r="CP46" s="96"/>
      <c r="ES46" s="119" t="s">
        <v>911</v>
      </c>
      <c r="ET46" t="s">
        <v>41</v>
      </c>
      <c r="EU46" t="str" cm="1">
        <f t="array" ref="EU46:EV46">_xlfn.ANCHORARRAY(ET14)</f>
        <v>x1</v>
      </c>
      <c r="EV46" t="str">
        <v>x2</v>
      </c>
    </row>
    <row r="47" spans="1:155" x14ac:dyDescent="0.2">
      <c r="A47" s="179" t="s">
        <v>942</v>
      </c>
      <c r="B47" s="183" t="str">
        <f>ET67</f>
        <v>Eksempel 1 (interval) = -0.133 + Eksempel 2 (interval) * 0.424 + Eksempel 3 (nominal) * 0.92</v>
      </c>
      <c r="C47" s="184"/>
      <c r="D47" s="185"/>
      <c r="AM47"/>
      <c r="AN47"/>
      <c r="AX47" s="119" t="s">
        <v>723</v>
      </c>
      <c r="BC47" s="42">
        <v>37</v>
      </c>
      <c r="BD47" s="42">
        <v>1.5789532947046636</v>
      </c>
      <c r="BE47" s="42">
        <v>3.789972971803147</v>
      </c>
      <c r="BF47" s="42">
        <v>-2.3577036022360076</v>
      </c>
      <c r="BG47" s="119" t="s">
        <v>888</v>
      </c>
      <c r="BH47" s="42">
        <v>37</v>
      </c>
      <c r="BI47" s="42">
        <v>1.5789532947046636</v>
      </c>
      <c r="BJ47" s="42">
        <v>10.255068795423895</v>
      </c>
      <c r="BK47" s="42">
        <v>-8.8227994258567577</v>
      </c>
      <c r="CP47" s="119" t="s">
        <v>148</v>
      </c>
      <c r="ES47" s="119" t="s">
        <v>909</v>
      </c>
      <c r="ET47" cm="1">
        <f t="array" ref="ET47:EV47">_xlfn.SEQUENCE(,AQ16+1,AQ16+1,-1)</f>
        <v>3</v>
      </c>
      <c r="EU47">
        <v>2</v>
      </c>
      <c r="EV47">
        <v>1</v>
      </c>
    </row>
    <row r="48" spans="1:155" x14ac:dyDescent="0.2">
      <c r="A48" s="179" t="s">
        <v>928</v>
      </c>
      <c r="B48" s="183" t="str">
        <f>ET69</f>
        <v>1.211 = -0.133 + 1 * 0.424 + 1 * 0.92</v>
      </c>
      <c r="C48" s="184"/>
      <c r="D48" s="185"/>
      <c r="AM48"/>
      <c r="AN48"/>
      <c r="AX48" s="96">
        <f>ROUND(AX22,AX46)</f>
        <v>0.45900000000000002</v>
      </c>
      <c r="BC48" s="42">
        <v>38</v>
      </c>
      <c r="BD48" s="42">
        <v>1.7100754042074726</v>
      </c>
      <c r="BE48" s="42">
        <v>3.804848173752954</v>
      </c>
      <c r="BF48" s="42">
        <v>-2.2561703775027038</v>
      </c>
      <c r="BG48" s="96">
        <f>AVERAGE(_xlfn.ANCHORARRAY(BI10))</f>
        <v>3.2179796634897779</v>
      </c>
      <c r="BH48" s="42">
        <v>38</v>
      </c>
      <c r="BI48" s="42">
        <v>1.7100754042074726</v>
      </c>
      <c r="BJ48" s="42">
        <v>10.299398930589822</v>
      </c>
      <c r="BK48" s="42">
        <v>-8.7507211343395728</v>
      </c>
      <c r="CP48" s="96" t="str" cm="1">
        <f t="array" ref="CP48">"Den stærkeste korrelation er mellem "&amp;INDEX(_xlfn.ANCHORARRAY(DM10),_xlfn.ANCHORARRAY(CP39))&amp;" og "&amp;INDEX(_xlfn.ANCHORARRAY(DL10),_xlfn.ANCHORARRAY(CP39))</f>
        <v>Den stærkeste korrelation er mellem Eksempel 2 (interval) og Eksempel 3 (nominal)</v>
      </c>
      <c r="ES48" s="119" t="s">
        <v>49</v>
      </c>
      <c r="ET48" cm="1">
        <f t="array" ref="ET48:EV48">INDEX(_xlfn.ANCHORARRAY(ET41),1,_xlfn.ANCHORARRAY(ET47))</f>
        <v>-0.13323646310599227</v>
      </c>
      <c r="EU48">
        <v>0.42421069752609436</v>
      </c>
      <c r="EV48">
        <v>0.92006454592698861</v>
      </c>
    </row>
    <row r="49" spans="1:152" x14ac:dyDescent="0.2">
      <c r="A49" s="179" t="s">
        <v>934</v>
      </c>
      <c r="B49" s="123">
        <f>ET28</f>
        <v>1.2110387803470906</v>
      </c>
      <c r="AM49"/>
      <c r="AN49"/>
      <c r="AX49" s="119" t="s">
        <v>717</v>
      </c>
      <c r="BC49" s="42">
        <v>39</v>
      </c>
      <c r="BD49" s="42">
        <v>1.8411975137102825</v>
      </c>
      <c r="BE49" s="42">
        <v>3.8214184314052813</v>
      </c>
      <c r="BF49" s="42">
        <v>-2.1563322084719183</v>
      </c>
      <c r="BH49" s="42">
        <v>39</v>
      </c>
      <c r="BI49" s="42">
        <v>1.8411975137102825</v>
      </c>
      <c r="BJ49" s="42">
        <v>10.344438707536275</v>
      </c>
      <c r="BK49" s="42">
        <v>-8.679352484602914</v>
      </c>
      <c r="CP49" s="96"/>
      <c r="ES49" s="119" t="s">
        <v>671</v>
      </c>
      <c r="ET49" cm="1">
        <f t="array" ref="ET49:EV49">INDEX(_xlfn.ANCHORARRAY(ET41),2,_xlfn.ANCHORARRAY(ET47))</f>
        <v>1.8042082487124089</v>
      </c>
      <c r="EU49">
        <v>0.30527483642677944</v>
      </c>
      <c r="EV49">
        <v>2.8921277738966626</v>
      </c>
    </row>
    <row r="50" spans="1:152" x14ac:dyDescent="0.2">
      <c r="AX50" s="96">
        <f>ROUND(AX24,AX46)</f>
        <v>3.7429999999999999</v>
      </c>
      <c r="BC50" s="42">
        <v>40</v>
      </c>
      <c r="BD50" s="42">
        <v>1.9723196232130924</v>
      </c>
      <c r="BE50" s="42">
        <v>3.8397555377779344</v>
      </c>
      <c r="BF50" s="42">
        <v>-2.0582608881614588</v>
      </c>
      <c r="BH50" s="42">
        <v>40</v>
      </c>
      <c r="BI50" s="42">
        <v>1.9723196232130924</v>
      </c>
      <c r="BJ50" s="42">
        <v>10.390191076552485</v>
      </c>
      <c r="BK50" s="42">
        <v>-8.6086964269360085</v>
      </c>
      <c r="ES50" s="119" t="s">
        <v>740</v>
      </c>
      <c r="ET50" cm="1">
        <f t="array" ref="ET50:EV50">_xlfn.T.DIST.2T(ABS(_xlfn.ANCHORARRAY(ET48)/_xlfn.ANCHORARRAY(ET49)),EU44)</f>
        <v>0.94274691579958714</v>
      </c>
      <c r="EU50">
        <v>0.19806158153598377</v>
      </c>
      <c r="EV50">
        <v>0.7576462468032521</v>
      </c>
    </row>
    <row r="51" spans="1:152" x14ac:dyDescent="0.2">
      <c r="A51" s="47" t="s">
        <v>1069</v>
      </c>
      <c r="AM51"/>
      <c r="AN51"/>
      <c r="AX51" s="119" t="s">
        <v>718</v>
      </c>
      <c r="BC51" s="42">
        <v>41</v>
      </c>
      <c r="BD51" s="42">
        <v>2.1034417327159005</v>
      </c>
      <c r="BE51" s="42">
        <v>3.8599320869924476</v>
      </c>
      <c r="BF51" s="42">
        <v>-1.962029010692862</v>
      </c>
      <c r="BH51" s="42">
        <v>41</v>
      </c>
      <c r="BI51" s="42">
        <v>2.1034417327159005</v>
      </c>
      <c r="BJ51" s="42">
        <v>10.436658843296298</v>
      </c>
      <c r="BK51" s="42">
        <v>-8.5387557669967133</v>
      </c>
      <c r="ES51" s="119" t="s">
        <v>51</v>
      </c>
      <c r="ET51" t="b" cm="1">
        <f t="array" ref="ET51:EV51">_xlfn.ANCHORARRAY(ET50)&lt;(1-B5)</f>
        <v>0</v>
      </c>
      <c r="EU51" t="b">
        <v>0</v>
      </c>
      <c r="EV51" t="b">
        <v>0</v>
      </c>
    </row>
    <row r="52" spans="1:152" x14ac:dyDescent="0.2">
      <c r="A52" s="179" t="s">
        <v>924</v>
      </c>
      <c r="B52" s="180" t="s">
        <v>925</v>
      </c>
      <c r="C52" s="180" t="s">
        <v>923</v>
      </c>
      <c r="D52" s="180" t="s">
        <v>926</v>
      </c>
      <c r="AM52"/>
      <c r="AN52"/>
      <c r="AX52" s="96">
        <f>ROUND(AX26,AX46)</f>
        <v>-2.8250000000000002</v>
      </c>
      <c r="BC52" s="42">
        <v>42</v>
      </c>
      <c r="BD52" s="42">
        <v>2.2345638422187095</v>
      </c>
      <c r="BE52" s="42">
        <v>3.8820210744014054</v>
      </c>
      <c r="BF52" s="42">
        <v>-1.867709571418708</v>
      </c>
      <c r="BH52" s="42">
        <v>42</v>
      </c>
      <c r="BI52" s="42">
        <v>2.2345638422187095</v>
      </c>
      <c r="BJ52" s="42">
        <v>10.483844665730373</v>
      </c>
      <c r="BK52" s="42">
        <v>-8.4695331627476769</v>
      </c>
    </row>
    <row r="53" spans="1:152" x14ac:dyDescent="0.2">
      <c r="A53" s="119" t="str" cm="1">
        <f t="array" ref="A53:A54">TRANSPOSE(_xlfn.ANCHORARRAY(ET11))</f>
        <v>Eksempel 2 (interval)</v>
      </c>
      <c r="B53" s="181">
        <v>1</v>
      </c>
      <c r="C53" s="123" cm="1">
        <f t="array" ref="C53:C54">TRANSPOSE(_xlfn.ANCHORARRAY(ET29))</f>
        <v>0.42421069752609436</v>
      </c>
      <c r="D53" s="123" t="b" cm="1">
        <f t="array" ref="D53:D54">TRANSPOSE(_xlfn.ANCHORARRAY(ET13))</f>
        <v>0</v>
      </c>
      <c r="AM53"/>
      <c r="AN53"/>
      <c r="AX53" s="119" t="s">
        <v>888</v>
      </c>
      <c r="BC53" s="42">
        <v>43</v>
      </c>
      <c r="BD53" s="42">
        <v>2.3656859517215194</v>
      </c>
      <c r="BE53" s="42">
        <v>3.9060954413519884</v>
      </c>
      <c r="BF53" s="42">
        <v>-1.7753755116861785</v>
      </c>
      <c r="BH53" s="42">
        <v>43</v>
      </c>
      <c r="BI53" s="42">
        <v>2.3656859517215194</v>
      </c>
      <c r="BJ53" s="42">
        <v>10.531751051194391</v>
      </c>
      <c r="BK53" s="42">
        <v>-8.4010311215285824</v>
      </c>
      <c r="ES53" s="42" t="s">
        <v>935</v>
      </c>
    </row>
    <row r="54" spans="1:152" x14ac:dyDescent="0.2">
      <c r="A54" s="119" t="str">
        <v>Eksempel 3 (nominal)</v>
      </c>
      <c r="B54" s="181">
        <v>1</v>
      </c>
      <c r="C54" s="123">
        <v>0.92006454592698861</v>
      </c>
      <c r="D54" s="123" t="b">
        <v>0</v>
      </c>
      <c r="AM54"/>
      <c r="AN54"/>
      <c r="AX54" s="96">
        <f>AVERAGE(_xlfn.ANCHORARRAY(BD10))</f>
        <v>3.2179796634897779</v>
      </c>
      <c r="BC54" s="42">
        <v>44</v>
      </c>
      <c r="BD54" s="42">
        <v>2.4968080612243275</v>
      </c>
      <c r="BE54" s="42">
        <v>3.9322275655867651</v>
      </c>
      <c r="BF54" s="42">
        <v>-1.6850992092378443</v>
      </c>
      <c r="BH54" s="42">
        <v>44</v>
      </c>
      <c r="BI54" s="42">
        <v>2.4968080612243275</v>
      </c>
      <c r="BJ54" s="42">
        <v>10.580380353620637</v>
      </c>
      <c r="BK54" s="42">
        <v>-8.3332519972717165</v>
      </c>
      <c r="ES54" s="119" t="s">
        <v>930</v>
      </c>
      <c r="ET54" s="42" cm="1">
        <f t="array" ref="ET54">MIN(3,MAX(0,5-MAX(LEN(ROUND(ABS(_xlfn.ANCHORARRAY(ET48)),0)),LEN(ROUND(ABS(ET28),0)))))</f>
        <v>3</v>
      </c>
    </row>
    <row r="55" spans="1:152" x14ac:dyDescent="0.2">
      <c r="A55" s="119"/>
      <c r="B55" s="181">
        <v>1</v>
      </c>
      <c r="C55" s="123"/>
      <c r="D55" s="123"/>
      <c r="AM55"/>
      <c r="AN55"/>
      <c r="BC55" s="42">
        <v>45</v>
      </c>
      <c r="BD55" s="42">
        <v>2.6279301707271374</v>
      </c>
      <c r="BE55" s="42">
        <v>3.960488700143626</v>
      </c>
      <c r="BF55" s="42">
        <v>-1.5969519171115931</v>
      </c>
      <c r="BH55" s="42">
        <v>45</v>
      </c>
      <c r="BI55" s="42">
        <v>2.6279301707271374</v>
      </c>
      <c r="BJ55" s="42">
        <v>10.629734770899974</v>
      </c>
      <c r="BK55" s="42">
        <v>-8.2661979878679421</v>
      </c>
      <c r="ES55" s="119" t="s">
        <v>931</v>
      </c>
      <c r="ET55" s="42">
        <f>ROUND(ET48,ET54)</f>
        <v>-0.13300000000000001</v>
      </c>
    </row>
    <row r="56" spans="1:152" x14ac:dyDescent="0.2">
      <c r="A56" s="119"/>
      <c r="B56" s="181">
        <v>1</v>
      </c>
      <c r="C56" s="123"/>
      <c r="D56" s="123"/>
      <c r="AM56"/>
      <c r="AN56"/>
      <c r="BC56" s="42">
        <v>46</v>
      </c>
      <c r="BD56" s="42">
        <v>2.7590522802299464</v>
      </c>
      <c r="BE56" s="42">
        <v>3.990948365732534</v>
      </c>
      <c r="BF56" s="42">
        <v>-1.5110031560173893</v>
      </c>
      <c r="BH56" s="42">
        <v>46</v>
      </c>
      <c r="BI56" s="42">
        <v>2.7590522802299464</v>
      </c>
      <c r="BJ56" s="42">
        <v>10.679816342404907</v>
      </c>
      <c r="BK56" s="42">
        <v>-8.1998711326897631</v>
      </c>
      <c r="ES56" s="119" t="s">
        <v>929</v>
      </c>
      <c r="ET56" s="42" cm="1">
        <f t="array" ref="ET56:EU56">ROUND(_xlfn.ANCHORARRAY(ET25),ET54)</f>
        <v>0.42399999999999999</v>
      </c>
      <c r="EU56" s="42">
        <v>0.92</v>
      </c>
    </row>
    <row r="57" spans="1:152" x14ac:dyDescent="0.2">
      <c r="A57" s="119"/>
      <c r="B57" s="181">
        <v>1</v>
      </c>
      <c r="C57" s="123"/>
      <c r="D57" s="123"/>
      <c r="BC57" s="42">
        <v>47</v>
      </c>
      <c r="BD57" s="42">
        <v>2.8901743897327563</v>
      </c>
      <c r="BE57" s="42">
        <v>4.0236737038727357</v>
      </c>
      <c r="BF57" s="42">
        <v>-1.427320067474479</v>
      </c>
      <c r="BH57" s="42">
        <v>47</v>
      </c>
      <c r="BI57" s="42">
        <v>2.8901743897327563</v>
      </c>
      <c r="BJ57" s="42">
        <v>10.730626946676173</v>
      </c>
      <c r="BK57" s="42">
        <v>-8.1342733102779174</v>
      </c>
      <c r="ES57" s="119" t="s">
        <v>936</v>
      </c>
      <c r="ET57" s="42" t="s">
        <v>932</v>
      </c>
    </row>
    <row r="58" spans="1:152" x14ac:dyDescent="0.2">
      <c r="A58" s="119"/>
      <c r="B58" s="181">
        <v>1</v>
      </c>
      <c r="C58" s="123"/>
      <c r="D58" s="123"/>
      <c r="BC58" s="42">
        <v>48</v>
      </c>
      <c r="BD58" s="42">
        <v>3.0212964992355644</v>
      </c>
      <c r="BE58" s="42">
        <v>4.0587288004750208</v>
      </c>
      <c r="BF58" s="42">
        <v>-1.3459667373936532</v>
      </c>
      <c r="BH58" s="42">
        <v>48</v>
      </c>
      <c r="BI58" s="42">
        <v>3.0212964992355644</v>
      </c>
      <c r="BJ58" s="42">
        <v>10.782168299278826</v>
      </c>
      <c r="BK58" s="42">
        <v>-8.0694062361974588</v>
      </c>
      <c r="ES58" s="119" t="s">
        <v>1070</v>
      </c>
      <c r="ET58" s="42" t="str">
        <f>AQ10&amp;" = "</f>
        <v xml:space="preserve">Eksempel 1 (interval) = </v>
      </c>
    </row>
    <row r="59" spans="1:152" x14ac:dyDescent="0.2">
      <c r="A59" s="119"/>
      <c r="B59" s="181">
        <v>1</v>
      </c>
      <c r="C59" s="123"/>
      <c r="D59" s="123"/>
      <c r="BC59" s="42">
        <v>49</v>
      </c>
      <c r="BD59" s="42">
        <v>3.1524186087383734</v>
      </c>
      <c r="BE59" s="42">
        <v>4.0961739919247737</v>
      </c>
      <c r="BF59" s="42">
        <v>-1.2670035021602939</v>
      </c>
      <c r="BH59" s="42">
        <v>49</v>
      </c>
      <c r="BI59" s="42">
        <v>3.1524186087383734</v>
      </c>
      <c r="BJ59" s="42">
        <v>10.834441950833515</v>
      </c>
      <c r="BK59" s="42">
        <v>-8.0052714610690359</v>
      </c>
      <c r="ES59" s="119" t="s">
        <v>940</v>
      </c>
      <c r="ET59" s="42" t="s">
        <v>938</v>
      </c>
    </row>
    <row r="60" spans="1:152" x14ac:dyDescent="0.2">
      <c r="A60" s="119"/>
      <c r="B60" s="181">
        <v>1</v>
      </c>
      <c r="C60" s="123"/>
      <c r="D60" s="123"/>
      <c r="BC60" s="42">
        <v>50</v>
      </c>
      <c r="BD60" s="42">
        <v>3.2835407182411833</v>
      </c>
      <c r="BE60" s="42">
        <v>4.1360651679126743</v>
      </c>
      <c r="BF60" s="42">
        <v>-1.1904862514650829</v>
      </c>
      <c r="BH60" s="42">
        <v>50</v>
      </c>
      <c r="BI60" s="42">
        <v>3.2835407182411833</v>
      </c>
      <c r="BJ60" s="42">
        <v>10.88744928522811</v>
      </c>
      <c r="BK60" s="42">
        <v>-7.9418703687805188</v>
      </c>
      <c r="ES60" s="119" t="s">
        <v>939</v>
      </c>
      <c r="ET60" s="42" t="str">
        <f>ET55&amp;" + "</f>
        <v xml:space="preserve">-0.133 + </v>
      </c>
    </row>
    <row r="61" spans="1:152" x14ac:dyDescent="0.2">
      <c r="A61" s="119"/>
      <c r="B61" s="181">
        <v>1</v>
      </c>
      <c r="C61" s="123"/>
      <c r="D61" s="123"/>
      <c r="BC61" s="42">
        <v>51</v>
      </c>
      <c r="BD61" s="42">
        <v>3.4146628277439914</v>
      </c>
      <c r="BE61" s="42">
        <v>4.1784530871042111</v>
      </c>
      <c r="BF61" s="42">
        <v>-1.116465743973508</v>
      </c>
      <c r="BH61" s="42">
        <v>51</v>
      </c>
      <c r="BI61" s="42">
        <v>3.4146628277439914</v>
      </c>
      <c r="BJ61" s="42">
        <v>10.941191518014461</v>
      </c>
      <c r="BK61" s="42">
        <v>-7.8792041748837587</v>
      </c>
      <c r="ES61" s="119" t="s">
        <v>943</v>
      </c>
      <c r="ET61" s="42" t="str" cm="1">
        <f t="array" ref="ET61:EU61">"β"&amp;_xlfn.ANCHORARRAY(ET10)&amp;" * "&amp;_xlfn.ANCHORARRAY(ET14)&amp;IF(_xlfn.ANCHORARRAY(ET10)=AQ16,""," + ")</f>
        <v xml:space="preserve">β1 * x1 + </v>
      </c>
      <c r="EU61" s="42" t="str">
        <v>β2 * x2</v>
      </c>
    </row>
    <row r="62" spans="1:152" x14ac:dyDescent="0.2">
      <c r="A62" s="119"/>
      <c r="B62" s="182">
        <v>1</v>
      </c>
      <c r="C62" s="123"/>
      <c r="D62" s="123"/>
      <c r="BC62" s="42">
        <v>52</v>
      </c>
      <c r="BD62" s="42">
        <v>3.5457849372468013</v>
      </c>
      <c r="BE62" s="42">
        <v>4.223382723065539</v>
      </c>
      <c r="BF62" s="42">
        <v>-1.0449869532517237</v>
      </c>
      <c r="BH62" s="42">
        <v>52</v>
      </c>
      <c r="BI62" s="42">
        <v>3.5457849372468013</v>
      </c>
      <c r="BJ62" s="42">
        <v>10.995669694994625</v>
      </c>
      <c r="BK62" s="42">
        <v>-7.8172739251808103</v>
      </c>
      <c r="ES62" s="119" t="s">
        <v>937</v>
      </c>
      <c r="ET62" t="str" cm="1">
        <f t="array" ref="ET62:EU62">_xlfn.ANCHORARRAY(EU46)&amp;" * "&amp;_xlfn.ANCHORARRAY(ET56)&amp;IF(_xlfn.ANCHORARRAY(ET10)=AQ16,""," + ")</f>
        <v xml:space="preserve">x1 * 0.424 + </v>
      </c>
      <c r="EU62" s="42" t="str">
        <v>x2 * 0.92</v>
      </c>
    </row>
    <row r="63" spans="1:152" x14ac:dyDescent="0.2">
      <c r="A63" s="119"/>
      <c r="B63" s="182">
        <v>1</v>
      </c>
      <c r="C63" s="123"/>
      <c r="D63" s="123"/>
      <c r="BC63" s="42">
        <v>53</v>
      </c>
      <c r="BD63" s="42">
        <v>3.6769070467496103</v>
      </c>
      <c r="BE63" s="42">
        <v>4.2708926585130067</v>
      </c>
      <c r="BF63" s="42">
        <v>-0.97608846201608035</v>
      </c>
      <c r="BH63" s="42">
        <v>53</v>
      </c>
      <c r="BI63" s="42">
        <v>3.6769070467496103</v>
      </c>
      <c r="BJ63" s="42">
        <v>11.050884691000324</v>
      </c>
      <c r="BK63" s="42">
        <v>-7.7560804945033972</v>
      </c>
      <c r="ES63" s="119" t="s">
        <v>946</v>
      </c>
      <c r="ET63" s="42" t="str" cm="1">
        <f t="array" ref="ET63:EU63">_xlfn.ANCHORARRAY(ET11)&amp;" * "&amp;_xlfn.ANCHORARRAY(ET56)&amp;IF(_xlfn.ANCHORARRAY(ET10)=AQ16,""," + ")</f>
        <v xml:space="preserve">Eksempel 2 (interval) * 0.424 + </v>
      </c>
      <c r="EU63" s="42" t="str">
        <v>Eksempel 3 (nominal) * 0.92</v>
      </c>
    </row>
    <row r="64" spans="1:152" x14ac:dyDescent="0.2">
      <c r="A64" s="119"/>
      <c r="B64" s="182">
        <v>1</v>
      </c>
      <c r="C64" s="123"/>
      <c r="D64" s="123"/>
      <c r="BC64" s="42">
        <v>54</v>
      </c>
      <c r="BD64" s="42">
        <v>3.8080291562524202</v>
      </c>
      <c r="BE64" s="42">
        <v>4.3210145457979081</v>
      </c>
      <c r="BF64" s="42">
        <v>-0.90980192261786863</v>
      </c>
      <c r="BH64" s="42">
        <v>54</v>
      </c>
      <c r="BI64" s="42">
        <v>3.8080291562524202</v>
      </c>
      <c r="BJ64" s="42">
        <v>11.106837208868976</v>
      </c>
      <c r="BK64" s="42">
        <v>-7.6956245856889378</v>
      </c>
      <c r="ES64" s="119" t="s">
        <v>948</v>
      </c>
      <c r="ET64" s="42" t="str" cm="1">
        <f t="array" ref="ET64:EU64">_xlfn.ANCHORARRAY(ET27)&amp;" * "&amp;_xlfn.ANCHORARRAY(ET56)&amp;IF(_xlfn.ANCHORARRAY(ET10)=AQ16,""," + ")</f>
        <v xml:space="preserve">1 * 0.424 + </v>
      </c>
      <c r="EU64" s="42" t="str">
        <v>1 * 0.92</v>
      </c>
    </row>
    <row r="65" spans="1:155" x14ac:dyDescent="0.2">
      <c r="A65" s="119"/>
      <c r="B65" s="182">
        <v>1</v>
      </c>
      <c r="C65" s="123"/>
      <c r="D65" s="123"/>
      <c r="BC65" s="42">
        <v>55</v>
      </c>
      <c r="BD65" s="42">
        <v>3.9391512657552283</v>
      </c>
      <c r="BE65" s="42">
        <v>4.3737726504959626</v>
      </c>
      <c r="BF65" s="42">
        <v>-0.84615160063281292</v>
      </c>
      <c r="BH65" s="42">
        <v>55</v>
      </c>
      <c r="BI65" s="42">
        <v>3.9391512657552283</v>
      </c>
      <c r="BJ65" s="42">
        <v>11.163527778619086</v>
      </c>
      <c r="BK65" s="42">
        <v>-7.6359067287559359</v>
      </c>
      <c r="ES65" s="119" t="s">
        <v>945</v>
      </c>
      <c r="ET65" s="42" t="str">
        <f>_xlfn.CONCAT(ET57,ET59,_xlfn.ANCHORARRAY(ET61))</f>
        <v>y = β0 + β1 * x1 + β2 * x2</v>
      </c>
    </row>
    <row r="66" spans="1:155" x14ac:dyDescent="0.2">
      <c r="A66" s="119"/>
      <c r="B66" s="182">
        <v>1</v>
      </c>
      <c r="C66" s="123"/>
      <c r="D66" s="123"/>
      <c r="BC66" s="42">
        <v>56</v>
      </c>
      <c r="BD66" s="42">
        <v>4.0702733752580373</v>
      </c>
      <c r="BE66" s="42">
        <v>4.4291834930244667</v>
      </c>
      <c r="BF66" s="42">
        <v>-0.78515401647820515</v>
      </c>
      <c r="BH66" s="42">
        <v>56</v>
      </c>
      <c r="BI66" s="42">
        <v>4.0702733752580373</v>
      </c>
      <c r="BJ66" s="42">
        <v>11.220956756827228</v>
      </c>
      <c r="BK66" s="42">
        <v>-7.576927280280966</v>
      </c>
      <c r="ES66" s="119" t="s">
        <v>944</v>
      </c>
      <c r="ET66" s="42" t="str">
        <f>_xlfn.CONCAT(ET57,ET60,_xlfn.ANCHORARRAY(ET62))</f>
        <v>y = -0.133 + x1 * 0.424 + x2 * 0.92</v>
      </c>
    </row>
    <row r="67" spans="1:155" x14ac:dyDescent="0.2">
      <c r="A67" s="119"/>
      <c r="B67" s="182">
        <v>1</v>
      </c>
      <c r="C67" s="123"/>
      <c r="D67" s="123"/>
      <c r="BC67" s="42">
        <v>57</v>
      </c>
      <c r="BD67" s="42">
        <v>4.2013954847608472</v>
      </c>
      <c r="BE67" s="42">
        <v>4.4872556004126256</v>
      </c>
      <c r="BF67" s="42">
        <v>-0.72681769718325206</v>
      </c>
      <c r="BH67" s="42">
        <v>57</v>
      </c>
      <c r="BI67" s="42">
        <v>4.2013954847608472</v>
      </c>
      <c r="BJ67" s="42">
        <v>11.279124326208352</v>
      </c>
      <c r="BK67" s="42">
        <v>-7.5186864229789787</v>
      </c>
      <c r="ES67" s="119" t="s">
        <v>947</v>
      </c>
      <c r="ET67" s="42" t="str">
        <f>_xlfn.CONCAT(ET58,ET60,_xlfn.ANCHORARRAY(ET63))</f>
        <v>Eksempel 1 (interval) = -0.133 + Eksempel 2 (interval) * 0.424 + Eksempel 3 (nominal) * 0.92</v>
      </c>
    </row>
    <row r="68" spans="1:155" x14ac:dyDescent="0.2">
      <c r="A68" s="119"/>
      <c r="B68" s="182">
        <v>1</v>
      </c>
      <c r="C68" s="123"/>
      <c r="D68" s="123"/>
      <c r="BC68" s="42">
        <v>58</v>
      </c>
      <c r="BD68" s="42">
        <v>4.3325175942636553</v>
      </c>
      <c r="BE68" s="42">
        <v>4.5479893768298627</v>
      </c>
      <c r="BF68" s="42">
        <v>-0.67114304691737825</v>
      </c>
      <c r="BH68" s="42">
        <v>58</v>
      </c>
      <c r="BI68" s="42">
        <v>4.3325175942636553</v>
      </c>
      <c r="BJ68" s="42">
        <v>11.33803049540056</v>
      </c>
      <c r="BK68" s="42">
        <v>-7.4611841654880742</v>
      </c>
      <c r="ES68" s="119" t="s">
        <v>950</v>
      </c>
      <c r="ET68" s="42" t="str">
        <f>ROUND(ET28,ET54)&amp;" = "</f>
        <v xml:space="preserve">1.211 = </v>
      </c>
      <c r="EV68" s="42"/>
      <c r="EW68" s="42"/>
      <c r="EX68" s="42"/>
      <c r="EY68" s="42"/>
    </row>
    <row r="69" spans="1:155" x14ac:dyDescent="0.2">
      <c r="A69" s="119"/>
      <c r="B69" s="182">
        <v>1</v>
      </c>
      <c r="C69" s="123"/>
      <c r="D69" s="123"/>
      <c r="BC69" s="42">
        <v>59</v>
      </c>
      <c r="BD69" s="42">
        <v>4.4636397037664652</v>
      </c>
      <c r="BE69" s="42">
        <v>4.6113770974262263</v>
      </c>
      <c r="BF69" s="42">
        <v>-0.61812234083062934</v>
      </c>
      <c r="BH69" s="42">
        <v>59</v>
      </c>
      <c r="BI69" s="42">
        <v>4.4636397037664652</v>
      </c>
      <c r="BJ69" s="42">
        <v>11.397675098954911</v>
      </c>
      <c r="BK69" s="42">
        <v>-7.4044203423593142</v>
      </c>
      <c r="ES69" s="119" t="s">
        <v>928</v>
      </c>
      <c r="ET69" s="42" t="str">
        <f>_xlfn.CONCAT(ET68,ET60,_xlfn.ANCHORARRAY(ET64))</f>
        <v>1.211 = -0.133 + 1 * 0.424 + 1 * 0.92</v>
      </c>
      <c r="EV69" s="42"/>
      <c r="EW69" s="42"/>
      <c r="EX69" s="42"/>
      <c r="EY69" s="42"/>
    </row>
    <row r="70" spans="1:155" x14ac:dyDescent="0.2">
      <c r="A70" s="119"/>
      <c r="B70" s="182">
        <v>1</v>
      </c>
      <c r="C70" s="123"/>
      <c r="D70" s="123"/>
      <c r="BC70" s="42">
        <v>60</v>
      </c>
      <c r="BD70" s="42">
        <v>4.5947618132692742</v>
      </c>
      <c r="BE70" s="42">
        <v>4.6774030257026569</v>
      </c>
      <c r="BF70" s="42">
        <v>-0.56773984242394793</v>
      </c>
      <c r="BH70" s="42">
        <v>60</v>
      </c>
      <c r="BI70" s="42">
        <v>4.5947618132692742</v>
      </c>
      <c r="BJ70" s="42">
        <v>11.458057797530337</v>
      </c>
      <c r="BK70" s="42">
        <v>-7.3483946142516281</v>
      </c>
      <c r="EV70" s="42"/>
      <c r="EW70" s="42"/>
      <c r="EX70" s="42"/>
      <c r="EY70" s="42"/>
    </row>
    <row r="71" spans="1:155" x14ac:dyDescent="0.2">
      <c r="A71" s="119"/>
      <c r="B71" s="182">
        <v>1</v>
      </c>
      <c r="C71" s="123"/>
      <c r="D71" s="123"/>
      <c r="BC71" s="42">
        <v>61</v>
      </c>
      <c r="BD71" s="42">
        <v>4.7258839227720841</v>
      </c>
      <c r="BE71" s="42">
        <v>4.7460436502788301</v>
      </c>
      <c r="BF71" s="42">
        <v>-0.51997204031700983</v>
      </c>
      <c r="BH71" s="42">
        <v>61</v>
      </c>
      <c r="BI71" s="42">
        <v>4.7258839227720841</v>
      </c>
      <c r="BJ71" s="42">
        <v>11.519178078293093</v>
      </c>
      <c r="BK71" s="42">
        <v>-7.2931064683312723</v>
      </c>
      <c r="EV71" s="42"/>
      <c r="EW71" s="42"/>
      <c r="EX71" s="42"/>
      <c r="EY71" s="42"/>
    </row>
    <row r="72" spans="1:155" x14ac:dyDescent="0.2">
      <c r="A72" s="119"/>
      <c r="B72" s="182">
        <v>1</v>
      </c>
      <c r="C72" s="123"/>
      <c r="D72" s="123"/>
      <c r="BC72" s="42">
        <v>62</v>
      </c>
      <c r="BD72" s="42">
        <v>4.8570060322748922</v>
      </c>
      <c r="BE72" s="42">
        <v>4.8172680328356998</v>
      </c>
      <c r="BF72" s="42">
        <v>-0.47478799619076906</v>
      </c>
      <c r="BH72" s="42">
        <v>62</v>
      </c>
      <c r="BI72" s="42">
        <v>4.8570060322748922</v>
      </c>
      <c r="BJ72" s="42">
        <v>11.581035255519655</v>
      </c>
      <c r="BK72" s="42">
        <v>-7.2385552188747253</v>
      </c>
    </row>
    <row r="73" spans="1:155" x14ac:dyDescent="0.2">
      <c r="A73" s="119"/>
      <c r="B73" s="182">
        <v>1</v>
      </c>
      <c r="C73" s="123"/>
      <c r="D73" s="123"/>
      <c r="BC73" s="42">
        <v>63</v>
      </c>
      <c r="BD73" s="42">
        <v>4.9881281417777021</v>
      </c>
      <c r="BE73" s="42">
        <v>4.8910382554268876</v>
      </c>
      <c r="BF73" s="42">
        <v>-0.4321497920988433</v>
      </c>
      <c r="BH73" s="42">
        <v>63</v>
      </c>
      <c r="BI73" s="42">
        <v>4.9881281417777021</v>
      </c>
      <c r="BJ73" s="42">
        <v>11.643628471401435</v>
      </c>
      <c r="BK73" s="42">
        <v>-7.1847400080733905</v>
      </c>
      <c r="EU73" s="45" t="s">
        <v>913</v>
      </c>
      <c r="EX73" s="42"/>
      <c r="EY73" s="42"/>
    </row>
    <row r="74" spans="1:155" x14ac:dyDescent="0.2">
      <c r="A74" s="119"/>
      <c r="B74" s="182">
        <v>1</v>
      </c>
      <c r="C74" s="123"/>
      <c r="D74" s="123"/>
      <c r="BC74" s="42">
        <v>64</v>
      </c>
      <c r="BD74" s="42">
        <v>5.1192502512805103</v>
      </c>
      <c r="BE74" s="42">
        <v>4.9673099524770805</v>
      </c>
      <c r="BF74" s="42">
        <v>-0.3920130624659266</v>
      </c>
      <c r="BH74" s="42">
        <v>64</v>
      </c>
      <c r="BI74" s="42">
        <v>5.1192502512805103</v>
      </c>
      <c r="BJ74" s="42">
        <v>11.706956697049065</v>
      </c>
      <c r="BK74" s="42">
        <v>-7.1316598070379102</v>
      </c>
      <c r="ES74" s="162" t="s">
        <v>567</v>
      </c>
      <c r="ET74" s="162" t="s">
        <v>668</v>
      </c>
      <c r="EU74" s="162" t="s">
        <v>908</v>
      </c>
      <c r="EV74" s="176"/>
      <c r="EW74" s="42"/>
      <c r="EX74" s="42"/>
      <c r="EY74" s="42"/>
    </row>
    <row r="75" spans="1:155" x14ac:dyDescent="0.2">
      <c r="A75" s="119"/>
      <c r="B75" s="182">
        <v>1</v>
      </c>
      <c r="C75" s="123"/>
      <c r="D75" s="123"/>
      <c r="BC75" s="42">
        <v>65</v>
      </c>
      <c r="BD75" s="42">
        <v>5.2503723607833201</v>
      </c>
      <c r="BE75" s="42">
        <v>5.0460329107509612</v>
      </c>
      <c r="BF75" s="42">
        <v>-0.35432759405669545</v>
      </c>
      <c r="BH75" s="42">
        <v>65</v>
      </c>
      <c r="BI75" s="42">
        <v>5.2503723607833201</v>
      </c>
      <c r="BJ75" s="42">
        <v>11.771018733693587</v>
      </c>
      <c r="BK75" s="42">
        <v>-7.0793134169993222</v>
      </c>
      <c r="ES75" s="61" cm="1">
        <f t="array" ref="ES75:ES86">_xlfn.SEQUENCE(AQ14)</f>
        <v>1</v>
      </c>
      <c r="ET75" s="61" cm="1">
        <f t="array" ref="ET75:ET86">--(INDEX(Data,1,AQ12):INDEX(Data,AQ14,AQ12))</f>
        <v>1.2989587493526971</v>
      </c>
      <c r="EU75" s="42" cm="1">
        <f t="array" ref="EU75:EV86">INDEX(--Data,_xlfn.ANCHORARRAY(ES75),_xlfn.ANCHORARRAY(ET9))</f>
        <v>2</v>
      </c>
      <c r="EV75" s="42">
        <v>0</v>
      </c>
      <c r="EW75" s="42"/>
      <c r="EX75" s="42"/>
      <c r="EY75" s="42"/>
    </row>
    <row r="76" spans="1:155" x14ac:dyDescent="0.2">
      <c r="A76" s="119"/>
      <c r="B76" s="182">
        <v>1</v>
      </c>
      <c r="C76" s="123"/>
      <c r="D76" s="123"/>
      <c r="BC76" s="42">
        <v>66</v>
      </c>
      <c r="BD76" s="42">
        <v>5.38149447028613</v>
      </c>
      <c r="BE76" s="42">
        <v>5.1271517194440257</v>
      </c>
      <c r="BF76" s="42">
        <v>-0.31903797606664597</v>
      </c>
      <c r="BH76" s="42">
        <v>66</v>
      </c>
      <c r="BI76" s="42">
        <v>5.38149447028613</v>
      </c>
      <c r="BJ76" s="42">
        <v>11.835813214081222</v>
      </c>
      <c r="BK76" s="42">
        <v>-7.0276994707038423</v>
      </c>
      <c r="ES76" s="61">
        <v>2</v>
      </c>
      <c r="ET76" s="61">
        <v>-1.1469596428732241</v>
      </c>
      <c r="EU76" s="42">
        <v>-3.2725647568992748</v>
      </c>
      <c r="EV76" s="42">
        <v>0</v>
      </c>
      <c r="EW76" s="42"/>
      <c r="EX76" s="42"/>
      <c r="EY76" s="42"/>
    </row>
    <row r="77" spans="1:155" x14ac:dyDescent="0.2">
      <c r="A77" s="119"/>
      <c r="B77" s="182">
        <v>1</v>
      </c>
      <c r="C77" s="123"/>
      <c r="D77" s="123"/>
      <c r="BC77" s="42">
        <v>67</v>
      </c>
      <c r="BD77" s="42">
        <v>5.5126165797889382</v>
      </c>
      <c r="BE77" s="42">
        <v>5.2106064523057274</v>
      </c>
      <c r="BF77" s="42">
        <v>-0.28608428224523719</v>
      </c>
      <c r="BH77" s="42">
        <v>67</v>
      </c>
      <c r="BI77" s="42">
        <v>5.5126165797889382</v>
      </c>
      <c r="BJ77" s="42">
        <v>11.901338604057976</v>
      </c>
      <c r="BK77" s="42">
        <v>-6.9768164339974854</v>
      </c>
      <c r="ES77" s="42">
        <v>3</v>
      </c>
      <c r="ET77" s="42">
        <v>-0.40935481016144565</v>
      </c>
      <c r="EU77" s="42">
        <v>2.0315172703350726</v>
      </c>
      <c r="EV77">
        <v>0</v>
      </c>
    </row>
    <row r="78" spans="1:155" x14ac:dyDescent="0.2">
      <c r="A78" s="119"/>
      <c r="B78" s="182">
        <v>1</v>
      </c>
      <c r="C78" s="123"/>
      <c r="D78" s="123"/>
      <c r="BC78" s="42">
        <v>68</v>
      </c>
      <c r="BD78" s="42">
        <v>5.643738689291748</v>
      </c>
      <c r="BE78" s="42">
        <v>5.2963333642802759</v>
      </c>
      <c r="BF78" s="42">
        <v>-0.25540276753667301</v>
      </c>
      <c r="BH78" s="42">
        <v>68</v>
      </c>
      <c r="BI78" s="42">
        <v>5.643738689291748</v>
      </c>
      <c r="BJ78" s="42">
        <v>11.967593204339867</v>
      </c>
      <c r="BK78" s="42">
        <v>-6.9266626075962634</v>
      </c>
      <c r="ES78" s="42">
        <v>4</v>
      </c>
      <c r="ET78" s="42">
        <v>-1.479592604535932</v>
      </c>
      <c r="EU78" s="42">
        <v>-2.2379718387660041</v>
      </c>
      <c r="EV78">
        <v>0</v>
      </c>
    </row>
    <row r="79" spans="1:155" x14ac:dyDescent="0.2">
      <c r="A79" s="119"/>
      <c r="B79" s="182">
        <v>1</v>
      </c>
      <c r="C79" s="123"/>
      <c r="D79" s="123"/>
      <c r="BC79" s="42">
        <v>69</v>
      </c>
      <c r="BD79" s="42">
        <v>5.7748607987945562</v>
      </c>
      <c r="BE79" s="42">
        <v>5.3842655864164142</v>
      </c>
      <c r="BF79" s="42">
        <v>-0.22692656298970082</v>
      </c>
      <c r="BH79" s="42">
        <v>69</v>
      </c>
      <c r="BI79" s="42">
        <v>5.7748607987945562</v>
      </c>
      <c r="BJ79" s="42">
        <v>12.034575152463969</v>
      </c>
      <c r="BK79" s="42">
        <v>-6.8772361290372563</v>
      </c>
      <c r="ES79" s="42">
        <v>5</v>
      </c>
      <c r="ET79" s="42">
        <v>1.8110756828005981</v>
      </c>
      <c r="EU79" s="42">
        <v>4</v>
      </c>
      <c r="EV79">
        <v>0</v>
      </c>
    </row>
    <row r="80" spans="1:155" x14ac:dyDescent="0.2">
      <c r="A80" s="119"/>
      <c r="B80" s="182">
        <v>1</v>
      </c>
      <c r="C80" s="123"/>
      <c r="D80" s="123"/>
      <c r="BC80" s="42">
        <v>70</v>
      </c>
      <c r="BD80" s="42">
        <v>5.9059829082973661</v>
      </c>
      <c r="BE80" s="42">
        <v>5.4743338045980341</v>
      </c>
      <c r="BF80" s="42">
        <v>-0.2005863544882085</v>
      </c>
      <c r="BH80" s="42">
        <v>70</v>
      </c>
      <c r="BI80" s="42">
        <v>5.9059829082973661</v>
      </c>
      <c r="BJ80" s="42">
        <v>12.102282424915206</v>
      </c>
      <c r="BK80" s="42">
        <v>-6.8285349748053816</v>
      </c>
      <c r="ES80" s="42">
        <v>6</v>
      </c>
      <c r="ET80" s="42">
        <v>8</v>
      </c>
      <c r="EU80" s="42">
        <v>5</v>
      </c>
      <c r="EV80">
        <v>1</v>
      </c>
    </row>
    <row r="81" spans="1:152" x14ac:dyDescent="0.2">
      <c r="A81" s="119"/>
      <c r="B81" s="182">
        <v>1</v>
      </c>
      <c r="C81" s="123"/>
      <c r="D81" s="123"/>
      <c r="BC81" s="42">
        <v>71</v>
      </c>
      <c r="BD81" s="42">
        <v>6.0371050178001759</v>
      </c>
      <c r="BE81" s="42">
        <v>5.5664669098117674</v>
      </c>
      <c r="BF81" s="42">
        <v>-0.17631103301882911</v>
      </c>
      <c r="BH81" s="42">
        <v>71</v>
      </c>
      <c r="BI81" s="42">
        <v>6.0371050178001759</v>
      </c>
      <c r="BJ81" s="42">
        <v>12.17071283942318</v>
      </c>
      <c r="BK81" s="42">
        <v>-6.7805569626302411</v>
      </c>
      <c r="ES81" s="42">
        <v>7</v>
      </c>
      <c r="ET81" s="42">
        <v>-0.30723615599325882</v>
      </c>
      <c r="EU81" s="42">
        <v>2.0228895016109072</v>
      </c>
      <c r="EV81">
        <v>0</v>
      </c>
    </row>
    <row r="82" spans="1:152" x14ac:dyDescent="0.2">
      <c r="A82" s="119"/>
      <c r="B82" s="182">
        <v>1</v>
      </c>
      <c r="C82" s="123"/>
      <c r="D82" s="123"/>
      <c r="BC82" s="42">
        <v>72</v>
      </c>
      <c r="BD82" s="42">
        <v>6.1682271273029858</v>
      </c>
      <c r="BE82" s="42">
        <v>5.6605926100281021</v>
      </c>
      <c r="BF82" s="42">
        <v>-0.15402830655205157</v>
      </c>
      <c r="BH82" s="42">
        <v>72</v>
      </c>
      <c r="BI82" s="42">
        <v>6.1682271273029858</v>
      </c>
      <c r="BJ82" s="42">
        <v>12.239864057423178</v>
      </c>
      <c r="BK82" s="42">
        <v>-6.7332997539471275</v>
      </c>
      <c r="ES82" s="42">
        <v>8</v>
      </c>
      <c r="ET82" s="42">
        <v>13</v>
      </c>
      <c r="EU82" s="42">
        <v>9</v>
      </c>
      <c r="EV82">
        <v>0</v>
      </c>
    </row>
    <row r="83" spans="1:152" x14ac:dyDescent="0.2">
      <c r="A83" s="119"/>
      <c r="B83" s="182">
        <v>1</v>
      </c>
      <c r="C83" s="123"/>
      <c r="D83" s="123"/>
      <c r="BC83" s="42">
        <v>73</v>
      </c>
      <c r="BD83" s="42">
        <v>6.299349236805794</v>
      </c>
      <c r="BE83" s="42">
        <v>5.7566379961765604</v>
      </c>
      <c r="BF83" s="42">
        <v>-0.13366526601739981</v>
      </c>
      <c r="BH83" s="42">
        <v>73</v>
      </c>
      <c r="BI83" s="42">
        <v>6.299349236805794</v>
      </c>
      <c r="BJ83" s="42">
        <v>12.309733586674902</v>
      </c>
      <c r="BK83" s="42">
        <v>-6.6867608565157424</v>
      </c>
      <c r="ES83" s="42">
        <v>9</v>
      </c>
      <c r="ET83" s="42">
        <v>1.3803796539630533</v>
      </c>
      <c r="EU83" s="42">
        <v>6.3251059591845431</v>
      </c>
      <c r="EV83">
        <v>1</v>
      </c>
    </row>
    <row r="84" spans="1:152" x14ac:dyDescent="0.2">
      <c r="A84" s="119"/>
      <c r="B84" s="182">
        <v>1</v>
      </c>
      <c r="C84" s="123"/>
      <c r="D84" s="123"/>
      <c r="BC84" s="42">
        <v>74</v>
      </c>
      <c r="BD84" s="42">
        <v>6.4304713463086021</v>
      </c>
      <c r="BE84" s="42">
        <v>5.8545300570156638</v>
      </c>
      <c r="BF84" s="42">
        <v>-0.11514890017339097</v>
      </c>
      <c r="BH84" s="42">
        <v>74</v>
      </c>
      <c r="BI84" s="42">
        <v>6.4304713463086021</v>
      </c>
      <c r="BJ84" s="42">
        <v>12.380318784032298</v>
      </c>
      <c r="BK84" s="42">
        <v>-6.6409376271900245</v>
      </c>
      <c r="ES84" s="42">
        <v>10</v>
      </c>
      <c r="ET84" s="42">
        <v>8.4427372017371785E-2</v>
      </c>
      <c r="EU84" s="42">
        <v>5.4220501567463426</v>
      </c>
      <c r="EV84">
        <v>1</v>
      </c>
    </row>
    <row r="85" spans="1:152" x14ac:dyDescent="0.2">
      <c r="A85" s="119"/>
      <c r="B85" s="182">
        <v>1</v>
      </c>
      <c r="C85" s="123"/>
      <c r="D85" s="123"/>
      <c r="BC85" s="42">
        <v>75</v>
      </c>
      <c r="BD85" s="42">
        <v>6.561593455811412</v>
      </c>
      <c r="BE85" s="42">
        <v>5.9541961398363767</v>
      </c>
      <c r="BF85" s="42">
        <v>-9.8406556310992155E-2</v>
      </c>
      <c r="BH85" s="42">
        <v>75</v>
      </c>
      <c r="BI85" s="42">
        <v>6.561593455811412</v>
      </c>
      <c r="BJ85" s="42">
        <v>12.451616858357383</v>
      </c>
      <c r="BK85" s="42">
        <v>-6.5958272748319997</v>
      </c>
      <c r="ES85" s="42">
        <v>11</v>
      </c>
      <c r="ET85" s="42">
        <v>0.91409189597286977</v>
      </c>
      <c r="EU85" s="42">
        <v>9.7085240838788316</v>
      </c>
      <c r="EV85">
        <v>0</v>
      </c>
    </row>
    <row r="86" spans="1:152" x14ac:dyDescent="0.2">
      <c r="A86" s="119"/>
      <c r="B86" s="182">
        <v>1</v>
      </c>
      <c r="C86" s="123"/>
      <c r="D86" s="123"/>
      <c r="BC86" s="42">
        <v>76</v>
      </c>
      <c r="BD86" s="42">
        <v>6.6927155653142201</v>
      </c>
      <c r="BE86" s="42">
        <v>6.0555643558260384</v>
      </c>
      <c r="BF86" s="42">
        <v>-8.3366345617542414E-2</v>
      </c>
      <c r="BH86" s="42">
        <v>76</v>
      </c>
      <c r="BI86" s="42">
        <v>6.6927155653142201</v>
      </c>
      <c r="BJ86" s="42">
        <v>12.523624873570963</v>
      </c>
      <c r="BK86" s="42">
        <v>-6.5514268633624662</v>
      </c>
      <c r="ES86" s="42">
        <v>12</v>
      </c>
      <c r="ET86" s="42">
        <v>-0.89773712069108735</v>
      </c>
      <c r="EU86" s="42">
        <v>9.7085240838788316</v>
      </c>
      <c r="EV86">
        <v>0</v>
      </c>
    </row>
    <row r="87" spans="1:152" x14ac:dyDescent="0.2">
      <c r="A87" s="119"/>
      <c r="B87" s="182">
        <v>1</v>
      </c>
      <c r="C87" s="123"/>
      <c r="D87" s="123"/>
      <c r="BC87" s="42">
        <v>77</v>
      </c>
      <c r="BD87" s="42">
        <v>6.82383767481703</v>
      </c>
      <c r="BE87" s="42">
        <v>6.1585639305191515</v>
      </c>
      <c r="BF87" s="42">
        <v>-6.9957493627543776E-2</v>
      </c>
      <c r="BH87" s="42">
        <v>77</v>
      </c>
      <c r="BI87" s="42">
        <v>6.82383767481703</v>
      </c>
      <c r="BJ87" s="42">
        <v>12.596339751832478</v>
      </c>
      <c r="BK87" s="42">
        <v>-6.5077333149408707</v>
      </c>
    </row>
    <row r="88" spans="1:152" x14ac:dyDescent="0.2">
      <c r="A88" s="119"/>
      <c r="B88" s="182">
        <v>1</v>
      </c>
      <c r="C88" s="123"/>
      <c r="D88" s="123"/>
      <c r="BC88" s="42">
        <v>78</v>
      </c>
      <c r="BD88" s="42">
        <v>6.9549597843198399</v>
      </c>
      <c r="BE88" s="42">
        <v>6.2631255010577425</v>
      </c>
      <c r="BF88" s="42">
        <v>-5.811063748302292E-2</v>
      </c>
      <c r="BH88" s="42">
        <v>78</v>
      </c>
      <c r="BI88" s="42">
        <v>6.9549597843198399</v>
      </c>
      <c r="BJ88" s="42">
        <v>12.669758276841467</v>
      </c>
      <c r="BK88" s="42">
        <v>-6.4647434132667465</v>
      </c>
    </row>
    <row r="89" spans="1:152" x14ac:dyDescent="0.2">
      <c r="A89" s="119"/>
      <c r="B89" s="182">
        <v>1</v>
      </c>
      <c r="C89" s="123"/>
      <c r="D89" s="123"/>
      <c r="BC89" s="42">
        <v>79</v>
      </c>
      <c r="BD89" s="42">
        <v>7.086081893822648</v>
      </c>
      <c r="BE89" s="42">
        <v>6.3691813629829248</v>
      </c>
      <c r="BF89" s="42">
        <v>-4.775807272509347E-2</v>
      </c>
      <c r="BH89" s="42">
        <v>79</v>
      </c>
      <c r="BI89" s="42">
        <v>7.086081893822648</v>
      </c>
      <c r="BJ89" s="42">
        <v>12.743877097252565</v>
      </c>
      <c r="BK89" s="42">
        <v>-6.4224538069947341</v>
      </c>
    </row>
    <row r="90" spans="1:152" x14ac:dyDescent="0.2">
      <c r="A90" s="119"/>
      <c r="B90" s="182">
        <v>1</v>
      </c>
      <c r="C90" s="123"/>
      <c r="D90" s="123"/>
      <c r="BC90" s="42">
        <v>80</v>
      </c>
      <c r="BD90" s="42">
        <v>7.2172040033254596</v>
      </c>
      <c r="BE90" s="42">
        <v>6.476665670000946</v>
      </c>
      <c r="BF90" s="42">
        <v>-3.883395306000148E-2</v>
      </c>
      <c r="BH90" s="42">
        <v>80</v>
      </c>
      <c r="BI90" s="42">
        <v>7.2172040033254596</v>
      </c>
      <c r="BJ90" s="42">
        <v>12.81869273019603</v>
      </c>
      <c r="BK90" s="42">
        <v>-6.3808610132550854</v>
      </c>
    </row>
    <row r="91" spans="1:152" x14ac:dyDescent="0.2">
      <c r="A91" s="119"/>
      <c r="B91" s="182">
        <v>1</v>
      </c>
      <c r="C91" s="123"/>
      <c r="D91" s="123"/>
      <c r="BC91" s="42">
        <v>81</v>
      </c>
      <c r="BD91" s="42">
        <v>7.3483261128282678</v>
      </c>
      <c r="BE91" s="42">
        <v>6.5855145906414219</v>
      </c>
      <c r="BF91" s="42">
        <v>-3.1274447017366924E-2</v>
      </c>
      <c r="BH91" s="42">
        <v>81</v>
      </c>
      <c r="BI91" s="42">
        <v>7.3483261128282678</v>
      </c>
      <c r="BJ91" s="42">
        <v>12.894201564895596</v>
      </c>
      <c r="BK91" s="42">
        <v>-6.3399614212715418</v>
      </c>
    </row>
    <row r="92" spans="1:152" x14ac:dyDescent="0.2">
      <c r="A92" s="119"/>
      <c r="B92" s="182">
        <v>1</v>
      </c>
      <c r="C92" s="123"/>
      <c r="D92" s="123"/>
      <c r="BC92" s="42">
        <v>82</v>
      </c>
      <c r="BD92" s="42">
        <v>7.4794482223310759</v>
      </c>
      <c r="BE92" s="42">
        <v>6.6956664259878798</v>
      </c>
      <c r="BF92" s="42">
        <v>-2.5017855680713019E-2</v>
      </c>
      <c r="BH92" s="42">
        <v>82</v>
      </c>
      <c r="BI92" s="42">
        <v>7.4794482223310759</v>
      </c>
      <c r="BJ92" s="42">
        <v>12.970399866375399</v>
      </c>
      <c r="BK92" s="42">
        <v>-6.2997512960682327</v>
      </c>
    </row>
    <row r="93" spans="1:152" x14ac:dyDescent="0.2">
      <c r="A93" s="119"/>
      <c r="B93" s="182">
        <v>1</v>
      </c>
      <c r="C93" s="123"/>
      <c r="D93" s="123"/>
      <c r="BC93" s="42">
        <v>83</v>
      </c>
      <c r="BD93" s="42">
        <v>7.610570331833884</v>
      </c>
      <c r="BE93" s="42">
        <v>6.8070616927480039</v>
      </c>
      <c r="BF93" s="42">
        <v>-2.0004695757726676E-2</v>
      </c>
      <c r="BH93" s="42">
        <v>83</v>
      </c>
      <c r="BI93" s="42">
        <v>7.610570331833884</v>
      </c>
      <c r="BJ93" s="42">
        <v>13.047283779247611</v>
      </c>
      <c r="BK93" s="42">
        <v>-6.2602267822573339</v>
      </c>
    </row>
    <row r="94" spans="1:152" x14ac:dyDescent="0.2">
      <c r="A94" s="119"/>
      <c r="B94" s="182">
        <v>1</v>
      </c>
      <c r="C94" s="123"/>
      <c r="D94" s="123"/>
      <c r="BC94" s="42">
        <v>84</v>
      </c>
      <c r="BD94" s="42">
        <v>7.7416924413366939</v>
      </c>
      <c r="BE94" s="42">
        <v>6.9196431758796191</v>
      </c>
      <c r="BF94" s="42">
        <v>-1.6177752206230522E-2</v>
      </c>
      <c r="BH94" s="42">
        <v>84</v>
      </c>
      <c r="BI94" s="42">
        <v>7.7416924413366939</v>
      </c>
      <c r="BJ94" s="42">
        <v>13.12484933157247</v>
      </c>
      <c r="BK94" s="42">
        <v>-6.2213839078990816</v>
      </c>
    </row>
    <row r="95" spans="1:152" x14ac:dyDescent="0.2">
      <c r="A95" s="119"/>
      <c r="B95" s="182">
        <v>1</v>
      </c>
      <c r="C95" s="123"/>
      <c r="D95" s="123"/>
      <c r="BC95" s="42">
        <v>85</v>
      </c>
      <c r="BD95" s="42">
        <v>7.8728145508395038</v>
      </c>
      <c r="BE95" s="42">
        <v>7.03335595483163</v>
      </c>
      <c r="BF95" s="42">
        <v>-1.3482104475127876E-2</v>
      </c>
      <c r="BH95" s="42">
        <v>85</v>
      </c>
      <c r="BI95" s="42">
        <v>7.8728145508395038</v>
      </c>
      <c r="BJ95" s="42">
        <v>13.203092438782356</v>
      </c>
      <c r="BK95" s="42">
        <v>-6.183218588425853</v>
      </c>
    </row>
    <row r="96" spans="1:152" x14ac:dyDescent="0.2">
      <c r="A96" s="119"/>
      <c r="B96" s="182">
        <v>1</v>
      </c>
      <c r="C96" s="123"/>
      <c r="D96" s="123"/>
      <c r="BC96" s="42">
        <v>86</v>
      </c>
      <c r="BD96" s="42">
        <v>8.0039366603423137</v>
      </c>
      <c r="BE96" s="42">
        <v>7.1481474072268334</v>
      </c>
      <c r="BF96" s="42">
        <v>-1.1865130187219464E-2</v>
      </c>
      <c r="BH96" s="42">
        <v>86</v>
      </c>
      <c r="BI96" s="42">
        <v>8.0039366603423137</v>
      </c>
      <c r="BJ96" s="42">
        <v>13.282008907661595</v>
      </c>
      <c r="BK96" s="42">
        <v>-6.145726630621982</v>
      </c>
    </row>
    <row r="97" spans="1:63" x14ac:dyDescent="0.2">
      <c r="A97" s="119"/>
      <c r="B97" s="182">
        <v>1</v>
      </c>
      <c r="C97" s="123"/>
      <c r="D97" s="123"/>
      <c r="BC97" s="42">
        <v>87</v>
      </c>
      <c r="BD97" s="42">
        <v>8.1350587698451218</v>
      </c>
      <c r="BE97" s="42">
        <v>7.2639671935310748</v>
      </c>
      <c r="BF97" s="42">
        <v>-1.1276489808349499E-2</v>
      </c>
      <c r="BH97" s="42">
        <v>87</v>
      </c>
      <c r="BI97" s="42">
        <v>8.1350587698451218</v>
      </c>
      <c r="BJ97" s="42">
        <v>13.361594440373821</v>
      </c>
      <c r="BK97" s="42">
        <v>-6.1089037366510945</v>
      </c>
    </row>
    <row r="98" spans="1:63" x14ac:dyDescent="0.2">
      <c r="A98" s="119"/>
      <c r="B98" s="182">
        <v>1</v>
      </c>
      <c r="C98" s="123"/>
      <c r="D98" s="123"/>
      <c r="BC98" s="42">
        <v>88</v>
      </c>
      <c r="BD98" s="42">
        <v>8.2661808793479299</v>
      </c>
      <c r="BE98" s="42">
        <v>7.3807672259415797</v>
      </c>
      <c r="BF98" s="42">
        <v>-1.1668095535743994E-2</v>
      </c>
      <c r="BH98" s="42">
        <v>88</v>
      </c>
      <c r="BI98" s="42">
        <v>8.2661808793479299</v>
      </c>
      <c r="BJ98" s="42">
        <v>13.441844638528645</v>
      </c>
      <c r="BK98" s="42">
        <v>-6.072745508122809</v>
      </c>
    </row>
    <row r="99" spans="1:63" x14ac:dyDescent="0.2">
      <c r="A99" s="119"/>
      <c r="B99" s="182">
        <v>1</v>
      </c>
      <c r="C99" s="123"/>
      <c r="D99" s="123"/>
      <c r="BC99" s="42">
        <v>89</v>
      </c>
      <c r="BD99" s="42">
        <v>8.3973029888507398</v>
      </c>
      <c r="BE99" s="42">
        <v>7.4985016244032892</v>
      </c>
      <c r="BF99" s="42">
        <v>-1.299406731434205E-2</v>
      </c>
      <c r="BH99" s="42">
        <v>89</v>
      </c>
      <c r="BI99" s="42">
        <v>8.3973029888507398</v>
      </c>
      <c r="BJ99" s="42">
        <v>13.522755007279734</v>
      </c>
      <c r="BK99" s="42">
        <v>-6.0372474501907867</v>
      </c>
    </row>
    <row r="100" spans="1:63" x14ac:dyDescent="0.2">
      <c r="A100" s="119"/>
      <c r="B100" s="182">
        <v>1</v>
      </c>
      <c r="C100" s="123"/>
      <c r="D100" s="123"/>
      <c r="BC100" s="42">
        <v>90</v>
      </c>
      <c r="BD100" s="42">
        <v>8.5284250983535497</v>
      </c>
      <c r="BE100" s="42">
        <v>7.6171266623384755</v>
      </c>
      <c r="BF100" s="42">
        <v>-1.5210678566414337E-2</v>
      </c>
      <c r="BH100" s="42">
        <v>90</v>
      </c>
      <c r="BI100" s="42">
        <v>8.5284250983535497</v>
      </c>
      <c r="BJ100" s="42">
        <v>13.604320959446337</v>
      </c>
      <c r="BK100" s="42">
        <v>-6.0024049756742768</v>
      </c>
    </row>
    <row r="101" spans="1:63" x14ac:dyDescent="0.2">
      <c r="A101" s="119"/>
      <c r="B101" s="182">
        <v>1</v>
      </c>
      <c r="C101" s="123"/>
      <c r="D101" s="123"/>
      <c r="BC101" s="42">
        <v>91</v>
      </c>
      <c r="BD101" s="42">
        <v>8.6595472078563578</v>
      </c>
      <c r="BE101" s="42">
        <v>7.7366007043614298</v>
      </c>
      <c r="BF101" s="42">
        <v>-1.8276293906258623E-2</v>
      </c>
      <c r="BH101" s="42">
        <v>91</v>
      </c>
      <c r="BI101" s="42">
        <v>8.6595472078563578</v>
      </c>
      <c r="BJ101" s="42">
        <v>13.686537819650562</v>
      </c>
      <c r="BK101" s="42">
        <v>-5.9682134091953909</v>
      </c>
    </row>
    <row r="102" spans="1:63" x14ac:dyDescent="0.2">
      <c r="A102" s="119"/>
      <c r="B102" s="182">
        <v>1</v>
      </c>
      <c r="C102" s="123"/>
      <c r="D102" s="123"/>
      <c r="BC102" s="42">
        <v>92</v>
      </c>
      <c r="BD102" s="42">
        <v>8.7906693173591677</v>
      </c>
      <c r="BE102" s="42">
        <v>7.8568841379531733</v>
      </c>
      <c r="BF102" s="42">
        <v>-2.2151300814890362E-2</v>
      </c>
      <c r="BH102" s="42">
        <v>92</v>
      </c>
      <c r="BI102" s="42">
        <v>8.7906693173591677</v>
      </c>
      <c r="BJ102" s="42">
        <v>13.76940082846291</v>
      </c>
      <c r="BK102" s="42">
        <v>-5.934667991324627</v>
      </c>
    </row>
    <row r="103" spans="1:63" x14ac:dyDescent="0.2">
      <c r="BC103" s="42">
        <v>93</v>
      </c>
      <c r="BD103" s="42">
        <v>8.9217914268619758</v>
      </c>
      <c r="BE103" s="42">
        <v>7.977939300795299</v>
      </c>
      <c r="BF103" s="42">
        <v>-2.679803697390426E-2</v>
      </c>
      <c r="BH103" s="42">
        <v>93</v>
      </c>
      <c r="BI103" s="42">
        <v>8.9217914268619758</v>
      </c>
      <c r="BJ103" s="42">
        <v>13.852905146548702</v>
      </c>
      <c r="BK103" s="42">
        <v>-5.9017638827273071</v>
      </c>
    </row>
    <row r="104" spans="1:63" x14ac:dyDescent="0.2">
      <c r="BC104" s="42">
        <v>94</v>
      </c>
      <c r="BD104" s="42">
        <v>9.0529135363647875</v>
      </c>
      <c r="BE104" s="42">
        <v>8.0997304052098826</v>
      </c>
      <c r="BF104" s="42">
        <v>-3.2180714705374314E-2</v>
      </c>
      <c r="BH104" s="42">
        <v>94</v>
      </c>
      <c r="BI104" s="42">
        <v>9.0529135363647875</v>
      </c>
      <c r="BJ104" s="42">
        <v>13.937045858808354</v>
      </c>
      <c r="BK104" s="42">
        <v>-5.8694961683038462</v>
      </c>
    </row>
    <row r="105" spans="1:63" x14ac:dyDescent="0.2">
      <c r="BC105" s="42">
        <v>95</v>
      </c>
      <c r="BD105" s="42">
        <v>9.1840356458675956</v>
      </c>
      <c r="BE105" s="42">
        <v>8.2222234609245604</v>
      </c>
      <c r="BF105" s="42">
        <v>-3.826534373693935E-2</v>
      </c>
      <c r="BH105" s="42">
        <v>95</v>
      </c>
      <c r="BI105" s="42">
        <v>9.1840356458675956</v>
      </c>
      <c r="BJ105" s="42">
        <v>14.021817978504576</v>
      </c>
      <c r="BK105" s="42">
        <v>-5.8378598613169546</v>
      </c>
    </row>
    <row r="106" spans="1:63" x14ac:dyDescent="0.2">
      <c r="BC106" s="42">
        <v>96</v>
      </c>
      <c r="BD106" s="42">
        <v>9.3151577553704037</v>
      </c>
      <c r="BE106" s="42">
        <v>8.3453861971788541</v>
      </c>
      <c r="BF106" s="42">
        <v>-4.5019653308123964E-2</v>
      </c>
      <c r="BH106" s="42">
        <v>96</v>
      </c>
      <c r="BI106" s="42">
        <v>9.3151577553704037</v>
      </c>
      <c r="BJ106" s="42">
        <v>14.10721645136997</v>
      </c>
      <c r="BK106" s="42">
        <v>-5.8068499074992399</v>
      </c>
    </row>
    <row r="107" spans="1:63" x14ac:dyDescent="0.2">
      <c r="BC107" s="42">
        <v>97</v>
      </c>
      <c r="BD107" s="42">
        <v>9.4462798648732136</v>
      </c>
      <c r="BE107" s="42">
        <v>8.469187985008336</v>
      </c>
      <c r="BF107" s="42">
        <v>-5.2413014454494089E-2</v>
      </c>
      <c r="BH107" s="42">
        <v>97</v>
      </c>
      <c r="BI107" s="42">
        <v>9.4462798648732136</v>
      </c>
      <c r="BJ107" s="42">
        <v>14.193236159688645</v>
      </c>
      <c r="BK107" s="42">
        <v>-5.7764611891348032</v>
      </c>
    </row>
    <row r="108" spans="1:63" x14ac:dyDescent="0.2">
      <c r="BC108" s="42">
        <v>98</v>
      </c>
      <c r="BD108" s="42">
        <v>9.5774019743760217</v>
      </c>
      <c r="BE108" s="42">
        <v>8.5935997603863665</v>
      </c>
      <c r="BF108" s="42">
        <v>-6.0416363149412788E-2</v>
      </c>
      <c r="BH108" s="42">
        <v>98</v>
      </c>
      <c r="BI108" s="42">
        <v>9.5774019743760217</v>
      </c>
      <c r="BJ108" s="42">
        <v>14.279871926345772</v>
      </c>
      <c r="BK108" s="42">
        <v>-5.7466885291088179</v>
      </c>
    </row>
    <row r="109" spans="1:63" x14ac:dyDescent="0.2">
      <c r="BC109" s="42">
        <v>99</v>
      </c>
      <c r="BD109" s="42">
        <v>9.7085240838788316</v>
      </c>
      <c r="BE109" s="42">
        <v>8.7185939487671469</v>
      </c>
      <c r="BF109" s="42">
        <v>-6.9002124847081348E-2</v>
      </c>
      <c r="BH109" s="42">
        <v>99</v>
      </c>
      <c r="BI109" s="42">
        <v>9.7085240838788316</v>
      </c>
      <c r="BJ109" s="42">
        <v>14.367118518839385</v>
      </c>
      <c r="BK109" s="42">
        <v>-5.7175266949193198</v>
      </c>
    </row>
  </sheetData>
  <sheetProtection formatCells="0" formatColumns="0" formatRows="0" insertColumns="0" insertRows="0" insertHyperlinks="0" deleteColumns="0" deleteRows="0" sort="0" autoFilter="0" pivotTables="0"/>
  <mergeCells count="1">
    <mergeCell ref="B1:C1"/>
  </mergeCells>
  <phoneticPr fontId="15" type="noConversion"/>
  <conditionalFormatting sqref="A53:D102">
    <cfRule type="expression" dxfId="5" priority="2">
      <formula>ISBLANK($A53)</formula>
    </cfRule>
  </conditionalFormatting>
  <conditionalFormatting sqref="C30">
    <cfRule type="cellIs" dxfId="4" priority="1" operator="equal">
      <formula>"Ikke opfyldt"</formula>
    </cfRule>
  </conditionalFormatting>
  <dataValidations count="4">
    <dataValidation type="decimal" allowBlank="1" showInputMessage="1" showErrorMessage="1" errorTitle="Vælg et konfidensniveau" error="Indtast et procenttal mellem 50% og 100%" promptTitle="Vælg et konfidensniveau" prompt="Indtast et procenttal mellem 50% og 100%" sqref="B5" xr:uid="{447967D4-902F-47F4-A950-8F53C13A2C0B}">
      <formula1>0.5</formula1>
      <formula2>1</formula2>
    </dataValidation>
    <dataValidation type="list" allowBlank="1" showInputMessage="1" showErrorMessage="1" promptTitle="Vælg om en konstant inkluderes" prompt="Som udgangspunkt Sand, hvor konstanten inkluderes i regressionsmodellen._x000a_Hvis Falsk vælges, så tvinges regressionslinjen til at skære 0 på y-aksen." sqref="B6" xr:uid="{5D086B2F-24D4-4F70-A864-BA67E9AF54D7}">
      <formula1>SandFalsk_liste</formula1>
    </dataValidation>
    <dataValidation allowBlank="1" showInputMessage="1" showErrorMessage="1" promptTitle="Kontrol af forudsætning" prompt="Denne forudsætning skal altid vurderes." sqref="C31:C34" xr:uid="{7882D287-0EB4-45B3-A2CB-E34589B5997D}"/>
    <dataValidation allowBlank="1" showInputMessage="1" showErrorMessage="1" promptTitle="Kontrol af forudsætning" prompt="Viser Ikke opfyldt, hvis kontrollen har identificeret et problem med denne forudsætning. Viser Opfyldt, hvis kontrollen ikke har identificeret nogen problemer." sqref="C30" xr:uid="{9FF24CA4-3CD3-413C-A5B4-09A5E358903D}"/>
  </dataValidations>
  <hyperlinks>
    <hyperlink ref="B1" location="V_Manual_Lineær_Regression" display="Gå til Manual i brug af Lineær Regression arket                                      " xr:uid="{77BCA406-07D7-40D4-AC56-25C497D058F8}"/>
  </hyperlinks>
  <pageMargins left="0.7" right="0.7" top="0.75" bottom="0.75" header="0.3" footer="0.3"/>
  <pageSetup paperSize="9" orientation="portrait" r:id="rId1"/>
  <drawing r:id="rId2"/>
  <legacyDrawing r:id="rId3"/>
  <extLst>
    <ext xmlns:x15="http://schemas.microsoft.com/office/spreadsheetml/2010/11/main" uri="{3A4CF648-6AED-40f4-86FF-DC5316D8AED3}">
      <x14:slicerList xmlns:x14="http://schemas.microsoft.com/office/spreadsheetml/2009/9/main">
        <x14:slicer r:id="rId4"/>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18E6F7-86F8-4761-B1B8-E17A3AAB4447}">
  <sheetPr codeName="Sheet11"/>
  <dimension ref="A1:H2515"/>
  <sheetViews>
    <sheetView showGridLines="0" zoomScaleNormal="100" workbookViewId="0"/>
  </sheetViews>
  <sheetFormatPr defaultRowHeight="14.25" x14ac:dyDescent="0.2"/>
  <cols>
    <col min="1" max="1" width="35.875" customWidth="1"/>
    <col min="2" max="2" width="38.25" customWidth="1"/>
    <col min="3" max="3" width="20.875" customWidth="1"/>
    <col min="4" max="4" width="24" bestFit="1" customWidth="1"/>
    <col min="5" max="6" width="21.75" customWidth="1"/>
    <col min="7" max="7" width="31.375" customWidth="1"/>
    <col min="9" max="9" width="16.375" customWidth="1"/>
    <col min="12" max="12" width="19.375" customWidth="1"/>
    <col min="13" max="13" width="17.75" customWidth="1"/>
  </cols>
  <sheetData>
    <row r="1" spans="1:8" ht="18.75" x14ac:dyDescent="0.2">
      <c r="A1" s="1" t="s">
        <v>965</v>
      </c>
    </row>
    <row r="2" spans="1:8" x14ac:dyDescent="0.2">
      <c r="C2" s="171"/>
    </row>
    <row r="3" spans="1:8" x14ac:dyDescent="0.2">
      <c r="A3" s="3" t="s">
        <v>898</v>
      </c>
    </row>
    <row r="4" spans="1:8" x14ac:dyDescent="0.2">
      <c r="A4" s="90" t="s">
        <v>967</v>
      </c>
      <c r="B4" s="98">
        <f>SQRT(COUNT(LineærRegression_Valg[Tabel ID]))</f>
        <v>50</v>
      </c>
    </row>
    <row r="5" spans="1:8" x14ac:dyDescent="0.2">
      <c r="A5" s="90" t="s">
        <v>280</v>
      </c>
      <c r="B5" s="98">
        <f>COUNTA(DataTitel_liste)</f>
        <v>4</v>
      </c>
    </row>
    <row r="6" spans="1:8" x14ac:dyDescent="0.2">
      <c r="A6" s="90" t="s">
        <v>897</v>
      </c>
      <c r="B6" s="92" t="str">
        <f>IF(B5&gt;B4,"Forlæng tabellen indtil der indgår "&amp;B5^2&amp;" rækker","Tabellen behøver ikke forlænges yderligere")</f>
        <v>Tabellen behøver ikke forlænges yderligere</v>
      </c>
      <c r="C6" s="171"/>
    </row>
    <row r="7" spans="1:8" x14ac:dyDescent="0.2">
      <c r="A7" s="90" t="s">
        <v>896</v>
      </c>
      <c r="B7" s="98" t="str" cm="1">
        <f t="array" ref="B7">IF(MATCH(1,LineærRegression_Valg[Synlig],0)&lt;=B5+1,INDEX(DataTitel_liste,2),INDEX(DataTitel_liste,1))</f>
        <v>Eksempel 2 (interval)</v>
      </c>
      <c r="C7" s="171"/>
    </row>
    <row r="8" spans="1:8" x14ac:dyDescent="0.2">
      <c r="C8" s="171"/>
      <c r="E8" s="171"/>
      <c r="F8" s="171"/>
    </row>
    <row r="10" spans="1:8" x14ac:dyDescent="0.2">
      <c r="A10" t="s">
        <v>968</v>
      </c>
      <c r="B10" t="s">
        <v>666</v>
      </c>
      <c r="C10" t="s">
        <v>793</v>
      </c>
      <c r="D10" t="s">
        <v>895</v>
      </c>
      <c r="E10" t="s">
        <v>894</v>
      </c>
      <c r="F10" t="s">
        <v>50</v>
      </c>
      <c r="G10" t="s">
        <v>901</v>
      </c>
      <c r="H10" t="s">
        <v>144</v>
      </c>
    </row>
    <row r="11" spans="1:8" x14ac:dyDescent="0.2">
      <c r="A11">
        <f>ROW(LineærRegression_Valg[[#This Row],[Tabel ID]])-ROW(LineærRegression_Valg[[#Headers],[Tabel ID]])</f>
        <v>1</v>
      </c>
      <c r="B11" s="171">
        <f>ROUNDDOWN((LineærRegression_Valg[[#This Row],[Tabel ID]]-1)/$B$5,0)+1</f>
        <v>1</v>
      </c>
      <c r="C11">
        <f t="shared" ref="C11:C74" si="0">MOD(A11-1,$B$5)+1</f>
        <v>1</v>
      </c>
      <c r="D11" s="171" t="b">
        <f>LineærRegression_Valg[[#This Row],[Afhængig variabel ID]]&lt;&gt;LineærRegression_Valg[[#This Row],[Uafhængig variabel ID]]</f>
        <v>0</v>
      </c>
      <c r="E11" s="171" t="b">
        <f>LineærRegression_Valg[[#This Row],[Afhængig variabel ID]]&lt;=$B$5</f>
        <v>1</v>
      </c>
      <c r="F11" t="str" cm="1">
        <f t="array" ref="F11">IF(LineærRegression_Valg[[#This Row],[Indenfor range]],INDEX(DataTitel_liste,LineærRegression_Valg[[#This Row],[Afhængig variabel ID]]),INDEX(DataTitel_liste,1))</f>
        <v>Eksempel 1 (interval)</v>
      </c>
      <c r="G11" s="171" t="str" cm="1">
        <f t="array" ref="G11">IF(LineærRegression_Valg[[#This Row],[Indenfor range]],IF(LineærRegression_Valg[[#This Row],[Intet overlap]],INDEX(DataTitel_liste,LineærRegression_Valg[[#This Row],[Uafhængig variabel ID]]),INDEX(DataTitel_liste,IF(LineærRegression_Valg[[#This Row],[Afhængig variabel ID]]=1,2,1))),$B$7)</f>
        <v>Eksempel 2 (interval)</v>
      </c>
      <c r="H11" s="171">
        <f>_xlfn.AGGREGATE(2,5,LineærRegression_Valg[[#This Row],[Tabel ID]])</f>
        <v>1</v>
      </c>
    </row>
    <row r="12" spans="1:8" x14ac:dyDescent="0.2">
      <c r="A12">
        <f>ROW(LineærRegression_Valg[[#This Row],[Tabel ID]])-ROW(LineærRegression_Valg[[#Headers],[Tabel ID]])</f>
        <v>2</v>
      </c>
      <c r="B12" s="171">
        <f>ROUNDDOWN((LineærRegression_Valg[[#This Row],[Tabel ID]]-1)/$B$5,0)+1</f>
        <v>1</v>
      </c>
      <c r="C12">
        <f t="shared" si="0"/>
        <v>2</v>
      </c>
      <c r="D12" s="171" t="b">
        <f>LineærRegression_Valg[[#This Row],[Afhængig variabel ID]]&lt;&gt;LineærRegression_Valg[[#This Row],[Uafhængig variabel ID]]</f>
        <v>1</v>
      </c>
      <c r="E12" t="b">
        <f>LineærRegression_Valg[[#This Row],[Afhængig variabel ID]]&lt;=$B$5</f>
        <v>1</v>
      </c>
      <c r="F12" t="str" cm="1">
        <f t="array" ref="F12">IF(LineærRegression_Valg[[#This Row],[Indenfor range]],INDEX(DataTitel_liste,LineærRegression_Valg[[#This Row],[Afhængig variabel ID]]),INDEX(DataTitel_liste,1))</f>
        <v>Eksempel 1 (interval)</v>
      </c>
      <c r="G12" s="171" t="str" cm="1">
        <f t="array" ref="G12">IF(LineærRegression_Valg[[#This Row],[Indenfor range]],IF(LineærRegression_Valg[[#This Row],[Intet overlap]],INDEX(DataTitel_liste,LineærRegression_Valg[[#This Row],[Uafhængig variabel ID]]),INDEX(DataTitel_liste,IF(LineærRegression_Valg[[#This Row],[Afhængig variabel ID]]=1,2,1))),$B$7)</f>
        <v>Eksempel 2 (interval)</v>
      </c>
      <c r="H12" s="171">
        <f>_xlfn.AGGREGATE(2,5,LineærRegression_Valg[[#This Row],[Tabel ID]])</f>
        <v>1</v>
      </c>
    </row>
    <row r="13" spans="1:8" x14ac:dyDescent="0.2">
      <c r="A13">
        <f>ROW(LineærRegression_Valg[[#This Row],[Tabel ID]])-ROW(LineærRegression_Valg[[#Headers],[Tabel ID]])</f>
        <v>3</v>
      </c>
      <c r="B13" s="171">
        <f>ROUNDDOWN((LineærRegression_Valg[[#This Row],[Tabel ID]]-1)/$B$5,0)+1</f>
        <v>1</v>
      </c>
      <c r="C13">
        <f t="shared" si="0"/>
        <v>3</v>
      </c>
      <c r="D13" s="171" t="b">
        <f>LineærRegression_Valg[[#This Row],[Afhængig variabel ID]]&lt;&gt;LineærRegression_Valg[[#This Row],[Uafhængig variabel ID]]</f>
        <v>1</v>
      </c>
      <c r="E13" t="b">
        <f>LineærRegression_Valg[[#This Row],[Afhængig variabel ID]]&lt;=$B$5</f>
        <v>1</v>
      </c>
      <c r="F13" t="str" cm="1">
        <f t="array" ref="F13">IF(LineærRegression_Valg[[#This Row],[Indenfor range]],INDEX(DataTitel_liste,LineærRegression_Valg[[#This Row],[Afhængig variabel ID]]),INDEX(DataTitel_liste,1))</f>
        <v>Eksempel 1 (interval)</v>
      </c>
      <c r="G13" s="171" t="str" cm="1">
        <f t="array" ref="G13">IF(LineærRegression_Valg[[#This Row],[Indenfor range]],IF(LineærRegression_Valg[[#This Row],[Intet overlap]],INDEX(DataTitel_liste,LineærRegression_Valg[[#This Row],[Uafhængig variabel ID]]),INDEX(DataTitel_liste,IF(LineærRegression_Valg[[#This Row],[Afhængig variabel ID]]=1,2,1))),$B$7)</f>
        <v>Eksempel 3 (nominal)</v>
      </c>
      <c r="H13" s="171">
        <f>_xlfn.AGGREGATE(2,5,LineærRegression_Valg[[#This Row],[Tabel ID]])</f>
        <v>1</v>
      </c>
    </row>
    <row r="14" spans="1:8" hidden="1" x14ac:dyDescent="0.2">
      <c r="A14">
        <f>ROW(LineærRegression_Valg[[#This Row],[Tabel ID]])-ROW(LineærRegression_Valg[[#Headers],[Tabel ID]])</f>
        <v>4</v>
      </c>
      <c r="B14" s="171">
        <f>ROUNDDOWN((LineærRegression_Valg[[#This Row],[Tabel ID]]-1)/$B$5,0)+1</f>
        <v>1</v>
      </c>
      <c r="C14">
        <f t="shared" si="0"/>
        <v>4</v>
      </c>
      <c r="D14" s="171" t="b">
        <f>LineærRegression_Valg[[#This Row],[Afhængig variabel ID]]&lt;&gt;LineærRegression_Valg[[#This Row],[Uafhængig variabel ID]]</f>
        <v>1</v>
      </c>
      <c r="E14" t="b">
        <f>LineærRegression_Valg[[#This Row],[Afhængig variabel ID]]&lt;=$B$5</f>
        <v>1</v>
      </c>
      <c r="F14" t="str" cm="1">
        <f t="array" ref="F14">IF(LineærRegression_Valg[[#This Row],[Indenfor range]],INDEX(DataTitel_liste,LineærRegression_Valg[[#This Row],[Afhængig variabel ID]]),INDEX(DataTitel_liste,1))</f>
        <v>Eksempel 1 (interval)</v>
      </c>
      <c r="G14" s="171" t="str" cm="1">
        <f t="array" ref="G14">IF(LineærRegression_Valg[[#This Row],[Indenfor range]],IF(LineærRegression_Valg[[#This Row],[Intet overlap]],INDEX(DataTitel_liste,LineærRegression_Valg[[#This Row],[Uafhængig variabel ID]]),INDEX(DataTitel_liste,IF(LineærRegression_Valg[[#This Row],[Afhængig variabel ID]]=1,2,1))),$B$7)</f>
        <v>Eksempel 4 (nominal)</v>
      </c>
      <c r="H14" s="171">
        <f>_xlfn.AGGREGATE(2,5,LineærRegression_Valg[[#This Row],[Tabel ID]])</f>
        <v>0</v>
      </c>
    </row>
    <row r="15" spans="1:8" hidden="1" x14ac:dyDescent="0.2">
      <c r="A15">
        <f>ROW(LineærRegression_Valg[[#This Row],[Tabel ID]])-ROW(LineærRegression_Valg[[#Headers],[Tabel ID]])</f>
        <v>5</v>
      </c>
      <c r="B15" s="171">
        <f>ROUNDDOWN((LineærRegression_Valg[[#This Row],[Tabel ID]]-1)/$B$5,0)+1</f>
        <v>2</v>
      </c>
      <c r="C15">
        <f t="shared" si="0"/>
        <v>1</v>
      </c>
      <c r="D15" s="171" t="b">
        <f>LineærRegression_Valg[[#This Row],[Afhængig variabel ID]]&lt;&gt;LineærRegression_Valg[[#This Row],[Uafhængig variabel ID]]</f>
        <v>1</v>
      </c>
      <c r="E15" t="b">
        <f>LineærRegression_Valg[[#This Row],[Afhængig variabel ID]]&lt;=$B$5</f>
        <v>1</v>
      </c>
      <c r="F15" t="str" cm="1">
        <f t="array" ref="F15">IF(LineærRegression_Valg[[#This Row],[Indenfor range]],INDEX(DataTitel_liste,LineærRegression_Valg[[#This Row],[Afhængig variabel ID]]),INDEX(DataTitel_liste,1))</f>
        <v>Eksempel 2 (interval)</v>
      </c>
      <c r="G15" s="171" t="str" cm="1">
        <f t="array" ref="G15">IF(LineærRegression_Valg[[#This Row],[Indenfor range]],IF(LineærRegression_Valg[[#This Row],[Intet overlap]],INDEX(DataTitel_liste,LineærRegression_Valg[[#This Row],[Uafhængig variabel ID]]),INDEX(DataTitel_liste,IF(LineærRegression_Valg[[#This Row],[Afhængig variabel ID]]=1,2,1))),$B$7)</f>
        <v>Eksempel 1 (interval)</v>
      </c>
      <c r="H15" s="171">
        <f>_xlfn.AGGREGATE(2,5,LineærRegression_Valg[[#This Row],[Tabel ID]])</f>
        <v>0</v>
      </c>
    </row>
    <row r="16" spans="1:8" hidden="1" x14ac:dyDescent="0.2">
      <c r="A16">
        <f>ROW(LineærRegression_Valg[[#This Row],[Tabel ID]])-ROW(LineærRegression_Valg[[#Headers],[Tabel ID]])</f>
        <v>6</v>
      </c>
      <c r="B16" s="171">
        <f>ROUNDDOWN((LineærRegression_Valg[[#This Row],[Tabel ID]]-1)/$B$5,0)+1</f>
        <v>2</v>
      </c>
      <c r="C16">
        <f t="shared" si="0"/>
        <v>2</v>
      </c>
      <c r="D16" s="171" t="b">
        <f>LineærRegression_Valg[[#This Row],[Afhængig variabel ID]]&lt;&gt;LineærRegression_Valg[[#This Row],[Uafhængig variabel ID]]</f>
        <v>0</v>
      </c>
      <c r="E16" t="b">
        <f>LineærRegression_Valg[[#This Row],[Afhængig variabel ID]]&lt;=$B$5</f>
        <v>1</v>
      </c>
      <c r="F16" t="str" cm="1">
        <f t="array" ref="F16">IF(LineærRegression_Valg[[#This Row],[Indenfor range]],INDEX(DataTitel_liste,LineærRegression_Valg[[#This Row],[Afhængig variabel ID]]),INDEX(DataTitel_liste,1))</f>
        <v>Eksempel 2 (interval)</v>
      </c>
      <c r="G16" s="171" t="str" cm="1">
        <f t="array" ref="G16">IF(LineærRegression_Valg[[#This Row],[Indenfor range]],IF(LineærRegression_Valg[[#This Row],[Intet overlap]],INDEX(DataTitel_liste,LineærRegression_Valg[[#This Row],[Uafhængig variabel ID]]),INDEX(DataTitel_liste,IF(LineærRegression_Valg[[#This Row],[Afhængig variabel ID]]=1,2,1))),$B$7)</f>
        <v>Eksempel 1 (interval)</v>
      </c>
      <c r="H16" s="171">
        <f>_xlfn.AGGREGATE(2,5,LineærRegression_Valg[[#This Row],[Tabel ID]])</f>
        <v>0</v>
      </c>
    </row>
    <row r="17" spans="1:8" hidden="1" x14ac:dyDescent="0.2">
      <c r="A17">
        <f>ROW(LineærRegression_Valg[[#This Row],[Tabel ID]])-ROW(LineærRegression_Valg[[#Headers],[Tabel ID]])</f>
        <v>7</v>
      </c>
      <c r="B17" s="171">
        <f>ROUNDDOWN((LineærRegression_Valg[[#This Row],[Tabel ID]]-1)/$B$5,0)+1</f>
        <v>2</v>
      </c>
      <c r="C17">
        <f t="shared" si="0"/>
        <v>3</v>
      </c>
      <c r="D17" s="171" t="b">
        <f>LineærRegression_Valg[[#This Row],[Afhængig variabel ID]]&lt;&gt;LineærRegression_Valg[[#This Row],[Uafhængig variabel ID]]</f>
        <v>1</v>
      </c>
      <c r="E17" t="b">
        <f>LineærRegression_Valg[[#This Row],[Afhængig variabel ID]]&lt;=$B$5</f>
        <v>1</v>
      </c>
      <c r="F17" t="str" cm="1">
        <f t="array" ref="F17">IF(LineærRegression_Valg[[#This Row],[Indenfor range]],INDEX(DataTitel_liste,LineærRegression_Valg[[#This Row],[Afhængig variabel ID]]),INDEX(DataTitel_liste,1))</f>
        <v>Eksempel 2 (interval)</v>
      </c>
      <c r="G17" s="171" t="str" cm="1">
        <f t="array" ref="G17">IF(LineærRegression_Valg[[#This Row],[Indenfor range]],IF(LineærRegression_Valg[[#This Row],[Intet overlap]],INDEX(DataTitel_liste,LineærRegression_Valg[[#This Row],[Uafhængig variabel ID]]),INDEX(DataTitel_liste,IF(LineærRegression_Valg[[#This Row],[Afhængig variabel ID]]=1,2,1))),$B$7)</f>
        <v>Eksempel 3 (nominal)</v>
      </c>
      <c r="H17" s="171">
        <f>_xlfn.AGGREGATE(2,5,LineærRegression_Valg[[#This Row],[Tabel ID]])</f>
        <v>0</v>
      </c>
    </row>
    <row r="18" spans="1:8" hidden="1" x14ac:dyDescent="0.2">
      <c r="A18">
        <f>ROW(LineærRegression_Valg[[#This Row],[Tabel ID]])-ROW(LineærRegression_Valg[[#Headers],[Tabel ID]])</f>
        <v>8</v>
      </c>
      <c r="B18" s="171">
        <f>ROUNDDOWN((LineærRegression_Valg[[#This Row],[Tabel ID]]-1)/$B$5,0)+1</f>
        <v>2</v>
      </c>
      <c r="C18">
        <f t="shared" si="0"/>
        <v>4</v>
      </c>
      <c r="D18" s="171" t="b">
        <f>LineærRegression_Valg[[#This Row],[Afhængig variabel ID]]&lt;&gt;LineærRegression_Valg[[#This Row],[Uafhængig variabel ID]]</f>
        <v>1</v>
      </c>
      <c r="E18" t="b">
        <f>LineærRegression_Valg[[#This Row],[Afhængig variabel ID]]&lt;=$B$5</f>
        <v>1</v>
      </c>
      <c r="F18" t="str" cm="1">
        <f t="array" ref="F18">IF(LineærRegression_Valg[[#This Row],[Indenfor range]],INDEX(DataTitel_liste,LineærRegression_Valg[[#This Row],[Afhængig variabel ID]]),INDEX(DataTitel_liste,1))</f>
        <v>Eksempel 2 (interval)</v>
      </c>
      <c r="G18" s="171" t="str" cm="1">
        <f t="array" ref="G18">IF(LineærRegression_Valg[[#This Row],[Indenfor range]],IF(LineærRegression_Valg[[#This Row],[Intet overlap]],INDEX(DataTitel_liste,LineærRegression_Valg[[#This Row],[Uafhængig variabel ID]]),INDEX(DataTitel_liste,IF(LineærRegression_Valg[[#This Row],[Afhængig variabel ID]]=1,2,1))),$B$7)</f>
        <v>Eksempel 4 (nominal)</v>
      </c>
      <c r="H18" s="171">
        <f>_xlfn.AGGREGATE(2,5,LineærRegression_Valg[[#This Row],[Tabel ID]])</f>
        <v>0</v>
      </c>
    </row>
    <row r="19" spans="1:8" hidden="1" x14ac:dyDescent="0.2">
      <c r="A19">
        <f>ROW(LineærRegression_Valg[[#This Row],[Tabel ID]])-ROW(LineærRegression_Valg[[#Headers],[Tabel ID]])</f>
        <v>9</v>
      </c>
      <c r="B19" s="171">
        <f>ROUNDDOWN((LineærRegression_Valg[[#This Row],[Tabel ID]]-1)/$B$5,0)+1</f>
        <v>3</v>
      </c>
      <c r="C19">
        <f t="shared" si="0"/>
        <v>1</v>
      </c>
      <c r="D19" s="171" t="b">
        <f>LineærRegression_Valg[[#This Row],[Afhængig variabel ID]]&lt;&gt;LineærRegression_Valg[[#This Row],[Uafhængig variabel ID]]</f>
        <v>1</v>
      </c>
      <c r="E19" t="b">
        <f>LineærRegression_Valg[[#This Row],[Afhængig variabel ID]]&lt;=$B$5</f>
        <v>1</v>
      </c>
      <c r="F19" t="str" cm="1">
        <f t="array" ref="F19">IF(LineærRegression_Valg[[#This Row],[Indenfor range]],INDEX(DataTitel_liste,LineærRegression_Valg[[#This Row],[Afhængig variabel ID]]),INDEX(DataTitel_liste,1))</f>
        <v>Eksempel 3 (nominal)</v>
      </c>
      <c r="G19" s="171" t="str" cm="1">
        <f t="array" ref="G19">IF(LineærRegression_Valg[[#This Row],[Indenfor range]],IF(LineærRegression_Valg[[#This Row],[Intet overlap]],INDEX(DataTitel_liste,LineærRegression_Valg[[#This Row],[Uafhængig variabel ID]]),INDEX(DataTitel_liste,IF(LineærRegression_Valg[[#This Row],[Afhængig variabel ID]]=1,2,1))),$B$7)</f>
        <v>Eksempel 1 (interval)</v>
      </c>
      <c r="H19" s="171">
        <f>_xlfn.AGGREGATE(2,5,LineærRegression_Valg[[#This Row],[Tabel ID]])</f>
        <v>0</v>
      </c>
    </row>
    <row r="20" spans="1:8" hidden="1" x14ac:dyDescent="0.2">
      <c r="A20">
        <f>ROW(LineærRegression_Valg[[#This Row],[Tabel ID]])-ROW(LineærRegression_Valg[[#Headers],[Tabel ID]])</f>
        <v>10</v>
      </c>
      <c r="B20" s="171">
        <f>ROUNDDOWN((LineærRegression_Valg[[#This Row],[Tabel ID]]-1)/$B$5,0)+1</f>
        <v>3</v>
      </c>
      <c r="C20">
        <f t="shared" si="0"/>
        <v>2</v>
      </c>
      <c r="D20" s="171" t="b">
        <f>LineærRegression_Valg[[#This Row],[Afhængig variabel ID]]&lt;&gt;LineærRegression_Valg[[#This Row],[Uafhængig variabel ID]]</f>
        <v>1</v>
      </c>
      <c r="E20" t="b">
        <f>LineærRegression_Valg[[#This Row],[Afhængig variabel ID]]&lt;=$B$5</f>
        <v>1</v>
      </c>
      <c r="F20" t="str" cm="1">
        <f t="array" ref="F20">IF(LineærRegression_Valg[[#This Row],[Indenfor range]],INDEX(DataTitel_liste,LineærRegression_Valg[[#This Row],[Afhængig variabel ID]]),INDEX(DataTitel_liste,1))</f>
        <v>Eksempel 3 (nominal)</v>
      </c>
      <c r="G20" s="171" t="str" cm="1">
        <f t="array" ref="G20">IF(LineærRegression_Valg[[#This Row],[Indenfor range]],IF(LineærRegression_Valg[[#This Row],[Intet overlap]],INDEX(DataTitel_liste,LineærRegression_Valg[[#This Row],[Uafhængig variabel ID]]),INDEX(DataTitel_liste,IF(LineærRegression_Valg[[#This Row],[Afhængig variabel ID]]=1,2,1))),$B$7)</f>
        <v>Eksempel 2 (interval)</v>
      </c>
      <c r="H20" s="171">
        <f>_xlfn.AGGREGATE(2,5,LineærRegression_Valg[[#This Row],[Tabel ID]])</f>
        <v>0</v>
      </c>
    </row>
    <row r="21" spans="1:8" hidden="1" x14ac:dyDescent="0.2">
      <c r="A21">
        <f>ROW(LineærRegression_Valg[[#This Row],[Tabel ID]])-ROW(LineærRegression_Valg[[#Headers],[Tabel ID]])</f>
        <v>11</v>
      </c>
      <c r="B21" s="171">
        <f>ROUNDDOWN((LineærRegression_Valg[[#This Row],[Tabel ID]]-1)/$B$5,0)+1</f>
        <v>3</v>
      </c>
      <c r="C21">
        <f t="shared" si="0"/>
        <v>3</v>
      </c>
      <c r="D21" s="171" t="b">
        <f>LineærRegression_Valg[[#This Row],[Afhængig variabel ID]]&lt;&gt;LineærRegression_Valg[[#This Row],[Uafhængig variabel ID]]</f>
        <v>0</v>
      </c>
      <c r="E21" t="b">
        <f>LineærRegression_Valg[[#This Row],[Afhængig variabel ID]]&lt;=$B$5</f>
        <v>1</v>
      </c>
      <c r="F21" t="str" cm="1">
        <f t="array" ref="F21">IF(LineærRegression_Valg[[#This Row],[Indenfor range]],INDEX(DataTitel_liste,LineærRegression_Valg[[#This Row],[Afhængig variabel ID]]),INDEX(DataTitel_liste,1))</f>
        <v>Eksempel 3 (nominal)</v>
      </c>
      <c r="G21" s="171" t="str" cm="1">
        <f t="array" ref="G21">IF(LineærRegression_Valg[[#This Row],[Indenfor range]],IF(LineærRegression_Valg[[#This Row],[Intet overlap]],INDEX(DataTitel_liste,LineærRegression_Valg[[#This Row],[Uafhængig variabel ID]]),INDEX(DataTitel_liste,IF(LineærRegression_Valg[[#This Row],[Afhængig variabel ID]]=1,2,1))),$B$7)</f>
        <v>Eksempel 1 (interval)</v>
      </c>
      <c r="H21" s="171">
        <f>_xlfn.AGGREGATE(2,5,LineærRegression_Valg[[#This Row],[Tabel ID]])</f>
        <v>0</v>
      </c>
    </row>
    <row r="22" spans="1:8" hidden="1" x14ac:dyDescent="0.2">
      <c r="A22">
        <f>ROW(LineærRegression_Valg[[#This Row],[Tabel ID]])-ROW(LineærRegression_Valg[[#Headers],[Tabel ID]])</f>
        <v>12</v>
      </c>
      <c r="B22" s="171">
        <f>ROUNDDOWN((LineærRegression_Valg[[#This Row],[Tabel ID]]-1)/$B$5,0)+1</f>
        <v>3</v>
      </c>
      <c r="C22">
        <f t="shared" si="0"/>
        <v>4</v>
      </c>
      <c r="D22" s="171" t="b">
        <f>LineærRegression_Valg[[#This Row],[Afhængig variabel ID]]&lt;&gt;LineærRegression_Valg[[#This Row],[Uafhængig variabel ID]]</f>
        <v>1</v>
      </c>
      <c r="E22" t="b">
        <f>LineærRegression_Valg[[#This Row],[Afhængig variabel ID]]&lt;=$B$5</f>
        <v>1</v>
      </c>
      <c r="F22" t="str" cm="1">
        <f t="array" ref="F22">IF(LineærRegression_Valg[[#This Row],[Indenfor range]],INDEX(DataTitel_liste,LineærRegression_Valg[[#This Row],[Afhængig variabel ID]]),INDEX(DataTitel_liste,1))</f>
        <v>Eksempel 3 (nominal)</v>
      </c>
      <c r="G22" s="171" t="str" cm="1">
        <f t="array" ref="G22">IF(LineærRegression_Valg[[#This Row],[Indenfor range]],IF(LineærRegression_Valg[[#This Row],[Intet overlap]],INDEX(DataTitel_liste,LineærRegression_Valg[[#This Row],[Uafhængig variabel ID]]),INDEX(DataTitel_liste,IF(LineærRegression_Valg[[#This Row],[Afhængig variabel ID]]=1,2,1))),$B$7)</f>
        <v>Eksempel 4 (nominal)</v>
      </c>
      <c r="H22" s="171">
        <f>_xlfn.AGGREGATE(2,5,LineærRegression_Valg[[#This Row],[Tabel ID]])</f>
        <v>0</v>
      </c>
    </row>
    <row r="23" spans="1:8" hidden="1" x14ac:dyDescent="0.2">
      <c r="A23">
        <f>ROW(LineærRegression_Valg[[#This Row],[Tabel ID]])-ROW(LineærRegression_Valg[[#Headers],[Tabel ID]])</f>
        <v>13</v>
      </c>
      <c r="B23" s="171">
        <f>ROUNDDOWN((LineærRegression_Valg[[#This Row],[Tabel ID]]-1)/$B$5,0)+1</f>
        <v>4</v>
      </c>
      <c r="C23" s="171">
        <f t="shared" si="0"/>
        <v>1</v>
      </c>
      <c r="D23" s="171" t="b">
        <f>LineærRegression_Valg[[#This Row],[Afhængig variabel ID]]&lt;&gt;LineærRegression_Valg[[#This Row],[Uafhængig variabel ID]]</f>
        <v>1</v>
      </c>
      <c r="E23" t="b">
        <f>LineærRegression_Valg[[#This Row],[Afhængig variabel ID]]&lt;=$B$5</f>
        <v>1</v>
      </c>
      <c r="F23" t="str" cm="1">
        <f t="array" ref="F23">IF(LineærRegression_Valg[[#This Row],[Indenfor range]],INDEX(DataTitel_liste,LineærRegression_Valg[[#This Row],[Afhængig variabel ID]]),INDEX(DataTitel_liste,1))</f>
        <v>Eksempel 4 (nominal)</v>
      </c>
      <c r="G23" s="171" t="str" cm="1">
        <f t="array" ref="G23">IF(LineærRegression_Valg[[#This Row],[Indenfor range]],IF(LineærRegression_Valg[[#This Row],[Intet overlap]],INDEX(DataTitel_liste,LineærRegression_Valg[[#This Row],[Uafhængig variabel ID]]),INDEX(DataTitel_liste,IF(LineærRegression_Valg[[#This Row],[Afhængig variabel ID]]=1,2,1))),$B$7)</f>
        <v>Eksempel 1 (interval)</v>
      </c>
      <c r="H23" s="171">
        <f>_xlfn.AGGREGATE(2,5,LineærRegression_Valg[[#This Row],[Tabel ID]])</f>
        <v>0</v>
      </c>
    </row>
    <row r="24" spans="1:8" hidden="1" x14ac:dyDescent="0.2">
      <c r="A24">
        <f>ROW(LineærRegression_Valg[[#This Row],[Tabel ID]])-ROW(LineærRegression_Valg[[#Headers],[Tabel ID]])</f>
        <v>14</v>
      </c>
      <c r="B24" s="171">
        <f>ROUNDDOWN((LineærRegression_Valg[[#This Row],[Tabel ID]]-1)/$B$5,0)+1</f>
        <v>4</v>
      </c>
      <c r="C24" s="171">
        <f t="shared" si="0"/>
        <v>2</v>
      </c>
      <c r="D24" s="171" t="b">
        <f>LineærRegression_Valg[[#This Row],[Afhængig variabel ID]]&lt;&gt;LineærRegression_Valg[[#This Row],[Uafhængig variabel ID]]</f>
        <v>1</v>
      </c>
      <c r="E24" t="b">
        <f>LineærRegression_Valg[[#This Row],[Afhængig variabel ID]]&lt;=$B$5</f>
        <v>1</v>
      </c>
      <c r="F24" t="str" cm="1">
        <f t="array" ref="F24">IF(LineærRegression_Valg[[#This Row],[Indenfor range]],INDEX(DataTitel_liste,LineærRegression_Valg[[#This Row],[Afhængig variabel ID]]),INDEX(DataTitel_liste,1))</f>
        <v>Eksempel 4 (nominal)</v>
      </c>
      <c r="G24" s="171" t="str" cm="1">
        <f t="array" ref="G24">IF(LineærRegression_Valg[[#This Row],[Indenfor range]],IF(LineærRegression_Valg[[#This Row],[Intet overlap]],INDEX(DataTitel_liste,LineærRegression_Valg[[#This Row],[Uafhængig variabel ID]]),INDEX(DataTitel_liste,IF(LineærRegression_Valg[[#This Row],[Afhængig variabel ID]]=1,2,1))),$B$7)</f>
        <v>Eksempel 2 (interval)</v>
      </c>
      <c r="H24" s="171">
        <f>_xlfn.AGGREGATE(2,5,LineærRegression_Valg[[#This Row],[Tabel ID]])</f>
        <v>0</v>
      </c>
    </row>
    <row r="25" spans="1:8" hidden="1" x14ac:dyDescent="0.2">
      <c r="A25">
        <f>ROW(LineærRegression_Valg[[#This Row],[Tabel ID]])-ROW(LineærRegression_Valg[[#Headers],[Tabel ID]])</f>
        <v>15</v>
      </c>
      <c r="B25" s="171">
        <f>ROUNDDOWN((LineærRegression_Valg[[#This Row],[Tabel ID]]-1)/$B$5,0)+1</f>
        <v>4</v>
      </c>
      <c r="C25" s="171">
        <f t="shared" si="0"/>
        <v>3</v>
      </c>
      <c r="D25" s="171" t="b">
        <f>LineærRegression_Valg[[#This Row],[Afhængig variabel ID]]&lt;&gt;LineærRegression_Valg[[#This Row],[Uafhængig variabel ID]]</f>
        <v>1</v>
      </c>
      <c r="E25" t="b">
        <f>LineærRegression_Valg[[#This Row],[Afhængig variabel ID]]&lt;=$B$5</f>
        <v>1</v>
      </c>
      <c r="F25" t="str" cm="1">
        <f t="array" ref="F25">IF(LineærRegression_Valg[[#This Row],[Indenfor range]],INDEX(DataTitel_liste,LineærRegression_Valg[[#This Row],[Afhængig variabel ID]]),INDEX(DataTitel_liste,1))</f>
        <v>Eksempel 4 (nominal)</v>
      </c>
      <c r="G25" s="171" t="str" cm="1">
        <f t="array" ref="G25">IF(LineærRegression_Valg[[#This Row],[Indenfor range]],IF(LineærRegression_Valg[[#This Row],[Intet overlap]],INDEX(DataTitel_liste,LineærRegression_Valg[[#This Row],[Uafhængig variabel ID]]),INDEX(DataTitel_liste,IF(LineærRegression_Valg[[#This Row],[Afhængig variabel ID]]=1,2,1))),$B$7)</f>
        <v>Eksempel 3 (nominal)</v>
      </c>
      <c r="H25" s="171">
        <f>_xlfn.AGGREGATE(2,5,LineærRegression_Valg[[#This Row],[Tabel ID]])</f>
        <v>0</v>
      </c>
    </row>
    <row r="26" spans="1:8" hidden="1" x14ac:dyDescent="0.2">
      <c r="A26">
        <f>ROW(LineærRegression_Valg[[#This Row],[Tabel ID]])-ROW(LineærRegression_Valg[[#Headers],[Tabel ID]])</f>
        <v>16</v>
      </c>
      <c r="B26" s="171">
        <f>ROUNDDOWN((LineærRegression_Valg[[#This Row],[Tabel ID]]-1)/$B$5,0)+1</f>
        <v>4</v>
      </c>
      <c r="C26" s="171">
        <f t="shared" si="0"/>
        <v>4</v>
      </c>
      <c r="D26" s="171" t="b">
        <f>LineærRegression_Valg[[#This Row],[Afhængig variabel ID]]&lt;&gt;LineærRegression_Valg[[#This Row],[Uafhængig variabel ID]]</f>
        <v>0</v>
      </c>
      <c r="E26" t="b">
        <f>LineærRegression_Valg[[#This Row],[Afhængig variabel ID]]&lt;=$B$5</f>
        <v>1</v>
      </c>
      <c r="F26" t="str" cm="1">
        <f t="array" ref="F26">IF(LineærRegression_Valg[[#This Row],[Indenfor range]],INDEX(DataTitel_liste,LineærRegression_Valg[[#This Row],[Afhængig variabel ID]]),INDEX(DataTitel_liste,1))</f>
        <v>Eksempel 4 (nominal)</v>
      </c>
      <c r="G26" s="171" t="str" cm="1">
        <f t="array" ref="G26">IF(LineærRegression_Valg[[#This Row],[Indenfor range]],IF(LineærRegression_Valg[[#This Row],[Intet overlap]],INDEX(DataTitel_liste,LineærRegression_Valg[[#This Row],[Uafhængig variabel ID]]),INDEX(DataTitel_liste,IF(LineærRegression_Valg[[#This Row],[Afhængig variabel ID]]=1,2,1))),$B$7)</f>
        <v>Eksempel 1 (interval)</v>
      </c>
      <c r="H26" s="171">
        <f>_xlfn.AGGREGATE(2,5,LineærRegression_Valg[[#This Row],[Tabel ID]])</f>
        <v>0</v>
      </c>
    </row>
    <row r="27" spans="1:8" x14ac:dyDescent="0.2">
      <c r="A27">
        <f>ROW(LineærRegression_Valg[[#This Row],[Tabel ID]])-ROW(LineærRegression_Valg[[#Headers],[Tabel ID]])</f>
        <v>17</v>
      </c>
      <c r="B27" s="171">
        <f>ROUNDDOWN((LineærRegression_Valg[[#This Row],[Tabel ID]]-1)/$B$5,0)+1</f>
        <v>5</v>
      </c>
      <c r="C27" s="171">
        <f t="shared" si="0"/>
        <v>1</v>
      </c>
      <c r="D27" s="171" t="b">
        <f>LineærRegression_Valg[[#This Row],[Afhængig variabel ID]]&lt;&gt;LineærRegression_Valg[[#This Row],[Uafhængig variabel ID]]</f>
        <v>1</v>
      </c>
      <c r="E27" t="b">
        <f>LineærRegression_Valg[[#This Row],[Afhængig variabel ID]]&lt;=$B$5</f>
        <v>0</v>
      </c>
      <c r="F27" t="str" cm="1">
        <f t="array" ref="F27">IF(LineærRegression_Valg[[#This Row],[Indenfor range]],INDEX(DataTitel_liste,LineærRegression_Valg[[#This Row],[Afhængig variabel ID]]),INDEX(DataTitel_liste,1))</f>
        <v>Eksempel 1 (interval)</v>
      </c>
      <c r="G27" s="171" t="str" cm="1">
        <f t="array" ref="G27">IF(LineærRegression_Valg[[#This Row],[Indenfor range]],IF(LineærRegression_Valg[[#This Row],[Intet overlap]],INDEX(DataTitel_liste,LineærRegression_Valg[[#This Row],[Uafhængig variabel ID]]),INDEX(DataTitel_liste,IF(LineærRegression_Valg[[#This Row],[Afhængig variabel ID]]=1,2,1))),$B$7)</f>
        <v>Eksempel 2 (interval)</v>
      </c>
      <c r="H27" s="171">
        <f>_xlfn.AGGREGATE(2,5,LineærRegression_Valg[[#This Row],[Tabel ID]])</f>
        <v>1</v>
      </c>
    </row>
    <row r="28" spans="1:8" x14ac:dyDescent="0.2">
      <c r="A28">
        <f>ROW(LineærRegression_Valg[[#This Row],[Tabel ID]])-ROW(LineærRegression_Valg[[#Headers],[Tabel ID]])</f>
        <v>18</v>
      </c>
      <c r="B28" s="171">
        <f>ROUNDDOWN((LineærRegression_Valg[[#This Row],[Tabel ID]]-1)/$B$5,0)+1</f>
        <v>5</v>
      </c>
      <c r="C28" s="171">
        <f t="shared" si="0"/>
        <v>2</v>
      </c>
      <c r="D28" s="171" t="b">
        <f>LineærRegression_Valg[[#This Row],[Afhængig variabel ID]]&lt;&gt;LineærRegression_Valg[[#This Row],[Uafhængig variabel ID]]</f>
        <v>1</v>
      </c>
      <c r="E28" t="b">
        <f>LineærRegression_Valg[[#This Row],[Afhængig variabel ID]]&lt;=$B$5</f>
        <v>0</v>
      </c>
      <c r="F28" t="str" cm="1">
        <f t="array" ref="F28">IF(LineærRegression_Valg[[#This Row],[Indenfor range]],INDEX(DataTitel_liste,LineærRegression_Valg[[#This Row],[Afhængig variabel ID]]),INDEX(DataTitel_liste,1))</f>
        <v>Eksempel 1 (interval)</v>
      </c>
      <c r="G28" s="171" t="str" cm="1">
        <f t="array" ref="G28">IF(LineærRegression_Valg[[#This Row],[Indenfor range]],IF(LineærRegression_Valg[[#This Row],[Intet overlap]],INDEX(DataTitel_liste,LineærRegression_Valg[[#This Row],[Uafhængig variabel ID]]),INDEX(DataTitel_liste,IF(LineærRegression_Valg[[#This Row],[Afhængig variabel ID]]=1,2,1))),$B$7)</f>
        <v>Eksempel 2 (interval)</v>
      </c>
      <c r="H28" s="171">
        <f>_xlfn.AGGREGATE(2,5,LineærRegression_Valg[[#This Row],[Tabel ID]])</f>
        <v>1</v>
      </c>
    </row>
    <row r="29" spans="1:8" x14ac:dyDescent="0.2">
      <c r="A29">
        <f>ROW(LineærRegression_Valg[[#This Row],[Tabel ID]])-ROW(LineærRegression_Valg[[#Headers],[Tabel ID]])</f>
        <v>19</v>
      </c>
      <c r="B29" s="171">
        <f>ROUNDDOWN((LineærRegression_Valg[[#This Row],[Tabel ID]]-1)/$B$5,0)+1</f>
        <v>5</v>
      </c>
      <c r="C29" s="171">
        <f t="shared" si="0"/>
        <v>3</v>
      </c>
      <c r="D29" s="171" t="b">
        <f>LineærRegression_Valg[[#This Row],[Afhængig variabel ID]]&lt;&gt;LineærRegression_Valg[[#This Row],[Uafhængig variabel ID]]</f>
        <v>1</v>
      </c>
      <c r="E29" t="b">
        <f>LineærRegression_Valg[[#This Row],[Afhængig variabel ID]]&lt;=$B$5</f>
        <v>0</v>
      </c>
      <c r="F29" t="str" cm="1">
        <f t="array" ref="F29">IF(LineærRegression_Valg[[#This Row],[Indenfor range]],INDEX(DataTitel_liste,LineærRegression_Valg[[#This Row],[Afhængig variabel ID]]),INDEX(DataTitel_liste,1))</f>
        <v>Eksempel 1 (interval)</v>
      </c>
      <c r="G29" s="171" t="str" cm="1">
        <f t="array" ref="G29">IF(LineærRegression_Valg[[#This Row],[Indenfor range]],IF(LineærRegression_Valg[[#This Row],[Intet overlap]],INDEX(DataTitel_liste,LineærRegression_Valg[[#This Row],[Uafhængig variabel ID]]),INDEX(DataTitel_liste,IF(LineærRegression_Valg[[#This Row],[Afhængig variabel ID]]=1,2,1))),$B$7)</f>
        <v>Eksempel 2 (interval)</v>
      </c>
      <c r="H29" s="171">
        <f>_xlfn.AGGREGATE(2,5,LineærRegression_Valg[[#This Row],[Tabel ID]])</f>
        <v>1</v>
      </c>
    </row>
    <row r="30" spans="1:8" x14ac:dyDescent="0.2">
      <c r="A30">
        <f>ROW(LineærRegression_Valg[[#This Row],[Tabel ID]])-ROW(LineærRegression_Valg[[#Headers],[Tabel ID]])</f>
        <v>20</v>
      </c>
      <c r="B30" s="171">
        <f>ROUNDDOWN((LineærRegression_Valg[[#This Row],[Tabel ID]]-1)/$B$5,0)+1</f>
        <v>5</v>
      </c>
      <c r="C30" s="171">
        <f t="shared" si="0"/>
        <v>4</v>
      </c>
      <c r="D30" s="171" t="b">
        <f>LineærRegression_Valg[[#This Row],[Afhængig variabel ID]]&lt;&gt;LineærRegression_Valg[[#This Row],[Uafhængig variabel ID]]</f>
        <v>1</v>
      </c>
      <c r="E30" t="b">
        <f>LineærRegression_Valg[[#This Row],[Afhængig variabel ID]]&lt;=$B$5</f>
        <v>0</v>
      </c>
      <c r="F30" t="str" cm="1">
        <f t="array" ref="F30">IF(LineærRegression_Valg[[#This Row],[Indenfor range]],INDEX(DataTitel_liste,LineærRegression_Valg[[#This Row],[Afhængig variabel ID]]),INDEX(DataTitel_liste,1))</f>
        <v>Eksempel 1 (interval)</v>
      </c>
      <c r="G30" s="171" t="str" cm="1">
        <f t="array" ref="G30">IF(LineærRegression_Valg[[#This Row],[Indenfor range]],IF(LineærRegression_Valg[[#This Row],[Intet overlap]],INDEX(DataTitel_liste,LineærRegression_Valg[[#This Row],[Uafhængig variabel ID]]),INDEX(DataTitel_liste,IF(LineærRegression_Valg[[#This Row],[Afhængig variabel ID]]=1,2,1))),$B$7)</f>
        <v>Eksempel 2 (interval)</v>
      </c>
      <c r="H30" s="171">
        <f>_xlfn.AGGREGATE(2,5,LineærRegression_Valg[[#This Row],[Tabel ID]])</f>
        <v>1</v>
      </c>
    </row>
    <row r="31" spans="1:8" x14ac:dyDescent="0.2">
      <c r="A31">
        <f>ROW(LineærRegression_Valg[[#This Row],[Tabel ID]])-ROW(LineærRegression_Valg[[#Headers],[Tabel ID]])</f>
        <v>21</v>
      </c>
      <c r="B31" s="171">
        <f>ROUNDDOWN((LineærRegression_Valg[[#This Row],[Tabel ID]]-1)/$B$5,0)+1</f>
        <v>6</v>
      </c>
      <c r="C31" s="171">
        <f t="shared" si="0"/>
        <v>1</v>
      </c>
      <c r="D31" s="171" t="b">
        <f>LineærRegression_Valg[[#This Row],[Afhængig variabel ID]]&lt;&gt;LineærRegression_Valg[[#This Row],[Uafhængig variabel ID]]</f>
        <v>1</v>
      </c>
      <c r="E31" t="b">
        <f>LineærRegression_Valg[[#This Row],[Afhængig variabel ID]]&lt;=$B$5</f>
        <v>0</v>
      </c>
      <c r="F31" t="str" cm="1">
        <f t="array" ref="F31">IF(LineærRegression_Valg[[#This Row],[Indenfor range]],INDEX(DataTitel_liste,LineærRegression_Valg[[#This Row],[Afhængig variabel ID]]),INDEX(DataTitel_liste,1))</f>
        <v>Eksempel 1 (interval)</v>
      </c>
      <c r="G31" s="171" t="str" cm="1">
        <f t="array" ref="G31">IF(LineærRegression_Valg[[#This Row],[Indenfor range]],IF(LineærRegression_Valg[[#This Row],[Intet overlap]],INDEX(DataTitel_liste,LineærRegression_Valg[[#This Row],[Uafhængig variabel ID]]),INDEX(DataTitel_liste,IF(LineærRegression_Valg[[#This Row],[Afhængig variabel ID]]=1,2,1))),$B$7)</f>
        <v>Eksempel 2 (interval)</v>
      </c>
      <c r="H31" s="171">
        <f>_xlfn.AGGREGATE(2,5,LineærRegression_Valg[[#This Row],[Tabel ID]])</f>
        <v>1</v>
      </c>
    </row>
    <row r="32" spans="1:8" x14ac:dyDescent="0.2">
      <c r="A32">
        <f>ROW(LineærRegression_Valg[[#This Row],[Tabel ID]])-ROW(LineærRegression_Valg[[#Headers],[Tabel ID]])</f>
        <v>22</v>
      </c>
      <c r="B32" s="171">
        <f>ROUNDDOWN((LineærRegression_Valg[[#This Row],[Tabel ID]]-1)/$B$5,0)+1</f>
        <v>6</v>
      </c>
      <c r="C32" s="171">
        <f t="shared" si="0"/>
        <v>2</v>
      </c>
      <c r="D32" s="171" t="b">
        <f>LineærRegression_Valg[[#This Row],[Afhængig variabel ID]]&lt;&gt;LineærRegression_Valg[[#This Row],[Uafhængig variabel ID]]</f>
        <v>1</v>
      </c>
      <c r="E32" t="b">
        <f>LineærRegression_Valg[[#This Row],[Afhængig variabel ID]]&lt;=$B$5</f>
        <v>0</v>
      </c>
      <c r="F32" t="str" cm="1">
        <f t="array" ref="F32">IF(LineærRegression_Valg[[#This Row],[Indenfor range]],INDEX(DataTitel_liste,LineærRegression_Valg[[#This Row],[Afhængig variabel ID]]),INDEX(DataTitel_liste,1))</f>
        <v>Eksempel 1 (interval)</v>
      </c>
      <c r="G32" s="171" t="str" cm="1">
        <f t="array" ref="G32">IF(LineærRegression_Valg[[#This Row],[Indenfor range]],IF(LineærRegression_Valg[[#This Row],[Intet overlap]],INDEX(DataTitel_liste,LineærRegression_Valg[[#This Row],[Uafhængig variabel ID]]),INDEX(DataTitel_liste,IF(LineærRegression_Valg[[#This Row],[Afhængig variabel ID]]=1,2,1))),$B$7)</f>
        <v>Eksempel 2 (interval)</v>
      </c>
      <c r="H32" s="171">
        <f>_xlfn.AGGREGATE(2,5,LineærRegression_Valg[[#This Row],[Tabel ID]])</f>
        <v>1</v>
      </c>
    </row>
    <row r="33" spans="1:8" x14ac:dyDescent="0.2">
      <c r="A33">
        <f>ROW(LineærRegression_Valg[[#This Row],[Tabel ID]])-ROW(LineærRegression_Valg[[#Headers],[Tabel ID]])</f>
        <v>23</v>
      </c>
      <c r="B33" s="171">
        <f>ROUNDDOWN((LineærRegression_Valg[[#This Row],[Tabel ID]]-1)/$B$5,0)+1</f>
        <v>6</v>
      </c>
      <c r="C33" s="171">
        <f t="shared" si="0"/>
        <v>3</v>
      </c>
      <c r="D33" s="171" t="b">
        <f>LineærRegression_Valg[[#This Row],[Afhængig variabel ID]]&lt;&gt;LineærRegression_Valg[[#This Row],[Uafhængig variabel ID]]</f>
        <v>1</v>
      </c>
      <c r="E33" t="b">
        <f>LineærRegression_Valg[[#This Row],[Afhængig variabel ID]]&lt;=$B$5</f>
        <v>0</v>
      </c>
      <c r="F33" t="str" cm="1">
        <f t="array" ref="F33">IF(LineærRegression_Valg[[#This Row],[Indenfor range]],INDEX(DataTitel_liste,LineærRegression_Valg[[#This Row],[Afhængig variabel ID]]),INDEX(DataTitel_liste,1))</f>
        <v>Eksempel 1 (interval)</v>
      </c>
      <c r="G33" s="171" t="str" cm="1">
        <f t="array" ref="G33">IF(LineærRegression_Valg[[#This Row],[Indenfor range]],IF(LineærRegression_Valg[[#This Row],[Intet overlap]],INDEX(DataTitel_liste,LineærRegression_Valg[[#This Row],[Uafhængig variabel ID]]),INDEX(DataTitel_liste,IF(LineærRegression_Valg[[#This Row],[Afhængig variabel ID]]=1,2,1))),$B$7)</f>
        <v>Eksempel 2 (interval)</v>
      </c>
      <c r="H33" s="171">
        <f>_xlfn.AGGREGATE(2,5,LineærRegression_Valg[[#This Row],[Tabel ID]])</f>
        <v>1</v>
      </c>
    </row>
    <row r="34" spans="1:8" x14ac:dyDescent="0.2">
      <c r="A34">
        <f>ROW(LineærRegression_Valg[[#This Row],[Tabel ID]])-ROW(LineærRegression_Valg[[#Headers],[Tabel ID]])</f>
        <v>24</v>
      </c>
      <c r="B34" s="171">
        <f>ROUNDDOWN((LineærRegression_Valg[[#This Row],[Tabel ID]]-1)/$B$5,0)+1</f>
        <v>6</v>
      </c>
      <c r="C34" s="171">
        <f t="shared" si="0"/>
        <v>4</v>
      </c>
      <c r="D34" s="171" t="b">
        <f>LineærRegression_Valg[[#This Row],[Afhængig variabel ID]]&lt;&gt;LineærRegression_Valg[[#This Row],[Uafhængig variabel ID]]</f>
        <v>1</v>
      </c>
      <c r="E34" t="b">
        <f>LineærRegression_Valg[[#This Row],[Afhængig variabel ID]]&lt;=$B$5</f>
        <v>0</v>
      </c>
      <c r="F34" t="str" cm="1">
        <f t="array" ref="F34">IF(LineærRegression_Valg[[#This Row],[Indenfor range]],INDEX(DataTitel_liste,LineærRegression_Valg[[#This Row],[Afhængig variabel ID]]),INDEX(DataTitel_liste,1))</f>
        <v>Eksempel 1 (interval)</v>
      </c>
      <c r="G34" s="171" t="str" cm="1">
        <f t="array" ref="G34">IF(LineærRegression_Valg[[#This Row],[Indenfor range]],IF(LineærRegression_Valg[[#This Row],[Intet overlap]],INDEX(DataTitel_liste,LineærRegression_Valg[[#This Row],[Uafhængig variabel ID]]),INDEX(DataTitel_liste,IF(LineærRegression_Valg[[#This Row],[Afhængig variabel ID]]=1,2,1))),$B$7)</f>
        <v>Eksempel 2 (interval)</v>
      </c>
      <c r="H34" s="171">
        <f>_xlfn.AGGREGATE(2,5,LineærRegression_Valg[[#This Row],[Tabel ID]])</f>
        <v>1</v>
      </c>
    </row>
    <row r="35" spans="1:8" x14ac:dyDescent="0.2">
      <c r="A35">
        <f>ROW(LineærRegression_Valg[[#This Row],[Tabel ID]])-ROW(LineærRegression_Valg[[#Headers],[Tabel ID]])</f>
        <v>25</v>
      </c>
      <c r="B35" s="171">
        <f>ROUNDDOWN((LineærRegression_Valg[[#This Row],[Tabel ID]]-1)/$B$5,0)+1</f>
        <v>7</v>
      </c>
      <c r="C35" s="171">
        <f t="shared" si="0"/>
        <v>1</v>
      </c>
      <c r="D35" s="171" t="b">
        <f>LineærRegression_Valg[[#This Row],[Afhængig variabel ID]]&lt;&gt;LineærRegression_Valg[[#This Row],[Uafhængig variabel ID]]</f>
        <v>1</v>
      </c>
      <c r="E35" t="b">
        <f>LineærRegression_Valg[[#This Row],[Afhængig variabel ID]]&lt;=$B$5</f>
        <v>0</v>
      </c>
      <c r="F35" t="str" cm="1">
        <f t="array" ref="F35">IF(LineærRegression_Valg[[#This Row],[Indenfor range]],INDEX(DataTitel_liste,LineærRegression_Valg[[#This Row],[Afhængig variabel ID]]),INDEX(DataTitel_liste,1))</f>
        <v>Eksempel 1 (interval)</v>
      </c>
      <c r="G35" s="171" t="str" cm="1">
        <f t="array" ref="G35">IF(LineærRegression_Valg[[#This Row],[Indenfor range]],IF(LineærRegression_Valg[[#This Row],[Intet overlap]],INDEX(DataTitel_liste,LineærRegression_Valg[[#This Row],[Uafhængig variabel ID]]),INDEX(DataTitel_liste,IF(LineærRegression_Valg[[#This Row],[Afhængig variabel ID]]=1,2,1))),$B$7)</f>
        <v>Eksempel 2 (interval)</v>
      </c>
      <c r="H35" s="171">
        <f>_xlfn.AGGREGATE(2,5,LineærRegression_Valg[[#This Row],[Tabel ID]])</f>
        <v>1</v>
      </c>
    </row>
    <row r="36" spans="1:8" x14ac:dyDescent="0.2">
      <c r="A36">
        <f>ROW(LineærRegression_Valg[[#This Row],[Tabel ID]])-ROW(LineærRegression_Valg[[#Headers],[Tabel ID]])</f>
        <v>26</v>
      </c>
      <c r="B36" s="171">
        <f>ROUNDDOWN((LineærRegression_Valg[[#This Row],[Tabel ID]]-1)/$B$5,0)+1</f>
        <v>7</v>
      </c>
      <c r="C36" s="171">
        <f t="shared" si="0"/>
        <v>2</v>
      </c>
      <c r="D36" s="171" t="b">
        <f>LineærRegression_Valg[[#This Row],[Afhængig variabel ID]]&lt;&gt;LineærRegression_Valg[[#This Row],[Uafhængig variabel ID]]</f>
        <v>1</v>
      </c>
      <c r="E36" t="b">
        <f>LineærRegression_Valg[[#This Row],[Afhængig variabel ID]]&lt;=$B$5</f>
        <v>0</v>
      </c>
      <c r="F36" t="str" cm="1">
        <f t="array" ref="F36">IF(LineærRegression_Valg[[#This Row],[Indenfor range]],INDEX(DataTitel_liste,LineærRegression_Valg[[#This Row],[Afhængig variabel ID]]),INDEX(DataTitel_liste,1))</f>
        <v>Eksempel 1 (interval)</v>
      </c>
      <c r="G36" s="171" t="str" cm="1">
        <f t="array" ref="G36">IF(LineærRegression_Valg[[#This Row],[Indenfor range]],IF(LineærRegression_Valg[[#This Row],[Intet overlap]],INDEX(DataTitel_liste,LineærRegression_Valg[[#This Row],[Uafhængig variabel ID]]),INDEX(DataTitel_liste,IF(LineærRegression_Valg[[#This Row],[Afhængig variabel ID]]=1,2,1))),$B$7)</f>
        <v>Eksempel 2 (interval)</v>
      </c>
      <c r="H36" s="171">
        <f>_xlfn.AGGREGATE(2,5,LineærRegression_Valg[[#This Row],[Tabel ID]])</f>
        <v>1</v>
      </c>
    </row>
    <row r="37" spans="1:8" x14ac:dyDescent="0.2">
      <c r="A37">
        <f>ROW(LineærRegression_Valg[[#This Row],[Tabel ID]])-ROW(LineærRegression_Valg[[#Headers],[Tabel ID]])</f>
        <v>27</v>
      </c>
      <c r="B37" s="171">
        <f>ROUNDDOWN((LineærRegression_Valg[[#This Row],[Tabel ID]]-1)/$B$5,0)+1</f>
        <v>7</v>
      </c>
      <c r="C37" s="171">
        <f t="shared" si="0"/>
        <v>3</v>
      </c>
      <c r="D37" s="171" t="b">
        <f>LineærRegression_Valg[[#This Row],[Afhængig variabel ID]]&lt;&gt;LineærRegression_Valg[[#This Row],[Uafhængig variabel ID]]</f>
        <v>1</v>
      </c>
      <c r="E37" t="b">
        <f>LineærRegression_Valg[[#This Row],[Afhængig variabel ID]]&lt;=$B$5</f>
        <v>0</v>
      </c>
      <c r="F37" t="str" cm="1">
        <f t="array" ref="F37">IF(LineærRegression_Valg[[#This Row],[Indenfor range]],INDEX(DataTitel_liste,LineærRegression_Valg[[#This Row],[Afhængig variabel ID]]),INDEX(DataTitel_liste,1))</f>
        <v>Eksempel 1 (interval)</v>
      </c>
      <c r="G37" s="171" t="str" cm="1">
        <f t="array" ref="G37">IF(LineærRegression_Valg[[#This Row],[Indenfor range]],IF(LineærRegression_Valg[[#This Row],[Intet overlap]],INDEX(DataTitel_liste,LineærRegression_Valg[[#This Row],[Uafhængig variabel ID]]),INDEX(DataTitel_liste,IF(LineærRegression_Valg[[#This Row],[Afhængig variabel ID]]=1,2,1))),$B$7)</f>
        <v>Eksempel 2 (interval)</v>
      </c>
      <c r="H37" s="171">
        <f>_xlfn.AGGREGATE(2,5,LineærRegression_Valg[[#This Row],[Tabel ID]])</f>
        <v>1</v>
      </c>
    </row>
    <row r="38" spans="1:8" x14ac:dyDescent="0.2">
      <c r="A38">
        <f>ROW(LineærRegression_Valg[[#This Row],[Tabel ID]])-ROW(LineærRegression_Valg[[#Headers],[Tabel ID]])</f>
        <v>28</v>
      </c>
      <c r="B38" s="171">
        <f>ROUNDDOWN((LineærRegression_Valg[[#This Row],[Tabel ID]]-1)/$B$5,0)+1</f>
        <v>7</v>
      </c>
      <c r="C38" s="171">
        <f t="shared" si="0"/>
        <v>4</v>
      </c>
      <c r="D38" s="171" t="b">
        <f>LineærRegression_Valg[[#This Row],[Afhængig variabel ID]]&lt;&gt;LineærRegression_Valg[[#This Row],[Uafhængig variabel ID]]</f>
        <v>1</v>
      </c>
      <c r="E38" t="b">
        <f>LineærRegression_Valg[[#This Row],[Afhængig variabel ID]]&lt;=$B$5</f>
        <v>0</v>
      </c>
      <c r="F38" t="str" cm="1">
        <f t="array" ref="F38">IF(LineærRegression_Valg[[#This Row],[Indenfor range]],INDEX(DataTitel_liste,LineærRegression_Valg[[#This Row],[Afhængig variabel ID]]),INDEX(DataTitel_liste,1))</f>
        <v>Eksempel 1 (interval)</v>
      </c>
      <c r="G38" s="171" t="str" cm="1">
        <f t="array" ref="G38">IF(LineærRegression_Valg[[#This Row],[Indenfor range]],IF(LineærRegression_Valg[[#This Row],[Intet overlap]],INDEX(DataTitel_liste,LineærRegression_Valg[[#This Row],[Uafhængig variabel ID]]),INDEX(DataTitel_liste,IF(LineærRegression_Valg[[#This Row],[Afhængig variabel ID]]=1,2,1))),$B$7)</f>
        <v>Eksempel 2 (interval)</v>
      </c>
      <c r="H38" s="171">
        <f>_xlfn.AGGREGATE(2,5,LineærRegression_Valg[[#This Row],[Tabel ID]])</f>
        <v>1</v>
      </c>
    </row>
    <row r="39" spans="1:8" x14ac:dyDescent="0.2">
      <c r="A39">
        <f>ROW(LineærRegression_Valg[[#This Row],[Tabel ID]])-ROW(LineærRegression_Valg[[#Headers],[Tabel ID]])</f>
        <v>29</v>
      </c>
      <c r="B39" s="171">
        <f>ROUNDDOWN((LineærRegression_Valg[[#This Row],[Tabel ID]]-1)/$B$5,0)+1</f>
        <v>8</v>
      </c>
      <c r="C39" s="171">
        <f t="shared" si="0"/>
        <v>1</v>
      </c>
      <c r="D39" s="171" t="b">
        <f>LineærRegression_Valg[[#This Row],[Afhængig variabel ID]]&lt;&gt;LineærRegression_Valg[[#This Row],[Uafhængig variabel ID]]</f>
        <v>1</v>
      </c>
      <c r="E39" t="b">
        <f>LineærRegression_Valg[[#This Row],[Afhængig variabel ID]]&lt;=$B$5</f>
        <v>0</v>
      </c>
      <c r="F39" t="str" cm="1">
        <f t="array" ref="F39">IF(LineærRegression_Valg[[#This Row],[Indenfor range]],INDEX(DataTitel_liste,LineærRegression_Valg[[#This Row],[Afhængig variabel ID]]),INDEX(DataTitel_liste,1))</f>
        <v>Eksempel 1 (interval)</v>
      </c>
      <c r="G39" s="171" t="str" cm="1">
        <f t="array" ref="G39">IF(LineærRegression_Valg[[#This Row],[Indenfor range]],IF(LineærRegression_Valg[[#This Row],[Intet overlap]],INDEX(DataTitel_liste,LineærRegression_Valg[[#This Row],[Uafhængig variabel ID]]),INDEX(DataTitel_liste,IF(LineærRegression_Valg[[#This Row],[Afhængig variabel ID]]=1,2,1))),$B$7)</f>
        <v>Eksempel 2 (interval)</v>
      </c>
      <c r="H39" s="171">
        <f>_xlfn.AGGREGATE(2,5,LineærRegression_Valg[[#This Row],[Tabel ID]])</f>
        <v>1</v>
      </c>
    </row>
    <row r="40" spans="1:8" x14ac:dyDescent="0.2">
      <c r="A40">
        <f>ROW(LineærRegression_Valg[[#This Row],[Tabel ID]])-ROW(LineærRegression_Valg[[#Headers],[Tabel ID]])</f>
        <v>30</v>
      </c>
      <c r="B40" s="171">
        <f>ROUNDDOWN((LineærRegression_Valg[[#This Row],[Tabel ID]]-1)/$B$5,0)+1</f>
        <v>8</v>
      </c>
      <c r="C40" s="171">
        <f t="shared" si="0"/>
        <v>2</v>
      </c>
      <c r="D40" s="171" t="b">
        <f>LineærRegression_Valg[[#This Row],[Afhængig variabel ID]]&lt;&gt;LineærRegression_Valg[[#This Row],[Uafhængig variabel ID]]</f>
        <v>1</v>
      </c>
      <c r="E40" t="b">
        <f>LineærRegression_Valg[[#This Row],[Afhængig variabel ID]]&lt;=$B$5</f>
        <v>0</v>
      </c>
      <c r="F40" t="str" cm="1">
        <f t="array" ref="F40">IF(LineærRegression_Valg[[#This Row],[Indenfor range]],INDEX(DataTitel_liste,LineærRegression_Valg[[#This Row],[Afhængig variabel ID]]),INDEX(DataTitel_liste,1))</f>
        <v>Eksempel 1 (interval)</v>
      </c>
      <c r="G40" s="171" t="str" cm="1">
        <f t="array" ref="G40">IF(LineærRegression_Valg[[#This Row],[Indenfor range]],IF(LineærRegression_Valg[[#This Row],[Intet overlap]],INDEX(DataTitel_liste,LineærRegression_Valg[[#This Row],[Uafhængig variabel ID]]),INDEX(DataTitel_liste,IF(LineærRegression_Valg[[#This Row],[Afhængig variabel ID]]=1,2,1))),$B$7)</f>
        <v>Eksempel 2 (interval)</v>
      </c>
      <c r="H40" s="171">
        <f>_xlfn.AGGREGATE(2,5,LineærRegression_Valg[[#This Row],[Tabel ID]])</f>
        <v>1</v>
      </c>
    </row>
    <row r="41" spans="1:8" x14ac:dyDescent="0.2">
      <c r="A41">
        <f>ROW(LineærRegression_Valg[[#This Row],[Tabel ID]])-ROW(LineærRegression_Valg[[#Headers],[Tabel ID]])</f>
        <v>31</v>
      </c>
      <c r="B41" s="171">
        <f>ROUNDDOWN((LineærRegression_Valg[[#This Row],[Tabel ID]]-1)/$B$5,0)+1</f>
        <v>8</v>
      </c>
      <c r="C41" s="171">
        <f t="shared" si="0"/>
        <v>3</v>
      </c>
      <c r="D41" s="171" t="b">
        <f>LineærRegression_Valg[[#This Row],[Afhængig variabel ID]]&lt;&gt;LineærRegression_Valg[[#This Row],[Uafhængig variabel ID]]</f>
        <v>1</v>
      </c>
      <c r="E41" t="b">
        <f>LineærRegression_Valg[[#This Row],[Afhængig variabel ID]]&lt;=$B$5</f>
        <v>0</v>
      </c>
      <c r="F41" t="str" cm="1">
        <f t="array" ref="F41">IF(LineærRegression_Valg[[#This Row],[Indenfor range]],INDEX(DataTitel_liste,LineærRegression_Valg[[#This Row],[Afhængig variabel ID]]),INDEX(DataTitel_liste,1))</f>
        <v>Eksempel 1 (interval)</v>
      </c>
      <c r="G41" s="171" t="str" cm="1">
        <f t="array" ref="G41">IF(LineærRegression_Valg[[#This Row],[Indenfor range]],IF(LineærRegression_Valg[[#This Row],[Intet overlap]],INDEX(DataTitel_liste,LineærRegression_Valg[[#This Row],[Uafhængig variabel ID]]),INDEX(DataTitel_liste,IF(LineærRegression_Valg[[#This Row],[Afhængig variabel ID]]=1,2,1))),$B$7)</f>
        <v>Eksempel 2 (interval)</v>
      </c>
      <c r="H41" s="171">
        <f>_xlfn.AGGREGATE(2,5,LineærRegression_Valg[[#This Row],[Tabel ID]])</f>
        <v>1</v>
      </c>
    </row>
    <row r="42" spans="1:8" x14ac:dyDescent="0.2">
      <c r="A42">
        <f>ROW(LineærRegression_Valg[[#This Row],[Tabel ID]])-ROW(LineærRegression_Valg[[#Headers],[Tabel ID]])</f>
        <v>32</v>
      </c>
      <c r="B42" s="171">
        <f>ROUNDDOWN((LineærRegression_Valg[[#This Row],[Tabel ID]]-1)/$B$5,0)+1</f>
        <v>8</v>
      </c>
      <c r="C42" s="171">
        <f t="shared" si="0"/>
        <v>4</v>
      </c>
      <c r="D42" s="171" t="b">
        <f>LineærRegression_Valg[[#This Row],[Afhængig variabel ID]]&lt;&gt;LineærRegression_Valg[[#This Row],[Uafhængig variabel ID]]</f>
        <v>1</v>
      </c>
      <c r="E42" t="b">
        <f>LineærRegression_Valg[[#This Row],[Afhængig variabel ID]]&lt;=$B$5</f>
        <v>0</v>
      </c>
      <c r="F42" t="str" cm="1">
        <f t="array" ref="F42">IF(LineærRegression_Valg[[#This Row],[Indenfor range]],INDEX(DataTitel_liste,LineærRegression_Valg[[#This Row],[Afhængig variabel ID]]),INDEX(DataTitel_liste,1))</f>
        <v>Eksempel 1 (interval)</v>
      </c>
      <c r="G42" s="171" t="str" cm="1">
        <f t="array" ref="G42">IF(LineærRegression_Valg[[#This Row],[Indenfor range]],IF(LineærRegression_Valg[[#This Row],[Intet overlap]],INDEX(DataTitel_liste,LineærRegression_Valg[[#This Row],[Uafhængig variabel ID]]),INDEX(DataTitel_liste,IF(LineærRegression_Valg[[#This Row],[Afhængig variabel ID]]=1,2,1))),$B$7)</f>
        <v>Eksempel 2 (interval)</v>
      </c>
      <c r="H42" s="171">
        <f>_xlfn.AGGREGATE(2,5,LineærRegression_Valg[[#This Row],[Tabel ID]])</f>
        <v>1</v>
      </c>
    </row>
    <row r="43" spans="1:8" x14ac:dyDescent="0.2">
      <c r="A43">
        <f>ROW(LineærRegression_Valg[[#This Row],[Tabel ID]])-ROW(LineærRegression_Valg[[#Headers],[Tabel ID]])</f>
        <v>33</v>
      </c>
      <c r="B43" s="171">
        <f>ROUNDDOWN((LineærRegression_Valg[[#This Row],[Tabel ID]]-1)/$B$5,0)+1</f>
        <v>9</v>
      </c>
      <c r="C43" s="171">
        <f t="shared" si="0"/>
        <v>1</v>
      </c>
      <c r="D43" s="171" t="b">
        <f>LineærRegression_Valg[[#This Row],[Afhængig variabel ID]]&lt;&gt;LineærRegression_Valg[[#This Row],[Uafhængig variabel ID]]</f>
        <v>1</v>
      </c>
      <c r="E43" t="b">
        <f>LineærRegression_Valg[[#This Row],[Afhængig variabel ID]]&lt;=$B$5</f>
        <v>0</v>
      </c>
      <c r="F43" t="str" cm="1">
        <f t="array" ref="F43">IF(LineærRegression_Valg[[#This Row],[Indenfor range]],INDEX(DataTitel_liste,LineærRegression_Valg[[#This Row],[Afhængig variabel ID]]),INDEX(DataTitel_liste,1))</f>
        <v>Eksempel 1 (interval)</v>
      </c>
      <c r="G43" s="171" t="str" cm="1">
        <f t="array" ref="G43">IF(LineærRegression_Valg[[#This Row],[Indenfor range]],IF(LineærRegression_Valg[[#This Row],[Intet overlap]],INDEX(DataTitel_liste,LineærRegression_Valg[[#This Row],[Uafhængig variabel ID]]),INDEX(DataTitel_liste,IF(LineærRegression_Valg[[#This Row],[Afhængig variabel ID]]=1,2,1))),$B$7)</f>
        <v>Eksempel 2 (interval)</v>
      </c>
      <c r="H43" s="171">
        <f>_xlfn.AGGREGATE(2,5,LineærRegression_Valg[[#This Row],[Tabel ID]])</f>
        <v>1</v>
      </c>
    </row>
    <row r="44" spans="1:8" x14ac:dyDescent="0.2">
      <c r="A44">
        <f>ROW(LineærRegression_Valg[[#This Row],[Tabel ID]])-ROW(LineærRegression_Valg[[#Headers],[Tabel ID]])</f>
        <v>34</v>
      </c>
      <c r="B44" s="171">
        <f>ROUNDDOWN((LineærRegression_Valg[[#This Row],[Tabel ID]]-1)/$B$5,0)+1</f>
        <v>9</v>
      </c>
      <c r="C44" s="171">
        <f t="shared" si="0"/>
        <v>2</v>
      </c>
      <c r="D44" s="171" t="b">
        <f>LineærRegression_Valg[[#This Row],[Afhængig variabel ID]]&lt;&gt;LineærRegression_Valg[[#This Row],[Uafhængig variabel ID]]</f>
        <v>1</v>
      </c>
      <c r="E44" t="b">
        <f>LineærRegression_Valg[[#This Row],[Afhængig variabel ID]]&lt;=$B$5</f>
        <v>0</v>
      </c>
      <c r="F44" t="str" cm="1">
        <f t="array" ref="F44">IF(LineærRegression_Valg[[#This Row],[Indenfor range]],INDEX(DataTitel_liste,LineærRegression_Valg[[#This Row],[Afhængig variabel ID]]),INDEX(DataTitel_liste,1))</f>
        <v>Eksempel 1 (interval)</v>
      </c>
      <c r="G44" s="171" t="str" cm="1">
        <f t="array" ref="G44">IF(LineærRegression_Valg[[#This Row],[Indenfor range]],IF(LineærRegression_Valg[[#This Row],[Intet overlap]],INDEX(DataTitel_liste,LineærRegression_Valg[[#This Row],[Uafhængig variabel ID]]),INDEX(DataTitel_liste,IF(LineærRegression_Valg[[#This Row],[Afhængig variabel ID]]=1,2,1))),$B$7)</f>
        <v>Eksempel 2 (interval)</v>
      </c>
      <c r="H44" s="171">
        <f>_xlfn.AGGREGATE(2,5,LineærRegression_Valg[[#This Row],[Tabel ID]])</f>
        <v>1</v>
      </c>
    </row>
    <row r="45" spans="1:8" x14ac:dyDescent="0.2">
      <c r="A45">
        <f>ROW(LineærRegression_Valg[[#This Row],[Tabel ID]])-ROW(LineærRegression_Valg[[#Headers],[Tabel ID]])</f>
        <v>35</v>
      </c>
      <c r="B45" s="171">
        <f>ROUNDDOWN((LineærRegression_Valg[[#This Row],[Tabel ID]]-1)/$B$5,0)+1</f>
        <v>9</v>
      </c>
      <c r="C45" s="171">
        <f t="shared" si="0"/>
        <v>3</v>
      </c>
      <c r="D45" s="171" t="b">
        <f>LineærRegression_Valg[[#This Row],[Afhængig variabel ID]]&lt;&gt;LineærRegression_Valg[[#This Row],[Uafhængig variabel ID]]</f>
        <v>1</v>
      </c>
      <c r="E45" t="b">
        <f>LineærRegression_Valg[[#This Row],[Afhængig variabel ID]]&lt;=$B$5</f>
        <v>0</v>
      </c>
      <c r="F45" t="str" cm="1">
        <f t="array" ref="F45">IF(LineærRegression_Valg[[#This Row],[Indenfor range]],INDEX(DataTitel_liste,LineærRegression_Valg[[#This Row],[Afhængig variabel ID]]),INDEX(DataTitel_liste,1))</f>
        <v>Eksempel 1 (interval)</v>
      </c>
      <c r="G45" s="171" t="str" cm="1">
        <f t="array" ref="G45">IF(LineærRegression_Valg[[#This Row],[Indenfor range]],IF(LineærRegression_Valg[[#This Row],[Intet overlap]],INDEX(DataTitel_liste,LineærRegression_Valg[[#This Row],[Uafhængig variabel ID]]),INDEX(DataTitel_liste,IF(LineærRegression_Valg[[#This Row],[Afhængig variabel ID]]=1,2,1))),$B$7)</f>
        <v>Eksempel 2 (interval)</v>
      </c>
      <c r="H45" s="171">
        <f>_xlfn.AGGREGATE(2,5,LineærRegression_Valg[[#This Row],[Tabel ID]])</f>
        <v>1</v>
      </c>
    </row>
    <row r="46" spans="1:8" x14ac:dyDescent="0.2">
      <c r="A46">
        <f>ROW(LineærRegression_Valg[[#This Row],[Tabel ID]])-ROW(LineærRegression_Valg[[#Headers],[Tabel ID]])</f>
        <v>36</v>
      </c>
      <c r="B46" s="171">
        <f>ROUNDDOWN((LineærRegression_Valg[[#This Row],[Tabel ID]]-1)/$B$5,0)+1</f>
        <v>9</v>
      </c>
      <c r="C46" s="171">
        <f t="shared" si="0"/>
        <v>4</v>
      </c>
      <c r="D46" s="171" t="b">
        <f>LineærRegression_Valg[[#This Row],[Afhængig variabel ID]]&lt;&gt;LineærRegression_Valg[[#This Row],[Uafhængig variabel ID]]</f>
        <v>1</v>
      </c>
      <c r="E46" t="b">
        <f>LineærRegression_Valg[[#This Row],[Afhængig variabel ID]]&lt;=$B$5</f>
        <v>0</v>
      </c>
      <c r="F46" t="str" cm="1">
        <f t="array" ref="F46">IF(LineærRegression_Valg[[#This Row],[Indenfor range]],INDEX(DataTitel_liste,LineærRegression_Valg[[#This Row],[Afhængig variabel ID]]),INDEX(DataTitel_liste,1))</f>
        <v>Eksempel 1 (interval)</v>
      </c>
      <c r="G46" s="171" t="str" cm="1">
        <f t="array" ref="G46">IF(LineærRegression_Valg[[#This Row],[Indenfor range]],IF(LineærRegression_Valg[[#This Row],[Intet overlap]],INDEX(DataTitel_liste,LineærRegression_Valg[[#This Row],[Uafhængig variabel ID]]),INDEX(DataTitel_liste,IF(LineærRegression_Valg[[#This Row],[Afhængig variabel ID]]=1,2,1))),$B$7)</f>
        <v>Eksempel 2 (interval)</v>
      </c>
      <c r="H46" s="171">
        <f>_xlfn.AGGREGATE(2,5,LineærRegression_Valg[[#This Row],[Tabel ID]])</f>
        <v>1</v>
      </c>
    </row>
    <row r="47" spans="1:8" x14ac:dyDescent="0.2">
      <c r="A47">
        <f>ROW(LineærRegression_Valg[[#This Row],[Tabel ID]])-ROW(LineærRegression_Valg[[#Headers],[Tabel ID]])</f>
        <v>37</v>
      </c>
      <c r="B47" s="171">
        <f>ROUNDDOWN((LineærRegression_Valg[[#This Row],[Tabel ID]]-1)/$B$5,0)+1</f>
        <v>10</v>
      </c>
      <c r="C47" s="171">
        <f t="shared" si="0"/>
        <v>1</v>
      </c>
      <c r="D47" s="171" t="b">
        <f>LineærRegression_Valg[[#This Row],[Afhængig variabel ID]]&lt;&gt;LineærRegression_Valg[[#This Row],[Uafhængig variabel ID]]</f>
        <v>1</v>
      </c>
      <c r="E47" t="b">
        <f>LineærRegression_Valg[[#This Row],[Afhængig variabel ID]]&lt;=$B$5</f>
        <v>0</v>
      </c>
      <c r="F47" t="str" cm="1">
        <f t="array" ref="F47">IF(LineærRegression_Valg[[#This Row],[Indenfor range]],INDEX(DataTitel_liste,LineærRegression_Valg[[#This Row],[Afhængig variabel ID]]),INDEX(DataTitel_liste,1))</f>
        <v>Eksempel 1 (interval)</v>
      </c>
      <c r="G47" s="171" t="str" cm="1">
        <f t="array" ref="G47">IF(LineærRegression_Valg[[#This Row],[Indenfor range]],IF(LineærRegression_Valg[[#This Row],[Intet overlap]],INDEX(DataTitel_liste,LineærRegression_Valg[[#This Row],[Uafhængig variabel ID]]),INDEX(DataTitel_liste,IF(LineærRegression_Valg[[#This Row],[Afhængig variabel ID]]=1,2,1))),$B$7)</f>
        <v>Eksempel 2 (interval)</v>
      </c>
      <c r="H47" s="171">
        <f>_xlfn.AGGREGATE(2,5,LineærRegression_Valg[[#This Row],[Tabel ID]])</f>
        <v>1</v>
      </c>
    </row>
    <row r="48" spans="1:8" x14ac:dyDescent="0.2">
      <c r="A48">
        <f>ROW(LineærRegression_Valg[[#This Row],[Tabel ID]])-ROW(LineærRegression_Valg[[#Headers],[Tabel ID]])</f>
        <v>38</v>
      </c>
      <c r="B48" s="171">
        <f>ROUNDDOWN((LineærRegression_Valg[[#This Row],[Tabel ID]]-1)/$B$5,0)+1</f>
        <v>10</v>
      </c>
      <c r="C48" s="171">
        <f t="shared" si="0"/>
        <v>2</v>
      </c>
      <c r="D48" s="171" t="b">
        <f>LineærRegression_Valg[[#This Row],[Afhængig variabel ID]]&lt;&gt;LineærRegression_Valg[[#This Row],[Uafhængig variabel ID]]</f>
        <v>1</v>
      </c>
      <c r="E48" t="b">
        <f>LineærRegression_Valg[[#This Row],[Afhængig variabel ID]]&lt;=$B$5</f>
        <v>0</v>
      </c>
      <c r="F48" t="str" cm="1">
        <f t="array" ref="F48">IF(LineærRegression_Valg[[#This Row],[Indenfor range]],INDEX(DataTitel_liste,LineærRegression_Valg[[#This Row],[Afhængig variabel ID]]),INDEX(DataTitel_liste,1))</f>
        <v>Eksempel 1 (interval)</v>
      </c>
      <c r="G48" s="171" t="str" cm="1">
        <f t="array" ref="G48">IF(LineærRegression_Valg[[#This Row],[Indenfor range]],IF(LineærRegression_Valg[[#This Row],[Intet overlap]],INDEX(DataTitel_liste,LineærRegression_Valg[[#This Row],[Uafhængig variabel ID]]),INDEX(DataTitel_liste,IF(LineærRegression_Valg[[#This Row],[Afhængig variabel ID]]=1,2,1))),$B$7)</f>
        <v>Eksempel 2 (interval)</v>
      </c>
      <c r="H48" s="171">
        <f>_xlfn.AGGREGATE(2,5,LineærRegression_Valg[[#This Row],[Tabel ID]])</f>
        <v>1</v>
      </c>
    </row>
    <row r="49" spans="1:8" x14ac:dyDescent="0.2">
      <c r="A49">
        <f>ROW(LineærRegression_Valg[[#This Row],[Tabel ID]])-ROW(LineærRegression_Valg[[#Headers],[Tabel ID]])</f>
        <v>39</v>
      </c>
      <c r="B49" s="171">
        <f>ROUNDDOWN((LineærRegression_Valg[[#This Row],[Tabel ID]]-1)/$B$5,0)+1</f>
        <v>10</v>
      </c>
      <c r="C49" s="171">
        <f t="shared" si="0"/>
        <v>3</v>
      </c>
      <c r="D49" s="171" t="b">
        <f>LineærRegression_Valg[[#This Row],[Afhængig variabel ID]]&lt;&gt;LineærRegression_Valg[[#This Row],[Uafhængig variabel ID]]</f>
        <v>1</v>
      </c>
      <c r="E49" t="b">
        <f>LineærRegression_Valg[[#This Row],[Afhængig variabel ID]]&lt;=$B$5</f>
        <v>0</v>
      </c>
      <c r="F49" t="str" cm="1">
        <f t="array" ref="F49">IF(LineærRegression_Valg[[#This Row],[Indenfor range]],INDEX(DataTitel_liste,LineærRegression_Valg[[#This Row],[Afhængig variabel ID]]),INDEX(DataTitel_liste,1))</f>
        <v>Eksempel 1 (interval)</v>
      </c>
      <c r="G49" s="171" t="str" cm="1">
        <f t="array" ref="G49">IF(LineærRegression_Valg[[#This Row],[Indenfor range]],IF(LineærRegression_Valg[[#This Row],[Intet overlap]],INDEX(DataTitel_liste,LineærRegression_Valg[[#This Row],[Uafhængig variabel ID]]),INDEX(DataTitel_liste,IF(LineærRegression_Valg[[#This Row],[Afhængig variabel ID]]=1,2,1))),$B$7)</f>
        <v>Eksempel 2 (interval)</v>
      </c>
      <c r="H49" s="171">
        <f>_xlfn.AGGREGATE(2,5,LineærRegression_Valg[[#This Row],[Tabel ID]])</f>
        <v>1</v>
      </c>
    </row>
    <row r="50" spans="1:8" x14ac:dyDescent="0.2">
      <c r="A50">
        <f>ROW(LineærRegression_Valg[[#This Row],[Tabel ID]])-ROW(LineærRegression_Valg[[#Headers],[Tabel ID]])</f>
        <v>40</v>
      </c>
      <c r="B50" s="171">
        <f>ROUNDDOWN((LineærRegression_Valg[[#This Row],[Tabel ID]]-1)/$B$5,0)+1</f>
        <v>10</v>
      </c>
      <c r="C50" s="171">
        <f t="shared" si="0"/>
        <v>4</v>
      </c>
      <c r="D50" s="171" t="b">
        <f>LineærRegression_Valg[[#This Row],[Afhængig variabel ID]]&lt;&gt;LineærRegression_Valg[[#This Row],[Uafhængig variabel ID]]</f>
        <v>1</v>
      </c>
      <c r="E50" t="b">
        <f>LineærRegression_Valg[[#This Row],[Afhængig variabel ID]]&lt;=$B$5</f>
        <v>0</v>
      </c>
      <c r="F50" t="str" cm="1">
        <f t="array" ref="F50">IF(LineærRegression_Valg[[#This Row],[Indenfor range]],INDEX(DataTitel_liste,LineærRegression_Valg[[#This Row],[Afhængig variabel ID]]),INDEX(DataTitel_liste,1))</f>
        <v>Eksempel 1 (interval)</v>
      </c>
      <c r="G50" s="171" t="str" cm="1">
        <f t="array" ref="G50">IF(LineærRegression_Valg[[#This Row],[Indenfor range]],IF(LineærRegression_Valg[[#This Row],[Intet overlap]],INDEX(DataTitel_liste,LineærRegression_Valg[[#This Row],[Uafhængig variabel ID]]),INDEX(DataTitel_liste,IF(LineærRegression_Valg[[#This Row],[Afhængig variabel ID]]=1,2,1))),$B$7)</f>
        <v>Eksempel 2 (interval)</v>
      </c>
      <c r="H50" s="171">
        <f>_xlfn.AGGREGATE(2,5,LineærRegression_Valg[[#This Row],[Tabel ID]])</f>
        <v>1</v>
      </c>
    </row>
    <row r="51" spans="1:8" x14ac:dyDescent="0.2">
      <c r="A51">
        <f>ROW(LineærRegression_Valg[[#This Row],[Tabel ID]])-ROW(LineærRegression_Valg[[#Headers],[Tabel ID]])</f>
        <v>41</v>
      </c>
      <c r="B51" s="171">
        <f>ROUNDDOWN((LineærRegression_Valg[[#This Row],[Tabel ID]]-1)/$B$5,0)+1</f>
        <v>11</v>
      </c>
      <c r="C51" s="171">
        <f t="shared" si="0"/>
        <v>1</v>
      </c>
      <c r="D51" s="171" t="b">
        <f>LineærRegression_Valg[[#This Row],[Afhængig variabel ID]]&lt;&gt;LineærRegression_Valg[[#This Row],[Uafhængig variabel ID]]</f>
        <v>1</v>
      </c>
      <c r="E51" t="b">
        <f>LineærRegression_Valg[[#This Row],[Afhængig variabel ID]]&lt;=$B$5</f>
        <v>0</v>
      </c>
      <c r="F51" t="str" cm="1">
        <f t="array" ref="F51">IF(LineærRegression_Valg[[#This Row],[Indenfor range]],INDEX(DataTitel_liste,LineærRegression_Valg[[#This Row],[Afhængig variabel ID]]),INDEX(DataTitel_liste,1))</f>
        <v>Eksempel 1 (interval)</v>
      </c>
      <c r="G51" s="171" t="str" cm="1">
        <f t="array" ref="G51">IF(LineærRegression_Valg[[#This Row],[Indenfor range]],IF(LineærRegression_Valg[[#This Row],[Intet overlap]],INDEX(DataTitel_liste,LineærRegression_Valg[[#This Row],[Uafhængig variabel ID]]),INDEX(DataTitel_liste,IF(LineærRegression_Valg[[#This Row],[Afhængig variabel ID]]=1,2,1))),$B$7)</f>
        <v>Eksempel 2 (interval)</v>
      </c>
      <c r="H51" s="171">
        <f>_xlfn.AGGREGATE(2,5,LineærRegression_Valg[[#This Row],[Tabel ID]])</f>
        <v>1</v>
      </c>
    </row>
    <row r="52" spans="1:8" x14ac:dyDescent="0.2">
      <c r="A52">
        <f>ROW(LineærRegression_Valg[[#This Row],[Tabel ID]])-ROW(LineærRegression_Valg[[#Headers],[Tabel ID]])</f>
        <v>42</v>
      </c>
      <c r="B52" s="171">
        <f>ROUNDDOWN((LineærRegression_Valg[[#This Row],[Tabel ID]]-1)/$B$5,0)+1</f>
        <v>11</v>
      </c>
      <c r="C52" s="171">
        <f t="shared" si="0"/>
        <v>2</v>
      </c>
      <c r="D52" s="171" t="b">
        <f>LineærRegression_Valg[[#This Row],[Afhængig variabel ID]]&lt;&gt;LineærRegression_Valg[[#This Row],[Uafhængig variabel ID]]</f>
        <v>1</v>
      </c>
      <c r="E52" t="b">
        <f>LineærRegression_Valg[[#This Row],[Afhængig variabel ID]]&lt;=$B$5</f>
        <v>0</v>
      </c>
      <c r="F52" t="str" cm="1">
        <f t="array" ref="F52">IF(LineærRegression_Valg[[#This Row],[Indenfor range]],INDEX(DataTitel_liste,LineærRegression_Valg[[#This Row],[Afhængig variabel ID]]),INDEX(DataTitel_liste,1))</f>
        <v>Eksempel 1 (interval)</v>
      </c>
      <c r="G52" s="171" t="str" cm="1">
        <f t="array" ref="G52">IF(LineærRegression_Valg[[#This Row],[Indenfor range]],IF(LineærRegression_Valg[[#This Row],[Intet overlap]],INDEX(DataTitel_liste,LineærRegression_Valg[[#This Row],[Uafhængig variabel ID]]),INDEX(DataTitel_liste,IF(LineærRegression_Valg[[#This Row],[Afhængig variabel ID]]=1,2,1))),$B$7)</f>
        <v>Eksempel 2 (interval)</v>
      </c>
      <c r="H52" s="171">
        <f>_xlfn.AGGREGATE(2,5,LineærRegression_Valg[[#This Row],[Tabel ID]])</f>
        <v>1</v>
      </c>
    </row>
    <row r="53" spans="1:8" x14ac:dyDescent="0.2">
      <c r="A53">
        <f>ROW(LineærRegression_Valg[[#This Row],[Tabel ID]])-ROW(LineærRegression_Valg[[#Headers],[Tabel ID]])</f>
        <v>43</v>
      </c>
      <c r="B53" s="171">
        <f>ROUNDDOWN((LineærRegression_Valg[[#This Row],[Tabel ID]]-1)/$B$5,0)+1</f>
        <v>11</v>
      </c>
      <c r="C53" s="171">
        <f t="shared" si="0"/>
        <v>3</v>
      </c>
      <c r="D53" s="171" t="b">
        <f>LineærRegression_Valg[[#This Row],[Afhængig variabel ID]]&lt;&gt;LineærRegression_Valg[[#This Row],[Uafhængig variabel ID]]</f>
        <v>1</v>
      </c>
      <c r="E53" t="b">
        <f>LineærRegression_Valg[[#This Row],[Afhængig variabel ID]]&lt;=$B$5</f>
        <v>0</v>
      </c>
      <c r="F53" t="str" cm="1">
        <f t="array" ref="F53">IF(LineærRegression_Valg[[#This Row],[Indenfor range]],INDEX(DataTitel_liste,LineærRegression_Valg[[#This Row],[Afhængig variabel ID]]),INDEX(DataTitel_liste,1))</f>
        <v>Eksempel 1 (interval)</v>
      </c>
      <c r="G53" s="171" t="str" cm="1">
        <f t="array" ref="G53">IF(LineærRegression_Valg[[#This Row],[Indenfor range]],IF(LineærRegression_Valg[[#This Row],[Intet overlap]],INDEX(DataTitel_liste,LineærRegression_Valg[[#This Row],[Uafhængig variabel ID]]),INDEX(DataTitel_liste,IF(LineærRegression_Valg[[#This Row],[Afhængig variabel ID]]=1,2,1))),$B$7)</f>
        <v>Eksempel 2 (interval)</v>
      </c>
      <c r="H53" s="171">
        <f>_xlfn.AGGREGATE(2,5,LineærRegression_Valg[[#This Row],[Tabel ID]])</f>
        <v>1</v>
      </c>
    </row>
    <row r="54" spans="1:8" x14ac:dyDescent="0.2">
      <c r="A54">
        <f>ROW(LineærRegression_Valg[[#This Row],[Tabel ID]])-ROW(LineærRegression_Valg[[#Headers],[Tabel ID]])</f>
        <v>44</v>
      </c>
      <c r="B54" s="171">
        <f>ROUNDDOWN((LineærRegression_Valg[[#This Row],[Tabel ID]]-1)/$B$5,0)+1</f>
        <v>11</v>
      </c>
      <c r="C54" s="171">
        <f t="shared" si="0"/>
        <v>4</v>
      </c>
      <c r="D54" s="171" t="b">
        <f>LineærRegression_Valg[[#This Row],[Afhængig variabel ID]]&lt;&gt;LineærRegression_Valg[[#This Row],[Uafhængig variabel ID]]</f>
        <v>1</v>
      </c>
      <c r="E54" t="b">
        <f>LineærRegression_Valg[[#This Row],[Afhængig variabel ID]]&lt;=$B$5</f>
        <v>0</v>
      </c>
      <c r="F54" t="str" cm="1">
        <f t="array" ref="F54">IF(LineærRegression_Valg[[#This Row],[Indenfor range]],INDEX(DataTitel_liste,LineærRegression_Valg[[#This Row],[Afhængig variabel ID]]),INDEX(DataTitel_liste,1))</f>
        <v>Eksempel 1 (interval)</v>
      </c>
      <c r="G54" s="171" t="str" cm="1">
        <f t="array" ref="G54">IF(LineærRegression_Valg[[#This Row],[Indenfor range]],IF(LineærRegression_Valg[[#This Row],[Intet overlap]],INDEX(DataTitel_liste,LineærRegression_Valg[[#This Row],[Uafhængig variabel ID]]),INDEX(DataTitel_liste,IF(LineærRegression_Valg[[#This Row],[Afhængig variabel ID]]=1,2,1))),$B$7)</f>
        <v>Eksempel 2 (interval)</v>
      </c>
      <c r="H54" s="171">
        <f>_xlfn.AGGREGATE(2,5,LineærRegression_Valg[[#This Row],[Tabel ID]])</f>
        <v>1</v>
      </c>
    </row>
    <row r="55" spans="1:8" x14ac:dyDescent="0.2">
      <c r="A55">
        <f>ROW(LineærRegression_Valg[[#This Row],[Tabel ID]])-ROW(LineærRegression_Valg[[#Headers],[Tabel ID]])</f>
        <v>45</v>
      </c>
      <c r="B55" s="171">
        <f>ROUNDDOWN((LineærRegression_Valg[[#This Row],[Tabel ID]]-1)/$B$5,0)+1</f>
        <v>12</v>
      </c>
      <c r="C55" s="171">
        <f t="shared" si="0"/>
        <v>1</v>
      </c>
      <c r="D55" s="171" t="b">
        <f>LineærRegression_Valg[[#This Row],[Afhængig variabel ID]]&lt;&gt;LineærRegression_Valg[[#This Row],[Uafhængig variabel ID]]</f>
        <v>1</v>
      </c>
      <c r="E55" t="b">
        <f>LineærRegression_Valg[[#This Row],[Afhængig variabel ID]]&lt;=$B$5</f>
        <v>0</v>
      </c>
      <c r="F55" t="str" cm="1">
        <f t="array" ref="F55">IF(LineærRegression_Valg[[#This Row],[Indenfor range]],INDEX(DataTitel_liste,LineærRegression_Valg[[#This Row],[Afhængig variabel ID]]),INDEX(DataTitel_liste,1))</f>
        <v>Eksempel 1 (interval)</v>
      </c>
      <c r="G55" s="171" t="str" cm="1">
        <f t="array" ref="G55">IF(LineærRegression_Valg[[#This Row],[Indenfor range]],IF(LineærRegression_Valg[[#This Row],[Intet overlap]],INDEX(DataTitel_liste,LineærRegression_Valg[[#This Row],[Uafhængig variabel ID]]),INDEX(DataTitel_liste,IF(LineærRegression_Valg[[#This Row],[Afhængig variabel ID]]=1,2,1))),$B$7)</f>
        <v>Eksempel 2 (interval)</v>
      </c>
      <c r="H55" s="171">
        <f>_xlfn.AGGREGATE(2,5,LineærRegression_Valg[[#This Row],[Tabel ID]])</f>
        <v>1</v>
      </c>
    </row>
    <row r="56" spans="1:8" x14ac:dyDescent="0.2">
      <c r="A56">
        <f>ROW(LineærRegression_Valg[[#This Row],[Tabel ID]])-ROW(LineærRegression_Valg[[#Headers],[Tabel ID]])</f>
        <v>46</v>
      </c>
      <c r="B56" s="171">
        <f>ROUNDDOWN((LineærRegression_Valg[[#This Row],[Tabel ID]]-1)/$B$5,0)+1</f>
        <v>12</v>
      </c>
      <c r="C56" s="171">
        <f t="shared" si="0"/>
        <v>2</v>
      </c>
      <c r="D56" s="171" t="b">
        <f>LineærRegression_Valg[[#This Row],[Afhængig variabel ID]]&lt;&gt;LineærRegression_Valg[[#This Row],[Uafhængig variabel ID]]</f>
        <v>1</v>
      </c>
      <c r="E56" t="b">
        <f>LineærRegression_Valg[[#This Row],[Afhængig variabel ID]]&lt;=$B$5</f>
        <v>0</v>
      </c>
      <c r="F56" t="str" cm="1">
        <f t="array" ref="F56">IF(LineærRegression_Valg[[#This Row],[Indenfor range]],INDEX(DataTitel_liste,LineærRegression_Valg[[#This Row],[Afhængig variabel ID]]),INDEX(DataTitel_liste,1))</f>
        <v>Eksempel 1 (interval)</v>
      </c>
      <c r="G56" s="171" t="str" cm="1">
        <f t="array" ref="G56">IF(LineærRegression_Valg[[#This Row],[Indenfor range]],IF(LineærRegression_Valg[[#This Row],[Intet overlap]],INDEX(DataTitel_liste,LineærRegression_Valg[[#This Row],[Uafhængig variabel ID]]),INDEX(DataTitel_liste,IF(LineærRegression_Valg[[#This Row],[Afhængig variabel ID]]=1,2,1))),$B$7)</f>
        <v>Eksempel 2 (interval)</v>
      </c>
      <c r="H56" s="171">
        <f>_xlfn.AGGREGATE(2,5,LineærRegression_Valg[[#This Row],[Tabel ID]])</f>
        <v>1</v>
      </c>
    </row>
    <row r="57" spans="1:8" x14ac:dyDescent="0.2">
      <c r="A57">
        <f>ROW(LineærRegression_Valg[[#This Row],[Tabel ID]])-ROW(LineærRegression_Valg[[#Headers],[Tabel ID]])</f>
        <v>47</v>
      </c>
      <c r="B57" s="171">
        <f>ROUNDDOWN((LineærRegression_Valg[[#This Row],[Tabel ID]]-1)/$B$5,0)+1</f>
        <v>12</v>
      </c>
      <c r="C57" s="171">
        <f t="shared" si="0"/>
        <v>3</v>
      </c>
      <c r="D57" s="171" t="b">
        <f>LineærRegression_Valg[[#This Row],[Afhængig variabel ID]]&lt;&gt;LineærRegression_Valg[[#This Row],[Uafhængig variabel ID]]</f>
        <v>1</v>
      </c>
      <c r="E57" t="b">
        <f>LineærRegression_Valg[[#This Row],[Afhængig variabel ID]]&lt;=$B$5</f>
        <v>0</v>
      </c>
      <c r="F57" t="str" cm="1">
        <f t="array" ref="F57">IF(LineærRegression_Valg[[#This Row],[Indenfor range]],INDEX(DataTitel_liste,LineærRegression_Valg[[#This Row],[Afhængig variabel ID]]),INDEX(DataTitel_liste,1))</f>
        <v>Eksempel 1 (interval)</v>
      </c>
      <c r="G57" s="171" t="str" cm="1">
        <f t="array" ref="G57">IF(LineærRegression_Valg[[#This Row],[Indenfor range]],IF(LineærRegression_Valg[[#This Row],[Intet overlap]],INDEX(DataTitel_liste,LineærRegression_Valg[[#This Row],[Uafhængig variabel ID]]),INDEX(DataTitel_liste,IF(LineærRegression_Valg[[#This Row],[Afhængig variabel ID]]=1,2,1))),$B$7)</f>
        <v>Eksempel 2 (interval)</v>
      </c>
      <c r="H57" s="171">
        <f>_xlfn.AGGREGATE(2,5,LineærRegression_Valg[[#This Row],[Tabel ID]])</f>
        <v>1</v>
      </c>
    </row>
    <row r="58" spans="1:8" x14ac:dyDescent="0.2">
      <c r="A58">
        <f>ROW(LineærRegression_Valg[[#This Row],[Tabel ID]])-ROW(LineærRegression_Valg[[#Headers],[Tabel ID]])</f>
        <v>48</v>
      </c>
      <c r="B58" s="171">
        <f>ROUNDDOWN((LineærRegression_Valg[[#This Row],[Tabel ID]]-1)/$B$5,0)+1</f>
        <v>12</v>
      </c>
      <c r="C58" s="171">
        <f t="shared" si="0"/>
        <v>4</v>
      </c>
      <c r="D58" s="171" t="b">
        <f>LineærRegression_Valg[[#This Row],[Afhængig variabel ID]]&lt;&gt;LineærRegression_Valg[[#This Row],[Uafhængig variabel ID]]</f>
        <v>1</v>
      </c>
      <c r="E58" t="b">
        <f>LineærRegression_Valg[[#This Row],[Afhængig variabel ID]]&lt;=$B$5</f>
        <v>0</v>
      </c>
      <c r="F58" t="str" cm="1">
        <f t="array" ref="F58">IF(LineærRegression_Valg[[#This Row],[Indenfor range]],INDEX(DataTitel_liste,LineærRegression_Valg[[#This Row],[Afhængig variabel ID]]),INDEX(DataTitel_liste,1))</f>
        <v>Eksempel 1 (interval)</v>
      </c>
      <c r="G58" s="171" t="str" cm="1">
        <f t="array" ref="G58">IF(LineærRegression_Valg[[#This Row],[Indenfor range]],IF(LineærRegression_Valg[[#This Row],[Intet overlap]],INDEX(DataTitel_liste,LineærRegression_Valg[[#This Row],[Uafhængig variabel ID]]),INDEX(DataTitel_liste,IF(LineærRegression_Valg[[#This Row],[Afhængig variabel ID]]=1,2,1))),$B$7)</f>
        <v>Eksempel 2 (interval)</v>
      </c>
      <c r="H58" s="171">
        <f>_xlfn.AGGREGATE(2,5,LineærRegression_Valg[[#This Row],[Tabel ID]])</f>
        <v>1</v>
      </c>
    </row>
    <row r="59" spans="1:8" x14ac:dyDescent="0.2">
      <c r="A59">
        <f>ROW(LineærRegression_Valg[[#This Row],[Tabel ID]])-ROW(LineærRegression_Valg[[#Headers],[Tabel ID]])</f>
        <v>49</v>
      </c>
      <c r="B59" s="171">
        <f>ROUNDDOWN((LineærRegression_Valg[[#This Row],[Tabel ID]]-1)/$B$5,0)+1</f>
        <v>13</v>
      </c>
      <c r="C59" s="171">
        <f t="shared" si="0"/>
        <v>1</v>
      </c>
      <c r="D59" s="171" t="b">
        <f>LineærRegression_Valg[[#This Row],[Afhængig variabel ID]]&lt;&gt;LineærRegression_Valg[[#This Row],[Uafhængig variabel ID]]</f>
        <v>1</v>
      </c>
      <c r="E59" t="b">
        <f>LineærRegression_Valg[[#This Row],[Afhængig variabel ID]]&lt;=$B$5</f>
        <v>0</v>
      </c>
      <c r="F59" t="str" cm="1">
        <f t="array" ref="F59">IF(LineærRegression_Valg[[#This Row],[Indenfor range]],INDEX(DataTitel_liste,LineærRegression_Valg[[#This Row],[Afhængig variabel ID]]),INDEX(DataTitel_liste,1))</f>
        <v>Eksempel 1 (interval)</v>
      </c>
      <c r="G59" s="171" t="str" cm="1">
        <f t="array" ref="G59">IF(LineærRegression_Valg[[#This Row],[Indenfor range]],IF(LineærRegression_Valg[[#This Row],[Intet overlap]],INDEX(DataTitel_liste,LineærRegression_Valg[[#This Row],[Uafhængig variabel ID]]),INDEX(DataTitel_liste,IF(LineærRegression_Valg[[#This Row],[Afhængig variabel ID]]=1,2,1))),$B$7)</f>
        <v>Eksempel 2 (interval)</v>
      </c>
      <c r="H59" s="171">
        <f>_xlfn.AGGREGATE(2,5,LineærRegression_Valg[[#This Row],[Tabel ID]])</f>
        <v>1</v>
      </c>
    </row>
    <row r="60" spans="1:8" x14ac:dyDescent="0.2">
      <c r="A60">
        <f>ROW(LineærRegression_Valg[[#This Row],[Tabel ID]])-ROW(LineærRegression_Valg[[#Headers],[Tabel ID]])</f>
        <v>50</v>
      </c>
      <c r="B60" s="171">
        <f>ROUNDDOWN((LineærRegression_Valg[[#This Row],[Tabel ID]]-1)/$B$5,0)+1</f>
        <v>13</v>
      </c>
      <c r="C60" s="171">
        <f t="shared" si="0"/>
        <v>2</v>
      </c>
      <c r="D60" s="171" t="b">
        <f>LineærRegression_Valg[[#This Row],[Afhængig variabel ID]]&lt;&gt;LineærRegression_Valg[[#This Row],[Uafhængig variabel ID]]</f>
        <v>1</v>
      </c>
      <c r="E60" t="b">
        <f>LineærRegression_Valg[[#This Row],[Afhængig variabel ID]]&lt;=$B$5</f>
        <v>0</v>
      </c>
      <c r="F60" t="str" cm="1">
        <f t="array" ref="F60">IF(LineærRegression_Valg[[#This Row],[Indenfor range]],INDEX(DataTitel_liste,LineærRegression_Valg[[#This Row],[Afhængig variabel ID]]),INDEX(DataTitel_liste,1))</f>
        <v>Eksempel 1 (interval)</v>
      </c>
      <c r="G60" s="171" t="str" cm="1">
        <f t="array" ref="G60">IF(LineærRegression_Valg[[#This Row],[Indenfor range]],IF(LineærRegression_Valg[[#This Row],[Intet overlap]],INDEX(DataTitel_liste,LineærRegression_Valg[[#This Row],[Uafhængig variabel ID]]),INDEX(DataTitel_liste,IF(LineærRegression_Valg[[#This Row],[Afhængig variabel ID]]=1,2,1))),$B$7)</f>
        <v>Eksempel 2 (interval)</v>
      </c>
      <c r="H60" s="171">
        <f>_xlfn.AGGREGATE(2,5,LineærRegression_Valg[[#This Row],[Tabel ID]])</f>
        <v>1</v>
      </c>
    </row>
    <row r="61" spans="1:8" x14ac:dyDescent="0.2">
      <c r="A61">
        <f>ROW(LineærRegression_Valg[[#This Row],[Tabel ID]])-ROW(LineærRegression_Valg[[#Headers],[Tabel ID]])</f>
        <v>51</v>
      </c>
      <c r="B61" s="171">
        <f>ROUNDDOWN((LineærRegression_Valg[[#This Row],[Tabel ID]]-1)/$B$5,0)+1</f>
        <v>13</v>
      </c>
      <c r="C61" s="171">
        <f t="shared" si="0"/>
        <v>3</v>
      </c>
      <c r="D61" s="171" t="b">
        <f>LineærRegression_Valg[[#This Row],[Afhængig variabel ID]]&lt;&gt;LineærRegression_Valg[[#This Row],[Uafhængig variabel ID]]</f>
        <v>1</v>
      </c>
      <c r="E61" t="b">
        <f>LineærRegression_Valg[[#This Row],[Afhængig variabel ID]]&lt;=$B$5</f>
        <v>0</v>
      </c>
      <c r="F61" t="str" cm="1">
        <f t="array" ref="F61">IF(LineærRegression_Valg[[#This Row],[Indenfor range]],INDEX(DataTitel_liste,LineærRegression_Valg[[#This Row],[Afhængig variabel ID]]),INDEX(DataTitel_liste,1))</f>
        <v>Eksempel 1 (interval)</v>
      </c>
      <c r="G61" s="171" t="str" cm="1">
        <f t="array" ref="G61">IF(LineærRegression_Valg[[#This Row],[Indenfor range]],IF(LineærRegression_Valg[[#This Row],[Intet overlap]],INDEX(DataTitel_liste,LineærRegression_Valg[[#This Row],[Uafhængig variabel ID]]),INDEX(DataTitel_liste,IF(LineærRegression_Valg[[#This Row],[Afhængig variabel ID]]=1,2,1))),$B$7)</f>
        <v>Eksempel 2 (interval)</v>
      </c>
      <c r="H61" s="171">
        <f>_xlfn.AGGREGATE(2,5,LineærRegression_Valg[[#This Row],[Tabel ID]])</f>
        <v>1</v>
      </c>
    </row>
    <row r="62" spans="1:8" x14ac:dyDescent="0.2">
      <c r="A62">
        <f>ROW(LineærRegression_Valg[[#This Row],[Tabel ID]])-ROW(LineærRegression_Valg[[#Headers],[Tabel ID]])</f>
        <v>52</v>
      </c>
      <c r="B62" s="171">
        <f>ROUNDDOWN((LineærRegression_Valg[[#This Row],[Tabel ID]]-1)/$B$5,0)+1</f>
        <v>13</v>
      </c>
      <c r="C62" s="171">
        <f t="shared" si="0"/>
        <v>4</v>
      </c>
      <c r="D62" s="171" t="b">
        <f>LineærRegression_Valg[[#This Row],[Afhængig variabel ID]]&lt;&gt;LineærRegression_Valg[[#This Row],[Uafhængig variabel ID]]</f>
        <v>1</v>
      </c>
      <c r="E62" t="b">
        <f>LineærRegression_Valg[[#This Row],[Afhængig variabel ID]]&lt;=$B$5</f>
        <v>0</v>
      </c>
      <c r="F62" t="str" cm="1">
        <f t="array" ref="F62">IF(LineærRegression_Valg[[#This Row],[Indenfor range]],INDEX(DataTitel_liste,LineærRegression_Valg[[#This Row],[Afhængig variabel ID]]),INDEX(DataTitel_liste,1))</f>
        <v>Eksempel 1 (interval)</v>
      </c>
      <c r="G62" s="171" t="str" cm="1">
        <f t="array" ref="G62">IF(LineærRegression_Valg[[#This Row],[Indenfor range]],IF(LineærRegression_Valg[[#This Row],[Intet overlap]],INDEX(DataTitel_liste,LineærRegression_Valg[[#This Row],[Uafhængig variabel ID]]),INDEX(DataTitel_liste,IF(LineærRegression_Valg[[#This Row],[Afhængig variabel ID]]=1,2,1))),$B$7)</f>
        <v>Eksempel 2 (interval)</v>
      </c>
      <c r="H62" s="171">
        <f>_xlfn.AGGREGATE(2,5,LineærRegression_Valg[[#This Row],[Tabel ID]])</f>
        <v>1</v>
      </c>
    </row>
    <row r="63" spans="1:8" x14ac:dyDescent="0.2">
      <c r="A63">
        <f>ROW(LineærRegression_Valg[[#This Row],[Tabel ID]])-ROW(LineærRegression_Valg[[#Headers],[Tabel ID]])</f>
        <v>53</v>
      </c>
      <c r="B63" s="171">
        <f>ROUNDDOWN((LineærRegression_Valg[[#This Row],[Tabel ID]]-1)/$B$5,0)+1</f>
        <v>14</v>
      </c>
      <c r="C63" s="171">
        <f t="shared" si="0"/>
        <v>1</v>
      </c>
      <c r="D63" s="171" t="b">
        <f>LineærRegression_Valg[[#This Row],[Afhængig variabel ID]]&lt;&gt;LineærRegression_Valg[[#This Row],[Uafhængig variabel ID]]</f>
        <v>1</v>
      </c>
      <c r="E63" t="b">
        <f>LineærRegression_Valg[[#This Row],[Afhængig variabel ID]]&lt;=$B$5</f>
        <v>0</v>
      </c>
      <c r="F63" t="str" cm="1">
        <f t="array" ref="F63">IF(LineærRegression_Valg[[#This Row],[Indenfor range]],INDEX(DataTitel_liste,LineærRegression_Valg[[#This Row],[Afhængig variabel ID]]),INDEX(DataTitel_liste,1))</f>
        <v>Eksempel 1 (interval)</v>
      </c>
      <c r="G63" s="171" t="str" cm="1">
        <f t="array" ref="G63">IF(LineærRegression_Valg[[#This Row],[Indenfor range]],IF(LineærRegression_Valg[[#This Row],[Intet overlap]],INDEX(DataTitel_liste,LineærRegression_Valg[[#This Row],[Uafhængig variabel ID]]),INDEX(DataTitel_liste,IF(LineærRegression_Valg[[#This Row],[Afhængig variabel ID]]=1,2,1))),$B$7)</f>
        <v>Eksempel 2 (interval)</v>
      </c>
      <c r="H63" s="171">
        <f>_xlfn.AGGREGATE(2,5,LineærRegression_Valg[[#This Row],[Tabel ID]])</f>
        <v>1</v>
      </c>
    </row>
    <row r="64" spans="1:8" x14ac:dyDescent="0.2">
      <c r="A64">
        <f>ROW(LineærRegression_Valg[[#This Row],[Tabel ID]])-ROW(LineærRegression_Valg[[#Headers],[Tabel ID]])</f>
        <v>54</v>
      </c>
      <c r="B64" s="171">
        <f>ROUNDDOWN((LineærRegression_Valg[[#This Row],[Tabel ID]]-1)/$B$5,0)+1</f>
        <v>14</v>
      </c>
      <c r="C64" s="171">
        <f t="shared" si="0"/>
        <v>2</v>
      </c>
      <c r="D64" s="171" t="b">
        <f>LineærRegression_Valg[[#This Row],[Afhængig variabel ID]]&lt;&gt;LineærRegression_Valg[[#This Row],[Uafhængig variabel ID]]</f>
        <v>1</v>
      </c>
      <c r="E64" t="b">
        <f>LineærRegression_Valg[[#This Row],[Afhængig variabel ID]]&lt;=$B$5</f>
        <v>0</v>
      </c>
      <c r="F64" t="str" cm="1">
        <f t="array" ref="F64">IF(LineærRegression_Valg[[#This Row],[Indenfor range]],INDEX(DataTitel_liste,LineærRegression_Valg[[#This Row],[Afhængig variabel ID]]),INDEX(DataTitel_liste,1))</f>
        <v>Eksempel 1 (interval)</v>
      </c>
      <c r="G64" s="171" t="str" cm="1">
        <f t="array" ref="G64">IF(LineærRegression_Valg[[#This Row],[Indenfor range]],IF(LineærRegression_Valg[[#This Row],[Intet overlap]],INDEX(DataTitel_liste,LineærRegression_Valg[[#This Row],[Uafhængig variabel ID]]),INDEX(DataTitel_liste,IF(LineærRegression_Valg[[#This Row],[Afhængig variabel ID]]=1,2,1))),$B$7)</f>
        <v>Eksempel 2 (interval)</v>
      </c>
      <c r="H64" s="171">
        <f>_xlfn.AGGREGATE(2,5,LineærRegression_Valg[[#This Row],[Tabel ID]])</f>
        <v>1</v>
      </c>
    </row>
    <row r="65" spans="1:8" x14ac:dyDescent="0.2">
      <c r="A65">
        <f>ROW(LineærRegression_Valg[[#This Row],[Tabel ID]])-ROW(LineærRegression_Valg[[#Headers],[Tabel ID]])</f>
        <v>55</v>
      </c>
      <c r="B65" s="171">
        <f>ROUNDDOWN((LineærRegression_Valg[[#This Row],[Tabel ID]]-1)/$B$5,0)+1</f>
        <v>14</v>
      </c>
      <c r="C65" s="171">
        <f t="shared" si="0"/>
        <v>3</v>
      </c>
      <c r="D65" s="171" t="b">
        <f>LineærRegression_Valg[[#This Row],[Afhængig variabel ID]]&lt;&gt;LineærRegression_Valg[[#This Row],[Uafhængig variabel ID]]</f>
        <v>1</v>
      </c>
      <c r="E65" t="b">
        <f>LineærRegression_Valg[[#This Row],[Afhængig variabel ID]]&lt;=$B$5</f>
        <v>0</v>
      </c>
      <c r="F65" t="str" cm="1">
        <f t="array" ref="F65">IF(LineærRegression_Valg[[#This Row],[Indenfor range]],INDEX(DataTitel_liste,LineærRegression_Valg[[#This Row],[Afhængig variabel ID]]),INDEX(DataTitel_liste,1))</f>
        <v>Eksempel 1 (interval)</v>
      </c>
      <c r="G65" s="171" t="str" cm="1">
        <f t="array" ref="G65">IF(LineærRegression_Valg[[#This Row],[Indenfor range]],IF(LineærRegression_Valg[[#This Row],[Intet overlap]],INDEX(DataTitel_liste,LineærRegression_Valg[[#This Row],[Uafhængig variabel ID]]),INDEX(DataTitel_liste,IF(LineærRegression_Valg[[#This Row],[Afhængig variabel ID]]=1,2,1))),$B$7)</f>
        <v>Eksempel 2 (interval)</v>
      </c>
      <c r="H65" s="171">
        <f>_xlfn.AGGREGATE(2,5,LineærRegression_Valg[[#This Row],[Tabel ID]])</f>
        <v>1</v>
      </c>
    </row>
    <row r="66" spans="1:8" x14ac:dyDescent="0.2">
      <c r="A66">
        <f>ROW(LineærRegression_Valg[[#This Row],[Tabel ID]])-ROW(LineærRegression_Valg[[#Headers],[Tabel ID]])</f>
        <v>56</v>
      </c>
      <c r="B66" s="171">
        <f>ROUNDDOWN((LineærRegression_Valg[[#This Row],[Tabel ID]]-1)/$B$5,0)+1</f>
        <v>14</v>
      </c>
      <c r="C66" s="171">
        <f t="shared" si="0"/>
        <v>4</v>
      </c>
      <c r="D66" s="171" t="b">
        <f>LineærRegression_Valg[[#This Row],[Afhængig variabel ID]]&lt;&gt;LineærRegression_Valg[[#This Row],[Uafhængig variabel ID]]</f>
        <v>1</v>
      </c>
      <c r="E66" t="b">
        <f>LineærRegression_Valg[[#This Row],[Afhængig variabel ID]]&lt;=$B$5</f>
        <v>0</v>
      </c>
      <c r="F66" t="str" cm="1">
        <f t="array" ref="F66">IF(LineærRegression_Valg[[#This Row],[Indenfor range]],INDEX(DataTitel_liste,LineærRegression_Valg[[#This Row],[Afhængig variabel ID]]),INDEX(DataTitel_liste,1))</f>
        <v>Eksempel 1 (interval)</v>
      </c>
      <c r="G66" s="171" t="str" cm="1">
        <f t="array" ref="G66">IF(LineærRegression_Valg[[#This Row],[Indenfor range]],IF(LineærRegression_Valg[[#This Row],[Intet overlap]],INDEX(DataTitel_liste,LineærRegression_Valg[[#This Row],[Uafhængig variabel ID]]),INDEX(DataTitel_liste,IF(LineærRegression_Valg[[#This Row],[Afhængig variabel ID]]=1,2,1))),$B$7)</f>
        <v>Eksempel 2 (interval)</v>
      </c>
      <c r="H66" s="171">
        <f>_xlfn.AGGREGATE(2,5,LineærRegression_Valg[[#This Row],[Tabel ID]])</f>
        <v>1</v>
      </c>
    </row>
    <row r="67" spans="1:8" x14ac:dyDescent="0.2">
      <c r="A67">
        <f>ROW(LineærRegression_Valg[[#This Row],[Tabel ID]])-ROW(LineærRegression_Valg[[#Headers],[Tabel ID]])</f>
        <v>57</v>
      </c>
      <c r="B67" s="171">
        <f>ROUNDDOWN((LineærRegression_Valg[[#This Row],[Tabel ID]]-1)/$B$5,0)+1</f>
        <v>15</v>
      </c>
      <c r="C67" s="171">
        <f t="shared" si="0"/>
        <v>1</v>
      </c>
      <c r="D67" s="171" t="b">
        <f>LineærRegression_Valg[[#This Row],[Afhængig variabel ID]]&lt;&gt;LineærRegression_Valg[[#This Row],[Uafhængig variabel ID]]</f>
        <v>1</v>
      </c>
      <c r="E67" t="b">
        <f>LineærRegression_Valg[[#This Row],[Afhængig variabel ID]]&lt;=$B$5</f>
        <v>0</v>
      </c>
      <c r="F67" t="str" cm="1">
        <f t="array" ref="F67">IF(LineærRegression_Valg[[#This Row],[Indenfor range]],INDEX(DataTitel_liste,LineærRegression_Valg[[#This Row],[Afhængig variabel ID]]),INDEX(DataTitel_liste,1))</f>
        <v>Eksempel 1 (interval)</v>
      </c>
      <c r="G67" s="171" t="str" cm="1">
        <f t="array" ref="G67">IF(LineærRegression_Valg[[#This Row],[Indenfor range]],IF(LineærRegression_Valg[[#This Row],[Intet overlap]],INDEX(DataTitel_liste,LineærRegression_Valg[[#This Row],[Uafhængig variabel ID]]),INDEX(DataTitel_liste,IF(LineærRegression_Valg[[#This Row],[Afhængig variabel ID]]=1,2,1))),$B$7)</f>
        <v>Eksempel 2 (interval)</v>
      </c>
      <c r="H67" s="171">
        <f>_xlfn.AGGREGATE(2,5,LineærRegression_Valg[[#This Row],[Tabel ID]])</f>
        <v>1</v>
      </c>
    </row>
    <row r="68" spans="1:8" x14ac:dyDescent="0.2">
      <c r="A68">
        <f>ROW(LineærRegression_Valg[[#This Row],[Tabel ID]])-ROW(LineærRegression_Valg[[#Headers],[Tabel ID]])</f>
        <v>58</v>
      </c>
      <c r="B68" s="171">
        <f>ROUNDDOWN((LineærRegression_Valg[[#This Row],[Tabel ID]]-1)/$B$5,0)+1</f>
        <v>15</v>
      </c>
      <c r="C68" s="171">
        <f t="shared" si="0"/>
        <v>2</v>
      </c>
      <c r="D68" s="171" t="b">
        <f>LineærRegression_Valg[[#This Row],[Afhængig variabel ID]]&lt;&gt;LineærRegression_Valg[[#This Row],[Uafhængig variabel ID]]</f>
        <v>1</v>
      </c>
      <c r="E68" t="b">
        <f>LineærRegression_Valg[[#This Row],[Afhængig variabel ID]]&lt;=$B$5</f>
        <v>0</v>
      </c>
      <c r="F68" t="str" cm="1">
        <f t="array" ref="F68">IF(LineærRegression_Valg[[#This Row],[Indenfor range]],INDEX(DataTitel_liste,LineærRegression_Valg[[#This Row],[Afhængig variabel ID]]),INDEX(DataTitel_liste,1))</f>
        <v>Eksempel 1 (interval)</v>
      </c>
      <c r="G68" s="171" t="str" cm="1">
        <f t="array" ref="G68">IF(LineærRegression_Valg[[#This Row],[Indenfor range]],IF(LineærRegression_Valg[[#This Row],[Intet overlap]],INDEX(DataTitel_liste,LineærRegression_Valg[[#This Row],[Uafhængig variabel ID]]),INDEX(DataTitel_liste,IF(LineærRegression_Valg[[#This Row],[Afhængig variabel ID]]=1,2,1))),$B$7)</f>
        <v>Eksempel 2 (interval)</v>
      </c>
      <c r="H68" s="171">
        <f>_xlfn.AGGREGATE(2,5,LineærRegression_Valg[[#This Row],[Tabel ID]])</f>
        <v>1</v>
      </c>
    </row>
    <row r="69" spans="1:8" x14ac:dyDescent="0.2">
      <c r="A69">
        <f>ROW(LineærRegression_Valg[[#This Row],[Tabel ID]])-ROW(LineærRegression_Valg[[#Headers],[Tabel ID]])</f>
        <v>59</v>
      </c>
      <c r="B69" s="171">
        <f>ROUNDDOWN((LineærRegression_Valg[[#This Row],[Tabel ID]]-1)/$B$5,0)+1</f>
        <v>15</v>
      </c>
      <c r="C69" s="171">
        <f t="shared" si="0"/>
        <v>3</v>
      </c>
      <c r="D69" s="171" t="b">
        <f>LineærRegression_Valg[[#This Row],[Afhængig variabel ID]]&lt;&gt;LineærRegression_Valg[[#This Row],[Uafhængig variabel ID]]</f>
        <v>1</v>
      </c>
      <c r="E69" t="b">
        <f>LineærRegression_Valg[[#This Row],[Afhængig variabel ID]]&lt;=$B$5</f>
        <v>0</v>
      </c>
      <c r="F69" t="str" cm="1">
        <f t="array" ref="F69">IF(LineærRegression_Valg[[#This Row],[Indenfor range]],INDEX(DataTitel_liste,LineærRegression_Valg[[#This Row],[Afhængig variabel ID]]),INDEX(DataTitel_liste,1))</f>
        <v>Eksempel 1 (interval)</v>
      </c>
      <c r="G69" s="171" t="str" cm="1">
        <f t="array" ref="G69">IF(LineærRegression_Valg[[#This Row],[Indenfor range]],IF(LineærRegression_Valg[[#This Row],[Intet overlap]],INDEX(DataTitel_liste,LineærRegression_Valg[[#This Row],[Uafhængig variabel ID]]),INDEX(DataTitel_liste,IF(LineærRegression_Valg[[#This Row],[Afhængig variabel ID]]=1,2,1))),$B$7)</f>
        <v>Eksempel 2 (interval)</v>
      </c>
      <c r="H69" s="171">
        <f>_xlfn.AGGREGATE(2,5,LineærRegression_Valg[[#This Row],[Tabel ID]])</f>
        <v>1</v>
      </c>
    </row>
    <row r="70" spans="1:8" x14ac:dyDescent="0.2">
      <c r="A70">
        <f>ROW(LineærRegression_Valg[[#This Row],[Tabel ID]])-ROW(LineærRegression_Valg[[#Headers],[Tabel ID]])</f>
        <v>60</v>
      </c>
      <c r="B70" s="171">
        <f>ROUNDDOWN((LineærRegression_Valg[[#This Row],[Tabel ID]]-1)/$B$5,0)+1</f>
        <v>15</v>
      </c>
      <c r="C70" s="171">
        <f t="shared" si="0"/>
        <v>4</v>
      </c>
      <c r="D70" s="171" t="b">
        <f>LineærRegression_Valg[[#This Row],[Afhængig variabel ID]]&lt;&gt;LineærRegression_Valg[[#This Row],[Uafhængig variabel ID]]</f>
        <v>1</v>
      </c>
      <c r="E70" t="b">
        <f>LineærRegression_Valg[[#This Row],[Afhængig variabel ID]]&lt;=$B$5</f>
        <v>0</v>
      </c>
      <c r="F70" t="str" cm="1">
        <f t="array" ref="F70">IF(LineærRegression_Valg[[#This Row],[Indenfor range]],INDEX(DataTitel_liste,LineærRegression_Valg[[#This Row],[Afhængig variabel ID]]),INDEX(DataTitel_liste,1))</f>
        <v>Eksempel 1 (interval)</v>
      </c>
      <c r="G70" s="171" t="str" cm="1">
        <f t="array" ref="G70">IF(LineærRegression_Valg[[#This Row],[Indenfor range]],IF(LineærRegression_Valg[[#This Row],[Intet overlap]],INDEX(DataTitel_liste,LineærRegression_Valg[[#This Row],[Uafhængig variabel ID]]),INDEX(DataTitel_liste,IF(LineærRegression_Valg[[#This Row],[Afhængig variabel ID]]=1,2,1))),$B$7)</f>
        <v>Eksempel 2 (interval)</v>
      </c>
      <c r="H70" s="171">
        <f>_xlfn.AGGREGATE(2,5,LineærRegression_Valg[[#This Row],[Tabel ID]])</f>
        <v>1</v>
      </c>
    </row>
    <row r="71" spans="1:8" x14ac:dyDescent="0.2">
      <c r="A71">
        <f>ROW(LineærRegression_Valg[[#This Row],[Tabel ID]])-ROW(LineærRegression_Valg[[#Headers],[Tabel ID]])</f>
        <v>61</v>
      </c>
      <c r="B71" s="171">
        <f>ROUNDDOWN((LineærRegression_Valg[[#This Row],[Tabel ID]]-1)/$B$5,0)+1</f>
        <v>16</v>
      </c>
      <c r="C71" s="171">
        <f t="shared" si="0"/>
        <v>1</v>
      </c>
      <c r="D71" s="171" t="b">
        <f>LineærRegression_Valg[[#This Row],[Afhængig variabel ID]]&lt;&gt;LineærRegression_Valg[[#This Row],[Uafhængig variabel ID]]</f>
        <v>1</v>
      </c>
      <c r="E71" t="b">
        <f>LineærRegression_Valg[[#This Row],[Afhængig variabel ID]]&lt;=$B$5</f>
        <v>0</v>
      </c>
      <c r="F71" t="str" cm="1">
        <f t="array" ref="F71">IF(LineærRegression_Valg[[#This Row],[Indenfor range]],INDEX(DataTitel_liste,LineærRegression_Valg[[#This Row],[Afhængig variabel ID]]),INDEX(DataTitel_liste,1))</f>
        <v>Eksempel 1 (interval)</v>
      </c>
      <c r="G71" s="171" t="str" cm="1">
        <f t="array" ref="G71">IF(LineærRegression_Valg[[#This Row],[Indenfor range]],IF(LineærRegression_Valg[[#This Row],[Intet overlap]],INDEX(DataTitel_liste,LineærRegression_Valg[[#This Row],[Uafhængig variabel ID]]),INDEX(DataTitel_liste,IF(LineærRegression_Valg[[#This Row],[Afhængig variabel ID]]=1,2,1))),$B$7)</f>
        <v>Eksempel 2 (interval)</v>
      </c>
      <c r="H71" s="171">
        <f>_xlfn.AGGREGATE(2,5,LineærRegression_Valg[[#This Row],[Tabel ID]])</f>
        <v>1</v>
      </c>
    </row>
    <row r="72" spans="1:8" x14ac:dyDescent="0.2">
      <c r="A72">
        <f>ROW(LineærRegression_Valg[[#This Row],[Tabel ID]])-ROW(LineærRegression_Valg[[#Headers],[Tabel ID]])</f>
        <v>62</v>
      </c>
      <c r="B72" s="171">
        <f>ROUNDDOWN((LineærRegression_Valg[[#This Row],[Tabel ID]]-1)/$B$5,0)+1</f>
        <v>16</v>
      </c>
      <c r="C72" s="171">
        <f t="shared" si="0"/>
        <v>2</v>
      </c>
      <c r="D72" s="171" t="b">
        <f>LineærRegression_Valg[[#This Row],[Afhængig variabel ID]]&lt;&gt;LineærRegression_Valg[[#This Row],[Uafhængig variabel ID]]</f>
        <v>1</v>
      </c>
      <c r="E72" t="b">
        <f>LineærRegression_Valg[[#This Row],[Afhængig variabel ID]]&lt;=$B$5</f>
        <v>0</v>
      </c>
      <c r="F72" t="str" cm="1">
        <f t="array" ref="F72">IF(LineærRegression_Valg[[#This Row],[Indenfor range]],INDEX(DataTitel_liste,LineærRegression_Valg[[#This Row],[Afhængig variabel ID]]),INDEX(DataTitel_liste,1))</f>
        <v>Eksempel 1 (interval)</v>
      </c>
      <c r="G72" s="171" t="str" cm="1">
        <f t="array" ref="G72">IF(LineærRegression_Valg[[#This Row],[Indenfor range]],IF(LineærRegression_Valg[[#This Row],[Intet overlap]],INDEX(DataTitel_liste,LineærRegression_Valg[[#This Row],[Uafhængig variabel ID]]),INDEX(DataTitel_liste,IF(LineærRegression_Valg[[#This Row],[Afhængig variabel ID]]=1,2,1))),$B$7)</f>
        <v>Eksempel 2 (interval)</v>
      </c>
      <c r="H72" s="171">
        <f>_xlfn.AGGREGATE(2,5,LineærRegression_Valg[[#This Row],[Tabel ID]])</f>
        <v>1</v>
      </c>
    </row>
    <row r="73" spans="1:8" x14ac:dyDescent="0.2">
      <c r="A73">
        <f>ROW(LineærRegression_Valg[[#This Row],[Tabel ID]])-ROW(LineærRegression_Valg[[#Headers],[Tabel ID]])</f>
        <v>63</v>
      </c>
      <c r="B73" s="171">
        <f>ROUNDDOWN((LineærRegression_Valg[[#This Row],[Tabel ID]]-1)/$B$5,0)+1</f>
        <v>16</v>
      </c>
      <c r="C73" s="171">
        <f t="shared" si="0"/>
        <v>3</v>
      </c>
      <c r="D73" s="171" t="b">
        <f>LineærRegression_Valg[[#This Row],[Afhængig variabel ID]]&lt;&gt;LineærRegression_Valg[[#This Row],[Uafhængig variabel ID]]</f>
        <v>1</v>
      </c>
      <c r="E73" t="b">
        <f>LineærRegression_Valg[[#This Row],[Afhængig variabel ID]]&lt;=$B$5</f>
        <v>0</v>
      </c>
      <c r="F73" t="str" cm="1">
        <f t="array" ref="F73">IF(LineærRegression_Valg[[#This Row],[Indenfor range]],INDEX(DataTitel_liste,LineærRegression_Valg[[#This Row],[Afhængig variabel ID]]),INDEX(DataTitel_liste,1))</f>
        <v>Eksempel 1 (interval)</v>
      </c>
      <c r="G73" s="171" t="str" cm="1">
        <f t="array" ref="G73">IF(LineærRegression_Valg[[#This Row],[Indenfor range]],IF(LineærRegression_Valg[[#This Row],[Intet overlap]],INDEX(DataTitel_liste,LineærRegression_Valg[[#This Row],[Uafhængig variabel ID]]),INDEX(DataTitel_liste,IF(LineærRegression_Valg[[#This Row],[Afhængig variabel ID]]=1,2,1))),$B$7)</f>
        <v>Eksempel 2 (interval)</v>
      </c>
      <c r="H73" s="171">
        <f>_xlfn.AGGREGATE(2,5,LineærRegression_Valg[[#This Row],[Tabel ID]])</f>
        <v>1</v>
      </c>
    </row>
    <row r="74" spans="1:8" x14ac:dyDescent="0.2">
      <c r="A74">
        <f>ROW(LineærRegression_Valg[[#This Row],[Tabel ID]])-ROW(LineærRegression_Valg[[#Headers],[Tabel ID]])</f>
        <v>64</v>
      </c>
      <c r="B74" s="171">
        <f>ROUNDDOWN((LineærRegression_Valg[[#This Row],[Tabel ID]]-1)/$B$5,0)+1</f>
        <v>16</v>
      </c>
      <c r="C74" s="171">
        <f t="shared" si="0"/>
        <v>4</v>
      </c>
      <c r="D74" s="171" t="b">
        <f>LineærRegression_Valg[[#This Row],[Afhængig variabel ID]]&lt;&gt;LineærRegression_Valg[[#This Row],[Uafhængig variabel ID]]</f>
        <v>1</v>
      </c>
      <c r="E74" t="b">
        <f>LineærRegression_Valg[[#This Row],[Afhængig variabel ID]]&lt;=$B$5</f>
        <v>0</v>
      </c>
      <c r="F74" t="str" cm="1">
        <f t="array" ref="F74">IF(LineærRegression_Valg[[#This Row],[Indenfor range]],INDEX(DataTitel_liste,LineærRegression_Valg[[#This Row],[Afhængig variabel ID]]),INDEX(DataTitel_liste,1))</f>
        <v>Eksempel 1 (interval)</v>
      </c>
      <c r="G74" s="171" t="str" cm="1">
        <f t="array" ref="G74">IF(LineærRegression_Valg[[#This Row],[Indenfor range]],IF(LineærRegression_Valg[[#This Row],[Intet overlap]],INDEX(DataTitel_liste,LineærRegression_Valg[[#This Row],[Uafhængig variabel ID]]),INDEX(DataTitel_liste,IF(LineærRegression_Valg[[#This Row],[Afhængig variabel ID]]=1,2,1))),$B$7)</f>
        <v>Eksempel 2 (interval)</v>
      </c>
      <c r="H74" s="171">
        <f>_xlfn.AGGREGATE(2,5,LineærRegression_Valg[[#This Row],[Tabel ID]])</f>
        <v>1</v>
      </c>
    </row>
    <row r="75" spans="1:8" x14ac:dyDescent="0.2">
      <c r="A75">
        <f>ROW(LineærRegression_Valg[[#This Row],[Tabel ID]])-ROW(LineærRegression_Valg[[#Headers],[Tabel ID]])</f>
        <v>65</v>
      </c>
      <c r="B75" s="171">
        <f>ROUNDDOWN((LineærRegression_Valg[[#This Row],[Tabel ID]]-1)/$B$5,0)+1</f>
        <v>17</v>
      </c>
      <c r="C75" s="171">
        <f t="shared" ref="C75:C138" si="1">MOD(A75-1,$B$5)+1</f>
        <v>1</v>
      </c>
      <c r="D75" s="171" t="b">
        <f>LineærRegression_Valg[[#This Row],[Afhængig variabel ID]]&lt;&gt;LineærRegression_Valg[[#This Row],[Uafhængig variabel ID]]</f>
        <v>1</v>
      </c>
      <c r="E75" t="b">
        <f>LineærRegression_Valg[[#This Row],[Afhængig variabel ID]]&lt;=$B$5</f>
        <v>0</v>
      </c>
      <c r="F75" t="str" cm="1">
        <f t="array" ref="F75">IF(LineærRegression_Valg[[#This Row],[Indenfor range]],INDEX(DataTitel_liste,LineærRegression_Valg[[#This Row],[Afhængig variabel ID]]),INDEX(DataTitel_liste,1))</f>
        <v>Eksempel 1 (interval)</v>
      </c>
      <c r="G75" s="171" t="str" cm="1">
        <f t="array" ref="G75">IF(LineærRegression_Valg[[#This Row],[Indenfor range]],IF(LineærRegression_Valg[[#This Row],[Intet overlap]],INDEX(DataTitel_liste,LineærRegression_Valg[[#This Row],[Uafhængig variabel ID]]),INDEX(DataTitel_liste,IF(LineærRegression_Valg[[#This Row],[Afhængig variabel ID]]=1,2,1))),$B$7)</f>
        <v>Eksempel 2 (interval)</v>
      </c>
      <c r="H75" s="171">
        <f>_xlfn.AGGREGATE(2,5,LineærRegression_Valg[[#This Row],[Tabel ID]])</f>
        <v>1</v>
      </c>
    </row>
    <row r="76" spans="1:8" x14ac:dyDescent="0.2">
      <c r="A76">
        <f>ROW(LineærRegression_Valg[[#This Row],[Tabel ID]])-ROW(LineærRegression_Valg[[#Headers],[Tabel ID]])</f>
        <v>66</v>
      </c>
      <c r="B76" s="171">
        <f>ROUNDDOWN((LineærRegression_Valg[[#This Row],[Tabel ID]]-1)/$B$5,0)+1</f>
        <v>17</v>
      </c>
      <c r="C76" s="171">
        <f t="shared" si="1"/>
        <v>2</v>
      </c>
      <c r="D76" s="171" t="b">
        <f>LineærRegression_Valg[[#This Row],[Afhængig variabel ID]]&lt;&gt;LineærRegression_Valg[[#This Row],[Uafhængig variabel ID]]</f>
        <v>1</v>
      </c>
      <c r="E76" t="b">
        <f>LineærRegression_Valg[[#This Row],[Afhængig variabel ID]]&lt;=$B$5</f>
        <v>0</v>
      </c>
      <c r="F76" t="str" cm="1">
        <f t="array" ref="F76">IF(LineærRegression_Valg[[#This Row],[Indenfor range]],INDEX(DataTitel_liste,LineærRegression_Valg[[#This Row],[Afhængig variabel ID]]),INDEX(DataTitel_liste,1))</f>
        <v>Eksempel 1 (interval)</v>
      </c>
      <c r="G76" s="171" t="str" cm="1">
        <f t="array" ref="G76">IF(LineærRegression_Valg[[#This Row],[Indenfor range]],IF(LineærRegression_Valg[[#This Row],[Intet overlap]],INDEX(DataTitel_liste,LineærRegression_Valg[[#This Row],[Uafhængig variabel ID]]),INDEX(DataTitel_liste,IF(LineærRegression_Valg[[#This Row],[Afhængig variabel ID]]=1,2,1))),$B$7)</f>
        <v>Eksempel 2 (interval)</v>
      </c>
      <c r="H76" s="171">
        <f>_xlfn.AGGREGATE(2,5,LineærRegression_Valg[[#This Row],[Tabel ID]])</f>
        <v>1</v>
      </c>
    </row>
    <row r="77" spans="1:8" x14ac:dyDescent="0.2">
      <c r="A77">
        <f>ROW(LineærRegression_Valg[[#This Row],[Tabel ID]])-ROW(LineærRegression_Valg[[#Headers],[Tabel ID]])</f>
        <v>67</v>
      </c>
      <c r="B77" s="171">
        <f>ROUNDDOWN((LineærRegression_Valg[[#This Row],[Tabel ID]]-1)/$B$5,0)+1</f>
        <v>17</v>
      </c>
      <c r="C77" s="171">
        <f t="shared" si="1"/>
        <v>3</v>
      </c>
      <c r="D77" s="171" t="b">
        <f>LineærRegression_Valg[[#This Row],[Afhængig variabel ID]]&lt;&gt;LineærRegression_Valg[[#This Row],[Uafhængig variabel ID]]</f>
        <v>1</v>
      </c>
      <c r="E77" t="b">
        <f>LineærRegression_Valg[[#This Row],[Afhængig variabel ID]]&lt;=$B$5</f>
        <v>0</v>
      </c>
      <c r="F77" t="str" cm="1">
        <f t="array" ref="F77">IF(LineærRegression_Valg[[#This Row],[Indenfor range]],INDEX(DataTitel_liste,LineærRegression_Valg[[#This Row],[Afhængig variabel ID]]),INDEX(DataTitel_liste,1))</f>
        <v>Eksempel 1 (interval)</v>
      </c>
      <c r="G77" s="171" t="str" cm="1">
        <f t="array" ref="G77">IF(LineærRegression_Valg[[#This Row],[Indenfor range]],IF(LineærRegression_Valg[[#This Row],[Intet overlap]],INDEX(DataTitel_liste,LineærRegression_Valg[[#This Row],[Uafhængig variabel ID]]),INDEX(DataTitel_liste,IF(LineærRegression_Valg[[#This Row],[Afhængig variabel ID]]=1,2,1))),$B$7)</f>
        <v>Eksempel 2 (interval)</v>
      </c>
      <c r="H77" s="171">
        <f>_xlfn.AGGREGATE(2,5,LineærRegression_Valg[[#This Row],[Tabel ID]])</f>
        <v>1</v>
      </c>
    </row>
    <row r="78" spans="1:8" x14ac:dyDescent="0.2">
      <c r="A78">
        <f>ROW(LineærRegression_Valg[[#This Row],[Tabel ID]])-ROW(LineærRegression_Valg[[#Headers],[Tabel ID]])</f>
        <v>68</v>
      </c>
      <c r="B78" s="171">
        <f>ROUNDDOWN((LineærRegression_Valg[[#This Row],[Tabel ID]]-1)/$B$5,0)+1</f>
        <v>17</v>
      </c>
      <c r="C78" s="171">
        <f t="shared" si="1"/>
        <v>4</v>
      </c>
      <c r="D78" s="171" t="b">
        <f>LineærRegression_Valg[[#This Row],[Afhængig variabel ID]]&lt;&gt;LineærRegression_Valg[[#This Row],[Uafhængig variabel ID]]</f>
        <v>1</v>
      </c>
      <c r="E78" t="b">
        <f>LineærRegression_Valg[[#This Row],[Afhængig variabel ID]]&lt;=$B$5</f>
        <v>0</v>
      </c>
      <c r="F78" t="str" cm="1">
        <f t="array" ref="F78">IF(LineærRegression_Valg[[#This Row],[Indenfor range]],INDEX(DataTitel_liste,LineærRegression_Valg[[#This Row],[Afhængig variabel ID]]),INDEX(DataTitel_liste,1))</f>
        <v>Eksempel 1 (interval)</v>
      </c>
      <c r="G78" s="171" t="str" cm="1">
        <f t="array" ref="G78">IF(LineærRegression_Valg[[#This Row],[Indenfor range]],IF(LineærRegression_Valg[[#This Row],[Intet overlap]],INDEX(DataTitel_liste,LineærRegression_Valg[[#This Row],[Uafhængig variabel ID]]),INDEX(DataTitel_liste,IF(LineærRegression_Valg[[#This Row],[Afhængig variabel ID]]=1,2,1))),$B$7)</f>
        <v>Eksempel 2 (interval)</v>
      </c>
      <c r="H78" s="171">
        <f>_xlfn.AGGREGATE(2,5,LineærRegression_Valg[[#This Row],[Tabel ID]])</f>
        <v>1</v>
      </c>
    </row>
    <row r="79" spans="1:8" x14ac:dyDescent="0.2">
      <c r="A79">
        <f>ROW(LineærRegression_Valg[[#This Row],[Tabel ID]])-ROW(LineærRegression_Valg[[#Headers],[Tabel ID]])</f>
        <v>69</v>
      </c>
      <c r="B79" s="171">
        <f>ROUNDDOWN((LineærRegression_Valg[[#This Row],[Tabel ID]]-1)/$B$5,0)+1</f>
        <v>18</v>
      </c>
      <c r="C79" s="171">
        <f t="shared" si="1"/>
        <v>1</v>
      </c>
      <c r="D79" s="171" t="b">
        <f>LineærRegression_Valg[[#This Row],[Afhængig variabel ID]]&lt;&gt;LineærRegression_Valg[[#This Row],[Uafhængig variabel ID]]</f>
        <v>1</v>
      </c>
      <c r="E79" t="b">
        <f>LineærRegression_Valg[[#This Row],[Afhængig variabel ID]]&lt;=$B$5</f>
        <v>0</v>
      </c>
      <c r="F79" t="str" cm="1">
        <f t="array" ref="F79">IF(LineærRegression_Valg[[#This Row],[Indenfor range]],INDEX(DataTitel_liste,LineærRegression_Valg[[#This Row],[Afhængig variabel ID]]),INDEX(DataTitel_liste,1))</f>
        <v>Eksempel 1 (interval)</v>
      </c>
      <c r="G79" s="171" t="str" cm="1">
        <f t="array" ref="G79">IF(LineærRegression_Valg[[#This Row],[Indenfor range]],IF(LineærRegression_Valg[[#This Row],[Intet overlap]],INDEX(DataTitel_liste,LineærRegression_Valg[[#This Row],[Uafhængig variabel ID]]),INDEX(DataTitel_liste,IF(LineærRegression_Valg[[#This Row],[Afhængig variabel ID]]=1,2,1))),$B$7)</f>
        <v>Eksempel 2 (interval)</v>
      </c>
      <c r="H79" s="171">
        <f>_xlfn.AGGREGATE(2,5,LineærRegression_Valg[[#This Row],[Tabel ID]])</f>
        <v>1</v>
      </c>
    </row>
    <row r="80" spans="1:8" x14ac:dyDescent="0.2">
      <c r="A80">
        <f>ROW(LineærRegression_Valg[[#This Row],[Tabel ID]])-ROW(LineærRegression_Valg[[#Headers],[Tabel ID]])</f>
        <v>70</v>
      </c>
      <c r="B80" s="171">
        <f>ROUNDDOWN((LineærRegression_Valg[[#This Row],[Tabel ID]]-1)/$B$5,0)+1</f>
        <v>18</v>
      </c>
      <c r="C80" s="171">
        <f t="shared" si="1"/>
        <v>2</v>
      </c>
      <c r="D80" s="171" t="b">
        <f>LineærRegression_Valg[[#This Row],[Afhængig variabel ID]]&lt;&gt;LineærRegression_Valg[[#This Row],[Uafhængig variabel ID]]</f>
        <v>1</v>
      </c>
      <c r="E80" t="b">
        <f>LineærRegression_Valg[[#This Row],[Afhængig variabel ID]]&lt;=$B$5</f>
        <v>0</v>
      </c>
      <c r="F80" t="str" cm="1">
        <f t="array" ref="F80">IF(LineærRegression_Valg[[#This Row],[Indenfor range]],INDEX(DataTitel_liste,LineærRegression_Valg[[#This Row],[Afhængig variabel ID]]),INDEX(DataTitel_liste,1))</f>
        <v>Eksempel 1 (interval)</v>
      </c>
      <c r="G80" s="171" t="str" cm="1">
        <f t="array" ref="G80">IF(LineærRegression_Valg[[#This Row],[Indenfor range]],IF(LineærRegression_Valg[[#This Row],[Intet overlap]],INDEX(DataTitel_liste,LineærRegression_Valg[[#This Row],[Uafhængig variabel ID]]),INDEX(DataTitel_liste,IF(LineærRegression_Valg[[#This Row],[Afhængig variabel ID]]=1,2,1))),$B$7)</f>
        <v>Eksempel 2 (interval)</v>
      </c>
      <c r="H80" s="171">
        <f>_xlfn.AGGREGATE(2,5,LineærRegression_Valg[[#This Row],[Tabel ID]])</f>
        <v>1</v>
      </c>
    </row>
    <row r="81" spans="1:8" x14ac:dyDescent="0.2">
      <c r="A81">
        <f>ROW(LineærRegression_Valg[[#This Row],[Tabel ID]])-ROW(LineærRegression_Valg[[#Headers],[Tabel ID]])</f>
        <v>71</v>
      </c>
      <c r="B81" s="171">
        <f>ROUNDDOWN((LineærRegression_Valg[[#This Row],[Tabel ID]]-1)/$B$5,0)+1</f>
        <v>18</v>
      </c>
      <c r="C81" s="171">
        <f t="shared" si="1"/>
        <v>3</v>
      </c>
      <c r="D81" s="171" t="b">
        <f>LineærRegression_Valg[[#This Row],[Afhængig variabel ID]]&lt;&gt;LineærRegression_Valg[[#This Row],[Uafhængig variabel ID]]</f>
        <v>1</v>
      </c>
      <c r="E81" t="b">
        <f>LineærRegression_Valg[[#This Row],[Afhængig variabel ID]]&lt;=$B$5</f>
        <v>0</v>
      </c>
      <c r="F81" t="str" cm="1">
        <f t="array" ref="F81">IF(LineærRegression_Valg[[#This Row],[Indenfor range]],INDEX(DataTitel_liste,LineærRegression_Valg[[#This Row],[Afhængig variabel ID]]),INDEX(DataTitel_liste,1))</f>
        <v>Eksempel 1 (interval)</v>
      </c>
      <c r="G81" s="171" t="str" cm="1">
        <f t="array" ref="G81">IF(LineærRegression_Valg[[#This Row],[Indenfor range]],IF(LineærRegression_Valg[[#This Row],[Intet overlap]],INDEX(DataTitel_liste,LineærRegression_Valg[[#This Row],[Uafhængig variabel ID]]),INDEX(DataTitel_liste,IF(LineærRegression_Valg[[#This Row],[Afhængig variabel ID]]=1,2,1))),$B$7)</f>
        <v>Eksempel 2 (interval)</v>
      </c>
      <c r="H81" s="171">
        <f>_xlfn.AGGREGATE(2,5,LineærRegression_Valg[[#This Row],[Tabel ID]])</f>
        <v>1</v>
      </c>
    </row>
    <row r="82" spans="1:8" x14ac:dyDescent="0.2">
      <c r="A82">
        <f>ROW(LineærRegression_Valg[[#This Row],[Tabel ID]])-ROW(LineærRegression_Valg[[#Headers],[Tabel ID]])</f>
        <v>72</v>
      </c>
      <c r="B82" s="171">
        <f>ROUNDDOWN((LineærRegression_Valg[[#This Row],[Tabel ID]]-1)/$B$5,0)+1</f>
        <v>18</v>
      </c>
      <c r="C82" s="171">
        <f t="shared" si="1"/>
        <v>4</v>
      </c>
      <c r="D82" s="171" t="b">
        <f>LineærRegression_Valg[[#This Row],[Afhængig variabel ID]]&lt;&gt;LineærRegression_Valg[[#This Row],[Uafhængig variabel ID]]</f>
        <v>1</v>
      </c>
      <c r="E82" t="b">
        <f>LineærRegression_Valg[[#This Row],[Afhængig variabel ID]]&lt;=$B$5</f>
        <v>0</v>
      </c>
      <c r="F82" t="str" cm="1">
        <f t="array" ref="F82">IF(LineærRegression_Valg[[#This Row],[Indenfor range]],INDEX(DataTitel_liste,LineærRegression_Valg[[#This Row],[Afhængig variabel ID]]),INDEX(DataTitel_liste,1))</f>
        <v>Eksempel 1 (interval)</v>
      </c>
      <c r="G82" s="171" t="str" cm="1">
        <f t="array" ref="G82">IF(LineærRegression_Valg[[#This Row],[Indenfor range]],IF(LineærRegression_Valg[[#This Row],[Intet overlap]],INDEX(DataTitel_liste,LineærRegression_Valg[[#This Row],[Uafhængig variabel ID]]),INDEX(DataTitel_liste,IF(LineærRegression_Valg[[#This Row],[Afhængig variabel ID]]=1,2,1))),$B$7)</f>
        <v>Eksempel 2 (interval)</v>
      </c>
      <c r="H82" s="171">
        <f>_xlfn.AGGREGATE(2,5,LineærRegression_Valg[[#This Row],[Tabel ID]])</f>
        <v>1</v>
      </c>
    </row>
    <row r="83" spans="1:8" x14ac:dyDescent="0.2">
      <c r="A83">
        <f>ROW(LineærRegression_Valg[[#This Row],[Tabel ID]])-ROW(LineærRegression_Valg[[#Headers],[Tabel ID]])</f>
        <v>73</v>
      </c>
      <c r="B83" s="171">
        <f>ROUNDDOWN((LineærRegression_Valg[[#This Row],[Tabel ID]]-1)/$B$5,0)+1</f>
        <v>19</v>
      </c>
      <c r="C83" s="171">
        <f t="shared" si="1"/>
        <v>1</v>
      </c>
      <c r="D83" s="171" t="b">
        <f>LineærRegression_Valg[[#This Row],[Afhængig variabel ID]]&lt;&gt;LineærRegression_Valg[[#This Row],[Uafhængig variabel ID]]</f>
        <v>1</v>
      </c>
      <c r="E83" t="b">
        <f>LineærRegression_Valg[[#This Row],[Afhængig variabel ID]]&lt;=$B$5</f>
        <v>0</v>
      </c>
      <c r="F83" t="str" cm="1">
        <f t="array" ref="F83">IF(LineærRegression_Valg[[#This Row],[Indenfor range]],INDEX(DataTitel_liste,LineærRegression_Valg[[#This Row],[Afhængig variabel ID]]),INDEX(DataTitel_liste,1))</f>
        <v>Eksempel 1 (interval)</v>
      </c>
      <c r="G83" s="171" t="str" cm="1">
        <f t="array" ref="G83">IF(LineærRegression_Valg[[#This Row],[Indenfor range]],IF(LineærRegression_Valg[[#This Row],[Intet overlap]],INDEX(DataTitel_liste,LineærRegression_Valg[[#This Row],[Uafhængig variabel ID]]),INDEX(DataTitel_liste,IF(LineærRegression_Valg[[#This Row],[Afhængig variabel ID]]=1,2,1))),$B$7)</f>
        <v>Eksempel 2 (interval)</v>
      </c>
      <c r="H83" s="171">
        <f>_xlfn.AGGREGATE(2,5,LineærRegression_Valg[[#This Row],[Tabel ID]])</f>
        <v>1</v>
      </c>
    </row>
    <row r="84" spans="1:8" x14ac:dyDescent="0.2">
      <c r="A84">
        <f>ROW(LineærRegression_Valg[[#This Row],[Tabel ID]])-ROW(LineærRegression_Valg[[#Headers],[Tabel ID]])</f>
        <v>74</v>
      </c>
      <c r="B84" s="171">
        <f>ROUNDDOWN((LineærRegression_Valg[[#This Row],[Tabel ID]]-1)/$B$5,0)+1</f>
        <v>19</v>
      </c>
      <c r="C84" s="171">
        <f t="shared" si="1"/>
        <v>2</v>
      </c>
      <c r="D84" s="171" t="b">
        <f>LineærRegression_Valg[[#This Row],[Afhængig variabel ID]]&lt;&gt;LineærRegression_Valg[[#This Row],[Uafhængig variabel ID]]</f>
        <v>1</v>
      </c>
      <c r="E84" t="b">
        <f>LineærRegression_Valg[[#This Row],[Afhængig variabel ID]]&lt;=$B$5</f>
        <v>0</v>
      </c>
      <c r="F84" t="str" cm="1">
        <f t="array" ref="F84">IF(LineærRegression_Valg[[#This Row],[Indenfor range]],INDEX(DataTitel_liste,LineærRegression_Valg[[#This Row],[Afhængig variabel ID]]),INDEX(DataTitel_liste,1))</f>
        <v>Eksempel 1 (interval)</v>
      </c>
      <c r="G84" s="171" t="str" cm="1">
        <f t="array" ref="G84">IF(LineærRegression_Valg[[#This Row],[Indenfor range]],IF(LineærRegression_Valg[[#This Row],[Intet overlap]],INDEX(DataTitel_liste,LineærRegression_Valg[[#This Row],[Uafhængig variabel ID]]),INDEX(DataTitel_liste,IF(LineærRegression_Valg[[#This Row],[Afhængig variabel ID]]=1,2,1))),$B$7)</f>
        <v>Eksempel 2 (interval)</v>
      </c>
      <c r="H84" s="171">
        <f>_xlfn.AGGREGATE(2,5,LineærRegression_Valg[[#This Row],[Tabel ID]])</f>
        <v>1</v>
      </c>
    </row>
    <row r="85" spans="1:8" x14ac:dyDescent="0.2">
      <c r="A85">
        <f>ROW(LineærRegression_Valg[[#This Row],[Tabel ID]])-ROW(LineærRegression_Valg[[#Headers],[Tabel ID]])</f>
        <v>75</v>
      </c>
      <c r="B85" s="171">
        <f>ROUNDDOWN((LineærRegression_Valg[[#This Row],[Tabel ID]]-1)/$B$5,0)+1</f>
        <v>19</v>
      </c>
      <c r="C85" s="171">
        <f t="shared" si="1"/>
        <v>3</v>
      </c>
      <c r="D85" s="171" t="b">
        <f>LineærRegression_Valg[[#This Row],[Afhængig variabel ID]]&lt;&gt;LineærRegression_Valg[[#This Row],[Uafhængig variabel ID]]</f>
        <v>1</v>
      </c>
      <c r="E85" t="b">
        <f>LineærRegression_Valg[[#This Row],[Afhængig variabel ID]]&lt;=$B$5</f>
        <v>0</v>
      </c>
      <c r="F85" t="str" cm="1">
        <f t="array" ref="F85">IF(LineærRegression_Valg[[#This Row],[Indenfor range]],INDEX(DataTitel_liste,LineærRegression_Valg[[#This Row],[Afhængig variabel ID]]),INDEX(DataTitel_liste,1))</f>
        <v>Eksempel 1 (interval)</v>
      </c>
      <c r="G85" s="171" t="str" cm="1">
        <f t="array" ref="G85">IF(LineærRegression_Valg[[#This Row],[Indenfor range]],IF(LineærRegression_Valg[[#This Row],[Intet overlap]],INDEX(DataTitel_liste,LineærRegression_Valg[[#This Row],[Uafhængig variabel ID]]),INDEX(DataTitel_liste,IF(LineærRegression_Valg[[#This Row],[Afhængig variabel ID]]=1,2,1))),$B$7)</f>
        <v>Eksempel 2 (interval)</v>
      </c>
      <c r="H85" s="171">
        <f>_xlfn.AGGREGATE(2,5,LineærRegression_Valg[[#This Row],[Tabel ID]])</f>
        <v>1</v>
      </c>
    </row>
    <row r="86" spans="1:8" x14ac:dyDescent="0.2">
      <c r="A86">
        <f>ROW(LineærRegression_Valg[[#This Row],[Tabel ID]])-ROW(LineærRegression_Valg[[#Headers],[Tabel ID]])</f>
        <v>76</v>
      </c>
      <c r="B86" s="171">
        <f>ROUNDDOWN((LineærRegression_Valg[[#This Row],[Tabel ID]]-1)/$B$5,0)+1</f>
        <v>19</v>
      </c>
      <c r="C86" s="171">
        <f t="shared" si="1"/>
        <v>4</v>
      </c>
      <c r="D86" s="171" t="b">
        <f>LineærRegression_Valg[[#This Row],[Afhængig variabel ID]]&lt;&gt;LineærRegression_Valg[[#This Row],[Uafhængig variabel ID]]</f>
        <v>1</v>
      </c>
      <c r="E86" t="b">
        <f>LineærRegression_Valg[[#This Row],[Afhængig variabel ID]]&lt;=$B$5</f>
        <v>0</v>
      </c>
      <c r="F86" t="str" cm="1">
        <f t="array" ref="F86">IF(LineærRegression_Valg[[#This Row],[Indenfor range]],INDEX(DataTitel_liste,LineærRegression_Valg[[#This Row],[Afhængig variabel ID]]),INDEX(DataTitel_liste,1))</f>
        <v>Eksempel 1 (interval)</v>
      </c>
      <c r="G86" s="171" t="str" cm="1">
        <f t="array" ref="G86">IF(LineærRegression_Valg[[#This Row],[Indenfor range]],IF(LineærRegression_Valg[[#This Row],[Intet overlap]],INDEX(DataTitel_liste,LineærRegression_Valg[[#This Row],[Uafhængig variabel ID]]),INDEX(DataTitel_liste,IF(LineærRegression_Valg[[#This Row],[Afhængig variabel ID]]=1,2,1))),$B$7)</f>
        <v>Eksempel 2 (interval)</v>
      </c>
      <c r="H86" s="171">
        <f>_xlfn.AGGREGATE(2,5,LineærRegression_Valg[[#This Row],[Tabel ID]])</f>
        <v>1</v>
      </c>
    </row>
    <row r="87" spans="1:8" x14ac:dyDescent="0.2">
      <c r="A87">
        <f>ROW(LineærRegression_Valg[[#This Row],[Tabel ID]])-ROW(LineærRegression_Valg[[#Headers],[Tabel ID]])</f>
        <v>77</v>
      </c>
      <c r="B87" s="171">
        <f>ROUNDDOWN((LineærRegression_Valg[[#This Row],[Tabel ID]]-1)/$B$5,0)+1</f>
        <v>20</v>
      </c>
      <c r="C87" s="171">
        <f t="shared" si="1"/>
        <v>1</v>
      </c>
      <c r="D87" s="171" t="b">
        <f>LineærRegression_Valg[[#This Row],[Afhængig variabel ID]]&lt;&gt;LineærRegression_Valg[[#This Row],[Uafhængig variabel ID]]</f>
        <v>1</v>
      </c>
      <c r="E87" t="b">
        <f>LineærRegression_Valg[[#This Row],[Afhængig variabel ID]]&lt;=$B$5</f>
        <v>0</v>
      </c>
      <c r="F87" t="str" cm="1">
        <f t="array" ref="F87">IF(LineærRegression_Valg[[#This Row],[Indenfor range]],INDEX(DataTitel_liste,LineærRegression_Valg[[#This Row],[Afhængig variabel ID]]),INDEX(DataTitel_liste,1))</f>
        <v>Eksempel 1 (interval)</v>
      </c>
      <c r="G87" s="171" t="str" cm="1">
        <f t="array" ref="G87">IF(LineærRegression_Valg[[#This Row],[Indenfor range]],IF(LineærRegression_Valg[[#This Row],[Intet overlap]],INDEX(DataTitel_liste,LineærRegression_Valg[[#This Row],[Uafhængig variabel ID]]),INDEX(DataTitel_liste,IF(LineærRegression_Valg[[#This Row],[Afhængig variabel ID]]=1,2,1))),$B$7)</f>
        <v>Eksempel 2 (interval)</v>
      </c>
      <c r="H87" s="171">
        <f>_xlfn.AGGREGATE(2,5,LineærRegression_Valg[[#This Row],[Tabel ID]])</f>
        <v>1</v>
      </c>
    </row>
    <row r="88" spans="1:8" x14ac:dyDescent="0.2">
      <c r="A88">
        <f>ROW(LineærRegression_Valg[[#This Row],[Tabel ID]])-ROW(LineærRegression_Valg[[#Headers],[Tabel ID]])</f>
        <v>78</v>
      </c>
      <c r="B88" s="171">
        <f>ROUNDDOWN((LineærRegression_Valg[[#This Row],[Tabel ID]]-1)/$B$5,0)+1</f>
        <v>20</v>
      </c>
      <c r="C88" s="171">
        <f t="shared" si="1"/>
        <v>2</v>
      </c>
      <c r="D88" s="171" t="b">
        <f>LineærRegression_Valg[[#This Row],[Afhængig variabel ID]]&lt;&gt;LineærRegression_Valg[[#This Row],[Uafhængig variabel ID]]</f>
        <v>1</v>
      </c>
      <c r="E88" t="b">
        <f>LineærRegression_Valg[[#This Row],[Afhængig variabel ID]]&lt;=$B$5</f>
        <v>0</v>
      </c>
      <c r="F88" t="str" cm="1">
        <f t="array" ref="F88">IF(LineærRegression_Valg[[#This Row],[Indenfor range]],INDEX(DataTitel_liste,LineærRegression_Valg[[#This Row],[Afhængig variabel ID]]),INDEX(DataTitel_liste,1))</f>
        <v>Eksempel 1 (interval)</v>
      </c>
      <c r="G88" s="171" t="str" cm="1">
        <f t="array" ref="G88">IF(LineærRegression_Valg[[#This Row],[Indenfor range]],IF(LineærRegression_Valg[[#This Row],[Intet overlap]],INDEX(DataTitel_liste,LineærRegression_Valg[[#This Row],[Uafhængig variabel ID]]),INDEX(DataTitel_liste,IF(LineærRegression_Valg[[#This Row],[Afhængig variabel ID]]=1,2,1))),$B$7)</f>
        <v>Eksempel 2 (interval)</v>
      </c>
      <c r="H88" s="171">
        <f>_xlfn.AGGREGATE(2,5,LineærRegression_Valg[[#This Row],[Tabel ID]])</f>
        <v>1</v>
      </c>
    </row>
    <row r="89" spans="1:8" x14ac:dyDescent="0.2">
      <c r="A89">
        <f>ROW(LineærRegression_Valg[[#This Row],[Tabel ID]])-ROW(LineærRegression_Valg[[#Headers],[Tabel ID]])</f>
        <v>79</v>
      </c>
      <c r="B89" s="171">
        <f>ROUNDDOWN((LineærRegression_Valg[[#This Row],[Tabel ID]]-1)/$B$5,0)+1</f>
        <v>20</v>
      </c>
      <c r="C89" s="171">
        <f t="shared" si="1"/>
        <v>3</v>
      </c>
      <c r="D89" s="171" t="b">
        <f>LineærRegression_Valg[[#This Row],[Afhængig variabel ID]]&lt;&gt;LineærRegression_Valg[[#This Row],[Uafhængig variabel ID]]</f>
        <v>1</v>
      </c>
      <c r="E89" t="b">
        <f>LineærRegression_Valg[[#This Row],[Afhængig variabel ID]]&lt;=$B$5</f>
        <v>0</v>
      </c>
      <c r="F89" t="str" cm="1">
        <f t="array" ref="F89">IF(LineærRegression_Valg[[#This Row],[Indenfor range]],INDEX(DataTitel_liste,LineærRegression_Valg[[#This Row],[Afhængig variabel ID]]),INDEX(DataTitel_liste,1))</f>
        <v>Eksempel 1 (interval)</v>
      </c>
      <c r="G89" s="171" t="str" cm="1">
        <f t="array" ref="G89">IF(LineærRegression_Valg[[#This Row],[Indenfor range]],IF(LineærRegression_Valg[[#This Row],[Intet overlap]],INDEX(DataTitel_liste,LineærRegression_Valg[[#This Row],[Uafhængig variabel ID]]),INDEX(DataTitel_liste,IF(LineærRegression_Valg[[#This Row],[Afhængig variabel ID]]=1,2,1))),$B$7)</f>
        <v>Eksempel 2 (interval)</v>
      </c>
      <c r="H89" s="171">
        <f>_xlfn.AGGREGATE(2,5,LineærRegression_Valg[[#This Row],[Tabel ID]])</f>
        <v>1</v>
      </c>
    </row>
    <row r="90" spans="1:8" x14ac:dyDescent="0.2">
      <c r="A90">
        <f>ROW(LineærRegression_Valg[[#This Row],[Tabel ID]])-ROW(LineærRegression_Valg[[#Headers],[Tabel ID]])</f>
        <v>80</v>
      </c>
      <c r="B90" s="171">
        <f>ROUNDDOWN((LineærRegression_Valg[[#This Row],[Tabel ID]]-1)/$B$5,0)+1</f>
        <v>20</v>
      </c>
      <c r="C90" s="171">
        <f t="shared" si="1"/>
        <v>4</v>
      </c>
      <c r="D90" s="171" t="b">
        <f>LineærRegression_Valg[[#This Row],[Afhængig variabel ID]]&lt;&gt;LineærRegression_Valg[[#This Row],[Uafhængig variabel ID]]</f>
        <v>1</v>
      </c>
      <c r="E90" t="b">
        <f>LineærRegression_Valg[[#This Row],[Afhængig variabel ID]]&lt;=$B$5</f>
        <v>0</v>
      </c>
      <c r="F90" t="str" cm="1">
        <f t="array" ref="F90">IF(LineærRegression_Valg[[#This Row],[Indenfor range]],INDEX(DataTitel_liste,LineærRegression_Valg[[#This Row],[Afhængig variabel ID]]),INDEX(DataTitel_liste,1))</f>
        <v>Eksempel 1 (interval)</v>
      </c>
      <c r="G90" s="171" t="str" cm="1">
        <f t="array" ref="G90">IF(LineærRegression_Valg[[#This Row],[Indenfor range]],IF(LineærRegression_Valg[[#This Row],[Intet overlap]],INDEX(DataTitel_liste,LineærRegression_Valg[[#This Row],[Uafhængig variabel ID]]),INDEX(DataTitel_liste,IF(LineærRegression_Valg[[#This Row],[Afhængig variabel ID]]=1,2,1))),$B$7)</f>
        <v>Eksempel 2 (interval)</v>
      </c>
      <c r="H90" s="171">
        <f>_xlfn.AGGREGATE(2,5,LineærRegression_Valg[[#This Row],[Tabel ID]])</f>
        <v>1</v>
      </c>
    </row>
    <row r="91" spans="1:8" x14ac:dyDescent="0.2">
      <c r="A91">
        <f>ROW(LineærRegression_Valg[[#This Row],[Tabel ID]])-ROW(LineærRegression_Valg[[#Headers],[Tabel ID]])</f>
        <v>81</v>
      </c>
      <c r="B91" s="171">
        <f>ROUNDDOWN((LineærRegression_Valg[[#This Row],[Tabel ID]]-1)/$B$5,0)+1</f>
        <v>21</v>
      </c>
      <c r="C91" s="171">
        <f t="shared" si="1"/>
        <v>1</v>
      </c>
      <c r="D91" s="171" t="b">
        <f>LineærRegression_Valg[[#This Row],[Afhængig variabel ID]]&lt;&gt;LineærRegression_Valg[[#This Row],[Uafhængig variabel ID]]</f>
        <v>1</v>
      </c>
      <c r="E91" t="b">
        <f>LineærRegression_Valg[[#This Row],[Afhængig variabel ID]]&lt;=$B$5</f>
        <v>0</v>
      </c>
      <c r="F91" t="str" cm="1">
        <f t="array" ref="F91">IF(LineærRegression_Valg[[#This Row],[Indenfor range]],INDEX(DataTitel_liste,LineærRegression_Valg[[#This Row],[Afhængig variabel ID]]),INDEX(DataTitel_liste,1))</f>
        <v>Eksempel 1 (interval)</v>
      </c>
      <c r="G91" s="171" t="str" cm="1">
        <f t="array" ref="G91">IF(LineærRegression_Valg[[#This Row],[Indenfor range]],IF(LineærRegression_Valg[[#This Row],[Intet overlap]],INDEX(DataTitel_liste,LineærRegression_Valg[[#This Row],[Uafhængig variabel ID]]),INDEX(DataTitel_liste,IF(LineærRegression_Valg[[#This Row],[Afhængig variabel ID]]=1,2,1))),$B$7)</f>
        <v>Eksempel 2 (interval)</v>
      </c>
      <c r="H91" s="171">
        <f>_xlfn.AGGREGATE(2,5,LineærRegression_Valg[[#This Row],[Tabel ID]])</f>
        <v>1</v>
      </c>
    </row>
    <row r="92" spans="1:8" x14ac:dyDescent="0.2">
      <c r="A92">
        <f>ROW(LineærRegression_Valg[[#This Row],[Tabel ID]])-ROW(LineærRegression_Valg[[#Headers],[Tabel ID]])</f>
        <v>82</v>
      </c>
      <c r="B92" s="171">
        <f>ROUNDDOWN((LineærRegression_Valg[[#This Row],[Tabel ID]]-1)/$B$5,0)+1</f>
        <v>21</v>
      </c>
      <c r="C92" s="171">
        <f t="shared" si="1"/>
        <v>2</v>
      </c>
      <c r="D92" s="171" t="b">
        <f>LineærRegression_Valg[[#This Row],[Afhængig variabel ID]]&lt;&gt;LineærRegression_Valg[[#This Row],[Uafhængig variabel ID]]</f>
        <v>1</v>
      </c>
      <c r="E92" t="b">
        <f>LineærRegression_Valg[[#This Row],[Afhængig variabel ID]]&lt;=$B$5</f>
        <v>0</v>
      </c>
      <c r="F92" t="str" cm="1">
        <f t="array" ref="F92">IF(LineærRegression_Valg[[#This Row],[Indenfor range]],INDEX(DataTitel_liste,LineærRegression_Valg[[#This Row],[Afhængig variabel ID]]),INDEX(DataTitel_liste,1))</f>
        <v>Eksempel 1 (interval)</v>
      </c>
      <c r="G92" s="171" t="str" cm="1">
        <f t="array" ref="G92">IF(LineærRegression_Valg[[#This Row],[Indenfor range]],IF(LineærRegression_Valg[[#This Row],[Intet overlap]],INDEX(DataTitel_liste,LineærRegression_Valg[[#This Row],[Uafhængig variabel ID]]),INDEX(DataTitel_liste,IF(LineærRegression_Valg[[#This Row],[Afhængig variabel ID]]=1,2,1))),$B$7)</f>
        <v>Eksempel 2 (interval)</v>
      </c>
      <c r="H92" s="171">
        <f>_xlfn.AGGREGATE(2,5,LineærRegression_Valg[[#This Row],[Tabel ID]])</f>
        <v>1</v>
      </c>
    </row>
    <row r="93" spans="1:8" x14ac:dyDescent="0.2">
      <c r="A93">
        <f>ROW(LineærRegression_Valg[[#This Row],[Tabel ID]])-ROW(LineærRegression_Valg[[#Headers],[Tabel ID]])</f>
        <v>83</v>
      </c>
      <c r="B93" s="171">
        <f>ROUNDDOWN((LineærRegression_Valg[[#This Row],[Tabel ID]]-1)/$B$5,0)+1</f>
        <v>21</v>
      </c>
      <c r="C93" s="171">
        <f t="shared" si="1"/>
        <v>3</v>
      </c>
      <c r="D93" s="171" t="b">
        <f>LineærRegression_Valg[[#This Row],[Afhængig variabel ID]]&lt;&gt;LineærRegression_Valg[[#This Row],[Uafhængig variabel ID]]</f>
        <v>1</v>
      </c>
      <c r="E93" t="b">
        <f>LineærRegression_Valg[[#This Row],[Afhængig variabel ID]]&lt;=$B$5</f>
        <v>0</v>
      </c>
      <c r="F93" t="str" cm="1">
        <f t="array" ref="F93">IF(LineærRegression_Valg[[#This Row],[Indenfor range]],INDEX(DataTitel_liste,LineærRegression_Valg[[#This Row],[Afhængig variabel ID]]),INDEX(DataTitel_liste,1))</f>
        <v>Eksempel 1 (interval)</v>
      </c>
      <c r="G93" s="171" t="str" cm="1">
        <f t="array" ref="G93">IF(LineærRegression_Valg[[#This Row],[Indenfor range]],IF(LineærRegression_Valg[[#This Row],[Intet overlap]],INDEX(DataTitel_liste,LineærRegression_Valg[[#This Row],[Uafhængig variabel ID]]),INDEX(DataTitel_liste,IF(LineærRegression_Valg[[#This Row],[Afhængig variabel ID]]=1,2,1))),$B$7)</f>
        <v>Eksempel 2 (interval)</v>
      </c>
      <c r="H93" s="171">
        <f>_xlfn.AGGREGATE(2,5,LineærRegression_Valg[[#This Row],[Tabel ID]])</f>
        <v>1</v>
      </c>
    </row>
    <row r="94" spans="1:8" x14ac:dyDescent="0.2">
      <c r="A94">
        <f>ROW(LineærRegression_Valg[[#This Row],[Tabel ID]])-ROW(LineærRegression_Valg[[#Headers],[Tabel ID]])</f>
        <v>84</v>
      </c>
      <c r="B94" s="171">
        <f>ROUNDDOWN((LineærRegression_Valg[[#This Row],[Tabel ID]]-1)/$B$5,0)+1</f>
        <v>21</v>
      </c>
      <c r="C94" s="171">
        <f t="shared" si="1"/>
        <v>4</v>
      </c>
      <c r="D94" s="171" t="b">
        <f>LineærRegression_Valg[[#This Row],[Afhængig variabel ID]]&lt;&gt;LineærRegression_Valg[[#This Row],[Uafhængig variabel ID]]</f>
        <v>1</v>
      </c>
      <c r="E94" t="b">
        <f>LineærRegression_Valg[[#This Row],[Afhængig variabel ID]]&lt;=$B$5</f>
        <v>0</v>
      </c>
      <c r="F94" t="str" cm="1">
        <f t="array" ref="F94">IF(LineærRegression_Valg[[#This Row],[Indenfor range]],INDEX(DataTitel_liste,LineærRegression_Valg[[#This Row],[Afhængig variabel ID]]),INDEX(DataTitel_liste,1))</f>
        <v>Eksempel 1 (interval)</v>
      </c>
      <c r="G94" s="171" t="str" cm="1">
        <f t="array" ref="G94">IF(LineærRegression_Valg[[#This Row],[Indenfor range]],IF(LineærRegression_Valg[[#This Row],[Intet overlap]],INDEX(DataTitel_liste,LineærRegression_Valg[[#This Row],[Uafhængig variabel ID]]),INDEX(DataTitel_liste,IF(LineærRegression_Valg[[#This Row],[Afhængig variabel ID]]=1,2,1))),$B$7)</f>
        <v>Eksempel 2 (interval)</v>
      </c>
      <c r="H94" s="171">
        <f>_xlfn.AGGREGATE(2,5,LineærRegression_Valg[[#This Row],[Tabel ID]])</f>
        <v>1</v>
      </c>
    </row>
    <row r="95" spans="1:8" x14ac:dyDescent="0.2">
      <c r="A95">
        <f>ROW(LineærRegression_Valg[[#This Row],[Tabel ID]])-ROW(LineærRegression_Valg[[#Headers],[Tabel ID]])</f>
        <v>85</v>
      </c>
      <c r="B95" s="171">
        <f>ROUNDDOWN((LineærRegression_Valg[[#This Row],[Tabel ID]]-1)/$B$5,0)+1</f>
        <v>22</v>
      </c>
      <c r="C95" s="171">
        <f t="shared" si="1"/>
        <v>1</v>
      </c>
      <c r="D95" s="171" t="b">
        <f>LineærRegression_Valg[[#This Row],[Afhængig variabel ID]]&lt;&gt;LineærRegression_Valg[[#This Row],[Uafhængig variabel ID]]</f>
        <v>1</v>
      </c>
      <c r="E95" t="b">
        <f>LineærRegression_Valg[[#This Row],[Afhængig variabel ID]]&lt;=$B$5</f>
        <v>0</v>
      </c>
      <c r="F95" t="str" cm="1">
        <f t="array" ref="F95">IF(LineærRegression_Valg[[#This Row],[Indenfor range]],INDEX(DataTitel_liste,LineærRegression_Valg[[#This Row],[Afhængig variabel ID]]),INDEX(DataTitel_liste,1))</f>
        <v>Eksempel 1 (interval)</v>
      </c>
      <c r="G95" s="171" t="str" cm="1">
        <f t="array" ref="G95">IF(LineærRegression_Valg[[#This Row],[Indenfor range]],IF(LineærRegression_Valg[[#This Row],[Intet overlap]],INDEX(DataTitel_liste,LineærRegression_Valg[[#This Row],[Uafhængig variabel ID]]),INDEX(DataTitel_liste,IF(LineærRegression_Valg[[#This Row],[Afhængig variabel ID]]=1,2,1))),$B$7)</f>
        <v>Eksempel 2 (interval)</v>
      </c>
      <c r="H95" s="171">
        <f>_xlfn.AGGREGATE(2,5,LineærRegression_Valg[[#This Row],[Tabel ID]])</f>
        <v>1</v>
      </c>
    </row>
    <row r="96" spans="1:8" x14ac:dyDescent="0.2">
      <c r="A96">
        <f>ROW(LineærRegression_Valg[[#This Row],[Tabel ID]])-ROW(LineærRegression_Valg[[#Headers],[Tabel ID]])</f>
        <v>86</v>
      </c>
      <c r="B96" s="171">
        <f>ROUNDDOWN((LineærRegression_Valg[[#This Row],[Tabel ID]]-1)/$B$5,0)+1</f>
        <v>22</v>
      </c>
      <c r="C96" s="171">
        <f t="shared" si="1"/>
        <v>2</v>
      </c>
      <c r="D96" s="171" t="b">
        <f>LineærRegression_Valg[[#This Row],[Afhængig variabel ID]]&lt;&gt;LineærRegression_Valg[[#This Row],[Uafhængig variabel ID]]</f>
        <v>1</v>
      </c>
      <c r="E96" t="b">
        <f>LineærRegression_Valg[[#This Row],[Afhængig variabel ID]]&lt;=$B$5</f>
        <v>0</v>
      </c>
      <c r="F96" t="str" cm="1">
        <f t="array" ref="F96">IF(LineærRegression_Valg[[#This Row],[Indenfor range]],INDEX(DataTitel_liste,LineærRegression_Valg[[#This Row],[Afhængig variabel ID]]),INDEX(DataTitel_liste,1))</f>
        <v>Eksempel 1 (interval)</v>
      </c>
      <c r="G96" s="171" t="str" cm="1">
        <f t="array" ref="G96">IF(LineærRegression_Valg[[#This Row],[Indenfor range]],IF(LineærRegression_Valg[[#This Row],[Intet overlap]],INDEX(DataTitel_liste,LineærRegression_Valg[[#This Row],[Uafhængig variabel ID]]),INDEX(DataTitel_liste,IF(LineærRegression_Valg[[#This Row],[Afhængig variabel ID]]=1,2,1))),$B$7)</f>
        <v>Eksempel 2 (interval)</v>
      </c>
      <c r="H96" s="171">
        <f>_xlfn.AGGREGATE(2,5,LineærRegression_Valg[[#This Row],[Tabel ID]])</f>
        <v>1</v>
      </c>
    </row>
    <row r="97" spans="1:8" x14ac:dyDescent="0.2">
      <c r="A97">
        <f>ROW(LineærRegression_Valg[[#This Row],[Tabel ID]])-ROW(LineærRegression_Valg[[#Headers],[Tabel ID]])</f>
        <v>87</v>
      </c>
      <c r="B97" s="171">
        <f>ROUNDDOWN((LineærRegression_Valg[[#This Row],[Tabel ID]]-1)/$B$5,0)+1</f>
        <v>22</v>
      </c>
      <c r="C97" s="171">
        <f t="shared" si="1"/>
        <v>3</v>
      </c>
      <c r="D97" s="171" t="b">
        <f>LineærRegression_Valg[[#This Row],[Afhængig variabel ID]]&lt;&gt;LineærRegression_Valg[[#This Row],[Uafhængig variabel ID]]</f>
        <v>1</v>
      </c>
      <c r="E97" t="b">
        <f>LineærRegression_Valg[[#This Row],[Afhængig variabel ID]]&lt;=$B$5</f>
        <v>0</v>
      </c>
      <c r="F97" t="str" cm="1">
        <f t="array" ref="F97">IF(LineærRegression_Valg[[#This Row],[Indenfor range]],INDEX(DataTitel_liste,LineærRegression_Valg[[#This Row],[Afhængig variabel ID]]),INDEX(DataTitel_liste,1))</f>
        <v>Eksempel 1 (interval)</v>
      </c>
      <c r="G97" s="171" t="str" cm="1">
        <f t="array" ref="G97">IF(LineærRegression_Valg[[#This Row],[Indenfor range]],IF(LineærRegression_Valg[[#This Row],[Intet overlap]],INDEX(DataTitel_liste,LineærRegression_Valg[[#This Row],[Uafhængig variabel ID]]),INDEX(DataTitel_liste,IF(LineærRegression_Valg[[#This Row],[Afhængig variabel ID]]=1,2,1))),$B$7)</f>
        <v>Eksempel 2 (interval)</v>
      </c>
      <c r="H97" s="171">
        <f>_xlfn.AGGREGATE(2,5,LineærRegression_Valg[[#This Row],[Tabel ID]])</f>
        <v>1</v>
      </c>
    </row>
    <row r="98" spans="1:8" x14ac:dyDescent="0.2">
      <c r="A98">
        <f>ROW(LineærRegression_Valg[[#This Row],[Tabel ID]])-ROW(LineærRegression_Valg[[#Headers],[Tabel ID]])</f>
        <v>88</v>
      </c>
      <c r="B98" s="171">
        <f>ROUNDDOWN((LineærRegression_Valg[[#This Row],[Tabel ID]]-1)/$B$5,0)+1</f>
        <v>22</v>
      </c>
      <c r="C98" s="171">
        <f t="shared" si="1"/>
        <v>4</v>
      </c>
      <c r="D98" s="171" t="b">
        <f>LineærRegression_Valg[[#This Row],[Afhængig variabel ID]]&lt;&gt;LineærRegression_Valg[[#This Row],[Uafhængig variabel ID]]</f>
        <v>1</v>
      </c>
      <c r="E98" t="b">
        <f>LineærRegression_Valg[[#This Row],[Afhængig variabel ID]]&lt;=$B$5</f>
        <v>0</v>
      </c>
      <c r="F98" t="str" cm="1">
        <f t="array" ref="F98">IF(LineærRegression_Valg[[#This Row],[Indenfor range]],INDEX(DataTitel_liste,LineærRegression_Valg[[#This Row],[Afhængig variabel ID]]),INDEX(DataTitel_liste,1))</f>
        <v>Eksempel 1 (interval)</v>
      </c>
      <c r="G98" s="171" t="str" cm="1">
        <f t="array" ref="G98">IF(LineærRegression_Valg[[#This Row],[Indenfor range]],IF(LineærRegression_Valg[[#This Row],[Intet overlap]],INDEX(DataTitel_liste,LineærRegression_Valg[[#This Row],[Uafhængig variabel ID]]),INDEX(DataTitel_liste,IF(LineærRegression_Valg[[#This Row],[Afhængig variabel ID]]=1,2,1))),$B$7)</f>
        <v>Eksempel 2 (interval)</v>
      </c>
      <c r="H98" s="171">
        <f>_xlfn.AGGREGATE(2,5,LineærRegression_Valg[[#This Row],[Tabel ID]])</f>
        <v>1</v>
      </c>
    </row>
    <row r="99" spans="1:8" x14ac:dyDescent="0.2">
      <c r="A99">
        <f>ROW(LineærRegression_Valg[[#This Row],[Tabel ID]])-ROW(LineærRegression_Valg[[#Headers],[Tabel ID]])</f>
        <v>89</v>
      </c>
      <c r="B99" s="171">
        <f>ROUNDDOWN((LineærRegression_Valg[[#This Row],[Tabel ID]]-1)/$B$5,0)+1</f>
        <v>23</v>
      </c>
      <c r="C99" s="171">
        <f t="shared" si="1"/>
        <v>1</v>
      </c>
      <c r="D99" s="171" t="b">
        <f>LineærRegression_Valg[[#This Row],[Afhængig variabel ID]]&lt;&gt;LineærRegression_Valg[[#This Row],[Uafhængig variabel ID]]</f>
        <v>1</v>
      </c>
      <c r="E99" t="b">
        <f>LineærRegression_Valg[[#This Row],[Afhængig variabel ID]]&lt;=$B$5</f>
        <v>0</v>
      </c>
      <c r="F99" t="str" cm="1">
        <f t="array" ref="F99">IF(LineærRegression_Valg[[#This Row],[Indenfor range]],INDEX(DataTitel_liste,LineærRegression_Valg[[#This Row],[Afhængig variabel ID]]),INDEX(DataTitel_liste,1))</f>
        <v>Eksempel 1 (interval)</v>
      </c>
      <c r="G99" s="171" t="str" cm="1">
        <f t="array" ref="G99">IF(LineærRegression_Valg[[#This Row],[Indenfor range]],IF(LineærRegression_Valg[[#This Row],[Intet overlap]],INDEX(DataTitel_liste,LineærRegression_Valg[[#This Row],[Uafhængig variabel ID]]),INDEX(DataTitel_liste,IF(LineærRegression_Valg[[#This Row],[Afhængig variabel ID]]=1,2,1))),$B$7)</f>
        <v>Eksempel 2 (interval)</v>
      </c>
      <c r="H99" s="171">
        <f>_xlfn.AGGREGATE(2,5,LineærRegression_Valg[[#This Row],[Tabel ID]])</f>
        <v>1</v>
      </c>
    </row>
    <row r="100" spans="1:8" x14ac:dyDescent="0.2">
      <c r="A100">
        <f>ROW(LineærRegression_Valg[[#This Row],[Tabel ID]])-ROW(LineærRegression_Valg[[#Headers],[Tabel ID]])</f>
        <v>90</v>
      </c>
      <c r="B100" s="171">
        <f>ROUNDDOWN((LineærRegression_Valg[[#This Row],[Tabel ID]]-1)/$B$5,0)+1</f>
        <v>23</v>
      </c>
      <c r="C100" s="171">
        <f t="shared" si="1"/>
        <v>2</v>
      </c>
      <c r="D100" s="171" t="b">
        <f>LineærRegression_Valg[[#This Row],[Afhængig variabel ID]]&lt;&gt;LineærRegression_Valg[[#This Row],[Uafhængig variabel ID]]</f>
        <v>1</v>
      </c>
      <c r="E100" t="b">
        <f>LineærRegression_Valg[[#This Row],[Afhængig variabel ID]]&lt;=$B$5</f>
        <v>0</v>
      </c>
      <c r="F100" t="str" cm="1">
        <f t="array" ref="F100">IF(LineærRegression_Valg[[#This Row],[Indenfor range]],INDEX(DataTitel_liste,LineærRegression_Valg[[#This Row],[Afhængig variabel ID]]),INDEX(DataTitel_liste,1))</f>
        <v>Eksempel 1 (interval)</v>
      </c>
      <c r="G100" s="171" t="str" cm="1">
        <f t="array" ref="G100">IF(LineærRegression_Valg[[#This Row],[Indenfor range]],IF(LineærRegression_Valg[[#This Row],[Intet overlap]],INDEX(DataTitel_liste,LineærRegression_Valg[[#This Row],[Uafhængig variabel ID]]),INDEX(DataTitel_liste,IF(LineærRegression_Valg[[#This Row],[Afhængig variabel ID]]=1,2,1))),$B$7)</f>
        <v>Eksempel 2 (interval)</v>
      </c>
      <c r="H100" s="171">
        <f>_xlfn.AGGREGATE(2,5,LineærRegression_Valg[[#This Row],[Tabel ID]])</f>
        <v>1</v>
      </c>
    </row>
    <row r="101" spans="1:8" x14ac:dyDescent="0.2">
      <c r="A101">
        <f>ROW(LineærRegression_Valg[[#This Row],[Tabel ID]])-ROW(LineærRegression_Valg[[#Headers],[Tabel ID]])</f>
        <v>91</v>
      </c>
      <c r="B101" s="171">
        <f>ROUNDDOWN((LineærRegression_Valg[[#This Row],[Tabel ID]]-1)/$B$5,0)+1</f>
        <v>23</v>
      </c>
      <c r="C101" s="171">
        <f t="shared" si="1"/>
        <v>3</v>
      </c>
      <c r="D101" s="171" t="b">
        <f>LineærRegression_Valg[[#This Row],[Afhængig variabel ID]]&lt;&gt;LineærRegression_Valg[[#This Row],[Uafhængig variabel ID]]</f>
        <v>1</v>
      </c>
      <c r="E101" t="b">
        <f>LineærRegression_Valg[[#This Row],[Afhængig variabel ID]]&lt;=$B$5</f>
        <v>0</v>
      </c>
      <c r="F101" t="str" cm="1">
        <f t="array" ref="F101">IF(LineærRegression_Valg[[#This Row],[Indenfor range]],INDEX(DataTitel_liste,LineærRegression_Valg[[#This Row],[Afhængig variabel ID]]),INDEX(DataTitel_liste,1))</f>
        <v>Eksempel 1 (interval)</v>
      </c>
      <c r="G101" s="171" t="str" cm="1">
        <f t="array" ref="G101">IF(LineærRegression_Valg[[#This Row],[Indenfor range]],IF(LineærRegression_Valg[[#This Row],[Intet overlap]],INDEX(DataTitel_liste,LineærRegression_Valg[[#This Row],[Uafhængig variabel ID]]),INDEX(DataTitel_liste,IF(LineærRegression_Valg[[#This Row],[Afhængig variabel ID]]=1,2,1))),$B$7)</f>
        <v>Eksempel 2 (interval)</v>
      </c>
      <c r="H101" s="171">
        <f>_xlfn.AGGREGATE(2,5,LineærRegression_Valg[[#This Row],[Tabel ID]])</f>
        <v>1</v>
      </c>
    </row>
    <row r="102" spans="1:8" x14ac:dyDescent="0.2">
      <c r="A102">
        <f>ROW(LineærRegression_Valg[[#This Row],[Tabel ID]])-ROW(LineærRegression_Valg[[#Headers],[Tabel ID]])</f>
        <v>92</v>
      </c>
      <c r="B102" s="171">
        <f>ROUNDDOWN((LineærRegression_Valg[[#This Row],[Tabel ID]]-1)/$B$5,0)+1</f>
        <v>23</v>
      </c>
      <c r="C102" s="171">
        <f t="shared" si="1"/>
        <v>4</v>
      </c>
      <c r="D102" s="171" t="b">
        <f>LineærRegression_Valg[[#This Row],[Afhængig variabel ID]]&lt;&gt;LineærRegression_Valg[[#This Row],[Uafhængig variabel ID]]</f>
        <v>1</v>
      </c>
      <c r="E102" t="b">
        <f>LineærRegression_Valg[[#This Row],[Afhængig variabel ID]]&lt;=$B$5</f>
        <v>0</v>
      </c>
      <c r="F102" t="str" cm="1">
        <f t="array" ref="F102">IF(LineærRegression_Valg[[#This Row],[Indenfor range]],INDEX(DataTitel_liste,LineærRegression_Valg[[#This Row],[Afhængig variabel ID]]),INDEX(DataTitel_liste,1))</f>
        <v>Eksempel 1 (interval)</v>
      </c>
      <c r="G102" s="171" t="str" cm="1">
        <f t="array" ref="G102">IF(LineærRegression_Valg[[#This Row],[Indenfor range]],IF(LineærRegression_Valg[[#This Row],[Intet overlap]],INDEX(DataTitel_liste,LineærRegression_Valg[[#This Row],[Uafhængig variabel ID]]),INDEX(DataTitel_liste,IF(LineærRegression_Valg[[#This Row],[Afhængig variabel ID]]=1,2,1))),$B$7)</f>
        <v>Eksempel 2 (interval)</v>
      </c>
      <c r="H102" s="171">
        <f>_xlfn.AGGREGATE(2,5,LineærRegression_Valg[[#This Row],[Tabel ID]])</f>
        <v>1</v>
      </c>
    </row>
    <row r="103" spans="1:8" x14ac:dyDescent="0.2">
      <c r="A103">
        <f>ROW(LineærRegression_Valg[[#This Row],[Tabel ID]])-ROW(LineærRegression_Valg[[#Headers],[Tabel ID]])</f>
        <v>93</v>
      </c>
      <c r="B103" s="171">
        <f>ROUNDDOWN((LineærRegression_Valg[[#This Row],[Tabel ID]]-1)/$B$5,0)+1</f>
        <v>24</v>
      </c>
      <c r="C103" s="171">
        <f t="shared" si="1"/>
        <v>1</v>
      </c>
      <c r="D103" s="171" t="b">
        <f>LineærRegression_Valg[[#This Row],[Afhængig variabel ID]]&lt;&gt;LineærRegression_Valg[[#This Row],[Uafhængig variabel ID]]</f>
        <v>1</v>
      </c>
      <c r="E103" t="b">
        <f>LineærRegression_Valg[[#This Row],[Afhængig variabel ID]]&lt;=$B$5</f>
        <v>0</v>
      </c>
      <c r="F103" t="str" cm="1">
        <f t="array" ref="F103">IF(LineærRegression_Valg[[#This Row],[Indenfor range]],INDEX(DataTitel_liste,LineærRegression_Valg[[#This Row],[Afhængig variabel ID]]),INDEX(DataTitel_liste,1))</f>
        <v>Eksempel 1 (interval)</v>
      </c>
      <c r="G103" s="171" t="str" cm="1">
        <f t="array" ref="G103">IF(LineærRegression_Valg[[#This Row],[Indenfor range]],IF(LineærRegression_Valg[[#This Row],[Intet overlap]],INDEX(DataTitel_liste,LineærRegression_Valg[[#This Row],[Uafhængig variabel ID]]),INDEX(DataTitel_liste,IF(LineærRegression_Valg[[#This Row],[Afhængig variabel ID]]=1,2,1))),$B$7)</f>
        <v>Eksempel 2 (interval)</v>
      </c>
      <c r="H103" s="171">
        <f>_xlfn.AGGREGATE(2,5,LineærRegression_Valg[[#This Row],[Tabel ID]])</f>
        <v>1</v>
      </c>
    </row>
    <row r="104" spans="1:8" x14ac:dyDescent="0.2">
      <c r="A104">
        <f>ROW(LineærRegression_Valg[[#This Row],[Tabel ID]])-ROW(LineærRegression_Valg[[#Headers],[Tabel ID]])</f>
        <v>94</v>
      </c>
      <c r="B104" s="171">
        <f>ROUNDDOWN((LineærRegression_Valg[[#This Row],[Tabel ID]]-1)/$B$5,0)+1</f>
        <v>24</v>
      </c>
      <c r="C104" s="171">
        <f t="shared" si="1"/>
        <v>2</v>
      </c>
      <c r="D104" s="171" t="b">
        <f>LineærRegression_Valg[[#This Row],[Afhængig variabel ID]]&lt;&gt;LineærRegression_Valg[[#This Row],[Uafhængig variabel ID]]</f>
        <v>1</v>
      </c>
      <c r="E104" t="b">
        <f>LineærRegression_Valg[[#This Row],[Afhængig variabel ID]]&lt;=$B$5</f>
        <v>0</v>
      </c>
      <c r="F104" t="str" cm="1">
        <f t="array" ref="F104">IF(LineærRegression_Valg[[#This Row],[Indenfor range]],INDEX(DataTitel_liste,LineærRegression_Valg[[#This Row],[Afhængig variabel ID]]),INDEX(DataTitel_liste,1))</f>
        <v>Eksempel 1 (interval)</v>
      </c>
      <c r="G104" s="171" t="str" cm="1">
        <f t="array" ref="G104">IF(LineærRegression_Valg[[#This Row],[Indenfor range]],IF(LineærRegression_Valg[[#This Row],[Intet overlap]],INDEX(DataTitel_liste,LineærRegression_Valg[[#This Row],[Uafhængig variabel ID]]),INDEX(DataTitel_liste,IF(LineærRegression_Valg[[#This Row],[Afhængig variabel ID]]=1,2,1))),$B$7)</f>
        <v>Eksempel 2 (interval)</v>
      </c>
      <c r="H104" s="171">
        <f>_xlfn.AGGREGATE(2,5,LineærRegression_Valg[[#This Row],[Tabel ID]])</f>
        <v>1</v>
      </c>
    </row>
    <row r="105" spans="1:8" x14ac:dyDescent="0.2">
      <c r="A105">
        <f>ROW(LineærRegression_Valg[[#This Row],[Tabel ID]])-ROW(LineærRegression_Valg[[#Headers],[Tabel ID]])</f>
        <v>95</v>
      </c>
      <c r="B105" s="171">
        <f>ROUNDDOWN((LineærRegression_Valg[[#This Row],[Tabel ID]]-1)/$B$5,0)+1</f>
        <v>24</v>
      </c>
      <c r="C105" s="171">
        <f t="shared" si="1"/>
        <v>3</v>
      </c>
      <c r="D105" s="171" t="b">
        <f>LineærRegression_Valg[[#This Row],[Afhængig variabel ID]]&lt;&gt;LineærRegression_Valg[[#This Row],[Uafhængig variabel ID]]</f>
        <v>1</v>
      </c>
      <c r="E105" t="b">
        <f>LineærRegression_Valg[[#This Row],[Afhængig variabel ID]]&lt;=$B$5</f>
        <v>0</v>
      </c>
      <c r="F105" t="str" cm="1">
        <f t="array" ref="F105">IF(LineærRegression_Valg[[#This Row],[Indenfor range]],INDEX(DataTitel_liste,LineærRegression_Valg[[#This Row],[Afhængig variabel ID]]),INDEX(DataTitel_liste,1))</f>
        <v>Eksempel 1 (interval)</v>
      </c>
      <c r="G105" s="171" t="str" cm="1">
        <f t="array" ref="G105">IF(LineærRegression_Valg[[#This Row],[Indenfor range]],IF(LineærRegression_Valg[[#This Row],[Intet overlap]],INDEX(DataTitel_liste,LineærRegression_Valg[[#This Row],[Uafhængig variabel ID]]),INDEX(DataTitel_liste,IF(LineærRegression_Valg[[#This Row],[Afhængig variabel ID]]=1,2,1))),$B$7)</f>
        <v>Eksempel 2 (interval)</v>
      </c>
      <c r="H105" s="171">
        <f>_xlfn.AGGREGATE(2,5,LineærRegression_Valg[[#This Row],[Tabel ID]])</f>
        <v>1</v>
      </c>
    </row>
    <row r="106" spans="1:8" x14ac:dyDescent="0.2">
      <c r="A106">
        <f>ROW(LineærRegression_Valg[[#This Row],[Tabel ID]])-ROW(LineærRegression_Valg[[#Headers],[Tabel ID]])</f>
        <v>96</v>
      </c>
      <c r="B106" s="171">
        <f>ROUNDDOWN((LineærRegression_Valg[[#This Row],[Tabel ID]]-1)/$B$5,0)+1</f>
        <v>24</v>
      </c>
      <c r="C106" s="171">
        <f t="shared" si="1"/>
        <v>4</v>
      </c>
      <c r="D106" s="171" t="b">
        <f>LineærRegression_Valg[[#This Row],[Afhængig variabel ID]]&lt;&gt;LineærRegression_Valg[[#This Row],[Uafhængig variabel ID]]</f>
        <v>1</v>
      </c>
      <c r="E106" t="b">
        <f>LineærRegression_Valg[[#This Row],[Afhængig variabel ID]]&lt;=$B$5</f>
        <v>0</v>
      </c>
      <c r="F106" t="str" cm="1">
        <f t="array" ref="F106">IF(LineærRegression_Valg[[#This Row],[Indenfor range]],INDEX(DataTitel_liste,LineærRegression_Valg[[#This Row],[Afhængig variabel ID]]),INDEX(DataTitel_liste,1))</f>
        <v>Eksempel 1 (interval)</v>
      </c>
      <c r="G106" s="171" t="str" cm="1">
        <f t="array" ref="G106">IF(LineærRegression_Valg[[#This Row],[Indenfor range]],IF(LineærRegression_Valg[[#This Row],[Intet overlap]],INDEX(DataTitel_liste,LineærRegression_Valg[[#This Row],[Uafhængig variabel ID]]),INDEX(DataTitel_liste,IF(LineærRegression_Valg[[#This Row],[Afhængig variabel ID]]=1,2,1))),$B$7)</f>
        <v>Eksempel 2 (interval)</v>
      </c>
      <c r="H106" s="171">
        <f>_xlfn.AGGREGATE(2,5,LineærRegression_Valg[[#This Row],[Tabel ID]])</f>
        <v>1</v>
      </c>
    </row>
    <row r="107" spans="1:8" x14ac:dyDescent="0.2">
      <c r="A107">
        <f>ROW(LineærRegression_Valg[[#This Row],[Tabel ID]])-ROW(LineærRegression_Valg[[#Headers],[Tabel ID]])</f>
        <v>97</v>
      </c>
      <c r="B107" s="171">
        <f>ROUNDDOWN((LineærRegression_Valg[[#This Row],[Tabel ID]]-1)/$B$5,0)+1</f>
        <v>25</v>
      </c>
      <c r="C107" s="171">
        <f t="shared" si="1"/>
        <v>1</v>
      </c>
      <c r="D107" s="171" t="b">
        <f>LineærRegression_Valg[[#This Row],[Afhængig variabel ID]]&lt;&gt;LineærRegression_Valg[[#This Row],[Uafhængig variabel ID]]</f>
        <v>1</v>
      </c>
      <c r="E107" t="b">
        <f>LineærRegression_Valg[[#This Row],[Afhængig variabel ID]]&lt;=$B$5</f>
        <v>0</v>
      </c>
      <c r="F107" t="str" cm="1">
        <f t="array" ref="F107">IF(LineærRegression_Valg[[#This Row],[Indenfor range]],INDEX(DataTitel_liste,LineærRegression_Valg[[#This Row],[Afhængig variabel ID]]),INDEX(DataTitel_liste,1))</f>
        <v>Eksempel 1 (interval)</v>
      </c>
      <c r="G107" s="171" t="str" cm="1">
        <f t="array" ref="G107">IF(LineærRegression_Valg[[#This Row],[Indenfor range]],IF(LineærRegression_Valg[[#This Row],[Intet overlap]],INDEX(DataTitel_liste,LineærRegression_Valg[[#This Row],[Uafhængig variabel ID]]),INDEX(DataTitel_liste,IF(LineærRegression_Valg[[#This Row],[Afhængig variabel ID]]=1,2,1))),$B$7)</f>
        <v>Eksempel 2 (interval)</v>
      </c>
      <c r="H107" s="171">
        <f>_xlfn.AGGREGATE(2,5,LineærRegression_Valg[[#This Row],[Tabel ID]])</f>
        <v>1</v>
      </c>
    </row>
    <row r="108" spans="1:8" x14ac:dyDescent="0.2">
      <c r="A108">
        <f>ROW(LineærRegression_Valg[[#This Row],[Tabel ID]])-ROW(LineærRegression_Valg[[#Headers],[Tabel ID]])</f>
        <v>98</v>
      </c>
      <c r="B108" s="171">
        <f>ROUNDDOWN((LineærRegression_Valg[[#This Row],[Tabel ID]]-1)/$B$5,0)+1</f>
        <v>25</v>
      </c>
      <c r="C108" s="171">
        <f t="shared" si="1"/>
        <v>2</v>
      </c>
      <c r="D108" s="171" t="b">
        <f>LineærRegression_Valg[[#This Row],[Afhængig variabel ID]]&lt;&gt;LineærRegression_Valg[[#This Row],[Uafhængig variabel ID]]</f>
        <v>1</v>
      </c>
      <c r="E108" t="b">
        <f>LineærRegression_Valg[[#This Row],[Afhængig variabel ID]]&lt;=$B$5</f>
        <v>0</v>
      </c>
      <c r="F108" t="str" cm="1">
        <f t="array" ref="F108">IF(LineærRegression_Valg[[#This Row],[Indenfor range]],INDEX(DataTitel_liste,LineærRegression_Valg[[#This Row],[Afhængig variabel ID]]),INDEX(DataTitel_liste,1))</f>
        <v>Eksempel 1 (interval)</v>
      </c>
      <c r="G108" s="171" t="str" cm="1">
        <f t="array" ref="G108">IF(LineærRegression_Valg[[#This Row],[Indenfor range]],IF(LineærRegression_Valg[[#This Row],[Intet overlap]],INDEX(DataTitel_liste,LineærRegression_Valg[[#This Row],[Uafhængig variabel ID]]),INDEX(DataTitel_liste,IF(LineærRegression_Valg[[#This Row],[Afhængig variabel ID]]=1,2,1))),$B$7)</f>
        <v>Eksempel 2 (interval)</v>
      </c>
      <c r="H108" s="171">
        <f>_xlfn.AGGREGATE(2,5,LineærRegression_Valg[[#This Row],[Tabel ID]])</f>
        <v>1</v>
      </c>
    </row>
    <row r="109" spans="1:8" x14ac:dyDescent="0.2">
      <c r="A109">
        <f>ROW(LineærRegression_Valg[[#This Row],[Tabel ID]])-ROW(LineærRegression_Valg[[#Headers],[Tabel ID]])</f>
        <v>99</v>
      </c>
      <c r="B109" s="171">
        <f>ROUNDDOWN((LineærRegression_Valg[[#This Row],[Tabel ID]]-1)/$B$5,0)+1</f>
        <v>25</v>
      </c>
      <c r="C109" s="171">
        <f t="shared" si="1"/>
        <v>3</v>
      </c>
      <c r="D109" s="171" t="b">
        <f>LineærRegression_Valg[[#This Row],[Afhængig variabel ID]]&lt;&gt;LineærRegression_Valg[[#This Row],[Uafhængig variabel ID]]</f>
        <v>1</v>
      </c>
      <c r="E109" t="b">
        <f>LineærRegression_Valg[[#This Row],[Afhængig variabel ID]]&lt;=$B$5</f>
        <v>0</v>
      </c>
      <c r="F109" t="str" cm="1">
        <f t="array" ref="F109">IF(LineærRegression_Valg[[#This Row],[Indenfor range]],INDEX(DataTitel_liste,LineærRegression_Valg[[#This Row],[Afhængig variabel ID]]),INDEX(DataTitel_liste,1))</f>
        <v>Eksempel 1 (interval)</v>
      </c>
      <c r="G109" s="171" t="str" cm="1">
        <f t="array" ref="G109">IF(LineærRegression_Valg[[#This Row],[Indenfor range]],IF(LineærRegression_Valg[[#This Row],[Intet overlap]],INDEX(DataTitel_liste,LineærRegression_Valg[[#This Row],[Uafhængig variabel ID]]),INDEX(DataTitel_liste,IF(LineærRegression_Valg[[#This Row],[Afhængig variabel ID]]=1,2,1))),$B$7)</f>
        <v>Eksempel 2 (interval)</v>
      </c>
      <c r="H109" s="171">
        <f>_xlfn.AGGREGATE(2,5,LineærRegression_Valg[[#This Row],[Tabel ID]])</f>
        <v>1</v>
      </c>
    </row>
    <row r="110" spans="1:8" x14ac:dyDescent="0.2">
      <c r="A110">
        <f>ROW(LineærRegression_Valg[[#This Row],[Tabel ID]])-ROW(LineærRegression_Valg[[#Headers],[Tabel ID]])</f>
        <v>100</v>
      </c>
      <c r="B110" s="171">
        <f>ROUNDDOWN((LineærRegression_Valg[[#This Row],[Tabel ID]]-1)/$B$5,0)+1</f>
        <v>25</v>
      </c>
      <c r="C110" s="171">
        <f t="shared" si="1"/>
        <v>4</v>
      </c>
      <c r="D110" s="171" t="b">
        <f>LineærRegression_Valg[[#This Row],[Afhængig variabel ID]]&lt;&gt;LineærRegression_Valg[[#This Row],[Uafhængig variabel ID]]</f>
        <v>1</v>
      </c>
      <c r="E110" t="b">
        <f>LineærRegression_Valg[[#This Row],[Afhængig variabel ID]]&lt;=$B$5</f>
        <v>0</v>
      </c>
      <c r="F110" t="str" cm="1">
        <f t="array" ref="F110">IF(LineærRegression_Valg[[#This Row],[Indenfor range]],INDEX(DataTitel_liste,LineærRegression_Valg[[#This Row],[Afhængig variabel ID]]),INDEX(DataTitel_liste,1))</f>
        <v>Eksempel 1 (interval)</v>
      </c>
      <c r="G110" s="171" t="str" cm="1">
        <f t="array" ref="G110">IF(LineærRegression_Valg[[#This Row],[Indenfor range]],IF(LineærRegression_Valg[[#This Row],[Intet overlap]],INDEX(DataTitel_liste,LineærRegression_Valg[[#This Row],[Uafhængig variabel ID]]),INDEX(DataTitel_liste,IF(LineærRegression_Valg[[#This Row],[Afhængig variabel ID]]=1,2,1))),$B$7)</f>
        <v>Eksempel 2 (interval)</v>
      </c>
      <c r="H110" s="171">
        <f>_xlfn.AGGREGATE(2,5,LineærRegression_Valg[[#This Row],[Tabel ID]])</f>
        <v>1</v>
      </c>
    </row>
    <row r="111" spans="1:8" x14ac:dyDescent="0.2">
      <c r="A111">
        <f>ROW(LineærRegression_Valg[[#This Row],[Tabel ID]])-ROW(LineærRegression_Valg[[#Headers],[Tabel ID]])</f>
        <v>101</v>
      </c>
      <c r="B111" s="171">
        <f>ROUNDDOWN((LineærRegression_Valg[[#This Row],[Tabel ID]]-1)/$B$5,0)+1</f>
        <v>26</v>
      </c>
      <c r="C111" s="171">
        <f t="shared" si="1"/>
        <v>1</v>
      </c>
      <c r="D111" s="171" t="b">
        <f>LineærRegression_Valg[[#This Row],[Afhængig variabel ID]]&lt;&gt;LineærRegression_Valg[[#This Row],[Uafhængig variabel ID]]</f>
        <v>1</v>
      </c>
      <c r="E111" t="b">
        <f>LineærRegression_Valg[[#This Row],[Afhængig variabel ID]]&lt;=$B$5</f>
        <v>0</v>
      </c>
      <c r="F111" t="str" cm="1">
        <f t="array" ref="F111">IF(LineærRegression_Valg[[#This Row],[Indenfor range]],INDEX(DataTitel_liste,LineærRegression_Valg[[#This Row],[Afhængig variabel ID]]),INDEX(DataTitel_liste,1))</f>
        <v>Eksempel 1 (interval)</v>
      </c>
      <c r="G111" s="171" t="str" cm="1">
        <f t="array" ref="G111">IF(LineærRegression_Valg[[#This Row],[Indenfor range]],IF(LineærRegression_Valg[[#This Row],[Intet overlap]],INDEX(DataTitel_liste,LineærRegression_Valg[[#This Row],[Uafhængig variabel ID]]),INDEX(DataTitel_liste,IF(LineærRegression_Valg[[#This Row],[Afhængig variabel ID]]=1,2,1))),$B$7)</f>
        <v>Eksempel 2 (interval)</v>
      </c>
      <c r="H111" s="171">
        <f>_xlfn.AGGREGATE(2,5,LineærRegression_Valg[[#This Row],[Tabel ID]])</f>
        <v>1</v>
      </c>
    </row>
    <row r="112" spans="1:8" x14ac:dyDescent="0.2">
      <c r="A112">
        <f>ROW(LineærRegression_Valg[[#This Row],[Tabel ID]])-ROW(LineærRegression_Valg[[#Headers],[Tabel ID]])</f>
        <v>102</v>
      </c>
      <c r="B112" s="171">
        <f>ROUNDDOWN((LineærRegression_Valg[[#This Row],[Tabel ID]]-1)/$B$5,0)+1</f>
        <v>26</v>
      </c>
      <c r="C112" s="171">
        <f t="shared" si="1"/>
        <v>2</v>
      </c>
      <c r="D112" s="171" t="b">
        <f>LineærRegression_Valg[[#This Row],[Afhængig variabel ID]]&lt;&gt;LineærRegression_Valg[[#This Row],[Uafhængig variabel ID]]</f>
        <v>1</v>
      </c>
      <c r="E112" t="b">
        <f>LineærRegression_Valg[[#This Row],[Afhængig variabel ID]]&lt;=$B$5</f>
        <v>0</v>
      </c>
      <c r="F112" t="str" cm="1">
        <f t="array" ref="F112">IF(LineærRegression_Valg[[#This Row],[Indenfor range]],INDEX(DataTitel_liste,LineærRegression_Valg[[#This Row],[Afhængig variabel ID]]),INDEX(DataTitel_liste,1))</f>
        <v>Eksempel 1 (interval)</v>
      </c>
      <c r="G112" s="171" t="str" cm="1">
        <f t="array" ref="G112">IF(LineærRegression_Valg[[#This Row],[Indenfor range]],IF(LineærRegression_Valg[[#This Row],[Intet overlap]],INDEX(DataTitel_liste,LineærRegression_Valg[[#This Row],[Uafhængig variabel ID]]),INDEX(DataTitel_liste,IF(LineærRegression_Valg[[#This Row],[Afhængig variabel ID]]=1,2,1))),$B$7)</f>
        <v>Eksempel 2 (interval)</v>
      </c>
      <c r="H112" s="171">
        <f>_xlfn.AGGREGATE(2,5,LineærRegression_Valg[[#This Row],[Tabel ID]])</f>
        <v>1</v>
      </c>
    </row>
    <row r="113" spans="1:8" x14ac:dyDescent="0.2">
      <c r="A113">
        <f>ROW(LineærRegression_Valg[[#This Row],[Tabel ID]])-ROW(LineærRegression_Valg[[#Headers],[Tabel ID]])</f>
        <v>103</v>
      </c>
      <c r="B113" s="171">
        <f>ROUNDDOWN((LineærRegression_Valg[[#This Row],[Tabel ID]]-1)/$B$5,0)+1</f>
        <v>26</v>
      </c>
      <c r="C113" s="171">
        <f t="shared" si="1"/>
        <v>3</v>
      </c>
      <c r="D113" s="171" t="b">
        <f>LineærRegression_Valg[[#This Row],[Afhængig variabel ID]]&lt;&gt;LineærRegression_Valg[[#This Row],[Uafhængig variabel ID]]</f>
        <v>1</v>
      </c>
      <c r="E113" t="b">
        <f>LineærRegression_Valg[[#This Row],[Afhængig variabel ID]]&lt;=$B$5</f>
        <v>0</v>
      </c>
      <c r="F113" t="str" cm="1">
        <f t="array" ref="F113">IF(LineærRegression_Valg[[#This Row],[Indenfor range]],INDEX(DataTitel_liste,LineærRegression_Valg[[#This Row],[Afhængig variabel ID]]),INDEX(DataTitel_liste,1))</f>
        <v>Eksempel 1 (interval)</v>
      </c>
      <c r="G113" s="171" t="str" cm="1">
        <f t="array" ref="G113">IF(LineærRegression_Valg[[#This Row],[Indenfor range]],IF(LineærRegression_Valg[[#This Row],[Intet overlap]],INDEX(DataTitel_liste,LineærRegression_Valg[[#This Row],[Uafhængig variabel ID]]),INDEX(DataTitel_liste,IF(LineærRegression_Valg[[#This Row],[Afhængig variabel ID]]=1,2,1))),$B$7)</f>
        <v>Eksempel 2 (interval)</v>
      </c>
      <c r="H113" s="171">
        <f>_xlfn.AGGREGATE(2,5,LineærRegression_Valg[[#This Row],[Tabel ID]])</f>
        <v>1</v>
      </c>
    </row>
    <row r="114" spans="1:8" x14ac:dyDescent="0.2">
      <c r="A114">
        <f>ROW(LineærRegression_Valg[[#This Row],[Tabel ID]])-ROW(LineærRegression_Valg[[#Headers],[Tabel ID]])</f>
        <v>104</v>
      </c>
      <c r="B114" s="171">
        <f>ROUNDDOWN((LineærRegression_Valg[[#This Row],[Tabel ID]]-1)/$B$5,0)+1</f>
        <v>26</v>
      </c>
      <c r="C114" s="171">
        <f t="shared" si="1"/>
        <v>4</v>
      </c>
      <c r="D114" s="171" t="b">
        <f>LineærRegression_Valg[[#This Row],[Afhængig variabel ID]]&lt;&gt;LineærRegression_Valg[[#This Row],[Uafhængig variabel ID]]</f>
        <v>1</v>
      </c>
      <c r="E114" t="b">
        <f>LineærRegression_Valg[[#This Row],[Afhængig variabel ID]]&lt;=$B$5</f>
        <v>0</v>
      </c>
      <c r="F114" t="str" cm="1">
        <f t="array" ref="F114">IF(LineærRegression_Valg[[#This Row],[Indenfor range]],INDEX(DataTitel_liste,LineærRegression_Valg[[#This Row],[Afhængig variabel ID]]),INDEX(DataTitel_liste,1))</f>
        <v>Eksempel 1 (interval)</v>
      </c>
      <c r="G114" s="171" t="str" cm="1">
        <f t="array" ref="G114">IF(LineærRegression_Valg[[#This Row],[Indenfor range]],IF(LineærRegression_Valg[[#This Row],[Intet overlap]],INDEX(DataTitel_liste,LineærRegression_Valg[[#This Row],[Uafhængig variabel ID]]),INDEX(DataTitel_liste,IF(LineærRegression_Valg[[#This Row],[Afhængig variabel ID]]=1,2,1))),$B$7)</f>
        <v>Eksempel 2 (interval)</v>
      </c>
      <c r="H114" s="171">
        <f>_xlfn.AGGREGATE(2,5,LineærRegression_Valg[[#This Row],[Tabel ID]])</f>
        <v>1</v>
      </c>
    </row>
    <row r="115" spans="1:8" x14ac:dyDescent="0.2">
      <c r="A115">
        <f>ROW(LineærRegression_Valg[[#This Row],[Tabel ID]])-ROW(LineærRegression_Valg[[#Headers],[Tabel ID]])</f>
        <v>105</v>
      </c>
      <c r="B115" s="171">
        <f>ROUNDDOWN((LineærRegression_Valg[[#This Row],[Tabel ID]]-1)/$B$5,0)+1</f>
        <v>27</v>
      </c>
      <c r="C115" s="171">
        <f t="shared" si="1"/>
        <v>1</v>
      </c>
      <c r="D115" s="171" t="b">
        <f>LineærRegression_Valg[[#This Row],[Afhængig variabel ID]]&lt;&gt;LineærRegression_Valg[[#This Row],[Uafhængig variabel ID]]</f>
        <v>1</v>
      </c>
      <c r="E115" t="b">
        <f>LineærRegression_Valg[[#This Row],[Afhængig variabel ID]]&lt;=$B$5</f>
        <v>0</v>
      </c>
      <c r="F115" t="str" cm="1">
        <f t="array" ref="F115">IF(LineærRegression_Valg[[#This Row],[Indenfor range]],INDEX(DataTitel_liste,LineærRegression_Valg[[#This Row],[Afhængig variabel ID]]),INDEX(DataTitel_liste,1))</f>
        <v>Eksempel 1 (interval)</v>
      </c>
      <c r="G115" s="171" t="str" cm="1">
        <f t="array" ref="G115">IF(LineærRegression_Valg[[#This Row],[Indenfor range]],IF(LineærRegression_Valg[[#This Row],[Intet overlap]],INDEX(DataTitel_liste,LineærRegression_Valg[[#This Row],[Uafhængig variabel ID]]),INDEX(DataTitel_liste,IF(LineærRegression_Valg[[#This Row],[Afhængig variabel ID]]=1,2,1))),$B$7)</f>
        <v>Eksempel 2 (interval)</v>
      </c>
      <c r="H115" s="171">
        <f>_xlfn.AGGREGATE(2,5,LineærRegression_Valg[[#This Row],[Tabel ID]])</f>
        <v>1</v>
      </c>
    </row>
    <row r="116" spans="1:8" x14ac:dyDescent="0.2">
      <c r="A116">
        <f>ROW(LineærRegression_Valg[[#This Row],[Tabel ID]])-ROW(LineærRegression_Valg[[#Headers],[Tabel ID]])</f>
        <v>106</v>
      </c>
      <c r="B116" s="171">
        <f>ROUNDDOWN((LineærRegression_Valg[[#This Row],[Tabel ID]]-1)/$B$5,0)+1</f>
        <v>27</v>
      </c>
      <c r="C116" s="171">
        <f t="shared" si="1"/>
        <v>2</v>
      </c>
      <c r="D116" s="171" t="b">
        <f>LineærRegression_Valg[[#This Row],[Afhængig variabel ID]]&lt;&gt;LineærRegression_Valg[[#This Row],[Uafhængig variabel ID]]</f>
        <v>1</v>
      </c>
      <c r="E116" t="b">
        <f>LineærRegression_Valg[[#This Row],[Afhængig variabel ID]]&lt;=$B$5</f>
        <v>0</v>
      </c>
      <c r="F116" t="str" cm="1">
        <f t="array" ref="F116">IF(LineærRegression_Valg[[#This Row],[Indenfor range]],INDEX(DataTitel_liste,LineærRegression_Valg[[#This Row],[Afhængig variabel ID]]),INDEX(DataTitel_liste,1))</f>
        <v>Eksempel 1 (interval)</v>
      </c>
      <c r="G116" s="171" t="str" cm="1">
        <f t="array" ref="G116">IF(LineærRegression_Valg[[#This Row],[Indenfor range]],IF(LineærRegression_Valg[[#This Row],[Intet overlap]],INDEX(DataTitel_liste,LineærRegression_Valg[[#This Row],[Uafhængig variabel ID]]),INDEX(DataTitel_liste,IF(LineærRegression_Valg[[#This Row],[Afhængig variabel ID]]=1,2,1))),$B$7)</f>
        <v>Eksempel 2 (interval)</v>
      </c>
      <c r="H116" s="171">
        <f>_xlfn.AGGREGATE(2,5,LineærRegression_Valg[[#This Row],[Tabel ID]])</f>
        <v>1</v>
      </c>
    </row>
    <row r="117" spans="1:8" x14ac:dyDescent="0.2">
      <c r="A117">
        <f>ROW(LineærRegression_Valg[[#This Row],[Tabel ID]])-ROW(LineærRegression_Valg[[#Headers],[Tabel ID]])</f>
        <v>107</v>
      </c>
      <c r="B117" s="171">
        <f>ROUNDDOWN((LineærRegression_Valg[[#This Row],[Tabel ID]]-1)/$B$5,0)+1</f>
        <v>27</v>
      </c>
      <c r="C117" s="171">
        <f t="shared" si="1"/>
        <v>3</v>
      </c>
      <c r="D117" s="171" t="b">
        <f>LineærRegression_Valg[[#This Row],[Afhængig variabel ID]]&lt;&gt;LineærRegression_Valg[[#This Row],[Uafhængig variabel ID]]</f>
        <v>1</v>
      </c>
      <c r="E117" t="b">
        <f>LineærRegression_Valg[[#This Row],[Afhængig variabel ID]]&lt;=$B$5</f>
        <v>0</v>
      </c>
      <c r="F117" t="str" cm="1">
        <f t="array" ref="F117">IF(LineærRegression_Valg[[#This Row],[Indenfor range]],INDEX(DataTitel_liste,LineærRegression_Valg[[#This Row],[Afhængig variabel ID]]),INDEX(DataTitel_liste,1))</f>
        <v>Eksempel 1 (interval)</v>
      </c>
      <c r="G117" s="171" t="str" cm="1">
        <f t="array" ref="G117">IF(LineærRegression_Valg[[#This Row],[Indenfor range]],IF(LineærRegression_Valg[[#This Row],[Intet overlap]],INDEX(DataTitel_liste,LineærRegression_Valg[[#This Row],[Uafhængig variabel ID]]),INDEX(DataTitel_liste,IF(LineærRegression_Valg[[#This Row],[Afhængig variabel ID]]=1,2,1))),$B$7)</f>
        <v>Eksempel 2 (interval)</v>
      </c>
      <c r="H117" s="171">
        <f>_xlfn.AGGREGATE(2,5,LineærRegression_Valg[[#This Row],[Tabel ID]])</f>
        <v>1</v>
      </c>
    </row>
    <row r="118" spans="1:8" x14ac:dyDescent="0.2">
      <c r="A118">
        <f>ROW(LineærRegression_Valg[[#This Row],[Tabel ID]])-ROW(LineærRegression_Valg[[#Headers],[Tabel ID]])</f>
        <v>108</v>
      </c>
      <c r="B118" s="171">
        <f>ROUNDDOWN((LineærRegression_Valg[[#This Row],[Tabel ID]]-1)/$B$5,0)+1</f>
        <v>27</v>
      </c>
      <c r="C118" s="171">
        <f t="shared" si="1"/>
        <v>4</v>
      </c>
      <c r="D118" s="171" t="b">
        <f>LineærRegression_Valg[[#This Row],[Afhængig variabel ID]]&lt;&gt;LineærRegression_Valg[[#This Row],[Uafhængig variabel ID]]</f>
        <v>1</v>
      </c>
      <c r="E118" t="b">
        <f>LineærRegression_Valg[[#This Row],[Afhængig variabel ID]]&lt;=$B$5</f>
        <v>0</v>
      </c>
      <c r="F118" t="str" cm="1">
        <f t="array" ref="F118">IF(LineærRegression_Valg[[#This Row],[Indenfor range]],INDEX(DataTitel_liste,LineærRegression_Valg[[#This Row],[Afhængig variabel ID]]),INDEX(DataTitel_liste,1))</f>
        <v>Eksempel 1 (interval)</v>
      </c>
      <c r="G118" s="171" t="str" cm="1">
        <f t="array" ref="G118">IF(LineærRegression_Valg[[#This Row],[Indenfor range]],IF(LineærRegression_Valg[[#This Row],[Intet overlap]],INDEX(DataTitel_liste,LineærRegression_Valg[[#This Row],[Uafhængig variabel ID]]),INDEX(DataTitel_liste,IF(LineærRegression_Valg[[#This Row],[Afhængig variabel ID]]=1,2,1))),$B$7)</f>
        <v>Eksempel 2 (interval)</v>
      </c>
      <c r="H118" s="171">
        <f>_xlfn.AGGREGATE(2,5,LineærRegression_Valg[[#This Row],[Tabel ID]])</f>
        <v>1</v>
      </c>
    </row>
    <row r="119" spans="1:8" x14ac:dyDescent="0.2">
      <c r="A119">
        <f>ROW(LineærRegression_Valg[[#This Row],[Tabel ID]])-ROW(LineærRegression_Valg[[#Headers],[Tabel ID]])</f>
        <v>109</v>
      </c>
      <c r="B119" s="171">
        <f>ROUNDDOWN((LineærRegression_Valg[[#This Row],[Tabel ID]]-1)/$B$5,0)+1</f>
        <v>28</v>
      </c>
      <c r="C119" s="171">
        <f t="shared" si="1"/>
        <v>1</v>
      </c>
      <c r="D119" s="171" t="b">
        <f>LineærRegression_Valg[[#This Row],[Afhængig variabel ID]]&lt;&gt;LineærRegression_Valg[[#This Row],[Uafhængig variabel ID]]</f>
        <v>1</v>
      </c>
      <c r="E119" t="b">
        <f>LineærRegression_Valg[[#This Row],[Afhængig variabel ID]]&lt;=$B$5</f>
        <v>0</v>
      </c>
      <c r="F119" t="str" cm="1">
        <f t="array" ref="F119">IF(LineærRegression_Valg[[#This Row],[Indenfor range]],INDEX(DataTitel_liste,LineærRegression_Valg[[#This Row],[Afhængig variabel ID]]),INDEX(DataTitel_liste,1))</f>
        <v>Eksempel 1 (interval)</v>
      </c>
      <c r="G119" s="171" t="str" cm="1">
        <f t="array" ref="G119">IF(LineærRegression_Valg[[#This Row],[Indenfor range]],IF(LineærRegression_Valg[[#This Row],[Intet overlap]],INDEX(DataTitel_liste,LineærRegression_Valg[[#This Row],[Uafhængig variabel ID]]),INDEX(DataTitel_liste,IF(LineærRegression_Valg[[#This Row],[Afhængig variabel ID]]=1,2,1))),$B$7)</f>
        <v>Eksempel 2 (interval)</v>
      </c>
      <c r="H119" s="171">
        <f>_xlfn.AGGREGATE(2,5,LineærRegression_Valg[[#This Row],[Tabel ID]])</f>
        <v>1</v>
      </c>
    </row>
    <row r="120" spans="1:8" x14ac:dyDescent="0.2">
      <c r="A120">
        <f>ROW(LineærRegression_Valg[[#This Row],[Tabel ID]])-ROW(LineærRegression_Valg[[#Headers],[Tabel ID]])</f>
        <v>110</v>
      </c>
      <c r="B120" s="171">
        <f>ROUNDDOWN((LineærRegression_Valg[[#This Row],[Tabel ID]]-1)/$B$5,0)+1</f>
        <v>28</v>
      </c>
      <c r="C120" s="171">
        <f t="shared" si="1"/>
        <v>2</v>
      </c>
      <c r="D120" s="171" t="b">
        <f>LineærRegression_Valg[[#This Row],[Afhængig variabel ID]]&lt;&gt;LineærRegression_Valg[[#This Row],[Uafhængig variabel ID]]</f>
        <v>1</v>
      </c>
      <c r="E120" t="b">
        <f>LineærRegression_Valg[[#This Row],[Afhængig variabel ID]]&lt;=$B$5</f>
        <v>0</v>
      </c>
      <c r="F120" t="str" cm="1">
        <f t="array" ref="F120">IF(LineærRegression_Valg[[#This Row],[Indenfor range]],INDEX(DataTitel_liste,LineærRegression_Valg[[#This Row],[Afhængig variabel ID]]),INDEX(DataTitel_liste,1))</f>
        <v>Eksempel 1 (interval)</v>
      </c>
      <c r="G120" s="171" t="str" cm="1">
        <f t="array" ref="G120">IF(LineærRegression_Valg[[#This Row],[Indenfor range]],IF(LineærRegression_Valg[[#This Row],[Intet overlap]],INDEX(DataTitel_liste,LineærRegression_Valg[[#This Row],[Uafhængig variabel ID]]),INDEX(DataTitel_liste,IF(LineærRegression_Valg[[#This Row],[Afhængig variabel ID]]=1,2,1))),$B$7)</f>
        <v>Eksempel 2 (interval)</v>
      </c>
      <c r="H120" s="171">
        <f>_xlfn.AGGREGATE(2,5,LineærRegression_Valg[[#This Row],[Tabel ID]])</f>
        <v>1</v>
      </c>
    </row>
    <row r="121" spans="1:8" x14ac:dyDescent="0.2">
      <c r="A121">
        <f>ROW(LineærRegression_Valg[[#This Row],[Tabel ID]])-ROW(LineærRegression_Valg[[#Headers],[Tabel ID]])</f>
        <v>111</v>
      </c>
      <c r="B121" s="171">
        <f>ROUNDDOWN((LineærRegression_Valg[[#This Row],[Tabel ID]]-1)/$B$5,0)+1</f>
        <v>28</v>
      </c>
      <c r="C121" s="171">
        <f t="shared" si="1"/>
        <v>3</v>
      </c>
      <c r="D121" s="171" t="b">
        <f>LineærRegression_Valg[[#This Row],[Afhængig variabel ID]]&lt;&gt;LineærRegression_Valg[[#This Row],[Uafhængig variabel ID]]</f>
        <v>1</v>
      </c>
      <c r="E121" t="b">
        <f>LineærRegression_Valg[[#This Row],[Afhængig variabel ID]]&lt;=$B$5</f>
        <v>0</v>
      </c>
      <c r="F121" t="str" cm="1">
        <f t="array" ref="F121">IF(LineærRegression_Valg[[#This Row],[Indenfor range]],INDEX(DataTitel_liste,LineærRegression_Valg[[#This Row],[Afhængig variabel ID]]),INDEX(DataTitel_liste,1))</f>
        <v>Eksempel 1 (interval)</v>
      </c>
      <c r="G121" s="171" t="str" cm="1">
        <f t="array" ref="G121">IF(LineærRegression_Valg[[#This Row],[Indenfor range]],IF(LineærRegression_Valg[[#This Row],[Intet overlap]],INDEX(DataTitel_liste,LineærRegression_Valg[[#This Row],[Uafhængig variabel ID]]),INDEX(DataTitel_liste,IF(LineærRegression_Valg[[#This Row],[Afhængig variabel ID]]=1,2,1))),$B$7)</f>
        <v>Eksempel 2 (interval)</v>
      </c>
      <c r="H121" s="171">
        <f>_xlfn.AGGREGATE(2,5,LineærRegression_Valg[[#This Row],[Tabel ID]])</f>
        <v>1</v>
      </c>
    </row>
    <row r="122" spans="1:8" x14ac:dyDescent="0.2">
      <c r="A122">
        <f>ROW(LineærRegression_Valg[[#This Row],[Tabel ID]])-ROW(LineærRegression_Valg[[#Headers],[Tabel ID]])</f>
        <v>112</v>
      </c>
      <c r="B122" s="171">
        <f>ROUNDDOWN((LineærRegression_Valg[[#This Row],[Tabel ID]]-1)/$B$5,0)+1</f>
        <v>28</v>
      </c>
      <c r="C122" s="171">
        <f t="shared" si="1"/>
        <v>4</v>
      </c>
      <c r="D122" s="171" t="b">
        <f>LineærRegression_Valg[[#This Row],[Afhængig variabel ID]]&lt;&gt;LineærRegression_Valg[[#This Row],[Uafhængig variabel ID]]</f>
        <v>1</v>
      </c>
      <c r="E122" t="b">
        <f>LineærRegression_Valg[[#This Row],[Afhængig variabel ID]]&lt;=$B$5</f>
        <v>0</v>
      </c>
      <c r="F122" t="str" cm="1">
        <f t="array" ref="F122">IF(LineærRegression_Valg[[#This Row],[Indenfor range]],INDEX(DataTitel_liste,LineærRegression_Valg[[#This Row],[Afhængig variabel ID]]),INDEX(DataTitel_liste,1))</f>
        <v>Eksempel 1 (interval)</v>
      </c>
      <c r="G122" s="171" t="str" cm="1">
        <f t="array" ref="G122">IF(LineærRegression_Valg[[#This Row],[Indenfor range]],IF(LineærRegression_Valg[[#This Row],[Intet overlap]],INDEX(DataTitel_liste,LineærRegression_Valg[[#This Row],[Uafhængig variabel ID]]),INDEX(DataTitel_liste,IF(LineærRegression_Valg[[#This Row],[Afhængig variabel ID]]=1,2,1))),$B$7)</f>
        <v>Eksempel 2 (interval)</v>
      </c>
      <c r="H122" s="171">
        <f>_xlfn.AGGREGATE(2,5,LineærRegression_Valg[[#This Row],[Tabel ID]])</f>
        <v>1</v>
      </c>
    </row>
    <row r="123" spans="1:8" x14ac:dyDescent="0.2">
      <c r="A123">
        <f>ROW(LineærRegression_Valg[[#This Row],[Tabel ID]])-ROW(LineærRegression_Valg[[#Headers],[Tabel ID]])</f>
        <v>113</v>
      </c>
      <c r="B123" s="171">
        <f>ROUNDDOWN((LineærRegression_Valg[[#This Row],[Tabel ID]]-1)/$B$5,0)+1</f>
        <v>29</v>
      </c>
      <c r="C123" s="171">
        <f t="shared" si="1"/>
        <v>1</v>
      </c>
      <c r="D123" s="171" t="b">
        <f>LineærRegression_Valg[[#This Row],[Afhængig variabel ID]]&lt;&gt;LineærRegression_Valg[[#This Row],[Uafhængig variabel ID]]</f>
        <v>1</v>
      </c>
      <c r="E123" t="b">
        <f>LineærRegression_Valg[[#This Row],[Afhængig variabel ID]]&lt;=$B$5</f>
        <v>0</v>
      </c>
      <c r="F123" t="str" cm="1">
        <f t="array" ref="F123">IF(LineærRegression_Valg[[#This Row],[Indenfor range]],INDEX(DataTitel_liste,LineærRegression_Valg[[#This Row],[Afhængig variabel ID]]),INDEX(DataTitel_liste,1))</f>
        <v>Eksempel 1 (interval)</v>
      </c>
      <c r="G123" s="171" t="str" cm="1">
        <f t="array" ref="G123">IF(LineærRegression_Valg[[#This Row],[Indenfor range]],IF(LineærRegression_Valg[[#This Row],[Intet overlap]],INDEX(DataTitel_liste,LineærRegression_Valg[[#This Row],[Uafhængig variabel ID]]),INDEX(DataTitel_liste,IF(LineærRegression_Valg[[#This Row],[Afhængig variabel ID]]=1,2,1))),$B$7)</f>
        <v>Eksempel 2 (interval)</v>
      </c>
      <c r="H123" s="171">
        <f>_xlfn.AGGREGATE(2,5,LineærRegression_Valg[[#This Row],[Tabel ID]])</f>
        <v>1</v>
      </c>
    </row>
    <row r="124" spans="1:8" x14ac:dyDescent="0.2">
      <c r="A124">
        <f>ROW(LineærRegression_Valg[[#This Row],[Tabel ID]])-ROW(LineærRegression_Valg[[#Headers],[Tabel ID]])</f>
        <v>114</v>
      </c>
      <c r="B124" s="171">
        <f>ROUNDDOWN((LineærRegression_Valg[[#This Row],[Tabel ID]]-1)/$B$5,0)+1</f>
        <v>29</v>
      </c>
      <c r="C124" s="171">
        <f t="shared" si="1"/>
        <v>2</v>
      </c>
      <c r="D124" s="171" t="b">
        <f>LineærRegression_Valg[[#This Row],[Afhængig variabel ID]]&lt;&gt;LineærRegression_Valg[[#This Row],[Uafhængig variabel ID]]</f>
        <v>1</v>
      </c>
      <c r="E124" t="b">
        <f>LineærRegression_Valg[[#This Row],[Afhængig variabel ID]]&lt;=$B$5</f>
        <v>0</v>
      </c>
      <c r="F124" t="str" cm="1">
        <f t="array" ref="F124">IF(LineærRegression_Valg[[#This Row],[Indenfor range]],INDEX(DataTitel_liste,LineærRegression_Valg[[#This Row],[Afhængig variabel ID]]),INDEX(DataTitel_liste,1))</f>
        <v>Eksempel 1 (interval)</v>
      </c>
      <c r="G124" s="171" t="str" cm="1">
        <f t="array" ref="G124">IF(LineærRegression_Valg[[#This Row],[Indenfor range]],IF(LineærRegression_Valg[[#This Row],[Intet overlap]],INDEX(DataTitel_liste,LineærRegression_Valg[[#This Row],[Uafhængig variabel ID]]),INDEX(DataTitel_liste,IF(LineærRegression_Valg[[#This Row],[Afhængig variabel ID]]=1,2,1))),$B$7)</f>
        <v>Eksempel 2 (interval)</v>
      </c>
      <c r="H124" s="171">
        <f>_xlfn.AGGREGATE(2,5,LineærRegression_Valg[[#This Row],[Tabel ID]])</f>
        <v>1</v>
      </c>
    </row>
    <row r="125" spans="1:8" x14ac:dyDescent="0.2">
      <c r="A125">
        <f>ROW(LineærRegression_Valg[[#This Row],[Tabel ID]])-ROW(LineærRegression_Valg[[#Headers],[Tabel ID]])</f>
        <v>115</v>
      </c>
      <c r="B125" s="171">
        <f>ROUNDDOWN((LineærRegression_Valg[[#This Row],[Tabel ID]]-1)/$B$5,0)+1</f>
        <v>29</v>
      </c>
      <c r="C125" s="171">
        <f t="shared" si="1"/>
        <v>3</v>
      </c>
      <c r="D125" s="171" t="b">
        <f>LineærRegression_Valg[[#This Row],[Afhængig variabel ID]]&lt;&gt;LineærRegression_Valg[[#This Row],[Uafhængig variabel ID]]</f>
        <v>1</v>
      </c>
      <c r="E125" t="b">
        <f>LineærRegression_Valg[[#This Row],[Afhængig variabel ID]]&lt;=$B$5</f>
        <v>0</v>
      </c>
      <c r="F125" t="str" cm="1">
        <f t="array" ref="F125">IF(LineærRegression_Valg[[#This Row],[Indenfor range]],INDEX(DataTitel_liste,LineærRegression_Valg[[#This Row],[Afhængig variabel ID]]),INDEX(DataTitel_liste,1))</f>
        <v>Eksempel 1 (interval)</v>
      </c>
      <c r="G125" s="171" t="str" cm="1">
        <f t="array" ref="G125">IF(LineærRegression_Valg[[#This Row],[Indenfor range]],IF(LineærRegression_Valg[[#This Row],[Intet overlap]],INDEX(DataTitel_liste,LineærRegression_Valg[[#This Row],[Uafhængig variabel ID]]),INDEX(DataTitel_liste,IF(LineærRegression_Valg[[#This Row],[Afhængig variabel ID]]=1,2,1))),$B$7)</f>
        <v>Eksempel 2 (interval)</v>
      </c>
      <c r="H125" s="171">
        <f>_xlfn.AGGREGATE(2,5,LineærRegression_Valg[[#This Row],[Tabel ID]])</f>
        <v>1</v>
      </c>
    </row>
    <row r="126" spans="1:8" x14ac:dyDescent="0.2">
      <c r="A126">
        <f>ROW(LineærRegression_Valg[[#This Row],[Tabel ID]])-ROW(LineærRegression_Valg[[#Headers],[Tabel ID]])</f>
        <v>116</v>
      </c>
      <c r="B126" s="171">
        <f>ROUNDDOWN((LineærRegression_Valg[[#This Row],[Tabel ID]]-1)/$B$5,0)+1</f>
        <v>29</v>
      </c>
      <c r="C126" s="171">
        <f t="shared" si="1"/>
        <v>4</v>
      </c>
      <c r="D126" s="171" t="b">
        <f>LineærRegression_Valg[[#This Row],[Afhængig variabel ID]]&lt;&gt;LineærRegression_Valg[[#This Row],[Uafhængig variabel ID]]</f>
        <v>1</v>
      </c>
      <c r="E126" t="b">
        <f>LineærRegression_Valg[[#This Row],[Afhængig variabel ID]]&lt;=$B$5</f>
        <v>0</v>
      </c>
      <c r="F126" t="str" cm="1">
        <f t="array" ref="F126">IF(LineærRegression_Valg[[#This Row],[Indenfor range]],INDEX(DataTitel_liste,LineærRegression_Valg[[#This Row],[Afhængig variabel ID]]),INDEX(DataTitel_liste,1))</f>
        <v>Eksempel 1 (interval)</v>
      </c>
      <c r="G126" s="171" t="str" cm="1">
        <f t="array" ref="G126">IF(LineærRegression_Valg[[#This Row],[Indenfor range]],IF(LineærRegression_Valg[[#This Row],[Intet overlap]],INDEX(DataTitel_liste,LineærRegression_Valg[[#This Row],[Uafhængig variabel ID]]),INDEX(DataTitel_liste,IF(LineærRegression_Valg[[#This Row],[Afhængig variabel ID]]=1,2,1))),$B$7)</f>
        <v>Eksempel 2 (interval)</v>
      </c>
      <c r="H126" s="171">
        <f>_xlfn.AGGREGATE(2,5,LineærRegression_Valg[[#This Row],[Tabel ID]])</f>
        <v>1</v>
      </c>
    </row>
    <row r="127" spans="1:8" x14ac:dyDescent="0.2">
      <c r="A127">
        <f>ROW(LineærRegression_Valg[[#This Row],[Tabel ID]])-ROW(LineærRegression_Valg[[#Headers],[Tabel ID]])</f>
        <v>117</v>
      </c>
      <c r="B127" s="171">
        <f>ROUNDDOWN((LineærRegression_Valg[[#This Row],[Tabel ID]]-1)/$B$5,0)+1</f>
        <v>30</v>
      </c>
      <c r="C127" s="171">
        <f t="shared" si="1"/>
        <v>1</v>
      </c>
      <c r="D127" s="171" t="b">
        <f>LineærRegression_Valg[[#This Row],[Afhængig variabel ID]]&lt;&gt;LineærRegression_Valg[[#This Row],[Uafhængig variabel ID]]</f>
        <v>1</v>
      </c>
      <c r="E127" t="b">
        <f>LineærRegression_Valg[[#This Row],[Afhængig variabel ID]]&lt;=$B$5</f>
        <v>0</v>
      </c>
      <c r="F127" t="str" cm="1">
        <f t="array" ref="F127">IF(LineærRegression_Valg[[#This Row],[Indenfor range]],INDEX(DataTitel_liste,LineærRegression_Valg[[#This Row],[Afhængig variabel ID]]),INDEX(DataTitel_liste,1))</f>
        <v>Eksempel 1 (interval)</v>
      </c>
      <c r="G127" s="171" t="str" cm="1">
        <f t="array" ref="G127">IF(LineærRegression_Valg[[#This Row],[Indenfor range]],IF(LineærRegression_Valg[[#This Row],[Intet overlap]],INDEX(DataTitel_liste,LineærRegression_Valg[[#This Row],[Uafhængig variabel ID]]),INDEX(DataTitel_liste,IF(LineærRegression_Valg[[#This Row],[Afhængig variabel ID]]=1,2,1))),$B$7)</f>
        <v>Eksempel 2 (interval)</v>
      </c>
      <c r="H127" s="171">
        <f>_xlfn.AGGREGATE(2,5,LineærRegression_Valg[[#This Row],[Tabel ID]])</f>
        <v>1</v>
      </c>
    </row>
    <row r="128" spans="1:8" x14ac:dyDescent="0.2">
      <c r="A128">
        <f>ROW(LineærRegression_Valg[[#This Row],[Tabel ID]])-ROW(LineærRegression_Valg[[#Headers],[Tabel ID]])</f>
        <v>118</v>
      </c>
      <c r="B128" s="171">
        <f>ROUNDDOWN((LineærRegression_Valg[[#This Row],[Tabel ID]]-1)/$B$5,0)+1</f>
        <v>30</v>
      </c>
      <c r="C128" s="171">
        <f t="shared" si="1"/>
        <v>2</v>
      </c>
      <c r="D128" s="171" t="b">
        <f>LineærRegression_Valg[[#This Row],[Afhængig variabel ID]]&lt;&gt;LineærRegression_Valg[[#This Row],[Uafhængig variabel ID]]</f>
        <v>1</v>
      </c>
      <c r="E128" t="b">
        <f>LineærRegression_Valg[[#This Row],[Afhængig variabel ID]]&lt;=$B$5</f>
        <v>0</v>
      </c>
      <c r="F128" t="str" cm="1">
        <f t="array" ref="F128">IF(LineærRegression_Valg[[#This Row],[Indenfor range]],INDEX(DataTitel_liste,LineærRegression_Valg[[#This Row],[Afhængig variabel ID]]),INDEX(DataTitel_liste,1))</f>
        <v>Eksempel 1 (interval)</v>
      </c>
      <c r="G128" s="171" t="str" cm="1">
        <f t="array" ref="G128">IF(LineærRegression_Valg[[#This Row],[Indenfor range]],IF(LineærRegression_Valg[[#This Row],[Intet overlap]],INDEX(DataTitel_liste,LineærRegression_Valg[[#This Row],[Uafhængig variabel ID]]),INDEX(DataTitel_liste,IF(LineærRegression_Valg[[#This Row],[Afhængig variabel ID]]=1,2,1))),$B$7)</f>
        <v>Eksempel 2 (interval)</v>
      </c>
      <c r="H128" s="171">
        <f>_xlfn.AGGREGATE(2,5,LineærRegression_Valg[[#This Row],[Tabel ID]])</f>
        <v>1</v>
      </c>
    </row>
    <row r="129" spans="1:8" x14ac:dyDescent="0.2">
      <c r="A129">
        <f>ROW(LineærRegression_Valg[[#This Row],[Tabel ID]])-ROW(LineærRegression_Valg[[#Headers],[Tabel ID]])</f>
        <v>119</v>
      </c>
      <c r="B129" s="171">
        <f>ROUNDDOWN((LineærRegression_Valg[[#This Row],[Tabel ID]]-1)/$B$5,0)+1</f>
        <v>30</v>
      </c>
      <c r="C129" s="171">
        <f t="shared" si="1"/>
        <v>3</v>
      </c>
      <c r="D129" s="171" t="b">
        <f>LineærRegression_Valg[[#This Row],[Afhængig variabel ID]]&lt;&gt;LineærRegression_Valg[[#This Row],[Uafhængig variabel ID]]</f>
        <v>1</v>
      </c>
      <c r="E129" t="b">
        <f>LineærRegression_Valg[[#This Row],[Afhængig variabel ID]]&lt;=$B$5</f>
        <v>0</v>
      </c>
      <c r="F129" t="str" cm="1">
        <f t="array" ref="F129">IF(LineærRegression_Valg[[#This Row],[Indenfor range]],INDEX(DataTitel_liste,LineærRegression_Valg[[#This Row],[Afhængig variabel ID]]),INDEX(DataTitel_liste,1))</f>
        <v>Eksempel 1 (interval)</v>
      </c>
      <c r="G129" s="171" t="str" cm="1">
        <f t="array" ref="G129">IF(LineærRegression_Valg[[#This Row],[Indenfor range]],IF(LineærRegression_Valg[[#This Row],[Intet overlap]],INDEX(DataTitel_liste,LineærRegression_Valg[[#This Row],[Uafhængig variabel ID]]),INDEX(DataTitel_liste,IF(LineærRegression_Valg[[#This Row],[Afhængig variabel ID]]=1,2,1))),$B$7)</f>
        <v>Eksempel 2 (interval)</v>
      </c>
      <c r="H129" s="171">
        <f>_xlfn.AGGREGATE(2,5,LineærRegression_Valg[[#This Row],[Tabel ID]])</f>
        <v>1</v>
      </c>
    </row>
    <row r="130" spans="1:8" x14ac:dyDescent="0.2">
      <c r="A130">
        <f>ROW(LineærRegression_Valg[[#This Row],[Tabel ID]])-ROW(LineærRegression_Valg[[#Headers],[Tabel ID]])</f>
        <v>120</v>
      </c>
      <c r="B130" s="171">
        <f>ROUNDDOWN((LineærRegression_Valg[[#This Row],[Tabel ID]]-1)/$B$5,0)+1</f>
        <v>30</v>
      </c>
      <c r="C130" s="171">
        <f t="shared" si="1"/>
        <v>4</v>
      </c>
      <c r="D130" s="171" t="b">
        <f>LineærRegression_Valg[[#This Row],[Afhængig variabel ID]]&lt;&gt;LineærRegression_Valg[[#This Row],[Uafhængig variabel ID]]</f>
        <v>1</v>
      </c>
      <c r="E130" t="b">
        <f>LineærRegression_Valg[[#This Row],[Afhængig variabel ID]]&lt;=$B$5</f>
        <v>0</v>
      </c>
      <c r="F130" t="str" cm="1">
        <f t="array" ref="F130">IF(LineærRegression_Valg[[#This Row],[Indenfor range]],INDEX(DataTitel_liste,LineærRegression_Valg[[#This Row],[Afhængig variabel ID]]),INDEX(DataTitel_liste,1))</f>
        <v>Eksempel 1 (interval)</v>
      </c>
      <c r="G130" s="171" t="str" cm="1">
        <f t="array" ref="G130">IF(LineærRegression_Valg[[#This Row],[Indenfor range]],IF(LineærRegression_Valg[[#This Row],[Intet overlap]],INDEX(DataTitel_liste,LineærRegression_Valg[[#This Row],[Uafhængig variabel ID]]),INDEX(DataTitel_liste,IF(LineærRegression_Valg[[#This Row],[Afhængig variabel ID]]=1,2,1))),$B$7)</f>
        <v>Eksempel 2 (interval)</v>
      </c>
      <c r="H130" s="171">
        <f>_xlfn.AGGREGATE(2,5,LineærRegression_Valg[[#This Row],[Tabel ID]])</f>
        <v>1</v>
      </c>
    </row>
    <row r="131" spans="1:8" x14ac:dyDescent="0.2">
      <c r="A131">
        <f>ROW(LineærRegression_Valg[[#This Row],[Tabel ID]])-ROW(LineærRegression_Valg[[#Headers],[Tabel ID]])</f>
        <v>121</v>
      </c>
      <c r="B131" s="171">
        <f>ROUNDDOWN((LineærRegression_Valg[[#This Row],[Tabel ID]]-1)/$B$5,0)+1</f>
        <v>31</v>
      </c>
      <c r="C131" s="171">
        <f t="shared" si="1"/>
        <v>1</v>
      </c>
      <c r="D131" s="171" t="b">
        <f>LineærRegression_Valg[[#This Row],[Afhængig variabel ID]]&lt;&gt;LineærRegression_Valg[[#This Row],[Uafhængig variabel ID]]</f>
        <v>1</v>
      </c>
      <c r="E131" t="b">
        <f>LineærRegression_Valg[[#This Row],[Afhængig variabel ID]]&lt;=$B$5</f>
        <v>0</v>
      </c>
      <c r="F131" t="str" cm="1">
        <f t="array" ref="F131">IF(LineærRegression_Valg[[#This Row],[Indenfor range]],INDEX(DataTitel_liste,LineærRegression_Valg[[#This Row],[Afhængig variabel ID]]),INDEX(DataTitel_liste,1))</f>
        <v>Eksempel 1 (interval)</v>
      </c>
      <c r="G131" s="171" t="str" cm="1">
        <f t="array" ref="G131">IF(LineærRegression_Valg[[#This Row],[Indenfor range]],IF(LineærRegression_Valg[[#This Row],[Intet overlap]],INDEX(DataTitel_liste,LineærRegression_Valg[[#This Row],[Uafhængig variabel ID]]),INDEX(DataTitel_liste,IF(LineærRegression_Valg[[#This Row],[Afhængig variabel ID]]=1,2,1))),$B$7)</f>
        <v>Eksempel 2 (interval)</v>
      </c>
      <c r="H131" s="171">
        <f>_xlfn.AGGREGATE(2,5,LineærRegression_Valg[[#This Row],[Tabel ID]])</f>
        <v>1</v>
      </c>
    </row>
    <row r="132" spans="1:8" x14ac:dyDescent="0.2">
      <c r="A132">
        <f>ROW(LineærRegression_Valg[[#This Row],[Tabel ID]])-ROW(LineærRegression_Valg[[#Headers],[Tabel ID]])</f>
        <v>122</v>
      </c>
      <c r="B132" s="171">
        <f>ROUNDDOWN((LineærRegression_Valg[[#This Row],[Tabel ID]]-1)/$B$5,0)+1</f>
        <v>31</v>
      </c>
      <c r="C132" s="171">
        <f t="shared" si="1"/>
        <v>2</v>
      </c>
      <c r="D132" s="171" t="b">
        <f>LineærRegression_Valg[[#This Row],[Afhængig variabel ID]]&lt;&gt;LineærRegression_Valg[[#This Row],[Uafhængig variabel ID]]</f>
        <v>1</v>
      </c>
      <c r="E132" t="b">
        <f>LineærRegression_Valg[[#This Row],[Afhængig variabel ID]]&lt;=$B$5</f>
        <v>0</v>
      </c>
      <c r="F132" t="str" cm="1">
        <f t="array" ref="F132">IF(LineærRegression_Valg[[#This Row],[Indenfor range]],INDEX(DataTitel_liste,LineærRegression_Valg[[#This Row],[Afhængig variabel ID]]),INDEX(DataTitel_liste,1))</f>
        <v>Eksempel 1 (interval)</v>
      </c>
      <c r="G132" s="171" t="str" cm="1">
        <f t="array" ref="G132">IF(LineærRegression_Valg[[#This Row],[Indenfor range]],IF(LineærRegression_Valg[[#This Row],[Intet overlap]],INDEX(DataTitel_liste,LineærRegression_Valg[[#This Row],[Uafhængig variabel ID]]),INDEX(DataTitel_liste,IF(LineærRegression_Valg[[#This Row],[Afhængig variabel ID]]=1,2,1))),$B$7)</f>
        <v>Eksempel 2 (interval)</v>
      </c>
      <c r="H132" s="171">
        <f>_xlfn.AGGREGATE(2,5,LineærRegression_Valg[[#This Row],[Tabel ID]])</f>
        <v>1</v>
      </c>
    </row>
    <row r="133" spans="1:8" x14ac:dyDescent="0.2">
      <c r="A133">
        <f>ROW(LineærRegression_Valg[[#This Row],[Tabel ID]])-ROW(LineærRegression_Valg[[#Headers],[Tabel ID]])</f>
        <v>123</v>
      </c>
      <c r="B133" s="171">
        <f>ROUNDDOWN((LineærRegression_Valg[[#This Row],[Tabel ID]]-1)/$B$5,0)+1</f>
        <v>31</v>
      </c>
      <c r="C133" s="171">
        <f t="shared" si="1"/>
        <v>3</v>
      </c>
      <c r="D133" s="171" t="b">
        <f>LineærRegression_Valg[[#This Row],[Afhængig variabel ID]]&lt;&gt;LineærRegression_Valg[[#This Row],[Uafhængig variabel ID]]</f>
        <v>1</v>
      </c>
      <c r="E133" t="b">
        <f>LineærRegression_Valg[[#This Row],[Afhængig variabel ID]]&lt;=$B$5</f>
        <v>0</v>
      </c>
      <c r="F133" t="str" cm="1">
        <f t="array" ref="F133">IF(LineærRegression_Valg[[#This Row],[Indenfor range]],INDEX(DataTitel_liste,LineærRegression_Valg[[#This Row],[Afhængig variabel ID]]),INDEX(DataTitel_liste,1))</f>
        <v>Eksempel 1 (interval)</v>
      </c>
      <c r="G133" s="171" t="str" cm="1">
        <f t="array" ref="G133">IF(LineærRegression_Valg[[#This Row],[Indenfor range]],IF(LineærRegression_Valg[[#This Row],[Intet overlap]],INDEX(DataTitel_liste,LineærRegression_Valg[[#This Row],[Uafhængig variabel ID]]),INDEX(DataTitel_liste,IF(LineærRegression_Valg[[#This Row],[Afhængig variabel ID]]=1,2,1))),$B$7)</f>
        <v>Eksempel 2 (interval)</v>
      </c>
      <c r="H133" s="171">
        <f>_xlfn.AGGREGATE(2,5,LineærRegression_Valg[[#This Row],[Tabel ID]])</f>
        <v>1</v>
      </c>
    </row>
    <row r="134" spans="1:8" x14ac:dyDescent="0.2">
      <c r="A134">
        <f>ROW(LineærRegression_Valg[[#This Row],[Tabel ID]])-ROW(LineærRegression_Valg[[#Headers],[Tabel ID]])</f>
        <v>124</v>
      </c>
      <c r="B134" s="171">
        <f>ROUNDDOWN((LineærRegression_Valg[[#This Row],[Tabel ID]]-1)/$B$5,0)+1</f>
        <v>31</v>
      </c>
      <c r="C134" s="171">
        <f t="shared" si="1"/>
        <v>4</v>
      </c>
      <c r="D134" s="171" t="b">
        <f>LineærRegression_Valg[[#This Row],[Afhængig variabel ID]]&lt;&gt;LineærRegression_Valg[[#This Row],[Uafhængig variabel ID]]</f>
        <v>1</v>
      </c>
      <c r="E134" t="b">
        <f>LineærRegression_Valg[[#This Row],[Afhængig variabel ID]]&lt;=$B$5</f>
        <v>0</v>
      </c>
      <c r="F134" t="str" cm="1">
        <f t="array" ref="F134">IF(LineærRegression_Valg[[#This Row],[Indenfor range]],INDEX(DataTitel_liste,LineærRegression_Valg[[#This Row],[Afhængig variabel ID]]),INDEX(DataTitel_liste,1))</f>
        <v>Eksempel 1 (interval)</v>
      </c>
      <c r="G134" s="171" t="str" cm="1">
        <f t="array" ref="G134">IF(LineærRegression_Valg[[#This Row],[Indenfor range]],IF(LineærRegression_Valg[[#This Row],[Intet overlap]],INDEX(DataTitel_liste,LineærRegression_Valg[[#This Row],[Uafhængig variabel ID]]),INDEX(DataTitel_liste,IF(LineærRegression_Valg[[#This Row],[Afhængig variabel ID]]=1,2,1))),$B$7)</f>
        <v>Eksempel 2 (interval)</v>
      </c>
      <c r="H134" s="171">
        <f>_xlfn.AGGREGATE(2,5,LineærRegression_Valg[[#This Row],[Tabel ID]])</f>
        <v>1</v>
      </c>
    </row>
    <row r="135" spans="1:8" x14ac:dyDescent="0.2">
      <c r="A135">
        <f>ROW(LineærRegression_Valg[[#This Row],[Tabel ID]])-ROW(LineærRegression_Valg[[#Headers],[Tabel ID]])</f>
        <v>125</v>
      </c>
      <c r="B135" s="171">
        <f>ROUNDDOWN((LineærRegression_Valg[[#This Row],[Tabel ID]]-1)/$B$5,0)+1</f>
        <v>32</v>
      </c>
      <c r="C135" s="171">
        <f t="shared" si="1"/>
        <v>1</v>
      </c>
      <c r="D135" s="171" t="b">
        <f>LineærRegression_Valg[[#This Row],[Afhængig variabel ID]]&lt;&gt;LineærRegression_Valg[[#This Row],[Uafhængig variabel ID]]</f>
        <v>1</v>
      </c>
      <c r="E135" t="b">
        <f>LineærRegression_Valg[[#This Row],[Afhængig variabel ID]]&lt;=$B$5</f>
        <v>0</v>
      </c>
      <c r="F135" t="str" cm="1">
        <f t="array" ref="F135">IF(LineærRegression_Valg[[#This Row],[Indenfor range]],INDEX(DataTitel_liste,LineærRegression_Valg[[#This Row],[Afhængig variabel ID]]),INDEX(DataTitel_liste,1))</f>
        <v>Eksempel 1 (interval)</v>
      </c>
      <c r="G135" s="171" t="str" cm="1">
        <f t="array" ref="G135">IF(LineærRegression_Valg[[#This Row],[Indenfor range]],IF(LineærRegression_Valg[[#This Row],[Intet overlap]],INDEX(DataTitel_liste,LineærRegression_Valg[[#This Row],[Uafhængig variabel ID]]),INDEX(DataTitel_liste,IF(LineærRegression_Valg[[#This Row],[Afhængig variabel ID]]=1,2,1))),$B$7)</f>
        <v>Eksempel 2 (interval)</v>
      </c>
      <c r="H135" s="171">
        <f>_xlfn.AGGREGATE(2,5,LineærRegression_Valg[[#This Row],[Tabel ID]])</f>
        <v>1</v>
      </c>
    </row>
    <row r="136" spans="1:8" x14ac:dyDescent="0.2">
      <c r="A136">
        <f>ROW(LineærRegression_Valg[[#This Row],[Tabel ID]])-ROW(LineærRegression_Valg[[#Headers],[Tabel ID]])</f>
        <v>126</v>
      </c>
      <c r="B136" s="171">
        <f>ROUNDDOWN((LineærRegression_Valg[[#This Row],[Tabel ID]]-1)/$B$5,0)+1</f>
        <v>32</v>
      </c>
      <c r="C136" s="171">
        <f t="shared" si="1"/>
        <v>2</v>
      </c>
      <c r="D136" s="171" t="b">
        <f>LineærRegression_Valg[[#This Row],[Afhængig variabel ID]]&lt;&gt;LineærRegression_Valg[[#This Row],[Uafhængig variabel ID]]</f>
        <v>1</v>
      </c>
      <c r="E136" t="b">
        <f>LineærRegression_Valg[[#This Row],[Afhængig variabel ID]]&lt;=$B$5</f>
        <v>0</v>
      </c>
      <c r="F136" t="str" cm="1">
        <f t="array" ref="F136">IF(LineærRegression_Valg[[#This Row],[Indenfor range]],INDEX(DataTitel_liste,LineærRegression_Valg[[#This Row],[Afhængig variabel ID]]),INDEX(DataTitel_liste,1))</f>
        <v>Eksempel 1 (interval)</v>
      </c>
      <c r="G136" s="171" t="str" cm="1">
        <f t="array" ref="G136">IF(LineærRegression_Valg[[#This Row],[Indenfor range]],IF(LineærRegression_Valg[[#This Row],[Intet overlap]],INDEX(DataTitel_liste,LineærRegression_Valg[[#This Row],[Uafhængig variabel ID]]),INDEX(DataTitel_liste,IF(LineærRegression_Valg[[#This Row],[Afhængig variabel ID]]=1,2,1))),$B$7)</f>
        <v>Eksempel 2 (interval)</v>
      </c>
      <c r="H136" s="171">
        <f>_xlfn.AGGREGATE(2,5,LineærRegression_Valg[[#This Row],[Tabel ID]])</f>
        <v>1</v>
      </c>
    </row>
    <row r="137" spans="1:8" x14ac:dyDescent="0.2">
      <c r="A137">
        <f>ROW(LineærRegression_Valg[[#This Row],[Tabel ID]])-ROW(LineærRegression_Valg[[#Headers],[Tabel ID]])</f>
        <v>127</v>
      </c>
      <c r="B137" s="171">
        <f>ROUNDDOWN((LineærRegression_Valg[[#This Row],[Tabel ID]]-1)/$B$5,0)+1</f>
        <v>32</v>
      </c>
      <c r="C137" s="171">
        <f t="shared" si="1"/>
        <v>3</v>
      </c>
      <c r="D137" s="171" t="b">
        <f>LineærRegression_Valg[[#This Row],[Afhængig variabel ID]]&lt;&gt;LineærRegression_Valg[[#This Row],[Uafhængig variabel ID]]</f>
        <v>1</v>
      </c>
      <c r="E137" t="b">
        <f>LineærRegression_Valg[[#This Row],[Afhængig variabel ID]]&lt;=$B$5</f>
        <v>0</v>
      </c>
      <c r="F137" t="str" cm="1">
        <f t="array" ref="F137">IF(LineærRegression_Valg[[#This Row],[Indenfor range]],INDEX(DataTitel_liste,LineærRegression_Valg[[#This Row],[Afhængig variabel ID]]),INDEX(DataTitel_liste,1))</f>
        <v>Eksempel 1 (interval)</v>
      </c>
      <c r="G137" s="171" t="str" cm="1">
        <f t="array" ref="G137">IF(LineærRegression_Valg[[#This Row],[Indenfor range]],IF(LineærRegression_Valg[[#This Row],[Intet overlap]],INDEX(DataTitel_liste,LineærRegression_Valg[[#This Row],[Uafhængig variabel ID]]),INDEX(DataTitel_liste,IF(LineærRegression_Valg[[#This Row],[Afhængig variabel ID]]=1,2,1))),$B$7)</f>
        <v>Eksempel 2 (interval)</v>
      </c>
      <c r="H137" s="171">
        <f>_xlfn.AGGREGATE(2,5,LineærRegression_Valg[[#This Row],[Tabel ID]])</f>
        <v>1</v>
      </c>
    </row>
    <row r="138" spans="1:8" x14ac:dyDescent="0.2">
      <c r="A138">
        <f>ROW(LineærRegression_Valg[[#This Row],[Tabel ID]])-ROW(LineærRegression_Valg[[#Headers],[Tabel ID]])</f>
        <v>128</v>
      </c>
      <c r="B138" s="171">
        <f>ROUNDDOWN((LineærRegression_Valg[[#This Row],[Tabel ID]]-1)/$B$5,0)+1</f>
        <v>32</v>
      </c>
      <c r="C138" s="171">
        <f t="shared" si="1"/>
        <v>4</v>
      </c>
      <c r="D138" s="171" t="b">
        <f>LineærRegression_Valg[[#This Row],[Afhængig variabel ID]]&lt;&gt;LineærRegression_Valg[[#This Row],[Uafhængig variabel ID]]</f>
        <v>1</v>
      </c>
      <c r="E138" t="b">
        <f>LineærRegression_Valg[[#This Row],[Afhængig variabel ID]]&lt;=$B$5</f>
        <v>0</v>
      </c>
      <c r="F138" t="str" cm="1">
        <f t="array" ref="F138">IF(LineærRegression_Valg[[#This Row],[Indenfor range]],INDEX(DataTitel_liste,LineærRegression_Valg[[#This Row],[Afhængig variabel ID]]),INDEX(DataTitel_liste,1))</f>
        <v>Eksempel 1 (interval)</v>
      </c>
      <c r="G138" s="171" t="str" cm="1">
        <f t="array" ref="G138">IF(LineærRegression_Valg[[#This Row],[Indenfor range]],IF(LineærRegression_Valg[[#This Row],[Intet overlap]],INDEX(DataTitel_liste,LineærRegression_Valg[[#This Row],[Uafhængig variabel ID]]),INDEX(DataTitel_liste,IF(LineærRegression_Valg[[#This Row],[Afhængig variabel ID]]=1,2,1))),$B$7)</f>
        <v>Eksempel 2 (interval)</v>
      </c>
      <c r="H138" s="171">
        <f>_xlfn.AGGREGATE(2,5,LineærRegression_Valg[[#This Row],[Tabel ID]])</f>
        <v>1</v>
      </c>
    </row>
    <row r="139" spans="1:8" x14ac:dyDescent="0.2">
      <c r="A139">
        <f>ROW(LineærRegression_Valg[[#This Row],[Tabel ID]])-ROW(LineærRegression_Valg[[#Headers],[Tabel ID]])</f>
        <v>129</v>
      </c>
      <c r="B139" s="171">
        <f>ROUNDDOWN((LineærRegression_Valg[[#This Row],[Tabel ID]]-1)/$B$5,0)+1</f>
        <v>33</v>
      </c>
      <c r="C139" s="171">
        <f t="shared" ref="C139:C202" si="2">MOD(A139-1,$B$5)+1</f>
        <v>1</v>
      </c>
      <c r="D139" s="171" t="b">
        <f>LineærRegression_Valg[[#This Row],[Afhængig variabel ID]]&lt;&gt;LineærRegression_Valg[[#This Row],[Uafhængig variabel ID]]</f>
        <v>1</v>
      </c>
      <c r="E139" t="b">
        <f>LineærRegression_Valg[[#This Row],[Afhængig variabel ID]]&lt;=$B$5</f>
        <v>0</v>
      </c>
      <c r="F139" t="str" cm="1">
        <f t="array" ref="F139">IF(LineærRegression_Valg[[#This Row],[Indenfor range]],INDEX(DataTitel_liste,LineærRegression_Valg[[#This Row],[Afhængig variabel ID]]),INDEX(DataTitel_liste,1))</f>
        <v>Eksempel 1 (interval)</v>
      </c>
      <c r="G139" s="171" t="str" cm="1">
        <f t="array" ref="G139">IF(LineærRegression_Valg[[#This Row],[Indenfor range]],IF(LineærRegression_Valg[[#This Row],[Intet overlap]],INDEX(DataTitel_liste,LineærRegression_Valg[[#This Row],[Uafhængig variabel ID]]),INDEX(DataTitel_liste,IF(LineærRegression_Valg[[#This Row],[Afhængig variabel ID]]=1,2,1))),$B$7)</f>
        <v>Eksempel 2 (interval)</v>
      </c>
      <c r="H139" s="171">
        <f>_xlfn.AGGREGATE(2,5,LineærRegression_Valg[[#This Row],[Tabel ID]])</f>
        <v>1</v>
      </c>
    </row>
    <row r="140" spans="1:8" x14ac:dyDescent="0.2">
      <c r="A140">
        <f>ROW(LineærRegression_Valg[[#This Row],[Tabel ID]])-ROW(LineærRegression_Valg[[#Headers],[Tabel ID]])</f>
        <v>130</v>
      </c>
      <c r="B140" s="171">
        <f>ROUNDDOWN((LineærRegression_Valg[[#This Row],[Tabel ID]]-1)/$B$5,0)+1</f>
        <v>33</v>
      </c>
      <c r="C140" s="171">
        <f t="shared" si="2"/>
        <v>2</v>
      </c>
      <c r="D140" s="171" t="b">
        <f>LineærRegression_Valg[[#This Row],[Afhængig variabel ID]]&lt;&gt;LineærRegression_Valg[[#This Row],[Uafhængig variabel ID]]</f>
        <v>1</v>
      </c>
      <c r="E140" t="b">
        <f>LineærRegression_Valg[[#This Row],[Afhængig variabel ID]]&lt;=$B$5</f>
        <v>0</v>
      </c>
      <c r="F140" t="str" cm="1">
        <f t="array" ref="F140">IF(LineærRegression_Valg[[#This Row],[Indenfor range]],INDEX(DataTitel_liste,LineærRegression_Valg[[#This Row],[Afhængig variabel ID]]),INDEX(DataTitel_liste,1))</f>
        <v>Eksempel 1 (interval)</v>
      </c>
      <c r="G140" s="171" t="str" cm="1">
        <f t="array" ref="G140">IF(LineærRegression_Valg[[#This Row],[Indenfor range]],IF(LineærRegression_Valg[[#This Row],[Intet overlap]],INDEX(DataTitel_liste,LineærRegression_Valg[[#This Row],[Uafhængig variabel ID]]),INDEX(DataTitel_liste,IF(LineærRegression_Valg[[#This Row],[Afhængig variabel ID]]=1,2,1))),$B$7)</f>
        <v>Eksempel 2 (interval)</v>
      </c>
      <c r="H140" s="171">
        <f>_xlfn.AGGREGATE(2,5,LineærRegression_Valg[[#This Row],[Tabel ID]])</f>
        <v>1</v>
      </c>
    </row>
    <row r="141" spans="1:8" x14ac:dyDescent="0.2">
      <c r="A141">
        <f>ROW(LineærRegression_Valg[[#This Row],[Tabel ID]])-ROW(LineærRegression_Valg[[#Headers],[Tabel ID]])</f>
        <v>131</v>
      </c>
      <c r="B141" s="171">
        <f>ROUNDDOWN((LineærRegression_Valg[[#This Row],[Tabel ID]]-1)/$B$5,0)+1</f>
        <v>33</v>
      </c>
      <c r="C141" s="171">
        <f t="shared" si="2"/>
        <v>3</v>
      </c>
      <c r="D141" s="171" t="b">
        <f>LineærRegression_Valg[[#This Row],[Afhængig variabel ID]]&lt;&gt;LineærRegression_Valg[[#This Row],[Uafhængig variabel ID]]</f>
        <v>1</v>
      </c>
      <c r="E141" t="b">
        <f>LineærRegression_Valg[[#This Row],[Afhængig variabel ID]]&lt;=$B$5</f>
        <v>0</v>
      </c>
      <c r="F141" t="str" cm="1">
        <f t="array" ref="F141">IF(LineærRegression_Valg[[#This Row],[Indenfor range]],INDEX(DataTitel_liste,LineærRegression_Valg[[#This Row],[Afhængig variabel ID]]),INDEX(DataTitel_liste,1))</f>
        <v>Eksempel 1 (interval)</v>
      </c>
      <c r="G141" s="171" t="str" cm="1">
        <f t="array" ref="G141">IF(LineærRegression_Valg[[#This Row],[Indenfor range]],IF(LineærRegression_Valg[[#This Row],[Intet overlap]],INDEX(DataTitel_liste,LineærRegression_Valg[[#This Row],[Uafhængig variabel ID]]),INDEX(DataTitel_liste,IF(LineærRegression_Valg[[#This Row],[Afhængig variabel ID]]=1,2,1))),$B$7)</f>
        <v>Eksempel 2 (interval)</v>
      </c>
      <c r="H141" s="171">
        <f>_xlfn.AGGREGATE(2,5,LineærRegression_Valg[[#This Row],[Tabel ID]])</f>
        <v>1</v>
      </c>
    </row>
    <row r="142" spans="1:8" x14ac:dyDescent="0.2">
      <c r="A142">
        <f>ROW(LineærRegression_Valg[[#This Row],[Tabel ID]])-ROW(LineærRegression_Valg[[#Headers],[Tabel ID]])</f>
        <v>132</v>
      </c>
      <c r="B142" s="171">
        <f>ROUNDDOWN((LineærRegression_Valg[[#This Row],[Tabel ID]]-1)/$B$5,0)+1</f>
        <v>33</v>
      </c>
      <c r="C142" s="171">
        <f t="shared" si="2"/>
        <v>4</v>
      </c>
      <c r="D142" s="171" t="b">
        <f>LineærRegression_Valg[[#This Row],[Afhængig variabel ID]]&lt;&gt;LineærRegression_Valg[[#This Row],[Uafhængig variabel ID]]</f>
        <v>1</v>
      </c>
      <c r="E142" t="b">
        <f>LineærRegression_Valg[[#This Row],[Afhængig variabel ID]]&lt;=$B$5</f>
        <v>0</v>
      </c>
      <c r="F142" t="str" cm="1">
        <f t="array" ref="F142">IF(LineærRegression_Valg[[#This Row],[Indenfor range]],INDEX(DataTitel_liste,LineærRegression_Valg[[#This Row],[Afhængig variabel ID]]),INDEX(DataTitel_liste,1))</f>
        <v>Eksempel 1 (interval)</v>
      </c>
      <c r="G142" s="171" t="str" cm="1">
        <f t="array" ref="G142">IF(LineærRegression_Valg[[#This Row],[Indenfor range]],IF(LineærRegression_Valg[[#This Row],[Intet overlap]],INDEX(DataTitel_liste,LineærRegression_Valg[[#This Row],[Uafhængig variabel ID]]),INDEX(DataTitel_liste,IF(LineærRegression_Valg[[#This Row],[Afhængig variabel ID]]=1,2,1))),$B$7)</f>
        <v>Eksempel 2 (interval)</v>
      </c>
      <c r="H142" s="171">
        <f>_xlfn.AGGREGATE(2,5,LineærRegression_Valg[[#This Row],[Tabel ID]])</f>
        <v>1</v>
      </c>
    </row>
    <row r="143" spans="1:8" x14ac:dyDescent="0.2">
      <c r="A143">
        <f>ROW(LineærRegression_Valg[[#This Row],[Tabel ID]])-ROW(LineærRegression_Valg[[#Headers],[Tabel ID]])</f>
        <v>133</v>
      </c>
      <c r="B143" s="171">
        <f>ROUNDDOWN((LineærRegression_Valg[[#This Row],[Tabel ID]]-1)/$B$5,0)+1</f>
        <v>34</v>
      </c>
      <c r="C143" s="171">
        <f t="shared" si="2"/>
        <v>1</v>
      </c>
      <c r="D143" s="171" t="b">
        <f>LineærRegression_Valg[[#This Row],[Afhængig variabel ID]]&lt;&gt;LineærRegression_Valg[[#This Row],[Uafhængig variabel ID]]</f>
        <v>1</v>
      </c>
      <c r="E143" t="b">
        <f>LineærRegression_Valg[[#This Row],[Afhængig variabel ID]]&lt;=$B$5</f>
        <v>0</v>
      </c>
      <c r="F143" t="str" cm="1">
        <f t="array" ref="F143">IF(LineærRegression_Valg[[#This Row],[Indenfor range]],INDEX(DataTitel_liste,LineærRegression_Valg[[#This Row],[Afhængig variabel ID]]),INDEX(DataTitel_liste,1))</f>
        <v>Eksempel 1 (interval)</v>
      </c>
      <c r="G143" s="171" t="str" cm="1">
        <f t="array" ref="G143">IF(LineærRegression_Valg[[#This Row],[Indenfor range]],IF(LineærRegression_Valg[[#This Row],[Intet overlap]],INDEX(DataTitel_liste,LineærRegression_Valg[[#This Row],[Uafhængig variabel ID]]),INDEX(DataTitel_liste,IF(LineærRegression_Valg[[#This Row],[Afhængig variabel ID]]=1,2,1))),$B$7)</f>
        <v>Eksempel 2 (interval)</v>
      </c>
      <c r="H143" s="171">
        <f>_xlfn.AGGREGATE(2,5,LineærRegression_Valg[[#This Row],[Tabel ID]])</f>
        <v>1</v>
      </c>
    </row>
    <row r="144" spans="1:8" x14ac:dyDescent="0.2">
      <c r="A144">
        <f>ROW(LineærRegression_Valg[[#This Row],[Tabel ID]])-ROW(LineærRegression_Valg[[#Headers],[Tabel ID]])</f>
        <v>134</v>
      </c>
      <c r="B144" s="171">
        <f>ROUNDDOWN((LineærRegression_Valg[[#This Row],[Tabel ID]]-1)/$B$5,0)+1</f>
        <v>34</v>
      </c>
      <c r="C144" s="171">
        <f t="shared" si="2"/>
        <v>2</v>
      </c>
      <c r="D144" s="171" t="b">
        <f>LineærRegression_Valg[[#This Row],[Afhængig variabel ID]]&lt;&gt;LineærRegression_Valg[[#This Row],[Uafhængig variabel ID]]</f>
        <v>1</v>
      </c>
      <c r="E144" t="b">
        <f>LineærRegression_Valg[[#This Row],[Afhængig variabel ID]]&lt;=$B$5</f>
        <v>0</v>
      </c>
      <c r="F144" t="str" cm="1">
        <f t="array" ref="F144">IF(LineærRegression_Valg[[#This Row],[Indenfor range]],INDEX(DataTitel_liste,LineærRegression_Valg[[#This Row],[Afhængig variabel ID]]),INDEX(DataTitel_liste,1))</f>
        <v>Eksempel 1 (interval)</v>
      </c>
      <c r="G144" s="171" t="str" cm="1">
        <f t="array" ref="G144">IF(LineærRegression_Valg[[#This Row],[Indenfor range]],IF(LineærRegression_Valg[[#This Row],[Intet overlap]],INDEX(DataTitel_liste,LineærRegression_Valg[[#This Row],[Uafhængig variabel ID]]),INDEX(DataTitel_liste,IF(LineærRegression_Valg[[#This Row],[Afhængig variabel ID]]=1,2,1))),$B$7)</f>
        <v>Eksempel 2 (interval)</v>
      </c>
      <c r="H144" s="171">
        <f>_xlfn.AGGREGATE(2,5,LineærRegression_Valg[[#This Row],[Tabel ID]])</f>
        <v>1</v>
      </c>
    </row>
    <row r="145" spans="1:8" x14ac:dyDescent="0.2">
      <c r="A145">
        <f>ROW(LineærRegression_Valg[[#This Row],[Tabel ID]])-ROW(LineærRegression_Valg[[#Headers],[Tabel ID]])</f>
        <v>135</v>
      </c>
      <c r="B145" s="171">
        <f>ROUNDDOWN((LineærRegression_Valg[[#This Row],[Tabel ID]]-1)/$B$5,0)+1</f>
        <v>34</v>
      </c>
      <c r="C145" s="171">
        <f t="shared" si="2"/>
        <v>3</v>
      </c>
      <c r="D145" s="171" t="b">
        <f>LineærRegression_Valg[[#This Row],[Afhængig variabel ID]]&lt;&gt;LineærRegression_Valg[[#This Row],[Uafhængig variabel ID]]</f>
        <v>1</v>
      </c>
      <c r="E145" t="b">
        <f>LineærRegression_Valg[[#This Row],[Afhængig variabel ID]]&lt;=$B$5</f>
        <v>0</v>
      </c>
      <c r="F145" t="str" cm="1">
        <f t="array" ref="F145">IF(LineærRegression_Valg[[#This Row],[Indenfor range]],INDEX(DataTitel_liste,LineærRegression_Valg[[#This Row],[Afhængig variabel ID]]),INDEX(DataTitel_liste,1))</f>
        <v>Eksempel 1 (interval)</v>
      </c>
      <c r="G145" s="171" t="str" cm="1">
        <f t="array" ref="G145">IF(LineærRegression_Valg[[#This Row],[Indenfor range]],IF(LineærRegression_Valg[[#This Row],[Intet overlap]],INDEX(DataTitel_liste,LineærRegression_Valg[[#This Row],[Uafhængig variabel ID]]),INDEX(DataTitel_liste,IF(LineærRegression_Valg[[#This Row],[Afhængig variabel ID]]=1,2,1))),$B$7)</f>
        <v>Eksempel 2 (interval)</v>
      </c>
      <c r="H145" s="171">
        <f>_xlfn.AGGREGATE(2,5,LineærRegression_Valg[[#This Row],[Tabel ID]])</f>
        <v>1</v>
      </c>
    </row>
    <row r="146" spans="1:8" x14ac:dyDescent="0.2">
      <c r="A146">
        <f>ROW(LineærRegression_Valg[[#This Row],[Tabel ID]])-ROW(LineærRegression_Valg[[#Headers],[Tabel ID]])</f>
        <v>136</v>
      </c>
      <c r="B146" s="171">
        <f>ROUNDDOWN((LineærRegression_Valg[[#This Row],[Tabel ID]]-1)/$B$5,0)+1</f>
        <v>34</v>
      </c>
      <c r="C146" s="171">
        <f t="shared" si="2"/>
        <v>4</v>
      </c>
      <c r="D146" s="171" t="b">
        <f>LineærRegression_Valg[[#This Row],[Afhængig variabel ID]]&lt;&gt;LineærRegression_Valg[[#This Row],[Uafhængig variabel ID]]</f>
        <v>1</v>
      </c>
      <c r="E146" t="b">
        <f>LineærRegression_Valg[[#This Row],[Afhængig variabel ID]]&lt;=$B$5</f>
        <v>0</v>
      </c>
      <c r="F146" t="str" cm="1">
        <f t="array" ref="F146">IF(LineærRegression_Valg[[#This Row],[Indenfor range]],INDEX(DataTitel_liste,LineærRegression_Valg[[#This Row],[Afhængig variabel ID]]),INDEX(DataTitel_liste,1))</f>
        <v>Eksempel 1 (interval)</v>
      </c>
      <c r="G146" s="171" t="str" cm="1">
        <f t="array" ref="G146">IF(LineærRegression_Valg[[#This Row],[Indenfor range]],IF(LineærRegression_Valg[[#This Row],[Intet overlap]],INDEX(DataTitel_liste,LineærRegression_Valg[[#This Row],[Uafhængig variabel ID]]),INDEX(DataTitel_liste,IF(LineærRegression_Valg[[#This Row],[Afhængig variabel ID]]=1,2,1))),$B$7)</f>
        <v>Eksempel 2 (interval)</v>
      </c>
      <c r="H146" s="171">
        <f>_xlfn.AGGREGATE(2,5,LineærRegression_Valg[[#This Row],[Tabel ID]])</f>
        <v>1</v>
      </c>
    </row>
    <row r="147" spans="1:8" x14ac:dyDescent="0.2">
      <c r="A147">
        <f>ROW(LineærRegression_Valg[[#This Row],[Tabel ID]])-ROW(LineærRegression_Valg[[#Headers],[Tabel ID]])</f>
        <v>137</v>
      </c>
      <c r="B147" s="171">
        <f>ROUNDDOWN((LineærRegression_Valg[[#This Row],[Tabel ID]]-1)/$B$5,0)+1</f>
        <v>35</v>
      </c>
      <c r="C147" s="171">
        <f t="shared" si="2"/>
        <v>1</v>
      </c>
      <c r="D147" s="171" t="b">
        <f>LineærRegression_Valg[[#This Row],[Afhængig variabel ID]]&lt;&gt;LineærRegression_Valg[[#This Row],[Uafhængig variabel ID]]</f>
        <v>1</v>
      </c>
      <c r="E147" t="b">
        <f>LineærRegression_Valg[[#This Row],[Afhængig variabel ID]]&lt;=$B$5</f>
        <v>0</v>
      </c>
      <c r="F147" t="str" cm="1">
        <f t="array" ref="F147">IF(LineærRegression_Valg[[#This Row],[Indenfor range]],INDEX(DataTitel_liste,LineærRegression_Valg[[#This Row],[Afhængig variabel ID]]),INDEX(DataTitel_liste,1))</f>
        <v>Eksempel 1 (interval)</v>
      </c>
      <c r="G147" s="171" t="str" cm="1">
        <f t="array" ref="G147">IF(LineærRegression_Valg[[#This Row],[Indenfor range]],IF(LineærRegression_Valg[[#This Row],[Intet overlap]],INDEX(DataTitel_liste,LineærRegression_Valg[[#This Row],[Uafhængig variabel ID]]),INDEX(DataTitel_liste,IF(LineærRegression_Valg[[#This Row],[Afhængig variabel ID]]=1,2,1))),$B$7)</f>
        <v>Eksempel 2 (interval)</v>
      </c>
      <c r="H147" s="171">
        <f>_xlfn.AGGREGATE(2,5,LineærRegression_Valg[[#This Row],[Tabel ID]])</f>
        <v>1</v>
      </c>
    </row>
    <row r="148" spans="1:8" x14ac:dyDescent="0.2">
      <c r="A148">
        <f>ROW(LineærRegression_Valg[[#This Row],[Tabel ID]])-ROW(LineærRegression_Valg[[#Headers],[Tabel ID]])</f>
        <v>138</v>
      </c>
      <c r="B148" s="171">
        <f>ROUNDDOWN((LineærRegression_Valg[[#This Row],[Tabel ID]]-1)/$B$5,0)+1</f>
        <v>35</v>
      </c>
      <c r="C148" s="171">
        <f t="shared" si="2"/>
        <v>2</v>
      </c>
      <c r="D148" s="171" t="b">
        <f>LineærRegression_Valg[[#This Row],[Afhængig variabel ID]]&lt;&gt;LineærRegression_Valg[[#This Row],[Uafhængig variabel ID]]</f>
        <v>1</v>
      </c>
      <c r="E148" t="b">
        <f>LineærRegression_Valg[[#This Row],[Afhængig variabel ID]]&lt;=$B$5</f>
        <v>0</v>
      </c>
      <c r="F148" t="str" cm="1">
        <f t="array" ref="F148">IF(LineærRegression_Valg[[#This Row],[Indenfor range]],INDEX(DataTitel_liste,LineærRegression_Valg[[#This Row],[Afhængig variabel ID]]),INDEX(DataTitel_liste,1))</f>
        <v>Eksempel 1 (interval)</v>
      </c>
      <c r="G148" s="171" t="str" cm="1">
        <f t="array" ref="G148">IF(LineærRegression_Valg[[#This Row],[Indenfor range]],IF(LineærRegression_Valg[[#This Row],[Intet overlap]],INDEX(DataTitel_liste,LineærRegression_Valg[[#This Row],[Uafhængig variabel ID]]),INDEX(DataTitel_liste,IF(LineærRegression_Valg[[#This Row],[Afhængig variabel ID]]=1,2,1))),$B$7)</f>
        <v>Eksempel 2 (interval)</v>
      </c>
      <c r="H148" s="171">
        <f>_xlfn.AGGREGATE(2,5,LineærRegression_Valg[[#This Row],[Tabel ID]])</f>
        <v>1</v>
      </c>
    </row>
    <row r="149" spans="1:8" x14ac:dyDescent="0.2">
      <c r="A149">
        <f>ROW(LineærRegression_Valg[[#This Row],[Tabel ID]])-ROW(LineærRegression_Valg[[#Headers],[Tabel ID]])</f>
        <v>139</v>
      </c>
      <c r="B149" s="171">
        <f>ROUNDDOWN((LineærRegression_Valg[[#This Row],[Tabel ID]]-1)/$B$5,0)+1</f>
        <v>35</v>
      </c>
      <c r="C149" s="171">
        <f t="shared" si="2"/>
        <v>3</v>
      </c>
      <c r="D149" s="171" t="b">
        <f>LineærRegression_Valg[[#This Row],[Afhængig variabel ID]]&lt;&gt;LineærRegression_Valg[[#This Row],[Uafhængig variabel ID]]</f>
        <v>1</v>
      </c>
      <c r="E149" t="b">
        <f>LineærRegression_Valg[[#This Row],[Afhængig variabel ID]]&lt;=$B$5</f>
        <v>0</v>
      </c>
      <c r="F149" t="str" cm="1">
        <f t="array" ref="F149">IF(LineærRegression_Valg[[#This Row],[Indenfor range]],INDEX(DataTitel_liste,LineærRegression_Valg[[#This Row],[Afhængig variabel ID]]),INDEX(DataTitel_liste,1))</f>
        <v>Eksempel 1 (interval)</v>
      </c>
      <c r="G149" s="171" t="str" cm="1">
        <f t="array" ref="G149">IF(LineærRegression_Valg[[#This Row],[Indenfor range]],IF(LineærRegression_Valg[[#This Row],[Intet overlap]],INDEX(DataTitel_liste,LineærRegression_Valg[[#This Row],[Uafhængig variabel ID]]),INDEX(DataTitel_liste,IF(LineærRegression_Valg[[#This Row],[Afhængig variabel ID]]=1,2,1))),$B$7)</f>
        <v>Eksempel 2 (interval)</v>
      </c>
      <c r="H149" s="171">
        <f>_xlfn.AGGREGATE(2,5,LineærRegression_Valg[[#This Row],[Tabel ID]])</f>
        <v>1</v>
      </c>
    </row>
    <row r="150" spans="1:8" x14ac:dyDescent="0.2">
      <c r="A150">
        <f>ROW(LineærRegression_Valg[[#This Row],[Tabel ID]])-ROW(LineærRegression_Valg[[#Headers],[Tabel ID]])</f>
        <v>140</v>
      </c>
      <c r="B150" s="171">
        <f>ROUNDDOWN((LineærRegression_Valg[[#This Row],[Tabel ID]]-1)/$B$5,0)+1</f>
        <v>35</v>
      </c>
      <c r="C150" s="171">
        <f t="shared" si="2"/>
        <v>4</v>
      </c>
      <c r="D150" s="171" t="b">
        <f>LineærRegression_Valg[[#This Row],[Afhængig variabel ID]]&lt;&gt;LineærRegression_Valg[[#This Row],[Uafhængig variabel ID]]</f>
        <v>1</v>
      </c>
      <c r="E150" t="b">
        <f>LineærRegression_Valg[[#This Row],[Afhængig variabel ID]]&lt;=$B$5</f>
        <v>0</v>
      </c>
      <c r="F150" t="str" cm="1">
        <f t="array" ref="F150">IF(LineærRegression_Valg[[#This Row],[Indenfor range]],INDEX(DataTitel_liste,LineærRegression_Valg[[#This Row],[Afhængig variabel ID]]),INDEX(DataTitel_liste,1))</f>
        <v>Eksempel 1 (interval)</v>
      </c>
      <c r="G150" s="171" t="str" cm="1">
        <f t="array" ref="G150">IF(LineærRegression_Valg[[#This Row],[Indenfor range]],IF(LineærRegression_Valg[[#This Row],[Intet overlap]],INDEX(DataTitel_liste,LineærRegression_Valg[[#This Row],[Uafhængig variabel ID]]),INDEX(DataTitel_liste,IF(LineærRegression_Valg[[#This Row],[Afhængig variabel ID]]=1,2,1))),$B$7)</f>
        <v>Eksempel 2 (interval)</v>
      </c>
      <c r="H150" s="171">
        <f>_xlfn.AGGREGATE(2,5,LineærRegression_Valg[[#This Row],[Tabel ID]])</f>
        <v>1</v>
      </c>
    </row>
    <row r="151" spans="1:8" x14ac:dyDescent="0.2">
      <c r="A151">
        <f>ROW(LineærRegression_Valg[[#This Row],[Tabel ID]])-ROW(LineærRegression_Valg[[#Headers],[Tabel ID]])</f>
        <v>141</v>
      </c>
      <c r="B151" s="171">
        <f>ROUNDDOWN((LineærRegression_Valg[[#This Row],[Tabel ID]]-1)/$B$5,0)+1</f>
        <v>36</v>
      </c>
      <c r="C151" s="171">
        <f t="shared" si="2"/>
        <v>1</v>
      </c>
      <c r="D151" s="171" t="b">
        <f>LineærRegression_Valg[[#This Row],[Afhængig variabel ID]]&lt;&gt;LineærRegression_Valg[[#This Row],[Uafhængig variabel ID]]</f>
        <v>1</v>
      </c>
      <c r="E151" t="b">
        <f>LineærRegression_Valg[[#This Row],[Afhængig variabel ID]]&lt;=$B$5</f>
        <v>0</v>
      </c>
      <c r="F151" t="str" cm="1">
        <f t="array" ref="F151">IF(LineærRegression_Valg[[#This Row],[Indenfor range]],INDEX(DataTitel_liste,LineærRegression_Valg[[#This Row],[Afhængig variabel ID]]),INDEX(DataTitel_liste,1))</f>
        <v>Eksempel 1 (interval)</v>
      </c>
      <c r="G151" s="171" t="str" cm="1">
        <f t="array" ref="G151">IF(LineærRegression_Valg[[#This Row],[Indenfor range]],IF(LineærRegression_Valg[[#This Row],[Intet overlap]],INDEX(DataTitel_liste,LineærRegression_Valg[[#This Row],[Uafhængig variabel ID]]),INDEX(DataTitel_liste,IF(LineærRegression_Valg[[#This Row],[Afhængig variabel ID]]=1,2,1))),$B$7)</f>
        <v>Eksempel 2 (interval)</v>
      </c>
      <c r="H151" s="171">
        <f>_xlfn.AGGREGATE(2,5,LineærRegression_Valg[[#This Row],[Tabel ID]])</f>
        <v>1</v>
      </c>
    </row>
    <row r="152" spans="1:8" x14ac:dyDescent="0.2">
      <c r="A152">
        <f>ROW(LineærRegression_Valg[[#This Row],[Tabel ID]])-ROW(LineærRegression_Valg[[#Headers],[Tabel ID]])</f>
        <v>142</v>
      </c>
      <c r="B152" s="171">
        <f>ROUNDDOWN((LineærRegression_Valg[[#This Row],[Tabel ID]]-1)/$B$5,0)+1</f>
        <v>36</v>
      </c>
      <c r="C152" s="171">
        <f t="shared" si="2"/>
        <v>2</v>
      </c>
      <c r="D152" s="171" t="b">
        <f>LineærRegression_Valg[[#This Row],[Afhængig variabel ID]]&lt;&gt;LineærRegression_Valg[[#This Row],[Uafhængig variabel ID]]</f>
        <v>1</v>
      </c>
      <c r="E152" t="b">
        <f>LineærRegression_Valg[[#This Row],[Afhængig variabel ID]]&lt;=$B$5</f>
        <v>0</v>
      </c>
      <c r="F152" t="str" cm="1">
        <f t="array" ref="F152">IF(LineærRegression_Valg[[#This Row],[Indenfor range]],INDEX(DataTitel_liste,LineærRegression_Valg[[#This Row],[Afhængig variabel ID]]),INDEX(DataTitel_liste,1))</f>
        <v>Eksempel 1 (interval)</v>
      </c>
      <c r="G152" s="171" t="str" cm="1">
        <f t="array" ref="G152">IF(LineærRegression_Valg[[#This Row],[Indenfor range]],IF(LineærRegression_Valg[[#This Row],[Intet overlap]],INDEX(DataTitel_liste,LineærRegression_Valg[[#This Row],[Uafhængig variabel ID]]),INDEX(DataTitel_liste,IF(LineærRegression_Valg[[#This Row],[Afhængig variabel ID]]=1,2,1))),$B$7)</f>
        <v>Eksempel 2 (interval)</v>
      </c>
      <c r="H152" s="171">
        <f>_xlfn.AGGREGATE(2,5,LineærRegression_Valg[[#This Row],[Tabel ID]])</f>
        <v>1</v>
      </c>
    </row>
    <row r="153" spans="1:8" x14ac:dyDescent="0.2">
      <c r="A153">
        <f>ROW(LineærRegression_Valg[[#This Row],[Tabel ID]])-ROW(LineærRegression_Valg[[#Headers],[Tabel ID]])</f>
        <v>143</v>
      </c>
      <c r="B153" s="171">
        <f>ROUNDDOWN((LineærRegression_Valg[[#This Row],[Tabel ID]]-1)/$B$5,0)+1</f>
        <v>36</v>
      </c>
      <c r="C153" s="171">
        <f t="shared" si="2"/>
        <v>3</v>
      </c>
      <c r="D153" s="171" t="b">
        <f>LineærRegression_Valg[[#This Row],[Afhængig variabel ID]]&lt;&gt;LineærRegression_Valg[[#This Row],[Uafhængig variabel ID]]</f>
        <v>1</v>
      </c>
      <c r="E153" t="b">
        <f>LineærRegression_Valg[[#This Row],[Afhængig variabel ID]]&lt;=$B$5</f>
        <v>0</v>
      </c>
      <c r="F153" t="str" cm="1">
        <f t="array" ref="F153">IF(LineærRegression_Valg[[#This Row],[Indenfor range]],INDEX(DataTitel_liste,LineærRegression_Valg[[#This Row],[Afhængig variabel ID]]),INDEX(DataTitel_liste,1))</f>
        <v>Eksempel 1 (interval)</v>
      </c>
      <c r="G153" s="171" t="str" cm="1">
        <f t="array" ref="G153">IF(LineærRegression_Valg[[#This Row],[Indenfor range]],IF(LineærRegression_Valg[[#This Row],[Intet overlap]],INDEX(DataTitel_liste,LineærRegression_Valg[[#This Row],[Uafhængig variabel ID]]),INDEX(DataTitel_liste,IF(LineærRegression_Valg[[#This Row],[Afhængig variabel ID]]=1,2,1))),$B$7)</f>
        <v>Eksempel 2 (interval)</v>
      </c>
      <c r="H153" s="171">
        <f>_xlfn.AGGREGATE(2,5,LineærRegression_Valg[[#This Row],[Tabel ID]])</f>
        <v>1</v>
      </c>
    </row>
    <row r="154" spans="1:8" x14ac:dyDescent="0.2">
      <c r="A154">
        <f>ROW(LineærRegression_Valg[[#This Row],[Tabel ID]])-ROW(LineærRegression_Valg[[#Headers],[Tabel ID]])</f>
        <v>144</v>
      </c>
      <c r="B154" s="171">
        <f>ROUNDDOWN((LineærRegression_Valg[[#This Row],[Tabel ID]]-1)/$B$5,0)+1</f>
        <v>36</v>
      </c>
      <c r="C154" s="171">
        <f t="shared" si="2"/>
        <v>4</v>
      </c>
      <c r="D154" s="171" t="b">
        <f>LineærRegression_Valg[[#This Row],[Afhængig variabel ID]]&lt;&gt;LineærRegression_Valg[[#This Row],[Uafhængig variabel ID]]</f>
        <v>1</v>
      </c>
      <c r="E154" t="b">
        <f>LineærRegression_Valg[[#This Row],[Afhængig variabel ID]]&lt;=$B$5</f>
        <v>0</v>
      </c>
      <c r="F154" t="str" cm="1">
        <f t="array" ref="F154">IF(LineærRegression_Valg[[#This Row],[Indenfor range]],INDEX(DataTitel_liste,LineærRegression_Valg[[#This Row],[Afhængig variabel ID]]),INDEX(DataTitel_liste,1))</f>
        <v>Eksempel 1 (interval)</v>
      </c>
      <c r="G154" s="171" t="str" cm="1">
        <f t="array" ref="G154">IF(LineærRegression_Valg[[#This Row],[Indenfor range]],IF(LineærRegression_Valg[[#This Row],[Intet overlap]],INDEX(DataTitel_liste,LineærRegression_Valg[[#This Row],[Uafhængig variabel ID]]),INDEX(DataTitel_liste,IF(LineærRegression_Valg[[#This Row],[Afhængig variabel ID]]=1,2,1))),$B$7)</f>
        <v>Eksempel 2 (interval)</v>
      </c>
      <c r="H154" s="171">
        <f>_xlfn.AGGREGATE(2,5,LineærRegression_Valg[[#This Row],[Tabel ID]])</f>
        <v>1</v>
      </c>
    </row>
    <row r="155" spans="1:8" x14ac:dyDescent="0.2">
      <c r="A155">
        <f>ROW(LineærRegression_Valg[[#This Row],[Tabel ID]])-ROW(LineærRegression_Valg[[#Headers],[Tabel ID]])</f>
        <v>145</v>
      </c>
      <c r="B155" s="171">
        <f>ROUNDDOWN((LineærRegression_Valg[[#This Row],[Tabel ID]]-1)/$B$5,0)+1</f>
        <v>37</v>
      </c>
      <c r="C155" s="171">
        <f t="shared" si="2"/>
        <v>1</v>
      </c>
      <c r="D155" s="171" t="b">
        <f>LineærRegression_Valg[[#This Row],[Afhængig variabel ID]]&lt;&gt;LineærRegression_Valg[[#This Row],[Uafhængig variabel ID]]</f>
        <v>1</v>
      </c>
      <c r="E155" t="b">
        <f>LineærRegression_Valg[[#This Row],[Afhængig variabel ID]]&lt;=$B$5</f>
        <v>0</v>
      </c>
      <c r="F155" t="str" cm="1">
        <f t="array" ref="F155">IF(LineærRegression_Valg[[#This Row],[Indenfor range]],INDEX(DataTitel_liste,LineærRegression_Valg[[#This Row],[Afhængig variabel ID]]),INDEX(DataTitel_liste,1))</f>
        <v>Eksempel 1 (interval)</v>
      </c>
      <c r="G155" s="171" t="str" cm="1">
        <f t="array" ref="G155">IF(LineærRegression_Valg[[#This Row],[Indenfor range]],IF(LineærRegression_Valg[[#This Row],[Intet overlap]],INDEX(DataTitel_liste,LineærRegression_Valg[[#This Row],[Uafhængig variabel ID]]),INDEX(DataTitel_liste,IF(LineærRegression_Valg[[#This Row],[Afhængig variabel ID]]=1,2,1))),$B$7)</f>
        <v>Eksempel 2 (interval)</v>
      </c>
      <c r="H155" s="171">
        <f>_xlfn.AGGREGATE(2,5,LineærRegression_Valg[[#This Row],[Tabel ID]])</f>
        <v>1</v>
      </c>
    </row>
    <row r="156" spans="1:8" x14ac:dyDescent="0.2">
      <c r="A156">
        <f>ROW(LineærRegression_Valg[[#This Row],[Tabel ID]])-ROW(LineærRegression_Valg[[#Headers],[Tabel ID]])</f>
        <v>146</v>
      </c>
      <c r="B156" s="171">
        <f>ROUNDDOWN((LineærRegression_Valg[[#This Row],[Tabel ID]]-1)/$B$5,0)+1</f>
        <v>37</v>
      </c>
      <c r="C156" s="171">
        <f t="shared" si="2"/>
        <v>2</v>
      </c>
      <c r="D156" s="171" t="b">
        <f>LineærRegression_Valg[[#This Row],[Afhængig variabel ID]]&lt;&gt;LineærRegression_Valg[[#This Row],[Uafhængig variabel ID]]</f>
        <v>1</v>
      </c>
      <c r="E156" t="b">
        <f>LineærRegression_Valg[[#This Row],[Afhængig variabel ID]]&lt;=$B$5</f>
        <v>0</v>
      </c>
      <c r="F156" t="str" cm="1">
        <f t="array" ref="F156">IF(LineærRegression_Valg[[#This Row],[Indenfor range]],INDEX(DataTitel_liste,LineærRegression_Valg[[#This Row],[Afhængig variabel ID]]),INDEX(DataTitel_liste,1))</f>
        <v>Eksempel 1 (interval)</v>
      </c>
      <c r="G156" s="171" t="str" cm="1">
        <f t="array" ref="G156">IF(LineærRegression_Valg[[#This Row],[Indenfor range]],IF(LineærRegression_Valg[[#This Row],[Intet overlap]],INDEX(DataTitel_liste,LineærRegression_Valg[[#This Row],[Uafhængig variabel ID]]),INDEX(DataTitel_liste,IF(LineærRegression_Valg[[#This Row],[Afhængig variabel ID]]=1,2,1))),$B$7)</f>
        <v>Eksempel 2 (interval)</v>
      </c>
      <c r="H156" s="171">
        <f>_xlfn.AGGREGATE(2,5,LineærRegression_Valg[[#This Row],[Tabel ID]])</f>
        <v>1</v>
      </c>
    </row>
    <row r="157" spans="1:8" x14ac:dyDescent="0.2">
      <c r="A157">
        <f>ROW(LineærRegression_Valg[[#This Row],[Tabel ID]])-ROW(LineærRegression_Valg[[#Headers],[Tabel ID]])</f>
        <v>147</v>
      </c>
      <c r="B157" s="171">
        <f>ROUNDDOWN((LineærRegression_Valg[[#This Row],[Tabel ID]]-1)/$B$5,0)+1</f>
        <v>37</v>
      </c>
      <c r="C157" s="171">
        <f t="shared" si="2"/>
        <v>3</v>
      </c>
      <c r="D157" s="171" t="b">
        <f>LineærRegression_Valg[[#This Row],[Afhængig variabel ID]]&lt;&gt;LineærRegression_Valg[[#This Row],[Uafhængig variabel ID]]</f>
        <v>1</v>
      </c>
      <c r="E157" t="b">
        <f>LineærRegression_Valg[[#This Row],[Afhængig variabel ID]]&lt;=$B$5</f>
        <v>0</v>
      </c>
      <c r="F157" t="str" cm="1">
        <f t="array" ref="F157">IF(LineærRegression_Valg[[#This Row],[Indenfor range]],INDEX(DataTitel_liste,LineærRegression_Valg[[#This Row],[Afhængig variabel ID]]),INDEX(DataTitel_liste,1))</f>
        <v>Eksempel 1 (interval)</v>
      </c>
      <c r="G157" s="171" t="str" cm="1">
        <f t="array" ref="G157">IF(LineærRegression_Valg[[#This Row],[Indenfor range]],IF(LineærRegression_Valg[[#This Row],[Intet overlap]],INDEX(DataTitel_liste,LineærRegression_Valg[[#This Row],[Uafhængig variabel ID]]),INDEX(DataTitel_liste,IF(LineærRegression_Valg[[#This Row],[Afhængig variabel ID]]=1,2,1))),$B$7)</f>
        <v>Eksempel 2 (interval)</v>
      </c>
      <c r="H157" s="171">
        <f>_xlfn.AGGREGATE(2,5,LineærRegression_Valg[[#This Row],[Tabel ID]])</f>
        <v>1</v>
      </c>
    </row>
    <row r="158" spans="1:8" x14ac:dyDescent="0.2">
      <c r="A158">
        <f>ROW(LineærRegression_Valg[[#This Row],[Tabel ID]])-ROW(LineærRegression_Valg[[#Headers],[Tabel ID]])</f>
        <v>148</v>
      </c>
      <c r="B158" s="171">
        <f>ROUNDDOWN((LineærRegression_Valg[[#This Row],[Tabel ID]]-1)/$B$5,0)+1</f>
        <v>37</v>
      </c>
      <c r="C158" s="171">
        <f t="shared" si="2"/>
        <v>4</v>
      </c>
      <c r="D158" s="171" t="b">
        <f>LineærRegression_Valg[[#This Row],[Afhængig variabel ID]]&lt;&gt;LineærRegression_Valg[[#This Row],[Uafhængig variabel ID]]</f>
        <v>1</v>
      </c>
      <c r="E158" t="b">
        <f>LineærRegression_Valg[[#This Row],[Afhængig variabel ID]]&lt;=$B$5</f>
        <v>0</v>
      </c>
      <c r="F158" t="str" cm="1">
        <f t="array" ref="F158">IF(LineærRegression_Valg[[#This Row],[Indenfor range]],INDEX(DataTitel_liste,LineærRegression_Valg[[#This Row],[Afhængig variabel ID]]),INDEX(DataTitel_liste,1))</f>
        <v>Eksempel 1 (interval)</v>
      </c>
      <c r="G158" s="171" t="str" cm="1">
        <f t="array" ref="G158">IF(LineærRegression_Valg[[#This Row],[Indenfor range]],IF(LineærRegression_Valg[[#This Row],[Intet overlap]],INDEX(DataTitel_liste,LineærRegression_Valg[[#This Row],[Uafhængig variabel ID]]),INDEX(DataTitel_liste,IF(LineærRegression_Valg[[#This Row],[Afhængig variabel ID]]=1,2,1))),$B$7)</f>
        <v>Eksempel 2 (interval)</v>
      </c>
      <c r="H158" s="171">
        <f>_xlfn.AGGREGATE(2,5,LineærRegression_Valg[[#This Row],[Tabel ID]])</f>
        <v>1</v>
      </c>
    </row>
    <row r="159" spans="1:8" x14ac:dyDescent="0.2">
      <c r="A159">
        <f>ROW(LineærRegression_Valg[[#This Row],[Tabel ID]])-ROW(LineærRegression_Valg[[#Headers],[Tabel ID]])</f>
        <v>149</v>
      </c>
      <c r="B159" s="171">
        <f>ROUNDDOWN((LineærRegression_Valg[[#This Row],[Tabel ID]]-1)/$B$5,0)+1</f>
        <v>38</v>
      </c>
      <c r="C159" s="171">
        <f t="shared" si="2"/>
        <v>1</v>
      </c>
      <c r="D159" s="171" t="b">
        <f>LineærRegression_Valg[[#This Row],[Afhængig variabel ID]]&lt;&gt;LineærRegression_Valg[[#This Row],[Uafhængig variabel ID]]</f>
        <v>1</v>
      </c>
      <c r="E159" t="b">
        <f>LineærRegression_Valg[[#This Row],[Afhængig variabel ID]]&lt;=$B$5</f>
        <v>0</v>
      </c>
      <c r="F159" t="str" cm="1">
        <f t="array" ref="F159">IF(LineærRegression_Valg[[#This Row],[Indenfor range]],INDEX(DataTitel_liste,LineærRegression_Valg[[#This Row],[Afhængig variabel ID]]),INDEX(DataTitel_liste,1))</f>
        <v>Eksempel 1 (interval)</v>
      </c>
      <c r="G159" s="171" t="str" cm="1">
        <f t="array" ref="G159">IF(LineærRegression_Valg[[#This Row],[Indenfor range]],IF(LineærRegression_Valg[[#This Row],[Intet overlap]],INDEX(DataTitel_liste,LineærRegression_Valg[[#This Row],[Uafhængig variabel ID]]),INDEX(DataTitel_liste,IF(LineærRegression_Valg[[#This Row],[Afhængig variabel ID]]=1,2,1))),$B$7)</f>
        <v>Eksempel 2 (interval)</v>
      </c>
      <c r="H159" s="171">
        <f>_xlfn.AGGREGATE(2,5,LineærRegression_Valg[[#This Row],[Tabel ID]])</f>
        <v>1</v>
      </c>
    </row>
    <row r="160" spans="1:8" x14ac:dyDescent="0.2">
      <c r="A160">
        <f>ROW(LineærRegression_Valg[[#This Row],[Tabel ID]])-ROW(LineærRegression_Valg[[#Headers],[Tabel ID]])</f>
        <v>150</v>
      </c>
      <c r="B160" s="171">
        <f>ROUNDDOWN((LineærRegression_Valg[[#This Row],[Tabel ID]]-1)/$B$5,0)+1</f>
        <v>38</v>
      </c>
      <c r="C160" s="171">
        <f t="shared" si="2"/>
        <v>2</v>
      </c>
      <c r="D160" s="171" t="b">
        <f>LineærRegression_Valg[[#This Row],[Afhængig variabel ID]]&lt;&gt;LineærRegression_Valg[[#This Row],[Uafhængig variabel ID]]</f>
        <v>1</v>
      </c>
      <c r="E160" t="b">
        <f>LineærRegression_Valg[[#This Row],[Afhængig variabel ID]]&lt;=$B$5</f>
        <v>0</v>
      </c>
      <c r="F160" t="str" cm="1">
        <f t="array" ref="F160">IF(LineærRegression_Valg[[#This Row],[Indenfor range]],INDEX(DataTitel_liste,LineærRegression_Valg[[#This Row],[Afhængig variabel ID]]),INDEX(DataTitel_liste,1))</f>
        <v>Eksempel 1 (interval)</v>
      </c>
      <c r="G160" s="171" t="str" cm="1">
        <f t="array" ref="G160">IF(LineærRegression_Valg[[#This Row],[Indenfor range]],IF(LineærRegression_Valg[[#This Row],[Intet overlap]],INDEX(DataTitel_liste,LineærRegression_Valg[[#This Row],[Uafhængig variabel ID]]),INDEX(DataTitel_liste,IF(LineærRegression_Valg[[#This Row],[Afhængig variabel ID]]=1,2,1))),$B$7)</f>
        <v>Eksempel 2 (interval)</v>
      </c>
      <c r="H160" s="171">
        <f>_xlfn.AGGREGATE(2,5,LineærRegression_Valg[[#This Row],[Tabel ID]])</f>
        <v>1</v>
      </c>
    </row>
    <row r="161" spans="1:8" x14ac:dyDescent="0.2">
      <c r="A161">
        <f>ROW(LineærRegression_Valg[[#This Row],[Tabel ID]])-ROW(LineærRegression_Valg[[#Headers],[Tabel ID]])</f>
        <v>151</v>
      </c>
      <c r="B161" s="171">
        <f>ROUNDDOWN((LineærRegression_Valg[[#This Row],[Tabel ID]]-1)/$B$5,0)+1</f>
        <v>38</v>
      </c>
      <c r="C161" s="171">
        <f t="shared" si="2"/>
        <v>3</v>
      </c>
      <c r="D161" s="171" t="b">
        <f>LineærRegression_Valg[[#This Row],[Afhængig variabel ID]]&lt;&gt;LineærRegression_Valg[[#This Row],[Uafhængig variabel ID]]</f>
        <v>1</v>
      </c>
      <c r="E161" t="b">
        <f>LineærRegression_Valg[[#This Row],[Afhængig variabel ID]]&lt;=$B$5</f>
        <v>0</v>
      </c>
      <c r="F161" t="str" cm="1">
        <f t="array" ref="F161">IF(LineærRegression_Valg[[#This Row],[Indenfor range]],INDEX(DataTitel_liste,LineærRegression_Valg[[#This Row],[Afhængig variabel ID]]),INDEX(DataTitel_liste,1))</f>
        <v>Eksempel 1 (interval)</v>
      </c>
      <c r="G161" s="171" t="str" cm="1">
        <f t="array" ref="G161">IF(LineærRegression_Valg[[#This Row],[Indenfor range]],IF(LineærRegression_Valg[[#This Row],[Intet overlap]],INDEX(DataTitel_liste,LineærRegression_Valg[[#This Row],[Uafhængig variabel ID]]),INDEX(DataTitel_liste,IF(LineærRegression_Valg[[#This Row],[Afhængig variabel ID]]=1,2,1))),$B$7)</f>
        <v>Eksempel 2 (interval)</v>
      </c>
      <c r="H161" s="171">
        <f>_xlfn.AGGREGATE(2,5,LineærRegression_Valg[[#This Row],[Tabel ID]])</f>
        <v>1</v>
      </c>
    </row>
    <row r="162" spans="1:8" x14ac:dyDescent="0.2">
      <c r="A162">
        <f>ROW(LineærRegression_Valg[[#This Row],[Tabel ID]])-ROW(LineærRegression_Valg[[#Headers],[Tabel ID]])</f>
        <v>152</v>
      </c>
      <c r="B162" s="171">
        <f>ROUNDDOWN((LineærRegression_Valg[[#This Row],[Tabel ID]]-1)/$B$5,0)+1</f>
        <v>38</v>
      </c>
      <c r="C162" s="171">
        <f t="shared" si="2"/>
        <v>4</v>
      </c>
      <c r="D162" s="171" t="b">
        <f>LineærRegression_Valg[[#This Row],[Afhængig variabel ID]]&lt;&gt;LineærRegression_Valg[[#This Row],[Uafhængig variabel ID]]</f>
        <v>1</v>
      </c>
      <c r="E162" t="b">
        <f>LineærRegression_Valg[[#This Row],[Afhængig variabel ID]]&lt;=$B$5</f>
        <v>0</v>
      </c>
      <c r="F162" t="str" cm="1">
        <f t="array" ref="F162">IF(LineærRegression_Valg[[#This Row],[Indenfor range]],INDEX(DataTitel_liste,LineærRegression_Valg[[#This Row],[Afhængig variabel ID]]),INDEX(DataTitel_liste,1))</f>
        <v>Eksempel 1 (interval)</v>
      </c>
      <c r="G162" s="171" t="str" cm="1">
        <f t="array" ref="G162">IF(LineærRegression_Valg[[#This Row],[Indenfor range]],IF(LineærRegression_Valg[[#This Row],[Intet overlap]],INDEX(DataTitel_liste,LineærRegression_Valg[[#This Row],[Uafhængig variabel ID]]),INDEX(DataTitel_liste,IF(LineærRegression_Valg[[#This Row],[Afhængig variabel ID]]=1,2,1))),$B$7)</f>
        <v>Eksempel 2 (interval)</v>
      </c>
      <c r="H162" s="171">
        <f>_xlfn.AGGREGATE(2,5,LineærRegression_Valg[[#This Row],[Tabel ID]])</f>
        <v>1</v>
      </c>
    </row>
    <row r="163" spans="1:8" x14ac:dyDescent="0.2">
      <c r="A163">
        <f>ROW(LineærRegression_Valg[[#This Row],[Tabel ID]])-ROW(LineærRegression_Valg[[#Headers],[Tabel ID]])</f>
        <v>153</v>
      </c>
      <c r="B163" s="171">
        <f>ROUNDDOWN((LineærRegression_Valg[[#This Row],[Tabel ID]]-1)/$B$5,0)+1</f>
        <v>39</v>
      </c>
      <c r="C163" s="171">
        <f t="shared" si="2"/>
        <v>1</v>
      </c>
      <c r="D163" s="171" t="b">
        <f>LineærRegression_Valg[[#This Row],[Afhængig variabel ID]]&lt;&gt;LineærRegression_Valg[[#This Row],[Uafhængig variabel ID]]</f>
        <v>1</v>
      </c>
      <c r="E163" t="b">
        <f>LineærRegression_Valg[[#This Row],[Afhængig variabel ID]]&lt;=$B$5</f>
        <v>0</v>
      </c>
      <c r="F163" t="str" cm="1">
        <f t="array" ref="F163">IF(LineærRegression_Valg[[#This Row],[Indenfor range]],INDEX(DataTitel_liste,LineærRegression_Valg[[#This Row],[Afhængig variabel ID]]),INDEX(DataTitel_liste,1))</f>
        <v>Eksempel 1 (interval)</v>
      </c>
      <c r="G163" s="171" t="str" cm="1">
        <f t="array" ref="G163">IF(LineærRegression_Valg[[#This Row],[Indenfor range]],IF(LineærRegression_Valg[[#This Row],[Intet overlap]],INDEX(DataTitel_liste,LineærRegression_Valg[[#This Row],[Uafhængig variabel ID]]),INDEX(DataTitel_liste,IF(LineærRegression_Valg[[#This Row],[Afhængig variabel ID]]=1,2,1))),$B$7)</f>
        <v>Eksempel 2 (interval)</v>
      </c>
      <c r="H163" s="171">
        <f>_xlfn.AGGREGATE(2,5,LineærRegression_Valg[[#This Row],[Tabel ID]])</f>
        <v>1</v>
      </c>
    </row>
    <row r="164" spans="1:8" x14ac:dyDescent="0.2">
      <c r="A164">
        <f>ROW(LineærRegression_Valg[[#This Row],[Tabel ID]])-ROW(LineærRegression_Valg[[#Headers],[Tabel ID]])</f>
        <v>154</v>
      </c>
      <c r="B164" s="171">
        <f>ROUNDDOWN((LineærRegression_Valg[[#This Row],[Tabel ID]]-1)/$B$5,0)+1</f>
        <v>39</v>
      </c>
      <c r="C164" s="171">
        <f t="shared" si="2"/>
        <v>2</v>
      </c>
      <c r="D164" s="171" t="b">
        <f>LineærRegression_Valg[[#This Row],[Afhængig variabel ID]]&lt;&gt;LineærRegression_Valg[[#This Row],[Uafhængig variabel ID]]</f>
        <v>1</v>
      </c>
      <c r="E164" t="b">
        <f>LineærRegression_Valg[[#This Row],[Afhængig variabel ID]]&lt;=$B$5</f>
        <v>0</v>
      </c>
      <c r="F164" t="str" cm="1">
        <f t="array" ref="F164">IF(LineærRegression_Valg[[#This Row],[Indenfor range]],INDEX(DataTitel_liste,LineærRegression_Valg[[#This Row],[Afhængig variabel ID]]),INDEX(DataTitel_liste,1))</f>
        <v>Eksempel 1 (interval)</v>
      </c>
      <c r="G164" s="171" t="str" cm="1">
        <f t="array" ref="G164">IF(LineærRegression_Valg[[#This Row],[Indenfor range]],IF(LineærRegression_Valg[[#This Row],[Intet overlap]],INDEX(DataTitel_liste,LineærRegression_Valg[[#This Row],[Uafhængig variabel ID]]),INDEX(DataTitel_liste,IF(LineærRegression_Valg[[#This Row],[Afhængig variabel ID]]=1,2,1))),$B$7)</f>
        <v>Eksempel 2 (interval)</v>
      </c>
      <c r="H164" s="171">
        <f>_xlfn.AGGREGATE(2,5,LineærRegression_Valg[[#This Row],[Tabel ID]])</f>
        <v>1</v>
      </c>
    </row>
    <row r="165" spans="1:8" x14ac:dyDescent="0.2">
      <c r="A165">
        <f>ROW(LineærRegression_Valg[[#This Row],[Tabel ID]])-ROW(LineærRegression_Valg[[#Headers],[Tabel ID]])</f>
        <v>155</v>
      </c>
      <c r="B165" s="171">
        <f>ROUNDDOWN((LineærRegression_Valg[[#This Row],[Tabel ID]]-1)/$B$5,0)+1</f>
        <v>39</v>
      </c>
      <c r="C165" s="171">
        <f t="shared" si="2"/>
        <v>3</v>
      </c>
      <c r="D165" s="171" t="b">
        <f>LineærRegression_Valg[[#This Row],[Afhængig variabel ID]]&lt;&gt;LineærRegression_Valg[[#This Row],[Uafhængig variabel ID]]</f>
        <v>1</v>
      </c>
      <c r="E165" t="b">
        <f>LineærRegression_Valg[[#This Row],[Afhængig variabel ID]]&lt;=$B$5</f>
        <v>0</v>
      </c>
      <c r="F165" t="str" cm="1">
        <f t="array" ref="F165">IF(LineærRegression_Valg[[#This Row],[Indenfor range]],INDEX(DataTitel_liste,LineærRegression_Valg[[#This Row],[Afhængig variabel ID]]),INDEX(DataTitel_liste,1))</f>
        <v>Eksempel 1 (interval)</v>
      </c>
      <c r="G165" s="171" t="str" cm="1">
        <f t="array" ref="G165">IF(LineærRegression_Valg[[#This Row],[Indenfor range]],IF(LineærRegression_Valg[[#This Row],[Intet overlap]],INDEX(DataTitel_liste,LineærRegression_Valg[[#This Row],[Uafhængig variabel ID]]),INDEX(DataTitel_liste,IF(LineærRegression_Valg[[#This Row],[Afhængig variabel ID]]=1,2,1))),$B$7)</f>
        <v>Eksempel 2 (interval)</v>
      </c>
      <c r="H165" s="171">
        <f>_xlfn.AGGREGATE(2,5,LineærRegression_Valg[[#This Row],[Tabel ID]])</f>
        <v>1</v>
      </c>
    </row>
    <row r="166" spans="1:8" x14ac:dyDescent="0.2">
      <c r="A166">
        <f>ROW(LineærRegression_Valg[[#This Row],[Tabel ID]])-ROW(LineærRegression_Valg[[#Headers],[Tabel ID]])</f>
        <v>156</v>
      </c>
      <c r="B166" s="171">
        <f>ROUNDDOWN((LineærRegression_Valg[[#This Row],[Tabel ID]]-1)/$B$5,0)+1</f>
        <v>39</v>
      </c>
      <c r="C166" s="171">
        <f t="shared" si="2"/>
        <v>4</v>
      </c>
      <c r="D166" s="171" t="b">
        <f>LineærRegression_Valg[[#This Row],[Afhængig variabel ID]]&lt;&gt;LineærRegression_Valg[[#This Row],[Uafhængig variabel ID]]</f>
        <v>1</v>
      </c>
      <c r="E166" t="b">
        <f>LineærRegression_Valg[[#This Row],[Afhængig variabel ID]]&lt;=$B$5</f>
        <v>0</v>
      </c>
      <c r="F166" t="str" cm="1">
        <f t="array" ref="F166">IF(LineærRegression_Valg[[#This Row],[Indenfor range]],INDEX(DataTitel_liste,LineærRegression_Valg[[#This Row],[Afhængig variabel ID]]),INDEX(DataTitel_liste,1))</f>
        <v>Eksempel 1 (interval)</v>
      </c>
      <c r="G166" s="171" t="str" cm="1">
        <f t="array" ref="G166">IF(LineærRegression_Valg[[#This Row],[Indenfor range]],IF(LineærRegression_Valg[[#This Row],[Intet overlap]],INDEX(DataTitel_liste,LineærRegression_Valg[[#This Row],[Uafhængig variabel ID]]),INDEX(DataTitel_liste,IF(LineærRegression_Valg[[#This Row],[Afhængig variabel ID]]=1,2,1))),$B$7)</f>
        <v>Eksempel 2 (interval)</v>
      </c>
      <c r="H166" s="171">
        <f>_xlfn.AGGREGATE(2,5,LineærRegression_Valg[[#This Row],[Tabel ID]])</f>
        <v>1</v>
      </c>
    </row>
    <row r="167" spans="1:8" x14ac:dyDescent="0.2">
      <c r="A167">
        <f>ROW(LineærRegression_Valg[[#This Row],[Tabel ID]])-ROW(LineærRegression_Valg[[#Headers],[Tabel ID]])</f>
        <v>157</v>
      </c>
      <c r="B167" s="171">
        <f>ROUNDDOWN((LineærRegression_Valg[[#This Row],[Tabel ID]]-1)/$B$5,0)+1</f>
        <v>40</v>
      </c>
      <c r="C167" s="171">
        <f t="shared" si="2"/>
        <v>1</v>
      </c>
      <c r="D167" s="171" t="b">
        <f>LineærRegression_Valg[[#This Row],[Afhængig variabel ID]]&lt;&gt;LineærRegression_Valg[[#This Row],[Uafhængig variabel ID]]</f>
        <v>1</v>
      </c>
      <c r="E167" t="b">
        <f>LineærRegression_Valg[[#This Row],[Afhængig variabel ID]]&lt;=$B$5</f>
        <v>0</v>
      </c>
      <c r="F167" t="str" cm="1">
        <f t="array" ref="F167">IF(LineærRegression_Valg[[#This Row],[Indenfor range]],INDEX(DataTitel_liste,LineærRegression_Valg[[#This Row],[Afhængig variabel ID]]),INDEX(DataTitel_liste,1))</f>
        <v>Eksempel 1 (interval)</v>
      </c>
      <c r="G167" s="171" t="str" cm="1">
        <f t="array" ref="G167">IF(LineærRegression_Valg[[#This Row],[Indenfor range]],IF(LineærRegression_Valg[[#This Row],[Intet overlap]],INDEX(DataTitel_liste,LineærRegression_Valg[[#This Row],[Uafhængig variabel ID]]),INDEX(DataTitel_liste,IF(LineærRegression_Valg[[#This Row],[Afhængig variabel ID]]=1,2,1))),$B$7)</f>
        <v>Eksempel 2 (interval)</v>
      </c>
      <c r="H167" s="171">
        <f>_xlfn.AGGREGATE(2,5,LineærRegression_Valg[[#This Row],[Tabel ID]])</f>
        <v>1</v>
      </c>
    </row>
    <row r="168" spans="1:8" x14ac:dyDescent="0.2">
      <c r="A168">
        <f>ROW(LineærRegression_Valg[[#This Row],[Tabel ID]])-ROW(LineærRegression_Valg[[#Headers],[Tabel ID]])</f>
        <v>158</v>
      </c>
      <c r="B168" s="171">
        <f>ROUNDDOWN((LineærRegression_Valg[[#This Row],[Tabel ID]]-1)/$B$5,0)+1</f>
        <v>40</v>
      </c>
      <c r="C168" s="171">
        <f t="shared" si="2"/>
        <v>2</v>
      </c>
      <c r="D168" s="171" t="b">
        <f>LineærRegression_Valg[[#This Row],[Afhængig variabel ID]]&lt;&gt;LineærRegression_Valg[[#This Row],[Uafhængig variabel ID]]</f>
        <v>1</v>
      </c>
      <c r="E168" t="b">
        <f>LineærRegression_Valg[[#This Row],[Afhængig variabel ID]]&lt;=$B$5</f>
        <v>0</v>
      </c>
      <c r="F168" t="str" cm="1">
        <f t="array" ref="F168">IF(LineærRegression_Valg[[#This Row],[Indenfor range]],INDEX(DataTitel_liste,LineærRegression_Valg[[#This Row],[Afhængig variabel ID]]),INDEX(DataTitel_liste,1))</f>
        <v>Eksempel 1 (interval)</v>
      </c>
      <c r="G168" s="171" t="str" cm="1">
        <f t="array" ref="G168">IF(LineærRegression_Valg[[#This Row],[Indenfor range]],IF(LineærRegression_Valg[[#This Row],[Intet overlap]],INDEX(DataTitel_liste,LineærRegression_Valg[[#This Row],[Uafhængig variabel ID]]),INDEX(DataTitel_liste,IF(LineærRegression_Valg[[#This Row],[Afhængig variabel ID]]=1,2,1))),$B$7)</f>
        <v>Eksempel 2 (interval)</v>
      </c>
      <c r="H168" s="171">
        <f>_xlfn.AGGREGATE(2,5,LineærRegression_Valg[[#This Row],[Tabel ID]])</f>
        <v>1</v>
      </c>
    </row>
    <row r="169" spans="1:8" x14ac:dyDescent="0.2">
      <c r="A169">
        <f>ROW(LineærRegression_Valg[[#This Row],[Tabel ID]])-ROW(LineærRegression_Valg[[#Headers],[Tabel ID]])</f>
        <v>159</v>
      </c>
      <c r="B169" s="171">
        <f>ROUNDDOWN((LineærRegression_Valg[[#This Row],[Tabel ID]]-1)/$B$5,0)+1</f>
        <v>40</v>
      </c>
      <c r="C169" s="171">
        <f t="shared" si="2"/>
        <v>3</v>
      </c>
      <c r="D169" s="171" t="b">
        <f>LineærRegression_Valg[[#This Row],[Afhængig variabel ID]]&lt;&gt;LineærRegression_Valg[[#This Row],[Uafhængig variabel ID]]</f>
        <v>1</v>
      </c>
      <c r="E169" t="b">
        <f>LineærRegression_Valg[[#This Row],[Afhængig variabel ID]]&lt;=$B$5</f>
        <v>0</v>
      </c>
      <c r="F169" t="str" cm="1">
        <f t="array" ref="F169">IF(LineærRegression_Valg[[#This Row],[Indenfor range]],INDEX(DataTitel_liste,LineærRegression_Valg[[#This Row],[Afhængig variabel ID]]),INDEX(DataTitel_liste,1))</f>
        <v>Eksempel 1 (interval)</v>
      </c>
      <c r="G169" s="171" t="str" cm="1">
        <f t="array" ref="G169">IF(LineærRegression_Valg[[#This Row],[Indenfor range]],IF(LineærRegression_Valg[[#This Row],[Intet overlap]],INDEX(DataTitel_liste,LineærRegression_Valg[[#This Row],[Uafhængig variabel ID]]),INDEX(DataTitel_liste,IF(LineærRegression_Valg[[#This Row],[Afhængig variabel ID]]=1,2,1))),$B$7)</f>
        <v>Eksempel 2 (interval)</v>
      </c>
      <c r="H169" s="171">
        <f>_xlfn.AGGREGATE(2,5,LineærRegression_Valg[[#This Row],[Tabel ID]])</f>
        <v>1</v>
      </c>
    </row>
    <row r="170" spans="1:8" x14ac:dyDescent="0.2">
      <c r="A170">
        <f>ROW(LineærRegression_Valg[[#This Row],[Tabel ID]])-ROW(LineærRegression_Valg[[#Headers],[Tabel ID]])</f>
        <v>160</v>
      </c>
      <c r="B170" s="171">
        <f>ROUNDDOWN((LineærRegression_Valg[[#This Row],[Tabel ID]]-1)/$B$5,0)+1</f>
        <v>40</v>
      </c>
      <c r="C170" s="171">
        <f t="shared" si="2"/>
        <v>4</v>
      </c>
      <c r="D170" s="171" t="b">
        <f>LineærRegression_Valg[[#This Row],[Afhængig variabel ID]]&lt;&gt;LineærRegression_Valg[[#This Row],[Uafhængig variabel ID]]</f>
        <v>1</v>
      </c>
      <c r="E170" t="b">
        <f>LineærRegression_Valg[[#This Row],[Afhængig variabel ID]]&lt;=$B$5</f>
        <v>0</v>
      </c>
      <c r="F170" t="str" cm="1">
        <f t="array" ref="F170">IF(LineærRegression_Valg[[#This Row],[Indenfor range]],INDEX(DataTitel_liste,LineærRegression_Valg[[#This Row],[Afhængig variabel ID]]),INDEX(DataTitel_liste,1))</f>
        <v>Eksempel 1 (interval)</v>
      </c>
      <c r="G170" s="171" t="str" cm="1">
        <f t="array" ref="G170">IF(LineærRegression_Valg[[#This Row],[Indenfor range]],IF(LineærRegression_Valg[[#This Row],[Intet overlap]],INDEX(DataTitel_liste,LineærRegression_Valg[[#This Row],[Uafhængig variabel ID]]),INDEX(DataTitel_liste,IF(LineærRegression_Valg[[#This Row],[Afhængig variabel ID]]=1,2,1))),$B$7)</f>
        <v>Eksempel 2 (interval)</v>
      </c>
      <c r="H170" s="171">
        <f>_xlfn.AGGREGATE(2,5,LineærRegression_Valg[[#This Row],[Tabel ID]])</f>
        <v>1</v>
      </c>
    </row>
    <row r="171" spans="1:8" x14ac:dyDescent="0.2">
      <c r="A171">
        <f>ROW(LineærRegression_Valg[[#This Row],[Tabel ID]])-ROW(LineærRegression_Valg[[#Headers],[Tabel ID]])</f>
        <v>161</v>
      </c>
      <c r="B171" s="171">
        <f>ROUNDDOWN((LineærRegression_Valg[[#This Row],[Tabel ID]]-1)/$B$5,0)+1</f>
        <v>41</v>
      </c>
      <c r="C171" s="171">
        <f t="shared" si="2"/>
        <v>1</v>
      </c>
      <c r="D171" s="171" t="b">
        <f>LineærRegression_Valg[[#This Row],[Afhængig variabel ID]]&lt;&gt;LineærRegression_Valg[[#This Row],[Uafhængig variabel ID]]</f>
        <v>1</v>
      </c>
      <c r="E171" t="b">
        <f>LineærRegression_Valg[[#This Row],[Afhængig variabel ID]]&lt;=$B$5</f>
        <v>0</v>
      </c>
      <c r="F171" t="str" cm="1">
        <f t="array" ref="F171">IF(LineærRegression_Valg[[#This Row],[Indenfor range]],INDEX(DataTitel_liste,LineærRegression_Valg[[#This Row],[Afhængig variabel ID]]),INDEX(DataTitel_liste,1))</f>
        <v>Eksempel 1 (interval)</v>
      </c>
      <c r="G171" s="171" t="str" cm="1">
        <f t="array" ref="G171">IF(LineærRegression_Valg[[#This Row],[Indenfor range]],IF(LineærRegression_Valg[[#This Row],[Intet overlap]],INDEX(DataTitel_liste,LineærRegression_Valg[[#This Row],[Uafhængig variabel ID]]),INDEX(DataTitel_liste,IF(LineærRegression_Valg[[#This Row],[Afhængig variabel ID]]=1,2,1))),$B$7)</f>
        <v>Eksempel 2 (interval)</v>
      </c>
      <c r="H171" s="171">
        <f>_xlfn.AGGREGATE(2,5,LineærRegression_Valg[[#This Row],[Tabel ID]])</f>
        <v>1</v>
      </c>
    </row>
    <row r="172" spans="1:8" x14ac:dyDescent="0.2">
      <c r="A172">
        <f>ROW(LineærRegression_Valg[[#This Row],[Tabel ID]])-ROW(LineærRegression_Valg[[#Headers],[Tabel ID]])</f>
        <v>162</v>
      </c>
      <c r="B172" s="171">
        <f>ROUNDDOWN((LineærRegression_Valg[[#This Row],[Tabel ID]]-1)/$B$5,0)+1</f>
        <v>41</v>
      </c>
      <c r="C172" s="171">
        <f t="shared" si="2"/>
        <v>2</v>
      </c>
      <c r="D172" s="171" t="b">
        <f>LineærRegression_Valg[[#This Row],[Afhængig variabel ID]]&lt;&gt;LineærRegression_Valg[[#This Row],[Uafhængig variabel ID]]</f>
        <v>1</v>
      </c>
      <c r="E172" t="b">
        <f>LineærRegression_Valg[[#This Row],[Afhængig variabel ID]]&lt;=$B$5</f>
        <v>0</v>
      </c>
      <c r="F172" t="str" cm="1">
        <f t="array" ref="F172">IF(LineærRegression_Valg[[#This Row],[Indenfor range]],INDEX(DataTitel_liste,LineærRegression_Valg[[#This Row],[Afhængig variabel ID]]),INDEX(DataTitel_liste,1))</f>
        <v>Eksempel 1 (interval)</v>
      </c>
      <c r="G172" s="171" t="str" cm="1">
        <f t="array" ref="G172">IF(LineærRegression_Valg[[#This Row],[Indenfor range]],IF(LineærRegression_Valg[[#This Row],[Intet overlap]],INDEX(DataTitel_liste,LineærRegression_Valg[[#This Row],[Uafhængig variabel ID]]),INDEX(DataTitel_liste,IF(LineærRegression_Valg[[#This Row],[Afhængig variabel ID]]=1,2,1))),$B$7)</f>
        <v>Eksempel 2 (interval)</v>
      </c>
      <c r="H172" s="171">
        <f>_xlfn.AGGREGATE(2,5,LineærRegression_Valg[[#This Row],[Tabel ID]])</f>
        <v>1</v>
      </c>
    </row>
    <row r="173" spans="1:8" x14ac:dyDescent="0.2">
      <c r="A173">
        <f>ROW(LineærRegression_Valg[[#This Row],[Tabel ID]])-ROW(LineærRegression_Valg[[#Headers],[Tabel ID]])</f>
        <v>163</v>
      </c>
      <c r="B173" s="171">
        <f>ROUNDDOWN((LineærRegression_Valg[[#This Row],[Tabel ID]]-1)/$B$5,0)+1</f>
        <v>41</v>
      </c>
      <c r="C173" s="171">
        <f t="shared" si="2"/>
        <v>3</v>
      </c>
      <c r="D173" s="171" t="b">
        <f>LineærRegression_Valg[[#This Row],[Afhængig variabel ID]]&lt;&gt;LineærRegression_Valg[[#This Row],[Uafhængig variabel ID]]</f>
        <v>1</v>
      </c>
      <c r="E173" t="b">
        <f>LineærRegression_Valg[[#This Row],[Afhængig variabel ID]]&lt;=$B$5</f>
        <v>0</v>
      </c>
      <c r="F173" t="str" cm="1">
        <f t="array" ref="F173">IF(LineærRegression_Valg[[#This Row],[Indenfor range]],INDEX(DataTitel_liste,LineærRegression_Valg[[#This Row],[Afhængig variabel ID]]),INDEX(DataTitel_liste,1))</f>
        <v>Eksempel 1 (interval)</v>
      </c>
      <c r="G173" s="171" t="str" cm="1">
        <f t="array" ref="G173">IF(LineærRegression_Valg[[#This Row],[Indenfor range]],IF(LineærRegression_Valg[[#This Row],[Intet overlap]],INDEX(DataTitel_liste,LineærRegression_Valg[[#This Row],[Uafhængig variabel ID]]),INDEX(DataTitel_liste,IF(LineærRegression_Valg[[#This Row],[Afhængig variabel ID]]=1,2,1))),$B$7)</f>
        <v>Eksempel 2 (interval)</v>
      </c>
      <c r="H173" s="171">
        <f>_xlfn.AGGREGATE(2,5,LineærRegression_Valg[[#This Row],[Tabel ID]])</f>
        <v>1</v>
      </c>
    </row>
    <row r="174" spans="1:8" x14ac:dyDescent="0.2">
      <c r="A174">
        <f>ROW(LineærRegression_Valg[[#This Row],[Tabel ID]])-ROW(LineærRegression_Valg[[#Headers],[Tabel ID]])</f>
        <v>164</v>
      </c>
      <c r="B174" s="171">
        <f>ROUNDDOWN((LineærRegression_Valg[[#This Row],[Tabel ID]]-1)/$B$5,0)+1</f>
        <v>41</v>
      </c>
      <c r="C174" s="171">
        <f t="shared" si="2"/>
        <v>4</v>
      </c>
      <c r="D174" s="171" t="b">
        <f>LineærRegression_Valg[[#This Row],[Afhængig variabel ID]]&lt;&gt;LineærRegression_Valg[[#This Row],[Uafhængig variabel ID]]</f>
        <v>1</v>
      </c>
      <c r="E174" t="b">
        <f>LineærRegression_Valg[[#This Row],[Afhængig variabel ID]]&lt;=$B$5</f>
        <v>0</v>
      </c>
      <c r="F174" t="str" cm="1">
        <f t="array" ref="F174">IF(LineærRegression_Valg[[#This Row],[Indenfor range]],INDEX(DataTitel_liste,LineærRegression_Valg[[#This Row],[Afhængig variabel ID]]),INDEX(DataTitel_liste,1))</f>
        <v>Eksempel 1 (interval)</v>
      </c>
      <c r="G174" s="171" t="str" cm="1">
        <f t="array" ref="G174">IF(LineærRegression_Valg[[#This Row],[Indenfor range]],IF(LineærRegression_Valg[[#This Row],[Intet overlap]],INDEX(DataTitel_liste,LineærRegression_Valg[[#This Row],[Uafhængig variabel ID]]),INDEX(DataTitel_liste,IF(LineærRegression_Valg[[#This Row],[Afhængig variabel ID]]=1,2,1))),$B$7)</f>
        <v>Eksempel 2 (interval)</v>
      </c>
      <c r="H174" s="171">
        <f>_xlfn.AGGREGATE(2,5,LineærRegression_Valg[[#This Row],[Tabel ID]])</f>
        <v>1</v>
      </c>
    </row>
    <row r="175" spans="1:8" x14ac:dyDescent="0.2">
      <c r="A175">
        <f>ROW(LineærRegression_Valg[[#This Row],[Tabel ID]])-ROW(LineærRegression_Valg[[#Headers],[Tabel ID]])</f>
        <v>165</v>
      </c>
      <c r="B175" s="171">
        <f>ROUNDDOWN((LineærRegression_Valg[[#This Row],[Tabel ID]]-1)/$B$5,0)+1</f>
        <v>42</v>
      </c>
      <c r="C175" s="171">
        <f t="shared" si="2"/>
        <v>1</v>
      </c>
      <c r="D175" s="171" t="b">
        <f>LineærRegression_Valg[[#This Row],[Afhængig variabel ID]]&lt;&gt;LineærRegression_Valg[[#This Row],[Uafhængig variabel ID]]</f>
        <v>1</v>
      </c>
      <c r="E175" t="b">
        <f>LineærRegression_Valg[[#This Row],[Afhængig variabel ID]]&lt;=$B$5</f>
        <v>0</v>
      </c>
      <c r="F175" t="str" cm="1">
        <f t="array" ref="F175">IF(LineærRegression_Valg[[#This Row],[Indenfor range]],INDEX(DataTitel_liste,LineærRegression_Valg[[#This Row],[Afhængig variabel ID]]),INDEX(DataTitel_liste,1))</f>
        <v>Eksempel 1 (interval)</v>
      </c>
      <c r="G175" s="171" t="str" cm="1">
        <f t="array" ref="G175">IF(LineærRegression_Valg[[#This Row],[Indenfor range]],IF(LineærRegression_Valg[[#This Row],[Intet overlap]],INDEX(DataTitel_liste,LineærRegression_Valg[[#This Row],[Uafhængig variabel ID]]),INDEX(DataTitel_liste,IF(LineærRegression_Valg[[#This Row],[Afhængig variabel ID]]=1,2,1))),$B$7)</f>
        <v>Eksempel 2 (interval)</v>
      </c>
      <c r="H175" s="171">
        <f>_xlfn.AGGREGATE(2,5,LineærRegression_Valg[[#This Row],[Tabel ID]])</f>
        <v>1</v>
      </c>
    </row>
    <row r="176" spans="1:8" x14ac:dyDescent="0.2">
      <c r="A176">
        <f>ROW(LineærRegression_Valg[[#This Row],[Tabel ID]])-ROW(LineærRegression_Valg[[#Headers],[Tabel ID]])</f>
        <v>166</v>
      </c>
      <c r="B176" s="171">
        <f>ROUNDDOWN((LineærRegression_Valg[[#This Row],[Tabel ID]]-1)/$B$5,0)+1</f>
        <v>42</v>
      </c>
      <c r="C176" s="171">
        <f t="shared" si="2"/>
        <v>2</v>
      </c>
      <c r="D176" s="171" t="b">
        <f>LineærRegression_Valg[[#This Row],[Afhængig variabel ID]]&lt;&gt;LineærRegression_Valg[[#This Row],[Uafhængig variabel ID]]</f>
        <v>1</v>
      </c>
      <c r="E176" t="b">
        <f>LineærRegression_Valg[[#This Row],[Afhængig variabel ID]]&lt;=$B$5</f>
        <v>0</v>
      </c>
      <c r="F176" t="str" cm="1">
        <f t="array" ref="F176">IF(LineærRegression_Valg[[#This Row],[Indenfor range]],INDEX(DataTitel_liste,LineærRegression_Valg[[#This Row],[Afhængig variabel ID]]),INDEX(DataTitel_liste,1))</f>
        <v>Eksempel 1 (interval)</v>
      </c>
      <c r="G176" s="171" t="str" cm="1">
        <f t="array" ref="G176">IF(LineærRegression_Valg[[#This Row],[Indenfor range]],IF(LineærRegression_Valg[[#This Row],[Intet overlap]],INDEX(DataTitel_liste,LineærRegression_Valg[[#This Row],[Uafhængig variabel ID]]),INDEX(DataTitel_liste,IF(LineærRegression_Valg[[#This Row],[Afhængig variabel ID]]=1,2,1))),$B$7)</f>
        <v>Eksempel 2 (interval)</v>
      </c>
      <c r="H176" s="171">
        <f>_xlfn.AGGREGATE(2,5,LineærRegression_Valg[[#This Row],[Tabel ID]])</f>
        <v>1</v>
      </c>
    </row>
    <row r="177" spans="1:8" x14ac:dyDescent="0.2">
      <c r="A177">
        <f>ROW(LineærRegression_Valg[[#This Row],[Tabel ID]])-ROW(LineærRegression_Valg[[#Headers],[Tabel ID]])</f>
        <v>167</v>
      </c>
      <c r="B177" s="171">
        <f>ROUNDDOWN((LineærRegression_Valg[[#This Row],[Tabel ID]]-1)/$B$5,0)+1</f>
        <v>42</v>
      </c>
      <c r="C177" s="171">
        <f t="shared" si="2"/>
        <v>3</v>
      </c>
      <c r="D177" s="171" t="b">
        <f>LineærRegression_Valg[[#This Row],[Afhængig variabel ID]]&lt;&gt;LineærRegression_Valg[[#This Row],[Uafhængig variabel ID]]</f>
        <v>1</v>
      </c>
      <c r="E177" t="b">
        <f>LineærRegression_Valg[[#This Row],[Afhængig variabel ID]]&lt;=$B$5</f>
        <v>0</v>
      </c>
      <c r="F177" t="str" cm="1">
        <f t="array" ref="F177">IF(LineærRegression_Valg[[#This Row],[Indenfor range]],INDEX(DataTitel_liste,LineærRegression_Valg[[#This Row],[Afhængig variabel ID]]),INDEX(DataTitel_liste,1))</f>
        <v>Eksempel 1 (interval)</v>
      </c>
      <c r="G177" s="171" t="str" cm="1">
        <f t="array" ref="G177">IF(LineærRegression_Valg[[#This Row],[Indenfor range]],IF(LineærRegression_Valg[[#This Row],[Intet overlap]],INDEX(DataTitel_liste,LineærRegression_Valg[[#This Row],[Uafhængig variabel ID]]),INDEX(DataTitel_liste,IF(LineærRegression_Valg[[#This Row],[Afhængig variabel ID]]=1,2,1))),$B$7)</f>
        <v>Eksempel 2 (interval)</v>
      </c>
      <c r="H177" s="171">
        <f>_xlfn.AGGREGATE(2,5,LineærRegression_Valg[[#This Row],[Tabel ID]])</f>
        <v>1</v>
      </c>
    </row>
    <row r="178" spans="1:8" x14ac:dyDescent="0.2">
      <c r="A178">
        <f>ROW(LineærRegression_Valg[[#This Row],[Tabel ID]])-ROW(LineærRegression_Valg[[#Headers],[Tabel ID]])</f>
        <v>168</v>
      </c>
      <c r="B178" s="171">
        <f>ROUNDDOWN((LineærRegression_Valg[[#This Row],[Tabel ID]]-1)/$B$5,0)+1</f>
        <v>42</v>
      </c>
      <c r="C178" s="171">
        <f t="shared" si="2"/>
        <v>4</v>
      </c>
      <c r="D178" s="171" t="b">
        <f>LineærRegression_Valg[[#This Row],[Afhængig variabel ID]]&lt;&gt;LineærRegression_Valg[[#This Row],[Uafhængig variabel ID]]</f>
        <v>1</v>
      </c>
      <c r="E178" t="b">
        <f>LineærRegression_Valg[[#This Row],[Afhængig variabel ID]]&lt;=$B$5</f>
        <v>0</v>
      </c>
      <c r="F178" t="str" cm="1">
        <f t="array" ref="F178">IF(LineærRegression_Valg[[#This Row],[Indenfor range]],INDEX(DataTitel_liste,LineærRegression_Valg[[#This Row],[Afhængig variabel ID]]),INDEX(DataTitel_liste,1))</f>
        <v>Eksempel 1 (interval)</v>
      </c>
      <c r="G178" s="171" t="str" cm="1">
        <f t="array" ref="G178">IF(LineærRegression_Valg[[#This Row],[Indenfor range]],IF(LineærRegression_Valg[[#This Row],[Intet overlap]],INDEX(DataTitel_liste,LineærRegression_Valg[[#This Row],[Uafhængig variabel ID]]),INDEX(DataTitel_liste,IF(LineærRegression_Valg[[#This Row],[Afhængig variabel ID]]=1,2,1))),$B$7)</f>
        <v>Eksempel 2 (interval)</v>
      </c>
      <c r="H178" s="171">
        <f>_xlfn.AGGREGATE(2,5,LineærRegression_Valg[[#This Row],[Tabel ID]])</f>
        <v>1</v>
      </c>
    </row>
    <row r="179" spans="1:8" x14ac:dyDescent="0.2">
      <c r="A179">
        <f>ROW(LineærRegression_Valg[[#This Row],[Tabel ID]])-ROW(LineærRegression_Valg[[#Headers],[Tabel ID]])</f>
        <v>169</v>
      </c>
      <c r="B179" s="171">
        <f>ROUNDDOWN((LineærRegression_Valg[[#This Row],[Tabel ID]]-1)/$B$5,0)+1</f>
        <v>43</v>
      </c>
      <c r="C179" s="171">
        <f t="shared" si="2"/>
        <v>1</v>
      </c>
      <c r="D179" s="171" t="b">
        <f>LineærRegression_Valg[[#This Row],[Afhængig variabel ID]]&lt;&gt;LineærRegression_Valg[[#This Row],[Uafhængig variabel ID]]</f>
        <v>1</v>
      </c>
      <c r="E179" t="b">
        <f>LineærRegression_Valg[[#This Row],[Afhængig variabel ID]]&lt;=$B$5</f>
        <v>0</v>
      </c>
      <c r="F179" t="str" cm="1">
        <f t="array" ref="F179">IF(LineærRegression_Valg[[#This Row],[Indenfor range]],INDEX(DataTitel_liste,LineærRegression_Valg[[#This Row],[Afhængig variabel ID]]),INDEX(DataTitel_liste,1))</f>
        <v>Eksempel 1 (interval)</v>
      </c>
      <c r="G179" s="171" t="str" cm="1">
        <f t="array" ref="G179">IF(LineærRegression_Valg[[#This Row],[Indenfor range]],IF(LineærRegression_Valg[[#This Row],[Intet overlap]],INDEX(DataTitel_liste,LineærRegression_Valg[[#This Row],[Uafhængig variabel ID]]),INDEX(DataTitel_liste,IF(LineærRegression_Valg[[#This Row],[Afhængig variabel ID]]=1,2,1))),$B$7)</f>
        <v>Eksempel 2 (interval)</v>
      </c>
      <c r="H179" s="171">
        <f>_xlfn.AGGREGATE(2,5,LineærRegression_Valg[[#This Row],[Tabel ID]])</f>
        <v>1</v>
      </c>
    </row>
    <row r="180" spans="1:8" x14ac:dyDescent="0.2">
      <c r="A180">
        <f>ROW(LineærRegression_Valg[[#This Row],[Tabel ID]])-ROW(LineærRegression_Valg[[#Headers],[Tabel ID]])</f>
        <v>170</v>
      </c>
      <c r="B180" s="171">
        <f>ROUNDDOWN((LineærRegression_Valg[[#This Row],[Tabel ID]]-1)/$B$5,0)+1</f>
        <v>43</v>
      </c>
      <c r="C180" s="171">
        <f t="shared" si="2"/>
        <v>2</v>
      </c>
      <c r="D180" s="171" t="b">
        <f>LineærRegression_Valg[[#This Row],[Afhængig variabel ID]]&lt;&gt;LineærRegression_Valg[[#This Row],[Uafhængig variabel ID]]</f>
        <v>1</v>
      </c>
      <c r="E180" t="b">
        <f>LineærRegression_Valg[[#This Row],[Afhængig variabel ID]]&lt;=$B$5</f>
        <v>0</v>
      </c>
      <c r="F180" t="str" cm="1">
        <f t="array" ref="F180">IF(LineærRegression_Valg[[#This Row],[Indenfor range]],INDEX(DataTitel_liste,LineærRegression_Valg[[#This Row],[Afhængig variabel ID]]),INDEX(DataTitel_liste,1))</f>
        <v>Eksempel 1 (interval)</v>
      </c>
      <c r="G180" s="171" t="str" cm="1">
        <f t="array" ref="G180">IF(LineærRegression_Valg[[#This Row],[Indenfor range]],IF(LineærRegression_Valg[[#This Row],[Intet overlap]],INDEX(DataTitel_liste,LineærRegression_Valg[[#This Row],[Uafhængig variabel ID]]),INDEX(DataTitel_liste,IF(LineærRegression_Valg[[#This Row],[Afhængig variabel ID]]=1,2,1))),$B$7)</f>
        <v>Eksempel 2 (interval)</v>
      </c>
      <c r="H180" s="171">
        <f>_xlfn.AGGREGATE(2,5,LineærRegression_Valg[[#This Row],[Tabel ID]])</f>
        <v>1</v>
      </c>
    </row>
    <row r="181" spans="1:8" x14ac:dyDescent="0.2">
      <c r="A181">
        <f>ROW(LineærRegression_Valg[[#This Row],[Tabel ID]])-ROW(LineærRegression_Valg[[#Headers],[Tabel ID]])</f>
        <v>171</v>
      </c>
      <c r="B181" s="171">
        <f>ROUNDDOWN((LineærRegression_Valg[[#This Row],[Tabel ID]]-1)/$B$5,0)+1</f>
        <v>43</v>
      </c>
      <c r="C181" s="171">
        <f t="shared" si="2"/>
        <v>3</v>
      </c>
      <c r="D181" s="171" t="b">
        <f>LineærRegression_Valg[[#This Row],[Afhængig variabel ID]]&lt;&gt;LineærRegression_Valg[[#This Row],[Uafhængig variabel ID]]</f>
        <v>1</v>
      </c>
      <c r="E181" t="b">
        <f>LineærRegression_Valg[[#This Row],[Afhængig variabel ID]]&lt;=$B$5</f>
        <v>0</v>
      </c>
      <c r="F181" t="str" cm="1">
        <f t="array" ref="F181">IF(LineærRegression_Valg[[#This Row],[Indenfor range]],INDEX(DataTitel_liste,LineærRegression_Valg[[#This Row],[Afhængig variabel ID]]),INDEX(DataTitel_liste,1))</f>
        <v>Eksempel 1 (interval)</v>
      </c>
      <c r="G181" s="171" t="str" cm="1">
        <f t="array" ref="G181">IF(LineærRegression_Valg[[#This Row],[Indenfor range]],IF(LineærRegression_Valg[[#This Row],[Intet overlap]],INDEX(DataTitel_liste,LineærRegression_Valg[[#This Row],[Uafhængig variabel ID]]),INDEX(DataTitel_liste,IF(LineærRegression_Valg[[#This Row],[Afhængig variabel ID]]=1,2,1))),$B$7)</f>
        <v>Eksempel 2 (interval)</v>
      </c>
      <c r="H181" s="171">
        <f>_xlfn.AGGREGATE(2,5,LineærRegression_Valg[[#This Row],[Tabel ID]])</f>
        <v>1</v>
      </c>
    </row>
    <row r="182" spans="1:8" x14ac:dyDescent="0.2">
      <c r="A182">
        <f>ROW(LineærRegression_Valg[[#This Row],[Tabel ID]])-ROW(LineærRegression_Valg[[#Headers],[Tabel ID]])</f>
        <v>172</v>
      </c>
      <c r="B182" s="171">
        <f>ROUNDDOWN((LineærRegression_Valg[[#This Row],[Tabel ID]]-1)/$B$5,0)+1</f>
        <v>43</v>
      </c>
      <c r="C182" s="171">
        <f t="shared" si="2"/>
        <v>4</v>
      </c>
      <c r="D182" s="171" t="b">
        <f>LineærRegression_Valg[[#This Row],[Afhængig variabel ID]]&lt;&gt;LineærRegression_Valg[[#This Row],[Uafhængig variabel ID]]</f>
        <v>1</v>
      </c>
      <c r="E182" t="b">
        <f>LineærRegression_Valg[[#This Row],[Afhængig variabel ID]]&lt;=$B$5</f>
        <v>0</v>
      </c>
      <c r="F182" t="str" cm="1">
        <f t="array" ref="F182">IF(LineærRegression_Valg[[#This Row],[Indenfor range]],INDEX(DataTitel_liste,LineærRegression_Valg[[#This Row],[Afhængig variabel ID]]),INDEX(DataTitel_liste,1))</f>
        <v>Eksempel 1 (interval)</v>
      </c>
      <c r="G182" s="171" t="str" cm="1">
        <f t="array" ref="G182">IF(LineærRegression_Valg[[#This Row],[Indenfor range]],IF(LineærRegression_Valg[[#This Row],[Intet overlap]],INDEX(DataTitel_liste,LineærRegression_Valg[[#This Row],[Uafhængig variabel ID]]),INDEX(DataTitel_liste,IF(LineærRegression_Valg[[#This Row],[Afhængig variabel ID]]=1,2,1))),$B$7)</f>
        <v>Eksempel 2 (interval)</v>
      </c>
      <c r="H182" s="171">
        <f>_xlfn.AGGREGATE(2,5,LineærRegression_Valg[[#This Row],[Tabel ID]])</f>
        <v>1</v>
      </c>
    </row>
    <row r="183" spans="1:8" x14ac:dyDescent="0.2">
      <c r="A183">
        <f>ROW(LineærRegression_Valg[[#This Row],[Tabel ID]])-ROW(LineærRegression_Valg[[#Headers],[Tabel ID]])</f>
        <v>173</v>
      </c>
      <c r="B183" s="171">
        <f>ROUNDDOWN((LineærRegression_Valg[[#This Row],[Tabel ID]]-1)/$B$5,0)+1</f>
        <v>44</v>
      </c>
      <c r="C183" s="171">
        <f t="shared" si="2"/>
        <v>1</v>
      </c>
      <c r="D183" s="171" t="b">
        <f>LineærRegression_Valg[[#This Row],[Afhængig variabel ID]]&lt;&gt;LineærRegression_Valg[[#This Row],[Uafhængig variabel ID]]</f>
        <v>1</v>
      </c>
      <c r="E183" t="b">
        <f>LineærRegression_Valg[[#This Row],[Afhængig variabel ID]]&lt;=$B$5</f>
        <v>0</v>
      </c>
      <c r="F183" t="str" cm="1">
        <f t="array" ref="F183">IF(LineærRegression_Valg[[#This Row],[Indenfor range]],INDEX(DataTitel_liste,LineærRegression_Valg[[#This Row],[Afhængig variabel ID]]),INDEX(DataTitel_liste,1))</f>
        <v>Eksempel 1 (interval)</v>
      </c>
      <c r="G183" s="171" t="str" cm="1">
        <f t="array" ref="G183">IF(LineærRegression_Valg[[#This Row],[Indenfor range]],IF(LineærRegression_Valg[[#This Row],[Intet overlap]],INDEX(DataTitel_liste,LineærRegression_Valg[[#This Row],[Uafhængig variabel ID]]),INDEX(DataTitel_liste,IF(LineærRegression_Valg[[#This Row],[Afhængig variabel ID]]=1,2,1))),$B$7)</f>
        <v>Eksempel 2 (interval)</v>
      </c>
      <c r="H183" s="171">
        <f>_xlfn.AGGREGATE(2,5,LineærRegression_Valg[[#This Row],[Tabel ID]])</f>
        <v>1</v>
      </c>
    </row>
    <row r="184" spans="1:8" x14ac:dyDescent="0.2">
      <c r="A184">
        <f>ROW(LineærRegression_Valg[[#This Row],[Tabel ID]])-ROW(LineærRegression_Valg[[#Headers],[Tabel ID]])</f>
        <v>174</v>
      </c>
      <c r="B184" s="171">
        <f>ROUNDDOWN((LineærRegression_Valg[[#This Row],[Tabel ID]]-1)/$B$5,0)+1</f>
        <v>44</v>
      </c>
      <c r="C184" s="171">
        <f t="shared" si="2"/>
        <v>2</v>
      </c>
      <c r="D184" s="171" t="b">
        <f>LineærRegression_Valg[[#This Row],[Afhængig variabel ID]]&lt;&gt;LineærRegression_Valg[[#This Row],[Uafhængig variabel ID]]</f>
        <v>1</v>
      </c>
      <c r="E184" t="b">
        <f>LineærRegression_Valg[[#This Row],[Afhængig variabel ID]]&lt;=$B$5</f>
        <v>0</v>
      </c>
      <c r="F184" t="str" cm="1">
        <f t="array" ref="F184">IF(LineærRegression_Valg[[#This Row],[Indenfor range]],INDEX(DataTitel_liste,LineærRegression_Valg[[#This Row],[Afhængig variabel ID]]),INDEX(DataTitel_liste,1))</f>
        <v>Eksempel 1 (interval)</v>
      </c>
      <c r="G184" s="171" t="str" cm="1">
        <f t="array" ref="G184">IF(LineærRegression_Valg[[#This Row],[Indenfor range]],IF(LineærRegression_Valg[[#This Row],[Intet overlap]],INDEX(DataTitel_liste,LineærRegression_Valg[[#This Row],[Uafhængig variabel ID]]),INDEX(DataTitel_liste,IF(LineærRegression_Valg[[#This Row],[Afhængig variabel ID]]=1,2,1))),$B$7)</f>
        <v>Eksempel 2 (interval)</v>
      </c>
      <c r="H184" s="171">
        <f>_xlfn.AGGREGATE(2,5,LineærRegression_Valg[[#This Row],[Tabel ID]])</f>
        <v>1</v>
      </c>
    </row>
    <row r="185" spans="1:8" x14ac:dyDescent="0.2">
      <c r="A185">
        <f>ROW(LineærRegression_Valg[[#This Row],[Tabel ID]])-ROW(LineærRegression_Valg[[#Headers],[Tabel ID]])</f>
        <v>175</v>
      </c>
      <c r="B185" s="171">
        <f>ROUNDDOWN((LineærRegression_Valg[[#This Row],[Tabel ID]]-1)/$B$5,0)+1</f>
        <v>44</v>
      </c>
      <c r="C185" s="171">
        <f t="shared" si="2"/>
        <v>3</v>
      </c>
      <c r="D185" s="171" t="b">
        <f>LineærRegression_Valg[[#This Row],[Afhængig variabel ID]]&lt;&gt;LineærRegression_Valg[[#This Row],[Uafhængig variabel ID]]</f>
        <v>1</v>
      </c>
      <c r="E185" t="b">
        <f>LineærRegression_Valg[[#This Row],[Afhængig variabel ID]]&lt;=$B$5</f>
        <v>0</v>
      </c>
      <c r="F185" t="str" cm="1">
        <f t="array" ref="F185">IF(LineærRegression_Valg[[#This Row],[Indenfor range]],INDEX(DataTitel_liste,LineærRegression_Valg[[#This Row],[Afhængig variabel ID]]),INDEX(DataTitel_liste,1))</f>
        <v>Eksempel 1 (interval)</v>
      </c>
      <c r="G185" s="171" t="str" cm="1">
        <f t="array" ref="G185">IF(LineærRegression_Valg[[#This Row],[Indenfor range]],IF(LineærRegression_Valg[[#This Row],[Intet overlap]],INDEX(DataTitel_liste,LineærRegression_Valg[[#This Row],[Uafhængig variabel ID]]),INDEX(DataTitel_liste,IF(LineærRegression_Valg[[#This Row],[Afhængig variabel ID]]=1,2,1))),$B$7)</f>
        <v>Eksempel 2 (interval)</v>
      </c>
      <c r="H185" s="171">
        <f>_xlfn.AGGREGATE(2,5,LineærRegression_Valg[[#This Row],[Tabel ID]])</f>
        <v>1</v>
      </c>
    </row>
    <row r="186" spans="1:8" x14ac:dyDescent="0.2">
      <c r="A186">
        <f>ROW(LineærRegression_Valg[[#This Row],[Tabel ID]])-ROW(LineærRegression_Valg[[#Headers],[Tabel ID]])</f>
        <v>176</v>
      </c>
      <c r="B186" s="171">
        <f>ROUNDDOWN((LineærRegression_Valg[[#This Row],[Tabel ID]]-1)/$B$5,0)+1</f>
        <v>44</v>
      </c>
      <c r="C186" s="171">
        <f t="shared" si="2"/>
        <v>4</v>
      </c>
      <c r="D186" s="171" t="b">
        <f>LineærRegression_Valg[[#This Row],[Afhængig variabel ID]]&lt;&gt;LineærRegression_Valg[[#This Row],[Uafhængig variabel ID]]</f>
        <v>1</v>
      </c>
      <c r="E186" t="b">
        <f>LineærRegression_Valg[[#This Row],[Afhængig variabel ID]]&lt;=$B$5</f>
        <v>0</v>
      </c>
      <c r="F186" t="str" cm="1">
        <f t="array" ref="F186">IF(LineærRegression_Valg[[#This Row],[Indenfor range]],INDEX(DataTitel_liste,LineærRegression_Valg[[#This Row],[Afhængig variabel ID]]),INDEX(DataTitel_liste,1))</f>
        <v>Eksempel 1 (interval)</v>
      </c>
      <c r="G186" s="171" t="str" cm="1">
        <f t="array" ref="G186">IF(LineærRegression_Valg[[#This Row],[Indenfor range]],IF(LineærRegression_Valg[[#This Row],[Intet overlap]],INDEX(DataTitel_liste,LineærRegression_Valg[[#This Row],[Uafhængig variabel ID]]),INDEX(DataTitel_liste,IF(LineærRegression_Valg[[#This Row],[Afhængig variabel ID]]=1,2,1))),$B$7)</f>
        <v>Eksempel 2 (interval)</v>
      </c>
      <c r="H186" s="171">
        <f>_xlfn.AGGREGATE(2,5,LineærRegression_Valg[[#This Row],[Tabel ID]])</f>
        <v>1</v>
      </c>
    </row>
    <row r="187" spans="1:8" x14ac:dyDescent="0.2">
      <c r="A187">
        <f>ROW(LineærRegression_Valg[[#This Row],[Tabel ID]])-ROW(LineærRegression_Valg[[#Headers],[Tabel ID]])</f>
        <v>177</v>
      </c>
      <c r="B187" s="171">
        <f>ROUNDDOWN((LineærRegression_Valg[[#This Row],[Tabel ID]]-1)/$B$5,0)+1</f>
        <v>45</v>
      </c>
      <c r="C187" s="171">
        <f t="shared" si="2"/>
        <v>1</v>
      </c>
      <c r="D187" s="171" t="b">
        <f>LineærRegression_Valg[[#This Row],[Afhængig variabel ID]]&lt;&gt;LineærRegression_Valg[[#This Row],[Uafhængig variabel ID]]</f>
        <v>1</v>
      </c>
      <c r="E187" t="b">
        <f>LineærRegression_Valg[[#This Row],[Afhængig variabel ID]]&lt;=$B$5</f>
        <v>0</v>
      </c>
      <c r="F187" t="str" cm="1">
        <f t="array" ref="F187">IF(LineærRegression_Valg[[#This Row],[Indenfor range]],INDEX(DataTitel_liste,LineærRegression_Valg[[#This Row],[Afhængig variabel ID]]),INDEX(DataTitel_liste,1))</f>
        <v>Eksempel 1 (interval)</v>
      </c>
      <c r="G187" s="171" t="str" cm="1">
        <f t="array" ref="G187">IF(LineærRegression_Valg[[#This Row],[Indenfor range]],IF(LineærRegression_Valg[[#This Row],[Intet overlap]],INDEX(DataTitel_liste,LineærRegression_Valg[[#This Row],[Uafhængig variabel ID]]),INDEX(DataTitel_liste,IF(LineærRegression_Valg[[#This Row],[Afhængig variabel ID]]=1,2,1))),$B$7)</f>
        <v>Eksempel 2 (interval)</v>
      </c>
      <c r="H187" s="171">
        <f>_xlfn.AGGREGATE(2,5,LineærRegression_Valg[[#This Row],[Tabel ID]])</f>
        <v>1</v>
      </c>
    </row>
    <row r="188" spans="1:8" x14ac:dyDescent="0.2">
      <c r="A188">
        <f>ROW(LineærRegression_Valg[[#This Row],[Tabel ID]])-ROW(LineærRegression_Valg[[#Headers],[Tabel ID]])</f>
        <v>178</v>
      </c>
      <c r="B188" s="171">
        <f>ROUNDDOWN((LineærRegression_Valg[[#This Row],[Tabel ID]]-1)/$B$5,0)+1</f>
        <v>45</v>
      </c>
      <c r="C188" s="171">
        <f t="shared" si="2"/>
        <v>2</v>
      </c>
      <c r="D188" s="171" t="b">
        <f>LineærRegression_Valg[[#This Row],[Afhængig variabel ID]]&lt;&gt;LineærRegression_Valg[[#This Row],[Uafhængig variabel ID]]</f>
        <v>1</v>
      </c>
      <c r="E188" t="b">
        <f>LineærRegression_Valg[[#This Row],[Afhængig variabel ID]]&lt;=$B$5</f>
        <v>0</v>
      </c>
      <c r="F188" t="str" cm="1">
        <f t="array" ref="F188">IF(LineærRegression_Valg[[#This Row],[Indenfor range]],INDEX(DataTitel_liste,LineærRegression_Valg[[#This Row],[Afhængig variabel ID]]),INDEX(DataTitel_liste,1))</f>
        <v>Eksempel 1 (interval)</v>
      </c>
      <c r="G188" s="171" t="str" cm="1">
        <f t="array" ref="G188">IF(LineærRegression_Valg[[#This Row],[Indenfor range]],IF(LineærRegression_Valg[[#This Row],[Intet overlap]],INDEX(DataTitel_liste,LineærRegression_Valg[[#This Row],[Uafhængig variabel ID]]),INDEX(DataTitel_liste,IF(LineærRegression_Valg[[#This Row],[Afhængig variabel ID]]=1,2,1))),$B$7)</f>
        <v>Eksempel 2 (interval)</v>
      </c>
      <c r="H188" s="171">
        <f>_xlfn.AGGREGATE(2,5,LineærRegression_Valg[[#This Row],[Tabel ID]])</f>
        <v>1</v>
      </c>
    </row>
    <row r="189" spans="1:8" x14ac:dyDescent="0.2">
      <c r="A189">
        <f>ROW(LineærRegression_Valg[[#This Row],[Tabel ID]])-ROW(LineærRegression_Valg[[#Headers],[Tabel ID]])</f>
        <v>179</v>
      </c>
      <c r="B189" s="171">
        <f>ROUNDDOWN((LineærRegression_Valg[[#This Row],[Tabel ID]]-1)/$B$5,0)+1</f>
        <v>45</v>
      </c>
      <c r="C189" s="171">
        <f t="shared" si="2"/>
        <v>3</v>
      </c>
      <c r="D189" s="171" t="b">
        <f>LineærRegression_Valg[[#This Row],[Afhængig variabel ID]]&lt;&gt;LineærRegression_Valg[[#This Row],[Uafhængig variabel ID]]</f>
        <v>1</v>
      </c>
      <c r="E189" t="b">
        <f>LineærRegression_Valg[[#This Row],[Afhængig variabel ID]]&lt;=$B$5</f>
        <v>0</v>
      </c>
      <c r="F189" t="str" cm="1">
        <f t="array" ref="F189">IF(LineærRegression_Valg[[#This Row],[Indenfor range]],INDEX(DataTitel_liste,LineærRegression_Valg[[#This Row],[Afhængig variabel ID]]),INDEX(DataTitel_liste,1))</f>
        <v>Eksempel 1 (interval)</v>
      </c>
      <c r="G189" s="171" t="str" cm="1">
        <f t="array" ref="G189">IF(LineærRegression_Valg[[#This Row],[Indenfor range]],IF(LineærRegression_Valg[[#This Row],[Intet overlap]],INDEX(DataTitel_liste,LineærRegression_Valg[[#This Row],[Uafhængig variabel ID]]),INDEX(DataTitel_liste,IF(LineærRegression_Valg[[#This Row],[Afhængig variabel ID]]=1,2,1))),$B$7)</f>
        <v>Eksempel 2 (interval)</v>
      </c>
      <c r="H189" s="171">
        <f>_xlfn.AGGREGATE(2,5,LineærRegression_Valg[[#This Row],[Tabel ID]])</f>
        <v>1</v>
      </c>
    </row>
    <row r="190" spans="1:8" x14ac:dyDescent="0.2">
      <c r="A190">
        <f>ROW(LineærRegression_Valg[[#This Row],[Tabel ID]])-ROW(LineærRegression_Valg[[#Headers],[Tabel ID]])</f>
        <v>180</v>
      </c>
      <c r="B190" s="171">
        <f>ROUNDDOWN((LineærRegression_Valg[[#This Row],[Tabel ID]]-1)/$B$5,0)+1</f>
        <v>45</v>
      </c>
      <c r="C190" s="171">
        <f t="shared" si="2"/>
        <v>4</v>
      </c>
      <c r="D190" s="171" t="b">
        <f>LineærRegression_Valg[[#This Row],[Afhængig variabel ID]]&lt;&gt;LineærRegression_Valg[[#This Row],[Uafhængig variabel ID]]</f>
        <v>1</v>
      </c>
      <c r="E190" t="b">
        <f>LineærRegression_Valg[[#This Row],[Afhængig variabel ID]]&lt;=$B$5</f>
        <v>0</v>
      </c>
      <c r="F190" t="str" cm="1">
        <f t="array" ref="F190">IF(LineærRegression_Valg[[#This Row],[Indenfor range]],INDEX(DataTitel_liste,LineærRegression_Valg[[#This Row],[Afhængig variabel ID]]),INDEX(DataTitel_liste,1))</f>
        <v>Eksempel 1 (interval)</v>
      </c>
      <c r="G190" s="171" t="str" cm="1">
        <f t="array" ref="G190">IF(LineærRegression_Valg[[#This Row],[Indenfor range]],IF(LineærRegression_Valg[[#This Row],[Intet overlap]],INDEX(DataTitel_liste,LineærRegression_Valg[[#This Row],[Uafhængig variabel ID]]),INDEX(DataTitel_liste,IF(LineærRegression_Valg[[#This Row],[Afhængig variabel ID]]=1,2,1))),$B$7)</f>
        <v>Eksempel 2 (interval)</v>
      </c>
      <c r="H190" s="171">
        <f>_xlfn.AGGREGATE(2,5,LineærRegression_Valg[[#This Row],[Tabel ID]])</f>
        <v>1</v>
      </c>
    </row>
    <row r="191" spans="1:8" x14ac:dyDescent="0.2">
      <c r="A191">
        <f>ROW(LineærRegression_Valg[[#This Row],[Tabel ID]])-ROW(LineærRegression_Valg[[#Headers],[Tabel ID]])</f>
        <v>181</v>
      </c>
      <c r="B191" s="171">
        <f>ROUNDDOWN((LineærRegression_Valg[[#This Row],[Tabel ID]]-1)/$B$5,0)+1</f>
        <v>46</v>
      </c>
      <c r="C191" s="171">
        <f t="shared" si="2"/>
        <v>1</v>
      </c>
      <c r="D191" s="171" t="b">
        <f>LineærRegression_Valg[[#This Row],[Afhængig variabel ID]]&lt;&gt;LineærRegression_Valg[[#This Row],[Uafhængig variabel ID]]</f>
        <v>1</v>
      </c>
      <c r="E191" t="b">
        <f>LineærRegression_Valg[[#This Row],[Afhængig variabel ID]]&lt;=$B$5</f>
        <v>0</v>
      </c>
      <c r="F191" t="str" cm="1">
        <f t="array" ref="F191">IF(LineærRegression_Valg[[#This Row],[Indenfor range]],INDEX(DataTitel_liste,LineærRegression_Valg[[#This Row],[Afhængig variabel ID]]),INDEX(DataTitel_liste,1))</f>
        <v>Eksempel 1 (interval)</v>
      </c>
      <c r="G191" s="171" t="str" cm="1">
        <f t="array" ref="G191">IF(LineærRegression_Valg[[#This Row],[Indenfor range]],IF(LineærRegression_Valg[[#This Row],[Intet overlap]],INDEX(DataTitel_liste,LineærRegression_Valg[[#This Row],[Uafhængig variabel ID]]),INDEX(DataTitel_liste,IF(LineærRegression_Valg[[#This Row],[Afhængig variabel ID]]=1,2,1))),$B$7)</f>
        <v>Eksempel 2 (interval)</v>
      </c>
      <c r="H191" s="171">
        <f>_xlfn.AGGREGATE(2,5,LineærRegression_Valg[[#This Row],[Tabel ID]])</f>
        <v>1</v>
      </c>
    </row>
    <row r="192" spans="1:8" x14ac:dyDescent="0.2">
      <c r="A192">
        <f>ROW(LineærRegression_Valg[[#This Row],[Tabel ID]])-ROW(LineærRegression_Valg[[#Headers],[Tabel ID]])</f>
        <v>182</v>
      </c>
      <c r="B192" s="171">
        <f>ROUNDDOWN((LineærRegression_Valg[[#This Row],[Tabel ID]]-1)/$B$5,0)+1</f>
        <v>46</v>
      </c>
      <c r="C192" s="171">
        <f t="shared" si="2"/>
        <v>2</v>
      </c>
      <c r="D192" s="171" t="b">
        <f>LineærRegression_Valg[[#This Row],[Afhængig variabel ID]]&lt;&gt;LineærRegression_Valg[[#This Row],[Uafhængig variabel ID]]</f>
        <v>1</v>
      </c>
      <c r="E192" t="b">
        <f>LineærRegression_Valg[[#This Row],[Afhængig variabel ID]]&lt;=$B$5</f>
        <v>0</v>
      </c>
      <c r="F192" t="str" cm="1">
        <f t="array" ref="F192">IF(LineærRegression_Valg[[#This Row],[Indenfor range]],INDEX(DataTitel_liste,LineærRegression_Valg[[#This Row],[Afhængig variabel ID]]),INDEX(DataTitel_liste,1))</f>
        <v>Eksempel 1 (interval)</v>
      </c>
      <c r="G192" s="171" t="str" cm="1">
        <f t="array" ref="G192">IF(LineærRegression_Valg[[#This Row],[Indenfor range]],IF(LineærRegression_Valg[[#This Row],[Intet overlap]],INDEX(DataTitel_liste,LineærRegression_Valg[[#This Row],[Uafhængig variabel ID]]),INDEX(DataTitel_liste,IF(LineærRegression_Valg[[#This Row],[Afhængig variabel ID]]=1,2,1))),$B$7)</f>
        <v>Eksempel 2 (interval)</v>
      </c>
      <c r="H192" s="171">
        <f>_xlfn.AGGREGATE(2,5,LineærRegression_Valg[[#This Row],[Tabel ID]])</f>
        <v>1</v>
      </c>
    </row>
    <row r="193" spans="1:8" x14ac:dyDescent="0.2">
      <c r="A193">
        <f>ROW(LineærRegression_Valg[[#This Row],[Tabel ID]])-ROW(LineærRegression_Valg[[#Headers],[Tabel ID]])</f>
        <v>183</v>
      </c>
      <c r="B193" s="171">
        <f>ROUNDDOWN((LineærRegression_Valg[[#This Row],[Tabel ID]]-1)/$B$5,0)+1</f>
        <v>46</v>
      </c>
      <c r="C193" s="171">
        <f t="shared" si="2"/>
        <v>3</v>
      </c>
      <c r="D193" s="171" t="b">
        <f>LineærRegression_Valg[[#This Row],[Afhængig variabel ID]]&lt;&gt;LineærRegression_Valg[[#This Row],[Uafhængig variabel ID]]</f>
        <v>1</v>
      </c>
      <c r="E193" t="b">
        <f>LineærRegression_Valg[[#This Row],[Afhængig variabel ID]]&lt;=$B$5</f>
        <v>0</v>
      </c>
      <c r="F193" t="str" cm="1">
        <f t="array" ref="F193">IF(LineærRegression_Valg[[#This Row],[Indenfor range]],INDEX(DataTitel_liste,LineærRegression_Valg[[#This Row],[Afhængig variabel ID]]),INDEX(DataTitel_liste,1))</f>
        <v>Eksempel 1 (interval)</v>
      </c>
      <c r="G193" s="171" t="str" cm="1">
        <f t="array" ref="G193">IF(LineærRegression_Valg[[#This Row],[Indenfor range]],IF(LineærRegression_Valg[[#This Row],[Intet overlap]],INDEX(DataTitel_liste,LineærRegression_Valg[[#This Row],[Uafhængig variabel ID]]),INDEX(DataTitel_liste,IF(LineærRegression_Valg[[#This Row],[Afhængig variabel ID]]=1,2,1))),$B$7)</f>
        <v>Eksempel 2 (interval)</v>
      </c>
      <c r="H193" s="171">
        <f>_xlfn.AGGREGATE(2,5,LineærRegression_Valg[[#This Row],[Tabel ID]])</f>
        <v>1</v>
      </c>
    </row>
    <row r="194" spans="1:8" x14ac:dyDescent="0.2">
      <c r="A194">
        <f>ROW(LineærRegression_Valg[[#This Row],[Tabel ID]])-ROW(LineærRegression_Valg[[#Headers],[Tabel ID]])</f>
        <v>184</v>
      </c>
      <c r="B194" s="171">
        <f>ROUNDDOWN((LineærRegression_Valg[[#This Row],[Tabel ID]]-1)/$B$5,0)+1</f>
        <v>46</v>
      </c>
      <c r="C194" s="171">
        <f t="shared" si="2"/>
        <v>4</v>
      </c>
      <c r="D194" s="171" t="b">
        <f>LineærRegression_Valg[[#This Row],[Afhængig variabel ID]]&lt;&gt;LineærRegression_Valg[[#This Row],[Uafhængig variabel ID]]</f>
        <v>1</v>
      </c>
      <c r="E194" t="b">
        <f>LineærRegression_Valg[[#This Row],[Afhængig variabel ID]]&lt;=$B$5</f>
        <v>0</v>
      </c>
      <c r="F194" t="str" cm="1">
        <f t="array" ref="F194">IF(LineærRegression_Valg[[#This Row],[Indenfor range]],INDEX(DataTitel_liste,LineærRegression_Valg[[#This Row],[Afhængig variabel ID]]),INDEX(DataTitel_liste,1))</f>
        <v>Eksempel 1 (interval)</v>
      </c>
      <c r="G194" s="171" t="str" cm="1">
        <f t="array" ref="G194">IF(LineærRegression_Valg[[#This Row],[Indenfor range]],IF(LineærRegression_Valg[[#This Row],[Intet overlap]],INDEX(DataTitel_liste,LineærRegression_Valg[[#This Row],[Uafhængig variabel ID]]),INDEX(DataTitel_liste,IF(LineærRegression_Valg[[#This Row],[Afhængig variabel ID]]=1,2,1))),$B$7)</f>
        <v>Eksempel 2 (interval)</v>
      </c>
      <c r="H194" s="171">
        <f>_xlfn.AGGREGATE(2,5,LineærRegression_Valg[[#This Row],[Tabel ID]])</f>
        <v>1</v>
      </c>
    </row>
    <row r="195" spans="1:8" x14ac:dyDescent="0.2">
      <c r="A195">
        <f>ROW(LineærRegression_Valg[[#This Row],[Tabel ID]])-ROW(LineærRegression_Valg[[#Headers],[Tabel ID]])</f>
        <v>185</v>
      </c>
      <c r="B195" s="171">
        <f>ROUNDDOWN((LineærRegression_Valg[[#This Row],[Tabel ID]]-1)/$B$5,0)+1</f>
        <v>47</v>
      </c>
      <c r="C195" s="171">
        <f t="shared" si="2"/>
        <v>1</v>
      </c>
      <c r="D195" s="171" t="b">
        <f>LineærRegression_Valg[[#This Row],[Afhængig variabel ID]]&lt;&gt;LineærRegression_Valg[[#This Row],[Uafhængig variabel ID]]</f>
        <v>1</v>
      </c>
      <c r="E195" t="b">
        <f>LineærRegression_Valg[[#This Row],[Afhængig variabel ID]]&lt;=$B$5</f>
        <v>0</v>
      </c>
      <c r="F195" t="str" cm="1">
        <f t="array" ref="F195">IF(LineærRegression_Valg[[#This Row],[Indenfor range]],INDEX(DataTitel_liste,LineærRegression_Valg[[#This Row],[Afhængig variabel ID]]),INDEX(DataTitel_liste,1))</f>
        <v>Eksempel 1 (interval)</v>
      </c>
      <c r="G195" s="171" t="str" cm="1">
        <f t="array" ref="G195">IF(LineærRegression_Valg[[#This Row],[Indenfor range]],IF(LineærRegression_Valg[[#This Row],[Intet overlap]],INDEX(DataTitel_liste,LineærRegression_Valg[[#This Row],[Uafhængig variabel ID]]),INDEX(DataTitel_liste,IF(LineærRegression_Valg[[#This Row],[Afhængig variabel ID]]=1,2,1))),$B$7)</f>
        <v>Eksempel 2 (interval)</v>
      </c>
      <c r="H195" s="171">
        <f>_xlfn.AGGREGATE(2,5,LineærRegression_Valg[[#This Row],[Tabel ID]])</f>
        <v>1</v>
      </c>
    </row>
    <row r="196" spans="1:8" x14ac:dyDescent="0.2">
      <c r="A196">
        <f>ROW(LineærRegression_Valg[[#This Row],[Tabel ID]])-ROW(LineærRegression_Valg[[#Headers],[Tabel ID]])</f>
        <v>186</v>
      </c>
      <c r="B196" s="171">
        <f>ROUNDDOWN((LineærRegression_Valg[[#This Row],[Tabel ID]]-1)/$B$5,0)+1</f>
        <v>47</v>
      </c>
      <c r="C196" s="171">
        <f t="shared" si="2"/>
        <v>2</v>
      </c>
      <c r="D196" s="171" t="b">
        <f>LineærRegression_Valg[[#This Row],[Afhængig variabel ID]]&lt;&gt;LineærRegression_Valg[[#This Row],[Uafhængig variabel ID]]</f>
        <v>1</v>
      </c>
      <c r="E196" t="b">
        <f>LineærRegression_Valg[[#This Row],[Afhængig variabel ID]]&lt;=$B$5</f>
        <v>0</v>
      </c>
      <c r="F196" t="str" cm="1">
        <f t="array" ref="F196">IF(LineærRegression_Valg[[#This Row],[Indenfor range]],INDEX(DataTitel_liste,LineærRegression_Valg[[#This Row],[Afhængig variabel ID]]),INDEX(DataTitel_liste,1))</f>
        <v>Eksempel 1 (interval)</v>
      </c>
      <c r="G196" s="171" t="str" cm="1">
        <f t="array" ref="G196">IF(LineærRegression_Valg[[#This Row],[Indenfor range]],IF(LineærRegression_Valg[[#This Row],[Intet overlap]],INDEX(DataTitel_liste,LineærRegression_Valg[[#This Row],[Uafhængig variabel ID]]),INDEX(DataTitel_liste,IF(LineærRegression_Valg[[#This Row],[Afhængig variabel ID]]=1,2,1))),$B$7)</f>
        <v>Eksempel 2 (interval)</v>
      </c>
      <c r="H196" s="171">
        <f>_xlfn.AGGREGATE(2,5,LineærRegression_Valg[[#This Row],[Tabel ID]])</f>
        <v>1</v>
      </c>
    </row>
    <row r="197" spans="1:8" x14ac:dyDescent="0.2">
      <c r="A197">
        <f>ROW(LineærRegression_Valg[[#This Row],[Tabel ID]])-ROW(LineærRegression_Valg[[#Headers],[Tabel ID]])</f>
        <v>187</v>
      </c>
      <c r="B197" s="171">
        <f>ROUNDDOWN((LineærRegression_Valg[[#This Row],[Tabel ID]]-1)/$B$5,0)+1</f>
        <v>47</v>
      </c>
      <c r="C197" s="171">
        <f t="shared" si="2"/>
        <v>3</v>
      </c>
      <c r="D197" s="171" t="b">
        <f>LineærRegression_Valg[[#This Row],[Afhængig variabel ID]]&lt;&gt;LineærRegression_Valg[[#This Row],[Uafhængig variabel ID]]</f>
        <v>1</v>
      </c>
      <c r="E197" t="b">
        <f>LineærRegression_Valg[[#This Row],[Afhængig variabel ID]]&lt;=$B$5</f>
        <v>0</v>
      </c>
      <c r="F197" t="str" cm="1">
        <f t="array" ref="F197">IF(LineærRegression_Valg[[#This Row],[Indenfor range]],INDEX(DataTitel_liste,LineærRegression_Valg[[#This Row],[Afhængig variabel ID]]),INDEX(DataTitel_liste,1))</f>
        <v>Eksempel 1 (interval)</v>
      </c>
      <c r="G197" s="171" t="str" cm="1">
        <f t="array" ref="G197">IF(LineærRegression_Valg[[#This Row],[Indenfor range]],IF(LineærRegression_Valg[[#This Row],[Intet overlap]],INDEX(DataTitel_liste,LineærRegression_Valg[[#This Row],[Uafhængig variabel ID]]),INDEX(DataTitel_liste,IF(LineærRegression_Valg[[#This Row],[Afhængig variabel ID]]=1,2,1))),$B$7)</f>
        <v>Eksempel 2 (interval)</v>
      </c>
      <c r="H197" s="171">
        <f>_xlfn.AGGREGATE(2,5,LineærRegression_Valg[[#This Row],[Tabel ID]])</f>
        <v>1</v>
      </c>
    </row>
    <row r="198" spans="1:8" x14ac:dyDescent="0.2">
      <c r="A198">
        <f>ROW(LineærRegression_Valg[[#This Row],[Tabel ID]])-ROW(LineærRegression_Valg[[#Headers],[Tabel ID]])</f>
        <v>188</v>
      </c>
      <c r="B198" s="171">
        <f>ROUNDDOWN((LineærRegression_Valg[[#This Row],[Tabel ID]]-1)/$B$5,0)+1</f>
        <v>47</v>
      </c>
      <c r="C198" s="171">
        <f t="shared" si="2"/>
        <v>4</v>
      </c>
      <c r="D198" s="171" t="b">
        <f>LineærRegression_Valg[[#This Row],[Afhængig variabel ID]]&lt;&gt;LineærRegression_Valg[[#This Row],[Uafhængig variabel ID]]</f>
        <v>1</v>
      </c>
      <c r="E198" t="b">
        <f>LineærRegression_Valg[[#This Row],[Afhængig variabel ID]]&lt;=$B$5</f>
        <v>0</v>
      </c>
      <c r="F198" t="str" cm="1">
        <f t="array" ref="F198">IF(LineærRegression_Valg[[#This Row],[Indenfor range]],INDEX(DataTitel_liste,LineærRegression_Valg[[#This Row],[Afhængig variabel ID]]),INDEX(DataTitel_liste,1))</f>
        <v>Eksempel 1 (interval)</v>
      </c>
      <c r="G198" s="171" t="str" cm="1">
        <f t="array" ref="G198">IF(LineærRegression_Valg[[#This Row],[Indenfor range]],IF(LineærRegression_Valg[[#This Row],[Intet overlap]],INDEX(DataTitel_liste,LineærRegression_Valg[[#This Row],[Uafhængig variabel ID]]),INDEX(DataTitel_liste,IF(LineærRegression_Valg[[#This Row],[Afhængig variabel ID]]=1,2,1))),$B$7)</f>
        <v>Eksempel 2 (interval)</v>
      </c>
      <c r="H198" s="171">
        <f>_xlfn.AGGREGATE(2,5,LineærRegression_Valg[[#This Row],[Tabel ID]])</f>
        <v>1</v>
      </c>
    </row>
    <row r="199" spans="1:8" x14ac:dyDescent="0.2">
      <c r="A199">
        <f>ROW(LineærRegression_Valg[[#This Row],[Tabel ID]])-ROW(LineærRegression_Valg[[#Headers],[Tabel ID]])</f>
        <v>189</v>
      </c>
      <c r="B199" s="171">
        <f>ROUNDDOWN((LineærRegression_Valg[[#This Row],[Tabel ID]]-1)/$B$5,0)+1</f>
        <v>48</v>
      </c>
      <c r="C199" s="171">
        <f t="shared" si="2"/>
        <v>1</v>
      </c>
      <c r="D199" s="171" t="b">
        <f>LineærRegression_Valg[[#This Row],[Afhængig variabel ID]]&lt;&gt;LineærRegression_Valg[[#This Row],[Uafhængig variabel ID]]</f>
        <v>1</v>
      </c>
      <c r="E199" t="b">
        <f>LineærRegression_Valg[[#This Row],[Afhængig variabel ID]]&lt;=$B$5</f>
        <v>0</v>
      </c>
      <c r="F199" t="str" cm="1">
        <f t="array" ref="F199">IF(LineærRegression_Valg[[#This Row],[Indenfor range]],INDEX(DataTitel_liste,LineærRegression_Valg[[#This Row],[Afhængig variabel ID]]),INDEX(DataTitel_liste,1))</f>
        <v>Eksempel 1 (interval)</v>
      </c>
      <c r="G199" s="171" t="str" cm="1">
        <f t="array" ref="G199">IF(LineærRegression_Valg[[#This Row],[Indenfor range]],IF(LineærRegression_Valg[[#This Row],[Intet overlap]],INDEX(DataTitel_liste,LineærRegression_Valg[[#This Row],[Uafhængig variabel ID]]),INDEX(DataTitel_liste,IF(LineærRegression_Valg[[#This Row],[Afhængig variabel ID]]=1,2,1))),$B$7)</f>
        <v>Eksempel 2 (interval)</v>
      </c>
      <c r="H199" s="171">
        <f>_xlfn.AGGREGATE(2,5,LineærRegression_Valg[[#This Row],[Tabel ID]])</f>
        <v>1</v>
      </c>
    </row>
    <row r="200" spans="1:8" x14ac:dyDescent="0.2">
      <c r="A200">
        <f>ROW(LineærRegression_Valg[[#This Row],[Tabel ID]])-ROW(LineærRegression_Valg[[#Headers],[Tabel ID]])</f>
        <v>190</v>
      </c>
      <c r="B200" s="171">
        <f>ROUNDDOWN((LineærRegression_Valg[[#This Row],[Tabel ID]]-1)/$B$5,0)+1</f>
        <v>48</v>
      </c>
      <c r="C200" s="171">
        <f t="shared" si="2"/>
        <v>2</v>
      </c>
      <c r="D200" s="171" t="b">
        <f>LineærRegression_Valg[[#This Row],[Afhængig variabel ID]]&lt;&gt;LineærRegression_Valg[[#This Row],[Uafhængig variabel ID]]</f>
        <v>1</v>
      </c>
      <c r="E200" t="b">
        <f>LineærRegression_Valg[[#This Row],[Afhængig variabel ID]]&lt;=$B$5</f>
        <v>0</v>
      </c>
      <c r="F200" t="str" cm="1">
        <f t="array" ref="F200">IF(LineærRegression_Valg[[#This Row],[Indenfor range]],INDEX(DataTitel_liste,LineærRegression_Valg[[#This Row],[Afhængig variabel ID]]),INDEX(DataTitel_liste,1))</f>
        <v>Eksempel 1 (interval)</v>
      </c>
      <c r="G200" s="171" t="str" cm="1">
        <f t="array" ref="G200">IF(LineærRegression_Valg[[#This Row],[Indenfor range]],IF(LineærRegression_Valg[[#This Row],[Intet overlap]],INDEX(DataTitel_liste,LineærRegression_Valg[[#This Row],[Uafhængig variabel ID]]),INDEX(DataTitel_liste,IF(LineærRegression_Valg[[#This Row],[Afhængig variabel ID]]=1,2,1))),$B$7)</f>
        <v>Eksempel 2 (interval)</v>
      </c>
      <c r="H200" s="171">
        <f>_xlfn.AGGREGATE(2,5,LineærRegression_Valg[[#This Row],[Tabel ID]])</f>
        <v>1</v>
      </c>
    </row>
    <row r="201" spans="1:8" x14ac:dyDescent="0.2">
      <c r="A201">
        <f>ROW(LineærRegression_Valg[[#This Row],[Tabel ID]])-ROW(LineærRegression_Valg[[#Headers],[Tabel ID]])</f>
        <v>191</v>
      </c>
      <c r="B201" s="171">
        <f>ROUNDDOWN((LineærRegression_Valg[[#This Row],[Tabel ID]]-1)/$B$5,0)+1</f>
        <v>48</v>
      </c>
      <c r="C201" s="171">
        <f t="shared" si="2"/>
        <v>3</v>
      </c>
      <c r="D201" s="171" t="b">
        <f>LineærRegression_Valg[[#This Row],[Afhængig variabel ID]]&lt;&gt;LineærRegression_Valg[[#This Row],[Uafhængig variabel ID]]</f>
        <v>1</v>
      </c>
      <c r="E201" t="b">
        <f>LineærRegression_Valg[[#This Row],[Afhængig variabel ID]]&lt;=$B$5</f>
        <v>0</v>
      </c>
      <c r="F201" t="str" cm="1">
        <f t="array" ref="F201">IF(LineærRegression_Valg[[#This Row],[Indenfor range]],INDEX(DataTitel_liste,LineærRegression_Valg[[#This Row],[Afhængig variabel ID]]),INDEX(DataTitel_liste,1))</f>
        <v>Eksempel 1 (interval)</v>
      </c>
      <c r="G201" s="171" t="str" cm="1">
        <f t="array" ref="G201">IF(LineærRegression_Valg[[#This Row],[Indenfor range]],IF(LineærRegression_Valg[[#This Row],[Intet overlap]],INDEX(DataTitel_liste,LineærRegression_Valg[[#This Row],[Uafhængig variabel ID]]),INDEX(DataTitel_liste,IF(LineærRegression_Valg[[#This Row],[Afhængig variabel ID]]=1,2,1))),$B$7)</f>
        <v>Eksempel 2 (interval)</v>
      </c>
      <c r="H201" s="171">
        <f>_xlfn.AGGREGATE(2,5,LineærRegression_Valg[[#This Row],[Tabel ID]])</f>
        <v>1</v>
      </c>
    </row>
    <row r="202" spans="1:8" x14ac:dyDescent="0.2">
      <c r="A202">
        <f>ROW(LineærRegression_Valg[[#This Row],[Tabel ID]])-ROW(LineærRegression_Valg[[#Headers],[Tabel ID]])</f>
        <v>192</v>
      </c>
      <c r="B202" s="171">
        <f>ROUNDDOWN((LineærRegression_Valg[[#This Row],[Tabel ID]]-1)/$B$5,0)+1</f>
        <v>48</v>
      </c>
      <c r="C202" s="171">
        <f t="shared" si="2"/>
        <v>4</v>
      </c>
      <c r="D202" s="171" t="b">
        <f>LineærRegression_Valg[[#This Row],[Afhængig variabel ID]]&lt;&gt;LineærRegression_Valg[[#This Row],[Uafhængig variabel ID]]</f>
        <v>1</v>
      </c>
      <c r="E202" t="b">
        <f>LineærRegression_Valg[[#This Row],[Afhængig variabel ID]]&lt;=$B$5</f>
        <v>0</v>
      </c>
      <c r="F202" t="str" cm="1">
        <f t="array" ref="F202">IF(LineærRegression_Valg[[#This Row],[Indenfor range]],INDEX(DataTitel_liste,LineærRegression_Valg[[#This Row],[Afhængig variabel ID]]),INDEX(DataTitel_liste,1))</f>
        <v>Eksempel 1 (interval)</v>
      </c>
      <c r="G202" s="171" t="str" cm="1">
        <f t="array" ref="G202">IF(LineærRegression_Valg[[#This Row],[Indenfor range]],IF(LineærRegression_Valg[[#This Row],[Intet overlap]],INDEX(DataTitel_liste,LineærRegression_Valg[[#This Row],[Uafhængig variabel ID]]),INDEX(DataTitel_liste,IF(LineærRegression_Valg[[#This Row],[Afhængig variabel ID]]=1,2,1))),$B$7)</f>
        <v>Eksempel 2 (interval)</v>
      </c>
      <c r="H202" s="171">
        <f>_xlfn.AGGREGATE(2,5,LineærRegression_Valg[[#This Row],[Tabel ID]])</f>
        <v>1</v>
      </c>
    </row>
    <row r="203" spans="1:8" x14ac:dyDescent="0.2">
      <c r="A203">
        <f>ROW(LineærRegression_Valg[[#This Row],[Tabel ID]])-ROW(LineærRegression_Valg[[#Headers],[Tabel ID]])</f>
        <v>193</v>
      </c>
      <c r="B203" s="171">
        <f>ROUNDDOWN((LineærRegression_Valg[[#This Row],[Tabel ID]]-1)/$B$5,0)+1</f>
        <v>49</v>
      </c>
      <c r="C203" s="171">
        <f t="shared" ref="C203:C266" si="3">MOD(A203-1,$B$5)+1</f>
        <v>1</v>
      </c>
      <c r="D203" s="171" t="b">
        <f>LineærRegression_Valg[[#This Row],[Afhængig variabel ID]]&lt;&gt;LineærRegression_Valg[[#This Row],[Uafhængig variabel ID]]</f>
        <v>1</v>
      </c>
      <c r="E203" t="b">
        <f>LineærRegression_Valg[[#This Row],[Afhængig variabel ID]]&lt;=$B$5</f>
        <v>0</v>
      </c>
      <c r="F203" t="str" cm="1">
        <f t="array" ref="F203">IF(LineærRegression_Valg[[#This Row],[Indenfor range]],INDEX(DataTitel_liste,LineærRegression_Valg[[#This Row],[Afhængig variabel ID]]),INDEX(DataTitel_liste,1))</f>
        <v>Eksempel 1 (interval)</v>
      </c>
      <c r="G203" s="171" t="str" cm="1">
        <f t="array" ref="G203">IF(LineærRegression_Valg[[#This Row],[Indenfor range]],IF(LineærRegression_Valg[[#This Row],[Intet overlap]],INDEX(DataTitel_liste,LineærRegression_Valg[[#This Row],[Uafhængig variabel ID]]),INDEX(DataTitel_liste,IF(LineærRegression_Valg[[#This Row],[Afhængig variabel ID]]=1,2,1))),$B$7)</f>
        <v>Eksempel 2 (interval)</v>
      </c>
      <c r="H203" s="171">
        <f>_xlfn.AGGREGATE(2,5,LineærRegression_Valg[[#This Row],[Tabel ID]])</f>
        <v>1</v>
      </c>
    </row>
    <row r="204" spans="1:8" x14ac:dyDescent="0.2">
      <c r="A204">
        <f>ROW(LineærRegression_Valg[[#This Row],[Tabel ID]])-ROW(LineærRegression_Valg[[#Headers],[Tabel ID]])</f>
        <v>194</v>
      </c>
      <c r="B204" s="171">
        <f>ROUNDDOWN((LineærRegression_Valg[[#This Row],[Tabel ID]]-1)/$B$5,0)+1</f>
        <v>49</v>
      </c>
      <c r="C204" s="171">
        <f t="shared" si="3"/>
        <v>2</v>
      </c>
      <c r="D204" s="171" t="b">
        <f>LineærRegression_Valg[[#This Row],[Afhængig variabel ID]]&lt;&gt;LineærRegression_Valg[[#This Row],[Uafhængig variabel ID]]</f>
        <v>1</v>
      </c>
      <c r="E204" t="b">
        <f>LineærRegression_Valg[[#This Row],[Afhængig variabel ID]]&lt;=$B$5</f>
        <v>0</v>
      </c>
      <c r="F204" t="str" cm="1">
        <f t="array" ref="F204">IF(LineærRegression_Valg[[#This Row],[Indenfor range]],INDEX(DataTitel_liste,LineærRegression_Valg[[#This Row],[Afhængig variabel ID]]),INDEX(DataTitel_liste,1))</f>
        <v>Eksempel 1 (interval)</v>
      </c>
      <c r="G204" s="171" t="str" cm="1">
        <f t="array" ref="G204">IF(LineærRegression_Valg[[#This Row],[Indenfor range]],IF(LineærRegression_Valg[[#This Row],[Intet overlap]],INDEX(DataTitel_liste,LineærRegression_Valg[[#This Row],[Uafhængig variabel ID]]),INDEX(DataTitel_liste,IF(LineærRegression_Valg[[#This Row],[Afhængig variabel ID]]=1,2,1))),$B$7)</f>
        <v>Eksempel 2 (interval)</v>
      </c>
      <c r="H204" s="171">
        <f>_xlfn.AGGREGATE(2,5,LineærRegression_Valg[[#This Row],[Tabel ID]])</f>
        <v>1</v>
      </c>
    </row>
    <row r="205" spans="1:8" x14ac:dyDescent="0.2">
      <c r="A205">
        <f>ROW(LineærRegression_Valg[[#This Row],[Tabel ID]])-ROW(LineærRegression_Valg[[#Headers],[Tabel ID]])</f>
        <v>195</v>
      </c>
      <c r="B205" s="171">
        <f>ROUNDDOWN((LineærRegression_Valg[[#This Row],[Tabel ID]]-1)/$B$5,0)+1</f>
        <v>49</v>
      </c>
      <c r="C205" s="171">
        <f t="shared" si="3"/>
        <v>3</v>
      </c>
      <c r="D205" s="171" t="b">
        <f>LineærRegression_Valg[[#This Row],[Afhængig variabel ID]]&lt;&gt;LineærRegression_Valg[[#This Row],[Uafhængig variabel ID]]</f>
        <v>1</v>
      </c>
      <c r="E205" t="b">
        <f>LineærRegression_Valg[[#This Row],[Afhængig variabel ID]]&lt;=$B$5</f>
        <v>0</v>
      </c>
      <c r="F205" t="str" cm="1">
        <f t="array" ref="F205">IF(LineærRegression_Valg[[#This Row],[Indenfor range]],INDEX(DataTitel_liste,LineærRegression_Valg[[#This Row],[Afhængig variabel ID]]),INDEX(DataTitel_liste,1))</f>
        <v>Eksempel 1 (interval)</v>
      </c>
      <c r="G205" s="171" t="str" cm="1">
        <f t="array" ref="G205">IF(LineærRegression_Valg[[#This Row],[Indenfor range]],IF(LineærRegression_Valg[[#This Row],[Intet overlap]],INDEX(DataTitel_liste,LineærRegression_Valg[[#This Row],[Uafhængig variabel ID]]),INDEX(DataTitel_liste,IF(LineærRegression_Valg[[#This Row],[Afhængig variabel ID]]=1,2,1))),$B$7)</f>
        <v>Eksempel 2 (interval)</v>
      </c>
      <c r="H205" s="171">
        <f>_xlfn.AGGREGATE(2,5,LineærRegression_Valg[[#This Row],[Tabel ID]])</f>
        <v>1</v>
      </c>
    </row>
    <row r="206" spans="1:8" x14ac:dyDescent="0.2">
      <c r="A206">
        <f>ROW(LineærRegression_Valg[[#This Row],[Tabel ID]])-ROW(LineærRegression_Valg[[#Headers],[Tabel ID]])</f>
        <v>196</v>
      </c>
      <c r="B206" s="171">
        <f>ROUNDDOWN((LineærRegression_Valg[[#This Row],[Tabel ID]]-1)/$B$5,0)+1</f>
        <v>49</v>
      </c>
      <c r="C206" s="171">
        <f t="shared" si="3"/>
        <v>4</v>
      </c>
      <c r="D206" s="171" t="b">
        <f>LineærRegression_Valg[[#This Row],[Afhængig variabel ID]]&lt;&gt;LineærRegression_Valg[[#This Row],[Uafhængig variabel ID]]</f>
        <v>1</v>
      </c>
      <c r="E206" t="b">
        <f>LineærRegression_Valg[[#This Row],[Afhængig variabel ID]]&lt;=$B$5</f>
        <v>0</v>
      </c>
      <c r="F206" t="str" cm="1">
        <f t="array" ref="F206">IF(LineærRegression_Valg[[#This Row],[Indenfor range]],INDEX(DataTitel_liste,LineærRegression_Valg[[#This Row],[Afhængig variabel ID]]),INDEX(DataTitel_liste,1))</f>
        <v>Eksempel 1 (interval)</v>
      </c>
      <c r="G206" s="171" t="str" cm="1">
        <f t="array" ref="G206">IF(LineærRegression_Valg[[#This Row],[Indenfor range]],IF(LineærRegression_Valg[[#This Row],[Intet overlap]],INDEX(DataTitel_liste,LineærRegression_Valg[[#This Row],[Uafhængig variabel ID]]),INDEX(DataTitel_liste,IF(LineærRegression_Valg[[#This Row],[Afhængig variabel ID]]=1,2,1))),$B$7)</f>
        <v>Eksempel 2 (interval)</v>
      </c>
      <c r="H206" s="171">
        <f>_xlfn.AGGREGATE(2,5,LineærRegression_Valg[[#This Row],[Tabel ID]])</f>
        <v>1</v>
      </c>
    </row>
    <row r="207" spans="1:8" x14ac:dyDescent="0.2">
      <c r="A207">
        <f>ROW(LineærRegression_Valg[[#This Row],[Tabel ID]])-ROW(LineærRegression_Valg[[#Headers],[Tabel ID]])</f>
        <v>197</v>
      </c>
      <c r="B207" s="171">
        <f>ROUNDDOWN((LineærRegression_Valg[[#This Row],[Tabel ID]]-1)/$B$5,0)+1</f>
        <v>50</v>
      </c>
      <c r="C207" s="171">
        <f t="shared" si="3"/>
        <v>1</v>
      </c>
      <c r="D207" s="171" t="b">
        <f>LineærRegression_Valg[[#This Row],[Afhængig variabel ID]]&lt;&gt;LineærRegression_Valg[[#This Row],[Uafhængig variabel ID]]</f>
        <v>1</v>
      </c>
      <c r="E207" t="b">
        <f>LineærRegression_Valg[[#This Row],[Afhængig variabel ID]]&lt;=$B$5</f>
        <v>0</v>
      </c>
      <c r="F207" t="str" cm="1">
        <f t="array" ref="F207">IF(LineærRegression_Valg[[#This Row],[Indenfor range]],INDEX(DataTitel_liste,LineærRegression_Valg[[#This Row],[Afhængig variabel ID]]),INDEX(DataTitel_liste,1))</f>
        <v>Eksempel 1 (interval)</v>
      </c>
      <c r="G207" s="171" t="str" cm="1">
        <f t="array" ref="G207">IF(LineærRegression_Valg[[#This Row],[Indenfor range]],IF(LineærRegression_Valg[[#This Row],[Intet overlap]],INDEX(DataTitel_liste,LineærRegression_Valg[[#This Row],[Uafhængig variabel ID]]),INDEX(DataTitel_liste,IF(LineærRegression_Valg[[#This Row],[Afhængig variabel ID]]=1,2,1))),$B$7)</f>
        <v>Eksempel 2 (interval)</v>
      </c>
      <c r="H207" s="171">
        <f>_xlfn.AGGREGATE(2,5,LineærRegression_Valg[[#This Row],[Tabel ID]])</f>
        <v>1</v>
      </c>
    </row>
    <row r="208" spans="1:8" x14ac:dyDescent="0.2">
      <c r="A208">
        <f>ROW(LineærRegression_Valg[[#This Row],[Tabel ID]])-ROW(LineærRegression_Valg[[#Headers],[Tabel ID]])</f>
        <v>198</v>
      </c>
      <c r="B208" s="171">
        <f>ROUNDDOWN((LineærRegression_Valg[[#This Row],[Tabel ID]]-1)/$B$5,0)+1</f>
        <v>50</v>
      </c>
      <c r="C208" s="171">
        <f t="shared" si="3"/>
        <v>2</v>
      </c>
      <c r="D208" s="171" t="b">
        <f>LineærRegression_Valg[[#This Row],[Afhængig variabel ID]]&lt;&gt;LineærRegression_Valg[[#This Row],[Uafhængig variabel ID]]</f>
        <v>1</v>
      </c>
      <c r="E208" t="b">
        <f>LineærRegression_Valg[[#This Row],[Afhængig variabel ID]]&lt;=$B$5</f>
        <v>0</v>
      </c>
      <c r="F208" t="str" cm="1">
        <f t="array" ref="F208">IF(LineærRegression_Valg[[#This Row],[Indenfor range]],INDEX(DataTitel_liste,LineærRegression_Valg[[#This Row],[Afhængig variabel ID]]),INDEX(DataTitel_liste,1))</f>
        <v>Eksempel 1 (interval)</v>
      </c>
      <c r="G208" s="171" t="str" cm="1">
        <f t="array" ref="G208">IF(LineærRegression_Valg[[#This Row],[Indenfor range]],IF(LineærRegression_Valg[[#This Row],[Intet overlap]],INDEX(DataTitel_liste,LineærRegression_Valg[[#This Row],[Uafhængig variabel ID]]),INDEX(DataTitel_liste,IF(LineærRegression_Valg[[#This Row],[Afhængig variabel ID]]=1,2,1))),$B$7)</f>
        <v>Eksempel 2 (interval)</v>
      </c>
      <c r="H208" s="171">
        <f>_xlfn.AGGREGATE(2,5,LineærRegression_Valg[[#This Row],[Tabel ID]])</f>
        <v>1</v>
      </c>
    </row>
    <row r="209" spans="1:8" x14ac:dyDescent="0.2">
      <c r="A209">
        <f>ROW(LineærRegression_Valg[[#This Row],[Tabel ID]])-ROW(LineærRegression_Valg[[#Headers],[Tabel ID]])</f>
        <v>199</v>
      </c>
      <c r="B209" s="171">
        <f>ROUNDDOWN((LineærRegression_Valg[[#This Row],[Tabel ID]]-1)/$B$5,0)+1</f>
        <v>50</v>
      </c>
      <c r="C209" s="171">
        <f t="shared" si="3"/>
        <v>3</v>
      </c>
      <c r="D209" s="171" t="b">
        <f>LineærRegression_Valg[[#This Row],[Afhængig variabel ID]]&lt;&gt;LineærRegression_Valg[[#This Row],[Uafhængig variabel ID]]</f>
        <v>1</v>
      </c>
      <c r="E209" t="b">
        <f>LineærRegression_Valg[[#This Row],[Afhængig variabel ID]]&lt;=$B$5</f>
        <v>0</v>
      </c>
      <c r="F209" t="str" cm="1">
        <f t="array" ref="F209">IF(LineærRegression_Valg[[#This Row],[Indenfor range]],INDEX(DataTitel_liste,LineærRegression_Valg[[#This Row],[Afhængig variabel ID]]),INDEX(DataTitel_liste,1))</f>
        <v>Eksempel 1 (interval)</v>
      </c>
      <c r="G209" s="171" t="str" cm="1">
        <f t="array" ref="G209">IF(LineærRegression_Valg[[#This Row],[Indenfor range]],IF(LineærRegression_Valg[[#This Row],[Intet overlap]],INDEX(DataTitel_liste,LineærRegression_Valg[[#This Row],[Uafhængig variabel ID]]),INDEX(DataTitel_liste,IF(LineærRegression_Valg[[#This Row],[Afhængig variabel ID]]=1,2,1))),$B$7)</f>
        <v>Eksempel 2 (interval)</v>
      </c>
      <c r="H209" s="171">
        <f>_xlfn.AGGREGATE(2,5,LineærRegression_Valg[[#This Row],[Tabel ID]])</f>
        <v>1</v>
      </c>
    </row>
    <row r="210" spans="1:8" x14ac:dyDescent="0.2">
      <c r="A210">
        <f>ROW(LineærRegression_Valg[[#This Row],[Tabel ID]])-ROW(LineærRegression_Valg[[#Headers],[Tabel ID]])</f>
        <v>200</v>
      </c>
      <c r="B210" s="171">
        <f>ROUNDDOWN((LineærRegression_Valg[[#This Row],[Tabel ID]]-1)/$B$5,0)+1</f>
        <v>50</v>
      </c>
      <c r="C210" s="171">
        <f t="shared" si="3"/>
        <v>4</v>
      </c>
      <c r="D210" s="171" t="b">
        <f>LineærRegression_Valg[[#This Row],[Afhængig variabel ID]]&lt;&gt;LineærRegression_Valg[[#This Row],[Uafhængig variabel ID]]</f>
        <v>1</v>
      </c>
      <c r="E210" t="b">
        <f>LineærRegression_Valg[[#This Row],[Afhængig variabel ID]]&lt;=$B$5</f>
        <v>0</v>
      </c>
      <c r="F210" t="str" cm="1">
        <f t="array" ref="F210">IF(LineærRegression_Valg[[#This Row],[Indenfor range]],INDEX(DataTitel_liste,LineærRegression_Valg[[#This Row],[Afhængig variabel ID]]),INDEX(DataTitel_liste,1))</f>
        <v>Eksempel 1 (interval)</v>
      </c>
      <c r="G210" s="171" t="str" cm="1">
        <f t="array" ref="G210">IF(LineærRegression_Valg[[#This Row],[Indenfor range]],IF(LineærRegression_Valg[[#This Row],[Intet overlap]],INDEX(DataTitel_liste,LineærRegression_Valg[[#This Row],[Uafhængig variabel ID]]),INDEX(DataTitel_liste,IF(LineærRegression_Valg[[#This Row],[Afhængig variabel ID]]=1,2,1))),$B$7)</f>
        <v>Eksempel 2 (interval)</v>
      </c>
      <c r="H210" s="171">
        <f>_xlfn.AGGREGATE(2,5,LineærRegression_Valg[[#This Row],[Tabel ID]])</f>
        <v>1</v>
      </c>
    </row>
    <row r="211" spans="1:8" x14ac:dyDescent="0.2">
      <c r="A211">
        <f>ROW(LineærRegression_Valg[[#This Row],[Tabel ID]])-ROW(LineærRegression_Valg[[#Headers],[Tabel ID]])</f>
        <v>201</v>
      </c>
      <c r="B211" s="171">
        <f>ROUNDDOWN((LineærRegression_Valg[[#This Row],[Tabel ID]]-1)/$B$5,0)+1</f>
        <v>51</v>
      </c>
      <c r="C211" s="171">
        <f t="shared" si="3"/>
        <v>1</v>
      </c>
      <c r="D211" s="171" t="b">
        <f>LineærRegression_Valg[[#This Row],[Afhængig variabel ID]]&lt;&gt;LineærRegression_Valg[[#This Row],[Uafhængig variabel ID]]</f>
        <v>1</v>
      </c>
      <c r="E211" t="b">
        <f>LineærRegression_Valg[[#This Row],[Afhængig variabel ID]]&lt;=$B$5</f>
        <v>0</v>
      </c>
      <c r="F211" t="str" cm="1">
        <f t="array" ref="F211">IF(LineærRegression_Valg[[#This Row],[Indenfor range]],INDEX(DataTitel_liste,LineærRegression_Valg[[#This Row],[Afhængig variabel ID]]),INDEX(DataTitel_liste,1))</f>
        <v>Eksempel 1 (interval)</v>
      </c>
      <c r="G211" s="171" t="str" cm="1">
        <f t="array" ref="G211">IF(LineærRegression_Valg[[#This Row],[Indenfor range]],IF(LineærRegression_Valg[[#This Row],[Intet overlap]],INDEX(DataTitel_liste,LineærRegression_Valg[[#This Row],[Uafhængig variabel ID]]),INDEX(DataTitel_liste,IF(LineærRegression_Valg[[#This Row],[Afhængig variabel ID]]=1,2,1))),$B$7)</f>
        <v>Eksempel 2 (interval)</v>
      </c>
      <c r="H211" s="171">
        <f>_xlfn.AGGREGATE(2,5,LineærRegression_Valg[[#This Row],[Tabel ID]])</f>
        <v>1</v>
      </c>
    </row>
    <row r="212" spans="1:8" x14ac:dyDescent="0.2">
      <c r="A212">
        <f>ROW(LineærRegression_Valg[[#This Row],[Tabel ID]])-ROW(LineærRegression_Valg[[#Headers],[Tabel ID]])</f>
        <v>202</v>
      </c>
      <c r="B212" s="171">
        <f>ROUNDDOWN((LineærRegression_Valg[[#This Row],[Tabel ID]]-1)/$B$5,0)+1</f>
        <v>51</v>
      </c>
      <c r="C212" s="171">
        <f t="shared" si="3"/>
        <v>2</v>
      </c>
      <c r="D212" s="171" t="b">
        <f>LineærRegression_Valg[[#This Row],[Afhængig variabel ID]]&lt;&gt;LineærRegression_Valg[[#This Row],[Uafhængig variabel ID]]</f>
        <v>1</v>
      </c>
      <c r="E212" t="b">
        <f>LineærRegression_Valg[[#This Row],[Afhængig variabel ID]]&lt;=$B$5</f>
        <v>0</v>
      </c>
      <c r="F212" t="str" cm="1">
        <f t="array" ref="F212">IF(LineærRegression_Valg[[#This Row],[Indenfor range]],INDEX(DataTitel_liste,LineærRegression_Valg[[#This Row],[Afhængig variabel ID]]),INDEX(DataTitel_liste,1))</f>
        <v>Eksempel 1 (interval)</v>
      </c>
      <c r="G212" s="171" t="str" cm="1">
        <f t="array" ref="G212">IF(LineærRegression_Valg[[#This Row],[Indenfor range]],IF(LineærRegression_Valg[[#This Row],[Intet overlap]],INDEX(DataTitel_liste,LineærRegression_Valg[[#This Row],[Uafhængig variabel ID]]),INDEX(DataTitel_liste,IF(LineærRegression_Valg[[#This Row],[Afhængig variabel ID]]=1,2,1))),$B$7)</f>
        <v>Eksempel 2 (interval)</v>
      </c>
      <c r="H212" s="171">
        <f>_xlfn.AGGREGATE(2,5,LineærRegression_Valg[[#This Row],[Tabel ID]])</f>
        <v>1</v>
      </c>
    </row>
    <row r="213" spans="1:8" x14ac:dyDescent="0.2">
      <c r="A213">
        <f>ROW(LineærRegression_Valg[[#This Row],[Tabel ID]])-ROW(LineærRegression_Valg[[#Headers],[Tabel ID]])</f>
        <v>203</v>
      </c>
      <c r="B213" s="171">
        <f>ROUNDDOWN((LineærRegression_Valg[[#This Row],[Tabel ID]]-1)/$B$5,0)+1</f>
        <v>51</v>
      </c>
      <c r="C213" s="171">
        <f t="shared" si="3"/>
        <v>3</v>
      </c>
      <c r="D213" s="171" t="b">
        <f>LineærRegression_Valg[[#This Row],[Afhængig variabel ID]]&lt;&gt;LineærRegression_Valg[[#This Row],[Uafhængig variabel ID]]</f>
        <v>1</v>
      </c>
      <c r="E213" t="b">
        <f>LineærRegression_Valg[[#This Row],[Afhængig variabel ID]]&lt;=$B$5</f>
        <v>0</v>
      </c>
      <c r="F213" t="str" cm="1">
        <f t="array" ref="F213">IF(LineærRegression_Valg[[#This Row],[Indenfor range]],INDEX(DataTitel_liste,LineærRegression_Valg[[#This Row],[Afhængig variabel ID]]),INDEX(DataTitel_liste,1))</f>
        <v>Eksempel 1 (interval)</v>
      </c>
      <c r="G213" s="171" t="str" cm="1">
        <f t="array" ref="G213">IF(LineærRegression_Valg[[#This Row],[Indenfor range]],IF(LineærRegression_Valg[[#This Row],[Intet overlap]],INDEX(DataTitel_liste,LineærRegression_Valg[[#This Row],[Uafhængig variabel ID]]),INDEX(DataTitel_liste,IF(LineærRegression_Valg[[#This Row],[Afhængig variabel ID]]=1,2,1))),$B$7)</f>
        <v>Eksempel 2 (interval)</v>
      </c>
      <c r="H213" s="171">
        <f>_xlfn.AGGREGATE(2,5,LineærRegression_Valg[[#This Row],[Tabel ID]])</f>
        <v>1</v>
      </c>
    </row>
    <row r="214" spans="1:8" x14ac:dyDescent="0.2">
      <c r="A214">
        <f>ROW(LineærRegression_Valg[[#This Row],[Tabel ID]])-ROW(LineærRegression_Valg[[#Headers],[Tabel ID]])</f>
        <v>204</v>
      </c>
      <c r="B214" s="171">
        <f>ROUNDDOWN((LineærRegression_Valg[[#This Row],[Tabel ID]]-1)/$B$5,0)+1</f>
        <v>51</v>
      </c>
      <c r="C214" s="171">
        <f t="shared" si="3"/>
        <v>4</v>
      </c>
      <c r="D214" s="171" t="b">
        <f>LineærRegression_Valg[[#This Row],[Afhængig variabel ID]]&lt;&gt;LineærRegression_Valg[[#This Row],[Uafhængig variabel ID]]</f>
        <v>1</v>
      </c>
      <c r="E214" t="b">
        <f>LineærRegression_Valg[[#This Row],[Afhængig variabel ID]]&lt;=$B$5</f>
        <v>0</v>
      </c>
      <c r="F214" t="str" cm="1">
        <f t="array" ref="F214">IF(LineærRegression_Valg[[#This Row],[Indenfor range]],INDEX(DataTitel_liste,LineærRegression_Valg[[#This Row],[Afhængig variabel ID]]),INDEX(DataTitel_liste,1))</f>
        <v>Eksempel 1 (interval)</v>
      </c>
      <c r="G214" s="171" t="str" cm="1">
        <f t="array" ref="G214">IF(LineærRegression_Valg[[#This Row],[Indenfor range]],IF(LineærRegression_Valg[[#This Row],[Intet overlap]],INDEX(DataTitel_liste,LineærRegression_Valg[[#This Row],[Uafhængig variabel ID]]),INDEX(DataTitel_liste,IF(LineærRegression_Valg[[#This Row],[Afhængig variabel ID]]=1,2,1))),$B$7)</f>
        <v>Eksempel 2 (interval)</v>
      </c>
      <c r="H214" s="171">
        <f>_xlfn.AGGREGATE(2,5,LineærRegression_Valg[[#This Row],[Tabel ID]])</f>
        <v>1</v>
      </c>
    </row>
    <row r="215" spans="1:8" x14ac:dyDescent="0.2">
      <c r="A215">
        <f>ROW(LineærRegression_Valg[[#This Row],[Tabel ID]])-ROW(LineærRegression_Valg[[#Headers],[Tabel ID]])</f>
        <v>205</v>
      </c>
      <c r="B215" s="171">
        <f>ROUNDDOWN((LineærRegression_Valg[[#This Row],[Tabel ID]]-1)/$B$5,0)+1</f>
        <v>52</v>
      </c>
      <c r="C215" s="171">
        <f t="shared" si="3"/>
        <v>1</v>
      </c>
      <c r="D215" s="171" t="b">
        <f>LineærRegression_Valg[[#This Row],[Afhængig variabel ID]]&lt;&gt;LineærRegression_Valg[[#This Row],[Uafhængig variabel ID]]</f>
        <v>1</v>
      </c>
      <c r="E215" t="b">
        <f>LineærRegression_Valg[[#This Row],[Afhængig variabel ID]]&lt;=$B$5</f>
        <v>0</v>
      </c>
      <c r="F215" t="str" cm="1">
        <f t="array" ref="F215">IF(LineærRegression_Valg[[#This Row],[Indenfor range]],INDEX(DataTitel_liste,LineærRegression_Valg[[#This Row],[Afhængig variabel ID]]),INDEX(DataTitel_liste,1))</f>
        <v>Eksempel 1 (interval)</v>
      </c>
      <c r="G215" s="171" t="str" cm="1">
        <f t="array" ref="G215">IF(LineærRegression_Valg[[#This Row],[Indenfor range]],IF(LineærRegression_Valg[[#This Row],[Intet overlap]],INDEX(DataTitel_liste,LineærRegression_Valg[[#This Row],[Uafhængig variabel ID]]),INDEX(DataTitel_liste,IF(LineærRegression_Valg[[#This Row],[Afhængig variabel ID]]=1,2,1))),$B$7)</f>
        <v>Eksempel 2 (interval)</v>
      </c>
      <c r="H215" s="171">
        <f>_xlfn.AGGREGATE(2,5,LineærRegression_Valg[[#This Row],[Tabel ID]])</f>
        <v>1</v>
      </c>
    </row>
    <row r="216" spans="1:8" x14ac:dyDescent="0.2">
      <c r="A216">
        <f>ROW(LineærRegression_Valg[[#This Row],[Tabel ID]])-ROW(LineærRegression_Valg[[#Headers],[Tabel ID]])</f>
        <v>206</v>
      </c>
      <c r="B216" s="171">
        <f>ROUNDDOWN((LineærRegression_Valg[[#This Row],[Tabel ID]]-1)/$B$5,0)+1</f>
        <v>52</v>
      </c>
      <c r="C216" s="171">
        <f t="shared" si="3"/>
        <v>2</v>
      </c>
      <c r="D216" s="171" t="b">
        <f>LineærRegression_Valg[[#This Row],[Afhængig variabel ID]]&lt;&gt;LineærRegression_Valg[[#This Row],[Uafhængig variabel ID]]</f>
        <v>1</v>
      </c>
      <c r="E216" t="b">
        <f>LineærRegression_Valg[[#This Row],[Afhængig variabel ID]]&lt;=$B$5</f>
        <v>0</v>
      </c>
      <c r="F216" t="str" cm="1">
        <f t="array" ref="F216">IF(LineærRegression_Valg[[#This Row],[Indenfor range]],INDEX(DataTitel_liste,LineærRegression_Valg[[#This Row],[Afhængig variabel ID]]),INDEX(DataTitel_liste,1))</f>
        <v>Eksempel 1 (interval)</v>
      </c>
      <c r="G216" s="171" t="str" cm="1">
        <f t="array" ref="G216">IF(LineærRegression_Valg[[#This Row],[Indenfor range]],IF(LineærRegression_Valg[[#This Row],[Intet overlap]],INDEX(DataTitel_liste,LineærRegression_Valg[[#This Row],[Uafhængig variabel ID]]),INDEX(DataTitel_liste,IF(LineærRegression_Valg[[#This Row],[Afhængig variabel ID]]=1,2,1))),$B$7)</f>
        <v>Eksempel 2 (interval)</v>
      </c>
      <c r="H216" s="171">
        <f>_xlfn.AGGREGATE(2,5,LineærRegression_Valg[[#This Row],[Tabel ID]])</f>
        <v>1</v>
      </c>
    </row>
    <row r="217" spans="1:8" x14ac:dyDescent="0.2">
      <c r="A217">
        <f>ROW(LineærRegression_Valg[[#This Row],[Tabel ID]])-ROW(LineærRegression_Valg[[#Headers],[Tabel ID]])</f>
        <v>207</v>
      </c>
      <c r="B217" s="171">
        <f>ROUNDDOWN((LineærRegression_Valg[[#This Row],[Tabel ID]]-1)/$B$5,0)+1</f>
        <v>52</v>
      </c>
      <c r="C217" s="171">
        <f t="shared" si="3"/>
        <v>3</v>
      </c>
      <c r="D217" s="171" t="b">
        <f>LineærRegression_Valg[[#This Row],[Afhængig variabel ID]]&lt;&gt;LineærRegression_Valg[[#This Row],[Uafhængig variabel ID]]</f>
        <v>1</v>
      </c>
      <c r="E217" t="b">
        <f>LineærRegression_Valg[[#This Row],[Afhængig variabel ID]]&lt;=$B$5</f>
        <v>0</v>
      </c>
      <c r="F217" t="str" cm="1">
        <f t="array" ref="F217">IF(LineærRegression_Valg[[#This Row],[Indenfor range]],INDEX(DataTitel_liste,LineærRegression_Valg[[#This Row],[Afhængig variabel ID]]),INDEX(DataTitel_liste,1))</f>
        <v>Eksempel 1 (interval)</v>
      </c>
      <c r="G217" s="171" t="str" cm="1">
        <f t="array" ref="G217">IF(LineærRegression_Valg[[#This Row],[Indenfor range]],IF(LineærRegression_Valg[[#This Row],[Intet overlap]],INDEX(DataTitel_liste,LineærRegression_Valg[[#This Row],[Uafhængig variabel ID]]),INDEX(DataTitel_liste,IF(LineærRegression_Valg[[#This Row],[Afhængig variabel ID]]=1,2,1))),$B$7)</f>
        <v>Eksempel 2 (interval)</v>
      </c>
      <c r="H217" s="171">
        <f>_xlfn.AGGREGATE(2,5,LineærRegression_Valg[[#This Row],[Tabel ID]])</f>
        <v>1</v>
      </c>
    </row>
    <row r="218" spans="1:8" x14ac:dyDescent="0.2">
      <c r="A218">
        <f>ROW(LineærRegression_Valg[[#This Row],[Tabel ID]])-ROW(LineærRegression_Valg[[#Headers],[Tabel ID]])</f>
        <v>208</v>
      </c>
      <c r="B218" s="171">
        <f>ROUNDDOWN((LineærRegression_Valg[[#This Row],[Tabel ID]]-1)/$B$5,0)+1</f>
        <v>52</v>
      </c>
      <c r="C218" s="171">
        <f t="shared" si="3"/>
        <v>4</v>
      </c>
      <c r="D218" s="171" t="b">
        <f>LineærRegression_Valg[[#This Row],[Afhængig variabel ID]]&lt;&gt;LineærRegression_Valg[[#This Row],[Uafhængig variabel ID]]</f>
        <v>1</v>
      </c>
      <c r="E218" t="b">
        <f>LineærRegression_Valg[[#This Row],[Afhængig variabel ID]]&lt;=$B$5</f>
        <v>0</v>
      </c>
      <c r="F218" t="str" cm="1">
        <f t="array" ref="F218">IF(LineærRegression_Valg[[#This Row],[Indenfor range]],INDEX(DataTitel_liste,LineærRegression_Valg[[#This Row],[Afhængig variabel ID]]),INDEX(DataTitel_liste,1))</f>
        <v>Eksempel 1 (interval)</v>
      </c>
      <c r="G218" s="171" t="str" cm="1">
        <f t="array" ref="G218">IF(LineærRegression_Valg[[#This Row],[Indenfor range]],IF(LineærRegression_Valg[[#This Row],[Intet overlap]],INDEX(DataTitel_liste,LineærRegression_Valg[[#This Row],[Uafhængig variabel ID]]),INDEX(DataTitel_liste,IF(LineærRegression_Valg[[#This Row],[Afhængig variabel ID]]=1,2,1))),$B$7)</f>
        <v>Eksempel 2 (interval)</v>
      </c>
      <c r="H218" s="171">
        <f>_xlfn.AGGREGATE(2,5,LineærRegression_Valg[[#This Row],[Tabel ID]])</f>
        <v>1</v>
      </c>
    </row>
    <row r="219" spans="1:8" x14ac:dyDescent="0.2">
      <c r="A219">
        <f>ROW(LineærRegression_Valg[[#This Row],[Tabel ID]])-ROW(LineærRegression_Valg[[#Headers],[Tabel ID]])</f>
        <v>209</v>
      </c>
      <c r="B219" s="171">
        <f>ROUNDDOWN((LineærRegression_Valg[[#This Row],[Tabel ID]]-1)/$B$5,0)+1</f>
        <v>53</v>
      </c>
      <c r="C219" s="171">
        <f t="shared" si="3"/>
        <v>1</v>
      </c>
      <c r="D219" s="171" t="b">
        <f>LineærRegression_Valg[[#This Row],[Afhængig variabel ID]]&lt;&gt;LineærRegression_Valg[[#This Row],[Uafhængig variabel ID]]</f>
        <v>1</v>
      </c>
      <c r="E219" t="b">
        <f>LineærRegression_Valg[[#This Row],[Afhængig variabel ID]]&lt;=$B$5</f>
        <v>0</v>
      </c>
      <c r="F219" t="str" cm="1">
        <f t="array" ref="F219">IF(LineærRegression_Valg[[#This Row],[Indenfor range]],INDEX(DataTitel_liste,LineærRegression_Valg[[#This Row],[Afhængig variabel ID]]),INDEX(DataTitel_liste,1))</f>
        <v>Eksempel 1 (interval)</v>
      </c>
      <c r="G219" s="171" t="str" cm="1">
        <f t="array" ref="G219">IF(LineærRegression_Valg[[#This Row],[Indenfor range]],IF(LineærRegression_Valg[[#This Row],[Intet overlap]],INDEX(DataTitel_liste,LineærRegression_Valg[[#This Row],[Uafhængig variabel ID]]),INDEX(DataTitel_liste,IF(LineærRegression_Valg[[#This Row],[Afhængig variabel ID]]=1,2,1))),$B$7)</f>
        <v>Eksempel 2 (interval)</v>
      </c>
      <c r="H219" s="171">
        <f>_xlfn.AGGREGATE(2,5,LineærRegression_Valg[[#This Row],[Tabel ID]])</f>
        <v>1</v>
      </c>
    </row>
    <row r="220" spans="1:8" x14ac:dyDescent="0.2">
      <c r="A220">
        <f>ROW(LineærRegression_Valg[[#This Row],[Tabel ID]])-ROW(LineærRegression_Valg[[#Headers],[Tabel ID]])</f>
        <v>210</v>
      </c>
      <c r="B220" s="171">
        <f>ROUNDDOWN((LineærRegression_Valg[[#This Row],[Tabel ID]]-1)/$B$5,0)+1</f>
        <v>53</v>
      </c>
      <c r="C220" s="171">
        <f t="shared" si="3"/>
        <v>2</v>
      </c>
      <c r="D220" s="171" t="b">
        <f>LineærRegression_Valg[[#This Row],[Afhængig variabel ID]]&lt;&gt;LineærRegression_Valg[[#This Row],[Uafhængig variabel ID]]</f>
        <v>1</v>
      </c>
      <c r="E220" t="b">
        <f>LineærRegression_Valg[[#This Row],[Afhængig variabel ID]]&lt;=$B$5</f>
        <v>0</v>
      </c>
      <c r="F220" t="str" cm="1">
        <f t="array" ref="F220">IF(LineærRegression_Valg[[#This Row],[Indenfor range]],INDEX(DataTitel_liste,LineærRegression_Valg[[#This Row],[Afhængig variabel ID]]),INDEX(DataTitel_liste,1))</f>
        <v>Eksempel 1 (interval)</v>
      </c>
      <c r="G220" s="171" t="str" cm="1">
        <f t="array" ref="G220">IF(LineærRegression_Valg[[#This Row],[Indenfor range]],IF(LineærRegression_Valg[[#This Row],[Intet overlap]],INDEX(DataTitel_liste,LineærRegression_Valg[[#This Row],[Uafhængig variabel ID]]),INDEX(DataTitel_liste,IF(LineærRegression_Valg[[#This Row],[Afhængig variabel ID]]=1,2,1))),$B$7)</f>
        <v>Eksempel 2 (interval)</v>
      </c>
      <c r="H220" s="171">
        <f>_xlfn.AGGREGATE(2,5,LineærRegression_Valg[[#This Row],[Tabel ID]])</f>
        <v>1</v>
      </c>
    </row>
    <row r="221" spans="1:8" x14ac:dyDescent="0.2">
      <c r="A221">
        <f>ROW(LineærRegression_Valg[[#This Row],[Tabel ID]])-ROW(LineærRegression_Valg[[#Headers],[Tabel ID]])</f>
        <v>211</v>
      </c>
      <c r="B221" s="171">
        <f>ROUNDDOWN((LineærRegression_Valg[[#This Row],[Tabel ID]]-1)/$B$5,0)+1</f>
        <v>53</v>
      </c>
      <c r="C221" s="171">
        <f t="shared" si="3"/>
        <v>3</v>
      </c>
      <c r="D221" s="171" t="b">
        <f>LineærRegression_Valg[[#This Row],[Afhængig variabel ID]]&lt;&gt;LineærRegression_Valg[[#This Row],[Uafhængig variabel ID]]</f>
        <v>1</v>
      </c>
      <c r="E221" t="b">
        <f>LineærRegression_Valg[[#This Row],[Afhængig variabel ID]]&lt;=$B$5</f>
        <v>0</v>
      </c>
      <c r="F221" t="str" cm="1">
        <f t="array" ref="F221">IF(LineærRegression_Valg[[#This Row],[Indenfor range]],INDEX(DataTitel_liste,LineærRegression_Valg[[#This Row],[Afhængig variabel ID]]),INDEX(DataTitel_liste,1))</f>
        <v>Eksempel 1 (interval)</v>
      </c>
      <c r="G221" s="171" t="str" cm="1">
        <f t="array" ref="G221">IF(LineærRegression_Valg[[#This Row],[Indenfor range]],IF(LineærRegression_Valg[[#This Row],[Intet overlap]],INDEX(DataTitel_liste,LineærRegression_Valg[[#This Row],[Uafhængig variabel ID]]),INDEX(DataTitel_liste,IF(LineærRegression_Valg[[#This Row],[Afhængig variabel ID]]=1,2,1))),$B$7)</f>
        <v>Eksempel 2 (interval)</v>
      </c>
      <c r="H221" s="171">
        <f>_xlfn.AGGREGATE(2,5,LineærRegression_Valg[[#This Row],[Tabel ID]])</f>
        <v>1</v>
      </c>
    </row>
    <row r="222" spans="1:8" x14ac:dyDescent="0.2">
      <c r="A222">
        <f>ROW(LineærRegression_Valg[[#This Row],[Tabel ID]])-ROW(LineærRegression_Valg[[#Headers],[Tabel ID]])</f>
        <v>212</v>
      </c>
      <c r="B222" s="171">
        <f>ROUNDDOWN((LineærRegression_Valg[[#This Row],[Tabel ID]]-1)/$B$5,0)+1</f>
        <v>53</v>
      </c>
      <c r="C222" s="171">
        <f t="shared" si="3"/>
        <v>4</v>
      </c>
      <c r="D222" s="171" t="b">
        <f>LineærRegression_Valg[[#This Row],[Afhængig variabel ID]]&lt;&gt;LineærRegression_Valg[[#This Row],[Uafhængig variabel ID]]</f>
        <v>1</v>
      </c>
      <c r="E222" t="b">
        <f>LineærRegression_Valg[[#This Row],[Afhængig variabel ID]]&lt;=$B$5</f>
        <v>0</v>
      </c>
      <c r="F222" t="str" cm="1">
        <f t="array" ref="F222">IF(LineærRegression_Valg[[#This Row],[Indenfor range]],INDEX(DataTitel_liste,LineærRegression_Valg[[#This Row],[Afhængig variabel ID]]),INDEX(DataTitel_liste,1))</f>
        <v>Eksempel 1 (interval)</v>
      </c>
      <c r="G222" s="171" t="str" cm="1">
        <f t="array" ref="G222">IF(LineærRegression_Valg[[#This Row],[Indenfor range]],IF(LineærRegression_Valg[[#This Row],[Intet overlap]],INDEX(DataTitel_liste,LineærRegression_Valg[[#This Row],[Uafhængig variabel ID]]),INDEX(DataTitel_liste,IF(LineærRegression_Valg[[#This Row],[Afhængig variabel ID]]=1,2,1))),$B$7)</f>
        <v>Eksempel 2 (interval)</v>
      </c>
      <c r="H222" s="171">
        <f>_xlfn.AGGREGATE(2,5,LineærRegression_Valg[[#This Row],[Tabel ID]])</f>
        <v>1</v>
      </c>
    </row>
    <row r="223" spans="1:8" x14ac:dyDescent="0.2">
      <c r="A223">
        <f>ROW(LineærRegression_Valg[[#This Row],[Tabel ID]])-ROW(LineærRegression_Valg[[#Headers],[Tabel ID]])</f>
        <v>213</v>
      </c>
      <c r="B223" s="171">
        <f>ROUNDDOWN((LineærRegression_Valg[[#This Row],[Tabel ID]]-1)/$B$5,0)+1</f>
        <v>54</v>
      </c>
      <c r="C223" s="171">
        <f t="shared" si="3"/>
        <v>1</v>
      </c>
      <c r="D223" s="171" t="b">
        <f>LineærRegression_Valg[[#This Row],[Afhængig variabel ID]]&lt;&gt;LineærRegression_Valg[[#This Row],[Uafhængig variabel ID]]</f>
        <v>1</v>
      </c>
      <c r="E223" t="b">
        <f>LineærRegression_Valg[[#This Row],[Afhængig variabel ID]]&lt;=$B$5</f>
        <v>0</v>
      </c>
      <c r="F223" t="str" cm="1">
        <f t="array" ref="F223">IF(LineærRegression_Valg[[#This Row],[Indenfor range]],INDEX(DataTitel_liste,LineærRegression_Valg[[#This Row],[Afhængig variabel ID]]),INDEX(DataTitel_liste,1))</f>
        <v>Eksempel 1 (interval)</v>
      </c>
      <c r="G223" s="171" t="str" cm="1">
        <f t="array" ref="G223">IF(LineærRegression_Valg[[#This Row],[Indenfor range]],IF(LineærRegression_Valg[[#This Row],[Intet overlap]],INDEX(DataTitel_liste,LineærRegression_Valg[[#This Row],[Uafhængig variabel ID]]),INDEX(DataTitel_liste,IF(LineærRegression_Valg[[#This Row],[Afhængig variabel ID]]=1,2,1))),$B$7)</f>
        <v>Eksempel 2 (interval)</v>
      </c>
      <c r="H223" s="171">
        <f>_xlfn.AGGREGATE(2,5,LineærRegression_Valg[[#This Row],[Tabel ID]])</f>
        <v>1</v>
      </c>
    </row>
    <row r="224" spans="1:8" x14ac:dyDescent="0.2">
      <c r="A224">
        <f>ROW(LineærRegression_Valg[[#This Row],[Tabel ID]])-ROW(LineærRegression_Valg[[#Headers],[Tabel ID]])</f>
        <v>214</v>
      </c>
      <c r="B224" s="171">
        <f>ROUNDDOWN((LineærRegression_Valg[[#This Row],[Tabel ID]]-1)/$B$5,0)+1</f>
        <v>54</v>
      </c>
      <c r="C224" s="171">
        <f t="shared" si="3"/>
        <v>2</v>
      </c>
      <c r="D224" s="171" t="b">
        <f>LineærRegression_Valg[[#This Row],[Afhængig variabel ID]]&lt;&gt;LineærRegression_Valg[[#This Row],[Uafhængig variabel ID]]</f>
        <v>1</v>
      </c>
      <c r="E224" t="b">
        <f>LineærRegression_Valg[[#This Row],[Afhængig variabel ID]]&lt;=$B$5</f>
        <v>0</v>
      </c>
      <c r="F224" t="str" cm="1">
        <f t="array" ref="F224">IF(LineærRegression_Valg[[#This Row],[Indenfor range]],INDEX(DataTitel_liste,LineærRegression_Valg[[#This Row],[Afhængig variabel ID]]),INDEX(DataTitel_liste,1))</f>
        <v>Eksempel 1 (interval)</v>
      </c>
      <c r="G224" s="171" t="str" cm="1">
        <f t="array" ref="G224">IF(LineærRegression_Valg[[#This Row],[Indenfor range]],IF(LineærRegression_Valg[[#This Row],[Intet overlap]],INDEX(DataTitel_liste,LineærRegression_Valg[[#This Row],[Uafhængig variabel ID]]),INDEX(DataTitel_liste,IF(LineærRegression_Valg[[#This Row],[Afhængig variabel ID]]=1,2,1))),$B$7)</f>
        <v>Eksempel 2 (interval)</v>
      </c>
      <c r="H224" s="171">
        <f>_xlfn.AGGREGATE(2,5,LineærRegression_Valg[[#This Row],[Tabel ID]])</f>
        <v>1</v>
      </c>
    </row>
    <row r="225" spans="1:8" x14ac:dyDescent="0.2">
      <c r="A225">
        <f>ROW(LineærRegression_Valg[[#This Row],[Tabel ID]])-ROW(LineærRegression_Valg[[#Headers],[Tabel ID]])</f>
        <v>215</v>
      </c>
      <c r="B225" s="171">
        <f>ROUNDDOWN((LineærRegression_Valg[[#This Row],[Tabel ID]]-1)/$B$5,0)+1</f>
        <v>54</v>
      </c>
      <c r="C225" s="171">
        <f t="shared" si="3"/>
        <v>3</v>
      </c>
      <c r="D225" s="171" t="b">
        <f>LineærRegression_Valg[[#This Row],[Afhængig variabel ID]]&lt;&gt;LineærRegression_Valg[[#This Row],[Uafhængig variabel ID]]</f>
        <v>1</v>
      </c>
      <c r="E225" t="b">
        <f>LineærRegression_Valg[[#This Row],[Afhængig variabel ID]]&lt;=$B$5</f>
        <v>0</v>
      </c>
      <c r="F225" t="str" cm="1">
        <f t="array" ref="F225">IF(LineærRegression_Valg[[#This Row],[Indenfor range]],INDEX(DataTitel_liste,LineærRegression_Valg[[#This Row],[Afhængig variabel ID]]),INDEX(DataTitel_liste,1))</f>
        <v>Eksempel 1 (interval)</v>
      </c>
      <c r="G225" s="171" t="str" cm="1">
        <f t="array" ref="G225">IF(LineærRegression_Valg[[#This Row],[Indenfor range]],IF(LineærRegression_Valg[[#This Row],[Intet overlap]],INDEX(DataTitel_liste,LineærRegression_Valg[[#This Row],[Uafhængig variabel ID]]),INDEX(DataTitel_liste,IF(LineærRegression_Valg[[#This Row],[Afhængig variabel ID]]=1,2,1))),$B$7)</f>
        <v>Eksempel 2 (interval)</v>
      </c>
      <c r="H225" s="171">
        <f>_xlfn.AGGREGATE(2,5,LineærRegression_Valg[[#This Row],[Tabel ID]])</f>
        <v>1</v>
      </c>
    </row>
    <row r="226" spans="1:8" x14ac:dyDescent="0.2">
      <c r="A226">
        <f>ROW(LineærRegression_Valg[[#This Row],[Tabel ID]])-ROW(LineærRegression_Valg[[#Headers],[Tabel ID]])</f>
        <v>216</v>
      </c>
      <c r="B226" s="171">
        <f>ROUNDDOWN((LineærRegression_Valg[[#This Row],[Tabel ID]]-1)/$B$5,0)+1</f>
        <v>54</v>
      </c>
      <c r="C226" s="171">
        <f t="shared" si="3"/>
        <v>4</v>
      </c>
      <c r="D226" s="171" t="b">
        <f>LineærRegression_Valg[[#This Row],[Afhængig variabel ID]]&lt;&gt;LineærRegression_Valg[[#This Row],[Uafhængig variabel ID]]</f>
        <v>1</v>
      </c>
      <c r="E226" t="b">
        <f>LineærRegression_Valg[[#This Row],[Afhængig variabel ID]]&lt;=$B$5</f>
        <v>0</v>
      </c>
      <c r="F226" t="str" cm="1">
        <f t="array" ref="F226">IF(LineærRegression_Valg[[#This Row],[Indenfor range]],INDEX(DataTitel_liste,LineærRegression_Valg[[#This Row],[Afhængig variabel ID]]),INDEX(DataTitel_liste,1))</f>
        <v>Eksempel 1 (interval)</v>
      </c>
      <c r="G226" s="171" t="str" cm="1">
        <f t="array" ref="G226">IF(LineærRegression_Valg[[#This Row],[Indenfor range]],IF(LineærRegression_Valg[[#This Row],[Intet overlap]],INDEX(DataTitel_liste,LineærRegression_Valg[[#This Row],[Uafhængig variabel ID]]),INDEX(DataTitel_liste,IF(LineærRegression_Valg[[#This Row],[Afhængig variabel ID]]=1,2,1))),$B$7)</f>
        <v>Eksempel 2 (interval)</v>
      </c>
      <c r="H226" s="171">
        <f>_xlfn.AGGREGATE(2,5,LineærRegression_Valg[[#This Row],[Tabel ID]])</f>
        <v>1</v>
      </c>
    </row>
    <row r="227" spans="1:8" x14ac:dyDescent="0.2">
      <c r="A227">
        <f>ROW(LineærRegression_Valg[[#This Row],[Tabel ID]])-ROW(LineærRegression_Valg[[#Headers],[Tabel ID]])</f>
        <v>217</v>
      </c>
      <c r="B227" s="171">
        <f>ROUNDDOWN((LineærRegression_Valg[[#This Row],[Tabel ID]]-1)/$B$5,0)+1</f>
        <v>55</v>
      </c>
      <c r="C227" s="171">
        <f t="shared" si="3"/>
        <v>1</v>
      </c>
      <c r="D227" s="171" t="b">
        <f>LineærRegression_Valg[[#This Row],[Afhængig variabel ID]]&lt;&gt;LineærRegression_Valg[[#This Row],[Uafhængig variabel ID]]</f>
        <v>1</v>
      </c>
      <c r="E227" t="b">
        <f>LineærRegression_Valg[[#This Row],[Afhængig variabel ID]]&lt;=$B$5</f>
        <v>0</v>
      </c>
      <c r="F227" t="str" cm="1">
        <f t="array" ref="F227">IF(LineærRegression_Valg[[#This Row],[Indenfor range]],INDEX(DataTitel_liste,LineærRegression_Valg[[#This Row],[Afhængig variabel ID]]),INDEX(DataTitel_liste,1))</f>
        <v>Eksempel 1 (interval)</v>
      </c>
      <c r="G227" s="171" t="str" cm="1">
        <f t="array" ref="G227">IF(LineærRegression_Valg[[#This Row],[Indenfor range]],IF(LineærRegression_Valg[[#This Row],[Intet overlap]],INDEX(DataTitel_liste,LineærRegression_Valg[[#This Row],[Uafhængig variabel ID]]),INDEX(DataTitel_liste,IF(LineærRegression_Valg[[#This Row],[Afhængig variabel ID]]=1,2,1))),$B$7)</f>
        <v>Eksempel 2 (interval)</v>
      </c>
      <c r="H227" s="171">
        <f>_xlfn.AGGREGATE(2,5,LineærRegression_Valg[[#This Row],[Tabel ID]])</f>
        <v>1</v>
      </c>
    </row>
    <row r="228" spans="1:8" x14ac:dyDescent="0.2">
      <c r="A228">
        <f>ROW(LineærRegression_Valg[[#This Row],[Tabel ID]])-ROW(LineærRegression_Valg[[#Headers],[Tabel ID]])</f>
        <v>218</v>
      </c>
      <c r="B228" s="171">
        <f>ROUNDDOWN((LineærRegression_Valg[[#This Row],[Tabel ID]]-1)/$B$5,0)+1</f>
        <v>55</v>
      </c>
      <c r="C228" s="171">
        <f t="shared" si="3"/>
        <v>2</v>
      </c>
      <c r="D228" s="171" t="b">
        <f>LineærRegression_Valg[[#This Row],[Afhængig variabel ID]]&lt;&gt;LineærRegression_Valg[[#This Row],[Uafhængig variabel ID]]</f>
        <v>1</v>
      </c>
      <c r="E228" t="b">
        <f>LineærRegression_Valg[[#This Row],[Afhængig variabel ID]]&lt;=$B$5</f>
        <v>0</v>
      </c>
      <c r="F228" t="str" cm="1">
        <f t="array" ref="F228">IF(LineærRegression_Valg[[#This Row],[Indenfor range]],INDEX(DataTitel_liste,LineærRegression_Valg[[#This Row],[Afhængig variabel ID]]),INDEX(DataTitel_liste,1))</f>
        <v>Eksempel 1 (interval)</v>
      </c>
      <c r="G228" s="171" t="str" cm="1">
        <f t="array" ref="G228">IF(LineærRegression_Valg[[#This Row],[Indenfor range]],IF(LineærRegression_Valg[[#This Row],[Intet overlap]],INDEX(DataTitel_liste,LineærRegression_Valg[[#This Row],[Uafhængig variabel ID]]),INDEX(DataTitel_liste,IF(LineærRegression_Valg[[#This Row],[Afhængig variabel ID]]=1,2,1))),$B$7)</f>
        <v>Eksempel 2 (interval)</v>
      </c>
      <c r="H228" s="171">
        <f>_xlfn.AGGREGATE(2,5,LineærRegression_Valg[[#This Row],[Tabel ID]])</f>
        <v>1</v>
      </c>
    </row>
    <row r="229" spans="1:8" x14ac:dyDescent="0.2">
      <c r="A229">
        <f>ROW(LineærRegression_Valg[[#This Row],[Tabel ID]])-ROW(LineærRegression_Valg[[#Headers],[Tabel ID]])</f>
        <v>219</v>
      </c>
      <c r="B229" s="171">
        <f>ROUNDDOWN((LineærRegression_Valg[[#This Row],[Tabel ID]]-1)/$B$5,0)+1</f>
        <v>55</v>
      </c>
      <c r="C229" s="171">
        <f t="shared" si="3"/>
        <v>3</v>
      </c>
      <c r="D229" s="171" t="b">
        <f>LineærRegression_Valg[[#This Row],[Afhængig variabel ID]]&lt;&gt;LineærRegression_Valg[[#This Row],[Uafhængig variabel ID]]</f>
        <v>1</v>
      </c>
      <c r="E229" t="b">
        <f>LineærRegression_Valg[[#This Row],[Afhængig variabel ID]]&lt;=$B$5</f>
        <v>0</v>
      </c>
      <c r="F229" t="str" cm="1">
        <f t="array" ref="F229">IF(LineærRegression_Valg[[#This Row],[Indenfor range]],INDEX(DataTitel_liste,LineærRegression_Valg[[#This Row],[Afhængig variabel ID]]),INDEX(DataTitel_liste,1))</f>
        <v>Eksempel 1 (interval)</v>
      </c>
      <c r="G229" s="171" t="str" cm="1">
        <f t="array" ref="G229">IF(LineærRegression_Valg[[#This Row],[Indenfor range]],IF(LineærRegression_Valg[[#This Row],[Intet overlap]],INDEX(DataTitel_liste,LineærRegression_Valg[[#This Row],[Uafhængig variabel ID]]),INDEX(DataTitel_liste,IF(LineærRegression_Valg[[#This Row],[Afhængig variabel ID]]=1,2,1))),$B$7)</f>
        <v>Eksempel 2 (interval)</v>
      </c>
      <c r="H229" s="171">
        <f>_xlfn.AGGREGATE(2,5,LineærRegression_Valg[[#This Row],[Tabel ID]])</f>
        <v>1</v>
      </c>
    </row>
    <row r="230" spans="1:8" x14ac:dyDescent="0.2">
      <c r="A230">
        <f>ROW(LineærRegression_Valg[[#This Row],[Tabel ID]])-ROW(LineærRegression_Valg[[#Headers],[Tabel ID]])</f>
        <v>220</v>
      </c>
      <c r="B230" s="171">
        <f>ROUNDDOWN((LineærRegression_Valg[[#This Row],[Tabel ID]]-1)/$B$5,0)+1</f>
        <v>55</v>
      </c>
      <c r="C230" s="171">
        <f t="shared" si="3"/>
        <v>4</v>
      </c>
      <c r="D230" s="171" t="b">
        <f>LineærRegression_Valg[[#This Row],[Afhængig variabel ID]]&lt;&gt;LineærRegression_Valg[[#This Row],[Uafhængig variabel ID]]</f>
        <v>1</v>
      </c>
      <c r="E230" t="b">
        <f>LineærRegression_Valg[[#This Row],[Afhængig variabel ID]]&lt;=$B$5</f>
        <v>0</v>
      </c>
      <c r="F230" t="str" cm="1">
        <f t="array" ref="F230">IF(LineærRegression_Valg[[#This Row],[Indenfor range]],INDEX(DataTitel_liste,LineærRegression_Valg[[#This Row],[Afhængig variabel ID]]),INDEX(DataTitel_liste,1))</f>
        <v>Eksempel 1 (interval)</v>
      </c>
      <c r="G230" s="171" t="str" cm="1">
        <f t="array" ref="G230">IF(LineærRegression_Valg[[#This Row],[Indenfor range]],IF(LineærRegression_Valg[[#This Row],[Intet overlap]],INDEX(DataTitel_liste,LineærRegression_Valg[[#This Row],[Uafhængig variabel ID]]),INDEX(DataTitel_liste,IF(LineærRegression_Valg[[#This Row],[Afhængig variabel ID]]=1,2,1))),$B$7)</f>
        <v>Eksempel 2 (interval)</v>
      </c>
      <c r="H230" s="171">
        <f>_xlfn.AGGREGATE(2,5,LineærRegression_Valg[[#This Row],[Tabel ID]])</f>
        <v>1</v>
      </c>
    </row>
    <row r="231" spans="1:8" x14ac:dyDescent="0.2">
      <c r="A231">
        <f>ROW(LineærRegression_Valg[[#This Row],[Tabel ID]])-ROW(LineærRegression_Valg[[#Headers],[Tabel ID]])</f>
        <v>221</v>
      </c>
      <c r="B231" s="171">
        <f>ROUNDDOWN((LineærRegression_Valg[[#This Row],[Tabel ID]]-1)/$B$5,0)+1</f>
        <v>56</v>
      </c>
      <c r="C231" s="171">
        <f t="shared" si="3"/>
        <v>1</v>
      </c>
      <c r="D231" s="171" t="b">
        <f>LineærRegression_Valg[[#This Row],[Afhængig variabel ID]]&lt;&gt;LineærRegression_Valg[[#This Row],[Uafhængig variabel ID]]</f>
        <v>1</v>
      </c>
      <c r="E231" t="b">
        <f>LineærRegression_Valg[[#This Row],[Afhængig variabel ID]]&lt;=$B$5</f>
        <v>0</v>
      </c>
      <c r="F231" t="str" cm="1">
        <f t="array" ref="F231">IF(LineærRegression_Valg[[#This Row],[Indenfor range]],INDEX(DataTitel_liste,LineærRegression_Valg[[#This Row],[Afhængig variabel ID]]),INDEX(DataTitel_liste,1))</f>
        <v>Eksempel 1 (interval)</v>
      </c>
      <c r="G231" s="171" t="str" cm="1">
        <f t="array" ref="G231">IF(LineærRegression_Valg[[#This Row],[Indenfor range]],IF(LineærRegression_Valg[[#This Row],[Intet overlap]],INDEX(DataTitel_liste,LineærRegression_Valg[[#This Row],[Uafhængig variabel ID]]),INDEX(DataTitel_liste,IF(LineærRegression_Valg[[#This Row],[Afhængig variabel ID]]=1,2,1))),$B$7)</f>
        <v>Eksempel 2 (interval)</v>
      </c>
      <c r="H231" s="171">
        <f>_xlfn.AGGREGATE(2,5,LineærRegression_Valg[[#This Row],[Tabel ID]])</f>
        <v>1</v>
      </c>
    </row>
    <row r="232" spans="1:8" x14ac:dyDescent="0.2">
      <c r="A232">
        <f>ROW(LineærRegression_Valg[[#This Row],[Tabel ID]])-ROW(LineærRegression_Valg[[#Headers],[Tabel ID]])</f>
        <v>222</v>
      </c>
      <c r="B232" s="171">
        <f>ROUNDDOWN((LineærRegression_Valg[[#This Row],[Tabel ID]]-1)/$B$5,0)+1</f>
        <v>56</v>
      </c>
      <c r="C232" s="171">
        <f t="shared" si="3"/>
        <v>2</v>
      </c>
      <c r="D232" s="171" t="b">
        <f>LineærRegression_Valg[[#This Row],[Afhængig variabel ID]]&lt;&gt;LineærRegression_Valg[[#This Row],[Uafhængig variabel ID]]</f>
        <v>1</v>
      </c>
      <c r="E232" t="b">
        <f>LineærRegression_Valg[[#This Row],[Afhængig variabel ID]]&lt;=$B$5</f>
        <v>0</v>
      </c>
      <c r="F232" t="str" cm="1">
        <f t="array" ref="F232">IF(LineærRegression_Valg[[#This Row],[Indenfor range]],INDEX(DataTitel_liste,LineærRegression_Valg[[#This Row],[Afhængig variabel ID]]),INDEX(DataTitel_liste,1))</f>
        <v>Eksempel 1 (interval)</v>
      </c>
      <c r="G232" s="171" t="str" cm="1">
        <f t="array" ref="G232">IF(LineærRegression_Valg[[#This Row],[Indenfor range]],IF(LineærRegression_Valg[[#This Row],[Intet overlap]],INDEX(DataTitel_liste,LineærRegression_Valg[[#This Row],[Uafhængig variabel ID]]),INDEX(DataTitel_liste,IF(LineærRegression_Valg[[#This Row],[Afhængig variabel ID]]=1,2,1))),$B$7)</f>
        <v>Eksempel 2 (interval)</v>
      </c>
      <c r="H232" s="171">
        <f>_xlfn.AGGREGATE(2,5,LineærRegression_Valg[[#This Row],[Tabel ID]])</f>
        <v>1</v>
      </c>
    </row>
    <row r="233" spans="1:8" x14ac:dyDescent="0.2">
      <c r="A233">
        <f>ROW(LineærRegression_Valg[[#This Row],[Tabel ID]])-ROW(LineærRegression_Valg[[#Headers],[Tabel ID]])</f>
        <v>223</v>
      </c>
      <c r="B233" s="171">
        <f>ROUNDDOWN((LineærRegression_Valg[[#This Row],[Tabel ID]]-1)/$B$5,0)+1</f>
        <v>56</v>
      </c>
      <c r="C233" s="171">
        <f t="shared" si="3"/>
        <v>3</v>
      </c>
      <c r="D233" s="171" t="b">
        <f>LineærRegression_Valg[[#This Row],[Afhængig variabel ID]]&lt;&gt;LineærRegression_Valg[[#This Row],[Uafhængig variabel ID]]</f>
        <v>1</v>
      </c>
      <c r="E233" t="b">
        <f>LineærRegression_Valg[[#This Row],[Afhængig variabel ID]]&lt;=$B$5</f>
        <v>0</v>
      </c>
      <c r="F233" t="str" cm="1">
        <f t="array" ref="F233">IF(LineærRegression_Valg[[#This Row],[Indenfor range]],INDEX(DataTitel_liste,LineærRegression_Valg[[#This Row],[Afhængig variabel ID]]),INDEX(DataTitel_liste,1))</f>
        <v>Eksempel 1 (interval)</v>
      </c>
      <c r="G233" s="171" t="str" cm="1">
        <f t="array" ref="G233">IF(LineærRegression_Valg[[#This Row],[Indenfor range]],IF(LineærRegression_Valg[[#This Row],[Intet overlap]],INDEX(DataTitel_liste,LineærRegression_Valg[[#This Row],[Uafhængig variabel ID]]),INDEX(DataTitel_liste,IF(LineærRegression_Valg[[#This Row],[Afhængig variabel ID]]=1,2,1))),$B$7)</f>
        <v>Eksempel 2 (interval)</v>
      </c>
      <c r="H233" s="171">
        <f>_xlfn.AGGREGATE(2,5,LineærRegression_Valg[[#This Row],[Tabel ID]])</f>
        <v>1</v>
      </c>
    </row>
    <row r="234" spans="1:8" x14ac:dyDescent="0.2">
      <c r="A234">
        <f>ROW(LineærRegression_Valg[[#This Row],[Tabel ID]])-ROW(LineærRegression_Valg[[#Headers],[Tabel ID]])</f>
        <v>224</v>
      </c>
      <c r="B234" s="171">
        <f>ROUNDDOWN((LineærRegression_Valg[[#This Row],[Tabel ID]]-1)/$B$5,0)+1</f>
        <v>56</v>
      </c>
      <c r="C234" s="171">
        <f t="shared" si="3"/>
        <v>4</v>
      </c>
      <c r="D234" s="171" t="b">
        <f>LineærRegression_Valg[[#This Row],[Afhængig variabel ID]]&lt;&gt;LineærRegression_Valg[[#This Row],[Uafhængig variabel ID]]</f>
        <v>1</v>
      </c>
      <c r="E234" t="b">
        <f>LineærRegression_Valg[[#This Row],[Afhængig variabel ID]]&lt;=$B$5</f>
        <v>0</v>
      </c>
      <c r="F234" t="str" cm="1">
        <f t="array" ref="F234">IF(LineærRegression_Valg[[#This Row],[Indenfor range]],INDEX(DataTitel_liste,LineærRegression_Valg[[#This Row],[Afhængig variabel ID]]),INDEX(DataTitel_liste,1))</f>
        <v>Eksempel 1 (interval)</v>
      </c>
      <c r="G234" s="171" t="str" cm="1">
        <f t="array" ref="G234">IF(LineærRegression_Valg[[#This Row],[Indenfor range]],IF(LineærRegression_Valg[[#This Row],[Intet overlap]],INDEX(DataTitel_liste,LineærRegression_Valg[[#This Row],[Uafhængig variabel ID]]),INDEX(DataTitel_liste,IF(LineærRegression_Valg[[#This Row],[Afhængig variabel ID]]=1,2,1))),$B$7)</f>
        <v>Eksempel 2 (interval)</v>
      </c>
      <c r="H234" s="171">
        <f>_xlfn.AGGREGATE(2,5,LineærRegression_Valg[[#This Row],[Tabel ID]])</f>
        <v>1</v>
      </c>
    </row>
    <row r="235" spans="1:8" x14ac:dyDescent="0.2">
      <c r="A235">
        <f>ROW(LineærRegression_Valg[[#This Row],[Tabel ID]])-ROW(LineærRegression_Valg[[#Headers],[Tabel ID]])</f>
        <v>225</v>
      </c>
      <c r="B235" s="171">
        <f>ROUNDDOWN((LineærRegression_Valg[[#This Row],[Tabel ID]]-1)/$B$5,0)+1</f>
        <v>57</v>
      </c>
      <c r="C235" s="171">
        <f t="shared" si="3"/>
        <v>1</v>
      </c>
      <c r="D235" s="171" t="b">
        <f>LineærRegression_Valg[[#This Row],[Afhængig variabel ID]]&lt;&gt;LineærRegression_Valg[[#This Row],[Uafhængig variabel ID]]</f>
        <v>1</v>
      </c>
      <c r="E235" t="b">
        <f>LineærRegression_Valg[[#This Row],[Afhængig variabel ID]]&lt;=$B$5</f>
        <v>0</v>
      </c>
      <c r="F235" t="str" cm="1">
        <f t="array" ref="F235">IF(LineærRegression_Valg[[#This Row],[Indenfor range]],INDEX(DataTitel_liste,LineærRegression_Valg[[#This Row],[Afhængig variabel ID]]),INDEX(DataTitel_liste,1))</f>
        <v>Eksempel 1 (interval)</v>
      </c>
      <c r="G235" s="171" t="str" cm="1">
        <f t="array" ref="G235">IF(LineærRegression_Valg[[#This Row],[Indenfor range]],IF(LineærRegression_Valg[[#This Row],[Intet overlap]],INDEX(DataTitel_liste,LineærRegression_Valg[[#This Row],[Uafhængig variabel ID]]),INDEX(DataTitel_liste,IF(LineærRegression_Valg[[#This Row],[Afhængig variabel ID]]=1,2,1))),$B$7)</f>
        <v>Eksempel 2 (interval)</v>
      </c>
      <c r="H235" s="171">
        <f>_xlfn.AGGREGATE(2,5,LineærRegression_Valg[[#This Row],[Tabel ID]])</f>
        <v>1</v>
      </c>
    </row>
    <row r="236" spans="1:8" x14ac:dyDescent="0.2">
      <c r="A236">
        <f>ROW(LineærRegression_Valg[[#This Row],[Tabel ID]])-ROW(LineærRegression_Valg[[#Headers],[Tabel ID]])</f>
        <v>226</v>
      </c>
      <c r="B236" s="171">
        <f>ROUNDDOWN((LineærRegression_Valg[[#This Row],[Tabel ID]]-1)/$B$5,0)+1</f>
        <v>57</v>
      </c>
      <c r="C236" s="171">
        <f t="shared" si="3"/>
        <v>2</v>
      </c>
      <c r="D236" s="171" t="b">
        <f>LineærRegression_Valg[[#This Row],[Afhængig variabel ID]]&lt;&gt;LineærRegression_Valg[[#This Row],[Uafhængig variabel ID]]</f>
        <v>1</v>
      </c>
      <c r="E236" t="b">
        <f>LineærRegression_Valg[[#This Row],[Afhængig variabel ID]]&lt;=$B$5</f>
        <v>0</v>
      </c>
      <c r="F236" t="str" cm="1">
        <f t="array" ref="F236">IF(LineærRegression_Valg[[#This Row],[Indenfor range]],INDEX(DataTitel_liste,LineærRegression_Valg[[#This Row],[Afhængig variabel ID]]),INDEX(DataTitel_liste,1))</f>
        <v>Eksempel 1 (interval)</v>
      </c>
      <c r="G236" s="171" t="str" cm="1">
        <f t="array" ref="G236">IF(LineærRegression_Valg[[#This Row],[Indenfor range]],IF(LineærRegression_Valg[[#This Row],[Intet overlap]],INDEX(DataTitel_liste,LineærRegression_Valg[[#This Row],[Uafhængig variabel ID]]),INDEX(DataTitel_liste,IF(LineærRegression_Valg[[#This Row],[Afhængig variabel ID]]=1,2,1))),$B$7)</f>
        <v>Eksempel 2 (interval)</v>
      </c>
      <c r="H236" s="171">
        <f>_xlfn.AGGREGATE(2,5,LineærRegression_Valg[[#This Row],[Tabel ID]])</f>
        <v>1</v>
      </c>
    </row>
    <row r="237" spans="1:8" x14ac:dyDescent="0.2">
      <c r="A237">
        <f>ROW(LineærRegression_Valg[[#This Row],[Tabel ID]])-ROW(LineærRegression_Valg[[#Headers],[Tabel ID]])</f>
        <v>227</v>
      </c>
      <c r="B237" s="171">
        <f>ROUNDDOWN((LineærRegression_Valg[[#This Row],[Tabel ID]]-1)/$B$5,0)+1</f>
        <v>57</v>
      </c>
      <c r="C237" s="171">
        <f t="shared" si="3"/>
        <v>3</v>
      </c>
      <c r="D237" s="171" t="b">
        <f>LineærRegression_Valg[[#This Row],[Afhængig variabel ID]]&lt;&gt;LineærRegression_Valg[[#This Row],[Uafhængig variabel ID]]</f>
        <v>1</v>
      </c>
      <c r="E237" t="b">
        <f>LineærRegression_Valg[[#This Row],[Afhængig variabel ID]]&lt;=$B$5</f>
        <v>0</v>
      </c>
      <c r="F237" t="str" cm="1">
        <f t="array" ref="F237">IF(LineærRegression_Valg[[#This Row],[Indenfor range]],INDEX(DataTitel_liste,LineærRegression_Valg[[#This Row],[Afhængig variabel ID]]),INDEX(DataTitel_liste,1))</f>
        <v>Eksempel 1 (interval)</v>
      </c>
      <c r="G237" s="171" t="str" cm="1">
        <f t="array" ref="G237">IF(LineærRegression_Valg[[#This Row],[Indenfor range]],IF(LineærRegression_Valg[[#This Row],[Intet overlap]],INDEX(DataTitel_liste,LineærRegression_Valg[[#This Row],[Uafhængig variabel ID]]),INDEX(DataTitel_liste,IF(LineærRegression_Valg[[#This Row],[Afhængig variabel ID]]=1,2,1))),$B$7)</f>
        <v>Eksempel 2 (interval)</v>
      </c>
      <c r="H237" s="171">
        <f>_xlfn.AGGREGATE(2,5,LineærRegression_Valg[[#This Row],[Tabel ID]])</f>
        <v>1</v>
      </c>
    </row>
    <row r="238" spans="1:8" x14ac:dyDescent="0.2">
      <c r="A238">
        <f>ROW(LineærRegression_Valg[[#This Row],[Tabel ID]])-ROW(LineærRegression_Valg[[#Headers],[Tabel ID]])</f>
        <v>228</v>
      </c>
      <c r="B238" s="171">
        <f>ROUNDDOWN((LineærRegression_Valg[[#This Row],[Tabel ID]]-1)/$B$5,0)+1</f>
        <v>57</v>
      </c>
      <c r="C238" s="171">
        <f t="shared" si="3"/>
        <v>4</v>
      </c>
      <c r="D238" s="171" t="b">
        <f>LineærRegression_Valg[[#This Row],[Afhængig variabel ID]]&lt;&gt;LineærRegression_Valg[[#This Row],[Uafhængig variabel ID]]</f>
        <v>1</v>
      </c>
      <c r="E238" t="b">
        <f>LineærRegression_Valg[[#This Row],[Afhængig variabel ID]]&lt;=$B$5</f>
        <v>0</v>
      </c>
      <c r="F238" t="str" cm="1">
        <f t="array" ref="F238">IF(LineærRegression_Valg[[#This Row],[Indenfor range]],INDEX(DataTitel_liste,LineærRegression_Valg[[#This Row],[Afhængig variabel ID]]),INDEX(DataTitel_liste,1))</f>
        <v>Eksempel 1 (interval)</v>
      </c>
      <c r="G238" s="171" t="str" cm="1">
        <f t="array" ref="G238">IF(LineærRegression_Valg[[#This Row],[Indenfor range]],IF(LineærRegression_Valg[[#This Row],[Intet overlap]],INDEX(DataTitel_liste,LineærRegression_Valg[[#This Row],[Uafhængig variabel ID]]),INDEX(DataTitel_liste,IF(LineærRegression_Valg[[#This Row],[Afhængig variabel ID]]=1,2,1))),$B$7)</f>
        <v>Eksempel 2 (interval)</v>
      </c>
      <c r="H238" s="171">
        <f>_xlfn.AGGREGATE(2,5,LineærRegression_Valg[[#This Row],[Tabel ID]])</f>
        <v>1</v>
      </c>
    </row>
    <row r="239" spans="1:8" x14ac:dyDescent="0.2">
      <c r="A239">
        <f>ROW(LineærRegression_Valg[[#This Row],[Tabel ID]])-ROW(LineærRegression_Valg[[#Headers],[Tabel ID]])</f>
        <v>229</v>
      </c>
      <c r="B239" s="171">
        <f>ROUNDDOWN((LineærRegression_Valg[[#This Row],[Tabel ID]]-1)/$B$5,0)+1</f>
        <v>58</v>
      </c>
      <c r="C239" s="171">
        <f t="shared" si="3"/>
        <v>1</v>
      </c>
      <c r="D239" s="171" t="b">
        <f>LineærRegression_Valg[[#This Row],[Afhængig variabel ID]]&lt;&gt;LineærRegression_Valg[[#This Row],[Uafhængig variabel ID]]</f>
        <v>1</v>
      </c>
      <c r="E239" t="b">
        <f>LineærRegression_Valg[[#This Row],[Afhængig variabel ID]]&lt;=$B$5</f>
        <v>0</v>
      </c>
      <c r="F239" t="str" cm="1">
        <f t="array" ref="F239">IF(LineærRegression_Valg[[#This Row],[Indenfor range]],INDEX(DataTitel_liste,LineærRegression_Valg[[#This Row],[Afhængig variabel ID]]),INDEX(DataTitel_liste,1))</f>
        <v>Eksempel 1 (interval)</v>
      </c>
      <c r="G239" s="171" t="str" cm="1">
        <f t="array" ref="G239">IF(LineærRegression_Valg[[#This Row],[Indenfor range]],IF(LineærRegression_Valg[[#This Row],[Intet overlap]],INDEX(DataTitel_liste,LineærRegression_Valg[[#This Row],[Uafhængig variabel ID]]),INDEX(DataTitel_liste,IF(LineærRegression_Valg[[#This Row],[Afhængig variabel ID]]=1,2,1))),$B$7)</f>
        <v>Eksempel 2 (interval)</v>
      </c>
      <c r="H239" s="171">
        <f>_xlfn.AGGREGATE(2,5,LineærRegression_Valg[[#This Row],[Tabel ID]])</f>
        <v>1</v>
      </c>
    </row>
    <row r="240" spans="1:8" x14ac:dyDescent="0.2">
      <c r="A240">
        <f>ROW(LineærRegression_Valg[[#This Row],[Tabel ID]])-ROW(LineærRegression_Valg[[#Headers],[Tabel ID]])</f>
        <v>230</v>
      </c>
      <c r="B240" s="171">
        <f>ROUNDDOWN((LineærRegression_Valg[[#This Row],[Tabel ID]]-1)/$B$5,0)+1</f>
        <v>58</v>
      </c>
      <c r="C240" s="171">
        <f t="shared" si="3"/>
        <v>2</v>
      </c>
      <c r="D240" s="171" t="b">
        <f>LineærRegression_Valg[[#This Row],[Afhængig variabel ID]]&lt;&gt;LineærRegression_Valg[[#This Row],[Uafhængig variabel ID]]</f>
        <v>1</v>
      </c>
      <c r="E240" t="b">
        <f>LineærRegression_Valg[[#This Row],[Afhængig variabel ID]]&lt;=$B$5</f>
        <v>0</v>
      </c>
      <c r="F240" t="str" cm="1">
        <f t="array" ref="F240">IF(LineærRegression_Valg[[#This Row],[Indenfor range]],INDEX(DataTitel_liste,LineærRegression_Valg[[#This Row],[Afhængig variabel ID]]),INDEX(DataTitel_liste,1))</f>
        <v>Eksempel 1 (interval)</v>
      </c>
      <c r="G240" s="171" t="str" cm="1">
        <f t="array" ref="G240">IF(LineærRegression_Valg[[#This Row],[Indenfor range]],IF(LineærRegression_Valg[[#This Row],[Intet overlap]],INDEX(DataTitel_liste,LineærRegression_Valg[[#This Row],[Uafhængig variabel ID]]),INDEX(DataTitel_liste,IF(LineærRegression_Valg[[#This Row],[Afhængig variabel ID]]=1,2,1))),$B$7)</f>
        <v>Eksempel 2 (interval)</v>
      </c>
      <c r="H240" s="171">
        <f>_xlfn.AGGREGATE(2,5,LineærRegression_Valg[[#This Row],[Tabel ID]])</f>
        <v>1</v>
      </c>
    </row>
    <row r="241" spans="1:8" x14ac:dyDescent="0.2">
      <c r="A241">
        <f>ROW(LineærRegression_Valg[[#This Row],[Tabel ID]])-ROW(LineærRegression_Valg[[#Headers],[Tabel ID]])</f>
        <v>231</v>
      </c>
      <c r="B241" s="171">
        <f>ROUNDDOWN((LineærRegression_Valg[[#This Row],[Tabel ID]]-1)/$B$5,0)+1</f>
        <v>58</v>
      </c>
      <c r="C241" s="171">
        <f t="shared" si="3"/>
        <v>3</v>
      </c>
      <c r="D241" s="171" t="b">
        <f>LineærRegression_Valg[[#This Row],[Afhængig variabel ID]]&lt;&gt;LineærRegression_Valg[[#This Row],[Uafhængig variabel ID]]</f>
        <v>1</v>
      </c>
      <c r="E241" t="b">
        <f>LineærRegression_Valg[[#This Row],[Afhængig variabel ID]]&lt;=$B$5</f>
        <v>0</v>
      </c>
      <c r="F241" t="str" cm="1">
        <f t="array" ref="F241">IF(LineærRegression_Valg[[#This Row],[Indenfor range]],INDEX(DataTitel_liste,LineærRegression_Valg[[#This Row],[Afhængig variabel ID]]),INDEX(DataTitel_liste,1))</f>
        <v>Eksempel 1 (interval)</v>
      </c>
      <c r="G241" s="171" t="str" cm="1">
        <f t="array" ref="G241">IF(LineærRegression_Valg[[#This Row],[Indenfor range]],IF(LineærRegression_Valg[[#This Row],[Intet overlap]],INDEX(DataTitel_liste,LineærRegression_Valg[[#This Row],[Uafhængig variabel ID]]),INDEX(DataTitel_liste,IF(LineærRegression_Valg[[#This Row],[Afhængig variabel ID]]=1,2,1))),$B$7)</f>
        <v>Eksempel 2 (interval)</v>
      </c>
      <c r="H241" s="171">
        <f>_xlfn.AGGREGATE(2,5,LineærRegression_Valg[[#This Row],[Tabel ID]])</f>
        <v>1</v>
      </c>
    </row>
    <row r="242" spans="1:8" x14ac:dyDescent="0.2">
      <c r="A242">
        <f>ROW(LineærRegression_Valg[[#This Row],[Tabel ID]])-ROW(LineærRegression_Valg[[#Headers],[Tabel ID]])</f>
        <v>232</v>
      </c>
      <c r="B242" s="171">
        <f>ROUNDDOWN((LineærRegression_Valg[[#This Row],[Tabel ID]]-1)/$B$5,0)+1</f>
        <v>58</v>
      </c>
      <c r="C242" s="171">
        <f t="shared" si="3"/>
        <v>4</v>
      </c>
      <c r="D242" s="171" t="b">
        <f>LineærRegression_Valg[[#This Row],[Afhængig variabel ID]]&lt;&gt;LineærRegression_Valg[[#This Row],[Uafhængig variabel ID]]</f>
        <v>1</v>
      </c>
      <c r="E242" t="b">
        <f>LineærRegression_Valg[[#This Row],[Afhængig variabel ID]]&lt;=$B$5</f>
        <v>0</v>
      </c>
      <c r="F242" t="str" cm="1">
        <f t="array" ref="F242">IF(LineærRegression_Valg[[#This Row],[Indenfor range]],INDEX(DataTitel_liste,LineærRegression_Valg[[#This Row],[Afhængig variabel ID]]),INDEX(DataTitel_liste,1))</f>
        <v>Eksempel 1 (interval)</v>
      </c>
      <c r="G242" s="171" t="str" cm="1">
        <f t="array" ref="G242">IF(LineærRegression_Valg[[#This Row],[Indenfor range]],IF(LineærRegression_Valg[[#This Row],[Intet overlap]],INDEX(DataTitel_liste,LineærRegression_Valg[[#This Row],[Uafhængig variabel ID]]),INDEX(DataTitel_liste,IF(LineærRegression_Valg[[#This Row],[Afhængig variabel ID]]=1,2,1))),$B$7)</f>
        <v>Eksempel 2 (interval)</v>
      </c>
      <c r="H242" s="171">
        <f>_xlfn.AGGREGATE(2,5,LineærRegression_Valg[[#This Row],[Tabel ID]])</f>
        <v>1</v>
      </c>
    </row>
    <row r="243" spans="1:8" x14ac:dyDescent="0.2">
      <c r="A243">
        <f>ROW(LineærRegression_Valg[[#This Row],[Tabel ID]])-ROW(LineærRegression_Valg[[#Headers],[Tabel ID]])</f>
        <v>233</v>
      </c>
      <c r="B243" s="171">
        <f>ROUNDDOWN((LineærRegression_Valg[[#This Row],[Tabel ID]]-1)/$B$5,0)+1</f>
        <v>59</v>
      </c>
      <c r="C243" s="171">
        <f t="shared" si="3"/>
        <v>1</v>
      </c>
      <c r="D243" s="171" t="b">
        <f>LineærRegression_Valg[[#This Row],[Afhængig variabel ID]]&lt;&gt;LineærRegression_Valg[[#This Row],[Uafhængig variabel ID]]</f>
        <v>1</v>
      </c>
      <c r="E243" t="b">
        <f>LineærRegression_Valg[[#This Row],[Afhængig variabel ID]]&lt;=$B$5</f>
        <v>0</v>
      </c>
      <c r="F243" t="str" cm="1">
        <f t="array" ref="F243">IF(LineærRegression_Valg[[#This Row],[Indenfor range]],INDEX(DataTitel_liste,LineærRegression_Valg[[#This Row],[Afhængig variabel ID]]),INDEX(DataTitel_liste,1))</f>
        <v>Eksempel 1 (interval)</v>
      </c>
      <c r="G243" s="171" t="str" cm="1">
        <f t="array" ref="G243">IF(LineærRegression_Valg[[#This Row],[Indenfor range]],IF(LineærRegression_Valg[[#This Row],[Intet overlap]],INDEX(DataTitel_liste,LineærRegression_Valg[[#This Row],[Uafhængig variabel ID]]),INDEX(DataTitel_liste,IF(LineærRegression_Valg[[#This Row],[Afhængig variabel ID]]=1,2,1))),$B$7)</f>
        <v>Eksempel 2 (interval)</v>
      </c>
      <c r="H243" s="171">
        <f>_xlfn.AGGREGATE(2,5,LineærRegression_Valg[[#This Row],[Tabel ID]])</f>
        <v>1</v>
      </c>
    </row>
    <row r="244" spans="1:8" x14ac:dyDescent="0.2">
      <c r="A244">
        <f>ROW(LineærRegression_Valg[[#This Row],[Tabel ID]])-ROW(LineærRegression_Valg[[#Headers],[Tabel ID]])</f>
        <v>234</v>
      </c>
      <c r="B244" s="171">
        <f>ROUNDDOWN((LineærRegression_Valg[[#This Row],[Tabel ID]]-1)/$B$5,0)+1</f>
        <v>59</v>
      </c>
      <c r="C244" s="171">
        <f t="shared" si="3"/>
        <v>2</v>
      </c>
      <c r="D244" s="171" t="b">
        <f>LineærRegression_Valg[[#This Row],[Afhængig variabel ID]]&lt;&gt;LineærRegression_Valg[[#This Row],[Uafhængig variabel ID]]</f>
        <v>1</v>
      </c>
      <c r="E244" t="b">
        <f>LineærRegression_Valg[[#This Row],[Afhængig variabel ID]]&lt;=$B$5</f>
        <v>0</v>
      </c>
      <c r="F244" t="str" cm="1">
        <f t="array" ref="F244">IF(LineærRegression_Valg[[#This Row],[Indenfor range]],INDEX(DataTitel_liste,LineærRegression_Valg[[#This Row],[Afhængig variabel ID]]),INDEX(DataTitel_liste,1))</f>
        <v>Eksempel 1 (interval)</v>
      </c>
      <c r="G244" s="171" t="str" cm="1">
        <f t="array" ref="G244">IF(LineærRegression_Valg[[#This Row],[Indenfor range]],IF(LineærRegression_Valg[[#This Row],[Intet overlap]],INDEX(DataTitel_liste,LineærRegression_Valg[[#This Row],[Uafhængig variabel ID]]),INDEX(DataTitel_liste,IF(LineærRegression_Valg[[#This Row],[Afhængig variabel ID]]=1,2,1))),$B$7)</f>
        <v>Eksempel 2 (interval)</v>
      </c>
      <c r="H244" s="171">
        <f>_xlfn.AGGREGATE(2,5,LineærRegression_Valg[[#This Row],[Tabel ID]])</f>
        <v>1</v>
      </c>
    </row>
    <row r="245" spans="1:8" x14ac:dyDescent="0.2">
      <c r="A245">
        <f>ROW(LineærRegression_Valg[[#This Row],[Tabel ID]])-ROW(LineærRegression_Valg[[#Headers],[Tabel ID]])</f>
        <v>235</v>
      </c>
      <c r="B245" s="171">
        <f>ROUNDDOWN((LineærRegression_Valg[[#This Row],[Tabel ID]]-1)/$B$5,0)+1</f>
        <v>59</v>
      </c>
      <c r="C245" s="171">
        <f t="shared" si="3"/>
        <v>3</v>
      </c>
      <c r="D245" s="171" t="b">
        <f>LineærRegression_Valg[[#This Row],[Afhængig variabel ID]]&lt;&gt;LineærRegression_Valg[[#This Row],[Uafhængig variabel ID]]</f>
        <v>1</v>
      </c>
      <c r="E245" t="b">
        <f>LineærRegression_Valg[[#This Row],[Afhængig variabel ID]]&lt;=$B$5</f>
        <v>0</v>
      </c>
      <c r="F245" t="str" cm="1">
        <f t="array" ref="F245">IF(LineærRegression_Valg[[#This Row],[Indenfor range]],INDEX(DataTitel_liste,LineærRegression_Valg[[#This Row],[Afhængig variabel ID]]),INDEX(DataTitel_liste,1))</f>
        <v>Eksempel 1 (interval)</v>
      </c>
      <c r="G245" s="171" t="str" cm="1">
        <f t="array" ref="G245">IF(LineærRegression_Valg[[#This Row],[Indenfor range]],IF(LineærRegression_Valg[[#This Row],[Intet overlap]],INDEX(DataTitel_liste,LineærRegression_Valg[[#This Row],[Uafhængig variabel ID]]),INDEX(DataTitel_liste,IF(LineærRegression_Valg[[#This Row],[Afhængig variabel ID]]=1,2,1))),$B$7)</f>
        <v>Eksempel 2 (interval)</v>
      </c>
      <c r="H245" s="171">
        <f>_xlfn.AGGREGATE(2,5,LineærRegression_Valg[[#This Row],[Tabel ID]])</f>
        <v>1</v>
      </c>
    </row>
    <row r="246" spans="1:8" x14ac:dyDescent="0.2">
      <c r="A246">
        <f>ROW(LineærRegression_Valg[[#This Row],[Tabel ID]])-ROW(LineærRegression_Valg[[#Headers],[Tabel ID]])</f>
        <v>236</v>
      </c>
      <c r="B246" s="171">
        <f>ROUNDDOWN((LineærRegression_Valg[[#This Row],[Tabel ID]]-1)/$B$5,0)+1</f>
        <v>59</v>
      </c>
      <c r="C246" s="171">
        <f t="shared" si="3"/>
        <v>4</v>
      </c>
      <c r="D246" s="171" t="b">
        <f>LineærRegression_Valg[[#This Row],[Afhængig variabel ID]]&lt;&gt;LineærRegression_Valg[[#This Row],[Uafhængig variabel ID]]</f>
        <v>1</v>
      </c>
      <c r="E246" t="b">
        <f>LineærRegression_Valg[[#This Row],[Afhængig variabel ID]]&lt;=$B$5</f>
        <v>0</v>
      </c>
      <c r="F246" t="str" cm="1">
        <f t="array" ref="F246">IF(LineærRegression_Valg[[#This Row],[Indenfor range]],INDEX(DataTitel_liste,LineærRegression_Valg[[#This Row],[Afhængig variabel ID]]),INDEX(DataTitel_liste,1))</f>
        <v>Eksempel 1 (interval)</v>
      </c>
      <c r="G246" s="171" t="str" cm="1">
        <f t="array" ref="G246">IF(LineærRegression_Valg[[#This Row],[Indenfor range]],IF(LineærRegression_Valg[[#This Row],[Intet overlap]],INDEX(DataTitel_liste,LineærRegression_Valg[[#This Row],[Uafhængig variabel ID]]),INDEX(DataTitel_liste,IF(LineærRegression_Valg[[#This Row],[Afhængig variabel ID]]=1,2,1))),$B$7)</f>
        <v>Eksempel 2 (interval)</v>
      </c>
      <c r="H246" s="171">
        <f>_xlfn.AGGREGATE(2,5,LineærRegression_Valg[[#This Row],[Tabel ID]])</f>
        <v>1</v>
      </c>
    </row>
    <row r="247" spans="1:8" x14ac:dyDescent="0.2">
      <c r="A247">
        <f>ROW(LineærRegression_Valg[[#This Row],[Tabel ID]])-ROW(LineærRegression_Valg[[#Headers],[Tabel ID]])</f>
        <v>237</v>
      </c>
      <c r="B247" s="171">
        <f>ROUNDDOWN((LineærRegression_Valg[[#This Row],[Tabel ID]]-1)/$B$5,0)+1</f>
        <v>60</v>
      </c>
      <c r="C247" s="171">
        <f t="shared" si="3"/>
        <v>1</v>
      </c>
      <c r="D247" s="171" t="b">
        <f>LineærRegression_Valg[[#This Row],[Afhængig variabel ID]]&lt;&gt;LineærRegression_Valg[[#This Row],[Uafhængig variabel ID]]</f>
        <v>1</v>
      </c>
      <c r="E247" t="b">
        <f>LineærRegression_Valg[[#This Row],[Afhængig variabel ID]]&lt;=$B$5</f>
        <v>0</v>
      </c>
      <c r="F247" t="str" cm="1">
        <f t="array" ref="F247">IF(LineærRegression_Valg[[#This Row],[Indenfor range]],INDEX(DataTitel_liste,LineærRegression_Valg[[#This Row],[Afhængig variabel ID]]),INDEX(DataTitel_liste,1))</f>
        <v>Eksempel 1 (interval)</v>
      </c>
      <c r="G247" s="171" t="str" cm="1">
        <f t="array" ref="G247">IF(LineærRegression_Valg[[#This Row],[Indenfor range]],IF(LineærRegression_Valg[[#This Row],[Intet overlap]],INDEX(DataTitel_liste,LineærRegression_Valg[[#This Row],[Uafhængig variabel ID]]),INDEX(DataTitel_liste,IF(LineærRegression_Valg[[#This Row],[Afhængig variabel ID]]=1,2,1))),$B$7)</f>
        <v>Eksempel 2 (interval)</v>
      </c>
      <c r="H247" s="171">
        <f>_xlfn.AGGREGATE(2,5,LineærRegression_Valg[[#This Row],[Tabel ID]])</f>
        <v>1</v>
      </c>
    </row>
    <row r="248" spans="1:8" x14ac:dyDescent="0.2">
      <c r="A248">
        <f>ROW(LineærRegression_Valg[[#This Row],[Tabel ID]])-ROW(LineærRegression_Valg[[#Headers],[Tabel ID]])</f>
        <v>238</v>
      </c>
      <c r="B248" s="171">
        <f>ROUNDDOWN((LineærRegression_Valg[[#This Row],[Tabel ID]]-1)/$B$5,0)+1</f>
        <v>60</v>
      </c>
      <c r="C248" s="171">
        <f t="shared" si="3"/>
        <v>2</v>
      </c>
      <c r="D248" s="171" t="b">
        <f>LineærRegression_Valg[[#This Row],[Afhængig variabel ID]]&lt;&gt;LineærRegression_Valg[[#This Row],[Uafhængig variabel ID]]</f>
        <v>1</v>
      </c>
      <c r="E248" t="b">
        <f>LineærRegression_Valg[[#This Row],[Afhængig variabel ID]]&lt;=$B$5</f>
        <v>0</v>
      </c>
      <c r="F248" t="str" cm="1">
        <f t="array" ref="F248">IF(LineærRegression_Valg[[#This Row],[Indenfor range]],INDEX(DataTitel_liste,LineærRegression_Valg[[#This Row],[Afhængig variabel ID]]),INDEX(DataTitel_liste,1))</f>
        <v>Eksempel 1 (interval)</v>
      </c>
      <c r="G248" s="171" t="str" cm="1">
        <f t="array" ref="G248">IF(LineærRegression_Valg[[#This Row],[Indenfor range]],IF(LineærRegression_Valg[[#This Row],[Intet overlap]],INDEX(DataTitel_liste,LineærRegression_Valg[[#This Row],[Uafhængig variabel ID]]),INDEX(DataTitel_liste,IF(LineærRegression_Valg[[#This Row],[Afhængig variabel ID]]=1,2,1))),$B$7)</f>
        <v>Eksempel 2 (interval)</v>
      </c>
      <c r="H248" s="171">
        <f>_xlfn.AGGREGATE(2,5,LineærRegression_Valg[[#This Row],[Tabel ID]])</f>
        <v>1</v>
      </c>
    </row>
    <row r="249" spans="1:8" x14ac:dyDescent="0.2">
      <c r="A249">
        <f>ROW(LineærRegression_Valg[[#This Row],[Tabel ID]])-ROW(LineærRegression_Valg[[#Headers],[Tabel ID]])</f>
        <v>239</v>
      </c>
      <c r="B249" s="171">
        <f>ROUNDDOWN((LineærRegression_Valg[[#This Row],[Tabel ID]]-1)/$B$5,0)+1</f>
        <v>60</v>
      </c>
      <c r="C249" s="171">
        <f t="shared" si="3"/>
        <v>3</v>
      </c>
      <c r="D249" s="171" t="b">
        <f>LineærRegression_Valg[[#This Row],[Afhængig variabel ID]]&lt;&gt;LineærRegression_Valg[[#This Row],[Uafhængig variabel ID]]</f>
        <v>1</v>
      </c>
      <c r="E249" t="b">
        <f>LineærRegression_Valg[[#This Row],[Afhængig variabel ID]]&lt;=$B$5</f>
        <v>0</v>
      </c>
      <c r="F249" t="str" cm="1">
        <f t="array" ref="F249">IF(LineærRegression_Valg[[#This Row],[Indenfor range]],INDEX(DataTitel_liste,LineærRegression_Valg[[#This Row],[Afhængig variabel ID]]),INDEX(DataTitel_liste,1))</f>
        <v>Eksempel 1 (interval)</v>
      </c>
      <c r="G249" s="171" t="str" cm="1">
        <f t="array" ref="G249">IF(LineærRegression_Valg[[#This Row],[Indenfor range]],IF(LineærRegression_Valg[[#This Row],[Intet overlap]],INDEX(DataTitel_liste,LineærRegression_Valg[[#This Row],[Uafhængig variabel ID]]),INDEX(DataTitel_liste,IF(LineærRegression_Valg[[#This Row],[Afhængig variabel ID]]=1,2,1))),$B$7)</f>
        <v>Eksempel 2 (interval)</v>
      </c>
      <c r="H249" s="171">
        <f>_xlfn.AGGREGATE(2,5,LineærRegression_Valg[[#This Row],[Tabel ID]])</f>
        <v>1</v>
      </c>
    </row>
    <row r="250" spans="1:8" x14ac:dyDescent="0.2">
      <c r="A250">
        <f>ROW(LineærRegression_Valg[[#This Row],[Tabel ID]])-ROW(LineærRegression_Valg[[#Headers],[Tabel ID]])</f>
        <v>240</v>
      </c>
      <c r="B250" s="171">
        <f>ROUNDDOWN((LineærRegression_Valg[[#This Row],[Tabel ID]]-1)/$B$5,0)+1</f>
        <v>60</v>
      </c>
      <c r="C250" s="171">
        <f t="shared" si="3"/>
        <v>4</v>
      </c>
      <c r="D250" s="171" t="b">
        <f>LineærRegression_Valg[[#This Row],[Afhængig variabel ID]]&lt;&gt;LineærRegression_Valg[[#This Row],[Uafhængig variabel ID]]</f>
        <v>1</v>
      </c>
      <c r="E250" t="b">
        <f>LineærRegression_Valg[[#This Row],[Afhængig variabel ID]]&lt;=$B$5</f>
        <v>0</v>
      </c>
      <c r="F250" t="str" cm="1">
        <f t="array" ref="F250">IF(LineærRegression_Valg[[#This Row],[Indenfor range]],INDEX(DataTitel_liste,LineærRegression_Valg[[#This Row],[Afhængig variabel ID]]),INDEX(DataTitel_liste,1))</f>
        <v>Eksempel 1 (interval)</v>
      </c>
      <c r="G250" s="171" t="str" cm="1">
        <f t="array" ref="G250">IF(LineærRegression_Valg[[#This Row],[Indenfor range]],IF(LineærRegression_Valg[[#This Row],[Intet overlap]],INDEX(DataTitel_liste,LineærRegression_Valg[[#This Row],[Uafhængig variabel ID]]),INDEX(DataTitel_liste,IF(LineærRegression_Valg[[#This Row],[Afhængig variabel ID]]=1,2,1))),$B$7)</f>
        <v>Eksempel 2 (interval)</v>
      </c>
      <c r="H250" s="171">
        <f>_xlfn.AGGREGATE(2,5,LineærRegression_Valg[[#This Row],[Tabel ID]])</f>
        <v>1</v>
      </c>
    </row>
    <row r="251" spans="1:8" x14ac:dyDescent="0.2">
      <c r="A251">
        <f>ROW(LineærRegression_Valg[[#This Row],[Tabel ID]])-ROW(LineærRegression_Valg[[#Headers],[Tabel ID]])</f>
        <v>241</v>
      </c>
      <c r="B251" s="171">
        <f>ROUNDDOWN((LineærRegression_Valg[[#This Row],[Tabel ID]]-1)/$B$5,0)+1</f>
        <v>61</v>
      </c>
      <c r="C251" s="171">
        <f t="shared" si="3"/>
        <v>1</v>
      </c>
      <c r="D251" s="171" t="b">
        <f>LineærRegression_Valg[[#This Row],[Afhængig variabel ID]]&lt;&gt;LineærRegression_Valg[[#This Row],[Uafhængig variabel ID]]</f>
        <v>1</v>
      </c>
      <c r="E251" t="b">
        <f>LineærRegression_Valg[[#This Row],[Afhængig variabel ID]]&lt;=$B$5</f>
        <v>0</v>
      </c>
      <c r="F251" t="str" cm="1">
        <f t="array" ref="F251">IF(LineærRegression_Valg[[#This Row],[Indenfor range]],INDEX(DataTitel_liste,LineærRegression_Valg[[#This Row],[Afhængig variabel ID]]),INDEX(DataTitel_liste,1))</f>
        <v>Eksempel 1 (interval)</v>
      </c>
      <c r="G251" s="171" t="str" cm="1">
        <f t="array" ref="G251">IF(LineærRegression_Valg[[#This Row],[Indenfor range]],IF(LineærRegression_Valg[[#This Row],[Intet overlap]],INDEX(DataTitel_liste,LineærRegression_Valg[[#This Row],[Uafhængig variabel ID]]),INDEX(DataTitel_liste,IF(LineærRegression_Valg[[#This Row],[Afhængig variabel ID]]=1,2,1))),$B$7)</f>
        <v>Eksempel 2 (interval)</v>
      </c>
      <c r="H251" s="171">
        <f>_xlfn.AGGREGATE(2,5,LineærRegression_Valg[[#This Row],[Tabel ID]])</f>
        <v>1</v>
      </c>
    </row>
    <row r="252" spans="1:8" x14ac:dyDescent="0.2">
      <c r="A252">
        <f>ROW(LineærRegression_Valg[[#This Row],[Tabel ID]])-ROW(LineærRegression_Valg[[#Headers],[Tabel ID]])</f>
        <v>242</v>
      </c>
      <c r="B252" s="171">
        <f>ROUNDDOWN((LineærRegression_Valg[[#This Row],[Tabel ID]]-1)/$B$5,0)+1</f>
        <v>61</v>
      </c>
      <c r="C252" s="171">
        <f t="shared" si="3"/>
        <v>2</v>
      </c>
      <c r="D252" s="171" t="b">
        <f>LineærRegression_Valg[[#This Row],[Afhængig variabel ID]]&lt;&gt;LineærRegression_Valg[[#This Row],[Uafhængig variabel ID]]</f>
        <v>1</v>
      </c>
      <c r="E252" t="b">
        <f>LineærRegression_Valg[[#This Row],[Afhængig variabel ID]]&lt;=$B$5</f>
        <v>0</v>
      </c>
      <c r="F252" t="str" cm="1">
        <f t="array" ref="F252">IF(LineærRegression_Valg[[#This Row],[Indenfor range]],INDEX(DataTitel_liste,LineærRegression_Valg[[#This Row],[Afhængig variabel ID]]),INDEX(DataTitel_liste,1))</f>
        <v>Eksempel 1 (interval)</v>
      </c>
      <c r="G252" s="171" t="str" cm="1">
        <f t="array" ref="G252">IF(LineærRegression_Valg[[#This Row],[Indenfor range]],IF(LineærRegression_Valg[[#This Row],[Intet overlap]],INDEX(DataTitel_liste,LineærRegression_Valg[[#This Row],[Uafhængig variabel ID]]),INDEX(DataTitel_liste,IF(LineærRegression_Valg[[#This Row],[Afhængig variabel ID]]=1,2,1))),$B$7)</f>
        <v>Eksempel 2 (interval)</v>
      </c>
      <c r="H252" s="171">
        <f>_xlfn.AGGREGATE(2,5,LineærRegression_Valg[[#This Row],[Tabel ID]])</f>
        <v>1</v>
      </c>
    </row>
    <row r="253" spans="1:8" x14ac:dyDescent="0.2">
      <c r="A253">
        <f>ROW(LineærRegression_Valg[[#This Row],[Tabel ID]])-ROW(LineærRegression_Valg[[#Headers],[Tabel ID]])</f>
        <v>243</v>
      </c>
      <c r="B253" s="171">
        <f>ROUNDDOWN((LineærRegression_Valg[[#This Row],[Tabel ID]]-1)/$B$5,0)+1</f>
        <v>61</v>
      </c>
      <c r="C253" s="171">
        <f t="shared" si="3"/>
        <v>3</v>
      </c>
      <c r="D253" s="171" t="b">
        <f>LineærRegression_Valg[[#This Row],[Afhængig variabel ID]]&lt;&gt;LineærRegression_Valg[[#This Row],[Uafhængig variabel ID]]</f>
        <v>1</v>
      </c>
      <c r="E253" t="b">
        <f>LineærRegression_Valg[[#This Row],[Afhængig variabel ID]]&lt;=$B$5</f>
        <v>0</v>
      </c>
      <c r="F253" t="str" cm="1">
        <f t="array" ref="F253">IF(LineærRegression_Valg[[#This Row],[Indenfor range]],INDEX(DataTitel_liste,LineærRegression_Valg[[#This Row],[Afhængig variabel ID]]),INDEX(DataTitel_liste,1))</f>
        <v>Eksempel 1 (interval)</v>
      </c>
      <c r="G253" s="171" t="str" cm="1">
        <f t="array" ref="G253">IF(LineærRegression_Valg[[#This Row],[Indenfor range]],IF(LineærRegression_Valg[[#This Row],[Intet overlap]],INDEX(DataTitel_liste,LineærRegression_Valg[[#This Row],[Uafhængig variabel ID]]),INDEX(DataTitel_liste,IF(LineærRegression_Valg[[#This Row],[Afhængig variabel ID]]=1,2,1))),$B$7)</f>
        <v>Eksempel 2 (interval)</v>
      </c>
      <c r="H253" s="171">
        <f>_xlfn.AGGREGATE(2,5,LineærRegression_Valg[[#This Row],[Tabel ID]])</f>
        <v>1</v>
      </c>
    </row>
    <row r="254" spans="1:8" x14ac:dyDescent="0.2">
      <c r="A254">
        <f>ROW(LineærRegression_Valg[[#This Row],[Tabel ID]])-ROW(LineærRegression_Valg[[#Headers],[Tabel ID]])</f>
        <v>244</v>
      </c>
      <c r="B254" s="171">
        <f>ROUNDDOWN((LineærRegression_Valg[[#This Row],[Tabel ID]]-1)/$B$5,0)+1</f>
        <v>61</v>
      </c>
      <c r="C254" s="171">
        <f t="shared" si="3"/>
        <v>4</v>
      </c>
      <c r="D254" s="171" t="b">
        <f>LineærRegression_Valg[[#This Row],[Afhængig variabel ID]]&lt;&gt;LineærRegression_Valg[[#This Row],[Uafhængig variabel ID]]</f>
        <v>1</v>
      </c>
      <c r="E254" t="b">
        <f>LineærRegression_Valg[[#This Row],[Afhængig variabel ID]]&lt;=$B$5</f>
        <v>0</v>
      </c>
      <c r="F254" t="str" cm="1">
        <f t="array" ref="F254">IF(LineærRegression_Valg[[#This Row],[Indenfor range]],INDEX(DataTitel_liste,LineærRegression_Valg[[#This Row],[Afhængig variabel ID]]),INDEX(DataTitel_liste,1))</f>
        <v>Eksempel 1 (interval)</v>
      </c>
      <c r="G254" s="171" t="str" cm="1">
        <f t="array" ref="G254">IF(LineærRegression_Valg[[#This Row],[Indenfor range]],IF(LineærRegression_Valg[[#This Row],[Intet overlap]],INDEX(DataTitel_liste,LineærRegression_Valg[[#This Row],[Uafhængig variabel ID]]),INDEX(DataTitel_liste,IF(LineærRegression_Valg[[#This Row],[Afhængig variabel ID]]=1,2,1))),$B$7)</f>
        <v>Eksempel 2 (interval)</v>
      </c>
      <c r="H254" s="171">
        <f>_xlfn.AGGREGATE(2,5,LineærRegression_Valg[[#This Row],[Tabel ID]])</f>
        <v>1</v>
      </c>
    </row>
    <row r="255" spans="1:8" x14ac:dyDescent="0.2">
      <c r="A255">
        <f>ROW(LineærRegression_Valg[[#This Row],[Tabel ID]])-ROW(LineærRegression_Valg[[#Headers],[Tabel ID]])</f>
        <v>245</v>
      </c>
      <c r="B255" s="171">
        <f>ROUNDDOWN((LineærRegression_Valg[[#This Row],[Tabel ID]]-1)/$B$5,0)+1</f>
        <v>62</v>
      </c>
      <c r="C255" s="171">
        <f t="shared" si="3"/>
        <v>1</v>
      </c>
      <c r="D255" s="171" t="b">
        <f>LineærRegression_Valg[[#This Row],[Afhængig variabel ID]]&lt;&gt;LineærRegression_Valg[[#This Row],[Uafhængig variabel ID]]</f>
        <v>1</v>
      </c>
      <c r="E255" t="b">
        <f>LineærRegression_Valg[[#This Row],[Afhængig variabel ID]]&lt;=$B$5</f>
        <v>0</v>
      </c>
      <c r="F255" t="str" cm="1">
        <f t="array" ref="F255">IF(LineærRegression_Valg[[#This Row],[Indenfor range]],INDEX(DataTitel_liste,LineærRegression_Valg[[#This Row],[Afhængig variabel ID]]),INDEX(DataTitel_liste,1))</f>
        <v>Eksempel 1 (interval)</v>
      </c>
      <c r="G255" s="171" t="str" cm="1">
        <f t="array" ref="G255">IF(LineærRegression_Valg[[#This Row],[Indenfor range]],IF(LineærRegression_Valg[[#This Row],[Intet overlap]],INDEX(DataTitel_liste,LineærRegression_Valg[[#This Row],[Uafhængig variabel ID]]),INDEX(DataTitel_liste,IF(LineærRegression_Valg[[#This Row],[Afhængig variabel ID]]=1,2,1))),$B$7)</f>
        <v>Eksempel 2 (interval)</v>
      </c>
      <c r="H255" s="171">
        <f>_xlfn.AGGREGATE(2,5,LineærRegression_Valg[[#This Row],[Tabel ID]])</f>
        <v>1</v>
      </c>
    </row>
    <row r="256" spans="1:8" x14ac:dyDescent="0.2">
      <c r="A256">
        <f>ROW(LineærRegression_Valg[[#This Row],[Tabel ID]])-ROW(LineærRegression_Valg[[#Headers],[Tabel ID]])</f>
        <v>246</v>
      </c>
      <c r="B256" s="171">
        <f>ROUNDDOWN((LineærRegression_Valg[[#This Row],[Tabel ID]]-1)/$B$5,0)+1</f>
        <v>62</v>
      </c>
      <c r="C256" s="171">
        <f t="shared" si="3"/>
        <v>2</v>
      </c>
      <c r="D256" s="171" t="b">
        <f>LineærRegression_Valg[[#This Row],[Afhængig variabel ID]]&lt;&gt;LineærRegression_Valg[[#This Row],[Uafhængig variabel ID]]</f>
        <v>1</v>
      </c>
      <c r="E256" t="b">
        <f>LineærRegression_Valg[[#This Row],[Afhængig variabel ID]]&lt;=$B$5</f>
        <v>0</v>
      </c>
      <c r="F256" t="str" cm="1">
        <f t="array" ref="F256">IF(LineærRegression_Valg[[#This Row],[Indenfor range]],INDEX(DataTitel_liste,LineærRegression_Valg[[#This Row],[Afhængig variabel ID]]),INDEX(DataTitel_liste,1))</f>
        <v>Eksempel 1 (interval)</v>
      </c>
      <c r="G256" s="171" t="str" cm="1">
        <f t="array" ref="G256">IF(LineærRegression_Valg[[#This Row],[Indenfor range]],IF(LineærRegression_Valg[[#This Row],[Intet overlap]],INDEX(DataTitel_liste,LineærRegression_Valg[[#This Row],[Uafhængig variabel ID]]),INDEX(DataTitel_liste,IF(LineærRegression_Valg[[#This Row],[Afhængig variabel ID]]=1,2,1))),$B$7)</f>
        <v>Eksempel 2 (interval)</v>
      </c>
      <c r="H256" s="171">
        <f>_xlfn.AGGREGATE(2,5,LineærRegression_Valg[[#This Row],[Tabel ID]])</f>
        <v>1</v>
      </c>
    </row>
    <row r="257" spans="1:8" x14ac:dyDescent="0.2">
      <c r="A257">
        <f>ROW(LineærRegression_Valg[[#This Row],[Tabel ID]])-ROW(LineærRegression_Valg[[#Headers],[Tabel ID]])</f>
        <v>247</v>
      </c>
      <c r="B257" s="171">
        <f>ROUNDDOWN((LineærRegression_Valg[[#This Row],[Tabel ID]]-1)/$B$5,0)+1</f>
        <v>62</v>
      </c>
      <c r="C257" s="171">
        <f t="shared" si="3"/>
        <v>3</v>
      </c>
      <c r="D257" s="171" t="b">
        <f>LineærRegression_Valg[[#This Row],[Afhængig variabel ID]]&lt;&gt;LineærRegression_Valg[[#This Row],[Uafhængig variabel ID]]</f>
        <v>1</v>
      </c>
      <c r="E257" t="b">
        <f>LineærRegression_Valg[[#This Row],[Afhængig variabel ID]]&lt;=$B$5</f>
        <v>0</v>
      </c>
      <c r="F257" t="str" cm="1">
        <f t="array" ref="F257">IF(LineærRegression_Valg[[#This Row],[Indenfor range]],INDEX(DataTitel_liste,LineærRegression_Valg[[#This Row],[Afhængig variabel ID]]),INDEX(DataTitel_liste,1))</f>
        <v>Eksempel 1 (interval)</v>
      </c>
      <c r="G257" s="171" t="str" cm="1">
        <f t="array" ref="G257">IF(LineærRegression_Valg[[#This Row],[Indenfor range]],IF(LineærRegression_Valg[[#This Row],[Intet overlap]],INDEX(DataTitel_liste,LineærRegression_Valg[[#This Row],[Uafhængig variabel ID]]),INDEX(DataTitel_liste,IF(LineærRegression_Valg[[#This Row],[Afhængig variabel ID]]=1,2,1))),$B$7)</f>
        <v>Eksempel 2 (interval)</v>
      </c>
      <c r="H257" s="171">
        <f>_xlfn.AGGREGATE(2,5,LineærRegression_Valg[[#This Row],[Tabel ID]])</f>
        <v>1</v>
      </c>
    </row>
    <row r="258" spans="1:8" x14ac:dyDescent="0.2">
      <c r="A258">
        <f>ROW(LineærRegression_Valg[[#This Row],[Tabel ID]])-ROW(LineærRegression_Valg[[#Headers],[Tabel ID]])</f>
        <v>248</v>
      </c>
      <c r="B258" s="171">
        <f>ROUNDDOWN((LineærRegression_Valg[[#This Row],[Tabel ID]]-1)/$B$5,0)+1</f>
        <v>62</v>
      </c>
      <c r="C258" s="171">
        <f t="shared" si="3"/>
        <v>4</v>
      </c>
      <c r="D258" s="171" t="b">
        <f>LineærRegression_Valg[[#This Row],[Afhængig variabel ID]]&lt;&gt;LineærRegression_Valg[[#This Row],[Uafhængig variabel ID]]</f>
        <v>1</v>
      </c>
      <c r="E258" t="b">
        <f>LineærRegression_Valg[[#This Row],[Afhængig variabel ID]]&lt;=$B$5</f>
        <v>0</v>
      </c>
      <c r="F258" t="str" cm="1">
        <f t="array" ref="F258">IF(LineærRegression_Valg[[#This Row],[Indenfor range]],INDEX(DataTitel_liste,LineærRegression_Valg[[#This Row],[Afhængig variabel ID]]),INDEX(DataTitel_liste,1))</f>
        <v>Eksempel 1 (interval)</v>
      </c>
      <c r="G258" s="171" t="str" cm="1">
        <f t="array" ref="G258">IF(LineærRegression_Valg[[#This Row],[Indenfor range]],IF(LineærRegression_Valg[[#This Row],[Intet overlap]],INDEX(DataTitel_liste,LineærRegression_Valg[[#This Row],[Uafhængig variabel ID]]),INDEX(DataTitel_liste,IF(LineærRegression_Valg[[#This Row],[Afhængig variabel ID]]=1,2,1))),$B$7)</f>
        <v>Eksempel 2 (interval)</v>
      </c>
      <c r="H258" s="171">
        <f>_xlfn.AGGREGATE(2,5,LineærRegression_Valg[[#This Row],[Tabel ID]])</f>
        <v>1</v>
      </c>
    </row>
    <row r="259" spans="1:8" x14ac:dyDescent="0.2">
      <c r="A259">
        <f>ROW(LineærRegression_Valg[[#This Row],[Tabel ID]])-ROW(LineærRegression_Valg[[#Headers],[Tabel ID]])</f>
        <v>249</v>
      </c>
      <c r="B259" s="171">
        <f>ROUNDDOWN((LineærRegression_Valg[[#This Row],[Tabel ID]]-1)/$B$5,0)+1</f>
        <v>63</v>
      </c>
      <c r="C259" s="171">
        <f t="shared" si="3"/>
        <v>1</v>
      </c>
      <c r="D259" s="171" t="b">
        <f>LineærRegression_Valg[[#This Row],[Afhængig variabel ID]]&lt;&gt;LineærRegression_Valg[[#This Row],[Uafhængig variabel ID]]</f>
        <v>1</v>
      </c>
      <c r="E259" t="b">
        <f>LineærRegression_Valg[[#This Row],[Afhængig variabel ID]]&lt;=$B$5</f>
        <v>0</v>
      </c>
      <c r="F259" t="str" cm="1">
        <f t="array" ref="F259">IF(LineærRegression_Valg[[#This Row],[Indenfor range]],INDEX(DataTitel_liste,LineærRegression_Valg[[#This Row],[Afhængig variabel ID]]),INDEX(DataTitel_liste,1))</f>
        <v>Eksempel 1 (interval)</v>
      </c>
      <c r="G259" s="171" t="str" cm="1">
        <f t="array" ref="G259">IF(LineærRegression_Valg[[#This Row],[Indenfor range]],IF(LineærRegression_Valg[[#This Row],[Intet overlap]],INDEX(DataTitel_liste,LineærRegression_Valg[[#This Row],[Uafhængig variabel ID]]),INDEX(DataTitel_liste,IF(LineærRegression_Valg[[#This Row],[Afhængig variabel ID]]=1,2,1))),$B$7)</f>
        <v>Eksempel 2 (interval)</v>
      </c>
      <c r="H259" s="171">
        <f>_xlfn.AGGREGATE(2,5,LineærRegression_Valg[[#This Row],[Tabel ID]])</f>
        <v>1</v>
      </c>
    </row>
    <row r="260" spans="1:8" x14ac:dyDescent="0.2">
      <c r="A260">
        <f>ROW(LineærRegression_Valg[[#This Row],[Tabel ID]])-ROW(LineærRegression_Valg[[#Headers],[Tabel ID]])</f>
        <v>250</v>
      </c>
      <c r="B260" s="171">
        <f>ROUNDDOWN((LineærRegression_Valg[[#This Row],[Tabel ID]]-1)/$B$5,0)+1</f>
        <v>63</v>
      </c>
      <c r="C260" s="171">
        <f t="shared" si="3"/>
        <v>2</v>
      </c>
      <c r="D260" s="171" t="b">
        <f>LineærRegression_Valg[[#This Row],[Afhængig variabel ID]]&lt;&gt;LineærRegression_Valg[[#This Row],[Uafhængig variabel ID]]</f>
        <v>1</v>
      </c>
      <c r="E260" t="b">
        <f>LineærRegression_Valg[[#This Row],[Afhængig variabel ID]]&lt;=$B$5</f>
        <v>0</v>
      </c>
      <c r="F260" t="str" cm="1">
        <f t="array" ref="F260">IF(LineærRegression_Valg[[#This Row],[Indenfor range]],INDEX(DataTitel_liste,LineærRegression_Valg[[#This Row],[Afhængig variabel ID]]),INDEX(DataTitel_liste,1))</f>
        <v>Eksempel 1 (interval)</v>
      </c>
      <c r="G260" s="171" t="str" cm="1">
        <f t="array" ref="G260">IF(LineærRegression_Valg[[#This Row],[Indenfor range]],IF(LineærRegression_Valg[[#This Row],[Intet overlap]],INDEX(DataTitel_liste,LineærRegression_Valg[[#This Row],[Uafhængig variabel ID]]),INDEX(DataTitel_liste,IF(LineærRegression_Valg[[#This Row],[Afhængig variabel ID]]=1,2,1))),$B$7)</f>
        <v>Eksempel 2 (interval)</v>
      </c>
      <c r="H260" s="171">
        <f>_xlfn.AGGREGATE(2,5,LineærRegression_Valg[[#This Row],[Tabel ID]])</f>
        <v>1</v>
      </c>
    </row>
    <row r="261" spans="1:8" x14ac:dyDescent="0.2">
      <c r="A261">
        <f>ROW(LineærRegression_Valg[[#This Row],[Tabel ID]])-ROW(LineærRegression_Valg[[#Headers],[Tabel ID]])</f>
        <v>251</v>
      </c>
      <c r="B261" s="171">
        <f>ROUNDDOWN((LineærRegression_Valg[[#This Row],[Tabel ID]]-1)/$B$5,0)+1</f>
        <v>63</v>
      </c>
      <c r="C261" s="171">
        <f t="shared" si="3"/>
        <v>3</v>
      </c>
      <c r="D261" s="171" t="b">
        <f>LineærRegression_Valg[[#This Row],[Afhængig variabel ID]]&lt;&gt;LineærRegression_Valg[[#This Row],[Uafhængig variabel ID]]</f>
        <v>1</v>
      </c>
      <c r="E261" t="b">
        <f>LineærRegression_Valg[[#This Row],[Afhængig variabel ID]]&lt;=$B$5</f>
        <v>0</v>
      </c>
      <c r="F261" t="str" cm="1">
        <f t="array" ref="F261">IF(LineærRegression_Valg[[#This Row],[Indenfor range]],INDEX(DataTitel_liste,LineærRegression_Valg[[#This Row],[Afhængig variabel ID]]),INDEX(DataTitel_liste,1))</f>
        <v>Eksempel 1 (interval)</v>
      </c>
      <c r="G261" s="171" t="str" cm="1">
        <f t="array" ref="G261">IF(LineærRegression_Valg[[#This Row],[Indenfor range]],IF(LineærRegression_Valg[[#This Row],[Intet overlap]],INDEX(DataTitel_liste,LineærRegression_Valg[[#This Row],[Uafhængig variabel ID]]),INDEX(DataTitel_liste,IF(LineærRegression_Valg[[#This Row],[Afhængig variabel ID]]=1,2,1))),$B$7)</f>
        <v>Eksempel 2 (interval)</v>
      </c>
      <c r="H261" s="171">
        <f>_xlfn.AGGREGATE(2,5,LineærRegression_Valg[[#This Row],[Tabel ID]])</f>
        <v>1</v>
      </c>
    </row>
    <row r="262" spans="1:8" x14ac:dyDescent="0.2">
      <c r="A262">
        <f>ROW(LineærRegression_Valg[[#This Row],[Tabel ID]])-ROW(LineærRegression_Valg[[#Headers],[Tabel ID]])</f>
        <v>252</v>
      </c>
      <c r="B262" s="171">
        <f>ROUNDDOWN((LineærRegression_Valg[[#This Row],[Tabel ID]]-1)/$B$5,0)+1</f>
        <v>63</v>
      </c>
      <c r="C262" s="171">
        <f t="shared" si="3"/>
        <v>4</v>
      </c>
      <c r="D262" s="171" t="b">
        <f>LineærRegression_Valg[[#This Row],[Afhængig variabel ID]]&lt;&gt;LineærRegression_Valg[[#This Row],[Uafhængig variabel ID]]</f>
        <v>1</v>
      </c>
      <c r="E262" t="b">
        <f>LineærRegression_Valg[[#This Row],[Afhængig variabel ID]]&lt;=$B$5</f>
        <v>0</v>
      </c>
      <c r="F262" t="str" cm="1">
        <f t="array" ref="F262">IF(LineærRegression_Valg[[#This Row],[Indenfor range]],INDEX(DataTitel_liste,LineærRegression_Valg[[#This Row],[Afhængig variabel ID]]),INDEX(DataTitel_liste,1))</f>
        <v>Eksempel 1 (interval)</v>
      </c>
      <c r="G262" s="171" t="str" cm="1">
        <f t="array" ref="G262">IF(LineærRegression_Valg[[#This Row],[Indenfor range]],IF(LineærRegression_Valg[[#This Row],[Intet overlap]],INDEX(DataTitel_liste,LineærRegression_Valg[[#This Row],[Uafhængig variabel ID]]),INDEX(DataTitel_liste,IF(LineærRegression_Valg[[#This Row],[Afhængig variabel ID]]=1,2,1))),$B$7)</f>
        <v>Eksempel 2 (interval)</v>
      </c>
      <c r="H262" s="171">
        <f>_xlfn.AGGREGATE(2,5,LineærRegression_Valg[[#This Row],[Tabel ID]])</f>
        <v>1</v>
      </c>
    </row>
    <row r="263" spans="1:8" x14ac:dyDescent="0.2">
      <c r="A263">
        <f>ROW(LineærRegression_Valg[[#This Row],[Tabel ID]])-ROW(LineærRegression_Valg[[#Headers],[Tabel ID]])</f>
        <v>253</v>
      </c>
      <c r="B263" s="171">
        <f>ROUNDDOWN((LineærRegression_Valg[[#This Row],[Tabel ID]]-1)/$B$5,0)+1</f>
        <v>64</v>
      </c>
      <c r="C263" s="171">
        <f t="shared" si="3"/>
        <v>1</v>
      </c>
      <c r="D263" s="171" t="b">
        <f>LineærRegression_Valg[[#This Row],[Afhængig variabel ID]]&lt;&gt;LineærRegression_Valg[[#This Row],[Uafhængig variabel ID]]</f>
        <v>1</v>
      </c>
      <c r="E263" t="b">
        <f>LineærRegression_Valg[[#This Row],[Afhængig variabel ID]]&lt;=$B$5</f>
        <v>0</v>
      </c>
      <c r="F263" t="str" cm="1">
        <f t="array" ref="F263">IF(LineærRegression_Valg[[#This Row],[Indenfor range]],INDEX(DataTitel_liste,LineærRegression_Valg[[#This Row],[Afhængig variabel ID]]),INDEX(DataTitel_liste,1))</f>
        <v>Eksempel 1 (interval)</v>
      </c>
      <c r="G263" s="171" t="str" cm="1">
        <f t="array" ref="G263">IF(LineærRegression_Valg[[#This Row],[Indenfor range]],IF(LineærRegression_Valg[[#This Row],[Intet overlap]],INDEX(DataTitel_liste,LineærRegression_Valg[[#This Row],[Uafhængig variabel ID]]),INDEX(DataTitel_liste,IF(LineærRegression_Valg[[#This Row],[Afhængig variabel ID]]=1,2,1))),$B$7)</f>
        <v>Eksempel 2 (interval)</v>
      </c>
      <c r="H263" s="171">
        <f>_xlfn.AGGREGATE(2,5,LineærRegression_Valg[[#This Row],[Tabel ID]])</f>
        <v>1</v>
      </c>
    </row>
    <row r="264" spans="1:8" x14ac:dyDescent="0.2">
      <c r="A264">
        <f>ROW(LineærRegression_Valg[[#This Row],[Tabel ID]])-ROW(LineærRegression_Valg[[#Headers],[Tabel ID]])</f>
        <v>254</v>
      </c>
      <c r="B264" s="171">
        <f>ROUNDDOWN((LineærRegression_Valg[[#This Row],[Tabel ID]]-1)/$B$5,0)+1</f>
        <v>64</v>
      </c>
      <c r="C264" s="171">
        <f t="shared" si="3"/>
        <v>2</v>
      </c>
      <c r="D264" s="171" t="b">
        <f>LineærRegression_Valg[[#This Row],[Afhængig variabel ID]]&lt;&gt;LineærRegression_Valg[[#This Row],[Uafhængig variabel ID]]</f>
        <v>1</v>
      </c>
      <c r="E264" t="b">
        <f>LineærRegression_Valg[[#This Row],[Afhængig variabel ID]]&lt;=$B$5</f>
        <v>0</v>
      </c>
      <c r="F264" t="str" cm="1">
        <f t="array" ref="F264">IF(LineærRegression_Valg[[#This Row],[Indenfor range]],INDEX(DataTitel_liste,LineærRegression_Valg[[#This Row],[Afhængig variabel ID]]),INDEX(DataTitel_liste,1))</f>
        <v>Eksempel 1 (interval)</v>
      </c>
      <c r="G264" s="171" t="str" cm="1">
        <f t="array" ref="G264">IF(LineærRegression_Valg[[#This Row],[Indenfor range]],IF(LineærRegression_Valg[[#This Row],[Intet overlap]],INDEX(DataTitel_liste,LineærRegression_Valg[[#This Row],[Uafhængig variabel ID]]),INDEX(DataTitel_liste,IF(LineærRegression_Valg[[#This Row],[Afhængig variabel ID]]=1,2,1))),$B$7)</f>
        <v>Eksempel 2 (interval)</v>
      </c>
      <c r="H264" s="171">
        <f>_xlfn.AGGREGATE(2,5,LineærRegression_Valg[[#This Row],[Tabel ID]])</f>
        <v>1</v>
      </c>
    </row>
    <row r="265" spans="1:8" x14ac:dyDescent="0.2">
      <c r="A265">
        <f>ROW(LineærRegression_Valg[[#This Row],[Tabel ID]])-ROW(LineærRegression_Valg[[#Headers],[Tabel ID]])</f>
        <v>255</v>
      </c>
      <c r="B265" s="171">
        <f>ROUNDDOWN((LineærRegression_Valg[[#This Row],[Tabel ID]]-1)/$B$5,0)+1</f>
        <v>64</v>
      </c>
      <c r="C265" s="171">
        <f t="shared" si="3"/>
        <v>3</v>
      </c>
      <c r="D265" s="171" t="b">
        <f>LineærRegression_Valg[[#This Row],[Afhængig variabel ID]]&lt;&gt;LineærRegression_Valg[[#This Row],[Uafhængig variabel ID]]</f>
        <v>1</v>
      </c>
      <c r="E265" t="b">
        <f>LineærRegression_Valg[[#This Row],[Afhængig variabel ID]]&lt;=$B$5</f>
        <v>0</v>
      </c>
      <c r="F265" t="str" cm="1">
        <f t="array" ref="F265">IF(LineærRegression_Valg[[#This Row],[Indenfor range]],INDEX(DataTitel_liste,LineærRegression_Valg[[#This Row],[Afhængig variabel ID]]),INDEX(DataTitel_liste,1))</f>
        <v>Eksempel 1 (interval)</v>
      </c>
      <c r="G265" s="171" t="str" cm="1">
        <f t="array" ref="G265">IF(LineærRegression_Valg[[#This Row],[Indenfor range]],IF(LineærRegression_Valg[[#This Row],[Intet overlap]],INDEX(DataTitel_liste,LineærRegression_Valg[[#This Row],[Uafhængig variabel ID]]),INDEX(DataTitel_liste,IF(LineærRegression_Valg[[#This Row],[Afhængig variabel ID]]=1,2,1))),$B$7)</f>
        <v>Eksempel 2 (interval)</v>
      </c>
      <c r="H265" s="171">
        <f>_xlfn.AGGREGATE(2,5,LineærRegression_Valg[[#This Row],[Tabel ID]])</f>
        <v>1</v>
      </c>
    </row>
    <row r="266" spans="1:8" x14ac:dyDescent="0.2">
      <c r="A266">
        <f>ROW(LineærRegression_Valg[[#This Row],[Tabel ID]])-ROW(LineærRegression_Valg[[#Headers],[Tabel ID]])</f>
        <v>256</v>
      </c>
      <c r="B266" s="171">
        <f>ROUNDDOWN((LineærRegression_Valg[[#This Row],[Tabel ID]]-1)/$B$5,0)+1</f>
        <v>64</v>
      </c>
      <c r="C266" s="171">
        <f t="shared" si="3"/>
        <v>4</v>
      </c>
      <c r="D266" s="171" t="b">
        <f>LineærRegression_Valg[[#This Row],[Afhængig variabel ID]]&lt;&gt;LineærRegression_Valg[[#This Row],[Uafhængig variabel ID]]</f>
        <v>1</v>
      </c>
      <c r="E266" t="b">
        <f>LineærRegression_Valg[[#This Row],[Afhængig variabel ID]]&lt;=$B$5</f>
        <v>0</v>
      </c>
      <c r="F266" t="str" cm="1">
        <f t="array" ref="F266">IF(LineærRegression_Valg[[#This Row],[Indenfor range]],INDEX(DataTitel_liste,LineærRegression_Valg[[#This Row],[Afhængig variabel ID]]),INDEX(DataTitel_liste,1))</f>
        <v>Eksempel 1 (interval)</v>
      </c>
      <c r="G266" s="171" t="str" cm="1">
        <f t="array" ref="G266">IF(LineærRegression_Valg[[#This Row],[Indenfor range]],IF(LineærRegression_Valg[[#This Row],[Intet overlap]],INDEX(DataTitel_liste,LineærRegression_Valg[[#This Row],[Uafhængig variabel ID]]),INDEX(DataTitel_liste,IF(LineærRegression_Valg[[#This Row],[Afhængig variabel ID]]=1,2,1))),$B$7)</f>
        <v>Eksempel 2 (interval)</v>
      </c>
      <c r="H266" s="171">
        <f>_xlfn.AGGREGATE(2,5,LineærRegression_Valg[[#This Row],[Tabel ID]])</f>
        <v>1</v>
      </c>
    </row>
    <row r="267" spans="1:8" x14ac:dyDescent="0.2">
      <c r="A267">
        <f>ROW(LineærRegression_Valg[[#This Row],[Tabel ID]])-ROW(LineærRegression_Valg[[#Headers],[Tabel ID]])</f>
        <v>257</v>
      </c>
      <c r="B267" s="171">
        <f>ROUNDDOWN((LineærRegression_Valg[[#This Row],[Tabel ID]]-1)/$B$5,0)+1</f>
        <v>65</v>
      </c>
      <c r="C267" s="171">
        <f t="shared" ref="C267:C330" si="4">MOD(A267-1,$B$5)+1</f>
        <v>1</v>
      </c>
      <c r="D267" s="171" t="b">
        <f>LineærRegression_Valg[[#This Row],[Afhængig variabel ID]]&lt;&gt;LineærRegression_Valg[[#This Row],[Uafhængig variabel ID]]</f>
        <v>1</v>
      </c>
      <c r="E267" t="b">
        <f>LineærRegression_Valg[[#This Row],[Afhængig variabel ID]]&lt;=$B$5</f>
        <v>0</v>
      </c>
      <c r="F267" t="str" cm="1">
        <f t="array" ref="F267">IF(LineærRegression_Valg[[#This Row],[Indenfor range]],INDEX(DataTitel_liste,LineærRegression_Valg[[#This Row],[Afhængig variabel ID]]),INDEX(DataTitel_liste,1))</f>
        <v>Eksempel 1 (interval)</v>
      </c>
      <c r="G267" s="171" t="str" cm="1">
        <f t="array" ref="G267">IF(LineærRegression_Valg[[#This Row],[Indenfor range]],IF(LineærRegression_Valg[[#This Row],[Intet overlap]],INDEX(DataTitel_liste,LineærRegression_Valg[[#This Row],[Uafhængig variabel ID]]),INDEX(DataTitel_liste,IF(LineærRegression_Valg[[#This Row],[Afhængig variabel ID]]=1,2,1))),$B$7)</f>
        <v>Eksempel 2 (interval)</v>
      </c>
      <c r="H267" s="171">
        <f>_xlfn.AGGREGATE(2,5,LineærRegression_Valg[[#This Row],[Tabel ID]])</f>
        <v>1</v>
      </c>
    </row>
    <row r="268" spans="1:8" x14ac:dyDescent="0.2">
      <c r="A268">
        <f>ROW(LineærRegression_Valg[[#This Row],[Tabel ID]])-ROW(LineærRegression_Valg[[#Headers],[Tabel ID]])</f>
        <v>258</v>
      </c>
      <c r="B268" s="171">
        <f>ROUNDDOWN((LineærRegression_Valg[[#This Row],[Tabel ID]]-1)/$B$5,0)+1</f>
        <v>65</v>
      </c>
      <c r="C268" s="171">
        <f t="shared" si="4"/>
        <v>2</v>
      </c>
      <c r="D268" s="171" t="b">
        <f>LineærRegression_Valg[[#This Row],[Afhængig variabel ID]]&lt;&gt;LineærRegression_Valg[[#This Row],[Uafhængig variabel ID]]</f>
        <v>1</v>
      </c>
      <c r="E268" t="b">
        <f>LineærRegression_Valg[[#This Row],[Afhængig variabel ID]]&lt;=$B$5</f>
        <v>0</v>
      </c>
      <c r="F268" t="str" cm="1">
        <f t="array" ref="F268">IF(LineærRegression_Valg[[#This Row],[Indenfor range]],INDEX(DataTitel_liste,LineærRegression_Valg[[#This Row],[Afhængig variabel ID]]),INDEX(DataTitel_liste,1))</f>
        <v>Eksempel 1 (interval)</v>
      </c>
      <c r="G268" s="171" t="str" cm="1">
        <f t="array" ref="G268">IF(LineærRegression_Valg[[#This Row],[Indenfor range]],IF(LineærRegression_Valg[[#This Row],[Intet overlap]],INDEX(DataTitel_liste,LineærRegression_Valg[[#This Row],[Uafhængig variabel ID]]),INDEX(DataTitel_liste,IF(LineærRegression_Valg[[#This Row],[Afhængig variabel ID]]=1,2,1))),$B$7)</f>
        <v>Eksempel 2 (interval)</v>
      </c>
      <c r="H268" s="171">
        <f>_xlfn.AGGREGATE(2,5,LineærRegression_Valg[[#This Row],[Tabel ID]])</f>
        <v>1</v>
      </c>
    </row>
    <row r="269" spans="1:8" x14ac:dyDescent="0.2">
      <c r="A269">
        <f>ROW(LineærRegression_Valg[[#This Row],[Tabel ID]])-ROW(LineærRegression_Valg[[#Headers],[Tabel ID]])</f>
        <v>259</v>
      </c>
      <c r="B269" s="171">
        <f>ROUNDDOWN((LineærRegression_Valg[[#This Row],[Tabel ID]]-1)/$B$5,0)+1</f>
        <v>65</v>
      </c>
      <c r="C269" s="171">
        <f t="shared" si="4"/>
        <v>3</v>
      </c>
      <c r="D269" s="171" t="b">
        <f>LineærRegression_Valg[[#This Row],[Afhængig variabel ID]]&lt;&gt;LineærRegression_Valg[[#This Row],[Uafhængig variabel ID]]</f>
        <v>1</v>
      </c>
      <c r="E269" t="b">
        <f>LineærRegression_Valg[[#This Row],[Afhængig variabel ID]]&lt;=$B$5</f>
        <v>0</v>
      </c>
      <c r="F269" t="str" cm="1">
        <f t="array" ref="F269">IF(LineærRegression_Valg[[#This Row],[Indenfor range]],INDEX(DataTitel_liste,LineærRegression_Valg[[#This Row],[Afhængig variabel ID]]),INDEX(DataTitel_liste,1))</f>
        <v>Eksempel 1 (interval)</v>
      </c>
      <c r="G269" s="171" t="str" cm="1">
        <f t="array" ref="G269">IF(LineærRegression_Valg[[#This Row],[Indenfor range]],IF(LineærRegression_Valg[[#This Row],[Intet overlap]],INDEX(DataTitel_liste,LineærRegression_Valg[[#This Row],[Uafhængig variabel ID]]),INDEX(DataTitel_liste,IF(LineærRegression_Valg[[#This Row],[Afhængig variabel ID]]=1,2,1))),$B$7)</f>
        <v>Eksempel 2 (interval)</v>
      </c>
      <c r="H269" s="171">
        <f>_xlfn.AGGREGATE(2,5,LineærRegression_Valg[[#This Row],[Tabel ID]])</f>
        <v>1</v>
      </c>
    </row>
    <row r="270" spans="1:8" x14ac:dyDescent="0.2">
      <c r="A270">
        <f>ROW(LineærRegression_Valg[[#This Row],[Tabel ID]])-ROW(LineærRegression_Valg[[#Headers],[Tabel ID]])</f>
        <v>260</v>
      </c>
      <c r="B270" s="171">
        <f>ROUNDDOWN((LineærRegression_Valg[[#This Row],[Tabel ID]]-1)/$B$5,0)+1</f>
        <v>65</v>
      </c>
      <c r="C270" s="171">
        <f t="shared" si="4"/>
        <v>4</v>
      </c>
      <c r="D270" s="171" t="b">
        <f>LineærRegression_Valg[[#This Row],[Afhængig variabel ID]]&lt;&gt;LineærRegression_Valg[[#This Row],[Uafhængig variabel ID]]</f>
        <v>1</v>
      </c>
      <c r="E270" t="b">
        <f>LineærRegression_Valg[[#This Row],[Afhængig variabel ID]]&lt;=$B$5</f>
        <v>0</v>
      </c>
      <c r="F270" t="str" cm="1">
        <f t="array" ref="F270">IF(LineærRegression_Valg[[#This Row],[Indenfor range]],INDEX(DataTitel_liste,LineærRegression_Valg[[#This Row],[Afhængig variabel ID]]),INDEX(DataTitel_liste,1))</f>
        <v>Eksempel 1 (interval)</v>
      </c>
      <c r="G270" s="171" t="str" cm="1">
        <f t="array" ref="G270">IF(LineærRegression_Valg[[#This Row],[Indenfor range]],IF(LineærRegression_Valg[[#This Row],[Intet overlap]],INDEX(DataTitel_liste,LineærRegression_Valg[[#This Row],[Uafhængig variabel ID]]),INDEX(DataTitel_liste,IF(LineærRegression_Valg[[#This Row],[Afhængig variabel ID]]=1,2,1))),$B$7)</f>
        <v>Eksempel 2 (interval)</v>
      </c>
      <c r="H270" s="171">
        <f>_xlfn.AGGREGATE(2,5,LineærRegression_Valg[[#This Row],[Tabel ID]])</f>
        <v>1</v>
      </c>
    </row>
    <row r="271" spans="1:8" x14ac:dyDescent="0.2">
      <c r="A271">
        <f>ROW(LineærRegression_Valg[[#This Row],[Tabel ID]])-ROW(LineærRegression_Valg[[#Headers],[Tabel ID]])</f>
        <v>261</v>
      </c>
      <c r="B271" s="171">
        <f>ROUNDDOWN((LineærRegression_Valg[[#This Row],[Tabel ID]]-1)/$B$5,0)+1</f>
        <v>66</v>
      </c>
      <c r="C271" s="171">
        <f t="shared" si="4"/>
        <v>1</v>
      </c>
      <c r="D271" s="171" t="b">
        <f>LineærRegression_Valg[[#This Row],[Afhængig variabel ID]]&lt;&gt;LineærRegression_Valg[[#This Row],[Uafhængig variabel ID]]</f>
        <v>1</v>
      </c>
      <c r="E271" t="b">
        <f>LineærRegression_Valg[[#This Row],[Afhængig variabel ID]]&lt;=$B$5</f>
        <v>0</v>
      </c>
      <c r="F271" t="str" cm="1">
        <f t="array" ref="F271">IF(LineærRegression_Valg[[#This Row],[Indenfor range]],INDEX(DataTitel_liste,LineærRegression_Valg[[#This Row],[Afhængig variabel ID]]),INDEX(DataTitel_liste,1))</f>
        <v>Eksempel 1 (interval)</v>
      </c>
      <c r="G271" s="171" t="str" cm="1">
        <f t="array" ref="G271">IF(LineærRegression_Valg[[#This Row],[Indenfor range]],IF(LineærRegression_Valg[[#This Row],[Intet overlap]],INDEX(DataTitel_liste,LineærRegression_Valg[[#This Row],[Uafhængig variabel ID]]),INDEX(DataTitel_liste,IF(LineærRegression_Valg[[#This Row],[Afhængig variabel ID]]=1,2,1))),$B$7)</f>
        <v>Eksempel 2 (interval)</v>
      </c>
      <c r="H271" s="171">
        <f>_xlfn.AGGREGATE(2,5,LineærRegression_Valg[[#This Row],[Tabel ID]])</f>
        <v>1</v>
      </c>
    </row>
    <row r="272" spans="1:8" x14ac:dyDescent="0.2">
      <c r="A272">
        <f>ROW(LineærRegression_Valg[[#This Row],[Tabel ID]])-ROW(LineærRegression_Valg[[#Headers],[Tabel ID]])</f>
        <v>262</v>
      </c>
      <c r="B272" s="171">
        <f>ROUNDDOWN((LineærRegression_Valg[[#This Row],[Tabel ID]]-1)/$B$5,0)+1</f>
        <v>66</v>
      </c>
      <c r="C272" s="171">
        <f t="shared" si="4"/>
        <v>2</v>
      </c>
      <c r="D272" s="171" t="b">
        <f>LineærRegression_Valg[[#This Row],[Afhængig variabel ID]]&lt;&gt;LineærRegression_Valg[[#This Row],[Uafhængig variabel ID]]</f>
        <v>1</v>
      </c>
      <c r="E272" t="b">
        <f>LineærRegression_Valg[[#This Row],[Afhængig variabel ID]]&lt;=$B$5</f>
        <v>0</v>
      </c>
      <c r="F272" t="str" cm="1">
        <f t="array" ref="F272">IF(LineærRegression_Valg[[#This Row],[Indenfor range]],INDEX(DataTitel_liste,LineærRegression_Valg[[#This Row],[Afhængig variabel ID]]),INDEX(DataTitel_liste,1))</f>
        <v>Eksempel 1 (interval)</v>
      </c>
      <c r="G272" s="171" t="str" cm="1">
        <f t="array" ref="G272">IF(LineærRegression_Valg[[#This Row],[Indenfor range]],IF(LineærRegression_Valg[[#This Row],[Intet overlap]],INDEX(DataTitel_liste,LineærRegression_Valg[[#This Row],[Uafhængig variabel ID]]),INDEX(DataTitel_liste,IF(LineærRegression_Valg[[#This Row],[Afhængig variabel ID]]=1,2,1))),$B$7)</f>
        <v>Eksempel 2 (interval)</v>
      </c>
      <c r="H272" s="171">
        <f>_xlfn.AGGREGATE(2,5,LineærRegression_Valg[[#This Row],[Tabel ID]])</f>
        <v>1</v>
      </c>
    </row>
    <row r="273" spans="1:8" x14ac:dyDescent="0.2">
      <c r="A273">
        <f>ROW(LineærRegression_Valg[[#This Row],[Tabel ID]])-ROW(LineærRegression_Valg[[#Headers],[Tabel ID]])</f>
        <v>263</v>
      </c>
      <c r="B273" s="171">
        <f>ROUNDDOWN((LineærRegression_Valg[[#This Row],[Tabel ID]]-1)/$B$5,0)+1</f>
        <v>66</v>
      </c>
      <c r="C273" s="171">
        <f t="shared" si="4"/>
        <v>3</v>
      </c>
      <c r="D273" s="171" t="b">
        <f>LineærRegression_Valg[[#This Row],[Afhængig variabel ID]]&lt;&gt;LineærRegression_Valg[[#This Row],[Uafhængig variabel ID]]</f>
        <v>1</v>
      </c>
      <c r="E273" t="b">
        <f>LineærRegression_Valg[[#This Row],[Afhængig variabel ID]]&lt;=$B$5</f>
        <v>0</v>
      </c>
      <c r="F273" t="str" cm="1">
        <f t="array" ref="F273">IF(LineærRegression_Valg[[#This Row],[Indenfor range]],INDEX(DataTitel_liste,LineærRegression_Valg[[#This Row],[Afhængig variabel ID]]),INDEX(DataTitel_liste,1))</f>
        <v>Eksempel 1 (interval)</v>
      </c>
      <c r="G273" s="171" t="str" cm="1">
        <f t="array" ref="G273">IF(LineærRegression_Valg[[#This Row],[Indenfor range]],IF(LineærRegression_Valg[[#This Row],[Intet overlap]],INDEX(DataTitel_liste,LineærRegression_Valg[[#This Row],[Uafhængig variabel ID]]),INDEX(DataTitel_liste,IF(LineærRegression_Valg[[#This Row],[Afhængig variabel ID]]=1,2,1))),$B$7)</f>
        <v>Eksempel 2 (interval)</v>
      </c>
      <c r="H273" s="171">
        <f>_xlfn.AGGREGATE(2,5,LineærRegression_Valg[[#This Row],[Tabel ID]])</f>
        <v>1</v>
      </c>
    </row>
    <row r="274" spans="1:8" x14ac:dyDescent="0.2">
      <c r="A274">
        <f>ROW(LineærRegression_Valg[[#This Row],[Tabel ID]])-ROW(LineærRegression_Valg[[#Headers],[Tabel ID]])</f>
        <v>264</v>
      </c>
      <c r="B274" s="171">
        <f>ROUNDDOWN((LineærRegression_Valg[[#This Row],[Tabel ID]]-1)/$B$5,0)+1</f>
        <v>66</v>
      </c>
      <c r="C274" s="171">
        <f t="shared" si="4"/>
        <v>4</v>
      </c>
      <c r="D274" s="171" t="b">
        <f>LineærRegression_Valg[[#This Row],[Afhængig variabel ID]]&lt;&gt;LineærRegression_Valg[[#This Row],[Uafhængig variabel ID]]</f>
        <v>1</v>
      </c>
      <c r="E274" t="b">
        <f>LineærRegression_Valg[[#This Row],[Afhængig variabel ID]]&lt;=$B$5</f>
        <v>0</v>
      </c>
      <c r="F274" t="str" cm="1">
        <f t="array" ref="F274">IF(LineærRegression_Valg[[#This Row],[Indenfor range]],INDEX(DataTitel_liste,LineærRegression_Valg[[#This Row],[Afhængig variabel ID]]),INDEX(DataTitel_liste,1))</f>
        <v>Eksempel 1 (interval)</v>
      </c>
      <c r="G274" s="171" t="str" cm="1">
        <f t="array" ref="G274">IF(LineærRegression_Valg[[#This Row],[Indenfor range]],IF(LineærRegression_Valg[[#This Row],[Intet overlap]],INDEX(DataTitel_liste,LineærRegression_Valg[[#This Row],[Uafhængig variabel ID]]),INDEX(DataTitel_liste,IF(LineærRegression_Valg[[#This Row],[Afhængig variabel ID]]=1,2,1))),$B$7)</f>
        <v>Eksempel 2 (interval)</v>
      </c>
      <c r="H274" s="171">
        <f>_xlfn.AGGREGATE(2,5,LineærRegression_Valg[[#This Row],[Tabel ID]])</f>
        <v>1</v>
      </c>
    </row>
    <row r="275" spans="1:8" x14ac:dyDescent="0.2">
      <c r="A275">
        <f>ROW(LineærRegression_Valg[[#This Row],[Tabel ID]])-ROW(LineærRegression_Valg[[#Headers],[Tabel ID]])</f>
        <v>265</v>
      </c>
      <c r="B275" s="171">
        <f>ROUNDDOWN((LineærRegression_Valg[[#This Row],[Tabel ID]]-1)/$B$5,0)+1</f>
        <v>67</v>
      </c>
      <c r="C275" s="171">
        <f t="shared" si="4"/>
        <v>1</v>
      </c>
      <c r="D275" s="171" t="b">
        <f>LineærRegression_Valg[[#This Row],[Afhængig variabel ID]]&lt;&gt;LineærRegression_Valg[[#This Row],[Uafhængig variabel ID]]</f>
        <v>1</v>
      </c>
      <c r="E275" t="b">
        <f>LineærRegression_Valg[[#This Row],[Afhængig variabel ID]]&lt;=$B$5</f>
        <v>0</v>
      </c>
      <c r="F275" t="str" cm="1">
        <f t="array" ref="F275">IF(LineærRegression_Valg[[#This Row],[Indenfor range]],INDEX(DataTitel_liste,LineærRegression_Valg[[#This Row],[Afhængig variabel ID]]),INDEX(DataTitel_liste,1))</f>
        <v>Eksempel 1 (interval)</v>
      </c>
      <c r="G275" s="171" t="str" cm="1">
        <f t="array" ref="G275">IF(LineærRegression_Valg[[#This Row],[Indenfor range]],IF(LineærRegression_Valg[[#This Row],[Intet overlap]],INDEX(DataTitel_liste,LineærRegression_Valg[[#This Row],[Uafhængig variabel ID]]),INDEX(DataTitel_liste,IF(LineærRegression_Valg[[#This Row],[Afhængig variabel ID]]=1,2,1))),$B$7)</f>
        <v>Eksempel 2 (interval)</v>
      </c>
      <c r="H275" s="171">
        <f>_xlfn.AGGREGATE(2,5,LineærRegression_Valg[[#This Row],[Tabel ID]])</f>
        <v>1</v>
      </c>
    </row>
    <row r="276" spans="1:8" x14ac:dyDescent="0.2">
      <c r="A276">
        <f>ROW(LineærRegression_Valg[[#This Row],[Tabel ID]])-ROW(LineærRegression_Valg[[#Headers],[Tabel ID]])</f>
        <v>266</v>
      </c>
      <c r="B276" s="171">
        <f>ROUNDDOWN((LineærRegression_Valg[[#This Row],[Tabel ID]]-1)/$B$5,0)+1</f>
        <v>67</v>
      </c>
      <c r="C276" s="171">
        <f t="shared" si="4"/>
        <v>2</v>
      </c>
      <c r="D276" s="171" t="b">
        <f>LineærRegression_Valg[[#This Row],[Afhængig variabel ID]]&lt;&gt;LineærRegression_Valg[[#This Row],[Uafhængig variabel ID]]</f>
        <v>1</v>
      </c>
      <c r="E276" t="b">
        <f>LineærRegression_Valg[[#This Row],[Afhængig variabel ID]]&lt;=$B$5</f>
        <v>0</v>
      </c>
      <c r="F276" t="str" cm="1">
        <f t="array" ref="F276">IF(LineærRegression_Valg[[#This Row],[Indenfor range]],INDEX(DataTitel_liste,LineærRegression_Valg[[#This Row],[Afhængig variabel ID]]),INDEX(DataTitel_liste,1))</f>
        <v>Eksempel 1 (interval)</v>
      </c>
      <c r="G276" s="171" t="str" cm="1">
        <f t="array" ref="G276">IF(LineærRegression_Valg[[#This Row],[Indenfor range]],IF(LineærRegression_Valg[[#This Row],[Intet overlap]],INDEX(DataTitel_liste,LineærRegression_Valg[[#This Row],[Uafhængig variabel ID]]),INDEX(DataTitel_liste,IF(LineærRegression_Valg[[#This Row],[Afhængig variabel ID]]=1,2,1))),$B$7)</f>
        <v>Eksempel 2 (interval)</v>
      </c>
      <c r="H276" s="171">
        <f>_xlfn.AGGREGATE(2,5,LineærRegression_Valg[[#This Row],[Tabel ID]])</f>
        <v>1</v>
      </c>
    </row>
    <row r="277" spans="1:8" x14ac:dyDescent="0.2">
      <c r="A277">
        <f>ROW(LineærRegression_Valg[[#This Row],[Tabel ID]])-ROW(LineærRegression_Valg[[#Headers],[Tabel ID]])</f>
        <v>267</v>
      </c>
      <c r="B277" s="171">
        <f>ROUNDDOWN((LineærRegression_Valg[[#This Row],[Tabel ID]]-1)/$B$5,0)+1</f>
        <v>67</v>
      </c>
      <c r="C277" s="171">
        <f t="shared" si="4"/>
        <v>3</v>
      </c>
      <c r="D277" s="171" t="b">
        <f>LineærRegression_Valg[[#This Row],[Afhængig variabel ID]]&lt;&gt;LineærRegression_Valg[[#This Row],[Uafhængig variabel ID]]</f>
        <v>1</v>
      </c>
      <c r="E277" t="b">
        <f>LineærRegression_Valg[[#This Row],[Afhængig variabel ID]]&lt;=$B$5</f>
        <v>0</v>
      </c>
      <c r="F277" t="str" cm="1">
        <f t="array" ref="F277">IF(LineærRegression_Valg[[#This Row],[Indenfor range]],INDEX(DataTitel_liste,LineærRegression_Valg[[#This Row],[Afhængig variabel ID]]),INDEX(DataTitel_liste,1))</f>
        <v>Eksempel 1 (interval)</v>
      </c>
      <c r="G277" s="171" t="str" cm="1">
        <f t="array" ref="G277">IF(LineærRegression_Valg[[#This Row],[Indenfor range]],IF(LineærRegression_Valg[[#This Row],[Intet overlap]],INDEX(DataTitel_liste,LineærRegression_Valg[[#This Row],[Uafhængig variabel ID]]),INDEX(DataTitel_liste,IF(LineærRegression_Valg[[#This Row],[Afhængig variabel ID]]=1,2,1))),$B$7)</f>
        <v>Eksempel 2 (interval)</v>
      </c>
      <c r="H277" s="171">
        <f>_xlfn.AGGREGATE(2,5,LineærRegression_Valg[[#This Row],[Tabel ID]])</f>
        <v>1</v>
      </c>
    </row>
    <row r="278" spans="1:8" x14ac:dyDescent="0.2">
      <c r="A278">
        <f>ROW(LineærRegression_Valg[[#This Row],[Tabel ID]])-ROW(LineærRegression_Valg[[#Headers],[Tabel ID]])</f>
        <v>268</v>
      </c>
      <c r="B278" s="171">
        <f>ROUNDDOWN((LineærRegression_Valg[[#This Row],[Tabel ID]]-1)/$B$5,0)+1</f>
        <v>67</v>
      </c>
      <c r="C278" s="171">
        <f t="shared" si="4"/>
        <v>4</v>
      </c>
      <c r="D278" s="171" t="b">
        <f>LineærRegression_Valg[[#This Row],[Afhængig variabel ID]]&lt;&gt;LineærRegression_Valg[[#This Row],[Uafhængig variabel ID]]</f>
        <v>1</v>
      </c>
      <c r="E278" t="b">
        <f>LineærRegression_Valg[[#This Row],[Afhængig variabel ID]]&lt;=$B$5</f>
        <v>0</v>
      </c>
      <c r="F278" t="str" cm="1">
        <f t="array" ref="F278">IF(LineærRegression_Valg[[#This Row],[Indenfor range]],INDEX(DataTitel_liste,LineærRegression_Valg[[#This Row],[Afhængig variabel ID]]),INDEX(DataTitel_liste,1))</f>
        <v>Eksempel 1 (interval)</v>
      </c>
      <c r="G278" s="171" t="str" cm="1">
        <f t="array" ref="G278">IF(LineærRegression_Valg[[#This Row],[Indenfor range]],IF(LineærRegression_Valg[[#This Row],[Intet overlap]],INDEX(DataTitel_liste,LineærRegression_Valg[[#This Row],[Uafhængig variabel ID]]),INDEX(DataTitel_liste,IF(LineærRegression_Valg[[#This Row],[Afhængig variabel ID]]=1,2,1))),$B$7)</f>
        <v>Eksempel 2 (interval)</v>
      </c>
      <c r="H278" s="171">
        <f>_xlfn.AGGREGATE(2,5,LineærRegression_Valg[[#This Row],[Tabel ID]])</f>
        <v>1</v>
      </c>
    </row>
    <row r="279" spans="1:8" x14ac:dyDescent="0.2">
      <c r="A279">
        <f>ROW(LineærRegression_Valg[[#This Row],[Tabel ID]])-ROW(LineærRegression_Valg[[#Headers],[Tabel ID]])</f>
        <v>269</v>
      </c>
      <c r="B279" s="171">
        <f>ROUNDDOWN((LineærRegression_Valg[[#This Row],[Tabel ID]]-1)/$B$5,0)+1</f>
        <v>68</v>
      </c>
      <c r="C279" s="171">
        <f t="shared" si="4"/>
        <v>1</v>
      </c>
      <c r="D279" s="171" t="b">
        <f>LineærRegression_Valg[[#This Row],[Afhængig variabel ID]]&lt;&gt;LineærRegression_Valg[[#This Row],[Uafhængig variabel ID]]</f>
        <v>1</v>
      </c>
      <c r="E279" t="b">
        <f>LineærRegression_Valg[[#This Row],[Afhængig variabel ID]]&lt;=$B$5</f>
        <v>0</v>
      </c>
      <c r="F279" t="str" cm="1">
        <f t="array" ref="F279">IF(LineærRegression_Valg[[#This Row],[Indenfor range]],INDEX(DataTitel_liste,LineærRegression_Valg[[#This Row],[Afhængig variabel ID]]),INDEX(DataTitel_liste,1))</f>
        <v>Eksempel 1 (interval)</v>
      </c>
      <c r="G279" s="171" t="str" cm="1">
        <f t="array" ref="G279">IF(LineærRegression_Valg[[#This Row],[Indenfor range]],IF(LineærRegression_Valg[[#This Row],[Intet overlap]],INDEX(DataTitel_liste,LineærRegression_Valg[[#This Row],[Uafhængig variabel ID]]),INDEX(DataTitel_liste,IF(LineærRegression_Valg[[#This Row],[Afhængig variabel ID]]=1,2,1))),$B$7)</f>
        <v>Eksempel 2 (interval)</v>
      </c>
      <c r="H279" s="171">
        <f>_xlfn.AGGREGATE(2,5,LineærRegression_Valg[[#This Row],[Tabel ID]])</f>
        <v>1</v>
      </c>
    </row>
    <row r="280" spans="1:8" x14ac:dyDescent="0.2">
      <c r="A280">
        <f>ROW(LineærRegression_Valg[[#This Row],[Tabel ID]])-ROW(LineærRegression_Valg[[#Headers],[Tabel ID]])</f>
        <v>270</v>
      </c>
      <c r="B280" s="171">
        <f>ROUNDDOWN((LineærRegression_Valg[[#This Row],[Tabel ID]]-1)/$B$5,0)+1</f>
        <v>68</v>
      </c>
      <c r="C280" s="171">
        <f t="shared" si="4"/>
        <v>2</v>
      </c>
      <c r="D280" s="171" t="b">
        <f>LineærRegression_Valg[[#This Row],[Afhængig variabel ID]]&lt;&gt;LineærRegression_Valg[[#This Row],[Uafhængig variabel ID]]</f>
        <v>1</v>
      </c>
      <c r="E280" t="b">
        <f>LineærRegression_Valg[[#This Row],[Afhængig variabel ID]]&lt;=$B$5</f>
        <v>0</v>
      </c>
      <c r="F280" t="str" cm="1">
        <f t="array" ref="F280">IF(LineærRegression_Valg[[#This Row],[Indenfor range]],INDEX(DataTitel_liste,LineærRegression_Valg[[#This Row],[Afhængig variabel ID]]),INDEX(DataTitel_liste,1))</f>
        <v>Eksempel 1 (interval)</v>
      </c>
      <c r="G280" s="171" t="str" cm="1">
        <f t="array" ref="G280">IF(LineærRegression_Valg[[#This Row],[Indenfor range]],IF(LineærRegression_Valg[[#This Row],[Intet overlap]],INDEX(DataTitel_liste,LineærRegression_Valg[[#This Row],[Uafhængig variabel ID]]),INDEX(DataTitel_liste,IF(LineærRegression_Valg[[#This Row],[Afhængig variabel ID]]=1,2,1))),$B$7)</f>
        <v>Eksempel 2 (interval)</v>
      </c>
      <c r="H280" s="171">
        <f>_xlfn.AGGREGATE(2,5,LineærRegression_Valg[[#This Row],[Tabel ID]])</f>
        <v>1</v>
      </c>
    </row>
    <row r="281" spans="1:8" x14ac:dyDescent="0.2">
      <c r="A281">
        <f>ROW(LineærRegression_Valg[[#This Row],[Tabel ID]])-ROW(LineærRegression_Valg[[#Headers],[Tabel ID]])</f>
        <v>271</v>
      </c>
      <c r="B281" s="171">
        <f>ROUNDDOWN((LineærRegression_Valg[[#This Row],[Tabel ID]]-1)/$B$5,0)+1</f>
        <v>68</v>
      </c>
      <c r="C281" s="171">
        <f t="shared" si="4"/>
        <v>3</v>
      </c>
      <c r="D281" s="171" t="b">
        <f>LineærRegression_Valg[[#This Row],[Afhængig variabel ID]]&lt;&gt;LineærRegression_Valg[[#This Row],[Uafhængig variabel ID]]</f>
        <v>1</v>
      </c>
      <c r="E281" t="b">
        <f>LineærRegression_Valg[[#This Row],[Afhængig variabel ID]]&lt;=$B$5</f>
        <v>0</v>
      </c>
      <c r="F281" t="str" cm="1">
        <f t="array" ref="F281">IF(LineærRegression_Valg[[#This Row],[Indenfor range]],INDEX(DataTitel_liste,LineærRegression_Valg[[#This Row],[Afhængig variabel ID]]),INDEX(DataTitel_liste,1))</f>
        <v>Eksempel 1 (interval)</v>
      </c>
      <c r="G281" s="171" t="str" cm="1">
        <f t="array" ref="G281">IF(LineærRegression_Valg[[#This Row],[Indenfor range]],IF(LineærRegression_Valg[[#This Row],[Intet overlap]],INDEX(DataTitel_liste,LineærRegression_Valg[[#This Row],[Uafhængig variabel ID]]),INDEX(DataTitel_liste,IF(LineærRegression_Valg[[#This Row],[Afhængig variabel ID]]=1,2,1))),$B$7)</f>
        <v>Eksempel 2 (interval)</v>
      </c>
      <c r="H281" s="171">
        <f>_xlfn.AGGREGATE(2,5,LineærRegression_Valg[[#This Row],[Tabel ID]])</f>
        <v>1</v>
      </c>
    </row>
    <row r="282" spans="1:8" x14ac:dyDescent="0.2">
      <c r="A282">
        <f>ROW(LineærRegression_Valg[[#This Row],[Tabel ID]])-ROW(LineærRegression_Valg[[#Headers],[Tabel ID]])</f>
        <v>272</v>
      </c>
      <c r="B282" s="171">
        <f>ROUNDDOWN((LineærRegression_Valg[[#This Row],[Tabel ID]]-1)/$B$5,0)+1</f>
        <v>68</v>
      </c>
      <c r="C282" s="171">
        <f t="shared" si="4"/>
        <v>4</v>
      </c>
      <c r="D282" s="171" t="b">
        <f>LineærRegression_Valg[[#This Row],[Afhængig variabel ID]]&lt;&gt;LineærRegression_Valg[[#This Row],[Uafhængig variabel ID]]</f>
        <v>1</v>
      </c>
      <c r="E282" t="b">
        <f>LineærRegression_Valg[[#This Row],[Afhængig variabel ID]]&lt;=$B$5</f>
        <v>0</v>
      </c>
      <c r="F282" t="str" cm="1">
        <f t="array" ref="F282">IF(LineærRegression_Valg[[#This Row],[Indenfor range]],INDEX(DataTitel_liste,LineærRegression_Valg[[#This Row],[Afhængig variabel ID]]),INDEX(DataTitel_liste,1))</f>
        <v>Eksempel 1 (interval)</v>
      </c>
      <c r="G282" s="171" t="str" cm="1">
        <f t="array" ref="G282">IF(LineærRegression_Valg[[#This Row],[Indenfor range]],IF(LineærRegression_Valg[[#This Row],[Intet overlap]],INDEX(DataTitel_liste,LineærRegression_Valg[[#This Row],[Uafhængig variabel ID]]),INDEX(DataTitel_liste,IF(LineærRegression_Valg[[#This Row],[Afhængig variabel ID]]=1,2,1))),$B$7)</f>
        <v>Eksempel 2 (interval)</v>
      </c>
      <c r="H282" s="171">
        <f>_xlfn.AGGREGATE(2,5,LineærRegression_Valg[[#This Row],[Tabel ID]])</f>
        <v>1</v>
      </c>
    </row>
    <row r="283" spans="1:8" x14ac:dyDescent="0.2">
      <c r="A283">
        <f>ROW(LineærRegression_Valg[[#This Row],[Tabel ID]])-ROW(LineærRegression_Valg[[#Headers],[Tabel ID]])</f>
        <v>273</v>
      </c>
      <c r="B283" s="171">
        <f>ROUNDDOWN((LineærRegression_Valg[[#This Row],[Tabel ID]]-1)/$B$5,0)+1</f>
        <v>69</v>
      </c>
      <c r="C283" s="171">
        <f t="shared" si="4"/>
        <v>1</v>
      </c>
      <c r="D283" s="171" t="b">
        <f>LineærRegression_Valg[[#This Row],[Afhængig variabel ID]]&lt;&gt;LineærRegression_Valg[[#This Row],[Uafhængig variabel ID]]</f>
        <v>1</v>
      </c>
      <c r="E283" t="b">
        <f>LineærRegression_Valg[[#This Row],[Afhængig variabel ID]]&lt;=$B$5</f>
        <v>0</v>
      </c>
      <c r="F283" t="str" cm="1">
        <f t="array" ref="F283">IF(LineærRegression_Valg[[#This Row],[Indenfor range]],INDEX(DataTitel_liste,LineærRegression_Valg[[#This Row],[Afhængig variabel ID]]),INDEX(DataTitel_liste,1))</f>
        <v>Eksempel 1 (interval)</v>
      </c>
      <c r="G283" s="171" t="str" cm="1">
        <f t="array" ref="G283">IF(LineærRegression_Valg[[#This Row],[Indenfor range]],IF(LineærRegression_Valg[[#This Row],[Intet overlap]],INDEX(DataTitel_liste,LineærRegression_Valg[[#This Row],[Uafhængig variabel ID]]),INDEX(DataTitel_liste,IF(LineærRegression_Valg[[#This Row],[Afhængig variabel ID]]=1,2,1))),$B$7)</f>
        <v>Eksempel 2 (interval)</v>
      </c>
      <c r="H283" s="171">
        <f>_xlfn.AGGREGATE(2,5,LineærRegression_Valg[[#This Row],[Tabel ID]])</f>
        <v>1</v>
      </c>
    </row>
    <row r="284" spans="1:8" x14ac:dyDescent="0.2">
      <c r="A284">
        <f>ROW(LineærRegression_Valg[[#This Row],[Tabel ID]])-ROW(LineærRegression_Valg[[#Headers],[Tabel ID]])</f>
        <v>274</v>
      </c>
      <c r="B284" s="171">
        <f>ROUNDDOWN((LineærRegression_Valg[[#This Row],[Tabel ID]]-1)/$B$5,0)+1</f>
        <v>69</v>
      </c>
      <c r="C284" s="171">
        <f t="shared" si="4"/>
        <v>2</v>
      </c>
      <c r="D284" s="171" t="b">
        <f>LineærRegression_Valg[[#This Row],[Afhængig variabel ID]]&lt;&gt;LineærRegression_Valg[[#This Row],[Uafhængig variabel ID]]</f>
        <v>1</v>
      </c>
      <c r="E284" t="b">
        <f>LineærRegression_Valg[[#This Row],[Afhængig variabel ID]]&lt;=$B$5</f>
        <v>0</v>
      </c>
      <c r="F284" t="str" cm="1">
        <f t="array" ref="F284">IF(LineærRegression_Valg[[#This Row],[Indenfor range]],INDEX(DataTitel_liste,LineærRegression_Valg[[#This Row],[Afhængig variabel ID]]),INDEX(DataTitel_liste,1))</f>
        <v>Eksempel 1 (interval)</v>
      </c>
      <c r="G284" s="171" t="str" cm="1">
        <f t="array" ref="G284">IF(LineærRegression_Valg[[#This Row],[Indenfor range]],IF(LineærRegression_Valg[[#This Row],[Intet overlap]],INDEX(DataTitel_liste,LineærRegression_Valg[[#This Row],[Uafhængig variabel ID]]),INDEX(DataTitel_liste,IF(LineærRegression_Valg[[#This Row],[Afhængig variabel ID]]=1,2,1))),$B$7)</f>
        <v>Eksempel 2 (interval)</v>
      </c>
      <c r="H284" s="171">
        <f>_xlfn.AGGREGATE(2,5,LineærRegression_Valg[[#This Row],[Tabel ID]])</f>
        <v>1</v>
      </c>
    </row>
    <row r="285" spans="1:8" x14ac:dyDescent="0.2">
      <c r="A285">
        <f>ROW(LineærRegression_Valg[[#This Row],[Tabel ID]])-ROW(LineærRegression_Valg[[#Headers],[Tabel ID]])</f>
        <v>275</v>
      </c>
      <c r="B285" s="171">
        <f>ROUNDDOWN((LineærRegression_Valg[[#This Row],[Tabel ID]]-1)/$B$5,0)+1</f>
        <v>69</v>
      </c>
      <c r="C285" s="171">
        <f t="shared" si="4"/>
        <v>3</v>
      </c>
      <c r="D285" s="171" t="b">
        <f>LineærRegression_Valg[[#This Row],[Afhængig variabel ID]]&lt;&gt;LineærRegression_Valg[[#This Row],[Uafhængig variabel ID]]</f>
        <v>1</v>
      </c>
      <c r="E285" t="b">
        <f>LineærRegression_Valg[[#This Row],[Afhængig variabel ID]]&lt;=$B$5</f>
        <v>0</v>
      </c>
      <c r="F285" t="str" cm="1">
        <f t="array" ref="F285">IF(LineærRegression_Valg[[#This Row],[Indenfor range]],INDEX(DataTitel_liste,LineærRegression_Valg[[#This Row],[Afhængig variabel ID]]),INDEX(DataTitel_liste,1))</f>
        <v>Eksempel 1 (interval)</v>
      </c>
      <c r="G285" s="171" t="str" cm="1">
        <f t="array" ref="G285">IF(LineærRegression_Valg[[#This Row],[Indenfor range]],IF(LineærRegression_Valg[[#This Row],[Intet overlap]],INDEX(DataTitel_liste,LineærRegression_Valg[[#This Row],[Uafhængig variabel ID]]),INDEX(DataTitel_liste,IF(LineærRegression_Valg[[#This Row],[Afhængig variabel ID]]=1,2,1))),$B$7)</f>
        <v>Eksempel 2 (interval)</v>
      </c>
      <c r="H285" s="171">
        <f>_xlfn.AGGREGATE(2,5,LineærRegression_Valg[[#This Row],[Tabel ID]])</f>
        <v>1</v>
      </c>
    </row>
    <row r="286" spans="1:8" x14ac:dyDescent="0.2">
      <c r="A286">
        <f>ROW(LineærRegression_Valg[[#This Row],[Tabel ID]])-ROW(LineærRegression_Valg[[#Headers],[Tabel ID]])</f>
        <v>276</v>
      </c>
      <c r="B286" s="171">
        <f>ROUNDDOWN((LineærRegression_Valg[[#This Row],[Tabel ID]]-1)/$B$5,0)+1</f>
        <v>69</v>
      </c>
      <c r="C286" s="171">
        <f t="shared" si="4"/>
        <v>4</v>
      </c>
      <c r="D286" s="171" t="b">
        <f>LineærRegression_Valg[[#This Row],[Afhængig variabel ID]]&lt;&gt;LineærRegression_Valg[[#This Row],[Uafhængig variabel ID]]</f>
        <v>1</v>
      </c>
      <c r="E286" t="b">
        <f>LineærRegression_Valg[[#This Row],[Afhængig variabel ID]]&lt;=$B$5</f>
        <v>0</v>
      </c>
      <c r="F286" t="str" cm="1">
        <f t="array" ref="F286">IF(LineærRegression_Valg[[#This Row],[Indenfor range]],INDEX(DataTitel_liste,LineærRegression_Valg[[#This Row],[Afhængig variabel ID]]),INDEX(DataTitel_liste,1))</f>
        <v>Eksempel 1 (interval)</v>
      </c>
      <c r="G286" s="171" t="str" cm="1">
        <f t="array" ref="G286">IF(LineærRegression_Valg[[#This Row],[Indenfor range]],IF(LineærRegression_Valg[[#This Row],[Intet overlap]],INDEX(DataTitel_liste,LineærRegression_Valg[[#This Row],[Uafhængig variabel ID]]),INDEX(DataTitel_liste,IF(LineærRegression_Valg[[#This Row],[Afhængig variabel ID]]=1,2,1))),$B$7)</f>
        <v>Eksempel 2 (interval)</v>
      </c>
      <c r="H286" s="171">
        <f>_xlfn.AGGREGATE(2,5,LineærRegression_Valg[[#This Row],[Tabel ID]])</f>
        <v>1</v>
      </c>
    </row>
    <row r="287" spans="1:8" x14ac:dyDescent="0.2">
      <c r="A287">
        <f>ROW(LineærRegression_Valg[[#This Row],[Tabel ID]])-ROW(LineærRegression_Valg[[#Headers],[Tabel ID]])</f>
        <v>277</v>
      </c>
      <c r="B287" s="171">
        <f>ROUNDDOWN((LineærRegression_Valg[[#This Row],[Tabel ID]]-1)/$B$5,0)+1</f>
        <v>70</v>
      </c>
      <c r="C287" s="171">
        <f t="shared" si="4"/>
        <v>1</v>
      </c>
      <c r="D287" s="171" t="b">
        <f>LineærRegression_Valg[[#This Row],[Afhængig variabel ID]]&lt;&gt;LineærRegression_Valg[[#This Row],[Uafhængig variabel ID]]</f>
        <v>1</v>
      </c>
      <c r="E287" t="b">
        <f>LineærRegression_Valg[[#This Row],[Afhængig variabel ID]]&lt;=$B$5</f>
        <v>0</v>
      </c>
      <c r="F287" t="str" cm="1">
        <f t="array" ref="F287">IF(LineærRegression_Valg[[#This Row],[Indenfor range]],INDEX(DataTitel_liste,LineærRegression_Valg[[#This Row],[Afhængig variabel ID]]),INDEX(DataTitel_liste,1))</f>
        <v>Eksempel 1 (interval)</v>
      </c>
      <c r="G287" s="171" t="str" cm="1">
        <f t="array" ref="G287">IF(LineærRegression_Valg[[#This Row],[Indenfor range]],IF(LineærRegression_Valg[[#This Row],[Intet overlap]],INDEX(DataTitel_liste,LineærRegression_Valg[[#This Row],[Uafhængig variabel ID]]),INDEX(DataTitel_liste,IF(LineærRegression_Valg[[#This Row],[Afhængig variabel ID]]=1,2,1))),$B$7)</f>
        <v>Eksempel 2 (interval)</v>
      </c>
      <c r="H287" s="171">
        <f>_xlfn.AGGREGATE(2,5,LineærRegression_Valg[[#This Row],[Tabel ID]])</f>
        <v>1</v>
      </c>
    </row>
    <row r="288" spans="1:8" x14ac:dyDescent="0.2">
      <c r="A288">
        <f>ROW(LineærRegression_Valg[[#This Row],[Tabel ID]])-ROW(LineærRegression_Valg[[#Headers],[Tabel ID]])</f>
        <v>278</v>
      </c>
      <c r="B288" s="171">
        <f>ROUNDDOWN((LineærRegression_Valg[[#This Row],[Tabel ID]]-1)/$B$5,0)+1</f>
        <v>70</v>
      </c>
      <c r="C288" s="171">
        <f t="shared" si="4"/>
        <v>2</v>
      </c>
      <c r="D288" s="171" t="b">
        <f>LineærRegression_Valg[[#This Row],[Afhængig variabel ID]]&lt;&gt;LineærRegression_Valg[[#This Row],[Uafhængig variabel ID]]</f>
        <v>1</v>
      </c>
      <c r="E288" t="b">
        <f>LineærRegression_Valg[[#This Row],[Afhængig variabel ID]]&lt;=$B$5</f>
        <v>0</v>
      </c>
      <c r="F288" t="str" cm="1">
        <f t="array" ref="F288">IF(LineærRegression_Valg[[#This Row],[Indenfor range]],INDEX(DataTitel_liste,LineærRegression_Valg[[#This Row],[Afhængig variabel ID]]),INDEX(DataTitel_liste,1))</f>
        <v>Eksempel 1 (interval)</v>
      </c>
      <c r="G288" s="171" t="str" cm="1">
        <f t="array" ref="G288">IF(LineærRegression_Valg[[#This Row],[Indenfor range]],IF(LineærRegression_Valg[[#This Row],[Intet overlap]],INDEX(DataTitel_liste,LineærRegression_Valg[[#This Row],[Uafhængig variabel ID]]),INDEX(DataTitel_liste,IF(LineærRegression_Valg[[#This Row],[Afhængig variabel ID]]=1,2,1))),$B$7)</f>
        <v>Eksempel 2 (interval)</v>
      </c>
      <c r="H288" s="171">
        <f>_xlfn.AGGREGATE(2,5,LineærRegression_Valg[[#This Row],[Tabel ID]])</f>
        <v>1</v>
      </c>
    </row>
    <row r="289" spans="1:8" x14ac:dyDescent="0.2">
      <c r="A289">
        <f>ROW(LineærRegression_Valg[[#This Row],[Tabel ID]])-ROW(LineærRegression_Valg[[#Headers],[Tabel ID]])</f>
        <v>279</v>
      </c>
      <c r="B289" s="171">
        <f>ROUNDDOWN((LineærRegression_Valg[[#This Row],[Tabel ID]]-1)/$B$5,0)+1</f>
        <v>70</v>
      </c>
      <c r="C289" s="171">
        <f t="shared" si="4"/>
        <v>3</v>
      </c>
      <c r="D289" s="171" t="b">
        <f>LineærRegression_Valg[[#This Row],[Afhængig variabel ID]]&lt;&gt;LineærRegression_Valg[[#This Row],[Uafhængig variabel ID]]</f>
        <v>1</v>
      </c>
      <c r="E289" t="b">
        <f>LineærRegression_Valg[[#This Row],[Afhængig variabel ID]]&lt;=$B$5</f>
        <v>0</v>
      </c>
      <c r="F289" t="str" cm="1">
        <f t="array" ref="F289">IF(LineærRegression_Valg[[#This Row],[Indenfor range]],INDEX(DataTitel_liste,LineærRegression_Valg[[#This Row],[Afhængig variabel ID]]),INDEX(DataTitel_liste,1))</f>
        <v>Eksempel 1 (interval)</v>
      </c>
      <c r="G289" s="171" t="str" cm="1">
        <f t="array" ref="G289">IF(LineærRegression_Valg[[#This Row],[Indenfor range]],IF(LineærRegression_Valg[[#This Row],[Intet overlap]],INDEX(DataTitel_liste,LineærRegression_Valg[[#This Row],[Uafhængig variabel ID]]),INDEX(DataTitel_liste,IF(LineærRegression_Valg[[#This Row],[Afhængig variabel ID]]=1,2,1))),$B$7)</f>
        <v>Eksempel 2 (interval)</v>
      </c>
      <c r="H289" s="171">
        <f>_xlfn.AGGREGATE(2,5,LineærRegression_Valg[[#This Row],[Tabel ID]])</f>
        <v>1</v>
      </c>
    </row>
    <row r="290" spans="1:8" x14ac:dyDescent="0.2">
      <c r="A290">
        <f>ROW(LineærRegression_Valg[[#This Row],[Tabel ID]])-ROW(LineærRegression_Valg[[#Headers],[Tabel ID]])</f>
        <v>280</v>
      </c>
      <c r="B290" s="171">
        <f>ROUNDDOWN((LineærRegression_Valg[[#This Row],[Tabel ID]]-1)/$B$5,0)+1</f>
        <v>70</v>
      </c>
      <c r="C290" s="171">
        <f t="shared" si="4"/>
        <v>4</v>
      </c>
      <c r="D290" s="171" t="b">
        <f>LineærRegression_Valg[[#This Row],[Afhængig variabel ID]]&lt;&gt;LineærRegression_Valg[[#This Row],[Uafhængig variabel ID]]</f>
        <v>1</v>
      </c>
      <c r="E290" t="b">
        <f>LineærRegression_Valg[[#This Row],[Afhængig variabel ID]]&lt;=$B$5</f>
        <v>0</v>
      </c>
      <c r="F290" t="str" cm="1">
        <f t="array" ref="F290">IF(LineærRegression_Valg[[#This Row],[Indenfor range]],INDEX(DataTitel_liste,LineærRegression_Valg[[#This Row],[Afhængig variabel ID]]),INDEX(DataTitel_liste,1))</f>
        <v>Eksempel 1 (interval)</v>
      </c>
      <c r="G290" s="171" t="str" cm="1">
        <f t="array" ref="G290">IF(LineærRegression_Valg[[#This Row],[Indenfor range]],IF(LineærRegression_Valg[[#This Row],[Intet overlap]],INDEX(DataTitel_liste,LineærRegression_Valg[[#This Row],[Uafhængig variabel ID]]),INDEX(DataTitel_liste,IF(LineærRegression_Valg[[#This Row],[Afhængig variabel ID]]=1,2,1))),$B$7)</f>
        <v>Eksempel 2 (interval)</v>
      </c>
      <c r="H290" s="171">
        <f>_xlfn.AGGREGATE(2,5,LineærRegression_Valg[[#This Row],[Tabel ID]])</f>
        <v>1</v>
      </c>
    </row>
    <row r="291" spans="1:8" x14ac:dyDescent="0.2">
      <c r="A291">
        <f>ROW(LineærRegression_Valg[[#This Row],[Tabel ID]])-ROW(LineærRegression_Valg[[#Headers],[Tabel ID]])</f>
        <v>281</v>
      </c>
      <c r="B291" s="171">
        <f>ROUNDDOWN((LineærRegression_Valg[[#This Row],[Tabel ID]]-1)/$B$5,0)+1</f>
        <v>71</v>
      </c>
      <c r="C291" s="171">
        <f t="shared" si="4"/>
        <v>1</v>
      </c>
      <c r="D291" s="171" t="b">
        <f>LineærRegression_Valg[[#This Row],[Afhængig variabel ID]]&lt;&gt;LineærRegression_Valg[[#This Row],[Uafhængig variabel ID]]</f>
        <v>1</v>
      </c>
      <c r="E291" t="b">
        <f>LineærRegression_Valg[[#This Row],[Afhængig variabel ID]]&lt;=$B$5</f>
        <v>0</v>
      </c>
      <c r="F291" t="str" cm="1">
        <f t="array" ref="F291">IF(LineærRegression_Valg[[#This Row],[Indenfor range]],INDEX(DataTitel_liste,LineærRegression_Valg[[#This Row],[Afhængig variabel ID]]),INDEX(DataTitel_liste,1))</f>
        <v>Eksempel 1 (interval)</v>
      </c>
      <c r="G291" s="171" t="str" cm="1">
        <f t="array" ref="G291">IF(LineærRegression_Valg[[#This Row],[Indenfor range]],IF(LineærRegression_Valg[[#This Row],[Intet overlap]],INDEX(DataTitel_liste,LineærRegression_Valg[[#This Row],[Uafhængig variabel ID]]),INDEX(DataTitel_liste,IF(LineærRegression_Valg[[#This Row],[Afhængig variabel ID]]=1,2,1))),$B$7)</f>
        <v>Eksempel 2 (interval)</v>
      </c>
      <c r="H291" s="171">
        <f>_xlfn.AGGREGATE(2,5,LineærRegression_Valg[[#This Row],[Tabel ID]])</f>
        <v>1</v>
      </c>
    </row>
    <row r="292" spans="1:8" x14ac:dyDescent="0.2">
      <c r="A292">
        <f>ROW(LineærRegression_Valg[[#This Row],[Tabel ID]])-ROW(LineærRegression_Valg[[#Headers],[Tabel ID]])</f>
        <v>282</v>
      </c>
      <c r="B292" s="171">
        <f>ROUNDDOWN((LineærRegression_Valg[[#This Row],[Tabel ID]]-1)/$B$5,0)+1</f>
        <v>71</v>
      </c>
      <c r="C292" s="171">
        <f t="shared" si="4"/>
        <v>2</v>
      </c>
      <c r="D292" s="171" t="b">
        <f>LineærRegression_Valg[[#This Row],[Afhængig variabel ID]]&lt;&gt;LineærRegression_Valg[[#This Row],[Uafhængig variabel ID]]</f>
        <v>1</v>
      </c>
      <c r="E292" t="b">
        <f>LineærRegression_Valg[[#This Row],[Afhængig variabel ID]]&lt;=$B$5</f>
        <v>0</v>
      </c>
      <c r="F292" t="str" cm="1">
        <f t="array" ref="F292">IF(LineærRegression_Valg[[#This Row],[Indenfor range]],INDEX(DataTitel_liste,LineærRegression_Valg[[#This Row],[Afhængig variabel ID]]),INDEX(DataTitel_liste,1))</f>
        <v>Eksempel 1 (interval)</v>
      </c>
      <c r="G292" s="171" t="str" cm="1">
        <f t="array" ref="G292">IF(LineærRegression_Valg[[#This Row],[Indenfor range]],IF(LineærRegression_Valg[[#This Row],[Intet overlap]],INDEX(DataTitel_liste,LineærRegression_Valg[[#This Row],[Uafhængig variabel ID]]),INDEX(DataTitel_liste,IF(LineærRegression_Valg[[#This Row],[Afhængig variabel ID]]=1,2,1))),$B$7)</f>
        <v>Eksempel 2 (interval)</v>
      </c>
      <c r="H292" s="171">
        <f>_xlfn.AGGREGATE(2,5,LineærRegression_Valg[[#This Row],[Tabel ID]])</f>
        <v>1</v>
      </c>
    </row>
    <row r="293" spans="1:8" x14ac:dyDescent="0.2">
      <c r="A293">
        <f>ROW(LineærRegression_Valg[[#This Row],[Tabel ID]])-ROW(LineærRegression_Valg[[#Headers],[Tabel ID]])</f>
        <v>283</v>
      </c>
      <c r="B293" s="171">
        <f>ROUNDDOWN((LineærRegression_Valg[[#This Row],[Tabel ID]]-1)/$B$5,0)+1</f>
        <v>71</v>
      </c>
      <c r="C293" s="171">
        <f t="shared" si="4"/>
        <v>3</v>
      </c>
      <c r="D293" s="171" t="b">
        <f>LineærRegression_Valg[[#This Row],[Afhængig variabel ID]]&lt;&gt;LineærRegression_Valg[[#This Row],[Uafhængig variabel ID]]</f>
        <v>1</v>
      </c>
      <c r="E293" t="b">
        <f>LineærRegression_Valg[[#This Row],[Afhængig variabel ID]]&lt;=$B$5</f>
        <v>0</v>
      </c>
      <c r="F293" t="str" cm="1">
        <f t="array" ref="F293">IF(LineærRegression_Valg[[#This Row],[Indenfor range]],INDEX(DataTitel_liste,LineærRegression_Valg[[#This Row],[Afhængig variabel ID]]),INDEX(DataTitel_liste,1))</f>
        <v>Eksempel 1 (interval)</v>
      </c>
      <c r="G293" s="171" t="str" cm="1">
        <f t="array" ref="G293">IF(LineærRegression_Valg[[#This Row],[Indenfor range]],IF(LineærRegression_Valg[[#This Row],[Intet overlap]],INDEX(DataTitel_liste,LineærRegression_Valg[[#This Row],[Uafhængig variabel ID]]),INDEX(DataTitel_liste,IF(LineærRegression_Valg[[#This Row],[Afhængig variabel ID]]=1,2,1))),$B$7)</f>
        <v>Eksempel 2 (interval)</v>
      </c>
      <c r="H293" s="171">
        <f>_xlfn.AGGREGATE(2,5,LineærRegression_Valg[[#This Row],[Tabel ID]])</f>
        <v>1</v>
      </c>
    </row>
    <row r="294" spans="1:8" x14ac:dyDescent="0.2">
      <c r="A294">
        <f>ROW(LineærRegression_Valg[[#This Row],[Tabel ID]])-ROW(LineærRegression_Valg[[#Headers],[Tabel ID]])</f>
        <v>284</v>
      </c>
      <c r="B294" s="171">
        <f>ROUNDDOWN((LineærRegression_Valg[[#This Row],[Tabel ID]]-1)/$B$5,0)+1</f>
        <v>71</v>
      </c>
      <c r="C294" s="171">
        <f t="shared" si="4"/>
        <v>4</v>
      </c>
      <c r="D294" s="171" t="b">
        <f>LineærRegression_Valg[[#This Row],[Afhængig variabel ID]]&lt;&gt;LineærRegression_Valg[[#This Row],[Uafhængig variabel ID]]</f>
        <v>1</v>
      </c>
      <c r="E294" t="b">
        <f>LineærRegression_Valg[[#This Row],[Afhængig variabel ID]]&lt;=$B$5</f>
        <v>0</v>
      </c>
      <c r="F294" t="str" cm="1">
        <f t="array" ref="F294">IF(LineærRegression_Valg[[#This Row],[Indenfor range]],INDEX(DataTitel_liste,LineærRegression_Valg[[#This Row],[Afhængig variabel ID]]),INDEX(DataTitel_liste,1))</f>
        <v>Eksempel 1 (interval)</v>
      </c>
      <c r="G294" s="171" t="str" cm="1">
        <f t="array" ref="G294">IF(LineærRegression_Valg[[#This Row],[Indenfor range]],IF(LineærRegression_Valg[[#This Row],[Intet overlap]],INDEX(DataTitel_liste,LineærRegression_Valg[[#This Row],[Uafhængig variabel ID]]),INDEX(DataTitel_liste,IF(LineærRegression_Valg[[#This Row],[Afhængig variabel ID]]=1,2,1))),$B$7)</f>
        <v>Eksempel 2 (interval)</v>
      </c>
      <c r="H294" s="171">
        <f>_xlfn.AGGREGATE(2,5,LineærRegression_Valg[[#This Row],[Tabel ID]])</f>
        <v>1</v>
      </c>
    </row>
    <row r="295" spans="1:8" x14ac:dyDescent="0.2">
      <c r="A295">
        <f>ROW(LineærRegression_Valg[[#This Row],[Tabel ID]])-ROW(LineærRegression_Valg[[#Headers],[Tabel ID]])</f>
        <v>285</v>
      </c>
      <c r="B295" s="171">
        <f>ROUNDDOWN((LineærRegression_Valg[[#This Row],[Tabel ID]]-1)/$B$5,0)+1</f>
        <v>72</v>
      </c>
      <c r="C295" s="171">
        <f t="shared" si="4"/>
        <v>1</v>
      </c>
      <c r="D295" s="171" t="b">
        <f>LineærRegression_Valg[[#This Row],[Afhængig variabel ID]]&lt;&gt;LineærRegression_Valg[[#This Row],[Uafhængig variabel ID]]</f>
        <v>1</v>
      </c>
      <c r="E295" t="b">
        <f>LineærRegression_Valg[[#This Row],[Afhængig variabel ID]]&lt;=$B$5</f>
        <v>0</v>
      </c>
      <c r="F295" t="str" cm="1">
        <f t="array" ref="F295">IF(LineærRegression_Valg[[#This Row],[Indenfor range]],INDEX(DataTitel_liste,LineærRegression_Valg[[#This Row],[Afhængig variabel ID]]),INDEX(DataTitel_liste,1))</f>
        <v>Eksempel 1 (interval)</v>
      </c>
      <c r="G295" s="171" t="str" cm="1">
        <f t="array" ref="G295">IF(LineærRegression_Valg[[#This Row],[Indenfor range]],IF(LineærRegression_Valg[[#This Row],[Intet overlap]],INDEX(DataTitel_liste,LineærRegression_Valg[[#This Row],[Uafhængig variabel ID]]),INDEX(DataTitel_liste,IF(LineærRegression_Valg[[#This Row],[Afhængig variabel ID]]=1,2,1))),$B$7)</f>
        <v>Eksempel 2 (interval)</v>
      </c>
      <c r="H295" s="171">
        <f>_xlfn.AGGREGATE(2,5,LineærRegression_Valg[[#This Row],[Tabel ID]])</f>
        <v>1</v>
      </c>
    </row>
    <row r="296" spans="1:8" x14ac:dyDescent="0.2">
      <c r="A296">
        <f>ROW(LineærRegression_Valg[[#This Row],[Tabel ID]])-ROW(LineærRegression_Valg[[#Headers],[Tabel ID]])</f>
        <v>286</v>
      </c>
      <c r="B296" s="171">
        <f>ROUNDDOWN((LineærRegression_Valg[[#This Row],[Tabel ID]]-1)/$B$5,0)+1</f>
        <v>72</v>
      </c>
      <c r="C296" s="171">
        <f t="shared" si="4"/>
        <v>2</v>
      </c>
      <c r="D296" s="171" t="b">
        <f>LineærRegression_Valg[[#This Row],[Afhængig variabel ID]]&lt;&gt;LineærRegression_Valg[[#This Row],[Uafhængig variabel ID]]</f>
        <v>1</v>
      </c>
      <c r="E296" t="b">
        <f>LineærRegression_Valg[[#This Row],[Afhængig variabel ID]]&lt;=$B$5</f>
        <v>0</v>
      </c>
      <c r="F296" t="str" cm="1">
        <f t="array" ref="F296">IF(LineærRegression_Valg[[#This Row],[Indenfor range]],INDEX(DataTitel_liste,LineærRegression_Valg[[#This Row],[Afhængig variabel ID]]),INDEX(DataTitel_liste,1))</f>
        <v>Eksempel 1 (interval)</v>
      </c>
      <c r="G296" s="171" t="str" cm="1">
        <f t="array" ref="G296">IF(LineærRegression_Valg[[#This Row],[Indenfor range]],IF(LineærRegression_Valg[[#This Row],[Intet overlap]],INDEX(DataTitel_liste,LineærRegression_Valg[[#This Row],[Uafhængig variabel ID]]),INDEX(DataTitel_liste,IF(LineærRegression_Valg[[#This Row],[Afhængig variabel ID]]=1,2,1))),$B$7)</f>
        <v>Eksempel 2 (interval)</v>
      </c>
      <c r="H296" s="171">
        <f>_xlfn.AGGREGATE(2,5,LineærRegression_Valg[[#This Row],[Tabel ID]])</f>
        <v>1</v>
      </c>
    </row>
    <row r="297" spans="1:8" x14ac:dyDescent="0.2">
      <c r="A297">
        <f>ROW(LineærRegression_Valg[[#This Row],[Tabel ID]])-ROW(LineærRegression_Valg[[#Headers],[Tabel ID]])</f>
        <v>287</v>
      </c>
      <c r="B297" s="171">
        <f>ROUNDDOWN((LineærRegression_Valg[[#This Row],[Tabel ID]]-1)/$B$5,0)+1</f>
        <v>72</v>
      </c>
      <c r="C297" s="171">
        <f t="shared" si="4"/>
        <v>3</v>
      </c>
      <c r="D297" s="171" t="b">
        <f>LineærRegression_Valg[[#This Row],[Afhængig variabel ID]]&lt;&gt;LineærRegression_Valg[[#This Row],[Uafhængig variabel ID]]</f>
        <v>1</v>
      </c>
      <c r="E297" t="b">
        <f>LineærRegression_Valg[[#This Row],[Afhængig variabel ID]]&lt;=$B$5</f>
        <v>0</v>
      </c>
      <c r="F297" t="str" cm="1">
        <f t="array" ref="F297">IF(LineærRegression_Valg[[#This Row],[Indenfor range]],INDEX(DataTitel_liste,LineærRegression_Valg[[#This Row],[Afhængig variabel ID]]),INDEX(DataTitel_liste,1))</f>
        <v>Eksempel 1 (interval)</v>
      </c>
      <c r="G297" s="171" t="str" cm="1">
        <f t="array" ref="G297">IF(LineærRegression_Valg[[#This Row],[Indenfor range]],IF(LineærRegression_Valg[[#This Row],[Intet overlap]],INDEX(DataTitel_liste,LineærRegression_Valg[[#This Row],[Uafhængig variabel ID]]),INDEX(DataTitel_liste,IF(LineærRegression_Valg[[#This Row],[Afhængig variabel ID]]=1,2,1))),$B$7)</f>
        <v>Eksempel 2 (interval)</v>
      </c>
      <c r="H297" s="171">
        <f>_xlfn.AGGREGATE(2,5,LineærRegression_Valg[[#This Row],[Tabel ID]])</f>
        <v>1</v>
      </c>
    </row>
    <row r="298" spans="1:8" x14ac:dyDescent="0.2">
      <c r="A298">
        <f>ROW(LineærRegression_Valg[[#This Row],[Tabel ID]])-ROW(LineærRegression_Valg[[#Headers],[Tabel ID]])</f>
        <v>288</v>
      </c>
      <c r="B298" s="171">
        <f>ROUNDDOWN((LineærRegression_Valg[[#This Row],[Tabel ID]]-1)/$B$5,0)+1</f>
        <v>72</v>
      </c>
      <c r="C298" s="171">
        <f t="shared" si="4"/>
        <v>4</v>
      </c>
      <c r="D298" s="171" t="b">
        <f>LineærRegression_Valg[[#This Row],[Afhængig variabel ID]]&lt;&gt;LineærRegression_Valg[[#This Row],[Uafhængig variabel ID]]</f>
        <v>1</v>
      </c>
      <c r="E298" t="b">
        <f>LineærRegression_Valg[[#This Row],[Afhængig variabel ID]]&lt;=$B$5</f>
        <v>0</v>
      </c>
      <c r="F298" t="str" cm="1">
        <f t="array" ref="F298">IF(LineærRegression_Valg[[#This Row],[Indenfor range]],INDEX(DataTitel_liste,LineærRegression_Valg[[#This Row],[Afhængig variabel ID]]),INDEX(DataTitel_liste,1))</f>
        <v>Eksempel 1 (interval)</v>
      </c>
      <c r="G298" s="171" t="str" cm="1">
        <f t="array" ref="G298">IF(LineærRegression_Valg[[#This Row],[Indenfor range]],IF(LineærRegression_Valg[[#This Row],[Intet overlap]],INDEX(DataTitel_liste,LineærRegression_Valg[[#This Row],[Uafhængig variabel ID]]),INDEX(DataTitel_liste,IF(LineærRegression_Valg[[#This Row],[Afhængig variabel ID]]=1,2,1))),$B$7)</f>
        <v>Eksempel 2 (interval)</v>
      </c>
      <c r="H298" s="171">
        <f>_xlfn.AGGREGATE(2,5,LineærRegression_Valg[[#This Row],[Tabel ID]])</f>
        <v>1</v>
      </c>
    </row>
    <row r="299" spans="1:8" x14ac:dyDescent="0.2">
      <c r="A299">
        <f>ROW(LineærRegression_Valg[[#This Row],[Tabel ID]])-ROW(LineærRegression_Valg[[#Headers],[Tabel ID]])</f>
        <v>289</v>
      </c>
      <c r="B299" s="171">
        <f>ROUNDDOWN((LineærRegression_Valg[[#This Row],[Tabel ID]]-1)/$B$5,0)+1</f>
        <v>73</v>
      </c>
      <c r="C299" s="171">
        <f t="shared" si="4"/>
        <v>1</v>
      </c>
      <c r="D299" s="171" t="b">
        <f>LineærRegression_Valg[[#This Row],[Afhængig variabel ID]]&lt;&gt;LineærRegression_Valg[[#This Row],[Uafhængig variabel ID]]</f>
        <v>1</v>
      </c>
      <c r="E299" t="b">
        <f>LineærRegression_Valg[[#This Row],[Afhængig variabel ID]]&lt;=$B$5</f>
        <v>0</v>
      </c>
      <c r="F299" t="str" cm="1">
        <f t="array" ref="F299">IF(LineærRegression_Valg[[#This Row],[Indenfor range]],INDEX(DataTitel_liste,LineærRegression_Valg[[#This Row],[Afhængig variabel ID]]),INDEX(DataTitel_liste,1))</f>
        <v>Eksempel 1 (interval)</v>
      </c>
      <c r="G299" s="171" t="str" cm="1">
        <f t="array" ref="G299">IF(LineærRegression_Valg[[#This Row],[Indenfor range]],IF(LineærRegression_Valg[[#This Row],[Intet overlap]],INDEX(DataTitel_liste,LineærRegression_Valg[[#This Row],[Uafhængig variabel ID]]),INDEX(DataTitel_liste,IF(LineærRegression_Valg[[#This Row],[Afhængig variabel ID]]=1,2,1))),$B$7)</f>
        <v>Eksempel 2 (interval)</v>
      </c>
      <c r="H299" s="171">
        <f>_xlfn.AGGREGATE(2,5,LineærRegression_Valg[[#This Row],[Tabel ID]])</f>
        <v>1</v>
      </c>
    </row>
    <row r="300" spans="1:8" x14ac:dyDescent="0.2">
      <c r="A300">
        <f>ROW(LineærRegression_Valg[[#This Row],[Tabel ID]])-ROW(LineærRegression_Valg[[#Headers],[Tabel ID]])</f>
        <v>290</v>
      </c>
      <c r="B300" s="171">
        <f>ROUNDDOWN((LineærRegression_Valg[[#This Row],[Tabel ID]]-1)/$B$5,0)+1</f>
        <v>73</v>
      </c>
      <c r="C300" s="171">
        <f t="shared" si="4"/>
        <v>2</v>
      </c>
      <c r="D300" s="171" t="b">
        <f>LineærRegression_Valg[[#This Row],[Afhængig variabel ID]]&lt;&gt;LineærRegression_Valg[[#This Row],[Uafhængig variabel ID]]</f>
        <v>1</v>
      </c>
      <c r="E300" t="b">
        <f>LineærRegression_Valg[[#This Row],[Afhængig variabel ID]]&lt;=$B$5</f>
        <v>0</v>
      </c>
      <c r="F300" t="str" cm="1">
        <f t="array" ref="F300">IF(LineærRegression_Valg[[#This Row],[Indenfor range]],INDEX(DataTitel_liste,LineærRegression_Valg[[#This Row],[Afhængig variabel ID]]),INDEX(DataTitel_liste,1))</f>
        <v>Eksempel 1 (interval)</v>
      </c>
      <c r="G300" s="171" t="str" cm="1">
        <f t="array" ref="G300">IF(LineærRegression_Valg[[#This Row],[Indenfor range]],IF(LineærRegression_Valg[[#This Row],[Intet overlap]],INDEX(DataTitel_liste,LineærRegression_Valg[[#This Row],[Uafhængig variabel ID]]),INDEX(DataTitel_liste,IF(LineærRegression_Valg[[#This Row],[Afhængig variabel ID]]=1,2,1))),$B$7)</f>
        <v>Eksempel 2 (interval)</v>
      </c>
      <c r="H300" s="171">
        <f>_xlfn.AGGREGATE(2,5,LineærRegression_Valg[[#This Row],[Tabel ID]])</f>
        <v>1</v>
      </c>
    </row>
    <row r="301" spans="1:8" x14ac:dyDescent="0.2">
      <c r="A301">
        <f>ROW(LineærRegression_Valg[[#This Row],[Tabel ID]])-ROW(LineærRegression_Valg[[#Headers],[Tabel ID]])</f>
        <v>291</v>
      </c>
      <c r="B301" s="171">
        <f>ROUNDDOWN((LineærRegression_Valg[[#This Row],[Tabel ID]]-1)/$B$5,0)+1</f>
        <v>73</v>
      </c>
      <c r="C301" s="171">
        <f t="shared" si="4"/>
        <v>3</v>
      </c>
      <c r="D301" s="171" t="b">
        <f>LineærRegression_Valg[[#This Row],[Afhængig variabel ID]]&lt;&gt;LineærRegression_Valg[[#This Row],[Uafhængig variabel ID]]</f>
        <v>1</v>
      </c>
      <c r="E301" t="b">
        <f>LineærRegression_Valg[[#This Row],[Afhængig variabel ID]]&lt;=$B$5</f>
        <v>0</v>
      </c>
      <c r="F301" t="str" cm="1">
        <f t="array" ref="F301">IF(LineærRegression_Valg[[#This Row],[Indenfor range]],INDEX(DataTitel_liste,LineærRegression_Valg[[#This Row],[Afhængig variabel ID]]),INDEX(DataTitel_liste,1))</f>
        <v>Eksempel 1 (interval)</v>
      </c>
      <c r="G301" s="171" t="str" cm="1">
        <f t="array" ref="G301">IF(LineærRegression_Valg[[#This Row],[Indenfor range]],IF(LineærRegression_Valg[[#This Row],[Intet overlap]],INDEX(DataTitel_liste,LineærRegression_Valg[[#This Row],[Uafhængig variabel ID]]),INDEX(DataTitel_liste,IF(LineærRegression_Valg[[#This Row],[Afhængig variabel ID]]=1,2,1))),$B$7)</f>
        <v>Eksempel 2 (interval)</v>
      </c>
      <c r="H301" s="171">
        <f>_xlfn.AGGREGATE(2,5,LineærRegression_Valg[[#This Row],[Tabel ID]])</f>
        <v>1</v>
      </c>
    </row>
    <row r="302" spans="1:8" x14ac:dyDescent="0.2">
      <c r="A302">
        <f>ROW(LineærRegression_Valg[[#This Row],[Tabel ID]])-ROW(LineærRegression_Valg[[#Headers],[Tabel ID]])</f>
        <v>292</v>
      </c>
      <c r="B302" s="171">
        <f>ROUNDDOWN((LineærRegression_Valg[[#This Row],[Tabel ID]]-1)/$B$5,0)+1</f>
        <v>73</v>
      </c>
      <c r="C302" s="171">
        <f t="shared" si="4"/>
        <v>4</v>
      </c>
      <c r="D302" s="171" t="b">
        <f>LineærRegression_Valg[[#This Row],[Afhængig variabel ID]]&lt;&gt;LineærRegression_Valg[[#This Row],[Uafhængig variabel ID]]</f>
        <v>1</v>
      </c>
      <c r="E302" t="b">
        <f>LineærRegression_Valg[[#This Row],[Afhængig variabel ID]]&lt;=$B$5</f>
        <v>0</v>
      </c>
      <c r="F302" t="str" cm="1">
        <f t="array" ref="F302">IF(LineærRegression_Valg[[#This Row],[Indenfor range]],INDEX(DataTitel_liste,LineærRegression_Valg[[#This Row],[Afhængig variabel ID]]),INDEX(DataTitel_liste,1))</f>
        <v>Eksempel 1 (interval)</v>
      </c>
      <c r="G302" s="171" t="str" cm="1">
        <f t="array" ref="G302">IF(LineærRegression_Valg[[#This Row],[Indenfor range]],IF(LineærRegression_Valg[[#This Row],[Intet overlap]],INDEX(DataTitel_liste,LineærRegression_Valg[[#This Row],[Uafhængig variabel ID]]),INDEX(DataTitel_liste,IF(LineærRegression_Valg[[#This Row],[Afhængig variabel ID]]=1,2,1))),$B$7)</f>
        <v>Eksempel 2 (interval)</v>
      </c>
      <c r="H302" s="171">
        <f>_xlfn.AGGREGATE(2,5,LineærRegression_Valg[[#This Row],[Tabel ID]])</f>
        <v>1</v>
      </c>
    </row>
    <row r="303" spans="1:8" x14ac:dyDescent="0.2">
      <c r="A303">
        <f>ROW(LineærRegression_Valg[[#This Row],[Tabel ID]])-ROW(LineærRegression_Valg[[#Headers],[Tabel ID]])</f>
        <v>293</v>
      </c>
      <c r="B303" s="171">
        <f>ROUNDDOWN((LineærRegression_Valg[[#This Row],[Tabel ID]]-1)/$B$5,0)+1</f>
        <v>74</v>
      </c>
      <c r="C303" s="171">
        <f t="shared" si="4"/>
        <v>1</v>
      </c>
      <c r="D303" s="171" t="b">
        <f>LineærRegression_Valg[[#This Row],[Afhængig variabel ID]]&lt;&gt;LineærRegression_Valg[[#This Row],[Uafhængig variabel ID]]</f>
        <v>1</v>
      </c>
      <c r="E303" t="b">
        <f>LineærRegression_Valg[[#This Row],[Afhængig variabel ID]]&lt;=$B$5</f>
        <v>0</v>
      </c>
      <c r="F303" t="str" cm="1">
        <f t="array" ref="F303">IF(LineærRegression_Valg[[#This Row],[Indenfor range]],INDEX(DataTitel_liste,LineærRegression_Valg[[#This Row],[Afhængig variabel ID]]),INDEX(DataTitel_liste,1))</f>
        <v>Eksempel 1 (interval)</v>
      </c>
      <c r="G303" s="171" t="str" cm="1">
        <f t="array" ref="G303">IF(LineærRegression_Valg[[#This Row],[Indenfor range]],IF(LineærRegression_Valg[[#This Row],[Intet overlap]],INDEX(DataTitel_liste,LineærRegression_Valg[[#This Row],[Uafhængig variabel ID]]),INDEX(DataTitel_liste,IF(LineærRegression_Valg[[#This Row],[Afhængig variabel ID]]=1,2,1))),$B$7)</f>
        <v>Eksempel 2 (interval)</v>
      </c>
      <c r="H303" s="171">
        <f>_xlfn.AGGREGATE(2,5,LineærRegression_Valg[[#This Row],[Tabel ID]])</f>
        <v>1</v>
      </c>
    </row>
    <row r="304" spans="1:8" x14ac:dyDescent="0.2">
      <c r="A304">
        <f>ROW(LineærRegression_Valg[[#This Row],[Tabel ID]])-ROW(LineærRegression_Valg[[#Headers],[Tabel ID]])</f>
        <v>294</v>
      </c>
      <c r="B304" s="171">
        <f>ROUNDDOWN((LineærRegression_Valg[[#This Row],[Tabel ID]]-1)/$B$5,0)+1</f>
        <v>74</v>
      </c>
      <c r="C304" s="171">
        <f t="shared" si="4"/>
        <v>2</v>
      </c>
      <c r="D304" s="171" t="b">
        <f>LineærRegression_Valg[[#This Row],[Afhængig variabel ID]]&lt;&gt;LineærRegression_Valg[[#This Row],[Uafhængig variabel ID]]</f>
        <v>1</v>
      </c>
      <c r="E304" t="b">
        <f>LineærRegression_Valg[[#This Row],[Afhængig variabel ID]]&lt;=$B$5</f>
        <v>0</v>
      </c>
      <c r="F304" t="str" cm="1">
        <f t="array" ref="F304">IF(LineærRegression_Valg[[#This Row],[Indenfor range]],INDEX(DataTitel_liste,LineærRegression_Valg[[#This Row],[Afhængig variabel ID]]),INDEX(DataTitel_liste,1))</f>
        <v>Eksempel 1 (interval)</v>
      </c>
      <c r="G304" s="171" t="str" cm="1">
        <f t="array" ref="G304">IF(LineærRegression_Valg[[#This Row],[Indenfor range]],IF(LineærRegression_Valg[[#This Row],[Intet overlap]],INDEX(DataTitel_liste,LineærRegression_Valg[[#This Row],[Uafhængig variabel ID]]),INDEX(DataTitel_liste,IF(LineærRegression_Valg[[#This Row],[Afhængig variabel ID]]=1,2,1))),$B$7)</f>
        <v>Eksempel 2 (interval)</v>
      </c>
      <c r="H304" s="171">
        <f>_xlfn.AGGREGATE(2,5,LineærRegression_Valg[[#This Row],[Tabel ID]])</f>
        <v>1</v>
      </c>
    </row>
    <row r="305" spans="1:8" x14ac:dyDescent="0.2">
      <c r="A305">
        <f>ROW(LineærRegression_Valg[[#This Row],[Tabel ID]])-ROW(LineærRegression_Valg[[#Headers],[Tabel ID]])</f>
        <v>295</v>
      </c>
      <c r="B305" s="171">
        <f>ROUNDDOWN((LineærRegression_Valg[[#This Row],[Tabel ID]]-1)/$B$5,0)+1</f>
        <v>74</v>
      </c>
      <c r="C305" s="171">
        <f t="shared" si="4"/>
        <v>3</v>
      </c>
      <c r="D305" s="171" t="b">
        <f>LineærRegression_Valg[[#This Row],[Afhængig variabel ID]]&lt;&gt;LineærRegression_Valg[[#This Row],[Uafhængig variabel ID]]</f>
        <v>1</v>
      </c>
      <c r="E305" t="b">
        <f>LineærRegression_Valg[[#This Row],[Afhængig variabel ID]]&lt;=$B$5</f>
        <v>0</v>
      </c>
      <c r="F305" t="str" cm="1">
        <f t="array" ref="F305">IF(LineærRegression_Valg[[#This Row],[Indenfor range]],INDEX(DataTitel_liste,LineærRegression_Valg[[#This Row],[Afhængig variabel ID]]),INDEX(DataTitel_liste,1))</f>
        <v>Eksempel 1 (interval)</v>
      </c>
      <c r="G305" s="171" t="str" cm="1">
        <f t="array" ref="G305">IF(LineærRegression_Valg[[#This Row],[Indenfor range]],IF(LineærRegression_Valg[[#This Row],[Intet overlap]],INDEX(DataTitel_liste,LineærRegression_Valg[[#This Row],[Uafhængig variabel ID]]),INDEX(DataTitel_liste,IF(LineærRegression_Valg[[#This Row],[Afhængig variabel ID]]=1,2,1))),$B$7)</f>
        <v>Eksempel 2 (interval)</v>
      </c>
      <c r="H305" s="171">
        <f>_xlfn.AGGREGATE(2,5,LineærRegression_Valg[[#This Row],[Tabel ID]])</f>
        <v>1</v>
      </c>
    </row>
    <row r="306" spans="1:8" x14ac:dyDescent="0.2">
      <c r="A306">
        <f>ROW(LineærRegression_Valg[[#This Row],[Tabel ID]])-ROW(LineærRegression_Valg[[#Headers],[Tabel ID]])</f>
        <v>296</v>
      </c>
      <c r="B306" s="171">
        <f>ROUNDDOWN((LineærRegression_Valg[[#This Row],[Tabel ID]]-1)/$B$5,0)+1</f>
        <v>74</v>
      </c>
      <c r="C306" s="171">
        <f t="shared" si="4"/>
        <v>4</v>
      </c>
      <c r="D306" s="171" t="b">
        <f>LineærRegression_Valg[[#This Row],[Afhængig variabel ID]]&lt;&gt;LineærRegression_Valg[[#This Row],[Uafhængig variabel ID]]</f>
        <v>1</v>
      </c>
      <c r="E306" t="b">
        <f>LineærRegression_Valg[[#This Row],[Afhængig variabel ID]]&lt;=$B$5</f>
        <v>0</v>
      </c>
      <c r="F306" t="str" cm="1">
        <f t="array" ref="F306">IF(LineærRegression_Valg[[#This Row],[Indenfor range]],INDEX(DataTitel_liste,LineærRegression_Valg[[#This Row],[Afhængig variabel ID]]),INDEX(DataTitel_liste,1))</f>
        <v>Eksempel 1 (interval)</v>
      </c>
      <c r="G306" s="171" t="str" cm="1">
        <f t="array" ref="G306">IF(LineærRegression_Valg[[#This Row],[Indenfor range]],IF(LineærRegression_Valg[[#This Row],[Intet overlap]],INDEX(DataTitel_liste,LineærRegression_Valg[[#This Row],[Uafhængig variabel ID]]),INDEX(DataTitel_liste,IF(LineærRegression_Valg[[#This Row],[Afhængig variabel ID]]=1,2,1))),$B$7)</f>
        <v>Eksempel 2 (interval)</v>
      </c>
      <c r="H306" s="171">
        <f>_xlfn.AGGREGATE(2,5,LineærRegression_Valg[[#This Row],[Tabel ID]])</f>
        <v>1</v>
      </c>
    </row>
    <row r="307" spans="1:8" x14ac:dyDescent="0.2">
      <c r="A307">
        <f>ROW(LineærRegression_Valg[[#This Row],[Tabel ID]])-ROW(LineærRegression_Valg[[#Headers],[Tabel ID]])</f>
        <v>297</v>
      </c>
      <c r="B307" s="171">
        <f>ROUNDDOWN((LineærRegression_Valg[[#This Row],[Tabel ID]]-1)/$B$5,0)+1</f>
        <v>75</v>
      </c>
      <c r="C307" s="171">
        <f t="shared" si="4"/>
        <v>1</v>
      </c>
      <c r="D307" s="171" t="b">
        <f>LineærRegression_Valg[[#This Row],[Afhængig variabel ID]]&lt;&gt;LineærRegression_Valg[[#This Row],[Uafhængig variabel ID]]</f>
        <v>1</v>
      </c>
      <c r="E307" t="b">
        <f>LineærRegression_Valg[[#This Row],[Afhængig variabel ID]]&lt;=$B$5</f>
        <v>0</v>
      </c>
      <c r="F307" t="str" cm="1">
        <f t="array" ref="F307">IF(LineærRegression_Valg[[#This Row],[Indenfor range]],INDEX(DataTitel_liste,LineærRegression_Valg[[#This Row],[Afhængig variabel ID]]),INDEX(DataTitel_liste,1))</f>
        <v>Eksempel 1 (interval)</v>
      </c>
      <c r="G307" s="171" t="str" cm="1">
        <f t="array" ref="G307">IF(LineærRegression_Valg[[#This Row],[Indenfor range]],IF(LineærRegression_Valg[[#This Row],[Intet overlap]],INDEX(DataTitel_liste,LineærRegression_Valg[[#This Row],[Uafhængig variabel ID]]),INDEX(DataTitel_liste,IF(LineærRegression_Valg[[#This Row],[Afhængig variabel ID]]=1,2,1))),$B$7)</f>
        <v>Eksempel 2 (interval)</v>
      </c>
      <c r="H307" s="171">
        <f>_xlfn.AGGREGATE(2,5,LineærRegression_Valg[[#This Row],[Tabel ID]])</f>
        <v>1</v>
      </c>
    </row>
    <row r="308" spans="1:8" x14ac:dyDescent="0.2">
      <c r="A308">
        <f>ROW(LineærRegression_Valg[[#This Row],[Tabel ID]])-ROW(LineærRegression_Valg[[#Headers],[Tabel ID]])</f>
        <v>298</v>
      </c>
      <c r="B308" s="171">
        <f>ROUNDDOWN((LineærRegression_Valg[[#This Row],[Tabel ID]]-1)/$B$5,0)+1</f>
        <v>75</v>
      </c>
      <c r="C308" s="171">
        <f t="shared" si="4"/>
        <v>2</v>
      </c>
      <c r="D308" s="171" t="b">
        <f>LineærRegression_Valg[[#This Row],[Afhængig variabel ID]]&lt;&gt;LineærRegression_Valg[[#This Row],[Uafhængig variabel ID]]</f>
        <v>1</v>
      </c>
      <c r="E308" t="b">
        <f>LineærRegression_Valg[[#This Row],[Afhængig variabel ID]]&lt;=$B$5</f>
        <v>0</v>
      </c>
      <c r="F308" t="str" cm="1">
        <f t="array" ref="F308">IF(LineærRegression_Valg[[#This Row],[Indenfor range]],INDEX(DataTitel_liste,LineærRegression_Valg[[#This Row],[Afhængig variabel ID]]),INDEX(DataTitel_liste,1))</f>
        <v>Eksempel 1 (interval)</v>
      </c>
      <c r="G308" s="171" t="str" cm="1">
        <f t="array" ref="G308">IF(LineærRegression_Valg[[#This Row],[Indenfor range]],IF(LineærRegression_Valg[[#This Row],[Intet overlap]],INDEX(DataTitel_liste,LineærRegression_Valg[[#This Row],[Uafhængig variabel ID]]),INDEX(DataTitel_liste,IF(LineærRegression_Valg[[#This Row],[Afhængig variabel ID]]=1,2,1))),$B$7)</f>
        <v>Eksempel 2 (interval)</v>
      </c>
      <c r="H308" s="171">
        <f>_xlfn.AGGREGATE(2,5,LineærRegression_Valg[[#This Row],[Tabel ID]])</f>
        <v>1</v>
      </c>
    </row>
    <row r="309" spans="1:8" x14ac:dyDescent="0.2">
      <c r="A309">
        <f>ROW(LineærRegression_Valg[[#This Row],[Tabel ID]])-ROW(LineærRegression_Valg[[#Headers],[Tabel ID]])</f>
        <v>299</v>
      </c>
      <c r="B309" s="171">
        <f>ROUNDDOWN((LineærRegression_Valg[[#This Row],[Tabel ID]]-1)/$B$5,0)+1</f>
        <v>75</v>
      </c>
      <c r="C309" s="171">
        <f t="shared" si="4"/>
        <v>3</v>
      </c>
      <c r="D309" s="171" t="b">
        <f>LineærRegression_Valg[[#This Row],[Afhængig variabel ID]]&lt;&gt;LineærRegression_Valg[[#This Row],[Uafhængig variabel ID]]</f>
        <v>1</v>
      </c>
      <c r="E309" t="b">
        <f>LineærRegression_Valg[[#This Row],[Afhængig variabel ID]]&lt;=$B$5</f>
        <v>0</v>
      </c>
      <c r="F309" t="str" cm="1">
        <f t="array" ref="F309">IF(LineærRegression_Valg[[#This Row],[Indenfor range]],INDEX(DataTitel_liste,LineærRegression_Valg[[#This Row],[Afhængig variabel ID]]),INDEX(DataTitel_liste,1))</f>
        <v>Eksempel 1 (interval)</v>
      </c>
      <c r="G309" s="171" t="str" cm="1">
        <f t="array" ref="G309">IF(LineærRegression_Valg[[#This Row],[Indenfor range]],IF(LineærRegression_Valg[[#This Row],[Intet overlap]],INDEX(DataTitel_liste,LineærRegression_Valg[[#This Row],[Uafhængig variabel ID]]),INDEX(DataTitel_liste,IF(LineærRegression_Valg[[#This Row],[Afhængig variabel ID]]=1,2,1))),$B$7)</f>
        <v>Eksempel 2 (interval)</v>
      </c>
      <c r="H309" s="171">
        <f>_xlfn.AGGREGATE(2,5,LineærRegression_Valg[[#This Row],[Tabel ID]])</f>
        <v>1</v>
      </c>
    </row>
    <row r="310" spans="1:8" x14ac:dyDescent="0.2">
      <c r="A310">
        <f>ROW(LineærRegression_Valg[[#This Row],[Tabel ID]])-ROW(LineærRegression_Valg[[#Headers],[Tabel ID]])</f>
        <v>300</v>
      </c>
      <c r="B310" s="171">
        <f>ROUNDDOWN((LineærRegression_Valg[[#This Row],[Tabel ID]]-1)/$B$5,0)+1</f>
        <v>75</v>
      </c>
      <c r="C310" s="171">
        <f t="shared" si="4"/>
        <v>4</v>
      </c>
      <c r="D310" s="171" t="b">
        <f>LineærRegression_Valg[[#This Row],[Afhængig variabel ID]]&lt;&gt;LineærRegression_Valg[[#This Row],[Uafhængig variabel ID]]</f>
        <v>1</v>
      </c>
      <c r="E310" t="b">
        <f>LineærRegression_Valg[[#This Row],[Afhængig variabel ID]]&lt;=$B$5</f>
        <v>0</v>
      </c>
      <c r="F310" t="str" cm="1">
        <f t="array" ref="F310">IF(LineærRegression_Valg[[#This Row],[Indenfor range]],INDEX(DataTitel_liste,LineærRegression_Valg[[#This Row],[Afhængig variabel ID]]),INDEX(DataTitel_liste,1))</f>
        <v>Eksempel 1 (interval)</v>
      </c>
      <c r="G310" s="171" t="str" cm="1">
        <f t="array" ref="G310">IF(LineærRegression_Valg[[#This Row],[Indenfor range]],IF(LineærRegression_Valg[[#This Row],[Intet overlap]],INDEX(DataTitel_liste,LineærRegression_Valg[[#This Row],[Uafhængig variabel ID]]),INDEX(DataTitel_liste,IF(LineærRegression_Valg[[#This Row],[Afhængig variabel ID]]=1,2,1))),$B$7)</f>
        <v>Eksempel 2 (interval)</v>
      </c>
      <c r="H310" s="171">
        <f>_xlfn.AGGREGATE(2,5,LineærRegression_Valg[[#This Row],[Tabel ID]])</f>
        <v>1</v>
      </c>
    </row>
    <row r="311" spans="1:8" x14ac:dyDescent="0.2">
      <c r="A311">
        <f>ROW(LineærRegression_Valg[[#This Row],[Tabel ID]])-ROW(LineærRegression_Valg[[#Headers],[Tabel ID]])</f>
        <v>301</v>
      </c>
      <c r="B311" s="171">
        <f>ROUNDDOWN((LineærRegression_Valg[[#This Row],[Tabel ID]]-1)/$B$5,0)+1</f>
        <v>76</v>
      </c>
      <c r="C311" s="171">
        <f t="shared" si="4"/>
        <v>1</v>
      </c>
      <c r="D311" s="171" t="b">
        <f>LineærRegression_Valg[[#This Row],[Afhængig variabel ID]]&lt;&gt;LineærRegression_Valg[[#This Row],[Uafhængig variabel ID]]</f>
        <v>1</v>
      </c>
      <c r="E311" t="b">
        <f>LineærRegression_Valg[[#This Row],[Afhængig variabel ID]]&lt;=$B$5</f>
        <v>0</v>
      </c>
      <c r="F311" t="str" cm="1">
        <f t="array" ref="F311">IF(LineærRegression_Valg[[#This Row],[Indenfor range]],INDEX(DataTitel_liste,LineærRegression_Valg[[#This Row],[Afhængig variabel ID]]),INDEX(DataTitel_liste,1))</f>
        <v>Eksempel 1 (interval)</v>
      </c>
      <c r="G311" s="171" t="str" cm="1">
        <f t="array" ref="G311">IF(LineærRegression_Valg[[#This Row],[Indenfor range]],IF(LineærRegression_Valg[[#This Row],[Intet overlap]],INDEX(DataTitel_liste,LineærRegression_Valg[[#This Row],[Uafhængig variabel ID]]),INDEX(DataTitel_liste,IF(LineærRegression_Valg[[#This Row],[Afhængig variabel ID]]=1,2,1))),$B$7)</f>
        <v>Eksempel 2 (interval)</v>
      </c>
      <c r="H311" s="171">
        <f>_xlfn.AGGREGATE(2,5,LineærRegression_Valg[[#This Row],[Tabel ID]])</f>
        <v>1</v>
      </c>
    </row>
    <row r="312" spans="1:8" x14ac:dyDescent="0.2">
      <c r="A312">
        <f>ROW(LineærRegression_Valg[[#This Row],[Tabel ID]])-ROW(LineærRegression_Valg[[#Headers],[Tabel ID]])</f>
        <v>302</v>
      </c>
      <c r="B312" s="171">
        <f>ROUNDDOWN((LineærRegression_Valg[[#This Row],[Tabel ID]]-1)/$B$5,0)+1</f>
        <v>76</v>
      </c>
      <c r="C312" s="171">
        <f t="shared" si="4"/>
        <v>2</v>
      </c>
      <c r="D312" s="171" t="b">
        <f>LineærRegression_Valg[[#This Row],[Afhængig variabel ID]]&lt;&gt;LineærRegression_Valg[[#This Row],[Uafhængig variabel ID]]</f>
        <v>1</v>
      </c>
      <c r="E312" t="b">
        <f>LineærRegression_Valg[[#This Row],[Afhængig variabel ID]]&lt;=$B$5</f>
        <v>0</v>
      </c>
      <c r="F312" t="str" cm="1">
        <f t="array" ref="F312">IF(LineærRegression_Valg[[#This Row],[Indenfor range]],INDEX(DataTitel_liste,LineærRegression_Valg[[#This Row],[Afhængig variabel ID]]),INDEX(DataTitel_liste,1))</f>
        <v>Eksempel 1 (interval)</v>
      </c>
      <c r="G312" s="171" t="str" cm="1">
        <f t="array" ref="G312">IF(LineærRegression_Valg[[#This Row],[Indenfor range]],IF(LineærRegression_Valg[[#This Row],[Intet overlap]],INDEX(DataTitel_liste,LineærRegression_Valg[[#This Row],[Uafhængig variabel ID]]),INDEX(DataTitel_liste,IF(LineærRegression_Valg[[#This Row],[Afhængig variabel ID]]=1,2,1))),$B$7)</f>
        <v>Eksempel 2 (interval)</v>
      </c>
      <c r="H312" s="171">
        <f>_xlfn.AGGREGATE(2,5,LineærRegression_Valg[[#This Row],[Tabel ID]])</f>
        <v>1</v>
      </c>
    </row>
    <row r="313" spans="1:8" x14ac:dyDescent="0.2">
      <c r="A313">
        <f>ROW(LineærRegression_Valg[[#This Row],[Tabel ID]])-ROW(LineærRegression_Valg[[#Headers],[Tabel ID]])</f>
        <v>303</v>
      </c>
      <c r="B313" s="171">
        <f>ROUNDDOWN((LineærRegression_Valg[[#This Row],[Tabel ID]]-1)/$B$5,0)+1</f>
        <v>76</v>
      </c>
      <c r="C313" s="171">
        <f t="shared" si="4"/>
        <v>3</v>
      </c>
      <c r="D313" s="171" t="b">
        <f>LineærRegression_Valg[[#This Row],[Afhængig variabel ID]]&lt;&gt;LineærRegression_Valg[[#This Row],[Uafhængig variabel ID]]</f>
        <v>1</v>
      </c>
      <c r="E313" t="b">
        <f>LineærRegression_Valg[[#This Row],[Afhængig variabel ID]]&lt;=$B$5</f>
        <v>0</v>
      </c>
      <c r="F313" t="str" cm="1">
        <f t="array" ref="F313">IF(LineærRegression_Valg[[#This Row],[Indenfor range]],INDEX(DataTitel_liste,LineærRegression_Valg[[#This Row],[Afhængig variabel ID]]),INDEX(DataTitel_liste,1))</f>
        <v>Eksempel 1 (interval)</v>
      </c>
      <c r="G313" s="171" t="str" cm="1">
        <f t="array" ref="G313">IF(LineærRegression_Valg[[#This Row],[Indenfor range]],IF(LineærRegression_Valg[[#This Row],[Intet overlap]],INDEX(DataTitel_liste,LineærRegression_Valg[[#This Row],[Uafhængig variabel ID]]),INDEX(DataTitel_liste,IF(LineærRegression_Valg[[#This Row],[Afhængig variabel ID]]=1,2,1))),$B$7)</f>
        <v>Eksempel 2 (interval)</v>
      </c>
      <c r="H313" s="171">
        <f>_xlfn.AGGREGATE(2,5,LineærRegression_Valg[[#This Row],[Tabel ID]])</f>
        <v>1</v>
      </c>
    </row>
    <row r="314" spans="1:8" x14ac:dyDescent="0.2">
      <c r="A314">
        <f>ROW(LineærRegression_Valg[[#This Row],[Tabel ID]])-ROW(LineærRegression_Valg[[#Headers],[Tabel ID]])</f>
        <v>304</v>
      </c>
      <c r="B314" s="171">
        <f>ROUNDDOWN((LineærRegression_Valg[[#This Row],[Tabel ID]]-1)/$B$5,0)+1</f>
        <v>76</v>
      </c>
      <c r="C314" s="171">
        <f t="shared" si="4"/>
        <v>4</v>
      </c>
      <c r="D314" s="171" t="b">
        <f>LineærRegression_Valg[[#This Row],[Afhængig variabel ID]]&lt;&gt;LineærRegression_Valg[[#This Row],[Uafhængig variabel ID]]</f>
        <v>1</v>
      </c>
      <c r="E314" t="b">
        <f>LineærRegression_Valg[[#This Row],[Afhængig variabel ID]]&lt;=$B$5</f>
        <v>0</v>
      </c>
      <c r="F314" t="str" cm="1">
        <f t="array" ref="F314">IF(LineærRegression_Valg[[#This Row],[Indenfor range]],INDEX(DataTitel_liste,LineærRegression_Valg[[#This Row],[Afhængig variabel ID]]),INDEX(DataTitel_liste,1))</f>
        <v>Eksempel 1 (interval)</v>
      </c>
      <c r="G314" s="171" t="str" cm="1">
        <f t="array" ref="G314">IF(LineærRegression_Valg[[#This Row],[Indenfor range]],IF(LineærRegression_Valg[[#This Row],[Intet overlap]],INDEX(DataTitel_liste,LineærRegression_Valg[[#This Row],[Uafhængig variabel ID]]),INDEX(DataTitel_liste,IF(LineærRegression_Valg[[#This Row],[Afhængig variabel ID]]=1,2,1))),$B$7)</f>
        <v>Eksempel 2 (interval)</v>
      </c>
      <c r="H314" s="171">
        <f>_xlfn.AGGREGATE(2,5,LineærRegression_Valg[[#This Row],[Tabel ID]])</f>
        <v>1</v>
      </c>
    </row>
    <row r="315" spans="1:8" x14ac:dyDescent="0.2">
      <c r="A315">
        <f>ROW(LineærRegression_Valg[[#This Row],[Tabel ID]])-ROW(LineærRegression_Valg[[#Headers],[Tabel ID]])</f>
        <v>305</v>
      </c>
      <c r="B315" s="171">
        <f>ROUNDDOWN((LineærRegression_Valg[[#This Row],[Tabel ID]]-1)/$B$5,0)+1</f>
        <v>77</v>
      </c>
      <c r="C315" s="171">
        <f t="shared" si="4"/>
        <v>1</v>
      </c>
      <c r="D315" s="171" t="b">
        <f>LineærRegression_Valg[[#This Row],[Afhængig variabel ID]]&lt;&gt;LineærRegression_Valg[[#This Row],[Uafhængig variabel ID]]</f>
        <v>1</v>
      </c>
      <c r="E315" t="b">
        <f>LineærRegression_Valg[[#This Row],[Afhængig variabel ID]]&lt;=$B$5</f>
        <v>0</v>
      </c>
      <c r="F315" t="str" cm="1">
        <f t="array" ref="F315">IF(LineærRegression_Valg[[#This Row],[Indenfor range]],INDEX(DataTitel_liste,LineærRegression_Valg[[#This Row],[Afhængig variabel ID]]),INDEX(DataTitel_liste,1))</f>
        <v>Eksempel 1 (interval)</v>
      </c>
      <c r="G315" s="171" t="str" cm="1">
        <f t="array" ref="G315">IF(LineærRegression_Valg[[#This Row],[Indenfor range]],IF(LineærRegression_Valg[[#This Row],[Intet overlap]],INDEX(DataTitel_liste,LineærRegression_Valg[[#This Row],[Uafhængig variabel ID]]),INDEX(DataTitel_liste,IF(LineærRegression_Valg[[#This Row],[Afhængig variabel ID]]=1,2,1))),$B$7)</f>
        <v>Eksempel 2 (interval)</v>
      </c>
      <c r="H315" s="171">
        <f>_xlfn.AGGREGATE(2,5,LineærRegression_Valg[[#This Row],[Tabel ID]])</f>
        <v>1</v>
      </c>
    </row>
    <row r="316" spans="1:8" x14ac:dyDescent="0.2">
      <c r="A316">
        <f>ROW(LineærRegression_Valg[[#This Row],[Tabel ID]])-ROW(LineærRegression_Valg[[#Headers],[Tabel ID]])</f>
        <v>306</v>
      </c>
      <c r="B316" s="171">
        <f>ROUNDDOWN((LineærRegression_Valg[[#This Row],[Tabel ID]]-1)/$B$5,0)+1</f>
        <v>77</v>
      </c>
      <c r="C316" s="171">
        <f t="shared" si="4"/>
        <v>2</v>
      </c>
      <c r="D316" s="171" t="b">
        <f>LineærRegression_Valg[[#This Row],[Afhængig variabel ID]]&lt;&gt;LineærRegression_Valg[[#This Row],[Uafhængig variabel ID]]</f>
        <v>1</v>
      </c>
      <c r="E316" t="b">
        <f>LineærRegression_Valg[[#This Row],[Afhængig variabel ID]]&lt;=$B$5</f>
        <v>0</v>
      </c>
      <c r="F316" t="str" cm="1">
        <f t="array" ref="F316">IF(LineærRegression_Valg[[#This Row],[Indenfor range]],INDEX(DataTitel_liste,LineærRegression_Valg[[#This Row],[Afhængig variabel ID]]),INDEX(DataTitel_liste,1))</f>
        <v>Eksempel 1 (interval)</v>
      </c>
      <c r="G316" s="171" t="str" cm="1">
        <f t="array" ref="G316">IF(LineærRegression_Valg[[#This Row],[Indenfor range]],IF(LineærRegression_Valg[[#This Row],[Intet overlap]],INDEX(DataTitel_liste,LineærRegression_Valg[[#This Row],[Uafhængig variabel ID]]),INDEX(DataTitel_liste,IF(LineærRegression_Valg[[#This Row],[Afhængig variabel ID]]=1,2,1))),$B$7)</f>
        <v>Eksempel 2 (interval)</v>
      </c>
      <c r="H316" s="171">
        <f>_xlfn.AGGREGATE(2,5,LineærRegression_Valg[[#This Row],[Tabel ID]])</f>
        <v>1</v>
      </c>
    </row>
    <row r="317" spans="1:8" x14ac:dyDescent="0.2">
      <c r="A317">
        <f>ROW(LineærRegression_Valg[[#This Row],[Tabel ID]])-ROW(LineærRegression_Valg[[#Headers],[Tabel ID]])</f>
        <v>307</v>
      </c>
      <c r="B317" s="171">
        <f>ROUNDDOWN((LineærRegression_Valg[[#This Row],[Tabel ID]]-1)/$B$5,0)+1</f>
        <v>77</v>
      </c>
      <c r="C317" s="171">
        <f t="shared" si="4"/>
        <v>3</v>
      </c>
      <c r="D317" s="171" t="b">
        <f>LineærRegression_Valg[[#This Row],[Afhængig variabel ID]]&lt;&gt;LineærRegression_Valg[[#This Row],[Uafhængig variabel ID]]</f>
        <v>1</v>
      </c>
      <c r="E317" t="b">
        <f>LineærRegression_Valg[[#This Row],[Afhængig variabel ID]]&lt;=$B$5</f>
        <v>0</v>
      </c>
      <c r="F317" t="str" cm="1">
        <f t="array" ref="F317">IF(LineærRegression_Valg[[#This Row],[Indenfor range]],INDEX(DataTitel_liste,LineærRegression_Valg[[#This Row],[Afhængig variabel ID]]),INDEX(DataTitel_liste,1))</f>
        <v>Eksempel 1 (interval)</v>
      </c>
      <c r="G317" s="171" t="str" cm="1">
        <f t="array" ref="G317">IF(LineærRegression_Valg[[#This Row],[Indenfor range]],IF(LineærRegression_Valg[[#This Row],[Intet overlap]],INDEX(DataTitel_liste,LineærRegression_Valg[[#This Row],[Uafhængig variabel ID]]),INDEX(DataTitel_liste,IF(LineærRegression_Valg[[#This Row],[Afhængig variabel ID]]=1,2,1))),$B$7)</f>
        <v>Eksempel 2 (interval)</v>
      </c>
      <c r="H317" s="171">
        <f>_xlfn.AGGREGATE(2,5,LineærRegression_Valg[[#This Row],[Tabel ID]])</f>
        <v>1</v>
      </c>
    </row>
    <row r="318" spans="1:8" x14ac:dyDescent="0.2">
      <c r="A318">
        <f>ROW(LineærRegression_Valg[[#This Row],[Tabel ID]])-ROW(LineærRegression_Valg[[#Headers],[Tabel ID]])</f>
        <v>308</v>
      </c>
      <c r="B318" s="171">
        <f>ROUNDDOWN((LineærRegression_Valg[[#This Row],[Tabel ID]]-1)/$B$5,0)+1</f>
        <v>77</v>
      </c>
      <c r="C318" s="171">
        <f t="shared" si="4"/>
        <v>4</v>
      </c>
      <c r="D318" s="171" t="b">
        <f>LineærRegression_Valg[[#This Row],[Afhængig variabel ID]]&lt;&gt;LineærRegression_Valg[[#This Row],[Uafhængig variabel ID]]</f>
        <v>1</v>
      </c>
      <c r="E318" t="b">
        <f>LineærRegression_Valg[[#This Row],[Afhængig variabel ID]]&lt;=$B$5</f>
        <v>0</v>
      </c>
      <c r="F318" t="str" cm="1">
        <f t="array" ref="F318">IF(LineærRegression_Valg[[#This Row],[Indenfor range]],INDEX(DataTitel_liste,LineærRegression_Valg[[#This Row],[Afhængig variabel ID]]),INDEX(DataTitel_liste,1))</f>
        <v>Eksempel 1 (interval)</v>
      </c>
      <c r="G318" s="171" t="str" cm="1">
        <f t="array" ref="G318">IF(LineærRegression_Valg[[#This Row],[Indenfor range]],IF(LineærRegression_Valg[[#This Row],[Intet overlap]],INDEX(DataTitel_liste,LineærRegression_Valg[[#This Row],[Uafhængig variabel ID]]),INDEX(DataTitel_liste,IF(LineærRegression_Valg[[#This Row],[Afhængig variabel ID]]=1,2,1))),$B$7)</f>
        <v>Eksempel 2 (interval)</v>
      </c>
      <c r="H318" s="171">
        <f>_xlfn.AGGREGATE(2,5,LineærRegression_Valg[[#This Row],[Tabel ID]])</f>
        <v>1</v>
      </c>
    </row>
    <row r="319" spans="1:8" x14ac:dyDescent="0.2">
      <c r="A319">
        <f>ROW(LineærRegression_Valg[[#This Row],[Tabel ID]])-ROW(LineærRegression_Valg[[#Headers],[Tabel ID]])</f>
        <v>309</v>
      </c>
      <c r="B319" s="171">
        <f>ROUNDDOWN((LineærRegression_Valg[[#This Row],[Tabel ID]]-1)/$B$5,0)+1</f>
        <v>78</v>
      </c>
      <c r="C319" s="171">
        <f t="shared" si="4"/>
        <v>1</v>
      </c>
      <c r="D319" s="171" t="b">
        <f>LineærRegression_Valg[[#This Row],[Afhængig variabel ID]]&lt;&gt;LineærRegression_Valg[[#This Row],[Uafhængig variabel ID]]</f>
        <v>1</v>
      </c>
      <c r="E319" t="b">
        <f>LineærRegression_Valg[[#This Row],[Afhængig variabel ID]]&lt;=$B$5</f>
        <v>0</v>
      </c>
      <c r="F319" t="str" cm="1">
        <f t="array" ref="F319">IF(LineærRegression_Valg[[#This Row],[Indenfor range]],INDEX(DataTitel_liste,LineærRegression_Valg[[#This Row],[Afhængig variabel ID]]),INDEX(DataTitel_liste,1))</f>
        <v>Eksempel 1 (interval)</v>
      </c>
      <c r="G319" s="171" t="str" cm="1">
        <f t="array" ref="G319">IF(LineærRegression_Valg[[#This Row],[Indenfor range]],IF(LineærRegression_Valg[[#This Row],[Intet overlap]],INDEX(DataTitel_liste,LineærRegression_Valg[[#This Row],[Uafhængig variabel ID]]),INDEX(DataTitel_liste,IF(LineærRegression_Valg[[#This Row],[Afhængig variabel ID]]=1,2,1))),$B$7)</f>
        <v>Eksempel 2 (interval)</v>
      </c>
      <c r="H319" s="171">
        <f>_xlfn.AGGREGATE(2,5,LineærRegression_Valg[[#This Row],[Tabel ID]])</f>
        <v>1</v>
      </c>
    </row>
    <row r="320" spans="1:8" x14ac:dyDescent="0.2">
      <c r="A320">
        <f>ROW(LineærRegression_Valg[[#This Row],[Tabel ID]])-ROW(LineærRegression_Valg[[#Headers],[Tabel ID]])</f>
        <v>310</v>
      </c>
      <c r="B320" s="171">
        <f>ROUNDDOWN((LineærRegression_Valg[[#This Row],[Tabel ID]]-1)/$B$5,0)+1</f>
        <v>78</v>
      </c>
      <c r="C320" s="171">
        <f t="shared" si="4"/>
        <v>2</v>
      </c>
      <c r="D320" s="171" t="b">
        <f>LineærRegression_Valg[[#This Row],[Afhængig variabel ID]]&lt;&gt;LineærRegression_Valg[[#This Row],[Uafhængig variabel ID]]</f>
        <v>1</v>
      </c>
      <c r="E320" t="b">
        <f>LineærRegression_Valg[[#This Row],[Afhængig variabel ID]]&lt;=$B$5</f>
        <v>0</v>
      </c>
      <c r="F320" t="str" cm="1">
        <f t="array" ref="F320">IF(LineærRegression_Valg[[#This Row],[Indenfor range]],INDEX(DataTitel_liste,LineærRegression_Valg[[#This Row],[Afhængig variabel ID]]),INDEX(DataTitel_liste,1))</f>
        <v>Eksempel 1 (interval)</v>
      </c>
      <c r="G320" s="171" t="str" cm="1">
        <f t="array" ref="G320">IF(LineærRegression_Valg[[#This Row],[Indenfor range]],IF(LineærRegression_Valg[[#This Row],[Intet overlap]],INDEX(DataTitel_liste,LineærRegression_Valg[[#This Row],[Uafhængig variabel ID]]),INDEX(DataTitel_liste,IF(LineærRegression_Valg[[#This Row],[Afhængig variabel ID]]=1,2,1))),$B$7)</f>
        <v>Eksempel 2 (interval)</v>
      </c>
      <c r="H320" s="171">
        <f>_xlfn.AGGREGATE(2,5,LineærRegression_Valg[[#This Row],[Tabel ID]])</f>
        <v>1</v>
      </c>
    </row>
    <row r="321" spans="1:8" x14ac:dyDescent="0.2">
      <c r="A321">
        <f>ROW(LineærRegression_Valg[[#This Row],[Tabel ID]])-ROW(LineærRegression_Valg[[#Headers],[Tabel ID]])</f>
        <v>311</v>
      </c>
      <c r="B321" s="171">
        <f>ROUNDDOWN((LineærRegression_Valg[[#This Row],[Tabel ID]]-1)/$B$5,0)+1</f>
        <v>78</v>
      </c>
      <c r="C321" s="171">
        <f t="shared" si="4"/>
        <v>3</v>
      </c>
      <c r="D321" s="171" t="b">
        <f>LineærRegression_Valg[[#This Row],[Afhængig variabel ID]]&lt;&gt;LineærRegression_Valg[[#This Row],[Uafhængig variabel ID]]</f>
        <v>1</v>
      </c>
      <c r="E321" t="b">
        <f>LineærRegression_Valg[[#This Row],[Afhængig variabel ID]]&lt;=$B$5</f>
        <v>0</v>
      </c>
      <c r="F321" t="str" cm="1">
        <f t="array" ref="F321">IF(LineærRegression_Valg[[#This Row],[Indenfor range]],INDEX(DataTitel_liste,LineærRegression_Valg[[#This Row],[Afhængig variabel ID]]),INDEX(DataTitel_liste,1))</f>
        <v>Eksempel 1 (interval)</v>
      </c>
      <c r="G321" s="171" t="str" cm="1">
        <f t="array" ref="G321">IF(LineærRegression_Valg[[#This Row],[Indenfor range]],IF(LineærRegression_Valg[[#This Row],[Intet overlap]],INDEX(DataTitel_liste,LineærRegression_Valg[[#This Row],[Uafhængig variabel ID]]),INDEX(DataTitel_liste,IF(LineærRegression_Valg[[#This Row],[Afhængig variabel ID]]=1,2,1))),$B$7)</f>
        <v>Eksempel 2 (interval)</v>
      </c>
      <c r="H321" s="171">
        <f>_xlfn.AGGREGATE(2,5,LineærRegression_Valg[[#This Row],[Tabel ID]])</f>
        <v>1</v>
      </c>
    </row>
    <row r="322" spans="1:8" x14ac:dyDescent="0.2">
      <c r="A322">
        <f>ROW(LineærRegression_Valg[[#This Row],[Tabel ID]])-ROW(LineærRegression_Valg[[#Headers],[Tabel ID]])</f>
        <v>312</v>
      </c>
      <c r="B322" s="171">
        <f>ROUNDDOWN((LineærRegression_Valg[[#This Row],[Tabel ID]]-1)/$B$5,0)+1</f>
        <v>78</v>
      </c>
      <c r="C322" s="171">
        <f t="shared" si="4"/>
        <v>4</v>
      </c>
      <c r="D322" s="171" t="b">
        <f>LineærRegression_Valg[[#This Row],[Afhængig variabel ID]]&lt;&gt;LineærRegression_Valg[[#This Row],[Uafhængig variabel ID]]</f>
        <v>1</v>
      </c>
      <c r="E322" t="b">
        <f>LineærRegression_Valg[[#This Row],[Afhængig variabel ID]]&lt;=$B$5</f>
        <v>0</v>
      </c>
      <c r="F322" t="str" cm="1">
        <f t="array" ref="F322">IF(LineærRegression_Valg[[#This Row],[Indenfor range]],INDEX(DataTitel_liste,LineærRegression_Valg[[#This Row],[Afhængig variabel ID]]),INDEX(DataTitel_liste,1))</f>
        <v>Eksempel 1 (interval)</v>
      </c>
      <c r="G322" s="171" t="str" cm="1">
        <f t="array" ref="G322">IF(LineærRegression_Valg[[#This Row],[Indenfor range]],IF(LineærRegression_Valg[[#This Row],[Intet overlap]],INDEX(DataTitel_liste,LineærRegression_Valg[[#This Row],[Uafhængig variabel ID]]),INDEX(DataTitel_liste,IF(LineærRegression_Valg[[#This Row],[Afhængig variabel ID]]=1,2,1))),$B$7)</f>
        <v>Eksempel 2 (interval)</v>
      </c>
      <c r="H322" s="171">
        <f>_xlfn.AGGREGATE(2,5,LineærRegression_Valg[[#This Row],[Tabel ID]])</f>
        <v>1</v>
      </c>
    </row>
    <row r="323" spans="1:8" x14ac:dyDescent="0.2">
      <c r="A323">
        <f>ROW(LineærRegression_Valg[[#This Row],[Tabel ID]])-ROW(LineærRegression_Valg[[#Headers],[Tabel ID]])</f>
        <v>313</v>
      </c>
      <c r="B323" s="171">
        <f>ROUNDDOWN((LineærRegression_Valg[[#This Row],[Tabel ID]]-1)/$B$5,0)+1</f>
        <v>79</v>
      </c>
      <c r="C323" s="171">
        <f t="shared" si="4"/>
        <v>1</v>
      </c>
      <c r="D323" s="171" t="b">
        <f>LineærRegression_Valg[[#This Row],[Afhængig variabel ID]]&lt;&gt;LineærRegression_Valg[[#This Row],[Uafhængig variabel ID]]</f>
        <v>1</v>
      </c>
      <c r="E323" t="b">
        <f>LineærRegression_Valg[[#This Row],[Afhængig variabel ID]]&lt;=$B$5</f>
        <v>0</v>
      </c>
      <c r="F323" t="str" cm="1">
        <f t="array" ref="F323">IF(LineærRegression_Valg[[#This Row],[Indenfor range]],INDEX(DataTitel_liste,LineærRegression_Valg[[#This Row],[Afhængig variabel ID]]),INDEX(DataTitel_liste,1))</f>
        <v>Eksempel 1 (interval)</v>
      </c>
      <c r="G323" s="171" t="str" cm="1">
        <f t="array" ref="G323">IF(LineærRegression_Valg[[#This Row],[Indenfor range]],IF(LineærRegression_Valg[[#This Row],[Intet overlap]],INDEX(DataTitel_liste,LineærRegression_Valg[[#This Row],[Uafhængig variabel ID]]),INDEX(DataTitel_liste,IF(LineærRegression_Valg[[#This Row],[Afhængig variabel ID]]=1,2,1))),$B$7)</f>
        <v>Eksempel 2 (interval)</v>
      </c>
      <c r="H323" s="171">
        <f>_xlfn.AGGREGATE(2,5,LineærRegression_Valg[[#This Row],[Tabel ID]])</f>
        <v>1</v>
      </c>
    </row>
    <row r="324" spans="1:8" x14ac:dyDescent="0.2">
      <c r="A324">
        <f>ROW(LineærRegression_Valg[[#This Row],[Tabel ID]])-ROW(LineærRegression_Valg[[#Headers],[Tabel ID]])</f>
        <v>314</v>
      </c>
      <c r="B324" s="171">
        <f>ROUNDDOWN((LineærRegression_Valg[[#This Row],[Tabel ID]]-1)/$B$5,0)+1</f>
        <v>79</v>
      </c>
      <c r="C324" s="171">
        <f t="shared" si="4"/>
        <v>2</v>
      </c>
      <c r="D324" s="171" t="b">
        <f>LineærRegression_Valg[[#This Row],[Afhængig variabel ID]]&lt;&gt;LineærRegression_Valg[[#This Row],[Uafhængig variabel ID]]</f>
        <v>1</v>
      </c>
      <c r="E324" t="b">
        <f>LineærRegression_Valg[[#This Row],[Afhængig variabel ID]]&lt;=$B$5</f>
        <v>0</v>
      </c>
      <c r="F324" t="str" cm="1">
        <f t="array" ref="F324">IF(LineærRegression_Valg[[#This Row],[Indenfor range]],INDEX(DataTitel_liste,LineærRegression_Valg[[#This Row],[Afhængig variabel ID]]),INDEX(DataTitel_liste,1))</f>
        <v>Eksempel 1 (interval)</v>
      </c>
      <c r="G324" s="171" t="str" cm="1">
        <f t="array" ref="G324">IF(LineærRegression_Valg[[#This Row],[Indenfor range]],IF(LineærRegression_Valg[[#This Row],[Intet overlap]],INDEX(DataTitel_liste,LineærRegression_Valg[[#This Row],[Uafhængig variabel ID]]),INDEX(DataTitel_liste,IF(LineærRegression_Valg[[#This Row],[Afhængig variabel ID]]=1,2,1))),$B$7)</f>
        <v>Eksempel 2 (interval)</v>
      </c>
      <c r="H324" s="171">
        <f>_xlfn.AGGREGATE(2,5,LineærRegression_Valg[[#This Row],[Tabel ID]])</f>
        <v>1</v>
      </c>
    </row>
    <row r="325" spans="1:8" x14ac:dyDescent="0.2">
      <c r="A325">
        <f>ROW(LineærRegression_Valg[[#This Row],[Tabel ID]])-ROW(LineærRegression_Valg[[#Headers],[Tabel ID]])</f>
        <v>315</v>
      </c>
      <c r="B325" s="171">
        <f>ROUNDDOWN((LineærRegression_Valg[[#This Row],[Tabel ID]]-1)/$B$5,0)+1</f>
        <v>79</v>
      </c>
      <c r="C325" s="171">
        <f t="shared" si="4"/>
        <v>3</v>
      </c>
      <c r="D325" s="171" t="b">
        <f>LineærRegression_Valg[[#This Row],[Afhængig variabel ID]]&lt;&gt;LineærRegression_Valg[[#This Row],[Uafhængig variabel ID]]</f>
        <v>1</v>
      </c>
      <c r="E325" t="b">
        <f>LineærRegression_Valg[[#This Row],[Afhængig variabel ID]]&lt;=$B$5</f>
        <v>0</v>
      </c>
      <c r="F325" t="str" cm="1">
        <f t="array" ref="F325">IF(LineærRegression_Valg[[#This Row],[Indenfor range]],INDEX(DataTitel_liste,LineærRegression_Valg[[#This Row],[Afhængig variabel ID]]),INDEX(DataTitel_liste,1))</f>
        <v>Eksempel 1 (interval)</v>
      </c>
      <c r="G325" s="171" t="str" cm="1">
        <f t="array" ref="G325">IF(LineærRegression_Valg[[#This Row],[Indenfor range]],IF(LineærRegression_Valg[[#This Row],[Intet overlap]],INDEX(DataTitel_liste,LineærRegression_Valg[[#This Row],[Uafhængig variabel ID]]),INDEX(DataTitel_liste,IF(LineærRegression_Valg[[#This Row],[Afhængig variabel ID]]=1,2,1))),$B$7)</f>
        <v>Eksempel 2 (interval)</v>
      </c>
      <c r="H325" s="171">
        <f>_xlfn.AGGREGATE(2,5,LineærRegression_Valg[[#This Row],[Tabel ID]])</f>
        <v>1</v>
      </c>
    </row>
    <row r="326" spans="1:8" x14ac:dyDescent="0.2">
      <c r="A326">
        <f>ROW(LineærRegression_Valg[[#This Row],[Tabel ID]])-ROW(LineærRegression_Valg[[#Headers],[Tabel ID]])</f>
        <v>316</v>
      </c>
      <c r="B326" s="171">
        <f>ROUNDDOWN((LineærRegression_Valg[[#This Row],[Tabel ID]]-1)/$B$5,0)+1</f>
        <v>79</v>
      </c>
      <c r="C326" s="171">
        <f t="shared" si="4"/>
        <v>4</v>
      </c>
      <c r="D326" s="171" t="b">
        <f>LineærRegression_Valg[[#This Row],[Afhængig variabel ID]]&lt;&gt;LineærRegression_Valg[[#This Row],[Uafhængig variabel ID]]</f>
        <v>1</v>
      </c>
      <c r="E326" t="b">
        <f>LineærRegression_Valg[[#This Row],[Afhængig variabel ID]]&lt;=$B$5</f>
        <v>0</v>
      </c>
      <c r="F326" t="str" cm="1">
        <f t="array" ref="F326">IF(LineærRegression_Valg[[#This Row],[Indenfor range]],INDEX(DataTitel_liste,LineærRegression_Valg[[#This Row],[Afhængig variabel ID]]),INDEX(DataTitel_liste,1))</f>
        <v>Eksempel 1 (interval)</v>
      </c>
      <c r="G326" s="171" t="str" cm="1">
        <f t="array" ref="G326">IF(LineærRegression_Valg[[#This Row],[Indenfor range]],IF(LineærRegression_Valg[[#This Row],[Intet overlap]],INDEX(DataTitel_liste,LineærRegression_Valg[[#This Row],[Uafhængig variabel ID]]),INDEX(DataTitel_liste,IF(LineærRegression_Valg[[#This Row],[Afhængig variabel ID]]=1,2,1))),$B$7)</f>
        <v>Eksempel 2 (interval)</v>
      </c>
      <c r="H326" s="171">
        <f>_xlfn.AGGREGATE(2,5,LineærRegression_Valg[[#This Row],[Tabel ID]])</f>
        <v>1</v>
      </c>
    </row>
    <row r="327" spans="1:8" x14ac:dyDescent="0.2">
      <c r="A327">
        <f>ROW(LineærRegression_Valg[[#This Row],[Tabel ID]])-ROW(LineærRegression_Valg[[#Headers],[Tabel ID]])</f>
        <v>317</v>
      </c>
      <c r="B327" s="171">
        <f>ROUNDDOWN((LineærRegression_Valg[[#This Row],[Tabel ID]]-1)/$B$5,0)+1</f>
        <v>80</v>
      </c>
      <c r="C327" s="171">
        <f t="shared" si="4"/>
        <v>1</v>
      </c>
      <c r="D327" s="171" t="b">
        <f>LineærRegression_Valg[[#This Row],[Afhængig variabel ID]]&lt;&gt;LineærRegression_Valg[[#This Row],[Uafhængig variabel ID]]</f>
        <v>1</v>
      </c>
      <c r="E327" t="b">
        <f>LineærRegression_Valg[[#This Row],[Afhængig variabel ID]]&lt;=$B$5</f>
        <v>0</v>
      </c>
      <c r="F327" t="str" cm="1">
        <f t="array" ref="F327">IF(LineærRegression_Valg[[#This Row],[Indenfor range]],INDEX(DataTitel_liste,LineærRegression_Valg[[#This Row],[Afhængig variabel ID]]),INDEX(DataTitel_liste,1))</f>
        <v>Eksempel 1 (interval)</v>
      </c>
      <c r="G327" s="171" t="str" cm="1">
        <f t="array" ref="G327">IF(LineærRegression_Valg[[#This Row],[Indenfor range]],IF(LineærRegression_Valg[[#This Row],[Intet overlap]],INDEX(DataTitel_liste,LineærRegression_Valg[[#This Row],[Uafhængig variabel ID]]),INDEX(DataTitel_liste,IF(LineærRegression_Valg[[#This Row],[Afhængig variabel ID]]=1,2,1))),$B$7)</f>
        <v>Eksempel 2 (interval)</v>
      </c>
      <c r="H327" s="171">
        <f>_xlfn.AGGREGATE(2,5,LineærRegression_Valg[[#This Row],[Tabel ID]])</f>
        <v>1</v>
      </c>
    </row>
    <row r="328" spans="1:8" x14ac:dyDescent="0.2">
      <c r="A328">
        <f>ROW(LineærRegression_Valg[[#This Row],[Tabel ID]])-ROW(LineærRegression_Valg[[#Headers],[Tabel ID]])</f>
        <v>318</v>
      </c>
      <c r="B328" s="171">
        <f>ROUNDDOWN((LineærRegression_Valg[[#This Row],[Tabel ID]]-1)/$B$5,0)+1</f>
        <v>80</v>
      </c>
      <c r="C328" s="171">
        <f t="shared" si="4"/>
        <v>2</v>
      </c>
      <c r="D328" s="171" t="b">
        <f>LineærRegression_Valg[[#This Row],[Afhængig variabel ID]]&lt;&gt;LineærRegression_Valg[[#This Row],[Uafhængig variabel ID]]</f>
        <v>1</v>
      </c>
      <c r="E328" t="b">
        <f>LineærRegression_Valg[[#This Row],[Afhængig variabel ID]]&lt;=$B$5</f>
        <v>0</v>
      </c>
      <c r="F328" t="str" cm="1">
        <f t="array" ref="F328">IF(LineærRegression_Valg[[#This Row],[Indenfor range]],INDEX(DataTitel_liste,LineærRegression_Valg[[#This Row],[Afhængig variabel ID]]),INDEX(DataTitel_liste,1))</f>
        <v>Eksempel 1 (interval)</v>
      </c>
      <c r="G328" s="171" t="str" cm="1">
        <f t="array" ref="G328">IF(LineærRegression_Valg[[#This Row],[Indenfor range]],IF(LineærRegression_Valg[[#This Row],[Intet overlap]],INDEX(DataTitel_liste,LineærRegression_Valg[[#This Row],[Uafhængig variabel ID]]),INDEX(DataTitel_liste,IF(LineærRegression_Valg[[#This Row],[Afhængig variabel ID]]=1,2,1))),$B$7)</f>
        <v>Eksempel 2 (interval)</v>
      </c>
      <c r="H328" s="171">
        <f>_xlfn.AGGREGATE(2,5,LineærRegression_Valg[[#This Row],[Tabel ID]])</f>
        <v>1</v>
      </c>
    </row>
    <row r="329" spans="1:8" x14ac:dyDescent="0.2">
      <c r="A329">
        <f>ROW(LineærRegression_Valg[[#This Row],[Tabel ID]])-ROW(LineærRegression_Valg[[#Headers],[Tabel ID]])</f>
        <v>319</v>
      </c>
      <c r="B329" s="171">
        <f>ROUNDDOWN((LineærRegression_Valg[[#This Row],[Tabel ID]]-1)/$B$5,0)+1</f>
        <v>80</v>
      </c>
      <c r="C329" s="171">
        <f t="shared" si="4"/>
        <v>3</v>
      </c>
      <c r="D329" s="171" t="b">
        <f>LineærRegression_Valg[[#This Row],[Afhængig variabel ID]]&lt;&gt;LineærRegression_Valg[[#This Row],[Uafhængig variabel ID]]</f>
        <v>1</v>
      </c>
      <c r="E329" t="b">
        <f>LineærRegression_Valg[[#This Row],[Afhængig variabel ID]]&lt;=$B$5</f>
        <v>0</v>
      </c>
      <c r="F329" t="str" cm="1">
        <f t="array" ref="F329">IF(LineærRegression_Valg[[#This Row],[Indenfor range]],INDEX(DataTitel_liste,LineærRegression_Valg[[#This Row],[Afhængig variabel ID]]),INDEX(DataTitel_liste,1))</f>
        <v>Eksempel 1 (interval)</v>
      </c>
      <c r="G329" s="171" t="str" cm="1">
        <f t="array" ref="G329">IF(LineærRegression_Valg[[#This Row],[Indenfor range]],IF(LineærRegression_Valg[[#This Row],[Intet overlap]],INDEX(DataTitel_liste,LineærRegression_Valg[[#This Row],[Uafhængig variabel ID]]),INDEX(DataTitel_liste,IF(LineærRegression_Valg[[#This Row],[Afhængig variabel ID]]=1,2,1))),$B$7)</f>
        <v>Eksempel 2 (interval)</v>
      </c>
      <c r="H329" s="171">
        <f>_xlfn.AGGREGATE(2,5,LineærRegression_Valg[[#This Row],[Tabel ID]])</f>
        <v>1</v>
      </c>
    </row>
    <row r="330" spans="1:8" x14ac:dyDescent="0.2">
      <c r="A330">
        <f>ROW(LineærRegression_Valg[[#This Row],[Tabel ID]])-ROW(LineærRegression_Valg[[#Headers],[Tabel ID]])</f>
        <v>320</v>
      </c>
      <c r="B330" s="171">
        <f>ROUNDDOWN((LineærRegression_Valg[[#This Row],[Tabel ID]]-1)/$B$5,0)+1</f>
        <v>80</v>
      </c>
      <c r="C330" s="171">
        <f t="shared" si="4"/>
        <v>4</v>
      </c>
      <c r="D330" s="171" t="b">
        <f>LineærRegression_Valg[[#This Row],[Afhængig variabel ID]]&lt;&gt;LineærRegression_Valg[[#This Row],[Uafhængig variabel ID]]</f>
        <v>1</v>
      </c>
      <c r="E330" t="b">
        <f>LineærRegression_Valg[[#This Row],[Afhængig variabel ID]]&lt;=$B$5</f>
        <v>0</v>
      </c>
      <c r="F330" t="str" cm="1">
        <f t="array" ref="F330">IF(LineærRegression_Valg[[#This Row],[Indenfor range]],INDEX(DataTitel_liste,LineærRegression_Valg[[#This Row],[Afhængig variabel ID]]),INDEX(DataTitel_liste,1))</f>
        <v>Eksempel 1 (interval)</v>
      </c>
      <c r="G330" s="171" t="str" cm="1">
        <f t="array" ref="G330">IF(LineærRegression_Valg[[#This Row],[Indenfor range]],IF(LineærRegression_Valg[[#This Row],[Intet overlap]],INDEX(DataTitel_liste,LineærRegression_Valg[[#This Row],[Uafhængig variabel ID]]),INDEX(DataTitel_liste,IF(LineærRegression_Valg[[#This Row],[Afhængig variabel ID]]=1,2,1))),$B$7)</f>
        <v>Eksempel 2 (interval)</v>
      </c>
      <c r="H330" s="171">
        <f>_xlfn.AGGREGATE(2,5,LineærRegression_Valg[[#This Row],[Tabel ID]])</f>
        <v>1</v>
      </c>
    </row>
    <row r="331" spans="1:8" x14ac:dyDescent="0.2">
      <c r="A331">
        <f>ROW(LineærRegression_Valg[[#This Row],[Tabel ID]])-ROW(LineærRegression_Valg[[#Headers],[Tabel ID]])</f>
        <v>321</v>
      </c>
      <c r="B331" s="171">
        <f>ROUNDDOWN((LineærRegression_Valg[[#This Row],[Tabel ID]]-1)/$B$5,0)+1</f>
        <v>81</v>
      </c>
      <c r="C331" s="171">
        <f t="shared" ref="C331:C394" si="5">MOD(A331-1,$B$5)+1</f>
        <v>1</v>
      </c>
      <c r="D331" s="171" t="b">
        <f>LineærRegression_Valg[[#This Row],[Afhængig variabel ID]]&lt;&gt;LineærRegression_Valg[[#This Row],[Uafhængig variabel ID]]</f>
        <v>1</v>
      </c>
      <c r="E331" t="b">
        <f>LineærRegression_Valg[[#This Row],[Afhængig variabel ID]]&lt;=$B$5</f>
        <v>0</v>
      </c>
      <c r="F331" t="str" cm="1">
        <f t="array" ref="F331">IF(LineærRegression_Valg[[#This Row],[Indenfor range]],INDEX(DataTitel_liste,LineærRegression_Valg[[#This Row],[Afhængig variabel ID]]),INDEX(DataTitel_liste,1))</f>
        <v>Eksempel 1 (interval)</v>
      </c>
      <c r="G331" s="171" t="str" cm="1">
        <f t="array" ref="G331">IF(LineærRegression_Valg[[#This Row],[Indenfor range]],IF(LineærRegression_Valg[[#This Row],[Intet overlap]],INDEX(DataTitel_liste,LineærRegression_Valg[[#This Row],[Uafhængig variabel ID]]),INDEX(DataTitel_liste,IF(LineærRegression_Valg[[#This Row],[Afhængig variabel ID]]=1,2,1))),$B$7)</f>
        <v>Eksempel 2 (interval)</v>
      </c>
      <c r="H331" s="171">
        <f>_xlfn.AGGREGATE(2,5,LineærRegression_Valg[[#This Row],[Tabel ID]])</f>
        <v>1</v>
      </c>
    </row>
    <row r="332" spans="1:8" x14ac:dyDescent="0.2">
      <c r="A332">
        <f>ROW(LineærRegression_Valg[[#This Row],[Tabel ID]])-ROW(LineærRegression_Valg[[#Headers],[Tabel ID]])</f>
        <v>322</v>
      </c>
      <c r="B332" s="171">
        <f>ROUNDDOWN((LineærRegression_Valg[[#This Row],[Tabel ID]]-1)/$B$5,0)+1</f>
        <v>81</v>
      </c>
      <c r="C332" s="171">
        <f t="shared" si="5"/>
        <v>2</v>
      </c>
      <c r="D332" s="171" t="b">
        <f>LineærRegression_Valg[[#This Row],[Afhængig variabel ID]]&lt;&gt;LineærRegression_Valg[[#This Row],[Uafhængig variabel ID]]</f>
        <v>1</v>
      </c>
      <c r="E332" t="b">
        <f>LineærRegression_Valg[[#This Row],[Afhængig variabel ID]]&lt;=$B$5</f>
        <v>0</v>
      </c>
      <c r="F332" t="str" cm="1">
        <f t="array" ref="F332">IF(LineærRegression_Valg[[#This Row],[Indenfor range]],INDEX(DataTitel_liste,LineærRegression_Valg[[#This Row],[Afhængig variabel ID]]),INDEX(DataTitel_liste,1))</f>
        <v>Eksempel 1 (interval)</v>
      </c>
      <c r="G332" s="171" t="str" cm="1">
        <f t="array" ref="G332">IF(LineærRegression_Valg[[#This Row],[Indenfor range]],IF(LineærRegression_Valg[[#This Row],[Intet overlap]],INDEX(DataTitel_liste,LineærRegression_Valg[[#This Row],[Uafhængig variabel ID]]),INDEX(DataTitel_liste,IF(LineærRegression_Valg[[#This Row],[Afhængig variabel ID]]=1,2,1))),$B$7)</f>
        <v>Eksempel 2 (interval)</v>
      </c>
      <c r="H332" s="171">
        <f>_xlfn.AGGREGATE(2,5,LineærRegression_Valg[[#This Row],[Tabel ID]])</f>
        <v>1</v>
      </c>
    </row>
    <row r="333" spans="1:8" x14ac:dyDescent="0.2">
      <c r="A333">
        <f>ROW(LineærRegression_Valg[[#This Row],[Tabel ID]])-ROW(LineærRegression_Valg[[#Headers],[Tabel ID]])</f>
        <v>323</v>
      </c>
      <c r="B333" s="171">
        <f>ROUNDDOWN((LineærRegression_Valg[[#This Row],[Tabel ID]]-1)/$B$5,0)+1</f>
        <v>81</v>
      </c>
      <c r="C333" s="171">
        <f t="shared" si="5"/>
        <v>3</v>
      </c>
      <c r="D333" s="171" t="b">
        <f>LineærRegression_Valg[[#This Row],[Afhængig variabel ID]]&lt;&gt;LineærRegression_Valg[[#This Row],[Uafhængig variabel ID]]</f>
        <v>1</v>
      </c>
      <c r="E333" t="b">
        <f>LineærRegression_Valg[[#This Row],[Afhængig variabel ID]]&lt;=$B$5</f>
        <v>0</v>
      </c>
      <c r="F333" t="str" cm="1">
        <f t="array" ref="F333">IF(LineærRegression_Valg[[#This Row],[Indenfor range]],INDEX(DataTitel_liste,LineærRegression_Valg[[#This Row],[Afhængig variabel ID]]),INDEX(DataTitel_liste,1))</f>
        <v>Eksempel 1 (interval)</v>
      </c>
      <c r="G333" s="171" t="str" cm="1">
        <f t="array" ref="G333">IF(LineærRegression_Valg[[#This Row],[Indenfor range]],IF(LineærRegression_Valg[[#This Row],[Intet overlap]],INDEX(DataTitel_liste,LineærRegression_Valg[[#This Row],[Uafhængig variabel ID]]),INDEX(DataTitel_liste,IF(LineærRegression_Valg[[#This Row],[Afhængig variabel ID]]=1,2,1))),$B$7)</f>
        <v>Eksempel 2 (interval)</v>
      </c>
      <c r="H333" s="171">
        <f>_xlfn.AGGREGATE(2,5,LineærRegression_Valg[[#This Row],[Tabel ID]])</f>
        <v>1</v>
      </c>
    </row>
    <row r="334" spans="1:8" x14ac:dyDescent="0.2">
      <c r="A334">
        <f>ROW(LineærRegression_Valg[[#This Row],[Tabel ID]])-ROW(LineærRegression_Valg[[#Headers],[Tabel ID]])</f>
        <v>324</v>
      </c>
      <c r="B334" s="171">
        <f>ROUNDDOWN((LineærRegression_Valg[[#This Row],[Tabel ID]]-1)/$B$5,0)+1</f>
        <v>81</v>
      </c>
      <c r="C334" s="171">
        <f t="shared" si="5"/>
        <v>4</v>
      </c>
      <c r="D334" s="171" t="b">
        <f>LineærRegression_Valg[[#This Row],[Afhængig variabel ID]]&lt;&gt;LineærRegression_Valg[[#This Row],[Uafhængig variabel ID]]</f>
        <v>1</v>
      </c>
      <c r="E334" t="b">
        <f>LineærRegression_Valg[[#This Row],[Afhængig variabel ID]]&lt;=$B$5</f>
        <v>0</v>
      </c>
      <c r="F334" t="str" cm="1">
        <f t="array" ref="F334">IF(LineærRegression_Valg[[#This Row],[Indenfor range]],INDEX(DataTitel_liste,LineærRegression_Valg[[#This Row],[Afhængig variabel ID]]),INDEX(DataTitel_liste,1))</f>
        <v>Eksempel 1 (interval)</v>
      </c>
      <c r="G334" s="171" t="str" cm="1">
        <f t="array" ref="G334">IF(LineærRegression_Valg[[#This Row],[Indenfor range]],IF(LineærRegression_Valg[[#This Row],[Intet overlap]],INDEX(DataTitel_liste,LineærRegression_Valg[[#This Row],[Uafhængig variabel ID]]),INDEX(DataTitel_liste,IF(LineærRegression_Valg[[#This Row],[Afhængig variabel ID]]=1,2,1))),$B$7)</f>
        <v>Eksempel 2 (interval)</v>
      </c>
      <c r="H334" s="171">
        <f>_xlfn.AGGREGATE(2,5,LineærRegression_Valg[[#This Row],[Tabel ID]])</f>
        <v>1</v>
      </c>
    </row>
    <row r="335" spans="1:8" x14ac:dyDescent="0.2">
      <c r="A335">
        <f>ROW(LineærRegression_Valg[[#This Row],[Tabel ID]])-ROW(LineærRegression_Valg[[#Headers],[Tabel ID]])</f>
        <v>325</v>
      </c>
      <c r="B335" s="171">
        <f>ROUNDDOWN((LineærRegression_Valg[[#This Row],[Tabel ID]]-1)/$B$5,0)+1</f>
        <v>82</v>
      </c>
      <c r="C335" s="171">
        <f t="shared" si="5"/>
        <v>1</v>
      </c>
      <c r="D335" s="171" t="b">
        <f>LineærRegression_Valg[[#This Row],[Afhængig variabel ID]]&lt;&gt;LineærRegression_Valg[[#This Row],[Uafhængig variabel ID]]</f>
        <v>1</v>
      </c>
      <c r="E335" t="b">
        <f>LineærRegression_Valg[[#This Row],[Afhængig variabel ID]]&lt;=$B$5</f>
        <v>0</v>
      </c>
      <c r="F335" t="str" cm="1">
        <f t="array" ref="F335">IF(LineærRegression_Valg[[#This Row],[Indenfor range]],INDEX(DataTitel_liste,LineærRegression_Valg[[#This Row],[Afhængig variabel ID]]),INDEX(DataTitel_liste,1))</f>
        <v>Eksempel 1 (interval)</v>
      </c>
      <c r="G335" s="171" t="str" cm="1">
        <f t="array" ref="G335">IF(LineærRegression_Valg[[#This Row],[Indenfor range]],IF(LineærRegression_Valg[[#This Row],[Intet overlap]],INDEX(DataTitel_liste,LineærRegression_Valg[[#This Row],[Uafhængig variabel ID]]),INDEX(DataTitel_liste,IF(LineærRegression_Valg[[#This Row],[Afhængig variabel ID]]=1,2,1))),$B$7)</f>
        <v>Eksempel 2 (interval)</v>
      </c>
      <c r="H335" s="171">
        <f>_xlfn.AGGREGATE(2,5,LineærRegression_Valg[[#This Row],[Tabel ID]])</f>
        <v>1</v>
      </c>
    </row>
    <row r="336" spans="1:8" x14ac:dyDescent="0.2">
      <c r="A336">
        <f>ROW(LineærRegression_Valg[[#This Row],[Tabel ID]])-ROW(LineærRegression_Valg[[#Headers],[Tabel ID]])</f>
        <v>326</v>
      </c>
      <c r="B336" s="171">
        <f>ROUNDDOWN((LineærRegression_Valg[[#This Row],[Tabel ID]]-1)/$B$5,0)+1</f>
        <v>82</v>
      </c>
      <c r="C336" s="171">
        <f t="shared" si="5"/>
        <v>2</v>
      </c>
      <c r="D336" s="171" t="b">
        <f>LineærRegression_Valg[[#This Row],[Afhængig variabel ID]]&lt;&gt;LineærRegression_Valg[[#This Row],[Uafhængig variabel ID]]</f>
        <v>1</v>
      </c>
      <c r="E336" t="b">
        <f>LineærRegression_Valg[[#This Row],[Afhængig variabel ID]]&lt;=$B$5</f>
        <v>0</v>
      </c>
      <c r="F336" t="str" cm="1">
        <f t="array" ref="F336">IF(LineærRegression_Valg[[#This Row],[Indenfor range]],INDEX(DataTitel_liste,LineærRegression_Valg[[#This Row],[Afhængig variabel ID]]),INDEX(DataTitel_liste,1))</f>
        <v>Eksempel 1 (interval)</v>
      </c>
      <c r="G336" s="171" t="str" cm="1">
        <f t="array" ref="G336">IF(LineærRegression_Valg[[#This Row],[Indenfor range]],IF(LineærRegression_Valg[[#This Row],[Intet overlap]],INDEX(DataTitel_liste,LineærRegression_Valg[[#This Row],[Uafhængig variabel ID]]),INDEX(DataTitel_liste,IF(LineærRegression_Valg[[#This Row],[Afhængig variabel ID]]=1,2,1))),$B$7)</f>
        <v>Eksempel 2 (interval)</v>
      </c>
      <c r="H336" s="171">
        <f>_xlfn.AGGREGATE(2,5,LineærRegression_Valg[[#This Row],[Tabel ID]])</f>
        <v>1</v>
      </c>
    </row>
    <row r="337" spans="1:8" x14ac:dyDescent="0.2">
      <c r="A337">
        <f>ROW(LineærRegression_Valg[[#This Row],[Tabel ID]])-ROW(LineærRegression_Valg[[#Headers],[Tabel ID]])</f>
        <v>327</v>
      </c>
      <c r="B337" s="171">
        <f>ROUNDDOWN((LineærRegression_Valg[[#This Row],[Tabel ID]]-1)/$B$5,0)+1</f>
        <v>82</v>
      </c>
      <c r="C337" s="171">
        <f t="shared" si="5"/>
        <v>3</v>
      </c>
      <c r="D337" s="171" t="b">
        <f>LineærRegression_Valg[[#This Row],[Afhængig variabel ID]]&lt;&gt;LineærRegression_Valg[[#This Row],[Uafhængig variabel ID]]</f>
        <v>1</v>
      </c>
      <c r="E337" t="b">
        <f>LineærRegression_Valg[[#This Row],[Afhængig variabel ID]]&lt;=$B$5</f>
        <v>0</v>
      </c>
      <c r="F337" t="str" cm="1">
        <f t="array" ref="F337">IF(LineærRegression_Valg[[#This Row],[Indenfor range]],INDEX(DataTitel_liste,LineærRegression_Valg[[#This Row],[Afhængig variabel ID]]),INDEX(DataTitel_liste,1))</f>
        <v>Eksempel 1 (interval)</v>
      </c>
      <c r="G337" s="171" t="str" cm="1">
        <f t="array" ref="G337">IF(LineærRegression_Valg[[#This Row],[Indenfor range]],IF(LineærRegression_Valg[[#This Row],[Intet overlap]],INDEX(DataTitel_liste,LineærRegression_Valg[[#This Row],[Uafhængig variabel ID]]),INDEX(DataTitel_liste,IF(LineærRegression_Valg[[#This Row],[Afhængig variabel ID]]=1,2,1))),$B$7)</f>
        <v>Eksempel 2 (interval)</v>
      </c>
      <c r="H337" s="171">
        <f>_xlfn.AGGREGATE(2,5,LineærRegression_Valg[[#This Row],[Tabel ID]])</f>
        <v>1</v>
      </c>
    </row>
    <row r="338" spans="1:8" x14ac:dyDescent="0.2">
      <c r="A338">
        <f>ROW(LineærRegression_Valg[[#This Row],[Tabel ID]])-ROW(LineærRegression_Valg[[#Headers],[Tabel ID]])</f>
        <v>328</v>
      </c>
      <c r="B338" s="171">
        <f>ROUNDDOWN((LineærRegression_Valg[[#This Row],[Tabel ID]]-1)/$B$5,0)+1</f>
        <v>82</v>
      </c>
      <c r="C338" s="171">
        <f t="shared" si="5"/>
        <v>4</v>
      </c>
      <c r="D338" s="171" t="b">
        <f>LineærRegression_Valg[[#This Row],[Afhængig variabel ID]]&lt;&gt;LineærRegression_Valg[[#This Row],[Uafhængig variabel ID]]</f>
        <v>1</v>
      </c>
      <c r="E338" t="b">
        <f>LineærRegression_Valg[[#This Row],[Afhængig variabel ID]]&lt;=$B$5</f>
        <v>0</v>
      </c>
      <c r="F338" t="str" cm="1">
        <f t="array" ref="F338">IF(LineærRegression_Valg[[#This Row],[Indenfor range]],INDEX(DataTitel_liste,LineærRegression_Valg[[#This Row],[Afhængig variabel ID]]),INDEX(DataTitel_liste,1))</f>
        <v>Eksempel 1 (interval)</v>
      </c>
      <c r="G338" s="171" t="str" cm="1">
        <f t="array" ref="G338">IF(LineærRegression_Valg[[#This Row],[Indenfor range]],IF(LineærRegression_Valg[[#This Row],[Intet overlap]],INDEX(DataTitel_liste,LineærRegression_Valg[[#This Row],[Uafhængig variabel ID]]),INDEX(DataTitel_liste,IF(LineærRegression_Valg[[#This Row],[Afhængig variabel ID]]=1,2,1))),$B$7)</f>
        <v>Eksempel 2 (interval)</v>
      </c>
      <c r="H338" s="171">
        <f>_xlfn.AGGREGATE(2,5,LineærRegression_Valg[[#This Row],[Tabel ID]])</f>
        <v>1</v>
      </c>
    </row>
    <row r="339" spans="1:8" x14ac:dyDescent="0.2">
      <c r="A339">
        <f>ROW(LineærRegression_Valg[[#This Row],[Tabel ID]])-ROW(LineærRegression_Valg[[#Headers],[Tabel ID]])</f>
        <v>329</v>
      </c>
      <c r="B339" s="171">
        <f>ROUNDDOWN((LineærRegression_Valg[[#This Row],[Tabel ID]]-1)/$B$5,0)+1</f>
        <v>83</v>
      </c>
      <c r="C339" s="171">
        <f t="shared" si="5"/>
        <v>1</v>
      </c>
      <c r="D339" s="171" t="b">
        <f>LineærRegression_Valg[[#This Row],[Afhængig variabel ID]]&lt;&gt;LineærRegression_Valg[[#This Row],[Uafhængig variabel ID]]</f>
        <v>1</v>
      </c>
      <c r="E339" t="b">
        <f>LineærRegression_Valg[[#This Row],[Afhængig variabel ID]]&lt;=$B$5</f>
        <v>0</v>
      </c>
      <c r="F339" t="str" cm="1">
        <f t="array" ref="F339">IF(LineærRegression_Valg[[#This Row],[Indenfor range]],INDEX(DataTitel_liste,LineærRegression_Valg[[#This Row],[Afhængig variabel ID]]),INDEX(DataTitel_liste,1))</f>
        <v>Eksempel 1 (interval)</v>
      </c>
      <c r="G339" s="171" t="str" cm="1">
        <f t="array" ref="G339">IF(LineærRegression_Valg[[#This Row],[Indenfor range]],IF(LineærRegression_Valg[[#This Row],[Intet overlap]],INDEX(DataTitel_liste,LineærRegression_Valg[[#This Row],[Uafhængig variabel ID]]),INDEX(DataTitel_liste,IF(LineærRegression_Valg[[#This Row],[Afhængig variabel ID]]=1,2,1))),$B$7)</f>
        <v>Eksempel 2 (interval)</v>
      </c>
      <c r="H339" s="171">
        <f>_xlfn.AGGREGATE(2,5,LineærRegression_Valg[[#This Row],[Tabel ID]])</f>
        <v>1</v>
      </c>
    </row>
    <row r="340" spans="1:8" x14ac:dyDescent="0.2">
      <c r="A340">
        <f>ROW(LineærRegression_Valg[[#This Row],[Tabel ID]])-ROW(LineærRegression_Valg[[#Headers],[Tabel ID]])</f>
        <v>330</v>
      </c>
      <c r="B340" s="171">
        <f>ROUNDDOWN((LineærRegression_Valg[[#This Row],[Tabel ID]]-1)/$B$5,0)+1</f>
        <v>83</v>
      </c>
      <c r="C340" s="171">
        <f t="shared" si="5"/>
        <v>2</v>
      </c>
      <c r="D340" s="171" t="b">
        <f>LineærRegression_Valg[[#This Row],[Afhængig variabel ID]]&lt;&gt;LineærRegression_Valg[[#This Row],[Uafhængig variabel ID]]</f>
        <v>1</v>
      </c>
      <c r="E340" t="b">
        <f>LineærRegression_Valg[[#This Row],[Afhængig variabel ID]]&lt;=$B$5</f>
        <v>0</v>
      </c>
      <c r="F340" t="str" cm="1">
        <f t="array" ref="F340">IF(LineærRegression_Valg[[#This Row],[Indenfor range]],INDEX(DataTitel_liste,LineærRegression_Valg[[#This Row],[Afhængig variabel ID]]),INDEX(DataTitel_liste,1))</f>
        <v>Eksempel 1 (interval)</v>
      </c>
      <c r="G340" s="171" t="str" cm="1">
        <f t="array" ref="G340">IF(LineærRegression_Valg[[#This Row],[Indenfor range]],IF(LineærRegression_Valg[[#This Row],[Intet overlap]],INDEX(DataTitel_liste,LineærRegression_Valg[[#This Row],[Uafhængig variabel ID]]),INDEX(DataTitel_liste,IF(LineærRegression_Valg[[#This Row],[Afhængig variabel ID]]=1,2,1))),$B$7)</f>
        <v>Eksempel 2 (interval)</v>
      </c>
      <c r="H340" s="171">
        <f>_xlfn.AGGREGATE(2,5,LineærRegression_Valg[[#This Row],[Tabel ID]])</f>
        <v>1</v>
      </c>
    </row>
    <row r="341" spans="1:8" x14ac:dyDescent="0.2">
      <c r="A341">
        <f>ROW(LineærRegression_Valg[[#This Row],[Tabel ID]])-ROW(LineærRegression_Valg[[#Headers],[Tabel ID]])</f>
        <v>331</v>
      </c>
      <c r="B341" s="171">
        <f>ROUNDDOWN((LineærRegression_Valg[[#This Row],[Tabel ID]]-1)/$B$5,0)+1</f>
        <v>83</v>
      </c>
      <c r="C341" s="171">
        <f t="shared" si="5"/>
        <v>3</v>
      </c>
      <c r="D341" s="171" t="b">
        <f>LineærRegression_Valg[[#This Row],[Afhængig variabel ID]]&lt;&gt;LineærRegression_Valg[[#This Row],[Uafhængig variabel ID]]</f>
        <v>1</v>
      </c>
      <c r="E341" t="b">
        <f>LineærRegression_Valg[[#This Row],[Afhængig variabel ID]]&lt;=$B$5</f>
        <v>0</v>
      </c>
      <c r="F341" t="str" cm="1">
        <f t="array" ref="F341">IF(LineærRegression_Valg[[#This Row],[Indenfor range]],INDEX(DataTitel_liste,LineærRegression_Valg[[#This Row],[Afhængig variabel ID]]),INDEX(DataTitel_liste,1))</f>
        <v>Eksempel 1 (interval)</v>
      </c>
      <c r="G341" s="171" t="str" cm="1">
        <f t="array" ref="G341">IF(LineærRegression_Valg[[#This Row],[Indenfor range]],IF(LineærRegression_Valg[[#This Row],[Intet overlap]],INDEX(DataTitel_liste,LineærRegression_Valg[[#This Row],[Uafhængig variabel ID]]),INDEX(DataTitel_liste,IF(LineærRegression_Valg[[#This Row],[Afhængig variabel ID]]=1,2,1))),$B$7)</f>
        <v>Eksempel 2 (interval)</v>
      </c>
      <c r="H341" s="171">
        <f>_xlfn.AGGREGATE(2,5,LineærRegression_Valg[[#This Row],[Tabel ID]])</f>
        <v>1</v>
      </c>
    </row>
    <row r="342" spans="1:8" x14ac:dyDescent="0.2">
      <c r="A342">
        <f>ROW(LineærRegression_Valg[[#This Row],[Tabel ID]])-ROW(LineærRegression_Valg[[#Headers],[Tabel ID]])</f>
        <v>332</v>
      </c>
      <c r="B342" s="171">
        <f>ROUNDDOWN((LineærRegression_Valg[[#This Row],[Tabel ID]]-1)/$B$5,0)+1</f>
        <v>83</v>
      </c>
      <c r="C342" s="171">
        <f t="shared" si="5"/>
        <v>4</v>
      </c>
      <c r="D342" s="171" t="b">
        <f>LineærRegression_Valg[[#This Row],[Afhængig variabel ID]]&lt;&gt;LineærRegression_Valg[[#This Row],[Uafhængig variabel ID]]</f>
        <v>1</v>
      </c>
      <c r="E342" t="b">
        <f>LineærRegression_Valg[[#This Row],[Afhængig variabel ID]]&lt;=$B$5</f>
        <v>0</v>
      </c>
      <c r="F342" t="str" cm="1">
        <f t="array" ref="F342">IF(LineærRegression_Valg[[#This Row],[Indenfor range]],INDEX(DataTitel_liste,LineærRegression_Valg[[#This Row],[Afhængig variabel ID]]),INDEX(DataTitel_liste,1))</f>
        <v>Eksempel 1 (interval)</v>
      </c>
      <c r="G342" s="171" t="str" cm="1">
        <f t="array" ref="G342">IF(LineærRegression_Valg[[#This Row],[Indenfor range]],IF(LineærRegression_Valg[[#This Row],[Intet overlap]],INDEX(DataTitel_liste,LineærRegression_Valg[[#This Row],[Uafhængig variabel ID]]),INDEX(DataTitel_liste,IF(LineærRegression_Valg[[#This Row],[Afhængig variabel ID]]=1,2,1))),$B$7)</f>
        <v>Eksempel 2 (interval)</v>
      </c>
      <c r="H342" s="171">
        <f>_xlfn.AGGREGATE(2,5,LineærRegression_Valg[[#This Row],[Tabel ID]])</f>
        <v>1</v>
      </c>
    </row>
    <row r="343" spans="1:8" x14ac:dyDescent="0.2">
      <c r="A343">
        <f>ROW(LineærRegression_Valg[[#This Row],[Tabel ID]])-ROW(LineærRegression_Valg[[#Headers],[Tabel ID]])</f>
        <v>333</v>
      </c>
      <c r="B343" s="171">
        <f>ROUNDDOWN((LineærRegression_Valg[[#This Row],[Tabel ID]]-1)/$B$5,0)+1</f>
        <v>84</v>
      </c>
      <c r="C343" s="171">
        <f t="shared" si="5"/>
        <v>1</v>
      </c>
      <c r="D343" s="171" t="b">
        <f>LineærRegression_Valg[[#This Row],[Afhængig variabel ID]]&lt;&gt;LineærRegression_Valg[[#This Row],[Uafhængig variabel ID]]</f>
        <v>1</v>
      </c>
      <c r="E343" t="b">
        <f>LineærRegression_Valg[[#This Row],[Afhængig variabel ID]]&lt;=$B$5</f>
        <v>0</v>
      </c>
      <c r="F343" t="str" cm="1">
        <f t="array" ref="F343">IF(LineærRegression_Valg[[#This Row],[Indenfor range]],INDEX(DataTitel_liste,LineærRegression_Valg[[#This Row],[Afhængig variabel ID]]),INDEX(DataTitel_liste,1))</f>
        <v>Eksempel 1 (interval)</v>
      </c>
      <c r="G343" s="171" t="str" cm="1">
        <f t="array" ref="G343">IF(LineærRegression_Valg[[#This Row],[Indenfor range]],IF(LineærRegression_Valg[[#This Row],[Intet overlap]],INDEX(DataTitel_liste,LineærRegression_Valg[[#This Row],[Uafhængig variabel ID]]),INDEX(DataTitel_liste,IF(LineærRegression_Valg[[#This Row],[Afhængig variabel ID]]=1,2,1))),$B$7)</f>
        <v>Eksempel 2 (interval)</v>
      </c>
      <c r="H343" s="171">
        <f>_xlfn.AGGREGATE(2,5,LineærRegression_Valg[[#This Row],[Tabel ID]])</f>
        <v>1</v>
      </c>
    </row>
    <row r="344" spans="1:8" x14ac:dyDescent="0.2">
      <c r="A344">
        <f>ROW(LineærRegression_Valg[[#This Row],[Tabel ID]])-ROW(LineærRegression_Valg[[#Headers],[Tabel ID]])</f>
        <v>334</v>
      </c>
      <c r="B344" s="171">
        <f>ROUNDDOWN((LineærRegression_Valg[[#This Row],[Tabel ID]]-1)/$B$5,0)+1</f>
        <v>84</v>
      </c>
      <c r="C344" s="171">
        <f t="shared" si="5"/>
        <v>2</v>
      </c>
      <c r="D344" s="171" t="b">
        <f>LineærRegression_Valg[[#This Row],[Afhængig variabel ID]]&lt;&gt;LineærRegression_Valg[[#This Row],[Uafhængig variabel ID]]</f>
        <v>1</v>
      </c>
      <c r="E344" t="b">
        <f>LineærRegression_Valg[[#This Row],[Afhængig variabel ID]]&lt;=$B$5</f>
        <v>0</v>
      </c>
      <c r="F344" t="str" cm="1">
        <f t="array" ref="F344">IF(LineærRegression_Valg[[#This Row],[Indenfor range]],INDEX(DataTitel_liste,LineærRegression_Valg[[#This Row],[Afhængig variabel ID]]),INDEX(DataTitel_liste,1))</f>
        <v>Eksempel 1 (interval)</v>
      </c>
      <c r="G344" s="171" t="str" cm="1">
        <f t="array" ref="G344">IF(LineærRegression_Valg[[#This Row],[Indenfor range]],IF(LineærRegression_Valg[[#This Row],[Intet overlap]],INDEX(DataTitel_liste,LineærRegression_Valg[[#This Row],[Uafhængig variabel ID]]),INDEX(DataTitel_liste,IF(LineærRegression_Valg[[#This Row],[Afhængig variabel ID]]=1,2,1))),$B$7)</f>
        <v>Eksempel 2 (interval)</v>
      </c>
      <c r="H344" s="171">
        <f>_xlfn.AGGREGATE(2,5,LineærRegression_Valg[[#This Row],[Tabel ID]])</f>
        <v>1</v>
      </c>
    </row>
    <row r="345" spans="1:8" x14ac:dyDescent="0.2">
      <c r="A345">
        <f>ROW(LineærRegression_Valg[[#This Row],[Tabel ID]])-ROW(LineærRegression_Valg[[#Headers],[Tabel ID]])</f>
        <v>335</v>
      </c>
      <c r="B345" s="171">
        <f>ROUNDDOWN((LineærRegression_Valg[[#This Row],[Tabel ID]]-1)/$B$5,0)+1</f>
        <v>84</v>
      </c>
      <c r="C345" s="171">
        <f t="shared" si="5"/>
        <v>3</v>
      </c>
      <c r="D345" s="171" t="b">
        <f>LineærRegression_Valg[[#This Row],[Afhængig variabel ID]]&lt;&gt;LineærRegression_Valg[[#This Row],[Uafhængig variabel ID]]</f>
        <v>1</v>
      </c>
      <c r="E345" t="b">
        <f>LineærRegression_Valg[[#This Row],[Afhængig variabel ID]]&lt;=$B$5</f>
        <v>0</v>
      </c>
      <c r="F345" t="str" cm="1">
        <f t="array" ref="F345">IF(LineærRegression_Valg[[#This Row],[Indenfor range]],INDEX(DataTitel_liste,LineærRegression_Valg[[#This Row],[Afhængig variabel ID]]),INDEX(DataTitel_liste,1))</f>
        <v>Eksempel 1 (interval)</v>
      </c>
      <c r="G345" s="171" t="str" cm="1">
        <f t="array" ref="G345">IF(LineærRegression_Valg[[#This Row],[Indenfor range]],IF(LineærRegression_Valg[[#This Row],[Intet overlap]],INDEX(DataTitel_liste,LineærRegression_Valg[[#This Row],[Uafhængig variabel ID]]),INDEX(DataTitel_liste,IF(LineærRegression_Valg[[#This Row],[Afhængig variabel ID]]=1,2,1))),$B$7)</f>
        <v>Eksempel 2 (interval)</v>
      </c>
      <c r="H345" s="171">
        <f>_xlfn.AGGREGATE(2,5,LineærRegression_Valg[[#This Row],[Tabel ID]])</f>
        <v>1</v>
      </c>
    </row>
    <row r="346" spans="1:8" x14ac:dyDescent="0.2">
      <c r="A346">
        <f>ROW(LineærRegression_Valg[[#This Row],[Tabel ID]])-ROW(LineærRegression_Valg[[#Headers],[Tabel ID]])</f>
        <v>336</v>
      </c>
      <c r="B346" s="171">
        <f>ROUNDDOWN((LineærRegression_Valg[[#This Row],[Tabel ID]]-1)/$B$5,0)+1</f>
        <v>84</v>
      </c>
      <c r="C346" s="171">
        <f t="shared" si="5"/>
        <v>4</v>
      </c>
      <c r="D346" s="171" t="b">
        <f>LineærRegression_Valg[[#This Row],[Afhængig variabel ID]]&lt;&gt;LineærRegression_Valg[[#This Row],[Uafhængig variabel ID]]</f>
        <v>1</v>
      </c>
      <c r="E346" t="b">
        <f>LineærRegression_Valg[[#This Row],[Afhængig variabel ID]]&lt;=$B$5</f>
        <v>0</v>
      </c>
      <c r="F346" t="str" cm="1">
        <f t="array" ref="F346">IF(LineærRegression_Valg[[#This Row],[Indenfor range]],INDEX(DataTitel_liste,LineærRegression_Valg[[#This Row],[Afhængig variabel ID]]),INDEX(DataTitel_liste,1))</f>
        <v>Eksempel 1 (interval)</v>
      </c>
      <c r="G346" s="171" t="str" cm="1">
        <f t="array" ref="G346">IF(LineærRegression_Valg[[#This Row],[Indenfor range]],IF(LineærRegression_Valg[[#This Row],[Intet overlap]],INDEX(DataTitel_liste,LineærRegression_Valg[[#This Row],[Uafhængig variabel ID]]),INDEX(DataTitel_liste,IF(LineærRegression_Valg[[#This Row],[Afhængig variabel ID]]=1,2,1))),$B$7)</f>
        <v>Eksempel 2 (interval)</v>
      </c>
      <c r="H346" s="171">
        <f>_xlfn.AGGREGATE(2,5,LineærRegression_Valg[[#This Row],[Tabel ID]])</f>
        <v>1</v>
      </c>
    </row>
    <row r="347" spans="1:8" x14ac:dyDescent="0.2">
      <c r="A347">
        <f>ROW(LineærRegression_Valg[[#This Row],[Tabel ID]])-ROW(LineærRegression_Valg[[#Headers],[Tabel ID]])</f>
        <v>337</v>
      </c>
      <c r="B347" s="171">
        <f>ROUNDDOWN((LineærRegression_Valg[[#This Row],[Tabel ID]]-1)/$B$5,0)+1</f>
        <v>85</v>
      </c>
      <c r="C347" s="171">
        <f t="shared" si="5"/>
        <v>1</v>
      </c>
      <c r="D347" s="171" t="b">
        <f>LineærRegression_Valg[[#This Row],[Afhængig variabel ID]]&lt;&gt;LineærRegression_Valg[[#This Row],[Uafhængig variabel ID]]</f>
        <v>1</v>
      </c>
      <c r="E347" t="b">
        <f>LineærRegression_Valg[[#This Row],[Afhængig variabel ID]]&lt;=$B$5</f>
        <v>0</v>
      </c>
      <c r="F347" t="str" cm="1">
        <f t="array" ref="F347">IF(LineærRegression_Valg[[#This Row],[Indenfor range]],INDEX(DataTitel_liste,LineærRegression_Valg[[#This Row],[Afhængig variabel ID]]),INDEX(DataTitel_liste,1))</f>
        <v>Eksempel 1 (interval)</v>
      </c>
      <c r="G347" s="171" t="str" cm="1">
        <f t="array" ref="G347">IF(LineærRegression_Valg[[#This Row],[Indenfor range]],IF(LineærRegression_Valg[[#This Row],[Intet overlap]],INDEX(DataTitel_liste,LineærRegression_Valg[[#This Row],[Uafhængig variabel ID]]),INDEX(DataTitel_liste,IF(LineærRegression_Valg[[#This Row],[Afhængig variabel ID]]=1,2,1))),$B$7)</f>
        <v>Eksempel 2 (interval)</v>
      </c>
      <c r="H347" s="171">
        <f>_xlfn.AGGREGATE(2,5,LineærRegression_Valg[[#This Row],[Tabel ID]])</f>
        <v>1</v>
      </c>
    </row>
    <row r="348" spans="1:8" x14ac:dyDescent="0.2">
      <c r="A348">
        <f>ROW(LineærRegression_Valg[[#This Row],[Tabel ID]])-ROW(LineærRegression_Valg[[#Headers],[Tabel ID]])</f>
        <v>338</v>
      </c>
      <c r="B348" s="171">
        <f>ROUNDDOWN((LineærRegression_Valg[[#This Row],[Tabel ID]]-1)/$B$5,0)+1</f>
        <v>85</v>
      </c>
      <c r="C348" s="171">
        <f t="shared" si="5"/>
        <v>2</v>
      </c>
      <c r="D348" s="171" t="b">
        <f>LineærRegression_Valg[[#This Row],[Afhængig variabel ID]]&lt;&gt;LineærRegression_Valg[[#This Row],[Uafhængig variabel ID]]</f>
        <v>1</v>
      </c>
      <c r="E348" t="b">
        <f>LineærRegression_Valg[[#This Row],[Afhængig variabel ID]]&lt;=$B$5</f>
        <v>0</v>
      </c>
      <c r="F348" t="str" cm="1">
        <f t="array" ref="F348">IF(LineærRegression_Valg[[#This Row],[Indenfor range]],INDEX(DataTitel_liste,LineærRegression_Valg[[#This Row],[Afhængig variabel ID]]),INDEX(DataTitel_liste,1))</f>
        <v>Eksempel 1 (interval)</v>
      </c>
      <c r="G348" s="171" t="str" cm="1">
        <f t="array" ref="G348">IF(LineærRegression_Valg[[#This Row],[Indenfor range]],IF(LineærRegression_Valg[[#This Row],[Intet overlap]],INDEX(DataTitel_liste,LineærRegression_Valg[[#This Row],[Uafhængig variabel ID]]),INDEX(DataTitel_liste,IF(LineærRegression_Valg[[#This Row],[Afhængig variabel ID]]=1,2,1))),$B$7)</f>
        <v>Eksempel 2 (interval)</v>
      </c>
      <c r="H348" s="171">
        <f>_xlfn.AGGREGATE(2,5,LineærRegression_Valg[[#This Row],[Tabel ID]])</f>
        <v>1</v>
      </c>
    </row>
    <row r="349" spans="1:8" x14ac:dyDescent="0.2">
      <c r="A349">
        <f>ROW(LineærRegression_Valg[[#This Row],[Tabel ID]])-ROW(LineærRegression_Valg[[#Headers],[Tabel ID]])</f>
        <v>339</v>
      </c>
      <c r="B349" s="171">
        <f>ROUNDDOWN((LineærRegression_Valg[[#This Row],[Tabel ID]]-1)/$B$5,0)+1</f>
        <v>85</v>
      </c>
      <c r="C349" s="171">
        <f t="shared" si="5"/>
        <v>3</v>
      </c>
      <c r="D349" s="171" t="b">
        <f>LineærRegression_Valg[[#This Row],[Afhængig variabel ID]]&lt;&gt;LineærRegression_Valg[[#This Row],[Uafhængig variabel ID]]</f>
        <v>1</v>
      </c>
      <c r="E349" t="b">
        <f>LineærRegression_Valg[[#This Row],[Afhængig variabel ID]]&lt;=$B$5</f>
        <v>0</v>
      </c>
      <c r="F349" t="str" cm="1">
        <f t="array" ref="F349">IF(LineærRegression_Valg[[#This Row],[Indenfor range]],INDEX(DataTitel_liste,LineærRegression_Valg[[#This Row],[Afhængig variabel ID]]),INDEX(DataTitel_liste,1))</f>
        <v>Eksempel 1 (interval)</v>
      </c>
      <c r="G349" s="171" t="str" cm="1">
        <f t="array" ref="G349">IF(LineærRegression_Valg[[#This Row],[Indenfor range]],IF(LineærRegression_Valg[[#This Row],[Intet overlap]],INDEX(DataTitel_liste,LineærRegression_Valg[[#This Row],[Uafhængig variabel ID]]),INDEX(DataTitel_liste,IF(LineærRegression_Valg[[#This Row],[Afhængig variabel ID]]=1,2,1))),$B$7)</f>
        <v>Eksempel 2 (interval)</v>
      </c>
      <c r="H349" s="171">
        <f>_xlfn.AGGREGATE(2,5,LineærRegression_Valg[[#This Row],[Tabel ID]])</f>
        <v>1</v>
      </c>
    </row>
    <row r="350" spans="1:8" x14ac:dyDescent="0.2">
      <c r="A350">
        <f>ROW(LineærRegression_Valg[[#This Row],[Tabel ID]])-ROW(LineærRegression_Valg[[#Headers],[Tabel ID]])</f>
        <v>340</v>
      </c>
      <c r="B350" s="171">
        <f>ROUNDDOWN((LineærRegression_Valg[[#This Row],[Tabel ID]]-1)/$B$5,0)+1</f>
        <v>85</v>
      </c>
      <c r="C350" s="171">
        <f t="shared" si="5"/>
        <v>4</v>
      </c>
      <c r="D350" s="171" t="b">
        <f>LineærRegression_Valg[[#This Row],[Afhængig variabel ID]]&lt;&gt;LineærRegression_Valg[[#This Row],[Uafhængig variabel ID]]</f>
        <v>1</v>
      </c>
      <c r="E350" t="b">
        <f>LineærRegression_Valg[[#This Row],[Afhængig variabel ID]]&lt;=$B$5</f>
        <v>0</v>
      </c>
      <c r="F350" t="str" cm="1">
        <f t="array" ref="F350">IF(LineærRegression_Valg[[#This Row],[Indenfor range]],INDEX(DataTitel_liste,LineærRegression_Valg[[#This Row],[Afhængig variabel ID]]),INDEX(DataTitel_liste,1))</f>
        <v>Eksempel 1 (interval)</v>
      </c>
      <c r="G350" s="171" t="str" cm="1">
        <f t="array" ref="G350">IF(LineærRegression_Valg[[#This Row],[Indenfor range]],IF(LineærRegression_Valg[[#This Row],[Intet overlap]],INDEX(DataTitel_liste,LineærRegression_Valg[[#This Row],[Uafhængig variabel ID]]),INDEX(DataTitel_liste,IF(LineærRegression_Valg[[#This Row],[Afhængig variabel ID]]=1,2,1))),$B$7)</f>
        <v>Eksempel 2 (interval)</v>
      </c>
      <c r="H350" s="171">
        <f>_xlfn.AGGREGATE(2,5,LineærRegression_Valg[[#This Row],[Tabel ID]])</f>
        <v>1</v>
      </c>
    </row>
    <row r="351" spans="1:8" x14ac:dyDescent="0.2">
      <c r="A351">
        <f>ROW(LineærRegression_Valg[[#This Row],[Tabel ID]])-ROW(LineærRegression_Valg[[#Headers],[Tabel ID]])</f>
        <v>341</v>
      </c>
      <c r="B351" s="171">
        <f>ROUNDDOWN((LineærRegression_Valg[[#This Row],[Tabel ID]]-1)/$B$5,0)+1</f>
        <v>86</v>
      </c>
      <c r="C351" s="171">
        <f t="shared" si="5"/>
        <v>1</v>
      </c>
      <c r="D351" s="171" t="b">
        <f>LineærRegression_Valg[[#This Row],[Afhængig variabel ID]]&lt;&gt;LineærRegression_Valg[[#This Row],[Uafhængig variabel ID]]</f>
        <v>1</v>
      </c>
      <c r="E351" t="b">
        <f>LineærRegression_Valg[[#This Row],[Afhængig variabel ID]]&lt;=$B$5</f>
        <v>0</v>
      </c>
      <c r="F351" t="str" cm="1">
        <f t="array" ref="F351">IF(LineærRegression_Valg[[#This Row],[Indenfor range]],INDEX(DataTitel_liste,LineærRegression_Valg[[#This Row],[Afhængig variabel ID]]),INDEX(DataTitel_liste,1))</f>
        <v>Eksempel 1 (interval)</v>
      </c>
      <c r="G351" s="171" t="str" cm="1">
        <f t="array" ref="G351">IF(LineærRegression_Valg[[#This Row],[Indenfor range]],IF(LineærRegression_Valg[[#This Row],[Intet overlap]],INDEX(DataTitel_liste,LineærRegression_Valg[[#This Row],[Uafhængig variabel ID]]),INDEX(DataTitel_liste,IF(LineærRegression_Valg[[#This Row],[Afhængig variabel ID]]=1,2,1))),$B$7)</f>
        <v>Eksempel 2 (interval)</v>
      </c>
      <c r="H351" s="171">
        <f>_xlfn.AGGREGATE(2,5,LineærRegression_Valg[[#This Row],[Tabel ID]])</f>
        <v>1</v>
      </c>
    </row>
    <row r="352" spans="1:8" x14ac:dyDescent="0.2">
      <c r="A352">
        <f>ROW(LineærRegression_Valg[[#This Row],[Tabel ID]])-ROW(LineærRegression_Valg[[#Headers],[Tabel ID]])</f>
        <v>342</v>
      </c>
      <c r="B352" s="171">
        <f>ROUNDDOWN((LineærRegression_Valg[[#This Row],[Tabel ID]]-1)/$B$5,0)+1</f>
        <v>86</v>
      </c>
      <c r="C352" s="171">
        <f t="shared" si="5"/>
        <v>2</v>
      </c>
      <c r="D352" s="171" t="b">
        <f>LineærRegression_Valg[[#This Row],[Afhængig variabel ID]]&lt;&gt;LineærRegression_Valg[[#This Row],[Uafhængig variabel ID]]</f>
        <v>1</v>
      </c>
      <c r="E352" t="b">
        <f>LineærRegression_Valg[[#This Row],[Afhængig variabel ID]]&lt;=$B$5</f>
        <v>0</v>
      </c>
      <c r="F352" t="str" cm="1">
        <f t="array" ref="F352">IF(LineærRegression_Valg[[#This Row],[Indenfor range]],INDEX(DataTitel_liste,LineærRegression_Valg[[#This Row],[Afhængig variabel ID]]),INDEX(DataTitel_liste,1))</f>
        <v>Eksempel 1 (interval)</v>
      </c>
      <c r="G352" s="171" t="str" cm="1">
        <f t="array" ref="G352">IF(LineærRegression_Valg[[#This Row],[Indenfor range]],IF(LineærRegression_Valg[[#This Row],[Intet overlap]],INDEX(DataTitel_liste,LineærRegression_Valg[[#This Row],[Uafhængig variabel ID]]),INDEX(DataTitel_liste,IF(LineærRegression_Valg[[#This Row],[Afhængig variabel ID]]=1,2,1))),$B$7)</f>
        <v>Eksempel 2 (interval)</v>
      </c>
      <c r="H352" s="171">
        <f>_xlfn.AGGREGATE(2,5,LineærRegression_Valg[[#This Row],[Tabel ID]])</f>
        <v>1</v>
      </c>
    </row>
    <row r="353" spans="1:8" x14ac:dyDescent="0.2">
      <c r="A353">
        <f>ROW(LineærRegression_Valg[[#This Row],[Tabel ID]])-ROW(LineærRegression_Valg[[#Headers],[Tabel ID]])</f>
        <v>343</v>
      </c>
      <c r="B353" s="171">
        <f>ROUNDDOWN((LineærRegression_Valg[[#This Row],[Tabel ID]]-1)/$B$5,0)+1</f>
        <v>86</v>
      </c>
      <c r="C353" s="171">
        <f t="shared" si="5"/>
        <v>3</v>
      </c>
      <c r="D353" s="171" t="b">
        <f>LineærRegression_Valg[[#This Row],[Afhængig variabel ID]]&lt;&gt;LineærRegression_Valg[[#This Row],[Uafhængig variabel ID]]</f>
        <v>1</v>
      </c>
      <c r="E353" t="b">
        <f>LineærRegression_Valg[[#This Row],[Afhængig variabel ID]]&lt;=$B$5</f>
        <v>0</v>
      </c>
      <c r="F353" t="str" cm="1">
        <f t="array" ref="F353">IF(LineærRegression_Valg[[#This Row],[Indenfor range]],INDEX(DataTitel_liste,LineærRegression_Valg[[#This Row],[Afhængig variabel ID]]),INDEX(DataTitel_liste,1))</f>
        <v>Eksempel 1 (interval)</v>
      </c>
      <c r="G353" s="171" t="str" cm="1">
        <f t="array" ref="G353">IF(LineærRegression_Valg[[#This Row],[Indenfor range]],IF(LineærRegression_Valg[[#This Row],[Intet overlap]],INDEX(DataTitel_liste,LineærRegression_Valg[[#This Row],[Uafhængig variabel ID]]),INDEX(DataTitel_liste,IF(LineærRegression_Valg[[#This Row],[Afhængig variabel ID]]=1,2,1))),$B$7)</f>
        <v>Eksempel 2 (interval)</v>
      </c>
      <c r="H353" s="171">
        <f>_xlfn.AGGREGATE(2,5,LineærRegression_Valg[[#This Row],[Tabel ID]])</f>
        <v>1</v>
      </c>
    </row>
    <row r="354" spans="1:8" x14ac:dyDescent="0.2">
      <c r="A354">
        <f>ROW(LineærRegression_Valg[[#This Row],[Tabel ID]])-ROW(LineærRegression_Valg[[#Headers],[Tabel ID]])</f>
        <v>344</v>
      </c>
      <c r="B354" s="171">
        <f>ROUNDDOWN((LineærRegression_Valg[[#This Row],[Tabel ID]]-1)/$B$5,0)+1</f>
        <v>86</v>
      </c>
      <c r="C354" s="171">
        <f t="shared" si="5"/>
        <v>4</v>
      </c>
      <c r="D354" s="171" t="b">
        <f>LineærRegression_Valg[[#This Row],[Afhængig variabel ID]]&lt;&gt;LineærRegression_Valg[[#This Row],[Uafhængig variabel ID]]</f>
        <v>1</v>
      </c>
      <c r="E354" t="b">
        <f>LineærRegression_Valg[[#This Row],[Afhængig variabel ID]]&lt;=$B$5</f>
        <v>0</v>
      </c>
      <c r="F354" t="str" cm="1">
        <f t="array" ref="F354">IF(LineærRegression_Valg[[#This Row],[Indenfor range]],INDEX(DataTitel_liste,LineærRegression_Valg[[#This Row],[Afhængig variabel ID]]),INDEX(DataTitel_liste,1))</f>
        <v>Eksempel 1 (interval)</v>
      </c>
      <c r="G354" s="171" t="str" cm="1">
        <f t="array" ref="G354">IF(LineærRegression_Valg[[#This Row],[Indenfor range]],IF(LineærRegression_Valg[[#This Row],[Intet overlap]],INDEX(DataTitel_liste,LineærRegression_Valg[[#This Row],[Uafhængig variabel ID]]),INDEX(DataTitel_liste,IF(LineærRegression_Valg[[#This Row],[Afhængig variabel ID]]=1,2,1))),$B$7)</f>
        <v>Eksempel 2 (interval)</v>
      </c>
      <c r="H354" s="171">
        <f>_xlfn.AGGREGATE(2,5,LineærRegression_Valg[[#This Row],[Tabel ID]])</f>
        <v>1</v>
      </c>
    </row>
    <row r="355" spans="1:8" x14ac:dyDescent="0.2">
      <c r="A355">
        <f>ROW(LineærRegression_Valg[[#This Row],[Tabel ID]])-ROW(LineærRegression_Valg[[#Headers],[Tabel ID]])</f>
        <v>345</v>
      </c>
      <c r="B355" s="171">
        <f>ROUNDDOWN((LineærRegression_Valg[[#This Row],[Tabel ID]]-1)/$B$5,0)+1</f>
        <v>87</v>
      </c>
      <c r="C355" s="171">
        <f t="shared" si="5"/>
        <v>1</v>
      </c>
      <c r="D355" s="171" t="b">
        <f>LineærRegression_Valg[[#This Row],[Afhængig variabel ID]]&lt;&gt;LineærRegression_Valg[[#This Row],[Uafhængig variabel ID]]</f>
        <v>1</v>
      </c>
      <c r="E355" t="b">
        <f>LineærRegression_Valg[[#This Row],[Afhængig variabel ID]]&lt;=$B$5</f>
        <v>0</v>
      </c>
      <c r="F355" t="str" cm="1">
        <f t="array" ref="F355">IF(LineærRegression_Valg[[#This Row],[Indenfor range]],INDEX(DataTitel_liste,LineærRegression_Valg[[#This Row],[Afhængig variabel ID]]),INDEX(DataTitel_liste,1))</f>
        <v>Eksempel 1 (interval)</v>
      </c>
      <c r="G355" s="171" t="str" cm="1">
        <f t="array" ref="G355">IF(LineærRegression_Valg[[#This Row],[Indenfor range]],IF(LineærRegression_Valg[[#This Row],[Intet overlap]],INDEX(DataTitel_liste,LineærRegression_Valg[[#This Row],[Uafhængig variabel ID]]),INDEX(DataTitel_liste,IF(LineærRegression_Valg[[#This Row],[Afhængig variabel ID]]=1,2,1))),$B$7)</f>
        <v>Eksempel 2 (interval)</v>
      </c>
      <c r="H355" s="171">
        <f>_xlfn.AGGREGATE(2,5,LineærRegression_Valg[[#This Row],[Tabel ID]])</f>
        <v>1</v>
      </c>
    </row>
    <row r="356" spans="1:8" x14ac:dyDescent="0.2">
      <c r="A356">
        <f>ROW(LineærRegression_Valg[[#This Row],[Tabel ID]])-ROW(LineærRegression_Valg[[#Headers],[Tabel ID]])</f>
        <v>346</v>
      </c>
      <c r="B356" s="171">
        <f>ROUNDDOWN((LineærRegression_Valg[[#This Row],[Tabel ID]]-1)/$B$5,0)+1</f>
        <v>87</v>
      </c>
      <c r="C356" s="171">
        <f t="shared" si="5"/>
        <v>2</v>
      </c>
      <c r="D356" s="171" t="b">
        <f>LineærRegression_Valg[[#This Row],[Afhængig variabel ID]]&lt;&gt;LineærRegression_Valg[[#This Row],[Uafhængig variabel ID]]</f>
        <v>1</v>
      </c>
      <c r="E356" t="b">
        <f>LineærRegression_Valg[[#This Row],[Afhængig variabel ID]]&lt;=$B$5</f>
        <v>0</v>
      </c>
      <c r="F356" t="str" cm="1">
        <f t="array" ref="F356">IF(LineærRegression_Valg[[#This Row],[Indenfor range]],INDEX(DataTitel_liste,LineærRegression_Valg[[#This Row],[Afhængig variabel ID]]),INDEX(DataTitel_liste,1))</f>
        <v>Eksempel 1 (interval)</v>
      </c>
      <c r="G356" s="171" t="str" cm="1">
        <f t="array" ref="G356">IF(LineærRegression_Valg[[#This Row],[Indenfor range]],IF(LineærRegression_Valg[[#This Row],[Intet overlap]],INDEX(DataTitel_liste,LineærRegression_Valg[[#This Row],[Uafhængig variabel ID]]),INDEX(DataTitel_liste,IF(LineærRegression_Valg[[#This Row],[Afhængig variabel ID]]=1,2,1))),$B$7)</f>
        <v>Eksempel 2 (interval)</v>
      </c>
      <c r="H356" s="171">
        <f>_xlfn.AGGREGATE(2,5,LineærRegression_Valg[[#This Row],[Tabel ID]])</f>
        <v>1</v>
      </c>
    </row>
    <row r="357" spans="1:8" x14ac:dyDescent="0.2">
      <c r="A357">
        <f>ROW(LineærRegression_Valg[[#This Row],[Tabel ID]])-ROW(LineærRegression_Valg[[#Headers],[Tabel ID]])</f>
        <v>347</v>
      </c>
      <c r="B357" s="171">
        <f>ROUNDDOWN((LineærRegression_Valg[[#This Row],[Tabel ID]]-1)/$B$5,0)+1</f>
        <v>87</v>
      </c>
      <c r="C357" s="171">
        <f t="shared" si="5"/>
        <v>3</v>
      </c>
      <c r="D357" s="171" t="b">
        <f>LineærRegression_Valg[[#This Row],[Afhængig variabel ID]]&lt;&gt;LineærRegression_Valg[[#This Row],[Uafhængig variabel ID]]</f>
        <v>1</v>
      </c>
      <c r="E357" t="b">
        <f>LineærRegression_Valg[[#This Row],[Afhængig variabel ID]]&lt;=$B$5</f>
        <v>0</v>
      </c>
      <c r="F357" t="str" cm="1">
        <f t="array" ref="F357">IF(LineærRegression_Valg[[#This Row],[Indenfor range]],INDEX(DataTitel_liste,LineærRegression_Valg[[#This Row],[Afhængig variabel ID]]),INDEX(DataTitel_liste,1))</f>
        <v>Eksempel 1 (interval)</v>
      </c>
      <c r="G357" s="171" t="str" cm="1">
        <f t="array" ref="G357">IF(LineærRegression_Valg[[#This Row],[Indenfor range]],IF(LineærRegression_Valg[[#This Row],[Intet overlap]],INDEX(DataTitel_liste,LineærRegression_Valg[[#This Row],[Uafhængig variabel ID]]),INDEX(DataTitel_liste,IF(LineærRegression_Valg[[#This Row],[Afhængig variabel ID]]=1,2,1))),$B$7)</f>
        <v>Eksempel 2 (interval)</v>
      </c>
      <c r="H357" s="171">
        <f>_xlfn.AGGREGATE(2,5,LineærRegression_Valg[[#This Row],[Tabel ID]])</f>
        <v>1</v>
      </c>
    </row>
    <row r="358" spans="1:8" x14ac:dyDescent="0.2">
      <c r="A358">
        <f>ROW(LineærRegression_Valg[[#This Row],[Tabel ID]])-ROW(LineærRegression_Valg[[#Headers],[Tabel ID]])</f>
        <v>348</v>
      </c>
      <c r="B358" s="171">
        <f>ROUNDDOWN((LineærRegression_Valg[[#This Row],[Tabel ID]]-1)/$B$5,0)+1</f>
        <v>87</v>
      </c>
      <c r="C358" s="171">
        <f t="shared" si="5"/>
        <v>4</v>
      </c>
      <c r="D358" s="171" t="b">
        <f>LineærRegression_Valg[[#This Row],[Afhængig variabel ID]]&lt;&gt;LineærRegression_Valg[[#This Row],[Uafhængig variabel ID]]</f>
        <v>1</v>
      </c>
      <c r="E358" t="b">
        <f>LineærRegression_Valg[[#This Row],[Afhængig variabel ID]]&lt;=$B$5</f>
        <v>0</v>
      </c>
      <c r="F358" t="str" cm="1">
        <f t="array" ref="F358">IF(LineærRegression_Valg[[#This Row],[Indenfor range]],INDEX(DataTitel_liste,LineærRegression_Valg[[#This Row],[Afhængig variabel ID]]),INDEX(DataTitel_liste,1))</f>
        <v>Eksempel 1 (interval)</v>
      </c>
      <c r="G358" s="171" t="str" cm="1">
        <f t="array" ref="G358">IF(LineærRegression_Valg[[#This Row],[Indenfor range]],IF(LineærRegression_Valg[[#This Row],[Intet overlap]],INDEX(DataTitel_liste,LineærRegression_Valg[[#This Row],[Uafhængig variabel ID]]),INDEX(DataTitel_liste,IF(LineærRegression_Valg[[#This Row],[Afhængig variabel ID]]=1,2,1))),$B$7)</f>
        <v>Eksempel 2 (interval)</v>
      </c>
      <c r="H358" s="171">
        <f>_xlfn.AGGREGATE(2,5,LineærRegression_Valg[[#This Row],[Tabel ID]])</f>
        <v>1</v>
      </c>
    </row>
    <row r="359" spans="1:8" x14ac:dyDescent="0.2">
      <c r="A359">
        <f>ROW(LineærRegression_Valg[[#This Row],[Tabel ID]])-ROW(LineærRegression_Valg[[#Headers],[Tabel ID]])</f>
        <v>349</v>
      </c>
      <c r="B359" s="171">
        <f>ROUNDDOWN((LineærRegression_Valg[[#This Row],[Tabel ID]]-1)/$B$5,0)+1</f>
        <v>88</v>
      </c>
      <c r="C359" s="171">
        <f t="shared" si="5"/>
        <v>1</v>
      </c>
      <c r="D359" s="171" t="b">
        <f>LineærRegression_Valg[[#This Row],[Afhængig variabel ID]]&lt;&gt;LineærRegression_Valg[[#This Row],[Uafhængig variabel ID]]</f>
        <v>1</v>
      </c>
      <c r="E359" t="b">
        <f>LineærRegression_Valg[[#This Row],[Afhængig variabel ID]]&lt;=$B$5</f>
        <v>0</v>
      </c>
      <c r="F359" t="str" cm="1">
        <f t="array" ref="F359">IF(LineærRegression_Valg[[#This Row],[Indenfor range]],INDEX(DataTitel_liste,LineærRegression_Valg[[#This Row],[Afhængig variabel ID]]),INDEX(DataTitel_liste,1))</f>
        <v>Eksempel 1 (interval)</v>
      </c>
      <c r="G359" s="171" t="str" cm="1">
        <f t="array" ref="G359">IF(LineærRegression_Valg[[#This Row],[Indenfor range]],IF(LineærRegression_Valg[[#This Row],[Intet overlap]],INDEX(DataTitel_liste,LineærRegression_Valg[[#This Row],[Uafhængig variabel ID]]),INDEX(DataTitel_liste,IF(LineærRegression_Valg[[#This Row],[Afhængig variabel ID]]=1,2,1))),$B$7)</f>
        <v>Eksempel 2 (interval)</v>
      </c>
      <c r="H359" s="171">
        <f>_xlfn.AGGREGATE(2,5,LineærRegression_Valg[[#This Row],[Tabel ID]])</f>
        <v>1</v>
      </c>
    </row>
    <row r="360" spans="1:8" x14ac:dyDescent="0.2">
      <c r="A360">
        <f>ROW(LineærRegression_Valg[[#This Row],[Tabel ID]])-ROW(LineærRegression_Valg[[#Headers],[Tabel ID]])</f>
        <v>350</v>
      </c>
      <c r="B360" s="171">
        <f>ROUNDDOWN((LineærRegression_Valg[[#This Row],[Tabel ID]]-1)/$B$5,0)+1</f>
        <v>88</v>
      </c>
      <c r="C360" s="171">
        <f t="shared" si="5"/>
        <v>2</v>
      </c>
      <c r="D360" s="171" t="b">
        <f>LineærRegression_Valg[[#This Row],[Afhængig variabel ID]]&lt;&gt;LineærRegression_Valg[[#This Row],[Uafhængig variabel ID]]</f>
        <v>1</v>
      </c>
      <c r="E360" t="b">
        <f>LineærRegression_Valg[[#This Row],[Afhængig variabel ID]]&lt;=$B$5</f>
        <v>0</v>
      </c>
      <c r="F360" t="str" cm="1">
        <f t="array" ref="F360">IF(LineærRegression_Valg[[#This Row],[Indenfor range]],INDEX(DataTitel_liste,LineærRegression_Valg[[#This Row],[Afhængig variabel ID]]),INDEX(DataTitel_liste,1))</f>
        <v>Eksempel 1 (interval)</v>
      </c>
      <c r="G360" s="171" t="str" cm="1">
        <f t="array" ref="G360">IF(LineærRegression_Valg[[#This Row],[Indenfor range]],IF(LineærRegression_Valg[[#This Row],[Intet overlap]],INDEX(DataTitel_liste,LineærRegression_Valg[[#This Row],[Uafhængig variabel ID]]),INDEX(DataTitel_liste,IF(LineærRegression_Valg[[#This Row],[Afhængig variabel ID]]=1,2,1))),$B$7)</f>
        <v>Eksempel 2 (interval)</v>
      </c>
      <c r="H360" s="171">
        <f>_xlfn.AGGREGATE(2,5,LineærRegression_Valg[[#This Row],[Tabel ID]])</f>
        <v>1</v>
      </c>
    </row>
    <row r="361" spans="1:8" x14ac:dyDescent="0.2">
      <c r="A361">
        <f>ROW(LineærRegression_Valg[[#This Row],[Tabel ID]])-ROW(LineærRegression_Valg[[#Headers],[Tabel ID]])</f>
        <v>351</v>
      </c>
      <c r="B361" s="171">
        <f>ROUNDDOWN((LineærRegression_Valg[[#This Row],[Tabel ID]]-1)/$B$5,0)+1</f>
        <v>88</v>
      </c>
      <c r="C361" s="171">
        <f t="shared" si="5"/>
        <v>3</v>
      </c>
      <c r="D361" s="171" t="b">
        <f>LineærRegression_Valg[[#This Row],[Afhængig variabel ID]]&lt;&gt;LineærRegression_Valg[[#This Row],[Uafhængig variabel ID]]</f>
        <v>1</v>
      </c>
      <c r="E361" t="b">
        <f>LineærRegression_Valg[[#This Row],[Afhængig variabel ID]]&lt;=$B$5</f>
        <v>0</v>
      </c>
      <c r="F361" t="str" cm="1">
        <f t="array" ref="F361">IF(LineærRegression_Valg[[#This Row],[Indenfor range]],INDEX(DataTitel_liste,LineærRegression_Valg[[#This Row],[Afhængig variabel ID]]),INDEX(DataTitel_liste,1))</f>
        <v>Eksempel 1 (interval)</v>
      </c>
      <c r="G361" s="171" t="str" cm="1">
        <f t="array" ref="G361">IF(LineærRegression_Valg[[#This Row],[Indenfor range]],IF(LineærRegression_Valg[[#This Row],[Intet overlap]],INDEX(DataTitel_liste,LineærRegression_Valg[[#This Row],[Uafhængig variabel ID]]),INDEX(DataTitel_liste,IF(LineærRegression_Valg[[#This Row],[Afhængig variabel ID]]=1,2,1))),$B$7)</f>
        <v>Eksempel 2 (interval)</v>
      </c>
      <c r="H361" s="171">
        <f>_xlfn.AGGREGATE(2,5,LineærRegression_Valg[[#This Row],[Tabel ID]])</f>
        <v>1</v>
      </c>
    </row>
    <row r="362" spans="1:8" x14ac:dyDescent="0.2">
      <c r="A362">
        <f>ROW(LineærRegression_Valg[[#This Row],[Tabel ID]])-ROW(LineærRegression_Valg[[#Headers],[Tabel ID]])</f>
        <v>352</v>
      </c>
      <c r="B362" s="171">
        <f>ROUNDDOWN((LineærRegression_Valg[[#This Row],[Tabel ID]]-1)/$B$5,0)+1</f>
        <v>88</v>
      </c>
      <c r="C362" s="171">
        <f t="shared" si="5"/>
        <v>4</v>
      </c>
      <c r="D362" s="171" t="b">
        <f>LineærRegression_Valg[[#This Row],[Afhængig variabel ID]]&lt;&gt;LineærRegression_Valg[[#This Row],[Uafhængig variabel ID]]</f>
        <v>1</v>
      </c>
      <c r="E362" t="b">
        <f>LineærRegression_Valg[[#This Row],[Afhængig variabel ID]]&lt;=$B$5</f>
        <v>0</v>
      </c>
      <c r="F362" t="str" cm="1">
        <f t="array" ref="F362">IF(LineærRegression_Valg[[#This Row],[Indenfor range]],INDEX(DataTitel_liste,LineærRegression_Valg[[#This Row],[Afhængig variabel ID]]),INDEX(DataTitel_liste,1))</f>
        <v>Eksempel 1 (interval)</v>
      </c>
      <c r="G362" s="171" t="str" cm="1">
        <f t="array" ref="G362">IF(LineærRegression_Valg[[#This Row],[Indenfor range]],IF(LineærRegression_Valg[[#This Row],[Intet overlap]],INDEX(DataTitel_liste,LineærRegression_Valg[[#This Row],[Uafhængig variabel ID]]),INDEX(DataTitel_liste,IF(LineærRegression_Valg[[#This Row],[Afhængig variabel ID]]=1,2,1))),$B$7)</f>
        <v>Eksempel 2 (interval)</v>
      </c>
      <c r="H362" s="171">
        <f>_xlfn.AGGREGATE(2,5,LineærRegression_Valg[[#This Row],[Tabel ID]])</f>
        <v>1</v>
      </c>
    </row>
    <row r="363" spans="1:8" x14ac:dyDescent="0.2">
      <c r="A363">
        <f>ROW(LineærRegression_Valg[[#This Row],[Tabel ID]])-ROW(LineærRegression_Valg[[#Headers],[Tabel ID]])</f>
        <v>353</v>
      </c>
      <c r="B363" s="171">
        <f>ROUNDDOWN((LineærRegression_Valg[[#This Row],[Tabel ID]]-1)/$B$5,0)+1</f>
        <v>89</v>
      </c>
      <c r="C363" s="171">
        <f t="shared" si="5"/>
        <v>1</v>
      </c>
      <c r="D363" s="171" t="b">
        <f>LineærRegression_Valg[[#This Row],[Afhængig variabel ID]]&lt;&gt;LineærRegression_Valg[[#This Row],[Uafhængig variabel ID]]</f>
        <v>1</v>
      </c>
      <c r="E363" t="b">
        <f>LineærRegression_Valg[[#This Row],[Afhængig variabel ID]]&lt;=$B$5</f>
        <v>0</v>
      </c>
      <c r="F363" t="str" cm="1">
        <f t="array" ref="F363">IF(LineærRegression_Valg[[#This Row],[Indenfor range]],INDEX(DataTitel_liste,LineærRegression_Valg[[#This Row],[Afhængig variabel ID]]),INDEX(DataTitel_liste,1))</f>
        <v>Eksempel 1 (interval)</v>
      </c>
      <c r="G363" s="171" t="str" cm="1">
        <f t="array" ref="G363">IF(LineærRegression_Valg[[#This Row],[Indenfor range]],IF(LineærRegression_Valg[[#This Row],[Intet overlap]],INDEX(DataTitel_liste,LineærRegression_Valg[[#This Row],[Uafhængig variabel ID]]),INDEX(DataTitel_liste,IF(LineærRegression_Valg[[#This Row],[Afhængig variabel ID]]=1,2,1))),$B$7)</f>
        <v>Eksempel 2 (interval)</v>
      </c>
      <c r="H363" s="171">
        <f>_xlfn.AGGREGATE(2,5,LineærRegression_Valg[[#This Row],[Tabel ID]])</f>
        <v>1</v>
      </c>
    </row>
    <row r="364" spans="1:8" x14ac:dyDescent="0.2">
      <c r="A364">
        <f>ROW(LineærRegression_Valg[[#This Row],[Tabel ID]])-ROW(LineærRegression_Valg[[#Headers],[Tabel ID]])</f>
        <v>354</v>
      </c>
      <c r="B364" s="171">
        <f>ROUNDDOWN((LineærRegression_Valg[[#This Row],[Tabel ID]]-1)/$B$5,0)+1</f>
        <v>89</v>
      </c>
      <c r="C364" s="171">
        <f t="shared" si="5"/>
        <v>2</v>
      </c>
      <c r="D364" s="171" t="b">
        <f>LineærRegression_Valg[[#This Row],[Afhængig variabel ID]]&lt;&gt;LineærRegression_Valg[[#This Row],[Uafhængig variabel ID]]</f>
        <v>1</v>
      </c>
      <c r="E364" t="b">
        <f>LineærRegression_Valg[[#This Row],[Afhængig variabel ID]]&lt;=$B$5</f>
        <v>0</v>
      </c>
      <c r="F364" t="str" cm="1">
        <f t="array" ref="F364">IF(LineærRegression_Valg[[#This Row],[Indenfor range]],INDEX(DataTitel_liste,LineærRegression_Valg[[#This Row],[Afhængig variabel ID]]),INDEX(DataTitel_liste,1))</f>
        <v>Eksempel 1 (interval)</v>
      </c>
      <c r="G364" s="171" t="str" cm="1">
        <f t="array" ref="G364">IF(LineærRegression_Valg[[#This Row],[Indenfor range]],IF(LineærRegression_Valg[[#This Row],[Intet overlap]],INDEX(DataTitel_liste,LineærRegression_Valg[[#This Row],[Uafhængig variabel ID]]),INDEX(DataTitel_liste,IF(LineærRegression_Valg[[#This Row],[Afhængig variabel ID]]=1,2,1))),$B$7)</f>
        <v>Eksempel 2 (interval)</v>
      </c>
      <c r="H364" s="171">
        <f>_xlfn.AGGREGATE(2,5,LineærRegression_Valg[[#This Row],[Tabel ID]])</f>
        <v>1</v>
      </c>
    </row>
    <row r="365" spans="1:8" x14ac:dyDescent="0.2">
      <c r="A365">
        <f>ROW(LineærRegression_Valg[[#This Row],[Tabel ID]])-ROW(LineærRegression_Valg[[#Headers],[Tabel ID]])</f>
        <v>355</v>
      </c>
      <c r="B365" s="171">
        <f>ROUNDDOWN((LineærRegression_Valg[[#This Row],[Tabel ID]]-1)/$B$5,0)+1</f>
        <v>89</v>
      </c>
      <c r="C365" s="171">
        <f t="shared" si="5"/>
        <v>3</v>
      </c>
      <c r="D365" s="171" t="b">
        <f>LineærRegression_Valg[[#This Row],[Afhængig variabel ID]]&lt;&gt;LineærRegression_Valg[[#This Row],[Uafhængig variabel ID]]</f>
        <v>1</v>
      </c>
      <c r="E365" t="b">
        <f>LineærRegression_Valg[[#This Row],[Afhængig variabel ID]]&lt;=$B$5</f>
        <v>0</v>
      </c>
      <c r="F365" t="str" cm="1">
        <f t="array" ref="F365">IF(LineærRegression_Valg[[#This Row],[Indenfor range]],INDEX(DataTitel_liste,LineærRegression_Valg[[#This Row],[Afhængig variabel ID]]),INDEX(DataTitel_liste,1))</f>
        <v>Eksempel 1 (interval)</v>
      </c>
      <c r="G365" s="171" t="str" cm="1">
        <f t="array" ref="G365">IF(LineærRegression_Valg[[#This Row],[Indenfor range]],IF(LineærRegression_Valg[[#This Row],[Intet overlap]],INDEX(DataTitel_liste,LineærRegression_Valg[[#This Row],[Uafhængig variabel ID]]),INDEX(DataTitel_liste,IF(LineærRegression_Valg[[#This Row],[Afhængig variabel ID]]=1,2,1))),$B$7)</f>
        <v>Eksempel 2 (interval)</v>
      </c>
      <c r="H365" s="171">
        <f>_xlfn.AGGREGATE(2,5,LineærRegression_Valg[[#This Row],[Tabel ID]])</f>
        <v>1</v>
      </c>
    </row>
    <row r="366" spans="1:8" x14ac:dyDescent="0.2">
      <c r="A366">
        <f>ROW(LineærRegression_Valg[[#This Row],[Tabel ID]])-ROW(LineærRegression_Valg[[#Headers],[Tabel ID]])</f>
        <v>356</v>
      </c>
      <c r="B366" s="171">
        <f>ROUNDDOWN((LineærRegression_Valg[[#This Row],[Tabel ID]]-1)/$B$5,0)+1</f>
        <v>89</v>
      </c>
      <c r="C366" s="171">
        <f t="shared" si="5"/>
        <v>4</v>
      </c>
      <c r="D366" s="171" t="b">
        <f>LineærRegression_Valg[[#This Row],[Afhængig variabel ID]]&lt;&gt;LineærRegression_Valg[[#This Row],[Uafhængig variabel ID]]</f>
        <v>1</v>
      </c>
      <c r="E366" t="b">
        <f>LineærRegression_Valg[[#This Row],[Afhængig variabel ID]]&lt;=$B$5</f>
        <v>0</v>
      </c>
      <c r="F366" t="str" cm="1">
        <f t="array" ref="F366">IF(LineærRegression_Valg[[#This Row],[Indenfor range]],INDEX(DataTitel_liste,LineærRegression_Valg[[#This Row],[Afhængig variabel ID]]),INDEX(DataTitel_liste,1))</f>
        <v>Eksempel 1 (interval)</v>
      </c>
      <c r="G366" s="171" t="str" cm="1">
        <f t="array" ref="G366">IF(LineærRegression_Valg[[#This Row],[Indenfor range]],IF(LineærRegression_Valg[[#This Row],[Intet overlap]],INDEX(DataTitel_liste,LineærRegression_Valg[[#This Row],[Uafhængig variabel ID]]),INDEX(DataTitel_liste,IF(LineærRegression_Valg[[#This Row],[Afhængig variabel ID]]=1,2,1))),$B$7)</f>
        <v>Eksempel 2 (interval)</v>
      </c>
      <c r="H366" s="171">
        <f>_xlfn.AGGREGATE(2,5,LineærRegression_Valg[[#This Row],[Tabel ID]])</f>
        <v>1</v>
      </c>
    </row>
    <row r="367" spans="1:8" x14ac:dyDescent="0.2">
      <c r="A367">
        <f>ROW(LineærRegression_Valg[[#This Row],[Tabel ID]])-ROW(LineærRegression_Valg[[#Headers],[Tabel ID]])</f>
        <v>357</v>
      </c>
      <c r="B367" s="171">
        <f>ROUNDDOWN((LineærRegression_Valg[[#This Row],[Tabel ID]]-1)/$B$5,0)+1</f>
        <v>90</v>
      </c>
      <c r="C367" s="171">
        <f t="shared" si="5"/>
        <v>1</v>
      </c>
      <c r="D367" s="171" t="b">
        <f>LineærRegression_Valg[[#This Row],[Afhængig variabel ID]]&lt;&gt;LineærRegression_Valg[[#This Row],[Uafhængig variabel ID]]</f>
        <v>1</v>
      </c>
      <c r="E367" t="b">
        <f>LineærRegression_Valg[[#This Row],[Afhængig variabel ID]]&lt;=$B$5</f>
        <v>0</v>
      </c>
      <c r="F367" t="str" cm="1">
        <f t="array" ref="F367">IF(LineærRegression_Valg[[#This Row],[Indenfor range]],INDEX(DataTitel_liste,LineærRegression_Valg[[#This Row],[Afhængig variabel ID]]),INDEX(DataTitel_liste,1))</f>
        <v>Eksempel 1 (interval)</v>
      </c>
      <c r="G367" s="171" t="str" cm="1">
        <f t="array" ref="G367">IF(LineærRegression_Valg[[#This Row],[Indenfor range]],IF(LineærRegression_Valg[[#This Row],[Intet overlap]],INDEX(DataTitel_liste,LineærRegression_Valg[[#This Row],[Uafhængig variabel ID]]),INDEX(DataTitel_liste,IF(LineærRegression_Valg[[#This Row],[Afhængig variabel ID]]=1,2,1))),$B$7)</f>
        <v>Eksempel 2 (interval)</v>
      </c>
      <c r="H367" s="171">
        <f>_xlfn.AGGREGATE(2,5,LineærRegression_Valg[[#This Row],[Tabel ID]])</f>
        <v>1</v>
      </c>
    </row>
    <row r="368" spans="1:8" x14ac:dyDescent="0.2">
      <c r="A368">
        <f>ROW(LineærRegression_Valg[[#This Row],[Tabel ID]])-ROW(LineærRegression_Valg[[#Headers],[Tabel ID]])</f>
        <v>358</v>
      </c>
      <c r="B368" s="171">
        <f>ROUNDDOWN((LineærRegression_Valg[[#This Row],[Tabel ID]]-1)/$B$5,0)+1</f>
        <v>90</v>
      </c>
      <c r="C368" s="171">
        <f t="shared" si="5"/>
        <v>2</v>
      </c>
      <c r="D368" s="171" t="b">
        <f>LineærRegression_Valg[[#This Row],[Afhængig variabel ID]]&lt;&gt;LineærRegression_Valg[[#This Row],[Uafhængig variabel ID]]</f>
        <v>1</v>
      </c>
      <c r="E368" t="b">
        <f>LineærRegression_Valg[[#This Row],[Afhængig variabel ID]]&lt;=$B$5</f>
        <v>0</v>
      </c>
      <c r="F368" t="str" cm="1">
        <f t="array" ref="F368">IF(LineærRegression_Valg[[#This Row],[Indenfor range]],INDEX(DataTitel_liste,LineærRegression_Valg[[#This Row],[Afhængig variabel ID]]),INDEX(DataTitel_liste,1))</f>
        <v>Eksempel 1 (interval)</v>
      </c>
      <c r="G368" s="171" t="str" cm="1">
        <f t="array" ref="G368">IF(LineærRegression_Valg[[#This Row],[Indenfor range]],IF(LineærRegression_Valg[[#This Row],[Intet overlap]],INDEX(DataTitel_liste,LineærRegression_Valg[[#This Row],[Uafhængig variabel ID]]),INDEX(DataTitel_liste,IF(LineærRegression_Valg[[#This Row],[Afhængig variabel ID]]=1,2,1))),$B$7)</f>
        <v>Eksempel 2 (interval)</v>
      </c>
      <c r="H368" s="171">
        <f>_xlfn.AGGREGATE(2,5,LineærRegression_Valg[[#This Row],[Tabel ID]])</f>
        <v>1</v>
      </c>
    </row>
    <row r="369" spans="1:8" x14ac:dyDescent="0.2">
      <c r="A369">
        <f>ROW(LineærRegression_Valg[[#This Row],[Tabel ID]])-ROW(LineærRegression_Valg[[#Headers],[Tabel ID]])</f>
        <v>359</v>
      </c>
      <c r="B369" s="171">
        <f>ROUNDDOWN((LineærRegression_Valg[[#This Row],[Tabel ID]]-1)/$B$5,0)+1</f>
        <v>90</v>
      </c>
      <c r="C369" s="171">
        <f t="shared" si="5"/>
        <v>3</v>
      </c>
      <c r="D369" s="171" t="b">
        <f>LineærRegression_Valg[[#This Row],[Afhængig variabel ID]]&lt;&gt;LineærRegression_Valg[[#This Row],[Uafhængig variabel ID]]</f>
        <v>1</v>
      </c>
      <c r="E369" t="b">
        <f>LineærRegression_Valg[[#This Row],[Afhængig variabel ID]]&lt;=$B$5</f>
        <v>0</v>
      </c>
      <c r="F369" t="str" cm="1">
        <f t="array" ref="F369">IF(LineærRegression_Valg[[#This Row],[Indenfor range]],INDEX(DataTitel_liste,LineærRegression_Valg[[#This Row],[Afhængig variabel ID]]),INDEX(DataTitel_liste,1))</f>
        <v>Eksempel 1 (interval)</v>
      </c>
      <c r="G369" s="171" t="str" cm="1">
        <f t="array" ref="G369">IF(LineærRegression_Valg[[#This Row],[Indenfor range]],IF(LineærRegression_Valg[[#This Row],[Intet overlap]],INDEX(DataTitel_liste,LineærRegression_Valg[[#This Row],[Uafhængig variabel ID]]),INDEX(DataTitel_liste,IF(LineærRegression_Valg[[#This Row],[Afhængig variabel ID]]=1,2,1))),$B$7)</f>
        <v>Eksempel 2 (interval)</v>
      </c>
      <c r="H369" s="171">
        <f>_xlfn.AGGREGATE(2,5,LineærRegression_Valg[[#This Row],[Tabel ID]])</f>
        <v>1</v>
      </c>
    </row>
    <row r="370" spans="1:8" x14ac:dyDescent="0.2">
      <c r="A370">
        <f>ROW(LineærRegression_Valg[[#This Row],[Tabel ID]])-ROW(LineærRegression_Valg[[#Headers],[Tabel ID]])</f>
        <v>360</v>
      </c>
      <c r="B370" s="171">
        <f>ROUNDDOWN((LineærRegression_Valg[[#This Row],[Tabel ID]]-1)/$B$5,0)+1</f>
        <v>90</v>
      </c>
      <c r="C370" s="171">
        <f t="shared" si="5"/>
        <v>4</v>
      </c>
      <c r="D370" s="171" t="b">
        <f>LineærRegression_Valg[[#This Row],[Afhængig variabel ID]]&lt;&gt;LineærRegression_Valg[[#This Row],[Uafhængig variabel ID]]</f>
        <v>1</v>
      </c>
      <c r="E370" t="b">
        <f>LineærRegression_Valg[[#This Row],[Afhængig variabel ID]]&lt;=$B$5</f>
        <v>0</v>
      </c>
      <c r="F370" t="str" cm="1">
        <f t="array" ref="F370">IF(LineærRegression_Valg[[#This Row],[Indenfor range]],INDEX(DataTitel_liste,LineærRegression_Valg[[#This Row],[Afhængig variabel ID]]),INDEX(DataTitel_liste,1))</f>
        <v>Eksempel 1 (interval)</v>
      </c>
      <c r="G370" s="171" t="str" cm="1">
        <f t="array" ref="G370">IF(LineærRegression_Valg[[#This Row],[Indenfor range]],IF(LineærRegression_Valg[[#This Row],[Intet overlap]],INDEX(DataTitel_liste,LineærRegression_Valg[[#This Row],[Uafhængig variabel ID]]),INDEX(DataTitel_liste,IF(LineærRegression_Valg[[#This Row],[Afhængig variabel ID]]=1,2,1))),$B$7)</f>
        <v>Eksempel 2 (interval)</v>
      </c>
      <c r="H370" s="171">
        <f>_xlfn.AGGREGATE(2,5,LineærRegression_Valg[[#This Row],[Tabel ID]])</f>
        <v>1</v>
      </c>
    </row>
    <row r="371" spans="1:8" x14ac:dyDescent="0.2">
      <c r="A371">
        <f>ROW(LineærRegression_Valg[[#This Row],[Tabel ID]])-ROW(LineærRegression_Valg[[#Headers],[Tabel ID]])</f>
        <v>361</v>
      </c>
      <c r="B371" s="171">
        <f>ROUNDDOWN((LineærRegression_Valg[[#This Row],[Tabel ID]]-1)/$B$5,0)+1</f>
        <v>91</v>
      </c>
      <c r="C371" s="171">
        <f t="shared" si="5"/>
        <v>1</v>
      </c>
      <c r="D371" s="171" t="b">
        <f>LineærRegression_Valg[[#This Row],[Afhængig variabel ID]]&lt;&gt;LineærRegression_Valg[[#This Row],[Uafhængig variabel ID]]</f>
        <v>1</v>
      </c>
      <c r="E371" t="b">
        <f>LineærRegression_Valg[[#This Row],[Afhængig variabel ID]]&lt;=$B$5</f>
        <v>0</v>
      </c>
      <c r="F371" t="str" cm="1">
        <f t="array" ref="F371">IF(LineærRegression_Valg[[#This Row],[Indenfor range]],INDEX(DataTitel_liste,LineærRegression_Valg[[#This Row],[Afhængig variabel ID]]),INDEX(DataTitel_liste,1))</f>
        <v>Eksempel 1 (interval)</v>
      </c>
      <c r="G371" s="171" t="str" cm="1">
        <f t="array" ref="G371">IF(LineærRegression_Valg[[#This Row],[Indenfor range]],IF(LineærRegression_Valg[[#This Row],[Intet overlap]],INDEX(DataTitel_liste,LineærRegression_Valg[[#This Row],[Uafhængig variabel ID]]),INDEX(DataTitel_liste,IF(LineærRegression_Valg[[#This Row],[Afhængig variabel ID]]=1,2,1))),$B$7)</f>
        <v>Eksempel 2 (interval)</v>
      </c>
      <c r="H371" s="171">
        <f>_xlfn.AGGREGATE(2,5,LineærRegression_Valg[[#This Row],[Tabel ID]])</f>
        <v>1</v>
      </c>
    </row>
    <row r="372" spans="1:8" x14ac:dyDescent="0.2">
      <c r="A372">
        <f>ROW(LineærRegression_Valg[[#This Row],[Tabel ID]])-ROW(LineærRegression_Valg[[#Headers],[Tabel ID]])</f>
        <v>362</v>
      </c>
      <c r="B372" s="171">
        <f>ROUNDDOWN((LineærRegression_Valg[[#This Row],[Tabel ID]]-1)/$B$5,0)+1</f>
        <v>91</v>
      </c>
      <c r="C372" s="171">
        <f t="shared" si="5"/>
        <v>2</v>
      </c>
      <c r="D372" s="171" t="b">
        <f>LineærRegression_Valg[[#This Row],[Afhængig variabel ID]]&lt;&gt;LineærRegression_Valg[[#This Row],[Uafhængig variabel ID]]</f>
        <v>1</v>
      </c>
      <c r="E372" t="b">
        <f>LineærRegression_Valg[[#This Row],[Afhængig variabel ID]]&lt;=$B$5</f>
        <v>0</v>
      </c>
      <c r="F372" t="str" cm="1">
        <f t="array" ref="F372">IF(LineærRegression_Valg[[#This Row],[Indenfor range]],INDEX(DataTitel_liste,LineærRegression_Valg[[#This Row],[Afhængig variabel ID]]),INDEX(DataTitel_liste,1))</f>
        <v>Eksempel 1 (interval)</v>
      </c>
      <c r="G372" s="171" t="str" cm="1">
        <f t="array" ref="G372">IF(LineærRegression_Valg[[#This Row],[Indenfor range]],IF(LineærRegression_Valg[[#This Row],[Intet overlap]],INDEX(DataTitel_liste,LineærRegression_Valg[[#This Row],[Uafhængig variabel ID]]),INDEX(DataTitel_liste,IF(LineærRegression_Valg[[#This Row],[Afhængig variabel ID]]=1,2,1))),$B$7)</f>
        <v>Eksempel 2 (interval)</v>
      </c>
      <c r="H372" s="171">
        <f>_xlfn.AGGREGATE(2,5,LineærRegression_Valg[[#This Row],[Tabel ID]])</f>
        <v>1</v>
      </c>
    </row>
    <row r="373" spans="1:8" x14ac:dyDescent="0.2">
      <c r="A373">
        <f>ROW(LineærRegression_Valg[[#This Row],[Tabel ID]])-ROW(LineærRegression_Valg[[#Headers],[Tabel ID]])</f>
        <v>363</v>
      </c>
      <c r="B373" s="171">
        <f>ROUNDDOWN((LineærRegression_Valg[[#This Row],[Tabel ID]]-1)/$B$5,0)+1</f>
        <v>91</v>
      </c>
      <c r="C373" s="171">
        <f t="shared" si="5"/>
        <v>3</v>
      </c>
      <c r="D373" s="171" t="b">
        <f>LineærRegression_Valg[[#This Row],[Afhængig variabel ID]]&lt;&gt;LineærRegression_Valg[[#This Row],[Uafhængig variabel ID]]</f>
        <v>1</v>
      </c>
      <c r="E373" t="b">
        <f>LineærRegression_Valg[[#This Row],[Afhængig variabel ID]]&lt;=$B$5</f>
        <v>0</v>
      </c>
      <c r="F373" t="str" cm="1">
        <f t="array" ref="F373">IF(LineærRegression_Valg[[#This Row],[Indenfor range]],INDEX(DataTitel_liste,LineærRegression_Valg[[#This Row],[Afhængig variabel ID]]),INDEX(DataTitel_liste,1))</f>
        <v>Eksempel 1 (interval)</v>
      </c>
      <c r="G373" s="171" t="str" cm="1">
        <f t="array" ref="G373">IF(LineærRegression_Valg[[#This Row],[Indenfor range]],IF(LineærRegression_Valg[[#This Row],[Intet overlap]],INDEX(DataTitel_liste,LineærRegression_Valg[[#This Row],[Uafhængig variabel ID]]),INDEX(DataTitel_liste,IF(LineærRegression_Valg[[#This Row],[Afhængig variabel ID]]=1,2,1))),$B$7)</f>
        <v>Eksempel 2 (interval)</v>
      </c>
      <c r="H373" s="171">
        <f>_xlfn.AGGREGATE(2,5,LineærRegression_Valg[[#This Row],[Tabel ID]])</f>
        <v>1</v>
      </c>
    </row>
    <row r="374" spans="1:8" x14ac:dyDescent="0.2">
      <c r="A374">
        <f>ROW(LineærRegression_Valg[[#This Row],[Tabel ID]])-ROW(LineærRegression_Valg[[#Headers],[Tabel ID]])</f>
        <v>364</v>
      </c>
      <c r="B374" s="171">
        <f>ROUNDDOWN((LineærRegression_Valg[[#This Row],[Tabel ID]]-1)/$B$5,0)+1</f>
        <v>91</v>
      </c>
      <c r="C374" s="171">
        <f t="shared" si="5"/>
        <v>4</v>
      </c>
      <c r="D374" s="171" t="b">
        <f>LineærRegression_Valg[[#This Row],[Afhængig variabel ID]]&lt;&gt;LineærRegression_Valg[[#This Row],[Uafhængig variabel ID]]</f>
        <v>1</v>
      </c>
      <c r="E374" t="b">
        <f>LineærRegression_Valg[[#This Row],[Afhængig variabel ID]]&lt;=$B$5</f>
        <v>0</v>
      </c>
      <c r="F374" t="str" cm="1">
        <f t="array" ref="F374">IF(LineærRegression_Valg[[#This Row],[Indenfor range]],INDEX(DataTitel_liste,LineærRegression_Valg[[#This Row],[Afhængig variabel ID]]),INDEX(DataTitel_liste,1))</f>
        <v>Eksempel 1 (interval)</v>
      </c>
      <c r="G374" s="171" t="str" cm="1">
        <f t="array" ref="G374">IF(LineærRegression_Valg[[#This Row],[Indenfor range]],IF(LineærRegression_Valg[[#This Row],[Intet overlap]],INDEX(DataTitel_liste,LineærRegression_Valg[[#This Row],[Uafhængig variabel ID]]),INDEX(DataTitel_liste,IF(LineærRegression_Valg[[#This Row],[Afhængig variabel ID]]=1,2,1))),$B$7)</f>
        <v>Eksempel 2 (interval)</v>
      </c>
      <c r="H374" s="171">
        <f>_xlfn.AGGREGATE(2,5,LineærRegression_Valg[[#This Row],[Tabel ID]])</f>
        <v>1</v>
      </c>
    </row>
    <row r="375" spans="1:8" x14ac:dyDescent="0.2">
      <c r="A375">
        <f>ROW(LineærRegression_Valg[[#This Row],[Tabel ID]])-ROW(LineærRegression_Valg[[#Headers],[Tabel ID]])</f>
        <v>365</v>
      </c>
      <c r="B375" s="171">
        <f>ROUNDDOWN((LineærRegression_Valg[[#This Row],[Tabel ID]]-1)/$B$5,0)+1</f>
        <v>92</v>
      </c>
      <c r="C375" s="171">
        <f t="shared" si="5"/>
        <v>1</v>
      </c>
      <c r="D375" s="171" t="b">
        <f>LineærRegression_Valg[[#This Row],[Afhængig variabel ID]]&lt;&gt;LineærRegression_Valg[[#This Row],[Uafhængig variabel ID]]</f>
        <v>1</v>
      </c>
      <c r="E375" t="b">
        <f>LineærRegression_Valg[[#This Row],[Afhængig variabel ID]]&lt;=$B$5</f>
        <v>0</v>
      </c>
      <c r="F375" t="str" cm="1">
        <f t="array" ref="F375">IF(LineærRegression_Valg[[#This Row],[Indenfor range]],INDEX(DataTitel_liste,LineærRegression_Valg[[#This Row],[Afhængig variabel ID]]),INDEX(DataTitel_liste,1))</f>
        <v>Eksempel 1 (interval)</v>
      </c>
      <c r="G375" s="171" t="str" cm="1">
        <f t="array" ref="G375">IF(LineærRegression_Valg[[#This Row],[Indenfor range]],IF(LineærRegression_Valg[[#This Row],[Intet overlap]],INDEX(DataTitel_liste,LineærRegression_Valg[[#This Row],[Uafhængig variabel ID]]),INDEX(DataTitel_liste,IF(LineærRegression_Valg[[#This Row],[Afhængig variabel ID]]=1,2,1))),$B$7)</f>
        <v>Eksempel 2 (interval)</v>
      </c>
      <c r="H375" s="171">
        <f>_xlfn.AGGREGATE(2,5,LineærRegression_Valg[[#This Row],[Tabel ID]])</f>
        <v>1</v>
      </c>
    </row>
    <row r="376" spans="1:8" x14ac:dyDescent="0.2">
      <c r="A376">
        <f>ROW(LineærRegression_Valg[[#This Row],[Tabel ID]])-ROW(LineærRegression_Valg[[#Headers],[Tabel ID]])</f>
        <v>366</v>
      </c>
      <c r="B376" s="171">
        <f>ROUNDDOWN((LineærRegression_Valg[[#This Row],[Tabel ID]]-1)/$B$5,0)+1</f>
        <v>92</v>
      </c>
      <c r="C376" s="171">
        <f t="shared" si="5"/>
        <v>2</v>
      </c>
      <c r="D376" s="171" t="b">
        <f>LineærRegression_Valg[[#This Row],[Afhængig variabel ID]]&lt;&gt;LineærRegression_Valg[[#This Row],[Uafhængig variabel ID]]</f>
        <v>1</v>
      </c>
      <c r="E376" t="b">
        <f>LineærRegression_Valg[[#This Row],[Afhængig variabel ID]]&lt;=$B$5</f>
        <v>0</v>
      </c>
      <c r="F376" t="str" cm="1">
        <f t="array" ref="F376">IF(LineærRegression_Valg[[#This Row],[Indenfor range]],INDEX(DataTitel_liste,LineærRegression_Valg[[#This Row],[Afhængig variabel ID]]),INDEX(DataTitel_liste,1))</f>
        <v>Eksempel 1 (interval)</v>
      </c>
      <c r="G376" s="171" t="str" cm="1">
        <f t="array" ref="G376">IF(LineærRegression_Valg[[#This Row],[Indenfor range]],IF(LineærRegression_Valg[[#This Row],[Intet overlap]],INDEX(DataTitel_liste,LineærRegression_Valg[[#This Row],[Uafhængig variabel ID]]),INDEX(DataTitel_liste,IF(LineærRegression_Valg[[#This Row],[Afhængig variabel ID]]=1,2,1))),$B$7)</f>
        <v>Eksempel 2 (interval)</v>
      </c>
      <c r="H376" s="171">
        <f>_xlfn.AGGREGATE(2,5,LineærRegression_Valg[[#This Row],[Tabel ID]])</f>
        <v>1</v>
      </c>
    </row>
    <row r="377" spans="1:8" x14ac:dyDescent="0.2">
      <c r="A377">
        <f>ROW(LineærRegression_Valg[[#This Row],[Tabel ID]])-ROW(LineærRegression_Valg[[#Headers],[Tabel ID]])</f>
        <v>367</v>
      </c>
      <c r="B377" s="171">
        <f>ROUNDDOWN((LineærRegression_Valg[[#This Row],[Tabel ID]]-1)/$B$5,0)+1</f>
        <v>92</v>
      </c>
      <c r="C377" s="171">
        <f t="shared" si="5"/>
        <v>3</v>
      </c>
      <c r="D377" s="171" t="b">
        <f>LineærRegression_Valg[[#This Row],[Afhængig variabel ID]]&lt;&gt;LineærRegression_Valg[[#This Row],[Uafhængig variabel ID]]</f>
        <v>1</v>
      </c>
      <c r="E377" t="b">
        <f>LineærRegression_Valg[[#This Row],[Afhængig variabel ID]]&lt;=$B$5</f>
        <v>0</v>
      </c>
      <c r="F377" t="str" cm="1">
        <f t="array" ref="F377">IF(LineærRegression_Valg[[#This Row],[Indenfor range]],INDEX(DataTitel_liste,LineærRegression_Valg[[#This Row],[Afhængig variabel ID]]),INDEX(DataTitel_liste,1))</f>
        <v>Eksempel 1 (interval)</v>
      </c>
      <c r="G377" s="171" t="str" cm="1">
        <f t="array" ref="G377">IF(LineærRegression_Valg[[#This Row],[Indenfor range]],IF(LineærRegression_Valg[[#This Row],[Intet overlap]],INDEX(DataTitel_liste,LineærRegression_Valg[[#This Row],[Uafhængig variabel ID]]),INDEX(DataTitel_liste,IF(LineærRegression_Valg[[#This Row],[Afhængig variabel ID]]=1,2,1))),$B$7)</f>
        <v>Eksempel 2 (interval)</v>
      </c>
      <c r="H377" s="171">
        <f>_xlfn.AGGREGATE(2,5,LineærRegression_Valg[[#This Row],[Tabel ID]])</f>
        <v>1</v>
      </c>
    </row>
    <row r="378" spans="1:8" x14ac:dyDescent="0.2">
      <c r="A378">
        <f>ROW(LineærRegression_Valg[[#This Row],[Tabel ID]])-ROW(LineærRegression_Valg[[#Headers],[Tabel ID]])</f>
        <v>368</v>
      </c>
      <c r="B378" s="171">
        <f>ROUNDDOWN((LineærRegression_Valg[[#This Row],[Tabel ID]]-1)/$B$5,0)+1</f>
        <v>92</v>
      </c>
      <c r="C378" s="171">
        <f t="shared" si="5"/>
        <v>4</v>
      </c>
      <c r="D378" s="171" t="b">
        <f>LineærRegression_Valg[[#This Row],[Afhængig variabel ID]]&lt;&gt;LineærRegression_Valg[[#This Row],[Uafhængig variabel ID]]</f>
        <v>1</v>
      </c>
      <c r="E378" t="b">
        <f>LineærRegression_Valg[[#This Row],[Afhængig variabel ID]]&lt;=$B$5</f>
        <v>0</v>
      </c>
      <c r="F378" t="str" cm="1">
        <f t="array" ref="F378">IF(LineærRegression_Valg[[#This Row],[Indenfor range]],INDEX(DataTitel_liste,LineærRegression_Valg[[#This Row],[Afhængig variabel ID]]),INDEX(DataTitel_liste,1))</f>
        <v>Eksempel 1 (interval)</v>
      </c>
      <c r="G378" s="171" t="str" cm="1">
        <f t="array" ref="G378">IF(LineærRegression_Valg[[#This Row],[Indenfor range]],IF(LineærRegression_Valg[[#This Row],[Intet overlap]],INDEX(DataTitel_liste,LineærRegression_Valg[[#This Row],[Uafhængig variabel ID]]),INDEX(DataTitel_liste,IF(LineærRegression_Valg[[#This Row],[Afhængig variabel ID]]=1,2,1))),$B$7)</f>
        <v>Eksempel 2 (interval)</v>
      </c>
      <c r="H378" s="171">
        <f>_xlfn.AGGREGATE(2,5,LineærRegression_Valg[[#This Row],[Tabel ID]])</f>
        <v>1</v>
      </c>
    </row>
    <row r="379" spans="1:8" x14ac:dyDescent="0.2">
      <c r="A379">
        <f>ROW(LineærRegression_Valg[[#This Row],[Tabel ID]])-ROW(LineærRegression_Valg[[#Headers],[Tabel ID]])</f>
        <v>369</v>
      </c>
      <c r="B379" s="171">
        <f>ROUNDDOWN((LineærRegression_Valg[[#This Row],[Tabel ID]]-1)/$B$5,0)+1</f>
        <v>93</v>
      </c>
      <c r="C379" s="171">
        <f t="shared" si="5"/>
        <v>1</v>
      </c>
      <c r="D379" s="171" t="b">
        <f>LineærRegression_Valg[[#This Row],[Afhængig variabel ID]]&lt;&gt;LineærRegression_Valg[[#This Row],[Uafhængig variabel ID]]</f>
        <v>1</v>
      </c>
      <c r="E379" t="b">
        <f>LineærRegression_Valg[[#This Row],[Afhængig variabel ID]]&lt;=$B$5</f>
        <v>0</v>
      </c>
      <c r="F379" t="str" cm="1">
        <f t="array" ref="F379">IF(LineærRegression_Valg[[#This Row],[Indenfor range]],INDEX(DataTitel_liste,LineærRegression_Valg[[#This Row],[Afhængig variabel ID]]),INDEX(DataTitel_liste,1))</f>
        <v>Eksempel 1 (interval)</v>
      </c>
      <c r="G379" s="171" t="str" cm="1">
        <f t="array" ref="G379">IF(LineærRegression_Valg[[#This Row],[Indenfor range]],IF(LineærRegression_Valg[[#This Row],[Intet overlap]],INDEX(DataTitel_liste,LineærRegression_Valg[[#This Row],[Uafhængig variabel ID]]),INDEX(DataTitel_liste,IF(LineærRegression_Valg[[#This Row],[Afhængig variabel ID]]=1,2,1))),$B$7)</f>
        <v>Eksempel 2 (interval)</v>
      </c>
      <c r="H379" s="171">
        <f>_xlfn.AGGREGATE(2,5,LineærRegression_Valg[[#This Row],[Tabel ID]])</f>
        <v>1</v>
      </c>
    </row>
    <row r="380" spans="1:8" x14ac:dyDescent="0.2">
      <c r="A380">
        <f>ROW(LineærRegression_Valg[[#This Row],[Tabel ID]])-ROW(LineærRegression_Valg[[#Headers],[Tabel ID]])</f>
        <v>370</v>
      </c>
      <c r="B380" s="171">
        <f>ROUNDDOWN((LineærRegression_Valg[[#This Row],[Tabel ID]]-1)/$B$5,0)+1</f>
        <v>93</v>
      </c>
      <c r="C380" s="171">
        <f t="shared" si="5"/>
        <v>2</v>
      </c>
      <c r="D380" s="171" t="b">
        <f>LineærRegression_Valg[[#This Row],[Afhængig variabel ID]]&lt;&gt;LineærRegression_Valg[[#This Row],[Uafhængig variabel ID]]</f>
        <v>1</v>
      </c>
      <c r="E380" t="b">
        <f>LineærRegression_Valg[[#This Row],[Afhængig variabel ID]]&lt;=$B$5</f>
        <v>0</v>
      </c>
      <c r="F380" t="str" cm="1">
        <f t="array" ref="F380">IF(LineærRegression_Valg[[#This Row],[Indenfor range]],INDEX(DataTitel_liste,LineærRegression_Valg[[#This Row],[Afhængig variabel ID]]),INDEX(DataTitel_liste,1))</f>
        <v>Eksempel 1 (interval)</v>
      </c>
      <c r="G380" s="171" t="str" cm="1">
        <f t="array" ref="G380">IF(LineærRegression_Valg[[#This Row],[Indenfor range]],IF(LineærRegression_Valg[[#This Row],[Intet overlap]],INDEX(DataTitel_liste,LineærRegression_Valg[[#This Row],[Uafhængig variabel ID]]),INDEX(DataTitel_liste,IF(LineærRegression_Valg[[#This Row],[Afhængig variabel ID]]=1,2,1))),$B$7)</f>
        <v>Eksempel 2 (interval)</v>
      </c>
      <c r="H380" s="171">
        <f>_xlfn.AGGREGATE(2,5,LineærRegression_Valg[[#This Row],[Tabel ID]])</f>
        <v>1</v>
      </c>
    </row>
    <row r="381" spans="1:8" x14ac:dyDescent="0.2">
      <c r="A381">
        <f>ROW(LineærRegression_Valg[[#This Row],[Tabel ID]])-ROW(LineærRegression_Valg[[#Headers],[Tabel ID]])</f>
        <v>371</v>
      </c>
      <c r="B381" s="171">
        <f>ROUNDDOWN((LineærRegression_Valg[[#This Row],[Tabel ID]]-1)/$B$5,0)+1</f>
        <v>93</v>
      </c>
      <c r="C381" s="171">
        <f t="shared" si="5"/>
        <v>3</v>
      </c>
      <c r="D381" s="171" t="b">
        <f>LineærRegression_Valg[[#This Row],[Afhængig variabel ID]]&lt;&gt;LineærRegression_Valg[[#This Row],[Uafhængig variabel ID]]</f>
        <v>1</v>
      </c>
      <c r="E381" t="b">
        <f>LineærRegression_Valg[[#This Row],[Afhængig variabel ID]]&lt;=$B$5</f>
        <v>0</v>
      </c>
      <c r="F381" t="str" cm="1">
        <f t="array" ref="F381">IF(LineærRegression_Valg[[#This Row],[Indenfor range]],INDEX(DataTitel_liste,LineærRegression_Valg[[#This Row],[Afhængig variabel ID]]),INDEX(DataTitel_liste,1))</f>
        <v>Eksempel 1 (interval)</v>
      </c>
      <c r="G381" s="171" t="str" cm="1">
        <f t="array" ref="G381">IF(LineærRegression_Valg[[#This Row],[Indenfor range]],IF(LineærRegression_Valg[[#This Row],[Intet overlap]],INDEX(DataTitel_liste,LineærRegression_Valg[[#This Row],[Uafhængig variabel ID]]),INDEX(DataTitel_liste,IF(LineærRegression_Valg[[#This Row],[Afhængig variabel ID]]=1,2,1))),$B$7)</f>
        <v>Eksempel 2 (interval)</v>
      </c>
      <c r="H381" s="171">
        <f>_xlfn.AGGREGATE(2,5,LineærRegression_Valg[[#This Row],[Tabel ID]])</f>
        <v>1</v>
      </c>
    </row>
    <row r="382" spans="1:8" x14ac:dyDescent="0.2">
      <c r="A382">
        <f>ROW(LineærRegression_Valg[[#This Row],[Tabel ID]])-ROW(LineærRegression_Valg[[#Headers],[Tabel ID]])</f>
        <v>372</v>
      </c>
      <c r="B382" s="171">
        <f>ROUNDDOWN((LineærRegression_Valg[[#This Row],[Tabel ID]]-1)/$B$5,0)+1</f>
        <v>93</v>
      </c>
      <c r="C382" s="171">
        <f t="shared" si="5"/>
        <v>4</v>
      </c>
      <c r="D382" s="171" t="b">
        <f>LineærRegression_Valg[[#This Row],[Afhængig variabel ID]]&lt;&gt;LineærRegression_Valg[[#This Row],[Uafhængig variabel ID]]</f>
        <v>1</v>
      </c>
      <c r="E382" t="b">
        <f>LineærRegression_Valg[[#This Row],[Afhængig variabel ID]]&lt;=$B$5</f>
        <v>0</v>
      </c>
      <c r="F382" t="str" cm="1">
        <f t="array" ref="F382">IF(LineærRegression_Valg[[#This Row],[Indenfor range]],INDEX(DataTitel_liste,LineærRegression_Valg[[#This Row],[Afhængig variabel ID]]),INDEX(DataTitel_liste,1))</f>
        <v>Eksempel 1 (interval)</v>
      </c>
      <c r="G382" s="171" t="str" cm="1">
        <f t="array" ref="G382">IF(LineærRegression_Valg[[#This Row],[Indenfor range]],IF(LineærRegression_Valg[[#This Row],[Intet overlap]],INDEX(DataTitel_liste,LineærRegression_Valg[[#This Row],[Uafhængig variabel ID]]),INDEX(DataTitel_liste,IF(LineærRegression_Valg[[#This Row],[Afhængig variabel ID]]=1,2,1))),$B$7)</f>
        <v>Eksempel 2 (interval)</v>
      </c>
      <c r="H382" s="171">
        <f>_xlfn.AGGREGATE(2,5,LineærRegression_Valg[[#This Row],[Tabel ID]])</f>
        <v>1</v>
      </c>
    </row>
    <row r="383" spans="1:8" x14ac:dyDescent="0.2">
      <c r="A383">
        <f>ROW(LineærRegression_Valg[[#This Row],[Tabel ID]])-ROW(LineærRegression_Valg[[#Headers],[Tabel ID]])</f>
        <v>373</v>
      </c>
      <c r="B383" s="171">
        <f>ROUNDDOWN((LineærRegression_Valg[[#This Row],[Tabel ID]]-1)/$B$5,0)+1</f>
        <v>94</v>
      </c>
      <c r="C383" s="171">
        <f t="shared" si="5"/>
        <v>1</v>
      </c>
      <c r="D383" s="171" t="b">
        <f>LineærRegression_Valg[[#This Row],[Afhængig variabel ID]]&lt;&gt;LineærRegression_Valg[[#This Row],[Uafhængig variabel ID]]</f>
        <v>1</v>
      </c>
      <c r="E383" t="b">
        <f>LineærRegression_Valg[[#This Row],[Afhængig variabel ID]]&lt;=$B$5</f>
        <v>0</v>
      </c>
      <c r="F383" t="str" cm="1">
        <f t="array" ref="F383">IF(LineærRegression_Valg[[#This Row],[Indenfor range]],INDEX(DataTitel_liste,LineærRegression_Valg[[#This Row],[Afhængig variabel ID]]),INDEX(DataTitel_liste,1))</f>
        <v>Eksempel 1 (interval)</v>
      </c>
      <c r="G383" s="171" t="str" cm="1">
        <f t="array" ref="G383">IF(LineærRegression_Valg[[#This Row],[Indenfor range]],IF(LineærRegression_Valg[[#This Row],[Intet overlap]],INDEX(DataTitel_liste,LineærRegression_Valg[[#This Row],[Uafhængig variabel ID]]),INDEX(DataTitel_liste,IF(LineærRegression_Valg[[#This Row],[Afhængig variabel ID]]=1,2,1))),$B$7)</f>
        <v>Eksempel 2 (interval)</v>
      </c>
      <c r="H383" s="171">
        <f>_xlfn.AGGREGATE(2,5,LineærRegression_Valg[[#This Row],[Tabel ID]])</f>
        <v>1</v>
      </c>
    </row>
    <row r="384" spans="1:8" x14ac:dyDescent="0.2">
      <c r="A384">
        <f>ROW(LineærRegression_Valg[[#This Row],[Tabel ID]])-ROW(LineærRegression_Valg[[#Headers],[Tabel ID]])</f>
        <v>374</v>
      </c>
      <c r="B384" s="171">
        <f>ROUNDDOWN((LineærRegression_Valg[[#This Row],[Tabel ID]]-1)/$B$5,0)+1</f>
        <v>94</v>
      </c>
      <c r="C384" s="171">
        <f t="shared" si="5"/>
        <v>2</v>
      </c>
      <c r="D384" s="171" t="b">
        <f>LineærRegression_Valg[[#This Row],[Afhængig variabel ID]]&lt;&gt;LineærRegression_Valg[[#This Row],[Uafhængig variabel ID]]</f>
        <v>1</v>
      </c>
      <c r="E384" t="b">
        <f>LineærRegression_Valg[[#This Row],[Afhængig variabel ID]]&lt;=$B$5</f>
        <v>0</v>
      </c>
      <c r="F384" t="str" cm="1">
        <f t="array" ref="F384">IF(LineærRegression_Valg[[#This Row],[Indenfor range]],INDEX(DataTitel_liste,LineærRegression_Valg[[#This Row],[Afhængig variabel ID]]),INDEX(DataTitel_liste,1))</f>
        <v>Eksempel 1 (interval)</v>
      </c>
      <c r="G384" s="171" t="str" cm="1">
        <f t="array" ref="G384">IF(LineærRegression_Valg[[#This Row],[Indenfor range]],IF(LineærRegression_Valg[[#This Row],[Intet overlap]],INDEX(DataTitel_liste,LineærRegression_Valg[[#This Row],[Uafhængig variabel ID]]),INDEX(DataTitel_liste,IF(LineærRegression_Valg[[#This Row],[Afhængig variabel ID]]=1,2,1))),$B$7)</f>
        <v>Eksempel 2 (interval)</v>
      </c>
      <c r="H384" s="171">
        <f>_xlfn.AGGREGATE(2,5,LineærRegression_Valg[[#This Row],[Tabel ID]])</f>
        <v>1</v>
      </c>
    </row>
    <row r="385" spans="1:8" x14ac:dyDescent="0.2">
      <c r="A385">
        <f>ROW(LineærRegression_Valg[[#This Row],[Tabel ID]])-ROW(LineærRegression_Valg[[#Headers],[Tabel ID]])</f>
        <v>375</v>
      </c>
      <c r="B385" s="171">
        <f>ROUNDDOWN((LineærRegression_Valg[[#This Row],[Tabel ID]]-1)/$B$5,0)+1</f>
        <v>94</v>
      </c>
      <c r="C385" s="171">
        <f t="shared" si="5"/>
        <v>3</v>
      </c>
      <c r="D385" s="171" t="b">
        <f>LineærRegression_Valg[[#This Row],[Afhængig variabel ID]]&lt;&gt;LineærRegression_Valg[[#This Row],[Uafhængig variabel ID]]</f>
        <v>1</v>
      </c>
      <c r="E385" t="b">
        <f>LineærRegression_Valg[[#This Row],[Afhængig variabel ID]]&lt;=$B$5</f>
        <v>0</v>
      </c>
      <c r="F385" t="str" cm="1">
        <f t="array" ref="F385">IF(LineærRegression_Valg[[#This Row],[Indenfor range]],INDEX(DataTitel_liste,LineærRegression_Valg[[#This Row],[Afhængig variabel ID]]),INDEX(DataTitel_liste,1))</f>
        <v>Eksempel 1 (interval)</v>
      </c>
      <c r="G385" s="171" t="str" cm="1">
        <f t="array" ref="G385">IF(LineærRegression_Valg[[#This Row],[Indenfor range]],IF(LineærRegression_Valg[[#This Row],[Intet overlap]],INDEX(DataTitel_liste,LineærRegression_Valg[[#This Row],[Uafhængig variabel ID]]),INDEX(DataTitel_liste,IF(LineærRegression_Valg[[#This Row],[Afhængig variabel ID]]=1,2,1))),$B$7)</f>
        <v>Eksempel 2 (interval)</v>
      </c>
      <c r="H385" s="171">
        <f>_xlfn.AGGREGATE(2,5,LineærRegression_Valg[[#This Row],[Tabel ID]])</f>
        <v>1</v>
      </c>
    </row>
    <row r="386" spans="1:8" x14ac:dyDescent="0.2">
      <c r="A386">
        <f>ROW(LineærRegression_Valg[[#This Row],[Tabel ID]])-ROW(LineærRegression_Valg[[#Headers],[Tabel ID]])</f>
        <v>376</v>
      </c>
      <c r="B386" s="171">
        <f>ROUNDDOWN((LineærRegression_Valg[[#This Row],[Tabel ID]]-1)/$B$5,0)+1</f>
        <v>94</v>
      </c>
      <c r="C386" s="171">
        <f t="shared" si="5"/>
        <v>4</v>
      </c>
      <c r="D386" s="171" t="b">
        <f>LineærRegression_Valg[[#This Row],[Afhængig variabel ID]]&lt;&gt;LineærRegression_Valg[[#This Row],[Uafhængig variabel ID]]</f>
        <v>1</v>
      </c>
      <c r="E386" t="b">
        <f>LineærRegression_Valg[[#This Row],[Afhængig variabel ID]]&lt;=$B$5</f>
        <v>0</v>
      </c>
      <c r="F386" t="str" cm="1">
        <f t="array" ref="F386">IF(LineærRegression_Valg[[#This Row],[Indenfor range]],INDEX(DataTitel_liste,LineærRegression_Valg[[#This Row],[Afhængig variabel ID]]),INDEX(DataTitel_liste,1))</f>
        <v>Eksempel 1 (interval)</v>
      </c>
      <c r="G386" s="171" t="str" cm="1">
        <f t="array" ref="G386">IF(LineærRegression_Valg[[#This Row],[Indenfor range]],IF(LineærRegression_Valg[[#This Row],[Intet overlap]],INDEX(DataTitel_liste,LineærRegression_Valg[[#This Row],[Uafhængig variabel ID]]),INDEX(DataTitel_liste,IF(LineærRegression_Valg[[#This Row],[Afhængig variabel ID]]=1,2,1))),$B$7)</f>
        <v>Eksempel 2 (interval)</v>
      </c>
      <c r="H386" s="171">
        <f>_xlfn.AGGREGATE(2,5,LineærRegression_Valg[[#This Row],[Tabel ID]])</f>
        <v>1</v>
      </c>
    </row>
    <row r="387" spans="1:8" x14ac:dyDescent="0.2">
      <c r="A387">
        <f>ROW(LineærRegression_Valg[[#This Row],[Tabel ID]])-ROW(LineærRegression_Valg[[#Headers],[Tabel ID]])</f>
        <v>377</v>
      </c>
      <c r="B387" s="171">
        <f>ROUNDDOWN((LineærRegression_Valg[[#This Row],[Tabel ID]]-1)/$B$5,0)+1</f>
        <v>95</v>
      </c>
      <c r="C387" s="171">
        <f t="shared" si="5"/>
        <v>1</v>
      </c>
      <c r="D387" s="171" t="b">
        <f>LineærRegression_Valg[[#This Row],[Afhængig variabel ID]]&lt;&gt;LineærRegression_Valg[[#This Row],[Uafhængig variabel ID]]</f>
        <v>1</v>
      </c>
      <c r="E387" t="b">
        <f>LineærRegression_Valg[[#This Row],[Afhængig variabel ID]]&lt;=$B$5</f>
        <v>0</v>
      </c>
      <c r="F387" t="str" cm="1">
        <f t="array" ref="F387">IF(LineærRegression_Valg[[#This Row],[Indenfor range]],INDEX(DataTitel_liste,LineærRegression_Valg[[#This Row],[Afhængig variabel ID]]),INDEX(DataTitel_liste,1))</f>
        <v>Eksempel 1 (interval)</v>
      </c>
      <c r="G387" s="171" t="str" cm="1">
        <f t="array" ref="G387">IF(LineærRegression_Valg[[#This Row],[Indenfor range]],IF(LineærRegression_Valg[[#This Row],[Intet overlap]],INDEX(DataTitel_liste,LineærRegression_Valg[[#This Row],[Uafhængig variabel ID]]),INDEX(DataTitel_liste,IF(LineærRegression_Valg[[#This Row],[Afhængig variabel ID]]=1,2,1))),$B$7)</f>
        <v>Eksempel 2 (interval)</v>
      </c>
      <c r="H387" s="171">
        <f>_xlfn.AGGREGATE(2,5,LineærRegression_Valg[[#This Row],[Tabel ID]])</f>
        <v>1</v>
      </c>
    </row>
    <row r="388" spans="1:8" x14ac:dyDescent="0.2">
      <c r="A388">
        <f>ROW(LineærRegression_Valg[[#This Row],[Tabel ID]])-ROW(LineærRegression_Valg[[#Headers],[Tabel ID]])</f>
        <v>378</v>
      </c>
      <c r="B388" s="171">
        <f>ROUNDDOWN((LineærRegression_Valg[[#This Row],[Tabel ID]]-1)/$B$5,0)+1</f>
        <v>95</v>
      </c>
      <c r="C388" s="171">
        <f t="shared" si="5"/>
        <v>2</v>
      </c>
      <c r="D388" s="171" t="b">
        <f>LineærRegression_Valg[[#This Row],[Afhængig variabel ID]]&lt;&gt;LineærRegression_Valg[[#This Row],[Uafhængig variabel ID]]</f>
        <v>1</v>
      </c>
      <c r="E388" t="b">
        <f>LineærRegression_Valg[[#This Row],[Afhængig variabel ID]]&lt;=$B$5</f>
        <v>0</v>
      </c>
      <c r="F388" t="str" cm="1">
        <f t="array" ref="F388">IF(LineærRegression_Valg[[#This Row],[Indenfor range]],INDEX(DataTitel_liste,LineærRegression_Valg[[#This Row],[Afhængig variabel ID]]),INDEX(DataTitel_liste,1))</f>
        <v>Eksempel 1 (interval)</v>
      </c>
      <c r="G388" s="171" t="str" cm="1">
        <f t="array" ref="G388">IF(LineærRegression_Valg[[#This Row],[Indenfor range]],IF(LineærRegression_Valg[[#This Row],[Intet overlap]],INDEX(DataTitel_liste,LineærRegression_Valg[[#This Row],[Uafhængig variabel ID]]),INDEX(DataTitel_liste,IF(LineærRegression_Valg[[#This Row],[Afhængig variabel ID]]=1,2,1))),$B$7)</f>
        <v>Eksempel 2 (interval)</v>
      </c>
      <c r="H388" s="171">
        <f>_xlfn.AGGREGATE(2,5,LineærRegression_Valg[[#This Row],[Tabel ID]])</f>
        <v>1</v>
      </c>
    </row>
    <row r="389" spans="1:8" x14ac:dyDescent="0.2">
      <c r="A389">
        <f>ROW(LineærRegression_Valg[[#This Row],[Tabel ID]])-ROW(LineærRegression_Valg[[#Headers],[Tabel ID]])</f>
        <v>379</v>
      </c>
      <c r="B389" s="171">
        <f>ROUNDDOWN((LineærRegression_Valg[[#This Row],[Tabel ID]]-1)/$B$5,0)+1</f>
        <v>95</v>
      </c>
      <c r="C389" s="171">
        <f t="shared" si="5"/>
        <v>3</v>
      </c>
      <c r="D389" s="171" t="b">
        <f>LineærRegression_Valg[[#This Row],[Afhængig variabel ID]]&lt;&gt;LineærRegression_Valg[[#This Row],[Uafhængig variabel ID]]</f>
        <v>1</v>
      </c>
      <c r="E389" t="b">
        <f>LineærRegression_Valg[[#This Row],[Afhængig variabel ID]]&lt;=$B$5</f>
        <v>0</v>
      </c>
      <c r="F389" t="str" cm="1">
        <f t="array" ref="F389">IF(LineærRegression_Valg[[#This Row],[Indenfor range]],INDEX(DataTitel_liste,LineærRegression_Valg[[#This Row],[Afhængig variabel ID]]),INDEX(DataTitel_liste,1))</f>
        <v>Eksempel 1 (interval)</v>
      </c>
      <c r="G389" s="171" t="str" cm="1">
        <f t="array" ref="G389">IF(LineærRegression_Valg[[#This Row],[Indenfor range]],IF(LineærRegression_Valg[[#This Row],[Intet overlap]],INDEX(DataTitel_liste,LineærRegression_Valg[[#This Row],[Uafhængig variabel ID]]),INDEX(DataTitel_liste,IF(LineærRegression_Valg[[#This Row],[Afhængig variabel ID]]=1,2,1))),$B$7)</f>
        <v>Eksempel 2 (interval)</v>
      </c>
      <c r="H389" s="171">
        <f>_xlfn.AGGREGATE(2,5,LineærRegression_Valg[[#This Row],[Tabel ID]])</f>
        <v>1</v>
      </c>
    </row>
    <row r="390" spans="1:8" x14ac:dyDescent="0.2">
      <c r="A390">
        <f>ROW(LineærRegression_Valg[[#This Row],[Tabel ID]])-ROW(LineærRegression_Valg[[#Headers],[Tabel ID]])</f>
        <v>380</v>
      </c>
      <c r="B390" s="171">
        <f>ROUNDDOWN((LineærRegression_Valg[[#This Row],[Tabel ID]]-1)/$B$5,0)+1</f>
        <v>95</v>
      </c>
      <c r="C390" s="171">
        <f t="shared" si="5"/>
        <v>4</v>
      </c>
      <c r="D390" s="171" t="b">
        <f>LineærRegression_Valg[[#This Row],[Afhængig variabel ID]]&lt;&gt;LineærRegression_Valg[[#This Row],[Uafhængig variabel ID]]</f>
        <v>1</v>
      </c>
      <c r="E390" t="b">
        <f>LineærRegression_Valg[[#This Row],[Afhængig variabel ID]]&lt;=$B$5</f>
        <v>0</v>
      </c>
      <c r="F390" t="str" cm="1">
        <f t="array" ref="F390">IF(LineærRegression_Valg[[#This Row],[Indenfor range]],INDEX(DataTitel_liste,LineærRegression_Valg[[#This Row],[Afhængig variabel ID]]),INDEX(DataTitel_liste,1))</f>
        <v>Eksempel 1 (interval)</v>
      </c>
      <c r="G390" s="171" t="str" cm="1">
        <f t="array" ref="G390">IF(LineærRegression_Valg[[#This Row],[Indenfor range]],IF(LineærRegression_Valg[[#This Row],[Intet overlap]],INDEX(DataTitel_liste,LineærRegression_Valg[[#This Row],[Uafhængig variabel ID]]),INDEX(DataTitel_liste,IF(LineærRegression_Valg[[#This Row],[Afhængig variabel ID]]=1,2,1))),$B$7)</f>
        <v>Eksempel 2 (interval)</v>
      </c>
      <c r="H390" s="171">
        <f>_xlfn.AGGREGATE(2,5,LineærRegression_Valg[[#This Row],[Tabel ID]])</f>
        <v>1</v>
      </c>
    </row>
    <row r="391" spans="1:8" x14ac:dyDescent="0.2">
      <c r="A391">
        <f>ROW(LineærRegression_Valg[[#This Row],[Tabel ID]])-ROW(LineærRegression_Valg[[#Headers],[Tabel ID]])</f>
        <v>381</v>
      </c>
      <c r="B391" s="171">
        <f>ROUNDDOWN((LineærRegression_Valg[[#This Row],[Tabel ID]]-1)/$B$5,0)+1</f>
        <v>96</v>
      </c>
      <c r="C391" s="171">
        <f t="shared" si="5"/>
        <v>1</v>
      </c>
      <c r="D391" s="171" t="b">
        <f>LineærRegression_Valg[[#This Row],[Afhængig variabel ID]]&lt;&gt;LineærRegression_Valg[[#This Row],[Uafhængig variabel ID]]</f>
        <v>1</v>
      </c>
      <c r="E391" t="b">
        <f>LineærRegression_Valg[[#This Row],[Afhængig variabel ID]]&lt;=$B$5</f>
        <v>0</v>
      </c>
      <c r="F391" t="str" cm="1">
        <f t="array" ref="F391">IF(LineærRegression_Valg[[#This Row],[Indenfor range]],INDEX(DataTitel_liste,LineærRegression_Valg[[#This Row],[Afhængig variabel ID]]),INDEX(DataTitel_liste,1))</f>
        <v>Eksempel 1 (interval)</v>
      </c>
      <c r="G391" s="171" t="str" cm="1">
        <f t="array" ref="G391">IF(LineærRegression_Valg[[#This Row],[Indenfor range]],IF(LineærRegression_Valg[[#This Row],[Intet overlap]],INDEX(DataTitel_liste,LineærRegression_Valg[[#This Row],[Uafhængig variabel ID]]),INDEX(DataTitel_liste,IF(LineærRegression_Valg[[#This Row],[Afhængig variabel ID]]=1,2,1))),$B$7)</f>
        <v>Eksempel 2 (interval)</v>
      </c>
      <c r="H391" s="171">
        <f>_xlfn.AGGREGATE(2,5,LineærRegression_Valg[[#This Row],[Tabel ID]])</f>
        <v>1</v>
      </c>
    </row>
    <row r="392" spans="1:8" x14ac:dyDescent="0.2">
      <c r="A392">
        <f>ROW(LineærRegression_Valg[[#This Row],[Tabel ID]])-ROW(LineærRegression_Valg[[#Headers],[Tabel ID]])</f>
        <v>382</v>
      </c>
      <c r="B392" s="171">
        <f>ROUNDDOWN((LineærRegression_Valg[[#This Row],[Tabel ID]]-1)/$B$5,0)+1</f>
        <v>96</v>
      </c>
      <c r="C392" s="171">
        <f t="shared" si="5"/>
        <v>2</v>
      </c>
      <c r="D392" s="171" t="b">
        <f>LineærRegression_Valg[[#This Row],[Afhængig variabel ID]]&lt;&gt;LineærRegression_Valg[[#This Row],[Uafhængig variabel ID]]</f>
        <v>1</v>
      </c>
      <c r="E392" t="b">
        <f>LineærRegression_Valg[[#This Row],[Afhængig variabel ID]]&lt;=$B$5</f>
        <v>0</v>
      </c>
      <c r="F392" t="str" cm="1">
        <f t="array" ref="F392">IF(LineærRegression_Valg[[#This Row],[Indenfor range]],INDEX(DataTitel_liste,LineærRegression_Valg[[#This Row],[Afhængig variabel ID]]),INDEX(DataTitel_liste,1))</f>
        <v>Eksempel 1 (interval)</v>
      </c>
      <c r="G392" s="171" t="str" cm="1">
        <f t="array" ref="G392">IF(LineærRegression_Valg[[#This Row],[Indenfor range]],IF(LineærRegression_Valg[[#This Row],[Intet overlap]],INDEX(DataTitel_liste,LineærRegression_Valg[[#This Row],[Uafhængig variabel ID]]),INDEX(DataTitel_liste,IF(LineærRegression_Valg[[#This Row],[Afhængig variabel ID]]=1,2,1))),$B$7)</f>
        <v>Eksempel 2 (interval)</v>
      </c>
      <c r="H392" s="171">
        <f>_xlfn.AGGREGATE(2,5,LineærRegression_Valg[[#This Row],[Tabel ID]])</f>
        <v>1</v>
      </c>
    </row>
    <row r="393" spans="1:8" x14ac:dyDescent="0.2">
      <c r="A393">
        <f>ROW(LineærRegression_Valg[[#This Row],[Tabel ID]])-ROW(LineærRegression_Valg[[#Headers],[Tabel ID]])</f>
        <v>383</v>
      </c>
      <c r="B393" s="171">
        <f>ROUNDDOWN((LineærRegression_Valg[[#This Row],[Tabel ID]]-1)/$B$5,0)+1</f>
        <v>96</v>
      </c>
      <c r="C393" s="171">
        <f t="shared" si="5"/>
        <v>3</v>
      </c>
      <c r="D393" s="171" t="b">
        <f>LineærRegression_Valg[[#This Row],[Afhængig variabel ID]]&lt;&gt;LineærRegression_Valg[[#This Row],[Uafhængig variabel ID]]</f>
        <v>1</v>
      </c>
      <c r="E393" t="b">
        <f>LineærRegression_Valg[[#This Row],[Afhængig variabel ID]]&lt;=$B$5</f>
        <v>0</v>
      </c>
      <c r="F393" t="str" cm="1">
        <f t="array" ref="F393">IF(LineærRegression_Valg[[#This Row],[Indenfor range]],INDEX(DataTitel_liste,LineærRegression_Valg[[#This Row],[Afhængig variabel ID]]),INDEX(DataTitel_liste,1))</f>
        <v>Eksempel 1 (interval)</v>
      </c>
      <c r="G393" s="171" t="str" cm="1">
        <f t="array" ref="G393">IF(LineærRegression_Valg[[#This Row],[Indenfor range]],IF(LineærRegression_Valg[[#This Row],[Intet overlap]],INDEX(DataTitel_liste,LineærRegression_Valg[[#This Row],[Uafhængig variabel ID]]),INDEX(DataTitel_liste,IF(LineærRegression_Valg[[#This Row],[Afhængig variabel ID]]=1,2,1))),$B$7)</f>
        <v>Eksempel 2 (interval)</v>
      </c>
      <c r="H393" s="171">
        <f>_xlfn.AGGREGATE(2,5,LineærRegression_Valg[[#This Row],[Tabel ID]])</f>
        <v>1</v>
      </c>
    </row>
    <row r="394" spans="1:8" x14ac:dyDescent="0.2">
      <c r="A394">
        <f>ROW(LineærRegression_Valg[[#This Row],[Tabel ID]])-ROW(LineærRegression_Valg[[#Headers],[Tabel ID]])</f>
        <v>384</v>
      </c>
      <c r="B394" s="171">
        <f>ROUNDDOWN((LineærRegression_Valg[[#This Row],[Tabel ID]]-1)/$B$5,0)+1</f>
        <v>96</v>
      </c>
      <c r="C394" s="171">
        <f t="shared" si="5"/>
        <v>4</v>
      </c>
      <c r="D394" s="171" t="b">
        <f>LineærRegression_Valg[[#This Row],[Afhængig variabel ID]]&lt;&gt;LineærRegression_Valg[[#This Row],[Uafhængig variabel ID]]</f>
        <v>1</v>
      </c>
      <c r="E394" t="b">
        <f>LineærRegression_Valg[[#This Row],[Afhængig variabel ID]]&lt;=$B$5</f>
        <v>0</v>
      </c>
      <c r="F394" t="str" cm="1">
        <f t="array" ref="F394">IF(LineærRegression_Valg[[#This Row],[Indenfor range]],INDEX(DataTitel_liste,LineærRegression_Valg[[#This Row],[Afhængig variabel ID]]),INDEX(DataTitel_liste,1))</f>
        <v>Eksempel 1 (interval)</v>
      </c>
      <c r="G394" s="171" t="str" cm="1">
        <f t="array" ref="G394">IF(LineærRegression_Valg[[#This Row],[Indenfor range]],IF(LineærRegression_Valg[[#This Row],[Intet overlap]],INDEX(DataTitel_liste,LineærRegression_Valg[[#This Row],[Uafhængig variabel ID]]),INDEX(DataTitel_liste,IF(LineærRegression_Valg[[#This Row],[Afhængig variabel ID]]=1,2,1))),$B$7)</f>
        <v>Eksempel 2 (interval)</v>
      </c>
      <c r="H394" s="171">
        <f>_xlfn.AGGREGATE(2,5,LineærRegression_Valg[[#This Row],[Tabel ID]])</f>
        <v>1</v>
      </c>
    </row>
    <row r="395" spans="1:8" x14ac:dyDescent="0.2">
      <c r="A395">
        <f>ROW(LineærRegression_Valg[[#This Row],[Tabel ID]])-ROW(LineærRegression_Valg[[#Headers],[Tabel ID]])</f>
        <v>385</v>
      </c>
      <c r="B395" s="171">
        <f>ROUNDDOWN((LineærRegression_Valg[[#This Row],[Tabel ID]]-1)/$B$5,0)+1</f>
        <v>97</v>
      </c>
      <c r="C395" s="171">
        <f t="shared" ref="C395:C458" si="6">MOD(A395-1,$B$5)+1</f>
        <v>1</v>
      </c>
      <c r="D395" s="171" t="b">
        <f>LineærRegression_Valg[[#This Row],[Afhængig variabel ID]]&lt;&gt;LineærRegression_Valg[[#This Row],[Uafhængig variabel ID]]</f>
        <v>1</v>
      </c>
      <c r="E395" t="b">
        <f>LineærRegression_Valg[[#This Row],[Afhængig variabel ID]]&lt;=$B$5</f>
        <v>0</v>
      </c>
      <c r="F395" t="str" cm="1">
        <f t="array" ref="F395">IF(LineærRegression_Valg[[#This Row],[Indenfor range]],INDEX(DataTitel_liste,LineærRegression_Valg[[#This Row],[Afhængig variabel ID]]),INDEX(DataTitel_liste,1))</f>
        <v>Eksempel 1 (interval)</v>
      </c>
      <c r="G395" s="171" t="str" cm="1">
        <f t="array" ref="G395">IF(LineærRegression_Valg[[#This Row],[Indenfor range]],IF(LineærRegression_Valg[[#This Row],[Intet overlap]],INDEX(DataTitel_liste,LineærRegression_Valg[[#This Row],[Uafhængig variabel ID]]),INDEX(DataTitel_liste,IF(LineærRegression_Valg[[#This Row],[Afhængig variabel ID]]=1,2,1))),$B$7)</f>
        <v>Eksempel 2 (interval)</v>
      </c>
      <c r="H395" s="171">
        <f>_xlfn.AGGREGATE(2,5,LineærRegression_Valg[[#This Row],[Tabel ID]])</f>
        <v>1</v>
      </c>
    </row>
    <row r="396" spans="1:8" x14ac:dyDescent="0.2">
      <c r="A396">
        <f>ROW(LineærRegression_Valg[[#This Row],[Tabel ID]])-ROW(LineærRegression_Valg[[#Headers],[Tabel ID]])</f>
        <v>386</v>
      </c>
      <c r="B396" s="171">
        <f>ROUNDDOWN((LineærRegression_Valg[[#This Row],[Tabel ID]]-1)/$B$5,0)+1</f>
        <v>97</v>
      </c>
      <c r="C396" s="171">
        <f t="shared" si="6"/>
        <v>2</v>
      </c>
      <c r="D396" s="171" t="b">
        <f>LineærRegression_Valg[[#This Row],[Afhængig variabel ID]]&lt;&gt;LineærRegression_Valg[[#This Row],[Uafhængig variabel ID]]</f>
        <v>1</v>
      </c>
      <c r="E396" t="b">
        <f>LineærRegression_Valg[[#This Row],[Afhængig variabel ID]]&lt;=$B$5</f>
        <v>0</v>
      </c>
      <c r="F396" t="str" cm="1">
        <f t="array" ref="F396">IF(LineærRegression_Valg[[#This Row],[Indenfor range]],INDEX(DataTitel_liste,LineærRegression_Valg[[#This Row],[Afhængig variabel ID]]),INDEX(DataTitel_liste,1))</f>
        <v>Eksempel 1 (interval)</v>
      </c>
      <c r="G396" s="171" t="str" cm="1">
        <f t="array" ref="G396">IF(LineærRegression_Valg[[#This Row],[Indenfor range]],IF(LineærRegression_Valg[[#This Row],[Intet overlap]],INDEX(DataTitel_liste,LineærRegression_Valg[[#This Row],[Uafhængig variabel ID]]),INDEX(DataTitel_liste,IF(LineærRegression_Valg[[#This Row],[Afhængig variabel ID]]=1,2,1))),$B$7)</f>
        <v>Eksempel 2 (interval)</v>
      </c>
      <c r="H396" s="171">
        <f>_xlfn.AGGREGATE(2,5,LineærRegression_Valg[[#This Row],[Tabel ID]])</f>
        <v>1</v>
      </c>
    </row>
    <row r="397" spans="1:8" x14ac:dyDescent="0.2">
      <c r="A397">
        <f>ROW(LineærRegression_Valg[[#This Row],[Tabel ID]])-ROW(LineærRegression_Valg[[#Headers],[Tabel ID]])</f>
        <v>387</v>
      </c>
      <c r="B397" s="171">
        <f>ROUNDDOWN((LineærRegression_Valg[[#This Row],[Tabel ID]]-1)/$B$5,0)+1</f>
        <v>97</v>
      </c>
      <c r="C397" s="171">
        <f t="shared" si="6"/>
        <v>3</v>
      </c>
      <c r="D397" s="171" t="b">
        <f>LineærRegression_Valg[[#This Row],[Afhængig variabel ID]]&lt;&gt;LineærRegression_Valg[[#This Row],[Uafhængig variabel ID]]</f>
        <v>1</v>
      </c>
      <c r="E397" t="b">
        <f>LineærRegression_Valg[[#This Row],[Afhængig variabel ID]]&lt;=$B$5</f>
        <v>0</v>
      </c>
      <c r="F397" t="str" cm="1">
        <f t="array" ref="F397">IF(LineærRegression_Valg[[#This Row],[Indenfor range]],INDEX(DataTitel_liste,LineærRegression_Valg[[#This Row],[Afhængig variabel ID]]),INDEX(DataTitel_liste,1))</f>
        <v>Eksempel 1 (interval)</v>
      </c>
      <c r="G397" s="171" t="str" cm="1">
        <f t="array" ref="G397">IF(LineærRegression_Valg[[#This Row],[Indenfor range]],IF(LineærRegression_Valg[[#This Row],[Intet overlap]],INDEX(DataTitel_liste,LineærRegression_Valg[[#This Row],[Uafhængig variabel ID]]),INDEX(DataTitel_liste,IF(LineærRegression_Valg[[#This Row],[Afhængig variabel ID]]=1,2,1))),$B$7)</f>
        <v>Eksempel 2 (interval)</v>
      </c>
      <c r="H397" s="171">
        <f>_xlfn.AGGREGATE(2,5,LineærRegression_Valg[[#This Row],[Tabel ID]])</f>
        <v>1</v>
      </c>
    </row>
    <row r="398" spans="1:8" x14ac:dyDescent="0.2">
      <c r="A398">
        <f>ROW(LineærRegression_Valg[[#This Row],[Tabel ID]])-ROW(LineærRegression_Valg[[#Headers],[Tabel ID]])</f>
        <v>388</v>
      </c>
      <c r="B398" s="171">
        <f>ROUNDDOWN((LineærRegression_Valg[[#This Row],[Tabel ID]]-1)/$B$5,0)+1</f>
        <v>97</v>
      </c>
      <c r="C398" s="171">
        <f t="shared" si="6"/>
        <v>4</v>
      </c>
      <c r="D398" s="171" t="b">
        <f>LineærRegression_Valg[[#This Row],[Afhængig variabel ID]]&lt;&gt;LineærRegression_Valg[[#This Row],[Uafhængig variabel ID]]</f>
        <v>1</v>
      </c>
      <c r="E398" t="b">
        <f>LineærRegression_Valg[[#This Row],[Afhængig variabel ID]]&lt;=$B$5</f>
        <v>0</v>
      </c>
      <c r="F398" t="str" cm="1">
        <f t="array" ref="F398">IF(LineærRegression_Valg[[#This Row],[Indenfor range]],INDEX(DataTitel_liste,LineærRegression_Valg[[#This Row],[Afhængig variabel ID]]),INDEX(DataTitel_liste,1))</f>
        <v>Eksempel 1 (interval)</v>
      </c>
      <c r="G398" s="171" t="str" cm="1">
        <f t="array" ref="G398">IF(LineærRegression_Valg[[#This Row],[Indenfor range]],IF(LineærRegression_Valg[[#This Row],[Intet overlap]],INDEX(DataTitel_liste,LineærRegression_Valg[[#This Row],[Uafhængig variabel ID]]),INDEX(DataTitel_liste,IF(LineærRegression_Valg[[#This Row],[Afhængig variabel ID]]=1,2,1))),$B$7)</f>
        <v>Eksempel 2 (interval)</v>
      </c>
      <c r="H398" s="171">
        <f>_xlfn.AGGREGATE(2,5,LineærRegression_Valg[[#This Row],[Tabel ID]])</f>
        <v>1</v>
      </c>
    </row>
    <row r="399" spans="1:8" x14ac:dyDescent="0.2">
      <c r="A399">
        <f>ROW(LineærRegression_Valg[[#This Row],[Tabel ID]])-ROW(LineærRegression_Valg[[#Headers],[Tabel ID]])</f>
        <v>389</v>
      </c>
      <c r="B399" s="171">
        <f>ROUNDDOWN((LineærRegression_Valg[[#This Row],[Tabel ID]]-1)/$B$5,0)+1</f>
        <v>98</v>
      </c>
      <c r="C399" s="171">
        <f t="shared" si="6"/>
        <v>1</v>
      </c>
      <c r="D399" s="171" t="b">
        <f>LineærRegression_Valg[[#This Row],[Afhængig variabel ID]]&lt;&gt;LineærRegression_Valg[[#This Row],[Uafhængig variabel ID]]</f>
        <v>1</v>
      </c>
      <c r="E399" t="b">
        <f>LineærRegression_Valg[[#This Row],[Afhængig variabel ID]]&lt;=$B$5</f>
        <v>0</v>
      </c>
      <c r="F399" t="str" cm="1">
        <f t="array" ref="F399">IF(LineærRegression_Valg[[#This Row],[Indenfor range]],INDEX(DataTitel_liste,LineærRegression_Valg[[#This Row],[Afhængig variabel ID]]),INDEX(DataTitel_liste,1))</f>
        <v>Eksempel 1 (interval)</v>
      </c>
      <c r="G399" s="171" t="str" cm="1">
        <f t="array" ref="G399">IF(LineærRegression_Valg[[#This Row],[Indenfor range]],IF(LineærRegression_Valg[[#This Row],[Intet overlap]],INDEX(DataTitel_liste,LineærRegression_Valg[[#This Row],[Uafhængig variabel ID]]),INDEX(DataTitel_liste,IF(LineærRegression_Valg[[#This Row],[Afhængig variabel ID]]=1,2,1))),$B$7)</f>
        <v>Eksempel 2 (interval)</v>
      </c>
      <c r="H399" s="171">
        <f>_xlfn.AGGREGATE(2,5,LineærRegression_Valg[[#This Row],[Tabel ID]])</f>
        <v>1</v>
      </c>
    </row>
    <row r="400" spans="1:8" x14ac:dyDescent="0.2">
      <c r="A400">
        <f>ROW(LineærRegression_Valg[[#This Row],[Tabel ID]])-ROW(LineærRegression_Valg[[#Headers],[Tabel ID]])</f>
        <v>390</v>
      </c>
      <c r="B400" s="171">
        <f>ROUNDDOWN((LineærRegression_Valg[[#This Row],[Tabel ID]]-1)/$B$5,0)+1</f>
        <v>98</v>
      </c>
      <c r="C400" s="171">
        <f t="shared" si="6"/>
        <v>2</v>
      </c>
      <c r="D400" s="171" t="b">
        <f>LineærRegression_Valg[[#This Row],[Afhængig variabel ID]]&lt;&gt;LineærRegression_Valg[[#This Row],[Uafhængig variabel ID]]</f>
        <v>1</v>
      </c>
      <c r="E400" t="b">
        <f>LineærRegression_Valg[[#This Row],[Afhængig variabel ID]]&lt;=$B$5</f>
        <v>0</v>
      </c>
      <c r="F400" t="str" cm="1">
        <f t="array" ref="F400">IF(LineærRegression_Valg[[#This Row],[Indenfor range]],INDEX(DataTitel_liste,LineærRegression_Valg[[#This Row],[Afhængig variabel ID]]),INDEX(DataTitel_liste,1))</f>
        <v>Eksempel 1 (interval)</v>
      </c>
      <c r="G400" s="171" t="str" cm="1">
        <f t="array" ref="G400">IF(LineærRegression_Valg[[#This Row],[Indenfor range]],IF(LineærRegression_Valg[[#This Row],[Intet overlap]],INDEX(DataTitel_liste,LineærRegression_Valg[[#This Row],[Uafhængig variabel ID]]),INDEX(DataTitel_liste,IF(LineærRegression_Valg[[#This Row],[Afhængig variabel ID]]=1,2,1))),$B$7)</f>
        <v>Eksempel 2 (interval)</v>
      </c>
      <c r="H400" s="171">
        <f>_xlfn.AGGREGATE(2,5,LineærRegression_Valg[[#This Row],[Tabel ID]])</f>
        <v>1</v>
      </c>
    </row>
    <row r="401" spans="1:8" x14ac:dyDescent="0.2">
      <c r="A401">
        <f>ROW(LineærRegression_Valg[[#This Row],[Tabel ID]])-ROW(LineærRegression_Valg[[#Headers],[Tabel ID]])</f>
        <v>391</v>
      </c>
      <c r="B401" s="171">
        <f>ROUNDDOWN((LineærRegression_Valg[[#This Row],[Tabel ID]]-1)/$B$5,0)+1</f>
        <v>98</v>
      </c>
      <c r="C401" s="171">
        <f t="shared" si="6"/>
        <v>3</v>
      </c>
      <c r="D401" s="171" t="b">
        <f>LineærRegression_Valg[[#This Row],[Afhængig variabel ID]]&lt;&gt;LineærRegression_Valg[[#This Row],[Uafhængig variabel ID]]</f>
        <v>1</v>
      </c>
      <c r="E401" t="b">
        <f>LineærRegression_Valg[[#This Row],[Afhængig variabel ID]]&lt;=$B$5</f>
        <v>0</v>
      </c>
      <c r="F401" t="str" cm="1">
        <f t="array" ref="F401">IF(LineærRegression_Valg[[#This Row],[Indenfor range]],INDEX(DataTitel_liste,LineærRegression_Valg[[#This Row],[Afhængig variabel ID]]),INDEX(DataTitel_liste,1))</f>
        <v>Eksempel 1 (interval)</v>
      </c>
      <c r="G401" s="171" t="str" cm="1">
        <f t="array" ref="G401">IF(LineærRegression_Valg[[#This Row],[Indenfor range]],IF(LineærRegression_Valg[[#This Row],[Intet overlap]],INDEX(DataTitel_liste,LineærRegression_Valg[[#This Row],[Uafhængig variabel ID]]),INDEX(DataTitel_liste,IF(LineærRegression_Valg[[#This Row],[Afhængig variabel ID]]=1,2,1))),$B$7)</f>
        <v>Eksempel 2 (interval)</v>
      </c>
      <c r="H401" s="171">
        <f>_xlfn.AGGREGATE(2,5,LineærRegression_Valg[[#This Row],[Tabel ID]])</f>
        <v>1</v>
      </c>
    </row>
    <row r="402" spans="1:8" x14ac:dyDescent="0.2">
      <c r="A402">
        <f>ROW(LineærRegression_Valg[[#This Row],[Tabel ID]])-ROW(LineærRegression_Valg[[#Headers],[Tabel ID]])</f>
        <v>392</v>
      </c>
      <c r="B402" s="171">
        <f>ROUNDDOWN((LineærRegression_Valg[[#This Row],[Tabel ID]]-1)/$B$5,0)+1</f>
        <v>98</v>
      </c>
      <c r="C402" s="171">
        <f t="shared" si="6"/>
        <v>4</v>
      </c>
      <c r="D402" s="171" t="b">
        <f>LineærRegression_Valg[[#This Row],[Afhængig variabel ID]]&lt;&gt;LineærRegression_Valg[[#This Row],[Uafhængig variabel ID]]</f>
        <v>1</v>
      </c>
      <c r="E402" t="b">
        <f>LineærRegression_Valg[[#This Row],[Afhængig variabel ID]]&lt;=$B$5</f>
        <v>0</v>
      </c>
      <c r="F402" t="str" cm="1">
        <f t="array" ref="F402">IF(LineærRegression_Valg[[#This Row],[Indenfor range]],INDEX(DataTitel_liste,LineærRegression_Valg[[#This Row],[Afhængig variabel ID]]),INDEX(DataTitel_liste,1))</f>
        <v>Eksempel 1 (interval)</v>
      </c>
      <c r="G402" s="171" t="str" cm="1">
        <f t="array" ref="G402">IF(LineærRegression_Valg[[#This Row],[Indenfor range]],IF(LineærRegression_Valg[[#This Row],[Intet overlap]],INDEX(DataTitel_liste,LineærRegression_Valg[[#This Row],[Uafhængig variabel ID]]),INDEX(DataTitel_liste,IF(LineærRegression_Valg[[#This Row],[Afhængig variabel ID]]=1,2,1))),$B$7)</f>
        <v>Eksempel 2 (interval)</v>
      </c>
      <c r="H402" s="171">
        <f>_xlfn.AGGREGATE(2,5,LineærRegression_Valg[[#This Row],[Tabel ID]])</f>
        <v>1</v>
      </c>
    </row>
    <row r="403" spans="1:8" x14ac:dyDescent="0.2">
      <c r="A403">
        <f>ROW(LineærRegression_Valg[[#This Row],[Tabel ID]])-ROW(LineærRegression_Valg[[#Headers],[Tabel ID]])</f>
        <v>393</v>
      </c>
      <c r="B403" s="171">
        <f>ROUNDDOWN((LineærRegression_Valg[[#This Row],[Tabel ID]]-1)/$B$5,0)+1</f>
        <v>99</v>
      </c>
      <c r="C403" s="171">
        <f t="shared" si="6"/>
        <v>1</v>
      </c>
      <c r="D403" s="171" t="b">
        <f>LineærRegression_Valg[[#This Row],[Afhængig variabel ID]]&lt;&gt;LineærRegression_Valg[[#This Row],[Uafhængig variabel ID]]</f>
        <v>1</v>
      </c>
      <c r="E403" t="b">
        <f>LineærRegression_Valg[[#This Row],[Afhængig variabel ID]]&lt;=$B$5</f>
        <v>0</v>
      </c>
      <c r="F403" t="str" cm="1">
        <f t="array" ref="F403">IF(LineærRegression_Valg[[#This Row],[Indenfor range]],INDEX(DataTitel_liste,LineærRegression_Valg[[#This Row],[Afhængig variabel ID]]),INDEX(DataTitel_liste,1))</f>
        <v>Eksempel 1 (interval)</v>
      </c>
      <c r="G403" s="171" t="str" cm="1">
        <f t="array" ref="G403">IF(LineærRegression_Valg[[#This Row],[Indenfor range]],IF(LineærRegression_Valg[[#This Row],[Intet overlap]],INDEX(DataTitel_liste,LineærRegression_Valg[[#This Row],[Uafhængig variabel ID]]),INDEX(DataTitel_liste,IF(LineærRegression_Valg[[#This Row],[Afhængig variabel ID]]=1,2,1))),$B$7)</f>
        <v>Eksempel 2 (interval)</v>
      </c>
      <c r="H403" s="171">
        <f>_xlfn.AGGREGATE(2,5,LineærRegression_Valg[[#This Row],[Tabel ID]])</f>
        <v>1</v>
      </c>
    </row>
    <row r="404" spans="1:8" x14ac:dyDescent="0.2">
      <c r="A404">
        <f>ROW(LineærRegression_Valg[[#This Row],[Tabel ID]])-ROW(LineærRegression_Valg[[#Headers],[Tabel ID]])</f>
        <v>394</v>
      </c>
      <c r="B404" s="171">
        <f>ROUNDDOWN((LineærRegression_Valg[[#This Row],[Tabel ID]]-1)/$B$5,0)+1</f>
        <v>99</v>
      </c>
      <c r="C404" s="171">
        <f t="shared" si="6"/>
        <v>2</v>
      </c>
      <c r="D404" s="171" t="b">
        <f>LineærRegression_Valg[[#This Row],[Afhængig variabel ID]]&lt;&gt;LineærRegression_Valg[[#This Row],[Uafhængig variabel ID]]</f>
        <v>1</v>
      </c>
      <c r="E404" t="b">
        <f>LineærRegression_Valg[[#This Row],[Afhængig variabel ID]]&lt;=$B$5</f>
        <v>0</v>
      </c>
      <c r="F404" t="str" cm="1">
        <f t="array" ref="F404">IF(LineærRegression_Valg[[#This Row],[Indenfor range]],INDEX(DataTitel_liste,LineærRegression_Valg[[#This Row],[Afhængig variabel ID]]),INDEX(DataTitel_liste,1))</f>
        <v>Eksempel 1 (interval)</v>
      </c>
      <c r="G404" s="171" t="str" cm="1">
        <f t="array" ref="G404">IF(LineærRegression_Valg[[#This Row],[Indenfor range]],IF(LineærRegression_Valg[[#This Row],[Intet overlap]],INDEX(DataTitel_liste,LineærRegression_Valg[[#This Row],[Uafhængig variabel ID]]),INDEX(DataTitel_liste,IF(LineærRegression_Valg[[#This Row],[Afhængig variabel ID]]=1,2,1))),$B$7)</f>
        <v>Eksempel 2 (interval)</v>
      </c>
      <c r="H404" s="171">
        <f>_xlfn.AGGREGATE(2,5,LineærRegression_Valg[[#This Row],[Tabel ID]])</f>
        <v>1</v>
      </c>
    </row>
    <row r="405" spans="1:8" x14ac:dyDescent="0.2">
      <c r="A405">
        <f>ROW(LineærRegression_Valg[[#This Row],[Tabel ID]])-ROW(LineærRegression_Valg[[#Headers],[Tabel ID]])</f>
        <v>395</v>
      </c>
      <c r="B405" s="171">
        <f>ROUNDDOWN((LineærRegression_Valg[[#This Row],[Tabel ID]]-1)/$B$5,0)+1</f>
        <v>99</v>
      </c>
      <c r="C405" s="171">
        <f t="shared" si="6"/>
        <v>3</v>
      </c>
      <c r="D405" s="171" t="b">
        <f>LineærRegression_Valg[[#This Row],[Afhængig variabel ID]]&lt;&gt;LineærRegression_Valg[[#This Row],[Uafhængig variabel ID]]</f>
        <v>1</v>
      </c>
      <c r="E405" t="b">
        <f>LineærRegression_Valg[[#This Row],[Afhængig variabel ID]]&lt;=$B$5</f>
        <v>0</v>
      </c>
      <c r="F405" t="str" cm="1">
        <f t="array" ref="F405">IF(LineærRegression_Valg[[#This Row],[Indenfor range]],INDEX(DataTitel_liste,LineærRegression_Valg[[#This Row],[Afhængig variabel ID]]),INDEX(DataTitel_liste,1))</f>
        <v>Eksempel 1 (interval)</v>
      </c>
      <c r="G405" s="171" t="str" cm="1">
        <f t="array" ref="G405">IF(LineærRegression_Valg[[#This Row],[Indenfor range]],IF(LineærRegression_Valg[[#This Row],[Intet overlap]],INDEX(DataTitel_liste,LineærRegression_Valg[[#This Row],[Uafhængig variabel ID]]),INDEX(DataTitel_liste,IF(LineærRegression_Valg[[#This Row],[Afhængig variabel ID]]=1,2,1))),$B$7)</f>
        <v>Eksempel 2 (interval)</v>
      </c>
      <c r="H405" s="171">
        <f>_xlfn.AGGREGATE(2,5,LineærRegression_Valg[[#This Row],[Tabel ID]])</f>
        <v>1</v>
      </c>
    </row>
    <row r="406" spans="1:8" x14ac:dyDescent="0.2">
      <c r="A406">
        <f>ROW(LineærRegression_Valg[[#This Row],[Tabel ID]])-ROW(LineærRegression_Valg[[#Headers],[Tabel ID]])</f>
        <v>396</v>
      </c>
      <c r="B406" s="171">
        <f>ROUNDDOWN((LineærRegression_Valg[[#This Row],[Tabel ID]]-1)/$B$5,0)+1</f>
        <v>99</v>
      </c>
      <c r="C406" s="171">
        <f t="shared" si="6"/>
        <v>4</v>
      </c>
      <c r="D406" s="171" t="b">
        <f>LineærRegression_Valg[[#This Row],[Afhængig variabel ID]]&lt;&gt;LineærRegression_Valg[[#This Row],[Uafhængig variabel ID]]</f>
        <v>1</v>
      </c>
      <c r="E406" t="b">
        <f>LineærRegression_Valg[[#This Row],[Afhængig variabel ID]]&lt;=$B$5</f>
        <v>0</v>
      </c>
      <c r="F406" t="str" cm="1">
        <f t="array" ref="F406">IF(LineærRegression_Valg[[#This Row],[Indenfor range]],INDEX(DataTitel_liste,LineærRegression_Valg[[#This Row],[Afhængig variabel ID]]),INDEX(DataTitel_liste,1))</f>
        <v>Eksempel 1 (interval)</v>
      </c>
      <c r="G406" s="171" t="str" cm="1">
        <f t="array" ref="G406">IF(LineærRegression_Valg[[#This Row],[Indenfor range]],IF(LineærRegression_Valg[[#This Row],[Intet overlap]],INDEX(DataTitel_liste,LineærRegression_Valg[[#This Row],[Uafhængig variabel ID]]),INDEX(DataTitel_liste,IF(LineærRegression_Valg[[#This Row],[Afhængig variabel ID]]=1,2,1))),$B$7)</f>
        <v>Eksempel 2 (interval)</v>
      </c>
      <c r="H406" s="171">
        <f>_xlfn.AGGREGATE(2,5,LineærRegression_Valg[[#This Row],[Tabel ID]])</f>
        <v>1</v>
      </c>
    </row>
    <row r="407" spans="1:8" x14ac:dyDescent="0.2">
      <c r="A407">
        <f>ROW(LineærRegression_Valg[[#This Row],[Tabel ID]])-ROW(LineærRegression_Valg[[#Headers],[Tabel ID]])</f>
        <v>397</v>
      </c>
      <c r="B407" s="171">
        <f>ROUNDDOWN((LineærRegression_Valg[[#This Row],[Tabel ID]]-1)/$B$5,0)+1</f>
        <v>100</v>
      </c>
      <c r="C407" s="171">
        <f t="shared" si="6"/>
        <v>1</v>
      </c>
      <c r="D407" s="171" t="b">
        <f>LineærRegression_Valg[[#This Row],[Afhængig variabel ID]]&lt;&gt;LineærRegression_Valg[[#This Row],[Uafhængig variabel ID]]</f>
        <v>1</v>
      </c>
      <c r="E407" t="b">
        <f>LineærRegression_Valg[[#This Row],[Afhængig variabel ID]]&lt;=$B$5</f>
        <v>0</v>
      </c>
      <c r="F407" t="str" cm="1">
        <f t="array" ref="F407">IF(LineærRegression_Valg[[#This Row],[Indenfor range]],INDEX(DataTitel_liste,LineærRegression_Valg[[#This Row],[Afhængig variabel ID]]),INDEX(DataTitel_liste,1))</f>
        <v>Eksempel 1 (interval)</v>
      </c>
      <c r="G407" s="171" t="str" cm="1">
        <f t="array" ref="G407">IF(LineærRegression_Valg[[#This Row],[Indenfor range]],IF(LineærRegression_Valg[[#This Row],[Intet overlap]],INDEX(DataTitel_liste,LineærRegression_Valg[[#This Row],[Uafhængig variabel ID]]),INDEX(DataTitel_liste,IF(LineærRegression_Valg[[#This Row],[Afhængig variabel ID]]=1,2,1))),$B$7)</f>
        <v>Eksempel 2 (interval)</v>
      </c>
      <c r="H407" s="171">
        <f>_xlfn.AGGREGATE(2,5,LineærRegression_Valg[[#This Row],[Tabel ID]])</f>
        <v>1</v>
      </c>
    </row>
    <row r="408" spans="1:8" x14ac:dyDescent="0.2">
      <c r="A408">
        <f>ROW(LineærRegression_Valg[[#This Row],[Tabel ID]])-ROW(LineærRegression_Valg[[#Headers],[Tabel ID]])</f>
        <v>398</v>
      </c>
      <c r="B408" s="171">
        <f>ROUNDDOWN((LineærRegression_Valg[[#This Row],[Tabel ID]]-1)/$B$5,0)+1</f>
        <v>100</v>
      </c>
      <c r="C408" s="171">
        <f t="shared" si="6"/>
        <v>2</v>
      </c>
      <c r="D408" s="171" t="b">
        <f>LineærRegression_Valg[[#This Row],[Afhængig variabel ID]]&lt;&gt;LineærRegression_Valg[[#This Row],[Uafhængig variabel ID]]</f>
        <v>1</v>
      </c>
      <c r="E408" t="b">
        <f>LineærRegression_Valg[[#This Row],[Afhængig variabel ID]]&lt;=$B$5</f>
        <v>0</v>
      </c>
      <c r="F408" t="str" cm="1">
        <f t="array" ref="F408">IF(LineærRegression_Valg[[#This Row],[Indenfor range]],INDEX(DataTitel_liste,LineærRegression_Valg[[#This Row],[Afhængig variabel ID]]),INDEX(DataTitel_liste,1))</f>
        <v>Eksempel 1 (interval)</v>
      </c>
      <c r="G408" s="171" t="str" cm="1">
        <f t="array" ref="G408">IF(LineærRegression_Valg[[#This Row],[Indenfor range]],IF(LineærRegression_Valg[[#This Row],[Intet overlap]],INDEX(DataTitel_liste,LineærRegression_Valg[[#This Row],[Uafhængig variabel ID]]),INDEX(DataTitel_liste,IF(LineærRegression_Valg[[#This Row],[Afhængig variabel ID]]=1,2,1))),$B$7)</f>
        <v>Eksempel 2 (interval)</v>
      </c>
      <c r="H408" s="171">
        <f>_xlfn.AGGREGATE(2,5,LineærRegression_Valg[[#This Row],[Tabel ID]])</f>
        <v>1</v>
      </c>
    </row>
    <row r="409" spans="1:8" x14ac:dyDescent="0.2">
      <c r="A409">
        <f>ROW(LineærRegression_Valg[[#This Row],[Tabel ID]])-ROW(LineærRegression_Valg[[#Headers],[Tabel ID]])</f>
        <v>399</v>
      </c>
      <c r="B409" s="171">
        <f>ROUNDDOWN((LineærRegression_Valg[[#This Row],[Tabel ID]]-1)/$B$5,0)+1</f>
        <v>100</v>
      </c>
      <c r="C409" s="171">
        <f t="shared" si="6"/>
        <v>3</v>
      </c>
      <c r="D409" s="171" t="b">
        <f>LineærRegression_Valg[[#This Row],[Afhængig variabel ID]]&lt;&gt;LineærRegression_Valg[[#This Row],[Uafhængig variabel ID]]</f>
        <v>1</v>
      </c>
      <c r="E409" t="b">
        <f>LineærRegression_Valg[[#This Row],[Afhængig variabel ID]]&lt;=$B$5</f>
        <v>0</v>
      </c>
      <c r="F409" t="str" cm="1">
        <f t="array" ref="F409">IF(LineærRegression_Valg[[#This Row],[Indenfor range]],INDEX(DataTitel_liste,LineærRegression_Valg[[#This Row],[Afhængig variabel ID]]),INDEX(DataTitel_liste,1))</f>
        <v>Eksempel 1 (interval)</v>
      </c>
      <c r="G409" s="171" t="str" cm="1">
        <f t="array" ref="G409">IF(LineærRegression_Valg[[#This Row],[Indenfor range]],IF(LineærRegression_Valg[[#This Row],[Intet overlap]],INDEX(DataTitel_liste,LineærRegression_Valg[[#This Row],[Uafhængig variabel ID]]),INDEX(DataTitel_liste,IF(LineærRegression_Valg[[#This Row],[Afhængig variabel ID]]=1,2,1))),$B$7)</f>
        <v>Eksempel 2 (interval)</v>
      </c>
      <c r="H409" s="171">
        <f>_xlfn.AGGREGATE(2,5,LineærRegression_Valg[[#This Row],[Tabel ID]])</f>
        <v>1</v>
      </c>
    </row>
    <row r="410" spans="1:8" x14ac:dyDescent="0.2">
      <c r="A410">
        <f>ROW(LineærRegression_Valg[[#This Row],[Tabel ID]])-ROW(LineærRegression_Valg[[#Headers],[Tabel ID]])</f>
        <v>400</v>
      </c>
      <c r="B410" s="171">
        <f>ROUNDDOWN((LineærRegression_Valg[[#This Row],[Tabel ID]]-1)/$B$5,0)+1</f>
        <v>100</v>
      </c>
      <c r="C410" s="171">
        <f t="shared" si="6"/>
        <v>4</v>
      </c>
      <c r="D410" s="171" t="b">
        <f>LineærRegression_Valg[[#This Row],[Afhængig variabel ID]]&lt;&gt;LineærRegression_Valg[[#This Row],[Uafhængig variabel ID]]</f>
        <v>1</v>
      </c>
      <c r="E410" t="b">
        <f>LineærRegression_Valg[[#This Row],[Afhængig variabel ID]]&lt;=$B$5</f>
        <v>0</v>
      </c>
      <c r="F410" t="str" cm="1">
        <f t="array" ref="F410">IF(LineærRegression_Valg[[#This Row],[Indenfor range]],INDEX(DataTitel_liste,LineærRegression_Valg[[#This Row],[Afhængig variabel ID]]),INDEX(DataTitel_liste,1))</f>
        <v>Eksempel 1 (interval)</v>
      </c>
      <c r="G410" s="171" t="str" cm="1">
        <f t="array" ref="G410">IF(LineærRegression_Valg[[#This Row],[Indenfor range]],IF(LineærRegression_Valg[[#This Row],[Intet overlap]],INDEX(DataTitel_liste,LineærRegression_Valg[[#This Row],[Uafhængig variabel ID]]),INDEX(DataTitel_liste,IF(LineærRegression_Valg[[#This Row],[Afhængig variabel ID]]=1,2,1))),$B$7)</f>
        <v>Eksempel 2 (interval)</v>
      </c>
      <c r="H410" s="171">
        <f>_xlfn.AGGREGATE(2,5,LineærRegression_Valg[[#This Row],[Tabel ID]])</f>
        <v>1</v>
      </c>
    </row>
    <row r="411" spans="1:8" x14ac:dyDescent="0.2">
      <c r="A411">
        <f>ROW(LineærRegression_Valg[[#This Row],[Tabel ID]])-ROW(LineærRegression_Valg[[#Headers],[Tabel ID]])</f>
        <v>401</v>
      </c>
      <c r="B411" s="171">
        <f>ROUNDDOWN((LineærRegression_Valg[[#This Row],[Tabel ID]]-1)/$B$5,0)+1</f>
        <v>101</v>
      </c>
      <c r="C411" s="171">
        <f t="shared" si="6"/>
        <v>1</v>
      </c>
      <c r="D411" s="171" t="b">
        <f>LineærRegression_Valg[[#This Row],[Afhængig variabel ID]]&lt;&gt;LineærRegression_Valg[[#This Row],[Uafhængig variabel ID]]</f>
        <v>1</v>
      </c>
      <c r="E411" t="b">
        <f>LineærRegression_Valg[[#This Row],[Afhængig variabel ID]]&lt;=$B$5</f>
        <v>0</v>
      </c>
      <c r="F411" t="str" cm="1">
        <f t="array" ref="F411">IF(LineærRegression_Valg[[#This Row],[Indenfor range]],INDEX(DataTitel_liste,LineærRegression_Valg[[#This Row],[Afhængig variabel ID]]),INDEX(DataTitel_liste,1))</f>
        <v>Eksempel 1 (interval)</v>
      </c>
      <c r="G411" s="171" t="str" cm="1">
        <f t="array" ref="G411">IF(LineærRegression_Valg[[#This Row],[Indenfor range]],IF(LineærRegression_Valg[[#This Row],[Intet overlap]],INDEX(DataTitel_liste,LineærRegression_Valg[[#This Row],[Uafhængig variabel ID]]),INDEX(DataTitel_liste,IF(LineærRegression_Valg[[#This Row],[Afhængig variabel ID]]=1,2,1))),$B$7)</f>
        <v>Eksempel 2 (interval)</v>
      </c>
      <c r="H411" s="171">
        <f>_xlfn.AGGREGATE(2,5,LineærRegression_Valg[[#This Row],[Tabel ID]])</f>
        <v>1</v>
      </c>
    </row>
    <row r="412" spans="1:8" x14ac:dyDescent="0.2">
      <c r="A412">
        <f>ROW(LineærRegression_Valg[[#This Row],[Tabel ID]])-ROW(LineærRegression_Valg[[#Headers],[Tabel ID]])</f>
        <v>402</v>
      </c>
      <c r="B412" s="171">
        <f>ROUNDDOWN((LineærRegression_Valg[[#This Row],[Tabel ID]]-1)/$B$5,0)+1</f>
        <v>101</v>
      </c>
      <c r="C412" s="171">
        <f t="shared" si="6"/>
        <v>2</v>
      </c>
      <c r="D412" s="171" t="b">
        <f>LineærRegression_Valg[[#This Row],[Afhængig variabel ID]]&lt;&gt;LineærRegression_Valg[[#This Row],[Uafhængig variabel ID]]</f>
        <v>1</v>
      </c>
      <c r="E412" t="b">
        <f>LineærRegression_Valg[[#This Row],[Afhængig variabel ID]]&lt;=$B$5</f>
        <v>0</v>
      </c>
      <c r="F412" t="str" cm="1">
        <f t="array" ref="F412">IF(LineærRegression_Valg[[#This Row],[Indenfor range]],INDEX(DataTitel_liste,LineærRegression_Valg[[#This Row],[Afhængig variabel ID]]),INDEX(DataTitel_liste,1))</f>
        <v>Eksempel 1 (interval)</v>
      </c>
      <c r="G412" s="171" t="str" cm="1">
        <f t="array" ref="G412">IF(LineærRegression_Valg[[#This Row],[Indenfor range]],IF(LineærRegression_Valg[[#This Row],[Intet overlap]],INDEX(DataTitel_liste,LineærRegression_Valg[[#This Row],[Uafhængig variabel ID]]),INDEX(DataTitel_liste,IF(LineærRegression_Valg[[#This Row],[Afhængig variabel ID]]=1,2,1))),$B$7)</f>
        <v>Eksempel 2 (interval)</v>
      </c>
      <c r="H412" s="171">
        <f>_xlfn.AGGREGATE(2,5,LineærRegression_Valg[[#This Row],[Tabel ID]])</f>
        <v>1</v>
      </c>
    </row>
    <row r="413" spans="1:8" x14ac:dyDescent="0.2">
      <c r="A413">
        <f>ROW(LineærRegression_Valg[[#This Row],[Tabel ID]])-ROW(LineærRegression_Valg[[#Headers],[Tabel ID]])</f>
        <v>403</v>
      </c>
      <c r="B413" s="171">
        <f>ROUNDDOWN((LineærRegression_Valg[[#This Row],[Tabel ID]]-1)/$B$5,0)+1</f>
        <v>101</v>
      </c>
      <c r="C413" s="171">
        <f t="shared" si="6"/>
        <v>3</v>
      </c>
      <c r="D413" s="171" t="b">
        <f>LineærRegression_Valg[[#This Row],[Afhængig variabel ID]]&lt;&gt;LineærRegression_Valg[[#This Row],[Uafhængig variabel ID]]</f>
        <v>1</v>
      </c>
      <c r="E413" t="b">
        <f>LineærRegression_Valg[[#This Row],[Afhængig variabel ID]]&lt;=$B$5</f>
        <v>0</v>
      </c>
      <c r="F413" t="str" cm="1">
        <f t="array" ref="F413">IF(LineærRegression_Valg[[#This Row],[Indenfor range]],INDEX(DataTitel_liste,LineærRegression_Valg[[#This Row],[Afhængig variabel ID]]),INDEX(DataTitel_liste,1))</f>
        <v>Eksempel 1 (interval)</v>
      </c>
      <c r="G413" s="171" t="str" cm="1">
        <f t="array" ref="G413">IF(LineærRegression_Valg[[#This Row],[Indenfor range]],IF(LineærRegression_Valg[[#This Row],[Intet overlap]],INDEX(DataTitel_liste,LineærRegression_Valg[[#This Row],[Uafhængig variabel ID]]),INDEX(DataTitel_liste,IF(LineærRegression_Valg[[#This Row],[Afhængig variabel ID]]=1,2,1))),$B$7)</f>
        <v>Eksempel 2 (interval)</v>
      </c>
      <c r="H413" s="171">
        <f>_xlfn.AGGREGATE(2,5,LineærRegression_Valg[[#This Row],[Tabel ID]])</f>
        <v>1</v>
      </c>
    </row>
    <row r="414" spans="1:8" x14ac:dyDescent="0.2">
      <c r="A414">
        <f>ROW(LineærRegression_Valg[[#This Row],[Tabel ID]])-ROW(LineærRegression_Valg[[#Headers],[Tabel ID]])</f>
        <v>404</v>
      </c>
      <c r="B414" s="171">
        <f>ROUNDDOWN((LineærRegression_Valg[[#This Row],[Tabel ID]]-1)/$B$5,0)+1</f>
        <v>101</v>
      </c>
      <c r="C414" s="171">
        <f t="shared" si="6"/>
        <v>4</v>
      </c>
      <c r="D414" s="171" t="b">
        <f>LineærRegression_Valg[[#This Row],[Afhængig variabel ID]]&lt;&gt;LineærRegression_Valg[[#This Row],[Uafhængig variabel ID]]</f>
        <v>1</v>
      </c>
      <c r="E414" t="b">
        <f>LineærRegression_Valg[[#This Row],[Afhængig variabel ID]]&lt;=$B$5</f>
        <v>0</v>
      </c>
      <c r="F414" t="str" cm="1">
        <f t="array" ref="F414">IF(LineærRegression_Valg[[#This Row],[Indenfor range]],INDEX(DataTitel_liste,LineærRegression_Valg[[#This Row],[Afhængig variabel ID]]),INDEX(DataTitel_liste,1))</f>
        <v>Eksempel 1 (interval)</v>
      </c>
      <c r="G414" s="171" t="str" cm="1">
        <f t="array" ref="G414">IF(LineærRegression_Valg[[#This Row],[Indenfor range]],IF(LineærRegression_Valg[[#This Row],[Intet overlap]],INDEX(DataTitel_liste,LineærRegression_Valg[[#This Row],[Uafhængig variabel ID]]),INDEX(DataTitel_liste,IF(LineærRegression_Valg[[#This Row],[Afhængig variabel ID]]=1,2,1))),$B$7)</f>
        <v>Eksempel 2 (interval)</v>
      </c>
      <c r="H414" s="171">
        <f>_xlfn.AGGREGATE(2,5,LineærRegression_Valg[[#This Row],[Tabel ID]])</f>
        <v>1</v>
      </c>
    </row>
    <row r="415" spans="1:8" x14ac:dyDescent="0.2">
      <c r="A415">
        <f>ROW(LineærRegression_Valg[[#This Row],[Tabel ID]])-ROW(LineærRegression_Valg[[#Headers],[Tabel ID]])</f>
        <v>405</v>
      </c>
      <c r="B415" s="171">
        <f>ROUNDDOWN((LineærRegression_Valg[[#This Row],[Tabel ID]]-1)/$B$5,0)+1</f>
        <v>102</v>
      </c>
      <c r="C415" s="171">
        <f t="shared" si="6"/>
        <v>1</v>
      </c>
      <c r="D415" s="171" t="b">
        <f>LineærRegression_Valg[[#This Row],[Afhængig variabel ID]]&lt;&gt;LineærRegression_Valg[[#This Row],[Uafhængig variabel ID]]</f>
        <v>1</v>
      </c>
      <c r="E415" t="b">
        <f>LineærRegression_Valg[[#This Row],[Afhængig variabel ID]]&lt;=$B$5</f>
        <v>0</v>
      </c>
      <c r="F415" t="str" cm="1">
        <f t="array" ref="F415">IF(LineærRegression_Valg[[#This Row],[Indenfor range]],INDEX(DataTitel_liste,LineærRegression_Valg[[#This Row],[Afhængig variabel ID]]),INDEX(DataTitel_liste,1))</f>
        <v>Eksempel 1 (interval)</v>
      </c>
      <c r="G415" s="171" t="str" cm="1">
        <f t="array" ref="G415">IF(LineærRegression_Valg[[#This Row],[Indenfor range]],IF(LineærRegression_Valg[[#This Row],[Intet overlap]],INDEX(DataTitel_liste,LineærRegression_Valg[[#This Row],[Uafhængig variabel ID]]),INDEX(DataTitel_liste,IF(LineærRegression_Valg[[#This Row],[Afhængig variabel ID]]=1,2,1))),$B$7)</f>
        <v>Eksempel 2 (interval)</v>
      </c>
      <c r="H415" s="171">
        <f>_xlfn.AGGREGATE(2,5,LineærRegression_Valg[[#This Row],[Tabel ID]])</f>
        <v>1</v>
      </c>
    </row>
    <row r="416" spans="1:8" x14ac:dyDescent="0.2">
      <c r="A416">
        <f>ROW(LineærRegression_Valg[[#This Row],[Tabel ID]])-ROW(LineærRegression_Valg[[#Headers],[Tabel ID]])</f>
        <v>406</v>
      </c>
      <c r="B416" s="171">
        <f>ROUNDDOWN((LineærRegression_Valg[[#This Row],[Tabel ID]]-1)/$B$5,0)+1</f>
        <v>102</v>
      </c>
      <c r="C416" s="171">
        <f t="shared" si="6"/>
        <v>2</v>
      </c>
      <c r="D416" s="171" t="b">
        <f>LineærRegression_Valg[[#This Row],[Afhængig variabel ID]]&lt;&gt;LineærRegression_Valg[[#This Row],[Uafhængig variabel ID]]</f>
        <v>1</v>
      </c>
      <c r="E416" t="b">
        <f>LineærRegression_Valg[[#This Row],[Afhængig variabel ID]]&lt;=$B$5</f>
        <v>0</v>
      </c>
      <c r="F416" t="str" cm="1">
        <f t="array" ref="F416">IF(LineærRegression_Valg[[#This Row],[Indenfor range]],INDEX(DataTitel_liste,LineærRegression_Valg[[#This Row],[Afhængig variabel ID]]),INDEX(DataTitel_liste,1))</f>
        <v>Eksempel 1 (interval)</v>
      </c>
      <c r="G416" s="171" t="str" cm="1">
        <f t="array" ref="G416">IF(LineærRegression_Valg[[#This Row],[Indenfor range]],IF(LineærRegression_Valg[[#This Row],[Intet overlap]],INDEX(DataTitel_liste,LineærRegression_Valg[[#This Row],[Uafhængig variabel ID]]),INDEX(DataTitel_liste,IF(LineærRegression_Valg[[#This Row],[Afhængig variabel ID]]=1,2,1))),$B$7)</f>
        <v>Eksempel 2 (interval)</v>
      </c>
      <c r="H416" s="171">
        <f>_xlfn.AGGREGATE(2,5,LineærRegression_Valg[[#This Row],[Tabel ID]])</f>
        <v>1</v>
      </c>
    </row>
    <row r="417" spans="1:8" x14ac:dyDescent="0.2">
      <c r="A417">
        <f>ROW(LineærRegression_Valg[[#This Row],[Tabel ID]])-ROW(LineærRegression_Valg[[#Headers],[Tabel ID]])</f>
        <v>407</v>
      </c>
      <c r="B417" s="171">
        <f>ROUNDDOWN((LineærRegression_Valg[[#This Row],[Tabel ID]]-1)/$B$5,0)+1</f>
        <v>102</v>
      </c>
      <c r="C417" s="171">
        <f t="shared" si="6"/>
        <v>3</v>
      </c>
      <c r="D417" s="171" t="b">
        <f>LineærRegression_Valg[[#This Row],[Afhængig variabel ID]]&lt;&gt;LineærRegression_Valg[[#This Row],[Uafhængig variabel ID]]</f>
        <v>1</v>
      </c>
      <c r="E417" t="b">
        <f>LineærRegression_Valg[[#This Row],[Afhængig variabel ID]]&lt;=$B$5</f>
        <v>0</v>
      </c>
      <c r="F417" t="str" cm="1">
        <f t="array" ref="F417">IF(LineærRegression_Valg[[#This Row],[Indenfor range]],INDEX(DataTitel_liste,LineærRegression_Valg[[#This Row],[Afhængig variabel ID]]),INDEX(DataTitel_liste,1))</f>
        <v>Eksempel 1 (interval)</v>
      </c>
      <c r="G417" s="171" t="str" cm="1">
        <f t="array" ref="G417">IF(LineærRegression_Valg[[#This Row],[Indenfor range]],IF(LineærRegression_Valg[[#This Row],[Intet overlap]],INDEX(DataTitel_liste,LineærRegression_Valg[[#This Row],[Uafhængig variabel ID]]),INDEX(DataTitel_liste,IF(LineærRegression_Valg[[#This Row],[Afhængig variabel ID]]=1,2,1))),$B$7)</f>
        <v>Eksempel 2 (interval)</v>
      </c>
      <c r="H417" s="171">
        <f>_xlfn.AGGREGATE(2,5,LineærRegression_Valg[[#This Row],[Tabel ID]])</f>
        <v>1</v>
      </c>
    </row>
    <row r="418" spans="1:8" x14ac:dyDescent="0.2">
      <c r="A418">
        <f>ROW(LineærRegression_Valg[[#This Row],[Tabel ID]])-ROW(LineærRegression_Valg[[#Headers],[Tabel ID]])</f>
        <v>408</v>
      </c>
      <c r="B418" s="171">
        <f>ROUNDDOWN((LineærRegression_Valg[[#This Row],[Tabel ID]]-1)/$B$5,0)+1</f>
        <v>102</v>
      </c>
      <c r="C418" s="171">
        <f t="shared" si="6"/>
        <v>4</v>
      </c>
      <c r="D418" s="171" t="b">
        <f>LineærRegression_Valg[[#This Row],[Afhængig variabel ID]]&lt;&gt;LineærRegression_Valg[[#This Row],[Uafhængig variabel ID]]</f>
        <v>1</v>
      </c>
      <c r="E418" t="b">
        <f>LineærRegression_Valg[[#This Row],[Afhængig variabel ID]]&lt;=$B$5</f>
        <v>0</v>
      </c>
      <c r="F418" t="str" cm="1">
        <f t="array" ref="F418">IF(LineærRegression_Valg[[#This Row],[Indenfor range]],INDEX(DataTitel_liste,LineærRegression_Valg[[#This Row],[Afhængig variabel ID]]),INDEX(DataTitel_liste,1))</f>
        <v>Eksempel 1 (interval)</v>
      </c>
      <c r="G418" s="171" t="str" cm="1">
        <f t="array" ref="G418">IF(LineærRegression_Valg[[#This Row],[Indenfor range]],IF(LineærRegression_Valg[[#This Row],[Intet overlap]],INDEX(DataTitel_liste,LineærRegression_Valg[[#This Row],[Uafhængig variabel ID]]),INDEX(DataTitel_liste,IF(LineærRegression_Valg[[#This Row],[Afhængig variabel ID]]=1,2,1))),$B$7)</f>
        <v>Eksempel 2 (interval)</v>
      </c>
      <c r="H418" s="171">
        <f>_xlfn.AGGREGATE(2,5,LineærRegression_Valg[[#This Row],[Tabel ID]])</f>
        <v>1</v>
      </c>
    </row>
    <row r="419" spans="1:8" x14ac:dyDescent="0.2">
      <c r="A419">
        <f>ROW(LineærRegression_Valg[[#This Row],[Tabel ID]])-ROW(LineærRegression_Valg[[#Headers],[Tabel ID]])</f>
        <v>409</v>
      </c>
      <c r="B419" s="171">
        <f>ROUNDDOWN((LineærRegression_Valg[[#This Row],[Tabel ID]]-1)/$B$5,0)+1</f>
        <v>103</v>
      </c>
      <c r="C419" s="171">
        <f t="shared" si="6"/>
        <v>1</v>
      </c>
      <c r="D419" s="171" t="b">
        <f>LineærRegression_Valg[[#This Row],[Afhængig variabel ID]]&lt;&gt;LineærRegression_Valg[[#This Row],[Uafhængig variabel ID]]</f>
        <v>1</v>
      </c>
      <c r="E419" t="b">
        <f>LineærRegression_Valg[[#This Row],[Afhængig variabel ID]]&lt;=$B$5</f>
        <v>0</v>
      </c>
      <c r="F419" t="str" cm="1">
        <f t="array" ref="F419">IF(LineærRegression_Valg[[#This Row],[Indenfor range]],INDEX(DataTitel_liste,LineærRegression_Valg[[#This Row],[Afhængig variabel ID]]),INDEX(DataTitel_liste,1))</f>
        <v>Eksempel 1 (interval)</v>
      </c>
      <c r="G419" s="171" t="str" cm="1">
        <f t="array" ref="G419">IF(LineærRegression_Valg[[#This Row],[Indenfor range]],IF(LineærRegression_Valg[[#This Row],[Intet overlap]],INDEX(DataTitel_liste,LineærRegression_Valg[[#This Row],[Uafhængig variabel ID]]),INDEX(DataTitel_liste,IF(LineærRegression_Valg[[#This Row],[Afhængig variabel ID]]=1,2,1))),$B$7)</f>
        <v>Eksempel 2 (interval)</v>
      </c>
      <c r="H419" s="171">
        <f>_xlfn.AGGREGATE(2,5,LineærRegression_Valg[[#This Row],[Tabel ID]])</f>
        <v>1</v>
      </c>
    </row>
    <row r="420" spans="1:8" x14ac:dyDescent="0.2">
      <c r="A420">
        <f>ROW(LineærRegression_Valg[[#This Row],[Tabel ID]])-ROW(LineærRegression_Valg[[#Headers],[Tabel ID]])</f>
        <v>410</v>
      </c>
      <c r="B420" s="171">
        <f>ROUNDDOWN((LineærRegression_Valg[[#This Row],[Tabel ID]]-1)/$B$5,0)+1</f>
        <v>103</v>
      </c>
      <c r="C420" s="171">
        <f t="shared" si="6"/>
        <v>2</v>
      </c>
      <c r="D420" s="171" t="b">
        <f>LineærRegression_Valg[[#This Row],[Afhængig variabel ID]]&lt;&gt;LineærRegression_Valg[[#This Row],[Uafhængig variabel ID]]</f>
        <v>1</v>
      </c>
      <c r="E420" t="b">
        <f>LineærRegression_Valg[[#This Row],[Afhængig variabel ID]]&lt;=$B$5</f>
        <v>0</v>
      </c>
      <c r="F420" t="str" cm="1">
        <f t="array" ref="F420">IF(LineærRegression_Valg[[#This Row],[Indenfor range]],INDEX(DataTitel_liste,LineærRegression_Valg[[#This Row],[Afhængig variabel ID]]),INDEX(DataTitel_liste,1))</f>
        <v>Eksempel 1 (interval)</v>
      </c>
      <c r="G420" s="171" t="str" cm="1">
        <f t="array" ref="G420">IF(LineærRegression_Valg[[#This Row],[Indenfor range]],IF(LineærRegression_Valg[[#This Row],[Intet overlap]],INDEX(DataTitel_liste,LineærRegression_Valg[[#This Row],[Uafhængig variabel ID]]),INDEX(DataTitel_liste,IF(LineærRegression_Valg[[#This Row],[Afhængig variabel ID]]=1,2,1))),$B$7)</f>
        <v>Eksempel 2 (interval)</v>
      </c>
      <c r="H420" s="171">
        <f>_xlfn.AGGREGATE(2,5,LineærRegression_Valg[[#This Row],[Tabel ID]])</f>
        <v>1</v>
      </c>
    </row>
    <row r="421" spans="1:8" x14ac:dyDescent="0.2">
      <c r="A421">
        <f>ROW(LineærRegression_Valg[[#This Row],[Tabel ID]])-ROW(LineærRegression_Valg[[#Headers],[Tabel ID]])</f>
        <v>411</v>
      </c>
      <c r="B421" s="171">
        <f>ROUNDDOWN((LineærRegression_Valg[[#This Row],[Tabel ID]]-1)/$B$5,0)+1</f>
        <v>103</v>
      </c>
      <c r="C421" s="171">
        <f t="shared" si="6"/>
        <v>3</v>
      </c>
      <c r="D421" s="171" t="b">
        <f>LineærRegression_Valg[[#This Row],[Afhængig variabel ID]]&lt;&gt;LineærRegression_Valg[[#This Row],[Uafhængig variabel ID]]</f>
        <v>1</v>
      </c>
      <c r="E421" t="b">
        <f>LineærRegression_Valg[[#This Row],[Afhængig variabel ID]]&lt;=$B$5</f>
        <v>0</v>
      </c>
      <c r="F421" t="str" cm="1">
        <f t="array" ref="F421">IF(LineærRegression_Valg[[#This Row],[Indenfor range]],INDEX(DataTitel_liste,LineærRegression_Valg[[#This Row],[Afhængig variabel ID]]),INDEX(DataTitel_liste,1))</f>
        <v>Eksempel 1 (interval)</v>
      </c>
      <c r="G421" s="171" t="str" cm="1">
        <f t="array" ref="G421">IF(LineærRegression_Valg[[#This Row],[Indenfor range]],IF(LineærRegression_Valg[[#This Row],[Intet overlap]],INDEX(DataTitel_liste,LineærRegression_Valg[[#This Row],[Uafhængig variabel ID]]),INDEX(DataTitel_liste,IF(LineærRegression_Valg[[#This Row],[Afhængig variabel ID]]=1,2,1))),$B$7)</f>
        <v>Eksempel 2 (interval)</v>
      </c>
      <c r="H421" s="171">
        <f>_xlfn.AGGREGATE(2,5,LineærRegression_Valg[[#This Row],[Tabel ID]])</f>
        <v>1</v>
      </c>
    </row>
    <row r="422" spans="1:8" x14ac:dyDescent="0.2">
      <c r="A422">
        <f>ROW(LineærRegression_Valg[[#This Row],[Tabel ID]])-ROW(LineærRegression_Valg[[#Headers],[Tabel ID]])</f>
        <v>412</v>
      </c>
      <c r="B422" s="171">
        <f>ROUNDDOWN((LineærRegression_Valg[[#This Row],[Tabel ID]]-1)/$B$5,0)+1</f>
        <v>103</v>
      </c>
      <c r="C422" s="171">
        <f t="shared" si="6"/>
        <v>4</v>
      </c>
      <c r="D422" s="171" t="b">
        <f>LineærRegression_Valg[[#This Row],[Afhængig variabel ID]]&lt;&gt;LineærRegression_Valg[[#This Row],[Uafhængig variabel ID]]</f>
        <v>1</v>
      </c>
      <c r="E422" t="b">
        <f>LineærRegression_Valg[[#This Row],[Afhængig variabel ID]]&lt;=$B$5</f>
        <v>0</v>
      </c>
      <c r="F422" t="str" cm="1">
        <f t="array" ref="F422">IF(LineærRegression_Valg[[#This Row],[Indenfor range]],INDEX(DataTitel_liste,LineærRegression_Valg[[#This Row],[Afhængig variabel ID]]),INDEX(DataTitel_liste,1))</f>
        <v>Eksempel 1 (interval)</v>
      </c>
      <c r="G422" s="171" t="str" cm="1">
        <f t="array" ref="G422">IF(LineærRegression_Valg[[#This Row],[Indenfor range]],IF(LineærRegression_Valg[[#This Row],[Intet overlap]],INDEX(DataTitel_liste,LineærRegression_Valg[[#This Row],[Uafhængig variabel ID]]),INDEX(DataTitel_liste,IF(LineærRegression_Valg[[#This Row],[Afhængig variabel ID]]=1,2,1))),$B$7)</f>
        <v>Eksempel 2 (interval)</v>
      </c>
      <c r="H422" s="171">
        <f>_xlfn.AGGREGATE(2,5,LineærRegression_Valg[[#This Row],[Tabel ID]])</f>
        <v>1</v>
      </c>
    </row>
    <row r="423" spans="1:8" x14ac:dyDescent="0.2">
      <c r="A423">
        <f>ROW(LineærRegression_Valg[[#This Row],[Tabel ID]])-ROW(LineærRegression_Valg[[#Headers],[Tabel ID]])</f>
        <v>413</v>
      </c>
      <c r="B423" s="171">
        <f>ROUNDDOWN((LineærRegression_Valg[[#This Row],[Tabel ID]]-1)/$B$5,0)+1</f>
        <v>104</v>
      </c>
      <c r="C423" s="171">
        <f t="shared" si="6"/>
        <v>1</v>
      </c>
      <c r="D423" s="171" t="b">
        <f>LineærRegression_Valg[[#This Row],[Afhængig variabel ID]]&lt;&gt;LineærRegression_Valg[[#This Row],[Uafhængig variabel ID]]</f>
        <v>1</v>
      </c>
      <c r="E423" t="b">
        <f>LineærRegression_Valg[[#This Row],[Afhængig variabel ID]]&lt;=$B$5</f>
        <v>0</v>
      </c>
      <c r="F423" t="str" cm="1">
        <f t="array" ref="F423">IF(LineærRegression_Valg[[#This Row],[Indenfor range]],INDEX(DataTitel_liste,LineærRegression_Valg[[#This Row],[Afhængig variabel ID]]),INDEX(DataTitel_liste,1))</f>
        <v>Eksempel 1 (interval)</v>
      </c>
      <c r="G423" s="171" t="str" cm="1">
        <f t="array" ref="G423">IF(LineærRegression_Valg[[#This Row],[Indenfor range]],IF(LineærRegression_Valg[[#This Row],[Intet overlap]],INDEX(DataTitel_liste,LineærRegression_Valg[[#This Row],[Uafhængig variabel ID]]),INDEX(DataTitel_liste,IF(LineærRegression_Valg[[#This Row],[Afhængig variabel ID]]=1,2,1))),$B$7)</f>
        <v>Eksempel 2 (interval)</v>
      </c>
      <c r="H423" s="171">
        <f>_xlfn.AGGREGATE(2,5,LineærRegression_Valg[[#This Row],[Tabel ID]])</f>
        <v>1</v>
      </c>
    </row>
    <row r="424" spans="1:8" x14ac:dyDescent="0.2">
      <c r="A424">
        <f>ROW(LineærRegression_Valg[[#This Row],[Tabel ID]])-ROW(LineærRegression_Valg[[#Headers],[Tabel ID]])</f>
        <v>414</v>
      </c>
      <c r="B424" s="171">
        <f>ROUNDDOWN((LineærRegression_Valg[[#This Row],[Tabel ID]]-1)/$B$5,0)+1</f>
        <v>104</v>
      </c>
      <c r="C424" s="171">
        <f t="shared" si="6"/>
        <v>2</v>
      </c>
      <c r="D424" s="171" t="b">
        <f>LineærRegression_Valg[[#This Row],[Afhængig variabel ID]]&lt;&gt;LineærRegression_Valg[[#This Row],[Uafhængig variabel ID]]</f>
        <v>1</v>
      </c>
      <c r="E424" t="b">
        <f>LineærRegression_Valg[[#This Row],[Afhængig variabel ID]]&lt;=$B$5</f>
        <v>0</v>
      </c>
      <c r="F424" t="str" cm="1">
        <f t="array" ref="F424">IF(LineærRegression_Valg[[#This Row],[Indenfor range]],INDEX(DataTitel_liste,LineærRegression_Valg[[#This Row],[Afhængig variabel ID]]),INDEX(DataTitel_liste,1))</f>
        <v>Eksempel 1 (interval)</v>
      </c>
      <c r="G424" s="171" t="str" cm="1">
        <f t="array" ref="G424">IF(LineærRegression_Valg[[#This Row],[Indenfor range]],IF(LineærRegression_Valg[[#This Row],[Intet overlap]],INDEX(DataTitel_liste,LineærRegression_Valg[[#This Row],[Uafhængig variabel ID]]),INDEX(DataTitel_liste,IF(LineærRegression_Valg[[#This Row],[Afhængig variabel ID]]=1,2,1))),$B$7)</f>
        <v>Eksempel 2 (interval)</v>
      </c>
      <c r="H424" s="171">
        <f>_xlfn.AGGREGATE(2,5,LineærRegression_Valg[[#This Row],[Tabel ID]])</f>
        <v>1</v>
      </c>
    </row>
    <row r="425" spans="1:8" x14ac:dyDescent="0.2">
      <c r="A425">
        <f>ROW(LineærRegression_Valg[[#This Row],[Tabel ID]])-ROW(LineærRegression_Valg[[#Headers],[Tabel ID]])</f>
        <v>415</v>
      </c>
      <c r="B425" s="171">
        <f>ROUNDDOWN((LineærRegression_Valg[[#This Row],[Tabel ID]]-1)/$B$5,0)+1</f>
        <v>104</v>
      </c>
      <c r="C425" s="171">
        <f t="shared" si="6"/>
        <v>3</v>
      </c>
      <c r="D425" s="171" t="b">
        <f>LineærRegression_Valg[[#This Row],[Afhængig variabel ID]]&lt;&gt;LineærRegression_Valg[[#This Row],[Uafhængig variabel ID]]</f>
        <v>1</v>
      </c>
      <c r="E425" t="b">
        <f>LineærRegression_Valg[[#This Row],[Afhængig variabel ID]]&lt;=$B$5</f>
        <v>0</v>
      </c>
      <c r="F425" t="str" cm="1">
        <f t="array" ref="F425">IF(LineærRegression_Valg[[#This Row],[Indenfor range]],INDEX(DataTitel_liste,LineærRegression_Valg[[#This Row],[Afhængig variabel ID]]),INDEX(DataTitel_liste,1))</f>
        <v>Eksempel 1 (interval)</v>
      </c>
      <c r="G425" s="171" t="str" cm="1">
        <f t="array" ref="G425">IF(LineærRegression_Valg[[#This Row],[Indenfor range]],IF(LineærRegression_Valg[[#This Row],[Intet overlap]],INDEX(DataTitel_liste,LineærRegression_Valg[[#This Row],[Uafhængig variabel ID]]),INDEX(DataTitel_liste,IF(LineærRegression_Valg[[#This Row],[Afhængig variabel ID]]=1,2,1))),$B$7)</f>
        <v>Eksempel 2 (interval)</v>
      </c>
      <c r="H425" s="171">
        <f>_xlfn.AGGREGATE(2,5,LineærRegression_Valg[[#This Row],[Tabel ID]])</f>
        <v>1</v>
      </c>
    </row>
    <row r="426" spans="1:8" x14ac:dyDescent="0.2">
      <c r="A426">
        <f>ROW(LineærRegression_Valg[[#This Row],[Tabel ID]])-ROW(LineærRegression_Valg[[#Headers],[Tabel ID]])</f>
        <v>416</v>
      </c>
      <c r="B426" s="171">
        <f>ROUNDDOWN((LineærRegression_Valg[[#This Row],[Tabel ID]]-1)/$B$5,0)+1</f>
        <v>104</v>
      </c>
      <c r="C426" s="171">
        <f t="shared" si="6"/>
        <v>4</v>
      </c>
      <c r="D426" s="171" t="b">
        <f>LineærRegression_Valg[[#This Row],[Afhængig variabel ID]]&lt;&gt;LineærRegression_Valg[[#This Row],[Uafhængig variabel ID]]</f>
        <v>1</v>
      </c>
      <c r="E426" t="b">
        <f>LineærRegression_Valg[[#This Row],[Afhængig variabel ID]]&lt;=$B$5</f>
        <v>0</v>
      </c>
      <c r="F426" t="str" cm="1">
        <f t="array" ref="F426">IF(LineærRegression_Valg[[#This Row],[Indenfor range]],INDEX(DataTitel_liste,LineærRegression_Valg[[#This Row],[Afhængig variabel ID]]),INDEX(DataTitel_liste,1))</f>
        <v>Eksempel 1 (interval)</v>
      </c>
      <c r="G426" s="171" t="str" cm="1">
        <f t="array" ref="G426">IF(LineærRegression_Valg[[#This Row],[Indenfor range]],IF(LineærRegression_Valg[[#This Row],[Intet overlap]],INDEX(DataTitel_liste,LineærRegression_Valg[[#This Row],[Uafhængig variabel ID]]),INDEX(DataTitel_liste,IF(LineærRegression_Valg[[#This Row],[Afhængig variabel ID]]=1,2,1))),$B$7)</f>
        <v>Eksempel 2 (interval)</v>
      </c>
      <c r="H426" s="171">
        <f>_xlfn.AGGREGATE(2,5,LineærRegression_Valg[[#This Row],[Tabel ID]])</f>
        <v>1</v>
      </c>
    </row>
    <row r="427" spans="1:8" x14ac:dyDescent="0.2">
      <c r="A427">
        <f>ROW(LineærRegression_Valg[[#This Row],[Tabel ID]])-ROW(LineærRegression_Valg[[#Headers],[Tabel ID]])</f>
        <v>417</v>
      </c>
      <c r="B427" s="171">
        <f>ROUNDDOWN((LineærRegression_Valg[[#This Row],[Tabel ID]]-1)/$B$5,0)+1</f>
        <v>105</v>
      </c>
      <c r="C427" s="171">
        <f t="shared" si="6"/>
        <v>1</v>
      </c>
      <c r="D427" s="171" t="b">
        <f>LineærRegression_Valg[[#This Row],[Afhængig variabel ID]]&lt;&gt;LineærRegression_Valg[[#This Row],[Uafhængig variabel ID]]</f>
        <v>1</v>
      </c>
      <c r="E427" t="b">
        <f>LineærRegression_Valg[[#This Row],[Afhængig variabel ID]]&lt;=$B$5</f>
        <v>0</v>
      </c>
      <c r="F427" t="str" cm="1">
        <f t="array" ref="F427">IF(LineærRegression_Valg[[#This Row],[Indenfor range]],INDEX(DataTitel_liste,LineærRegression_Valg[[#This Row],[Afhængig variabel ID]]),INDEX(DataTitel_liste,1))</f>
        <v>Eksempel 1 (interval)</v>
      </c>
      <c r="G427" s="171" t="str" cm="1">
        <f t="array" ref="G427">IF(LineærRegression_Valg[[#This Row],[Indenfor range]],IF(LineærRegression_Valg[[#This Row],[Intet overlap]],INDEX(DataTitel_liste,LineærRegression_Valg[[#This Row],[Uafhængig variabel ID]]),INDEX(DataTitel_liste,IF(LineærRegression_Valg[[#This Row],[Afhængig variabel ID]]=1,2,1))),$B$7)</f>
        <v>Eksempel 2 (interval)</v>
      </c>
      <c r="H427" s="171">
        <f>_xlfn.AGGREGATE(2,5,LineærRegression_Valg[[#This Row],[Tabel ID]])</f>
        <v>1</v>
      </c>
    </row>
    <row r="428" spans="1:8" x14ac:dyDescent="0.2">
      <c r="A428">
        <f>ROW(LineærRegression_Valg[[#This Row],[Tabel ID]])-ROW(LineærRegression_Valg[[#Headers],[Tabel ID]])</f>
        <v>418</v>
      </c>
      <c r="B428" s="171">
        <f>ROUNDDOWN((LineærRegression_Valg[[#This Row],[Tabel ID]]-1)/$B$5,0)+1</f>
        <v>105</v>
      </c>
      <c r="C428" s="171">
        <f t="shared" si="6"/>
        <v>2</v>
      </c>
      <c r="D428" s="171" t="b">
        <f>LineærRegression_Valg[[#This Row],[Afhængig variabel ID]]&lt;&gt;LineærRegression_Valg[[#This Row],[Uafhængig variabel ID]]</f>
        <v>1</v>
      </c>
      <c r="E428" t="b">
        <f>LineærRegression_Valg[[#This Row],[Afhængig variabel ID]]&lt;=$B$5</f>
        <v>0</v>
      </c>
      <c r="F428" t="str" cm="1">
        <f t="array" ref="F428">IF(LineærRegression_Valg[[#This Row],[Indenfor range]],INDEX(DataTitel_liste,LineærRegression_Valg[[#This Row],[Afhængig variabel ID]]),INDEX(DataTitel_liste,1))</f>
        <v>Eksempel 1 (interval)</v>
      </c>
      <c r="G428" s="171" t="str" cm="1">
        <f t="array" ref="G428">IF(LineærRegression_Valg[[#This Row],[Indenfor range]],IF(LineærRegression_Valg[[#This Row],[Intet overlap]],INDEX(DataTitel_liste,LineærRegression_Valg[[#This Row],[Uafhængig variabel ID]]),INDEX(DataTitel_liste,IF(LineærRegression_Valg[[#This Row],[Afhængig variabel ID]]=1,2,1))),$B$7)</f>
        <v>Eksempel 2 (interval)</v>
      </c>
      <c r="H428" s="171">
        <f>_xlfn.AGGREGATE(2,5,LineærRegression_Valg[[#This Row],[Tabel ID]])</f>
        <v>1</v>
      </c>
    </row>
    <row r="429" spans="1:8" x14ac:dyDescent="0.2">
      <c r="A429">
        <f>ROW(LineærRegression_Valg[[#This Row],[Tabel ID]])-ROW(LineærRegression_Valg[[#Headers],[Tabel ID]])</f>
        <v>419</v>
      </c>
      <c r="B429" s="171">
        <f>ROUNDDOWN((LineærRegression_Valg[[#This Row],[Tabel ID]]-1)/$B$5,0)+1</f>
        <v>105</v>
      </c>
      <c r="C429" s="171">
        <f t="shared" si="6"/>
        <v>3</v>
      </c>
      <c r="D429" s="171" t="b">
        <f>LineærRegression_Valg[[#This Row],[Afhængig variabel ID]]&lt;&gt;LineærRegression_Valg[[#This Row],[Uafhængig variabel ID]]</f>
        <v>1</v>
      </c>
      <c r="E429" t="b">
        <f>LineærRegression_Valg[[#This Row],[Afhængig variabel ID]]&lt;=$B$5</f>
        <v>0</v>
      </c>
      <c r="F429" t="str" cm="1">
        <f t="array" ref="F429">IF(LineærRegression_Valg[[#This Row],[Indenfor range]],INDEX(DataTitel_liste,LineærRegression_Valg[[#This Row],[Afhængig variabel ID]]),INDEX(DataTitel_liste,1))</f>
        <v>Eksempel 1 (interval)</v>
      </c>
      <c r="G429" s="171" t="str" cm="1">
        <f t="array" ref="G429">IF(LineærRegression_Valg[[#This Row],[Indenfor range]],IF(LineærRegression_Valg[[#This Row],[Intet overlap]],INDEX(DataTitel_liste,LineærRegression_Valg[[#This Row],[Uafhængig variabel ID]]),INDEX(DataTitel_liste,IF(LineærRegression_Valg[[#This Row],[Afhængig variabel ID]]=1,2,1))),$B$7)</f>
        <v>Eksempel 2 (interval)</v>
      </c>
      <c r="H429" s="171">
        <f>_xlfn.AGGREGATE(2,5,LineærRegression_Valg[[#This Row],[Tabel ID]])</f>
        <v>1</v>
      </c>
    </row>
    <row r="430" spans="1:8" x14ac:dyDescent="0.2">
      <c r="A430">
        <f>ROW(LineærRegression_Valg[[#This Row],[Tabel ID]])-ROW(LineærRegression_Valg[[#Headers],[Tabel ID]])</f>
        <v>420</v>
      </c>
      <c r="B430" s="171">
        <f>ROUNDDOWN((LineærRegression_Valg[[#This Row],[Tabel ID]]-1)/$B$5,0)+1</f>
        <v>105</v>
      </c>
      <c r="C430" s="171">
        <f t="shared" si="6"/>
        <v>4</v>
      </c>
      <c r="D430" s="171" t="b">
        <f>LineærRegression_Valg[[#This Row],[Afhængig variabel ID]]&lt;&gt;LineærRegression_Valg[[#This Row],[Uafhængig variabel ID]]</f>
        <v>1</v>
      </c>
      <c r="E430" t="b">
        <f>LineærRegression_Valg[[#This Row],[Afhængig variabel ID]]&lt;=$B$5</f>
        <v>0</v>
      </c>
      <c r="F430" t="str" cm="1">
        <f t="array" ref="F430">IF(LineærRegression_Valg[[#This Row],[Indenfor range]],INDEX(DataTitel_liste,LineærRegression_Valg[[#This Row],[Afhængig variabel ID]]),INDEX(DataTitel_liste,1))</f>
        <v>Eksempel 1 (interval)</v>
      </c>
      <c r="G430" s="171" t="str" cm="1">
        <f t="array" ref="G430">IF(LineærRegression_Valg[[#This Row],[Indenfor range]],IF(LineærRegression_Valg[[#This Row],[Intet overlap]],INDEX(DataTitel_liste,LineærRegression_Valg[[#This Row],[Uafhængig variabel ID]]),INDEX(DataTitel_liste,IF(LineærRegression_Valg[[#This Row],[Afhængig variabel ID]]=1,2,1))),$B$7)</f>
        <v>Eksempel 2 (interval)</v>
      </c>
      <c r="H430" s="171">
        <f>_xlfn.AGGREGATE(2,5,LineærRegression_Valg[[#This Row],[Tabel ID]])</f>
        <v>1</v>
      </c>
    </row>
    <row r="431" spans="1:8" x14ac:dyDescent="0.2">
      <c r="A431">
        <f>ROW(LineærRegression_Valg[[#This Row],[Tabel ID]])-ROW(LineærRegression_Valg[[#Headers],[Tabel ID]])</f>
        <v>421</v>
      </c>
      <c r="B431" s="171">
        <f>ROUNDDOWN((LineærRegression_Valg[[#This Row],[Tabel ID]]-1)/$B$5,0)+1</f>
        <v>106</v>
      </c>
      <c r="C431" s="171">
        <f t="shared" si="6"/>
        <v>1</v>
      </c>
      <c r="D431" s="171" t="b">
        <f>LineærRegression_Valg[[#This Row],[Afhængig variabel ID]]&lt;&gt;LineærRegression_Valg[[#This Row],[Uafhængig variabel ID]]</f>
        <v>1</v>
      </c>
      <c r="E431" t="b">
        <f>LineærRegression_Valg[[#This Row],[Afhængig variabel ID]]&lt;=$B$5</f>
        <v>0</v>
      </c>
      <c r="F431" t="str" cm="1">
        <f t="array" ref="F431">IF(LineærRegression_Valg[[#This Row],[Indenfor range]],INDEX(DataTitel_liste,LineærRegression_Valg[[#This Row],[Afhængig variabel ID]]),INDEX(DataTitel_liste,1))</f>
        <v>Eksempel 1 (interval)</v>
      </c>
      <c r="G431" s="171" t="str" cm="1">
        <f t="array" ref="G431">IF(LineærRegression_Valg[[#This Row],[Indenfor range]],IF(LineærRegression_Valg[[#This Row],[Intet overlap]],INDEX(DataTitel_liste,LineærRegression_Valg[[#This Row],[Uafhængig variabel ID]]),INDEX(DataTitel_liste,IF(LineærRegression_Valg[[#This Row],[Afhængig variabel ID]]=1,2,1))),$B$7)</f>
        <v>Eksempel 2 (interval)</v>
      </c>
      <c r="H431" s="171">
        <f>_xlfn.AGGREGATE(2,5,LineærRegression_Valg[[#This Row],[Tabel ID]])</f>
        <v>1</v>
      </c>
    </row>
    <row r="432" spans="1:8" x14ac:dyDescent="0.2">
      <c r="A432">
        <f>ROW(LineærRegression_Valg[[#This Row],[Tabel ID]])-ROW(LineærRegression_Valg[[#Headers],[Tabel ID]])</f>
        <v>422</v>
      </c>
      <c r="B432" s="171">
        <f>ROUNDDOWN((LineærRegression_Valg[[#This Row],[Tabel ID]]-1)/$B$5,0)+1</f>
        <v>106</v>
      </c>
      <c r="C432" s="171">
        <f t="shared" si="6"/>
        <v>2</v>
      </c>
      <c r="D432" s="171" t="b">
        <f>LineærRegression_Valg[[#This Row],[Afhængig variabel ID]]&lt;&gt;LineærRegression_Valg[[#This Row],[Uafhængig variabel ID]]</f>
        <v>1</v>
      </c>
      <c r="E432" t="b">
        <f>LineærRegression_Valg[[#This Row],[Afhængig variabel ID]]&lt;=$B$5</f>
        <v>0</v>
      </c>
      <c r="F432" t="str" cm="1">
        <f t="array" ref="F432">IF(LineærRegression_Valg[[#This Row],[Indenfor range]],INDEX(DataTitel_liste,LineærRegression_Valg[[#This Row],[Afhængig variabel ID]]),INDEX(DataTitel_liste,1))</f>
        <v>Eksempel 1 (interval)</v>
      </c>
      <c r="G432" s="171" t="str" cm="1">
        <f t="array" ref="G432">IF(LineærRegression_Valg[[#This Row],[Indenfor range]],IF(LineærRegression_Valg[[#This Row],[Intet overlap]],INDEX(DataTitel_liste,LineærRegression_Valg[[#This Row],[Uafhængig variabel ID]]),INDEX(DataTitel_liste,IF(LineærRegression_Valg[[#This Row],[Afhængig variabel ID]]=1,2,1))),$B$7)</f>
        <v>Eksempel 2 (interval)</v>
      </c>
      <c r="H432" s="171">
        <f>_xlfn.AGGREGATE(2,5,LineærRegression_Valg[[#This Row],[Tabel ID]])</f>
        <v>1</v>
      </c>
    </row>
    <row r="433" spans="1:8" x14ac:dyDescent="0.2">
      <c r="A433">
        <f>ROW(LineærRegression_Valg[[#This Row],[Tabel ID]])-ROW(LineærRegression_Valg[[#Headers],[Tabel ID]])</f>
        <v>423</v>
      </c>
      <c r="B433" s="171">
        <f>ROUNDDOWN((LineærRegression_Valg[[#This Row],[Tabel ID]]-1)/$B$5,0)+1</f>
        <v>106</v>
      </c>
      <c r="C433" s="171">
        <f t="shared" si="6"/>
        <v>3</v>
      </c>
      <c r="D433" s="171" t="b">
        <f>LineærRegression_Valg[[#This Row],[Afhængig variabel ID]]&lt;&gt;LineærRegression_Valg[[#This Row],[Uafhængig variabel ID]]</f>
        <v>1</v>
      </c>
      <c r="E433" t="b">
        <f>LineærRegression_Valg[[#This Row],[Afhængig variabel ID]]&lt;=$B$5</f>
        <v>0</v>
      </c>
      <c r="F433" t="str" cm="1">
        <f t="array" ref="F433">IF(LineærRegression_Valg[[#This Row],[Indenfor range]],INDEX(DataTitel_liste,LineærRegression_Valg[[#This Row],[Afhængig variabel ID]]),INDEX(DataTitel_liste,1))</f>
        <v>Eksempel 1 (interval)</v>
      </c>
      <c r="G433" s="171" t="str" cm="1">
        <f t="array" ref="G433">IF(LineærRegression_Valg[[#This Row],[Indenfor range]],IF(LineærRegression_Valg[[#This Row],[Intet overlap]],INDEX(DataTitel_liste,LineærRegression_Valg[[#This Row],[Uafhængig variabel ID]]),INDEX(DataTitel_liste,IF(LineærRegression_Valg[[#This Row],[Afhængig variabel ID]]=1,2,1))),$B$7)</f>
        <v>Eksempel 2 (interval)</v>
      </c>
      <c r="H433" s="171">
        <f>_xlfn.AGGREGATE(2,5,LineærRegression_Valg[[#This Row],[Tabel ID]])</f>
        <v>1</v>
      </c>
    </row>
    <row r="434" spans="1:8" x14ac:dyDescent="0.2">
      <c r="A434">
        <f>ROW(LineærRegression_Valg[[#This Row],[Tabel ID]])-ROW(LineærRegression_Valg[[#Headers],[Tabel ID]])</f>
        <v>424</v>
      </c>
      <c r="B434" s="171">
        <f>ROUNDDOWN((LineærRegression_Valg[[#This Row],[Tabel ID]]-1)/$B$5,0)+1</f>
        <v>106</v>
      </c>
      <c r="C434" s="171">
        <f t="shared" si="6"/>
        <v>4</v>
      </c>
      <c r="D434" s="171" t="b">
        <f>LineærRegression_Valg[[#This Row],[Afhængig variabel ID]]&lt;&gt;LineærRegression_Valg[[#This Row],[Uafhængig variabel ID]]</f>
        <v>1</v>
      </c>
      <c r="E434" t="b">
        <f>LineærRegression_Valg[[#This Row],[Afhængig variabel ID]]&lt;=$B$5</f>
        <v>0</v>
      </c>
      <c r="F434" t="str" cm="1">
        <f t="array" ref="F434">IF(LineærRegression_Valg[[#This Row],[Indenfor range]],INDEX(DataTitel_liste,LineærRegression_Valg[[#This Row],[Afhængig variabel ID]]),INDEX(DataTitel_liste,1))</f>
        <v>Eksempel 1 (interval)</v>
      </c>
      <c r="G434" s="171" t="str" cm="1">
        <f t="array" ref="G434">IF(LineærRegression_Valg[[#This Row],[Indenfor range]],IF(LineærRegression_Valg[[#This Row],[Intet overlap]],INDEX(DataTitel_liste,LineærRegression_Valg[[#This Row],[Uafhængig variabel ID]]),INDEX(DataTitel_liste,IF(LineærRegression_Valg[[#This Row],[Afhængig variabel ID]]=1,2,1))),$B$7)</f>
        <v>Eksempel 2 (interval)</v>
      </c>
      <c r="H434" s="171">
        <f>_xlfn.AGGREGATE(2,5,LineærRegression_Valg[[#This Row],[Tabel ID]])</f>
        <v>1</v>
      </c>
    </row>
    <row r="435" spans="1:8" x14ac:dyDescent="0.2">
      <c r="A435">
        <f>ROW(LineærRegression_Valg[[#This Row],[Tabel ID]])-ROW(LineærRegression_Valg[[#Headers],[Tabel ID]])</f>
        <v>425</v>
      </c>
      <c r="B435" s="171">
        <f>ROUNDDOWN((LineærRegression_Valg[[#This Row],[Tabel ID]]-1)/$B$5,0)+1</f>
        <v>107</v>
      </c>
      <c r="C435" s="171">
        <f t="shared" si="6"/>
        <v>1</v>
      </c>
      <c r="D435" s="171" t="b">
        <f>LineærRegression_Valg[[#This Row],[Afhængig variabel ID]]&lt;&gt;LineærRegression_Valg[[#This Row],[Uafhængig variabel ID]]</f>
        <v>1</v>
      </c>
      <c r="E435" t="b">
        <f>LineærRegression_Valg[[#This Row],[Afhængig variabel ID]]&lt;=$B$5</f>
        <v>0</v>
      </c>
      <c r="F435" t="str" cm="1">
        <f t="array" ref="F435">IF(LineærRegression_Valg[[#This Row],[Indenfor range]],INDEX(DataTitel_liste,LineærRegression_Valg[[#This Row],[Afhængig variabel ID]]),INDEX(DataTitel_liste,1))</f>
        <v>Eksempel 1 (interval)</v>
      </c>
      <c r="G435" s="171" t="str" cm="1">
        <f t="array" ref="G435">IF(LineærRegression_Valg[[#This Row],[Indenfor range]],IF(LineærRegression_Valg[[#This Row],[Intet overlap]],INDEX(DataTitel_liste,LineærRegression_Valg[[#This Row],[Uafhængig variabel ID]]),INDEX(DataTitel_liste,IF(LineærRegression_Valg[[#This Row],[Afhængig variabel ID]]=1,2,1))),$B$7)</f>
        <v>Eksempel 2 (interval)</v>
      </c>
      <c r="H435" s="171">
        <f>_xlfn.AGGREGATE(2,5,LineærRegression_Valg[[#This Row],[Tabel ID]])</f>
        <v>1</v>
      </c>
    </row>
    <row r="436" spans="1:8" x14ac:dyDescent="0.2">
      <c r="A436">
        <f>ROW(LineærRegression_Valg[[#This Row],[Tabel ID]])-ROW(LineærRegression_Valg[[#Headers],[Tabel ID]])</f>
        <v>426</v>
      </c>
      <c r="B436" s="171">
        <f>ROUNDDOWN((LineærRegression_Valg[[#This Row],[Tabel ID]]-1)/$B$5,0)+1</f>
        <v>107</v>
      </c>
      <c r="C436" s="171">
        <f t="shared" si="6"/>
        <v>2</v>
      </c>
      <c r="D436" s="171" t="b">
        <f>LineærRegression_Valg[[#This Row],[Afhængig variabel ID]]&lt;&gt;LineærRegression_Valg[[#This Row],[Uafhængig variabel ID]]</f>
        <v>1</v>
      </c>
      <c r="E436" t="b">
        <f>LineærRegression_Valg[[#This Row],[Afhængig variabel ID]]&lt;=$B$5</f>
        <v>0</v>
      </c>
      <c r="F436" t="str" cm="1">
        <f t="array" ref="F436">IF(LineærRegression_Valg[[#This Row],[Indenfor range]],INDEX(DataTitel_liste,LineærRegression_Valg[[#This Row],[Afhængig variabel ID]]),INDEX(DataTitel_liste,1))</f>
        <v>Eksempel 1 (interval)</v>
      </c>
      <c r="G436" s="171" t="str" cm="1">
        <f t="array" ref="G436">IF(LineærRegression_Valg[[#This Row],[Indenfor range]],IF(LineærRegression_Valg[[#This Row],[Intet overlap]],INDEX(DataTitel_liste,LineærRegression_Valg[[#This Row],[Uafhængig variabel ID]]),INDEX(DataTitel_liste,IF(LineærRegression_Valg[[#This Row],[Afhængig variabel ID]]=1,2,1))),$B$7)</f>
        <v>Eksempel 2 (interval)</v>
      </c>
      <c r="H436" s="171">
        <f>_xlfn.AGGREGATE(2,5,LineærRegression_Valg[[#This Row],[Tabel ID]])</f>
        <v>1</v>
      </c>
    </row>
    <row r="437" spans="1:8" x14ac:dyDescent="0.2">
      <c r="A437">
        <f>ROW(LineærRegression_Valg[[#This Row],[Tabel ID]])-ROW(LineærRegression_Valg[[#Headers],[Tabel ID]])</f>
        <v>427</v>
      </c>
      <c r="B437" s="171">
        <f>ROUNDDOWN((LineærRegression_Valg[[#This Row],[Tabel ID]]-1)/$B$5,0)+1</f>
        <v>107</v>
      </c>
      <c r="C437" s="171">
        <f t="shared" si="6"/>
        <v>3</v>
      </c>
      <c r="D437" s="171" t="b">
        <f>LineærRegression_Valg[[#This Row],[Afhængig variabel ID]]&lt;&gt;LineærRegression_Valg[[#This Row],[Uafhængig variabel ID]]</f>
        <v>1</v>
      </c>
      <c r="E437" t="b">
        <f>LineærRegression_Valg[[#This Row],[Afhængig variabel ID]]&lt;=$B$5</f>
        <v>0</v>
      </c>
      <c r="F437" t="str" cm="1">
        <f t="array" ref="F437">IF(LineærRegression_Valg[[#This Row],[Indenfor range]],INDEX(DataTitel_liste,LineærRegression_Valg[[#This Row],[Afhængig variabel ID]]),INDEX(DataTitel_liste,1))</f>
        <v>Eksempel 1 (interval)</v>
      </c>
      <c r="G437" s="171" t="str" cm="1">
        <f t="array" ref="G437">IF(LineærRegression_Valg[[#This Row],[Indenfor range]],IF(LineærRegression_Valg[[#This Row],[Intet overlap]],INDEX(DataTitel_liste,LineærRegression_Valg[[#This Row],[Uafhængig variabel ID]]),INDEX(DataTitel_liste,IF(LineærRegression_Valg[[#This Row],[Afhængig variabel ID]]=1,2,1))),$B$7)</f>
        <v>Eksempel 2 (interval)</v>
      </c>
      <c r="H437" s="171">
        <f>_xlfn.AGGREGATE(2,5,LineærRegression_Valg[[#This Row],[Tabel ID]])</f>
        <v>1</v>
      </c>
    </row>
    <row r="438" spans="1:8" x14ac:dyDescent="0.2">
      <c r="A438">
        <f>ROW(LineærRegression_Valg[[#This Row],[Tabel ID]])-ROW(LineærRegression_Valg[[#Headers],[Tabel ID]])</f>
        <v>428</v>
      </c>
      <c r="B438" s="171">
        <f>ROUNDDOWN((LineærRegression_Valg[[#This Row],[Tabel ID]]-1)/$B$5,0)+1</f>
        <v>107</v>
      </c>
      <c r="C438" s="171">
        <f t="shared" si="6"/>
        <v>4</v>
      </c>
      <c r="D438" s="171" t="b">
        <f>LineærRegression_Valg[[#This Row],[Afhængig variabel ID]]&lt;&gt;LineærRegression_Valg[[#This Row],[Uafhængig variabel ID]]</f>
        <v>1</v>
      </c>
      <c r="E438" t="b">
        <f>LineærRegression_Valg[[#This Row],[Afhængig variabel ID]]&lt;=$B$5</f>
        <v>0</v>
      </c>
      <c r="F438" t="str" cm="1">
        <f t="array" ref="F438">IF(LineærRegression_Valg[[#This Row],[Indenfor range]],INDEX(DataTitel_liste,LineærRegression_Valg[[#This Row],[Afhængig variabel ID]]),INDEX(DataTitel_liste,1))</f>
        <v>Eksempel 1 (interval)</v>
      </c>
      <c r="G438" s="171" t="str" cm="1">
        <f t="array" ref="G438">IF(LineærRegression_Valg[[#This Row],[Indenfor range]],IF(LineærRegression_Valg[[#This Row],[Intet overlap]],INDEX(DataTitel_liste,LineærRegression_Valg[[#This Row],[Uafhængig variabel ID]]),INDEX(DataTitel_liste,IF(LineærRegression_Valg[[#This Row],[Afhængig variabel ID]]=1,2,1))),$B$7)</f>
        <v>Eksempel 2 (interval)</v>
      </c>
      <c r="H438" s="171">
        <f>_xlfn.AGGREGATE(2,5,LineærRegression_Valg[[#This Row],[Tabel ID]])</f>
        <v>1</v>
      </c>
    </row>
    <row r="439" spans="1:8" x14ac:dyDescent="0.2">
      <c r="A439">
        <f>ROW(LineærRegression_Valg[[#This Row],[Tabel ID]])-ROW(LineærRegression_Valg[[#Headers],[Tabel ID]])</f>
        <v>429</v>
      </c>
      <c r="B439" s="171">
        <f>ROUNDDOWN((LineærRegression_Valg[[#This Row],[Tabel ID]]-1)/$B$5,0)+1</f>
        <v>108</v>
      </c>
      <c r="C439" s="171">
        <f t="shared" si="6"/>
        <v>1</v>
      </c>
      <c r="D439" s="171" t="b">
        <f>LineærRegression_Valg[[#This Row],[Afhængig variabel ID]]&lt;&gt;LineærRegression_Valg[[#This Row],[Uafhængig variabel ID]]</f>
        <v>1</v>
      </c>
      <c r="E439" t="b">
        <f>LineærRegression_Valg[[#This Row],[Afhængig variabel ID]]&lt;=$B$5</f>
        <v>0</v>
      </c>
      <c r="F439" t="str" cm="1">
        <f t="array" ref="F439">IF(LineærRegression_Valg[[#This Row],[Indenfor range]],INDEX(DataTitel_liste,LineærRegression_Valg[[#This Row],[Afhængig variabel ID]]),INDEX(DataTitel_liste,1))</f>
        <v>Eksempel 1 (interval)</v>
      </c>
      <c r="G439" s="171" t="str" cm="1">
        <f t="array" ref="G439">IF(LineærRegression_Valg[[#This Row],[Indenfor range]],IF(LineærRegression_Valg[[#This Row],[Intet overlap]],INDEX(DataTitel_liste,LineærRegression_Valg[[#This Row],[Uafhængig variabel ID]]),INDEX(DataTitel_liste,IF(LineærRegression_Valg[[#This Row],[Afhængig variabel ID]]=1,2,1))),$B$7)</f>
        <v>Eksempel 2 (interval)</v>
      </c>
      <c r="H439" s="171">
        <f>_xlfn.AGGREGATE(2,5,LineærRegression_Valg[[#This Row],[Tabel ID]])</f>
        <v>1</v>
      </c>
    </row>
    <row r="440" spans="1:8" x14ac:dyDescent="0.2">
      <c r="A440">
        <f>ROW(LineærRegression_Valg[[#This Row],[Tabel ID]])-ROW(LineærRegression_Valg[[#Headers],[Tabel ID]])</f>
        <v>430</v>
      </c>
      <c r="B440" s="171">
        <f>ROUNDDOWN((LineærRegression_Valg[[#This Row],[Tabel ID]]-1)/$B$5,0)+1</f>
        <v>108</v>
      </c>
      <c r="C440" s="171">
        <f t="shared" si="6"/>
        <v>2</v>
      </c>
      <c r="D440" s="171" t="b">
        <f>LineærRegression_Valg[[#This Row],[Afhængig variabel ID]]&lt;&gt;LineærRegression_Valg[[#This Row],[Uafhængig variabel ID]]</f>
        <v>1</v>
      </c>
      <c r="E440" t="b">
        <f>LineærRegression_Valg[[#This Row],[Afhængig variabel ID]]&lt;=$B$5</f>
        <v>0</v>
      </c>
      <c r="F440" t="str" cm="1">
        <f t="array" ref="F440">IF(LineærRegression_Valg[[#This Row],[Indenfor range]],INDEX(DataTitel_liste,LineærRegression_Valg[[#This Row],[Afhængig variabel ID]]),INDEX(DataTitel_liste,1))</f>
        <v>Eksempel 1 (interval)</v>
      </c>
      <c r="G440" s="171" t="str" cm="1">
        <f t="array" ref="G440">IF(LineærRegression_Valg[[#This Row],[Indenfor range]],IF(LineærRegression_Valg[[#This Row],[Intet overlap]],INDEX(DataTitel_liste,LineærRegression_Valg[[#This Row],[Uafhængig variabel ID]]),INDEX(DataTitel_liste,IF(LineærRegression_Valg[[#This Row],[Afhængig variabel ID]]=1,2,1))),$B$7)</f>
        <v>Eksempel 2 (interval)</v>
      </c>
      <c r="H440" s="171">
        <f>_xlfn.AGGREGATE(2,5,LineærRegression_Valg[[#This Row],[Tabel ID]])</f>
        <v>1</v>
      </c>
    </row>
    <row r="441" spans="1:8" x14ac:dyDescent="0.2">
      <c r="A441">
        <f>ROW(LineærRegression_Valg[[#This Row],[Tabel ID]])-ROW(LineærRegression_Valg[[#Headers],[Tabel ID]])</f>
        <v>431</v>
      </c>
      <c r="B441" s="171">
        <f>ROUNDDOWN((LineærRegression_Valg[[#This Row],[Tabel ID]]-1)/$B$5,0)+1</f>
        <v>108</v>
      </c>
      <c r="C441" s="171">
        <f t="shared" si="6"/>
        <v>3</v>
      </c>
      <c r="D441" s="171" t="b">
        <f>LineærRegression_Valg[[#This Row],[Afhængig variabel ID]]&lt;&gt;LineærRegression_Valg[[#This Row],[Uafhængig variabel ID]]</f>
        <v>1</v>
      </c>
      <c r="E441" t="b">
        <f>LineærRegression_Valg[[#This Row],[Afhængig variabel ID]]&lt;=$B$5</f>
        <v>0</v>
      </c>
      <c r="F441" t="str" cm="1">
        <f t="array" ref="F441">IF(LineærRegression_Valg[[#This Row],[Indenfor range]],INDEX(DataTitel_liste,LineærRegression_Valg[[#This Row],[Afhængig variabel ID]]),INDEX(DataTitel_liste,1))</f>
        <v>Eksempel 1 (interval)</v>
      </c>
      <c r="G441" s="171" t="str" cm="1">
        <f t="array" ref="G441">IF(LineærRegression_Valg[[#This Row],[Indenfor range]],IF(LineærRegression_Valg[[#This Row],[Intet overlap]],INDEX(DataTitel_liste,LineærRegression_Valg[[#This Row],[Uafhængig variabel ID]]),INDEX(DataTitel_liste,IF(LineærRegression_Valg[[#This Row],[Afhængig variabel ID]]=1,2,1))),$B$7)</f>
        <v>Eksempel 2 (interval)</v>
      </c>
      <c r="H441" s="171">
        <f>_xlfn.AGGREGATE(2,5,LineærRegression_Valg[[#This Row],[Tabel ID]])</f>
        <v>1</v>
      </c>
    </row>
    <row r="442" spans="1:8" x14ac:dyDescent="0.2">
      <c r="A442">
        <f>ROW(LineærRegression_Valg[[#This Row],[Tabel ID]])-ROW(LineærRegression_Valg[[#Headers],[Tabel ID]])</f>
        <v>432</v>
      </c>
      <c r="B442" s="171">
        <f>ROUNDDOWN((LineærRegression_Valg[[#This Row],[Tabel ID]]-1)/$B$5,0)+1</f>
        <v>108</v>
      </c>
      <c r="C442" s="171">
        <f t="shared" si="6"/>
        <v>4</v>
      </c>
      <c r="D442" s="171" t="b">
        <f>LineærRegression_Valg[[#This Row],[Afhængig variabel ID]]&lt;&gt;LineærRegression_Valg[[#This Row],[Uafhængig variabel ID]]</f>
        <v>1</v>
      </c>
      <c r="E442" t="b">
        <f>LineærRegression_Valg[[#This Row],[Afhængig variabel ID]]&lt;=$B$5</f>
        <v>0</v>
      </c>
      <c r="F442" t="str" cm="1">
        <f t="array" ref="F442">IF(LineærRegression_Valg[[#This Row],[Indenfor range]],INDEX(DataTitel_liste,LineærRegression_Valg[[#This Row],[Afhængig variabel ID]]),INDEX(DataTitel_liste,1))</f>
        <v>Eksempel 1 (interval)</v>
      </c>
      <c r="G442" s="171" t="str" cm="1">
        <f t="array" ref="G442">IF(LineærRegression_Valg[[#This Row],[Indenfor range]],IF(LineærRegression_Valg[[#This Row],[Intet overlap]],INDEX(DataTitel_liste,LineærRegression_Valg[[#This Row],[Uafhængig variabel ID]]),INDEX(DataTitel_liste,IF(LineærRegression_Valg[[#This Row],[Afhængig variabel ID]]=1,2,1))),$B$7)</f>
        <v>Eksempel 2 (interval)</v>
      </c>
      <c r="H442" s="171">
        <f>_xlfn.AGGREGATE(2,5,LineærRegression_Valg[[#This Row],[Tabel ID]])</f>
        <v>1</v>
      </c>
    </row>
    <row r="443" spans="1:8" x14ac:dyDescent="0.2">
      <c r="A443">
        <f>ROW(LineærRegression_Valg[[#This Row],[Tabel ID]])-ROW(LineærRegression_Valg[[#Headers],[Tabel ID]])</f>
        <v>433</v>
      </c>
      <c r="B443" s="171">
        <f>ROUNDDOWN((LineærRegression_Valg[[#This Row],[Tabel ID]]-1)/$B$5,0)+1</f>
        <v>109</v>
      </c>
      <c r="C443" s="171">
        <f t="shared" si="6"/>
        <v>1</v>
      </c>
      <c r="D443" s="171" t="b">
        <f>LineærRegression_Valg[[#This Row],[Afhængig variabel ID]]&lt;&gt;LineærRegression_Valg[[#This Row],[Uafhængig variabel ID]]</f>
        <v>1</v>
      </c>
      <c r="E443" t="b">
        <f>LineærRegression_Valg[[#This Row],[Afhængig variabel ID]]&lt;=$B$5</f>
        <v>0</v>
      </c>
      <c r="F443" t="str" cm="1">
        <f t="array" ref="F443">IF(LineærRegression_Valg[[#This Row],[Indenfor range]],INDEX(DataTitel_liste,LineærRegression_Valg[[#This Row],[Afhængig variabel ID]]),INDEX(DataTitel_liste,1))</f>
        <v>Eksempel 1 (interval)</v>
      </c>
      <c r="G443" s="171" t="str" cm="1">
        <f t="array" ref="G443">IF(LineærRegression_Valg[[#This Row],[Indenfor range]],IF(LineærRegression_Valg[[#This Row],[Intet overlap]],INDEX(DataTitel_liste,LineærRegression_Valg[[#This Row],[Uafhængig variabel ID]]),INDEX(DataTitel_liste,IF(LineærRegression_Valg[[#This Row],[Afhængig variabel ID]]=1,2,1))),$B$7)</f>
        <v>Eksempel 2 (interval)</v>
      </c>
      <c r="H443" s="171">
        <f>_xlfn.AGGREGATE(2,5,LineærRegression_Valg[[#This Row],[Tabel ID]])</f>
        <v>1</v>
      </c>
    </row>
    <row r="444" spans="1:8" x14ac:dyDescent="0.2">
      <c r="A444">
        <f>ROW(LineærRegression_Valg[[#This Row],[Tabel ID]])-ROW(LineærRegression_Valg[[#Headers],[Tabel ID]])</f>
        <v>434</v>
      </c>
      <c r="B444" s="171">
        <f>ROUNDDOWN((LineærRegression_Valg[[#This Row],[Tabel ID]]-1)/$B$5,0)+1</f>
        <v>109</v>
      </c>
      <c r="C444" s="171">
        <f t="shared" si="6"/>
        <v>2</v>
      </c>
      <c r="D444" s="171" t="b">
        <f>LineærRegression_Valg[[#This Row],[Afhængig variabel ID]]&lt;&gt;LineærRegression_Valg[[#This Row],[Uafhængig variabel ID]]</f>
        <v>1</v>
      </c>
      <c r="E444" t="b">
        <f>LineærRegression_Valg[[#This Row],[Afhængig variabel ID]]&lt;=$B$5</f>
        <v>0</v>
      </c>
      <c r="F444" t="str" cm="1">
        <f t="array" ref="F444">IF(LineærRegression_Valg[[#This Row],[Indenfor range]],INDEX(DataTitel_liste,LineærRegression_Valg[[#This Row],[Afhængig variabel ID]]),INDEX(DataTitel_liste,1))</f>
        <v>Eksempel 1 (interval)</v>
      </c>
      <c r="G444" s="171" t="str" cm="1">
        <f t="array" ref="G444">IF(LineærRegression_Valg[[#This Row],[Indenfor range]],IF(LineærRegression_Valg[[#This Row],[Intet overlap]],INDEX(DataTitel_liste,LineærRegression_Valg[[#This Row],[Uafhængig variabel ID]]),INDEX(DataTitel_liste,IF(LineærRegression_Valg[[#This Row],[Afhængig variabel ID]]=1,2,1))),$B$7)</f>
        <v>Eksempel 2 (interval)</v>
      </c>
      <c r="H444" s="171">
        <f>_xlfn.AGGREGATE(2,5,LineærRegression_Valg[[#This Row],[Tabel ID]])</f>
        <v>1</v>
      </c>
    </row>
    <row r="445" spans="1:8" x14ac:dyDescent="0.2">
      <c r="A445">
        <f>ROW(LineærRegression_Valg[[#This Row],[Tabel ID]])-ROW(LineærRegression_Valg[[#Headers],[Tabel ID]])</f>
        <v>435</v>
      </c>
      <c r="B445" s="171">
        <f>ROUNDDOWN((LineærRegression_Valg[[#This Row],[Tabel ID]]-1)/$B$5,0)+1</f>
        <v>109</v>
      </c>
      <c r="C445" s="171">
        <f t="shared" si="6"/>
        <v>3</v>
      </c>
      <c r="D445" s="171" t="b">
        <f>LineærRegression_Valg[[#This Row],[Afhængig variabel ID]]&lt;&gt;LineærRegression_Valg[[#This Row],[Uafhængig variabel ID]]</f>
        <v>1</v>
      </c>
      <c r="E445" t="b">
        <f>LineærRegression_Valg[[#This Row],[Afhængig variabel ID]]&lt;=$B$5</f>
        <v>0</v>
      </c>
      <c r="F445" t="str" cm="1">
        <f t="array" ref="F445">IF(LineærRegression_Valg[[#This Row],[Indenfor range]],INDEX(DataTitel_liste,LineærRegression_Valg[[#This Row],[Afhængig variabel ID]]),INDEX(DataTitel_liste,1))</f>
        <v>Eksempel 1 (interval)</v>
      </c>
      <c r="G445" s="171" t="str" cm="1">
        <f t="array" ref="G445">IF(LineærRegression_Valg[[#This Row],[Indenfor range]],IF(LineærRegression_Valg[[#This Row],[Intet overlap]],INDEX(DataTitel_liste,LineærRegression_Valg[[#This Row],[Uafhængig variabel ID]]),INDEX(DataTitel_liste,IF(LineærRegression_Valg[[#This Row],[Afhængig variabel ID]]=1,2,1))),$B$7)</f>
        <v>Eksempel 2 (interval)</v>
      </c>
      <c r="H445" s="171">
        <f>_xlfn.AGGREGATE(2,5,LineærRegression_Valg[[#This Row],[Tabel ID]])</f>
        <v>1</v>
      </c>
    </row>
    <row r="446" spans="1:8" x14ac:dyDescent="0.2">
      <c r="A446">
        <f>ROW(LineærRegression_Valg[[#This Row],[Tabel ID]])-ROW(LineærRegression_Valg[[#Headers],[Tabel ID]])</f>
        <v>436</v>
      </c>
      <c r="B446" s="171">
        <f>ROUNDDOWN((LineærRegression_Valg[[#This Row],[Tabel ID]]-1)/$B$5,0)+1</f>
        <v>109</v>
      </c>
      <c r="C446" s="171">
        <f t="shared" si="6"/>
        <v>4</v>
      </c>
      <c r="D446" s="171" t="b">
        <f>LineærRegression_Valg[[#This Row],[Afhængig variabel ID]]&lt;&gt;LineærRegression_Valg[[#This Row],[Uafhængig variabel ID]]</f>
        <v>1</v>
      </c>
      <c r="E446" t="b">
        <f>LineærRegression_Valg[[#This Row],[Afhængig variabel ID]]&lt;=$B$5</f>
        <v>0</v>
      </c>
      <c r="F446" t="str" cm="1">
        <f t="array" ref="F446">IF(LineærRegression_Valg[[#This Row],[Indenfor range]],INDEX(DataTitel_liste,LineærRegression_Valg[[#This Row],[Afhængig variabel ID]]),INDEX(DataTitel_liste,1))</f>
        <v>Eksempel 1 (interval)</v>
      </c>
      <c r="G446" s="171" t="str" cm="1">
        <f t="array" ref="G446">IF(LineærRegression_Valg[[#This Row],[Indenfor range]],IF(LineærRegression_Valg[[#This Row],[Intet overlap]],INDEX(DataTitel_liste,LineærRegression_Valg[[#This Row],[Uafhængig variabel ID]]),INDEX(DataTitel_liste,IF(LineærRegression_Valg[[#This Row],[Afhængig variabel ID]]=1,2,1))),$B$7)</f>
        <v>Eksempel 2 (interval)</v>
      </c>
      <c r="H446" s="171">
        <f>_xlfn.AGGREGATE(2,5,LineærRegression_Valg[[#This Row],[Tabel ID]])</f>
        <v>1</v>
      </c>
    </row>
    <row r="447" spans="1:8" x14ac:dyDescent="0.2">
      <c r="A447">
        <f>ROW(LineærRegression_Valg[[#This Row],[Tabel ID]])-ROW(LineærRegression_Valg[[#Headers],[Tabel ID]])</f>
        <v>437</v>
      </c>
      <c r="B447" s="171">
        <f>ROUNDDOWN((LineærRegression_Valg[[#This Row],[Tabel ID]]-1)/$B$5,0)+1</f>
        <v>110</v>
      </c>
      <c r="C447" s="171">
        <f t="shared" si="6"/>
        <v>1</v>
      </c>
      <c r="D447" s="171" t="b">
        <f>LineærRegression_Valg[[#This Row],[Afhængig variabel ID]]&lt;&gt;LineærRegression_Valg[[#This Row],[Uafhængig variabel ID]]</f>
        <v>1</v>
      </c>
      <c r="E447" t="b">
        <f>LineærRegression_Valg[[#This Row],[Afhængig variabel ID]]&lt;=$B$5</f>
        <v>0</v>
      </c>
      <c r="F447" t="str" cm="1">
        <f t="array" ref="F447">IF(LineærRegression_Valg[[#This Row],[Indenfor range]],INDEX(DataTitel_liste,LineærRegression_Valg[[#This Row],[Afhængig variabel ID]]),INDEX(DataTitel_liste,1))</f>
        <v>Eksempel 1 (interval)</v>
      </c>
      <c r="G447" s="171" t="str" cm="1">
        <f t="array" ref="G447">IF(LineærRegression_Valg[[#This Row],[Indenfor range]],IF(LineærRegression_Valg[[#This Row],[Intet overlap]],INDEX(DataTitel_liste,LineærRegression_Valg[[#This Row],[Uafhængig variabel ID]]),INDEX(DataTitel_liste,IF(LineærRegression_Valg[[#This Row],[Afhængig variabel ID]]=1,2,1))),$B$7)</f>
        <v>Eksempel 2 (interval)</v>
      </c>
      <c r="H447" s="171">
        <f>_xlfn.AGGREGATE(2,5,LineærRegression_Valg[[#This Row],[Tabel ID]])</f>
        <v>1</v>
      </c>
    </row>
    <row r="448" spans="1:8" x14ac:dyDescent="0.2">
      <c r="A448">
        <f>ROW(LineærRegression_Valg[[#This Row],[Tabel ID]])-ROW(LineærRegression_Valg[[#Headers],[Tabel ID]])</f>
        <v>438</v>
      </c>
      <c r="B448" s="171">
        <f>ROUNDDOWN((LineærRegression_Valg[[#This Row],[Tabel ID]]-1)/$B$5,0)+1</f>
        <v>110</v>
      </c>
      <c r="C448" s="171">
        <f t="shared" si="6"/>
        <v>2</v>
      </c>
      <c r="D448" s="171" t="b">
        <f>LineærRegression_Valg[[#This Row],[Afhængig variabel ID]]&lt;&gt;LineærRegression_Valg[[#This Row],[Uafhængig variabel ID]]</f>
        <v>1</v>
      </c>
      <c r="E448" t="b">
        <f>LineærRegression_Valg[[#This Row],[Afhængig variabel ID]]&lt;=$B$5</f>
        <v>0</v>
      </c>
      <c r="F448" t="str" cm="1">
        <f t="array" ref="F448">IF(LineærRegression_Valg[[#This Row],[Indenfor range]],INDEX(DataTitel_liste,LineærRegression_Valg[[#This Row],[Afhængig variabel ID]]),INDEX(DataTitel_liste,1))</f>
        <v>Eksempel 1 (interval)</v>
      </c>
      <c r="G448" s="171" t="str" cm="1">
        <f t="array" ref="G448">IF(LineærRegression_Valg[[#This Row],[Indenfor range]],IF(LineærRegression_Valg[[#This Row],[Intet overlap]],INDEX(DataTitel_liste,LineærRegression_Valg[[#This Row],[Uafhængig variabel ID]]),INDEX(DataTitel_liste,IF(LineærRegression_Valg[[#This Row],[Afhængig variabel ID]]=1,2,1))),$B$7)</f>
        <v>Eksempel 2 (interval)</v>
      </c>
      <c r="H448" s="171">
        <f>_xlfn.AGGREGATE(2,5,LineærRegression_Valg[[#This Row],[Tabel ID]])</f>
        <v>1</v>
      </c>
    </row>
    <row r="449" spans="1:8" x14ac:dyDescent="0.2">
      <c r="A449">
        <f>ROW(LineærRegression_Valg[[#This Row],[Tabel ID]])-ROW(LineærRegression_Valg[[#Headers],[Tabel ID]])</f>
        <v>439</v>
      </c>
      <c r="B449" s="171">
        <f>ROUNDDOWN((LineærRegression_Valg[[#This Row],[Tabel ID]]-1)/$B$5,0)+1</f>
        <v>110</v>
      </c>
      <c r="C449" s="171">
        <f t="shared" si="6"/>
        <v>3</v>
      </c>
      <c r="D449" s="171" t="b">
        <f>LineærRegression_Valg[[#This Row],[Afhængig variabel ID]]&lt;&gt;LineærRegression_Valg[[#This Row],[Uafhængig variabel ID]]</f>
        <v>1</v>
      </c>
      <c r="E449" t="b">
        <f>LineærRegression_Valg[[#This Row],[Afhængig variabel ID]]&lt;=$B$5</f>
        <v>0</v>
      </c>
      <c r="F449" t="str" cm="1">
        <f t="array" ref="F449">IF(LineærRegression_Valg[[#This Row],[Indenfor range]],INDEX(DataTitel_liste,LineærRegression_Valg[[#This Row],[Afhængig variabel ID]]),INDEX(DataTitel_liste,1))</f>
        <v>Eksempel 1 (interval)</v>
      </c>
      <c r="G449" s="171" t="str" cm="1">
        <f t="array" ref="G449">IF(LineærRegression_Valg[[#This Row],[Indenfor range]],IF(LineærRegression_Valg[[#This Row],[Intet overlap]],INDEX(DataTitel_liste,LineærRegression_Valg[[#This Row],[Uafhængig variabel ID]]),INDEX(DataTitel_liste,IF(LineærRegression_Valg[[#This Row],[Afhængig variabel ID]]=1,2,1))),$B$7)</f>
        <v>Eksempel 2 (interval)</v>
      </c>
      <c r="H449" s="171">
        <f>_xlfn.AGGREGATE(2,5,LineærRegression_Valg[[#This Row],[Tabel ID]])</f>
        <v>1</v>
      </c>
    </row>
    <row r="450" spans="1:8" x14ac:dyDescent="0.2">
      <c r="A450">
        <f>ROW(LineærRegression_Valg[[#This Row],[Tabel ID]])-ROW(LineærRegression_Valg[[#Headers],[Tabel ID]])</f>
        <v>440</v>
      </c>
      <c r="B450" s="171">
        <f>ROUNDDOWN((LineærRegression_Valg[[#This Row],[Tabel ID]]-1)/$B$5,0)+1</f>
        <v>110</v>
      </c>
      <c r="C450" s="171">
        <f t="shared" si="6"/>
        <v>4</v>
      </c>
      <c r="D450" s="171" t="b">
        <f>LineærRegression_Valg[[#This Row],[Afhængig variabel ID]]&lt;&gt;LineærRegression_Valg[[#This Row],[Uafhængig variabel ID]]</f>
        <v>1</v>
      </c>
      <c r="E450" t="b">
        <f>LineærRegression_Valg[[#This Row],[Afhængig variabel ID]]&lt;=$B$5</f>
        <v>0</v>
      </c>
      <c r="F450" t="str" cm="1">
        <f t="array" ref="F450">IF(LineærRegression_Valg[[#This Row],[Indenfor range]],INDEX(DataTitel_liste,LineærRegression_Valg[[#This Row],[Afhængig variabel ID]]),INDEX(DataTitel_liste,1))</f>
        <v>Eksempel 1 (interval)</v>
      </c>
      <c r="G450" s="171" t="str" cm="1">
        <f t="array" ref="G450">IF(LineærRegression_Valg[[#This Row],[Indenfor range]],IF(LineærRegression_Valg[[#This Row],[Intet overlap]],INDEX(DataTitel_liste,LineærRegression_Valg[[#This Row],[Uafhængig variabel ID]]),INDEX(DataTitel_liste,IF(LineærRegression_Valg[[#This Row],[Afhængig variabel ID]]=1,2,1))),$B$7)</f>
        <v>Eksempel 2 (interval)</v>
      </c>
      <c r="H450" s="171">
        <f>_xlfn.AGGREGATE(2,5,LineærRegression_Valg[[#This Row],[Tabel ID]])</f>
        <v>1</v>
      </c>
    </row>
    <row r="451" spans="1:8" x14ac:dyDescent="0.2">
      <c r="A451">
        <f>ROW(LineærRegression_Valg[[#This Row],[Tabel ID]])-ROW(LineærRegression_Valg[[#Headers],[Tabel ID]])</f>
        <v>441</v>
      </c>
      <c r="B451" s="171">
        <f>ROUNDDOWN((LineærRegression_Valg[[#This Row],[Tabel ID]]-1)/$B$5,0)+1</f>
        <v>111</v>
      </c>
      <c r="C451" s="171">
        <f t="shared" si="6"/>
        <v>1</v>
      </c>
      <c r="D451" s="171" t="b">
        <f>LineærRegression_Valg[[#This Row],[Afhængig variabel ID]]&lt;&gt;LineærRegression_Valg[[#This Row],[Uafhængig variabel ID]]</f>
        <v>1</v>
      </c>
      <c r="E451" t="b">
        <f>LineærRegression_Valg[[#This Row],[Afhængig variabel ID]]&lt;=$B$5</f>
        <v>0</v>
      </c>
      <c r="F451" t="str" cm="1">
        <f t="array" ref="F451">IF(LineærRegression_Valg[[#This Row],[Indenfor range]],INDEX(DataTitel_liste,LineærRegression_Valg[[#This Row],[Afhængig variabel ID]]),INDEX(DataTitel_liste,1))</f>
        <v>Eksempel 1 (interval)</v>
      </c>
      <c r="G451" s="171" t="str" cm="1">
        <f t="array" ref="G451">IF(LineærRegression_Valg[[#This Row],[Indenfor range]],IF(LineærRegression_Valg[[#This Row],[Intet overlap]],INDEX(DataTitel_liste,LineærRegression_Valg[[#This Row],[Uafhængig variabel ID]]),INDEX(DataTitel_liste,IF(LineærRegression_Valg[[#This Row],[Afhængig variabel ID]]=1,2,1))),$B$7)</f>
        <v>Eksempel 2 (interval)</v>
      </c>
      <c r="H451" s="171">
        <f>_xlfn.AGGREGATE(2,5,LineærRegression_Valg[[#This Row],[Tabel ID]])</f>
        <v>1</v>
      </c>
    </row>
    <row r="452" spans="1:8" x14ac:dyDescent="0.2">
      <c r="A452">
        <f>ROW(LineærRegression_Valg[[#This Row],[Tabel ID]])-ROW(LineærRegression_Valg[[#Headers],[Tabel ID]])</f>
        <v>442</v>
      </c>
      <c r="B452" s="171">
        <f>ROUNDDOWN((LineærRegression_Valg[[#This Row],[Tabel ID]]-1)/$B$5,0)+1</f>
        <v>111</v>
      </c>
      <c r="C452" s="171">
        <f t="shared" si="6"/>
        <v>2</v>
      </c>
      <c r="D452" s="171" t="b">
        <f>LineærRegression_Valg[[#This Row],[Afhængig variabel ID]]&lt;&gt;LineærRegression_Valg[[#This Row],[Uafhængig variabel ID]]</f>
        <v>1</v>
      </c>
      <c r="E452" t="b">
        <f>LineærRegression_Valg[[#This Row],[Afhængig variabel ID]]&lt;=$B$5</f>
        <v>0</v>
      </c>
      <c r="F452" t="str" cm="1">
        <f t="array" ref="F452">IF(LineærRegression_Valg[[#This Row],[Indenfor range]],INDEX(DataTitel_liste,LineærRegression_Valg[[#This Row],[Afhængig variabel ID]]),INDEX(DataTitel_liste,1))</f>
        <v>Eksempel 1 (interval)</v>
      </c>
      <c r="G452" s="171" t="str" cm="1">
        <f t="array" ref="G452">IF(LineærRegression_Valg[[#This Row],[Indenfor range]],IF(LineærRegression_Valg[[#This Row],[Intet overlap]],INDEX(DataTitel_liste,LineærRegression_Valg[[#This Row],[Uafhængig variabel ID]]),INDEX(DataTitel_liste,IF(LineærRegression_Valg[[#This Row],[Afhængig variabel ID]]=1,2,1))),$B$7)</f>
        <v>Eksempel 2 (interval)</v>
      </c>
      <c r="H452" s="171">
        <f>_xlfn.AGGREGATE(2,5,LineærRegression_Valg[[#This Row],[Tabel ID]])</f>
        <v>1</v>
      </c>
    </row>
    <row r="453" spans="1:8" x14ac:dyDescent="0.2">
      <c r="A453">
        <f>ROW(LineærRegression_Valg[[#This Row],[Tabel ID]])-ROW(LineærRegression_Valg[[#Headers],[Tabel ID]])</f>
        <v>443</v>
      </c>
      <c r="B453" s="171">
        <f>ROUNDDOWN((LineærRegression_Valg[[#This Row],[Tabel ID]]-1)/$B$5,0)+1</f>
        <v>111</v>
      </c>
      <c r="C453" s="171">
        <f t="shared" si="6"/>
        <v>3</v>
      </c>
      <c r="D453" s="171" t="b">
        <f>LineærRegression_Valg[[#This Row],[Afhængig variabel ID]]&lt;&gt;LineærRegression_Valg[[#This Row],[Uafhængig variabel ID]]</f>
        <v>1</v>
      </c>
      <c r="E453" t="b">
        <f>LineærRegression_Valg[[#This Row],[Afhængig variabel ID]]&lt;=$B$5</f>
        <v>0</v>
      </c>
      <c r="F453" t="str" cm="1">
        <f t="array" ref="F453">IF(LineærRegression_Valg[[#This Row],[Indenfor range]],INDEX(DataTitel_liste,LineærRegression_Valg[[#This Row],[Afhængig variabel ID]]),INDEX(DataTitel_liste,1))</f>
        <v>Eksempel 1 (interval)</v>
      </c>
      <c r="G453" s="171" t="str" cm="1">
        <f t="array" ref="G453">IF(LineærRegression_Valg[[#This Row],[Indenfor range]],IF(LineærRegression_Valg[[#This Row],[Intet overlap]],INDEX(DataTitel_liste,LineærRegression_Valg[[#This Row],[Uafhængig variabel ID]]),INDEX(DataTitel_liste,IF(LineærRegression_Valg[[#This Row],[Afhængig variabel ID]]=1,2,1))),$B$7)</f>
        <v>Eksempel 2 (interval)</v>
      </c>
      <c r="H453" s="171">
        <f>_xlfn.AGGREGATE(2,5,LineærRegression_Valg[[#This Row],[Tabel ID]])</f>
        <v>1</v>
      </c>
    </row>
    <row r="454" spans="1:8" x14ac:dyDescent="0.2">
      <c r="A454">
        <f>ROW(LineærRegression_Valg[[#This Row],[Tabel ID]])-ROW(LineærRegression_Valg[[#Headers],[Tabel ID]])</f>
        <v>444</v>
      </c>
      <c r="B454" s="171">
        <f>ROUNDDOWN((LineærRegression_Valg[[#This Row],[Tabel ID]]-1)/$B$5,0)+1</f>
        <v>111</v>
      </c>
      <c r="C454" s="171">
        <f t="shared" si="6"/>
        <v>4</v>
      </c>
      <c r="D454" s="171" t="b">
        <f>LineærRegression_Valg[[#This Row],[Afhængig variabel ID]]&lt;&gt;LineærRegression_Valg[[#This Row],[Uafhængig variabel ID]]</f>
        <v>1</v>
      </c>
      <c r="E454" t="b">
        <f>LineærRegression_Valg[[#This Row],[Afhængig variabel ID]]&lt;=$B$5</f>
        <v>0</v>
      </c>
      <c r="F454" t="str" cm="1">
        <f t="array" ref="F454">IF(LineærRegression_Valg[[#This Row],[Indenfor range]],INDEX(DataTitel_liste,LineærRegression_Valg[[#This Row],[Afhængig variabel ID]]),INDEX(DataTitel_liste,1))</f>
        <v>Eksempel 1 (interval)</v>
      </c>
      <c r="G454" s="171" t="str" cm="1">
        <f t="array" ref="G454">IF(LineærRegression_Valg[[#This Row],[Indenfor range]],IF(LineærRegression_Valg[[#This Row],[Intet overlap]],INDEX(DataTitel_liste,LineærRegression_Valg[[#This Row],[Uafhængig variabel ID]]),INDEX(DataTitel_liste,IF(LineærRegression_Valg[[#This Row],[Afhængig variabel ID]]=1,2,1))),$B$7)</f>
        <v>Eksempel 2 (interval)</v>
      </c>
      <c r="H454" s="171">
        <f>_xlfn.AGGREGATE(2,5,LineærRegression_Valg[[#This Row],[Tabel ID]])</f>
        <v>1</v>
      </c>
    </row>
    <row r="455" spans="1:8" x14ac:dyDescent="0.2">
      <c r="A455">
        <f>ROW(LineærRegression_Valg[[#This Row],[Tabel ID]])-ROW(LineærRegression_Valg[[#Headers],[Tabel ID]])</f>
        <v>445</v>
      </c>
      <c r="B455" s="171">
        <f>ROUNDDOWN((LineærRegression_Valg[[#This Row],[Tabel ID]]-1)/$B$5,0)+1</f>
        <v>112</v>
      </c>
      <c r="C455" s="171">
        <f t="shared" si="6"/>
        <v>1</v>
      </c>
      <c r="D455" s="171" t="b">
        <f>LineærRegression_Valg[[#This Row],[Afhængig variabel ID]]&lt;&gt;LineærRegression_Valg[[#This Row],[Uafhængig variabel ID]]</f>
        <v>1</v>
      </c>
      <c r="E455" t="b">
        <f>LineærRegression_Valg[[#This Row],[Afhængig variabel ID]]&lt;=$B$5</f>
        <v>0</v>
      </c>
      <c r="F455" t="str" cm="1">
        <f t="array" ref="F455">IF(LineærRegression_Valg[[#This Row],[Indenfor range]],INDEX(DataTitel_liste,LineærRegression_Valg[[#This Row],[Afhængig variabel ID]]),INDEX(DataTitel_liste,1))</f>
        <v>Eksempel 1 (interval)</v>
      </c>
      <c r="G455" s="171" t="str" cm="1">
        <f t="array" ref="G455">IF(LineærRegression_Valg[[#This Row],[Indenfor range]],IF(LineærRegression_Valg[[#This Row],[Intet overlap]],INDEX(DataTitel_liste,LineærRegression_Valg[[#This Row],[Uafhængig variabel ID]]),INDEX(DataTitel_liste,IF(LineærRegression_Valg[[#This Row],[Afhængig variabel ID]]=1,2,1))),$B$7)</f>
        <v>Eksempel 2 (interval)</v>
      </c>
      <c r="H455" s="171">
        <f>_xlfn.AGGREGATE(2,5,LineærRegression_Valg[[#This Row],[Tabel ID]])</f>
        <v>1</v>
      </c>
    </row>
    <row r="456" spans="1:8" x14ac:dyDescent="0.2">
      <c r="A456">
        <f>ROW(LineærRegression_Valg[[#This Row],[Tabel ID]])-ROW(LineærRegression_Valg[[#Headers],[Tabel ID]])</f>
        <v>446</v>
      </c>
      <c r="B456" s="171">
        <f>ROUNDDOWN((LineærRegression_Valg[[#This Row],[Tabel ID]]-1)/$B$5,0)+1</f>
        <v>112</v>
      </c>
      <c r="C456" s="171">
        <f t="shared" si="6"/>
        <v>2</v>
      </c>
      <c r="D456" s="171" t="b">
        <f>LineærRegression_Valg[[#This Row],[Afhængig variabel ID]]&lt;&gt;LineærRegression_Valg[[#This Row],[Uafhængig variabel ID]]</f>
        <v>1</v>
      </c>
      <c r="E456" t="b">
        <f>LineærRegression_Valg[[#This Row],[Afhængig variabel ID]]&lt;=$B$5</f>
        <v>0</v>
      </c>
      <c r="F456" t="str" cm="1">
        <f t="array" ref="F456">IF(LineærRegression_Valg[[#This Row],[Indenfor range]],INDEX(DataTitel_liste,LineærRegression_Valg[[#This Row],[Afhængig variabel ID]]),INDEX(DataTitel_liste,1))</f>
        <v>Eksempel 1 (interval)</v>
      </c>
      <c r="G456" s="171" t="str" cm="1">
        <f t="array" ref="G456">IF(LineærRegression_Valg[[#This Row],[Indenfor range]],IF(LineærRegression_Valg[[#This Row],[Intet overlap]],INDEX(DataTitel_liste,LineærRegression_Valg[[#This Row],[Uafhængig variabel ID]]),INDEX(DataTitel_liste,IF(LineærRegression_Valg[[#This Row],[Afhængig variabel ID]]=1,2,1))),$B$7)</f>
        <v>Eksempel 2 (interval)</v>
      </c>
      <c r="H456" s="171">
        <f>_xlfn.AGGREGATE(2,5,LineærRegression_Valg[[#This Row],[Tabel ID]])</f>
        <v>1</v>
      </c>
    </row>
    <row r="457" spans="1:8" x14ac:dyDescent="0.2">
      <c r="A457">
        <f>ROW(LineærRegression_Valg[[#This Row],[Tabel ID]])-ROW(LineærRegression_Valg[[#Headers],[Tabel ID]])</f>
        <v>447</v>
      </c>
      <c r="B457" s="171">
        <f>ROUNDDOWN((LineærRegression_Valg[[#This Row],[Tabel ID]]-1)/$B$5,0)+1</f>
        <v>112</v>
      </c>
      <c r="C457" s="171">
        <f t="shared" si="6"/>
        <v>3</v>
      </c>
      <c r="D457" s="171" t="b">
        <f>LineærRegression_Valg[[#This Row],[Afhængig variabel ID]]&lt;&gt;LineærRegression_Valg[[#This Row],[Uafhængig variabel ID]]</f>
        <v>1</v>
      </c>
      <c r="E457" t="b">
        <f>LineærRegression_Valg[[#This Row],[Afhængig variabel ID]]&lt;=$B$5</f>
        <v>0</v>
      </c>
      <c r="F457" t="str" cm="1">
        <f t="array" ref="F457">IF(LineærRegression_Valg[[#This Row],[Indenfor range]],INDEX(DataTitel_liste,LineærRegression_Valg[[#This Row],[Afhængig variabel ID]]),INDEX(DataTitel_liste,1))</f>
        <v>Eksempel 1 (interval)</v>
      </c>
      <c r="G457" s="171" t="str" cm="1">
        <f t="array" ref="G457">IF(LineærRegression_Valg[[#This Row],[Indenfor range]],IF(LineærRegression_Valg[[#This Row],[Intet overlap]],INDEX(DataTitel_liste,LineærRegression_Valg[[#This Row],[Uafhængig variabel ID]]),INDEX(DataTitel_liste,IF(LineærRegression_Valg[[#This Row],[Afhængig variabel ID]]=1,2,1))),$B$7)</f>
        <v>Eksempel 2 (interval)</v>
      </c>
      <c r="H457" s="171">
        <f>_xlfn.AGGREGATE(2,5,LineærRegression_Valg[[#This Row],[Tabel ID]])</f>
        <v>1</v>
      </c>
    </row>
    <row r="458" spans="1:8" x14ac:dyDescent="0.2">
      <c r="A458">
        <f>ROW(LineærRegression_Valg[[#This Row],[Tabel ID]])-ROW(LineærRegression_Valg[[#Headers],[Tabel ID]])</f>
        <v>448</v>
      </c>
      <c r="B458" s="171">
        <f>ROUNDDOWN((LineærRegression_Valg[[#This Row],[Tabel ID]]-1)/$B$5,0)+1</f>
        <v>112</v>
      </c>
      <c r="C458" s="171">
        <f t="shared" si="6"/>
        <v>4</v>
      </c>
      <c r="D458" s="171" t="b">
        <f>LineærRegression_Valg[[#This Row],[Afhængig variabel ID]]&lt;&gt;LineærRegression_Valg[[#This Row],[Uafhængig variabel ID]]</f>
        <v>1</v>
      </c>
      <c r="E458" t="b">
        <f>LineærRegression_Valg[[#This Row],[Afhængig variabel ID]]&lt;=$B$5</f>
        <v>0</v>
      </c>
      <c r="F458" t="str" cm="1">
        <f t="array" ref="F458">IF(LineærRegression_Valg[[#This Row],[Indenfor range]],INDEX(DataTitel_liste,LineærRegression_Valg[[#This Row],[Afhængig variabel ID]]),INDEX(DataTitel_liste,1))</f>
        <v>Eksempel 1 (interval)</v>
      </c>
      <c r="G458" s="171" t="str" cm="1">
        <f t="array" ref="G458">IF(LineærRegression_Valg[[#This Row],[Indenfor range]],IF(LineærRegression_Valg[[#This Row],[Intet overlap]],INDEX(DataTitel_liste,LineærRegression_Valg[[#This Row],[Uafhængig variabel ID]]),INDEX(DataTitel_liste,IF(LineærRegression_Valg[[#This Row],[Afhængig variabel ID]]=1,2,1))),$B$7)</f>
        <v>Eksempel 2 (interval)</v>
      </c>
      <c r="H458" s="171">
        <f>_xlfn.AGGREGATE(2,5,LineærRegression_Valg[[#This Row],[Tabel ID]])</f>
        <v>1</v>
      </c>
    </row>
    <row r="459" spans="1:8" x14ac:dyDescent="0.2">
      <c r="A459">
        <f>ROW(LineærRegression_Valg[[#This Row],[Tabel ID]])-ROW(LineærRegression_Valg[[#Headers],[Tabel ID]])</f>
        <v>449</v>
      </c>
      <c r="B459" s="171">
        <f>ROUNDDOWN((LineærRegression_Valg[[#This Row],[Tabel ID]]-1)/$B$5,0)+1</f>
        <v>113</v>
      </c>
      <c r="C459" s="171">
        <f t="shared" ref="C459:C522" si="7">MOD(A459-1,$B$5)+1</f>
        <v>1</v>
      </c>
      <c r="D459" s="171" t="b">
        <f>LineærRegression_Valg[[#This Row],[Afhængig variabel ID]]&lt;&gt;LineærRegression_Valg[[#This Row],[Uafhængig variabel ID]]</f>
        <v>1</v>
      </c>
      <c r="E459" t="b">
        <f>LineærRegression_Valg[[#This Row],[Afhængig variabel ID]]&lt;=$B$5</f>
        <v>0</v>
      </c>
      <c r="F459" t="str" cm="1">
        <f t="array" ref="F459">IF(LineærRegression_Valg[[#This Row],[Indenfor range]],INDEX(DataTitel_liste,LineærRegression_Valg[[#This Row],[Afhængig variabel ID]]),INDEX(DataTitel_liste,1))</f>
        <v>Eksempel 1 (interval)</v>
      </c>
      <c r="G459" s="171" t="str" cm="1">
        <f t="array" ref="G459">IF(LineærRegression_Valg[[#This Row],[Indenfor range]],IF(LineærRegression_Valg[[#This Row],[Intet overlap]],INDEX(DataTitel_liste,LineærRegression_Valg[[#This Row],[Uafhængig variabel ID]]),INDEX(DataTitel_liste,IF(LineærRegression_Valg[[#This Row],[Afhængig variabel ID]]=1,2,1))),$B$7)</f>
        <v>Eksempel 2 (interval)</v>
      </c>
      <c r="H459" s="171">
        <f>_xlfn.AGGREGATE(2,5,LineærRegression_Valg[[#This Row],[Tabel ID]])</f>
        <v>1</v>
      </c>
    </row>
    <row r="460" spans="1:8" x14ac:dyDescent="0.2">
      <c r="A460">
        <f>ROW(LineærRegression_Valg[[#This Row],[Tabel ID]])-ROW(LineærRegression_Valg[[#Headers],[Tabel ID]])</f>
        <v>450</v>
      </c>
      <c r="B460" s="171">
        <f>ROUNDDOWN((LineærRegression_Valg[[#This Row],[Tabel ID]]-1)/$B$5,0)+1</f>
        <v>113</v>
      </c>
      <c r="C460" s="171">
        <f t="shared" si="7"/>
        <v>2</v>
      </c>
      <c r="D460" s="171" t="b">
        <f>LineærRegression_Valg[[#This Row],[Afhængig variabel ID]]&lt;&gt;LineærRegression_Valg[[#This Row],[Uafhængig variabel ID]]</f>
        <v>1</v>
      </c>
      <c r="E460" t="b">
        <f>LineærRegression_Valg[[#This Row],[Afhængig variabel ID]]&lt;=$B$5</f>
        <v>0</v>
      </c>
      <c r="F460" t="str" cm="1">
        <f t="array" ref="F460">IF(LineærRegression_Valg[[#This Row],[Indenfor range]],INDEX(DataTitel_liste,LineærRegression_Valg[[#This Row],[Afhængig variabel ID]]),INDEX(DataTitel_liste,1))</f>
        <v>Eksempel 1 (interval)</v>
      </c>
      <c r="G460" s="171" t="str" cm="1">
        <f t="array" ref="G460">IF(LineærRegression_Valg[[#This Row],[Indenfor range]],IF(LineærRegression_Valg[[#This Row],[Intet overlap]],INDEX(DataTitel_liste,LineærRegression_Valg[[#This Row],[Uafhængig variabel ID]]),INDEX(DataTitel_liste,IF(LineærRegression_Valg[[#This Row],[Afhængig variabel ID]]=1,2,1))),$B$7)</f>
        <v>Eksempel 2 (interval)</v>
      </c>
      <c r="H460" s="171">
        <f>_xlfn.AGGREGATE(2,5,LineærRegression_Valg[[#This Row],[Tabel ID]])</f>
        <v>1</v>
      </c>
    </row>
    <row r="461" spans="1:8" x14ac:dyDescent="0.2">
      <c r="A461">
        <f>ROW(LineærRegression_Valg[[#This Row],[Tabel ID]])-ROW(LineærRegression_Valg[[#Headers],[Tabel ID]])</f>
        <v>451</v>
      </c>
      <c r="B461" s="171">
        <f>ROUNDDOWN((LineærRegression_Valg[[#This Row],[Tabel ID]]-1)/$B$5,0)+1</f>
        <v>113</v>
      </c>
      <c r="C461" s="171">
        <f t="shared" si="7"/>
        <v>3</v>
      </c>
      <c r="D461" s="171" t="b">
        <f>LineærRegression_Valg[[#This Row],[Afhængig variabel ID]]&lt;&gt;LineærRegression_Valg[[#This Row],[Uafhængig variabel ID]]</f>
        <v>1</v>
      </c>
      <c r="E461" t="b">
        <f>LineærRegression_Valg[[#This Row],[Afhængig variabel ID]]&lt;=$B$5</f>
        <v>0</v>
      </c>
      <c r="F461" t="str" cm="1">
        <f t="array" ref="F461">IF(LineærRegression_Valg[[#This Row],[Indenfor range]],INDEX(DataTitel_liste,LineærRegression_Valg[[#This Row],[Afhængig variabel ID]]),INDEX(DataTitel_liste,1))</f>
        <v>Eksempel 1 (interval)</v>
      </c>
      <c r="G461" s="171" t="str" cm="1">
        <f t="array" ref="G461">IF(LineærRegression_Valg[[#This Row],[Indenfor range]],IF(LineærRegression_Valg[[#This Row],[Intet overlap]],INDEX(DataTitel_liste,LineærRegression_Valg[[#This Row],[Uafhængig variabel ID]]),INDEX(DataTitel_liste,IF(LineærRegression_Valg[[#This Row],[Afhængig variabel ID]]=1,2,1))),$B$7)</f>
        <v>Eksempel 2 (interval)</v>
      </c>
      <c r="H461" s="171">
        <f>_xlfn.AGGREGATE(2,5,LineærRegression_Valg[[#This Row],[Tabel ID]])</f>
        <v>1</v>
      </c>
    </row>
    <row r="462" spans="1:8" x14ac:dyDescent="0.2">
      <c r="A462">
        <f>ROW(LineærRegression_Valg[[#This Row],[Tabel ID]])-ROW(LineærRegression_Valg[[#Headers],[Tabel ID]])</f>
        <v>452</v>
      </c>
      <c r="B462" s="171">
        <f>ROUNDDOWN((LineærRegression_Valg[[#This Row],[Tabel ID]]-1)/$B$5,0)+1</f>
        <v>113</v>
      </c>
      <c r="C462" s="171">
        <f t="shared" si="7"/>
        <v>4</v>
      </c>
      <c r="D462" s="171" t="b">
        <f>LineærRegression_Valg[[#This Row],[Afhængig variabel ID]]&lt;&gt;LineærRegression_Valg[[#This Row],[Uafhængig variabel ID]]</f>
        <v>1</v>
      </c>
      <c r="E462" t="b">
        <f>LineærRegression_Valg[[#This Row],[Afhængig variabel ID]]&lt;=$B$5</f>
        <v>0</v>
      </c>
      <c r="F462" t="str" cm="1">
        <f t="array" ref="F462">IF(LineærRegression_Valg[[#This Row],[Indenfor range]],INDEX(DataTitel_liste,LineærRegression_Valg[[#This Row],[Afhængig variabel ID]]),INDEX(DataTitel_liste,1))</f>
        <v>Eksempel 1 (interval)</v>
      </c>
      <c r="G462" s="171" t="str" cm="1">
        <f t="array" ref="G462">IF(LineærRegression_Valg[[#This Row],[Indenfor range]],IF(LineærRegression_Valg[[#This Row],[Intet overlap]],INDEX(DataTitel_liste,LineærRegression_Valg[[#This Row],[Uafhængig variabel ID]]),INDEX(DataTitel_liste,IF(LineærRegression_Valg[[#This Row],[Afhængig variabel ID]]=1,2,1))),$B$7)</f>
        <v>Eksempel 2 (interval)</v>
      </c>
      <c r="H462" s="171">
        <f>_xlfn.AGGREGATE(2,5,LineærRegression_Valg[[#This Row],[Tabel ID]])</f>
        <v>1</v>
      </c>
    </row>
    <row r="463" spans="1:8" x14ac:dyDescent="0.2">
      <c r="A463">
        <f>ROW(LineærRegression_Valg[[#This Row],[Tabel ID]])-ROW(LineærRegression_Valg[[#Headers],[Tabel ID]])</f>
        <v>453</v>
      </c>
      <c r="B463" s="171">
        <f>ROUNDDOWN((LineærRegression_Valg[[#This Row],[Tabel ID]]-1)/$B$5,0)+1</f>
        <v>114</v>
      </c>
      <c r="C463" s="171">
        <f t="shared" si="7"/>
        <v>1</v>
      </c>
      <c r="D463" s="171" t="b">
        <f>LineærRegression_Valg[[#This Row],[Afhængig variabel ID]]&lt;&gt;LineærRegression_Valg[[#This Row],[Uafhængig variabel ID]]</f>
        <v>1</v>
      </c>
      <c r="E463" t="b">
        <f>LineærRegression_Valg[[#This Row],[Afhængig variabel ID]]&lt;=$B$5</f>
        <v>0</v>
      </c>
      <c r="F463" t="str" cm="1">
        <f t="array" ref="F463">IF(LineærRegression_Valg[[#This Row],[Indenfor range]],INDEX(DataTitel_liste,LineærRegression_Valg[[#This Row],[Afhængig variabel ID]]),INDEX(DataTitel_liste,1))</f>
        <v>Eksempel 1 (interval)</v>
      </c>
      <c r="G463" s="171" t="str" cm="1">
        <f t="array" ref="G463">IF(LineærRegression_Valg[[#This Row],[Indenfor range]],IF(LineærRegression_Valg[[#This Row],[Intet overlap]],INDEX(DataTitel_liste,LineærRegression_Valg[[#This Row],[Uafhængig variabel ID]]),INDEX(DataTitel_liste,IF(LineærRegression_Valg[[#This Row],[Afhængig variabel ID]]=1,2,1))),$B$7)</f>
        <v>Eksempel 2 (interval)</v>
      </c>
      <c r="H463" s="171">
        <f>_xlfn.AGGREGATE(2,5,LineærRegression_Valg[[#This Row],[Tabel ID]])</f>
        <v>1</v>
      </c>
    </row>
    <row r="464" spans="1:8" x14ac:dyDescent="0.2">
      <c r="A464">
        <f>ROW(LineærRegression_Valg[[#This Row],[Tabel ID]])-ROW(LineærRegression_Valg[[#Headers],[Tabel ID]])</f>
        <v>454</v>
      </c>
      <c r="B464" s="171">
        <f>ROUNDDOWN((LineærRegression_Valg[[#This Row],[Tabel ID]]-1)/$B$5,0)+1</f>
        <v>114</v>
      </c>
      <c r="C464" s="171">
        <f t="shared" si="7"/>
        <v>2</v>
      </c>
      <c r="D464" s="171" t="b">
        <f>LineærRegression_Valg[[#This Row],[Afhængig variabel ID]]&lt;&gt;LineærRegression_Valg[[#This Row],[Uafhængig variabel ID]]</f>
        <v>1</v>
      </c>
      <c r="E464" t="b">
        <f>LineærRegression_Valg[[#This Row],[Afhængig variabel ID]]&lt;=$B$5</f>
        <v>0</v>
      </c>
      <c r="F464" t="str" cm="1">
        <f t="array" ref="F464">IF(LineærRegression_Valg[[#This Row],[Indenfor range]],INDEX(DataTitel_liste,LineærRegression_Valg[[#This Row],[Afhængig variabel ID]]),INDEX(DataTitel_liste,1))</f>
        <v>Eksempel 1 (interval)</v>
      </c>
      <c r="G464" s="171" t="str" cm="1">
        <f t="array" ref="G464">IF(LineærRegression_Valg[[#This Row],[Indenfor range]],IF(LineærRegression_Valg[[#This Row],[Intet overlap]],INDEX(DataTitel_liste,LineærRegression_Valg[[#This Row],[Uafhængig variabel ID]]),INDEX(DataTitel_liste,IF(LineærRegression_Valg[[#This Row],[Afhængig variabel ID]]=1,2,1))),$B$7)</f>
        <v>Eksempel 2 (interval)</v>
      </c>
      <c r="H464" s="171">
        <f>_xlfn.AGGREGATE(2,5,LineærRegression_Valg[[#This Row],[Tabel ID]])</f>
        <v>1</v>
      </c>
    </row>
    <row r="465" spans="1:8" x14ac:dyDescent="0.2">
      <c r="A465">
        <f>ROW(LineærRegression_Valg[[#This Row],[Tabel ID]])-ROW(LineærRegression_Valg[[#Headers],[Tabel ID]])</f>
        <v>455</v>
      </c>
      <c r="B465" s="171">
        <f>ROUNDDOWN((LineærRegression_Valg[[#This Row],[Tabel ID]]-1)/$B$5,0)+1</f>
        <v>114</v>
      </c>
      <c r="C465" s="171">
        <f t="shared" si="7"/>
        <v>3</v>
      </c>
      <c r="D465" s="171" t="b">
        <f>LineærRegression_Valg[[#This Row],[Afhængig variabel ID]]&lt;&gt;LineærRegression_Valg[[#This Row],[Uafhængig variabel ID]]</f>
        <v>1</v>
      </c>
      <c r="E465" t="b">
        <f>LineærRegression_Valg[[#This Row],[Afhængig variabel ID]]&lt;=$B$5</f>
        <v>0</v>
      </c>
      <c r="F465" t="str" cm="1">
        <f t="array" ref="F465">IF(LineærRegression_Valg[[#This Row],[Indenfor range]],INDEX(DataTitel_liste,LineærRegression_Valg[[#This Row],[Afhængig variabel ID]]),INDEX(DataTitel_liste,1))</f>
        <v>Eksempel 1 (interval)</v>
      </c>
      <c r="G465" s="171" t="str" cm="1">
        <f t="array" ref="G465">IF(LineærRegression_Valg[[#This Row],[Indenfor range]],IF(LineærRegression_Valg[[#This Row],[Intet overlap]],INDEX(DataTitel_liste,LineærRegression_Valg[[#This Row],[Uafhængig variabel ID]]),INDEX(DataTitel_liste,IF(LineærRegression_Valg[[#This Row],[Afhængig variabel ID]]=1,2,1))),$B$7)</f>
        <v>Eksempel 2 (interval)</v>
      </c>
      <c r="H465" s="171">
        <f>_xlfn.AGGREGATE(2,5,LineærRegression_Valg[[#This Row],[Tabel ID]])</f>
        <v>1</v>
      </c>
    </row>
    <row r="466" spans="1:8" x14ac:dyDescent="0.2">
      <c r="A466">
        <f>ROW(LineærRegression_Valg[[#This Row],[Tabel ID]])-ROW(LineærRegression_Valg[[#Headers],[Tabel ID]])</f>
        <v>456</v>
      </c>
      <c r="B466" s="171">
        <f>ROUNDDOWN((LineærRegression_Valg[[#This Row],[Tabel ID]]-1)/$B$5,0)+1</f>
        <v>114</v>
      </c>
      <c r="C466" s="171">
        <f t="shared" si="7"/>
        <v>4</v>
      </c>
      <c r="D466" s="171" t="b">
        <f>LineærRegression_Valg[[#This Row],[Afhængig variabel ID]]&lt;&gt;LineærRegression_Valg[[#This Row],[Uafhængig variabel ID]]</f>
        <v>1</v>
      </c>
      <c r="E466" t="b">
        <f>LineærRegression_Valg[[#This Row],[Afhængig variabel ID]]&lt;=$B$5</f>
        <v>0</v>
      </c>
      <c r="F466" t="str" cm="1">
        <f t="array" ref="F466">IF(LineærRegression_Valg[[#This Row],[Indenfor range]],INDEX(DataTitel_liste,LineærRegression_Valg[[#This Row],[Afhængig variabel ID]]),INDEX(DataTitel_liste,1))</f>
        <v>Eksempel 1 (interval)</v>
      </c>
      <c r="G466" s="171" t="str" cm="1">
        <f t="array" ref="G466">IF(LineærRegression_Valg[[#This Row],[Indenfor range]],IF(LineærRegression_Valg[[#This Row],[Intet overlap]],INDEX(DataTitel_liste,LineærRegression_Valg[[#This Row],[Uafhængig variabel ID]]),INDEX(DataTitel_liste,IF(LineærRegression_Valg[[#This Row],[Afhængig variabel ID]]=1,2,1))),$B$7)</f>
        <v>Eksempel 2 (interval)</v>
      </c>
      <c r="H466" s="171">
        <f>_xlfn.AGGREGATE(2,5,LineærRegression_Valg[[#This Row],[Tabel ID]])</f>
        <v>1</v>
      </c>
    </row>
    <row r="467" spans="1:8" x14ac:dyDescent="0.2">
      <c r="A467">
        <f>ROW(LineærRegression_Valg[[#This Row],[Tabel ID]])-ROW(LineærRegression_Valg[[#Headers],[Tabel ID]])</f>
        <v>457</v>
      </c>
      <c r="B467" s="171">
        <f>ROUNDDOWN((LineærRegression_Valg[[#This Row],[Tabel ID]]-1)/$B$5,0)+1</f>
        <v>115</v>
      </c>
      <c r="C467" s="171">
        <f t="shared" si="7"/>
        <v>1</v>
      </c>
      <c r="D467" s="171" t="b">
        <f>LineærRegression_Valg[[#This Row],[Afhængig variabel ID]]&lt;&gt;LineærRegression_Valg[[#This Row],[Uafhængig variabel ID]]</f>
        <v>1</v>
      </c>
      <c r="E467" t="b">
        <f>LineærRegression_Valg[[#This Row],[Afhængig variabel ID]]&lt;=$B$5</f>
        <v>0</v>
      </c>
      <c r="F467" t="str" cm="1">
        <f t="array" ref="F467">IF(LineærRegression_Valg[[#This Row],[Indenfor range]],INDEX(DataTitel_liste,LineærRegression_Valg[[#This Row],[Afhængig variabel ID]]),INDEX(DataTitel_liste,1))</f>
        <v>Eksempel 1 (interval)</v>
      </c>
      <c r="G467" s="171" t="str" cm="1">
        <f t="array" ref="G467">IF(LineærRegression_Valg[[#This Row],[Indenfor range]],IF(LineærRegression_Valg[[#This Row],[Intet overlap]],INDEX(DataTitel_liste,LineærRegression_Valg[[#This Row],[Uafhængig variabel ID]]),INDEX(DataTitel_liste,IF(LineærRegression_Valg[[#This Row],[Afhængig variabel ID]]=1,2,1))),$B$7)</f>
        <v>Eksempel 2 (interval)</v>
      </c>
      <c r="H467" s="171">
        <f>_xlfn.AGGREGATE(2,5,LineærRegression_Valg[[#This Row],[Tabel ID]])</f>
        <v>1</v>
      </c>
    </row>
    <row r="468" spans="1:8" x14ac:dyDescent="0.2">
      <c r="A468">
        <f>ROW(LineærRegression_Valg[[#This Row],[Tabel ID]])-ROW(LineærRegression_Valg[[#Headers],[Tabel ID]])</f>
        <v>458</v>
      </c>
      <c r="B468" s="171">
        <f>ROUNDDOWN((LineærRegression_Valg[[#This Row],[Tabel ID]]-1)/$B$5,0)+1</f>
        <v>115</v>
      </c>
      <c r="C468" s="171">
        <f t="shared" si="7"/>
        <v>2</v>
      </c>
      <c r="D468" s="171" t="b">
        <f>LineærRegression_Valg[[#This Row],[Afhængig variabel ID]]&lt;&gt;LineærRegression_Valg[[#This Row],[Uafhængig variabel ID]]</f>
        <v>1</v>
      </c>
      <c r="E468" t="b">
        <f>LineærRegression_Valg[[#This Row],[Afhængig variabel ID]]&lt;=$B$5</f>
        <v>0</v>
      </c>
      <c r="F468" t="str" cm="1">
        <f t="array" ref="F468">IF(LineærRegression_Valg[[#This Row],[Indenfor range]],INDEX(DataTitel_liste,LineærRegression_Valg[[#This Row],[Afhængig variabel ID]]),INDEX(DataTitel_liste,1))</f>
        <v>Eksempel 1 (interval)</v>
      </c>
      <c r="G468" s="171" t="str" cm="1">
        <f t="array" ref="G468">IF(LineærRegression_Valg[[#This Row],[Indenfor range]],IF(LineærRegression_Valg[[#This Row],[Intet overlap]],INDEX(DataTitel_liste,LineærRegression_Valg[[#This Row],[Uafhængig variabel ID]]),INDEX(DataTitel_liste,IF(LineærRegression_Valg[[#This Row],[Afhængig variabel ID]]=1,2,1))),$B$7)</f>
        <v>Eksempel 2 (interval)</v>
      </c>
      <c r="H468" s="171">
        <f>_xlfn.AGGREGATE(2,5,LineærRegression_Valg[[#This Row],[Tabel ID]])</f>
        <v>1</v>
      </c>
    </row>
    <row r="469" spans="1:8" x14ac:dyDescent="0.2">
      <c r="A469">
        <f>ROW(LineærRegression_Valg[[#This Row],[Tabel ID]])-ROW(LineærRegression_Valg[[#Headers],[Tabel ID]])</f>
        <v>459</v>
      </c>
      <c r="B469" s="171">
        <f>ROUNDDOWN((LineærRegression_Valg[[#This Row],[Tabel ID]]-1)/$B$5,0)+1</f>
        <v>115</v>
      </c>
      <c r="C469" s="171">
        <f t="shared" si="7"/>
        <v>3</v>
      </c>
      <c r="D469" s="171" t="b">
        <f>LineærRegression_Valg[[#This Row],[Afhængig variabel ID]]&lt;&gt;LineærRegression_Valg[[#This Row],[Uafhængig variabel ID]]</f>
        <v>1</v>
      </c>
      <c r="E469" t="b">
        <f>LineærRegression_Valg[[#This Row],[Afhængig variabel ID]]&lt;=$B$5</f>
        <v>0</v>
      </c>
      <c r="F469" t="str" cm="1">
        <f t="array" ref="F469">IF(LineærRegression_Valg[[#This Row],[Indenfor range]],INDEX(DataTitel_liste,LineærRegression_Valg[[#This Row],[Afhængig variabel ID]]),INDEX(DataTitel_liste,1))</f>
        <v>Eksempel 1 (interval)</v>
      </c>
      <c r="G469" s="171" t="str" cm="1">
        <f t="array" ref="G469">IF(LineærRegression_Valg[[#This Row],[Indenfor range]],IF(LineærRegression_Valg[[#This Row],[Intet overlap]],INDEX(DataTitel_liste,LineærRegression_Valg[[#This Row],[Uafhængig variabel ID]]),INDEX(DataTitel_liste,IF(LineærRegression_Valg[[#This Row],[Afhængig variabel ID]]=1,2,1))),$B$7)</f>
        <v>Eksempel 2 (interval)</v>
      </c>
      <c r="H469" s="171">
        <f>_xlfn.AGGREGATE(2,5,LineærRegression_Valg[[#This Row],[Tabel ID]])</f>
        <v>1</v>
      </c>
    </row>
    <row r="470" spans="1:8" x14ac:dyDescent="0.2">
      <c r="A470">
        <f>ROW(LineærRegression_Valg[[#This Row],[Tabel ID]])-ROW(LineærRegression_Valg[[#Headers],[Tabel ID]])</f>
        <v>460</v>
      </c>
      <c r="B470" s="171">
        <f>ROUNDDOWN((LineærRegression_Valg[[#This Row],[Tabel ID]]-1)/$B$5,0)+1</f>
        <v>115</v>
      </c>
      <c r="C470" s="171">
        <f t="shared" si="7"/>
        <v>4</v>
      </c>
      <c r="D470" s="171" t="b">
        <f>LineærRegression_Valg[[#This Row],[Afhængig variabel ID]]&lt;&gt;LineærRegression_Valg[[#This Row],[Uafhængig variabel ID]]</f>
        <v>1</v>
      </c>
      <c r="E470" t="b">
        <f>LineærRegression_Valg[[#This Row],[Afhængig variabel ID]]&lt;=$B$5</f>
        <v>0</v>
      </c>
      <c r="F470" t="str" cm="1">
        <f t="array" ref="F470">IF(LineærRegression_Valg[[#This Row],[Indenfor range]],INDEX(DataTitel_liste,LineærRegression_Valg[[#This Row],[Afhængig variabel ID]]),INDEX(DataTitel_liste,1))</f>
        <v>Eksempel 1 (interval)</v>
      </c>
      <c r="G470" s="171" t="str" cm="1">
        <f t="array" ref="G470">IF(LineærRegression_Valg[[#This Row],[Indenfor range]],IF(LineærRegression_Valg[[#This Row],[Intet overlap]],INDEX(DataTitel_liste,LineærRegression_Valg[[#This Row],[Uafhængig variabel ID]]),INDEX(DataTitel_liste,IF(LineærRegression_Valg[[#This Row],[Afhængig variabel ID]]=1,2,1))),$B$7)</f>
        <v>Eksempel 2 (interval)</v>
      </c>
      <c r="H470" s="171">
        <f>_xlfn.AGGREGATE(2,5,LineærRegression_Valg[[#This Row],[Tabel ID]])</f>
        <v>1</v>
      </c>
    </row>
    <row r="471" spans="1:8" x14ac:dyDescent="0.2">
      <c r="A471">
        <f>ROW(LineærRegression_Valg[[#This Row],[Tabel ID]])-ROW(LineærRegression_Valg[[#Headers],[Tabel ID]])</f>
        <v>461</v>
      </c>
      <c r="B471" s="171">
        <f>ROUNDDOWN((LineærRegression_Valg[[#This Row],[Tabel ID]]-1)/$B$5,0)+1</f>
        <v>116</v>
      </c>
      <c r="C471" s="171">
        <f t="shared" si="7"/>
        <v>1</v>
      </c>
      <c r="D471" s="171" t="b">
        <f>LineærRegression_Valg[[#This Row],[Afhængig variabel ID]]&lt;&gt;LineærRegression_Valg[[#This Row],[Uafhængig variabel ID]]</f>
        <v>1</v>
      </c>
      <c r="E471" t="b">
        <f>LineærRegression_Valg[[#This Row],[Afhængig variabel ID]]&lt;=$B$5</f>
        <v>0</v>
      </c>
      <c r="F471" t="str" cm="1">
        <f t="array" ref="F471">IF(LineærRegression_Valg[[#This Row],[Indenfor range]],INDEX(DataTitel_liste,LineærRegression_Valg[[#This Row],[Afhængig variabel ID]]),INDEX(DataTitel_liste,1))</f>
        <v>Eksempel 1 (interval)</v>
      </c>
      <c r="G471" s="171" t="str" cm="1">
        <f t="array" ref="G471">IF(LineærRegression_Valg[[#This Row],[Indenfor range]],IF(LineærRegression_Valg[[#This Row],[Intet overlap]],INDEX(DataTitel_liste,LineærRegression_Valg[[#This Row],[Uafhængig variabel ID]]),INDEX(DataTitel_liste,IF(LineærRegression_Valg[[#This Row],[Afhængig variabel ID]]=1,2,1))),$B$7)</f>
        <v>Eksempel 2 (interval)</v>
      </c>
      <c r="H471" s="171">
        <f>_xlfn.AGGREGATE(2,5,LineærRegression_Valg[[#This Row],[Tabel ID]])</f>
        <v>1</v>
      </c>
    </row>
    <row r="472" spans="1:8" x14ac:dyDescent="0.2">
      <c r="A472">
        <f>ROW(LineærRegression_Valg[[#This Row],[Tabel ID]])-ROW(LineærRegression_Valg[[#Headers],[Tabel ID]])</f>
        <v>462</v>
      </c>
      <c r="B472" s="171">
        <f>ROUNDDOWN((LineærRegression_Valg[[#This Row],[Tabel ID]]-1)/$B$5,0)+1</f>
        <v>116</v>
      </c>
      <c r="C472" s="171">
        <f t="shared" si="7"/>
        <v>2</v>
      </c>
      <c r="D472" s="171" t="b">
        <f>LineærRegression_Valg[[#This Row],[Afhængig variabel ID]]&lt;&gt;LineærRegression_Valg[[#This Row],[Uafhængig variabel ID]]</f>
        <v>1</v>
      </c>
      <c r="E472" t="b">
        <f>LineærRegression_Valg[[#This Row],[Afhængig variabel ID]]&lt;=$B$5</f>
        <v>0</v>
      </c>
      <c r="F472" t="str" cm="1">
        <f t="array" ref="F472">IF(LineærRegression_Valg[[#This Row],[Indenfor range]],INDEX(DataTitel_liste,LineærRegression_Valg[[#This Row],[Afhængig variabel ID]]),INDEX(DataTitel_liste,1))</f>
        <v>Eksempel 1 (interval)</v>
      </c>
      <c r="G472" s="171" t="str" cm="1">
        <f t="array" ref="G472">IF(LineærRegression_Valg[[#This Row],[Indenfor range]],IF(LineærRegression_Valg[[#This Row],[Intet overlap]],INDEX(DataTitel_liste,LineærRegression_Valg[[#This Row],[Uafhængig variabel ID]]),INDEX(DataTitel_liste,IF(LineærRegression_Valg[[#This Row],[Afhængig variabel ID]]=1,2,1))),$B$7)</f>
        <v>Eksempel 2 (interval)</v>
      </c>
      <c r="H472" s="171">
        <f>_xlfn.AGGREGATE(2,5,LineærRegression_Valg[[#This Row],[Tabel ID]])</f>
        <v>1</v>
      </c>
    </row>
    <row r="473" spans="1:8" x14ac:dyDescent="0.2">
      <c r="A473">
        <f>ROW(LineærRegression_Valg[[#This Row],[Tabel ID]])-ROW(LineærRegression_Valg[[#Headers],[Tabel ID]])</f>
        <v>463</v>
      </c>
      <c r="B473" s="171">
        <f>ROUNDDOWN((LineærRegression_Valg[[#This Row],[Tabel ID]]-1)/$B$5,0)+1</f>
        <v>116</v>
      </c>
      <c r="C473" s="171">
        <f t="shared" si="7"/>
        <v>3</v>
      </c>
      <c r="D473" s="171" t="b">
        <f>LineærRegression_Valg[[#This Row],[Afhængig variabel ID]]&lt;&gt;LineærRegression_Valg[[#This Row],[Uafhængig variabel ID]]</f>
        <v>1</v>
      </c>
      <c r="E473" t="b">
        <f>LineærRegression_Valg[[#This Row],[Afhængig variabel ID]]&lt;=$B$5</f>
        <v>0</v>
      </c>
      <c r="F473" t="str" cm="1">
        <f t="array" ref="F473">IF(LineærRegression_Valg[[#This Row],[Indenfor range]],INDEX(DataTitel_liste,LineærRegression_Valg[[#This Row],[Afhængig variabel ID]]),INDEX(DataTitel_liste,1))</f>
        <v>Eksempel 1 (interval)</v>
      </c>
      <c r="G473" s="171" t="str" cm="1">
        <f t="array" ref="G473">IF(LineærRegression_Valg[[#This Row],[Indenfor range]],IF(LineærRegression_Valg[[#This Row],[Intet overlap]],INDEX(DataTitel_liste,LineærRegression_Valg[[#This Row],[Uafhængig variabel ID]]),INDEX(DataTitel_liste,IF(LineærRegression_Valg[[#This Row],[Afhængig variabel ID]]=1,2,1))),$B$7)</f>
        <v>Eksempel 2 (interval)</v>
      </c>
      <c r="H473" s="171">
        <f>_xlfn.AGGREGATE(2,5,LineærRegression_Valg[[#This Row],[Tabel ID]])</f>
        <v>1</v>
      </c>
    </row>
    <row r="474" spans="1:8" x14ac:dyDescent="0.2">
      <c r="A474">
        <f>ROW(LineærRegression_Valg[[#This Row],[Tabel ID]])-ROW(LineærRegression_Valg[[#Headers],[Tabel ID]])</f>
        <v>464</v>
      </c>
      <c r="B474" s="171">
        <f>ROUNDDOWN((LineærRegression_Valg[[#This Row],[Tabel ID]]-1)/$B$5,0)+1</f>
        <v>116</v>
      </c>
      <c r="C474" s="171">
        <f t="shared" si="7"/>
        <v>4</v>
      </c>
      <c r="D474" s="171" t="b">
        <f>LineærRegression_Valg[[#This Row],[Afhængig variabel ID]]&lt;&gt;LineærRegression_Valg[[#This Row],[Uafhængig variabel ID]]</f>
        <v>1</v>
      </c>
      <c r="E474" t="b">
        <f>LineærRegression_Valg[[#This Row],[Afhængig variabel ID]]&lt;=$B$5</f>
        <v>0</v>
      </c>
      <c r="F474" t="str" cm="1">
        <f t="array" ref="F474">IF(LineærRegression_Valg[[#This Row],[Indenfor range]],INDEX(DataTitel_liste,LineærRegression_Valg[[#This Row],[Afhængig variabel ID]]),INDEX(DataTitel_liste,1))</f>
        <v>Eksempel 1 (interval)</v>
      </c>
      <c r="G474" s="171" t="str" cm="1">
        <f t="array" ref="G474">IF(LineærRegression_Valg[[#This Row],[Indenfor range]],IF(LineærRegression_Valg[[#This Row],[Intet overlap]],INDEX(DataTitel_liste,LineærRegression_Valg[[#This Row],[Uafhængig variabel ID]]),INDEX(DataTitel_liste,IF(LineærRegression_Valg[[#This Row],[Afhængig variabel ID]]=1,2,1))),$B$7)</f>
        <v>Eksempel 2 (interval)</v>
      </c>
      <c r="H474" s="171">
        <f>_xlfn.AGGREGATE(2,5,LineærRegression_Valg[[#This Row],[Tabel ID]])</f>
        <v>1</v>
      </c>
    </row>
    <row r="475" spans="1:8" x14ac:dyDescent="0.2">
      <c r="A475">
        <f>ROW(LineærRegression_Valg[[#This Row],[Tabel ID]])-ROW(LineærRegression_Valg[[#Headers],[Tabel ID]])</f>
        <v>465</v>
      </c>
      <c r="B475" s="171">
        <f>ROUNDDOWN((LineærRegression_Valg[[#This Row],[Tabel ID]]-1)/$B$5,0)+1</f>
        <v>117</v>
      </c>
      <c r="C475" s="171">
        <f t="shared" si="7"/>
        <v>1</v>
      </c>
      <c r="D475" s="171" t="b">
        <f>LineærRegression_Valg[[#This Row],[Afhængig variabel ID]]&lt;&gt;LineærRegression_Valg[[#This Row],[Uafhængig variabel ID]]</f>
        <v>1</v>
      </c>
      <c r="E475" t="b">
        <f>LineærRegression_Valg[[#This Row],[Afhængig variabel ID]]&lt;=$B$5</f>
        <v>0</v>
      </c>
      <c r="F475" t="str" cm="1">
        <f t="array" ref="F475">IF(LineærRegression_Valg[[#This Row],[Indenfor range]],INDEX(DataTitel_liste,LineærRegression_Valg[[#This Row],[Afhængig variabel ID]]),INDEX(DataTitel_liste,1))</f>
        <v>Eksempel 1 (interval)</v>
      </c>
      <c r="G475" s="171" t="str" cm="1">
        <f t="array" ref="G475">IF(LineærRegression_Valg[[#This Row],[Indenfor range]],IF(LineærRegression_Valg[[#This Row],[Intet overlap]],INDEX(DataTitel_liste,LineærRegression_Valg[[#This Row],[Uafhængig variabel ID]]),INDEX(DataTitel_liste,IF(LineærRegression_Valg[[#This Row],[Afhængig variabel ID]]=1,2,1))),$B$7)</f>
        <v>Eksempel 2 (interval)</v>
      </c>
      <c r="H475" s="171">
        <f>_xlfn.AGGREGATE(2,5,LineærRegression_Valg[[#This Row],[Tabel ID]])</f>
        <v>1</v>
      </c>
    </row>
    <row r="476" spans="1:8" x14ac:dyDescent="0.2">
      <c r="A476">
        <f>ROW(LineærRegression_Valg[[#This Row],[Tabel ID]])-ROW(LineærRegression_Valg[[#Headers],[Tabel ID]])</f>
        <v>466</v>
      </c>
      <c r="B476" s="171">
        <f>ROUNDDOWN((LineærRegression_Valg[[#This Row],[Tabel ID]]-1)/$B$5,0)+1</f>
        <v>117</v>
      </c>
      <c r="C476" s="171">
        <f t="shared" si="7"/>
        <v>2</v>
      </c>
      <c r="D476" s="171" t="b">
        <f>LineærRegression_Valg[[#This Row],[Afhængig variabel ID]]&lt;&gt;LineærRegression_Valg[[#This Row],[Uafhængig variabel ID]]</f>
        <v>1</v>
      </c>
      <c r="E476" t="b">
        <f>LineærRegression_Valg[[#This Row],[Afhængig variabel ID]]&lt;=$B$5</f>
        <v>0</v>
      </c>
      <c r="F476" t="str" cm="1">
        <f t="array" ref="F476">IF(LineærRegression_Valg[[#This Row],[Indenfor range]],INDEX(DataTitel_liste,LineærRegression_Valg[[#This Row],[Afhængig variabel ID]]),INDEX(DataTitel_liste,1))</f>
        <v>Eksempel 1 (interval)</v>
      </c>
      <c r="G476" s="171" t="str" cm="1">
        <f t="array" ref="G476">IF(LineærRegression_Valg[[#This Row],[Indenfor range]],IF(LineærRegression_Valg[[#This Row],[Intet overlap]],INDEX(DataTitel_liste,LineærRegression_Valg[[#This Row],[Uafhængig variabel ID]]),INDEX(DataTitel_liste,IF(LineærRegression_Valg[[#This Row],[Afhængig variabel ID]]=1,2,1))),$B$7)</f>
        <v>Eksempel 2 (interval)</v>
      </c>
      <c r="H476" s="171">
        <f>_xlfn.AGGREGATE(2,5,LineærRegression_Valg[[#This Row],[Tabel ID]])</f>
        <v>1</v>
      </c>
    </row>
    <row r="477" spans="1:8" x14ac:dyDescent="0.2">
      <c r="A477">
        <f>ROW(LineærRegression_Valg[[#This Row],[Tabel ID]])-ROW(LineærRegression_Valg[[#Headers],[Tabel ID]])</f>
        <v>467</v>
      </c>
      <c r="B477" s="171">
        <f>ROUNDDOWN((LineærRegression_Valg[[#This Row],[Tabel ID]]-1)/$B$5,0)+1</f>
        <v>117</v>
      </c>
      <c r="C477" s="171">
        <f t="shared" si="7"/>
        <v>3</v>
      </c>
      <c r="D477" s="171" t="b">
        <f>LineærRegression_Valg[[#This Row],[Afhængig variabel ID]]&lt;&gt;LineærRegression_Valg[[#This Row],[Uafhængig variabel ID]]</f>
        <v>1</v>
      </c>
      <c r="E477" t="b">
        <f>LineærRegression_Valg[[#This Row],[Afhængig variabel ID]]&lt;=$B$5</f>
        <v>0</v>
      </c>
      <c r="F477" t="str" cm="1">
        <f t="array" ref="F477">IF(LineærRegression_Valg[[#This Row],[Indenfor range]],INDEX(DataTitel_liste,LineærRegression_Valg[[#This Row],[Afhængig variabel ID]]),INDEX(DataTitel_liste,1))</f>
        <v>Eksempel 1 (interval)</v>
      </c>
      <c r="G477" s="171" t="str" cm="1">
        <f t="array" ref="G477">IF(LineærRegression_Valg[[#This Row],[Indenfor range]],IF(LineærRegression_Valg[[#This Row],[Intet overlap]],INDEX(DataTitel_liste,LineærRegression_Valg[[#This Row],[Uafhængig variabel ID]]),INDEX(DataTitel_liste,IF(LineærRegression_Valg[[#This Row],[Afhængig variabel ID]]=1,2,1))),$B$7)</f>
        <v>Eksempel 2 (interval)</v>
      </c>
      <c r="H477" s="171">
        <f>_xlfn.AGGREGATE(2,5,LineærRegression_Valg[[#This Row],[Tabel ID]])</f>
        <v>1</v>
      </c>
    </row>
    <row r="478" spans="1:8" x14ac:dyDescent="0.2">
      <c r="A478">
        <f>ROW(LineærRegression_Valg[[#This Row],[Tabel ID]])-ROW(LineærRegression_Valg[[#Headers],[Tabel ID]])</f>
        <v>468</v>
      </c>
      <c r="B478" s="171">
        <f>ROUNDDOWN((LineærRegression_Valg[[#This Row],[Tabel ID]]-1)/$B$5,0)+1</f>
        <v>117</v>
      </c>
      <c r="C478" s="171">
        <f t="shared" si="7"/>
        <v>4</v>
      </c>
      <c r="D478" s="171" t="b">
        <f>LineærRegression_Valg[[#This Row],[Afhængig variabel ID]]&lt;&gt;LineærRegression_Valg[[#This Row],[Uafhængig variabel ID]]</f>
        <v>1</v>
      </c>
      <c r="E478" t="b">
        <f>LineærRegression_Valg[[#This Row],[Afhængig variabel ID]]&lt;=$B$5</f>
        <v>0</v>
      </c>
      <c r="F478" t="str" cm="1">
        <f t="array" ref="F478">IF(LineærRegression_Valg[[#This Row],[Indenfor range]],INDEX(DataTitel_liste,LineærRegression_Valg[[#This Row],[Afhængig variabel ID]]),INDEX(DataTitel_liste,1))</f>
        <v>Eksempel 1 (interval)</v>
      </c>
      <c r="G478" s="171" t="str" cm="1">
        <f t="array" ref="G478">IF(LineærRegression_Valg[[#This Row],[Indenfor range]],IF(LineærRegression_Valg[[#This Row],[Intet overlap]],INDEX(DataTitel_liste,LineærRegression_Valg[[#This Row],[Uafhængig variabel ID]]),INDEX(DataTitel_liste,IF(LineærRegression_Valg[[#This Row],[Afhængig variabel ID]]=1,2,1))),$B$7)</f>
        <v>Eksempel 2 (interval)</v>
      </c>
      <c r="H478" s="171">
        <f>_xlfn.AGGREGATE(2,5,LineærRegression_Valg[[#This Row],[Tabel ID]])</f>
        <v>1</v>
      </c>
    </row>
    <row r="479" spans="1:8" x14ac:dyDescent="0.2">
      <c r="A479">
        <f>ROW(LineærRegression_Valg[[#This Row],[Tabel ID]])-ROW(LineærRegression_Valg[[#Headers],[Tabel ID]])</f>
        <v>469</v>
      </c>
      <c r="B479" s="171">
        <f>ROUNDDOWN((LineærRegression_Valg[[#This Row],[Tabel ID]]-1)/$B$5,0)+1</f>
        <v>118</v>
      </c>
      <c r="C479" s="171">
        <f t="shared" si="7"/>
        <v>1</v>
      </c>
      <c r="D479" s="171" t="b">
        <f>LineærRegression_Valg[[#This Row],[Afhængig variabel ID]]&lt;&gt;LineærRegression_Valg[[#This Row],[Uafhængig variabel ID]]</f>
        <v>1</v>
      </c>
      <c r="E479" t="b">
        <f>LineærRegression_Valg[[#This Row],[Afhængig variabel ID]]&lt;=$B$5</f>
        <v>0</v>
      </c>
      <c r="F479" t="str" cm="1">
        <f t="array" ref="F479">IF(LineærRegression_Valg[[#This Row],[Indenfor range]],INDEX(DataTitel_liste,LineærRegression_Valg[[#This Row],[Afhængig variabel ID]]),INDEX(DataTitel_liste,1))</f>
        <v>Eksempel 1 (interval)</v>
      </c>
      <c r="G479" s="171" t="str" cm="1">
        <f t="array" ref="G479">IF(LineærRegression_Valg[[#This Row],[Indenfor range]],IF(LineærRegression_Valg[[#This Row],[Intet overlap]],INDEX(DataTitel_liste,LineærRegression_Valg[[#This Row],[Uafhængig variabel ID]]),INDEX(DataTitel_liste,IF(LineærRegression_Valg[[#This Row],[Afhængig variabel ID]]=1,2,1))),$B$7)</f>
        <v>Eksempel 2 (interval)</v>
      </c>
      <c r="H479" s="171">
        <f>_xlfn.AGGREGATE(2,5,LineærRegression_Valg[[#This Row],[Tabel ID]])</f>
        <v>1</v>
      </c>
    </row>
    <row r="480" spans="1:8" x14ac:dyDescent="0.2">
      <c r="A480">
        <f>ROW(LineærRegression_Valg[[#This Row],[Tabel ID]])-ROW(LineærRegression_Valg[[#Headers],[Tabel ID]])</f>
        <v>470</v>
      </c>
      <c r="B480" s="171">
        <f>ROUNDDOWN((LineærRegression_Valg[[#This Row],[Tabel ID]]-1)/$B$5,0)+1</f>
        <v>118</v>
      </c>
      <c r="C480" s="171">
        <f t="shared" si="7"/>
        <v>2</v>
      </c>
      <c r="D480" s="171" t="b">
        <f>LineærRegression_Valg[[#This Row],[Afhængig variabel ID]]&lt;&gt;LineærRegression_Valg[[#This Row],[Uafhængig variabel ID]]</f>
        <v>1</v>
      </c>
      <c r="E480" t="b">
        <f>LineærRegression_Valg[[#This Row],[Afhængig variabel ID]]&lt;=$B$5</f>
        <v>0</v>
      </c>
      <c r="F480" t="str" cm="1">
        <f t="array" ref="F480">IF(LineærRegression_Valg[[#This Row],[Indenfor range]],INDEX(DataTitel_liste,LineærRegression_Valg[[#This Row],[Afhængig variabel ID]]),INDEX(DataTitel_liste,1))</f>
        <v>Eksempel 1 (interval)</v>
      </c>
      <c r="G480" s="171" t="str" cm="1">
        <f t="array" ref="G480">IF(LineærRegression_Valg[[#This Row],[Indenfor range]],IF(LineærRegression_Valg[[#This Row],[Intet overlap]],INDEX(DataTitel_liste,LineærRegression_Valg[[#This Row],[Uafhængig variabel ID]]),INDEX(DataTitel_liste,IF(LineærRegression_Valg[[#This Row],[Afhængig variabel ID]]=1,2,1))),$B$7)</f>
        <v>Eksempel 2 (interval)</v>
      </c>
      <c r="H480" s="171">
        <f>_xlfn.AGGREGATE(2,5,LineærRegression_Valg[[#This Row],[Tabel ID]])</f>
        <v>1</v>
      </c>
    </row>
    <row r="481" spans="1:8" x14ac:dyDescent="0.2">
      <c r="A481">
        <f>ROW(LineærRegression_Valg[[#This Row],[Tabel ID]])-ROW(LineærRegression_Valg[[#Headers],[Tabel ID]])</f>
        <v>471</v>
      </c>
      <c r="B481" s="171">
        <f>ROUNDDOWN((LineærRegression_Valg[[#This Row],[Tabel ID]]-1)/$B$5,0)+1</f>
        <v>118</v>
      </c>
      <c r="C481" s="171">
        <f t="shared" si="7"/>
        <v>3</v>
      </c>
      <c r="D481" s="171" t="b">
        <f>LineærRegression_Valg[[#This Row],[Afhængig variabel ID]]&lt;&gt;LineærRegression_Valg[[#This Row],[Uafhængig variabel ID]]</f>
        <v>1</v>
      </c>
      <c r="E481" t="b">
        <f>LineærRegression_Valg[[#This Row],[Afhængig variabel ID]]&lt;=$B$5</f>
        <v>0</v>
      </c>
      <c r="F481" t="str" cm="1">
        <f t="array" ref="F481">IF(LineærRegression_Valg[[#This Row],[Indenfor range]],INDEX(DataTitel_liste,LineærRegression_Valg[[#This Row],[Afhængig variabel ID]]),INDEX(DataTitel_liste,1))</f>
        <v>Eksempel 1 (interval)</v>
      </c>
      <c r="G481" s="171" t="str" cm="1">
        <f t="array" ref="G481">IF(LineærRegression_Valg[[#This Row],[Indenfor range]],IF(LineærRegression_Valg[[#This Row],[Intet overlap]],INDEX(DataTitel_liste,LineærRegression_Valg[[#This Row],[Uafhængig variabel ID]]),INDEX(DataTitel_liste,IF(LineærRegression_Valg[[#This Row],[Afhængig variabel ID]]=1,2,1))),$B$7)</f>
        <v>Eksempel 2 (interval)</v>
      </c>
      <c r="H481" s="171">
        <f>_xlfn.AGGREGATE(2,5,LineærRegression_Valg[[#This Row],[Tabel ID]])</f>
        <v>1</v>
      </c>
    </row>
    <row r="482" spans="1:8" x14ac:dyDescent="0.2">
      <c r="A482">
        <f>ROW(LineærRegression_Valg[[#This Row],[Tabel ID]])-ROW(LineærRegression_Valg[[#Headers],[Tabel ID]])</f>
        <v>472</v>
      </c>
      <c r="B482" s="171">
        <f>ROUNDDOWN((LineærRegression_Valg[[#This Row],[Tabel ID]]-1)/$B$5,0)+1</f>
        <v>118</v>
      </c>
      <c r="C482" s="171">
        <f t="shared" si="7"/>
        <v>4</v>
      </c>
      <c r="D482" s="171" t="b">
        <f>LineærRegression_Valg[[#This Row],[Afhængig variabel ID]]&lt;&gt;LineærRegression_Valg[[#This Row],[Uafhængig variabel ID]]</f>
        <v>1</v>
      </c>
      <c r="E482" t="b">
        <f>LineærRegression_Valg[[#This Row],[Afhængig variabel ID]]&lt;=$B$5</f>
        <v>0</v>
      </c>
      <c r="F482" t="str" cm="1">
        <f t="array" ref="F482">IF(LineærRegression_Valg[[#This Row],[Indenfor range]],INDEX(DataTitel_liste,LineærRegression_Valg[[#This Row],[Afhængig variabel ID]]),INDEX(DataTitel_liste,1))</f>
        <v>Eksempel 1 (interval)</v>
      </c>
      <c r="G482" s="171" t="str" cm="1">
        <f t="array" ref="G482">IF(LineærRegression_Valg[[#This Row],[Indenfor range]],IF(LineærRegression_Valg[[#This Row],[Intet overlap]],INDEX(DataTitel_liste,LineærRegression_Valg[[#This Row],[Uafhængig variabel ID]]),INDEX(DataTitel_liste,IF(LineærRegression_Valg[[#This Row],[Afhængig variabel ID]]=1,2,1))),$B$7)</f>
        <v>Eksempel 2 (interval)</v>
      </c>
      <c r="H482" s="171">
        <f>_xlfn.AGGREGATE(2,5,LineærRegression_Valg[[#This Row],[Tabel ID]])</f>
        <v>1</v>
      </c>
    </row>
    <row r="483" spans="1:8" x14ac:dyDescent="0.2">
      <c r="A483">
        <f>ROW(LineærRegression_Valg[[#This Row],[Tabel ID]])-ROW(LineærRegression_Valg[[#Headers],[Tabel ID]])</f>
        <v>473</v>
      </c>
      <c r="B483" s="171">
        <f>ROUNDDOWN((LineærRegression_Valg[[#This Row],[Tabel ID]]-1)/$B$5,0)+1</f>
        <v>119</v>
      </c>
      <c r="C483" s="171">
        <f t="shared" si="7"/>
        <v>1</v>
      </c>
      <c r="D483" s="171" t="b">
        <f>LineærRegression_Valg[[#This Row],[Afhængig variabel ID]]&lt;&gt;LineærRegression_Valg[[#This Row],[Uafhængig variabel ID]]</f>
        <v>1</v>
      </c>
      <c r="E483" t="b">
        <f>LineærRegression_Valg[[#This Row],[Afhængig variabel ID]]&lt;=$B$5</f>
        <v>0</v>
      </c>
      <c r="F483" t="str" cm="1">
        <f t="array" ref="F483">IF(LineærRegression_Valg[[#This Row],[Indenfor range]],INDEX(DataTitel_liste,LineærRegression_Valg[[#This Row],[Afhængig variabel ID]]),INDEX(DataTitel_liste,1))</f>
        <v>Eksempel 1 (interval)</v>
      </c>
      <c r="G483" s="171" t="str" cm="1">
        <f t="array" ref="G483">IF(LineærRegression_Valg[[#This Row],[Indenfor range]],IF(LineærRegression_Valg[[#This Row],[Intet overlap]],INDEX(DataTitel_liste,LineærRegression_Valg[[#This Row],[Uafhængig variabel ID]]),INDEX(DataTitel_liste,IF(LineærRegression_Valg[[#This Row],[Afhængig variabel ID]]=1,2,1))),$B$7)</f>
        <v>Eksempel 2 (interval)</v>
      </c>
      <c r="H483" s="171">
        <f>_xlfn.AGGREGATE(2,5,LineærRegression_Valg[[#This Row],[Tabel ID]])</f>
        <v>1</v>
      </c>
    </row>
    <row r="484" spans="1:8" x14ac:dyDescent="0.2">
      <c r="A484">
        <f>ROW(LineærRegression_Valg[[#This Row],[Tabel ID]])-ROW(LineærRegression_Valg[[#Headers],[Tabel ID]])</f>
        <v>474</v>
      </c>
      <c r="B484" s="171">
        <f>ROUNDDOWN((LineærRegression_Valg[[#This Row],[Tabel ID]]-1)/$B$5,0)+1</f>
        <v>119</v>
      </c>
      <c r="C484" s="171">
        <f t="shared" si="7"/>
        <v>2</v>
      </c>
      <c r="D484" s="171" t="b">
        <f>LineærRegression_Valg[[#This Row],[Afhængig variabel ID]]&lt;&gt;LineærRegression_Valg[[#This Row],[Uafhængig variabel ID]]</f>
        <v>1</v>
      </c>
      <c r="E484" t="b">
        <f>LineærRegression_Valg[[#This Row],[Afhængig variabel ID]]&lt;=$B$5</f>
        <v>0</v>
      </c>
      <c r="F484" t="str" cm="1">
        <f t="array" ref="F484">IF(LineærRegression_Valg[[#This Row],[Indenfor range]],INDEX(DataTitel_liste,LineærRegression_Valg[[#This Row],[Afhængig variabel ID]]),INDEX(DataTitel_liste,1))</f>
        <v>Eksempel 1 (interval)</v>
      </c>
      <c r="G484" s="171" t="str" cm="1">
        <f t="array" ref="G484">IF(LineærRegression_Valg[[#This Row],[Indenfor range]],IF(LineærRegression_Valg[[#This Row],[Intet overlap]],INDEX(DataTitel_liste,LineærRegression_Valg[[#This Row],[Uafhængig variabel ID]]),INDEX(DataTitel_liste,IF(LineærRegression_Valg[[#This Row],[Afhængig variabel ID]]=1,2,1))),$B$7)</f>
        <v>Eksempel 2 (interval)</v>
      </c>
      <c r="H484" s="171">
        <f>_xlfn.AGGREGATE(2,5,LineærRegression_Valg[[#This Row],[Tabel ID]])</f>
        <v>1</v>
      </c>
    </row>
    <row r="485" spans="1:8" x14ac:dyDescent="0.2">
      <c r="A485">
        <f>ROW(LineærRegression_Valg[[#This Row],[Tabel ID]])-ROW(LineærRegression_Valg[[#Headers],[Tabel ID]])</f>
        <v>475</v>
      </c>
      <c r="B485" s="171">
        <f>ROUNDDOWN((LineærRegression_Valg[[#This Row],[Tabel ID]]-1)/$B$5,0)+1</f>
        <v>119</v>
      </c>
      <c r="C485" s="171">
        <f t="shared" si="7"/>
        <v>3</v>
      </c>
      <c r="D485" s="171" t="b">
        <f>LineærRegression_Valg[[#This Row],[Afhængig variabel ID]]&lt;&gt;LineærRegression_Valg[[#This Row],[Uafhængig variabel ID]]</f>
        <v>1</v>
      </c>
      <c r="E485" t="b">
        <f>LineærRegression_Valg[[#This Row],[Afhængig variabel ID]]&lt;=$B$5</f>
        <v>0</v>
      </c>
      <c r="F485" t="str" cm="1">
        <f t="array" ref="F485">IF(LineærRegression_Valg[[#This Row],[Indenfor range]],INDEX(DataTitel_liste,LineærRegression_Valg[[#This Row],[Afhængig variabel ID]]),INDEX(DataTitel_liste,1))</f>
        <v>Eksempel 1 (interval)</v>
      </c>
      <c r="G485" s="171" t="str" cm="1">
        <f t="array" ref="G485">IF(LineærRegression_Valg[[#This Row],[Indenfor range]],IF(LineærRegression_Valg[[#This Row],[Intet overlap]],INDEX(DataTitel_liste,LineærRegression_Valg[[#This Row],[Uafhængig variabel ID]]),INDEX(DataTitel_liste,IF(LineærRegression_Valg[[#This Row],[Afhængig variabel ID]]=1,2,1))),$B$7)</f>
        <v>Eksempel 2 (interval)</v>
      </c>
      <c r="H485" s="171">
        <f>_xlfn.AGGREGATE(2,5,LineærRegression_Valg[[#This Row],[Tabel ID]])</f>
        <v>1</v>
      </c>
    </row>
    <row r="486" spans="1:8" x14ac:dyDescent="0.2">
      <c r="A486">
        <f>ROW(LineærRegression_Valg[[#This Row],[Tabel ID]])-ROW(LineærRegression_Valg[[#Headers],[Tabel ID]])</f>
        <v>476</v>
      </c>
      <c r="B486" s="171">
        <f>ROUNDDOWN((LineærRegression_Valg[[#This Row],[Tabel ID]]-1)/$B$5,0)+1</f>
        <v>119</v>
      </c>
      <c r="C486" s="171">
        <f t="shared" si="7"/>
        <v>4</v>
      </c>
      <c r="D486" s="171" t="b">
        <f>LineærRegression_Valg[[#This Row],[Afhængig variabel ID]]&lt;&gt;LineærRegression_Valg[[#This Row],[Uafhængig variabel ID]]</f>
        <v>1</v>
      </c>
      <c r="E486" t="b">
        <f>LineærRegression_Valg[[#This Row],[Afhængig variabel ID]]&lt;=$B$5</f>
        <v>0</v>
      </c>
      <c r="F486" t="str" cm="1">
        <f t="array" ref="F486">IF(LineærRegression_Valg[[#This Row],[Indenfor range]],INDEX(DataTitel_liste,LineærRegression_Valg[[#This Row],[Afhængig variabel ID]]),INDEX(DataTitel_liste,1))</f>
        <v>Eksempel 1 (interval)</v>
      </c>
      <c r="G486" s="171" t="str" cm="1">
        <f t="array" ref="G486">IF(LineærRegression_Valg[[#This Row],[Indenfor range]],IF(LineærRegression_Valg[[#This Row],[Intet overlap]],INDEX(DataTitel_liste,LineærRegression_Valg[[#This Row],[Uafhængig variabel ID]]),INDEX(DataTitel_liste,IF(LineærRegression_Valg[[#This Row],[Afhængig variabel ID]]=1,2,1))),$B$7)</f>
        <v>Eksempel 2 (interval)</v>
      </c>
      <c r="H486" s="171">
        <f>_xlfn.AGGREGATE(2,5,LineærRegression_Valg[[#This Row],[Tabel ID]])</f>
        <v>1</v>
      </c>
    </row>
    <row r="487" spans="1:8" x14ac:dyDescent="0.2">
      <c r="A487">
        <f>ROW(LineærRegression_Valg[[#This Row],[Tabel ID]])-ROW(LineærRegression_Valg[[#Headers],[Tabel ID]])</f>
        <v>477</v>
      </c>
      <c r="B487" s="171">
        <f>ROUNDDOWN((LineærRegression_Valg[[#This Row],[Tabel ID]]-1)/$B$5,0)+1</f>
        <v>120</v>
      </c>
      <c r="C487" s="171">
        <f t="shared" si="7"/>
        <v>1</v>
      </c>
      <c r="D487" s="171" t="b">
        <f>LineærRegression_Valg[[#This Row],[Afhængig variabel ID]]&lt;&gt;LineærRegression_Valg[[#This Row],[Uafhængig variabel ID]]</f>
        <v>1</v>
      </c>
      <c r="E487" t="b">
        <f>LineærRegression_Valg[[#This Row],[Afhængig variabel ID]]&lt;=$B$5</f>
        <v>0</v>
      </c>
      <c r="F487" t="str" cm="1">
        <f t="array" ref="F487">IF(LineærRegression_Valg[[#This Row],[Indenfor range]],INDEX(DataTitel_liste,LineærRegression_Valg[[#This Row],[Afhængig variabel ID]]),INDEX(DataTitel_liste,1))</f>
        <v>Eksempel 1 (interval)</v>
      </c>
      <c r="G487" s="171" t="str" cm="1">
        <f t="array" ref="G487">IF(LineærRegression_Valg[[#This Row],[Indenfor range]],IF(LineærRegression_Valg[[#This Row],[Intet overlap]],INDEX(DataTitel_liste,LineærRegression_Valg[[#This Row],[Uafhængig variabel ID]]),INDEX(DataTitel_liste,IF(LineærRegression_Valg[[#This Row],[Afhængig variabel ID]]=1,2,1))),$B$7)</f>
        <v>Eksempel 2 (interval)</v>
      </c>
      <c r="H487" s="171">
        <f>_xlfn.AGGREGATE(2,5,LineærRegression_Valg[[#This Row],[Tabel ID]])</f>
        <v>1</v>
      </c>
    </row>
    <row r="488" spans="1:8" x14ac:dyDescent="0.2">
      <c r="A488">
        <f>ROW(LineærRegression_Valg[[#This Row],[Tabel ID]])-ROW(LineærRegression_Valg[[#Headers],[Tabel ID]])</f>
        <v>478</v>
      </c>
      <c r="B488" s="171">
        <f>ROUNDDOWN((LineærRegression_Valg[[#This Row],[Tabel ID]]-1)/$B$5,0)+1</f>
        <v>120</v>
      </c>
      <c r="C488" s="171">
        <f t="shared" si="7"/>
        <v>2</v>
      </c>
      <c r="D488" s="171" t="b">
        <f>LineærRegression_Valg[[#This Row],[Afhængig variabel ID]]&lt;&gt;LineærRegression_Valg[[#This Row],[Uafhængig variabel ID]]</f>
        <v>1</v>
      </c>
      <c r="E488" t="b">
        <f>LineærRegression_Valg[[#This Row],[Afhængig variabel ID]]&lt;=$B$5</f>
        <v>0</v>
      </c>
      <c r="F488" t="str" cm="1">
        <f t="array" ref="F488">IF(LineærRegression_Valg[[#This Row],[Indenfor range]],INDEX(DataTitel_liste,LineærRegression_Valg[[#This Row],[Afhængig variabel ID]]),INDEX(DataTitel_liste,1))</f>
        <v>Eksempel 1 (interval)</v>
      </c>
      <c r="G488" s="171" t="str" cm="1">
        <f t="array" ref="G488">IF(LineærRegression_Valg[[#This Row],[Indenfor range]],IF(LineærRegression_Valg[[#This Row],[Intet overlap]],INDEX(DataTitel_liste,LineærRegression_Valg[[#This Row],[Uafhængig variabel ID]]),INDEX(DataTitel_liste,IF(LineærRegression_Valg[[#This Row],[Afhængig variabel ID]]=1,2,1))),$B$7)</f>
        <v>Eksempel 2 (interval)</v>
      </c>
      <c r="H488" s="171">
        <f>_xlfn.AGGREGATE(2,5,LineærRegression_Valg[[#This Row],[Tabel ID]])</f>
        <v>1</v>
      </c>
    </row>
    <row r="489" spans="1:8" x14ac:dyDescent="0.2">
      <c r="A489">
        <f>ROW(LineærRegression_Valg[[#This Row],[Tabel ID]])-ROW(LineærRegression_Valg[[#Headers],[Tabel ID]])</f>
        <v>479</v>
      </c>
      <c r="B489" s="171">
        <f>ROUNDDOWN((LineærRegression_Valg[[#This Row],[Tabel ID]]-1)/$B$5,0)+1</f>
        <v>120</v>
      </c>
      <c r="C489" s="171">
        <f t="shared" si="7"/>
        <v>3</v>
      </c>
      <c r="D489" s="171" t="b">
        <f>LineærRegression_Valg[[#This Row],[Afhængig variabel ID]]&lt;&gt;LineærRegression_Valg[[#This Row],[Uafhængig variabel ID]]</f>
        <v>1</v>
      </c>
      <c r="E489" t="b">
        <f>LineærRegression_Valg[[#This Row],[Afhængig variabel ID]]&lt;=$B$5</f>
        <v>0</v>
      </c>
      <c r="F489" t="str" cm="1">
        <f t="array" ref="F489">IF(LineærRegression_Valg[[#This Row],[Indenfor range]],INDEX(DataTitel_liste,LineærRegression_Valg[[#This Row],[Afhængig variabel ID]]),INDEX(DataTitel_liste,1))</f>
        <v>Eksempel 1 (interval)</v>
      </c>
      <c r="G489" s="171" t="str" cm="1">
        <f t="array" ref="G489">IF(LineærRegression_Valg[[#This Row],[Indenfor range]],IF(LineærRegression_Valg[[#This Row],[Intet overlap]],INDEX(DataTitel_liste,LineærRegression_Valg[[#This Row],[Uafhængig variabel ID]]),INDEX(DataTitel_liste,IF(LineærRegression_Valg[[#This Row],[Afhængig variabel ID]]=1,2,1))),$B$7)</f>
        <v>Eksempel 2 (interval)</v>
      </c>
      <c r="H489" s="171">
        <f>_xlfn.AGGREGATE(2,5,LineærRegression_Valg[[#This Row],[Tabel ID]])</f>
        <v>1</v>
      </c>
    </row>
    <row r="490" spans="1:8" x14ac:dyDescent="0.2">
      <c r="A490">
        <f>ROW(LineærRegression_Valg[[#This Row],[Tabel ID]])-ROW(LineærRegression_Valg[[#Headers],[Tabel ID]])</f>
        <v>480</v>
      </c>
      <c r="B490" s="171">
        <f>ROUNDDOWN((LineærRegression_Valg[[#This Row],[Tabel ID]]-1)/$B$5,0)+1</f>
        <v>120</v>
      </c>
      <c r="C490" s="171">
        <f t="shared" si="7"/>
        <v>4</v>
      </c>
      <c r="D490" s="171" t="b">
        <f>LineærRegression_Valg[[#This Row],[Afhængig variabel ID]]&lt;&gt;LineærRegression_Valg[[#This Row],[Uafhængig variabel ID]]</f>
        <v>1</v>
      </c>
      <c r="E490" t="b">
        <f>LineærRegression_Valg[[#This Row],[Afhængig variabel ID]]&lt;=$B$5</f>
        <v>0</v>
      </c>
      <c r="F490" t="str" cm="1">
        <f t="array" ref="F490">IF(LineærRegression_Valg[[#This Row],[Indenfor range]],INDEX(DataTitel_liste,LineærRegression_Valg[[#This Row],[Afhængig variabel ID]]),INDEX(DataTitel_liste,1))</f>
        <v>Eksempel 1 (interval)</v>
      </c>
      <c r="G490" s="171" t="str" cm="1">
        <f t="array" ref="G490">IF(LineærRegression_Valg[[#This Row],[Indenfor range]],IF(LineærRegression_Valg[[#This Row],[Intet overlap]],INDEX(DataTitel_liste,LineærRegression_Valg[[#This Row],[Uafhængig variabel ID]]),INDEX(DataTitel_liste,IF(LineærRegression_Valg[[#This Row],[Afhængig variabel ID]]=1,2,1))),$B$7)</f>
        <v>Eksempel 2 (interval)</v>
      </c>
      <c r="H490" s="171">
        <f>_xlfn.AGGREGATE(2,5,LineærRegression_Valg[[#This Row],[Tabel ID]])</f>
        <v>1</v>
      </c>
    </row>
    <row r="491" spans="1:8" x14ac:dyDescent="0.2">
      <c r="A491">
        <f>ROW(LineærRegression_Valg[[#This Row],[Tabel ID]])-ROW(LineærRegression_Valg[[#Headers],[Tabel ID]])</f>
        <v>481</v>
      </c>
      <c r="B491" s="171">
        <f>ROUNDDOWN((LineærRegression_Valg[[#This Row],[Tabel ID]]-1)/$B$5,0)+1</f>
        <v>121</v>
      </c>
      <c r="C491" s="171">
        <f t="shared" si="7"/>
        <v>1</v>
      </c>
      <c r="D491" s="171" t="b">
        <f>LineærRegression_Valg[[#This Row],[Afhængig variabel ID]]&lt;&gt;LineærRegression_Valg[[#This Row],[Uafhængig variabel ID]]</f>
        <v>1</v>
      </c>
      <c r="E491" t="b">
        <f>LineærRegression_Valg[[#This Row],[Afhængig variabel ID]]&lt;=$B$5</f>
        <v>0</v>
      </c>
      <c r="F491" t="str" cm="1">
        <f t="array" ref="F491">IF(LineærRegression_Valg[[#This Row],[Indenfor range]],INDEX(DataTitel_liste,LineærRegression_Valg[[#This Row],[Afhængig variabel ID]]),INDEX(DataTitel_liste,1))</f>
        <v>Eksempel 1 (interval)</v>
      </c>
      <c r="G491" s="171" t="str" cm="1">
        <f t="array" ref="G491">IF(LineærRegression_Valg[[#This Row],[Indenfor range]],IF(LineærRegression_Valg[[#This Row],[Intet overlap]],INDEX(DataTitel_liste,LineærRegression_Valg[[#This Row],[Uafhængig variabel ID]]),INDEX(DataTitel_liste,IF(LineærRegression_Valg[[#This Row],[Afhængig variabel ID]]=1,2,1))),$B$7)</f>
        <v>Eksempel 2 (interval)</v>
      </c>
      <c r="H491" s="171">
        <f>_xlfn.AGGREGATE(2,5,LineærRegression_Valg[[#This Row],[Tabel ID]])</f>
        <v>1</v>
      </c>
    </row>
    <row r="492" spans="1:8" x14ac:dyDescent="0.2">
      <c r="A492">
        <f>ROW(LineærRegression_Valg[[#This Row],[Tabel ID]])-ROW(LineærRegression_Valg[[#Headers],[Tabel ID]])</f>
        <v>482</v>
      </c>
      <c r="B492" s="171">
        <f>ROUNDDOWN((LineærRegression_Valg[[#This Row],[Tabel ID]]-1)/$B$5,0)+1</f>
        <v>121</v>
      </c>
      <c r="C492" s="171">
        <f t="shared" si="7"/>
        <v>2</v>
      </c>
      <c r="D492" s="171" t="b">
        <f>LineærRegression_Valg[[#This Row],[Afhængig variabel ID]]&lt;&gt;LineærRegression_Valg[[#This Row],[Uafhængig variabel ID]]</f>
        <v>1</v>
      </c>
      <c r="E492" t="b">
        <f>LineærRegression_Valg[[#This Row],[Afhængig variabel ID]]&lt;=$B$5</f>
        <v>0</v>
      </c>
      <c r="F492" t="str" cm="1">
        <f t="array" ref="F492">IF(LineærRegression_Valg[[#This Row],[Indenfor range]],INDEX(DataTitel_liste,LineærRegression_Valg[[#This Row],[Afhængig variabel ID]]),INDEX(DataTitel_liste,1))</f>
        <v>Eksempel 1 (interval)</v>
      </c>
      <c r="G492" s="171" t="str" cm="1">
        <f t="array" ref="G492">IF(LineærRegression_Valg[[#This Row],[Indenfor range]],IF(LineærRegression_Valg[[#This Row],[Intet overlap]],INDEX(DataTitel_liste,LineærRegression_Valg[[#This Row],[Uafhængig variabel ID]]),INDEX(DataTitel_liste,IF(LineærRegression_Valg[[#This Row],[Afhængig variabel ID]]=1,2,1))),$B$7)</f>
        <v>Eksempel 2 (interval)</v>
      </c>
      <c r="H492" s="171">
        <f>_xlfn.AGGREGATE(2,5,LineærRegression_Valg[[#This Row],[Tabel ID]])</f>
        <v>1</v>
      </c>
    </row>
    <row r="493" spans="1:8" x14ac:dyDescent="0.2">
      <c r="A493">
        <f>ROW(LineærRegression_Valg[[#This Row],[Tabel ID]])-ROW(LineærRegression_Valg[[#Headers],[Tabel ID]])</f>
        <v>483</v>
      </c>
      <c r="B493" s="171">
        <f>ROUNDDOWN((LineærRegression_Valg[[#This Row],[Tabel ID]]-1)/$B$5,0)+1</f>
        <v>121</v>
      </c>
      <c r="C493" s="171">
        <f t="shared" si="7"/>
        <v>3</v>
      </c>
      <c r="D493" s="171" t="b">
        <f>LineærRegression_Valg[[#This Row],[Afhængig variabel ID]]&lt;&gt;LineærRegression_Valg[[#This Row],[Uafhængig variabel ID]]</f>
        <v>1</v>
      </c>
      <c r="E493" t="b">
        <f>LineærRegression_Valg[[#This Row],[Afhængig variabel ID]]&lt;=$B$5</f>
        <v>0</v>
      </c>
      <c r="F493" t="str" cm="1">
        <f t="array" ref="F493">IF(LineærRegression_Valg[[#This Row],[Indenfor range]],INDEX(DataTitel_liste,LineærRegression_Valg[[#This Row],[Afhængig variabel ID]]),INDEX(DataTitel_liste,1))</f>
        <v>Eksempel 1 (interval)</v>
      </c>
      <c r="G493" s="171" t="str" cm="1">
        <f t="array" ref="G493">IF(LineærRegression_Valg[[#This Row],[Indenfor range]],IF(LineærRegression_Valg[[#This Row],[Intet overlap]],INDEX(DataTitel_liste,LineærRegression_Valg[[#This Row],[Uafhængig variabel ID]]),INDEX(DataTitel_liste,IF(LineærRegression_Valg[[#This Row],[Afhængig variabel ID]]=1,2,1))),$B$7)</f>
        <v>Eksempel 2 (interval)</v>
      </c>
      <c r="H493" s="171">
        <f>_xlfn.AGGREGATE(2,5,LineærRegression_Valg[[#This Row],[Tabel ID]])</f>
        <v>1</v>
      </c>
    </row>
    <row r="494" spans="1:8" x14ac:dyDescent="0.2">
      <c r="A494">
        <f>ROW(LineærRegression_Valg[[#This Row],[Tabel ID]])-ROW(LineærRegression_Valg[[#Headers],[Tabel ID]])</f>
        <v>484</v>
      </c>
      <c r="B494" s="171">
        <f>ROUNDDOWN((LineærRegression_Valg[[#This Row],[Tabel ID]]-1)/$B$5,0)+1</f>
        <v>121</v>
      </c>
      <c r="C494" s="171">
        <f t="shared" si="7"/>
        <v>4</v>
      </c>
      <c r="D494" s="171" t="b">
        <f>LineærRegression_Valg[[#This Row],[Afhængig variabel ID]]&lt;&gt;LineærRegression_Valg[[#This Row],[Uafhængig variabel ID]]</f>
        <v>1</v>
      </c>
      <c r="E494" t="b">
        <f>LineærRegression_Valg[[#This Row],[Afhængig variabel ID]]&lt;=$B$5</f>
        <v>0</v>
      </c>
      <c r="F494" t="str" cm="1">
        <f t="array" ref="F494">IF(LineærRegression_Valg[[#This Row],[Indenfor range]],INDEX(DataTitel_liste,LineærRegression_Valg[[#This Row],[Afhængig variabel ID]]),INDEX(DataTitel_liste,1))</f>
        <v>Eksempel 1 (interval)</v>
      </c>
      <c r="G494" s="171" t="str" cm="1">
        <f t="array" ref="G494">IF(LineærRegression_Valg[[#This Row],[Indenfor range]],IF(LineærRegression_Valg[[#This Row],[Intet overlap]],INDEX(DataTitel_liste,LineærRegression_Valg[[#This Row],[Uafhængig variabel ID]]),INDEX(DataTitel_liste,IF(LineærRegression_Valg[[#This Row],[Afhængig variabel ID]]=1,2,1))),$B$7)</f>
        <v>Eksempel 2 (interval)</v>
      </c>
      <c r="H494" s="171">
        <f>_xlfn.AGGREGATE(2,5,LineærRegression_Valg[[#This Row],[Tabel ID]])</f>
        <v>1</v>
      </c>
    </row>
    <row r="495" spans="1:8" x14ac:dyDescent="0.2">
      <c r="A495">
        <f>ROW(LineærRegression_Valg[[#This Row],[Tabel ID]])-ROW(LineærRegression_Valg[[#Headers],[Tabel ID]])</f>
        <v>485</v>
      </c>
      <c r="B495" s="171">
        <f>ROUNDDOWN((LineærRegression_Valg[[#This Row],[Tabel ID]]-1)/$B$5,0)+1</f>
        <v>122</v>
      </c>
      <c r="C495" s="171">
        <f t="shared" si="7"/>
        <v>1</v>
      </c>
      <c r="D495" s="171" t="b">
        <f>LineærRegression_Valg[[#This Row],[Afhængig variabel ID]]&lt;&gt;LineærRegression_Valg[[#This Row],[Uafhængig variabel ID]]</f>
        <v>1</v>
      </c>
      <c r="E495" t="b">
        <f>LineærRegression_Valg[[#This Row],[Afhængig variabel ID]]&lt;=$B$5</f>
        <v>0</v>
      </c>
      <c r="F495" t="str" cm="1">
        <f t="array" ref="F495">IF(LineærRegression_Valg[[#This Row],[Indenfor range]],INDEX(DataTitel_liste,LineærRegression_Valg[[#This Row],[Afhængig variabel ID]]),INDEX(DataTitel_liste,1))</f>
        <v>Eksempel 1 (interval)</v>
      </c>
      <c r="G495" s="171" t="str" cm="1">
        <f t="array" ref="G495">IF(LineærRegression_Valg[[#This Row],[Indenfor range]],IF(LineærRegression_Valg[[#This Row],[Intet overlap]],INDEX(DataTitel_liste,LineærRegression_Valg[[#This Row],[Uafhængig variabel ID]]),INDEX(DataTitel_liste,IF(LineærRegression_Valg[[#This Row],[Afhængig variabel ID]]=1,2,1))),$B$7)</f>
        <v>Eksempel 2 (interval)</v>
      </c>
      <c r="H495" s="171">
        <f>_xlfn.AGGREGATE(2,5,LineærRegression_Valg[[#This Row],[Tabel ID]])</f>
        <v>1</v>
      </c>
    </row>
    <row r="496" spans="1:8" x14ac:dyDescent="0.2">
      <c r="A496">
        <f>ROW(LineærRegression_Valg[[#This Row],[Tabel ID]])-ROW(LineærRegression_Valg[[#Headers],[Tabel ID]])</f>
        <v>486</v>
      </c>
      <c r="B496" s="171">
        <f>ROUNDDOWN((LineærRegression_Valg[[#This Row],[Tabel ID]]-1)/$B$5,0)+1</f>
        <v>122</v>
      </c>
      <c r="C496" s="171">
        <f t="shared" si="7"/>
        <v>2</v>
      </c>
      <c r="D496" s="171" t="b">
        <f>LineærRegression_Valg[[#This Row],[Afhængig variabel ID]]&lt;&gt;LineærRegression_Valg[[#This Row],[Uafhængig variabel ID]]</f>
        <v>1</v>
      </c>
      <c r="E496" t="b">
        <f>LineærRegression_Valg[[#This Row],[Afhængig variabel ID]]&lt;=$B$5</f>
        <v>0</v>
      </c>
      <c r="F496" t="str" cm="1">
        <f t="array" ref="F496">IF(LineærRegression_Valg[[#This Row],[Indenfor range]],INDEX(DataTitel_liste,LineærRegression_Valg[[#This Row],[Afhængig variabel ID]]),INDEX(DataTitel_liste,1))</f>
        <v>Eksempel 1 (interval)</v>
      </c>
      <c r="G496" s="171" t="str" cm="1">
        <f t="array" ref="G496">IF(LineærRegression_Valg[[#This Row],[Indenfor range]],IF(LineærRegression_Valg[[#This Row],[Intet overlap]],INDEX(DataTitel_liste,LineærRegression_Valg[[#This Row],[Uafhængig variabel ID]]),INDEX(DataTitel_liste,IF(LineærRegression_Valg[[#This Row],[Afhængig variabel ID]]=1,2,1))),$B$7)</f>
        <v>Eksempel 2 (interval)</v>
      </c>
      <c r="H496" s="171">
        <f>_xlfn.AGGREGATE(2,5,LineærRegression_Valg[[#This Row],[Tabel ID]])</f>
        <v>1</v>
      </c>
    </row>
    <row r="497" spans="1:8" x14ac:dyDescent="0.2">
      <c r="A497">
        <f>ROW(LineærRegression_Valg[[#This Row],[Tabel ID]])-ROW(LineærRegression_Valg[[#Headers],[Tabel ID]])</f>
        <v>487</v>
      </c>
      <c r="B497" s="171">
        <f>ROUNDDOWN((LineærRegression_Valg[[#This Row],[Tabel ID]]-1)/$B$5,0)+1</f>
        <v>122</v>
      </c>
      <c r="C497" s="171">
        <f t="shared" si="7"/>
        <v>3</v>
      </c>
      <c r="D497" s="171" t="b">
        <f>LineærRegression_Valg[[#This Row],[Afhængig variabel ID]]&lt;&gt;LineærRegression_Valg[[#This Row],[Uafhængig variabel ID]]</f>
        <v>1</v>
      </c>
      <c r="E497" t="b">
        <f>LineærRegression_Valg[[#This Row],[Afhængig variabel ID]]&lt;=$B$5</f>
        <v>0</v>
      </c>
      <c r="F497" t="str" cm="1">
        <f t="array" ref="F497">IF(LineærRegression_Valg[[#This Row],[Indenfor range]],INDEX(DataTitel_liste,LineærRegression_Valg[[#This Row],[Afhængig variabel ID]]),INDEX(DataTitel_liste,1))</f>
        <v>Eksempel 1 (interval)</v>
      </c>
      <c r="G497" s="171" t="str" cm="1">
        <f t="array" ref="G497">IF(LineærRegression_Valg[[#This Row],[Indenfor range]],IF(LineærRegression_Valg[[#This Row],[Intet overlap]],INDEX(DataTitel_liste,LineærRegression_Valg[[#This Row],[Uafhængig variabel ID]]),INDEX(DataTitel_liste,IF(LineærRegression_Valg[[#This Row],[Afhængig variabel ID]]=1,2,1))),$B$7)</f>
        <v>Eksempel 2 (interval)</v>
      </c>
      <c r="H497" s="171">
        <f>_xlfn.AGGREGATE(2,5,LineærRegression_Valg[[#This Row],[Tabel ID]])</f>
        <v>1</v>
      </c>
    </row>
    <row r="498" spans="1:8" x14ac:dyDescent="0.2">
      <c r="A498">
        <f>ROW(LineærRegression_Valg[[#This Row],[Tabel ID]])-ROW(LineærRegression_Valg[[#Headers],[Tabel ID]])</f>
        <v>488</v>
      </c>
      <c r="B498" s="171">
        <f>ROUNDDOWN((LineærRegression_Valg[[#This Row],[Tabel ID]]-1)/$B$5,0)+1</f>
        <v>122</v>
      </c>
      <c r="C498" s="171">
        <f t="shared" si="7"/>
        <v>4</v>
      </c>
      <c r="D498" s="171" t="b">
        <f>LineærRegression_Valg[[#This Row],[Afhængig variabel ID]]&lt;&gt;LineærRegression_Valg[[#This Row],[Uafhængig variabel ID]]</f>
        <v>1</v>
      </c>
      <c r="E498" t="b">
        <f>LineærRegression_Valg[[#This Row],[Afhængig variabel ID]]&lt;=$B$5</f>
        <v>0</v>
      </c>
      <c r="F498" t="str" cm="1">
        <f t="array" ref="F498">IF(LineærRegression_Valg[[#This Row],[Indenfor range]],INDEX(DataTitel_liste,LineærRegression_Valg[[#This Row],[Afhængig variabel ID]]),INDEX(DataTitel_liste,1))</f>
        <v>Eksempel 1 (interval)</v>
      </c>
      <c r="G498" s="171" t="str" cm="1">
        <f t="array" ref="G498">IF(LineærRegression_Valg[[#This Row],[Indenfor range]],IF(LineærRegression_Valg[[#This Row],[Intet overlap]],INDEX(DataTitel_liste,LineærRegression_Valg[[#This Row],[Uafhængig variabel ID]]),INDEX(DataTitel_liste,IF(LineærRegression_Valg[[#This Row],[Afhængig variabel ID]]=1,2,1))),$B$7)</f>
        <v>Eksempel 2 (interval)</v>
      </c>
      <c r="H498" s="171">
        <f>_xlfn.AGGREGATE(2,5,LineærRegression_Valg[[#This Row],[Tabel ID]])</f>
        <v>1</v>
      </c>
    </row>
    <row r="499" spans="1:8" x14ac:dyDescent="0.2">
      <c r="A499">
        <f>ROW(LineærRegression_Valg[[#This Row],[Tabel ID]])-ROW(LineærRegression_Valg[[#Headers],[Tabel ID]])</f>
        <v>489</v>
      </c>
      <c r="B499" s="171">
        <f>ROUNDDOWN((LineærRegression_Valg[[#This Row],[Tabel ID]]-1)/$B$5,0)+1</f>
        <v>123</v>
      </c>
      <c r="C499" s="171">
        <f t="shared" si="7"/>
        <v>1</v>
      </c>
      <c r="D499" s="171" t="b">
        <f>LineærRegression_Valg[[#This Row],[Afhængig variabel ID]]&lt;&gt;LineærRegression_Valg[[#This Row],[Uafhængig variabel ID]]</f>
        <v>1</v>
      </c>
      <c r="E499" t="b">
        <f>LineærRegression_Valg[[#This Row],[Afhængig variabel ID]]&lt;=$B$5</f>
        <v>0</v>
      </c>
      <c r="F499" t="str" cm="1">
        <f t="array" ref="F499">IF(LineærRegression_Valg[[#This Row],[Indenfor range]],INDEX(DataTitel_liste,LineærRegression_Valg[[#This Row],[Afhængig variabel ID]]),INDEX(DataTitel_liste,1))</f>
        <v>Eksempel 1 (interval)</v>
      </c>
      <c r="G499" s="171" t="str" cm="1">
        <f t="array" ref="G499">IF(LineærRegression_Valg[[#This Row],[Indenfor range]],IF(LineærRegression_Valg[[#This Row],[Intet overlap]],INDEX(DataTitel_liste,LineærRegression_Valg[[#This Row],[Uafhængig variabel ID]]),INDEX(DataTitel_liste,IF(LineærRegression_Valg[[#This Row],[Afhængig variabel ID]]=1,2,1))),$B$7)</f>
        <v>Eksempel 2 (interval)</v>
      </c>
      <c r="H499" s="171">
        <f>_xlfn.AGGREGATE(2,5,LineærRegression_Valg[[#This Row],[Tabel ID]])</f>
        <v>1</v>
      </c>
    </row>
    <row r="500" spans="1:8" x14ac:dyDescent="0.2">
      <c r="A500">
        <f>ROW(LineærRegression_Valg[[#This Row],[Tabel ID]])-ROW(LineærRegression_Valg[[#Headers],[Tabel ID]])</f>
        <v>490</v>
      </c>
      <c r="B500" s="171">
        <f>ROUNDDOWN((LineærRegression_Valg[[#This Row],[Tabel ID]]-1)/$B$5,0)+1</f>
        <v>123</v>
      </c>
      <c r="C500" s="171">
        <f t="shared" si="7"/>
        <v>2</v>
      </c>
      <c r="D500" s="171" t="b">
        <f>LineærRegression_Valg[[#This Row],[Afhængig variabel ID]]&lt;&gt;LineærRegression_Valg[[#This Row],[Uafhængig variabel ID]]</f>
        <v>1</v>
      </c>
      <c r="E500" t="b">
        <f>LineærRegression_Valg[[#This Row],[Afhængig variabel ID]]&lt;=$B$5</f>
        <v>0</v>
      </c>
      <c r="F500" t="str" cm="1">
        <f t="array" ref="F500">IF(LineærRegression_Valg[[#This Row],[Indenfor range]],INDEX(DataTitel_liste,LineærRegression_Valg[[#This Row],[Afhængig variabel ID]]),INDEX(DataTitel_liste,1))</f>
        <v>Eksempel 1 (interval)</v>
      </c>
      <c r="G500" s="171" t="str" cm="1">
        <f t="array" ref="G500">IF(LineærRegression_Valg[[#This Row],[Indenfor range]],IF(LineærRegression_Valg[[#This Row],[Intet overlap]],INDEX(DataTitel_liste,LineærRegression_Valg[[#This Row],[Uafhængig variabel ID]]),INDEX(DataTitel_liste,IF(LineærRegression_Valg[[#This Row],[Afhængig variabel ID]]=1,2,1))),$B$7)</f>
        <v>Eksempel 2 (interval)</v>
      </c>
      <c r="H500" s="171">
        <f>_xlfn.AGGREGATE(2,5,LineærRegression_Valg[[#This Row],[Tabel ID]])</f>
        <v>1</v>
      </c>
    </row>
    <row r="501" spans="1:8" x14ac:dyDescent="0.2">
      <c r="A501">
        <f>ROW(LineærRegression_Valg[[#This Row],[Tabel ID]])-ROW(LineærRegression_Valg[[#Headers],[Tabel ID]])</f>
        <v>491</v>
      </c>
      <c r="B501" s="171">
        <f>ROUNDDOWN((LineærRegression_Valg[[#This Row],[Tabel ID]]-1)/$B$5,0)+1</f>
        <v>123</v>
      </c>
      <c r="C501" s="171">
        <f t="shared" si="7"/>
        <v>3</v>
      </c>
      <c r="D501" s="171" t="b">
        <f>LineærRegression_Valg[[#This Row],[Afhængig variabel ID]]&lt;&gt;LineærRegression_Valg[[#This Row],[Uafhængig variabel ID]]</f>
        <v>1</v>
      </c>
      <c r="E501" t="b">
        <f>LineærRegression_Valg[[#This Row],[Afhængig variabel ID]]&lt;=$B$5</f>
        <v>0</v>
      </c>
      <c r="F501" t="str" cm="1">
        <f t="array" ref="F501">IF(LineærRegression_Valg[[#This Row],[Indenfor range]],INDEX(DataTitel_liste,LineærRegression_Valg[[#This Row],[Afhængig variabel ID]]),INDEX(DataTitel_liste,1))</f>
        <v>Eksempel 1 (interval)</v>
      </c>
      <c r="G501" s="171" t="str" cm="1">
        <f t="array" ref="G501">IF(LineærRegression_Valg[[#This Row],[Indenfor range]],IF(LineærRegression_Valg[[#This Row],[Intet overlap]],INDEX(DataTitel_liste,LineærRegression_Valg[[#This Row],[Uafhængig variabel ID]]),INDEX(DataTitel_liste,IF(LineærRegression_Valg[[#This Row],[Afhængig variabel ID]]=1,2,1))),$B$7)</f>
        <v>Eksempel 2 (interval)</v>
      </c>
      <c r="H501" s="171">
        <f>_xlfn.AGGREGATE(2,5,LineærRegression_Valg[[#This Row],[Tabel ID]])</f>
        <v>1</v>
      </c>
    </row>
    <row r="502" spans="1:8" x14ac:dyDescent="0.2">
      <c r="A502">
        <f>ROW(LineærRegression_Valg[[#This Row],[Tabel ID]])-ROW(LineærRegression_Valg[[#Headers],[Tabel ID]])</f>
        <v>492</v>
      </c>
      <c r="B502" s="171">
        <f>ROUNDDOWN((LineærRegression_Valg[[#This Row],[Tabel ID]]-1)/$B$5,0)+1</f>
        <v>123</v>
      </c>
      <c r="C502" s="171">
        <f t="shared" si="7"/>
        <v>4</v>
      </c>
      <c r="D502" s="171" t="b">
        <f>LineærRegression_Valg[[#This Row],[Afhængig variabel ID]]&lt;&gt;LineærRegression_Valg[[#This Row],[Uafhængig variabel ID]]</f>
        <v>1</v>
      </c>
      <c r="E502" t="b">
        <f>LineærRegression_Valg[[#This Row],[Afhængig variabel ID]]&lt;=$B$5</f>
        <v>0</v>
      </c>
      <c r="F502" t="str" cm="1">
        <f t="array" ref="F502">IF(LineærRegression_Valg[[#This Row],[Indenfor range]],INDEX(DataTitel_liste,LineærRegression_Valg[[#This Row],[Afhængig variabel ID]]),INDEX(DataTitel_liste,1))</f>
        <v>Eksempel 1 (interval)</v>
      </c>
      <c r="G502" s="171" t="str" cm="1">
        <f t="array" ref="G502">IF(LineærRegression_Valg[[#This Row],[Indenfor range]],IF(LineærRegression_Valg[[#This Row],[Intet overlap]],INDEX(DataTitel_liste,LineærRegression_Valg[[#This Row],[Uafhængig variabel ID]]),INDEX(DataTitel_liste,IF(LineærRegression_Valg[[#This Row],[Afhængig variabel ID]]=1,2,1))),$B$7)</f>
        <v>Eksempel 2 (interval)</v>
      </c>
      <c r="H502" s="171">
        <f>_xlfn.AGGREGATE(2,5,LineærRegression_Valg[[#This Row],[Tabel ID]])</f>
        <v>1</v>
      </c>
    </row>
    <row r="503" spans="1:8" x14ac:dyDescent="0.2">
      <c r="A503">
        <f>ROW(LineærRegression_Valg[[#This Row],[Tabel ID]])-ROW(LineærRegression_Valg[[#Headers],[Tabel ID]])</f>
        <v>493</v>
      </c>
      <c r="B503" s="171">
        <f>ROUNDDOWN((LineærRegression_Valg[[#This Row],[Tabel ID]]-1)/$B$5,0)+1</f>
        <v>124</v>
      </c>
      <c r="C503" s="171">
        <f t="shared" si="7"/>
        <v>1</v>
      </c>
      <c r="D503" s="171" t="b">
        <f>LineærRegression_Valg[[#This Row],[Afhængig variabel ID]]&lt;&gt;LineærRegression_Valg[[#This Row],[Uafhængig variabel ID]]</f>
        <v>1</v>
      </c>
      <c r="E503" t="b">
        <f>LineærRegression_Valg[[#This Row],[Afhængig variabel ID]]&lt;=$B$5</f>
        <v>0</v>
      </c>
      <c r="F503" t="str" cm="1">
        <f t="array" ref="F503">IF(LineærRegression_Valg[[#This Row],[Indenfor range]],INDEX(DataTitel_liste,LineærRegression_Valg[[#This Row],[Afhængig variabel ID]]),INDEX(DataTitel_liste,1))</f>
        <v>Eksempel 1 (interval)</v>
      </c>
      <c r="G503" s="171" t="str" cm="1">
        <f t="array" ref="G503">IF(LineærRegression_Valg[[#This Row],[Indenfor range]],IF(LineærRegression_Valg[[#This Row],[Intet overlap]],INDEX(DataTitel_liste,LineærRegression_Valg[[#This Row],[Uafhængig variabel ID]]),INDEX(DataTitel_liste,IF(LineærRegression_Valg[[#This Row],[Afhængig variabel ID]]=1,2,1))),$B$7)</f>
        <v>Eksempel 2 (interval)</v>
      </c>
      <c r="H503" s="171">
        <f>_xlfn.AGGREGATE(2,5,LineærRegression_Valg[[#This Row],[Tabel ID]])</f>
        <v>1</v>
      </c>
    </row>
    <row r="504" spans="1:8" x14ac:dyDescent="0.2">
      <c r="A504">
        <f>ROW(LineærRegression_Valg[[#This Row],[Tabel ID]])-ROW(LineærRegression_Valg[[#Headers],[Tabel ID]])</f>
        <v>494</v>
      </c>
      <c r="B504" s="171">
        <f>ROUNDDOWN((LineærRegression_Valg[[#This Row],[Tabel ID]]-1)/$B$5,0)+1</f>
        <v>124</v>
      </c>
      <c r="C504" s="171">
        <f t="shared" si="7"/>
        <v>2</v>
      </c>
      <c r="D504" s="171" t="b">
        <f>LineærRegression_Valg[[#This Row],[Afhængig variabel ID]]&lt;&gt;LineærRegression_Valg[[#This Row],[Uafhængig variabel ID]]</f>
        <v>1</v>
      </c>
      <c r="E504" t="b">
        <f>LineærRegression_Valg[[#This Row],[Afhængig variabel ID]]&lt;=$B$5</f>
        <v>0</v>
      </c>
      <c r="F504" t="str" cm="1">
        <f t="array" ref="F504">IF(LineærRegression_Valg[[#This Row],[Indenfor range]],INDEX(DataTitel_liste,LineærRegression_Valg[[#This Row],[Afhængig variabel ID]]),INDEX(DataTitel_liste,1))</f>
        <v>Eksempel 1 (interval)</v>
      </c>
      <c r="G504" s="171" t="str" cm="1">
        <f t="array" ref="G504">IF(LineærRegression_Valg[[#This Row],[Indenfor range]],IF(LineærRegression_Valg[[#This Row],[Intet overlap]],INDEX(DataTitel_liste,LineærRegression_Valg[[#This Row],[Uafhængig variabel ID]]),INDEX(DataTitel_liste,IF(LineærRegression_Valg[[#This Row],[Afhængig variabel ID]]=1,2,1))),$B$7)</f>
        <v>Eksempel 2 (interval)</v>
      </c>
      <c r="H504" s="171">
        <f>_xlfn.AGGREGATE(2,5,LineærRegression_Valg[[#This Row],[Tabel ID]])</f>
        <v>1</v>
      </c>
    </row>
    <row r="505" spans="1:8" x14ac:dyDescent="0.2">
      <c r="A505">
        <f>ROW(LineærRegression_Valg[[#This Row],[Tabel ID]])-ROW(LineærRegression_Valg[[#Headers],[Tabel ID]])</f>
        <v>495</v>
      </c>
      <c r="B505" s="171">
        <f>ROUNDDOWN((LineærRegression_Valg[[#This Row],[Tabel ID]]-1)/$B$5,0)+1</f>
        <v>124</v>
      </c>
      <c r="C505" s="171">
        <f t="shared" si="7"/>
        <v>3</v>
      </c>
      <c r="D505" s="171" t="b">
        <f>LineærRegression_Valg[[#This Row],[Afhængig variabel ID]]&lt;&gt;LineærRegression_Valg[[#This Row],[Uafhængig variabel ID]]</f>
        <v>1</v>
      </c>
      <c r="E505" t="b">
        <f>LineærRegression_Valg[[#This Row],[Afhængig variabel ID]]&lt;=$B$5</f>
        <v>0</v>
      </c>
      <c r="F505" t="str" cm="1">
        <f t="array" ref="F505">IF(LineærRegression_Valg[[#This Row],[Indenfor range]],INDEX(DataTitel_liste,LineærRegression_Valg[[#This Row],[Afhængig variabel ID]]),INDEX(DataTitel_liste,1))</f>
        <v>Eksempel 1 (interval)</v>
      </c>
      <c r="G505" s="171" t="str" cm="1">
        <f t="array" ref="G505">IF(LineærRegression_Valg[[#This Row],[Indenfor range]],IF(LineærRegression_Valg[[#This Row],[Intet overlap]],INDEX(DataTitel_liste,LineærRegression_Valg[[#This Row],[Uafhængig variabel ID]]),INDEX(DataTitel_liste,IF(LineærRegression_Valg[[#This Row],[Afhængig variabel ID]]=1,2,1))),$B$7)</f>
        <v>Eksempel 2 (interval)</v>
      </c>
      <c r="H505" s="171">
        <f>_xlfn.AGGREGATE(2,5,LineærRegression_Valg[[#This Row],[Tabel ID]])</f>
        <v>1</v>
      </c>
    </row>
    <row r="506" spans="1:8" x14ac:dyDescent="0.2">
      <c r="A506">
        <f>ROW(LineærRegression_Valg[[#This Row],[Tabel ID]])-ROW(LineærRegression_Valg[[#Headers],[Tabel ID]])</f>
        <v>496</v>
      </c>
      <c r="B506" s="171">
        <f>ROUNDDOWN((LineærRegression_Valg[[#This Row],[Tabel ID]]-1)/$B$5,0)+1</f>
        <v>124</v>
      </c>
      <c r="C506" s="171">
        <f t="shared" si="7"/>
        <v>4</v>
      </c>
      <c r="D506" s="171" t="b">
        <f>LineærRegression_Valg[[#This Row],[Afhængig variabel ID]]&lt;&gt;LineærRegression_Valg[[#This Row],[Uafhængig variabel ID]]</f>
        <v>1</v>
      </c>
      <c r="E506" t="b">
        <f>LineærRegression_Valg[[#This Row],[Afhængig variabel ID]]&lt;=$B$5</f>
        <v>0</v>
      </c>
      <c r="F506" t="str" cm="1">
        <f t="array" ref="F506">IF(LineærRegression_Valg[[#This Row],[Indenfor range]],INDEX(DataTitel_liste,LineærRegression_Valg[[#This Row],[Afhængig variabel ID]]),INDEX(DataTitel_liste,1))</f>
        <v>Eksempel 1 (interval)</v>
      </c>
      <c r="G506" s="171" t="str" cm="1">
        <f t="array" ref="G506">IF(LineærRegression_Valg[[#This Row],[Indenfor range]],IF(LineærRegression_Valg[[#This Row],[Intet overlap]],INDEX(DataTitel_liste,LineærRegression_Valg[[#This Row],[Uafhængig variabel ID]]),INDEX(DataTitel_liste,IF(LineærRegression_Valg[[#This Row],[Afhængig variabel ID]]=1,2,1))),$B$7)</f>
        <v>Eksempel 2 (interval)</v>
      </c>
      <c r="H506" s="171">
        <f>_xlfn.AGGREGATE(2,5,LineærRegression_Valg[[#This Row],[Tabel ID]])</f>
        <v>1</v>
      </c>
    </row>
    <row r="507" spans="1:8" x14ac:dyDescent="0.2">
      <c r="A507">
        <f>ROW(LineærRegression_Valg[[#This Row],[Tabel ID]])-ROW(LineærRegression_Valg[[#Headers],[Tabel ID]])</f>
        <v>497</v>
      </c>
      <c r="B507" s="171">
        <f>ROUNDDOWN((LineærRegression_Valg[[#This Row],[Tabel ID]]-1)/$B$5,0)+1</f>
        <v>125</v>
      </c>
      <c r="C507" s="171">
        <f t="shared" si="7"/>
        <v>1</v>
      </c>
      <c r="D507" s="171" t="b">
        <f>LineærRegression_Valg[[#This Row],[Afhængig variabel ID]]&lt;&gt;LineærRegression_Valg[[#This Row],[Uafhængig variabel ID]]</f>
        <v>1</v>
      </c>
      <c r="E507" t="b">
        <f>LineærRegression_Valg[[#This Row],[Afhængig variabel ID]]&lt;=$B$5</f>
        <v>0</v>
      </c>
      <c r="F507" t="str" cm="1">
        <f t="array" ref="F507">IF(LineærRegression_Valg[[#This Row],[Indenfor range]],INDEX(DataTitel_liste,LineærRegression_Valg[[#This Row],[Afhængig variabel ID]]),INDEX(DataTitel_liste,1))</f>
        <v>Eksempel 1 (interval)</v>
      </c>
      <c r="G507" s="171" t="str" cm="1">
        <f t="array" ref="G507">IF(LineærRegression_Valg[[#This Row],[Indenfor range]],IF(LineærRegression_Valg[[#This Row],[Intet overlap]],INDEX(DataTitel_liste,LineærRegression_Valg[[#This Row],[Uafhængig variabel ID]]),INDEX(DataTitel_liste,IF(LineærRegression_Valg[[#This Row],[Afhængig variabel ID]]=1,2,1))),$B$7)</f>
        <v>Eksempel 2 (interval)</v>
      </c>
      <c r="H507" s="171">
        <f>_xlfn.AGGREGATE(2,5,LineærRegression_Valg[[#This Row],[Tabel ID]])</f>
        <v>1</v>
      </c>
    </row>
    <row r="508" spans="1:8" x14ac:dyDescent="0.2">
      <c r="A508">
        <f>ROW(LineærRegression_Valg[[#This Row],[Tabel ID]])-ROW(LineærRegression_Valg[[#Headers],[Tabel ID]])</f>
        <v>498</v>
      </c>
      <c r="B508" s="171">
        <f>ROUNDDOWN((LineærRegression_Valg[[#This Row],[Tabel ID]]-1)/$B$5,0)+1</f>
        <v>125</v>
      </c>
      <c r="C508" s="171">
        <f t="shared" si="7"/>
        <v>2</v>
      </c>
      <c r="D508" s="171" t="b">
        <f>LineærRegression_Valg[[#This Row],[Afhængig variabel ID]]&lt;&gt;LineærRegression_Valg[[#This Row],[Uafhængig variabel ID]]</f>
        <v>1</v>
      </c>
      <c r="E508" t="b">
        <f>LineærRegression_Valg[[#This Row],[Afhængig variabel ID]]&lt;=$B$5</f>
        <v>0</v>
      </c>
      <c r="F508" t="str" cm="1">
        <f t="array" ref="F508">IF(LineærRegression_Valg[[#This Row],[Indenfor range]],INDEX(DataTitel_liste,LineærRegression_Valg[[#This Row],[Afhængig variabel ID]]),INDEX(DataTitel_liste,1))</f>
        <v>Eksempel 1 (interval)</v>
      </c>
      <c r="G508" s="171" t="str" cm="1">
        <f t="array" ref="G508">IF(LineærRegression_Valg[[#This Row],[Indenfor range]],IF(LineærRegression_Valg[[#This Row],[Intet overlap]],INDEX(DataTitel_liste,LineærRegression_Valg[[#This Row],[Uafhængig variabel ID]]),INDEX(DataTitel_liste,IF(LineærRegression_Valg[[#This Row],[Afhængig variabel ID]]=1,2,1))),$B$7)</f>
        <v>Eksempel 2 (interval)</v>
      </c>
      <c r="H508" s="171">
        <f>_xlfn.AGGREGATE(2,5,LineærRegression_Valg[[#This Row],[Tabel ID]])</f>
        <v>1</v>
      </c>
    </row>
    <row r="509" spans="1:8" x14ac:dyDescent="0.2">
      <c r="A509">
        <f>ROW(LineærRegression_Valg[[#This Row],[Tabel ID]])-ROW(LineærRegression_Valg[[#Headers],[Tabel ID]])</f>
        <v>499</v>
      </c>
      <c r="B509" s="171">
        <f>ROUNDDOWN((LineærRegression_Valg[[#This Row],[Tabel ID]]-1)/$B$5,0)+1</f>
        <v>125</v>
      </c>
      <c r="C509" s="171">
        <f t="shared" si="7"/>
        <v>3</v>
      </c>
      <c r="D509" s="171" t="b">
        <f>LineærRegression_Valg[[#This Row],[Afhængig variabel ID]]&lt;&gt;LineærRegression_Valg[[#This Row],[Uafhængig variabel ID]]</f>
        <v>1</v>
      </c>
      <c r="E509" t="b">
        <f>LineærRegression_Valg[[#This Row],[Afhængig variabel ID]]&lt;=$B$5</f>
        <v>0</v>
      </c>
      <c r="F509" t="str" cm="1">
        <f t="array" ref="F509">IF(LineærRegression_Valg[[#This Row],[Indenfor range]],INDEX(DataTitel_liste,LineærRegression_Valg[[#This Row],[Afhængig variabel ID]]),INDEX(DataTitel_liste,1))</f>
        <v>Eksempel 1 (interval)</v>
      </c>
      <c r="G509" s="171" t="str" cm="1">
        <f t="array" ref="G509">IF(LineærRegression_Valg[[#This Row],[Indenfor range]],IF(LineærRegression_Valg[[#This Row],[Intet overlap]],INDEX(DataTitel_liste,LineærRegression_Valg[[#This Row],[Uafhængig variabel ID]]),INDEX(DataTitel_liste,IF(LineærRegression_Valg[[#This Row],[Afhængig variabel ID]]=1,2,1))),$B$7)</f>
        <v>Eksempel 2 (interval)</v>
      </c>
      <c r="H509" s="171">
        <f>_xlfn.AGGREGATE(2,5,LineærRegression_Valg[[#This Row],[Tabel ID]])</f>
        <v>1</v>
      </c>
    </row>
    <row r="510" spans="1:8" x14ac:dyDescent="0.2">
      <c r="A510">
        <f>ROW(LineærRegression_Valg[[#This Row],[Tabel ID]])-ROW(LineærRegression_Valg[[#Headers],[Tabel ID]])</f>
        <v>500</v>
      </c>
      <c r="B510" s="171">
        <f>ROUNDDOWN((LineærRegression_Valg[[#This Row],[Tabel ID]]-1)/$B$5,0)+1</f>
        <v>125</v>
      </c>
      <c r="C510" s="171">
        <f t="shared" si="7"/>
        <v>4</v>
      </c>
      <c r="D510" s="171" t="b">
        <f>LineærRegression_Valg[[#This Row],[Afhængig variabel ID]]&lt;&gt;LineærRegression_Valg[[#This Row],[Uafhængig variabel ID]]</f>
        <v>1</v>
      </c>
      <c r="E510" t="b">
        <f>LineærRegression_Valg[[#This Row],[Afhængig variabel ID]]&lt;=$B$5</f>
        <v>0</v>
      </c>
      <c r="F510" t="str" cm="1">
        <f t="array" ref="F510">IF(LineærRegression_Valg[[#This Row],[Indenfor range]],INDEX(DataTitel_liste,LineærRegression_Valg[[#This Row],[Afhængig variabel ID]]),INDEX(DataTitel_liste,1))</f>
        <v>Eksempel 1 (interval)</v>
      </c>
      <c r="G510" s="171" t="str" cm="1">
        <f t="array" ref="G510">IF(LineærRegression_Valg[[#This Row],[Indenfor range]],IF(LineærRegression_Valg[[#This Row],[Intet overlap]],INDEX(DataTitel_liste,LineærRegression_Valg[[#This Row],[Uafhængig variabel ID]]),INDEX(DataTitel_liste,IF(LineærRegression_Valg[[#This Row],[Afhængig variabel ID]]=1,2,1))),$B$7)</f>
        <v>Eksempel 2 (interval)</v>
      </c>
      <c r="H510" s="171">
        <f>_xlfn.AGGREGATE(2,5,LineærRegression_Valg[[#This Row],[Tabel ID]])</f>
        <v>1</v>
      </c>
    </row>
    <row r="511" spans="1:8" x14ac:dyDescent="0.2">
      <c r="A511">
        <f>ROW(LineærRegression_Valg[[#This Row],[Tabel ID]])-ROW(LineærRegression_Valg[[#Headers],[Tabel ID]])</f>
        <v>501</v>
      </c>
      <c r="B511" s="171">
        <f>ROUNDDOWN((LineærRegression_Valg[[#This Row],[Tabel ID]]-1)/$B$5,0)+1</f>
        <v>126</v>
      </c>
      <c r="C511" s="171">
        <f t="shared" si="7"/>
        <v>1</v>
      </c>
      <c r="D511" s="171" t="b">
        <f>LineærRegression_Valg[[#This Row],[Afhængig variabel ID]]&lt;&gt;LineærRegression_Valg[[#This Row],[Uafhængig variabel ID]]</f>
        <v>1</v>
      </c>
      <c r="E511" t="b">
        <f>LineærRegression_Valg[[#This Row],[Afhængig variabel ID]]&lt;=$B$5</f>
        <v>0</v>
      </c>
      <c r="F511" t="str" cm="1">
        <f t="array" ref="F511">IF(LineærRegression_Valg[[#This Row],[Indenfor range]],INDEX(DataTitel_liste,LineærRegression_Valg[[#This Row],[Afhængig variabel ID]]),INDEX(DataTitel_liste,1))</f>
        <v>Eksempel 1 (interval)</v>
      </c>
      <c r="G511" s="171" t="str" cm="1">
        <f t="array" ref="G511">IF(LineærRegression_Valg[[#This Row],[Indenfor range]],IF(LineærRegression_Valg[[#This Row],[Intet overlap]],INDEX(DataTitel_liste,LineærRegression_Valg[[#This Row],[Uafhængig variabel ID]]),INDEX(DataTitel_liste,IF(LineærRegression_Valg[[#This Row],[Afhængig variabel ID]]=1,2,1))),$B$7)</f>
        <v>Eksempel 2 (interval)</v>
      </c>
      <c r="H511" s="171">
        <f>_xlfn.AGGREGATE(2,5,LineærRegression_Valg[[#This Row],[Tabel ID]])</f>
        <v>1</v>
      </c>
    </row>
    <row r="512" spans="1:8" x14ac:dyDescent="0.2">
      <c r="A512">
        <f>ROW(LineærRegression_Valg[[#This Row],[Tabel ID]])-ROW(LineærRegression_Valg[[#Headers],[Tabel ID]])</f>
        <v>502</v>
      </c>
      <c r="B512" s="171">
        <f>ROUNDDOWN((LineærRegression_Valg[[#This Row],[Tabel ID]]-1)/$B$5,0)+1</f>
        <v>126</v>
      </c>
      <c r="C512" s="171">
        <f t="shared" si="7"/>
        <v>2</v>
      </c>
      <c r="D512" s="171" t="b">
        <f>LineærRegression_Valg[[#This Row],[Afhængig variabel ID]]&lt;&gt;LineærRegression_Valg[[#This Row],[Uafhængig variabel ID]]</f>
        <v>1</v>
      </c>
      <c r="E512" t="b">
        <f>LineærRegression_Valg[[#This Row],[Afhængig variabel ID]]&lt;=$B$5</f>
        <v>0</v>
      </c>
      <c r="F512" t="str" cm="1">
        <f t="array" ref="F512">IF(LineærRegression_Valg[[#This Row],[Indenfor range]],INDEX(DataTitel_liste,LineærRegression_Valg[[#This Row],[Afhængig variabel ID]]),INDEX(DataTitel_liste,1))</f>
        <v>Eksempel 1 (interval)</v>
      </c>
      <c r="G512" s="171" t="str" cm="1">
        <f t="array" ref="G512">IF(LineærRegression_Valg[[#This Row],[Indenfor range]],IF(LineærRegression_Valg[[#This Row],[Intet overlap]],INDEX(DataTitel_liste,LineærRegression_Valg[[#This Row],[Uafhængig variabel ID]]),INDEX(DataTitel_liste,IF(LineærRegression_Valg[[#This Row],[Afhængig variabel ID]]=1,2,1))),$B$7)</f>
        <v>Eksempel 2 (interval)</v>
      </c>
      <c r="H512" s="171">
        <f>_xlfn.AGGREGATE(2,5,LineærRegression_Valg[[#This Row],[Tabel ID]])</f>
        <v>1</v>
      </c>
    </row>
    <row r="513" spans="1:8" x14ac:dyDescent="0.2">
      <c r="A513">
        <f>ROW(LineærRegression_Valg[[#This Row],[Tabel ID]])-ROW(LineærRegression_Valg[[#Headers],[Tabel ID]])</f>
        <v>503</v>
      </c>
      <c r="B513" s="171">
        <f>ROUNDDOWN((LineærRegression_Valg[[#This Row],[Tabel ID]]-1)/$B$5,0)+1</f>
        <v>126</v>
      </c>
      <c r="C513" s="171">
        <f t="shared" si="7"/>
        <v>3</v>
      </c>
      <c r="D513" s="171" t="b">
        <f>LineærRegression_Valg[[#This Row],[Afhængig variabel ID]]&lt;&gt;LineærRegression_Valg[[#This Row],[Uafhængig variabel ID]]</f>
        <v>1</v>
      </c>
      <c r="E513" t="b">
        <f>LineærRegression_Valg[[#This Row],[Afhængig variabel ID]]&lt;=$B$5</f>
        <v>0</v>
      </c>
      <c r="F513" t="str" cm="1">
        <f t="array" ref="F513">IF(LineærRegression_Valg[[#This Row],[Indenfor range]],INDEX(DataTitel_liste,LineærRegression_Valg[[#This Row],[Afhængig variabel ID]]),INDEX(DataTitel_liste,1))</f>
        <v>Eksempel 1 (interval)</v>
      </c>
      <c r="G513" s="171" t="str" cm="1">
        <f t="array" ref="G513">IF(LineærRegression_Valg[[#This Row],[Indenfor range]],IF(LineærRegression_Valg[[#This Row],[Intet overlap]],INDEX(DataTitel_liste,LineærRegression_Valg[[#This Row],[Uafhængig variabel ID]]),INDEX(DataTitel_liste,IF(LineærRegression_Valg[[#This Row],[Afhængig variabel ID]]=1,2,1))),$B$7)</f>
        <v>Eksempel 2 (interval)</v>
      </c>
      <c r="H513" s="171">
        <f>_xlfn.AGGREGATE(2,5,LineærRegression_Valg[[#This Row],[Tabel ID]])</f>
        <v>1</v>
      </c>
    </row>
    <row r="514" spans="1:8" x14ac:dyDescent="0.2">
      <c r="A514">
        <f>ROW(LineærRegression_Valg[[#This Row],[Tabel ID]])-ROW(LineærRegression_Valg[[#Headers],[Tabel ID]])</f>
        <v>504</v>
      </c>
      <c r="B514" s="171">
        <f>ROUNDDOWN((LineærRegression_Valg[[#This Row],[Tabel ID]]-1)/$B$5,0)+1</f>
        <v>126</v>
      </c>
      <c r="C514" s="171">
        <f t="shared" si="7"/>
        <v>4</v>
      </c>
      <c r="D514" s="171" t="b">
        <f>LineærRegression_Valg[[#This Row],[Afhængig variabel ID]]&lt;&gt;LineærRegression_Valg[[#This Row],[Uafhængig variabel ID]]</f>
        <v>1</v>
      </c>
      <c r="E514" t="b">
        <f>LineærRegression_Valg[[#This Row],[Afhængig variabel ID]]&lt;=$B$5</f>
        <v>0</v>
      </c>
      <c r="F514" t="str" cm="1">
        <f t="array" ref="F514">IF(LineærRegression_Valg[[#This Row],[Indenfor range]],INDEX(DataTitel_liste,LineærRegression_Valg[[#This Row],[Afhængig variabel ID]]),INDEX(DataTitel_liste,1))</f>
        <v>Eksempel 1 (interval)</v>
      </c>
      <c r="G514" s="171" t="str" cm="1">
        <f t="array" ref="G514">IF(LineærRegression_Valg[[#This Row],[Indenfor range]],IF(LineærRegression_Valg[[#This Row],[Intet overlap]],INDEX(DataTitel_liste,LineærRegression_Valg[[#This Row],[Uafhængig variabel ID]]),INDEX(DataTitel_liste,IF(LineærRegression_Valg[[#This Row],[Afhængig variabel ID]]=1,2,1))),$B$7)</f>
        <v>Eksempel 2 (interval)</v>
      </c>
      <c r="H514" s="171">
        <f>_xlfn.AGGREGATE(2,5,LineærRegression_Valg[[#This Row],[Tabel ID]])</f>
        <v>1</v>
      </c>
    </row>
    <row r="515" spans="1:8" x14ac:dyDescent="0.2">
      <c r="A515">
        <f>ROW(LineærRegression_Valg[[#This Row],[Tabel ID]])-ROW(LineærRegression_Valg[[#Headers],[Tabel ID]])</f>
        <v>505</v>
      </c>
      <c r="B515" s="171">
        <f>ROUNDDOWN((LineærRegression_Valg[[#This Row],[Tabel ID]]-1)/$B$5,0)+1</f>
        <v>127</v>
      </c>
      <c r="C515" s="171">
        <f t="shared" si="7"/>
        <v>1</v>
      </c>
      <c r="D515" s="171" t="b">
        <f>LineærRegression_Valg[[#This Row],[Afhængig variabel ID]]&lt;&gt;LineærRegression_Valg[[#This Row],[Uafhængig variabel ID]]</f>
        <v>1</v>
      </c>
      <c r="E515" t="b">
        <f>LineærRegression_Valg[[#This Row],[Afhængig variabel ID]]&lt;=$B$5</f>
        <v>0</v>
      </c>
      <c r="F515" t="str" cm="1">
        <f t="array" ref="F515">IF(LineærRegression_Valg[[#This Row],[Indenfor range]],INDEX(DataTitel_liste,LineærRegression_Valg[[#This Row],[Afhængig variabel ID]]),INDEX(DataTitel_liste,1))</f>
        <v>Eksempel 1 (interval)</v>
      </c>
      <c r="G515" s="171" t="str" cm="1">
        <f t="array" ref="G515">IF(LineærRegression_Valg[[#This Row],[Indenfor range]],IF(LineærRegression_Valg[[#This Row],[Intet overlap]],INDEX(DataTitel_liste,LineærRegression_Valg[[#This Row],[Uafhængig variabel ID]]),INDEX(DataTitel_liste,IF(LineærRegression_Valg[[#This Row],[Afhængig variabel ID]]=1,2,1))),$B$7)</f>
        <v>Eksempel 2 (interval)</v>
      </c>
      <c r="H515" s="171">
        <f>_xlfn.AGGREGATE(2,5,LineærRegression_Valg[[#This Row],[Tabel ID]])</f>
        <v>1</v>
      </c>
    </row>
    <row r="516" spans="1:8" x14ac:dyDescent="0.2">
      <c r="A516">
        <f>ROW(LineærRegression_Valg[[#This Row],[Tabel ID]])-ROW(LineærRegression_Valg[[#Headers],[Tabel ID]])</f>
        <v>506</v>
      </c>
      <c r="B516" s="171">
        <f>ROUNDDOWN((LineærRegression_Valg[[#This Row],[Tabel ID]]-1)/$B$5,0)+1</f>
        <v>127</v>
      </c>
      <c r="C516" s="171">
        <f t="shared" si="7"/>
        <v>2</v>
      </c>
      <c r="D516" s="171" t="b">
        <f>LineærRegression_Valg[[#This Row],[Afhængig variabel ID]]&lt;&gt;LineærRegression_Valg[[#This Row],[Uafhængig variabel ID]]</f>
        <v>1</v>
      </c>
      <c r="E516" t="b">
        <f>LineærRegression_Valg[[#This Row],[Afhængig variabel ID]]&lt;=$B$5</f>
        <v>0</v>
      </c>
      <c r="F516" t="str" cm="1">
        <f t="array" ref="F516">IF(LineærRegression_Valg[[#This Row],[Indenfor range]],INDEX(DataTitel_liste,LineærRegression_Valg[[#This Row],[Afhængig variabel ID]]),INDEX(DataTitel_liste,1))</f>
        <v>Eksempel 1 (interval)</v>
      </c>
      <c r="G516" s="171" t="str" cm="1">
        <f t="array" ref="G516">IF(LineærRegression_Valg[[#This Row],[Indenfor range]],IF(LineærRegression_Valg[[#This Row],[Intet overlap]],INDEX(DataTitel_liste,LineærRegression_Valg[[#This Row],[Uafhængig variabel ID]]),INDEX(DataTitel_liste,IF(LineærRegression_Valg[[#This Row],[Afhængig variabel ID]]=1,2,1))),$B$7)</f>
        <v>Eksempel 2 (interval)</v>
      </c>
      <c r="H516" s="171">
        <f>_xlfn.AGGREGATE(2,5,LineærRegression_Valg[[#This Row],[Tabel ID]])</f>
        <v>1</v>
      </c>
    </row>
    <row r="517" spans="1:8" x14ac:dyDescent="0.2">
      <c r="A517">
        <f>ROW(LineærRegression_Valg[[#This Row],[Tabel ID]])-ROW(LineærRegression_Valg[[#Headers],[Tabel ID]])</f>
        <v>507</v>
      </c>
      <c r="B517" s="171">
        <f>ROUNDDOWN((LineærRegression_Valg[[#This Row],[Tabel ID]]-1)/$B$5,0)+1</f>
        <v>127</v>
      </c>
      <c r="C517" s="171">
        <f t="shared" si="7"/>
        <v>3</v>
      </c>
      <c r="D517" s="171" t="b">
        <f>LineærRegression_Valg[[#This Row],[Afhængig variabel ID]]&lt;&gt;LineærRegression_Valg[[#This Row],[Uafhængig variabel ID]]</f>
        <v>1</v>
      </c>
      <c r="E517" t="b">
        <f>LineærRegression_Valg[[#This Row],[Afhængig variabel ID]]&lt;=$B$5</f>
        <v>0</v>
      </c>
      <c r="F517" t="str" cm="1">
        <f t="array" ref="F517">IF(LineærRegression_Valg[[#This Row],[Indenfor range]],INDEX(DataTitel_liste,LineærRegression_Valg[[#This Row],[Afhængig variabel ID]]),INDEX(DataTitel_liste,1))</f>
        <v>Eksempel 1 (interval)</v>
      </c>
      <c r="G517" s="171" t="str" cm="1">
        <f t="array" ref="G517">IF(LineærRegression_Valg[[#This Row],[Indenfor range]],IF(LineærRegression_Valg[[#This Row],[Intet overlap]],INDEX(DataTitel_liste,LineærRegression_Valg[[#This Row],[Uafhængig variabel ID]]),INDEX(DataTitel_liste,IF(LineærRegression_Valg[[#This Row],[Afhængig variabel ID]]=1,2,1))),$B$7)</f>
        <v>Eksempel 2 (interval)</v>
      </c>
      <c r="H517" s="171">
        <f>_xlfn.AGGREGATE(2,5,LineærRegression_Valg[[#This Row],[Tabel ID]])</f>
        <v>1</v>
      </c>
    </row>
    <row r="518" spans="1:8" x14ac:dyDescent="0.2">
      <c r="A518">
        <f>ROW(LineærRegression_Valg[[#This Row],[Tabel ID]])-ROW(LineærRegression_Valg[[#Headers],[Tabel ID]])</f>
        <v>508</v>
      </c>
      <c r="B518" s="171">
        <f>ROUNDDOWN((LineærRegression_Valg[[#This Row],[Tabel ID]]-1)/$B$5,0)+1</f>
        <v>127</v>
      </c>
      <c r="C518" s="171">
        <f t="shared" si="7"/>
        <v>4</v>
      </c>
      <c r="D518" s="171" t="b">
        <f>LineærRegression_Valg[[#This Row],[Afhængig variabel ID]]&lt;&gt;LineærRegression_Valg[[#This Row],[Uafhængig variabel ID]]</f>
        <v>1</v>
      </c>
      <c r="E518" t="b">
        <f>LineærRegression_Valg[[#This Row],[Afhængig variabel ID]]&lt;=$B$5</f>
        <v>0</v>
      </c>
      <c r="F518" t="str" cm="1">
        <f t="array" ref="F518">IF(LineærRegression_Valg[[#This Row],[Indenfor range]],INDEX(DataTitel_liste,LineærRegression_Valg[[#This Row],[Afhængig variabel ID]]),INDEX(DataTitel_liste,1))</f>
        <v>Eksempel 1 (interval)</v>
      </c>
      <c r="G518" s="171" t="str" cm="1">
        <f t="array" ref="G518">IF(LineærRegression_Valg[[#This Row],[Indenfor range]],IF(LineærRegression_Valg[[#This Row],[Intet overlap]],INDEX(DataTitel_liste,LineærRegression_Valg[[#This Row],[Uafhængig variabel ID]]),INDEX(DataTitel_liste,IF(LineærRegression_Valg[[#This Row],[Afhængig variabel ID]]=1,2,1))),$B$7)</f>
        <v>Eksempel 2 (interval)</v>
      </c>
      <c r="H518" s="171">
        <f>_xlfn.AGGREGATE(2,5,LineærRegression_Valg[[#This Row],[Tabel ID]])</f>
        <v>1</v>
      </c>
    </row>
    <row r="519" spans="1:8" x14ac:dyDescent="0.2">
      <c r="A519">
        <f>ROW(LineærRegression_Valg[[#This Row],[Tabel ID]])-ROW(LineærRegression_Valg[[#Headers],[Tabel ID]])</f>
        <v>509</v>
      </c>
      <c r="B519" s="171">
        <f>ROUNDDOWN((LineærRegression_Valg[[#This Row],[Tabel ID]]-1)/$B$5,0)+1</f>
        <v>128</v>
      </c>
      <c r="C519" s="171">
        <f t="shared" si="7"/>
        <v>1</v>
      </c>
      <c r="D519" s="171" t="b">
        <f>LineærRegression_Valg[[#This Row],[Afhængig variabel ID]]&lt;&gt;LineærRegression_Valg[[#This Row],[Uafhængig variabel ID]]</f>
        <v>1</v>
      </c>
      <c r="E519" t="b">
        <f>LineærRegression_Valg[[#This Row],[Afhængig variabel ID]]&lt;=$B$5</f>
        <v>0</v>
      </c>
      <c r="F519" t="str" cm="1">
        <f t="array" ref="F519">IF(LineærRegression_Valg[[#This Row],[Indenfor range]],INDEX(DataTitel_liste,LineærRegression_Valg[[#This Row],[Afhængig variabel ID]]),INDEX(DataTitel_liste,1))</f>
        <v>Eksempel 1 (interval)</v>
      </c>
      <c r="G519" s="171" t="str" cm="1">
        <f t="array" ref="G519">IF(LineærRegression_Valg[[#This Row],[Indenfor range]],IF(LineærRegression_Valg[[#This Row],[Intet overlap]],INDEX(DataTitel_liste,LineærRegression_Valg[[#This Row],[Uafhængig variabel ID]]),INDEX(DataTitel_liste,IF(LineærRegression_Valg[[#This Row],[Afhængig variabel ID]]=1,2,1))),$B$7)</f>
        <v>Eksempel 2 (interval)</v>
      </c>
      <c r="H519" s="171">
        <f>_xlfn.AGGREGATE(2,5,LineærRegression_Valg[[#This Row],[Tabel ID]])</f>
        <v>1</v>
      </c>
    </row>
    <row r="520" spans="1:8" x14ac:dyDescent="0.2">
      <c r="A520">
        <f>ROW(LineærRegression_Valg[[#This Row],[Tabel ID]])-ROW(LineærRegression_Valg[[#Headers],[Tabel ID]])</f>
        <v>510</v>
      </c>
      <c r="B520" s="171">
        <f>ROUNDDOWN((LineærRegression_Valg[[#This Row],[Tabel ID]]-1)/$B$5,0)+1</f>
        <v>128</v>
      </c>
      <c r="C520" s="171">
        <f t="shared" si="7"/>
        <v>2</v>
      </c>
      <c r="D520" s="171" t="b">
        <f>LineærRegression_Valg[[#This Row],[Afhængig variabel ID]]&lt;&gt;LineærRegression_Valg[[#This Row],[Uafhængig variabel ID]]</f>
        <v>1</v>
      </c>
      <c r="E520" t="b">
        <f>LineærRegression_Valg[[#This Row],[Afhængig variabel ID]]&lt;=$B$5</f>
        <v>0</v>
      </c>
      <c r="F520" t="str" cm="1">
        <f t="array" ref="F520">IF(LineærRegression_Valg[[#This Row],[Indenfor range]],INDEX(DataTitel_liste,LineærRegression_Valg[[#This Row],[Afhængig variabel ID]]),INDEX(DataTitel_liste,1))</f>
        <v>Eksempel 1 (interval)</v>
      </c>
      <c r="G520" s="171" t="str" cm="1">
        <f t="array" ref="G520">IF(LineærRegression_Valg[[#This Row],[Indenfor range]],IF(LineærRegression_Valg[[#This Row],[Intet overlap]],INDEX(DataTitel_liste,LineærRegression_Valg[[#This Row],[Uafhængig variabel ID]]),INDEX(DataTitel_liste,IF(LineærRegression_Valg[[#This Row],[Afhængig variabel ID]]=1,2,1))),$B$7)</f>
        <v>Eksempel 2 (interval)</v>
      </c>
      <c r="H520" s="171">
        <f>_xlfn.AGGREGATE(2,5,LineærRegression_Valg[[#This Row],[Tabel ID]])</f>
        <v>1</v>
      </c>
    </row>
    <row r="521" spans="1:8" x14ac:dyDescent="0.2">
      <c r="A521">
        <f>ROW(LineærRegression_Valg[[#This Row],[Tabel ID]])-ROW(LineærRegression_Valg[[#Headers],[Tabel ID]])</f>
        <v>511</v>
      </c>
      <c r="B521" s="171">
        <f>ROUNDDOWN((LineærRegression_Valg[[#This Row],[Tabel ID]]-1)/$B$5,0)+1</f>
        <v>128</v>
      </c>
      <c r="C521" s="171">
        <f t="shared" si="7"/>
        <v>3</v>
      </c>
      <c r="D521" s="171" t="b">
        <f>LineærRegression_Valg[[#This Row],[Afhængig variabel ID]]&lt;&gt;LineærRegression_Valg[[#This Row],[Uafhængig variabel ID]]</f>
        <v>1</v>
      </c>
      <c r="E521" t="b">
        <f>LineærRegression_Valg[[#This Row],[Afhængig variabel ID]]&lt;=$B$5</f>
        <v>0</v>
      </c>
      <c r="F521" t="str" cm="1">
        <f t="array" ref="F521">IF(LineærRegression_Valg[[#This Row],[Indenfor range]],INDEX(DataTitel_liste,LineærRegression_Valg[[#This Row],[Afhængig variabel ID]]),INDEX(DataTitel_liste,1))</f>
        <v>Eksempel 1 (interval)</v>
      </c>
      <c r="G521" s="171" t="str" cm="1">
        <f t="array" ref="G521">IF(LineærRegression_Valg[[#This Row],[Indenfor range]],IF(LineærRegression_Valg[[#This Row],[Intet overlap]],INDEX(DataTitel_liste,LineærRegression_Valg[[#This Row],[Uafhængig variabel ID]]),INDEX(DataTitel_liste,IF(LineærRegression_Valg[[#This Row],[Afhængig variabel ID]]=1,2,1))),$B$7)</f>
        <v>Eksempel 2 (interval)</v>
      </c>
      <c r="H521" s="171">
        <f>_xlfn.AGGREGATE(2,5,LineærRegression_Valg[[#This Row],[Tabel ID]])</f>
        <v>1</v>
      </c>
    </row>
    <row r="522" spans="1:8" x14ac:dyDescent="0.2">
      <c r="A522">
        <f>ROW(LineærRegression_Valg[[#This Row],[Tabel ID]])-ROW(LineærRegression_Valg[[#Headers],[Tabel ID]])</f>
        <v>512</v>
      </c>
      <c r="B522" s="171">
        <f>ROUNDDOWN((LineærRegression_Valg[[#This Row],[Tabel ID]]-1)/$B$5,0)+1</f>
        <v>128</v>
      </c>
      <c r="C522" s="171">
        <f t="shared" si="7"/>
        <v>4</v>
      </c>
      <c r="D522" s="171" t="b">
        <f>LineærRegression_Valg[[#This Row],[Afhængig variabel ID]]&lt;&gt;LineærRegression_Valg[[#This Row],[Uafhængig variabel ID]]</f>
        <v>1</v>
      </c>
      <c r="E522" t="b">
        <f>LineærRegression_Valg[[#This Row],[Afhængig variabel ID]]&lt;=$B$5</f>
        <v>0</v>
      </c>
      <c r="F522" t="str" cm="1">
        <f t="array" ref="F522">IF(LineærRegression_Valg[[#This Row],[Indenfor range]],INDEX(DataTitel_liste,LineærRegression_Valg[[#This Row],[Afhængig variabel ID]]),INDEX(DataTitel_liste,1))</f>
        <v>Eksempel 1 (interval)</v>
      </c>
      <c r="G522" s="171" t="str" cm="1">
        <f t="array" ref="G522">IF(LineærRegression_Valg[[#This Row],[Indenfor range]],IF(LineærRegression_Valg[[#This Row],[Intet overlap]],INDEX(DataTitel_liste,LineærRegression_Valg[[#This Row],[Uafhængig variabel ID]]),INDEX(DataTitel_liste,IF(LineærRegression_Valg[[#This Row],[Afhængig variabel ID]]=1,2,1))),$B$7)</f>
        <v>Eksempel 2 (interval)</v>
      </c>
      <c r="H522" s="171">
        <f>_xlfn.AGGREGATE(2,5,LineærRegression_Valg[[#This Row],[Tabel ID]])</f>
        <v>1</v>
      </c>
    </row>
    <row r="523" spans="1:8" x14ac:dyDescent="0.2">
      <c r="A523">
        <f>ROW(LineærRegression_Valg[[#This Row],[Tabel ID]])-ROW(LineærRegression_Valg[[#Headers],[Tabel ID]])</f>
        <v>513</v>
      </c>
      <c r="B523" s="171">
        <f>ROUNDDOWN((LineærRegression_Valg[[#This Row],[Tabel ID]]-1)/$B$5,0)+1</f>
        <v>129</v>
      </c>
      <c r="C523" s="171">
        <f t="shared" ref="C523:C586" si="8">MOD(A523-1,$B$5)+1</f>
        <v>1</v>
      </c>
      <c r="D523" s="171" t="b">
        <f>LineærRegression_Valg[[#This Row],[Afhængig variabel ID]]&lt;&gt;LineærRegression_Valg[[#This Row],[Uafhængig variabel ID]]</f>
        <v>1</v>
      </c>
      <c r="E523" t="b">
        <f>LineærRegression_Valg[[#This Row],[Afhængig variabel ID]]&lt;=$B$5</f>
        <v>0</v>
      </c>
      <c r="F523" t="str" cm="1">
        <f t="array" ref="F523">IF(LineærRegression_Valg[[#This Row],[Indenfor range]],INDEX(DataTitel_liste,LineærRegression_Valg[[#This Row],[Afhængig variabel ID]]),INDEX(DataTitel_liste,1))</f>
        <v>Eksempel 1 (interval)</v>
      </c>
      <c r="G523" s="171" t="str" cm="1">
        <f t="array" ref="G523">IF(LineærRegression_Valg[[#This Row],[Indenfor range]],IF(LineærRegression_Valg[[#This Row],[Intet overlap]],INDEX(DataTitel_liste,LineærRegression_Valg[[#This Row],[Uafhængig variabel ID]]),INDEX(DataTitel_liste,IF(LineærRegression_Valg[[#This Row],[Afhængig variabel ID]]=1,2,1))),$B$7)</f>
        <v>Eksempel 2 (interval)</v>
      </c>
      <c r="H523" s="171">
        <f>_xlfn.AGGREGATE(2,5,LineærRegression_Valg[[#This Row],[Tabel ID]])</f>
        <v>1</v>
      </c>
    </row>
    <row r="524" spans="1:8" x14ac:dyDescent="0.2">
      <c r="A524">
        <f>ROW(LineærRegression_Valg[[#This Row],[Tabel ID]])-ROW(LineærRegression_Valg[[#Headers],[Tabel ID]])</f>
        <v>514</v>
      </c>
      <c r="B524" s="171">
        <f>ROUNDDOWN((LineærRegression_Valg[[#This Row],[Tabel ID]]-1)/$B$5,0)+1</f>
        <v>129</v>
      </c>
      <c r="C524" s="171">
        <f t="shared" si="8"/>
        <v>2</v>
      </c>
      <c r="D524" s="171" t="b">
        <f>LineærRegression_Valg[[#This Row],[Afhængig variabel ID]]&lt;&gt;LineærRegression_Valg[[#This Row],[Uafhængig variabel ID]]</f>
        <v>1</v>
      </c>
      <c r="E524" t="b">
        <f>LineærRegression_Valg[[#This Row],[Afhængig variabel ID]]&lt;=$B$5</f>
        <v>0</v>
      </c>
      <c r="F524" t="str" cm="1">
        <f t="array" ref="F524">IF(LineærRegression_Valg[[#This Row],[Indenfor range]],INDEX(DataTitel_liste,LineærRegression_Valg[[#This Row],[Afhængig variabel ID]]),INDEX(DataTitel_liste,1))</f>
        <v>Eksempel 1 (interval)</v>
      </c>
      <c r="G524" s="171" t="str" cm="1">
        <f t="array" ref="G524">IF(LineærRegression_Valg[[#This Row],[Indenfor range]],IF(LineærRegression_Valg[[#This Row],[Intet overlap]],INDEX(DataTitel_liste,LineærRegression_Valg[[#This Row],[Uafhængig variabel ID]]),INDEX(DataTitel_liste,IF(LineærRegression_Valg[[#This Row],[Afhængig variabel ID]]=1,2,1))),$B$7)</f>
        <v>Eksempel 2 (interval)</v>
      </c>
      <c r="H524" s="171">
        <f>_xlfn.AGGREGATE(2,5,LineærRegression_Valg[[#This Row],[Tabel ID]])</f>
        <v>1</v>
      </c>
    </row>
    <row r="525" spans="1:8" x14ac:dyDescent="0.2">
      <c r="A525">
        <f>ROW(LineærRegression_Valg[[#This Row],[Tabel ID]])-ROW(LineærRegression_Valg[[#Headers],[Tabel ID]])</f>
        <v>515</v>
      </c>
      <c r="B525" s="171">
        <f>ROUNDDOWN((LineærRegression_Valg[[#This Row],[Tabel ID]]-1)/$B$5,0)+1</f>
        <v>129</v>
      </c>
      <c r="C525" s="171">
        <f t="shared" si="8"/>
        <v>3</v>
      </c>
      <c r="D525" s="171" t="b">
        <f>LineærRegression_Valg[[#This Row],[Afhængig variabel ID]]&lt;&gt;LineærRegression_Valg[[#This Row],[Uafhængig variabel ID]]</f>
        <v>1</v>
      </c>
      <c r="E525" t="b">
        <f>LineærRegression_Valg[[#This Row],[Afhængig variabel ID]]&lt;=$B$5</f>
        <v>0</v>
      </c>
      <c r="F525" t="str" cm="1">
        <f t="array" ref="F525">IF(LineærRegression_Valg[[#This Row],[Indenfor range]],INDEX(DataTitel_liste,LineærRegression_Valg[[#This Row],[Afhængig variabel ID]]),INDEX(DataTitel_liste,1))</f>
        <v>Eksempel 1 (interval)</v>
      </c>
      <c r="G525" s="171" t="str" cm="1">
        <f t="array" ref="G525">IF(LineærRegression_Valg[[#This Row],[Indenfor range]],IF(LineærRegression_Valg[[#This Row],[Intet overlap]],INDEX(DataTitel_liste,LineærRegression_Valg[[#This Row],[Uafhængig variabel ID]]),INDEX(DataTitel_liste,IF(LineærRegression_Valg[[#This Row],[Afhængig variabel ID]]=1,2,1))),$B$7)</f>
        <v>Eksempel 2 (interval)</v>
      </c>
      <c r="H525" s="171">
        <f>_xlfn.AGGREGATE(2,5,LineærRegression_Valg[[#This Row],[Tabel ID]])</f>
        <v>1</v>
      </c>
    </row>
    <row r="526" spans="1:8" x14ac:dyDescent="0.2">
      <c r="A526">
        <f>ROW(LineærRegression_Valg[[#This Row],[Tabel ID]])-ROW(LineærRegression_Valg[[#Headers],[Tabel ID]])</f>
        <v>516</v>
      </c>
      <c r="B526" s="171">
        <f>ROUNDDOWN((LineærRegression_Valg[[#This Row],[Tabel ID]]-1)/$B$5,0)+1</f>
        <v>129</v>
      </c>
      <c r="C526" s="171">
        <f t="shared" si="8"/>
        <v>4</v>
      </c>
      <c r="D526" s="171" t="b">
        <f>LineærRegression_Valg[[#This Row],[Afhængig variabel ID]]&lt;&gt;LineærRegression_Valg[[#This Row],[Uafhængig variabel ID]]</f>
        <v>1</v>
      </c>
      <c r="E526" t="b">
        <f>LineærRegression_Valg[[#This Row],[Afhængig variabel ID]]&lt;=$B$5</f>
        <v>0</v>
      </c>
      <c r="F526" t="str" cm="1">
        <f t="array" ref="F526">IF(LineærRegression_Valg[[#This Row],[Indenfor range]],INDEX(DataTitel_liste,LineærRegression_Valg[[#This Row],[Afhængig variabel ID]]),INDEX(DataTitel_liste,1))</f>
        <v>Eksempel 1 (interval)</v>
      </c>
      <c r="G526" s="171" t="str" cm="1">
        <f t="array" ref="G526">IF(LineærRegression_Valg[[#This Row],[Indenfor range]],IF(LineærRegression_Valg[[#This Row],[Intet overlap]],INDEX(DataTitel_liste,LineærRegression_Valg[[#This Row],[Uafhængig variabel ID]]),INDEX(DataTitel_liste,IF(LineærRegression_Valg[[#This Row],[Afhængig variabel ID]]=1,2,1))),$B$7)</f>
        <v>Eksempel 2 (interval)</v>
      </c>
      <c r="H526" s="171">
        <f>_xlfn.AGGREGATE(2,5,LineærRegression_Valg[[#This Row],[Tabel ID]])</f>
        <v>1</v>
      </c>
    </row>
    <row r="527" spans="1:8" x14ac:dyDescent="0.2">
      <c r="A527">
        <f>ROW(LineærRegression_Valg[[#This Row],[Tabel ID]])-ROW(LineærRegression_Valg[[#Headers],[Tabel ID]])</f>
        <v>517</v>
      </c>
      <c r="B527" s="171">
        <f>ROUNDDOWN((LineærRegression_Valg[[#This Row],[Tabel ID]]-1)/$B$5,0)+1</f>
        <v>130</v>
      </c>
      <c r="C527" s="171">
        <f t="shared" si="8"/>
        <v>1</v>
      </c>
      <c r="D527" s="171" t="b">
        <f>LineærRegression_Valg[[#This Row],[Afhængig variabel ID]]&lt;&gt;LineærRegression_Valg[[#This Row],[Uafhængig variabel ID]]</f>
        <v>1</v>
      </c>
      <c r="E527" t="b">
        <f>LineærRegression_Valg[[#This Row],[Afhængig variabel ID]]&lt;=$B$5</f>
        <v>0</v>
      </c>
      <c r="F527" t="str" cm="1">
        <f t="array" ref="F527">IF(LineærRegression_Valg[[#This Row],[Indenfor range]],INDEX(DataTitel_liste,LineærRegression_Valg[[#This Row],[Afhængig variabel ID]]),INDEX(DataTitel_liste,1))</f>
        <v>Eksempel 1 (interval)</v>
      </c>
      <c r="G527" s="171" t="str" cm="1">
        <f t="array" ref="G527">IF(LineærRegression_Valg[[#This Row],[Indenfor range]],IF(LineærRegression_Valg[[#This Row],[Intet overlap]],INDEX(DataTitel_liste,LineærRegression_Valg[[#This Row],[Uafhængig variabel ID]]),INDEX(DataTitel_liste,IF(LineærRegression_Valg[[#This Row],[Afhængig variabel ID]]=1,2,1))),$B$7)</f>
        <v>Eksempel 2 (interval)</v>
      </c>
      <c r="H527" s="171">
        <f>_xlfn.AGGREGATE(2,5,LineærRegression_Valg[[#This Row],[Tabel ID]])</f>
        <v>1</v>
      </c>
    </row>
    <row r="528" spans="1:8" x14ac:dyDescent="0.2">
      <c r="A528">
        <f>ROW(LineærRegression_Valg[[#This Row],[Tabel ID]])-ROW(LineærRegression_Valg[[#Headers],[Tabel ID]])</f>
        <v>518</v>
      </c>
      <c r="B528" s="171">
        <f>ROUNDDOWN((LineærRegression_Valg[[#This Row],[Tabel ID]]-1)/$B$5,0)+1</f>
        <v>130</v>
      </c>
      <c r="C528" s="171">
        <f t="shared" si="8"/>
        <v>2</v>
      </c>
      <c r="D528" s="171" t="b">
        <f>LineærRegression_Valg[[#This Row],[Afhængig variabel ID]]&lt;&gt;LineærRegression_Valg[[#This Row],[Uafhængig variabel ID]]</f>
        <v>1</v>
      </c>
      <c r="E528" t="b">
        <f>LineærRegression_Valg[[#This Row],[Afhængig variabel ID]]&lt;=$B$5</f>
        <v>0</v>
      </c>
      <c r="F528" t="str" cm="1">
        <f t="array" ref="F528">IF(LineærRegression_Valg[[#This Row],[Indenfor range]],INDEX(DataTitel_liste,LineærRegression_Valg[[#This Row],[Afhængig variabel ID]]),INDEX(DataTitel_liste,1))</f>
        <v>Eksempel 1 (interval)</v>
      </c>
      <c r="G528" s="171" t="str" cm="1">
        <f t="array" ref="G528">IF(LineærRegression_Valg[[#This Row],[Indenfor range]],IF(LineærRegression_Valg[[#This Row],[Intet overlap]],INDEX(DataTitel_liste,LineærRegression_Valg[[#This Row],[Uafhængig variabel ID]]),INDEX(DataTitel_liste,IF(LineærRegression_Valg[[#This Row],[Afhængig variabel ID]]=1,2,1))),$B$7)</f>
        <v>Eksempel 2 (interval)</v>
      </c>
      <c r="H528" s="171">
        <f>_xlfn.AGGREGATE(2,5,LineærRegression_Valg[[#This Row],[Tabel ID]])</f>
        <v>1</v>
      </c>
    </row>
    <row r="529" spans="1:8" x14ac:dyDescent="0.2">
      <c r="A529">
        <f>ROW(LineærRegression_Valg[[#This Row],[Tabel ID]])-ROW(LineærRegression_Valg[[#Headers],[Tabel ID]])</f>
        <v>519</v>
      </c>
      <c r="B529" s="171">
        <f>ROUNDDOWN((LineærRegression_Valg[[#This Row],[Tabel ID]]-1)/$B$5,0)+1</f>
        <v>130</v>
      </c>
      <c r="C529" s="171">
        <f t="shared" si="8"/>
        <v>3</v>
      </c>
      <c r="D529" s="171" t="b">
        <f>LineærRegression_Valg[[#This Row],[Afhængig variabel ID]]&lt;&gt;LineærRegression_Valg[[#This Row],[Uafhængig variabel ID]]</f>
        <v>1</v>
      </c>
      <c r="E529" t="b">
        <f>LineærRegression_Valg[[#This Row],[Afhængig variabel ID]]&lt;=$B$5</f>
        <v>0</v>
      </c>
      <c r="F529" t="str" cm="1">
        <f t="array" ref="F529">IF(LineærRegression_Valg[[#This Row],[Indenfor range]],INDEX(DataTitel_liste,LineærRegression_Valg[[#This Row],[Afhængig variabel ID]]),INDEX(DataTitel_liste,1))</f>
        <v>Eksempel 1 (interval)</v>
      </c>
      <c r="G529" s="171" t="str" cm="1">
        <f t="array" ref="G529">IF(LineærRegression_Valg[[#This Row],[Indenfor range]],IF(LineærRegression_Valg[[#This Row],[Intet overlap]],INDEX(DataTitel_liste,LineærRegression_Valg[[#This Row],[Uafhængig variabel ID]]),INDEX(DataTitel_liste,IF(LineærRegression_Valg[[#This Row],[Afhængig variabel ID]]=1,2,1))),$B$7)</f>
        <v>Eksempel 2 (interval)</v>
      </c>
      <c r="H529" s="171">
        <f>_xlfn.AGGREGATE(2,5,LineærRegression_Valg[[#This Row],[Tabel ID]])</f>
        <v>1</v>
      </c>
    </row>
    <row r="530" spans="1:8" x14ac:dyDescent="0.2">
      <c r="A530">
        <f>ROW(LineærRegression_Valg[[#This Row],[Tabel ID]])-ROW(LineærRegression_Valg[[#Headers],[Tabel ID]])</f>
        <v>520</v>
      </c>
      <c r="B530" s="171">
        <f>ROUNDDOWN((LineærRegression_Valg[[#This Row],[Tabel ID]]-1)/$B$5,0)+1</f>
        <v>130</v>
      </c>
      <c r="C530" s="171">
        <f t="shared" si="8"/>
        <v>4</v>
      </c>
      <c r="D530" s="171" t="b">
        <f>LineærRegression_Valg[[#This Row],[Afhængig variabel ID]]&lt;&gt;LineærRegression_Valg[[#This Row],[Uafhængig variabel ID]]</f>
        <v>1</v>
      </c>
      <c r="E530" t="b">
        <f>LineærRegression_Valg[[#This Row],[Afhængig variabel ID]]&lt;=$B$5</f>
        <v>0</v>
      </c>
      <c r="F530" t="str" cm="1">
        <f t="array" ref="F530">IF(LineærRegression_Valg[[#This Row],[Indenfor range]],INDEX(DataTitel_liste,LineærRegression_Valg[[#This Row],[Afhængig variabel ID]]),INDEX(DataTitel_liste,1))</f>
        <v>Eksempel 1 (interval)</v>
      </c>
      <c r="G530" s="171" t="str" cm="1">
        <f t="array" ref="G530">IF(LineærRegression_Valg[[#This Row],[Indenfor range]],IF(LineærRegression_Valg[[#This Row],[Intet overlap]],INDEX(DataTitel_liste,LineærRegression_Valg[[#This Row],[Uafhængig variabel ID]]),INDEX(DataTitel_liste,IF(LineærRegression_Valg[[#This Row],[Afhængig variabel ID]]=1,2,1))),$B$7)</f>
        <v>Eksempel 2 (interval)</v>
      </c>
      <c r="H530" s="171">
        <f>_xlfn.AGGREGATE(2,5,LineærRegression_Valg[[#This Row],[Tabel ID]])</f>
        <v>1</v>
      </c>
    </row>
    <row r="531" spans="1:8" x14ac:dyDescent="0.2">
      <c r="A531">
        <f>ROW(LineærRegression_Valg[[#This Row],[Tabel ID]])-ROW(LineærRegression_Valg[[#Headers],[Tabel ID]])</f>
        <v>521</v>
      </c>
      <c r="B531" s="171">
        <f>ROUNDDOWN((LineærRegression_Valg[[#This Row],[Tabel ID]]-1)/$B$5,0)+1</f>
        <v>131</v>
      </c>
      <c r="C531" s="171">
        <f t="shared" si="8"/>
        <v>1</v>
      </c>
      <c r="D531" s="171" t="b">
        <f>LineærRegression_Valg[[#This Row],[Afhængig variabel ID]]&lt;&gt;LineærRegression_Valg[[#This Row],[Uafhængig variabel ID]]</f>
        <v>1</v>
      </c>
      <c r="E531" t="b">
        <f>LineærRegression_Valg[[#This Row],[Afhængig variabel ID]]&lt;=$B$5</f>
        <v>0</v>
      </c>
      <c r="F531" t="str" cm="1">
        <f t="array" ref="F531">IF(LineærRegression_Valg[[#This Row],[Indenfor range]],INDEX(DataTitel_liste,LineærRegression_Valg[[#This Row],[Afhængig variabel ID]]),INDEX(DataTitel_liste,1))</f>
        <v>Eksempel 1 (interval)</v>
      </c>
      <c r="G531" s="171" t="str" cm="1">
        <f t="array" ref="G531">IF(LineærRegression_Valg[[#This Row],[Indenfor range]],IF(LineærRegression_Valg[[#This Row],[Intet overlap]],INDEX(DataTitel_liste,LineærRegression_Valg[[#This Row],[Uafhængig variabel ID]]),INDEX(DataTitel_liste,IF(LineærRegression_Valg[[#This Row],[Afhængig variabel ID]]=1,2,1))),$B$7)</f>
        <v>Eksempel 2 (interval)</v>
      </c>
      <c r="H531" s="171">
        <f>_xlfn.AGGREGATE(2,5,LineærRegression_Valg[[#This Row],[Tabel ID]])</f>
        <v>1</v>
      </c>
    </row>
    <row r="532" spans="1:8" x14ac:dyDescent="0.2">
      <c r="A532">
        <f>ROW(LineærRegression_Valg[[#This Row],[Tabel ID]])-ROW(LineærRegression_Valg[[#Headers],[Tabel ID]])</f>
        <v>522</v>
      </c>
      <c r="B532" s="171">
        <f>ROUNDDOWN((LineærRegression_Valg[[#This Row],[Tabel ID]]-1)/$B$5,0)+1</f>
        <v>131</v>
      </c>
      <c r="C532" s="171">
        <f t="shared" si="8"/>
        <v>2</v>
      </c>
      <c r="D532" s="171" t="b">
        <f>LineærRegression_Valg[[#This Row],[Afhængig variabel ID]]&lt;&gt;LineærRegression_Valg[[#This Row],[Uafhængig variabel ID]]</f>
        <v>1</v>
      </c>
      <c r="E532" t="b">
        <f>LineærRegression_Valg[[#This Row],[Afhængig variabel ID]]&lt;=$B$5</f>
        <v>0</v>
      </c>
      <c r="F532" t="str" cm="1">
        <f t="array" ref="F532">IF(LineærRegression_Valg[[#This Row],[Indenfor range]],INDEX(DataTitel_liste,LineærRegression_Valg[[#This Row],[Afhængig variabel ID]]),INDEX(DataTitel_liste,1))</f>
        <v>Eksempel 1 (interval)</v>
      </c>
      <c r="G532" s="171" t="str" cm="1">
        <f t="array" ref="G532">IF(LineærRegression_Valg[[#This Row],[Indenfor range]],IF(LineærRegression_Valg[[#This Row],[Intet overlap]],INDEX(DataTitel_liste,LineærRegression_Valg[[#This Row],[Uafhængig variabel ID]]),INDEX(DataTitel_liste,IF(LineærRegression_Valg[[#This Row],[Afhængig variabel ID]]=1,2,1))),$B$7)</f>
        <v>Eksempel 2 (interval)</v>
      </c>
      <c r="H532" s="171">
        <f>_xlfn.AGGREGATE(2,5,LineærRegression_Valg[[#This Row],[Tabel ID]])</f>
        <v>1</v>
      </c>
    </row>
    <row r="533" spans="1:8" x14ac:dyDescent="0.2">
      <c r="A533">
        <f>ROW(LineærRegression_Valg[[#This Row],[Tabel ID]])-ROW(LineærRegression_Valg[[#Headers],[Tabel ID]])</f>
        <v>523</v>
      </c>
      <c r="B533" s="171">
        <f>ROUNDDOWN((LineærRegression_Valg[[#This Row],[Tabel ID]]-1)/$B$5,0)+1</f>
        <v>131</v>
      </c>
      <c r="C533" s="171">
        <f t="shared" si="8"/>
        <v>3</v>
      </c>
      <c r="D533" s="171" t="b">
        <f>LineærRegression_Valg[[#This Row],[Afhængig variabel ID]]&lt;&gt;LineærRegression_Valg[[#This Row],[Uafhængig variabel ID]]</f>
        <v>1</v>
      </c>
      <c r="E533" t="b">
        <f>LineærRegression_Valg[[#This Row],[Afhængig variabel ID]]&lt;=$B$5</f>
        <v>0</v>
      </c>
      <c r="F533" t="str" cm="1">
        <f t="array" ref="F533">IF(LineærRegression_Valg[[#This Row],[Indenfor range]],INDEX(DataTitel_liste,LineærRegression_Valg[[#This Row],[Afhængig variabel ID]]),INDEX(DataTitel_liste,1))</f>
        <v>Eksempel 1 (interval)</v>
      </c>
      <c r="G533" s="171" t="str" cm="1">
        <f t="array" ref="G533">IF(LineærRegression_Valg[[#This Row],[Indenfor range]],IF(LineærRegression_Valg[[#This Row],[Intet overlap]],INDEX(DataTitel_liste,LineærRegression_Valg[[#This Row],[Uafhængig variabel ID]]),INDEX(DataTitel_liste,IF(LineærRegression_Valg[[#This Row],[Afhængig variabel ID]]=1,2,1))),$B$7)</f>
        <v>Eksempel 2 (interval)</v>
      </c>
      <c r="H533" s="171">
        <f>_xlfn.AGGREGATE(2,5,LineærRegression_Valg[[#This Row],[Tabel ID]])</f>
        <v>1</v>
      </c>
    </row>
    <row r="534" spans="1:8" x14ac:dyDescent="0.2">
      <c r="A534">
        <f>ROW(LineærRegression_Valg[[#This Row],[Tabel ID]])-ROW(LineærRegression_Valg[[#Headers],[Tabel ID]])</f>
        <v>524</v>
      </c>
      <c r="B534" s="171">
        <f>ROUNDDOWN((LineærRegression_Valg[[#This Row],[Tabel ID]]-1)/$B$5,0)+1</f>
        <v>131</v>
      </c>
      <c r="C534" s="171">
        <f t="shared" si="8"/>
        <v>4</v>
      </c>
      <c r="D534" s="171" t="b">
        <f>LineærRegression_Valg[[#This Row],[Afhængig variabel ID]]&lt;&gt;LineærRegression_Valg[[#This Row],[Uafhængig variabel ID]]</f>
        <v>1</v>
      </c>
      <c r="E534" t="b">
        <f>LineærRegression_Valg[[#This Row],[Afhængig variabel ID]]&lt;=$B$5</f>
        <v>0</v>
      </c>
      <c r="F534" t="str" cm="1">
        <f t="array" ref="F534">IF(LineærRegression_Valg[[#This Row],[Indenfor range]],INDEX(DataTitel_liste,LineærRegression_Valg[[#This Row],[Afhængig variabel ID]]),INDEX(DataTitel_liste,1))</f>
        <v>Eksempel 1 (interval)</v>
      </c>
      <c r="G534" s="171" t="str" cm="1">
        <f t="array" ref="G534">IF(LineærRegression_Valg[[#This Row],[Indenfor range]],IF(LineærRegression_Valg[[#This Row],[Intet overlap]],INDEX(DataTitel_liste,LineærRegression_Valg[[#This Row],[Uafhængig variabel ID]]),INDEX(DataTitel_liste,IF(LineærRegression_Valg[[#This Row],[Afhængig variabel ID]]=1,2,1))),$B$7)</f>
        <v>Eksempel 2 (interval)</v>
      </c>
      <c r="H534" s="171">
        <f>_xlfn.AGGREGATE(2,5,LineærRegression_Valg[[#This Row],[Tabel ID]])</f>
        <v>1</v>
      </c>
    </row>
    <row r="535" spans="1:8" x14ac:dyDescent="0.2">
      <c r="A535">
        <f>ROW(LineærRegression_Valg[[#This Row],[Tabel ID]])-ROW(LineærRegression_Valg[[#Headers],[Tabel ID]])</f>
        <v>525</v>
      </c>
      <c r="B535" s="171">
        <f>ROUNDDOWN((LineærRegression_Valg[[#This Row],[Tabel ID]]-1)/$B$5,0)+1</f>
        <v>132</v>
      </c>
      <c r="C535" s="171">
        <f t="shared" si="8"/>
        <v>1</v>
      </c>
      <c r="D535" s="171" t="b">
        <f>LineærRegression_Valg[[#This Row],[Afhængig variabel ID]]&lt;&gt;LineærRegression_Valg[[#This Row],[Uafhængig variabel ID]]</f>
        <v>1</v>
      </c>
      <c r="E535" t="b">
        <f>LineærRegression_Valg[[#This Row],[Afhængig variabel ID]]&lt;=$B$5</f>
        <v>0</v>
      </c>
      <c r="F535" t="str" cm="1">
        <f t="array" ref="F535">IF(LineærRegression_Valg[[#This Row],[Indenfor range]],INDEX(DataTitel_liste,LineærRegression_Valg[[#This Row],[Afhængig variabel ID]]),INDEX(DataTitel_liste,1))</f>
        <v>Eksempel 1 (interval)</v>
      </c>
      <c r="G535" s="171" t="str" cm="1">
        <f t="array" ref="G535">IF(LineærRegression_Valg[[#This Row],[Indenfor range]],IF(LineærRegression_Valg[[#This Row],[Intet overlap]],INDEX(DataTitel_liste,LineærRegression_Valg[[#This Row],[Uafhængig variabel ID]]),INDEX(DataTitel_liste,IF(LineærRegression_Valg[[#This Row],[Afhængig variabel ID]]=1,2,1))),$B$7)</f>
        <v>Eksempel 2 (interval)</v>
      </c>
      <c r="H535" s="171">
        <f>_xlfn.AGGREGATE(2,5,LineærRegression_Valg[[#This Row],[Tabel ID]])</f>
        <v>1</v>
      </c>
    </row>
    <row r="536" spans="1:8" x14ac:dyDescent="0.2">
      <c r="A536">
        <f>ROW(LineærRegression_Valg[[#This Row],[Tabel ID]])-ROW(LineærRegression_Valg[[#Headers],[Tabel ID]])</f>
        <v>526</v>
      </c>
      <c r="B536" s="171">
        <f>ROUNDDOWN((LineærRegression_Valg[[#This Row],[Tabel ID]]-1)/$B$5,0)+1</f>
        <v>132</v>
      </c>
      <c r="C536" s="171">
        <f t="shared" si="8"/>
        <v>2</v>
      </c>
      <c r="D536" s="171" t="b">
        <f>LineærRegression_Valg[[#This Row],[Afhængig variabel ID]]&lt;&gt;LineærRegression_Valg[[#This Row],[Uafhængig variabel ID]]</f>
        <v>1</v>
      </c>
      <c r="E536" t="b">
        <f>LineærRegression_Valg[[#This Row],[Afhængig variabel ID]]&lt;=$B$5</f>
        <v>0</v>
      </c>
      <c r="F536" t="str" cm="1">
        <f t="array" ref="F536">IF(LineærRegression_Valg[[#This Row],[Indenfor range]],INDEX(DataTitel_liste,LineærRegression_Valg[[#This Row],[Afhængig variabel ID]]),INDEX(DataTitel_liste,1))</f>
        <v>Eksempel 1 (interval)</v>
      </c>
      <c r="G536" s="171" t="str" cm="1">
        <f t="array" ref="G536">IF(LineærRegression_Valg[[#This Row],[Indenfor range]],IF(LineærRegression_Valg[[#This Row],[Intet overlap]],INDEX(DataTitel_liste,LineærRegression_Valg[[#This Row],[Uafhængig variabel ID]]),INDEX(DataTitel_liste,IF(LineærRegression_Valg[[#This Row],[Afhængig variabel ID]]=1,2,1))),$B$7)</f>
        <v>Eksempel 2 (interval)</v>
      </c>
      <c r="H536" s="171">
        <f>_xlfn.AGGREGATE(2,5,LineærRegression_Valg[[#This Row],[Tabel ID]])</f>
        <v>1</v>
      </c>
    </row>
    <row r="537" spans="1:8" x14ac:dyDescent="0.2">
      <c r="A537">
        <f>ROW(LineærRegression_Valg[[#This Row],[Tabel ID]])-ROW(LineærRegression_Valg[[#Headers],[Tabel ID]])</f>
        <v>527</v>
      </c>
      <c r="B537" s="171">
        <f>ROUNDDOWN((LineærRegression_Valg[[#This Row],[Tabel ID]]-1)/$B$5,0)+1</f>
        <v>132</v>
      </c>
      <c r="C537" s="171">
        <f t="shared" si="8"/>
        <v>3</v>
      </c>
      <c r="D537" s="171" t="b">
        <f>LineærRegression_Valg[[#This Row],[Afhængig variabel ID]]&lt;&gt;LineærRegression_Valg[[#This Row],[Uafhængig variabel ID]]</f>
        <v>1</v>
      </c>
      <c r="E537" t="b">
        <f>LineærRegression_Valg[[#This Row],[Afhængig variabel ID]]&lt;=$B$5</f>
        <v>0</v>
      </c>
      <c r="F537" t="str" cm="1">
        <f t="array" ref="F537">IF(LineærRegression_Valg[[#This Row],[Indenfor range]],INDEX(DataTitel_liste,LineærRegression_Valg[[#This Row],[Afhængig variabel ID]]),INDEX(DataTitel_liste,1))</f>
        <v>Eksempel 1 (interval)</v>
      </c>
      <c r="G537" s="171" t="str" cm="1">
        <f t="array" ref="G537">IF(LineærRegression_Valg[[#This Row],[Indenfor range]],IF(LineærRegression_Valg[[#This Row],[Intet overlap]],INDEX(DataTitel_liste,LineærRegression_Valg[[#This Row],[Uafhængig variabel ID]]),INDEX(DataTitel_liste,IF(LineærRegression_Valg[[#This Row],[Afhængig variabel ID]]=1,2,1))),$B$7)</f>
        <v>Eksempel 2 (interval)</v>
      </c>
      <c r="H537" s="171">
        <f>_xlfn.AGGREGATE(2,5,LineærRegression_Valg[[#This Row],[Tabel ID]])</f>
        <v>1</v>
      </c>
    </row>
    <row r="538" spans="1:8" x14ac:dyDescent="0.2">
      <c r="A538">
        <f>ROW(LineærRegression_Valg[[#This Row],[Tabel ID]])-ROW(LineærRegression_Valg[[#Headers],[Tabel ID]])</f>
        <v>528</v>
      </c>
      <c r="B538" s="171">
        <f>ROUNDDOWN((LineærRegression_Valg[[#This Row],[Tabel ID]]-1)/$B$5,0)+1</f>
        <v>132</v>
      </c>
      <c r="C538" s="171">
        <f t="shared" si="8"/>
        <v>4</v>
      </c>
      <c r="D538" s="171" t="b">
        <f>LineærRegression_Valg[[#This Row],[Afhængig variabel ID]]&lt;&gt;LineærRegression_Valg[[#This Row],[Uafhængig variabel ID]]</f>
        <v>1</v>
      </c>
      <c r="E538" t="b">
        <f>LineærRegression_Valg[[#This Row],[Afhængig variabel ID]]&lt;=$B$5</f>
        <v>0</v>
      </c>
      <c r="F538" t="str" cm="1">
        <f t="array" ref="F538">IF(LineærRegression_Valg[[#This Row],[Indenfor range]],INDEX(DataTitel_liste,LineærRegression_Valg[[#This Row],[Afhængig variabel ID]]),INDEX(DataTitel_liste,1))</f>
        <v>Eksempel 1 (interval)</v>
      </c>
      <c r="G538" s="171" t="str" cm="1">
        <f t="array" ref="G538">IF(LineærRegression_Valg[[#This Row],[Indenfor range]],IF(LineærRegression_Valg[[#This Row],[Intet overlap]],INDEX(DataTitel_liste,LineærRegression_Valg[[#This Row],[Uafhængig variabel ID]]),INDEX(DataTitel_liste,IF(LineærRegression_Valg[[#This Row],[Afhængig variabel ID]]=1,2,1))),$B$7)</f>
        <v>Eksempel 2 (interval)</v>
      </c>
      <c r="H538" s="171">
        <f>_xlfn.AGGREGATE(2,5,LineærRegression_Valg[[#This Row],[Tabel ID]])</f>
        <v>1</v>
      </c>
    </row>
    <row r="539" spans="1:8" x14ac:dyDescent="0.2">
      <c r="A539">
        <f>ROW(LineærRegression_Valg[[#This Row],[Tabel ID]])-ROW(LineærRegression_Valg[[#Headers],[Tabel ID]])</f>
        <v>529</v>
      </c>
      <c r="B539" s="171">
        <f>ROUNDDOWN((LineærRegression_Valg[[#This Row],[Tabel ID]]-1)/$B$5,0)+1</f>
        <v>133</v>
      </c>
      <c r="C539" s="171">
        <f t="shared" si="8"/>
        <v>1</v>
      </c>
      <c r="D539" s="171" t="b">
        <f>LineærRegression_Valg[[#This Row],[Afhængig variabel ID]]&lt;&gt;LineærRegression_Valg[[#This Row],[Uafhængig variabel ID]]</f>
        <v>1</v>
      </c>
      <c r="E539" t="b">
        <f>LineærRegression_Valg[[#This Row],[Afhængig variabel ID]]&lt;=$B$5</f>
        <v>0</v>
      </c>
      <c r="F539" t="str" cm="1">
        <f t="array" ref="F539">IF(LineærRegression_Valg[[#This Row],[Indenfor range]],INDEX(DataTitel_liste,LineærRegression_Valg[[#This Row],[Afhængig variabel ID]]),INDEX(DataTitel_liste,1))</f>
        <v>Eksempel 1 (interval)</v>
      </c>
      <c r="G539" s="171" t="str" cm="1">
        <f t="array" ref="G539">IF(LineærRegression_Valg[[#This Row],[Indenfor range]],IF(LineærRegression_Valg[[#This Row],[Intet overlap]],INDEX(DataTitel_liste,LineærRegression_Valg[[#This Row],[Uafhængig variabel ID]]),INDEX(DataTitel_liste,IF(LineærRegression_Valg[[#This Row],[Afhængig variabel ID]]=1,2,1))),$B$7)</f>
        <v>Eksempel 2 (interval)</v>
      </c>
      <c r="H539" s="171">
        <f>_xlfn.AGGREGATE(2,5,LineærRegression_Valg[[#This Row],[Tabel ID]])</f>
        <v>1</v>
      </c>
    </row>
    <row r="540" spans="1:8" x14ac:dyDescent="0.2">
      <c r="A540">
        <f>ROW(LineærRegression_Valg[[#This Row],[Tabel ID]])-ROW(LineærRegression_Valg[[#Headers],[Tabel ID]])</f>
        <v>530</v>
      </c>
      <c r="B540" s="171">
        <f>ROUNDDOWN((LineærRegression_Valg[[#This Row],[Tabel ID]]-1)/$B$5,0)+1</f>
        <v>133</v>
      </c>
      <c r="C540" s="171">
        <f t="shared" si="8"/>
        <v>2</v>
      </c>
      <c r="D540" s="171" t="b">
        <f>LineærRegression_Valg[[#This Row],[Afhængig variabel ID]]&lt;&gt;LineærRegression_Valg[[#This Row],[Uafhængig variabel ID]]</f>
        <v>1</v>
      </c>
      <c r="E540" t="b">
        <f>LineærRegression_Valg[[#This Row],[Afhængig variabel ID]]&lt;=$B$5</f>
        <v>0</v>
      </c>
      <c r="F540" t="str" cm="1">
        <f t="array" ref="F540">IF(LineærRegression_Valg[[#This Row],[Indenfor range]],INDEX(DataTitel_liste,LineærRegression_Valg[[#This Row],[Afhængig variabel ID]]),INDEX(DataTitel_liste,1))</f>
        <v>Eksempel 1 (interval)</v>
      </c>
      <c r="G540" s="171" t="str" cm="1">
        <f t="array" ref="G540">IF(LineærRegression_Valg[[#This Row],[Indenfor range]],IF(LineærRegression_Valg[[#This Row],[Intet overlap]],INDEX(DataTitel_liste,LineærRegression_Valg[[#This Row],[Uafhængig variabel ID]]),INDEX(DataTitel_liste,IF(LineærRegression_Valg[[#This Row],[Afhængig variabel ID]]=1,2,1))),$B$7)</f>
        <v>Eksempel 2 (interval)</v>
      </c>
      <c r="H540" s="171">
        <f>_xlfn.AGGREGATE(2,5,LineærRegression_Valg[[#This Row],[Tabel ID]])</f>
        <v>1</v>
      </c>
    </row>
    <row r="541" spans="1:8" x14ac:dyDescent="0.2">
      <c r="A541">
        <f>ROW(LineærRegression_Valg[[#This Row],[Tabel ID]])-ROW(LineærRegression_Valg[[#Headers],[Tabel ID]])</f>
        <v>531</v>
      </c>
      <c r="B541" s="171">
        <f>ROUNDDOWN((LineærRegression_Valg[[#This Row],[Tabel ID]]-1)/$B$5,0)+1</f>
        <v>133</v>
      </c>
      <c r="C541" s="171">
        <f t="shared" si="8"/>
        <v>3</v>
      </c>
      <c r="D541" s="171" t="b">
        <f>LineærRegression_Valg[[#This Row],[Afhængig variabel ID]]&lt;&gt;LineærRegression_Valg[[#This Row],[Uafhængig variabel ID]]</f>
        <v>1</v>
      </c>
      <c r="E541" t="b">
        <f>LineærRegression_Valg[[#This Row],[Afhængig variabel ID]]&lt;=$B$5</f>
        <v>0</v>
      </c>
      <c r="F541" t="str" cm="1">
        <f t="array" ref="F541">IF(LineærRegression_Valg[[#This Row],[Indenfor range]],INDEX(DataTitel_liste,LineærRegression_Valg[[#This Row],[Afhængig variabel ID]]),INDEX(DataTitel_liste,1))</f>
        <v>Eksempel 1 (interval)</v>
      </c>
      <c r="G541" s="171" t="str" cm="1">
        <f t="array" ref="G541">IF(LineærRegression_Valg[[#This Row],[Indenfor range]],IF(LineærRegression_Valg[[#This Row],[Intet overlap]],INDEX(DataTitel_liste,LineærRegression_Valg[[#This Row],[Uafhængig variabel ID]]),INDEX(DataTitel_liste,IF(LineærRegression_Valg[[#This Row],[Afhængig variabel ID]]=1,2,1))),$B$7)</f>
        <v>Eksempel 2 (interval)</v>
      </c>
      <c r="H541" s="171">
        <f>_xlfn.AGGREGATE(2,5,LineærRegression_Valg[[#This Row],[Tabel ID]])</f>
        <v>1</v>
      </c>
    </row>
    <row r="542" spans="1:8" x14ac:dyDescent="0.2">
      <c r="A542">
        <f>ROW(LineærRegression_Valg[[#This Row],[Tabel ID]])-ROW(LineærRegression_Valg[[#Headers],[Tabel ID]])</f>
        <v>532</v>
      </c>
      <c r="B542" s="171">
        <f>ROUNDDOWN((LineærRegression_Valg[[#This Row],[Tabel ID]]-1)/$B$5,0)+1</f>
        <v>133</v>
      </c>
      <c r="C542" s="171">
        <f t="shared" si="8"/>
        <v>4</v>
      </c>
      <c r="D542" s="171" t="b">
        <f>LineærRegression_Valg[[#This Row],[Afhængig variabel ID]]&lt;&gt;LineærRegression_Valg[[#This Row],[Uafhængig variabel ID]]</f>
        <v>1</v>
      </c>
      <c r="E542" t="b">
        <f>LineærRegression_Valg[[#This Row],[Afhængig variabel ID]]&lt;=$B$5</f>
        <v>0</v>
      </c>
      <c r="F542" t="str" cm="1">
        <f t="array" ref="F542">IF(LineærRegression_Valg[[#This Row],[Indenfor range]],INDEX(DataTitel_liste,LineærRegression_Valg[[#This Row],[Afhængig variabel ID]]),INDEX(DataTitel_liste,1))</f>
        <v>Eksempel 1 (interval)</v>
      </c>
      <c r="G542" s="171" t="str" cm="1">
        <f t="array" ref="G542">IF(LineærRegression_Valg[[#This Row],[Indenfor range]],IF(LineærRegression_Valg[[#This Row],[Intet overlap]],INDEX(DataTitel_liste,LineærRegression_Valg[[#This Row],[Uafhængig variabel ID]]),INDEX(DataTitel_liste,IF(LineærRegression_Valg[[#This Row],[Afhængig variabel ID]]=1,2,1))),$B$7)</f>
        <v>Eksempel 2 (interval)</v>
      </c>
      <c r="H542" s="171">
        <f>_xlfn.AGGREGATE(2,5,LineærRegression_Valg[[#This Row],[Tabel ID]])</f>
        <v>1</v>
      </c>
    </row>
    <row r="543" spans="1:8" x14ac:dyDescent="0.2">
      <c r="A543">
        <f>ROW(LineærRegression_Valg[[#This Row],[Tabel ID]])-ROW(LineærRegression_Valg[[#Headers],[Tabel ID]])</f>
        <v>533</v>
      </c>
      <c r="B543" s="171">
        <f>ROUNDDOWN((LineærRegression_Valg[[#This Row],[Tabel ID]]-1)/$B$5,0)+1</f>
        <v>134</v>
      </c>
      <c r="C543" s="171">
        <f t="shared" si="8"/>
        <v>1</v>
      </c>
      <c r="D543" s="171" t="b">
        <f>LineærRegression_Valg[[#This Row],[Afhængig variabel ID]]&lt;&gt;LineærRegression_Valg[[#This Row],[Uafhængig variabel ID]]</f>
        <v>1</v>
      </c>
      <c r="E543" t="b">
        <f>LineærRegression_Valg[[#This Row],[Afhængig variabel ID]]&lt;=$B$5</f>
        <v>0</v>
      </c>
      <c r="F543" t="str" cm="1">
        <f t="array" ref="F543">IF(LineærRegression_Valg[[#This Row],[Indenfor range]],INDEX(DataTitel_liste,LineærRegression_Valg[[#This Row],[Afhængig variabel ID]]),INDEX(DataTitel_liste,1))</f>
        <v>Eksempel 1 (interval)</v>
      </c>
      <c r="G543" s="171" t="str" cm="1">
        <f t="array" ref="G543">IF(LineærRegression_Valg[[#This Row],[Indenfor range]],IF(LineærRegression_Valg[[#This Row],[Intet overlap]],INDEX(DataTitel_liste,LineærRegression_Valg[[#This Row],[Uafhængig variabel ID]]),INDEX(DataTitel_liste,IF(LineærRegression_Valg[[#This Row],[Afhængig variabel ID]]=1,2,1))),$B$7)</f>
        <v>Eksempel 2 (interval)</v>
      </c>
      <c r="H543" s="171">
        <f>_xlfn.AGGREGATE(2,5,LineærRegression_Valg[[#This Row],[Tabel ID]])</f>
        <v>1</v>
      </c>
    </row>
    <row r="544" spans="1:8" x14ac:dyDescent="0.2">
      <c r="A544">
        <f>ROW(LineærRegression_Valg[[#This Row],[Tabel ID]])-ROW(LineærRegression_Valg[[#Headers],[Tabel ID]])</f>
        <v>534</v>
      </c>
      <c r="B544" s="171">
        <f>ROUNDDOWN((LineærRegression_Valg[[#This Row],[Tabel ID]]-1)/$B$5,0)+1</f>
        <v>134</v>
      </c>
      <c r="C544" s="171">
        <f t="shared" si="8"/>
        <v>2</v>
      </c>
      <c r="D544" s="171" t="b">
        <f>LineærRegression_Valg[[#This Row],[Afhængig variabel ID]]&lt;&gt;LineærRegression_Valg[[#This Row],[Uafhængig variabel ID]]</f>
        <v>1</v>
      </c>
      <c r="E544" t="b">
        <f>LineærRegression_Valg[[#This Row],[Afhængig variabel ID]]&lt;=$B$5</f>
        <v>0</v>
      </c>
      <c r="F544" t="str" cm="1">
        <f t="array" ref="F544">IF(LineærRegression_Valg[[#This Row],[Indenfor range]],INDEX(DataTitel_liste,LineærRegression_Valg[[#This Row],[Afhængig variabel ID]]),INDEX(DataTitel_liste,1))</f>
        <v>Eksempel 1 (interval)</v>
      </c>
      <c r="G544" s="171" t="str" cm="1">
        <f t="array" ref="G544">IF(LineærRegression_Valg[[#This Row],[Indenfor range]],IF(LineærRegression_Valg[[#This Row],[Intet overlap]],INDEX(DataTitel_liste,LineærRegression_Valg[[#This Row],[Uafhængig variabel ID]]),INDEX(DataTitel_liste,IF(LineærRegression_Valg[[#This Row],[Afhængig variabel ID]]=1,2,1))),$B$7)</f>
        <v>Eksempel 2 (interval)</v>
      </c>
      <c r="H544" s="171">
        <f>_xlfn.AGGREGATE(2,5,LineærRegression_Valg[[#This Row],[Tabel ID]])</f>
        <v>1</v>
      </c>
    </row>
    <row r="545" spans="1:8" x14ac:dyDescent="0.2">
      <c r="A545">
        <f>ROW(LineærRegression_Valg[[#This Row],[Tabel ID]])-ROW(LineærRegression_Valg[[#Headers],[Tabel ID]])</f>
        <v>535</v>
      </c>
      <c r="B545" s="171">
        <f>ROUNDDOWN((LineærRegression_Valg[[#This Row],[Tabel ID]]-1)/$B$5,0)+1</f>
        <v>134</v>
      </c>
      <c r="C545" s="171">
        <f t="shared" si="8"/>
        <v>3</v>
      </c>
      <c r="D545" s="171" t="b">
        <f>LineærRegression_Valg[[#This Row],[Afhængig variabel ID]]&lt;&gt;LineærRegression_Valg[[#This Row],[Uafhængig variabel ID]]</f>
        <v>1</v>
      </c>
      <c r="E545" t="b">
        <f>LineærRegression_Valg[[#This Row],[Afhængig variabel ID]]&lt;=$B$5</f>
        <v>0</v>
      </c>
      <c r="F545" t="str" cm="1">
        <f t="array" ref="F545">IF(LineærRegression_Valg[[#This Row],[Indenfor range]],INDEX(DataTitel_liste,LineærRegression_Valg[[#This Row],[Afhængig variabel ID]]),INDEX(DataTitel_liste,1))</f>
        <v>Eksempel 1 (interval)</v>
      </c>
      <c r="G545" s="171" t="str" cm="1">
        <f t="array" ref="G545">IF(LineærRegression_Valg[[#This Row],[Indenfor range]],IF(LineærRegression_Valg[[#This Row],[Intet overlap]],INDEX(DataTitel_liste,LineærRegression_Valg[[#This Row],[Uafhængig variabel ID]]),INDEX(DataTitel_liste,IF(LineærRegression_Valg[[#This Row],[Afhængig variabel ID]]=1,2,1))),$B$7)</f>
        <v>Eksempel 2 (interval)</v>
      </c>
      <c r="H545" s="171">
        <f>_xlfn.AGGREGATE(2,5,LineærRegression_Valg[[#This Row],[Tabel ID]])</f>
        <v>1</v>
      </c>
    </row>
    <row r="546" spans="1:8" x14ac:dyDescent="0.2">
      <c r="A546">
        <f>ROW(LineærRegression_Valg[[#This Row],[Tabel ID]])-ROW(LineærRegression_Valg[[#Headers],[Tabel ID]])</f>
        <v>536</v>
      </c>
      <c r="B546" s="171">
        <f>ROUNDDOWN((LineærRegression_Valg[[#This Row],[Tabel ID]]-1)/$B$5,0)+1</f>
        <v>134</v>
      </c>
      <c r="C546" s="171">
        <f t="shared" si="8"/>
        <v>4</v>
      </c>
      <c r="D546" s="171" t="b">
        <f>LineærRegression_Valg[[#This Row],[Afhængig variabel ID]]&lt;&gt;LineærRegression_Valg[[#This Row],[Uafhængig variabel ID]]</f>
        <v>1</v>
      </c>
      <c r="E546" t="b">
        <f>LineærRegression_Valg[[#This Row],[Afhængig variabel ID]]&lt;=$B$5</f>
        <v>0</v>
      </c>
      <c r="F546" t="str" cm="1">
        <f t="array" ref="F546">IF(LineærRegression_Valg[[#This Row],[Indenfor range]],INDEX(DataTitel_liste,LineærRegression_Valg[[#This Row],[Afhængig variabel ID]]),INDEX(DataTitel_liste,1))</f>
        <v>Eksempel 1 (interval)</v>
      </c>
      <c r="G546" s="171" t="str" cm="1">
        <f t="array" ref="G546">IF(LineærRegression_Valg[[#This Row],[Indenfor range]],IF(LineærRegression_Valg[[#This Row],[Intet overlap]],INDEX(DataTitel_liste,LineærRegression_Valg[[#This Row],[Uafhængig variabel ID]]),INDEX(DataTitel_liste,IF(LineærRegression_Valg[[#This Row],[Afhængig variabel ID]]=1,2,1))),$B$7)</f>
        <v>Eksempel 2 (interval)</v>
      </c>
      <c r="H546" s="171">
        <f>_xlfn.AGGREGATE(2,5,LineærRegression_Valg[[#This Row],[Tabel ID]])</f>
        <v>1</v>
      </c>
    </row>
    <row r="547" spans="1:8" x14ac:dyDescent="0.2">
      <c r="A547">
        <f>ROW(LineærRegression_Valg[[#This Row],[Tabel ID]])-ROW(LineærRegression_Valg[[#Headers],[Tabel ID]])</f>
        <v>537</v>
      </c>
      <c r="B547" s="171">
        <f>ROUNDDOWN((LineærRegression_Valg[[#This Row],[Tabel ID]]-1)/$B$5,0)+1</f>
        <v>135</v>
      </c>
      <c r="C547" s="171">
        <f t="shared" si="8"/>
        <v>1</v>
      </c>
      <c r="D547" s="171" t="b">
        <f>LineærRegression_Valg[[#This Row],[Afhængig variabel ID]]&lt;&gt;LineærRegression_Valg[[#This Row],[Uafhængig variabel ID]]</f>
        <v>1</v>
      </c>
      <c r="E547" t="b">
        <f>LineærRegression_Valg[[#This Row],[Afhængig variabel ID]]&lt;=$B$5</f>
        <v>0</v>
      </c>
      <c r="F547" t="str" cm="1">
        <f t="array" ref="F547">IF(LineærRegression_Valg[[#This Row],[Indenfor range]],INDEX(DataTitel_liste,LineærRegression_Valg[[#This Row],[Afhængig variabel ID]]),INDEX(DataTitel_liste,1))</f>
        <v>Eksempel 1 (interval)</v>
      </c>
      <c r="G547" s="171" t="str" cm="1">
        <f t="array" ref="G547">IF(LineærRegression_Valg[[#This Row],[Indenfor range]],IF(LineærRegression_Valg[[#This Row],[Intet overlap]],INDEX(DataTitel_liste,LineærRegression_Valg[[#This Row],[Uafhængig variabel ID]]),INDEX(DataTitel_liste,IF(LineærRegression_Valg[[#This Row],[Afhængig variabel ID]]=1,2,1))),$B$7)</f>
        <v>Eksempel 2 (interval)</v>
      </c>
      <c r="H547" s="171">
        <f>_xlfn.AGGREGATE(2,5,LineærRegression_Valg[[#This Row],[Tabel ID]])</f>
        <v>1</v>
      </c>
    </row>
    <row r="548" spans="1:8" x14ac:dyDescent="0.2">
      <c r="A548">
        <f>ROW(LineærRegression_Valg[[#This Row],[Tabel ID]])-ROW(LineærRegression_Valg[[#Headers],[Tabel ID]])</f>
        <v>538</v>
      </c>
      <c r="B548" s="171">
        <f>ROUNDDOWN((LineærRegression_Valg[[#This Row],[Tabel ID]]-1)/$B$5,0)+1</f>
        <v>135</v>
      </c>
      <c r="C548" s="171">
        <f t="shared" si="8"/>
        <v>2</v>
      </c>
      <c r="D548" s="171" t="b">
        <f>LineærRegression_Valg[[#This Row],[Afhængig variabel ID]]&lt;&gt;LineærRegression_Valg[[#This Row],[Uafhængig variabel ID]]</f>
        <v>1</v>
      </c>
      <c r="E548" t="b">
        <f>LineærRegression_Valg[[#This Row],[Afhængig variabel ID]]&lt;=$B$5</f>
        <v>0</v>
      </c>
      <c r="F548" t="str" cm="1">
        <f t="array" ref="F548">IF(LineærRegression_Valg[[#This Row],[Indenfor range]],INDEX(DataTitel_liste,LineærRegression_Valg[[#This Row],[Afhængig variabel ID]]),INDEX(DataTitel_liste,1))</f>
        <v>Eksempel 1 (interval)</v>
      </c>
      <c r="G548" s="171" t="str" cm="1">
        <f t="array" ref="G548">IF(LineærRegression_Valg[[#This Row],[Indenfor range]],IF(LineærRegression_Valg[[#This Row],[Intet overlap]],INDEX(DataTitel_liste,LineærRegression_Valg[[#This Row],[Uafhængig variabel ID]]),INDEX(DataTitel_liste,IF(LineærRegression_Valg[[#This Row],[Afhængig variabel ID]]=1,2,1))),$B$7)</f>
        <v>Eksempel 2 (interval)</v>
      </c>
      <c r="H548" s="171">
        <f>_xlfn.AGGREGATE(2,5,LineærRegression_Valg[[#This Row],[Tabel ID]])</f>
        <v>1</v>
      </c>
    </row>
    <row r="549" spans="1:8" x14ac:dyDescent="0.2">
      <c r="A549">
        <f>ROW(LineærRegression_Valg[[#This Row],[Tabel ID]])-ROW(LineærRegression_Valg[[#Headers],[Tabel ID]])</f>
        <v>539</v>
      </c>
      <c r="B549" s="171">
        <f>ROUNDDOWN((LineærRegression_Valg[[#This Row],[Tabel ID]]-1)/$B$5,0)+1</f>
        <v>135</v>
      </c>
      <c r="C549" s="171">
        <f t="shared" si="8"/>
        <v>3</v>
      </c>
      <c r="D549" s="171" t="b">
        <f>LineærRegression_Valg[[#This Row],[Afhængig variabel ID]]&lt;&gt;LineærRegression_Valg[[#This Row],[Uafhængig variabel ID]]</f>
        <v>1</v>
      </c>
      <c r="E549" t="b">
        <f>LineærRegression_Valg[[#This Row],[Afhængig variabel ID]]&lt;=$B$5</f>
        <v>0</v>
      </c>
      <c r="F549" t="str" cm="1">
        <f t="array" ref="F549">IF(LineærRegression_Valg[[#This Row],[Indenfor range]],INDEX(DataTitel_liste,LineærRegression_Valg[[#This Row],[Afhængig variabel ID]]),INDEX(DataTitel_liste,1))</f>
        <v>Eksempel 1 (interval)</v>
      </c>
      <c r="G549" s="171" t="str" cm="1">
        <f t="array" ref="G549">IF(LineærRegression_Valg[[#This Row],[Indenfor range]],IF(LineærRegression_Valg[[#This Row],[Intet overlap]],INDEX(DataTitel_liste,LineærRegression_Valg[[#This Row],[Uafhængig variabel ID]]),INDEX(DataTitel_liste,IF(LineærRegression_Valg[[#This Row],[Afhængig variabel ID]]=1,2,1))),$B$7)</f>
        <v>Eksempel 2 (interval)</v>
      </c>
      <c r="H549" s="171">
        <f>_xlfn.AGGREGATE(2,5,LineærRegression_Valg[[#This Row],[Tabel ID]])</f>
        <v>1</v>
      </c>
    </row>
    <row r="550" spans="1:8" x14ac:dyDescent="0.2">
      <c r="A550">
        <f>ROW(LineærRegression_Valg[[#This Row],[Tabel ID]])-ROW(LineærRegression_Valg[[#Headers],[Tabel ID]])</f>
        <v>540</v>
      </c>
      <c r="B550" s="171">
        <f>ROUNDDOWN((LineærRegression_Valg[[#This Row],[Tabel ID]]-1)/$B$5,0)+1</f>
        <v>135</v>
      </c>
      <c r="C550" s="171">
        <f t="shared" si="8"/>
        <v>4</v>
      </c>
      <c r="D550" s="171" t="b">
        <f>LineærRegression_Valg[[#This Row],[Afhængig variabel ID]]&lt;&gt;LineærRegression_Valg[[#This Row],[Uafhængig variabel ID]]</f>
        <v>1</v>
      </c>
      <c r="E550" t="b">
        <f>LineærRegression_Valg[[#This Row],[Afhængig variabel ID]]&lt;=$B$5</f>
        <v>0</v>
      </c>
      <c r="F550" t="str" cm="1">
        <f t="array" ref="F550">IF(LineærRegression_Valg[[#This Row],[Indenfor range]],INDEX(DataTitel_liste,LineærRegression_Valg[[#This Row],[Afhængig variabel ID]]),INDEX(DataTitel_liste,1))</f>
        <v>Eksempel 1 (interval)</v>
      </c>
      <c r="G550" s="171" t="str" cm="1">
        <f t="array" ref="G550">IF(LineærRegression_Valg[[#This Row],[Indenfor range]],IF(LineærRegression_Valg[[#This Row],[Intet overlap]],INDEX(DataTitel_liste,LineærRegression_Valg[[#This Row],[Uafhængig variabel ID]]),INDEX(DataTitel_liste,IF(LineærRegression_Valg[[#This Row],[Afhængig variabel ID]]=1,2,1))),$B$7)</f>
        <v>Eksempel 2 (interval)</v>
      </c>
      <c r="H550" s="171">
        <f>_xlfn.AGGREGATE(2,5,LineærRegression_Valg[[#This Row],[Tabel ID]])</f>
        <v>1</v>
      </c>
    </row>
    <row r="551" spans="1:8" x14ac:dyDescent="0.2">
      <c r="A551">
        <f>ROW(LineærRegression_Valg[[#This Row],[Tabel ID]])-ROW(LineærRegression_Valg[[#Headers],[Tabel ID]])</f>
        <v>541</v>
      </c>
      <c r="B551" s="171">
        <f>ROUNDDOWN((LineærRegression_Valg[[#This Row],[Tabel ID]]-1)/$B$5,0)+1</f>
        <v>136</v>
      </c>
      <c r="C551" s="171">
        <f t="shared" si="8"/>
        <v>1</v>
      </c>
      <c r="D551" s="171" t="b">
        <f>LineærRegression_Valg[[#This Row],[Afhængig variabel ID]]&lt;&gt;LineærRegression_Valg[[#This Row],[Uafhængig variabel ID]]</f>
        <v>1</v>
      </c>
      <c r="E551" t="b">
        <f>LineærRegression_Valg[[#This Row],[Afhængig variabel ID]]&lt;=$B$5</f>
        <v>0</v>
      </c>
      <c r="F551" t="str" cm="1">
        <f t="array" ref="F551">IF(LineærRegression_Valg[[#This Row],[Indenfor range]],INDEX(DataTitel_liste,LineærRegression_Valg[[#This Row],[Afhængig variabel ID]]),INDEX(DataTitel_liste,1))</f>
        <v>Eksempel 1 (interval)</v>
      </c>
      <c r="G551" s="171" t="str" cm="1">
        <f t="array" ref="G551">IF(LineærRegression_Valg[[#This Row],[Indenfor range]],IF(LineærRegression_Valg[[#This Row],[Intet overlap]],INDEX(DataTitel_liste,LineærRegression_Valg[[#This Row],[Uafhængig variabel ID]]),INDEX(DataTitel_liste,IF(LineærRegression_Valg[[#This Row],[Afhængig variabel ID]]=1,2,1))),$B$7)</f>
        <v>Eksempel 2 (interval)</v>
      </c>
      <c r="H551" s="171">
        <f>_xlfn.AGGREGATE(2,5,LineærRegression_Valg[[#This Row],[Tabel ID]])</f>
        <v>1</v>
      </c>
    </row>
    <row r="552" spans="1:8" x14ac:dyDescent="0.2">
      <c r="A552">
        <f>ROW(LineærRegression_Valg[[#This Row],[Tabel ID]])-ROW(LineærRegression_Valg[[#Headers],[Tabel ID]])</f>
        <v>542</v>
      </c>
      <c r="B552" s="171">
        <f>ROUNDDOWN((LineærRegression_Valg[[#This Row],[Tabel ID]]-1)/$B$5,0)+1</f>
        <v>136</v>
      </c>
      <c r="C552" s="171">
        <f t="shared" si="8"/>
        <v>2</v>
      </c>
      <c r="D552" s="171" t="b">
        <f>LineærRegression_Valg[[#This Row],[Afhængig variabel ID]]&lt;&gt;LineærRegression_Valg[[#This Row],[Uafhængig variabel ID]]</f>
        <v>1</v>
      </c>
      <c r="E552" t="b">
        <f>LineærRegression_Valg[[#This Row],[Afhængig variabel ID]]&lt;=$B$5</f>
        <v>0</v>
      </c>
      <c r="F552" t="str" cm="1">
        <f t="array" ref="F552">IF(LineærRegression_Valg[[#This Row],[Indenfor range]],INDEX(DataTitel_liste,LineærRegression_Valg[[#This Row],[Afhængig variabel ID]]),INDEX(DataTitel_liste,1))</f>
        <v>Eksempel 1 (interval)</v>
      </c>
      <c r="G552" s="171" t="str" cm="1">
        <f t="array" ref="G552">IF(LineærRegression_Valg[[#This Row],[Indenfor range]],IF(LineærRegression_Valg[[#This Row],[Intet overlap]],INDEX(DataTitel_liste,LineærRegression_Valg[[#This Row],[Uafhængig variabel ID]]),INDEX(DataTitel_liste,IF(LineærRegression_Valg[[#This Row],[Afhængig variabel ID]]=1,2,1))),$B$7)</f>
        <v>Eksempel 2 (interval)</v>
      </c>
      <c r="H552" s="171">
        <f>_xlfn.AGGREGATE(2,5,LineærRegression_Valg[[#This Row],[Tabel ID]])</f>
        <v>1</v>
      </c>
    </row>
    <row r="553" spans="1:8" x14ac:dyDescent="0.2">
      <c r="A553">
        <f>ROW(LineærRegression_Valg[[#This Row],[Tabel ID]])-ROW(LineærRegression_Valg[[#Headers],[Tabel ID]])</f>
        <v>543</v>
      </c>
      <c r="B553" s="171">
        <f>ROUNDDOWN((LineærRegression_Valg[[#This Row],[Tabel ID]]-1)/$B$5,0)+1</f>
        <v>136</v>
      </c>
      <c r="C553" s="171">
        <f t="shared" si="8"/>
        <v>3</v>
      </c>
      <c r="D553" s="171" t="b">
        <f>LineærRegression_Valg[[#This Row],[Afhængig variabel ID]]&lt;&gt;LineærRegression_Valg[[#This Row],[Uafhængig variabel ID]]</f>
        <v>1</v>
      </c>
      <c r="E553" t="b">
        <f>LineærRegression_Valg[[#This Row],[Afhængig variabel ID]]&lt;=$B$5</f>
        <v>0</v>
      </c>
      <c r="F553" t="str" cm="1">
        <f t="array" ref="F553">IF(LineærRegression_Valg[[#This Row],[Indenfor range]],INDEX(DataTitel_liste,LineærRegression_Valg[[#This Row],[Afhængig variabel ID]]),INDEX(DataTitel_liste,1))</f>
        <v>Eksempel 1 (interval)</v>
      </c>
      <c r="G553" s="171" t="str" cm="1">
        <f t="array" ref="G553">IF(LineærRegression_Valg[[#This Row],[Indenfor range]],IF(LineærRegression_Valg[[#This Row],[Intet overlap]],INDEX(DataTitel_liste,LineærRegression_Valg[[#This Row],[Uafhængig variabel ID]]),INDEX(DataTitel_liste,IF(LineærRegression_Valg[[#This Row],[Afhængig variabel ID]]=1,2,1))),$B$7)</f>
        <v>Eksempel 2 (interval)</v>
      </c>
      <c r="H553" s="171">
        <f>_xlfn.AGGREGATE(2,5,LineærRegression_Valg[[#This Row],[Tabel ID]])</f>
        <v>1</v>
      </c>
    </row>
    <row r="554" spans="1:8" x14ac:dyDescent="0.2">
      <c r="A554">
        <f>ROW(LineærRegression_Valg[[#This Row],[Tabel ID]])-ROW(LineærRegression_Valg[[#Headers],[Tabel ID]])</f>
        <v>544</v>
      </c>
      <c r="B554" s="171">
        <f>ROUNDDOWN((LineærRegression_Valg[[#This Row],[Tabel ID]]-1)/$B$5,0)+1</f>
        <v>136</v>
      </c>
      <c r="C554" s="171">
        <f t="shared" si="8"/>
        <v>4</v>
      </c>
      <c r="D554" s="171" t="b">
        <f>LineærRegression_Valg[[#This Row],[Afhængig variabel ID]]&lt;&gt;LineærRegression_Valg[[#This Row],[Uafhængig variabel ID]]</f>
        <v>1</v>
      </c>
      <c r="E554" t="b">
        <f>LineærRegression_Valg[[#This Row],[Afhængig variabel ID]]&lt;=$B$5</f>
        <v>0</v>
      </c>
      <c r="F554" t="str" cm="1">
        <f t="array" ref="F554">IF(LineærRegression_Valg[[#This Row],[Indenfor range]],INDEX(DataTitel_liste,LineærRegression_Valg[[#This Row],[Afhængig variabel ID]]),INDEX(DataTitel_liste,1))</f>
        <v>Eksempel 1 (interval)</v>
      </c>
      <c r="G554" s="171" t="str" cm="1">
        <f t="array" ref="G554">IF(LineærRegression_Valg[[#This Row],[Indenfor range]],IF(LineærRegression_Valg[[#This Row],[Intet overlap]],INDEX(DataTitel_liste,LineærRegression_Valg[[#This Row],[Uafhængig variabel ID]]),INDEX(DataTitel_liste,IF(LineærRegression_Valg[[#This Row],[Afhængig variabel ID]]=1,2,1))),$B$7)</f>
        <v>Eksempel 2 (interval)</v>
      </c>
      <c r="H554" s="171">
        <f>_xlfn.AGGREGATE(2,5,LineærRegression_Valg[[#This Row],[Tabel ID]])</f>
        <v>1</v>
      </c>
    </row>
    <row r="555" spans="1:8" x14ac:dyDescent="0.2">
      <c r="A555">
        <f>ROW(LineærRegression_Valg[[#This Row],[Tabel ID]])-ROW(LineærRegression_Valg[[#Headers],[Tabel ID]])</f>
        <v>545</v>
      </c>
      <c r="B555" s="171">
        <f>ROUNDDOWN((LineærRegression_Valg[[#This Row],[Tabel ID]]-1)/$B$5,0)+1</f>
        <v>137</v>
      </c>
      <c r="C555" s="171">
        <f t="shared" si="8"/>
        <v>1</v>
      </c>
      <c r="D555" s="171" t="b">
        <f>LineærRegression_Valg[[#This Row],[Afhængig variabel ID]]&lt;&gt;LineærRegression_Valg[[#This Row],[Uafhængig variabel ID]]</f>
        <v>1</v>
      </c>
      <c r="E555" t="b">
        <f>LineærRegression_Valg[[#This Row],[Afhængig variabel ID]]&lt;=$B$5</f>
        <v>0</v>
      </c>
      <c r="F555" t="str" cm="1">
        <f t="array" ref="F555">IF(LineærRegression_Valg[[#This Row],[Indenfor range]],INDEX(DataTitel_liste,LineærRegression_Valg[[#This Row],[Afhængig variabel ID]]),INDEX(DataTitel_liste,1))</f>
        <v>Eksempel 1 (interval)</v>
      </c>
      <c r="G555" s="171" t="str" cm="1">
        <f t="array" ref="G555">IF(LineærRegression_Valg[[#This Row],[Indenfor range]],IF(LineærRegression_Valg[[#This Row],[Intet overlap]],INDEX(DataTitel_liste,LineærRegression_Valg[[#This Row],[Uafhængig variabel ID]]),INDEX(DataTitel_liste,IF(LineærRegression_Valg[[#This Row],[Afhængig variabel ID]]=1,2,1))),$B$7)</f>
        <v>Eksempel 2 (interval)</v>
      </c>
      <c r="H555" s="171">
        <f>_xlfn.AGGREGATE(2,5,LineærRegression_Valg[[#This Row],[Tabel ID]])</f>
        <v>1</v>
      </c>
    </row>
    <row r="556" spans="1:8" x14ac:dyDescent="0.2">
      <c r="A556">
        <f>ROW(LineærRegression_Valg[[#This Row],[Tabel ID]])-ROW(LineærRegression_Valg[[#Headers],[Tabel ID]])</f>
        <v>546</v>
      </c>
      <c r="B556" s="171">
        <f>ROUNDDOWN((LineærRegression_Valg[[#This Row],[Tabel ID]]-1)/$B$5,0)+1</f>
        <v>137</v>
      </c>
      <c r="C556" s="171">
        <f t="shared" si="8"/>
        <v>2</v>
      </c>
      <c r="D556" s="171" t="b">
        <f>LineærRegression_Valg[[#This Row],[Afhængig variabel ID]]&lt;&gt;LineærRegression_Valg[[#This Row],[Uafhængig variabel ID]]</f>
        <v>1</v>
      </c>
      <c r="E556" t="b">
        <f>LineærRegression_Valg[[#This Row],[Afhængig variabel ID]]&lt;=$B$5</f>
        <v>0</v>
      </c>
      <c r="F556" t="str" cm="1">
        <f t="array" ref="F556">IF(LineærRegression_Valg[[#This Row],[Indenfor range]],INDEX(DataTitel_liste,LineærRegression_Valg[[#This Row],[Afhængig variabel ID]]),INDEX(DataTitel_liste,1))</f>
        <v>Eksempel 1 (interval)</v>
      </c>
      <c r="G556" s="171" t="str" cm="1">
        <f t="array" ref="G556">IF(LineærRegression_Valg[[#This Row],[Indenfor range]],IF(LineærRegression_Valg[[#This Row],[Intet overlap]],INDEX(DataTitel_liste,LineærRegression_Valg[[#This Row],[Uafhængig variabel ID]]),INDEX(DataTitel_liste,IF(LineærRegression_Valg[[#This Row],[Afhængig variabel ID]]=1,2,1))),$B$7)</f>
        <v>Eksempel 2 (interval)</v>
      </c>
      <c r="H556" s="171">
        <f>_xlfn.AGGREGATE(2,5,LineærRegression_Valg[[#This Row],[Tabel ID]])</f>
        <v>1</v>
      </c>
    </row>
    <row r="557" spans="1:8" x14ac:dyDescent="0.2">
      <c r="A557">
        <f>ROW(LineærRegression_Valg[[#This Row],[Tabel ID]])-ROW(LineærRegression_Valg[[#Headers],[Tabel ID]])</f>
        <v>547</v>
      </c>
      <c r="B557" s="171">
        <f>ROUNDDOWN((LineærRegression_Valg[[#This Row],[Tabel ID]]-1)/$B$5,0)+1</f>
        <v>137</v>
      </c>
      <c r="C557" s="171">
        <f t="shared" si="8"/>
        <v>3</v>
      </c>
      <c r="D557" s="171" t="b">
        <f>LineærRegression_Valg[[#This Row],[Afhængig variabel ID]]&lt;&gt;LineærRegression_Valg[[#This Row],[Uafhængig variabel ID]]</f>
        <v>1</v>
      </c>
      <c r="E557" t="b">
        <f>LineærRegression_Valg[[#This Row],[Afhængig variabel ID]]&lt;=$B$5</f>
        <v>0</v>
      </c>
      <c r="F557" t="str" cm="1">
        <f t="array" ref="F557">IF(LineærRegression_Valg[[#This Row],[Indenfor range]],INDEX(DataTitel_liste,LineærRegression_Valg[[#This Row],[Afhængig variabel ID]]),INDEX(DataTitel_liste,1))</f>
        <v>Eksempel 1 (interval)</v>
      </c>
      <c r="G557" s="171" t="str" cm="1">
        <f t="array" ref="G557">IF(LineærRegression_Valg[[#This Row],[Indenfor range]],IF(LineærRegression_Valg[[#This Row],[Intet overlap]],INDEX(DataTitel_liste,LineærRegression_Valg[[#This Row],[Uafhængig variabel ID]]),INDEX(DataTitel_liste,IF(LineærRegression_Valg[[#This Row],[Afhængig variabel ID]]=1,2,1))),$B$7)</f>
        <v>Eksempel 2 (interval)</v>
      </c>
      <c r="H557" s="171">
        <f>_xlfn.AGGREGATE(2,5,LineærRegression_Valg[[#This Row],[Tabel ID]])</f>
        <v>1</v>
      </c>
    </row>
    <row r="558" spans="1:8" x14ac:dyDescent="0.2">
      <c r="A558">
        <f>ROW(LineærRegression_Valg[[#This Row],[Tabel ID]])-ROW(LineærRegression_Valg[[#Headers],[Tabel ID]])</f>
        <v>548</v>
      </c>
      <c r="B558" s="171">
        <f>ROUNDDOWN((LineærRegression_Valg[[#This Row],[Tabel ID]]-1)/$B$5,0)+1</f>
        <v>137</v>
      </c>
      <c r="C558" s="171">
        <f t="shared" si="8"/>
        <v>4</v>
      </c>
      <c r="D558" s="171" t="b">
        <f>LineærRegression_Valg[[#This Row],[Afhængig variabel ID]]&lt;&gt;LineærRegression_Valg[[#This Row],[Uafhængig variabel ID]]</f>
        <v>1</v>
      </c>
      <c r="E558" t="b">
        <f>LineærRegression_Valg[[#This Row],[Afhængig variabel ID]]&lt;=$B$5</f>
        <v>0</v>
      </c>
      <c r="F558" t="str" cm="1">
        <f t="array" ref="F558">IF(LineærRegression_Valg[[#This Row],[Indenfor range]],INDEX(DataTitel_liste,LineærRegression_Valg[[#This Row],[Afhængig variabel ID]]),INDEX(DataTitel_liste,1))</f>
        <v>Eksempel 1 (interval)</v>
      </c>
      <c r="G558" s="171" t="str" cm="1">
        <f t="array" ref="G558">IF(LineærRegression_Valg[[#This Row],[Indenfor range]],IF(LineærRegression_Valg[[#This Row],[Intet overlap]],INDEX(DataTitel_liste,LineærRegression_Valg[[#This Row],[Uafhængig variabel ID]]),INDEX(DataTitel_liste,IF(LineærRegression_Valg[[#This Row],[Afhængig variabel ID]]=1,2,1))),$B$7)</f>
        <v>Eksempel 2 (interval)</v>
      </c>
      <c r="H558" s="171">
        <f>_xlfn.AGGREGATE(2,5,LineærRegression_Valg[[#This Row],[Tabel ID]])</f>
        <v>1</v>
      </c>
    </row>
    <row r="559" spans="1:8" x14ac:dyDescent="0.2">
      <c r="A559">
        <f>ROW(LineærRegression_Valg[[#This Row],[Tabel ID]])-ROW(LineærRegression_Valg[[#Headers],[Tabel ID]])</f>
        <v>549</v>
      </c>
      <c r="B559" s="171">
        <f>ROUNDDOWN((LineærRegression_Valg[[#This Row],[Tabel ID]]-1)/$B$5,0)+1</f>
        <v>138</v>
      </c>
      <c r="C559" s="171">
        <f t="shared" si="8"/>
        <v>1</v>
      </c>
      <c r="D559" s="171" t="b">
        <f>LineærRegression_Valg[[#This Row],[Afhængig variabel ID]]&lt;&gt;LineærRegression_Valg[[#This Row],[Uafhængig variabel ID]]</f>
        <v>1</v>
      </c>
      <c r="E559" t="b">
        <f>LineærRegression_Valg[[#This Row],[Afhængig variabel ID]]&lt;=$B$5</f>
        <v>0</v>
      </c>
      <c r="F559" t="str" cm="1">
        <f t="array" ref="F559">IF(LineærRegression_Valg[[#This Row],[Indenfor range]],INDEX(DataTitel_liste,LineærRegression_Valg[[#This Row],[Afhængig variabel ID]]),INDEX(DataTitel_liste,1))</f>
        <v>Eksempel 1 (interval)</v>
      </c>
      <c r="G559" s="171" t="str" cm="1">
        <f t="array" ref="G559">IF(LineærRegression_Valg[[#This Row],[Indenfor range]],IF(LineærRegression_Valg[[#This Row],[Intet overlap]],INDEX(DataTitel_liste,LineærRegression_Valg[[#This Row],[Uafhængig variabel ID]]),INDEX(DataTitel_liste,IF(LineærRegression_Valg[[#This Row],[Afhængig variabel ID]]=1,2,1))),$B$7)</f>
        <v>Eksempel 2 (interval)</v>
      </c>
      <c r="H559" s="171">
        <f>_xlfn.AGGREGATE(2,5,LineærRegression_Valg[[#This Row],[Tabel ID]])</f>
        <v>1</v>
      </c>
    </row>
    <row r="560" spans="1:8" x14ac:dyDescent="0.2">
      <c r="A560">
        <f>ROW(LineærRegression_Valg[[#This Row],[Tabel ID]])-ROW(LineærRegression_Valg[[#Headers],[Tabel ID]])</f>
        <v>550</v>
      </c>
      <c r="B560" s="171">
        <f>ROUNDDOWN((LineærRegression_Valg[[#This Row],[Tabel ID]]-1)/$B$5,0)+1</f>
        <v>138</v>
      </c>
      <c r="C560" s="171">
        <f t="shared" si="8"/>
        <v>2</v>
      </c>
      <c r="D560" s="171" t="b">
        <f>LineærRegression_Valg[[#This Row],[Afhængig variabel ID]]&lt;&gt;LineærRegression_Valg[[#This Row],[Uafhængig variabel ID]]</f>
        <v>1</v>
      </c>
      <c r="E560" t="b">
        <f>LineærRegression_Valg[[#This Row],[Afhængig variabel ID]]&lt;=$B$5</f>
        <v>0</v>
      </c>
      <c r="F560" t="str" cm="1">
        <f t="array" ref="F560">IF(LineærRegression_Valg[[#This Row],[Indenfor range]],INDEX(DataTitel_liste,LineærRegression_Valg[[#This Row],[Afhængig variabel ID]]),INDEX(DataTitel_liste,1))</f>
        <v>Eksempel 1 (interval)</v>
      </c>
      <c r="G560" s="171" t="str" cm="1">
        <f t="array" ref="G560">IF(LineærRegression_Valg[[#This Row],[Indenfor range]],IF(LineærRegression_Valg[[#This Row],[Intet overlap]],INDEX(DataTitel_liste,LineærRegression_Valg[[#This Row],[Uafhængig variabel ID]]),INDEX(DataTitel_liste,IF(LineærRegression_Valg[[#This Row],[Afhængig variabel ID]]=1,2,1))),$B$7)</f>
        <v>Eksempel 2 (interval)</v>
      </c>
      <c r="H560" s="171">
        <f>_xlfn.AGGREGATE(2,5,LineærRegression_Valg[[#This Row],[Tabel ID]])</f>
        <v>1</v>
      </c>
    </row>
    <row r="561" spans="1:8" x14ac:dyDescent="0.2">
      <c r="A561">
        <f>ROW(LineærRegression_Valg[[#This Row],[Tabel ID]])-ROW(LineærRegression_Valg[[#Headers],[Tabel ID]])</f>
        <v>551</v>
      </c>
      <c r="B561" s="171">
        <f>ROUNDDOWN((LineærRegression_Valg[[#This Row],[Tabel ID]]-1)/$B$5,0)+1</f>
        <v>138</v>
      </c>
      <c r="C561" s="171">
        <f t="shared" si="8"/>
        <v>3</v>
      </c>
      <c r="D561" s="171" t="b">
        <f>LineærRegression_Valg[[#This Row],[Afhængig variabel ID]]&lt;&gt;LineærRegression_Valg[[#This Row],[Uafhængig variabel ID]]</f>
        <v>1</v>
      </c>
      <c r="E561" t="b">
        <f>LineærRegression_Valg[[#This Row],[Afhængig variabel ID]]&lt;=$B$5</f>
        <v>0</v>
      </c>
      <c r="F561" t="str" cm="1">
        <f t="array" ref="F561">IF(LineærRegression_Valg[[#This Row],[Indenfor range]],INDEX(DataTitel_liste,LineærRegression_Valg[[#This Row],[Afhængig variabel ID]]),INDEX(DataTitel_liste,1))</f>
        <v>Eksempel 1 (interval)</v>
      </c>
      <c r="G561" s="171" t="str" cm="1">
        <f t="array" ref="G561">IF(LineærRegression_Valg[[#This Row],[Indenfor range]],IF(LineærRegression_Valg[[#This Row],[Intet overlap]],INDEX(DataTitel_liste,LineærRegression_Valg[[#This Row],[Uafhængig variabel ID]]),INDEX(DataTitel_liste,IF(LineærRegression_Valg[[#This Row],[Afhængig variabel ID]]=1,2,1))),$B$7)</f>
        <v>Eksempel 2 (interval)</v>
      </c>
      <c r="H561" s="171">
        <f>_xlfn.AGGREGATE(2,5,LineærRegression_Valg[[#This Row],[Tabel ID]])</f>
        <v>1</v>
      </c>
    </row>
    <row r="562" spans="1:8" x14ac:dyDescent="0.2">
      <c r="A562">
        <f>ROW(LineærRegression_Valg[[#This Row],[Tabel ID]])-ROW(LineærRegression_Valg[[#Headers],[Tabel ID]])</f>
        <v>552</v>
      </c>
      <c r="B562" s="171">
        <f>ROUNDDOWN((LineærRegression_Valg[[#This Row],[Tabel ID]]-1)/$B$5,0)+1</f>
        <v>138</v>
      </c>
      <c r="C562" s="171">
        <f t="shared" si="8"/>
        <v>4</v>
      </c>
      <c r="D562" s="171" t="b">
        <f>LineærRegression_Valg[[#This Row],[Afhængig variabel ID]]&lt;&gt;LineærRegression_Valg[[#This Row],[Uafhængig variabel ID]]</f>
        <v>1</v>
      </c>
      <c r="E562" t="b">
        <f>LineærRegression_Valg[[#This Row],[Afhængig variabel ID]]&lt;=$B$5</f>
        <v>0</v>
      </c>
      <c r="F562" t="str" cm="1">
        <f t="array" ref="F562">IF(LineærRegression_Valg[[#This Row],[Indenfor range]],INDEX(DataTitel_liste,LineærRegression_Valg[[#This Row],[Afhængig variabel ID]]),INDEX(DataTitel_liste,1))</f>
        <v>Eksempel 1 (interval)</v>
      </c>
      <c r="G562" s="171" t="str" cm="1">
        <f t="array" ref="G562">IF(LineærRegression_Valg[[#This Row],[Indenfor range]],IF(LineærRegression_Valg[[#This Row],[Intet overlap]],INDEX(DataTitel_liste,LineærRegression_Valg[[#This Row],[Uafhængig variabel ID]]),INDEX(DataTitel_liste,IF(LineærRegression_Valg[[#This Row],[Afhængig variabel ID]]=1,2,1))),$B$7)</f>
        <v>Eksempel 2 (interval)</v>
      </c>
      <c r="H562" s="171">
        <f>_xlfn.AGGREGATE(2,5,LineærRegression_Valg[[#This Row],[Tabel ID]])</f>
        <v>1</v>
      </c>
    </row>
    <row r="563" spans="1:8" x14ac:dyDescent="0.2">
      <c r="A563">
        <f>ROW(LineærRegression_Valg[[#This Row],[Tabel ID]])-ROW(LineærRegression_Valg[[#Headers],[Tabel ID]])</f>
        <v>553</v>
      </c>
      <c r="B563" s="171">
        <f>ROUNDDOWN((LineærRegression_Valg[[#This Row],[Tabel ID]]-1)/$B$5,0)+1</f>
        <v>139</v>
      </c>
      <c r="C563" s="171">
        <f t="shared" si="8"/>
        <v>1</v>
      </c>
      <c r="D563" s="171" t="b">
        <f>LineærRegression_Valg[[#This Row],[Afhængig variabel ID]]&lt;&gt;LineærRegression_Valg[[#This Row],[Uafhængig variabel ID]]</f>
        <v>1</v>
      </c>
      <c r="E563" t="b">
        <f>LineærRegression_Valg[[#This Row],[Afhængig variabel ID]]&lt;=$B$5</f>
        <v>0</v>
      </c>
      <c r="F563" t="str" cm="1">
        <f t="array" ref="F563">IF(LineærRegression_Valg[[#This Row],[Indenfor range]],INDEX(DataTitel_liste,LineærRegression_Valg[[#This Row],[Afhængig variabel ID]]),INDEX(DataTitel_liste,1))</f>
        <v>Eksempel 1 (interval)</v>
      </c>
      <c r="G563" s="171" t="str" cm="1">
        <f t="array" ref="G563">IF(LineærRegression_Valg[[#This Row],[Indenfor range]],IF(LineærRegression_Valg[[#This Row],[Intet overlap]],INDEX(DataTitel_liste,LineærRegression_Valg[[#This Row],[Uafhængig variabel ID]]),INDEX(DataTitel_liste,IF(LineærRegression_Valg[[#This Row],[Afhængig variabel ID]]=1,2,1))),$B$7)</f>
        <v>Eksempel 2 (interval)</v>
      </c>
      <c r="H563" s="171">
        <f>_xlfn.AGGREGATE(2,5,LineærRegression_Valg[[#This Row],[Tabel ID]])</f>
        <v>1</v>
      </c>
    </row>
    <row r="564" spans="1:8" x14ac:dyDescent="0.2">
      <c r="A564">
        <f>ROW(LineærRegression_Valg[[#This Row],[Tabel ID]])-ROW(LineærRegression_Valg[[#Headers],[Tabel ID]])</f>
        <v>554</v>
      </c>
      <c r="B564" s="171">
        <f>ROUNDDOWN((LineærRegression_Valg[[#This Row],[Tabel ID]]-1)/$B$5,0)+1</f>
        <v>139</v>
      </c>
      <c r="C564" s="171">
        <f t="shared" si="8"/>
        <v>2</v>
      </c>
      <c r="D564" s="171" t="b">
        <f>LineærRegression_Valg[[#This Row],[Afhængig variabel ID]]&lt;&gt;LineærRegression_Valg[[#This Row],[Uafhængig variabel ID]]</f>
        <v>1</v>
      </c>
      <c r="E564" t="b">
        <f>LineærRegression_Valg[[#This Row],[Afhængig variabel ID]]&lt;=$B$5</f>
        <v>0</v>
      </c>
      <c r="F564" t="str" cm="1">
        <f t="array" ref="F564">IF(LineærRegression_Valg[[#This Row],[Indenfor range]],INDEX(DataTitel_liste,LineærRegression_Valg[[#This Row],[Afhængig variabel ID]]),INDEX(DataTitel_liste,1))</f>
        <v>Eksempel 1 (interval)</v>
      </c>
      <c r="G564" s="171" t="str" cm="1">
        <f t="array" ref="G564">IF(LineærRegression_Valg[[#This Row],[Indenfor range]],IF(LineærRegression_Valg[[#This Row],[Intet overlap]],INDEX(DataTitel_liste,LineærRegression_Valg[[#This Row],[Uafhængig variabel ID]]),INDEX(DataTitel_liste,IF(LineærRegression_Valg[[#This Row],[Afhængig variabel ID]]=1,2,1))),$B$7)</f>
        <v>Eksempel 2 (interval)</v>
      </c>
      <c r="H564" s="171">
        <f>_xlfn.AGGREGATE(2,5,LineærRegression_Valg[[#This Row],[Tabel ID]])</f>
        <v>1</v>
      </c>
    </row>
    <row r="565" spans="1:8" x14ac:dyDescent="0.2">
      <c r="A565">
        <f>ROW(LineærRegression_Valg[[#This Row],[Tabel ID]])-ROW(LineærRegression_Valg[[#Headers],[Tabel ID]])</f>
        <v>555</v>
      </c>
      <c r="B565" s="171">
        <f>ROUNDDOWN((LineærRegression_Valg[[#This Row],[Tabel ID]]-1)/$B$5,0)+1</f>
        <v>139</v>
      </c>
      <c r="C565" s="171">
        <f t="shared" si="8"/>
        <v>3</v>
      </c>
      <c r="D565" s="171" t="b">
        <f>LineærRegression_Valg[[#This Row],[Afhængig variabel ID]]&lt;&gt;LineærRegression_Valg[[#This Row],[Uafhængig variabel ID]]</f>
        <v>1</v>
      </c>
      <c r="E565" t="b">
        <f>LineærRegression_Valg[[#This Row],[Afhængig variabel ID]]&lt;=$B$5</f>
        <v>0</v>
      </c>
      <c r="F565" t="str" cm="1">
        <f t="array" ref="F565">IF(LineærRegression_Valg[[#This Row],[Indenfor range]],INDEX(DataTitel_liste,LineærRegression_Valg[[#This Row],[Afhængig variabel ID]]),INDEX(DataTitel_liste,1))</f>
        <v>Eksempel 1 (interval)</v>
      </c>
      <c r="G565" s="171" t="str" cm="1">
        <f t="array" ref="G565">IF(LineærRegression_Valg[[#This Row],[Indenfor range]],IF(LineærRegression_Valg[[#This Row],[Intet overlap]],INDEX(DataTitel_liste,LineærRegression_Valg[[#This Row],[Uafhængig variabel ID]]),INDEX(DataTitel_liste,IF(LineærRegression_Valg[[#This Row],[Afhængig variabel ID]]=1,2,1))),$B$7)</f>
        <v>Eksempel 2 (interval)</v>
      </c>
      <c r="H565" s="171">
        <f>_xlfn.AGGREGATE(2,5,LineærRegression_Valg[[#This Row],[Tabel ID]])</f>
        <v>1</v>
      </c>
    </row>
    <row r="566" spans="1:8" x14ac:dyDescent="0.2">
      <c r="A566">
        <f>ROW(LineærRegression_Valg[[#This Row],[Tabel ID]])-ROW(LineærRegression_Valg[[#Headers],[Tabel ID]])</f>
        <v>556</v>
      </c>
      <c r="B566" s="171">
        <f>ROUNDDOWN((LineærRegression_Valg[[#This Row],[Tabel ID]]-1)/$B$5,0)+1</f>
        <v>139</v>
      </c>
      <c r="C566" s="171">
        <f t="shared" si="8"/>
        <v>4</v>
      </c>
      <c r="D566" s="171" t="b">
        <f>LineærRegression_Valg[[#This Row],[Afhængig variabel ID]]&lt;&gt;LineærRegression_Valg[[#This Row],[Uafhængig variabel ID]]</f>
        <v>1</v>
      </c>
      <c r="E566" t="b">
        <f>LineærRegression_Valg[[#This Row],[Afhængig variabel ID]]&lt;=$B$5</f>
        <v>0</v>
      </c>
      <c r="F566" t="str" cm="1">
        <f t="array" ref="F566">IF(LineærRegression_Valg[[#This Row],[Indenfor range]],INDEX(DataTitel_liste,LineærRegression_Valg[[#This Row],[Afhængig variabel ID]]),INDEX(DataTitel_liste,1))</f>
        <v>Eksempel 1 (interval)</v>
      </c>
      <c r="G566" s="171" t="str" cm="1">
        <f t="array" ref="G566">IF(LineærRegression_Valg[[#This Row],[Indenfor range]],IF(LineærRegression_Valg[[#This Row],[Intet overlap]],INDEX(DataTitel_liste,LineærRegression_Valg[[#This Row],[Uafhængig variabel ID]]),INDEX(DataTitel_liste,IF(LineærRegression_Valg[[#This Row],[Afhængig variabel ID]]=1,2,1))),$B$7)</f>
        <v>Eksempel 2 (interval)</v>
      </c>
      <c r="H566" s="171">
        <f>_xlfn.AGGREGATE(2,5,LineærRegression_Valg[[#This Row],[Tabel ID]])</f>
        <v>1</v>
      </c>
    </row>
    <row r="567" spans="1:8" x14ac:dyDescent="0.2">
      <c r="A567">
        <f>ROW(LineærRegression_Valg[[#This Row],[Tabel ID]])-ROW(LineærRegression_Valg[[#Headers],[Tabel ID]])</f>
        <v>557</v>
      </c>
      <c r="B567" s="171">
        <f>ROUNDDOWN((LineærRegression_Valg[[#This Row],[Tabel ID]]-1)/$B$5,0)+1</f>
        <v>140</v>
      </c>
      <c r="C567" s="171">
        <f t="shared" si="8"/>
        <v>1</v>
      </c>
      <c r="D567" s="171" t="b">
        <f>LineærRegression_Valg[[#This Row],[Afhængig variabel ID]]&lt;&gt;LineærRegression_Valg[[#This Row],[Uafhængig variabel ID]]</f>
        <v>1</v>
      </c>
      <c r="E567" t="b">
        <f>LineærRegression_Valg[[#This Row],[Afhængig variabel ID]]&lt;=$B$5</f>
        <v>0</v>
      </c>
      <c r="F567" t="str" cm="1">
        <f t="array" ref="F567">IF(LineærRegression_Valg[[#This Row],[Indenfor range]],INDEX(DataTitel_liste,LineærRegression_Valg[[#This Row],[Afhængig variabel ID]]),INDEX(DataTitel_liste,1))</f>
        <v>Eksempel 1 (interval)</v>
      </c>
      <c r="G567" s="171" t="str" cm="1">
        <f t="array" ref="G567">IF(LineærRegression_Valg[[#This Row],[Indenfor range]],IF(LineærRegression_Valg[[#This Row],[Intet overlap]],INDEX(DataTitel_liste,LineærRegression_Valg[[#This Row],[Uafhængig variabel ID]]),INDEX(DataTitel_liste,IF(LineærRegression_Valg[[#This Row],[Afhængig variabel ID]]=1,2,1))),$B$7)</f>
        <v>Eksempel 2 (interval)</v>
      </c>
      <c r="H567" s="171">
        <f>_xlfn.AGGREGATE(2,5,LineærRegression_Valg[[#This Row],[Tabel ID]])</f>
        <v>1</v>
      </c>
    </row>
    <row r="568" spans="1:8" x14ac:dyDescent="0.2">
      <c r="A568">
        <f>ROW(LineærRegression_Valg[[#This Row],[Tabel ID]])-ROW(LineærRegression_Valg[[#Headers],[Tabel ID]])</f>
        <v>558</v>
      </c>
      <c r="B568" s="171">
        <f>ROUNDDOWN((LineærRegression_Valg[[#This Row],[Tabel ID]]-1)/$B$5,0)+1</f>
        <v>140</v>
      </c>
      <c r="C568" s="171">
        <f t="shared" si="8"/>
        <v>2</v>
      </c>
      <c r="D568" s="171" t="b">
        <f>LineærRegression_Valg[[#This Row],[Afhængig variabel ID]]&lt;&gt;LineærRegression_Valg[[#This Row],[Uafhængig variabel ID]]</f>
        <v>1</v>
      </c>
      <c r="E568" t="b">
        <f>LineærRegression_Valg[[#This Row],[Afhængig variabel ID]]&lt;=$B$5</f>
        <v>0</v>
      </c>
      <c r="F568" t="str" cm="1">
        <f t="array" ref="F568">IF(LineærRegression_Valg[[#This Row],[Indenfor range]],INDEX(DataTitel_liste,LineærRegression_Valg[[#This Row],[Afhængig variabel ID]]),INDEX(DataTitel_liste,1))</f>
        <v>Eksempel 1 (interval)</v>
      </c>
      <c r="G568" s="171" t="str" cm="1">
        <f t="array" ref="G568">IF(LineærRegression_Valg[[#This Row],[Indenfor range]],IF(LineærRegression_Valg[[#This Row],[Intet overlap]],INDEX(DataTitel_liste,LineærRegression_Valg[[#This Row],[Uafhængig variabel ID]]),INDEX(DataTitel_liste,IF(LineærRegression_Valg[[#This Row],[Afhængig variabel ID]]=1,2,1))),$B$7)</f>
        <v>Eksempel 2 (interval)</v>
      </c>
      <c r="H568" s="171">
        <f>_xlfn.AGGREGATE(2,5,LineærRegression_Valg[[#This Row],[Tabel ID]])</f>
        <v>1</v>
      </c>
    </row>
    <row r="569" spans="1:8" x14ac:dyDescent="0.2">
      <c r="A569">
        <f>ROW(LineærRegression_Valg[[#This Row],[Tabel ID]])-ROW(LineærRegression_Valg[[#Headers],[Tabel ID]])</f>
        <v>559</v>
      </c>
      <c r="B569" s="171">
        <f>ROUNDDOWN((LineærRegression_Valg[[#This Row],[Tabel ID]]-1)/$B$5,0)+1</f>
        <v>140</v>
      </c>
      <c r="C569" s="171">
        <f t="shared" si="8"/>
        <v>3</v>
      </c>
      <c r="D569" s="171" t="b">
        <f>LineærRegression_Valg[[#This Row],[Afhængig variabel ID]]&lt;&gt;LineærRegression_Valg[[#This Row],[Uafhængig variabel ID]]</f>
        <v>1</v>
      </c>
      <c r="E569" t="b">
        <f>LineærRegression_Valg[[#This Row],[Afhængig variabel ID]]&lt;=$B$5</f>
        <v>0</v>
      </c>
      <c r="F569" t="str" cm="1">
        <f t="array" ref="F569">IF(LineærRegression_Valg[[#This Row],[Indenfor range]],INDEX(DataTitel_liste,LineærRegression_Valg[[#This Row],[Afhængig variabel ID]]),INDEX(DataTitel_liste,1))</f>
        <v>Eksempel 1 (interval)</v>
      </c>
      <c r="G569" s="171" t="str" cm="1">
        <f t="array" ref="G569">IF(LineærRegression_Valg[[#This Row],[Indenfor range]],IF(LineærRegression_Valg[[#This Row],[Intet overlap]],INDEX(DataTitel_liste,LineærRegression_Valg[[#This Row],[Uafhængig variabel ID]]),INDEX(DataTitel_liste,IF(LineærRegression_Valg[[#This Row],[Afhængig variabel ID]]=1,2,1))),$B$7)</f>
        <v>Eksempel 2 (interval)</v>
      </c>
      <c r="H569" s="171">
        <f>_xlfn.AGGREGATE(2,5,LineærRegression_Valg[[#This Row],[Tabel ID]])</f>
        <v>1</v>
      </c>
    </row>
    <row r="570" spans="1:8" x14ac:dyDescent="0.2">
      <c r="A570">
        <f>ROW(LineærRegression_Valg[[#This Row],[Tabel ID]])-ROW(LineærRegression_Valg[[#Headers],[Tabel ID]])</f>
        <v>560</v>
      </c>
      <c r="B570" s="171">
        <f>ROUNDDOWN((LineærRegression_Valg[[#This Row],[Tabel ID]]-1)/$B$5,0)+1</f>
        <v>140</v>
      </c>
      <c r="C570" s="171">
        <f t="shared" si="8"/>
        <v>4</v>
      </c>
      <c r="D570" s="171" t="b">
        <f>LineærRegression_Valg[[#This Row],[Afhængig variabel ID]]&lt;&gt;LineærRegression_Valg[[#This Row],[Uafhængig variabel ID]]</f>
        <v>1</v>
      </c>
      <c r="E570" t="b">
        <f>LineærRegression_Valg[[#This Row],[Afhængig variabel ID]]&lt;=$B$5</f>
        <v>0</v>
      </c>
      <c r="F570" t="str" cm="1">
        <f t="array" ref="F570">IF(LineærRegression_Valg[[#This Row],[Indenfor range]],INDEX(DataTitel_liste,LineærRegression_Valg[[#This Row],[Afhængig variabel ID]]),INDEX(DataTitel_liste,1))</f>
        <v>Eksempel 1 (interval)</v>
      </c>
      <c r="G570" s="171" t="str" cm="1">
        <f t="array" ref="G570">IF(LineærRegression_Valg[[#This Row],[Indenfor range]],IF(LineærRegression_Valg[[#This Row],[Intet overlap]],INDEX(DataTitel_liste,LineærRegression_Valg[[#This Row],[Uafhængig variabel ID]]),INDEX(DataTitel_liste,IF(LineærRegression_Valg[[#This Row],[Afhængig variabel ID]]=1,2,1))),$B$7)</f>
        <v>Eksempel 2 (interval)</v>
      </c>
      <c r="H570" s="171">
        <f>_xlfn.AGGREGATE(2,5,LineærRegression_Valg[[#This Row],[Tabel ID]])</f>
        <v>1</v>
      </c>
    </row>
    <row r="571" spans="1:8" x14ac:dyDescent="0.2">
      <c r="A571">
        <f>ROW(LineærRegression_Valg[[#This Row],[Tabel ID]])-ROW(LineærRegression_Valg[[#Headers],[Tabel ID]])</f>
        <v>561</v>
      </c>
      <c r="B571" s="171">
        <f>ROUNDDOWN((LineærRegression_Valg[[#This Row],[Tabel ID]]-1)/$B$5,0)+1</f>
        <v>141</v>
      </c>
      <c r="C571" s="171">
        <f t="shared" si="8"/>
        <v>1</v>
      </c>
      <c r="D571" s="171" t="b">
        <f>LineærRegression_Valg[[#This Row],[Afhængig variabel ID]]&lt;&gt;LineærRegression_Valg[[#This Row],[Uafhængig variabel ID]]</f>
        <v>1</v>
      </c>
      <c r="E571" t="b">
        <f>LineærRegression_Valg[[#This Row],[Afhængig variabel ID]]&lt;=$B$5</f>
        <v>0</v>
      </c>
      <c r="F571" t="str" cm="1">
        <f t="array" ref="F571">IF(LineærRegression_Valg[[#This Row],[Indenfor range]],INDEX(DataTitel_liste,LineærRegression_Valg[[#This Row],[Afhængig variabel ID]]),INDEX(DataTitel_liste,1))</f>
        <v>Eksempel 1 (interval)</v>
      </c>
      <c r="G571" s="171" t="str" cm="1">
        <f t="array" ref="G571">IF(LineærRegression_Valg[[#This Row],[Indenfor range]],IF(LineærRegression_Valg[[#This Row],[Intet overlap]],INDEX(DataTitel_liste,LineærRegression_Valg[[#This Row],[Uafhængig variabel ID]]),INDEX(DataTitel_liste,IF(LineærRegression_Valg[[#This Row],[Afhængig variabel ID]]=1,2,1))),$B$7)</f>
        <v>Eksempel 2 (interval)</v>
      </c>
      <c r="H571" s="171">
        <f>_xlfn.AGGREGATE(2,5,LineærRegression_Valg[[#This Row],[Tabel ID]])</f>
        <v>1</v>
      </c>
    </row>
    <row r="572" spans="1:8" x14ac:dyDescent="0.2">
      <c r="A572">
        <f>ROW(LineærRegression_Valg[[#This Row],[Tabel ID]])-ROW(LineærRegression_Valg[[#Headers],[Tabel ID]])</f>
        <v>562</v>
      </c>
      <c r="B572" s="171">
        <f>ROUNDDOWN((LineærRegression_Valg[[#This Row],[Tabel ID]]-1)/$B$5,0)+1</f>
        <v>141</v>
      </c>
      <c r="C572" s="171">
        <f t="shared" si="8"/>
        <v>2</v>
      </c>
      <c r="D572" s="171" t="b">
        <f>LineærRegression_Valg[[#This Row],[Afhængig variabel ID]]&lt;&gt;LineærRegression_Valg[[#This Row],[Uafhængig variabel ID]]</f>
        <v>1</v>
      </c>
      <c r="E572" t="b">
        <f>LineærRegression_Valg[[#This Row],[Afhængig variabel ID]]&lt;=$B$5</f>
        <v>0</v>
      </c>
      <c r="F572" t="str" cm="1">
        <f t="array" ref="F572">IF(LineærRegression_Valg[[#This Row],[Indenfor range]],INDEX(DataTitel_liste,LineærRegression_Valg[[#This Row],[Afhængig variabel ID]]),INDEX(DataTitel_liste,1))</f>
        <v>Eksempel 1 (interval)</v>
      </c>
      <c r="G572" s="171" t="str" cm="1">
        <f t="array" ref="G572">IF(LineærRegression_Valg[[#This Row],[Indenfor range]],IF(LineærRegression_Valg[[#This Row],[Intet overlap]],INDEX(DataTitel_liste,LineærRegression_Valg[[#This Row],[Uafhængig variabel ID]]),INDEX(DataTitel_liste,IF(LineærRegression_Valg[[#This Row],[Afhængig variabel ID]]=1,2,1))),$B$7)</f>
        <v>Eksempel 2 (interval)</v>
      </c>
      <c r="H572" s="171">
        <f>_xlfn.AGGREGATE(2,5,LineærRegression_Valg[[#This Row],[Tabel ID]])</f>
        <v>1</v>
      </c>
    </row>
    <row r="573" spans="1:8" x14ac:dyDescent="0.2">
      <c r="A573">
        <f>ROW(LineærRegression_Valg[[#This Row],[Tabel ID]])-ROW(LineærRegression_Valg[[#Headers],[Tabel ID]])</f>
        <v>563</v>
      </c>
      <c r="B573" s="171">
        <f>ROUNDDOWN((LineærRegression_Valg[[#This Row],[Tabel ID]]-1)/$B$5,0)+1</f>
        <v>141</v>
      </c>
      <c r="C573" s="171">
        <f t="shared" si="8"/>
        <v>3</v>
      </c>
      <c r="D573" s="171" t="b">
        <f>LineærRegression_Valg[[#This Row],[Afhængig variabel ID]]&lt;&gt;LineærRegression_Valg[[#This Row],[Uafhængig variabel ID]]</f>
        <v>1</v>
      </c>
      <c r="E573" t="b">
        <f>LineærRegression_Valg[[#This Row],[Afhængig variabel ID]]&lt;=$B$5</f>
        <v>0</v>
      </c>
      <c r="F573" t="str" cm="1">
        <f t="array" ref="F573">IF(LineærRegression_Valg[[#This Row],[Indenfor range]],INDEX(DataTitel_liste,LineærRegression_Valg[[#This Row],[Afhængig variabel ID]]),INDEX(DataTitel_liste,1))</f>
        <v>Eksempel 1 (interval)</v>
      </c>
      <c r="G573" s="171" t="str" cm="1">
        <f t="array" ref="G573">IF(LineærRegression_Valg[[#This Row],[Indenfor range]],IF(LineærRegression_Valg[[#This Row],[Intet overlap]],INDEX(DataTitel_liste,LineærRegression_Valg[[#This Row],[Uafhængig variabel ID]]),INDEX(DataTitel_liste,IF(LineærRegression_Valg[[#This Row],[Afhængig variabel ID]]=1,2,1))),$B$7)</f>
        <v>Eksempel 2 (interval)</v>
      </c>
      <c r="H573" s="171">
        <f>_xlfn.AGGREGATE(2,5,LineærRegression_Valg[[#This Row],[Tabel ID]])</f>
        <v>1</v>
      </c>
    </row>
    <row r="574" spans="1:8" x14ac:dyDescent="0.2">
      <c r="A574">
        <f>ROW(LineærRegression_Valg[[#This Row],[Tabel ID]])-ROW(LineærRegression_Valg[[#Headers],[Tabel ID]])</f>
        <v>564</v>
      </c>
      <c r="B574" s="171">
        <f>ROUNDDOWN((LineærRegression_Valg[[#This Row],[Tabel ID]]-1)/$B$5,0)+1</f>
        <v>141</v>
      </c>
      <c r="C574" s="171">
        <f t="shared" si="8"/>
        <v>4</v>
      </c>
      <c r="D574" s="171" t="b">
        <f>LineærRegression_Valg[[#This Row],[Afhængig variabel ID]]&lt;&gt;LineærRegression_Valg[[#This Row],[Uafhængig variabel ID]]</f>
        <v>1</v>
      </c>
      <c r="E574" t="b">
        <f>LineærRegression_Valg[[#This Row],[Afhængig variabel ID]]&lt;=$B$5</f>
        <v>0</v>
      </c>
      <c r="F574" t="str" cm="1">
        <f t="array" ref="F574">IF(LineærRegression_Valg[[#This Row],[Indenfor range]],INDEX(DataTitel_liste,LineærRegression_Valg[[#This Row],[Afhængig variabel ID]]),INDEX(DataTitel_liste,1))</f>
        <v>Eksempel 1 (interval)</v>
      </c>
      <c r="G574" s="171" t="str" cm="1">
        <f t="array" ref="G574">IF(LineærRegression_Valg[[#This Row],[Indenfor range]],IF(LineærRegression_Valg[[#This Row],[Intet overlap]],INDEX(DataTitel_liste,LineærRegression_Valg[[#This Row],[Uafhængig variabel ID]]),INDEX(DataTitel_liste,IF(LineærRegression_Valg[[#This Row],[Afhængig variabel ID]]=1,2,1))),$B$7)</f>
        <v>Eksempel 2 (interval)</v>
      </c>
      <c r="H574" s="171">
        <f>_xlfn.AGGREGATE(2,5,LineærRegression_Valg[[#This Row],[Tabel ID]])</f>
        <v>1</v>
      </c>
    </row>
    <row r="575" spans="1:8" x14ac:dyDescent="0.2">
      <c r="A575">
        <f>ROW(LineærRegression_Valg[[#This Row],[Tabel ID]])-ROW(LineærRegression_Valg[[#Headers],[Tabel ID]])</f>
        <v>565</v>
      </c>
      <c r="B575" s="171">
        <f>ROUNDDOWN((LineærRegression_Valg[[#This Row],[Tabel ID]]-1)/$B$5,0)+1</f>
        <v>142</v>
      </c>
      <c r="C575" s="171">
        <f t="shared" si="8"/>
        <v>1</v>
      </c>
      <c r="D575" s="171" t="b">
        <f>LineærRegression_Valg[[#This Row],[Afhængig variabel ID]]&lt;&gt;LineærRegression_Valg[[#This Row],[Uafhængig variabel ID]]</f>
        <v>1</v>
      </c>
      <c r="E575" t="b">
        <f>LineærRegression_Valg[[#This Row],[Afhængig variabel ID]]&lt;=$B$5</f>
        <v>0</v>
      </c>
      <c r="F575" t="str" cm="1">
        <f t="array" ref="F575">IF(LineærRegression_Valg[[#This Row],[Indenfor range]],INDEX(DataTitel_liste,LineærRegression_Valg[[#This Row],[Afhængig variabel ID]]),INDEX(DataTitel_liste,1))</f>
        <v>Eksempel 1 (interval)</v>
      </c>
      <c r="G575" s="171" t="str" cm="1">
        <f t="array" ref="G575">IF(LineærRegression_Valg[[#This Row],[Indenfor range]],IF(LineærRegression_Valg[[#This Row],[Intet overlap]],INDEX(DataTitel_liste,LineærRegression_Valg[[#This Row],[Uafhængig variabel ID]]),INDEX(DataTitel_liste,IF(LineærRegression_Valg[[#This Row],[Afhængig variabel ID]]=1,2,1))),$B$7)</f>
        <v>Eksempel 2 (interval)</v>
      </c>
      <c r="H575" s="171">
        <f>_xlfn.AGGREGATE(2,5,LineærRegression_Valg[[#This Row],[Tabel ID]])</f>
        <v>1</v>
      </c>
    </row>
    <row r="576" spans="1:8" x14ac:dyDescent="0.2">
      <c r="A576">
        <f>ROW(LineærRegression_Valg[[#This Row],[Tabel ID]])-ROW(LineærRegression_Valg[[#Headers],[Tabel ID]])</f>
        <v>566</v>
      </c>
      <c r="B576" s="171">
        <f>ROUNDDOWN((LineærRegression_Valg[[#This Row],[Tabel ID]]-1)/$B$5,0)+1</f>
        <v>142</v>
      </c>
      <c r="C576" s="171">
        <f t="shared" si="8"/>
        <v>2</v>
      </c>
      <c r="D576" s="171" t="b">
        <f>LineærRegression_Valg[[#This Row],[Afhængig variabel ID]]&lt;&gt;LineærRegression_Valg[[#This Row],[Uafhængig variabel ID]]</f>
        <v>1</v>
      </c>
      <c r="E576" t="b">
        <f>LineærRegression_Valg[[#This Row],[Afhængig variabel ID]]&lt;=$B$5</f>
        <v>0</v>
      </c>
      <c r="F576" t="str" cm="1">
        <f t="array" ref="F576">IF(LineærRegression_Valg[[#This Row],[Indenfor range]],INDEX(DataTitel_liste,LineærRegression_Valg[[#This Row],[Afhængig variabel ID]]),INDEX(DataTitel_liste,1))</f>
        <v>Eksempel 1 (interval)</v>
      </c>
      <c r="G576" s="171" t="str" cm="1">
        <f t="array" ref="G576">IF(LineærRegression_Valg[[#This Row],[Indenfor range]],IF(LineærRegression_Valg[[#This Row],[Intet overlap]],INDEX(DataTitel_liste,LineærRegression_Valg[[#This Row],[Uafhængig variabel ID]]),INDEX(DataTitel_liste,IF(LineærRegression_Valg[[#This Row],[Afhængig variabel ID]]=1,2,1))),$B$7)</f>
        <v>Eksempel 2 (interval)</v>
      </c>
      <c r="H576" s="171">
        <f>_xlfn.AGGREGATE(2,5,LineærRegression_Valg[[#This Row],[Tabel ID]])</f>
        <v>1</v>
      </c>
    </row>
    <row r="577" spans="1:8" x14ac:dyDescent="0.2">
      <c r="A577">
        <f>ROW(LineærRegression_Valg[[#This Row],[Tabel ID]])-ROW(LineærRegression_Valg[[#Headers],[Tabel ID]])</f>
        <v>567</v>
      </c>
      <c r="B577" s="171">
        <f>ROUNDDOWN((LineærRegression_Valg[[#This Row],[Tabel ID]]-1)/$B$5,0)+1</f>
        <v>142</v>
      </c>
      <c r="C577" s="171">
        <f t="shared" si="8"/>
        <v>3</v>
      </c>
      <c r="D577" s="171" t="b">
        <f>LineærRegression_Valg[[#This Row],[Afhængig variabel ID]]&lt;&gt;LineærRegression_Valg[[#This Row],[Uafhængig variabel ID]]</f>
        <v>1</v>
      </c>
      <c r="E577" t="b">
        <f>LineærRegression_Valg[[#This Row],[Afhængig variabel ID]]&lt;=$B$5</f>
        <v>0</v>
      </c>
      <c r="F577" t="str" cm="1">
        <f t="array" ref="F577">IF(LineærRegression_Valg[[#This Row],[Indenfor range]],INDEX(DataTitel_liste,LineærRegression_Valg[[#This Row],[Afhængig variabel ID]]),INDEX(DataTitel_liste,1))</f>
        <v>Eksempel 1 (interval)</v>
      </c>
      <c r="G577" s="171" t="str" cm="1">
        <f t="array" ref="G577">IF(LineærRegression_Valg[[#This Row],[Indenfor range]],IF(LineærRegression_Valg[[#This Row],[Intet overlap]],INDEX(DataTitel_liste,LineærRegression_Valg[[#This Row],[Uafhængig variabel ID]]),INDEX(DataTitel_liste,IF(LineærRegression_Valg[[#This Row],[Afhængig variabel ID]]=1,2,1))),$B$7)</f>
        <v>Eksempel 2 (interval)</v>
      </c>
      <c r="H577" s="171">
        <f>_xlfn.AGGREGATE(2,5,LineærRegression_Valg[[#This Row],[Tabel ID]])</f>
        <v>1</v>
      </c>
    </row>
    <row r="578" spans="1:8" x14ac:dyDescent="0.2">
      <c r="A578">
        <f>ROW(LineærRegression_Valg[[#This Row],[Tabel ID]])-ROW(LineærRegression_Valg[[#Headers],[Tabel ID]])</f>
        <v>568</v>
      </c>
      <c r="B578" s="171">
        <f>ROUNDDOWN((LineærRegression_Valg[[#This Row],[Tabel ID]]-1)/$B$5,0)+1</f>
        <v>142</v>
      </c>
      <c r="C578" s="171">
        <f t="shared" si="8"/>
        <v>4</v>
      </c>
      <c r="D578" s="171" t="b">
        <f>LineærRegression_Valg[[#This Row],[Afhængig variabel ID]]&lt;&gt;LineærRegression_Valg[[#This Row],[Uafhængig variabel ID]]</f>
        <v>1</v>
      </c>
      <c r="E578" t="b">
        <f>LineærRegression_Valg[[#This Row],[Afhængig variabel ID]]&lt;=$B$5</f>
        <v>0</v>
      </c>
      <c r="F578" t="str" cm="1">
        <f t="array" ref="F578">IF(LineærRegression_Valg[[#This Row],[Indenfor range]],INDEX(DataTitel_liste,LineærRegression_Valg[[#This Row],[Afhængig variabel ID]]),INDEX(DataTitel_liste,1))</f>
        <v>Eksempel 1 (interval)</v>
      </c>
      <c r="G578" s="171" t="str" cm="1">
        <f t="array" ref="G578">IF(LineærRegression_Valg[[#This Row],[Indenfor range]],IF(LineærRegression_Valg[[#This Row],[Intet overlap]],INDEX(DataTitel_liste,LineærRegression_Valg[[#This Row],[Uafhængig variabel ID]]),INDEX(DataTitel_liste,IF(LineærRegression_Valg[[#This Row],[Afhængig variabel ID]]=1,2,1))),$B$7)</f>
        <v>Eksempel 2 (interval)</v>
      </c>
      <c r="H578" s="171">
        <f>_xlfn.AGGREGATE(2,5,LineærRegression_Valg[[#This Row],[Tabel ID]])</f>
        <v>1</v>
      </c>
    </row>
    <row r="579" spans="1:8" x14ac:dyDescent="0.2">
      <c r="A579">
        <f>ROW(LineærRegression_Valg[[#This Row],[Tabel ID]])-ROW(LineærRegression_Valg[[#Headers],[Tabel ID]])</f>
        <v>569</v>
      </c>
      <c r="B579" s="171">
        <f>ROUNDDOWN((LineærRegression_Valg[[#This Row],[Tabel ID]]-1)/$B$5,0)+1</f>
        <v>143</v>
      </c>
      <c r="C579" s="171">
        <f t="shared" si="8"/>
        <v>1</v>
      </c>
      <c r="D579" s="171" t="b">
        <f>LineærRegression_Valg[[#This Row],[Afhængig variabel ID]]&lt;&gt;LineærRegression_Valg[[#This Row],[Uafhængig variabel ID]]</f>
        <v>1</v>
      </c>
      <c r="E579" t="b">
        <f>LineærRegression_Valg[[#This Row],[Afhængig variabel ID]]&lt;=$B$5</f>
        <v>0</v>
      </c>
      <c r="F579" t="str" cm="1">
        <f t="array" ref="F579">IF(LineærRegression_Valg[[#This Row],[Indenfor range]],INDEX(DataTitel_liste,LineærRegression_Valg[[#This Row],[Afhængig variabel ID]]),INDEX(DataTitel_liste,1))</f>
        <v>Eksempel 1 (interval)</v>
      </c>
      <c r="G579" s="171" t="str" cm="1">
        <f t="array" ref="G579">IF(LineærRegression_Valg[[#This Row],[Indenfor range]],IF(LineærRegression_Valg[[#This Row],[Intet overlap]],INDEX(DataTitel_liste,LineærRegression_Valg[[#This Row],[Uafhængig variabel ID]]),INDEX(DataTitel_liste,IF(LineærRegression_Valg[[#This Row],[Afhængig variabel ID]]=1,2,1))),$B$7)</f>
        <v>Eksempel 2 (interval)</v>
      </c>
      <c r="H579" s="171">
        <f>_xlfn.AGGREGATE(2,5,LineærRegression_Valg[[#This Row],[Tabel ID]])</f>
        <v>1</v>
      </c>
    </row>
    <row r="580" spans="1:8" x14ac:dyDescent="0.2">
      <c r="A580">
        <f>ROW(LineærRegression_Valg[[#This Row],[Tabel ID]])-ROW(LineærRegression_Valg[[#Headers],[Tabel ID]])</f>
        <v>570</v>
      </c>
      <c r="B580" s="171">
        <f>ROUNDDOWN((LineærRegression_Valg[[#This Row],[Tabel ID]]-1)/$B$5,0)+1</f>
        <v>143</v>
      </c>
      <c r="C580" s="171">
        <f t="shared" si="8"/>
        <v>2</v>
      </c>
      <c r="D580" s="171" t="b">
        <f>LineærRegression_Valg[[#This Row],[Afhængig variabel ID]]&lt;&gt;LineærRegression_Valg[[#This Row],[Uafhængig variabel ID]]</f>
        <v>1</v>
      </c>
      <c r="E580" t="b">
        <f>LineærRegression_Valg[[#This Row],[Afhængig variabel ID]]&lt;=$B$5</f>
        <v>0</v>
      </c>
      <c r="F580" t="str" cm="1">
        <f t="array" ref="F580">IF(LineærRegression_Valg[[#This Row],[Indenfor range]],INDEX(DataTitel_liste,LineærRegression_Valg[[#This Row],[Afhængig variabel ID]]),INDEX(DataTitel_liste,1))</f>
        <v>Eksempel 1 (interval)</v>
      </c>
      <c r="G580" s="171" t="str" cm="1">
        <f t="array" ref="G580">IF(LineærRegression_Valg[[#This Row],[Indenfor range]],IF(LineærRegression_Valg[[#This Row],[Intet overlap]],INDEX(DataTitel_liste,LineærRegression_Valg[[#This Row],[Uafhængig variabel ID]]),INDEX(DataTitel_liste,IF(LineærRegression_Valg[[#This Row],[Afhængig variabel ID]]=1,2,1))),$B$7)</f>
        <v>Eksempel 2 (interval)</v>
      </c>
      <c r="H580" s="171">
        <f>_xlfn.AGGREGATE(2,5,LineærRegression_Valg[[#This Row],[Tabel ID]])</f>
        <v>1</v>
      </c>
    </row>
    <row r="581" spans="1:8" x14ac:dyDescent="0.2">
      <c r="A581">
        <f>ROW(LineærRegression_Valg[[#This Row],[Tabel ID]])-ROW(LineærRegression_Valg[[#Headers],[Tabel ID]])</f>
        <v>571</v>
      </c>
      <c r="B581" s="171">
        <f>ROUNDDOWN((LineærRegression_Valg[[#This Row],[Tabel ID]]-1)/$B$5,0)+1</f>
        <v>143</v>
      </c>
      <c r="C581" s="171">
        <f t="shared" si="8"/>
        <v>3</v>
      </c>
      <c r="D581" s="171" t="b">
        <f>LineærRegression_Valg[[#This Row],[Afhængig variabel ID]]&lt;&gt;LineærRegression_Valg[[#This Row],[Uafhængig variabel ID]]</f>
        <v>1</v>
      </c>
      <c r="E581" t="b">
        <f>LineærRegression_Valg[[#This Row],[Afhængig variabel ID]]&lt;=$B$5</f>
        <v>0</v>
      </c>
      <c r="F581" t="str" cm="1">
        <f t="array" ref="F581">IF(LineærRegression_Valg[[#This Row],[Indenfor range]],INDEX(DataTitel_liste,LineærRegression_Valg[[#This Row],[Afhængig variabel ID]]),INDEX(DataTitel_liste,1))</f>
        <v>Eksempel 1 (interval)</v>
      </c>
      <c r="G581" s="171" t="str" cm="1">
        <f t="array" ref="G581">IF(LineærRegression_Valg[[#This Row],[Indenfor range]],IF(LineærRegression_Valg[[#This Row],[Intet overlap]],INDEX(DataTitel_liste,LineærRegression_Valg[[#This Row],[Uafhængig variabel ID]]),INDEX(DataTitel_liste,IF(LineærRegression_Valg[[#This Row],[Afhængig variabel ID]]=1,2,1))),$B$7)</f>
        <v>Eksempel 2 (interval)</v>
      </c>
      <c r="H581" s="171">
        <f>_xlfn.AGGREGATE(2,5,LineærRegression_Valg[[#This Row],[Tabel ID]])</f>
        <v>1</v>
      </c>
    </row>
    <row r="582" spans="1:8" x14ac:dyDescent="0.2">
      <c r="A582">
        <f>ROW(LineærRegression_Valg[[#This Row],[Tabel ID]])-ROW(LineærRegression_Valg[[#Headers],[Tabel ID]])</f>
        <v>572</v>
      </c>
      <c r="B582" s="171">
        <f>ROUNDDOWN((LineærRegression_Valg[[#This Row],[Tabel ID]]-1)/$B$5,0)+1</f>
        <v>143</v>
      </c>
      <c r="C582" s="171">
        <f t="shared" si="8"/>
        <v>4</v>
      </c>
      <c r="D582" s="171" t="b">
        <f>LineærRegression_Valg[[#This Row],[Afhængig variabel ID]]&lt;&gt;LineærRegression_Valg[[#This Row],[Uafhængig variabel ID]]</f>
        <v>1</v>
      </c>
      <c r="E582" t="b">
        <f>LineærRegression_Valg[[#This Row],[Afhængig variabel ID]]&lt;=$B$5</f>
        <v>0</v>
      </c>
      <c r="F582" t="str" cm="1">
        <f t="array" ref="F582">IF(LineærRegression_Valg[[#This Row],[Indenfor range]],INDEX(DataTitel_liste,LineærRegression_Valg[[#This Row],[Afhængig variabel ID]]),INDEX(DataTitel_liste,1))</f>
        <v>Eksempel 1 (interval)</v>
      </c>
      <c r="G582" s="171" t="str" cm="1">
        <f t="array" ref="G582">IF(LineærRegression_Valg[[#This Row],[Indenfor range]],IF(LineærRegression_Valg[[#This Row],[Intet overlap]],INDEX(DataTitel_liste,LineærRegression_Valg[[#This Row],[Uafhængig variabel ID]]),INDEX(DataTitel_liste,IF(LineærRegression_Valg[[#This Row],[Afhængig variabel ID]]=1,2,1))),$B$7)</f>
        <v>Eksempel 2 (interval)</v>
      </c>
      <c r="H582" s="171">
        <f>_xlfn.AGGREGATE(2,5,LineærRegression_Valg[[#This Row],[Tabel ID]])</f>
        <v>1</v>
      </c>
    </row>
    <row r="583" spans="1:8" x14ac:dyDescent="0.2">
      <c r="A583">
        <f>ROW(LineærRegression_Valg[[#This Row],[Tabel ID]])-ROW(LineærRegression_Valg[[#Headers],[Tabel ID]])</f>
        <v>573</v>
      </c>
      <c r="B583" s="171">
        <f>ROUNDDOWN((LineærRegression_Valg[[#This Row],[Tabel ID]]-1)/$B$5,0)+1</f>
        <v>144</v>
      </c>
      <c r="C583" s="171">
        <f t="shared" si="8"/>
        <v>1</v>
      </c>
      <c r="D583" s="171" t="b">
        <f>LineærRegression_Valg[[#This Row],[Afhængig variabel ID]]&lt;&gt;LineærRegression_Valg[[#This Row],[Uafhængig variabel ID]]</f>
        <v>1</v>
      </c>
      <c r="E583" t="b">
        <f>LineærRegression_Valg[[#This Row],[Afhængig variabel ID]]&lt;=$B$5</f>
        <v>0</v>
      </c>
      <c r="F583" t="str" cm="1">
        <f t="array" ref="F583">IF(LineærRegression_Valg[[#This Row],[Indenfor range]],INDEX(DataTitel_liste,LineærRegression_Valg[[#This Row],[Afhængig variabel ID]]),INDEX(DataTitel_liste,1))</f>
        <v>Eksempel 1 (interval)</v>
      </c>
      <c r="G583" s="171" t="str" cm="1">
        <f t="array" ref="G583">IF(LineærRegression_Valg[[#This Row],[Indenfor range]],IF(LineærRegression_Valg[[#This Row],[Intet overlap]],INDEX(DataTitel_liste,LineærRegression_Valg[[#This Row],[Uafhængig variabel ID]]),INDEX(DataTitel_liste,IF(LineærRegression_Valg[[#This Row],[Afhængig variabel ID]]=1,2,1))),$B$7)</f>
        <v>Eksempel 2 (interval)</v>
      </c>
      <c r="H583" s="171">
        <f>_xlfn.AGGREGATE(2,5,LineærRegression_Valg[[#This Row],[Tabel ID]])</f>
        <v>1</v>
      </c>
    </row>
    <row r="584" spans="1:8" x14ac:dyDescent="0.2">
      <c r="A584">
        <f>ROW(LineærRegression_Valg[[#This Row],[Tabel ID]])-ROW(LineærRegression_Valg[[#Headers],[Tabel ID]])</f>
        <v>574</v>
      </c>
      <c r="B584" s="171">
        <f>ROUNDDOWN((LineærRegression_Valg[[#This Row],[Tabel ID]]-1)/$B$5,0)+1</f>
        <v>144</v>
      </c>
      <c r="C584" s="171">
        <f t="shared" si="8"/>
        <v>2</v>
      </c>
      <c r="D584" s="171" t="b">
        <f>LineærRegression_Valg[[#This Row],[Afhængig variabel ID]]&lt;&gt;LineærRegression_Valg[[#This Row],[Uafhængig variabel ID]]</f>
        <v>1</v>
      </c>
      <c r="E584" t="b">
        <f>LineærRegression_Valg[[#This Row],[Afhængig variabel ID]]&lt;=$B$5</f>
        <v>0</v>
      </c>
      <c r="F584" t="str" cm="1">
        <f t="array" ref="F584">IF(LineærRegression_Valg[[#This Row],[Indenfor range]],INDEX(DataTitel_liste,LineærRegression_Valg[[#This Row],[Afhængig variabel ID]]),INDEX(DataTitel_liste,1))</f>
        <v>Eksempel 1 (interval)</v>
      </c>
      <c r="G584" s="171" t="str" cm="1">
        <f t="array" ref="G584">IF(LineærRegression_Valg[[#This Row],[Indenfor range]],IF(LineærRegression_Valg[[#This Row],[Intet overlap]],INDEX(DataTitel_liste,LineærRegression_Valg[[#This Row],[Uafhængig variabel ID]]),INDEX(DataTitel_liste,IF(LineærRegression_Valg[[#This Row],[Afhængig variabel ID]]=1,2,1))),$B$7)</f>
        <v>Eksempel 2 (interval)</v>
      </c>
      <c r="H584" s="171">
        <f>_xlfn.AGGREGATE(2,5,LineærRegression_Valg[[#This Row],[Tabel ID]])</f>
        <v>1</v>
      </c>
    </row>
    <row r="585" spans="1:8" x14ac:dyDescent="0.2">
      <c r="A585">
        <f>ROW(LineærRegression_Valg[[#This Row],[Tabel ID]])-ROW(LineærRegression_Valg[[#Headers],[Tabel ID]])</f>
        <v>575</v>
      </c>
      <c r="B585" s="171">
        <f>ROUNDDOWN((LineærRegression_Valg[[#This Row],[Tabel ID]]-1)/$B$5,0)+1</f>
        <v>144</v>
      </c>
      <c r="C585" s="171">
        <f t="shared" si="8"/>
        <v>3</v>
      </c>
      <c r="D585" s="171" t="b">
        <f>LineærRegression_Valg[[#This Row],[Afhængig variabel ID]]&lt;&gt;LineærRegression_Valg[[#This Row],[Uafhængig variabel ID]]</f>
        <v>1</v>
      </c>
      <c r="E585" t="b">
        <f>LineærRegression_Valg[[#This Row],[Afhængig variabel ID]]&lt;=$B$5</f>
        <v>0</v>
      </c>
      <c r="F585" t="str" cm="1">
        <f t="array" ref="F585">IF(LineærRegression_Valg[[#This Row],[Indenfor range]],INDEX(DataTitel_liste,LineærRegression_Valg[[#This Row],[Afhængig variabel ID]]),INDEX(DataTitel_liste,1))</f>
        <v>Eksempel 1 (interval)</v>
      </c>
      <c r="G585" s="171" t="str" cm="1">
        <f t="array" ref="G585">IF(LineærRegression_Valg[[#This Row],[Indenfor range]],IF(LineærRegression_Valg[[#This Row],[Intet overlap]],INDEX(DataTitel_liste,LineærRegression_Valg[[#This Row],[Uafhængig variabel ID]]),INDEX(DataTitel_liste,IF(LineærRegression_Valg[[#This Row],[Afhængig variabel ID]]=1,2,1))),$B$7)</f>
        <v>Eksempel 2 (interval)</v>
      </c>
      <c r="H585" s="171">
        <f>_xlfn.AGGREGATE(2,5,LineærRegression_Valg[[#This Row],[Tabel ID]])</f>
        <v>1</v>
      </c>
    </row>
    <row r="586" spans="1:8" x14ac:dyDescent="0.2">
      <c r="A586">
        <f>ROW(LineærRegression_Valg[[#This Row],[Tabel ID]])-ROW(LineærRegression_Valg[[#Headers],[Tabel ID]])</f>
        <v>576</v>
      </c>
      <c r="B586" s="171">
        <f>ROUNDDOWN((LineærRegression_Valg[[#This Row],[Tabel ID]]-1)/$B$5,0)+1</f>
        <v>144</v>
      </c>
      <c r="C586" s="171">
        <f t="shared" si="8"/>
        <v>4</v>
      </c>
      <c r="D586" s="171" t="b">
        <f>LineærRegression_Valg[[#This Row],[Afhængig variabel ID]]&lt;&gt;LineærRegression_Valg[[#This Row],[Uafhængig variabel ID]]</f>
        <v>1</v>
      </c>
      <c r="E586" t="b">
        <f>LineærRegression_Valg[[#This Row],[Afhængig variabel ID]]&lt;=$B$5</f>
        <v>0</v>
      </c>
      <c r="F586" t="str" cm="1">
        <f t="array" ref="F586">IF(LineærRegression_Valg[[#This Row],[Indenfor range]],INDEX(DataTitel_liste,LineærRegression_Valg[[#This Row],[Afhængig variabel ID]]),INDEX(DataTitel_liste,1))</f>
        <v>Eksempel 1 (interval)</v>
      </c>
      <c r="G586" s="171" t="str" cm="1">
        <f t="array" ref="G586">IF(LineærRegression_Valg[[#This Row],[Indenfor range]],IF(LineærRegression_Valg[[#This Row],[Intet overlap]],INDEX(DataTitel_liste,LineærRegression_Valg[[#This Row],[Uafhængig variabel ID]]),INDEX(DataTitel_liste,IF(LineærRegression_Valg[[#This Row],[Afhængig variabel ID]]=1,2,1))),$B$7)</f>
        <v>Eksempel 2 (interval)</v>
      </c>
      <c r="H586" s="171">
        <f>_xlfn.AGGREGATE(2,5,LineærRegression_Valg[[#This Row],[Tabel ID]])</f>
        <v>1</v>
      </c>
    </row>
    <row r="587" spans="1:8" x14ac:dyDescent="0.2">
      <c r="A587">
        <f>ROW(LineærRegression_Valg[[#This Row],[Tabel ID]])-ROW(LineærRegression_Valg[[#Headers],[Tabel ID]])</f>
        <v>577</v>
      </c>
      <c r="B587" s="171">
        <f>ROUNDDOWN((LineærRegression_Valg[[#This Row],[Tabel ID]]-1)/$B$5,0)+1</f>
        <v>145</v>
      </c>
      <c r="C587" s="171">
        <f t="shared" ref="C587:C650" si="9">MOD(A587-1,$B$5)+1</f>
        <v>1</v>
      </c>
      <c r="D587" s="171" t="b">
        <f>LineærRegression_Valg[[#This Row],[Afhængig variabel ID]]&lt;&gt;LineærRegression_Valg[[#This Row],[Uafhængig variabel ID]]</f>
        <v>1</v>
      </c>
      <c r="E587" t="b">
        <f>LineærRegression_Valg[[#This Row],[Afhængig variabel ID]]&lt;=$B$5</f>
        <v>0</v>
      </c>
      <c r="F587" t="str" cm="1">
        <f t="array" ref="F587">IF(LineærRegression_Valg[[#This Row],[Indenfor range]],INDEX(DataTitel_liste,LineærRegression_Valg[[#This Row],[Afhængig variabel ID]]),INDEX(DataTitel_liste,1))</f>
        <v>Eksempel 1 (interval)</v>
      </c>
      <c r="G587" s="171" t="str" cm="1">
        <f t="array" ref="G587">IF(LineærRegression_Valg[[#This Row],[Indenfor range]],IF(LineærRegression_Valg[[#This Row],[Intet overlap]],INDEX(DataTitel_liste,LineærRegression_Valg[[#This Row],[Uafhængig variabel ID]]),INDEX(DataTitel_liste,IF(LineærRegression_Valg[[#This Row],[Afhængig variabel ID]]=1,2,1))),$B$7)</f>
        <v>Eksempel 2 (interval)</v>
      </c>
      <c r="H587" s="171">
        <f>_xlfn.AGGREGATE(2,5,LineærRegression_Valg[[#This Row],[Tabel ID]])</f>
        <v>1</v>
      </c>
    </row>
    <row r="588" spans="1:8" x14ac:dyDescent="0.2">
      <c r="A588">
        <f>ROW(LineærRegression_Valg[[#This Row],[Tabel ID]])-ROW(LineærRegression_Valg[[#Headers],[Tabel ID]])</f>
        <v>578</v>
      </c>
      <c r="B588" s="171">
        <f>ROUNDDOWN((LineærRegression_Valg[[#This Row],[Tabel ID]]-1)/$B$5,0)+1</f>
        <v>145</v>
      </c>
      <c r="C588" s="171">
        <f t="shared" si="9"/>
        <v>2</v>
      </c>
      <c r="D588" s="171" t="b">
        <f>LineærRegression_Valg[[#This Row],[Afhængig variabel ID]]&lt;&gt;LineærRegression_Valg[[#This Row],[Uafhængig variabel ID]]</f>
        <v>1</v>
      </c>
      <c r="E588" t="b">
        <f>LineærRegression_Valg[[#This Row],[Afhængig variabel ID]]&lt;=$B$5</f>
        <v>0</v>
      </c>
      <c r="F588" t="str" cm="1">
        <f t="array" ref="F588">IF(LineærRegression_Valg[[#This Row],[Indenfor range]],INDEX(DataTitel_liste,LineærRegression_Valg[[#This Row],[Afhængig variabel ID]]),INDEX(DataTitel_liste,1))</f>
        <v>Eksempel 1 (interval)</v>
      </c>
      <c r="G588" s="171" t="str" cm="1">
        <f t="array" ref="G588">IF(LineærRegression_Valg[[#This Row],[Indenfor range]],IF(LineærRegression_Valg[[#This Row],[Intet overlap]],INDEX(DataTitel_liste,LineærRegression_Valg[[#This Row],[Uafhængig variabel ID]]),INDEX(DataTitel_liste,IF(LineærRegression_Valg[[#This Row],[Afhængig variabel ID]]=1,2,1))),$B$7)</f>
        <v>Eksempel 2 (interval)</v>
      </c>
      <c r="H588" s="171">
        <f>_xlfn.AGGREGATE(2,5,LineærRegression_Valg[[#This Row],[Tabel ID]])</f>
        <v>1</v>
      </c>
    </row>
    <row r="589" spans="1:8" x14ac:dyDescent="0.2">
      <c r="A589">
        <f>ROW(LineærRegression_Valg[[#This Row],[Tabel ID]])-ROW(LineærRegression_Valg[[#Headers],[Tabel ID]])</f>
        <v>579</v>
      </c>
      <c r="B589" s="171">
        <f>ROUNDDOWN((LineærRegression_Valg[[#This Row],[Tabel ID]]-1)/$B$5,0)+1</f>
        <v>145</v>
      </c>
      <c r="C589" s="171">
        <f t="shared" si="9"/>
        <v>3</v>
      </c>
      <c r="D589" s="171" t="b">
        <f>LineærRegression_Valg[[#This Row],[Afhængig variabel ID]]&lt;&gt;LineærRegression_Valg[[#This Row],[Uafhængig variabel ID]]</f>
        <v>1</v>
      </c>
      <c r="E589" t="b">
        <f>LineærRegression_Valg[[#This Row],[Afhængig variabel ID]]&lt;=$B$5</f>
        <v>0</v>
      </c>
      <c r="F589" t="str" cm="1">
        <f t="array" ref="F589">IF(LineærRegression_Valg[[#This Row],[Indenfor range]],INDEX(DataTitel_liste,LineærRegression_Valg[[#This Row],[Afhængig variabel ID]]),INDEX(DataTitel_liste,1))</f>
        <v>Eksempel 1 (interval)</v>
      </c>
      <c r="G589" s="171" t="str" cm="1">
        <f t="array" ref="G589">IF(LineærRegression_Valg[[#This Row],[Indenfor range]],IF(LineærRegression_Valg[[#This Row],[Intet overlap]],INDEX(DataTitel_liste,LineærRegression_Valg[[#This Row],[Uafhængig variabel ID]]),INDEX(DataTitel_liste,IF(LineærRegression_Valg[[#This Row],[Afhængig variabel ID]]=1,2,1))),$B$7)</f>
        <v>Eksempel 2 (interval)</v>
      </c>
      <c r="H589" s="171">
        <f>_xlfn.AGGREGATE(2,5,LineærRegression_Valg[[#This Row],[Tabel ID]])</f>
        <v>1</v>
      </c>
    </row>
    <row r="590" spans="1:8" x14ac:dyDescent="0.2">
      <c r="A590">
        <f>ROW(LineærRegression_Valg[[#This Row],[Tabel ID]])-ROW(LineærRegression_Valg[[#Headers],[Tabel ID]])</f>
        <v>580</v>
      </c>
      <c r="B590" s="171">
        <f>ROUNDDOWN((LineærRegression_Valg[[#This Row],[Tabel ID]]-1)/$B$5,0)+1</f>
        <v>145</v>
      </c>
      <c r="C590" s="171">
        <f t="shared" si="9"/>
        <v>4</v>
      </c>
      <c r="D590" s="171" t="b">
        <f>LineærRegression_Valg[[#This Row],[Afhængig variabel ID]]&lt;&gt;LineærRegression_Valg[[#This Row],[Uafhængig variabel ID]]</f>
        <v>1</v>
      </c>
      <c r="E590" t="b">
        <f>LineærRegression_Valg[[#This Row],[Afhængig variabel ID]]&lt;=$B$5</f>
        <v>0</v>
      </c>
      <c r="F590" t="str" cm="1">
        <f t="array" ref="F590">IF(LineærRegression_Valg[[#This Row],[Indenfor range]],INDEX(DataTitel_liste,LineærRegression_Valg[[#This Row],[Afhængig variabel ID]]),INDEX(DataTitel_liste,1))</f>
        <v>Eksempel 1 (interval)</v>
      </c>
      <c r="G590" s="171" t="str" cm="1">
        <f t="array" ref="G590">IF(LineærRegression_Valg[[#This Row],[Indenfor range]],IF(LineærRegression_Valg[[#This Row],[Intet overlap]],INDEX(DataTitel_liste,LineærRegression_Valg[[#This Row],[Uafhængig variabel ID]]),INDEX(DataTitel_liste,IF(LineærRegression_Valg[[#This Row],[Afhængig variabel ID]]=1,2,1))),$B$7)</f>
        <v>Eksempel 2 (interval)</v>
      </c>
      <c r="H590" s="171">
        <f>_xlfn.AGGREGATE(2,5,LineærRegression_Valg[[#This Row],[Tabel ID]])</f>
        <v>1</v>
      </c>
    </row>
    <row r="591" spans="1:8" x14ac:dyDescent="0.2">
      <c r="A591">
        <f>ROW(LineærRegression_Valg[[#This Row],[Tabel ID]])-ROW(LineærRegression_Valg[[#Headers],[Tabel ID]])</f>
        <v>581</v>
      </c>
      <c r="B591" s="171">
        <f>ROUNDDOWN((LineærRegression_Valg[[#This Row],[Tabel ID]]-1)/$B$5,0)+1</f>
        <v>146</v>
      </c>
      <c r="C591" s="171">
        <f t="shared" si="9"/>
        <v>1</v>
      </c>
      <c r="D591" s="171" t="b">
        <f>LineærRegression_Valg[[#This Row],[Afhængig variabel ID]]&lt;&gt;LineærRegression_Valg[[#This Row],[Uafhængig variabel ID]]</f>
        <v>1</v>
      </c>
      <c r="E591" t="b">
        <f>LineærRegression_Valg[[#This Row],[Afhængig variabel ID]]&lt;=$B$5</f>
        <v>0</v>
      </c>
      <c r="F591" t="str" cm="1">
        <f t="array" ref="F591">IF(LineærRegression_Valg[[#This Row],[Indenfor range]],INDEX(DataTitel_liste,LineærRegression_Valg[[#This Row],[Afhængig variabel ID]]),INDEX(DataTitel_liste,1))</f>
        <v>Eksempel 1 (interval)</v>
      </c>
      <c r="G591" s="171" t="str" cm="1">
        <f t="array" ref="G591">IF(LineærRegression_Valg[[#This Row],[Indenfor range]],IF(LineærRegression_Valg[[#This Row],[Intet overlap]],INDEX(DataTitel_liste,LineærRegression_Valg[[#This Row],[Uafhængig variabel ID]]),INDEX(DataTitel_liste,IF(LineærRegression_Valg[[#This Row],[Afhængig variabel ID]]=1,2,1))),$B$7)</f>
        <v>Eksempel 2 (interval)</v>
      </c>
      <c r="H591" s="171">
        <f>_xlfn.AGGREGATE(2,5,LineærRegression_Valg[[#This Row],[Tabel ID]])</f>
        <v>1</v>
      </c>
    </row>
    <row r="592" spans="1:8" x14ac:dyDescent="0.2">
      <c r="A592">
        <f>ROW(LineærRegression_Valg[[#This Row],[Tabel ID]])-ROW(LineærRegression_Valg[[#Headers],[Tabel ID]])</f>
        <v>582</v>
      </c>
      <c r="B592" s="171">
        <f>ROUNDDOWN((LineærRegression_Valg[[#This Row],[Tabel ID]]-1)/$B$5,0)+1</f>
        <v>146</v>
      </c>
      <c r="C592" s="171">
        <f t="shared" si="9"/>
        <v>2</v>
      </c>
      <c r="D592" s="171" t="b">
        <f>LineærRegression_Valg[[#This Row],[Afhængig variabel ID]]&lt;&gt;LineærRegression_Valg[[#This Row],[Uafhængig variabel ID]]</f>
        <v>1</v>
      </c>
      <c r="E592" t="b">
        <f>LineærRegression_Valg[[#This Row],[Afhængig variabel ID]]&lt;=$B$5</f>
        <v>0</v>
      </c>
      <c r="F592" t="str" cm="1">
        <f t="array" ref="F592">IF(LineærRegression_Valg[[#This Row],[Indenfor range]],INDEX(DataTitel_liste,LineærRegression_Valg[[#This Row],[Afhængig variabel ID]]),INDEX(DataTitel_liste,1))</f>
        <v>Eksempel 1 (interval)</v>
      </c>
      <c r="G592" s="171" t="str" cm="1">
        <f t="array" ref="G592">IF(LineærRegression_Valg[[#This Row],[Indenfor range]],IF(LineærRegression_Valg[[#This Row],[Intet overlap]],INDEX(DataTitel_liste,LineærRegression_Valg[[#This Row],[Uafhængig variabel ID]]),INDEX(DataTitel_liste,IF(LineærRegression_Valg[[#This Row],[Afhængig variabel ID]]=1,2,1))),$B$7)</f>
        <v>Eksempel 2 (interval)</v>
      </c>
      <c r="H592" s="171">
        <f>_xlfn.AGGREGATE(2,5,LineærRegression_Valg[[#This Row],[Tabel ID]])</f>
        <v>1</v>
      </c>
    </row>
    <row r="593" spans="1:8" x14ac:dyDescent="0.2">
      <c r="A593">
        <f>ROW(LineærRegression_Valg[[#This Row],[Tabel ID]])-ROW(LineærRegression_Valg[[#Headers],[Tabel ID]])</f>
        <v>583</v>
      </c>
      <c r="B593" s="171">
        <f>ROUNDDOWN((LineærRegression_Valg[[#This Row],[Tabel ID]]-1)/$B$5,0)+1</f>
        <v>146</v>
      </c>
      <c r="C593" s="171">
        <f t="shared" si="9"/>
        <v>3</v>
      </c>
      <c r="D593" s="171" t="b">
        <f>LineærRegression_Valg[[#This Row],[Afhængig variabel ID]]&lt;&gt;LineærRegression_Valg[[#This Row],[Uafhængig variabel ID]]</f>
        <v>1</v>
      </c>
      <c r="E593" t="b">
        <f>LineærRegression_Valg[[#This Row],[Afhængig variabel ID]]&lt;=$B$5</f>
        <v>0</v>
      </c>
      <c r="F593" t="str" cm="1">
        <f t="array" ref="F593">IF(LineærRegression_Valg[[#This Row],[Indenfor range]],INDEX(DataTitel_liste,LineærRegression_Valg[[#This Row],[Afhængig variabel ID]]),INDEX(DataTitel_liste,1))</f>
        <v>Eksempel 1 (interval)</v>
      </c>
      <c r="G593" s="171" t="str" cm="1">
        <f t="array" ref="G593">IF(LineærRegression_Valg[[#This Row],[Indenfor range]],IF(LineærRegression_Valg[[#This Row],[Intet overlap]],INDEX(DataTitel_liste,LineærRegression_Valg[[#This Row],[Uafhængig variabel ID]]),INDEX(DataTitel_liste,IF(LineærRegression_Valg[[#This Row],[Afhængig variabel ID]]=1,2,1))),$B$7)</f>
        <v>Eksempel 2 (interval)</v>
      </c>
      <c r="H593" s="171">
        <f>_xlfn.AGGREGATE(2,5,LineærRegression_Valg[[#This Row],[Tabel ID]])</f>
        <v>1</v>
      </c>
    </row>
    <row r="594" spans="1:8" x14ac:dyDescent="0.2">
      <c r="A594">
        <f>ROW(LineærRegression_Valg[[#This Row],[Tabel ID]])-ROW(LineærRegression_Valg[[#Headers],[Tabel ID]])</f>
        <v>584</v>
      </c>
      <c r="B594" s="171">
        <f>ROUNDDOWN((LineærRegression_Valg[[#This Row],[Tabel ID]]-1)/$B$5,0)+1</f>
        <v>146</v>
      </c>
      <c r="C594" s="171">
        <f t="shared" si="9"/>
        <v>4</v>
      </c>
      <c r="D594" s="171" t="b">
        <f>LineærRegression_Valg[[#This Row],[Afhængig variabel ID]]&lt;&gt;LineærRegression_Valg[[#This Row],[Uafhængig variabel ID]]</f>
        <v>1</v>
      </c>
      <c r="E594" t="b">
        <f>LineærRegression_Valg[[#This Row],[Afhængig variabel ID]]&lt;=$B$5</f>
        <v>0</v>
      </c>
      <c r="F594" t="str" cm="1">
        <f t="array" ref="F594">IF(LineærRegression_Valg[[#This Row],[Indenfor range]],INDEX(DataTitel_liste,LineærRegression_Valg[[#This Row],[Afhængig variabel ID]]),INDEX(DataTitel_liste,1))</f>
        <v>Eksempel 1 (interval)</v>
      </c>
      <c r="G594" s="171" t="str" cm="1">
        <f t="array" ref="G594">IF(LineærRegression_Valg[[#This Row],[Indenfor range]],IF(LineærRegression_Valg[[#This Row],[Intet overlap]],INDEX(DataTitel_liste,LineærRegression_Valg[[#This Row],[Uafhængig variabel ID]]),INDEX(DataTitel_liste,IF(LineærRegression_Valg[[#This Row],[Afhængig variabel ID]]=1,2,1))),$B$7)</f>
        <v>Eksempel 2 (interval)</v>
      </c>
      <c r="H594" s="171">
        <f>_xlfn.AGGREGATE(2,5,LineærRegression_Valg[[#This Row],[Tabel ID]])</f>
        <v>1</v>
      </c>
    </row>
    <row r="595" spans="1:8" x14ac:dyDescent="0.2">
      <c r="A595">
        <f>ROW(LineærRegression_Valg[[#This Row],[Tabel ID]])-ROW(LineærRegression_Valg[[#Headers],[Tabel ID]])</f>
        <v>585</v>
      </c>
      <c r="B595" s="171">
        <f>ROUNDDOWN((LineærRegression_Valg[[#This Row],[Tabel ID]]-1)/$B$5,0)+1</f>
        <v>147</v>
      </c>
      <c r="C595" s="171">
        <f t="shared" si="9"/>
        <v>1</v>
      </c>
      <c r="D595" s="171" t="b">
        <f>LineærRegression_Valg[[#This Row],[Afhængig variabel ID]]&lt;&gt;LineærRegression_Valg[[#This Row],[Uafhængig variabel ID]]</f>
        <v>1</v>
      </c>
      <c r="E595" t="b">
        <f>LineærRegression_Valg[[#This Row],[Afhængig variabel ID]]&lt;=$B$5</f>
        <v>0</v>
      </c>
      <c r="F595" t="str" cm="1">
        <f t="array" ref="F595">IF(LineærRegression_Valg[[#This Row],[Indenfor range]],INDEX(DataTitel_liste,LineærRegression_Valg[[#This Row],[Afhængig variabel ID]]),INDEX(DataTitel_liste,1))</f>
        <v>Eksempel 1 (interval)</v>
      </c>
      <c r="G595" s="171" t="str" cm="1">
        <f t="array" ref="G595">IF(LineærRegression_Valg[[#This Row],[Indenfor range]],IF(LineærRegression_Valg[[#This Row],[Intet overlap]],INDEX(DataTitel_liste,LineærRegression_Valg[[#This Row],[Uafhængig variabel ID]]),INDEX(DataTitel_liste,IF(LineærRegression_Valg[[#This Row],[Afhængig variabel ID]]=1,2,1))),$B$7)</f>
        <v>Eksempel 2 (interval)</v>
      </c>
      <c r="H595" s="171">
        <f>_xlfn.AGGREGATE(2,5,LineærRegression_Valg[[#This Row],[Tabel ID]])</f>
        <v>1</v>
      </c>
    </row>
    <row r="596" spans="1:8" x14ac:dyDescent="0.2">
      <c r="A596">
        <f>ROW(LineærRegression_Valg[[#This Row],[Tabel ID]])-ROW(LineærRegression_Valg[[#Headers],[Tabel ID]])</f>
        <v>586</v>
      </c>
      <c r="B596" s="171">
        <f>ROUNDDOWN((LineærRegression_Valg[[#This Row],[Tabel ID]]-1)/$B$5,0)+1</f>
        <v>147</v>
      </c>
      <c r="C596" s="171">
        <f t="shared" si="9"/>
        <v>2</v>
      </c>
      <c r="D596" s="171" t="b">
        <f>LineærRegression_Valg[[#This Row],[Afhængig variabel ID]]&lt;&gt;LineærRegression_Valg[[#This Row],[Uafhængig variabel ID]]</f>
        <v>1</v>
      </c>
      <c r="E596" t="b">
        <f>LineærRegression_Valg[[#This Row],[Afhængig variabel ID]]&lt;=$B$5</f>
        <v>0</v>
      </c>
      <c r="F596" t="str" cm="1">
        <f t="array" ref="F596">IF(LineærRegression_Valg[[#This Row],[Indenfor range]],INDEX(DataTitel_liste,LineærRegression_Valg[[#This Row],[Afhængig variabel ID]]),INDEX(DataTitel_liste,1))</f>
        <v>Eksempel 1 (interval)</v>
      </c>
      <c r="G596" s="171" t="str" cm="1">
        <f t="array" ref="G596">IF(LineærRegression_Valg[[#This Row],[Indenfor range]],IF(LineærRegression_Valg[[#This Row],[Intet overlap]],INDEX(DataTitel_liste,LineærRegression_Valg[[#This Row],[Uafhængig variabel ID]]),INDEX(DataTitel_liste,IF(LineærRegression_Valg[[#This Row],[Afhængig variabel ID]]=1,2,1))),$B$7)</f>
        <v>Eksempel 2 (interval)</v>
      </c>
      <c r="H596" s="171">
        <f>_xlfn.AGGREGATE(2,5,LineærRegression_Valg[[#This Row],[Tabel ID]])</f>
        <v>1</v>
      </c>
    </row>
    <row r="597" spans="1:8" x14ac:dyDescent="0.2">
      <c r="A597">
        <f>ROW(LineærRegression_Valg[[#This Row],[Tabel ID]])-ROW(LineærRegression_Valg[[#Headers],[Tabel ID]])</f>
        <v>587</v>
      </c>
      <c r="B597" s="171">
        <f>ROUNDDOWN((LineærRegression_Valg[[#This Row],[Tabel ID]]-1)/$B$5,0)+1</f>
        <v>147</v>
      </c>
      <c r="C597" s="171">
        <f t="shared" si="9"/>
        <v>3</v>
      </c>
      <c r="D597" s="171" t="b">
        <f>LineærRegression_Valg[[#This Row],[Afhængig variabel ID]]&lt;&gt;LineærRegression_Valg[[#This Row],[Uafhængig variabel ID]]</f>
        <v>1</v>
      </c>
      <c r="E597" t="b">
        <f>LineærRegression_Valg[[#This Row],[Afhængig variabel ID]]&lt;=$B$5</f>
        <v>0</v>
      </c>
      <c r="F597" t="str" cm="1">
        <f t="array" ref="F597">IF(LineærRegression_Valg[[#This Row],[Indenfor range]],INDEX(DataTitel_liste,LineærRegression_Valg[[#This Row],[Afhængig variabel ID]]),INDEX(DataTitel_liste,1))</f>
        <v>Eksempel 1 (interval)</v>
      </c>
      <c r="G597" s="171" t="str" cm="1">
        <f t="array" ref="G597">IF(LineærRegression_Valg[[#This Row],[Indenfor range]],IF(LineærRegression_Valg[[#This Row],[Intet overlap]],INDEX(DataTitel_liste,LineærRegression_Valg[[#This Row],[Uafhængig variabel ID]]),INDEX(DataTitel_liste,IF(LineærRegression_Valg[[#This Row],[Afhængig variabel ID]]=1,2,1))),$B$7)</f>
        <v>Eksempel 2 (interval)</v>
      </c>
      <c r="H597" s="171">
        <f>_xlfn.AGGREGATE(2,5,LineærRegression_Valg[[#This Row],[Tabel ID]])</f>
        <v>1</v>
      </c>
    </row>
    <row r="598" spans="1:8" x14ac:dyDescent="0.2">
      <c r="A598">
        <f>ROW(LineærRegression_Valg[[#This Row],[Tabel ID]])-ROW(LineærRegression_Valg[[#Headers],[Tabel ID]])</f>
        <v>588</v>
      </c>
      <c r="B598" s="171">
        <f>ROUNDDOWN((LineærRegression_Valg[[#This Row],[Tabel ID]]-1)/$B$5,0)+1</f>
        <v>147</v>
      </c>
      <c r="C598" s="171">
        <f t="shared" si="9"/>
        <v>4</v>
      </c>
      <c r="D598" s="171" t="b">
        <f>LineærRegression_Valg[[#This Row],[Afhængig variabel ID]]&lt;&gt;LineærRegression_Valg[[#This Row],[Uafhængig variabel ID]]</f>
        <v>1</v>
      </c>
      <c r="E598" t="b">
        <f>LineærRegression_Valg[[#This Row],[Afhængig variabel ID]]&lt;=$B$5</f>
        <v>0</v>
      </c>
      <c r="F598" t="str" cm="1">
        <f t="array" ref="F598">IF(LineærRegression_Valg[[#This Row],[Indenfor range]],INDEX(DataTitel_liste,LineærRegression_Valg[[#This Row],[Afhængig variabel ID]]),INDEX(DataTitel_liste,1))</f>
        <v>Eksempel 1 (interval)</v>
      </c>
      <c r="G598" s="171" t="str" cm="1">
        <f t="array" ref="G598">IF(LineærRegression_Valg[[#This Row],[Indenfor range]],IF(LineærRegression_Valg[[#This Row],[Intet overlap]],INDEX(DataTitel_liste,LineærRegression_Valg[[#This Row],[Uafhængig variabel ID]]),INDEX(DataTitel_liste,IF(LineærRegression_Valg[[#This Row],[Afhængig variabel ID]]=1,2,1))),$B$7)</f>
        <v>Eksempel 2 (interval)</v>
      </c>
      <c r="H598" s="171">
        <f>_xlfn.AGGREGATE(2,5,LineærRegression_Valg[[#This Row],[Tabel ID]])</f>
        <v>1</v>
      </c>
    </row>
    <row r="599" spans="1:8" x14ac:dyDescent="0.2">
      <c r="A599">
        <f>ROW(LineærRegression_Valg[[#This Row],[Tabel ID]])-ROW(LineærRegression_Valg[[#Headers],[Tabel ID]])</f>
        <v>589</v>
      </c>
      <c r="B599" s="171">
        <f>ROUNDDOWN((LineærRegression_Valg[[#This Row],[Tabel ID]]-1)/$B$5,0)+1</f>
        <v>148</v>
      </c>
      <c r="C599" s="171">
        <f t="shared" si="9"/>
        <v>1</v>
      </c>
      <c r="D599" s="171" t="b">
        <f>LineærRegression_Valg[[#This Row],[Afhængig variabel ID]]&lt;&gt;LineærRegression_Valg[[#This Row],[Uafhængig variabel ID]]</f>
        <v>1</v>
      </c>
      <c r="E599" t="b">
        <f>LineærRegression_Valg[[#This Row],[Afhængig variabel ID]]&lt;=$B$5</f>
        <v>0</v>
      </c>
      <c r="F599" t="str" cm="1">
        <f t="array" ref="F599">IF(LineærRegression_Valg[[#This Row],[Indenfor range]],INDEX(DataTitel_liste,LineærRegression_Valg[[#This Row],[Afhængig variabel ID]]),INDEX(DataTitel_liste,1))</f>
        <v>Eksempel 1 (interval)</v>
      </c>
      <c r="G599" s="171" t="str" cm="1">
        <f t="array" ref="G599">IF(LineærRegression_Valg[[#This Row],[Indenfor range]],IF(LineærRegression_Valg[[#This Row],[Intet overlap]],INDEX(DataTitel_liste,LineærRegression_Valg[[#This Row],[Uafhængig variabel ID]]),INDEX(DataTitel_liste,IF(LineærRegression_Valg[[#This Row],[Afhængig variabel ID]]=1,2,1))),$B$7)</f>
        <v>Eksempel 2 (interval)</v>
      </c>
      <c r="H599" s="171">
        <f>_xlfn.AGGREGATE(2,5,LineærRegression_Valg[[#This Row],[Tabel ID]])</f>
        <v>1</v>
      </c>
    </row>
    <row r="600" spans="1:8" x14ac:dyDescent="0.2">
      <c r="A600">
        <f>ROW(LineærRegression_Valg[[#This Row],[Tabel ID]])-ROW(LineærRegression_Valg[[#Headers],[Tabel ID]])</f>
        <v>590</v>
      </c>
      <c r="B600" s="171">
        <f>ROUNDDOWN((LineærRegression_Valg[[#This Row],[Tabel ID]]-1)/$B$5,0)+1</f>
        <v>148</v>
      </c>
      <c r="C600" s="171">
        <f t="shared" si="9"/>
        <v>2</v>
      </c>
      <c r="D600" s="171" t="b">
        <f>LineærRegression_Valg[[#This Row],[Afhængig variabel ID]]&lt;&gt;LineærRegression_Valg[[#This Row],[Uafhængig variabel ID]]</f>
        <v>1</v>
      </c>
      <c r="E600" t="b">
        <f>LineærRegression_Valg[[#This Row],[Afhængig variabel ID]]&lt;=$B$5</f>
        <v>0</v>
      </c>
      <c r="F600" t="str" cm="1">
        <f t="array" ref="F600">IF(LineærRegression_Valg[[#This Row],[Indenfor range]],INDEX(DataTitel_liste,LineærRegression_Valg[[#This Row],[Afhængig variabel ID]]),INDEX(DataTitel_liste,1))</f>
        <v>Eksempel 1 (interval)</v>
      </c>
      <c r="G600" s="171" t="str" cm="1">
        <f t="array" ref="G600">IF(LineærRegression_Valg[[#This Row],[Indenfor range]],IF(LineærRegression_Valg[[#This Row],[Intet overlap]],INDEX(DataTitel_liste,LineærRegression_Valg[[#This Row],[Uafhængig variabel ID]]),INDEX(DataTitel_liste,IF(LineærRegression_Valg[[#This Row],[Afhængig variabel ID]]=1,2,1))),$B$7)</f>
        <v>Eksempel 2 (interval)</v>
      </c>
      <c r="H600" s="171">
        <f>_xlfn.AGGREGATE(2,5,LineærRegression_Valg[[#This Row],[Tabel ID]])</f>
        <v>1</v>
      </c>
    </row>
    <row r="601" spans="1:8" x14ac:dyDescent="0.2">
      <c r="A601">
        <f>ROW(LineærRegression_Valg[[#This Row],[Tabel ID]])-ROW(LineærRegression_Valg[[#Headers],[Tabel ID]])</f>
        <v>591</v>
      </c>
      <c r="B601" s="171">
        <f>ROUNDDOWN((LineærRegression_Valg[[#This Row],[Tabel ID]]-1)/$B$5,0)+1</f>
        <v>148</v>
      </c>
      <c r="C601" s="171">
        <f t="shared" si="9"/>
        <v>3</v>
      </c>
      <c r="D601" s="171" t="b">
        <f>LineærRegression_Valg[[#This Row],[Afhængig variabel ID]]&lt;&gt;LineærRegression_Valg[[#This Row],[Uafhængig variabel ID]]</f>
        <v>1</v>
      </c>
      <c r="E601" t="b">
        <f>LineærRegression_Valg[[#This Row],[Afhængig variabel ID]]&lt;=$B$5</f>
        <v>0</v>
      </c>
      <c r="F601" t="str" cm="1">
        <f t="array" ref="F601">IF(LineærRegression_Valg[[#This Row],[Indenfor range]],INDEX(DataTitel_liste,LineærRegression_Valg[[#This Row],[Afhængig variabel ID]]),INDEX(DataTitel_liste,1))</f>
        <v>Eksempel 1 (interval)</v>
      </c>
      <c r="G601" s="171" t="str" cm="1">
        <f t="array" ref="G601">IF(LineærRegression_Valg[[#This Row],[Indenfor range]],IF(LineærRegression_Valg[[#This Row],[Intet overlap]],INDEX(DataTitel_liste,LineærRegression_Valg[[#This Row],[Uafhængig variabel ID]]),INDEX(DataTitel_liste,IF(LineærRegression_Valg[[#This Row],[Afhængig variabel ID]]=1,2,1))),$B$7)</f>
        <v>Eksempel 2 (interval)</v>
      </c>
      <c r="H601" s="171">
        <f>_xlfn.AGGREGATE(2,5,LineærRegression_Valg[[#This Row],[Tabel ID]])</f>
        <v>1</v>
      </c>
    </row>
    <row r="602" spans="1:8" x14ac:dyDescent="0.2">
      <c r="A602">
        <f>ROW(LineærRegression_Valg[[#This Row],[Tabel ID]])-ROW(LineærRegression_Valg[[#Headers],[Tabel ID]])</f>
        <v>592</v>
      </c>
      <c r="B602" s="171">
        <f>ROUNDDOWN((LineærRegression_Valg[[#This Row],[Tabel ID]]-1)/$B$5,0)+1</f>
        <v>148</v>
      </c>
      <c r="C602" s="171">
        <f t="shared" si="9"/>
        <v>4</v>
      </c>
      <c r="D602" s="171" t="b">
        <f>LineærRegression_Valg[[#This Row],[Afhængig variabel ID]]&lt;&gt;LineærRegression_Valg[[#This Row],[Uafhængig variabel ID]]</f>
        <v>1</v>
      </c>
      <c r="E602" t="b">
        <f>LineærRegression_Valg[[#This Row],[Afhængig variabel ID]]&lt;=$B$5</f>
        <v>0</v>
      </c>
      <c r="F602" t="str" cm="1">
        <f t="array" ref="F602">IF(LineærRegression_Valg[[#This Row],[Indenfor range]],INDEX(DataTitel_liste,LineærRegression_Valg[[#This Row],[Afhængig variabel ID]]),INDEX(DataTitel_liste,1))</f>
        <v>Eksempel 1 (interval)</v>
      </c>
      <c r="G602" s="171" t="str" cm="1">
        <f t="array" ref="G602">IF(LineærRegression_Valg[[#This Row],[Indenfor range]],IF(LineærRegression_Valg[[#This Row],[Intet overlap]],INDEX(DataTitel_liste,LineærRegression_Valg[[#This Row],[Uafhængig variabel ID]]),INDEX(DataTitel_liste,IF(LineærRegression_Valg[[#This Row],[Afhængig variabel ID]]=1,2,1))),$B$7)</f>
        <v>Eksempel 2 (interval)</v>
      </c>
      <c r="H602" s="171">
        <f>_xlfn.AGGREGATE(2,5,LineærRegression_Valg[[#This Row],[Tabel ID]])</f>
        <v>1</v>
      </c>
    </row>
    <row r="603" spans="1:8" x14ac:dyDescent="0.2">
      <c r="A603">
        <f>ROW(LineærRegression_Valg[[#This Row],[Tabel ID]])-ROW(LineærRegression_Valg[[#Headers],[Tabel ID]])</f>
        <v>593</v>
      </c>
      <c r="B603" s="171">
        <f>ROUNDDOWN((LineærRegression_Valg[[#This Row],[Tabel ID]]-1)/$B$5,0)+1</f>
        <v>149</v>
      </c>
      <c r="C603" s="171">
        <f t="shared" si="9"/>
        <v>1</v>
      </c>
      <c r="D603" s="171" t="b">
        <f>LineærRegression_Valg[[#This Row],[Afhængig variabel ID]]&lt;&gt;LineærRegression_Valg[[#This Row],[Uafhængig variabel ID]]</f>
        <v>1</v>
      </c>
      <c r="E603" t="b">
        <f>LineærRegression_Valg[[#This Row],[Afhængig variabel ID]]&lt;=$B$5</f>
        <v>0</v>
      </c>
      <c r="F603" t="str" cm="1">
        <f t="array" ref="F603">IF(LineærRegression_Valg[[#This Row],[Indenfor range]],INDEX(DataTitel_liste,LineærRegression_Valg[[#This Row],[Afhængig variabel ID]]),INDEX(DataTitel_liste,1))</f>
        <v>Eksempel 1 (interval)</v>
      </c>
      <c r="G603" s="171" t="str" cm="1">
        <f t="array" ref="G603">IF(LineærRegression_Valg[[#This Row],[Indenfor range]],IF(LineærRegression_Valg[[#This Row],[Intet overlap]],INDEX(DataTitel_liste,LineærRegression_Valg[[#This Row],[Uafhængig variabel ID]]),INDEX(DataTitel_liste,IF(LineærRegression_Valg[[#This Row],[Afhængig variabel ID]]=1,2,1))),$B$7)</f>
        <v>Eksempel 2 (interval)</v>
      </c>
      <c r="H603" s="171">
        <f>_xlfn.AGGREGATE(2,5,LineærRegression_Valg[[#This Row],[Tabel ID]])</f>
        <v>1</v>
      </c>
    </row>
    <row r="604" spans="1:8" x14ac:dyDescent="0.2">
      <c r="A604">
        <f>ROW(LineærRegression_Valg[[#This Row],[Tabel ID]])-ROW(LineærRegression_Valg[[#Headers],[Tabel ID]])</f>
        <v>594</v>
      </c>
      <c r="B604" s="171">
        <f>ROUNDDOWN((LineærRegression_Valg[[#This Row],[Tabel ID]]-1)/$B$5,0)+1</f>
        <v>149</v>
      </c>
      <c r="C604" s="171">
        <f t="shared" si="9"/>
        <v>2</v>
      </c>
      <c r="D604" s="171" t="b">
        <f>LineærRegression_Valg[[#This Row],[Afhængig variabel ID]]&lt;&gt;LineærRegression_Valg[[#This Row],[Uafhængig variabel ID]]</f>
        <v>1</v>
      </c>
      <c r="E604" t="b">
        <f>LineærRegression_Valg[[#This Row],[Afhængig variabel ID]]&lt;=$B$5</f>
        <v>0</v>
      </c>
      <c r="F604" t="str" cm="1">
        <f t="array" ref="F604">IF(LineærRegression_Valg[[#This Row],[Indenfor range]],INDEX(DataTitel_liste,LineærRegression_Valg[[#This Row],[Afhængig variabel ID]]),INDEX(DataTitel_liste,1))</f>
        <v>Eksempel 1 (interval)</v>
      </c>
      <c r="G604" s="171" t="str" cm="1">
        <f t="array" ref="G604">IF(LineærRegression_Valg[[#This Row],[Indenfor range]],IF(LineærRegression_Valg[[#This Row],[Intet overlap]],INDEX(DataTitel_liste,LineærRegression_Valg[[#This Row],[Uafhængig variabel ID]]),INDEX(DataTitel_liste,IF(LineærRegression_Valg[[#This Row],[Afhængig variabel ID]]=1,2,1))),$B$7)</f>
        <v>Eksempel 2 (interval)</v>
      </c>
      <c r="H604" s="171">
        <f>_xlfn.AGGREGATE(2,5,LineærRegression_Valg[[#This Row],[Tabel ID]])</f>
        <v>1</v>
      </c>
    </row>
    <row r="605" spans="1:8" x14ac:dyDescent="0.2">
      <c r="A605">
        <f>ROW(LineærRegression_Valg[[#This Row],[Tabel ID]])-ROW(LineærRegression_Valg[[#Headers],[Tabel ID]])</f>
        <v>595</v>
      </c>
      <c r="B605" s="171">
        <f>ROUNDDOWN((LineærRegression_Valg[[#This Row],[Tabel ID]]-1)/$B$5,0)+1</f>
        <v>149</v>
      </c>
      <c r="C605" s="171">
        <f t="shared" si="9"/>
        <v>3</v>
      </c>
      <c r="D605" s="171" t="b">
        <f>LineærRegression_Valg[[#This Row],[Afhængig variabel ID]]&lt;&gt;LineærRegression_Valg[[#This Row],[Uafhængig variabel ID]]</f>
        <v>1</v>
      </c>
      <c r="E605" t="b">
        <f>LineærRegression_Valg[[#This Row],[Afhængig variabel ID]]&lt;=$B$5</f>
        <v>0</v>
      </c>
      <c r="F605" t="str" cm="1">
        <f t="array" ref="F605">IF(LineærRegression_Valg[[#This Row],[Indenfor range]],INDEX(DataTitel_liste,LineærRegression_Valg[[#This Row],[Afhængig variabel ID]]),INDEX(DataTitel_liste,1))</f>
        <v>Eksempel 1 (interval)</v>
      </c>
      <c r="G605" s="171" t="str" cm="1">
        <f t="array" ref="G605">IF(LineærRegression_Valg[[#This Row],[Indenfor range]],IF(LineærRegression_Valg[[#This Row],[Intet overlap]],INDEX(DataTitel_liste,LineærRegression_Valg[[#This Row],[Uafhængig variabel ID]]),INDEX(DataTitel_liste,IF(LineærRegression_Valg[[#This Row],[Afhængig variabel ID]]=1,2,1))),$B$7)</f>
        <v>Eksempel 2 (interval)</v>
      </c>
      <c r="H605" s="171">
        <f>_xlfn.AGGREGATE(2,5,LineærRegression_Valg[[#This Row],[Tabel ID]])</f>
        <v>1</v>
      </c>
    </row>
    <row r="606" spans="1:8" x14ac:dyDescent="0.2">
      <c r="A606">
        <f>ROW(LineærRegression_Valg[[#This Row],[Tabel ID]])-ROW(LineærRegression_Valg[[#Headers],[Tabel ID]])</f>
        <v>596</v>
      </c>
      <c r="B606" s="171">
        <f>ROUNDDOWN((LineærRegression_Valg[[#This Row],[Tabel ID]]-1)/$B$5,0)+1</f>
        <v>149</v>
      </c>
      <c r="C606" s="171">
        <f t="shared" si="9"/>
        <v>4</v>
      </c>
      <c r="D606" s="171" t="b">
        <f>LineærRegression_Valg[[#This Row],[Afhængig variabel ID]]&lt;&gt;LineærRegression_Valg[[#This Row],[Uafhængig variabel ID]]</f>
        <v>1</v>
      </c>
      <c r="E606" t="b">
        <f>LineærRegression_Valg[[#This Row],[Afhængig variabel ID]]&lt;=$B$5</f>
        <v>0</v>
      </c>
      <c r="F606" t="str" cm="1">
        <f t="array" ref="F606">IF(LineærRegression_Valg[[#This Row],[Indenfor range]],INDEX(DataTitel_liste,LineærRegression_Valg[[#This Row],[Afhængig variabel ID]]),INDEX(DataTitel_liste,1))</f>
        <v>Eksempel 1 (interval)</v>
      </c>
      <c r="G606" s="171" t="str" cm="1">
        <f t="array" ref="G606">IF(LineærRegression_Valg[[#This Row],[Indenfor range]],IF(LineærRegression_Valg[[#This Row],[Intet overlap]],INDEX(DataTitel_liste,LineærRegression_Valg[[#This Row],[Uafhængig variabel ID]]),INDEX(DataTitel_liste,IF(LineærRegression_Valg[[#This Row],[Afhængig variabel ID]]=1,2,1))),$B$7)</f>
        <v>Eksempel 2 (interval)</v>
      </c>
      <c r="H606" s="171">
        <f>_xlfn.AGGREGATE(2,5,LineærRegression_Valg[[#This Row],[Tabel ID]])</f>
        <v>1</v>
      </c>
    </row>
    <row r="607" spans="1:8" x14ac:dyDescent="0.2">
      <c r="A607">
        <f>ROW(LineærRegression_Valg[[#This Row],[Tabel ID]])-ROW(LineærRegression_Valg[[#Headers],[Tabel ID]])</f>
        <v>597</v>
      </c>
      <c r="B607" s="171">
        <f>ROUNDDOWN((LineærRegression_Valg[[#This Row],[Tabel ID]]-1)/$B$5,0)+1</f>
        <v>150</v>
      </c>
      <c r="C607" s="171">
        <f t="shared" si="9"/>
        <v>1</v>
      </c>
      <c r="D607" s="171" t="b">
        <f>LineærRegression_Valg[[#This Row],[Afhængig variabel ID]]&lt;&gt;LineærRegression_Valg[[#This Row],[Uafhængig variabel ID]]</f>
        <v>1</v>
      </c>
      <c r="E607" t="b">
        <f>LineærRegression_Valg[[#This Row],[Afhængig variabel ID]]&lt;=$B$5</f>
        <v>0</v>
      </c>
      <c r="F607" t="str" cm="1">
        <f t="array" ref="F607">IF(LineærRegression_Valg[[#This Row],[Indenfor range]],INDEX(DataTitel_liste,LineærRegression_Valg[[#This Row],[Afhængig variabel ID]]),INDEX(DataTitel_liste,1))</f>
        <v>Eksempel 1 (interval)</v>
      </c>
      <c r="G607" s="171" t="str" cm="1">
        <f t="array" ref="G607">IF(LineærRegression_Valg[[#This Row],[Indenfor range]],IF(LineærRegression_Valg[[#This Row],[Intet overlap]],INDEX(DataTitel_liste,LineærRegression_Valg[[#This Row],[Uafhængig variabel ID]]),INDEX(DataTitel_liste,IF(LineærRegression_Valg[[#This Row],[Afhængig variabel ID]]=1,2,1))),$B$7)</f>
        <v>Eksempel 2 (interval)</v>
      </c>
      <c r="H607" s="171">
        <f>_xlfn.AGGREGATE(2,5,LineærRegression_Valg[[#This Row],[Tabel ID]])</f>
        <v>1</v>
      </c>
    </row>
    <row r="608" spans="1:8" x14ac:dyDescent="0.2">
      <c r="A608">
        <f>ROW(LineærRegression_Valg[[#This Row],[Tabel ID]])-ROW(LineærRegression_Valg[[#Headers],[Tabel ID]])</f>
        <v>598</v>
      </c>
      <c r="B608" s="171">
        <f>ROUNDDOWN((LineærRegression_Valg[[#This Row],[Tabel ID]]-1)/$B$5,0)+1</f>
        <v>150</v>
      </c>
      <c r="C608" s="171">
        <f t="shared" si="9"/>
        <v>2</v>
      </c>
      <c r="D608" s="171" t="b">
        <f>LineærRegression_Valg[[#This Row],[Afhængig variabel ID]]&lt;&gt;LineærRegression_Valg[[#This Row],[Uafhængig variabel ID]]</f>
        <v>1</v>
      </c>
      <c r="E608" t="b">
        <f>LineærRegression_Valg[[#This Row],[Afhængig variabel ID]]&lt;=$B$5</f>
        <v>0</v>
      </c>
      <c r="F608" t="str" cm="1">
        <f t="array" ref="F608">IF(LineærRegression_Valg[[#This Row],[Indenfor range]],INDEX(DataTitel_liste,LineærRegression_Valg[[#This Row],[Afhængig variabel ID]]),INDEX(DataTitel_liste,1))</f>
        <v>Eksempel 1 (interval)</v>
      </c>
      <c r="G608" s="171" t="str" cm="1">
        <f t="array" ref="G608">IF(LineærRegression_Valg[[#This Row],[Indenfor range]],IF(LineærRegression_Valg[[#This Row],[Intet overlap]],INDEX(DataTitel_liste,LineærRegression_Valg[[#This Row],[Uafhængig variabel ID]]),INDEX(DataTitel_liste,IF(LineærRegression_Valg[[#This Row],[Afhængig variabel ID]]=1,2,1))),$B$7)</f>
        <v>Eksempel 2 (interval)</v>
      </c>
      <c r="H608" s="171">
        <f>_xlfn.AGGREGATE(2,5,LineærRegression_Valg[[#This Row],[Tabel ID]])</f>
        <v>1</v>
      </c>
    </row>
    <row r="609" spans="1:8" x14ac:dyDescent="0.2">
      <c r="A609">
        <f>ROW(LineærRegression_Valg[[#This Row],[Tabel ID]])-ROW(LineærRegression_Valg[[#Headers],[Tabel ID]])</f>
        <v>599</v>
      </c>
      <c r="B609" s="171">
        <f>ROUNDDOWN((LineærRegression_Valg[[#This Row],[Tabel ID]]-1)/$B$5,0)+1</f>
        <v>150</v>
      </c>
      <c r="C609" s="171">
        <f t="shared" si="9"/>
        <v>3</v>
      </c>
      <c r="D609" s="171" t="b">
        <f>LineærRegression_Valg[[#This Row],[Afhængig variabel ID]]&lt;&gt;LineærRegression_Valg[[#This Row],[Uafhængig variabel ID]]</f>
        <v>1</v>
      </c>
      <c r="E609" t="b">
        <f>LineærRegression_Valg[[#This Row],[Afhængig variabel ID]]&lt;=$B$5</f>
        <v>0</v>
      </c>
      <c r="F609" t="str" cm="1">
        <f t="array" ref="F609">IF(LineærRegression_Valg[[#This Row],[Indenfor range]],INDEX(DataTitel_liste,LineærRegression_Valg[[#This Row],[Afhængig variabel ID]]),INDEX(DataTitel_liste,1))</f>
        <v>Eksempel 1 (interval)</v>
      </c>
      <c r="G609" s="171" t="str" cm="1">
        <f t="array" ref="G609">IF(LineærRegression_Valg[[#This Row],[Indenfor range]],IF(LineærRegression_Valg[[#This Row],[Intet overlap]],INDEX(DataTitel_liste,LineærRegression_Valg[[#This Row],[Uafhængig variabel ID]]),INDEX(DataTitel_liste,IF(LineærRegression_Valg[[#This Row],[Afhængig variabel ID]]=1,2,1))),$B$7)</f>
        <v>Eksempel 2 (interval)</v>
      </c>
      <c r="H609" s="171">
        <f>_xlfn.AGGREGATE(2,5,LineærRegression_Valg[[#This Row],[Tabel ID]])</f>
        <v>1</v>
      </c>
    </row>
    <row r="610" spans="1:8" x14ac:dyDescent="0.2">
      <c r="A610">
        <f>ROW(LineærRegression_Valg[[#This Row],[Tabel ID]])-ROW(LineærRegression_Valg[[#Headers],[Tabel ID]])</f>
        <v>600</v>
      </c>
      <c r="B610" s="171">
        <f>ROUNDDOWN((LineærRegression_Valg[[#This Row],[Tabel ID]]-1)/$B$5,0)+1</f>
        <v>150</v>
      </c>
      <c r="C610" s="171">
        <f t="shared" si="9"/>
        <v>4</v>
      </c>
      <c r="D610" s="171" t="b">
        <f>LineærRegression_Valg[[#This Row],[Afhængig variabel ID]]&lt;&gt;LineærRegression_Valg[[#This Row],[Uafhængig variabel ID]]</f>
        <v>1</v>
      </c>
      <c r="E610" t="b">
        <f>LineærRegression_Valg[[#This Row],[Afhængig variabel ID]]&lt;=$B$5</f>
        <v>0</v>
      </c>
      <c r="F610" t="str" cm="1">
        <f t="array" ref="F610">IF(LineærRegression_Valg[[#This Row],[Indenfor range]],INDEX(DataTitel_liste,LineærRegression_Valg[[#This Row],[Afhængig variabel ID]]),INDEX(DataTitel_liste,1))</f>
        <v>Eksempel 1 (interval)</v>
      </c>
      <c r="G610" s="171" t="str" cm="1">
        <f t="array" ref="G610">IF(LineærRegression_Valg[[#This Row],[Indenfor range]],IF(LineærRegression_Valg[[#This Row],[Intet overlap]],INDEX(DataTitel_liste,LineærRegression_Valg[[#This Row],[Uafhængig variabel ID]]),INDEX(DataTitel_liste,IF(LineærRegression_Valg[[#This Row],[Afhængig variabel ID]]=1,2,1))),$B$7)</f>
        <v>Eksempel 2 (interval)</v>
      </c>
      <c r="H610" s="171">
        <f>_xlfn.AGGREGATE(2,5,LineærRegression_Valg[[#This Row],[Tabel ID]])</f>
        <v>1</v>
      </c>
    </row>
    <row r="611" spans="1:8" x14ac:dyDescent="0.2">
      <c r="A611">
        <f>ROW(LineærRegression_Valg[[#This Row],[Tabel ID]])-ROW(LineærRegression_Valg[[#Headers],[Tabel ID]])</f>
        <v>601</v>
      </c>
      <c r="B611" s="171">
        <f>ROUNDDOWN((LineærRegression_Valg[[#This Row],[Tabel ID]]-1)/$B$5,0)+1</f>
        <v>151</v>
      </c>
      <c r="C611" s="171">
        <f t="shared" si="9"/>
        <v>1</v>
      </c>
      <c r="D611" s="171" t="b">
        <f>LineærRegression_Valg[[#This Row],[Afhængig variabel ID]]&lt;&gt;LineærRegression_Valg[[#This Row],[Uafhængig variabel ID]]</f>
        <v>1</v>
      </c>
      <c r="E611" t="b">
        <f>LineærRegression_Valg[[#This Row],[Afhængig variabel ID]]&lt;=$B$5</f>
        <v>0</v>
      </c>
      <c r="F611" t="str" cm="1">
        <f t="array" ref="F611">IF(LineærRegression_Valg[[#This Row],[Indenfor range]],INDEX(DataTitel_liste,LineærRegression_Valg[[#This Row],[Afhængig variabel ID]]),INDEX(DataTitel_liste,1))</f>
        <v>Eksempel 1 (interval)</v>
      </c>
      <c r="G611" s="171" t="str" cm="1">
        <f t="array" ref="G611">IF(LineærRegression_Valg[[#This Row],[Indenfor range]],IF(LineærRegression_Valg[[#This Row],[Intet overlap]],INDEX(DataTitel_liste,LineærRegression_Valg[[#This Row],[Uafhængig variabel ID]]),INDEX(DataTitel_liste,IF(LineærRegression_Valg[[#This Row],[Afhængig variabel ID]]=1,2,1))),$B$7)</f>
        <v>Eksempel 2 (interval)</v>
      </c>
      <c r="H611" s="171">
        <f>_xlfn.AGGREGATE(2,5,LineærRegression_Valg[[#This Row],[Tabel ID]])</f>
        <v>1</v>
      </c>
    </row>
    <row r="612" spans="1:8" x14ac:dyDescent="0.2">
      <c r="A612">
        <f>ROW(LineærRegression_Valg[[#This Row],[Tabel ID]])-ROW(LineærRegression_Valg[[#Headers],[Tabel ID]])</f>
        <v>602</v>
      </c>
      <c r="B612" s="171">
        <f>ROUNDDOWN((LineærRegression_Valg[[#This Row],[Tabel ID]]-1)/$B$5,0)+1</f>
        <v>151</v>
      </c>
      <c r="C612" s="171">
        <f t="shared" si="9"/>
        <v>2</v>
      </c>
      <c r="D612" s="171" t="b">
        <f>LineærRegression_Valg[[#This Row],[Afhængig variabel ID]]&lt;&gt;LineærRegression_Valg[[#This Row],[Uafhængig variabel ID]]</f>
        <v>1</v>
      </c>
      <c r="E612" t="b">
        <f>LineærRegression_Valg[[#This Row],[Afhængig variabel ID]]&lt;=$B$5</f>
        <v>0</v>
      </c>
      <c r="F612" t="str" cm="1">
        <f t="array" ref="F612">IF(LineærRegression_Valg[[#This Row],[Indenfor range]],INDEX(DataTitel_liste,LineærRegression_Valg[[#This Row],[Afhængig variabel ID]]),INDEX(DataTitel_liste,1))</f>
        <v>Eksempel 1 (interval)</v>
      </c>
      <c r="G612" s="171" t="str" cm="1">
        <f t="array" ref="G612">IF(LineærRegression_Valg[[#This Row],[Indenfor range]],IF(LineærRegression_Valg[[#This Row],[Intet overlap]],INDEX(DataTitel_liste,LineærRegression_Valg[[#This Row],[Uafhængig variabel ID]]),INDEX(DataTitel_liste,IF(LineærRegression_Valg[[#This Row],[Afhængig variabel ID]]=1,2,1))),$B$7)</f>
        <v>Eksempel 2 (interval)</v>
      </c>
      <c r="H612" s="171">
        <f>_xlfn.AGGREGATE(2,5,LineærRegression_Valg[[#This Row],[Tabel ID]])</f>
        <v>1</v>
      </c>
    </row>
    <row r="613" spans="1:8" x14ac:dyDescent="0.2">
      <c r="A613">
        <f>ROW(LineærRegression_Valg[[#This Row],[Tabel ID]])-ROW(LineærRegression_Valg[[#Headers],[Tabel ID]])</f>
        <v>603</v>
      </c>
      <c r="B613" s="171">
        <f>ROUNDDOWN((LineærRegression_Valg[[#This Row],[Tabel ID]]-1)/$B$5,0)+1</f>
        <v>151</v>
      </c>
      <c r="C613" s="171">
        <f t="shared" si="9"/>
        <v>3</v>
      </c>
      <c r="D613" s="171" t="b">
        <f>LineærRegression_Valg[[#This Row],[Afhængig variabel ID]]&lt;&gt;LineærRegression_Valg[[#This Row],[Uafhængig variabel ID]]</f>
        <v>1</v>
      </c>
      <c r="E613" t="b">
        <f>LineærRegression_Valg[[#This Row],[Afhængig variabel ID]]&lt;=$B$5</f>
        <v>0</v>
      </c>
      <c r="F613" t="str" cm="1">
        <f t="array" ref="F613">IF(LineærRegression_Valg[[#This Row],[Indenfor range]],INDEX(DataTitel_liste,LineærRegression_Valg[[#This Row],[Afhængig variabel ID]]),INDEX(DataTitel_liste,1))</f>
        <v>Eksempel 1 (interval)</v>
      </c>
      <c r="G613" s="171" t="str" cm="1">
        <f t="array" ref="G613">IF(LineærRegression_Valg[[#This Row],[Indenfor range]],IF(LineærRegression_Valg[[#This Row],[Intet overlap]],INDEX(DataTitel_liste,LineærRegression_Valg[[#This Row],[Uafhængig variabel ID]]),INDEX(DataTitel_liste,IF(LineærRegression_Valg[[#This Row],[Afhængig variabel ID]]=1,2,1))),$B$7)</f>
        <v>Eksempel 2 (interval)</v>
      </c>
      <c r="H613" s="171">
        <f>_xlfn.AGGREGATE(2,5,LineærRegression_Valg[[#This Row],[Tabel ID]])</f>
        <v>1</v>
      </c>
    </row>
    <row r="614" spans="1:8" x14ac:dyDescent="0.2">
      <c r="A614">
        <f>ROW(LineærRegression_Valg[[#This Row],[Tabel ID]])-ROW(LineærRegression_Valg[[#Headers],[Tabel ID]])</f>
        <v>604</v>
      </c>
      <c r="B614" s="171">
        <f>ROUNDDOWN((LineærRegression_Valg[[#This Row],[Tabel ID]]-1)/$B$5,0)+1</f>
        <v>151</v>
      </c>
      <c r="C614" s="171">
        <f t="shared" si="9"/>
        <v>4</v>
      </c>
      <c r="D614" s="171" t="b">
        <f>LineærRegression_Valg[[#This Row],[Afhængig variabel ID]]&lt;&gt;LineærRegression_Valg[[#This Row],[Uafhængig variabel ID]]</f>
        <v>1</v>
      </c>
      <c r="E614" t="b">
        <f>LineærRegression_Valg[[#This Row],[Afhængig variabel ID]]&lt;=$B$5</f>
        <v>0</v>
      </c>
      <c r="F614" t="str" cm="1">
        <f t="array" ref="F614">IF(LineærRegression_Valg[[#This Row],[Indenfor range]],INDEX(DataTitel_liste,LineærRegression_Valg[[#This Row],[Afhængig variabel ID]]),INDEX(DataTitel_liste,1))</f>
        <v>Eksempel 1 (interval)</v>
      </c>
      <c r="G614" s="171" t="str" cm="1">
        <f t="array" ref="G614">IF(LineærRegression_Valg[[#This Row],[Indenfor range]],IF(LineærRegression_Valg[[#This Row],[Intet overlap]],INDEX(DataTitel_liste,LineærRegression_Valg[[#This Row],[Uafhængig variabel ID]]),INDEX(DataTitel_liste,IF(LineærRegression_Valg[[#This Row],[Afhængig variabel ID]]=1,2,1))),$B$7)</f>
        <v>Eksempel 2 (interval)</v>
      </c>
      <c r="H614" s="171">
        <f>_xlfn.AGGREGATE(2,5,LineærRegression_Valg[[#This Row],[Tabel ID]])</f>
        <v>1</v>
      </c>
    </row>
    <row r="615" spans="1:8" x14ac:dyDescent="0.2">
      <c r="A615">
        <f>ROW(LineærRegression_Valg[[#This Row],[Tabel ID]])-ROW(LineærRegression_Valg[[#Headers],[Tabel ID]])</f>
        <v>605</v>
      </c>
      <c r="B615" s="171">
        <f>ROUNDDOWN((LineærRegression_Valg[[#This Row],[Tabel ID]]-1)/$B$5,0)+1</f>
        <v>152</v>
      </c>
      <c r="C615" s="171">
        <f t="shared" si="9"/>
        <v>1</v>
      </c>
      <c r="D615" s="171" t="b">
        <f>LineærRegression_Valg[[#This Row],[Afhængig variabel ID]]&lt;&gt;LineærRegression_Valg[[#This Row],[Uafhængig variabel ID]]</f>
        <v>1</v>
      </c>
      <c r="E615" t="b">
        <f>LineærRegression_Valg[[#This Row],[Afhængig variabel ID]]&lt;=$B$5</f>
        <v>0</v>
      </c>
      <c r="F615" t="str" cm="1">
        <f t="array" ref="F615">IF(LineærRegression_Valg[[#This Row],[Indenfor range]],INDEX(DataTitel_liste,LineærRegression_Valg[[#This Row],[Afhængig variabel ID]]),INDEX(DataTitel_liste,1))</f>
        <v>Eksempel 1 (interval)</v>
      </c>
      <c r="G615" s="171" t="str" cm="1">
        <f t="array" ref="G615">IF(LineærRegression_Valg[[#This Row],[Indenfor range]],IF(LineærRegression_Valg[[#This Row],[Intet overlap]],INDEX(DataTitel_liste,LineærRegression_Valg[[#This Row],[Uafhængig variabel ID]]),INDEX(DataTitel_liste,IF(LineærRegression_Valg[[#This Row],[Afhængig variabel ID]]=1,2,1))),$B$7)</f>
        <v>Eksempel 2 (interval)</v>
      </c>
      <c r="H615" s="171">
        <f>_xlfn.AGGREGATE(2,5,LineærRegression_Valg[[#This Row],[Tabel ID]])</f>
        <v>1</v>
      </c>
    </row>
    <row r="616" spans="1:8" x14ac:dyDescent="0.2">
      <c r="A616">
        <f>ROW(LineærRegression_Valg[[#This Row],[Tabel ID]])-ROW(LineærRegression_Valg[[#Headers],[Tabel ID]])</f>
        <v>606</v>
      </c>
      <c r="B616" s="171">
        <f>ROUNDDOWN((LineærRegression_Valg[[#This Row],[Tabel ID]]-1)/$B$5,0)+1</f>
        <v>152</v>
      </c>
      <c r="C616" s="171">
        <f t="shared" si="9"/>
        <v>2</v>
      </c>
      <c r="D616" s="171" t="b">
        <f>LineærRegression_Valg[[#This Row],[Afhængig variabel ID]]&lt;&gt;LineærRegression_Valg[[#This Row],[Uafhængig variabel ID]]</f>
        <v>1</v>
      </c>
      <c r="E616" t="b">
        <f>LineærRegression_Valg[[#This Row],[Afhængig variabel ID]]&lt;=$B$5</f>
        <v>0</v>
      </c>
      <c r="F616" t="str" cm="1">
        <f t="array" ref="F616">IF(LineærRegression_Valg[[#This Row],[Indenfor range]],INDEX(DataTitel_liste,LineærRegression_Valg[[#This Row],[Afhængig variabel ID]]),INDEX(DataTitel_liste,1))</f>
        <v>Eksempel 1 (interval)</v>
      </c>
      <c r="G616" s="171" t="str" cm="1">
        <f t="array" ref="G616">IF(LineærRegression_Valg[[#This Row],[Indenfor range]],IF(LineærRegression_Valg[[#This Row],[Intet overlap]],INDEX(DataTitel_liste,LineærRegression_Valg[[#This Row],[Uafhængig variabel ID]]),INDEX(DataTitel_liste,IF(LineærRegression_Valg[[#This Row],[Afhængig variabel ID]]=1,2,1))),$B$7)</f>
        <v>Eksempel 2 (interval)</v>
      </c>
      <c r="H616" s="171">
        <f>_xlfn.AGGREGATE(2,5,LineærRegression_Valg[[#This Row],[Tabel ID]])</f>
        <v>1</v>
      </c>
    </row>
    <row r="617" spans="1:8" x14ac:dyDescent="0.2">
      <c r="A617">
        <f>ROW(LineærRegression_Valg[[#This Row],[Tabel ID]])-ROW(LineærRegression_Valg[[#Headers],[Tabel ID]])</f>
        <v>607</v>
      </c>
      <c r="B617" s="171">
        <f>ROUNDDOWN((LineærRegression_Valg[[#This Row],[Tabel ID]]-1)/$B$5,0)+1</f>
        <v>152</v>
      </c>
      <c r="C617" s="171">
        <f t="shared" si="9"/>
        <v>3</v>
      </c>
      <c r="D617" s="171" t="b">
        <f>LineærRegression_Valg[[#This Row],[Afhængig variabel ID]]&lt;&gt;LineærRegression_Valg[[#This Row],[Uafhængig variabel ID]]</f>
        <v>1</v>
      </c>
      <c r="E617" t="b">
        <f>LineærRegression_Valg[[#This Row],[Afhængig variabel ID]]&lt;=$B$5</f>
        <v>0</v>
      </c>
      <c r="F617" t="str" cm="1">
        <f t="array" ref="F617">IF(LineærRegression_Valg[[#This Row],[Indenfor range]],INDEX(DataTitel_liste,LineærRegression_Valg[[#This Row],[Afhængig variabel ID]]),INDEX(DataTitel_liste,1))</f>
        <v>Eksempel 1 (interval)</v>
      </c>
      <c r="G617" s="171" t="str" cm="1">
        <f t="array" ref="G617">IF(LineærRegression_Valg[[#This Row],[Indenfor range]],IF(LineærRegression_Valg[[#This Row],[Intet overlap]],INDEX(DataTitel_liste,LineærRegression_Valg[[#This Row],[Uafhængig variabel ID]]),INDEX(DataTitel_liste,IF(LineærRegression_Valg[[#This Row],[Afhængig variabel ID]]=1,2,1))),$B$7)</f>
        <v>Eksempel 2 (interval)</v>
      </c>
      <c r="H617" s="171">
        <f>_xlfn.AGGREGATE(2,5,LineærRegression_Valg[[#This Row],[Tabel ID]])</f>
        <v>1</v>
      </c>
    </row>
    <row r="618" spans="1:8" x14ac:dyDescent="0.2">
      <c r="A618">
        <f>ROW(LineærRegression_Valg[[#This Row],[Tabel ID]])-ROW(LineærRegression_Valg[[#Headers],[Tabel ID]])</f>
        <v>608</v>
      </c>
      <c r="B618" s="171">
        <f>ROUNDDOWN((LineærRegression_Valg[[#This Row],[Tabel ID]]-1)/$B$5,0)+1</f>
        <v>152</v>
      </c>
      <c r="C618" s="171">
        <f t="shared" si="9"/>
        <v>4</v>
      </c>
      <c r="D618" s="171" t="b">
        <f>LineærRegression_Valg[[#This Row],[Afhængig variabel ID]]&lt;&gt;LineærRegression_Valg[[#This Row],[Uafhængig variabel ID]]</f>
        <v>1</v>
      </c>
      <c r="E618" t="b">
        <f>LineærRegression_Valg[[#This Row],[Afhængig variabel ID]]&lt;=$B$5</f>
        <v>0</v>
      </c>
      <c r="F618" t="str" cm="1">
        <f t="array" ref="F618">IF(LineærRegression_Valg[[#This Row],[Indenfor range]],INDEX(DataTitel_liste,LineærRegression_Valg[[#This Row],[Afhængig variabel ID]]),INDEX(DataTitel_liste,1))</f>
        <v>Eksempel 1 (interval)</v>
      </c>
      <c r="G618" s="171" t="str" cm="1">
        <f t="array" ref="G618">IF(LineærRegression_Valg[[#This Row],[Indenfor range]],IF(LineærRegression_Valg[[#This Row],[Intet overlap]],INDEX(DataTitel_liste,LineærRegression_Valg[[#This Row],[Uafhængig variabel ID]]),INDEX(DataTitel_liste,IF(LineærRegression_Valg[[#This Row],[Afhængig variabel ID]]=1,2,1))),$B$7)</f>
        <v>Eksempel 2 (interval)</v>
      </c>
      <c r="H618" s="171">
        <f>_xlfn.AGGREGATE(2,5,LineærRegression_Valg[[#This Row],[Tabel ID]])</f>
        <v>1</v>
      </c>
    </row>
    <row r="619" spans="1:8" x14ac:dyDescent="0.2">
      <c r="A619">
        <f>ROW(LineærRegression_Valg[[#This Row],[Tabel ID]])-ROW(LineærRegression_Valg[[#Headers],[Tabel ID]])</f>
        <v>609</v>
      </c>
      <c r="B619" s="171">
        <f>ROUNDDOWN((LineærRegression_Valg[[#This Row],[Tabel ID]]-1)/$B$5,0)+1</f>
        <v>153</v>
      </c>
      <c r="C619" s="171">
        <f t="shared" si="9"/>
        <v>1</v>
      </c>
      <c r="D619" s="171" t="b">
        <f>LineærRegression_Valg[[#This Row],[Afhængig variabel ID]]&lt;&gt;LineærRegression_Valg[[#This Row],[Uafhængig variabel ID]]</f>
        <v>1</v>
      </c>
      <c r="E619" t="b">
        <f>LineærRegression_Valg[[#This Row],[Afhængig variabel ID]]&lt;=$B$5</f>
        <v>0</v>
      </c>
      <c r="F619" t="str" cm="1">
        <f t="array" ref="F619">IF(LineærRegression_Valg[[#This Row],[Indenfor range]],INDEX(DataTitel_liste,LineærRegression_Valg[[#This Row],[Afhængig variabel ID]]),INDEX(DataTitel_liste,1))</f>
        <v>Eksempel 1 (interval)</v>
      </c>
      <c r="G619" s="171" t="str" cm="1">
        <f t="array" ref="G619">IF(LineærRegression_Valg[[#This Row],[Indenfor range]],IF(LineærRegression_Valg[[#This Row],[Intet overlap]],INDEX(DataTitel_liste,LineærRegression_Valg[[#This Row],[Uafhængig variabel ID]]),INDEX(DataTitel_liste,IF(LineærRegression_Valg[[#This Row],[Afhængig variabel ID]]=1,2,1))),$B$7)</f>
        <v>Eksempel 2 (interval)</v>
      </c>
      <c r="H619" s="171">
        <f>_xlfn.AGGREGATE(2,5,LineærRegression_Valg[[#This Row],[Tabel ID]])</f>
        <v>1</v>
      </c>
    </row>
    <row r="620" spans="1:8" x14ac:dyDescent="0.2">
      <c r="A620">
        <f>ROW(LineærRegression_Valg[[#This Row],[Tabel ID]])-ROW(LineærRegression_Valg[[#Headers],[Tabel ID]])</f>
        <v>610</v>
      </c>
      <c r="B620" s="171">
        <f>ROUNDDOWN((LineærRegression_Valg[[#This Row],[Tabel ID]]-1)/$B$5,0)+1</f>
        <v>153</v>
      </c>
      <c r="C620" s="171">
        <f t="shared" si="9"/>
        <v>2</v>
      </c>
      <c r="D620" s="171" t="b">
        <f>LineærRegression_Valg[[#This Row],[Afhængig variabel ID]]&lt;&gt;LineærRegression_Valg[[#This Row],[Uafhængig variabel ID]]</f>
        <v>1</v>
      </c>
      <c r="E620" t="b">
        <f>LineærRegression_Valg[[#This Row],[Afhængig variabel ID]]&lt;=$B$5</f>
        <v>0</v>
      </c>
      <c r="F620" t="str" cm="1">
        <f t="array" ref="F620">IF(LineærRegression_Valg[[#This Row],[Indenfor range]],INDEX(DataTitel_liste,LineærRegression_Valg[[#This Row],[Afhængig variabel ID]]),INDEX(DataTitel_liste,1))</f>
        <v>Eksempel 1 (interval)</v>
      </c>
      <c r="G620" s="171" t="str" cm="1">
        <f t="array" ref="G620">IF(LineærRegression_Valg[[#This Row],[Indenfor range]],IF(LineærRegression_Valg[[#This Row],[Intet overlap]],INDEX(DataTitel_liste,LineærRegression_Valg[[#This Row],[Uafhængig variabel ID]]),INDEX(DataTitel_liste,IF(LineærRegression_Valg[[#This Row],[Afhængig variabel ID]]=1,2,1))),$B$7)</f>
        <v>Eksempel 2 (interval)</v>
      </c>
      <c r="H620" s="171">
        <f>_xlfn.AGGREGATE(2,5,LineærRegression_Valg[[#This Row],[Tabel ID]])</f>
        <v>1</v>
      </c>
    </row>
    <row r="621" spans="1:8" x14ac:dyDescent="0.2">
      <c r="A621">
        <f>ROW(LineærRegression_Valg[[#This Row],[Tabel ID]])-ROW(LineærRegression_Valg[[#Headers],[Tabel ID]])</f>
        <v>611</v>
      </c>
      <c r="B621" s="171">
        <f>ROUNDDOWN((LineærRegression_Valg[[#This Row],[Tabel ID]]-1)/$B$5,0)+1</f>
        <v>153</v>
      </c>
      <c r="C621" s="171">
        <f t="shared" si="9"/>
        <v>3</v>
      </c>
      <c r="D621" s="171" t="b">
        <f>LineærRegression_Valg[[#This Row],[Afhængig variabel ID]]&lt;&gt;LineærRegression_Valg[[#This Row],[Uafhængig variabel ID]]</f>
        <v>1</v>
      </c>
      <c r="E621" t="b">
        <f>LineærRegression_Valg[[#This Row],[Afhængig variabel ID]]&lt;=$B$5</f>
        <v>0</v>
      </c>
      <c r="F621" t="str" cm="1">
        <f t="array" ref="F621">IF(LineærRegression_Valg[[#This Row],[Indenfor range]],INDEX(DataTitel_liste,LineærRegression_Valg[[#This Row],[Afhængig variabel ID]]),INDEX(DataTitel_liste,1))</f>
        <v>Eksempel 1 (interval)</v>
      </c>
      <c r="G621" s="171" t="str" cm="1">
        <f t="array" ref="G621">IF(LineærRegression_Valg[[#This Row],[Indenfor range]],IF(LineærRegression_Valg[[#This Row],[Intet overlap]],INDEX(DataTitel_liste,LineærRegression_Valg[[#This Row],[Uafhængig variabel ID]]),INDEX(DataTitel_liste,IF(LineærRegression_Valg[[#This Row],[Afhængig variabel ID]]=1,2,1))),$B$7)</f>
        <v>Eksempel 2 (interval)</v>
      </c>
      <c r="H621" s="171">
        <f>_xlfn.AGGREGATE(2,5,LineærRegression_Valg[[#This Row],[Tabel ID]])</f>
        <v>1</v>
      </c>
    </row>
    <row r="622" spans="1:8" x14ac:dyDescent="0.2">
      <c r="A622">
        <f>ROW(LineærRegression_Valg[[#This Row],[Tabel ID]])-ROW(LineærRegression_Valg[[#Headers],[Tabel ID]])</f>
        <v>612</v>
      </c>
      <c r="B622" s="171">
        <f>ROUNDDOWN((LineærRegression_Valg[[#This Row],[Tabel ID]]-1)/$B$5,0)+1</f>
        <v>153</v>
      </c>
      <c r="C622" s="171">
        <f t="shared" si="9"/>
        <v>4</v>
      </c>
      <c r="D622" s="171" t="b">
        <f>LineærRegression_Valg[[#This Row],[Afhængig variabel ID]]&lt;&gt;LineærRegression_Valg[[#This Row],[Uafhængig variabel ID]]</f>
        <v>1</v>
      </c>
      <c r="E622" t="b">
        <f>LineærRegression_Valg[[#This Row],[Afhængig variabel ID]]&lt;=$B$5</f>
        <v>0</v>
      </c>
      <c r="F622" t="str" cm="1">
        <f t="array" ref="F622">IF(LineærRegression_Valg[[#This Row],[Indenfor range]],INDEX(DataTitel_liste,LineærRegression_Valg[[#This Row],[Afhængig variabel ID]]),INDEX(DataTitel_liste,1))</f>
        <v>Eksempel 1 (interval)</v>
      </c>
      <c r="G622" s="171" t="str" cm="1">
        <f t="array" ref="G622">IF(LineærRegression_Valg[[#This Row],[Indenfor range]],IF(LineærRegression_Valg[[#This Row],[Intet overlap]],INDEX(DataTitel_liste,LineærRegression_Valg[[#This Row],[Uafhængig variabel ID]]),INDEX(DataTitel_liste,IF(LineærRegression_Valg[[#This Row],[Afhængig variabel ID]]=1,2,1))),$B$7)</f>
        <v>Eksempel 2 (interval)</v>
      </c>
      <c r="H622" s="171">
        <f>_xlfn.AGGREGATE(2,5,LineærRegression_Valg[[#This Row],[Tabel ID]])</f>
        <v>1</v>
      </c>
    </row>
    <row r="623" spans="1:8" x14ac:dyDescent="0.2">
      <c r="A623">
        <f>ROW(LineærRegression_Valg[[#This Row],[Tabel ID]])-ROW(LineærRegression_Valg[[#Headers],[Tabel ID]])</f>
        <v>613</v>
      </c>
      <c r="B623" s="171">
        <f>ROUNDDOWN((LineærRegression_Valg[[#This Row],[Tabel ID]]-1)/$B$5,0)+1</f>
        <v>154</v>
      </c>
      <c r="C623" s="171">
        <f t="shared" si="9"/>
        <v>1</v>
      </c>
      <c r="D623" s="171" t="b">
        <f>LineærRegression_Valg[[#This Row],[Afhængig variabel ID]]&lt;&gt;LineærRegression_Valg[[#This Row],[Uafhængig variabel ID]]</f>
        <v>1</v>
      </c>
      <c r="E623" t="b">
        <f>LineærRegression_Valg[[#This Row],[Afhængig variabel ID]]&lt;=$B$5</f>
        <v>0</v>
      </c>
      <c r="F623" t="str" cm="1">
        <f t="array" ref="F623">IF(LineærRegression_Valg[[#This Row],[Indenfor range]],INDEX(DataTitel_liste,LineærRegression_Valg[[#This Row],[Afhængig variabel ID]]),INDEX(DataTitel_liste,1))</f>
        <v>Eksempel 1 (interval)</v>
      </c>
      <c r="G623" s="171" t="str" cm="1">
        <f t="array" ref="G623">IF(LineærRegression_Valg[[#This Row],[Indenfor range]],IF(LineærRegression_Valg[[#This Row],[Intet overlap]],INDEX(DataTitel_liste,LineærRegression_Valg[[#This Row],[Uafhængig variabel ID]]),INDEX(DataTitel_liste,IF(LineærRegression_Valg[[#This Row],[Afhængig variabel ID]]=1,2,1))),$B$7)</f>
        <v>Eksempel 2 (interval)</v>
      </c>
      <c r="H623" s="171">
        <f>_xlfn.AGGREGATE(2,5,LineærRegression_Valg[[#This Row],[Tabel ID]])</f>
        <v>1</v>
      </c>
    </row>
    <row r="624" spans="1:8" x14ac:dyDescent="0.2">
      <c r="A624">
        <f>ROW(LineærRegression_Valg[[#This Row],[Tabel ID]])-ROW(LineærRegression_Valg[[#Headers],[Tabel ID]])</f>
        <v>614</v>
      </c>
      <c r="B624" s="171">
        <f>ROUNDDOWN((LineærRegression_Valg[[#This Row],[Tabel ID]]-1)/$B$5,0)+1</f>
        <v>154</v>
      </c>
      <c r="C624" s="171">
        <f t="shared" si="9"/>
        <v>2</v>
      </c>
      <c r="D624" s="171" t="b">
        <f>LineærRegression_Valg[[#This Row],[Afhængig variabel ID]]&lt;&gt;LineærRegression_Valg[[#This Row],[Uafhængig variabel ID]]</f>
        <v>1</v>
      </c>
      <c r="E624" t="b">
        <f>LineærRegression_Valg[[#This Row],[Afhængig variabel ID]]&lt;=$B$5</f>
        <v>0</v>
      </c>
      <c r="F624" t="str" cm="1">
        <f t="array" ref="F624">IF(LineærRegression_Valg[[#This Row],[Indenfor range]],INDEX(DataTitel_liste,LineærRegression_Valg[[#This Row],[Afhængig variabel ID]]),INDEX(DataTitel_liste,1))</f>
        <v>Eksempel 1 (interval)</v>
      </c>
      <c r="G624" s="171" t="str" cm="1">
        <f t="array" ref="G624">IF(LineærRegression_Valg[[#This Row],[Indenfor range]],IF(LineærRegression_Valg[[#This Row],[Intet overlap]],INDEX(DataTitel_liste,LineærRegression_Valg[[#This Row],[Uafhængig variabel ID]]),INDEX(DataTitel_liste,IF(LineærRegression_Valg[[#This Row],[Afhængig variabel ID]]=1,2,1))),$B$7)</f>
        <v>Eksempel 2 (interval)</v>
      </c>
      <c r="H624" s="171">
        <f>_xlfn.AGGREGATE(2,5,LineærRegression_Valg[[#This Row],[Tabel ID]])</f>
        <v>1</v>
      </c>
    </row>
    <row r="625" spans="1:8" x14ac:dyDescent="0.2">
      <c r="A625">
        <f>ROW(LineærRegression_Valg[[#This Row],[Tabel ID]])-ROW(LineærRegression_Valg[[#Headers],[Tabel ID]])</f>
        <v>615</v>
      </c>
      <c r="B625" s="171">
        <f>ROUNDDOWN((LineærRegression_Valg[[#This Row],[Tabel ID]]-1)/$B$5,0)+1</f>
        <v>154</v>
      </c>
      <c r="C625" s="171">
        <f t="shared" si="9"/>
        <v>3</v>
      </c>
      <c r="D625" s="171" t="b">
        <f>LineærRegression_Valg[[#This Row],[Afhængig variabel ID]]&lt;&gt;LineærRegression_Valg[[#This Row],[Uafhængig variabel ID]]</f>
        <v>1</v>
      </c>
      <c r="E625" t="b">
        <f>LineærRegression_Valg[[#This Row],[Afhængig variabel ID]]&lt;=$B$5</f>
        <v>0</v>
      </c>
      <c r="F625" t="str" cm="1">
        <f t="array" ref="F625">IF(LineærRegression_Valg[[#This Row],[Indenfor range]],INDEX(DataTitel_liste,LineærRegression_Valg[[#This Row],[Afhængig variabel ID]]),INDEX(DataTitel_liste,1))</f>
        <v>Eksempel 1 (interval)</v>
      </c>
      <c r="G625" s="171" t="str" cm="1">
        <f t="array" ref="G625">IF(LineærRegression_Valg[[#This Row],[Indenfor range]],IF(LineærRegression_Valg[[#This Row],[Intet overlap]],INDEX(DataTitel_liste,LineærRegression_Valg[[#This Row],[Uafhængig variabel ID]]),INDEX(DataTitel_liste,IF(LineærRegression_Valg[[#This Row],[Afhængig variabel ID]]=1,2,1))),$B$7)</f>
        <v>Eksempel 2 (interval)</v>
      </c>
      <c r="H625" s="171">
        <f>_xlfn.AGGREGATE(2,5,LineærRegression_Valg[[#This Row],[Tabel ID]])</f>
        <v>1</v>
      </c>
    </row>
    <row r="626" spans="1:8" x14ac:dyDescent="0.2">
      <c r="A626">
        <f>ROW(LineærRegression_Valg[[#This Row],[Tabel ID]])-ROW(LineærRegression_Valg[[#Headers],[Tabel ID]])</f>
        <v>616</v>
      </c>
      <c r="B626" s="171">
        <f>ROUNDDOWN((LineærRegression_Valg[[#This Row],[Tabel ID]]-1)/$B$5,0)+1</f>
        <v>154</v>
      </c>
      <c r="C626" s="171">
        <f t="shared" si="9"/>
        <v>4</v>
      </c>
      <c r="D626" s="171" t="b">
        <f>LineærRegression_Valg[[#This Row],[Afhængig variabel ID]]&lt;&gt;LineærRegression_Valg[[#This Row],[Uafhængig variabel ID]]</f>
        <v>1</v>
      </c>
      <c r="E626" t="b">
        <f>LineærRegression_Valg[[#This Row],[Afhængig variabel ID]]&lt;=$B$5</f>
        <v>0</v>
      </c>
      <c r="F626" t="str" cm="1">
        <f t="array" ref="F626">IF(LineærRegression_Valg[[#This Row],[Indenfor range]],INDEX(DataTitel_liste,LineærRegression_Valg[[#This Row],[Afhængig variabel ID]]),INDEX(DataTitel_liste,1))</f>
        <v>Eksempel 1 (interval)</v>
      </c>
      <c r="G626" s="171" t="str" cm="1">
        <f t="array" ref="G626">IF(LineærRegression_Valg[[#This Row],[Indenfor range]],IF(LineærRegression_Valg[[#This Row],[Intet overlap]],INDEX(DataTitel_liste,LineærRegression_Valg[[#This Row],[Uafhængig variabel ID]]),INDEX(DataTitel_liste,IF(LineærRegression_Valg[[#This Row],[Afhængig variabel ID]]=1,2,1))),$B$7)</f>
        <v>Eksempel 2 (interval)</v>
      </c>
      <c r="H626" s="171">
        <f>_xlfn.AGGREGATE(2,5,LineærRegression_Valg[[#This Row],[Tabel ID]])</f>
        <v>1</v>
      </c>
    </row>
    <row r="627" spans="1:8" x14ac:dyDescent="0.2">
      <c r="A627">
        <f>ROW(LineærRegression_Valg[[#This Row],[Tabel ID]])-ROW(LineærRegression_Valg[[#Headers],[Tabel ID]])</f>
        <v>617</v>
      </c>
      <c r="B627" s="171">
        <f>ROUNDDOWN((LineærRegression_Valg[[#This Row],[Tabel ID]]-1)/$B$5,0)+1</f>
        <v>155</v>
      </c>
      <c r="C627" s="171">
        <f t="shared" si="9"/>
        <v>1</v>
      </c>
      <c r="D627" s="171" t="b">
        <f>LineærRegression_Valg[[#This Row],[Afhængig variabel ID]]&lt;&gt;LineærRegression_Valg[[#This Row],[Uafhængig variabel ID]]</f>
        <v>1</v>
      </c>
      <c r="E627" t="b">
        <f>LineærRegression_Valg[[#This Row],[Afhængig variabel ID]]&lt;=$B$5</f>
        <v>0</v>
      </c>
      <c r="F627" t="str" cm="1">
        <f t="array" ref="F627">IF(LineærRegression_Valg[[#This Row],[Indenfor range]],INDEX(DataTitel_liste,LineærRegression_Valg[[#This Row],[Afhængig variabel ID]]),INDEX(DataTitel_liste,1))</f>
        <v>Eksempel 1 (interval)</v>
      </c>
      <c r="G627" s="171" t="str" cm="1">
        <f t="array" ref="G627">IF(LineærRegression_Valg[[#This Row],[Indenfor range]],IF(LineærRegression_Valg[[#This Row],[Intet overlap]],INDEX(DataTitel_liste,LineærRegression_Valg[[#This Row],[Uafhængig variabel ID]]),INDEX(DataTitel_liste,IF(LineærRegression_Valg[[#This Row],[Afhængig variabel ID]]=1,2,1))),$B$7)</f>
        <v>Eksempel 2 (interval)</v>
      </c>
      <c r="H627" s="171">
        <f>_xlfn.AGGREGATE(2,5,LineærRegression_Valg[[#This Row],[Tabel ID]])</f>
        <v>1</v>
      </c>
    </row>
    <row r="628" spans="1:8" x14ac:dyDescent="0.2">
      <c r="A628">
        <f>ROW(LineærRegression_Valg[[#This Row],[Tabel ID]])-ROW(LineærRegression_Valg[[#Headers],[Tabel ID]])</f>
        <v>618</v>
      </c>
      <c r="B628" s="171">
        <f>ROUNDDOWN((LineærRegression_Valg[[#This Row],[Tabel ID]]-1)/$B$5,0)+1</f>
        <v>155</v>
      </c>
      <c r="C628" s="171">
        <f t="shared" si="9"/>
        <v>2</v>
      </c>
      <c r="D628" s="171" t="b">
        <f>LineærRegression_Valg[[#This Row],[Afhængig variabel ID]]&lt;&gt;LineærRegression_Valg[[#This Row],[Uafhængig variabel ID]]</f>
        <v>1</v>
      </c>
      <c r="E628" t="b">
        <f>LineærRegression_Valg[[#This Row],[Afhængig variabel ID]]&lt;=$B$5</f>
        <v>0</v>
      </c>
      <c r="F628" t="str" cm="1">
        <f t="array" ref="F628">IF(LineærRegression_Valg[[#This Row],[Indenfor range]],INDEX(DataTitel_liste,LineærRegression_Valg[[#This Row],[Afhængig variabel ID]]),INDEX(DataTitel_liste,1))</f>
        <v>Eksempel 1 (interval)</v>
      </c>
      <c r="G628" s="171" t="str" cm="1">
        <f t="array" ref="G628">IF(LineærRegression_Valg[[#This Row],[Indenfor range]],IF(LineærRegression_Valg[[#This Row],[Intet overlap]],INDEX(DataTitel_liste,LineærRegression_Valg[[#This Row],[Uafhængig variabel ID]]),INDEX(DataTitel_liste,IF(LineærRegression_Valg[[#This Row],[Afhængig variabel ID]]=1,2,1))),$B$7)</f>
        <v>Eksempel 2 (interval)</v>
      </c>
      <c r="H628" s="171">
        <f>_xlfn.AGGREGATE(2,5,LineærRegression_Valg[[#This Row],[Tabel ID]])</f>
        <v>1</v>
      </c>
    </row>
    <row r="629" spans="1:8" x14ac:dyDescent="0.2">
      <c r="A629">
        <f>ROW(LineærRegression_Valg[[#This Row],[Tabel ID]])-ROW(LineærRegression_Valg[[#Headers],[Tabel ID]])</f>
        <v>619</v>
      </c>
      <c r="B629" s="171">
        <f>ROUNDDOWN((LineærRegression_Valg[[#This Row],[Tabel ID]]-1)/$B$5,0)+1</f>
        <v>155</v>
      </c>
      <c r="C629" s="171">
        <f t="shared" si="9"/>
        <v>3</v>
      </c>
      <c r="D629" s="171" t="b">
        <f>LineærRegression_Valg[[#This Row],[Afhængig variabel ID]]&lt;&gt;LineærRegression_Valg[[#This Row],[Uafhængig variabel ID]]</f>
        <v>1</v>
      </c>
      <c r="E629" t="b">
        <f>LineærRegression_Valg[[#This Row],[Afhængig variabel ID]]&lt;=$B$5</f>
        <v>0</v>
      </c>
      <c r="F629" t="str" cm="1">
        <f t="array" ref="F629">IF(LineærRegression_Valg[[#This Row],[Indenfor range]],INDEX(DataTitel_liste,LineærRegression_Valg[[#This Row],[Afhængig variabel ID]]),INDEX(DataTitel_liste,1))</f>
        <v>Eksempel 1 (interval)</v>
      </c>
      <c r="G629" s="171" t="str" cm="1">
        <f t="array" ref="G629">IF(LineærRegression_Valg[[#This Row],[Indenfor range]],IF(LineærRegression_Valg[[#This Row],[Intet overlap]],INDEX(DataTitel_liste,LineærRegression_Valg[[#This Row],[Uafhængig variabel ID]]),INDEX(DataTitel_liste,IF(LineærRegression_Valg[[#This Row],[Afhængig variabel ID]]=1,2,1))),$B$7)</f>
        <v>Eksempel 2 (interval)</v>
      </c>
      <c r="H629" s="171">
        <f>_xlfn.AGGREGATE(2,5,LineærRegression_Valg[[#This Row],[Tabel ID]])</f>
        <v>1</v>
      </c>
    </row>
    <row r="630" spans="1:8" x14ac:dyDescent="0.2">
      <c r="A630">
        <f>ROW(LineærRegression_Valg[[#This Row],[Tabel ID]])-ROW(LineærRegression_Valg[[#Headers],[Tabel ID]])</f>
        <v>620</v>
      </c>
      <c r="B630" s="171">
        <f>ROUNDDOWN((LineærRegression_Valg[[#This Row],[Tabel ID]]-1)/$B$5,0)+1</f>
        <v>155</v>
      </c>
      <c r="C630" s="171">
        <f t="shared" si="9"/>
        <v>4</v>
      </c>
      <c r="D630" s="171" t="b">
        <f>LineærRegression_Valg[[#This Row],[Afhængig variabel ID]]&lt;&gt;LineærRegression_Valg[[#This Row],[Uafhængig variabel ID]]</f>
        <v>1</v>
      </c>
      <c r="E630" t="b">
        <f>LineærRegression_Valg[[#This Row],[Afhængig variabel ID]]&lt;=$B$5</f>
        <v>0</v>
      </c>
      <c r="F630" t="str" cm="1">
        <f t="array" ref="F630">IF(LineærRegression_Valg[[#This Row],[Indenfor range]],INDEX(DataTitel_liste,LineærRegression_Valg[[#This Row],[Afhængig variabel ID]]),INDEX(DataTitel_liste,1))</f>
        <v>Eksempel 1 (interval)</v>
      </c>
      <c r="G630" s="171" t="str" cm="1">
        <f t="array" ref="G630">IF(LineærRegression_Valg[[#This Row],[Indenfor range]],IF(LineærRegression_Valg[[#This Row],[Intet overlap]],INDEX(DataTitel_liste,LineærRegression_Valg[[#This Row],[Uafhængig variabel ID]]),INDEX(DataTitel_liste,IF(LineærRegression_Valg[[#This Row],[Afhængig variabel ID]]=1,2,1))),$B$7)</f>
        <v>Eksempel 2 (interval)</v>
      </c>
      <c r="H630" s="171">
        <f>_xlfn.AGGREGATE(2,5,LineærRegression_Valg[[#This Row],[Tabel ID]])</f>
        <v>1</v>
      </c>
    </row>
    <row r="631" spans="1:8" x14ac:dyDescent="0.2">
      <c r="A631">
        <f>ROW(LineærRegression_Valg[[#This Row],[Tabel ID]])-ROW(LineærRegression_Valg[[#Headers],[Tabel ID]])</f>
        <v>621</v>
      </c>
      <c r="B631" s="171">
        <f>ROUNDDOWN((LineærRegression_Valg[[#This Row],[Tabel ID]]-1)/$B$5,0)+1</f>
        <v>156</v>
      </c>
      <c r="C631" s="171">
        <f t="shared" si="9"/>
        <v>1</v>
      </c>
      <c r="D631" s="171" t="b">
        <f>LineærRegression_Valg[[#This Row],[Afhængig variabel ID]]&lt;&gt;LineærRegression_Valg[[#This Row],[Uafhængig variabel ID]]</f>
        <v>1</v>
      </c>
      <c r="E631" t="b">
        <f>LineærRegression_Valg[[#This Row],[Afhængig variabel ID]]&lt;=$B$5</f>
        <v>0</v>
      </c>
      <c r="F631" t="str" cm="1">
        <f t="array" ref="F631">IF(LineærRegression_Valg[[#This Row],[Indenfor range]],INDEX(DataTitel_liste,LineærRegression_Valg[[#This Row],[Afhængig variabel ID]]),INDEX(DataTitel_liste,1))</f>
        <v>Eksempel 1 (interval)</v>
      </c>
      <c r="G631" s="171" t="str" cm="1">
        <f t="array" ref="G631">IF(LineærRegression_Valg[[#This Row],[Indenfor range]],IF(LineærRegression_Valg[[#This Row],[Intet overlap]],INDEX(DataTitel_liste,LineærRegression_Valg[[#This Row],[Uafhængig variabel ID]]),INDEX(DataTitel_liste,IF(LineærRegression_Valg[[#This Row],[Afhængig variabel ID]]=1,2,1))),$B$7)</f>
        <v>Eksempel 2 (interval)</v>
      </c>
      <c r="H631" s="171">
        <f>_xlfn.AGGREGATE(2,5,LineærRegression_Valg[[#This Row],[Tabel ID]])</f>
        <v>1</v>
      </c>
    </row>
    <row r="632" spans="1:8" x14ac:dyDescent="0.2">
      <c r="A632">
        <f>ROW(LineærRegression_Valg[[#This Row],[Tabel ID]])-ROW(LineærRegression_Valg[[#Headers],[Tabel ID]])</f>
        <v>622</v>
      </c>
      <c r="B632" s="171">
        <f>ROUNDDOWN((LineærRegression_Valg[[#This Row],[Tabel ID]]-1)/$B$5,0)+1</f>
        <v>156</v>
      </c>
      <c r="C632" s="171">
        <f t="shared" si="9"/>
        <v>2</v>
      </c>
      <c r="D632" s="171" t="b">
        <f>LineærRegression_Valg[[#This Row],[Afhængig variabel ID]]&lt;&gt;LineærRegression_Valg[[#This Row],[Uafhængig variabel ID]]</f>
        <v>1</v>
      </c>
      <c r="E632" t="b">
        <f>LineærRegression_Valg[[#This Row],[Afhængig variabel ID]]&lt;=$B$5</f>
        <v>0</v>
      </c>
      <c r="F632" t="str" cm="1">
        <f t="array" ref="F632">IF(LineærRegression_Valg[[#This Row],[Indenfor range]],INDEX(DataTitel_liste,LineærRegression_Valg[[#This Row],[Afhængig variabel ID]]),INDEX(DataTitel_liste,1))</f>
        <v>Eksempel 1 (interval)</v>
      </c>
      <c r="G632" s="171" t="str" cm="1">
        <f t="array" ref="G632">IF(LineærRegression_Valg[[#This Row],[Indenfor range]],IF(LineærRegression_Valg[[#This Row],[Intet overlap]],INDEX(DataTitel_liste,LineærRegression_Valg[[#This Row],[Uafhængig variabel ID]]),INDEX(DataTitel_liste,IF(LineærRegression_Valg[[#This Row],[Afhængig variabel ID]]=1,2,1))),$B$7)</f>
        <v>Eksempel 2 (interval)</v>
      </c>
      <c r="H632" s="171">
        <f>_xlfn.AGGREGATE(2,5,LineærRegression_Valg[[#This Row],[Tabel ID]])</f>
        <v>1</v>
      </c>
    </row>
    <row r="633" spans="1:8" x14ac:dyDescent="0.2">
      <c r="A633">
        <f>ROW(LineærRegression_Valg[[#This Row],[Tabel ID]])-ROW(LineærRegression_Valg[[#Headers],[Tabel ID]])</f>
        <v>623</v>
      </c>
      <c r="B633" s="171">
        <f>ROUNDDOWN((LineærRegression_Valg[[#This Row],[Tabel ID]]-1)/$B$5,0)+1</f>
        <v>156</v>
      </c>
      <c r="C633" s="171">
        <f t="shared" si="9"/>
        <v>3</v>
      </c>
      <c r="D633" s="171" t="b">
        <f>LineærRegression_Valg[[#This Row],[Afhængig variabel ID]]&lt;&gt;LineærRegression_Valg[[#This Row],[Uafhængig variabel ID]]</f>
        <v>1</v>
      </c>
      <c r="E633" t="b">
        <f>LineærRegression_Valg[[#This Row],[Afhængig variabel ID]]&lt;=$B$5</f>
        <v>0</v>
      </c>
      <c r="F633" t="str" cm="1">
        <f t="array" ref="F633">IF(LineærRegression_Valg[[#This Row],[Indenfor range]],INDEX(DataTitel_liste,LineærRegression_Valg[[#This Row],[Afhængig variabel ID]]),INDEX(DataTitel_liste,1))</f>
        <v>Eksempel 1 (interval)</v>
      </c>
      <c r="G633" s="171" t="str" cm="1">
        <f t="array" ref="G633">IF(LineærRegression_Valg[[#This Row],[Indenfor range]],IF(LineærRegression_Valg[[#This Row],[Intet overlap]],INDEX(DataTitel_liste,LineærRegression_Valg[[#This Row],[Uafhængig variabel ID]]),INDEX(DataTitel_liste,IF(LineærRegression_Valg[[#This Row],[Afhængig variabel ID]]=1,2,1))),$B$7)</f>
        <v>Eksempel 2 (interval)</v>
      </c>
      <c r="H633" s="171">
        <f>_xlfn.AGGREGATE(2,5,LineærRegression_Valg[[#This Row],[Tabel ID]])</f>
        <v>1</v>
      </c>
    </row>
    <row r="634" spans="1:8" x14ac:dyDescent="0.2">
      <c r="A634">
        <f>ROW(LineærRegression_Valg[[#This Row],[Tabel ID]])-ROW(LineærRegression_Valg[[#Headers],[Tabel ID]])</f>
        <v>624</v>
      </c>
      <c r="B634" s="171">
        <f>ROUNDDOWN((LineærRegression_Valg[[#This Row],[Tabel ID]]-1)/$B$5,0)+1</f>
        <v>156</v>
      </c>
      <c r="C634" s="171">
        <f t="shared" si="9"/>
        <v>4</v>
      </c>
      <c r="D634" s="171" t="b">
        <f>LineærRegression_Valg[[#This Row],[Afhængig variabel ID]]&lt;&gt;LineærRegression_Valg[[#This Row],[Uafhængig variabel ID]]</f>
        <v>1</v>
      </c>
      <c r="E634" t="b">
        <f>LineærRegression_Valg[[#This Row],[Afhængig variabel ID]]&lt;=$B$5</f>
        <v>0</v>
      </c>
      <c r="F634" t="str" cm="1">
        <f t="array" ref="F634">IF(LineærRegression_Valg[[#This Row],[Indenfor range]],INDEX(DataTitel_liste,LineærRegression_Valg[[#This Row],[Afhængig variabel ID]]),INDEX(DataTitel_liste,1))</f>
        <v>Eksempel 1 (interval)</v>
      </c>
      <c r="G634" s="171" t="str" cm="1">
        <f t="array" ref="G634">IF(LineærRegression_Valg[[#This Row],[Indenfor range]],IF(LineærRegression_Valg[[#This Row],[Intet overlap]],INDEX(DataTitel_liste,LineærRegression_Valg[[#This Row],[Uafhængig variabel ID]]),INDEX(DataTitel_liste,IF(LineærRegression_Valg[[#This Row],[Afhængig variabel ID]]=1,2,1))),$B$7)</f>
        <v>Eksempel 2 (interval)</v>
      </c>
      <c r="H634" s="171">
        <f>_xlfn.AGGREGATE(2,5,LineærRegression_Valg[[#This Row],[Tabel ID]])</f>
        <v>1</v>
      </c>
    </row>
    <row r="635" spans="1:8" x14ac:dyDescent="0.2">
      <c r="A635">
        <f>ROW(LineærRegression_Valg[[#This Row],[Tabel ID]])-ROW(LineærRegression_Valg[[#Headers],[Tabel ID]])</f>
        <v>625</v>
      </c>
      <c r="B635" s="171">
        <f>ROUNDDOWN((LineærRegression_Valg[[#This Row],[Tabel ID]]-1)/$B$5,0)+1</f>
        <v>157</v>
      </c>
      <c r="C635" s="171">
        <f t="shared" si="9"/>
        <v>1</v>
      </c>
      <c r="D635" s="171" t="b">
        <f>LineærRegression_Valg[[#This Row],[Afhængig variabel ID]]&lt;&gt;LineærRegression_Valg[[#This Row],[Uafhængig variabel ID]]</f>
        <v>1</v>
      </c>
      <c r="E635" t="b">
        <f>LineærRegression_Valg[[#This Row],[Afhængig variabel ID]]&lt;=$B$5</f>
        <v>0</v>
      </c>
      <c r="F635" t="str" cm="1">
        <f t="array" ref="F635">IF(LineærRegression_Valg[[#This Row],[Indenfor range]],INDEX(DataTitel_liste,LineærRegression_Valg[[#This Row],[Afhængig variabel ID]]),INDEX(DataTitel_liste,1))</f>
        <v>Eksempel 1 (interval)</v>
      </c>
      <c r="G635" s="171" t="str" cm="1">
        <f t="array" ref="G635">IF(LineærRegression_Valg[[#This Row],[Indenfor range]],IF(LineærRegression_Valg[[#This Row],[Intet overlap]],INDEX(DataTitel_liste,LineærRegression_Valg[[#This Row],[Uafhængig variabel ID]]),INDEX(DataTitel_liste,IF(LineærRegression_Valg[[#This Row],[Afhængig variabel ID]]=1,2,1))),$B$7)</f>
        <v>Eksempel 2 (interval)</v>
      </c>
      <c r="H635" s="171">
        <f>_xlfn.AGGREGATE(2,5,LineærRegression_Valg[[#This Row],[Tabel ID]])</f>
        <v>1</v>
      </c>
    </row>
    <row r="636" spans="1:8" x14ac:dyDescent="0.2">
      <c r="A636">
        <f>ROW(LineærRegression_Valg[[#This Row],[Tabel ID]])-ROW(LineærRegression_Valg[[#Headers],[Tabel ID]])</f>
        <v>626</v>
      </c>
      <c r="B636" s="171">
        <f>ROUNDDOWN((LineærRegression_Valg[[#This Row],[Tabel ID]]-1)/$B$5,0)+1</f>
        <v>157</v>
      </c>
      <c r="C636" s="171">
        <f t="shared" si="9"/>
        <v>2</v>
      </c>
      <c r="D636" s="171" t="b">
        <f>LineærRegression_Valg[[#This Row],[Afhængig variabel ID]]&lt;&gt;LineærRegression_Valg[[#This Row],[Uafhængig variabel ID]]</f>
        <v>1</v>
      </c>
      <c r="E636" t="b">
        <f>LineærRegression_Valg[[#This Row],[Afhængig variabel ID]]&lt;=$B$5</f>
        <v>0</v>
      </c>
      <c r="F636" t="str" cm="1">
        <f t="array" ref="F636">IF(LineærRegression_Valg[[#This Row],[Indenfor range]],INDEX(DataTitel_liste,LineærRegression_Valg[[#This Row],[Afhængig variabel ID]]),INDEX(DataTitel_liste,1))</f>
        <v>Eksempel 1 (interval)</v>
      </c>
      <c r="G636" s="171" t="str" cm="1">
        <f t="array" ref="G636">IF(LineærRegression_Valg[[#This Row],[Indenfor range]],IF(LineærRegression_Valg[[#This Row],[Intet overlap]],INDEX(DataTitel_liste,LineærRegression_Valg[[#This Row],[Uafhængig variabel ID]]),INDEX(DataTitel_liste,IF(LineærRegression_Valg[[#This Row],[Afhængig variabel ID]]=1,2,1))),$B$7)</f>
        <v>Eksempel 2 (interval)</v>
      </c>
      <c r="H636" s="171">
        <f>_xlfn.AGGREGATE(2,5,LineærRegression_Valg[[#This Row],[Tabel ID]])</f>
        <v>1</v>
      </c>
    </row>
    <row r="637" spans="1:8" x14ac:dyDescent="0.2">
      <c r="A637">
        <f>ROW(LineærRegression_Valg[[#This Row],[Tabel ID]])-ROW(LineærRegression_Valg[[#Headers],[Tabel ID]])</f>
        <v>627</v>
      </c>
      <c r="B637" s="171">
        <f>ROUNDDOWN((LineærRegression_Valg[[#This Row],[Tabel ID]]-1)/$B$5,0)+1</f>
        <v>157</v>
      </c>
      <c r="C637" s="171">
        <f t="shared" si="9"/>
        <v>3</v>
      </c>
      <c r="D637" s="171" t="b">
        <f>LineærRegression_Valg[[#This Row],[Afhængig variabel ID]]&lt;&gt;LineærRegression_Valg[[#This Row],[Uafhængig variabel ID]]</f>
        <v>1</v>
      </c>
      <c r="E637" t="b">
        <f>LineærRegression_Valg[[#This Row],[Afhængig variabel ID]]&lt;=$B$5</f>
        <v>0</v>
      </c>
      <c r="F637" t="str" cm="1">
        <f t="array" ref="F637">IF(LineærRegression_Valg[[#This Row],[Indenfor range]],INDEX(DataTitel_liste,LineærRegression_Valg[[#This Row],[Afhængig variabel ID]]),INDEX(DataTitel_liste,1))</f>
        <v>Eksempel 1 (interval)</v>
      </c>
      <c r="G637" s="171" t="str" cm="1">
        <f t="array" ref="G637">IF(LineærRegression_Valg[[#This Row],[Indenfor range]],IF(LineærRegression_Valg[[#This Row],[Intet overlap]],INDEX(DataTitel_liste,LineærRegression_Valg[[#This Row],[Uafhængig variabel ID]]),INDEX(DataTitel_liste,IF(LineærRegression_Valg[[#This Row],[Afhængig variabel ID]]=1,2,1))),$B$7)</f>
        <v>Eksempel 2 (interval)</v>
      </c>
      <c r="H637" s="171">
        <f>_xlfn.AGGREGATE(2,5,LineærRegression_Valg[[#This Row],[Tabel ID]])</f>
        <v>1</v>
      </c>
    </row>
    <row r="638" spans="1:8" x14ac:dyDescent="0.2">
      <c r="A638">
        <f>ROW(LineærRegression_Valg[[#This Row],[Tabel ID]])-ROW(LineærRegression_Valg[[#Headers],[Tabel ID]])</f>
        <v>628</v>
      </c>
      <c r="B638" s="171">
        <f>ROUNDDOWN((LineærRegression_Valg[[#This Row],[Tabel ID]]-1)/$B$5,0)+1</f>
        <v>157</v>
      </c>
      <c r="C638" s="171">
        <f t="shared" si="9"/>
        <v>4</v>
      </c>
      <c r="D638" s="171" t="b">
        <f>LineærRegression_Valg[[#This Row],[Afhængig variabel ID]]&lt;&gt;LineærRegression_Valg[[#This Row],[Uafhængig variabel ID]]</f>
        <v>1</v>
      </c>
      <c r="E638" t="b">
        <f>LineærRegression_Valg[[#This Row],[Afhængig variabel ID]]&lt;=$B$5</f>
        <v>0</v>
      </c>
      <c r="F638" t="str" cm="1">
        <f t="array" ref="F638">IF(LineærRegression_Valg[[#This Row],[Indenfor range]],INDEX(DataTitel_liste,LineærRegression_Valg[[#This Row],[Afhængig variabel ID]]),INDEX(DataTitel_liste,1))</f>
        <v>Eksempel 1 (interval)</v>
      </c>
      <c r="G638" s="171" t="str" cm="1">
        <f t="array" ref="G638">IF(LineærRegression_Valg[[#This Row],[Indenfor range]],IF(LineærRegression_Valg[[#This Row],[Intet overlap]],INDEX(DataTitel_liste,LineærRegression_Valg[[#This Row],[Uafhængig variabel ID]]),INDEX(DataTitel_liste,IF(LineærRegression_Valg[[#This Row],[Afhængig variabel ID]]=1,2,1))),$B$7)</f>
        <v>Eksempel 2 (interval)</v>
      </c>
      <c r="H638" s="171">
        <f>_xlfn.AGGREGATE(2,5,LineærRegression_Valg[[#This Row],[Tabel ID]])</f>
        <v>1</v>
      </c>
    </row>
    <row r="639" spans="1:8" x14ac:dyDescent="0.2">
      <c r="A639">
        <f>ROW(LineærRegression_Valg[[#This Row],[Tabel ID]])-ROW(LineærRegression_Valg[[#Headers],[Tabel ID]])</f>
        <v>629</v>
      </c>
      <c r="B639" s="171">
        <f>ROUNDDOWN((LineærRegression_Valg[[#This Row],[Tabel ID]]-1)/$B$5,0)+1</f>
        <v>158</v>
      </c>
      <c r="C639" s="171">
        <f t="shared" si="9"/>
        <v>1</v>
      </c>
      <c r="D639" s="171" t="b">
        <f>LineærRegression_Valg[[#This Row],[Afhængig variabel ID]]&lt;&gt;LineærRegression_Valg[[#This Row],[Uafhængig variabel ID]]</f>
        <v>1</v>
      </c>
      <c r="E639" t="b">
        <f>LineærRegression_Valg[[#This Row],[Afhængig variabel ID]]&lt;=$B$5</f>
        <v>0</v>
      </c>
      <c r="F639" t="str" cm="1">
        <f t="array" ref="F639">IF(LineærRegression_Valg[[#This Row],[Indenfor range]],INDEX(DataTitel_liste,LineærRegression_Valg[[#This Row],[Afhængig variabel ID]]),INDEX(DataTitel_liste,1))</f>
        <v>Eksempel 1 (interval)</v>
      </c>
      <c r="G639" s="171" t="str" cm="1">
        <f t="array" ref="G639">IF(LineærRegression_Valg[[#This Row],[Indenfor range]],IF(LineærRegression_Valg[[#This Row],[Intet overlap]],INDEX(DataTitel_liste,LineærRegression_Valg[[#This Row],[Uafhængig variabel ID]]),INDEX(DataTitel_liste,IF(LineærRegression_Valg[[#This Row],[Afhængig variabel ID]]=1,2,1))),$B$7)</f>
        <v>Eksempel 2 (interval)</v>
      </c>
      <c r="H639" s="171">
        <f>_xlfn.AGGREGATE(2,5,LineærRegression_Valg[[#This Row],[Tabel ID]])</f>
        <v>1</v>
      </c>
    </row>
    <row r="640" spans="1:8" x14ac:dyDescent="0.2">
      <c r="A640">
        <f>ROW(LineærRegression_Valg[[#This Row],[Tabel ID]])-ROW(LineærRegression_Valg[[#Headers],[Tabel ID]])</f>
        <v>630</v>
      </c>
      <c r="B640" s="171">
        <f>ROUNDDOWN((LineærRegression_Valg[[#This Row],[Tabel ID]]-1)/$B$5,0)+1</f>
        <v>158</v>
      </c>
      <c r="C640" s="171">
        <f t="shared" si="9"/>
        <v>2</v>
      </c>
      <c r="D640" s="171" t="b">
        <f>LineærRegression_Valg[[#This Row],[Afhængig variabel ID]]&lt;&gt;LineærRegression_Valg[[#This Row],[Uafhængig variabel ID]]</f>
        <v>1</v>
      </c>
      <c r="E640" t="b">
        <f>LineærRegression_Valg[[#This Row],[Afhængig variabel ID]]&lt;=$B$5</f>
        <v>0</v>
      </c>
      <c r="F640" t="str" cm="1">
        <f t="array" ref="F640">IF(LineærRegression_Valg[[#This Row],[Indenfor range]],INDEX(DataTitel_liste,LineærRegression_Valg[[#This Row],[Afhængig variabel ID]]),INDEX(DataTitel_liste,1))</f>
        <v>Eksempel 1 (interval)</v>
      </c>
      <c r="G640" s="171" t="str" cm="1">
        <f t="array" ref="G640">IF(LineærRegression_Valg[[#This Row],[Indenfor range]],IF(LineærRegression_Valg[[#This Row],[Intet overlap]],INDEX(DataTitel_liste,LineærRegression_Valg[[#This Row],[Uafhængig variabel ID]]),INDEX(DataTitel_liste,IF(LineærRegression_Valg[[#This Row],[Afhængig variabel ID]]=1,2,1))),$B$7)</f>
        <v>Eksempel 2 (interval)</v>
      </c>
      <c r="H640" s="171">
        <f>_xlfn.AGGREGATE(2,5,LineærRegression_Valg[[#This Row],[Tabel ID]])</f>
        <v>1</v>
      </c>
    </row>
    <row r="641" spans="1:8" x14ac:dyDescent="0.2">
      <c r="A641">
        <f>ROW(LineærRegression_Valg[[#This Row],[Tabel ID]])-ROW(LineærRegression_Valg[[#Headers],[Tabel ID]])</f>
        <v>631</v>
      </c>
      <c r="B641" s="171">
        <f>ROUNDDOWN((LineærRegression_Valg[[#This Row],[Tabel ID]]-1)/$B$5,0)+1</f>
        <v>158</v>
      </c>
      <c r="C641" s="171">
        <f t="shared" si="9"/>
        <v>3</v>
      </c>
      <c r="D641" s="171" t="b">
        <f>LineærRegression_Valg[[#This Row],[Afhængig variabel ID]]&lt;&gt;LineærRegression_Valg[[#This Row],[Uafhængig variabel ID]]</f>
        <v>1</v>
      </c>
      <c r="E641" t="b">
        <f>LineærRegression_Valg[[#This Row],[Afhængig variabel ID]]&lt;=$B$5</f>
        <v>0</v>
      </c>
      <c r="F641" t="str" cm="1">
        <f t="array" ref="F641">IF(LineærRegression_Valg[[#This Row],[Indenfor range]],INDEX(DataTitel_liste,LineærRegression_Valg[[#This Row],[Afhængig variabel ID]]),INDEX(DataTitel_liste,1))</f>
        <v>Eksempel 1 (interval)</v>
      </c>
      <c r="G641" s="171" t="str" cm="1">
        <f t="array" ref="G641">IF(LineærRegression_Valg[[#This Row],[Indenfor range]],IF(LineærRegression_Valg[[#This Row],[Intet overlap]],INDEX(DataTitel_liste,LineærRegression_Valg[[#This Row],[Uafhængig variabel ID]]),INDEX(DataTitel_liste,IF(LineærRegression_Valg[[#This Row],[Afhængig variabel ID]]=1,2,1))),$B$7)</f>
        <v>Eksempel 2 (interval)</v>
      </c>
      <c r="H641" s="171">
        <f>_xlfn.AGGREGATE(2,5,LineærRegression_Valg[[#This Row],[Tabel ID]])</f>
        <v>1</v>
      </c>
    </row>
    <row r="642" spans="1:8" x14ac:dyDescent="0.2">
      <c r="A642">
        <f>ROW(LineærRegression_Valg[[#This Row],[Tabel ID]])-ROW(LineærRegression_Valg[[#Headers],[Tabel ID]])</f>
        <v>632</v>
      </c>
      <c r="B642" s="171">
        <f>ROUNDDOWN((LineærRegression_Valg[[#This Row],[Tabel ID]]-1)/$B$5,0)+1</f>
        <v>158</v>
      </c>
      <c r="C642" s="171">
        <f t="shared" si="9"/>
        <v>4</v>
      </c>
      <c r="D642" s="171" t="b">
        <f>LineærRegression_Valg[[#This Row],[Afhængig variabel ID]]&lt;&gt;LineærRegression_Valg[[#This Row],[Uafhængig variabel ID]]</f>
        <v>1</v>
      </c>
      <c r="E642" t="b">
        <f>LineærRegression_Valg[[#This Row],[Afhængig variabel ID]]&lt;=$B$5</f>
        <v>0</v>
      </c>
      <c r="F642" t="str" cm="1">
        <f t="array" ref="F642">IF(LineærRegression_Valg[[#This Row],[Indenfor range]],INDEX(DataTitel_liste,LineærRegression_Valg[[#This Row],[Afhængig variabel ID]]),INDEX(DataTitel_liste,1))</f>
        <v>Eksempel 1 (interval)</v>
      </c>
      <c r="G642" s="171" t="str" cm="1">
        <f t="array" ref="G642">IF(LineærRegression_Valg[[#This Row],[Indenfor range]],IF(LineærRegression_Valg[[#This Row],[Intet overlap]],INDEX(DataTitel_liste,LineærRegression_Valg[[#This Row],[Uafhængig variabel ID]]),INDEX(DataTitel_liste,IF(LineærRegression_Valg[[#This Row],[Afhængig variabel ID]]=1,2,1))),$B$7)</f>
        <v>Eksempel 2 (interval)</v>
      </c>
      <c r="H642" s="171">
        <f>_xlfn.AGGREGATE(2,5,LineærRegression_Valg[[#This Row],[Tabel ID]])</f>
        <v>1</v>
      </c>
    </row>
    <row r="643" spans="1:8" x14ac:dyDescent="0.2">
      <c r="A643">
        <f>ROW(LineærRegression_Valg[[#This Row],[Tabel ID]])-ROW(LineærRegression_Valg[[#Headers],[Tabel ID]])</f>
        <v>633</v>
      </c>
      <c r="B643" s="171">
        <f>ROUNDDOWN((LineærRegression_Valg[[#This Row],[Tabel ID]]-1)/$B$5,0)+1</f>
        <v>159</v>
      </c>
      <c r="C643" s="171">
        <f t="shared" si="9"/>
        <v>1</v>
      </c>
      <c r="D643" s="171" t="b">
        <f>LineærRegression_Valg[[#This Row],[Afhængig variabel ID]]&lt;&gt;LineærRegression_Valg[[#This Row],[Uafhængig variabel ID]]</f>
        <v>1</v>
      </c>
      <c r="E643" t="b">
        <f>LineærRegression_Valg[[#This Row],[Afhængig variabel ID]]&lt;=$B$5</f>
        <v>0</v>
      </c>
      <c r="F643" t="str" cm="1">
        <f t="array" ref="F643">IF(LineærRegression_Valg[[#This Row],[Indenfor range]],INDEX(DataTitel_liste,LineærRegression_Valg[[#This Row],[Afhængig variabel ID]]),INDEX(DataTitel_liste,1))</f>
        <v>Eksempel 1 (interval)</v>
      </c>
      <c r="G643" s="171" t="str" cm="1">
        <f t="array" ref="G643">IF(LineærRegression_Valg[[#This Row],[Indenfor range]],IF(LineærRegression_Valg[[#This Row],[Intet overlap]],INDEX(DataTitel_liste,LineærRegression_Valg[[#This Row],[Uafhængig variabel ID]]),INDEX(DataTitel_liste,IF(LineærRegression_Valg[[#This Row],[Afhængig variabel ID]]=1,2,1))),$B$7)</f>
        <v>Eksempel 2 (interval)</v>
      </c>
      <c r="H643" s="171">
        <f>_xlfn.AGGREGATE(2,5,LineærRegression_Valg[[#This Row],[Tabel ID]])</f>
        <v>1</v>
      </c>
    </row>
    <row r="644" spans="1:8" x14ac:dyDescent="0.2">
      <c r="A644">
        <f>ROW(LineærRegression_Valg[[#This Row],[Tabel ID]])-ROW(LineærRegression_Valg[[#Headers],[Tabel ID]])</f>
        <v>634</v>
      </c>
      <c r="B644" s="171">
        <f>ROUNDDOWN((LineærRegression_Valg[[#This Row],[Tabel ID]]-1)/$B$5,0)+1</f>
        <v>159</v>
      </c>
      <c r="C644" s="171">
        <f t="shared" si="9"/>
        <v>2</v>
      </c>
      <c r="D644" s="171" t="b">
        <f>LineærRegression_Valg[[#This Row],[Afhængig variabel ID]]&lt;&gt;LineærRegression_Valg[[#This Row],[Uafhængig variabel ID]]</f>
        <v>1</v>
      </c>
      <c r="E644" t="b">
        <f>LineærRegression_Valg[[#This Row],[Afhængig variabel ID]]&lt;=$B$5</f>
        <v>0</v>
      </c>
      <c r="F644" t="str" cm="1">
        <f t="array" ref="F644">IF(LineærRegression_Valg[[#This Row],[Indenfor range]],INDEX(DataTitel_liste,LineærRegression_Valg[[#This Row],[Afhængig variabel ID]]),INDEX(DataTitel_liste,1))</f>
        <v>Eksempel 1 (interval)</v>
      </c>
      <c r="G644" s="171" t="str" cm="1">
        <f t="array" ref="G644">IF(LineærRegression_Valg[[#This Row],[Indenfor range]],IF(LineærRegression_Valg[[#This Row],[Intet overlap]],INDEX(DataTitel_liste,LineærRegression_Valg[[#This Row],[Uafhængig variabel ID]]),INDEX(DataTitel_liste,IF(LineærRegression_Valg[[#This Row],[Afhængig variabel ID]]=1,2,1))),$B$7)</f>
        <v>Eksempel 2 (interval)</v>
      </c>
      <c r="H644" s="171">
        <f>_xlfn.AGGREGATE(2,5,LineærRegression_Valg[[#This Row],[Tabel ID]])</f>
        <v>1</v>
      </c>
    </row>
    <row r="645" spans="1:8" x14ac:dyDescent="0.2">
      <c r="A645">
        <f>ROW(LineærRegression_Valg[[#This Row],[Tabel ID]])-ROW(LineærRegression_Valg[[#Headers],[Tabel ID]])</f>
        <v>635</v>
      </c>
      <c r="B645" s="171">
        <f>ROUNDDOWN((LineærRegression_Valg[[#This Row],[Tabel ID]]-1)/$B$5,0)+1</f>
        <v>159</v>
      </c>
      <c r="C645" s="171">
        <f t="shared" si="9"/>
        <v>3</v>
      </c>
      <c r="D645" s="171" t="b">
        <f>LineærRegression_Valg[[#This Row],[Afhængig variabel ID]]&lt;&gt;LineærRegression_Valg[[#This Row],[Uafhængig variabel ID]]</f>
        <v>1</v>
      </c>
      <c r="E645" t="b">
        <f>LineærRegression_Valg[[#This Row],[Afhængig variabel ID]]&lt;=$B$5</f>
        <v>0</v>
      </c>
      <c r="F645" t="str" cm="1">
        <f t="array" ref="F645">IF(LineærRegression_Valg[[#This Row],[Indenfor range]],INDEX(DataTitel_liste,LineærRegression_Valg[[#This Row],[Afhængig variabel ID]]),INDEX(DataTitel_liste,1))</f>
        <v>Eksempel 1 (interval)</v>
      </c>
      <c r="G645" s="171" t="str" cm="1">
        <f t="array" ref="G645">IF(LineærRegression_Valg[[#This Row],[Indenfor range]],IF(LineærRegression_Valg[[#This Row],[Intet overlap]],INDEX(DataTitel_liste,LineærRegression_Valg[[#This Row],[Uafhængig variabel ID]]),INDEX(DataTitel_liste,IF(LineærRegression_Valg[[#This Row],[Afhængig variabel ID]]=1,2,1))),$B$7)</f>
        <v>Eksempel 2 (interval)</v>
      </c>
      <c r="H645" s="171">
        <f>_xlfn.AGGREGATE(2,5,LineærRegression_Valg[[#This Row],[Tabel ID]])</f>
        <v>1</v>
      </c>
    </row>
    <row r="646" spans="1:8" x14ac:dyDescent="0.2">
      <c r="A646">
        <f>ROW(LineærRegression_Valg[[#This Row],[Tabel ID]])-ROW(LineærRegression_Valg[[#Headers],[Tabel ID]])</f>
        <v>636</v>
      </c>
      <c r="B646" s="171">
        <f>ROUNDDOWN((LineærRegression_Valg[[#This Row],[Tabel ID]]-1)/$B$5,0)+1</f>
        <v>159</v>
      </c>
      <c r="C646" s="171">
        <f t="shared" si="9"/>
        <v>4</v>
      </c>
      <c r="D646" s="171" t="b">
        <f>LineærRegression_Valg[[#This Row],[Afhængig variabel ID]]&lt;&gt;LineærRegression_Valg[[#This Row],[Uafhængig variabel ID]]</f>
        <v>1</v>
      </c>
      <c r="E646" t="b">
        <f>LineærRegression_Valg[[#This Row],[Afhængig variabel ID]]&lt;=$B$5</f>
        <v>0</v>
      </c>
      <c r="F646" t="str" cm="1">
        <f t="array" ref="F646">IF(LineærRegression_Valg[[#This Row],[Indenfor range]],INDEX(DataTitel_liste,LineærRegression_Valg[[#This Row],[Afhængig variabel ID]]),INDEX(DataTitel_liste,1))</f>
        <v>Eksempel 1 (interval)</v>
      </c>
      <c r="G646" s="171" t="str" cm="1">
        <f t="array" ref="G646">IF(LineærRegression_Valg[[#This Row],[Indenfor range]],IF(LineærRegression_Valg[[#This Row],[Intet overlap]],INDEX(DataTitel_liste,LineærRegression_Valg[[#This Row],[Uafhængig variabel ID]]),INDEX(DataTitel_liste,IF(LineærRegression_Valg[[#This Row],[Afhængig variabel ID]]=1,2,1))),$B$7)</f>
        <v>Eksempel 2 (interval)</v>
      </c>
      <c r="H646" s="171">
        <f>_xlfn.AGGREGATE(2,5,LineærRegression_Valg[[#This Row],[Tabel ID]])</f>
        <v>1</v>
      </c>
    </row>
    <row r="647" spans="1:8" x14ac:dyDescent="0.2">
      <c r="A647">
        <f>ROW(LineærRegression_Valg[[#This Row],[Tabel ID]])-ROW(LineærRegression_Valg[[#Headers],[Tabel ID]])</f>
        <v>637</v>
      </c>
      <c r="B647" s="171">
        <f>ROUNDDOWN((LineærRegression_Valg[[#This Row],[Tabel ID]]-1)/$B$5,0)+1</f>
        <v>160</v>
      </c>
      <c r="C647" s="171">
        <f t="shared" si="9"/>
        <v>1</v>
      </c>
      <c r="D647" s="171" t="b">
        <f>LineærRegression_Valg[[#This Row],[Afhængig variabel ID]]&lt;&gt;LineærRegression_Valg[[#This Row],[Uafhængig variabel ID]]</f>
        <v>1</v>
      </c>
      <c r="E647" t="b">
        <f>LineærRegression_Valg[[#This Row],[Afhængig variabel ID]]&lt;=$B$5</f>
        <v>0</v>
      </c>
      <c r="F647" t="str" cm="1">
        <f t="array" ref="F647">IF(LineærRegression_Valg[[#This Row],[Indenfor range]],INDEX(DataTitel_liste,LineærRegression_Valg[[#This Row],[Afhængig variabel ID]]),INDEX(DataTitel_liste,1))</f>
        <v>Eksempel 1 (interval)</v>
      </c>
      <c r="G647" s="171" t="str" cm="1">
        <f t="array" ref="G647">IF(LineærRegression_Valg[[#This Row],[Indenfor range]],IF(LineærRegression_Valg[[#This Row],[Intet overlap]],INDEX(DataTitel_liste,LineærRegression_Valg[[#This Row],[Uafhængig variabel ID]]),INDEX(DataTitel_liste,IF(LineærRegression_Valg[[#This Row],[Afhængig variabel ID]]=1,2,1))),$B$7)</f>
        <v>Eksempel 2 (interval)</v>
      </c>
      <c r="H647" s="171">
        <f>_xlfn.AGGREGATE(2,5,LineærRegression_Valg[[#This Row],[Tabel ID]])</f>
        <v>1</v>
      </c>
    </row>
    <row r="648" spans="1:8" x14ac:dyDescent="0.2">
      <c r="A648">
        <f>ROW(LineærRegression_Valg[[#This Row],[Tabel ID]])-ROW(LineærRegression_Valg[[#Headers],[Tabel ID]])</f>
        <v>638</v>
      </c>
      <c r="B648" s="171">
        <f>ROUNDDOWN((LineærRegression_Valg[[#This Row],[Tabel ID]]-1)/$B$5,0)+1</f>
        <v>160</v>
      </c>
      <c r="C648" s="171">
        <f t="shared" si="9"/>
        <v>2</v>
      </c>
      <c r="D648" s="171" t="b">
        <f>LineærRegression_Valg[[#This Row],[Afhængig variabel ID]]&lt;&gt;LineærRegression_Valg[[#This Row],[Uafhængig variabel ID]]</f>
        <v>1</v>
      </c>
      <c r="E648" t="b">
        <f>LineærRegression_Valg[[#This Row],[Afhængig variabel ID]]&lt;=$B$5</f>
        <v>0</v>
      </c>
      <c r="F648" t="str" cm="1">
        <f t="array" ref="F648">IF(LineærRegression_Valg[[#This Row],[Indenfor range]],INDEX(DataTitel_liste,LineærRegression_Valg[[#This Row],[Afhængig variabel ID]]),INDEX(DataTitel_liste,1))</f>
        <v>Eksempel 1 (interval)</v>
      </c>
      <c r="G648" s="171" t="str" cm="1">
        <f t="array" ref="G648">IF(LineærRegression_Valg[[#This Row],[Indenfor range]],IF(LineærRegression_Valg[[#This Row],[Intet overlap]],INDEX(DataTitel_liste,LineærRegression_Valg[[#This Row],[Uafhængig variabel ID]]),INDEX(DataTitel_liste,IF(LineærRegression_Valg[[#This Row],[Afhængig variabel ID]]=1,2,1))),$B$7)</f>
        <v>Eksempel 2 (interval)</v>
      </c>
      <c r="H648" s="171">
        <f>_xlfn.AGGREGATE(2,5,LineærRegression_Valg[[#This Row],[Tabel ID]])</f>
        <v>1</v>
      </c>
    </row>
    <row r="649" spans="1:8" x14ac:dyDescent="0.2">
      <c r="A649">
        <f>ROW(LineærRegression_Valg[[#This Row],[Tabel ID]])-ROW(LineærRegression_Valg[[#Headers],[Tabel ID]])</f>
        <v>639</v>
      </c>
      <c r="B649" s="171">
        <f>ROUNDDOWN((LineærRegression_Valg[[#This Row],[Tabel ID]]-1)/$B$5,0)+1</f>
        <v>160</v>
      </c>
      <c r="C649" s="171">
        <f t="shared" si="9"/>
        <v>3</v>
      </c>
      <c r="D649" s="171" t="b">
        <f>LineærRegression_Valg[[#This Row],[Afhængig variabel ID]]&lt;&gt;LineærRegression_Valg[[#This Row],[Uafhængig variabel ID]]</f>
        <v>1</v>
      </c>
      <c r="E649" t="b">
        <f>LineærRegression_Valg[[#This Row],[Afhængig variabel ID]]&lt;=$B$5</f>
        <v>0</v>
      </c>
      <c r="F649" t="str" cm="1">
        <f t="array" ref="F649">IF(LineærRegression_Valg[[#This Row],[Indenfor range]],INDEX(DataTitel_liste,LineærRegression_Valg[[#This Row],[Afhængig variabel ID]]),INDEX(DataTitel_liste,1))</f>
        <v>Eksempel 1 (interval)</v>
      </c>
      <c r="G649" s="171" t="str" cm="1">
        <f t="array" ref="G649">IF(LineærRegression_Valg[[#This Row],[Indenfor range]],IF(LineærRegression_Valg[[#This Row],[Intet overlap]],INDEX(DataTitel_liste,LineærRegression_Valg[[#This Row],[Uafhængig variabel ID]]),INDEX(DataTitel_liste,IF(LineærRegression_Valg[[#This Row],[Afhængig variabel ID]]=1,2,1))),$B$7)</f>
        <v>Eksempel 2 (interval)</v>
      </c>
      <c r="H649" s="171">
        <f>_xlfn.AGGREGATE(2,5,LineærRegression_Valg[[#This Row],[Tabel ID]])</f>
        <v>1</v>
      </c>
    </row>
    <row r="650" spans="1:8" x14ac:dyDescent="0.2">
      <c r="A650">
        <f>ROW(LineærRegression_Valg[[#This Row],[Tabel ID]])-ROW(LineærRegression_Valg[[#Headers],[Tabel ID]])</f>
        <v>640</v>
      </c>
      <c r="B650" s="171">
        <f>ROUNDDOWN((LineærRegression_Valg[[#This Row],[Tabel ID]]-1)/$B$5,0)+1</f>
        <v>160</v>
      </c>
      <c r="C650" s="171">
        <f t="shared" si="9"/>
        <v>4</v>
      </c>
      <c r="D650" s="171" t="b">
        <f>LineærRegression_Valg[[#This Row],[Afhængig variabel ID]]&lt;&gt;LineærRegression_Valg[[#This Row],[Uafhængig variabel ID]]</f>
        <v>1</v>
      </c>
      <c r="E650" t="b">
        <f>LineærRegression_Valg[[#This Row],[Afhængig variabel ID]]&lt;=$B$5</f>
        <v>0</v>
      </c>
      <c r="F650" t="str" cm="1">
        <f t="array" ref="F650">IF(LineærRegression_Valg[[#This Row],[Indenfor range]],INDEX(DataTitel_liste,LineærRegression_Valg[[#This Row],[Afhængig variabel ID]]),INDEX(DataTitel_liste,1))</f>
        <v>Eksempel 1 (interval)</v>
      </c>
      <c r="G650" s="171" t="str" cm="1">
        <f t="array" ref="G650">IF(LineærRegression_Valg[[#This Row],[Indenfor range]],IF(LineærRegression_Valg[[#This Row],[Intet overlap]],INDEX(DataTitel_liste,LineærRegression_Valg[[#This Row],[Uafhængig variabel ID]]),INDEX(DataTitel_liste,IF(LineærRegression_Valg[[#This Row],[Afhængig variabel ID]]=1,2,1))),$B$7)</f>
        <v>Eksempel 2 (interval)</v>
      </c>
      <c r="H650" s="171">
        <f>_xlfn.AGGREGATE(2,5,LineærRegression_Valg[[#This Row],[Tabel ID]])</f>
        <v>1</v>
      </c>
    </row>
    <row r="651" spans="1:8" x14ac:dyDescent="0.2">
      <c r="A651">
        <f>ROW(LineærRegression_Valg[[#This Row],[Tabel ID]])-ROW(LineærRegression_Valg[[#Headers],[Tabel ID]])</f>
        <v>641</v>
      </c>
      <c r="B651" s="171">
        <f>ROUNDDOWN((LineærRegression_Valg[[#This Row],[Tabel ID]]-1)/$B$5,0)+1</f>
        <v>161</v>
      </c>
      <c r="C651" s="171">
        <f t="shared" ref="C651:C714" si="10">MOD(A651-1,$B$5)+1</f>
        <v>1</v>
      </c>
      <c r="D651" s="171" t="b">
        <f>LineærRegression_Valg[[#This Row],[Afhængig variabel ID]]&lt;&gt;LineærRegression_Valg[[#This Row],[Uafhængig variabel ID]]</f>
        <v>1</v>
      </c>
      <c r="E651" t="b">
        <f>LineærRegression_Valg[[#This Row],[Afhængig variabel ID]]&lt;=$B$5</f>
        <v>0</v>
      </c>
      <c r="F651" t="str" cm="1">
        <f t="array" ref="F651">IF(LineærRegression_Valg[[#This Row],[Indenfor range]],INDEX(DataTitel_liste,LineærRegression_Valg[[#This Row],[Afhængig variabel ID]]),INDEX(DataTitel_liste,1))</f>
        <v>Eksempel 1 (interval)</v>
      </c>
      <c r="G651" s="171" t="str" cm="1">
        <f t="array" ref="G651">IF(LineærRegression_Valg[[#This Row],[Indenfor range]],IF(LineærRegression_Valg[[#This Row],[Intet overlap]],INDEX(DataTitel_liste,LineærRegression_Valg[[#This Row],[Uafhængig variabel ID]]),INDEX(DataTitel_liste,IF(LineærRegression_Valg[[#This Row],[Afhængig variabel ID]]=1,2,1))),$B$7)</f>
        <v>Eksempel 2 (interval)</v>
      </c>
      <c r="H651" s="171">
        <f>_xlfn.AGGREGATE(2,5,LineærRegression_Valg[[#This Row],[Tabel ID]])</f>
        <v>1</v>
      </c>
    </row>
    <row r="652" spans="1:8" x14ac:dyDescent="0.2">
      <c r="A652">
        <f>ROW(LineærRegression_Valg[[#This Row],[Tabel ID]])-ROW(LineærRegression_Valg[[#Headers],[Tabel ID]])</f>
        <v>642</v>
      </c>
      <c r="B652" s="171">
        <f>ROUNDDOWN((LineærRegression_Valg[[#This Row],[Tabel ID]]-1)/$B$5,0)+1</f>
        <v>161</v>
      </c>
      <c r="C652" s="171">
        <f t="shared" si="10"/>
        <v>2</v>
      </c>
      <c r="D652" s="171" t="b">
        <f>LineærRegression_Valg[[#This Row],[Afhængig variabel ID]]&lt;&gt;LineærRegression_Valg[[#This Row],[Uafhængig variabel ID]]</f>
        <v>1</v>
      </c>
      <c r="E652" t="b">
        <f>LineærRegression_Valg[[#This Row],[Afhængig variabel ID]]&lt;=$B$5</f>
        <v>0</v>
      </c>
      <c r="F652" t="str" cm="1">
        <f t="array" ref="F652">IF(LineærRegression_Valg[[#This Row],[Indenfor range]],INDEX(DataTitel_liste,LineærRegression_Valg[[#This Row],[Afhængig variabel ID]]),INDEX(DataTitel_liste,1))</f>
        <v>Eksempel 1 (interval)</v>
      </c>
      <c r="G652" s="171" t="str" cm="1">
        <f t="array" ref="G652">IF(LineærRegression_Valg[[#This Row],[Indenfor range]],IF(LineærRegression_Valg[[#This Row],[Intet overlap]],INDEX(DataTitel_liste,LineærRegression_Valg[[#This Row],[Uafhængig variabel ID]]),INDEX(DataTitel_liste,IF(LineærRegression_Valg[[#This Row],[Afhængig variabel ID]]=1,2,1))),$B$7)</f>
        <v>Eksempel 2 (interval)</v>
      </c>
      <c r="H652" s="171">
        <f>_xlfn.AGGREGATE(2,5,LineærRegression_Valg[[#This Row],[Tabel ID]])</f>
        <v>1</v>
      </c>
    </row>
    <row r="653" spans="1:8" x14ac:dyDescent="0.2">
      <c r="A653">
        <f>ROW(LineærRegression_Valg[[#This Row],[Tabel ID]])-ROW(LineærRegression_Valg[[#Headers],[Tabel ID]])</f>
        <v>643</v>
      </c>
      <c r="B653" s="171">
        <f>ROUNDDOWN((LineærRegression_Valg[[#This Row],[Tabel ID]]-1)/$B$5,0)+1</f>
        <v>161</v>
      </c>
      <c r="C653" s="171">
        <f t="shared" si="10"/>
        <v>3</v>
      </c>
      <c r="D653" s="171" t="b">
        <f>LineærRegression_Valg[[#This Row],[Afhængig variabel ID]]&lt;&gt;LineærRegression_Valg[[#This Row],[Uafhængig variabel ID]]</f>
        <v>1</v>
      </c>
      <c r="E653" t="b">
        <f>LineærRegression_Valg[[#This Row],[Afhængig variabel ID]]&lt;=$B$5</f>
        <v>0</v>
      </c>
      <c r="F653" t="str" cm="1">
        <f t="array" ref="F653">IF(LineærRegression_Valg[[#This Row],[Indenfor range]],INDEX(DataTitel_liste,LineærRegression_Valg[[#This Row],[Afhængig variabel ID]]),INDEX(DataTitel_liste,1))</f>
        <v>Eksempel 1 (interval)</v>
      </c>
      <c r="G653" s="171" t="str" cm="1">
        <f t="array" ref="G653">IF(LineærRegression_Valg[[#This Row],[Indenfor range]],IF(LineærRegression_Valg[[#This Row],[Intet overlap]],INDEX(DataTitel_liste,LineærRegression_Valg[[#This Row],[Uafhængig variabel ID]]),INDEX(DataTitel_liste,IF(LineærRegression_Valg[[#This Row],[Afhængig variabel ID]]=1,2,1))),$B$7)</f>
        <v>Eksempel 2 (interval)</v>
      </c>
      <c r="H653" s="171">
        <f>_xlfn.AGGREGATE(2,5,LineærRegression_Valg[[#This Row],[Tabel ID]])</f>
        <v>1</v>
      </c>
    </row>
    <row r="654" spans="1:8" x14ac:dyDescent="0.2">
      <c r="A654">
        <f>ROW(LineærRegression_Valg[[#This Row],[Tabel ID]])-ROW(LineærRegression_Valg[[#Headers],[Tabel ID]])</f>
        <v>644</v>
      </c>
      <c r="B654" s="171">
        <f>ROUNDDOWN((LineærRegression_Valg[[#This Row],[Tabel ID]]-1)/$B$5,0)+1</f>
        <v>161</v>
      </c>
      <c r="C654" s="171">
        <f t="shared" si="10"/>
        <v>4</v>
      </c>
      <c r="D654" s="171" t="b">
        <f>LineærRegression_Valg[[#This Row],[Afhængig variabel ID]]&lt;&gt;LineærRegression_Valg[[#This Row],[Uafhængig variabel ID]]</f>
        <v>1</v>
      </c>
      <c r="E654" t="b">
        <f>LineærRegression_Valg[[#This Row],[Afhængig variabel ID]]&lt;=$B$5</f>
        <v>0</v>
      </c>
      <c r="F654" t="str" cm="1">
        <f t="array" ref="F654">IF(LineærRegression_Valg[[#This Row],[Indenfor range]],INDEX(DataTitel_liste,LineærRegression_Valg[[#This Row],[Afhængig variabel ID]]),INDEX(DataTitel_liste,1))</f>
        <v>Eksempel 1 (interval)</v>
      </c>
      <c r="G654" s="171" t="str" cm="1">
        <f t="array" ref="G654">IF(LineærRegression_Valg[[#This Row],[Indenfor range]],IF(LineærRegression_Valg[[#This Row],[Intet overlap]],INDEX(DataTitel_liste,LineærRegression_Valg[[#This Row],[Uafhængig variabel ID]]),INDEX(DataTitel_liste,IF(LineærRegression_Valg[[#This Row],[Afhængig variabel ID]]=1,2,1))),$B$7)</f>
        <v>Eksempel 2 (interval)</v>
      </c>
      <c r="H654" s="171">
        <f>_xlfn.AGGREGATE(2,5,LineærRegression_Valg[[#This Row],[Tabel ID]])</f>
        <v>1</v>
      </c>
    </row>
    <row r="655" spans="1:8" x14ac:dyDescent="0.2">
      <c r="A655">
        <f>ROW(LineærRegression_Valg[[#This Row],[Tabel ID]])-ROW(LineærRegression_Valg[[#Headers],[Tabel ID]])</f>
        <v>645</v>
      </c>
      <c r="B655" s="171">
        <f>ROUNDDOWN((LineærRegression_Valg[[#This Row],[Tabel ID]]-1)/$B$5,0)+1</f>
        <v>162</v>
      </c>
      <c r="C655" s="171">
        <f t="shared" si="10"/>
        <v>1</v>
      </c>
      <c r="D655" s="171" t="b">
        <f>LineærRegression_Valg[[#This Row],[Afhængig variabel ID]]&lt;&gt;LineærRegression_Valg[[#This Row],[Uafhængig variabel ID]]</f>
        <v>1</v>
      </c>
      <c r="E655" t="b">
        <f>LineærRegression_Valg[[#This Row],[Afhængig variabel ID]]&lt;=$B$5</f>
        <v>0</v>
      </c>
      <c r="F655" t="str" cm="1">
        <f t="array" ref="F655">IF(LineærRegression_Valg[[#This Row],[Indenfor range]],INDEX(DataTitel_liste,LineærRegression_Valg[[#This Row],[Afhængig variabel ID]]),INDEX(DataTitel_liste,1))</f>
        <v>Eksempel 1 (interval)</v>
      </c>
      <c r="G655" s="171" t="str" cm="1">
        <f t="array" ref="G655">IF(LineærRegression_Valg[[#This Row],[Indenfor range]],IF(LineærRegression_Valg[[#This Row],[Intet overlap]],INDEX(DataTitel_liste,LineærRegression_Valg[[#This Row],[Uafhængig variabel ID]]),INDEX(DataTitel_liste,IF(LineærRegression_Valg[[#This Row],[Afhængig variabel ID]]=1,2,1))),$B$7)</f>
        <v>Eksempel 2 (interval)</v>
      </c>
      <c r="H655" s="171">
        <f>_xlfn.AGGREGATE(2,5,LineærRegression_Valg[[#This Row],[Tabel ID]])</f>
        <v>1</v>
      </c>
    </row>
    <row r="656" spans="1:8" x14ac:dyDescent="0.2">
      <c r="A656">
        <f>ROW(LineærRegression_Valg[[#This Row],[Tabel ID]])-ROW(LineærRegression_Valg[[#Headers],[Tabel ID]])</f>
        <v>646</v>
      </c>
      <c r="B656" s="171">
        <f>ROUNDDOWN((LineærRegression_Valg[[#This Row],[Tabel ID]]-1)/$B$5,0)+1</f>
        <v>162</v>
      </c>
      <c r="C656" s="171">
        <f t="shared" si="10"/>
        <v>2</v>
      </c>
      <c r="D656" s="171" t="b">
        <f>LineærRegression_Valg[[#This Row],[Afhængig variabel ID]]&lt;&gt;LineærRegression_Valg[[#This Row],[Uafhængig variabel ID]]</f>
        <v>1</v>
      </c>
      <c r="E656" t="b">
        <f>LineærRegression_Valg[[#This Row],[Afhængig variabel ID]]&lt;=$B$5</f>
        <v>0</v>
      </c>
      <c r="F656" t="str" cm="1">
        <f t="array" ref="F656">IF(LineærRegression_Valg[[#This Row],[Indenfor range]],INDEX(DataTitel_liste,LineærRegression_Valg[[#This Row],[Afhængig variabel ID]]),INDEX(DataTitel_liste,1))</f>
        <v>Eksempel 1 (interval)</v>
      </c>
      <c r="G656" s="171" t="str" cm="1">
        <f t="array" ref="G656">IF(LineærRegression_Valg[[#This Row],[Indenfor range]],IF(LineærRegression_Valg[[#This Row],[Intet overlap]],INDEX(DataTitel_liste,LineærRegression_Valg[[#This Row],[Uafhængig variabel ID]]),INDEX(DataTitel_liste,IF(LineærRegression_Valg[[#This Row],[Afhængig variabel ID]]=1,2,1))),$B$7)</f>
        <v>Eksempel 2 (interval)</v>
      </c>
      <c r="H656" s="171">
        <f>_xlfn.AGGREGATE(2,5,LineærRegression_Valg[[#This Row],[Tabel ID]])</f>
        <v>1</v>
      </c>
    </row>
    <row r="657" spans="1:8" x14ac:dyDescent="0.2">
      <c r="A657">
        <f>ROW(LineærRegression_Valg[[#This Row],[Tabel ID]])-ROW(LineærRegression_Valg[[#Headers],[Tabel ID]])</f>
        <v>647</v>
      </c>
      <c r="B657" s="171">
        <f>ROUNDDOWN((LineærRegression_Valg[[#This Row],[Tabel ID]]-1)/$B$5,0)+1</f>
        <v>162</v>
      </c>
      <c r="C657" s="171">
        <f t="shared" si="10"/>
        <v>3</v>
      </c>
      <c r="D657" s="171" t="b">
        <f>LineærRegression_Valg[[#This Row],[Afhængig variabel ID]]&lt;&gt;LineærRegression_Valg[[#This Row],[Uafhængig variabel ID]]</f>
        <v>1</v>
      </c>
      <c r="E657" t="b">
        <f>LineærRegression_Valg[[#This Row],[Afhængig variabel ID]]&lt;=$B$5</f>
        <v>0</v>
      </c>
      <c r="F657" t="str" cm="1">
        <f t="array" ref="F657">IF(LineærRegression_Valg[[#This Row],[Indenfor range]],INDEX(DataTitel_liste,LineærRegression_Valg[[#This Row],[Afhængig variabel ID]]),INDEX(DataTitel_liste,1))</f>
        <v>Eksempel 1 (interval)</v>
      </c>
      <c r="G657" s="171" t="str" cm="1">
        <f t="array" ref="G657">IF(LineærRegression_Valg[[#This Row],[Indenfor range]],IF(LineærRegression_Valg[[#This Row],[Intet overlap]],INDEX(DataTitel_liste,LineærRegression_Valg[[#This Row],[Uafhængig variabel ID]]),INDEX(DataTitel_liste,IF(LineærRegression_Valg[[#This Row],[Afhængig variabel ID]]=1,2,1))),$B$7)</f>
        <v>Eksempel 2 (interval)</v>
      </c>
      <c r="H657" s="171">
        <f>_xlfn.AGGREGATE(2,5,LineærRegression_Valg[[#This Row],[Tabel ID]])</f>
        <v>1</v>
      </c>
    </row>
    <row r="658" spans="1:8" x14ac:dyDescent="0.2">
      <c r="A658">
        <f>ROW(LineærRegression_Valg[[#This Row],[Tabel ID]])-ROW(LineærRegression_Valg[[#Headers],[Tabel ID]])</f>
        <v>648</v>
      </c>
      <c r="B658" s="171">
        <f>ROUNDDOWN((LineærRegression_Valg[[#This Row],[Tabel ID]]-1)/$B$5,0)+1</f>
        <v>162</v>
      </c>
      <c r="C658" s="171">
        <f t="shared" si="10"/>
        <v>4</v>
      </c>
      <c r="D658" s="171" t="b">
        <f>LineærRegression_Valg[[#This Row],[Afhængig variabel ID]]&lt;&gt;LineærRegression_Valg[[#This Row],[Uafhængig variabel ID]]</f>
        <v>1</v>
      </c>
      <c r="E658" t="b">
        <f>LineærRegression_Valg[[#This Row],[Afhængig variabel ID]]&lt;=$B$5</f>
        <v>0</v>
      </c>
      <c r="F658" t="str" cm="1">
        <f t="array" ref="F658">IF(LineærRegression_Valg[[#This Row],[Indenfor range]],INDEX(DataTitel_liste,LineærRegression_Valg[[#This Row],[Afhængig variabel ID]]),INDEX(DataTitel_liste,1))</f>
        <v>Eksempel 1 (interval)</v>
      </c>
      <c r="G658" s="171" t="str" cm="1">
        <f t="array" ref="G658">IF(LineærRegression_Valg[[#This Row],[Indenfor range]],IF(LineærRegression_Valg[[#This Row],[Intet overlap]],INDEX(DataTitel_liste,LineærRegression_Valg[[#This Row],[Uafhængig variabel ID]]),INDEX(DataTitel_liste,IF(LineærRegression_Valg[[#This Row],[Afhængig variabel ID]]=1,2,1))),$B$7)</f>
        <v>Eksempel 2 (interval)</v>
      </c>
      <c r="H658" s="171">
        <f>_xlfn.AGGREGATE(2,5,LineærRegression_Valg[[#This Row],[Tabel ID]])</f>
        <v>1</v>
      </c>
    </row>
    <row r="659" spans="1:8" x14ac:dyDescent="0.2">
      <c r="A659">
        <f>ROW(LineærRegression_Valg[[#This Row],[Tabel ID]])-ROW(LineærRegression_Valg[[#Headers],[Tabel ID]])</f>
        <v>649</v>
      </c>
      <c r="B659" s="171">
        <f>ROUNDDOWN((LineærRegression_Valg[[#This Row],[Tabel ID]]-1)/$B$5,0)+1</f>
        <v>163</v>
      </c>
      <c r="C659" s="171">
        <f t="shared" si="10"/>
        <v>1</v>
      </c>
      <c r="D659" s="171" t="b">
        <f>LineærRegression_Valg[[#This Row],[Afhængig variabel ID]]&lt;&gt;LineærRegression_Valg[[#This Row],[Uafhængig variabel ID]]</f>
        <v>1</v>
      </c>
      <c r="E659" t="b">
        <f>LineærRegression_Valg[[#This Row],[Afhængig variabel ID]]&lt;=$B$5</f>
        <v>0</v>
      </c>
      <c r="F659" t="str" cm="1">
        <f t="array" ref="F659">IF(LineærRegression_Valg[[#This Row],[Indenfor range]],INDEX(DataTitel_liste,LineærRegression_Valg[[#This Row],[Afhængig variabel ID]]),INDEX(DataTitel_liste,1))</f>
        <v>Eksempel 1 (interval)</v>
      </c>
      <c r="G659" s="171" t="str" cm="1">
        <f t="array" ref="G659">IF(LineærRegression_Valg[[#This Row],[Indenfor range]],IF(LineærRegression_Valg[[#This Row],[Intet overlap]],INDEX(DataTitel_liste,LineærRegression_Valg[[#This Row],[Uafhængig variabel ID]]),INDEX(DataTitel_liste,IF(LineærRegression_Valg[[#This Row],[Afhængig variabel ID]]=1,2,1))),$B$7)</f>
        <v>Eksempel 2 (interval)</v>
      </c>
      <c r="H659" s="171">
        <f>_xlfn.AGGREGATE(2,5,LineærRegression_Valg[[#This Row],[Tabel ID]])</f>
        <v>1</v>
      </c>
    </row>
    <row r="660" spans="1:8" x14ac:dyDescent="0.2">
      <c r="A660">
        <f>ROW(LineærRegression_Valg[[#This Row],[Tabel ID]])-ROW(LineærRegression_Valg[[#Headers],[Tabel ID]])</f>
        <v>650</v>
      </c>
      <c r="B660" s="171">
        <f>ROUNDDOWN((LineærRegression_Valg[[#This Row],[Tabel ID]]-1)/$B$5,0)+1</f>
        <v>163</v>
      </c>
      <c r="C660" s="171">
        <f t="shared" si="10"/>
        <v>2</v>
      </c>
      <c r="D660" s="171" t="b">
        <f>LineærRegression_Valg[[#This Row],[Afhængig variabel ID]]&lt;&gt;LineærRegression_Valg[[#This Row],[Uafhængig variabel ID]]</f>
        <v>1</v>
      </c>
      <c r="E660" t="b">
        <f>LineærRegression_Valg[[#This Row],[Afhængig variabel ID]]&lt;=$B$5</f>
        <v>0</v>
      </c>
      <c r="F660" t="str" cm="1">
        <f t="array" ref="F660">IF(LineærRegression_Valg[[#This Row],[Indenfor range]],INDEX(DataTitel_liste,LineærRegression_Valg[[#This Row],[Afhængig variabel ID]]),INDEX(DataTitel_liste,1))</f>
        <v>Eksempel 1 (interval)</v>
      </c>
      <c r="G660" s="171" t="str" cm="1">
        <f t="array" ref="G660">IF(LineærRegression_Valg[[#This Row],[Indenfor range]],IF(LineærRegression_Valg[[#This Row],[Intet overlap]],INDEX(DataTitel_liste,LineærRegression_Valg[[#This Row],[Uafhængig variabel ID]]),INDEX(DataTitel_liste,IF(LineærRegression_Valg[[#This Row],[Afhængig variabel ID]]=1,2,1))),$B$7)</f>
        <v>Eksempel 2 (interval)</v>
      </c>
      <c r="H660" s="171">
        <f>_xlfn.AGGREGATE(2,5,LineærRegression_Valg[[#This Row],[Tabel ID]])</f>
        <v>1</v>
      </c>
    </row>
    <row r="661" spans="1:8" x14ac:dyDescent="0.2">
      <c r="A661">
        <f>ROW(LineærRegression_Valg[[#This Row],[Tabel ID]])-ROW(LineærRegression_Valg[[#Headers],[Tabel ID]])</f>
        <v>651</v>
      </c>
      <c r="B661" s="171">
        <f>ROUNDDOWN((LineærRegression_Valg[[#This Row],[Tabel ID]]-1)/$B$5,0)+1</f>
        <v>163</v>
      </c>
      <c r="C661" s="171">
        <f t="shared" si="10"/>
        <v>3</v>
      </c>
      <c r="D661" s="171" t="b">
        <f>LineærRegression_Valg[[#This Row],[Afhængig variabel ID]]&lt;&gt;LineærRegression_Valg[[#This Row],[Uafhængig variabel ID]]</f>
        <v>1</v>
      </c>
      <c r="E661" t="b">
        <f>LineærRegression_Valg[[#This Row],[Afhængig variabel ID]]&lt;=$B$5</f>
        <v>0</v>
      </c>
      <c r="F661" t="str" cm="1">
        <f t="array" ref="F661">IF(LineærRegression_Valg[[#This Row],[Indenfor range]],INDEX(DataTitel_liste,LineærRegression_Valg[[#This Row],[Afhængig variabel ID]]),INDEX(DataTitel_liste,1))</f>
        <v>Eksempel 1 (interval)</v>
      </c>
      <c r="G661" s="171" t="str" cm="1">
        <f t="array" ref="G661">IF(LineærRegression_Valg[[#This Row],[Indenfor range]],IF(LineærRegression_Valg[[#This Row],[Intet overlap]],INDEX(DataTitel_liste,LineærRegression_Valg[[#This Row],[Uafhængig variabel ID]]),INDEX(DataTitel_liste,IF(LineærRegression_Valg[[#This Row],[Afhængig variabel ID]]=1,2,1))),$B$7)</f>
        <v>Eksempel 2 (interval)</v>
      </c>
      <c r="H661" s="171">
        <f>_xlfn.AGGREGATE(2,5,LineærRegression_Valg[[#This Row],[Tabel ID]])</f>
        <v>1</v>
      </c>
    </row>
    <row r="662" spans="1:8" x14ac:dyDescent="0.2">
      <c r="A662">
        <f>ROW(LineærRegression_Valg[[#This Row],[Tabel ID]])-ROW(LineærRegression_Valg[[#Headers],[Tabel ID]])</f>
        <v>652</v>
      </c>
      <c r="B662" s="171">
        <f>ROUNDDOWN((LineærRegression_Valg[[#This Row],[Tabel ID]]-1)/$B$5,0)+1</f>
        <v>163</v>
      </c>
      <c r="C662" s="171">
        <f t="shared" si="10"/>
        <v>4</v>
      </c>
      <c r="D662" s="171" t="b">
        <f>LineærRegression_Valg[[#This Row],[Afhængig variabel ID]]&lt;&gt;LineærRegression_Valg[[#This Row],[Uafhængig variabel ID]]</f>
        <v>1</v>
      </c>
      <c r="E662" t="b">
        <f>LineærRegression_Valg[[#This Row],[Afhængig variabel ID]]&lt;=$B$5</f>
        <v>0</v>
      </c>
      <c r="F662" t="str" cm="1">
        <f t="array" ref="F662">IF(LineærRegression_Valg[[#This Row],[Indenfor range]],INDEX(DataTitel_liste,LineærRegression_Valg[[#This Row],[Afhængig variabel ID]]),INDEX(DataTitel_liste,1))</f>
        <v>Eksempel 1 (interval)</v>
      </c>
      <c r="G662" s="171" t="str" cm="1">
        <f t="array" ref="G662">IF(LineærRegression_Valg[[#This Row],[Indenfor range]],IF(LineærRegression_Valg[[#This Row],[Intet overlap]],INDEX(DataTitel_liste,LineærRegression_Valg[[#This Row],[Uafhængig variabel ID]]),INDEX(DataTitel_liste,IF(LineærRegression_Valg[[#This Row],[Afhængig variabel ID]]=1,2,1))),$B$7)</f>
        <v>Eksempel 2 (interval)</v>
      </c>
      <c r="H662" s="171">
        <f>_xlfn.AGGREGATE(2,5,LineærRegression_Valg[[#This Row],[Tabel ID]])</f>
        <v>1</v>
      </c>
    </row>
    <row r="663" spans="1:8" x14ac:dyDescent="0.2">
      <c r="A663">
        <f>ROW(LineærRegression_Valg[[#This Row],[Tabel ID]])-ROW(LineærRegression_Valg[[#Headers],[Tabel ID]])</f>
        <v>653</v>
      </c>
      <c r="B663" s="171">
        <f>ROUNDDOWN((LineærRegression_Valg[[#This Row],[Tabel ID]]-1)/$B$5,0)+1</f>
        <v>164</v>
      </c>
      <c r="C663" s="171">
        <f t="shared" si="10"/>
        <v>1</v>
      </c>
      <c r="D663" s="171" t="b">
        <f>LineærRegression_Valg[[#This Row],[Afhængig variabel ID]]&lt;&gt;LineærRegression_Valg[[#This Row],[Uafhængig variabel ID]]</f>
        <v>1</v>
      </c>
      <c r="E663" t="b">
        <f>LineærRegression_Valg[[#This Row],[Afhængig variabel ID]]&lt;=$B$5</f>
        <v>0</v>
      </c>
      <c r="F663" t="str" cm="1">
        <f t="array" ref="F663">IF(LineærRegression_Valg[[#This Row],[Indenfor range]],INDEX(DataTitel_liste,LineærRegression_Valg[[#This Row],[Afhængig variabel ID]]),INDEX(DataTitel_liste,1))</f>
        <v>Eksempel 1 (interval)</v>
      </c>
      <c r="G663" s="171" t="str" cm="1">
        <f t="array" ref="G663">IF(LineærRegression_Valg[[#This Row],[Indenfor range]],IF(LineærRegression_Valg[[#This Row],[Intet overlap]],INDEX(DataTitel_liste,LineærRegression_Valg[[#This Row],[Uafhængig variabel ID]]),INDEX(DataTitel_liste,IF(LineærRegression_Valg[[#This Row],[Afhængig variabel ID]]=1,2,1))),$B$7)</f>
        <v>Eksempel 2 (interval)</v>
      </c>
      <c r="H663" s="171">
        <f>_xlfn.AGGREGATE(2,5,LineærRegression_Valg[[#This Row],[Tabel ID]])</f>
        <v>1</v>
      </c>
    </row>
    <row r="664" spans="1:8" x14ac:dyDescent="0.2">
      <c r="A664">
        <f>ROW(LineærRegression_Valg[[#This Row],[Tabel ID]])-ROW(LineærRegression_Valg[[#Headers],[Tabel ID]])</f>
        <v>654</v>
      </c>
      <c r="B664" s="171">
        <f>ROUNDDOWN((LineærRegression_Valg[[#This Row],[Tabel ID]]-1)/$B$5,0)+1</f>
        <v>164</v>
      </c>
      <c r="C664" s="171">
        <f t="shared" si="10"/>
        <v>2</v>
      </c>
      <c r="D664" s="171" t="b">
        <f>LineærRegression_Valg[[#This Row],[Afhængig variabel ID]]&lt;&gt;LineærRegression_Valg[[#This Row],[Uafhængig variabel ID]]</f>
        <v>1</v>
      </c>
      <c r="E664" t="b">
        <f>LineærRegression_Valg[[#This Row],[Afhængig variabel ID]]&lt;=$B$5</f>
        <v>0</v>
      </c>
      <c r="F664" t="str" cm="1">
        <f t="array" ref="F664">IF(LineærRegression_Valg[[#This Row],[Indenfor range]],INDEX(DataTitel_liste,LineærRegression_Valg[[#This Row],[Afhængig variabel ID]]),INDEX(DataTitel_liste,1))</f>
        <v>Eksempel 1 (interval)</v>
      </c>
      <c r="G664" s="171" t="str" cm="1">
        <f t="array" ref="G664">IF(LineærRegression_Valg[[#This Row],[Indenfor range]],IF(LineærRegression_Valg[[#This Row],[Intet overlap]],INDEX(DataTitel_liste,LineærRegression_Valg[[#This Row],[Uafhængig variabel ID]]),INDEX(DataTitel_liste,IF(LineærRegression_Valg[[#This Row],[Afhængig variabel ID]]=1,2,1))),$B$7)</f>
        <v>Eksempel 2 (interval)</v>
      </c>
      <c r="H664" s="171">
        <f>_xlfn.AGGREGATE(2,5,LineærRegression_Valg[[#This Row],[Tabel ID]])</f>
        <v>1</v>
      </c>
    </row>
    <row r="665" spans="1:8" x14ac:dyDescent="0.2">
      <c r="A665">
        <f>ROW(LineærRegression_Valg[[#This Row],[Tabel ID]])-ROW(LineærRegression_Valg[[#Headers],[Tabel ID]])</f>
        <v>655</v>
      </c>
      <c r="B665" s="171">
        <f>ROUNDDOWN((LineærRegression_Valg[[#This Row],[Tabel ID]]-1)/$B$5,0)+1</f>
        <v>164</v>
      </c>
      <c r="C665" s="171">
        <f t="shared" si="10"/>
        <v>3</v>
      </c>
      <c r="D665" s="171" t="b">
        <f>LineærRegression_Valg[[#This Row],[Afhængig variabel ID]]&lt;&gt;LineærRegression_Valg[[#This Row],[Uafhængig variabel ID]]</f>
        <v>1</v>
      </c>
      <c r="E665" t="b">
        <f>LineærRegression_Valg[[#This Row],[Afhængig variabel ID]]&lt;=$B$5</f>
        <v>0</v>
      </c>
      <c r="F665" t="str" cm="1">
        <f t="array" ref="F665">IF(LineærRegression_Valg[[#This Row],[Indenfor range]],INDEX(DataTitel_liste,LineærRegression_Valg[[#This Row],[Afhængig variabel ID]]),INDEX(DataTitel_liste,1))</f>
        <v>Eksempel 1 (interval)</v>
      </c>
      <c r="G665" s="171" t="str" cm="1">
        <f t="array" ref="G665">IF(LineærRegression_Valg[[#This Row],[Indenfor range]],IF(LineærRegression_Valg[[#This Row],[Intet overlap]],INDEX(DataTitel_liste,LineærRegression_Valg[[#This Row],[Uafhængig variabel ID]]),INDEX(DataTitel_liste,IF(LineærRegression_Valg[[#This Row],[Afhængig variabel ID]]=1,2,1))),$B$7)</f>
        <v>Eksempel 2 (interval)</v>
      </c>
      <c r="H665" s="171">
        <f>_xlfn.AGGREGATE(2,5,LineærRegression_Valg[[#This Row],[Tabel ID]])</f>
        <v>1</v>
      </c>
    </row>
    <row r="666" spans="1:8" x14ac:dyDescent="0.2">
      <c r="A666">
        <f>ROW(LineærRegression_Valg[[#This Row],[Tabel ID]])-ROW(LineærRegression_Valg[[#Headers],[Tabel ID]])</f>
        <v>656</v>
      </c>
      <c r="B666" s="171">
        <f>ROUNDDOWN((LineærRegression_Valg[[#This Row],[Tabel ID]]-1)/$B$5,0)+1</f>
        <v>164</v>
      </c>
      <c r="C666" s="171">
        <f t="shared" si="10"/>
        <v>4</v>
      </c>
      <c r="D666" s="171" t="b">
        <f>LineærRegression_Valg[[#This Row],[Afhængig variabel ID]]&lt;&gt;LineærRegression_Valg[[#This Row],[Uafhængig variabel ID]]</f>
        <v>1</v>
      </c>
      <c r="E666" t="b">
        <f>LineærRegression_Valg[[#This Row],[Afhængig variabel ID]]&lt;=$B$5</f>
        <v>0</v>
      </c>
      <c r="F666" t="str" cm="1">
        <f t="array" ref="F666">IF(LineærRegression_Valg[[#This Row],[Indenfor range]],INDEX(DataTitel_liste,LineærRegression_Valg[[#This Row],[Afhængig variabel ID]]),INDEX(DataTitel_liste,1))</f>
        <v>Eksempel 1 (interval)</v>
      </c>
      <c r="G666" s="171" t="str" cm="1">
        <f t="array" ref="G666">IF(LineærRegression_Valg[[#This Row],[Indenfor range]],IF(LineærRegression_Valg[[#This Row],[Intet overlap]],INDEX(DataTitel_liste,LineærRegression_Valg[[#This Row],[Uafhængig variabel ID]]),INDEX(DataTitel_liste,IF(LineærRegression_Valg[[#This Row],[Afhængig variabel ID]]=1,2,1))),$B$7)</f>
        <v>Eksempel 2 (interval)</v>
      </c>
      <c r="H666" s="171">
        <f>_xlfn.AGGREGATE(2,5,LineærRegression_Valg[[#This Row],[Tabel ID]])</f>
        <v>1</v>
      </c>
    </row>
    <row r="667" spans="1:8" x14ac:dyDescent="0.2">
      <c r="A667">
        <f>ROW(LineærRegression_Valg[[#This Row],[Tabel ID]])-ROW(LineærRegression_Valg[[#Headers],[Tabel ID]])</f>
        <v>657</v>
      </c>
      <c r="B667" s="171">
        <f>ROUNDDOWN((LineærRegression_Valg[[#This Row],[Tabel ID]]-1)/$B$5,0)+1</f>
        <v>165</v>
      </c>
      <c r="C667" s="171">
        <f t="shared" si="10"/>
        <v>1</v>
      </c>
      <c r="D667" s="171" t="b">
        <f>LineærRegression_Valg[[#This Row],[Afhængig variabel ID]]&lt;&gt;LineærRegression_Valg[[#This Row],[Uafhængig variabel ID]]</f>
        <v>1</v>
      </c>
      <c r="E667" t="b">
        <f>LineærRegression_Valg[[#This Row],[Afhængig variabel ID]]&lt;=$B$5</f>
        <v>0</v>
      </c>
      <c r="F667" t="str" cm="1">
        <f t="array" ref="F667">IF(LineærRegression_Valg[[#This Row],[Indenfor range]],INDEX(DataTitel_liste,LineærRegression_Valg[[#This Row],[Afhængig variabel ID]]),INDEX(DataTitel_liste,1))</f>
        <v>Eksempel 1 (interval)</v>
      </c>
      <c r="G667" s="171" t="str" cm="1">
        <f t="array" ref="G667">IF(LineærRegression_Valg[[#This Row],[Indenfor range]],IF(LineærRegression_Valg[[#This Row],[Intet overlap]],INDEX(DataTitel_liste,LineærRegression_Valg[[#This Row],[Uafhængig variabel ID]]),INDEX(DataTitel_liste,IF(LineærRegression_Valg[[#This Row],[Afhængig variabel ID]]=1,2,1))),$B$7)</f>
        <v>Eksempel 2 (interval)</v>
      </c>
      <c r="H667" s="171">
        <f>_xlfn.AGGREGATE(2,5,LineærRegression_Valg[[#This Row],[Tabel ID]])</f>
        <v>1</v>
      </c>
    </row>
    <row r="668" spans="1:8" x14ac:dyDescent="0.2">
      <c r="A668">
        <f>ROW(LineærRegression_Valg[[#This Row],[Tabel ID]])-ROW(LineærRegression_Valg[[#Headers],[Tabel ID]])</f>
        <v>658</v>
      </c>
      <c r="B668" s="171">
        <f>ROUNDDOWN((LineærRegression_Valg[[#This Row],[Tabel ID]]-1)/$B$5,0)+1</f>
        <v>165</v>
      </c>
      <c r="C668" s="171">
        <f t="shared" si="10"/>
        <v>2</v>
      </c>
      <c r="D668" s="171" t="b">
        <f>LineærRegression_Valg[[#This Row],[Afhængig variabel ID]]&lt;&gt;LineærRegression_Valg[[#This Row],[Uafhængig variabel ID]]</f>
        <v>1</v>
      </c>
      <c r="E668" t="b">
        <f>LineærRegression_Valg[[#This Row],[Afhængig variabel ID]]&lt;=$B$5</f>
        <v>0</v>
      </c>
      <c r="F668" t="str" cm="1">
        <f t="array" ref="F668">IF(LineærRegression_Valg[[#This Row],[Indenfor range]],INDEX(DataTitel_liste,LineærRegression_Valg[[#This Row],[Afhængig variabel ID]]),INDEX(DataTitel_liste,1))</f>
        <v>Eksempel 1 (interval)</v>
      </c>
      <c r="G668" s="171" t="str" cm="1">
        <f t="array" ref="G668">IF(LineærRegression_Valg[[#This Row],[Indenfor range]],IF(LineærRegression_Valg[[#This Row],[Intet overlap]],INDEX(DataTitel_liste,LineærRegression_Valg[[#This Row],[Uafhængig variabel ID]]),INDEX(DataTitel_liste,IF(LineærRegression_Valg[[#This Row],[Afhængig variabel ID]]=1,2,1))),$B$7)</f>
        <v>Eksempel 2 (interval)</v>
      </c>
      <c r="H668" s="171">
        <f>_xlfn.AGGREGATE(2,5,LineærRegression_Valg[[#This Row],[Tabel ID]])</f>
        <v>1</v>
      </c>
    </row>
    <row r="669" spans="1:8" x14ac:dyDescent="0.2">
      <c r="A669">
        <f>ROW(LineærRegression_Valg[[#This Row],[Tabel ID]])-ROW(LineærRegression_Valg[[#Headers],[Tabel ID]])</f>
        <v>659</v>
      </c>
      <c r="B669" s="171">
        <f>ROUNDDOWN((LineærRegression_Valg[[#This Row],[Tabel ID]]-1)/$B$5,0)+1</f>
        <v>165</v>
      </c>
      <c r="C669" s="171">
        <f t="shared" si="10"/>
        <v>3</v>
      </c>
      <c r="D669" s="171" t="b">
        <f>LineærRegression_Valg[[#This Row],[Afhængig variabel ID]]&lt;&gt;LineærRegression_Valg[[#This Row],[Uafhængig variabel ID]]</f>
        <v>1</v>
      </c>
      <c r="E669" t="b">
        <f>LineærRegression_Valg[[#This Row],[Afhængig variabel ID]]&lt;=$B$5</f>
        <v>0</v>
      </c>
      <c r="F669" t="str" cm="1">
        <f t="array" ref="F669">IF(LineærRegression_Valg[[#This Row],[Indenfor range]],INDEX(DataTitel_liste,LineærRegression_Valg[[#This Row],[Afhængig variabel ID]]),INDEX(DataTitel_liste,1))</f>
        <v>Eksempel 1 (interval)</v>
      </c>
      <c r="G669" s="171" t="str" cm="1">
        <f t="array" ref="G669">IF(LineærRegression_Valg[[#This Row],[Indenfor range]],IF(LineærRegression_Valg[[#This Row],[Intet overlap]],INDEX(DataTitel_liste,LineærRegression_Valg[[#This Row],[Uafhængig variabel ID]]),INDEX(DataTitel_liste,IF(LineærRegression_Valg[[#This Row],[Afhængig variabel ID]]=1,2,1))),$B$7)</f>
        <v>Eksempel 2 (interval)</v>
      </c>
      <c r="H669" s="171">
        <f>_xlfn.AGGREGATE(2,5,LineærRegression_Valg[[#This Row],[Tabel ID]])</f>
        <v>1</v>
      </c>
    </row>
    <row r="670" spans="1:8" x14ac:dyDescent="0.2">
      <c r="A670">
        <f>ROW(LineærRegression_Valg[[#This Row],[Tabel ID]])-ROW(LineærRegression_Valg[[#Headers],[Tabel ID]])</f>
        <v>660</v>
      </c>
      <c r="B670" s="171">
        <f>ROUNDDOWN((LineærRegression_Valg[[#This Row],[Tabel ID]]-1)/$B$5,0)+1</f>
        <v>165</v>
      </c>
      <c r="C670" s="171">
        <f t="shared" si="10"/>
        <v>4</v>
      </c>
      <c r="D670" s="171" t="b">
        <f>LineærRegression_Valg[[#This Row],[Afhængig variabel ID]]&lt;&gt;LineærRegression_Valg[[#This Row],[Uafhængig variabel ID]]</f>
        <v>1</v>
      </c>
      <c r="E670" t="b">
        <f>LineærRegression_Valg[[#This Row],[Afhængig variabel ID]]&lt;=$B$5</f>
        <v>0</v>
      </c>
      <c r="F670" t="str" cm="1">
        <f t="array" ref="F670">IF(LineærRegression_Valg[[#This Row],[Indenfor range]],INDEX(DataTitel_liste,LineærRegression_Valg[[#This Row],[Afhængig variabel ID]]),INDEX(DataTitel_liste,1))</f>
        <v>Eksempel 1 (interval)</v>
      </c>
      <c r="G670" s="171" t="str" cm="1">
        <f t="array" ref="G670">IF(LineærRegression_Valg[[#This Row],[Indenfor range]],IF(LineærRegression_Valg[[#This Row],[Intet overlap]],INDEX(DataTitel_liste,LineærRegression_Valg[[#This Row],[Uafhængig variabel ID]]),INDEX(DataTitel_liste,IF(LineærRegression_Valg[[#This Row],[Afhængig variabel ID]]=1,2,1))),$B$7)</f>
        <v>Eksempel 2 (interval)</v>
      </c>
      <c r="H670" s="171">
        <f>_xlfn.AGGREGATE(2,5,LineærRegression_Valg[[#This Row],[Tabel ID]])</f>
        <v>1</v>
      </c>
    </row>
    <row r="671" spans="1:8" x14ac:dyDescent="0.2">
      <c r="A671">
        <f>ROW(LineærRegression_Valg[[#This Row],[Tabel ID]])-ROW(LineærRegression_Valg[[#Headers],[Tabel ID]])</f>
        <v>661</v>
      </c>
      <c r="B671" s="171">
        <f>ROUNDDOWN((LineærRegression_Valg[[#This Row],[Tabel ID]]-1)/$B$5,0)+1</f>
        <v>166</v>
      </c>
      <c r="C671" s="171">
        <f t="shared" si="10"/>
        <v>1</v>
      </c>
      <c r="D671" s="171" t="b">
        <f>LineærRegression_Valg[[#This Row],[Afhængig variabel ID]]&lt;&gt;LineærRegression_Valg[[#This Row],[Uafhængig variabel ID]]</f>
        <v>1</v>
      </c>
      <c r="E671" t="b">
        <f>LineærRegression_Valg[[#This Row],[Afhængig variabel ID]]&lt;=$B$5</f>
        <v>0</v>
      </c>
      <c r="F671" t="str" cm="1">
        <f t="array" ref="F671">IF(LineærRegression_Valg[[#This Row],[Indenfor range]],INDEX(DataTitel_liste,LineærRegression_Valg[[#This Row],[Afhængig variabel ID]]),INDEX(DataTitel_liste,1))</f>
        <v>Eksempel 1 (interval)</v>
      </c>
      <c r="G671" s="171" t="str" cm="1">
        <f t="array" ref="G671">IF(LineærRegression_Valg[[#This Row],[Indenfor range]],IF(LineærRegression_Valg[[#This Row],[Intet overlap]],INDEX(DataTitel_liste,LineærRegression_Valg[[#This Row],[Uafhængig variabel ID]]),INDEX(DataTitel_liste,IF(LineærRegression_Valg[[#This Row],[Afhængig variabel ID]]=1,2,1))),$B$7)</f>
        <v>Eksempel 2 (interval)</v>
      </c>
      <c r="H671" s="171">
        <f>_xlfn.AGGREGATE(2,5,LineærRegression_Valg[[#This Row],[Tabel ID]])</f>
        <v>1</v>
      </c>
    </row>
    <row r="672" spans="1:8" x14ac:dyDescent="0.2">
      <c r="A672">
        <f>ROW(LineærRegression_Valg[[#This Row],[Tabel ID]])-ROW(LineærRegression_Valg[[#Headers],[Tabel ID]])</f>
        <v>662</v>
      </c>
      <c r="B672" s="171">
        <f>ROUNDDOWN((LineærRegression_Valg[[#This Row],[Tabel ID]]-1)/$B$5,0)+1</f>
        <v>166</v>
      </c>
      <c r="C672" s="171">
        <f t="shared" si="10"/>
        <v>2</v>
      </c>
      <c r="D672" s="171" t="b">
        <f>LineærRegression_Valg[[#This Row],[Afhængig variabel ID]]&lt;&gt;LineærRegression_Valg[[#This Row],[Uafhængig variabel ID]]</f>
        <v>1</v>
      </c>
      <c r="E672" t="b">
        <f>LineærRegression_Valg[[#This Row],[Afhængig variabel ID]]&lt;=$B$5</f>
        <v>0</v>
      </c>
      <c r="F672" t="str" cm="1">
        <f t="array" ref="F672">IF(LineærRegression_Valg[[#This Row],[Indenfor range]],INDEX(DataTitel_liste,LineærRegression_Valg[[#This Row],[Afhængig variabel ID]]),INDEX(DataTitel_liste,1))</f>
        <v>Eksempel 1 (interval)</v>
      </c>
      <c r="G672" s="171" t="str" cm="1">
        <f t="array" ref="G672">IF(LineærRegression_Valg[[#This Row],[Indenfor range]],IF(LineærRegression_Valg[[#This Row],[Intet overlap]],INDEX(DataTitel_liste,LineærRegression_Valg[[#This Row],[Uafhængig variabel ID]]),INDEX(DataTitel_liste,IF(LineærRegression_Valg[[#This Row],[Afhængig variabel ID]]=1,2,1))),$B$7)</f>
        <v>Eksempel 2 (interval)</v>
      </c>
      <c r="H672" s="171">
        <f>_xlfn.AGGREGATE(2,5,LineærRegression_Valg[[#This Row],[Tabel ID]])</f>
        <v>1</v>
      </c>
    </row>
    <row r="673" spans="1:8" x14ac:dyDescent="0.2">
      <c r="A673">
        <f>ROW(LineærRegression_Valg[[#This Row],[Tabel ID]])-ROW(LineærRegression_Valg[[#Headers],[Tabel ID]])</f>
        <v>663</v>
      </c>
      <c r="B673" s="171">
        <f>ROUNDDOWN((LineærRegression_Valg[[#This Row],[Tabel ID]]-1)/$B$5,0)+1</f>
        <v>166</v>
      </c>
      <c r="C673" s="171">
        <f t="shared" si="10"/>
        <v>3</v>
      </c>
      <c r="D673" s="171" t="b">
        <f>LineærRegression_Valg[[#This Row],[Afhængig variabel ID]]&lt;&gt;LineærRegression_Valg[[#This Row],[Uafhængig variabel ID]]</f>
        <v>1</v>
      </c>
      <c r="E673" t="b">
        <f>LineærRegression_Valg[[#This Row],[Afhængig variabel ID]]&lt;=$B$5</f>
        <v>0</v>
      </c>
      <c r="F673" t="str" cm="1">
        <f t="array" ref="F673">IF(LineærRegression_Valg[[#This Row],[Indenfor range]],INDEX(DataTitel_liste,LineærRegression_Valg[[#This Row],[Afhængig variabel ID]]),INDEX(DataTitel_liste,1))</f>
        <v>Eksempel 1 (interval)</v>
      </c>
      <c r="G673" s="171" t="str" cm="1">
        <f t="array" ref="G673">IF(LineærRegression_Valg[[#This Row],[Indenfor range]],IF(LineærRegression_Valg[[#This Row],[Intet overlap]],INDEX(DataTitel_liste,LineærRegression_Valg[[#This Row],[Uafhængig variabel ID]]),INDEX(DataTitel_liste,IF(LineærRegression_Valg[[#This Row],[Afhængig variabel ID]]=1,2,1))),$B$7)</f>
        <v>Eksempel 2 (interval)</v>
      </c>
      <c r="H673" s="171">
        <f>_xlfn.AGGREGATE(2,5,LineærRegression_Valg[[#This Row],[Tabel ID]])</f>
        <v>1</v>
      </c>
    </row>
    <row r="674" spans="1:8" x14ac:dyDescent="0.2">
      <c r="A674">
        <f>ROW(LineærRegression_Valg[[#This Row],[Tabel ID]])-ROW(LineærRegression_Valg[[#Headers],[Tabel ID]])</f>
        <v>664</v>
      </c>
      <c r="B674" s="171">
        <f>ROUNDDOWN((LineærRegression_Valg[[#This Row],[Tabel ID]]-1)/$B$5,0)+1</f>
        <v>166</v>
      </c>
      <c r="C674" s="171">
        <f t="shared" si="10"/>
        <v>4</v>
      </c>
      <c r="D674" s="171" t="b">
        <f>LineærRegression_Valg[[#This Row],[Afhængig variabel ID]]&lt;&gt;LineærRegression_Valg[[#This Row],[Uafhængig variabel ID]]</f>
        <v>1</v>
      </c>
      <c r="E674" t="b">
        <f>LineærRegression_Valg[[#This Row],[Afhængig variabel ID]]&lt;=$B$5</f>
        <v>0</v>
      </c>
      <c r="F674" t="str" cm="1">
        <f t="array" ref="F674">IF(LineærRegression_Valg[[#This Row],[Indenfor range]],INDEX(DataTitel_liste,LineærRegression_Valg[[#This Row],[Afhængig variabel ID]]),INDEX(DataTitel_liste,1))</f>
        <v>Eksempel 1 (interval)</v>
      </c>
      <c r="G674" s="171" t="str" cm="1">
        <f t="array" ref="G674">IF(LineærRegression_Valg[[#This Row],[Indenfor range]],IF(LineærRegression_Valg[[#This Row],[Intet overlap]],INDEX(DataTitel_liste,LineærRegression_Valg[[#This Row],[Uafhængig variabel ID]]),INDEX(DataTitel_liste,IF(LineærRegression_Valg[[#This Row],[Afhængig variabel ID]]=1,2,1))),$B$7)</f>
        <v>Eksempel 2 (interval)</v>
      </c>
      <c r="H674" s="171">
        <f>_xlfn.AGGREGATE(2,5,LineærRegression_Valg[[#This Row],[Tabel ID]])</f>
        <v>1</v>
      </c>
    </row>
    <row r="675" spans="1:8" x14ac:dyDescent="0.2">
      <c r="A675">
        <f>ROW(LineærRegression_Valg[[#This Row],[Tabel ID]])-ROW(LineærRegression_Valg[[#Headers],[Tabel ID]])</f>
        <v>665</v>
      </c>
      <c r="B675" s="171">
        <f>ROUNDDOWN((LineærRegression_Valg[[#This Row],[Tabel ID]]-1)/$B$5,0)+1</f>
        <v>167</v>
      </c>
      <c r="C675" s="171">
        <f t="shared" si="10"/>
        <v>1</v>
      </c>
      <c r="D675" s="171" t="b">
        <f>LineærRegression_Valg[[#This Row],[Afhængig variabel ID]]&lt;&gt;LineærRegression_Valg[[#This Row],[Uafhængig variabel ID]]</f>
        <v>1</v>
      </c>
      <c r="E675" t="b">
        <f>LineærRegression_Valg[[#This Row],[Afhængig variabel ID]]&lt;=$B$5</f>
        <v>0</v>
      </c>
      <c r="F675" t="str" cm="1">
        <f t="array" ref="F675">IF(LineærRegression_Valg[[#This Row],[Indenfor range]],INDEX(DataTitel_liste,LineærRegression_Valg[[#This Row],[Afhængig variabel ID]]),INDEX(DataTitel_liste,1))</f>
        <v>Eksempel 1 (interval)</v>
      </c>
      <c r="G675" s="171" t="str" cm="1">
        <f t="array" ref="G675">IF(LineærRegression_Valg[[#This Row],[Indenfor range]],IF(LineærRegression_Valg[[#This Row],[Intet overlap]],INDEX(DataTitel_liste,LineærRegression_Valg[[#This Row],[Uafhængig variabel ID]]),INDEX(DataTitel_liste,IF(LineærRegression_Valg[[#This Row],[Afhængig variabel ID]]=1,2,1))),$B$7)</f>
        <v>Eksempel 2 (interval)</v>
      </c>
      <c r="H675" s="171">
        <f>_xlfn.AGGREGATE(2,5,LineærRegression_Valg[[#This Row],[Tabel ID]])</f>
        <v>1</v>
      </c>
    </row>
    <row r="676" spans="1:8" x14ac:dyDescent="0.2">
      <c r="A676">
        <f>ROW(LineærRegression_Valg[[#This Row],[Tabel ID]])-ROW(LineærRegression_Valg[[#Headers],[Tabel ID]])</f>
        <v>666</v>
      </c>
      <c r="B676" s="171">
        <f>ROUNDDOWN((LineærRegression_Valg[[#This Row],[Tabel ID]]-1)/$B$5,0)+1</f>
        <v>167</v>
      </c>
      <c r="C676" s="171">
        <f t="shared" si="10"/>
        <v>2</v>
      </c>
      <c r="D676" s="171" t="b">
        <f>LineærRegression_Valg[[#This Row],[Afhængig variabel ID]]&lt;&gt;LineærRegression_Valg[[#This Row],[Uafhængig variabel ID]]</f>
        <v>1</v>
      </c>
      <c r="E676" t="b">
        <f>LineærRegression_Valg[[#This Row],[Afhængig variabel ID]]&lt;=$B$5</f>
        <v>0</v>
      </c>
      <c r="F676" t="str" cm="1">
        <f t="array" ref="F676">IF(LineærRegression_Valg[[#This Row],[Indenfor range]],INDEX(DataTitel_liste,LineærRegression_Valg[[#This Row],[Afhængig variabel ID]]),INDEX(DataTitel_liste,1))</f>
        <v>Eksempel 1 (interval)</v>
      </c>
      <c r="G676" s="171" t="str" cm="1">
        <f t="array" ref="G676">IF(LineærRegression_Valg[[#This Row],[Indenfor range]],IF(LineærRegression_Valg[[#This Row],[Intet overlap]],INDEX(DataTitel_liste,LineærRegression_Valg[[#This Row],[Uafhængig variabel ID]]),INDEX(DataTitel_liste,IF(LineærRegression_Valg[[#This Row],[Afhængig variabel ID]]=1,2,1))),$B$7)</f>
        <v>Eksempel 2 (interval)</v>
      </c>
      <c r="H676" s="171">
        <f>_xlfn.AGGREGATE(2,5,LineærRegression_Valg[[#This Row],[Tabel ID]])</f>
        <v>1</v>
      </c>
    </row>
    <row r="677" spans="1:8" x14ac:dyDescent="0.2">
      <c r="A677">
        <f>ROW(LineærRegression_Valg[[#This Row],[Tabel ID]])-ROW(LineærRegression_Valg[[#Headers],[Tabel ID]])</f>
        <v>667</v>
      </c>
      <c r="B677" s="171">
        <f>ROUNDDOWN((LineærRegression_Valg[[#This Row],[Tabel ID]]-1)/$B$5,0)+1</f>
        <v>167</v>
      </c>
      <c r="C677" s="171">
        <f t="shared" si="10"/>
        <v>3</v>
      </c>
      <c r="D677" s="171" t="b">
        <f>LineærRegression_Valg[[#This Row],[Afhængig variabel ID]]&lt;&gt;LineærRegression_Valg[[#This Row],[Uafhængig variabel ID]]</f>
        <v>1</v>
      </c>
      <c r="E677" t="b">
        <f>LineærRegression_Valg[[#This Row],[Afhængig variabel ID]]&lt;=$B$5</f>
        <v>0</v>
      </c>
      <c r="F677" t="str" cm="1">
        <f t="array" ref="F677">IF(LineærRegression_Valg[[#This Row],[Indenfor range]],INDEX(DataTitel_liste,LineærRegression_Valg[[#This Row],[Afhængig variabel ID]]),INDEX(DataTitel_liste,1))</f>
        <v>Eksempel 1 (interval)</v>
      </c>
      <c r="G677" s="171" t="str" cm="1">
        <f t="array" ref="G677">IF(LineærRegression_Valg[[#This Row],[Indenfor range]],IF(LineærRegression_Valg[[#This Row],[Intet overlap]],INDEX(DataTitel_liste,LineærRegression_Valg[[#This Row],[Uafhængig variabel ID]]),INDEX(DataTitel_liste,IF(LineærRegression_Valg[[#This Row],[Afhængig variabel ID]]=1,2,1))),$B$7)</f>
        <v>Eksempel 2 (interval)</v>
      </c>
      <c r="H677" s="171">
        <f>_xlfn.AGGREGATE(2,5,LineærRegression_Valg[[#This Row],[Tabel ID]])</f>
        <v>1</v>
      </c>
    </row>
    <row r="678" spans="1:8" x14ac:dyDescent="0.2">
      <c r="A678">
        <f>ROW(LineærRegression_Valg[[#This Row],[Tabel ID]])-ROW(LineærRegression_Valg[[#Headers],[Tabel ID]])</f>
        <v>668</v>
      </c>
      <c r="B678" s="171">
        <f>ROUNDDOWN((LineærRegression_Valg[[#This Row],[Tabel ID]]-1)/$B$5,0)+1</f>
        <v>167</v>
      </c>
      <c r="C678" s="171">
        <f t="shared" si="10"/>
        <v>4</v>
      </c>
      <c r="D678" s="171" t="b">
        <f>LineærRegression_Valg[[#This Row],[Afhængig variabel ID]]&lt;&gt;LineærRegression_Valg[[#This Row],[Uafhængig variabel ID]]</f>
        <v>1</v>
      </c>
      <c r="E678" t="b">
        <f>LineærRegression_Valg[[#This Row],[Afhængig variabel ID]]&lt;=$B$5</f>
        <v>0</v>
      </c>
      <c r="F678" t="str" cm="1">
        <f t="array" ref="F678">IF(LineærRegression_Valg[[#This Row],[Indenfor range]],INDEX(DataTitel_liste,LineærRegression_Valg[[#This Row],[Afhængig variabel ID]]),INDEX(DataTitel_liste,1))</f>
        <v>Eksempel 1 (interval)</v>
      </c>
      <c r="G678" s="171" t="str" cm="1">
        <f t="array" ref="G678">IF(LineærRegression_Valg[[#This Row],[Indenfor range]],IF(LineærRegression_Valg[[#This Row],[Intet overlap]],INDEX(DataTitel_liste,LineærRegression_Valg[[#This Row],[Uafhængig variabel ID]]),INDEX(DataTitel_liste,IF(LineærRegression_Valg[[#This Row],[Afhængig variabel ID]]=1,2,1))),$B$7)</f>
        <v>Eksempel 2 (interval)</v>
      </c>
      <c r="H678" s="171">
        <f>_xlfn.AGGREGATE(2,5,LineærRegression_Valg[[#This Row],[Tabel ID]])</f>
        <v>1</v>
      </c>
    </row>
    <row r="679" spans="1:8" x14ac:dyDescent="0.2">
      <c r="A679">
        <f>ROW(LineærRegression_Valg[[#This Row],[Tabel ID]])-ROW(LineærRegression_Valg[[#Headers],[Tabel ID]])</f>
        <v>669</v>
      </c>
      <c r="B679" s="171">
        <f>ROUNDDOWN((LineærRegression_Valg[[#This Row],[Tabel ID]]-1)/$B$5,0)+1</f>
        <v>168</v>
      </c>
      <c r="C679" s="171">
        <f t="shared" si="10"/>
        <v>1</v>
      </c>
      <c r="D679" s="171" t="b">
        <f>LineærRegression_Valg[[#This Row],[Afhængig variabel ID]]&lt;&gt;LineærRegression_Valg[[#This Row],[Uafhængig variabel ID]]</f>
        <v>1</v>
      </c>
      <c r="E679" t="b">
        <f>LineærRegression_Valg[[#This Row],[Afhængig variabel ID]]&lt;=$B$5</f>
        <v>0</v>
      </c>
      <c r="F679" t="str" cm="1">
        <f t="array" ref="F679">IF(LineærRegression_Valg[[#This Row],[Indenfor range]],INDEX(DataTitel_liste,LineærRegression_Valg[[#This Row],[Afhængig variabel ID]]),INDEX(DataTitel_liste,1))</f>
        <v>Eksempel 1 (interval)</v>
      </c>
      <c r="G679" s="171" t="str" cm="1">
        <f t="array" ref="G679">IF(LineærRegression_Valg[[#This Row],[Indenfor range]],IF(LineærRegression_Valg[[#This Row],[Intet overlap]],INDEX(DataTitel_liste,LineærRegression_Valg[[#This Row],[Uafhængig variabel ID]]),INDEX(DataTitel_liste,IF(LineærRegression_Valg[[#This Row],[Afhængig variabel ID]]=1,2,1))),$B$7)</f>
        <v>Eksempel 2 (interval)</v>
      </c>
      <c r="H679" s="171">
        <f>_xlfn.AGGREGATE(2,5,LineærRegression_Valg[[#This Row],[Tabel ID]])</f>
        <v>1</v>
      </c>
    </row>
    <row r="680" spans="1:8" x14ac:dyDescent="0.2">
      <c r="A680">
        <f>ROW(LineærRegression_Valg[[#This Row],[Tabel ID]])-ROW(LineærRegression_Valg[[#Headers],[Tabel ID]])</f>
        <v>670</v>
      </c>
      <c r="B680" s="171">
        <f>ROUNDDOWN((LineærRegression_Valg[[#This Row],[Tabel ID]]-1)/$B$5,0)+1</f>
        <v>168</v>
      </c>
      <c r="C680" s="171">
        <f t="shared" si="10"/>
        <v>2</v>
      </c>
      <c r="D680" s="171" t="b">
        <f>LineærRegression_Valg[[#This Row],[Afhængig variabel ID]]&lt;&gt;LineærRegression_Valg[[#This Row],[Uafhængig variabel ID]]</f>
        <v>1</v>
      </c>
      <c r="E680" t="b">
        <f>LineærRegression_Valg[[#This Row],[Afhængig variabel ID]]&lt;=$B$5</f>
        <v>0</v>
      </c>
      <c r="F680" t="str" cm="1">
        <f t="array" ref="F680">IF(LineærRegression_Valg[[#This Row],[Indenfor range]],INDEX(DataTitel_liste,LineærRegression_Valg[[#This Row],[Afhængig variabel ID]]),INDEX(DataTitel_liste,1))</f>
        <v>Eksempel 1 (interval)</v>
      </c>
      <c r="G680" s="171" t="str" cm="1">
        <f t="array" ref="G680">IF(LineærRegression_Valg[[#This Row],[Indenfor range]],IF(LineærRegression_Valg[[#This Row],[Intet overlap]],INDEX(DataTitel_liste,LineærRegression_Valg[[#This Row],[Uafhængig variabel ID]]),INDEX(DataTitel_liste,IF(LineærRegression_Valg[[#This Row],[Afhængig variabel ID]]=1,2,1))),$B$7)</f>
        <v>Eksempel 2 (interval)</v>
      </c>
      <c r="H680" s="171">
        <f>_xlfn.AGGREGATE(2,5,LineærRegression_Valg[[#This Row],[Tabel ID]])</f>
        <v>1</v>
      </c>
    </row>
    <row r="681" spans="1:8" x14ac:dyDescent="0.2">
      <c r="A681">
        <f>ROW(LineærRegression_Valg[[#This Row],[Tabel ID]])-ROW(LineærRegression_Valg[[#Headers],[Tabel ID]])</f>
        <v>671</v>
      </c>
      <c r="B681" s="171">
        <f>ROUNDDOWN((LineærRegression_Valg[[#This Row],[Tabel ID]]-1)/$B$5,0)+1</f>
        <v>168</v>
      </c>
      <c r="C681" s="171">
        <f t="shared" si="10"/>
        <v>3</v>
      </c>
      <c r="D681" s="171" t="b">
        <f>LineærRegression_Valg[[#This Row],[Afhængig variabel ID]]&lt;&gt;LineærRegression_Valg[[#This Row],[Uafhængig variabel ID]]</f>
        <v>1</v>
      </c>
      <c r="E681" t="b">
        <f>LineærRegression_Valg[[#This Row],[Afhængig variabel ID]]&lt;=$B$5</f>
        <v>0</v>
      </c>
      <c r="F681" t="str" cm="1">
        <f t="array" ref="F681">IF(LineærRegression_Valg[[#This Row],[Indenfor range]],INDEX(DataTitel_liste,LineærRegression_Valg[[#This Row],[Afhængig variabel ID]]),INDEX(DataTitel_liste,1))</f>
        <v>Eksempel 1 (interval)</v>
      </c>
      <c r="G681" s="171" t="str" cm="1">
        <f t="array" ref="G681">IF(LineærRegression_Valg[[#This Row],[Indenfor range]],IF(LineærRegression_Valg[[#This Row],[Intet overlap]],INDEX(DataTitel_liste,LineærRegression_Valg[[#This Row],[Uafhængig variabel ID]]),INDEX(DataTitel_liste,IF(LineærRegression_Valg[[#This Row],[Afhængig variabel ID]]=1,2,1))),$B$7)</f>
        <v>Eksempel 2 (interval)</v>
      </c>
      <c r="H681" s="171">
        <f>_xlfn.AGGREGATE(2,5,LineærRegression_Valg[[#This Row],[Tabel ID]])</f>
        <v>1</v>
      </c>
    </row>
    <row r="682" spans="1:8" x14ac:dyDescent="0.2">
      <c r="A682">
        <f>ROW(LineærRegression_Valg[[#This Row],[Tabel ID]])-ROW(LineærRegression_Valg[[#Headers],[Tabel ID]])</f>
        <v>672</v>
      </c>
      <c r="B682" s="171">
        <f>ROUNDDOWN((LineærRegression_Valg[[#This Row],[Tabel ID]]-1)/$B$5,0)+1</f>
        <v>168</v>
      </c>
      <c r="C682" s="171">
        <f t="shared" si="10"/>
        <v>4</v>
      </c>
      <c r="D682" s="171" t="b">
        <f>LineærRegression_Valg[[#This Row],[Afhængig variabel ID]]&lt;&gt;LineærRegression_Valg[[#This Row],[Uafhængig variabel ID]]</f>
        <v>1</v>
      </c>
      <c r="E682" t="b">
        <f>LineærRegression_Valg[[#This Row],[Afhængig variabel ID]]&lt;=$B$5</f>
        <v>0</v>
      </c>
      <c r="F682" t="str" cm="1">
        <f t="array" ref="F682">IF(LineærRegression_Valg[[#This Row],[Indenfor range]],INDEX(DataTitel_liste,LineærRegression_Valg[[#This Row],[Afhængig variabel ID]]),INDEX(DataTitel_liste,1))</f>
        <v>Eksempel 1 (interval)</v>
      </c>
      <c r="G682" s="171" t="str" cm="1">
        <f t="array" ref="G682">IF(LineærRegression_Valg[[#This Row],[Indenfor range]],IF(LineærRegression_Valg[[#This Row],[Intet overlap]],INDEX(DataTitel_liste,LineærRegression_Valg[[#This Row],[Uafhængig variabel ID]]),INDEX(DataTitel_liste,IF(LineærRegression_Valg[[#This Row],[Afhængig variabel ID]]=1,2,1))),$B$7)</f>
        <v>Eksempel 2 (interval)</v>
      </c>
      <c r="H682" s="171">
        <f>_xlfn.AGGREGATE(2,5,LineærRegression_Valg[[#This Row],[Tabel ID]])</f>
        <v>1</v>
      </c>
    </row>
    <row r="683" spans="1:8" x14ac:dyDescent="0.2">
      <c r="A683">
        <f>ROW(LineærRegression_Valg[[#This Row],[Tabel ID]])-ROW(LineærRegression_Valg[[#Headers],[Tabel ID]])</f>
        <v>673</v>
      </c>
      <c r="B683" s="171">
        <f>ROUNDDOWN((LineærRegression_Valg[[#This Row],[Tabel ID]]-1)/$B$5,0)+1</f>
        <v>169</v>
      </c>
      <c r="C683" s="171">
        <f t="shared" si="10"/>
        <v>1</v>
      </c>
      <c r="D683" s="171" t="b">
        <f>LineærRegression_Valg[[#This Row],[Afhængig variabel ID]]&lt;&gt;LineærRegression_Valg[[#This Row],[Uafhængig variabel ID]]</f>
        <v>1</v>
      </c>
      <c r="E683" t="b">
        <f>LineærRegression_Valg[[#This Row],[Afhængig variabel ID]]&lt;=$B$5</f>
        <v>0</v>
      </c>
      <c r="F683" t="str" cm="1">
        <f t="array" ref="F683">IF(LineærRegression_Valg[[#This Row],[Indenfor range]],INDEX(DataTitel_liste,LineærRegression_Valg[[#This Row],[Afhængig variabel ID]]),INDEX(DataTitel_liste,1))</f>
        <v>Eksempel 1 (interval)</v>
      </c>
      <c r="G683" s="171" t="str" cm="1">
        <f t="array" ref="G683">IF(LineærRegression_Valg[[#This Row],[Indenfor range]],IF(LineærRegression_Valg[[#This Row],[Intet overlap]],INDEX(DataTitel_liste,LineærRegression_Valg[[#This Row],[Uafhængig variabel ID]]),INDEX(DataTitel_liste,IF(LineærRegression_Valg[[#This Row],[Afhængig variabel ID]]=1,2,1))),$B$7)</f>
        <v>Eksempel 2 (interval)</v>
      </c>
      <c r="H683" s="171">
        <f>_xlfn.AGGREGATE(2,5,LineærRegression_Valg[[#This Row],[Tabel ID]])</f>
        <v>1</v>
      </c>
    </row>
    <row r="684" spans="1:8" x14ac:dyDescent="0.2">
      <c r="A684">
        <f>ROW(LineærRegression_Valg[[#This Row],[Tabel ID]])-ROW(LineærRegression_Valg[[#Headers],[Tabel ID]])</f>
        <v>674</v>
      </c>
      <c r="B684" s="171">
        <f>ROUNDDOWN((LineærRegression_Valg[[#This Row],[Tabel ID]]-1)/$B$5,0)+1</f>
        <v>169</v>
      </c>
      <c r="C684" s="171">
        <f t="shared" si="10"/>
        <v>2</v>
      </c>
      <c r="D684" s="171" t="b">
        <f>LineærRegression_Valg[[#This Row],[Afhængig variabel ID]]&lt;&gt;LineærRegression_Valg[[#This Row],[Uafhængig variabel ID]]</f>
        <v>1</v>
      </c>
      <c r="E684" t="b">
        <f>LineærRegression_Valg[[#This Row],[Afhængig variabel ID]]&lt;=$B$5</f>
        <v>0</v>
      </c>
      <c r="F684" t="str" cm="1">
        <f t="array" ref="F684">IF(LineærRegression_Valg[[#This Row],[Indenfor range]],INDEX(DataTitel_liste,LineærRegression_Valg[[#This Row],[Afhængig variabel ID]]),INDEX(DataTitel_liste,1))</f>
        <v>Eksempel 1 (interval)</v>
      </c>
      <c r="G684" s="171" t="str" cm="1">
        <f t="array" ref="G684">IF(LineærRegression_Valg[[#This Row],[Indenfor range]],IF(LineærRegression_Valg[[#This Row],[Intet overlap]],INDEX(DataTitel_liste,LineærRegression_Valg[[#This Row],[Uafhængig variabel ID]]),INDEX(DataTitel_liste,IF(LineærRegression_Valg[[#This Row],[Afhængig variabel ID]]=1,2,1))),$B$7)</f>
        <v>Eksempel 2 (interval)</v>
      </c>
      <c r="H684" s="171">
        <f>_xlfn.AGGREGATE(2,5,LineærRegression_Valg[[#This Row],[Tabel ID]])</f>
        <v>1</v>
      </c>
    </row>
    <row r="685" spans="1:8" x14ac:dyDescent="0.2">
      <c r="A685">
        <f>ROW(LineærRegression_Valg[[#This Row],[Tabel ID]])-ROW(LineærRegression_Valg[[#Headers],[Tabel ID]])</f>
        <v>675</v>
      </c>
      <c r="B685" s="171">
        <f>ROUNDDOWN((LineærRegression_Valg[[#This Row],[Tabel ID]]-1)/$B$5,0)+1</f>
        <v>169</v>
      </c>
      <c r="C685" s="171">
        <f t="shared" si="10"/>
        <v>3</v>
      </c>
      <c r="D685" s="171" t="b">
        <f>LineærRegression_Valg[[#This Row],[Afhængig variabel ID]]&lt;&gt;LineærRegression_Valg[[#This Row],[Uafhængig variabel ID]]</f>
        <v>1</v>
      </c>
      <c r="E685" t="b">
        <f>LineærRegression_Valg[[#This Row],[Afhængig variabel ID]]&lt;=$B$5</f>
        <v>0</v>
      </c>
      <c r="F685" t="str" cm="1">
        <f t="array" ref="F685">IF(LineærRegression_Valg[[#This Row],[Indenfor range]],INDEX(DataTitel_liste,LineærRegression_Valg[[#This Row],[Afhængig variabel ID]]),INDEX(DataTitel_liste,1))</f>
        <v>Eksempel 1 (interval)</v>
      </c>
      <c r="G685" s="171" t="str" cm="1">
        <f t="array" ref="G685">IF(LineærRegression_Valg[[#This Row],[Indenfor range]],IF(LineærRegression_Valg[[#This Row],[Intet overlap]],INDEX(DataTitel_liste,LineærRegression_Valg[[#This Row],[Uafhængig variabel ID]]),INDEX(DataTitel_liste,IF(LineærRegression_Valg[[#This Row],[Afhængig variabel ID]]=1,2,1))),$B$7)</f>
        <v>Eksempel 2 (interval)</v>
      </c>
      <c r="H685" s="171">
        <f>_xlfn.AGGREGATE(2,5,LineærRegression_Valg[[#This Row],[Tabel ID]])</f>
        <v>1</v>
      </c>
    </row>
    <row r="686" spans="1:8" x14ac:dyDescent="0.2">
      <c r="A686">
        <f>ROW(LineærRegression_Valg[[#This Row],[Tabel ID]])-ROW(LineærRegression_Valg[[#Headers],[Tabel ID]])</f>
        <v>676</v>
      </c>
      <c r="B686" s="171">
        <f>ROUNDDOWN((LineærRegression_Valg[[#This Row],[Tabel ID]]-1)/$B$5,0)+1</f>
        <v>169</v>
      </c>
      <c r="C686" s="171">
        <f t="shared" si="10"/>
        <v>4</v>
      </c>
      <c r="D686" s="171" t="b">
        <f>LineærRegression_Valg[[#This Row],[Afhængig variabel ID]]&lt;&gt;LineærRegression_Valg[[#This Row],[Uafhængig variabel ID]]</f>
        <v>1</v>
      </c>
      <c r="E686" t="b">
        <f>LineærRegression_Valg[[#This Row],[Afhængig variabel ID]]&lt;=$B$5</f>
        <v>0</v>
      </c>
      <c r="F686" t="str" cm="1">
        <f t="array" ref="F686">IF(LineærRegression_Valg[[#This Row],[Indenfor range]],INDEX(DataTitel_liste,LineærRegression_Valg[[#This Row],[Afhængig variabel ID]]),INDEX(DataTitel_liste,1))</f>
        <v>Eksempel 1 (interval)</v>
      </c>
      <c r="G686" s="171" t="str" cm="1">
        <f t="array" ref="G686">IF(LineærRegression_Valg[[#This Row],[Indenfor range]],IF(LineærRegression_Valg[[#This Row],[Intet overlap]],INDEX(DataTitel_liste,LineærRegression_Valg[[#This Row],[Uafhængig variabel ID]]),INDEX(DataTitel_liste,IF(LineærRegression_Valg[[#This Row],[Afhængig variabel ID]]=1,2,1))),$B$7)</f>
        <v>Eksempel 2 (interval)</v>
      </c>
      <c r="H686" s="171">
        <f>_xlfn.AGGREGATE(2,5,LineærRegression_Valg[[#This Row],[Tabel ID]])</f>
        <v>1</v>
      </c>
    </row>
    <row r="687" spans="1:8" x14ac:dyDescent="0.2">
      <c r="A687">
        <f>ROW(LineærRegression_Valg[[#This Row],[Tabel ID]])-ROW(LineærRegression_Valg[[#Headers],[Tabel ID]])</f>
        <v>677</v>
      </c>
      <c r="B687" s="171">
        <f>ROUNDDOWN((LineærRegression_Valg[[#This Row],[Tabel ID]]-1)/$B$5,0)+1</f>
        <v>170</v>
      </c>
      <c r="C687" s="171">
        <f t="shared" si="10"/>
        <v>1</v>
      </c>
      <c r="D687" s="171" t="b">
        <f>LineærRegression_Valg[[#This Row],[Afhængig variabel ID]]&lt;&gt;LineærRegression_Valg[[#This Row],[Uafhængig variabel ID]]</f>
        <v>1</v>
      </c>
      <c r="E687" t="b">
        <f>LineærRegression_Valg[[#This Row],[Afhængig variabel ID]]&lt;=$B$5</f>
        <v>0</v>
      </c>
      <c r="F687" t="str" cm="1">
        <f t="array" ref="F687">IF(LineærRegression_Valg[[#This Row],[Indenfor range]],INDEX(DataTitel_liste,LineærRegression_Valg[[#This Row],[Afhængig variabel ID]]),INDEX(DataTitel_liste,1))</f>
        <v>Eksempel 1 (interval)</v>
      </c>
      <c r="G687" s="171" t="str" cm="1">
        <f t="array" ref="G687">IF(LineærRegression_Valg[[#This Row],[Indenfor range]],IF(LineærRegression_Valg[[#This Row],[Intet overlap]],INDEX(DataTitel_liste,LineærRegression_Valg[[#This Row],[Uafhængig variabel ID]]),INDEX(DataTitel_liste,IF(LineærRegression_Valg[[#This Row],[Afhængig variabel ID]]=1,2,1))),$B$7)</f>
        <v>Eksempel 2 (interval)</v>
      </c>
      <c r="H687" s="171">
        <f>_xlfn.AGGREGATE(2,5,LineærRegression_Valg[[#This Row],[Tabel ID]])</f>
        <v>1</v>
      </c>
    </row>
    <row r="688" spans="1:8" x14ac:dyDescent="0.2">
      <c r="A688">
        <f>ROW(LineærRegression_Valg[[#This Row],[Tabel ID]])-ROW(LineærRegression_Valg[[#Headers],[Tabel ID]])</f>
        <v>678</v>
      </c>
      <c r="B688" s="171">
        <f>ROUNDDOWN((LineærRegression_Valg[[#This Row],[Tabel ID]]-1)/$B$5,0)+1</f>
        <v>170</v>
      </c>
      <c r="C688" s="171">
        <f t="shared" si="10"/>
        <v>2</v>
      </c>
      <c r="D688" s="171" t="b">
        <f>LineærRegression_Valg[[#This Row],[Afhængig variabel ID]]&lt;&gt;LineærRegression_Valg[[#This Row],[Uafhængig variabel ID]]</f>
        <v>1</v>
      </c>
      <c r="E688" t="b">
        <f>LineærRegression_Valg[[#This Row],[Afhængig variabel ID]]&lt;=$B$5</f>
        <v>0</v>
      </c>
      <c r="F688" t="str" cm="1">
        <f t="array" ref="F688">IF(LineærRegression_Valg[[#This Row],[Indenfor range]],INDEX(DataTitel_liste,LineærRegression_Valg[[#This Row],[Afhængig variabel ID]]),INDEX(DataTitel_liste,1))</f>
        <v>Eksempel 1 (interval)</v>
      </c>
      <c r="G688" s="171" t="str" cm="1">
        <f t="array" ref="G688">IF(LineærRegression_Valg[[#This Row],[Indenfor range]],IF(LineærRegression_Valg[[#This Row],[Intet overlap]],INDEX(DataTitel_liste,LineærRegression_Valg[[#This Row],[Uafhængig variabel ID]]),INDEX(DataTitel_liste,IF(LineærRegression_Valg[[#This Row],[Afhængig variabel ID]]=1,2,1))),$B$7)</f>
        <v>Eksempel 2 (interval)</v>
      </c>
      <c r="H688" s="171">
        <f>_xlfn.AGGREGATE(2,5,LineærRegression_Valg[[#This Row],[Tabel ID]])</f>
        <v>1</v>
      </c>
    </row>
    <row r="689" spans="1:8" x14ac:dyDescent="0.2">
      <c r="A689">
        <f>ROW(LineærRegression_Valg[[#This Row],[Tabel ID]])-ROW(LineærRegression_Valg[[#Headers],[Tabel ID]])</f>
        <v>679</v>
      </c>
      <c r="B689" s="171">
        <f>ROUNDDOWN((LineærRegression_Valg[[#This Row],[Tabel ID]]-1)/$B$5,0)+1</f>
        <v>170</v>
      </c>
      <c r="C689" s="171">
        <f t="shared" si="10"/>
        <v>3</v>
      </c>
      <c r="D689" s="171" t="b">
        <f>LineærRegression_Valg[[#This Row],[Afhængig variabel ID]]&lt;&gt;LineærRegression_Valg[[#This Row],[Uafhængig variabel ID]]</f>
        <v>1</v>
      </c>
      <c r="E689" t="b">
        <f>LineærRegression_Valg[[#This Row],[Afhængig variabel ID]]&lt;=$B$5</f>
        <v>0</v>
      </c>
      <c r="F689" t="str" cm="1">
        <f t="array" ref="F689">IF(LineærRegression_Valg[[#This Row],[Indenfor range]],INDEX(DataTitel_liste,LineærRegression_Valg[[#This Row],[Afhængig variabel ID]]),INDEX(DataTitel_liste,1))</f>
        <v>Eksempel 1 (interval)</v>
      </c>
      <c r="G689" s="171" t="str" cm="1">
        <f t="array" ref="G689">IF(LineærRegression_Valg[[#This Row],[Indenfor range]],IF(LineærRegression_Valg[[#This Row],[Intet overlap]],INDEX(DataTitel_liste,LineærRegression_Valg[[#This Row],[Uafhængig variabel ID]]),INDEX(DataTitel_liste,IF(LineærRegression_Valg[[#This Row],[Afhængig variabel ID]]=1,2,1))),$B$7)</f>
        <v>Eksempel 2 (interval)</v>
      </c>
      <c r="H689" s="171">
        <f>_xlfn.AGGREGATE(2,5,LineærRegression_Valg[[#This Row],[Tabel ID]])</f>
        <v>1</v>
      </c>
    </row>
    <row r="690" spans="1:8" x14ac:dyDescent="0.2">
      <c r="A690">
        <f>ROW(LineærRegression_Valg[[#This Row],[Tabel ID]])-ROW(LineærRegression_Valg[[#Headers],[Tabel ID]])</f>
        <v>680</v>
      </c>
      <c r="B690" s="171">
        <f>ROUNDDOWN((LineærRegression_Valg[[#This Row],[Tabel ID]]-1)/$B$5,0)+1</f>
        <v>170</v>
      </c>
      <c r="C690" s="171">
        <f t="shared" si="10"/>
        <v>4</v>
      </c>
      <c r="D690" s="171" t="b">
        <f>LineærRegression_Valg[[#This Row],[Afhængig variabel ID]]&lt;&gt;LineærRegression_Valg[[#This Row],[Uafhængig variabel ID]]</f>
        <v>1</v>
      </c>
      <c r="E690" t="b">
        <f>LineærRegression_Valg[[#This Row],[Afhængig variabel ID]]&lt;=$B$5</f>
        <v>0</v>
      </c>
      <c r="F690" t="str" cm="1">
        <f t="array" ref="F690">IF(LineærRegression_Valg[[#This Row],[Indenfor range]],INDEX(DataTitel_liste,LineærRegression_Valg[[#This Row],[Afhængig variabel ID]]),INDEX(DataTitel_liste,1))</f>
        <v>Eksempel 1 (interval)</v>
      </c>
      <c r="G690" s="171" t="str" cm="1">
        <f t="array" ref="G690">IF(LineærRegression_Valg[[#This Row],[Indenfor range]],IF(LineærRegression_Valg[[#This Row],[Intet overlap]],INDEX(DataTitel_liste,LineærRegression_Valg[[#This Row],[Uafhængig variabel ID]]),INDEX(DataTitel_liste,IF(LineærRegression_Valg[[#This Row],[Afhængig variabel ID]]=1,2,1))),$B$7)</f>
        <v>Eksempel 2 (interval)</v>
      </c>
      <c r="H690" s="171">
        <f>_xlfn.AGGREGATE(2,5,LineærRegression_Valg[[#This Row],[Tabel ID]])</f>
        <v>1</v>
      </c>
    </row>
    <row r="691" spans="1:8" x14ac:dyDescent="0.2">
      <c r="A691">
        <f>ROW(LineærRegression_Valg[[#This Row],[Tabel ID]])-ROW(LineærRegression_Valg[[#Headers],[Tabel ID]])</f>
        <v>681</v>
      </c>
      <c r="B691" s="171">
        <f>ROUNDDOWN((LineærRegression_Valg[[#This Row],[Tabel ID]]-1)/$B$5,0)+1</f>
        <v>171</v>
      </c>
      <c r="C691" s="171">
        <f t="shared" si="10"/>
        <v>1</v>
      </c>
      <c r="D691" s="171" t="b">
        <f>LineærRegression_Valg[[#This Row],[Afhængig variabel ID]]&lt;&gt;LineærRegression_Valg[[#This Row],[Uafhængig variabel ID]]</f>
        <v>1</v>
      </c>
      <c r="E691" t="b">
        <f>LineærRegression_Valg[[#This Row],[Afhængig variabel ID]]&lt;=$B$5</f>
        <v>0</v>
      </c>
      <c r="F691" t="str" cm="1">
        <f t="array" ref="F691">IF(LineærRegression_Valg[[#This Row],[Indenfor range]],INDEX(DataTitel_liste,LineærRegression_Valg[[#This Row],[Afhængig variabel ID]]),INDEX(DataTitel_liste,1))</f>
        <v>Eksempel 1 (interval)</v>
      </c>
      <c r="G691" s="171" t="str" cm="1">
        <f t="array" ref="G691">IF(LineærRegression_Valg[[#This Row],[Indenfor range]],IF(LineærRegression_Valg[[#This Row],[Intet overlap]],INDEX(DataTitel_liste,LineærRegression_Valg[[#This Row],[Uafhængig variabel ID]]),INDEX(DataTitel_liste,IF(LineærRegression_Valg[[#This Row],[Afhængig variabel ID]]=1,2,1))),$B$7)</f>
        <v>Eksempel 2 (interval)</v>
      </c>
      <c r="H691" s="171">
        <f>_xlfn.AGGREGATE(2,5,LineærRegression_Valg[[#This Row],[Tabel ID]])</f>
        <v>1</v>
      </c>
    </row>
    <row r="692" spans="1:8" x14ac:dyDescent="0.2">
      <c r="A692">
        <f>ROW(LineærRegression_Valg[[#This Row],[Tabel ID]])-ROW(LineærRegression_Valg[[#Headers],[Tabel ID]])</f>
        <v>682</v>
      </c>
      <c r="B692" s="171">
        <f>ROUNDDOWN((LineærRegression_Valg[[#This Row],[Tabel ID]]-1)/$B$5,0)+1</f>
        <v>171</v>
      </c>
      <c r="C692" s="171">
        <f t="shared" si="10"/>
        <v>2</v>
      </c>
      <c r="D692" s="171" t="b">
        <f>LineærRegression_Valg[[#This Row],[Afhængig variabel ID]]&lt;&gt;LineærRegression_Valg[[#This Row],[Uafhængig variabel ID]]</f>
        <v>1</v>
      </c>
      <c r="E692" t="b">
        <f>LineærRegression_Valg[[#This Row],[Afhængig variabel ID]]&lt;=$B$5</f>
        <v>0</v>
      </c>
      <c r="F692" t="str" cm="1">
        <f t="array" ref="F692">IF(LineærRegression_Valg[[#This Row],[Indenfor range]],INDEX(DataTitel_liste,LineærRegression_Valg[[#This Row],[Afhængig variabel ID]]),INDEX(DataTitel_liste,1))</f>
        <v>Eksempel 1 (interval)</v>
      </c>
      <c r="G692" s="171" t="str" cm="1">
        <f t="array" ref="G692">IF(LineærRegression_Valg[[#This Row],[Indenfor range]],IF(LineærRegression_Valg[[#This Row],[Intet overlap]],INDEX(DataTitel_liste,LineærRegression_Valg[[#This Row],[Uafhængig variabel ID]]),INDEX(DataTitel_liste,IF(LineærRegression_Valg[[#This Row],[Afhængig variabel ID]]=1,2,1))),$B$7)</f>
        <v>Eksempel 2 (interval)</v>
      </c>
      <c r="H692" s="171">
        <f>_xlfn.AGGREGATE(2,5,LineærRegression_Valg[[#This Row],[Tabel ID]])</f>
        <v>1</v>
      </c>
    </row>
    <row r="693" spans="1:8" x14ac:dyDescent="0.2">
      <c r="A693">
        <f>ROW(LineærRegression_Valg[[#This Row],[Tabel ID]])-ROW(LineærRegression_Valg[[#Headers],[Tabel ID]])</f>
        <v>683</v>
      </c>
      <c r="B693" s="171">
        <f>ROUNDDOWN((LineærRegression_Valg[[#This Row],[Tabel ID]]-1)/$B$5,0)+1</f>
        <v>171</v>
      </c>
      <c r="C693" s="171">
        <f t="shared" si="10"/>
        <v>3</v>
      </c>
      <c r="D693" s="171" t="b">
        <f>LineærRegression_Valg[[#This Row],[Afhængig variabel ID]]&lt;&gt;LineærRegression_Valg[[#This Row],[Uafhængig variabel ID]]</f>
        <v>1</v>
      </c>
      <c r="E693" t="b">
        <f>LineærRegression_Valg[[#This Row],[Afhængig variabel ID]]&lt;=$B$5</f>
        <v>0</v>
      </c>
      <c r="F693" t="str" cm="1">
        <f t="array" ref="F693">IF(LineærRegression_Valg[[#This Row],[Indenfor range]],INDEX(DataTitel_liste,LineærRegression_Valg[[#This Row],[Afhængig variabel ID]]),INDEX(DataTitel_liste,1))</f>
        <v>Eksempel 1 (interval)</v>
      </c>
      <c r="G693" s="171" t="str" cm="1">
        <f t="array" ref="G693">IF(LineærRegression_Valg[[#This Row],[Indenfor range]],IF(LineærRegression_Valg[[#This Row],[Intet overlap]],INDEX(DataTitel_liste,LineærRegression_Valg[[#This Row],[Uafhængig variabel ID]]),INDEX(DataTitel_liste,IF(LineærRegression_Valg[[#This Row],[Afhængig variabel ID]]=1,2,1))),$B$7)</f>
        <v>Eksempel 2 (interval)</v>
      </c>
      <c r="H693" s="171">
        <f>_xlfn.AGGREGATE(2,5,LineærRegression_Valg[[#This Row],[Tabel ID]])</f>
        <v>1</v>
      </c>
    </row>
    <row r="694" spans="1:8" x14ac:dyDescent="0.2">
      <c r="A694">
        <f>ROW(LineærRegression_Valg[[#This Row],[Tabel ID]])-ROW(LineærRegression_Valg[[#Headers],[Tabel ID]])</f>
        <v>684</v>
      </c>
      <c r="B694" s="171">
        <f>ROUNDDOWN((LineærRegression_Valg[[#This Row],[Tabel ID]]-1)/$B$5,0)+1</f>
        <v>171</v>
      </c>
      <c r="C694" s="171">
        <f t="shared" si="10"/>
        <v>4</v>
      </c>
      <c r="D694" s="171" t="b">
        <f>LineærRegression_Valg[[#This Row],[Afhængig variabel ID]]&lt;&gt;LineærRegression_Valg[[#This Row],[Uafhængig variabel ID]]</f>
        <v>1</v>
      </c>
      <c r="E694" t="b">
        <f>LineærRegression_Valg[[#This Row],[Afhængig variabel ID]]&lt;=$B$5</f>
        <v>0</v>
      </c>
      <c r="F694" t="str" cm="1">
        <f t="array" ref="F694">IF(LineærRegression_Valg[[#This Row],[Indenfor range]],INDEX(DataTitel_liste,LineærRegression_Valg[[#This Row],[Afhængig variabel ID]]),INDEX(DataTitel_liste,1))</f>
        <v>Eksempel 1 (interval)</v>
      </c>
      <c r="G694" s="171" t="str" cm="1">
        <f t="array" ref="G694">IF(LineærRegression_Valg[[#This Row],[Indenfor range]],IF(LineærRegression_Valg[[#This Row],[Intet overlap]],INDEX(DataTitel_liste,LineærRegression_Valg[[#This Row],[Uafhængig variabel ID]]),INDEX(DataTitel_liste,IF(LineærRegression_Valg[[#This Row],[Afhængig variabel ID]]=1,2,1))),$B$7)</f>
        <v>Eksempel 2 (interval)</v>
      </c>
      <c r="H694" s="171">
        <f>_xlfn.AGGREGATE(2,5,LineærRegression_Valg[[#This Row],[Tabel ID]])</f>
        <v>1</v>
      </c>
    </row>
    <row r="695" spans="1:8" x14ac:dyDescent="0.2">
      <c r="A695">
        <f>ROW(LineærRegression_Valg[[#This Row],[Tabel ID]])-ROW(LineærRegression_Valg[[#Headers],[Tabel ID]])</f>
        <v>685</v>
      </c>
      <c r="B695" s="171">
        <f>ROUNDDOWN((LineærRegression_Valg[[#This Row],[Tabel ID]]-1)/$B$5,0)+1</f>
        <v>172</v>
      </c>
      <c r="C695" s="171">
        <f t="shared" si="10"/>
        <v>1</v>
      </c>
      <c r="D695" s="171" t="b">
        <f>LineærRegression_Valg[[#This Row],[Afhængig variabel ID]]&lt;&gt;LineærRegression_Valg[[#This Row],[Uafhængig variabel ID]]</f>
        <v>1</v>
      </c>
      <c r="E695" t="b">
        <f>LineærRegression_Valg[[#This Row],[Afhængig variabel ID]]&lt;=$B$5</f>
        <v>0</v>
      </c>
      <c r="F695" t="str" cm="1">
        <f t="array" ref="F695">IF(LineærRegression_Valg[[#This Row],[Indenfor range]],INDEX(DataTitel_liste,LineærRegression_Valg[[#This Row],[Afhængig variabel ID]]),INDEX(DataTitel_liste,1))</f>
        <v>Eksempel 1 (interval)</v>
      </c>
      <c r="G695" s="171" t="str" cm="1">
        <f t="array" ref="G695">IF(LineærRegression_Valg[[#This Row],[Indenfor range]],IF(LineærRegression_Valg[[#This Row],[Intet overlap]],INDEX(DataTitel_liste,LineærRegression_Valg[[#This Row],[Uafhængig variabel ID]]),INDEX(DataTitel_liste,IF(LineærRegression_Valg[[#This Row],[Afhængig variabel ID]]=1,2,1))),$B$7)</f>
        <v>Eksempel 2 (interval)</v>
      </c>
      <c r="H695" s="171">
        <f>_xlfn.AGGREGATE(2,5,LineærRegression_Valg[[#This Row],[Tabel ID]])</f>
        <v>1</v>
      </c>
    </row>
    <row r="696" spans="1:8" x14ac:dyDescent="0.2">
      <c r="A696">
        <f>ROW(LineærRegression_Valg[[#This Row],[Tabel ID]])-ROW(LineærRegression_Valg[[#Headers],[Tabel ID]])</f>
        <v>686</v>
      </c>
      <c r="B696" s="171">
        <f>ROUNDDOWN((LineærRegression_Valg[[#This Row],[Tabel ID]]-1)/$B$5,0)+1</f>
        <v>172</v>
      </c>
      <c r="C696" s="171">
        <f t="shared" si="10"/>
        <v>2</v>
      </c>
      <c r="D696" s="171" t="b">
        <f>LineærRegression_Valg[[#This Row],[Afhængig variabel ID]]&lt;&gt;LineærRegression_Valg[[#This Row],[Uafhængig variabel ID]]</f>
        <v>1</v>
      </c>
      <c r="E696" t="b">
        <f>LineærRegression_Valg[[#This Row],[Afhængig variabel ID]]&lt;=$B$5</f>
        <v>0</v>
      </c>
      <c r="F696" t="str" cm="1">
        <f t="array" ref="F696">IF(LineærRegression_Valg[[#This Row],[Indenfor range]],INDEX(DataTitel_liste,LineærRegression_Valg[[#This Row],[Afhængig variabel ID]]),INDEX(DataTitel_liste,1))</f>
        <v>Eksempel 1 (interval)</v>
      </c>
      <c r="G696" s="171" t="str" cm="1">
        <f t="array" ref="G696">IF(LineærRegression_Valg[[#This Row],[Indenfor range]],IF(LineærRegression_Valg[[#This Row],[Intet overlap]],INDEX(DataTitel_liste,LineærRegression_Valg[[#This Row],[Uafhængig variabel ID]]),INDEX(DataTitel_liste,IF(LineærRegression_Valg[[#This Row],[Afhængig variabel ID]]=1,2,1))),$B$7)</f>
        <v>Eksempel 2 (interval)</v>
      </c>
      <c r="H696" s="171">
        <f>_xlfn.AGGREGATE(2,5,LineærRegression_Valg[[#This Row],[Tabel ID]])</f>
        <v>1</v>
      </c>
    </row>
    <row r="697" spans="1:8" x14ac:dyDescent="0.2">
      <c r="A697">
        <f>ROW(LineærRegression_Valg[[#This Row],[Tabel ID]])-ROW(LineærRegression_Valg[[#Headers],[Tabel ID]])</f>
        <v>687</v>
      </c>
      <c r="B697" s="171">
        <f>ROUNDDOWN((LineærRegression_Valg[[#This Row],[Tabel ID]]-1)/$B$5,0)+1</f>
        <v>172</v>
      </c>
      <c r="C697" s="171">
        <f t="shared" si="10"/>
        <v>3</v>
      </c>
      <c r="D697" s="171" t="b">
        <f>LineærRegression_Valg[[#This Row],[Afhængig variabel ID]]&lt;&gt;LineærRegression_Valg[[#This Row],[Uafhængig variabel ID]]</f>
        <v>1</v>
      </c>
      <c r="E697" t="b">
        <f>LineærRegression_Valg[[#This Row],[Afhængig variabel ID]]&lt;=$B$5</f>
        <v>0</v>
      </c>
      <c r="F697" t="str" cm="1">
        <f t="array" ref="F697">IF(LineærRegression_Valg[[#This Row],[Indenfor range]],INDEX(DataTitel_liste,LineærRegression_Valg[[#This Row],[Afhængig variabel ID]]),INDEX(DataTitel_liste,1))</f>
        <v>Eksempel 1 (interval)</v>
      </c>
      <c r="G697" s="171" t="str" cm="1">
        <f t="array" ref="G697">IF(LineærRegression_Valg[[#This Row],[Indenfor range]],IF(LineærRegression_Valg[[#This Row],[Intet overlap]],INDEX(DataTitel_liste,LineærRegression_Valg[[#This Row],[Uafhængig variabel ID]]),INDEX(DataTitel_liste,IF(LineærRegression_Valg[[#This Row],[Afhængig variabel ID]]=1,2,1))),$B$7)</f>
        <v>Eksempel 2 (interval)</v>
      </c>
      <c r="H697" s="171">
        <f>_xlfn.AGGREGATE(2,5,LineærRegression_Valg[[#This Row],[Tabel ID]])</f>
        <v>1</v>
      </c>
    </row>
    <row r="698" spans="1:8" x14ac:dyDescent="0.2">
      <c r="A698">
        <f>ROW(LineærRegression_Valg[[#This Row],[Tabel ID]])-ROW(LineærRegression_Valg[[#Headers],[Tabel ID]])</f>
        <v>688</v>
      </c>
      <c r="B698" s="171">
        <f>ROUNDDOWN((LineærRegression_Valg[[#This Row],[Tabel ID]]-1)/$B$5,0)+1</f>
        <v>172</v>
      </c>
      <c r="C698" s="171">
        <f t="shared" si="10"/>
        <v>4</v>
      </c>
      <c r="D698" s="171" t="b">
        <f>LineærRegression_Valg[[#This Row],[Afhængig variabel ID]]&lt;&gt;LineærRegression_Valg[[#This Row],[Uafhængig variabel ID]]</f>
        <v>1</v>
      </c>
      <c r="E698" t="b">
        <f>LineærRegression_Valg[[#This Row],[Afhængig variabel ID]]&lt;=$B$5</f>
        <v>0</v>
      </c>
      <c r="F698" t="str" cm="1">
        <f t="array" ref="F698">IF(LineærRegression_Valg[[#This Row],[Indenfor range]],INDEX(DataTitel_liste,LineærRegression_Valg[[#This Row],[Afhængig variabel ID]]),INDEX(DataTitel_liste,1))</f>
        <v>Eksempel 1 (interval)</v>
      </c>
      <c r="G698" s="171" t="str" cm="1">
        <f t="array" ref="G698">IF(LineærRegression_Valg[[#This Row],[Indenfor range]],IF(LineærRegression_Valg[[#This Row],[Intet overlap]],INDEX(DataTitel_liste,LineærRegression_Valg[[#This Row],[Uafhængig variabel ID]]),INDEX(DataTitel_liste,IF(LineærRegression_Valg[[#This Row],[Afhængig variabel ID]]=1,2,1))),$B$7)</f>
        <v>Eksempel 2 (interval)</v>
      </c>
      <c r="H698" s="171">
        <f>_xlfn.AGGREGATE(2,5,LineærRegression_Valg[[#This Row],[Tabel ID]])</f>
        <v>1</v>
      </c>
    </row>
    <row r="699" spans="1:8" x14ac:dyDescent="0.2">
      <c r="A699">
        <f>ROW(LineærRegression_Valg[[#This Row],[Tabel ID]])-ROW(LineærRegression_Valg[[#Headers],[Tabel ID]])</f>
        <v>689</v>
      </c>
      <c r="B699" s="171">
        <f>ROUNDDOWN((LineærRegression_Valg[[#This Row],[Tabel ID]]-1)/$B$5,0)+1</f>
        <v>173</v>
      </c>
      <c r="C699" s="171">
        <f t="shared" si="10"/>
        <v>1</v>
      </c>
      <c r="D699" s="171" t="b">
        <f>LineærRegression_Valg[[#This Row],[Afhængig variabel ID]]&lt;&gt;LineærRegression_Valg[[#This Row],[Uafhængig variabel ID]]</f>
        <v>1</v>
      </c>
      <c r="E699" t="b">
        <f>LineærRegression_Valg[[#This Row],[Afhængig variabel ID]]&lt;=$B$5</f>
        <v>0</v>
      </c>
      <c r="F699" t="str" cm="1">
        <f t="array" ref="F699">IF(LineærRegression_Valg[[#This Row],[Indenfor range]],INDEX(DataTitel_liste,LineærRegression_Valg[[#This Row],[Afhængig variabel ID]]),INDEX(DataTitel_liste,1))</f>
        <v>Eksempel 1 (interval)</v>
      </c>
      <c r="G699" s="171" t="str" cm="1">
        <f t="array" ref="G699">IF(LineærRegression_Valg[[#This Row],[Indenfor range]],IF(LineærRegression_Valg[[#This Row],[Intet overlap]],INDEX(DataTitel_liste,LineærRegression_Valg[[#This Row],[Uafhængig variabel ID]]),INDEX(DataTitel_liste,IF(LineærRegression_Valg[[#This Row],[Afhængig variabel ID]]=1,2,1))),$B$7)</f>
        <v>Eksempel 2 (interval)</v>
      </c>
      <c r="H699" s="171">
        <f>_xlfn.AGGREGATE(2,5,LineærRegression_Valg[[#This Row],[Tabel ID]])</f>
        <v>1</v>
      </c>
    </row>
    <row r="700" spans="1:8" x14ac:dyDescent="0.2">
      <c r="A700">
        <f>ROW(LineærRegression_Valg[[#This Row],[Tabel ID]])-ROW(LineærRegression_Valg[[#Headers],[Tabel ID]])</f>
        <v>690</v>
      </c>
      <c r="B700" s="171">
        <f>ROUNDDOWN((LineærRegression_Valg[[#This Row],[Tabel ID]]-1)/$B$5,0)+1</f>
        <v>173</v>
      </c>
      <c r="C700" s="171">
        <f t="shared" si="10"/>
        <v>2</v>
      </c>
      <c r="D700" s="171" t="b">
        <f>LineærRegression_Valg[[#This Row],[Afhængig variabel ID]]&lt;&gt;LineærRegression_Valg[[#This Row],[Uafhængig variabel ID]]</f>
        <v>1</v>
      </c>
      <c r="E700" t="b">
        <f>LineærRegression_Valg[[#This Row],[Afhængig variabel ID]]&lt;=$B$5</f>
        <v>0</v>
      </c>
      <c r="F700" t="str" cm="1">
        <f t="array" ref="F700">IF(LineærRegression_Valg[[#This Row],[Indenfor range]],INDEX(DataTitel_liste,LineærRegression_Valg[[#This Row],[Afhængig variabel ID]]),INDEX(DataTitel_liste,1))</f>
        <v>Eksempel 1 (interval)</v>
      </c>
      <c r="G700" s="171" t="str" cm="1">
        <f t="array" ref="G700">IF(LineærRegression_Valg[[#This Row],[Indenfor range]],IF(LineærRegression_Valg[[#This Row],[Intet overlap]],INDEX(DataTitel_liste,LineærRegression_Valg[[#This Row],[Uafhængig variabel ID]]),INDEX(DataTitel_liste,IF(LineærRegression_Valg[[#This Row],[Afhængig variabel ID]]=1,2,1))),$B$7)</f>
        <v>Eksempel 2 (interval)</v>
      </c>
      <c r="H700" s="171">
        <f>_xlfn.AGGREGATE(2,5,LineærRegression_Valg[[#This Row],[Tabel ID]])</f>
        <v>1</v>
      </c>
    </row>
    <row r="701" spans="1:8" x14ac:dyDescent="0.2">
      <c r="A701">
        <f>ROW(LineærRegression_Valg[[#This Row],[Tabel ID]])-ROW(LineærRegression_Valg[[#Headers],[Tabel ID]])</f>
        <v>691</v>
      </c>
      <c r="B701" s="171">
        <f>ROUNDDOWN((LineærRegression_Valg[[#This Row],[Tabel ID]]-1)/$B$5,0)+1</f>
        <v>173</v>
      </c>
      <c r="C701" s="171">
        <f t="shared" si="10"/>
        <v>3</v>
      </c>
      <c r="D701" s="171" t="b">
        <f>LineærRegression_Valg[[#This Row],[Afhængig variabel ID]]&lt;&gt;LineærRegression_Valg[[#This Row],[Uafhængig variabel ID]]</f>
        <v>1</v>
      </c>
      <c r="E701" t="b">
        <f>LineærRegression_Valg[[#This Row],[Afhængig variabel ID]]&lt;=$B$5</f>
        <v>0</v>
      </c>
      <c r="F701" t="str" cm="1">
        <f t="array" ref="F701">IF(LineærRegression_Valg[[#This Row],[Indenfor range]],INDEX(DataTitel_liste,LineærRegression_Valg[[#This Row],[Afhængig variabel ID]]),INDEX(DataTitel_liste,1))</f>
        <v>Eksempel 1 (interval)</v>
      </c>
      <c r="G701" s="171" t="str" cm="1">
        <f t="array" ref="G701">IF(LineærRegression_Valg[[#This Row],[Indenfor range]],IF(LineærRegression_Valg[[#This Row],[Intet overlap]],INDEX(DataTitel_liste,LineærRegression_Valg[[#This Row],[Uafhængig variabel ID]]),INDEX(DataTitel_liste,IF(LineærRegression_Valg[[#This Row],[Afhængig variabel ID]]=1,2,1))),$B$7)</f>
        <v>Eksempel 2 (interval)</v>
      </c>
      <c r="H701" s="171">
        <f>_xlfn.AGGREGATE(2,5,LineærRegression_Valg[[#This Row],[Tabel ID]])</f>
        <v>1</v>
      </c>
    </row>
    <row r="702" spans="1:8" x14ac:dyDescent="0.2">
      <c r="A702">
        <f>ROW(LineærRegression_Valg[[#This Row],[Tabel ID]])-ROW(LineærRegression_Valg[[#Headers],[Tabel ID]])</f>
        <v>692</v>
      </c>
      <c r="B702" s="171">
        <f>ROUNDDOWN((LineærRegression_Valg[[#This Row],[Tabel ID]]-1)/$B$5,0)+1</f>
        <v>173</v>
      </c>
      <c r="C702" s="171">
        <f t="shared" si="10"/>
        <v>4</v>
      </c>
      <c r="D702" s="171" t="b">
        <f>LineærRegression_Valg[[#This Row],[Afhængig variabel ID]]&lt;&gt;LineærRegression_Valg[[#This Row],[Uafhængig variabel ID]]</f>
        <v>1</v>
      </c>
      <c r="E702" t="b">
        <f>LineærRegression_Valg[[#This Row],[Afhængig variabel ID]]&lt;=$B$5</f>
        <v>0</v>
      </c>
      <c r="F702" t="str" cm="1">
        <f t="array" ref="F702">IF(LineærRegression_Valg[[#This Row],[Indenfor range]],INDEX(DataTitel_liste,LineærRegression_Valg[[#This Row],[Afhængig variabel ID]]),INDEX(DataTitel_liste,1))</f>
        <v>Eksempel 1 (interval)</v>
      </c>
      <c r="G702" s="171" t="str" cm="1">
        <f t="array" ref="G702">IF(LineærRegression_Valg[[#This Row],[Indenfor range]],IF(LineærRegression_Valg[[#This Row],[Intet overlap]],INDEX(DataTitel_liste,LineærRegression_Valg[[#This Row],[Uafhængig variabel ID]]),INDEX(DataTitel_liste,IF(LineærRegression_Valg[[#This Row],[Afhængig variabel ID]]=1,2,1))),$B$7)</f>
        <v>Eksempel 2 (interval)</v>
      </c>
      <c r="H702" s="171">
        <f>_xlfn.AGGREGATE(2,5,LineærRegression_Valg[[#This Row],[Tabel ID]])</f>
        <v>1</v>
      </c>
    </row>
    <row r="703" spans="1:8" x14ac:dyDescent="0.2">
      <c r="A703">
        <f>ROW(LineærRegression_Valg[[#This Row],[Tabel ID]])-ROW(LineærRegression_Valg[[#Headers],[Tabel ID]])</f>
        <v>693</v>
      </c>
      <c r="B703" s="171">
        <f>ROUNDDOWN((LineærRegression_Valg[[#This Row],[Tabel ID]]-1)/$B$5,0)+1</f>
        <v>174</v>
      </c>
      <c r="C703" s="171">
        <f t="shared" si="10"/>
        <v>1</v>
      </c>
      <c r="D703" s="171" t="b">
        <f>LineærRegression_Valg[[#This Row],[Afhængig variabel ID]]&lt;&gt;LineærRegression_Valg[[#This Row],[Uafhængig variabel ID]]</f>
        <v>1</v>
      </c>
      <c r="E703" t="b">
        <f>LineærRegression_Valg[[#This Row],[Afhængig variabel ID]]&lt;=$B$5</f>
        <v>0</v>
      </c>
      <c r="F703" t="str" cm="1">
        <f t="array" ref="F703">IF(LineærRegression_Valg[[#This Row],[Indenfor range]],INDEX(DataTitel_liste,LineærRegression_Valg[[#This Row],[Afhængig variabel ID]]),INDEX(DataTitel_liste,1))</f>
        <v>Eksempel 1 (interval)</v>
      </c>
      <c r="G703" s="171" t="str" cm="1">
        <f t="array" ref="G703">IF(LineærRegression_Valg[[#This Row],[Indenfor range]],IF(LineærRegression_Valg[[#This Row],[Intet overlap]],INDEX(DataTitel_liste,LineærRegression_Valg[[#This Row],[Uafhængig variabel ID]]),INDEX(DataTitel_liste,IF(LineærRegression_Valg[[#This Row],[Afhængig variabel ID]]=1,2,1))),$B$7)</f>
        <v>Eksempel 2 (interval)</v>
      </c>
      <c r="H703" s="171">
        <f>_xlfn.AGGREGATE(2,5,LineærRegression_Valg[[#This Row],[Tabel ID]])</f>
        <v>1</v>
      </c>
    </row>
    <row r="704" spans="1:8" x14ac:dyDescent="0.2">
      <c r="A704">
        <f>ROW(LineærRegression_Valg[[#This Row],[Tabel ID]])-ROW(LineærRegression_Valg[[#Headers],[Tabel ID]])</f>
        <v>694</v>
      </c>
      <c r="B704" s="171">
        <f>ROUNDDOWN((LineærRegression_Valg[[#This Row],[Tabel ID]]-1)/$B$5,0)+1</f>
        <v>174</v>
      </c>
      <c r="C704" s="171">
        <f t="shared" si="10"/>
        <v>2</v>
      </c>
      <c r="D704" s="171" t="b">
        <f>LineærRegression_Valg[[#This Row],[Afhængig variabel ID]]&lt;&gt;LineærRegression_Valg[[#This Row],[Uafhængig variabel ID]]</f>
        <v>1</v>
      </c>
      <c r="E704" t="b">
        <f>LineærRegression_Valg[[#This Row],[Afhængig variabel ID]]&lt;=$B$5</f>
        <v>0</v>
      </c>
      <c r="F704" t="str" cm="1">
        <f t="array" ref="F704">IF(LineærRegression_Valg[[#This Row],[Indenfor range]],INDEX(DataTitel_liste,LineærRegression_Valg[[#This Row],[Afhængig variabel ID]]),INDEX(DataTitel_liste,1))</f>
        <v>Eksempel 1 (interval)</v>
      </c>
      <c r="G704" s="171" t="str" cm="1">
        <f t="array" ref="G704">IF(LineærRegression_Valg[[#This Row],[Indenfor range]],IF(LineærRegression_Valg[[#This Row],[Intet overlap]],INDEX(DataTitel_liste,LineærRegression_Valg[[#This Row],[Uafhængig variabel ID]]),INDEX(DataTitel_liste,IF(LineærRegression_Valg[[#This Row],[Afhængig variabel ID]]=1,2,1))),$B$7)</f>
        <v>Eksempel 2 (interval)</v>
      </c>
      <c r="H704" s="171">
        <f>_xlfn.AGGREGATE(2,5,LineærRegression_Valg[[#This Row],[Tabel ID]])</f>
        <v>1</v>
      </c>
    </row>
    <row r="705" spans="1:8" x14ac:dyDescent="0.2">
      <c r="A705">
        <f>ROW(LineærRegression_Valg[[#This Row],[Tabel ID]])-ROW(LineærRegression_Valg[[#Headers],[Tabel ID]])</f>
        <v>695</v>
      </c>
      <c r="B705" s="171">
        <f>ROUNDDOWN((LineærRegression_Valg[[#This Row],[Tabel ID]]-1)/$B$5,0)+1</f>
        <v>174</v>
      </c>
      <c r="C705" s="171">
        <f t="shared" si="10"/>
        <v>3</v>
      </c>
      <c r="D705" s="171" t="b">
        <f>LineærRegression_Valg[[#This Row],[Afhængig variabel ID]]&lt;&gt;LineærRegression_Valg[[#This Row],[Uafhængig variabel ID]]</f>
        <v>1</v>
      </c>
      <c r="E705" t="b">
        <f>LineærRegression_Valg[[#This Row],[Afhængig variabel ID]]&lt;=$B$5</f>
        <v>0</v>
      </c>
      <c r="F705" t="str" cm="1">
        <f t="array" ref="F705">IF(LineærRegression_Valg[[#This Row],[Indenfor range]],INDEX(DataTitel_liste,LineærRegression_Valg[[#This Row],[Afhængig variabel ID]]),INDEX(DataTitel_liste,1))</f>
        <v>Eksempel 1 (interval)</v>
      </c>
      <c r="G705" s="171" t="str" cm="1">
        <f t="array" ref="G705">IF(LineærRegression_Valg[[#This Row],[Indenfor range]],IF(LineærRegression_Valg[[#This Row],[Intet overlap]],INDEX(DataTitel_liste,LineærRegression_Valg[[#This Row],[Uafhængig variabel ID]]),INDEX(DataTitel_liste,IF(LineærRegression_Valg[[#This Row],[Afhængig variabel ID]]=1,2,1))),$B$7)</f>
        <v>Eksempel 2 (interval)</v>
      </c>
      <c r="H705" s="171">
        <f>_xlfn.AGGREGATE(2,5,LineærRegression_Valg[[#This Row],[Tabel ID]])</f>
        <v>1</v>
      </c>
    </row>
    <row r="706" spans="1:8" x14ac:dyDescent="0.2">
      <c r="A706">
        <f>ROW(LineærRegression_Valg[[#This Row],[Tabel ID]])-ROW(LineærRegression_Valg[[#Headers],[Tabel ID]])</f>
        <v>696</v>
      </c>
      <c r="B706" s="171">
        <f>ROUNDDOWN((LineærRegression_Valg[[#This Row],[Tabel ID]]-1)/$B$5,0)+1</f>
        <v>174</v>
      </c>
      <c r="C706" s="171">
        <f t="shared" si="10"/>
        <v>4</v>
      </c>
      <c r="D706" s="171" t="b">
        <f>LineærRegression_Valg[[#This Row],[Afhængig variabel ID]]&lt;&gt;LineærRegression_Valg[[#This Row],[Uafhængig variabel ID]]</f>
        <v>1</v>
      </c>
      <c r="E706" t="b">
        <f>LineærRegression_Valg[[#This Row],[Afhængig variabel ID]]&lt;=$B$5</f>
        <v>0</v>
      </c>
      <c r="F706" t="str" cm="1">
        <f t="array" ref="F706">IF(LineærRegression_Valg[[#This Row],[Indenfor range]],INDEX(DataTitel_liste,LineærRegression_Valg[[#This Row],[Afhængig variabel ID]]),INDEX(DataTitel_liste,1))</f>
        <v>Eksempel 1 (interval)</v>
      </c>
      <c r="G706" s="171" t="str" cm="1">
        <f t="array" ref="G706">IF(LineærRegression_Valg[[#This Row],[Indenfor range]],IF(LineærRegression_Valg[[#This Row],[Intet overlap]],INDEX(DataTitel_liste,LineærRegression_Valg[[#This Row],[Uafhængig variabel ID]]),INDEX(DataTitel_liste,IF(LineærRegression_Valg[[#This Row],[Afhængig variabel ID]]=1,2,1))),$B$7)</f>
        <v>Eksempel 2 (interval)</v>
      </c>
      <c r="H706" s="171">
        <f>_xlfn.AGGREGATE(2,5,LineærRegression_Valg[[#This Row],[Tabel ID]])</f>
        <v>1</v>
      </c>
    </row>
    <row r="707" spans="1:8" x14ac:dyDescent="0.2">
      <c r="A707">
        <f>ROW(LineærRegression_Valg[[#This Row],[Tabel ID]])-ROW(LineærRegression_Valg[[#Headers],[Tabel ID]])</f>
        <v>697</v>
      </c>
      <c r="B707" s="171">
        <f>ROUNDDOWN((LineærRegression_Valg[[#This Row],[Tabel ID]]-1)/$B$5,0)+1</f>
        <v>175</v>
      </c>
      <c r="C707" s="171">
        <f t="shared" si="10"/>
        <v>1</v>
      </c>
      <c r="D707" s="171" t="b">
        <f>LineærRegression_Valg[[#This Row],[Afhængig variabel ID]]&lt;&gt;LineærRegression_Valg[[#This Row],[Uafhængig variabel ID]]</f>
        <v>1</v>
      </c>
      <c r="E707" t="b">
        <f>LineærRegression_Valg[[#This Row],[Afhængig variabel ID]]&lt;=$B$5</f>
        <v>0</v>
      </c>
      <c r="F707" t="str" cm="1">
        <f t="array" ref="F707">IF(LineærRegression_Valg[[#This Row],[Indenfor range]],INDEX(DataTitel_liste,LineærRegression_Valg[[#This Row],[Afhængig variabel ID]]),INDEX(DataTitel_liste,1))</f>
        <v>Eksempel 1 (interval)</v>
      </c>
      <c r="G707" s="171" t="str" cm="1">
        <f t="array" ref="G707">IF(LineærRegression_Valg[[#This Row],[Indenfor range]],IF(LineærRegression_Valg[[#This Row],[Intet overlap]],INDEX(DataTitel_liste,LineærRegression_Valg[[#This Row],[Uafhængig variabel ID]]),INDEX(DataTitel_liste,IF(LineærRegression_Valg[[#This Row],[Afhængig variabel ID]]=1,2,1))),$B$7)</f>
        <v>Eksempel 2 (interval)</v>
      </c>
      <c r="H707" s="171">
        <f>_xlfn.AGGREGATE(2,5,LineærRegression_Valg[[#This Row],[Tabel ID]])</f>
        <v>1</v>
      </c>
    </row>
    <row r="708" spans="1:8" x14ac:dyDescent="0.2">
      <c r="A708">
        <f>ROW(LineærRegression_Valg[[#This Row],[Tabel ID]])-ROW(LineærRegression_Valg[[#Headers],[Tabel ID]])</f>
        <v>698</v>
      </c>
      <c r="B708" s="171">
        <f>ROUNDDOWN((LineærRegression_Valg[[#This Row],[Tabel ID]]-1)/$B$5,0)+1</f>
        <v>175</v>
      </c>
      <c r="C708" s="171">
        <f t="shared" si="10"/>
        <v>2</v>
      </c>
      <c r="D708" s="171" t="b">
        <f>LineærRegression_Valg[[#This Row],[Afhængig variabel ID]]&lt;&gt;LineærRegression_Valg[[#This Row],[Uafhængig variabel ID]]</f>
        <v>1</v>
      </c>
      <c r="E708" t="b">
        <f>LineærRegression_Valg[[#This Row],[Afhængig variabel ID]]&lt;=$B$5</f>
        <v>0</v>
      </c>
      <c r="F708" t="str" cm="1">
        <f t="array" ref="F708">IF(LineærRegression_Valg[[#This Row],[Indenfor range]],INDEX(DataTitel_liste,LineærRegression_Valg[[#This Row],[Afhængig variabel ID]]),INDEX(DataTitel_liste,1))</f>
        <v>Eksempel 1 (interval)</v>
      </c>
      <c r="G708" s="171" t="str" cm="1">
        <f t="array" ref="G708">IF(LineærRegression_Valg[[#This Row],[Indenfor range]],IF(LineærRegression_Valg[[#This Row],[Intet overlap]],INDEX(DataTitel_liste,LineærRegression_Valg[[#This Row],[Uafhængig variabel ID]]),INDEX(DataTitel_liste,IF(LineærRegression_Valg[[#This Row],[Afhængig variabel ID]]=1,2,1))),$B$7)</f>
        <v>Eksempel 2 (interval)</v>
      </c>
      <c r="H708" s="171">
        <f>_xlfn.AGGREGATE(2,5,LineærRegression_Valg[[#This Row],[Tabel ID]])</f>
        <v>1</v>
      </c>
    </row>
    <row r="709" spans="1:8" x14ac:dyDescent="0.2">
      <c r="A709">
        <f>ROW(LineærRegression_Valg[[#This Row],[Tabel ID]])-ROW(LineærRegression_Valg[[#Headers],[Tabel ID]])</f>
        <v>699</v>
      </c>
      <c r="B709" s="171">
        <f>ROUNDDOWN((LineærRegression_Valg[[#This Row],[Tabel ID]]-1)/$B$5,0)+1</f>
        <v>175</v>
      </c>
      <c r="C709" s="171">
        <f t="shared" si="10"/>
        <v>3</v>
      </c>
      <c r="D709" s="171" t="b">
        <f>LineærRegression_Valg[[#This Row],[Afhængig variabel ID]]&lt;&gt;LineærRegression_Valg[[#This Row],[Uafhængig variabel ID]]</f>
        <v>1</v>
      </c>
      <c r="E709" t="b">
        <f>LineærRegression_Valg[[#This Row],[Afhængig variabel ID]]&lt;=$B$5</f>
        <v>0</v>
      </c>
      <c r="F709" t="str" cm="1">
        <f t="array" ref="F709">IF(LineærRegression_Valg[[#This Row],[Indenfor range]],INDEX(DataTitel_liste,LineærRegression_Valg[[#This Row],[Afhængig variabel ID]]),INDEX(DataTitel_liste,1))</f>
        <v>Eksempel 1 (interval)</v>
      </c>
      <c r="G709" s="171" t="str" cm="1">
        <f t="array" ref="G709">IF(LineærRegression_Valg[[#This Row],[Indenfor range]],IF(LineærRegression_Valg[[#This Row],[Intet overlap]],INDEX(DataTitel_liste,LineærRegression_Valg[[#This Row],[Uafhængig variabel ID]]),INDEX(DataTitel_liste,IF(LineærRegression_Valg[[#This Row],[Afhængig variabel ID]]=1,2,1))),$B$7)</f>
        <v>Eksempel 2 (interval)</v>
      </c>
      <c r="H709" s="171">
        <f>_xlfn.AGGREGATE(2,5,LineærRegression_Valg[[#This Row],[Tabel ID]])</f>
        <v>1</v>
      </c>
    </row>
    <row r="710" spans="1:8" x14ac:dyDescent="0.2">
      <c r="A710">
        <f>ROW(LineærRegression_Valg[[#This Row],[Tabel ID]])-ROW(LineærRegression_Valg[[#Headers],[Tabel ID]])</f>
        <v>700</v>
      </c>
      <c r="B710" s="171">
        <f>ROUNDDOWN((LineærRegression_Valg[[#This Row],[Tabel ID]]-1)/$B$5,0)+1</f>
        <v>175</v>
      </c>
      <c r="C710" s="171">
        <f t="shared" si="10"/>
        <v>4</v>
      </c>
      <c r="D710" s="171" t="b">
        <f>LineærRegression_Valg[[#This Row],[Afhængig variabel ID]]&lt;&gt;LineærRegression_Valg[[#This Row],[Uafhængig variabel ID]]</f>
        <v>1</v>
      </c>
      <c r="E710" t="b">
        <f>LineærRegression_Valg[[#This Row],[Afhængig variabel ID]]&lt;=$B$5</f>
        <v>0</v>
      </c>
      <c r="F710" t="str" cm="1">
        <f t="array" ref="F710">IF(LineærRegression_Valg[[#This Row],[Indenfor range]],INDEX(DataTitel_liste,LineærRegression_Valg[[#This Row],[Afhængig variabel ID]]),INDEX(DataTitel_liste,1))</f>
        <v>Eksempel 1 (interval)</v>
      </c>
      <c r="G710" s="171" t="str" cm="1">
        <f t="array" ref="G710">IF(LineærRegression_Valg[[#This Row],[Indenfor range]],IF(LineærRegression_Valg[[#This Row],[Intet overlap]],INDEX(DataTitel_liste,LineærRegression_Valg[[#This Row],[Uafhængig variabel ID]]),INDEX(DataTitel_liste,IF(LineærRegression_Valg[[#This Row],[Afhængig variabel ID]]=1,2,1))),$B$7)</f>
        <v>Eksempel 2 (interval)</v>
      </c>
      <c r="H710" s="171">
        <f>_xlfn.AGGREGATE(2,5,LineærRegression_Valg[[#This Row],[Tabel ID]])</f>
        <v>1</v>
      </c>
    </row>
    <row r="711" spans="1:8" x14ac:dyDescent="0.2">
      <c r="A711">
        <f>ROW(LineærRegression_Valg[[#This Row],[Tabel ID]])-ROW(LineærRegression_Valg[[#Headers],[Tabel ID]])</f>
        <v>701</v>
      </c>
      <c r="B711" s="171">
        <f>ROUNDDOWN((LineærRegression_Valg[[#This Row],[Tabel ID]]-1)/$B$5,0)+1</f>
        <v>176</v>
      </c>
      <c r="C711" s="171">
        <f t="shared" si="10"/>
        <v>1</v>
      </c>
      <c r="D711" s="171" t="b">
        <f>LineærRegression_Valg[[#This Row],[Afhængig variabel ID]]&lt;&gt;LineærRegression_Valg[[#This Row],[Uafhængig variabel ID]]</f>
        <v>1</v>
      </c>
      <c r="E711" t="b">
        <f>LineærRegression_Valg[[#This Row],[Afhængig variabel ID]]&lt;=$B$5</f>
        <v>0</v>
      </c>
      <c r="F711" t="str" cm="1">
        <f t="array" ref="F711">IF(LineærRegression_Valg[[#This Row],[Indenfor range]],INDEX(DataTitel_liste,LineærRegression_Valg[[#This Row],[Afhængig variabel ID]]),INDEX(DataTitel_liste,1))</f>
        <v>Eksempel 1 (interval)</v>
      </c>
      <c r="G711" s="171" t="str" cm="1">
        <f t="array" ref="G711">IF(LineærRegression_Valg[[#This Row],[Indenfor range]],IF(LineærRegression_Valg[[#This Row],[Intet overlap]],INDEX(DataTitel_liste,LineærRegression_Valg[[#This Row],[Uafhængig variabel ID]]),INDEX(DataTitel_liste,IF(LineærRegression_Valg[[#This Row],[Afhængig variabel ID]]=1,2,1))),$B$7)</f>
        <v>Eksempel 2 (interval)</v>
      </c>
      <c r="H711" s="171">
        <f>_xlfn.AGGREGATE(2,5,LineærRegression_Valg[[#This Row],[Tabel ID]])</f>
        <v>1</v>
      </c>
    </row>
    <row r="712" spans="1:8" x14ac:dyDescent="0.2">
      <c r="A712">
        <f>ROW(LineærRegression_Valg[[#This Row],[Tabel ID]])-ROW(LineærRegression_Valg[[#Headers],[Tabel ID]])</f>
        <v>702</v>
      </c>
      <c r="B712" s="171">
        <f>ROUNDDOWN((LineærRegression_Valg[[#This Row],[Tabel ID]]-1)/$B$5,0)+1</f>
        <v>176</v>
      </c>
      <c r="C712" s="171">
        <f t="shared" si="10"/>
        <v>2</v>
      </c>
      <c r="D712" s="171" t="b">
        <f>LineærRegression_Valg[[#This Row],[Afhængig variabel ID]]&lt;&gt;LineærRegression_Valg[[#This Row],[Uafhængig variabel ID]]</f>
        <v>1</v>
      </c>
      <c r="E712" t="b">
        <f>LineærRegression_Valg[[#This Row],[Afhængig variabel ID]]&lt;=$B$5</f>
        <v>0</v>
      </c>
      <c r="F712" t="str" cm="1">
        <f t="array" ref="F712">IF(LineærRegression_Valg[[#This Row],[Indenfor range]],INDEX(DataTitel_liste,LineærRegression_Valg[[#This Row],[Afhængig variabel ID]]),INDEX(DataTitel_liste,1))</f>
        <v>Eksempel 1 (interval)</v>
      </c>
      <c r="G712" s="171" t="str" cm="1">
        <f t="array" ref="G712">IF(LineærRegression_Valg[[#This Row],[Indenfor range]],IF(LineærRegression_Valg[[#This Row],[Intet overlap]],INDEX(DataTitel_liste,LineærRegression_Valg[[#This Row],[Uafhængig variabel ID]]),INDEX(DataTitel_liste,IF(LineærRegression_Valg[[#This Row],[Afhængig variabel ID]]=1,2,1))),$B$7)</f>
        <v>Eksempel 2 (interval)</v>
      </c>
      <c r="H712" s="171">
        <f>_xlfn.AGGREGATE(2,5,LineærRegression_Valg[[#This Row],[Tabel ID]])</f>
        <v>1</v>
      </c>
    </row>
    <row r="713" spans="1:8" x14ac:dyDescent="0.2">
      <c r="A713">
        <f>ROW(LineærRegression_Valg[[#This Row],[Tabel ID]])-ROW(LineærRegression_Valg[[#Headers],[Tabel ID]])</f>
        <v>703</v>
      </c>
      <c r="B713" s="171">
        <f>ROUNDDOWN((LineærRegression_Valg[[#This Row],[Tabel ID]]-1)/$B$5,0)+1</f>
        <v>176</v>
      </c>
      <c r="C713" s="171">
        <f t="shared" si="10"/>
        <v>3</v>
      </c>
      <c r="D713" s="171" t="b">
        <f>LineærRegression_Valg[[#This Row],[Afhængig variabel ID]]&lt;&gt;LineærRegression_Valg[[#This Row],[Uafhængig variabel ID]]</f>
        <v>1</v>
      </c>
      <c r="E713" t="b">
        <f>LineærRegression_Valg[[#This Row],[Afhængig variabel ID]]&lt;=$B$5</f>
        <v>0</v>
      </c>
      <c r="F713" t="str" cm="1">
        <f t="array" ref="F713">IF(LineærRegression_Valg[[#This Row],[Indenfor range]],INDEX(DataTitel_liste,LineærRegression_Valg[[#This Row],[Afhængig variabel ID]]),INDEX(DataTitel_liste,1))</f>
        <v>Eksempel 1 (interval)</v>
      </c>
      <c r="G713" s="171" t="str" cm="1">
        <f t="array" ref="G713">IF(LineærRegression_Valg[[#This Row],[Indenfor range]],IF(LineærRegression_Valg[[#This Row],[Intet overlap]],INDEX(DataTitel_liste,LineærRegression_Valg[[#This Row],[Uafhængig variabel ID]]),INDEX(DataTitel_liste,IF(LineærRegression_Valg[[#This Row],[Afhængig variabel ID]]=1,2,1))),$B$7)</f>
        <v>Eksempel 2 (interval)</v>
      </c>
      <c r="H713" s="171">
        <f>_xlfn.AGGREGATE(2,5,LineærRegression_Valg[[#This Row],[Tabel ID]])</f>
        <v>1</v>
      </c>
    </row>
    <row r="714" spans="1:8" x14ac:dyDescent="0.2">
      <c r="A714">
        <f>ROW(LineærRegression_Valg[[#This Row],[Tabel ID]])-ROW(LineærRegression_Valg[[#Headers],[Tabel ID]])</f>
        <v>704</v>
      </c>
      <c r="B714" s="171">
        <f>ROUNDDOWN((LineærRegression_Valg[[#This Row],[Tabel ID]]-1)/$B$5,0)+1</f>
        <v>176</v>
      </c>
      <c r="C714" s="171">
        <f t="shared" si="10"/>
        <v>4</v>
      </c>
      <c r="D714" s="171" t="b">
        <f>LineærRegression_Valg[[#This Row],[Afhængig variabel ID]]&lt;&gt;LineærRegression_Valg[[#This Row],[Uafhængig variabel ID]]</f>
        <v>1</v>
      </c>
      <c r="E714" t="b">
        <f>LineærRegression_Valg[[#This Row],[Afhængig variabel ID]]&lt;=$B$5</f>
        <v>0</v>
      </c>
      <c r="F714" t="str" cm="1">
        <f t="array" ref="F714">IF(LineærRegression_Valg[[#This Row],[Indenfor range]],INDEX(DataTitel_liste,LineærRegression_Valg[[#This Row],[Afhængig variabel ID]]),INDEX(DataTitel_liste,1))</f>
        <v>Eksempel 1 (interval)</v>
      </c>
      <c r="G714" s="171" t="str" cm="1">
        <f t="array" ref="G714">IF(LineærRegression_Valg[[#This Row],[Indenfor range]],IF(LineærRegression_Valg[[#This Row],[Intet overlap]],INDEX(DataTitel_liste,LineærRegression_Valg[[#This Row],[Uafhængig variabel ID]]),INDEX(DataTitel_liste,IF(LineærRegression_Valg[[#This Row],[Afhængig variabel ID]]=1,2,1))),$B$7)</f>
        <v>Eksempel 2 (interval)</v>
      </c>
      <c r="H714" s="171">
        <f>_xlfn.AGGREGATE(2,5,LineærRegression_Valg[[#This Row],[Tabel ID]])</f>
        <v>1</v>
      </c>
    </row>
    <row r="715" spans="1:8" x14ac:dyDescent="0.2">
      <c r="A715">
        <f>ROW(LineærRegression_Valg[[#This Row],[Tabel ID]])-ROW(LineærRegression_Valg[[#Headers],[Tabel ID]])</f>
        <v>705</v>
      </c>
      <c r="B715" s="171">
        <f>ROUNDDOWN((LineærRegression_Valg[[#This Row],[Tabel ID]]-1)/$B$5,0)+1</f>
        <v>177</v>
      </c>
      <c r="C715" s="171">
        <f t="shared" ref="C715:C778" si="11">MOD(A715-1,$B$5)+1</f>
        <v>1</v>
      </c>
      <c r="D715" s="171" t="b">
        <f>LineærRegression_Valg[[#This Row],[Afhængig variabel ID]]&lt;&gt;LineærRegression_Valg[[#This Row],[Uafhængig variabel ID]]</f>
        <v>1</v>
      </c>
      <c r="E715" t="b">
        <f>LineærRegression_Valg[[#This Row],[Afhængig variabel ID]]&lt;=$B$5</f>
        <v>0</v>
      </c>
      <c r="F715" t="str" cm="1">
        <f t="array" ref="F715">IF(LineærRegression_Valg[[#This Row],[Indenfor range]],INDEX(DataTitel_liste,LineærRegression_Valg[[#This Row],[Afhængig variabel ID]]),INDEX(DataTitel_liste,1))</f>
        <v>Eksempel 1 (interval)</v>
      </c>
      <c r="G715" s="171" t="str" cm="1">
        <f t="array" ref="G715">IF(LineærRegression_Valg[[#This Row],[Indenfor range]],IF(LineærRegression_Valg[[#This Row],[Intet overlap]],INDEX(DataTitel_liste,LineærRegression_Valg[[#This Row],[Uafhængig variabel ID]]),INDEX(DataTitel_liste,IF(LineærRegression_Valg[[#This Row],[Afhængig variabel ID]]=1,2,1))),$B$7)</f>
        <v>Eksempel 2 (interval)</v>
      </c>
      <c r="H715" s="171">
        <f>_xlfn.AGGREGATE(2,5,LineærRegression_Valg[[#This Row],[Tabel ID]])</f>
        <v>1</v>
      </c>
    </row>
    <row r="716" spans="1:8" x14ac:dyDescent="0.2">
      <c r="A716">
        <f>ROW(LineærRegression_Valg[[#This Row],[Tabel ID]])-ROW(LineærRegression_Valg[[#Headers],[Tabel ID]])</f>
        <v>706</v>
      </c>
      <c r="B716" s="171">
        <f>ROUNDDOWN((LineærRegression_Valg[[#This Row],[Tabel ID]]-1)/$B$5,0)+1</f>
        <v>177</v>
      </c>
      <c r="C716" s="171">
        <f t="shared" si="11"/>
        <v>2</v>
      </c>
      <c r="D716" s="171" t="b">
        <f>LineærRegression_Valg[[#This Row],[Afhængig variabel ID]]&lt;&gt;LineærRegression_Valg[[#This Row],[Uafhængig variabel ID]]</f>
        <v>1</v>
      </c>
      <c r="E716" t="b">
        <f>LineærRegression_Valg[[#This Row],[Afhængig variabel ID]]&lt;=$B$5</f>
        <v>0</v>
      </c>
      <c r="F716" t="str" cm="1">
        <f t="array" ref="F716">IF(LineærRegression_Valg[[#This Row],[Indenfor range]],INDEX(DataTitel_liste,LineærRegression_Valg[[#This Row],[Afhængig variabel ID]]),INDEX(DataTitel_liste,1))</f>
        <v>Eksempel 1 (interval)</v>
      </c>
      <c r="G716" s="171" t="str" cm="1">
        <f t="array" ref="G716">IF(LineærRegression_Valg[[#This Row],[Indenfor range]],IF(LineærRegression_Valg[[#This Row],[Intet overlap]],INDEX(DataTitel_liste,LineærRegression_Valg[[#This Row],[Uafhængig variabel ID]]),INDEX(DataTitel_liste,IF(LineærRegression_Valg[[#This Row],[Afhængig variabel ID]]=1,2,1))),$B$7)</f>
        <v>Eksempel 2 (interval)</v>
      </c>
      <c r="H716" s="171">
        <f>_xlfn.AGGREGATE(2,5,LineærRegression_Valg[[#This Row],[Tabel ID]])</f>
        <v>1</v>
      </c>
    </row>
    <row r="717" spans="1:8" x14ac:dyDescent="0.2">
      <c r="A717">
        <f>ROW(LineærRegression_Valg[[#This Row],[Tabel ID]])-ROW(LineærRegression_Valg[[#Headers],[Tabel ID]])</f>
        <v>707</v>
      </c>
      <c r="B717" s="171">
        <f>ROUNDDOWN((LineærRegression_Valg[[#This Row],[Tabel ID]]-1)/$B$5,0)+1</f>
        <v>177</v>
      </c>
      <c r="C717" s="171">
        <f t="shared" si="11"/>
        <v>3</v>
      </c>
      <c r="D717" s="171" t="b">
        <f>LineærRegression_Valg[[#This Row],[Afhængig variabel ID]]&lt;&gt;LineærRegression_Valg[[#This Row],[Uafhængig variabel ID]]</f>
        <v>1</v>
      </c>
      <c r="E717" t="b">
        <f>LineærRegression_Valg[[#This Row],[Afhængig variabel ID]]&lt;=$B$5</f>
        <v>0</v>
      </c>
      <c r="F717" t="str" cm="1">
        <f t="array" ref="F717">IF(LineærRegression_Valg[[#This Row],[Indenfor range]],INDEX(DataTitel_liste,LineærRegression_Valg[[#This Row],[Afhængig variabel ID]]),INDEX(DataTitel_liste,1))</f>
        <v>Eksempel 1 (interval)</v>
      </c>
      <c r="G717" s="171" t="str" cm="1">
        <f t="array" ref="G717">IF(LineærRegression_Valg[[#This Row],[Indenfor range]],IF(LineærRegression_Valg[[#This Row],[Intet overlap]],INDEX(DataTitel_liste,LineærRegression_Valg[[#This Row],[Uafhængig variabel ID]]),INDEX(DataTitel_liste,IF(LineærRegression_Valg[[#This Row],[Afhængig variabel ID]]=1,2,1))),$B$7)</f>
        <v>Eksempel 2 (interval)</v>
      </c>
      <c r="H717" s="171">
        <f>_xlfn.AGGREGATE(2,5,LineærRegression_Valg[[#This Row],[Tabel ID]])</f>
        <v>1</v>
      </c>
    </row>
    <row r="718" spans="1:8" x14ac:dyDescent="0.2">
      <c r="A718">
        <f>ROW(LineærRegression_Valg[[#This Row],[Tabel ID]])-ROW(LineærRegression_Valg[[#Headers],[Tabel ID]])</f>
        <v>708</v>
      </c>
      <c r="B718" s="171">
        <f>ROUNDDOWN((LineærRegression_Valg[[#This Row],[Tabel ID]]-1)/$B$5,0)+1</f>
        <v>177</v>
      </c>
      <c r="C718" s="171">
        <f t="shared" si="11"/>
        <v>4</v>
      </c>
      <c r="D718" s="171" t="b">
        <f>LineærRegression_Valg[[#This Row],[Afhængig variabel ID]]&lt;&gt;LineærRegression_Valg[[#This Row],[Uafhængig variabel ID]]</f>
        <v>1</v>
      </c>
      <c r="E718" t="b">
        <f>LineærRegression_Valg[[#This Row],[Afhængig variabel ID]]&lt;=$B$5</f>
        <v>0</v>
      </c>
      <c r="F718" t="str" cm="1">
        <f t="array" ref="F718">IF(LineærRegression_Valg[[#This Row],[Indenfor range]],INDEX(DataTitel_liste,LineærRegression_Valg[[#This Row],[Afhængig variabel ID]]),INDEX(DataTitel_liste,1))</f>
        <v>Eksempel 1 (interval)</v>
      </c>
      <c r="G718" s="171" t="str" cm="1">
        <f t="array" ref="G718">IF(LineærRegression_Valg[[#This Row],[Indenfor range]],IF(LineærRegression_Valg[[#This Row],[Intet overlap]],INDEX(DataTitel_liste,LineærRegression_Valg[[#This Row],[Uafhængig variabel ID]]),INDEX(DataTitel_liste,IF(LineærRegression_Valg[[#This Row],[Afhængig variabel ID]]=1,2,1))),$B$7)</f>
        <v>Eksempel 2 (interval)</v>
      </c>
      <c r="H718" s="171">
        <f>_xlfn.AGGREGATE(2,5,LineærRegression_Valg[[#This Row],[Tabel ID]])</f>
        <v>1</v>
      </c>
    </row>
    <row r="719" spans="1:8" x14ac:dyDescent="0.2">
      <c r="A719">
        <f>ROW(LineærRegression_Valg[[#This Row],[Tabel ID]])-ROW(LineærRegression_Valg[[#Headers],[Tabel ID]])</f>
        <v>709</v>
      </c>
      <c r="B719" s="171">
        <f>ROUNDDOWN((LineærRegression_Valg[[#This Row],[Tabel ID]]-1)/$B$5,0)+1</f>
        <v>178</v>
      </c>
      <c r="C719" s="171">
        <f t="shared" si="11"/>
        <v>1</v>
      </c>
      <c r="D719" s="171" t="b">
        <f>LineærRegression_Valg[[#This Row],[Afhængig variabel ID]]&lt;&gt;LineærRegression_Valg[[#This Row],[Uafhængig variabel ID]]</f>
        <v>1</v>
      </c>
      <c r="E719" t="b">
        <f>LineærRegression_Valg[[#This Row],[Afhængig variabel ID]]&lt;=$B$5</f>
        <v>0</v>
      </c>
      <c r="F719" t="str" cm="1">
        <f t="array" ref="F719">IF(LineærRegression_Valg[[#This Row],[Indenfor range]],INDEX(DataTitel_liste,LineærRegression_Valg[[#This Row],[Afhængig variabel ID]]),INDEX(DataTitel_liste,1))</f>
        <v>Eksempel 1 (interval)</v>
      </c>
      <c r="G719" s="171" t="str" cm="1">
        <f t="array" ref="G719">IF(LineærRegression_Valg[[#This Row],[Indenfor range]],IF(LineærRegression_Valg[[#This Row],[Intet overlap]],INDEX(DataTitel_liste,LineærRegression_Valg[[#This Row],[Uafhængig variabel ID]]),INDEX(DataTitel_liste,IF(LineærRegression_Valg[[#This Row],[Afhængig variabel ID]]=1,2,1))),$B$7)</f>
        <v>Eksempel 2 (interval)</v>
      </c>
      <c r="H719" s="171">
        <f>_xlfn.AGGREGATE(2,5,LineærRegression_Valg[[#This Row],[Tabel ID]])</f>
        <v>1</v>
      </c>
    </row>
    <row r="720" spans="1:8" x14ac:dyDescent="0.2">
      <c r="A720">
        <f>ROW(LineærRegression_Valg[[#This Row],[Tabel ID]])-ROW(LineærRegression_Valg[[#Headers],[Tabel ID]])</f>
        <v>710</v>
      </c>
      <c r="B720" s="171">
        <f>ROUNDDOWN((LineærRegression_Valg[[#This Row],[Tabel ID]]-1)/$B$5,0)+1</f>
        <v>178</v>
      </c>
      <c r="C720" s="171">
        <f t="shared" si="11"/>
        <v>2</v>
      </c>
      <c r="D720" s="171" t="b">
        <f>LineærRegression_Valg[[#This Row],[Afhængig variabel ID]]&lt;&gt;LineærRegression_Valg[[#This Row],[Uafhængig variabel ID]]</f>
        <v>1</v>
      </c>
      <c r="E720" t="b">
        <f>LineærRegression_Valg[[#This Row],[Afhængig variabel ID]]&lt;=$B$5</f>
        <v>0</v>
      </c>
      <c r="F720" t="str" cm="1">
        <f t="array" ref="F720">IF(LineærRegression_Valg[[#This Row],[Indenfor range]],INDEX(DataTitel_liste,LineærRegression_Valg[[#This Row],[Afhængig variabel ID]]),INDEX(DataTitel_liste,1))</f>
        <v>Eksempel 1 (interval)</v>
      </c>
      <c r="G720" s="171" t="str" cm="1">
        <f t="array" ref="G720">IF(LineærRegression_Valg[[#This Row],[Indenfor range]],IF(LineærRegression_Valg[[#This Row],[Intet overlap]],INDEX(DataTitel_liste,LineærRegression_Valg[[#This Row],[Uafhængig variabel ID]]),INDEX(DataTitel_liste,IF(LineærRegression_Valg[[#This Row],[Afhængig variabel ID]]=1,2,1))),$B$7)</f>
        <v>Eksempel 2 (interval)</v>
      </c>
      <c r="H720" s="171">
        <f>_xlfn.AGGREGATE(2,5,LineærRegression_Valg[[#This Row],[Tabel ID]])</f>
        <v>1</v>
      </c>
    </row>
    <row r="721" spans="1:8" x14ac:dyDescent="0.2">
      <c r="A721">
        <f>ROW(LineærRegression_Valg[[#This Row],[Tabel ID]])-ROW(LineærRegression_Valg[[#Headers],[Tabel ID]])</f>
        <v>711</v>
      </c>
      <c r="B721" s="171">
        <f>ROUNDDOWN((LineærRegression_Valg[[#This Row],[Tabel ID]]-1)/$B$5,0)+1</f>
        <v>178</v>
      </c>
      <c r="C721" s="171">
        <f t="shared" si="11"/>
        <v>3</v>
      </c>
      <c r="D721" s="171" t="b">
        <f>LineærRegression_Valg[[#This Row],[Afhængig variabel ID]]&lt;&gt;LineærRegression_Valg[[#This Row],[Uafhængig variabel ID]]</f>
        <v>1</v>
      </c>
      <c r="E721" t="b">
        <f>LineærRegression_Valg[[#This Row],[Afhængig variabel ID]]&lt;=$B$5</f>
        <v>0</v>
      </c>
      <c r="F721" t="str" cm="1">
        <f t="array" ref="F721">IF(LineærRegression_Valg[[#This Row],[Indenfor range]],INDEX(DataTitel_liste,LineærRegression_Valg[[#This Row],[Afhængig variabel ID]]),INDEX(DataTitel_liste,1))</f>
        <v>Eksempel 1 (interval)</v>
      </c>
      <c r="G721" s="171" t="str" cm="1">
        <f t="array" ref="G721">IF(LineærRegression_Valg[[#This Row],[Indenfor range]],IF(LineærRegression_Valg[[#This Row],[Intet overlap]],INDEX(DataTitel_liste,LineærRegression_Valg[[#This Row],[Uafhængig variabel ID]]),INDEX(DataTitel_liste,IF(LineærRegression_Valg[[#This Row],[Afhængig variabel ID]]=1,2,1))),$B$7)</f>
        <v>Eksempel 2 (interval)</v>
      </c>
      <c r="H721" s="171">
        <f>_xlfn.AGGREGATE(2,5,LineærRegression_Valg[[#This Row],[Tabel ID]])</f>
        <v>1</v>
      </c>
    </row>
    <row r="722" spans="1:8" x14ac:dyDescent="0.2">
      <c r="A722">
        <f>ROW(LineærRegression_Valg[[#This Row],[Tabel ID]])-ROW(LineærRegression_Valg[[#Headers],[Tabel ID]])</f>
        <v>712</v>
      </c>
      <c r="B722" s="171">
        <f>ROUNDDOWN((LineærRegression_Valg[[#This Row],[Tabel ID]]-1)/$B$5,0)+1</f>
        <v>178</v>
      </c>
      <c r="C722" s="171">
        <f t="shared" si="11"/>
        <v>4</v>
      </c>
      <c r="D722" s="171" t="b">
        <f>LineærRegression_Valg[[#This Row],[Afhængig variabel ID]]&lt;&gt;LineærRegression_Valg[[#This Row],[Uafhængig variabel ID]]</f>
        <v>1</v>
      </c>
      <c r="E722" t="b">
        <f>LineærRegression_Valg[[#This Row],[Afhængig variabel ID]]&lt;=$B$5</f>
        <v>0</v>
      </c>
      <c r="F722" t="str" cm="1">
        <f t="array" ref="F722">IF(LineærRegression_Valg[[#This Row],[Indenfor range]],INDEX(DataTitel_liste,LineærRegression_Valg[[#This Row],[Afhængig variabel ID]]),INDEX(DataTitel_liste,1))</f>
        <v>Eksempel 1 (interval)</v>
      </c>
      <c r="G722" s="171" t="str" cm="1">
        <f t="array" ref="G722">IF(LineærRegression_Valg[[#This Row],[Indenfor range]],IF(LineærRegression_Valg[[#This Row],[Intet overlap]],INDEX(DataTitel_liste,LineærRegression_Valg[[#This Row],[Uafhængig variabel ID]]),INDEX(DataTitel_liste,IF(LineærRegression_Valg[[#This Row],[Afhængig variabel ID]]=1,2,1))),$B$7)</f>
        <v>Eksempel 2 (interval)</v>
      </c>
      <c r="H722" s="171">
        <f>_xlfn.AGGREGATE(2,5,LineærRegression_Valg[[#This Row],[Tabel ID]])</f>
        <v>1</v>
      </c>
    </row>
    <row r="723" spans="1:8" x14ac:dyDescent="0.2">
      <c r="A723">
        <f>ROW(LineærRegression_Valg[[#This Row],[Tabel ID]])-ROW(LineærRegression_Valg[[#Headers],[Tabel ID]])</f>
        <v>713</v>
      </c>
      <c r="B723" s="171">
        <f>ROUNDDOWN((LineærRegression_Valg[[#This Row],[Tabel ID]]-1)/$B$5,0)+1</f>
        <v>179</v>
      </c>
      <c r="C723" s="171">
        <f t="shared" si="11"/>
        <v>1</v>
      </c>
      <c r="D723" s="171" t="b">
        <f>LineærRegression_Valg[[#This Row],[Afhængig variabel ID]]&lt;&gt;LineærRegression_Valg[[#This Row],[Uafhængig variabel ID]]</f>
        <v>1</v>
      </c>
      <c r="E723" t="b">
        <f>LineærRegression_Valg[[#This Row],[Afhængig variabel ID]]&lt;=$B$5</f>
        <v>0</v>
      </c>
      <c r="F723" t="str" cm="1">
        <f t="array" ref="F723">IF(LineærRegression_Valg[[#This Row],[Indenfor range]],INDEX(DataTitel_liste,LineærRegression_Valg[[#This Row],[Afhængig variabel ID]]),INDEX(DataTitel_liste,1))</f>
        <v>Eksempel 1 (interval)</v>
      </c>
      <c r="G723" s="171" t="str" cm="1">
        <f t="array" ref="G723">IF(LineærRegression_Valg[[#This Row],[Indenfor range]],IF(LineærRegression_Valg[[#This Row],[Intet overlap]],INDEX(DataTitel_liste,LineærRegression_Valg[[#This Row],[Uafhængig variabel ID]]),INDEX(DataTitel_liste,IF(LineærRegression_Valg[[#This Row],[Afhængig variabel ID]]=1,2,1))),$B$7)</f>
        <v>Eksempel 2 (interval)</v>
      </c>
      <c r="H723" s="171">
        <f>_xlfn.AGGREGATE(2,5,LineærRegression_Valg[[#This Row],[Tabel ID]])</f>
        <v>1</v>
      </c>
    </row>
    <row r="724" spans="1:8" x14ac:dyDescent="0.2">
      <c r="A724">
        <f>ROW(LineærRegression_Valg[[#This Row],[Tabel ID]])-ROW(LineærRegression_Valg[[#Headers],[Tabel ID]])</f>
        <v>714</v>
      </c>
      <c r="B724" s="171">
        <f>ROUNDDOWN((LineærRegression_Valg[[#This Row],[Tabel ID]]-1)/$B$5,0)+1</f>
        <v>179</v>
      </c>
      <c r="C724" s="171">
        <f t="shared" si="11"/>
        <v>2</v>
      </c>
      <c r="D724" s="171" t="b">
        <f>LineærRegression_Valg[[#This Row],[Afhængig variabel ID]]&lt;&gt;LineærRegression_Valg[[#This Row],[Uafhængig variabel ID]]</f>
        <v>1</v>
      </c>
      <c r="E724" t="b">
        <f>LineærRegression_Valg[[#This Row],[Afhængig variabel ID]]&lt;=$B$5</f>
        <v>0</v>
      </c>
      <c r="F724" t="str" cm="1">
        <f t="array" ref="F724">IF(LineærRegression_Valg[[#This Row],[Indenfor range]],INDEX(DataTitel_liste,LineærRegression_Valg[[#This Row],[Afhængig variabel ID]]),INDEX(DataTitel_liste,1))</f>
        <v>Eksempel 1 (interval)</v>
      </c>
      <c r="G724" s="171" t="str" cm="1">
        <f t="array" ref="G724">IF(LineærRegression_Valg[[#This Row],[Indenfor range]],IF(LineærRegression_Valg[[#This Row],[Intet overlap]],INDEX(DataTitel_liste,LineærRegression_Valg[[#This Row],[Uafhængig variabel ID]]),INDEX(DataTitel_liste,IF(LineærRegression_Valg[[#This Row],[Afhængig variabel ID]]=1,2,1))),$B$7)</f>
        <v>Eksempel 2 (interval)</v>
      </c>
      <c r="H724" s="171">
        <f>_xlfn.AGGREGATE(2,5,LineærRegression_Valg[[#This Row],[Tabel ID]])</f>
        <v>1</v>
      </c>
    </row>
    <row r="725" spans="1:8" x14ac:dyDescent="0.2">
      <c r="A725">
        <f>ROW(LineærRegression_Valg[[#This Row],[Tabel ID]])-ROW(LineærRegression_Valg[[#Headers],[Tabel ID]])</f>
        <v>715</v>
      </c>
      <c r="B725" s="171">
        <f>ROUNDDOWN((LineærRegression_Valg[[#This Row],[Tabel ID]]-1)/$B$5,0)+1</f>
        <v>179</v>
      </c>
      <c r="C725" s="171">
        <f t="shared" si="11"/>
        <v>3</v>
      </c>
      <c r="D725" s="171" t="b">
        <f>LineærRegression_Valg[[#This Row],[Afhængig variabel ID]]&lt;&gt;LineærRegression_Valg[[#This Row],[Uafhængig variabel ID]]</f>
        <v>1</v>
      </c>
      <c r="E725" t="b">
        <f>LineærRegression_Valg[[#This Row],[Afhængig variabel ID]]&lt;=$B$5</f>
        <v>0</v>
      </c>
      <c r="F725" t="str" cm="1">
        <f t="array" ref="F725">IF(LineærRegression_Valg[[#This Row],[Indenfor range]],INDEX(DataTitel_liste,LineærRegression_Valg[[#This Row],[Afhængig variabel ID]]),INDEX(DataTitel_liste,1))</f>
        <v>Eksempel 1 (interval)</v>
      </c>
      <c r="G725" s="171" t="str" cm="1">
        <f t="array" ref="G725">IF(LineærRegression_Valg[[#This Row],[Indenfor range]],IF(LineærRegression_Valg[[#This Row],[Intet overlap]],INDEX(DataTitel_liste,LineærRegression_Valg[[#This Row],[Uafhængig variabel ID]]),INDEX(DataTitel_liste,IF(LineærRegression_Valg[[#This Row],[Afhængig variabel ID]]=1,2,1))),$B$7)</f>
        <v>Eksempel 2 (interval)</v>
      </c>
      <c r="H725" s="171">
        <f>_xlfn.AGGREGATE(2,5,LineærRegression_Valg[[#This Row],[Tabel ID]])</f>
        <v>1</v>
      </c>
    </row>
    <row r="726" spans="1:8" x14ac:dyDescent="0.2">
      <c r="A726">
        <f>ROW(LineærRegression_Valg[[#This Row],[Tabel ID]])-ROW(LineærRegression_Valg[[#Headers],[Tabel ID]])</f>
        <v>716</v>
      </c>
      <c r="B726" s="171">
        <f>ROUNDDOWN((LineærRegression_Valg[[#This Row],[Tabel ID]]-1)/$B$5,0)+1</f>
        <v>179</v>
      </c>
      <c r="C726" s="171">
        <f t="shared" si="11"/>
        <v>4</v>
      </c>
      <c r="D726" s="171" t="b">
        <f>LineærRegression_Valg[[#This Row],[Afhængig variabel ID]]&lt;&gt;LineærRegression_Valg[[#This Row],[Uafhængig variabel ID]]</f>
        <v>1</v>
      </c>
      <c r="E726" t="b">
        <f>LineærRegression_Valg[[#This Row],[Afhængig variabel ID]]&lt;=$B$5</f>
        <v>0</v>
      </c>
      <c r="F726" t="str" cm="1">
        <f t="array" ref="F726">IF(LineærRegression_Valg[[#This Row],[Indenfor range]],INDEX(DataTitel_liste,LineærRegression_Valg[[#This Row],[Afhængig variabel ID]]),INDEX(DataTitel_liste,1))</f>
        <v>Eksempel 1 (interval)</v>
      </c>
      <c r="G726" s="171" t="str" cm="1">
        <f t="array" ref="G726">IF(LineærRegression_Valg[[#This Row],[Indenfor range]],IF(LineærRegression_Valg[[#This Row],[Intet overlap]],INDEX(DataTitel_liste,LineærRegression_Valg[[#This Row],[Uafhængig variabel ID]]),INDEX(DataTitel_liste,IF(LineærRegression_Valg[[#This Row],[Afhængig variabel ID]]=1,2,1))),$B$7)</f>
        <v>Eksempel 2 (interval)</v>
      </c>
      <c r="H726" s="171">
        <f>_xlfn.AGGREGATE(2,5,LineærRegression_Valg[[#This Row],[Tabel ID]])</f>
        <v>1</v>
      </c>
    </row>
    <row r="727" spans="1:8" x14ac:dyDescent="0.2">
      <c r="A727">
        <f>ROW(LineærRegression_Valg[[#This Row],[Tabel ID]])-ROW(LineærRegression_Valg[[#Headers],[Tabel ID]])</f>
        <v>717</v>
      </c>
      <c r="B727" s="171">
        <f>ROUNDDOWN((LineærRegression_Valg[[#This Row],[Tabel ID]]-1)/$B$5,0)+1</f>
        <v>180</v>
      </c>
      <c r="C727" s="171">
        <f t="shared" si="11"/>
        <v>1</v>
      </c>
      <c r="D727" s="171" t="b">
        <f>LineærRegression_Valg[[#This Row],[Afhængig variabel ID]]&lt;&gt;LineærRegression_Valg[[#This Row],[Uafhængig variabel ID]]</f>
        <v>1</v>
      </c>
      <c r="E727" t="b">
        <f>LineærRegression_Valg[[#This Row],[Afhængig variabel ID]]&lt;=$B$5</f>
        <v>0</v>
      </c>
      <c r="F727" t="str" cm="1">
        <f t="array" ref="F727">IF(LineærRegression_Valg[[#This Row],[Indenfor range]],INDEX(DataTitel_liste,LineærRegression_Valg[[#This Row],[Afhængig variabel ID]]),INDEX(DataTitel_liste,1))</f>
        <v>Eksempel 1 (interval)</v>
      </c>
      <c r="G727" s="171" t="str" cm="1">
        <f t="array" ref="G727">IF(LineærRegression_Valg[[#This Row],[Indenfor range]],IF(LineærRegression_Valg[[#This Row],[Intet overlap]],INDEX(DataTitel_liste,LineærRegression_Valg[[#This Row],[Uafhængig variabel ID]]),INDEX(DataTitel_liste,IF(LineærRegression_Valg[[#This Row],[Afhængig variabel ID]]=1,2,1))),$B$7)</f>
        <v>Eksempel 2 (interval)</v>
      </c>
      <c r="H727" s="171">
        <f>_xlfn.AGGREGATE(2,5,LineærRegression_Valg[[#This Row],[Tabel ID]])</f>
        <v>1</v>
      </c>
    </row>
    <row r="728" spans="1:8" x14ac:dyDescent="0.2">
      <c r="A728">
        <f>ROW(LineærRegression_Valg[[#This Row],[Tabel ID]])-ROW(LineærRegression_Valg[[#Headers],[Tabel ID]])</f>
        <v>718</v>
      </c>
      <c r="B728" s="171">
        <f>ROUNDDOWN((LineærRegression_Valg[[#This Row],[Tabel ID]]-1)/$B$5,0)+1</f>
        <v>180</v>
      </c>
      <c r="C728" s="171">
        <f t="shared" si="11"/>
        <v>2</v>
      </c>
      <c r="D728" s="171" t="b">
        <f>LineærRegression_Valg[[#This Row],[Afhængig variabel ID]]&lt;&gt;LineærRegression_Valg[[#This Row],[Uafhængig variabel ID]]</f>
        <v>1</v>
      </c>
      <c r="E728" t="b">
        <f>LineærRegression_Valg[[#This Row],[Afhængig variabel ID]]&lt;=$B$5</f>
        <v>0</v>
      </c>
      <c r="F728" t="str" cm="1">
        <f t="array" ref="F728">IF(LineærRegression_Valg[[#This Row],[Indenfor range]],INDEX(DataTitel_liste,LineærRegression_Valg[[#This Row],[Afhængig variabel ID]]),INDEX(DataTitel_liste,1))</f>
        <v>Eksempel 1 (interval)</v>
      </c>
      <c r="G728" s="171" t="str" cm="1">
        <f t="array" ref="G728">IF(LineærRegression_Valg[[#This Row],[Indenfor range]],IF(LineærRegression_Valg[[#This Row],[Intet overlap]],INDEX(DataTitel_liste,LineærRegression_Valg[[#This Row],[Uafhængig variabel ID]]),INDEX(DataTitel_liste,IF(LineærRegression_Valg[[#This Row],[Afhængig variabel ID]]=1,2,1))),$B$7)</f>
        <v>Eksempel 2 (interval)</v>
      </c>
      <c r="H728" s="171">
        <f>_xlfn.AGGREGATE(2,5,LineærRegression_Valg[[#This Row],[Tabel ID]])</f>
        <v>1</v>
      </c>
    </row>
    <row r="729" spans="1:8" x14ac:dyDescent="0.2">
      <c r="A729">
        <f>ROW(LineærRegression_Valg[[#This Row],[Tabel ID]])-ROW(LineærRegression_Valg[[#Headers],[Tabel ID]])</f>
        <v>719</v>
      </c>
      <c r="B729" s="171">
        <f>ROUNDDOWN((LineærRegression_Valg[[#This Row],[Tabel ID]]-1)/$B$5,0)+1</f>
        <v>180</v>
      </c>
      <c r="C729" s="171">
        <f t="shared" si="11"/>
        <v>3</v>
      </c>
      <c r="D729" s="171" t="b">
        <f>LineærRegression_Valg[[#This Row],[Afhængig variabel ID]]&lt;&gt;LineærRegression_Valg[[#This Row],[Uafhængig variabel ID]]</f>
        <v>1</v>
      </c>
      <c r="E729" t="b">
        <f>LineærRegression_Valg[[#This Row],[Afhængig variabel ID]]&lt;=$B$5</f>
        <v>0</v>
      </c>
      <c r="F729" t="str" cm="1">
        <f t="array" ref="F729">IF(LineærRegression_Valg[[#This Row],[Indenfor range]],INDEX(DataTitel_liste,LineærRegression_Valg[[#This Row],[Afhængig variabel ID]]),INDEX(DataTitel_liste,1))</f>
        <v>Eksempel 1 (interval)</v>
      </c>
      <c r="G729" s="171" t="str" cm="1">
        <f t="array" ref="G729">IF(LineærRegression_Valg[[#This Row],[Indenfor range]],IF(LineærRegression_Valg[[#This Row],[Intet overlap]],INDEX(DataTitel_liste,LineærRegression_Valg[[#This Row],[Uafhængig variabel ID]]),INDEX(DataTitel_liste,IF(LineærRegression_Valg[[#This Row],[Afhængig variabel ID]]=1,2,1))),$B$7)</f>
        <v>Eksempel 2 (interval)</v>
      </c>
      <c r="H729" s="171">
        <f>_xlfn.AGGREGATE(2,5,LineærRegression_Valg[[#This Row],[Tabel ID]])</f>
        <v>1</v>
      </c>
    </row>
    <row r="730" spans="1:8" x14ac:dyDescent="0.2">
      <c r="A730">
        <f>ROW(LineærRegression_Valg[[#This Row],[Tabel ID]])-ROW(LineærRegression_Valg[[#Headers],[Tabel ID]])</f>
        <v>720</v>
      </c>
      <c r="B730" s="171">
        <f>ROUNDDOWN((LineærRegression_Valg[[#This Row],[Tabel ID]]-1)/$B$5,0)+1</f>
        <v>180</v>
      </c>
      <c r="C730" s="171">
        <f t="shared" si="11"/>
        <v>4</v>
      </c>
      <c r="D730" s="171" t="b">
        <f>LineærRegression_Valg[[#This Row],[Afhængig variabel ID]]&lt;&gt;LineærRegression_Valg[[#This Row],[Uafhængig variabel ID]]</f>
        <v>1</v>
      </c>
      <c r="E730" t="b">
        <f>LineærRegression_Valg[[#This Row],[Afhængig variabel ID]]&lt;=$B$5</f>
        <v>0</v>
      </c>
      <c r="F730" t="str" cm="1">
        <f t="array" ref="F730">IF(LineærRegression_Valg[[#This Row],[Indenfor range]],INDEX(DataTitel_liste,LineærRegression_Valg[[#This Row],[Afhængig variabel ID]]),INDEX(DataTitel_liste,1))</f>
        <v>Eksempel 1 (interval)</v>
      </c>
      <c r="G730" s="171" t="str" cm="1">
        <f t="array" ref="G730">IF(LineærRegression_Valg[[#This Row],[Indenfor range]],IF(LineærRegression_Valg[[#This Row],[Intet overlap]],INDEX(DataTitel_liste,LineærRegression_Valg[[#This Row],[Uafhængig variabel ID]]),INDEX(DataTitel_liste,IF(LineærRegression_Valg[[#This Row],[Afhængig variabel ID]]=1,2,1))),$B$7)</f>
        <v>Eksempel 2 (interval)</v>
      </c>
      <c r="H730" s="171">
        <f>_xlfn.AGGREGATE(2,5,LineærRegression_Valg[[#This Row],[Tabel ID]])</f>
        <v>1</v>
      </c>
    </row>
    <row r="731" spans="1:8" x14ac:dyDescent="0.2">
      <c r="A731">
        <f>ROW(LineærRegression_Valg[[#This Row],[Tabel ID]])-ROW(LineærRegression_Valg[[#Headers],[Tabel ID]])</f>
        <v>721</v>
      </c>
      <c r="B731" s="171">
        <f>ROUNDDOWN((LineærRegression_Valg[[#This Row],[Tabel ID]]-1)/$B$5,0)+1</f>
        <v>181</v>
      </c>
      <c r="C731" s="171">
        <f t="shared" si="11"/>
        <v>1</v>
      </c>
      <c r="D731" s="171" t="b">
        <f>LineærRegression_Valg[[#This Row],[Afhængig variabel ID]]&lt;&gt;LineærRegression_Valg[[#This Row],[Uafhængig variabel ID]]</f>
        <v>1</v>
      </c>
      <c r="E731" t="b">
        <f>LineærRegression_Valg[[#This Row],[Afhængig variabel ID]]&lt;=$B$5</f>
        <v>0</v>
      </c>
      <c r="F731" t="str" cm="1">
        <f t="array" ref="F731">IF(LineærRegression_Valg[[#This Row],[Indenfor range]],INDEX(DataTitel_liste,LineærRegression_Valg[[#This Row],[Afhængig variabel ID]]),INDEX(DataTitel_liste,1))</f>
        <v>Eksempel 1 (interval)</v>
      </c>
      <c r="G731" s="171" t="str" cm="1">
        <f t="array" ref="G731">IF(LineærRegression_Valg[[#This Row],[Indenfor range]],IF(LineærRegression_Valg[[#This Row],[Intet overlap]],INDEX(DataTitel_liste,LineærRegression_Valg[[#This Row],[Uafhængig variabel ID]]),INDEX(DataTitel_liste,IF(LineærRegression_Valg[[#This Row],[Afhængig variabel ID]]=1,2,1))),$B$7)</f>
        <v>Eksempel 2 (interval)</v>
      </c>
      <c r="H731" s="171">
        <f>_xlfn.AGGREGATE(2,5,LineærRegression_Valg[[#This Row],[Tabel ID]])</f>
        <v>1</v>
      </c>
    </row>
    <row r="732" spans="1:8" x14ac:dyDescent="0.2">
      <c r="A732">
        <f>ROW(LineærRegression_Valg[[#This Row],[Tabel ID]])-ROW(LineærRegression_Valg[[#Headers],[Tabel ID]])</f>
        <v>722</v>
      </c>
      <c r="B732" s="171">
        <f>ROUNDDOWN((LineærRegression_Valg[[#This Row],[Tabel ID]]-1)/$B$5,0)+1</f>
        <v>181</v>
      </c>
      <c r="C732" s="171">
        <f t="shared" si="11"/>
        <v>2</v>
      </c>
      <c r="D732" s="171" t="b">
        <f>LineærRegression_Valg[[#This Row],[Afhængig variabel ID]]&lt;&gt;LineærRegression_Valg[[#This Row],[Uafhængig variabel ID]]</f>
        <v>1</v>
      </c>
      <c r="E732" t="b">
        <f>LineærRegression_Valg[[#This Row],[Afhængig variabel ID]]&lt;=$B$5</f>
        <v>0</v>
      </c>
      <c r="F732" t="str" cm="1">
        <f t="array" ref="F732">IF(LineærRegression_Valg[[#This Row],[Indenfor range]],INDEX(DataTitel_liste,LineærRegression_Valg[[#This Row],[Afhængig variabel ID]]),INDEX(DataTitel_liste,1))</f>
        <v>Eksempel 1 (interval)</v>
      </c>
      <c r="G732" s="171" t="str" cm="1">
        <f t="array" ref="G732">IF(LineærRegression_Valg[[#This Row],[Indenfor range]],IF(LineærRegression_Valg[[#This Row],[Intet overlap]],INDEX(DataTitel_liste,LineærRegression_Valg[[#This Row],[Uafhængig variabel ID]]),INDEX(DataTitel_liste,IF(LineærRegression_Valg[[#This Row],[Afhængig variabel ID]]=1,2,1))),$B$7)</f>
        <v>Eksempel 2 (interval)</v>
      </c>
      <c r="H732" s="171">
        <f>_xlfn.AGGREGATE(2,5,LineærRegression_Valg[[#This Row],[Tabel ID]])</f>
        <v>1</v>
      </c>
    </row>
    <row r="733" spans="1:8" x14ac:dyDescent="0.2">
      <c r="A733">
        <f>ROW(LineærRegression_Valg[[#This Row],[Tabel ID]])-ROW(LineærRegression_Valg[[#Headers],[Tabel ID]])</f>
        <v>723</v>
      </c>
      <c r="B733" s="171">
        <f>ROUNDDOWN((LineærRegression_Valg[[#This Row],[Tabel ID]]-1)/$B$5,0)+1</f>
        <v>181</v>
      </c>
      <c r="C733" s="171">
        <f t="shared" si="11"/>
        <v>3</v>
      </c>
      <c r="D733" s="171" t="b">
        <f>LineærRegression_Valg[[#This Row],[Afhængig variabel ID]]&lt;&gt;LineærRegression_Valg[[#This Row],[Uafhængig variabel ID]]</f>
        <v>1</v>
      </c>
      <c r="E733" t="b">
        <f>LineærRegression_Valg[[#This Row],[Afhængig variabel ID]]&lt;=$B$5</f>
        <v>0</v>
      </c>
      <c r="F733" t="str" cm="1">
        <f t="array" ref="F733">IF(LineærRegression_Valg[[#This Row],[Indenfor range]],INDEX(DataTitel_liste,LineærRegression_Valg[[#This Row],[Afhængig variabel ID]]),INDEX(DataTitel_liste,1))</f>
        <v>Eksempel 1 (interval)</v>
      </c>
      <c r="G733" s="171" t="str" cm="1">
        <f t="array" ref="G733">IF(LineærRegression_Valg[[#This Row],[Indenfor range]],IF(LineærRegression_Valg[[#This Row],[Intet overlap]],INDEX(DataTitel_liste,LineærRegression_Valg[[#This Row],[Uafhængig variabel ID]]),INDEX(DataTitel_liste,IF(LineærRegression_Valg[[#This Row],[Afhængig variabel ID]]=1,2,1))),$B$7)</f>
        <v>Eksempel 2 (interval)</v>
      </c>
      <c r="H733" s="171">
        <f>_xlfn.AGGREGATE(2,5,LineærRegression_Valg[[#This Row],[Tabel ID]])</f>
        <v>1</v>
      </c>
    </row>
    <row r="734" spans="1:8" x14ac:dyDescent="0.2">
      <c r="A734">
        <f>ROW(LineærRegression_Valg[[#This Row],[Tabel ID]])-ROW(LineærRegression_Valg[[#Headers],[Tabel ID]])</f>
        <v>724</v>
      </c>
      <c r="B734" s="171">
        <f>ROUNDDOWN((LineærRegression_Valg[[#This Row],[Tabel ID]]-1)/$B$5,0)+1</f>
        <v>181</v>
      </c>
      <c r="C734" s="171">
        <f t="shared" si="11"/>
        <v>4</v>
      </c>
      <c r="D734" s="171" t="b">
        <f>LineærRegression_Valg[[#This Row],[Afhængig variabel ID]]&lt;&gt;LineærRegression_Valg[[#This Row],[Uafhængig variabel ID]]</f>
        <v>1</v>
      </c>
      <c r="E734" t="b">
        <f>LineærRegression_Valg[[#This Row],[Afhængig variabel ID]]&lt;=$B$5</f>
        <v>0</v>
      </c>
      <c r="F734" t="str" cm="1">
        <f t="array" ref="F734">IF(LineærRegression_Valg[[#This Row],[Indenfor range]],INDEX(DataTitel_liste,LineærRegression_Valg[[#This Row],[Afhængig variabel ID]]),INDEX(DataTitel_liste,1))</f>
        <v>Eksempel 1 (interval)</v>
      </c>
      <c r="G734" s="171" t="str" cm="1">
        <f t="array" ref="G734">IF(LineærRegression_Valg[[#This Row],[Indenfor range]],IF(LineærRegression_Valg[[#This Row],[Intet overlap]],INDEX(DataTitel_liste,LineærRegression_Valg[[#This Row],[Uafhængig variabel ID]]),INDEX(DataTitel_liste,IF(LineærRegression_Valg[[#This Row],[Afhængig variabel ID]]=1,2,1))),$B$7)</f>
        <v>Eksempel 2 (interval)</v>
      </c>
      <c r="H734" s="171">
        <f>_xlfn.AGGREGATE(2,5,LineærRegression_Valg[[#This Row],[Tabel ID]])</f>
        <v>1</v>
      </c>
    </row>
    <row r="735" spans="1:8" x14ac:dyDescent="0.2">
      <c r="A735">
        <f>ROW(LineærRegression_Valg[[#This Row],[Tabel ID]])-ROW(LineærRegression_Valg[[#Headers],[Tabel ID]])</f>
        <v>725</v>
      </c>
      <c r="B735" s="171">
        <f>ROUNDDOWN((LineærRegression_Valg[[#This Row],[Tabel ID]]-1)/$B$5,0)+1</f>
        <v>182</v>
      </c>
      <c r="C735" s="171">
        <f t="shared" si="11"/>
        <v>1</v>
      </c>
      <c r="D735" s="171" t="b">
        <f>LineærRegression_Valg[[#This Row],[Afhængig variabel ID]]&lt;&gt;LineærRegression_Valg[[#This Row],[Uafhængig variabel ID]]</f>
        <v>1</v>
      </c>
      <c r="E735" t="b">
        <f>LineærRegression_Valg[[#This Row],[Afhængig variabel ID]]&lt;=$B$5</f>
        <v>0</v>
      </c>
      <c r="F735" t="str" cm="1">
        <f t="array" ref="F735">IF(LineærRegression_Valg[[#This Row],[Indenfor range]],INDEX(DataTitel_liste,LineærRegression_Valg[[#This Row],[Afhængig variabel ID]]),INDEX(DataTitel_liste,1))</f>
        <v>Eksempel 1 (interval)</v>
      </c>
      <c r="G735" s="171" t="str" cm="1">
        <f t="array" ref="G735">IF(LineærRegression_Valg[[#This Row],[Indenfor range]],IF(LineærRegression_Valg[[#This Row],[Intet overlap]],INDEX(DataTitel_liste,LineærRegression_Valg[[#This Row],[Uafhængig variabel ID]]),INDEX(DataTitel_liste,IF(LineærRegression_Valg[[#This Row],[Afhængig variabel ID]]=1,2,1))),$B$7)</f>
        <v>Eksempel 2 (interval)</v>
      </c>
      <c r="H735" s="171">
        <f>_xlfn.AGGREGATE(2,5,LineærRegression_Valg[[#This Row],[Tabel ID]])</f>
        <v>1</v>
      </c>
    </row>
    <row r="736" spans="1:8" x14ac:dyDescent="0.2">
      <c r="A736">
        <f>ROW(LineærRegression_Valg[[#This Row],[Tabel ID]])-ROW(LineærRegression_Valg[[#Headers],[Tabel ID]])</f>
        <v>726</v>
      </c>
      <c r="B736" s="171">
        <f>ROUNDDOWN((LineærRegression_Valg[[#This Row],[Tabel ID]]-1)/$B$5,0)+1</f>
        <v>182</v>
      </c>
      <c r="C736" s="171">
        <f t="shared" si="11"/>
        <v>2</v>
      </c>
      <c r="D736" s="171" t="b">
        <f>LineærRegression_Valg[[#This Row],[Afhængig variabel ID]]&lt;&gt;LineærRegression_Valg[[#This Row],[Uafhængig variabel ID]]</f>
        <v>1</v>
      </c>
      <c r="E736" t="b">
        <f>LineærRegression_Valg[[#This Row],[Afhængig variabel ID]]&lt;=$B$5</f>
        <v>0</v>
      </c>
      <c r="F736" t="str" cm="1">
        <f t="array" ref="F736">IF(LineærRegression_Valg[[#This Row],[Indenfor range]],INDEX(DataTitel_liste,LineærRegression_Valg[[#This Row],[Afhængig variabel ID]]),INDEX(DataTitel_liste,1))</f>
        <v>Eksempel 1 (interval)</v>
      </c>
      <c r="G736" s="171" t="str" cm="1">
        <f t="array" ref="G736">IF(LineærRegression_Valg[[#This Row],[Indenfor range]],IF(LineærRegression_Valg[[#This Row],[Intet overlap]],INDEX(DataTitel_liste,LineærRegression_Valg[[#This Row],[Uafhængig variabel ID]]),INDEX(DataTitel_liste,IF(LineærRegression_Valg[[#This Row],[Afhængig variabel ID]]=1,2,1))),$B$7)</f>
        <v>Eksempel 2 (interval)</v>
      </c>
      <c r="H736" s="171">
        <f>_xlfn.AGGREGATE(2,5,LineærRegression_Valg[[#This Row],[Tabel ID]])</f>
        <v>1</v>
      </c>
    </row>
    <row r="737" spans="1:8" x14ac:dyDescent="0.2">
      <c r="A737">
        <f>ROW(LineærRegression_Valg[[#This Row],[Tabel ID]])-ROW(LineærRegression_Valg[[#Headers],[Tabel ID]])</f>
        <v>727</v>
      </c>
      <c r="B737" s="171">
        <f>ROUNDDOWN((LineærRegression_Valg[[#This Row],[Tabel ID]]-1)/$B$5,0)+1</f>
        <v>182</v>
      </c>
      <c r="C737" s="171">
        <f t="shared" si="11"/>
        <v>3</v>
      </c>
      <c r="D737" s="171" t="b">
        <f>LineærRegression_Valg[[#This Row],[Afhængig variabel ID]]&lt;&gt;LineærRegression_Valg[[#This Row],[Uafhængig variabel ID]]</f>
        <v>1</v>
      </c>
      <c r="E737" t="b">
        <f>LineærRegression_Valg[[#This Row],[Afhængig variabel ID]]&lt;=$B$5</f>
        <v>0</v>
      </c>
      <c r="F737" t="str" cm="1">
        <f t="array" ref="F737">IF(LineærRegression_Valg[[#This Row],[Indenfor range]],INDEX(DataTitel_liste,LineærRegression_Valg[[#This Row],[Afhængig variabel ID]]),INDEX(DataTitel_liste,1))</f>
        <v>Eksempel 1 (interval)</v>
      </c>
      <c r="G737" s="171" t="str" cm="1">
        <f t="array" ref="G737">IF(LineærRegression_Valg[[#This Row],[Indenfor range]],IF(LineærRegression_Valg[[#This Row],[Intet overlap]],INDEX(DataTitel_liste,LineærRegression_Valg[[#This Row],[Uafhængig variabel ID]]),INDEX(DataTitel_liste,IF(LineærRegression_Valg[[#This Row],[Afhængig variabel ID]]=1,2,1))),$B$7)</f>
        <v>Eksempel 2 (interval)</v>
      </c>
      <c r="H737" s="171">
        <f>_xlfn.AGGREGATE(2,5,LineærRegression_Valg[[#This Row],[Tabel ID]])</f>
        <v>1</v>
      </c>
    </row>
    <row r="738" spans="1:8" x14ac:dyDescent="0.2">
      <c r="A738">
        <f>ROW(LineærRegression_Valg[[#This Row],[Tabel ID]])-ROW(LineærRegression_Valg[[#Headers],[Tabel ID]])</f>
        <v>728</v>
      </c>
      <c r="B738" s="171">
        <f>ROUNDDOWN((LineærRegression_Valg[[#This Row],[Tabel ID]]-1)/$B$5,0)+1</f>
        <v>182</v>
      </c>
      <c r="C738" s="171">
        <f t="shared" si="11"/>
        <v>4</v>
      </c>
      <c r="D738" s="171" t="b">
        <f>LineærRegression_Valg[[#This Row],[Afhængig variabel ID]]&lt;&gt;LineærRegression_Valg[[#This Row],[Uafhængig variabel ID]]</f>
        <v>1</v>
      </c>
      <c r="E738" t="b">
        <f>LineærRegression_Valg[[#This Row],[Afhængig variabel ID]]&lt;=$B$5</f>
        <v>0</v>
      </c>
      <c r="F738" t="str" cm="1">
        <f t="array" ref="F738">IF(LineærRegression_Valg[[#This Row],[Indenfor range]],INDEX(DataTitel_liste,LineærRegression_Valg[[#This Row],[Afhængig variabel ID]]),INDEX(DataTitel_liste,1))</f>
        <v>Eksempel 1 (interval)</v>
      </c>
      <c r="G738" s="171" t="str" cm="1">
        <f t="array" ref="G738">IF(LineærRegression_Valg[[#This Row],[Indenfor range]],IF(LineærRegression_Valg[[#This Row],[Intet overlap]],INDEX(DataTitel_liste,LineærRegression_Valg[[#This Row],[Uafhængig variabel ID]]),INDEX(DataTitel_liste,IF(LineærRegression_Valg[[#This Row],[Afhængig variabel ID]]=1,2,1))),$B$7)</f>
        <v>Eksempel 2 (interval)</v>
      </c>
      <c r="H738" s="171">
        <f>_xlfn.AGGREGATE(2,5,LineærRegression_Valg[[#This Row],[Tabel ID]])</f>
        <v>1</v>
      </c>
    </row>
    <row r="739" spans="1:8" x14ac:dyDescent="0.2">
      <c r="A739">
        <f>ROW(LineærRegression_Valg[[#This Row],[Tabel ID]])-ROW(LineærRegression_Valg[[#Headers],[Tabel ID]])</f>
        <v>729</v>
      </c>
      <c r="B739" s="171">
        <f>ROUNDDOWN((LineærRegression_Valg[[#This Row],[Tabel ID]]-1)/$B$5,0)+1</f>
        <v>183</v>
      </c>
      <c r="C739" s="171">
        <f t="shared" si="11"/>
        <v>1</v>
      </c>
      <c r="D739" s="171" t="b">
        <f>LineærRegression_Valg[[#This Row],[Afhængig variabel ID]]&lt;&gt;LineærRegression_Valg[[#This Row],[Uafhængig variabel ID]]</f>
        <v>1</v>
      </c>
      <c r="E739" t="b">
        <f>LineærRegression_Valg[[#This Row],[Afhængig variabel ID]]&lt;=$B$5</f>
        <v>0</v>
      </c>
      <c r="F739" t="str" cm="1">
        <f t="array" ref="F739">IF(LineærRegression_Valg[[#This Row],[Indenfor range]],INDEX(DataTitel_liste,LineærRegression_Valg[[#This Row],[Afhængig variabel ID]]),INDEX(DataTitel_liste,1))</f>
        <v>Eksempel 1 (interval)</v>
      </c>
      <c r="G739" s="171" t="str" cm="1">
        <f t="array" ref="G739">IF(LineærRegression_Valg[[#This Row],[Indenfor range]],IF(LineærRegression_Valg[[#This Row],[Intet overlap]],INDEX(DataTitel_liste,LineærRegression_Valg[[#This Row],[Uafhængig variabel ID]]),INDEX(DataTitel_liste,IF(LineærRegression_Valg[[#This Row],[Afhængig variabel ID]]=1,2,1))),$B$7)</f>
        <v>Eksempel 2 (interval)</v>
      </c>
      <c r="H739" s="171">
        <f>_xlfn.AGGREGATE(2,5,LineærRegression_Valg[[#This Row],[Tabel ID]])</f>
        <v>1</v>
      </c>
    </row>
    <row r="740" spans="1:8" x14ac:dyDescent="0.2">
      <c r="A740">
        <f>ROW(LineærRegression_Valg[[#This Row],[Tabel ID]])-ROW(LineærRegression_Valg[[#Headers],[Tabel ID]])</f>
        <v>730</v>
      </c>
      <c r="B740" s="171">
        <f>ROUNDDOWN((LineærRegression_Valg[[#This Row],[Tabel ID]]-1)/$B$5,0)+1</f>
        <v>183</v>
      </c>
      <c r="C740" s="171">
        <f t="shared" si="11"/>
        <v>2</v>
      </c>
      <c r="D740" s="171" t="b">
        <f>LineærRegression_Valg[[#This Row],[Afhængig variabel ID]]&lt;&gt;LineærRegression_Valg[[#This Row],[Uafhængig variabel ID]]</f>
        <v>1</v>
      </c>
      <c r="E740" t="b">
        <f>LineærRegression_Valg[[#This Row],[Afhængig variabel ID]]&lt;=$B$5</f>
        <v>0</v>
      </c>
      <c r="F740" t="str" cm="1">
        <f t="array" ref="F740">IF(LineærRegression_Valg[[#This Row],[Indenfor range]],INDEX(DataTitel_liste,LineærRegression_Valg[[#This Row],[Afhængig variabel ID]]),INDEX(DataTitel_liste,1))</f>
        <v>Eksempel 1 (interval)</v>
      </c>
      <c r="G740" s="171" t="str" cm="1">
        <f t="array" ref="G740">IF(LineærRegression_Valg[[#This Row],[Indenfor range]],IF(LineærRegression_Valg[[#This Row],[Intet overlap]],INDEX(DataTitel_liste,LineærRegression_Valg[[#This Row],[Uafhængig variabel ID]]),INDEX(DataTitel_liste,IF(LineærRegression_Valg[[#This Row],[Afhængig variabel ID]]=1,2,1))),$B$7)</f>
        <v>Eksempel 2 (interval)</v>
      </c>
      <c r="H740" s="171">
        <f>_xlfn.AGGREGATE(2,5,LineærRegression_Valg[[#This Row],[Tabel ID]])</f>
        <v>1</v>
      </c>
    </row>
    <row r="741" spans="1:8" x14ac:dyDescent="0.2">
      <c r="A741">
        <f>ROW(LineærRegression_Valg[[#This Row],[Tabel ID]])-ROW(LineærRegression_Valg[[#Headers],[Tabel ID]])</f>
        <v>731</v>
      </c>
      <c r="B741" s="171">
        <f>ROUNDDOWN((LineærRegression_Valg[[#This Row],[Tabel ID]]-1)/$B$5,0)+1</f>
        <v>183</v>
      </c>
      <c r="C741" s="171">
        <f t="shared" si="11"/>
        <v>3</v>
      </c>
      <c r="D741" s="171" t="b">
        <f>LineærRegression_Valg[[#This Row],[Afhængig variabel ID]]&lt;&gt;LineærRegression_Valg[[#This Row],[Uafhængig variabel ID]]</f>
        <v>1</v>
      </c>
      <c r="E741" t="b">
        <f>LineærRegression_Valg[[#This Row],[Afhængig variabel ID]]&lt;=$B$5</f>
        <v>0</v>
      </c>
      <c r="F741" t="str" cm="1">
        <f t="array" ref="F741">IF(LineærRegression_Valg[[#This Row],[Indenfor range]],INDEX(DataTitel_liste,LineærRegression_Valg[[#This Row],[Afhængig variabel ID]]),INDEX(DataTitel_liste,1))</f>
        <v>Eksempel 1 (interval)</v>
      </c>
      <c r="G741" s="171" t="str" cm="1">
        <f t="array" ref="G741">IF(LineærRegression_Valg[[#This Row],[Indenfor range]],IF(LineærRegression_Valg[[#This Row],[Intet overlap]],INDEX(DataTitel_liste,LineærRegression_Valg[[#This Row],[Uafhængig variabel ID]]),INDEX(DataTitel_liste,IF(LineærRegression_Valg[[#This Row],[Afhængig variabel ID]]=1,2,1))),$B$7)</f>
        <v>Eksempel 2 (interval)</v>
      </c>
      <c r="H741" s="171">
        <f>_xlfn.AGGREGATE(2,5,LineærRegression_Valg[[#This Row],[Tabel ID]])</f>
        <v>1</v>
      </c>
    </row>
    <row r="742" spans="1:8" x14ac:dyDescent="0.2">
      <c r="A742">
        <f>ROW(LineærRegression_Valg[[#This Row],[Tabel ID]])-ROW(LineærRegression_Valg[[#Headers],[Tabel ID]])</f>
        <v>732</v>
      </c>
      <c r="B742" s="171">
        <f>ROUNDDOWN((LineærRegression_Valg[[#This Row],[Tabel ID]]-1)/$B$5,0)+1</f>
        <v>183</v>
      </c>
      <c r="C742" s="171">
        <f t="shared" si="11"/>
        <v>4</v>
      </c>
      <c r="D742" s="171" t="b">
        <f>LineærRegression_Valg[[#This Row],[Afhængig variabel ID]]&lt;&gt;LineærRegression_Valg[[#This Row],[Uafhængig variabel ID]]</f>
        <v>1</v>
      </c>
      <c r="E742" t="b">
        <f>LineærRegression_Valg[[#This Row],[Afhængig variabel ID]]&lt;=$B$5</f>
        <v>0</v>
      </c>
      <c r="F742" t="str" cm="1">
        <f t="array" ref="F742">IF(LineærRegression_Valg[[#This Row],[Indenfor range]],INDEX(DataTitel_liste,LineærRegression_Valg[[#This Row],[Afhængig variabel ID]]),INDEX(DataTitel_liste,1))</f>
        <v>Eksempel 1 (interval)</v>
      </c>
      <c r="G742" s="171" t="str" cm="1">
        <f t="array" ref="G742">IF(LineærRegression_Valg[[#This Row],[Indenfor range]],IF(LineærRegression_Valg[[#This Row],[Intet overlap]],INDEX(DataTitel_liste,LineærRegression_Valg[[#This Row],[Uafhængig variabel ID]]),INDEX(DataTitel_liste,IF(LineærRegression_Valg[[#This Row],[Afhængig variabel ID]]=1,2,1))),$B$7)</f>
        <v>Eksempel 2 (interval)</v>
      </c>
      <c r="H742" s="171">
        <f>_xlfn.AGGREGATE(2,5,LineærRegression_Valg[[#This Row],[Tabel ID]])</f>
        <v>1</v>
      </c>
    </row>
    <row r="743" spans="1:8" x14ac:dyDescent="0.2">
      <c r="A743">
        <f>ROW(LineærRegression_Valg[[#This Row],[Tabel ID]])-ROW(LineærRegression_Valg[[#Headers],[Tabel ID]])</f>
        <v>733</v>
      </c>
      <c r="B743" s="171">
        <f>ROUNDDOWN((LineærRegression_Valg[[#This Row],[Tabel ID]]-1)/$B$5,0)+1</f>
        <v>184</v>
      </c>
      <c r="C743" s="171">
        <f t="shared" si="11"/>
        <v>1</v>
      </c>
      <c r="D743" s="171" t="b">
        <f>LineærRegression_Valg[[#This Row],[Afhængig variabel ID]]&lt;&gt;LineærRegression_Valg[[#This Row],[Uafhængig variabel ID]]</f>
        <v>1</v>
      </c>
      <c r="E743" t="b">
        <f>LineærRegression_Valg[[#This Row],[Afhængig variabel ID]]&lt;=$B$5</f>
        <v>0</v>
      </c>
      <c r="F743" t="str" cm="1">
        <f t="array" ref="F743">IF(LineærRegression_Valg[[#This Row],[Indenfor range]],INDEX(DataTitel_liste,LineærRegression_Valg[[#This Row],[Afhængig variabel ID]]),INDEX(DataTitel_liste,1))</f>
        <v>Eksempel 1 (interval)</v>
      </c>
      <c r="G743" s="171" t="str" cm="1">
        <f t="array" ref="G743">IF(LineærRegression_Valg[[#This Row],[Indenfor range]],IF(LineærRegression_Valg[[#This Row],[Intet overlap]],INDEX(DataTitel_liste,LineærRegression_Valg[[#This Row],[Uafhængig variabel ID]]),INDEX(DataTitel_liste,IF(LineærRegression_Valg[[#This Row],[Afhængig variabel ID]]=1,2,1))),$B$7)</f>
        <v>Eksempel 2 (interval)</v>
      </c>
      <c r="H743" s="171">
        <f>_xlfn.AGGREGATE(2,5,LineærRegression_Valg[[#This Row],[Tabel ID]])</f>
        <v>1</v>
      </c>
    </row>
    <row r="744" spans="1:8" x14ac:dyDescent="0.2">
      <c r="A744">
        <f>ROW(LineærRegression_Valg[[#This Row],[Tabel ID]])-ROW(LineærRegression_Valg[[#Headers],[Tabel ID]])</f>
        <v>734</v>
      </c>
      <c r="B744" s="171">
        <f>ROUNDDOWN((LineærRegression_Valg[[#This Row],[Tabel ID]]-1)/$B$5,0)+1</f>
        <v>184</v>
      </c>
      <c r="C744" s="171">
        <f t="shared" si="11"/>
        <v>2</v>
      </c>
      <c r="D744" s="171" t="b">
        <f>LineærRegression_Valg[[#This Row],[Afhængig variabel ID]]&lt;&gt;LineærRegression_Valg[[#This Row],[Uafhængig variabel ID]]</f>
        <v>1</v>
      </c>
      <c r="E744" t="b">
        <f>LineærRegression_Valg[[#This Row],[Afhængig variabel ID]]&lt;=$B$5</f>
        <v>0</v>
      </c>
      <c r="F744" t="str" cm="1">
        <f t="array" ref="F744">IF(LineærRegression_Valg[[#This Row],[Indenfor range]],INDEX(DataTitel_liste,LineærRegression_Valg[[#This Row],[Afhængig variabel ID]]),INDEX(DataTitel_liste,1))</f>
        <v>Eksempel 1 (interval)</v>
      </c>
      <c r="G744" s="171" t="str" cm="1">
        <f t="array" ref="G744">IF(LineærRegression_Valg[[#This Row],[Indenfor range]],IF(LineærRegression_Valg[[#This Row],[Intet overlap]],INDEX(DataTitel_liste,LineærRegression_Valg[[#This Row],[Uafhængig variabel ID]]),INDEX(DataTitel_liste,IF(LineærRegression_Valg[[#This Row],[Afhængig variabel ID]]=1,2,1))),$B$7)</f>
        <v>Eksempel 2 (interval)</v>
      </c>
      <c r="H744" s="171">
        <f>_xlfn.AGGREGATE(2,5,LineærRegression_Valg[[#This Row],[Tabel ID]])</f>
        <v>1</v>
      </c>
    </row>
    <row r="745" spans="1:8" x14ac:dyDescent="0.2">
      <c r="A745">
        <f>ROW(LineærRegression_Valg[[#This Row],[Tabel ID]])-ROW(LineærRegression_Valg[[#Headers],[Tabel ID]])</f>
        <v>735</v>
      </c>
      <c r="B745" s="171">
        <f>ROUNDDOWN((LineærRegression_Valg[[#This Row],[Tabel ID]]-1)/$B$5,0)+1</f>
        <v>184</v>
      </c>
      <c r="C745" s="171">
        <f t="shared" si="11"/>
        <v>3</v>
      </c>
      <c r="D745" s="171" t="b">
        <f>LineærRegression_Valg[[#This Row],[Afhængig variabel ID]]&lt;&gt;LineærRegression_Valg[[#This Row],[Uafhængig variabel ID]]</f>
        <v>1</v>
      </c>
      <c r="E745" t="b">
        <f>LineærRegression_Valg[[#This Row],[Afhængig variabel ID]]&lt;=$B$5</f>
        <v>0</v>
      </c>
      <c r="F745" t="str" cm="1">
        <f t="array" ref="F745">IF(LineærRegression_Valg[[#This Row],[Indenfor range]],INDEX(DataTitel_liste,LineærRegression_Valg[[#This Row],[Afhængig variabel ID]]),INDEX(DataTitel_liste,1))</f>
        <v>Eksempel 1 (interval)</v>
      </c>
      <c r="G745" s="171" t="str" cm="1">
        <f t="array" ref="G745">IF(LineærRegression_Valg[[#This Row],[Indenfor range]],IF(LineærRegression_Valg[[#This Row],[Intet overlap]],INDEX(DataTitel_liste,LineærRegression_Valg[[#This Row],[Uafhængig variabel ID]]),INDEX(DataTitel_liste,IF(LineærRegression_Valg[[#This Row],[Afhængig variabel ID]]=1,2,1))),$B$7)</f>
        <v>Eksempel 2 (interval)</v>
      </c>
      <c r="H745" s="171">
        <f>_xlfn.AGGREGATE(2,5,LineærRegression_Valg[[#This Row],[Tabel ID]])</f>
        <v>1</v>
      </c>
    </row>
    <row r="746" spans="1:8" x14ac:dyDescent="0.2">
      <c r="A746">
        <f>ROW(LineærRegression_Valg[[#This Row],[Tabel ID]])-ROW(LineærRegression_Valg[[#Headers],[Tabel ID]])</f>
        <v>736</v>
      </c>
      <c r="B746" s="171">
        <f>ROUNDDOWN((LineærRegression_Valg[[#This Row],[Tabel ID]]-1)/$B$5,0)+1</f>
        <v>184</v>
      </c>
      <c r="C746" s="171">
        <f t="shared" si="11"/>
        <v>4</v>
      </c>
      <c r="D746" s="171" t="b">
        <f>LineærRegression_Valg[[#This Row],[Afhængig variabel ID]]&lt;&gt;LineærRegression_Valg[[#This Row],[Uafhængig variabel ID]]</f>
        <v>1</v>
      </c>
      <c r="E746" t="b">
        <f>LineærRegression_Valg[[#This Row],[Afhængig variabel ID]]&lt;=$B$5</f>
        <v>0</v>
      </c>
      <c r="F746" t="str" cm="1">
        <f t="array" ref="F746">IF(LineærRegression_Valg[[#This Row],[Indenfor range]],INDEX(DataTitel_liste,LineærRegression_Valg[[#This Row],[Afhængig variabel ID]]),INDEX(DataTitel_liste,1))</f>
        <v>Eksempel 1 (interval)</v>
      </c>
      <c r="G746" s="171" t="str" cm="1">
        <f t="array" ref="G746">IF(LineærRegression_Valg[[#This Row],[Indenfor range]],IF(LineærRegression_Valg[[#This Row],[Intet overlap]],INDEX(DataTitel_liste,LineærRegression_Valg[[#This Row],[Uafhængig variabel ID]]),INDEX(DataTitel_liste,IF(LineærRegression_Valg[[#This Row],[Afhængig variabel ID]]=1,2,1))),$B$7)</f>
        <v>Eksempel 2 (interval)</v>
      </c>
      <c r="H746" s="171">
        <f>_xlfn.AGGREGATE(2,5,LineærRegression_Valg[[#This Row],[Tabel ID]])</f>
        <v>1</v>
      </c>
    </row>
    <row r="747" spans="1:8" x14ac:dyDescent="0.2">
      <c r="A747">
        <f>ROW(LineærRegression_Valg[[#This Row],[Tabel ID]])-ROW(LineærRegression_Valg[[#Headers],[Tabel ID]])</f>
        <v>737</v>
      </c>
      <c r="B747" s="171">
        <f>ROUNDDOWN((LineærRegression_Valg[[#This Row],[Tabel ID]]-1)/$B$5,0)+1</f>
        <v>185</v>
      </c>
      <c r="C747" s="171">
        <f t="shared" si="11"/>
        <v>1</v>
      </c>
      <c r="D747" s="171" t="b">
        <f>LineærRegression_Valg[[#This Row],[Afhængig variabel ID]]&lt;&gt;LineærRegression_Valg[[#This Row],[Uafhængig variabel ID]]</f>
        <v>1</v>
      </c>
      <c r="E747" t="b">
        <f>LineærRegression_Valg[[#This Row],[Afhængig variabel ID]]&lt;=$B$5</f>
        <v>0</v>
      </c>
      <c r="F747" t="str" cm="1">
        <f t="array" ref="F747">IF(LineærRegression_Valg[[#This Row],[Indenfor range]],INDEX(DataTitel_liste,LineærRegression_Valg[[#This Row],[Afhængig variabel ID]]),INDEX(DataTitel_liste,1))</f>
        <v>Eksempel 1 (interval)</v>
      </c>
      <c r="G747" s="171" t="str" cm="1">
        <f t="array" ref="G747">IF(LineærRegression_Valg[[#This Row],[Indenfor range]],IF(LineærRegression_Valg[[#This Row],[Intet overlap]],INDEX(DataTitel_liste,LineærRegression_Valg[[#This Row],[Uafhængig variabel ID]]),INDEX(DataTitel_liste,IF(LineærRegression_Valg[[#This Row],[Afhængig variabel ID]]=1,2,1))),$B$7)</f>
        <v>Eksempel 2 (interval)</v>
      </c>
      <c r="H747" s="171">
        <f>_xlfn.AGGREGATE(2,5,LineærRegression_Valg[[#This Row],[Tabel ID]])</f>
        <v>1</v>
      </c>
    </row>
    <row r="748" spans="1:8" x14ac:dyDescent="0.2">
      <c r="A748">
        <f>ROW(LineærRegression_Valg[[#This Row],[Tabel ID]])-ROW(LineærRegression_Valg[[#Headers],[Tabel ID]])</f>
        <v>738</v>
      </c>
      <c r="B748" s="171">
        <f>ROUNDDOWN((LineærRegression_Valg[[#This Row],[Tabel ID]]-1)/$B$5,0)+1</f>
        <v>185</v>
      </c>
      <c r="C748" s="171">
        <f t="shared" si="11"/>
        <v>2</v>
      </c>
      <c r="D748" s="171" t="b">
        <f>LineærRegression_Valg[[#This Row],[Afhængig variabel ID]]&lt;&gt;LineærRegression_Valg[[#This Row],[Uafhængig variabel ID]]</f>
        <v>1</v>
      </c>
      <c r="E748" t="b">
        <f>LineærRegression_Valg[[#This Row],[Afhængig variabel ID]]&lt;=$B$5</f>
        <v>0</v>
      </c>
      <c r="F748" t="str" cm="1">
        <f t="array" ref="F748">IF(LineærRegression_Valg[[#This Row],[Indenfor range]],INDEX(DataTitel_liste,LineærRegression_Valg[[#This Row],[Afhængig variabel ID]]),INDEX(DataTitel_liste,1))</f>
        <v>Eksempel 1 (interval)</v>
      </c>
      <c r="G748" s="171" t="str" cm="1">
        <f t="array" ref="G748">IF(LineærRegression_Valg[[#This Row],[Indenfor range]],IF(LineærRegression_Valg[[#This Row],[Intet overlap]],INDEX(DataTitel_liste,LineærRegression_Valg[[#This Row],[Uafhængig variabel ID]]),INDEX(DataTitel_liste,IF(LineærRegression_Valg[[#This Row],[Afhængig variabel ID]]=1,2,1))),$B$7)</f>
        <v>Eksempel 2 (interval)</v>
      </c>
      <c r="H748" s="171">
        <f>_xlfn.AGGREGATE(2,5,LineærRegression_Valg[[#This Row],[Tabel ID]])</f>
        <v>1</v>
      </c>
    </row>
    <row r="749" spans="1:8" x14ac:dyDescent="0.2">
      <c r="A749">
        <f>ROW(LineærRegression_Valg[[#This Row],[Tabel ID]])-ROW(LineærRegression_Valg[[#Headers],[Tabel ID]])</f>
        <v>739</v>
      </c>
      <c r="B749" s="171">
        <f>ROUNDDOWN((LineærRegression_Valg[[#This Row],[Tabel ID]]-1)/$B$5,0)+1</f>
        <v>185</v>
      </c>
      <c r="C749" s="171">
        <f t="shared" si="11"/>
        <v>3</v>
      </c>
      <c r="D749" s="171" t="b">
        <f>LineærRegression_Valg[[#This Row],[Afhængig variabel ID]]&lt;&gt;LineærRegression_Valg[[#This Row],[Uafhængig variabel ID]]</f>
        <v>1</v>
      </c>
      <c r="E749" t="b">
        <f>LineærRegression_Valg[[#This Row],[Afhængig variabel ID]]&lt;=$B$5</f>
        <v>0</v>
      </c>
      <c r="F749" t="str" cm="1">
        <f t="array" ref="F749">IF(LineærRegression_Valg[[#This Row],[Indenfor range]],INDEX(DataTitel_liste,LineærRegression_Valg[[#This Row],[Afhængig variabel ID]]),INDEX(DataTitel_liste,1))</f>
        <v>Eksempel 1 (interval)</v>
      </c>
      <c r="G749" s="171" t="str" cm="1">
        <f t="array" ref="G749">IF(LineærRegression_Valg[[#This Row],[Indenfor range]],IF(LineærRegression_Valg[[#This Row],[Intet overlap]],INDEX(DataTitel_liste,LineærRegression_Valg[[#This Row],[Uafhængig variabel ID]]),INDEX(DataTitel_liste,IF(LineærRegression_Valg[[#This Row],[Afhængig variabel ID]]=1,2,1))),$B$7)</f>
        <v>Eksempel 2 (interval)</v>
      </c>
      <c r="H749" s="171">
        <f>_xlfn.AGGREGATE(2,5,LineærRegression_Valg[[#This Row],[Tabel ID]])</f>
        <v>1</v>
      </c>
    </row>
    <row r="750" spans="1:8" x14ac:dyDescent="0.2">
      <c r="A750">
        <f>ROW(LineærRegression_Valg[[#This Row],[Tabel ID]])-ROW(LineærRegression_Valg[[#Headers],[Tabel ID]])</f>
        <v>740</v>
      </c>
      <c r="B750" s="171">
        <f>ROUNDDOWN((LineærRegression_Valg[[#This Row],[Tabel ID]]-1)/$B$5,0)+1</f>
        <v>185</v>
      </c>
      <c r="C750" s="171">
        <f t="shared" si="11"/>
        <v>4</v>
      </c>
      <c r="D750" s="171" t="b">
        <f>LineærRegression_Valg[[#This Row],[Afhængig variabel ID]]&lt;&gt;LineærRegression_Valg[[#This Row],[Uafhængig variabel ID]]</f>
        <v>1</v>
      </c>
      <c r="E750" t="b">
        <f>LineærRegression_Valg[[#This Row],[Afhængig variabel ID]]&lt;=$B$5</f>
        <v>0</v>
      </c>
      <c r="F750" t="str" cm="1">
        <f t="array" ref="F750">IF(LineærRegression_Valg[[#This Row],[Indenfor range]],INDEX(DataTitel_liste,LineærRegression_Valg[[#This Row],[Afhængig variabel ID]]),INDEX(DataTitel_liste,1))</f>
        <v>Eksempel 1 (interval)</v>
      </c>
      <c r="G750" s="171" t="str" cm="1">
        <f t="array" ref="G750">IF(LineærRegression_Valg[[#This Row],[Indenfor range]],IF(LineærRegression_Valg[[#This Row],[Intet overlap]],INDEX(DataTitel_liste,LineærRegression_Valg[[#This Row],[Uafhængig variabel ID]]),INDEX(DataTitel_liste,IF(LineærRegression_Valg[[#This Row],[Afhængig variabel ID]]=1,2,1))),$B$7)</f>
        <v>Eksempel 2 (interval)</v>
      </c>
      <c r="H750" s="171">
        <f>_xlfn.AGGREGATE(2,5,LineærRegression_Valg[[#This Row],[Tabel ID]])</f>
        <v>1</v>
      </c>
    </row>
    <row r="751" spans="1:8" x14ac:dyDescent="0.2">
      <c r="A751">
        <f>ROW(LineærRegression_Valg[[#This Row],[Tabel ID]])-ROW(LineærRegression_Valg[[#Headers],[Tabel ID]])</f>
        <v>741</v>
      </c>
      <c r="B751" s="171">
        <f>ROUNDDOWN((LineærRegression_Valg[[#This Row],[Tabel ID]]-1)/$B$5,0)+1</f>
        <v>186</v>
      </c>
      <c r="C751" s="171">
        <f t="shared" si="11"/>
        <v>1</v>
      </c>
      <c r="D751" s="171" t="b">
        <f>LineærRegression_Valg[[#This Row],[Afhængig variabel ID]]&lt;&gt;LineærRegression_Valg[[#This Row],[Uafhængig variabel ID]]</f>
        <v>1</v>
      </c>
      <c r="E751" t="b">
        <f>LineærRegression_Valg[[#This Row],[Afhængig variabel ID]]&lt;=$B$5</f>
        <v>0</v>
      </c>
      <c r="F751" t="str" cm="1">
        <f t="array" ref="F751">IF(LineærRegression_Valg[[#This Row],[Indenfor range]],INDEX(DataTitel_liste,LineærRegression_Valg[[#This Row],[Afhængig variabel ID]]),INDEX(DataTitel_liste,1))</f>
        <v>Eksempel 1 (interval)</v>
      </c>
      <c r="G751" s="171" t="str" cm="1">
        <f t="array" ref="G751">IF(LineærRegression_Valg[[#This Row],[Indenfor range]],IF(LineærRegression_Valg[[#This Row],[Intet overlap]],INDEX(DataTitel_liste,LineærRegression_Valg[[#This Row],[Uafhængig variabel ID]]),INDEX(DataTitel_liste,IF(LineærRegression_Valg[[#This Row],[Afhængig variabel ID]]=1,2,1))),$B$7)</f>
        <v>Eksempel 2 (interval)</v>
      </c>
      <c r="H751" s="171">
        <f>_xlfn.AGGREGATE(2,5,LineærRegression_Valg[[#This Row],[Tabel ID]])</f>
        <v>1</v>
      </c>
    </row>
    <row r="752" spans="1:8" x14ac:dyDescent="0.2">
      <c r="A752">
        <f>ROW(LineærRegression_Valg[[#This Row],[Tabel ID]])-ROW(LineærRegression_Valg[[#Headers],[Tabel ID]])</f>
        <v>742</v>
      </c>
      <c r="B752" s="171">
        <f>ROUNDDOWN((LineærRegression_Valg[[#This Row],[Tabel ID]]-1)/$B$5,0)+1</f>
        <v>186</v>
      </c>
      <c r="C752" s="171">
        <f t="shared" si="11"/>
        <v>2</v>
      </c>
      <c r="D752" s="171" t="b">
        <f>LineærRegression_Valg[[#This Row],[Afhængig variabel ID]]&lt;&gt;LineærRegression_Valg[[#This Row],[Uafhængig variabel ID]]</f>
        <v>1</v>
      </c>
      <c r="E752" t="b">
        <f>LineærRegression_Valg[[#This Row],[Afhængig variabel ID]]&lt;=$B$5</f>
        <v>0</v>
      </c>
      <c r="F752" t="str" cm="1">
        <f t="array" ref="F752">IF(LineærRegression_Valg[[#This Row],[Indenfor range]],INDEX(DataTitel_liste,LineærRegression_Valg[[#This Row],[Afhængig variabel ID]]),INDEX(DataTitel_liste,1))</f>
        <v>Eksempel 1 (interval)</v>
      </c>
      <c r="G752" s="171" t="str" cm="1">
        <f t="array" ref="G752">IF(LineærRegression_Valg[[#This Row],[Indenfor range]],IF(LineærRegression_Valg[[#This Row],[Intet overlap]],INDEX(DataTitel_liste,LineærRegression_Valg[[#This Row],[Uafhængig variabel ID]]),INDEX(DataTitel_liste,IF(LineærRegression_Valg[[#This Row],[Afhængig variabel ID]]=1,2,1))),$B$7)</f>
        <v>Eksempel 2 (interval)</v>
      </c>
      <c r="H752" s="171">
        <f>_xlfn.AGGREGATE(2,5,LineærRegression_Valg[[#This Row],[Tabel ID]])</f>
        <v>1</v>
      </c>
    </row>
    <row r="753" spans="1:8" x14ac:dyDescent="0.2">
      <c r="A753">
        <f>ROW(LineærRegression_Valg[[#This Row],[Tabel ID]])-ROW(LineærRegression_Valg[[#Headers],[Tabel ID]])</f>
        <v>743</v>
      </c>
      <c r="B753" s="171">
        <f>ROUNDDOWN((LineærRegression_Valg[[#This Row],[Tabel ID]]-1)/$B$5,0)+1</f>
        <v>186</v>
      </c>
      <c r="C753" s="171">
        <f t="shared" si="11"/>
        <v>3</v>
      </c>
      <c r="D753" s="171" t="b">
        <f>LineærRegression_Valg[[#This Row],[Afhængig variabel ID]]&lt;&gt;LineærRegression_Valg[[#This Row],[Uafhængig variabel ID]]</f>
        <v>1</v>
      </c>
      <c r="E753" t="b">
        <f>LineærRegression_Valg[[#This Row],[Afhængig variabel ID]]&lt;=$B$5</f>
        <v>0</v>
      </c>
      <c r="F753" t="str" cm="1">
        <f t="array" ref="F753">IF(LineærRegression_Valg[[#This Row],[Indenfor range]],INDEX(DataTitel_liste,LineærRegression_Valg[[#This Row],[Afhængig variabel ID]]),INDEX(DataTitel_liste,1))</f>
        <v>Eksempel 1 (interval)</v>
      </c>
      <c r="G753" s="171" t="str" cm="1">
        <f t="array" ref="G753">IF(LineærRegression_Valg[[#This Row],[Indenfor range]],IF(LineærRegression_Valg[[#This Row],[Intet overlap]],INDEX(DataTitel_liste,LineærRegression_Valg[[#This Row],[Uafhængig variabel ID]]),INDEX(DataTitel_liste,IF(LineærRegression_Valg[[#This Row],[Afhængig variabel ID]]=1,2,1))),$B$7)</f>
        <v>Eksempel 2 (interval)</v>
      </c>
      <c r="H753" s="171">
        <f>_xlfn.AGGREGATE(2,5,LineærRegression_Valg[[#This Row],[Tabel ID]])</f>
        <v>1</v>
      </c>
    </row>
    <row r="754" spans="1:8" x14ac:dyDescent="0.2">
      <c r="A754">
        <f>ROW(LineærRegression_Valg[[#This Row],[Tabel ID]])-ROW(LineærRegression_Valg[[#Headers],[Tabel ID]])</f>
        <v>744</v>
      </c>
      <c r="B754" s="171">
        <f>ROUNDDOWN((LineærRegression_Valg[[#This Row],[Tabel ID]]-1)/$B$5,0)+1</f>
        <v>186</v>
      </c>
      <c r="C754" s="171">
        <f t="shared" si="11"/>
        <v>4</v>
      </c>
      <c r="D754" s="171" t="b">
        <f>LineærRegression_Valg[[#This Row],[Afhængig variabel ID]]&lt;&gt;LineærRegression_Valg[[#This Row],[Uafhængig variabel ID]]</f>
        <v>1</v>
      </c>
      <c r="E754" t="b">
        <f>LineærRegression_Valg[[#This Row],[Afhængig variabel ID]]&lt;=$B$5</f>
        <v>0</v>
      </c>
      <c r="F754" t="str" cm="1">
        <f t="array" ref="F754">IF(LineærRegression_Valg[[#This Row],[Indenfor range]],INDEX(DataTitel_liste,LineærRegression_Valg[[#This Row],[Afhængig variabel ID]]),INDEX(DataTitel_liste,1))</f>
        <v>Eksempel 1 (interval)</v>
      </c>
      <c r="G754" s="171" t="str" cm="1">
        <f t="array" ref="G754">IF(LineærRegression_Valg[[#This Row],[Indenfor range]],IF(LineærRegression_Valg[[#This Row],[Intet overlap]],INDEX(DataTitel_liste,LineærRegression_Valg[[#This Row],[Uafhængig variabel ID]]),INDEX(DataTitel_liste,IF(LineærRegression_Valg[[#This Row],[Afhængig variabel ID]]=1,2,1))),$B$7)</f>
        <v>Eksempel 2 (interval)</v>
      </c>
      <c r="H754" s="171">
        <f>_xlfn.AGGREGATE(2,5,LineærRegression_Valg[[#This Row],[Tabel ID]])</f>
        <v>1</v>
      </c>
    </row>
    <row r="755" spans="1:8" x14ac:dyDescent="0.2">
      <c r="A755">
        <f>ROW(LineærRegression_Valg[[#This Row],[Tabel ID]])-ROW(LineærRegression_Valg[[#Headers],[Tabel ID]])</f>
        <v>745</v>
      </c>
      <c r="B755" s="171">
        <f>ROUNDDOWN((LineærRegression_Valg[[#This Row],[Tabel ID]]-1)/$B$5,0)+1</f>
        <v>187</v>
      </c>
      <c r="C755" s="171">
        <f t="shared" si="11"/>
        <v>1</v>
      </c>
      <c r="D755" s="171" t="b">
        <f>LineærRegression_Valg[[#This Row],[Afhængig variabel ID]]&lt;&gt;LineærRegression_Valg[[#This Row],[Uafhængig variabel ID]]</f>
        <v>1</v>
      </c>
      <c r="E755" t="b">
        <f>LineærRegression_Valg[[#This Row],[Afhængig variabel ID]]&lt;=$B$5</f>
        <v>0</v>
      </c>
      <c r="F755" t="str" cm="1">
        <f t="array" ref="F755">IF(LineærRegression_Valg[[#This Row],[Indenfor range]],INDEX(DataTitel_liste,LineærRegression_Valg[[#This Row],[Afhængig variabel ID]]),INDEX(DataTitel_liste,1))</f>
        <v>Eksempel 1 (interval)</v>
      </c>
      <c r="G755" s="171" t="str" cm="1">
        <f t="array" ref="G755">IF(LineærRegression_Valg[[#This Row],[Indenfor range]],IF(LineærRegression_Valg[[#This Row],[Intet overlap]],INDEX(DataTitel_liste,LineærRegression_Valg[[#This Row],[Uafhængig variabel ID]]),INDEX(DataTitel_liste,IF(LineærRegression_Valg[[#This Row],[Afhængig variabel ID]]=1,2,1))),$B$7)</f>
        <v>Eksempel 2 (interval)</v>
      </c>
      <c r="H755" s="171">
        <f>_xlfn.AGGREGATE(2,5,LineærRegression_Valg[[#This Row],[Tabel ID]])</f>
        <v>1</v>
      </c>
    </row>
    <row r="756" spans="1:8" x14ac:dyDescent="0.2">
      <c r="A756">
        <f>ROW(LineærRegression_Valg[[#This Row],[Tabel ID]])-ROW(LineærRegression_Valg[[#Headers],[Tabel ID]])</f>
        <v>746</v>
      </c>
      <c r="B756" s="171">
        <f>ROUNDDOWN((LineærRegression_Valg[[#This Row],[Tabel ID]]-1)/$B$5,0)+1</f>
        <v>187</v>
      </c>
      <c r="C756" s="171">
        <f t="shared" si="11"/>
        <v>2</v>
      </c>
      <c r="D756" s="171" t="b">
        <f>LineærRegression_Valg[[#This Row],[Afhængig variabel ID]]&lt;&gt;LineærRegression_Valg[[#This Row],[Uafhængig variabel ID]]</f>
        <v>1</v>
      </c>
      <c r="E756" t="b">
        <f>LineærRegression_Valg[[#This Row],[Afhængig variabel ID]]&lt;=$B$5</f>
        <v>0</v>
      </c>
      <c r="F756" t="str" cm="1">
        <f t="array" ref="F756">IF(LineærRegression_Valg[[#This Row],[Indenfor range]],INDEX(DataTitel_liste,LineærRegression_Valg[[#This Row],[Afhængig variabel ID]]),INDEX(DataTitel_liste,1))</f>
        <v>Eksempel 1 (interval)</v>
      </c>
      <c r="G756" s="171" t="str" cm="1">
        <f t="array" ref="G756">IF(LineærRegression_Valg[[#This Row],[Indenfor range]],IF(LineærRegression_Valg[[#This Row],[Intet overlap]],INDEX(DataTitel_liste,LineærRegression_Valg[[#This Row],[Uafhængig variabel ID]]),INDEX(DataTitel_liste,IF(LineærRegression_Valg[[#This Row],[Afhængig variabel ID]]=1,2,1))),$B$7)</f>
        <v>Eksempel 2 (interval)</v>
      </c>
      <c r="H756" s="171">
        <f>_xlfn.AGGREGATE(2,5,LineærRegression_Valg[[#This Row],[Tabel ID]])</f>
        <v>1</v>
      </c>
    </row>
    <row r="757" spans="1:8" x14ac:dyDescent="0.2">
      <c r="A757">
        <f>ROW(LineærRegression_Valg[[#This Row],[Tabel ID]])-ROW(LineærRegression_Valg[[#Headers],[Tabel ID]])</f>
        <v>747</v>
      </c>
      <c r="B757" s="171">
        <f>ROUNDDOWN((LineærRegression_Valg[[#This Row],[Tabel ID]]-1)/$B$5,0)+1</f>
        <v>187</v>
      </c>
      <c r="C757" s="171">
        <f t="shared" si="11"/>
        <v>3</v>
      </c>
      <c r="D757" s="171" t="b">
        <f>LineærRegression_Valg[[#This Row],[Afhængig variabel ID]]&lt;&gt;LineærRegression_Valg[[#This Row],[Uafhængig variabel ID]]</f>
        <v>1</v>
      </c>
      <c r="E757" t="b">
        <f>LineærRegression_Valg[[#This Row],[Afhængig variabel ID]]&lt;=$B$5</f>
        <v>0</v>
      </c>
      <c r="F757" t="str" cm="1">
        <f t="array" ref="F757">IF(LineærRegression_Valg[[#This Row],[Indenfor range]],INDEX(DataTitel_liste,LineærRegression_Valg[[#This Row],[Afhængig variabel ID]]),INDEX(DataTitel_liste,1))</f>
        <v>Eksempel 1 (interval)</v>
      </c>
      <c r="G757" s="171" t="str" cm="1">
        <f t="array" ref="G757">IF(LineærRegression_Valg[[#This Row],[Indenfor range]],IF(LineærRegression_Valg[[#This Row],[Intet overlap]],INDEX(DataTitel_liste,LineærRegression_Valg[[#This Row],[Uafhængig variabel ID]]),INDEX(DataTitel_liste,IF(LineærRegression_Valg[[#This Row],[Afhængig variabel ID]]=1,2,1))),$B$7)</f>
        <v>Eksempel 2 (interval)</v>
      </c>
      <c r="H757" s="171">
        <f>_xlfn.AGGREGATE(2,5,LineærRegression_Valg[[#This Row],[Tabel ID]])</f>
        <v>1</v>
      </c>
    </row>
    <row r="758" spans="1:8" x14ac:dyDescent="0.2">
      <c r="A758">
        <f>ROW(LineærRegression_Valg[[#This Row],[Tabel ID]])-ROW(LineærRegression_Valg[[#Headers],[Tabel ID]])</f>
        <v>748</v>
      </c>
      <c r="B758" s="171">
        <f>ROUNDDOWN((LineærRegression_Valg[[#This Row],[Tabel ID]]-1)/$B$5,0)+1</f>
        <v>187</v>
      </c>
      <c r="C758" s="171">
        <f t="shared" si="11"/>
        <v>4</v>
      </c>
      <c r="D758" s="171" t="b">
        <f>LineærRegression_Valg[[#This Row],[Afhængig variabel ID]]&lt;&gt;LineærRegression_Valg[[#This Row],[Uafhængig variabel ID]]</f>
        <v>1</v>
      </c>
      <c r="E758" t="b">
        <f>LineærRegression_Valg[[#This Row],[Afhængig variabel ID]]&lt;=$B$5</f>
        <v>0</v>
      </c>
      <c r="F758" t="str" cm="1">
        <f t="array" ref="F758">IF(LineærRegression_Valg[[#This Row],[Indenfor range]],INDEX(DataTitel_liste,LineærRegression_Valg[[#This Row],[Afhængig variabel ID]]),INDEX(DataTitel_liste,1))</f>
        <v>Eksempel 1 (interval)</v>
      </c>
      <c r="G758" s="171" t="str" cm="1">
        <f t="array" ref="G758">IF(LineærRegression_Valg[[#This Row],[Indenfor range]],IF(LineærRegression_Valg[[#This Row],[Intet overlap]],INDEX(DataTitel_liste,LineærRegression_Valg[[#This Row],[Uafhængig variabel ID]]),INDEX(DataTitel_liste,IF(LineærRegression_Valg[[#This Row],[Afhængig variabel ID]]=1,2,1))),$B$7)</f>
        <v>Eksempel 2 (interval)</v>
      </c>
      <c r="H758" s="171">
        <f>_xlfn.AGGREGATE(2,5,LineærRegression_Valg[[#This Row],[Tabel ID]])</f>
        <v>1</v>
      </c>
    </row>
    <row r="759" spans="1:8" x14ac:dyDescent="0.2">
      <c r="A759">
        <f>ROW(LineærRegression_Valg[[#This Row],[Tabel ID]])-ROW(LineærRegression_Valg[[#Headers],[Tabel ID]])</f>
        <v>749</v>
      </c>
      <c r="B759" s="171">
        <f>ROUNDDOWN((LineærRegression_Valg[[#This Row],[Tabel ID]]-1)/$B$5,0)+1</f>
        <v>188</v>
      </c>
      <c r="C759" s="171">
        <f t="shared" si="11"/>
        <v>1</v>
      </c>
      <c r="D759" s="171" t="b">
        <f>LineærRegression_Valg[[#This Row],[Afhængig variabel ID]]&lt;&gt;LineærRegression_Valg[[#This Row],[Uafhængig variabel ID]]</f>
        <v>1</v>
      </c>
      <c r="E759" t="b">
        <f>LineærRegression_Valg[[#This Row],[Afhængig variabel ID]]&lt;=$B$5</f>
        <v>0</v>
      </c>
      <c r="F759" t="str" cm="1">
        <f t="array" ref="F759">IF(LineærRegression_Valg[[#This Row],[Indenfor range]],INDEX(DataTitel_liste,LineærRegression_Valg[[#This Row],[Afhængig variabel ID]]),INDEX(DataTitel_liste,1))</f>
        <v>Eksempel 1 (interval)</v>
      </c>
      <c r="G759" s="171" t="str" cm="1">
        <f t="array" ref="G759">IF(LineærRegression_Valg[[#This Row],[Indenfor range]],IF(LineærRegression_Valg[[#This Row],[Intet overlap]],INDEX(DataTitel_liste,LineærRegression_Valg[[#This Row],[Uafhængig variabel ID]]),INDEX(DataTitel_liste,IF(LineærRegression_Valg[[#This Row],[Afhængig variabel ID]]=1,2,1))),$B$7)</f>
        <v>Eksempel 2 (interval)</v>
      </c>
      <c r="H759" s="171">
        <f>_xlfn.AGGREGATE(2,5,LineærRegression_Valg[[#This Row],[Tabel ID]])</f>
        <v>1</v>
      </c>
    </row>
    <row r="760" spans="1:8" x14ac:dyDescent="0.2">
      <c r="A760">
        <f>ROW(LineærRegression_Valg[[#This Row],[Tabel ID]])-ROW(LineærRegression_Valg[[#Headers],[Tabel ID]])</f>
        <v>750</v>
      </c>
      <c r="B760" s="171">
        <f>ROUNDDOWN((LineærRegression_Valg[[#This Row],[Tabel ID]]-1)/$B$5,0)+1</f>
        <v>188</v>
      </c>
      <c r="C760" s="171">
        <f t="shared" si="11"/>
        <v>2</v>
      </c>
      <c r="D760" s="171" t="b">
        <f>LineærRegression_Valg[[#This Row],[Afhængig variabel ID]]&lt;&gt;LineærRegression_Valg[[#This Row],[Uafhængig variabel ID]]</f>
        <v>1</v>
      </c>
      <c r="E760" t="b">
        <f>LineærRegression_Valg[[#This Row],[Afhængig variabel ID]]&lt;=$B$5</f>
        <v>0</v>
      </c>
      <c r="F760" t="str" cm="1">
        <f t="array" ref="F760">IF(LineærRegression_Valg[[#This Row],[Indenfor range]],INDEX(DataTitel_liste,LineærRegression_Valg[[#This Row],[Afhængig variabel ID]]),INDEX(DataTitel_liste,1))</f>
        <v>Eksempel 1 (interval)</v>
      </c>
      <c r="G760" s="171" t="str" cm="1">
        <f t="array" ref="G760">IF(LineærRegression_Valg[[#This Row],[Indenfor range]],IF(LineærRegression_Valg[[#This Row],[Intet overlap]],INDEX(DataTitel_liste,LineærRegression_Valg[[#This Row],[Uafhængig variabel ID]]),INDEX(DataTitel_liste,IF(LineærRegression_Valg[[#This Row],[Afhængig variabel ID]]=1,2,1))),$B$7)</f>
        <v>Eksempel 2 (interval)</v>
      </c>
      <c r="H760" s="171">
        <f>_xlfn.AGGREGATE(2,5,LineærRegression_Valg[[#This Row],[Tabel ID]])</f>
        <v>1</v>
      </c>
    </row>
    <row r="761" spans="1:8" x14ac:dyDescent="0.2">
      <c r="A761">
        <f>ROW(LineærRegression_Valg[[#This Row],[Tabel ID]])-ROW(LineærRegression_Valg[[#Headers],[Tabel ID]])</f>
        <v>751</v>
      </c>
      <c r="B761" s="171">
        <f>ROUNDDOWN((LineærRegression_Valg[[#This Row],[Tabel ID]]-1)/$B$5,0)+1</f>
        <v>188</v>
      </c>
      <c r="C761" s="171">
        <f t="shared" si="11"/>
        <v>3</v>
      </c>
      <c r="D761" s="171" t="b">
        <f>LineærRegression_Valg[[#This Row],[Afhængig variabel ID]]&lt;&gt;LineærRegression_Valg[[#This Row],[Uafhængig variabel ID]]</f>
        <v>1</v>
      </c>
      <c r="E761" t="b">
        <f>LineærRegression_Valg[[#This Row],[Afhængig variabel ID]]&lt;=$B$5</f>
        <v>0</v>
      </c>
      <c r="F761" t="str" cm="1">
        <f t="array" ref="F761">IF(LineærRegression_Valg[[#This Row],[Indenfor range]],INDEX(DataTitel_liste,LineærRegression_Valg[[#This Row],[Afhængig variabel ID]]),INDEX(DataTitel_liste,1))</f>
        <v>Eksempel 1 (interval)</v>
      </c>
      <c r="G761" s="171" t="str" cm="1">
        <f t="array" ref="G761">IF(LineærRegression_Valg[[#This Row],[Indenfor range]],IF(LineærRegression_Valg[[#This Row],[Intet overlap]],INDEX(DataTitel_liste,LineærRegression_Valg[[#This Row],[Uafhængig variabel ID]]),INDEX(DataTitel_liste,IF(LineærRegression_Valg[[#This Row],[Afhængig variabel ID]]=1,2,1))),$B$7)</f>
        <v>Eksempel 2 (interval)</v>
      </c>
      <c r="H761" s="171">
        <f>_xlfn.AGGREGATE(2,5,LineærRegression_Valg[[#This Row],[Tabel ID]])</f>
        <v>1</v>
      </c>
    </row>
    <row r="762" spans="1:8" x14ac:dyDescent="0.2">
      <c r="A762">
        <f>ROW(LineærRegression_Valg[[#This Row],[Tabel ID]])-ROW(LineærRegression_Valg[[#Headers],[Tabel ID]])</f>
        <v>752</v>
      </c>
      <c r="B762" s="171">
        <f>ROUNDDOWN((LineærRegression_Valg[[#This Row],[Tabel ID]]-1)/$B$5,0)+1</f>
        <v>188</v>
      </c>
      <c r="C762" s="171">
        <f t="shared" si="11"/>
        <v>4</v>
      </c>
      <c r="D762" s="171" t="b">
        <f>LineærRegression_Valg[[#This Row],[Afhængig variabel ID]]&lt;&gt;LineærRegression_Valg[[#This Row],[Uafhængig variabel ID]]</f>
        <v>1</v>
      </c>
      <c r="E762" t="b">
        <f>LineærRegression_Valg[[#This Row],[Afhængig variabel ID]]&lt;=$B$5</f>
        <v>0</v>
      </c>
      <c r="F762" t="str" cm="1">
        <f t="array" ref="F762">IF(LineærRegression_Valg[[#This Row],[Indenfor range]],INDEX(DataTitel_liste,LineærRegression_Valg[[#This Row],[Afhængig variabel ID]]),INDEX(DataTitel_liste,1))</f>
        <v>Eksempel 1 (interval)</v>
      </c>
      <c r="G762" s="171" t="str" cm="1">
        <f t="array" ref="G762">IF(LineærRegression_Valg[[#This Row],[Indenfor range]],IF(LineærRegression_Valg[[#This Row],[Intet overlap]],INDEX(DataTitel_liste,LineærRegression_Valg[[#This Row],[Uafhængig variabel ID]]),INDEX(DataTitel_liste,IF(LineærRegression_Valg[[#This Row],[Afhængig variabel ID]]=1,2,1))),$B$7)</f>
        <v>Eksempel 2 (interval)</v>
      </c>
      <c r="H762" s="171">
        <f>_xlfn.AGGREGATE(2,5,LineærRegression_Valg[[#This Row],[Tabel ID]])</f>
        <v>1</v>
      </c>
    </row>
    <row r="763" spans="1:8" x14ac:dyDescent="0.2">
      <c r="A763">
        <f>ROW(LineærRegression_Valg[[#This Row],[Tabel ID]])-ROW(LineærRegression_Valg[[#Headers],[Tabel ID]])</f>
        <v>753</v>
      </c>
      <c r="B763" s="171">
        <f>ROUNDDOWN((LineærRegression_Valg[[#This Row],[Tabel ID]]-1)/$B$5,0)+1</f>
        <v>189</v>
      </c>
      <c r="C763" s="171">
        <f t="shared" si="11"/>
        <v>1</v>
      </c>
      <c r="D763" s="171" t="b">
        <f>LineærRegression_Valg[[#This Row],[Afhængig variabel ID]]&lt;&gt;LineærRegression_Valg[[#This Row],[Uafhængig variabel ID]]</f>
        <v>1</v>
      </c>
      <c r="E763" t="b">
        <f>LineærRegression_Valg[[#This Row],[Afhængig variabel ID]]&lt;=$B$5</f>
        <v>0</v>
      </c>
      <c r="F763" t="str" cm="1">
        <f t="array" ref="F763">IF(LineærRegression_Valg[[#This Row],[Indenfor range]],INDEX(DataTitel_liste,LineærRegression_Valg[[#This Row],[Afhængig variabel ID]]),INDEX(DataTitel_liste,1))</f>
        <v>Eksempel 1 (interval)</v>
      </c>
      <c r="G763" s="171" t="str" cm="1">
        <f t="array" ref="G763">IF(LineærRegression_Valg[[#This Row],[Indenfor range]],IF(LineærRegression_Valg[[#This Row],[Intet overlap]],INDEX(DataTitel_liste,LineærRegression_Valg[[#This Row],[Uafhængig variabel ID]]),INDEX(DataTitel_liste,IF(LineærRegression_Valg[[#This Row],[Afhængig variabel ID]]=1,2,1))),$B$7)</f>
        <v>Eksempel 2 (interval)</v>
      </c>
      <c r="H763" s="171">
        <f>_xlfn.AGGREGATE(2,5,LineærRegression_Valg[[#This Row],[Tabel ID]])</f>
        <v>1</v>
      </c>
    </row>
    <row r="764" spans="1:8" x14ac:dyDescent="0.2">
      <c r="A764">
        <f>ROW(LineærRegression_Valg[[#This Row],[Tabel ID]])-ROW(LineærRegression_Valg[[#Headers],[Tabel ID]])</f>
        <v>754</v>
      </c>
      <c r="B764" s="171">
        <f>ROUNDDOWN((LineærRegression_Valg[[#This Row],[Tabel ID]]-1)/$B$5,0)+1</f>
        <v>189</v>
      </c>
      <c r="C764" s="171">
        <f t="shared" si="11"/>
        <v>2</v>
      </c>
      <c r="D764" s="171" t="b">
        <f>LineærRegression_Valg[[#This Row],[Afhængig variabel ID]]&lt;&gt;LineærRegression_Valg[[#This Row],[Uafhængig variabel ID]]</f>
        <v>1</v>
      </c>
      <c r="E764" t="b">
        <f>LineærRegression_Valg[[#This Row],[Afhængig variabel ID]]&lt;=$B$5</f>
        <v>0</v>
      </c>
      <c r="F764" t="str" cm="1">
        <f t="array" ref="F764">IF(LineærRegression_Valg[[#This Row],[Indenfor range]],INDEX(DataTitel_liste,LineærRegression_Valg[[#This Row],[Afhængig variabel ID]]),INDEX(DataTitel_liste,1))</f>
        <v>Eksempel 1 (interval)</v>
      </c>
      <c r="G764" s="171" t="str" cm="1">
        <f t="array" ref="G764">IF(LineærRegression_Valg[[#This Row],[Indenfor range]],IF(LineærRegression_Valg[[#This Row],[Intet overlap]],INDEX(DataTitel_liste,LineærRegression_Valg[[#This Row],[Uafhængig variabel ID]]),INDEX(DataTitel_liste,IF(LineærRegression_Valg[[#This Row],[Afhængig variabel ID]]=1,2,1))),$B$7)</f>
        <v>Eksempel 2 (interval)</v>
      </c>
      <c r="H764" s="171">
        <f>_xlfn.AGGREGATE(2,5,LineærRegression_Valg[[#This Row],[Tabel ID]])</f>
        <v>1</v>
      </c>
    </row>
    <row r="765" spans="1:8" x14ac:dyDescent="0.2">
      <c r="A765">
        <f>ROW(LineærRegression_Valg[[#This Row],[Tabel ID]])-ROW(LineærRegression_Valg[[#Headers],[Tabel ID]])</f>
        <v>755</v>
      </c>
      <c r="B765" s="171">
        <f>ROUNDDOWN((LineærRegression_Valg[[#This Row],[Tabel ID]]-1)/$B$5,0)+1</f>
        <v>189</v>
      </c>
      <c r="C765" s="171">
        <f t="shared" si="11"/>
        <v>3</v>
      </c>
      <c r="D765" s="171" t="b">
        <f>LineærRegression_Valg[[#This Row],[Afhængig variabel ID]]&lt;&gt;LineærRegression_Valg[[#This Row],[Uafhængig variabel ID]]</f>
        <v>1</v>
      </c>
      <c r="E765" t="b">
        <f>LineærRegression_Valg[[#This Row],[Afhængig variabel ID]]&lt;=$B$5</f>
        <v>0</v>
      </c>
      <c r="F765" t="str" cm="1">
        <f t="array" ref="F765">IF(LineærRegression_Valg[[#This Row],[Indenfor range]],INDEX(DataTitel_liste,LineærRegression_Valg[[#This Row],[Afhængig variabel ID]]),INDEX(DataTitel_liste,1))</f>
        <v>Eksempel 1 (interval)</v>
      </c>
      <c r="G765" s="171" t="str" cm="1">
        <f t="array" ref="G765">IF(LineærRegression_Valg[[#This Row],[Indenfor range]],IF(LineærRegression_Valg[[#This Row],[Intet overlap]],INDEX(DataTitel_liste,LineærRegression_Valg[[#This Row],[Uafhængig variabel ID]]),INDEX(DataTitel_liste,IF(LineærRegression_Valg[[#This Row],[Afhængig variabel ID]]=1,2,1))),$B$7)</f>
        <v>Eksempel 2 (interval)</v>
      </c>
      <c r="H765" s="171">
        <f>_xlfn.AGGREGATE(2,5,LineærRegression_Valg[[#This Row],[Tabel ID]])</f>
        <v>1</v>
      </c>
    </row>
    <row r="766" spans="1:8" x14ac:dyDescent="0.2">
      <c r="A766">
        <f>ROW(LineærRegression_Valg[[#This Row],[Tabel ID]])-ROW(LineærRegression_Valg[[#Headers],[Tabel ID]])</f>
        <v>756</v>
      </c>
      <c r="B766" s="171">
        <f>ROUNDDOWN((LineærRegression_Valg[[#This Row],[Tabel ID]]-1)/$B$5,0)+1</f>
        <v>189</v>
      </c>
      <c r="C766" s="171">
        <f t="shared" si="11"/>
        <v>4</v>
      </c>
      <c r="D766" s="171" t="b">
        <f>LineærRegression_Valg[[#This Row],[Afhængig variabel ID]]&lt;&gt;LineærRegression_Valg[[#This Row],[Uafhængig variabel ID]]</f>
        <v>1</v>
      </c>
      <c r="E766" t="b">
        <f>LineærRegression_Valg[[#This Row],[Afhængig variabel ID]]&lt;=$B$5</f>
        <v>0</v>
      </c>
      <c r="F766" t="str" cm="1">
        <f t="array" ref="F766">IF(LineærRegression_Valg[[#This Row],[Indenfor range]],INDEX(DataTitel_liste,LineærRegression_Valg[[#This Row],[Afhængig variabel ID]]),INDEX(DataTitel_liste,1))</f>
        <v>Eksempel 1 (interval)</v>
      </c>
      <c r="G766" s="171" t="str" cm="1">
        <f t="array" ref="G766">IF(LineærRegression_Valg[[#This Row],[Indenfor range]],IF(LineærRegression_Valg[[#This Row],[Intet overlap]],INDEX(DataTitel_liste,LineærRegression_Valg[[#This Row],[Uafhængig variabel ID]]),INDEX(DataTitel_liste,IF(LineærRegression_Valg[[#This Row],[Afhængig variabel ID]]=1,2,1))),$B$7)</f>
        <v>Eksempel 2 (interval)</v>
      </c>
      <c r="H766" s="171">
        <f>_xlfn.AGGREGATE(2,5,LineærRegression_Valg[[#This Row],[Tabel ID]])</f>
        <v>1</v>
      </c>
    </row>
    <row r="767" spans="1:8" x14ac:dyDescent="0.2">
      <c r="A767">
        <f>ROW(LineærRegression_Valg[[#This Row],[Tabel ID]])-ROW(LineærRegression_Valg[[#Headers],[Tabel ID]])</f>
        <v>757</v>
      </c>
      <c r="B767" s="171">
        <f>ROUNDDOWN((LineærRegression_Valg[[#This Row],[Tabel ID]]-1)/$B$5,0)+1</f>
        <v>190</v>
      </c>
      <c r="C767" s="171">
        <f t="shared" si="11"/>
        <v>1</v>
      </c>
      <c r="D767" s="171" t="b">
        <f>LineærRegression_Valg[[#This Row],[Afhængig variabel ID]]&lt;&gt;LineærRegression_Valg[[#This Row],[Uafhængig variabel ID]]</f>
        <v>1</v>
      </c>
      <c r="E767" t="b">
        <f>LineærRegression_Valg[[#This Row],[Afhængig variabel ID]]&lt;=$B$5</f>
        <v>0</v>
      </c>
      <c r="F767" t="str" cm="1">
        <f t="array" ref="F767">IF(LineærRegression_Valg[[#This Row],[Indenfor range]],INDEX(DataTitel_liste,LineærRegression_Valg[[#This Row],[Afhængig variabel ID]]),INDEX(DataTitel_liste,1))</f>
        <v>Eksempel 1 (interval)</v>
      </c>
      <c r="G767" s="171" t="str" cm="1">
        <f t="array" ref="G767">IF(LineærRegression_Valg[[#This Row],[Indenfor range]],IF(LineærRegression_Valg[[#This Row],[Intet overlap]],INDEX(DataTitel_liste,LineærRegression_Valg[[#This Row],[Uafhængig variabel ID]]),INDEX(DataTitel_liste,IF(LineærRegression_Valg[[#This Row],[Afhængig variabel ID]]=1,2,1))),$B$7)</f>
        <v>Eksempel 2 (interval)</v>
      </c>
      <c r="H767" s="171">
        <f>_xlfn.AGGREGATE(2,5,LineærRegression_Valg[[#This Row],[Tabel ID]])</f>
        <v>1</v>
      </c>
    </row>
    <row r="768" spans="1:8" x14ac:dyDescent="0.2">
      <c r="A768">
        <f>ROW(LineærRegression_Valg[[#This Row],[Tabel ID]])-ROW(LineærRegression_Valg[[#Headers],[Tabel ID]])</f>
        <v>758</v>
      </c>
      <c r="B768" s="171">
        <f>ROUNDDOWN((LineærRegression_Valg[[#This Row],[Tabel ID]]-1)/$B$5,0)+1</f>
        <v>190</v>
      </c>
      <c r="C768" s="171">
        <f t="shared" si="11"/>
        <v>2</v>
      </c>
      <c r="D768" s="171" t="b">
        <f>LineærRegression_Valg[[#This Row],[Afhængig variabel ID]]&lt;&gt;LineærRegression_Valg[[#This Row],[Uafhængig variabel ID]]</f>
        <v>1</v>
      </c>
      <c r="E768" t="b">
        <f>LineærRegression_Valg[[#This Row],[Afhængig variabel ID]]&lt;=$B$5</f>
        <v>0</v>
      </c>
      <c r="F768" t="str" cm="1">
        <f t="array" ref="F768">IF(LineærRegression_Valg[[#This Row],[Indenfor range]],INDEX(DataTitel_liste,LineærRegression_Valg[[#This Row],[Afhængig variabel ID]]),INDEX(DataTitel_liste,1))</f>
        <v>Eksempel 1 (interval)</v>
      </c>
      <c r="G768" s="171" t="str" cm="1">
        <f t="array" ref="G768">IF(LineærRegression_Valg[[#This Row],[Indenfor range]],IF(LineærRegression_Valg[[#This Row],[Intet overlap]],INDEX(DataTitel_liste,LineærRegression_Valg[[#This Row],[Uafhængig variabel ID]]),INDEX(DataTitel_liste,IF(LineærRegression_Valg[[#This Row],[Afhængig variabel ID]]=1,2,1))),$B$7)</f>
        <v>Eksempel 2 (interval)</v>
      </c>
      <c r="H768" s="171">
        <f>_xlfn.AGGREGATE(2,5,LineærRegression_Valg[[#This Row],[Tabel ID]])</f>
        <v>1</v>
      </c>
    </row>
    <row r="769" spans="1:8" x14ac:dyDescent="0.2">
      <c r="A769">
        <f>ROW(LineærRegression_Valg[[#This Row],[Tabel ID]])-ROW(LineærRegression_Valg[[#Headers],[Tabel ID]])</f>
        <v>759</v>
      </c>
      <c r="B769" s="171">
        <f>ROUNDDOWN((LineærRegression_Valg[[#This Row],[Tabel ID]]-1)/$B$5,0)+1</f>
        <v>190</v>
      </c>
      <c r="C769" s="171">
        <f t="shared" si="11"/>
        <v>3</v>
      </c>
      <c r="D769" s="171" t="b">
        <f>LineærRegression_Valg[[#This Row],[Afhængig variabel ID]]&lt;&gt;LineærRegression_Valg[[#This Row],[Uafhængig variabel ID]]</f>
        <v>1</v>
      </c>
      <c r="E769" t="b">
        <f>LineærRegression_Valg[[#This Row],[Afhængig variabel ID]]&lt;=$B$5</f>
        <v>0</v>
      </c>
      <c r="F769" t="str" cm="1">
        <f t="array" ref="F769">IF(LineærRegression_Valg[[#This Row],[Indenfor range]],INDEX(DataTitel_liste,LineærRegression_Valg[[#This Row],[Afhængig variabel ID]]),INDEX(DataTitel_liste,1))</f>
        <v>Eksempel 1 (interval)</v>
      </c>
      <c r="G769" s="171" t="str" cm="1">
        <f t="array" ref="G769">IF(LineærRegression_Valg[[#This Row],[Indenfor range]],IF(LineærRegression_Valg[[#This Row],[Intet overlap]],INDEX(DataTitel_liste,LineærRegression_Valg[[#This Row],[Uafhængig variabel ID]]),INDEX(DataTitel_liste,IF(LineærRegression_Valg[[#This Row],[Afhængig variabel ID]]=1,2,1))),$B$7)</f>
        <v>Eksempel 2 (interval)</v>
      </c>
      <c r="H769" s="171">
        <f>_xlfn.AGGREGATE(2,5,LineærRegression_Valg[[#This Row],[Tabel ID]])</f>
        <v>1</v>
      </c>
    </row>
    <row r="770" spans="1:8" x14ac:dyDescent="0.2">
      <c r="A770">
        <f>ROW(LineærRegression_Valg[[#This Row],[Tabel ID]])-ROW(LineærRegression_Valg[[#Headers],[Tabel ID]])</f>
        <v>760</v>
      </c>
      <c r="B770" s="171">
        <f>ROUNDDOWN((LineærRegression_Valg[[#This Row],[Tabel ID]]-1)/$B$5,0)+1</f>
        <v>190</v>
      </c>
      <c r="C770" s="171">
        <f t="shared" si="11"/>
        <v>4</v>
      </c>
      <c r="D770" s="171" t="b">
        <f>LineærRegression_Valg[[#This Row],[Afhængig variabel ID]]&lt;&gt;LineærRegression_Valg[[#This Row],[Uafhængig variabel ID]]</f>
        <v>1</v>
      </c>
      <c r="E770" t="b">
        <f>LineærRegression_Valg[[#This Row],[Afhængig variabel ID]]&lt;=$B$5</f>
        <v>0</v>
      </c>
      <c r="F770" t="str" cm="1">
        <f t="array" ref="F770">IF(LineærRegression_Valg[[#This Row],[Indenfor range]],INDEX(DataTitel_liste,LineærRegression_Valg[[#This Row],[Afhængig variabel ID]]),INDEX(DataTitel_liste,1))</f>
        <v>Eksempel 1 (interval)</v>
      </c>
      <c r="G770" s="171" t="str" cm="1">
        <f t="array" ref="G770">IF(LineærRegression_Valg[[#This Row],[Indenfor range]],IF(LineærRegression_Valg[[#This Row],[Intet overlap]],INDEX(DataTitel_liste,LineærRegression_Valg[[#This Row],[Uafhængig variabel ID]]),INDEX(DataTitel_liste,IF(LineærRegression_Valg[[#This Row],[Afhængig variabel ID]]=1,2,1))),$B$7)</f>
        <v>Eksempel 2 (interval)</v>
      </c>
      <c r="H770" s="171">
        <f>_xlfn.AGGREGATE(2,5,LineærRegression_Valg[[#This Row],[Tabel ID]])</f>
        <v>1</v>
      </c>
    </row>
    <row r="771" spans="1:8" x14ac:dyDescent="0.2">
      <c r="A771">
        <f>ROW(LineærRegression_Valg[[#This Row],[Tabel ID]])-ROW(LineærRegression_Valg[[#Headers],[Tabel ID]])</f>
        <v>761</v>
      </c>
      <c r="B771" s="171">
        <f>ROUNDDOWN((LineærRegression_Valg[[#This Row],[Tabel ID]]-1)/$B$5,0)+1</f>
        <v>191</v>
      </c>
      <c r="C771" s="171">
        <f t="shared" si="11"/>
        <v>1</v>
      </c>
      <c r="D771" s="171" t="b">
        <f>LineærRegression_Valg[[#This Row],[Afhængig variabel ID]]&lt;&gt;LineærRegression_Valg[[#This Row],[Uafhængig variabel ID]]</f>
        <v>1</v>
      </c>
      <c r="E771" t="b">
        <f>LineærRegression_Valg[[#This Row],[Afhængig variabel ID]]&lt;=$B$5</f>
        <v>0</v>
      </c>
      <c r="F771" t="str" cm="1">
        <f t="array" ref="F771">IF(LineærRegression_Valg[[#This Row],[Indenfor range]],INDEX(DataTitel_liste,LineærRegression_Valg[[#This Row],[Afhængig variabel ID]]),INDEX(DataTitel_liste,1))</f>
        <v>Eksempel 1 (interval)</v>
      </c>
      <c r="G771" s="171" t="str" cm="1">
        <f t="array" ref="G771">IF(LineærRegression_Valg[[#This Row],[Indenfor range]],IF(LineærRegression_Valg[[#This Row],[Intet overlap]],INDEX(DataTitel_liste,LineærRegression_Valg[[#This Row],[Uafhængig variabel ID]]),INDEX(DataTitel_liste,IF(LineærRegression_Valg[[#This Row],[Afhængig variabel ID]]=1,2,1))),$B$7)</f>
        <v>Eksempel 2 (interval)</v>
      </c>
      <c r="H771" s="171">
        <f>_xlfn.AGGREGATE(2,5,LineærRegression_Valg[[#This Row],[Tabel ID]])</f>
        <v>1</v>
      </c>
    </row>
    <row r="772" spans="1:8" x14ac:dyDescent="0.2">
      <c r="A772">
        <f>ROW(LineærRegression_Valg[[#This Row],[Tabel ID]])-ROW(LineærRegression_Valg[[#Headers],[Tabel ID]])</f>
        <v>762</v>
      </c>
      <c r="B772" s="171">
        <f>ROUNDDOWN((LineærRegression_Valg[[#This Row],[Tabel ID]]-1)/$B$5,0)+1</f>
        <v>191</v>
      </c>
      <c r="C772" s="171">
        <f t="shared" si="11"/>
        <v>2</v>
      </c>
      <c r="D772" s="171" t="b">
        <f>LineærRegression_Valg[[#This Row],[Afhængig variabel ID]]&lt;&gt;LineærRegression_Valg[[#This Row],[Uafhængig variabel ID]]</f>
        <v>1</v>
      </c>
      <c r="E772" t="b">
        <f>LineærRegression_Valg[[#This Row],[Afhængig variabel ID]]&lt;=$B$5</f>
        <v>0</v>
      </c>
      <c r="F772" t="str" cm="1">
        <f t="array" ref="F772">IF(LineærRegression_Valg[[#This Row],[Indenfor range]],INDEX(DataTitel_liste,LineærRegression_Valg[[#This Row],[Afhængig variabel ID]]),INDEX(DataTitel_liste,1))</f>
        <v>Eksempel 1 (interval)</v>
      </c>
      <c r="G772" s="171" t="str" cm="1">
        <f t="array" ref="G772">IF(LineærRegression_Valg[[#This Row],[Indenfor range]],IF(LineærRegression_Valg[[#This Row],[Intet overlap]],INDEX(DataTitel_liste,LineærRegression_Valg[[#This Row],[Uafhængig variabel ID]]),INDEX(DataTitel_liste,IF(LineærRegression_Valg[[#This Row],[Afhængig variabel ID]]=1,2,1))),$B$7)</f>
        <v>Eksempel 2 (interval)</v>
      </c>
      <c r="H772" s="171">
        <f>_xlfn.AGGREGATE(2,5,LineærRegression_Valg[[#This Row],[Tabel ID]])</f>
        <v>1</v>
      </c>
    </row>
    <row r="773" spans="1:8" x14ac:dyDescent="0.2">
      <c r="A773">
        <f>ROW(LineærRegression_Valg[[#This Row],[Tabel ID]])-ROW(LineærRegression_Valg[[#Headers],[Tabel ID]])</f>
        <v>763</v>
      </c>
      <c r="B773" s="171">
        <f>ROUNDDOWN((LineærRegression_Valg[[#This Row],[Tabel ID]]-1)/$B$5,0)+1</f>
        <v>191</v>
      </c>
      <c r="C773" s="171">
        <f t="shared" si="11"/>
        <v>3</v>
      </c>
      <c r="D773" s="171" t="b">
        <f>LineærRegression_Valg[[#This Row],[Afhængig variabel ID]]&lt;&gt;LineærRegression_Valg[[#This Row],[Uafhængig variabel ID]]</f>
        <v>1</v>
      </c>
      <c r="E773" t="b">
        <f>LineærRegression_Valg[[#This Row],[Afhængig variabel ID]]&lt;=$B$5</f>
        <v>0</v>
      </c>
      <c r="F773" t="str" cm="1">
        <f t="array" ref="F773">IF(LineærRegression_Valg[[#This Row],[Indenfor range]],INDEX(DataTitel_liste,LineærRegression_Valg[[#This Row],[Afhængig variabel ID]]),INDEX(DataTitel_liste,1))</f>
        <v>Eksempel 1 (interval)</v>
      </c>
      <c r="G773" s="171" t="str" cm="1">
        <f t="array" ref="G773">IF(LineærRegression_Valg[[#This Row],[Indenfor range]],IF(LineærRegression_Valg[[#This Row],[Intet overlap]],INDEX(DataTitel_liste,LineærRegression_Valg[[#This Row],[Uafhængig variabel ID]]),INDEX(DataTitel_liste,IF(LineærRegression_Valg[[#This Row],[Afhængig variabel ID]]=1,2,1))),$B$7)</f>
        <v>Eksempel 2 (interval)</v>
      </c>
      <c r="H773" s="171">
        <f>_xlfn.AGGREGATE(2,5,LineærRegression_Valg[[#This Row],[Tabel ID]])</f>
        <v>1</v>
      </c>
    </row>
    <row r="774" spans="1:8" x14ac:dyDescent="0.2">
      <c r="A774">
        <f>ROW(LineærRegression_Valg[[#This Row],[Tabel ID]])-ROW(LineærRegression_Valg[[#Headers],[Tabel ID]])</f>
        <v>764</v>
      </c>
      <c r="B774" s="171">
        <f>ROUNDDOWN((LineærRegression_Valg[[#This Row],[Tabel ID]]-1)/$B$5,0)+1</f>
        <v>191</v>
      </c>
      <c r="C774" s="171">
        <f t="shared" si="11"/>
        <v>4</v>
      </c>
      <c r="D774" s="171" t="b">
        <f>LineærRegression_Valg[[#This Row],[Afhængig variabel ID]]&lt;&gt;LineærRegression_Valg[[#This Row],[Uafhængig variabel ID]]</f>
        <v>1</v>
      </c>
      <c r="E774" t="b">
        <f>LineærRegression_Valg[[#This Row],[Afhængig variabel ID]]&lt;=$B$5</f>
        <v>0</v>
      </c>
      <c r="F774" t="str" cm="1">
        <f t="array" ref="F774">IF(LineærRegression_Valg[[#This Row],[Indenfor range]],INDEX(DataTitel_liste,LineærRegression_Valg[[#This Row],[Afhængig variabel ID]]),INDEX(DataTitel_liste,1))</f>
        <v>Eksempel 1 (interval)</v>
      </c>
      <c r="G774" s="171" t="str" cm="1">
        <f t="array" ref="G774">IF(LineærRegression_Valg[[#This Row],[Indenfor range]],IF(LineærRegression_Valg[[#This Row],[Intet overlap]],INDEX(DataTitel_liste,LineærRegression_Valg[[#This Row],[Uafhængig variabel ID]]),INDEX(DataTitel_liste,IF(LineærRegression_Valg[[#This Row],[Afhængig variabel ID]]=1,2,1))),$B$7)</f>
        <v>Eksempel 2 (interval)</v>
      </c>
      <c r="H774" s="171">
        <f>_xlfn.AGGREGATE(2,5,LineærRegression_Valg[[#This Row],[Tabel ID]])</f>
        <v>1</v>
      </c>
    </row>
    <row r="775" spans="1:8" x14ac:dyDescent="0.2">
      <c r="A775">
        <f>ROW(LineærRegression_Valg[[#This Row],[Tabel ID]])-ROW(LineærRegression_Valg[[#Headers],[Tabel ID]])</f>
        <v>765</v>
      </c>
      <c r="B775" s="171">
        <f>ROUNDDOWN((LineærRegression_Valg[[#This Row],[Tabel ID]]-1)/$B$5,0)+1</f>
        <v>192</v>
      </c>
      <c r="C775" s="171">
        <f t="shared" si="11"/>
        <v>1</v>
      </c>
      <c r="D775" s="171" t="b">
        <f>LineærRegression_Valg[[#This Row],[Afhængig variabel ID]]&lt;&gt;LineærRegression_Valg[[#This Row],[Uafhængig variabel ID]]</f>
        <v>1</v>
      </c>
      <c r="E775" t="b">
        <f>LineærRegression_Valg[[#This Row],[Afhængig variabel ID]]&lt;=$B$5</f>
        <v>0</v>
      </c>
      <c r="F775" t="str" cm="1">
        <f t="array" ref="F775">IF(LineærRegression_Valg[[#This Row],[Indenfor range]],INDEX(DataTitel_liste,LineærRegression_Valg[[#This Row],[Afhængig variabel ID]]),INDEX(DataTitel_liste,1))</f>
        <v>Eksempel 1 (interval)</v>
      </c>
      <c r="G775" s="171" t="str" cm="1">
        <f t="array" ref="G775">IF(LineærRegression_Valg[[#This Row],[Indenfor range]],IF(LineærRegression_Valg[[#This Row],[Intet overlap]],INDEX(DataTitel_liste,LineærRegression_Valg[[#This Row],[Uafhængig variabel ID]]),INDEX(DataTitel_liste,IF(LineærRegression_Valg[[#This Row],[Afhængig variabel ID]]=1,2,1))),$B$7)</f>
        <v>Eksempel 2 (interval)</v>
      </c>
      <c r="H775" s="171">
        <f>_xlfn.AGGREGATE(2,5,LineærRegression_Valg[[#This Row],[Tabel ID]])</f>
        <v>1</v>
      </c>
    </row>
    <row r="776" spans="1:8" x14ac:dyDescent="0.2">
      <c r="A776">
        <f>ROW(LineærRegression_Valg[[#This Row],[Tabel ID]])-ROW(LineærRegression_Valg[[#Headers],[Tabel ID]])</f>
        <v>766</v>
      </c>
      <c r="B776" s="171">
        <f>ROUNDDOWN((LineærRegression_Valg[[#This Row],[Tabel ID]]-1)/$B$5,0)+1</f>
        <v>192</v>
      </c>
      <c r="C776" s="171">
        <f t="shared" si="11"/>
        <v>2</v>
      </c>
      <c r="D776" s="171" t="b">
        <f>LineærRegression_Valg[[#This Row],[Afhængig variabel ID]]&lt;&gt;LineærRegression_Valg[[#This Row],[Uafhængig variabel ID]]</f>
        <v>1</v>
      </c>
      <c r="E776" t="b">
        <f>LineærRegression_Valg[[#This Row],[Afhængig variabel ID]]&lt;=$B$5</f>
        <v>0</v>
      </c>
      <c r="F776" t="str" cm="1">
        <f t="array" ref="F776">IF(LineærRegression_Valg[[#This Row],[Indenfor range]],INDEX(DataTitel_liste,LineærRegression_Valg[[#This Row],[Afhængig variabel ID]]),INDEX(DataTitel_liste,1))</f>
        <v>Eksempel 1 (interval)</v>
      </c>
      <c r="G776" s="171" t="str" cm="1">
        <f t="array" ref="G776">IF(LineærRegression_Valg[[#This Row],[Indenfor range]],IF(LineærRegression_Valg[[#This Row],[Intet overlap]],INDEX(DataTitel_liste,LineærRegression_Valg[[#This Row],[Uafhængig variabel ID]]),INDEX(DataTitel_liste,IF(LineærRegression_Valg[[#This Row],[Afhængig variabel ID]]=1,2,1))),$B$7)</f>
        <v>Eksempel 2 (interval)</v>
      </c>
      <c r="H776" s="171">
        <f>_xlfn.AGGREGATE(2,5,LineærRegression_Valg[[#This Row],[Tabel ID]])</f>
        <v>1</v>
      </c>
    </row>
    <row r="777" spans="1:8" x14ac:dyDescent="0.2">
      <c r="A777">
        <f>ROW(LineærRegression_Valg[[#This Row],[Tabel ID]])-ROW(LineærRegression_Valg[[#Headers],[Tabel ID]])</f>
        <v>767</v>
      </c>
      <c r="B777" s="171">
        <f>ROUNDDOWN((LineærRegression_Valg[[#This Row],[Tabel ID]]-1)/$B$5,0)+1</f>
        <v>192</v>
      </c>
      <c r="C777" s="171">
        <f t="shared" si="11"/>
        <v>3</v>
      </c>
      <c r="D777" s="171" t="b">
        <f>LineærRegression_Valg[[#This Row],[Afhængig variabel ID]]&lt;&gt;LineærRegression_Valg[[#This Row],[Uafhængig variabel ID]]</f>
        <v>1</v>
      </c>
      <c r="E777" t="b">
        <f>LineærRegression_Valg[[#This Row],[Afhængig variabel ID]]&lt;=$B$5</f>
        <v>0</v>
      </c>
      <c r="F777" t="str" cm="1">
        <f t="array" ref="F777">IF(LineærRegression_Valg[[#This Row],[Indenfor range]],INDEX(DataTitel_liste,LineærRegression_Valg[[#This Row],[Afhængig variabel ID]]),INDEX(DataTitel_liste,1))</f>
        <v>Eksempel 1 (interval)</v>
      </c>
      <c r="G777" s="171" t="str" cm="1">
        <f t="array" ref="G777">IF(LineærRegression_Valg[[#This Row],[Indenfor range]],IF(LineærRegression_Valg[[#This Row],[Intet overlap]],INDEX(DataTitel_liste,LineærRegression_Valg[[#This Row],[Uafhængig variabel ID]]),INDEX(DataTitel_liste,IF(LineærRegression_Valg[[#This Row],[Afhængig variabel ID]]=1,2,1))),$B$7)</f>
        <v>Eksempel 2 (interval)</v>
      </c>
      <c r="H777" s="171">
        <f>_xlfn.AGGREGATE(2,5,LineærRegression_Valg[[#This Row],[Tabel ID]])</f>
        <v>1</v>
      </c>
    </row>
    <row r="778" spans="1:8" x14ac:dyDescent="0.2">
      <c r="A778">
        <f>ROW(LineærRegression_Valg[[#This Row],[Tabel ID]])-ROW(LineærRegression_Valg[[#Headers],[Tabel ID]])</f>
        <v>768</v>
      </c>
      <c r="B778" s="171">
        <f>ROUNDDOWN((LineærRegression_Valg[[#This Row],[Tabel ID]]-1)/$B$5,0)+1</f>
        <v>192</v>
      </c>
      <c r="C778" s="171">
        <f t="shared" si="11"/>
        <v>4</v>
      </c>
      <c r="D778" s="171" t="b">
        <f>LineærRegression_Valg[[#This Row],[Afhængig variabel ID]]&lt;&gt;LineærRegression_Valg[[#This Row],[Uafhængig variabel ID]]</f>
        <v>1</v>
      </c>
      <c r="E778" t="b">
        <f>LineærRegression_Valg[[#This Row],[Afhængig variabel ID]]&lt;=$B$5</f>
        <v>0</v>
      </c>
      <c r="F778" t="str" cm="1">
        <f t="array" ref="F778">IF(LineærRegression_Valg[[#This Row],[Indenfor range]],INDEX(DataTitel_liste,LineærRegression_Valg[[#This Row],[Afhængig variabel ID]]),INDEX(DataTitel_liste,1))</f>
        <v>Eksempel 1 (interval)</v>
      </c>
      <c r="G778" s="171" t="str" cm="1">
        <f t="array" ref="G778">IF(LineærRegression_Valg[[#This Row],[Indenfor range]],IF(LineærRegression_Valg[[#This Row],[Intet overlap]],INDEX(DataTitel_liste,LineærRegression_Valg[[#This Row],[Uafhængig variabel ID]]),INDEX(DataTitel_liste,IF(LineærRegression_Valg[[#This Row],[Afhængig variabel ID]]=1,2,1))),$B$7)</f>
        <v>Eksempel 2 (interval)</v>
      </c>
      <c r="H778" s="171">
        <f>_xlfn.AGGREGATE(2,5,LineærRegression_Valg[[#This Row],[Tabel ID]])</f>
        <v>1</v>
      </c>
    </row>
    <row r="779" spans="1:8" x14ac:dyDescent="0.2">
      <c r="A779">
        <f>ROW(LineærRegression_Valg[[#This Row],[Tabel ID]])-ROW(LineærRegression_Valg[[#Headers],[Tabel ID]])</f>
        <v>769</v>
      </c>
      <c r="B779" s="171">
        <f>ROUNDDOWN((LineærRegression_Valg[[#This Row],[Tabel ID]]-1)/$B$5,0)+1</f>
        <v>193</v>
      </c>
      <c r="C779" s="171">
        <f t="shared" ref="C779:C842" si="12">MOD(A779-1,$B$5)+1</f>
        <v>1</v>
      </c>
      <c r="D779" s="171" t="b">
        <f>LineærRegression_Valg[[#This Row],[Afhængig variabel ID]]&lt;&gt;LineærRegression_Valg[[#This Row],[Uafhængig variabel ID]]</f>
        <v>1</v>
      </c>
      <c r="E779" t="b">
        <f>LineærRegression_Valg[[#This Row],[Afhængig variabel ID]]&lt;=$B$5</f>
        <v>0</v>
      </c>
      <c r="F779" t="str" cm="1">
        <f t="array" ref="F779">IF(LineærRegression_Valg[[#This Row],[Indenfor range]],INDEX(DataTitel_liste,LineærRegression_Valg[[#This Row],[Afhængig variabel ID]]),INDEX(DataTitel_liste,1))</f>
        <v>Eksempel 1 (interval)</v>
      </c>
      <c r="G779" s="171" t="str" cm="1">
        <f t="array" ref="G779">IF(LineærRegression_Valg[[#This Row],[Indenfor range]],IF(LineærRegression_Valg[[#This Row],[Intet overlap]],INDEX(DataTitel_liste,LineærRegression_Valg[[#This Row],[Uafhængig variabel ID]]),INDEX(DataTitel_liste,IF(LineærRegression_Valg[[#This Row],[Afhængig variabel ID]]=1,2,1))),$B$7)</f>
        <v>Eksempel 2 (interval)</v>
      </c>
      <c r="H779" s="171">
        <f>_xlfn.AGGREGATE(2,5,LineærRegression_Valg[[#This Row],[Tabel ID]])</f>
        <v>1</v>
      </c>
    </row>
    <row r="780" spans="1:8" x14ac:dyDescent="0.2">
      <c r="A780">
        <f>ROW(LineærRegression_Valg[[#This Row],[Tabel ID]])-ROW(LineærRegression_Valg[[#Headers],[Tabel ID]])</f>
        <v>770</v>
      </c>
      <c r="B780" s="171">
        <f>ROUNDDOWN((LineærRegression_Valg[[#This Row],[Tabel ID]]-1)/$B$5,0)+1</f>
        <v>193</v>
      </c>
      <c r="C780" s="171">
        <f t="shared" si="12"/>
        <v>2</v>
      </c>
      <c r="D780" s="171" t="b">
        <f>LineærRegression_Valg[[#This Row],[Afhængig variabel ID]]&lt;&gt;LineærRegression_Valg[[#This Row],[Uafhængig variabel ID]]</f>
        <v>1</v>
      </c>
      <c r="E780" t="b">
        <f>LineærRegression_Valg[[#This Row],[Afhængig variabel ID]]&lt;=$B$5</f>
        <v>0</v>
      </c>
      <c r="F780" t="str" cm="1">
        <f t="array" ref="F780">IF(LineærRegression_Valg[[#This Row],[Indenfor range]],INDEX(DataTitel_liste,LineærRegression_Valg[[#This Row],[Afhængig variabel ID]]),INDEX(DataTitel_liste,1))</f>
        <v>Eksempel 1 (interval)</v>
      </c>
      <c r="G780" s="171" t="str" cm="1">
        <f t="array" ref="G780">IF(LineærRegression_Valg[[#This Row],[Indenfor range]],IF(LineærRegression_Valg[[#This Row],[Intet overlap]],INDEX(DataTitel_liste,LineærRegression_Valg[[#This Row],[Uafhængig variabel ID]]),INDEX(DataTitel_liste,IF(LineærRegression_Valg[[#This Row],[Afhængig variabel ID]]=1,2,1))),$B$7)</f>
        <v>Eksempel 2 (interval)</v>
      </c>
      <c r="H780" s="171">
        <f>_xlfn.AGGREGATE(2,5,LineærRegression_Valg[[#This Row],[Tabel ID]])</f>
        <v>1</v>
      </c>
    </row>
    <row r="781" spans="1:8" x14ac:dyDescent="0.2">
      <c r="A781">
        <f>ROW(LineærRegression_Valg[[#This Row],[Tabel ID]])-ROW(LineærRegression_Valg[[#Headers],[Tabel ID]])</f>
        <v>771</v>
      </c>
      <c r="B781" s="171">
        <f>ROUNDDOWN((LineærRegression_Valg[[#This Row],[Tabel ID]]-1)/$B$5,0)+1</f>
        <v>193</v>
      </c>
      <c r="C781" s="171">
        <f t="shared" si="12"/>
        <v>3</v>
      </c>
      <c r="D781" s="171" t="b">
        <f>LineærRegression_Valg[[#This Row],[Afhængig variabel ID]]&lt;&gt;LineærRegression_Valg[[#This Row],[Uafhængig variabel ID]]</f>
        <v>1</v>
      </c>
      <c r="E781" t="b">
        <f>LineærRegression_Valg[[#This Row],[Afhængig variabel ID]]&lt;=$B$5</f>
        <v>0</v>
      </c>
      <c r="F781" t="str" cm="1">
        <f t="array" ref="F781">IF(LineærRegression_Valg[[#This Row],[Indenfor range]],INDEX(DataTitel_liste,LineærRegression_Valg[[#This Row],[Afhængig variabel ID]]),INDEX(DataTitel_liste,1))</f>
        <v>Eksempel 1 (interval)</v>
      </c>
      <c r="G781" s="171" t="str" cm="1">
        <f t="array" ref="G781">IF(LineærRegression_Valg[[#This Row],[Indenfor range]],IF(LineærRegression_Valg[[#This Row],[Intet overlap]],INDEX(DataTitel_liste,LineærRegression_Valg[[#This Row],[Uafhængig variabel ID]]),INDEX(DataTitel_liste,IF(LineærRegression_Valg[[#This Row],[Afhængig variabel ID]]=1,2,1))),$B$7)</f>
        <v>Eksempel 2 (interval)</v>
      </c>
      <c r="H781" s="171">
        <f>_xlfn.AGGREGATE(2,5,LineærRegression_Valg[[#This Row],[Tabel ID]])</f>
        <v>1</v>
      </c>
    </row>
    <row r="782" spans="1:8" x14ac:dyDescent="0.2">
      <c r="A782">
        <f>ROW(LineærRegression_Valg[[#This Row],[Tabel ID]])-ROW(LineærRegression_Valg[[#Headers],[Tabel ID]])</f>
        <v>772</v>
      </c>
      <c r="B782" s="171">
        <f>ROUNDDOWN((LineærRegression_Valg[[#This Row],[Tabel ID]]-1)/$B$5,0)+1</f>
        <v>193</v>
      </c>
      <c r="C782" s="171">
        <f t="shared" si="12"/>
        <v>4</v>
      </c>
      <c r="D782" s="171" t="b">
        <f>LineærRegression_Valg[[#This Row],[Afhængig variabel ID]]&lt;&gt;LineærRegression_Valg[[#This Row],[Uafhængig variabel ID]]</f>
        <v>1</v>
      </c>
      <c r="E782" t="b">
        <f>LineærRegression_Valg[[#This Row],[Afhængig variabel ID]]&lt;=$B$5</f>
        <v>0</v>
      </c>
      <c r="F782" t="str" cm="1">
        <f t="array" ref="F782">IF(LineærRegression_Valg[[#This Row],[Indenfor range]],INDEX(DataTitel_liste,LineærRegression_Valg[[#This Row],[Afhængig variabel ID]]),INDEX(DataTitel_liste,1))</f>
        <v>Eksempel 1 (interval)</v>
      </c>
      <c r="G782" s="171" t="str" cm="1">
        <f t="array" ref="G782">IF(LineærRegression_Valg[[#This Row],[Indenfor range]],IF(LineærRegression_Valg[[#This Row],[Intet overlap]],INDEX(DataTitel_liste,LineærRegression_Valg[[#This Row],[Uafhængig variabel ID]]),INDEX(DataTitel_liste,IF(LineærRegression_Valg[[#This Row],[Afhængig variabel ID]]=1,2,1))),$B$7)</f>
        <v>Eksempel 2 (interval)</v>
      </c>
      <c r="H782" s="171">
        <f>_xlfn.AGGREGATE(2,5,LineærRegression_Valg[[#This Row],[Tabel ID]])</f>
        <v>1</v>
      </c>
    </row>
    <row r="783" spans="1:8" x14ac:dyDescent="0.2">
      <c r="A783">
        <f>ROW(LineærRegression_Valg[[#This Row],[Tabel ID]])-ROW(LineærRegression_Valg[[#Headers],[Tabel ID]])</f>
        <v>773</v>
      </c>
      <c r="B783" s="171">
        <f>ROUNDDOWN((LineærRegression_Valg[[#This Row],[Tabel ID]]-1)/$B$5,0)+1</f>
        <v>194</v>
      </c>
      <c r="C783" s="171">
        <f t="shared" si="12"/>
        <v>1</v>
      </c>
      <c r="D783" s="171" t="b">
        <f>LineærRegression_Valg[[#This Row],[Afhængig variabel ID]]&lt;&gt;LineærRegression_Valg[[#This Row],[Uafhængig variabel ID]]</f>
        <v>1</v>
      </c>
      <c r="E783" t="b">
        <f>LineærRegression_Valg[[#This Row],[Afhængig variabel ID]]&lt;=$B$5</f>
        <v>0</v>
      </c>
      <c r="F783" t="str" cm="1">
        <f t="array" ref="F783">IF(LineærRegression_Valg[[#This Row],[Indenfor range]],INDEX(DataTitel_liste,LineærRegression_Valg[[#This Row],[Afhængig variabel ID]]),INDEX(DataTitel_liste,1))</f>
        <v>Eksempel 1 (interval)</v>
      </c>
      <c r="G783" s="171" t="str" cm="1">
        <f t="array" ref="G783">IF(LineærRegression_Valg[[#This Row],[Indenfor range]],IF(LineærRegression_Valg[[#This Row],[Intet overlap]],INDEX(DataTitel_liste,LineærRegression_Valg[[#This Row],[Uafhængig variabel ID]]),INDEX(DataTitel_liste,IF(LineærRegression_Valg[[#This Row],[Afhængig variabel ID]]=1,2,1))),$B$7)</f>
        <v>Eksempel 2 (interval)</v>
      </c>
      <c r="H783" s="171">
        <f>_xlfn.AGGREGATE(2,5,LineærRegression_Valg[[#This Row],[Tabel ID]])</f>
        <v>1</v>
      </c>
    </row>
    <row r="784" spans="1:8" x14ac:dyDescent="0.2">
      <c r="A784">
        <f>ROW(LineærRegression_Valg[[#This Row],[Tabel ID]])-ROW(LineærRegression_Valg[[#Headers],[Tabel ID]])</f>
        <v>774</v>
      </c>
      <c r="B784" s="171">
        <f>ROUNDDOWN((LineærRegression_Valg[[#This Row],[Tabel ID]]-1)/$B$5,0)+1</f>
        <v>194</v>
      </c>
      <c r="C784" s="171">
        <f t="shared" si="12"/>
        <v>2</v>
      </c>
      <c r="D784" s="171" t="b">
        <f>LineærRegression_Valg[[#This Row],[Afhængig variabel ID]]&lt;&gt;LineærRegression_Valg[[#This Row],[Uafhængig variabel ID]]</f>
        <v>1</v>
      </c>
      <c r="E784" t="b">
        <f>LineærRegression_Valg[[#This Row],[Afhængig variabel ID]]&lt;=$B$5</f>
        <v>0</v>
      </c>
      <c r="F784" t="str" cm="1">
        <f t="array" ref="F784">IF(LineærRegression_Valg[[#This Row],[Indenfor range]],INDEX(DataTitel_liste,LineærRegression_Valg[[#This Row],[Afhængig variabel ID]]),INDEX(DataTitel_liste,1))</f>
        <v>Eksempel 1 (interval)</v>
      </c>
      <c r="G784" s="171" t="str" cm="1">
        <f t="array" ref="G784">IF(LineærRegression_Valg[[#This Row],[Indenfor range]],IF(LineærRegression_Valg[[#This Row],[Intet overlap]],INDEX(DataTitel_liste,LineærRegression_Valg[[#This Row],[Uafhængig variabel ID]]),INDEX(DataTitel_liste,IF(LineærRegression_Valg[[#This Row],[Afhængig variabel ID]]=1,2,1))),$B$7)</f>
        <v>Eksempel 2 (interval)</v>
      </c>
      <c r="H784" s="171">
        <f>_xlfn.AGGREGATE(2,5,LineærRegression_Valg[[#This Row],[Tabel ID]])</f>
        <v>1</v>
      </c>
    </row>
    <row r="785" spans="1:8" x14ac:dyDescent="0.2">
      <c r="A785">
        <f>ROW(LineærRegression_Valg[[#This Row],[Tabel ID]])-ROW(LineærRegression_Valg[[#Headers],[Tabel ID]])</f>
        <v>775</v>
      </c>
      <c r="B785" s="171">
        <f>ROUNDDOWN((LineærRegression_Valg[[#This Row],[Tabel ID]]-1)/$B$5,0)+1</f>
        <v>194</v>
      </c>
      <c r="C785" s="171">
        <f t="shared" si="12"/>
        <v>3</v>
      </c>
      <c r="D785" s="171" t="b">
        <f>LineærRegression_Valg[[#This Row],[Afhængig variabel ID]]&lt;&gt;LineærRegression_Valg[[#This Row],[Uafhængig variabel ID]]</f>
        <v>1</v>
      </c>
      <c r="E785" t="b">
        <f>LineærRegression_Valg[[#This Row],[Afhængig variabel ID]]&lt;=$B$5</f>
        <v>0</v>
      </c>
      <c r="F785" t="str" cm="1">
        <f t="array" ref="F785">IF(LineærRegression_Valg[[#This Row],[Indenfor range]],INDEX(DataTitel_liste,LineærRegression_Valg[[#This Row],[Afhængig variabel ID]]),INDEX(DataTitel_liste,1))</f>
        <v>Eksempel 1 (interval)</v>
      </c>
      <c r="G785" s="171" t="str" cm="1">
        <f t="array" ref="G785">IF(LineærRegression_Valg[[#This Row],[Indenfor range]],IF(LineærRegression_Valg[[#This Row],[Intet overlap]],INDEX(DataTitel_liste,LineærRegression_Valg[[#This Row],[Uafhængig variabel ID]]),INDEX(DataTitel_liste,IF(LineærRegression_Valg[[#This Row],[Afhængig variabel ID]]=1,2,1))),$B$7)</f>
        <v>Eksempel 2 (interval)</v>
      </c>
      <c r="H785" s="171">
        <f>_xlfn.AGGREGATE(2,5,LineærRegression_Valg[[#This Row],[Tabel ID]])</f>
        <v>1</v>
      </c>
    </row>
    <row r="786" spans="1:8" x14ac:dyDescent="0.2">
      <c r="A786">
        <f>ROW(LineærRegression_Valg[[#This Row],[Tabel ID]])-ROW(LineærRegression_Valg[[#Headers],[Tabel ID]])</f>
        <v>776</v>
      </c>
      <c r="B786" s="171">
        <f>ROUNDDOWN((LineærRegression_Valg[[#This Row],[Tabel ID]]-1)/$B$5,0)+1</f>
        <v>194</v>
      </c>
      <c r="C786" s="171">
        <f t="shared" si="12"/>
        <v>4</v>
      </c>
      <c r="D786" s="171" t="b">
        <f>LineærRegression_Valg[[#This Row],[Afhængig variabel ID]]&lt;&gt;LineærRegression_Valg[[#This Row],[Uafhængig variabel ID]]</f>
        <v>1</v>
      </c>
      <c r="E786" t="b">
        <f>LineærRegression_Valg[[#This Row],[Afhængig variabel ID]]&lt;=$B$5</f>
        <v>0</v>
      </c>
      <c r="F786" t="str" cm="1">
        <f t="array" ref="F786">IF(LineærRegression_Valg[[#This Row],[Indenfor range]],INDEX(DataTitel_liste,LineærRegression_Valg[[#This Row],[Afhængig variabel ID]]),INDEX(DataTitel_liste,1))</f>
        <v>Eksempel 1 (interval)</v>
      </c>
      <c r="G786" s="171" t="str" cm="1">
        <f t="array" ref="G786">IF(LineærRegression_Valg[[#This Row],[Indenfor range]],IF(LineærRegression_Valg[[#This Row],[Intet overlap]],INDEX(DataTitel_liste,LineærRegression_Valg[[#This Row],[Uafhængig variabel ID]]),INDEX(DataTitel_liste,IF(LineærRegression_Valg[[#This Row],[Afhængig variabel ID]]=1,2,1))),$B$7)</f>
        <v>Eksempel 2 (interval)</v>
      </c>
      <c r="H786" s="171">
        <f>_xlfn.AGGREGATE(2,5,LineærRegression_Valg[[#This Row],[Tabel ID]])</f>
        <v>1</v>
      </c>
    </row>
    <row r="787" spans="1:8" x14ac:dyDescent="0.2">
      <c r="A787">
        <f>ROW(LineærRegression_Valg[[#This Row],[Tabel ID]])-ROW(LineærRegression_Valg[[#Headers],[Tabel ID]])</f>
        <v>777</v>
      </c>
      <c r="B787" s="171">
        <f>ROUNDDOWN((LineærRegression_Valg[[#This Row],[Tabel ID]]-1)/$B$5,0)+1</f>
        <v>195</v>
      </c>
      <c r="C787" s="171">
        <f t="shared" si="12"/>
        <v>1</v>
      </c>
      <c r="D787" s="171" t="b">
        <f>LineærRegression_Valg[[#This Row],[Afhængig variabel ID]]&lt;&gt;LineærRegression_Valg[[#This Row],[Uafhængig variabel ID]]</f>
        <v>1</v>
      </c>
      <c r="E787" t="b">
        <f>LineærRegression_Valg[[#This Row],[Afhængig variabel ID]]&lt;=$B$5</f>
        <v>0</v>
      </c>
      <c r="F787" t="str" cm="1">
        <f t="array" ref="F787">IF(LineærRegression_Valg[[#This Row],[Indenfor range]],INDEX(DataTitel_liste,LineærRegression_Valg[[#This Row],[Afhængig variabel ID]]),INDEX(DataTitel_liste,1))</f>
        <v>Eksempel 1 (interval)</v>
      </c>
      <c r="G787" s="171" t="str" cm="1">
        <f t="array" ref="G787">IF(LineærRegression_Valg[[#This Row],[Indenfor range]],IF(LineærRegression_Valg[[#This Row],[Intet overlap]],INDEX(DataTitel_liste,LineærRegression_Valg[[#This Row],[Uafhængig variabel ID]]),INDEX(DataTitel_liste,IF(LineærRegression_Valg[[#This Row],[Afhængig variabel ID]]=1,2,1))),$B$7)</f>
        <v>Eksempel 2 (interval)</v>
      </c>
      <c r="H787" s="171">
        <f>_xlfn.AGGREGATE(2,5,LineærRegression_Valg[[#This Row],[Tabel ID]])</f>
        <v>1</v>
      </c>
    </row>
    <row r="788" spans="1:8" x14ac:dyDescent="0.2">
      <c r="A788">
        <f>ROW(LineærRegression_Valg[[#This Row],[Tabel ID]])-ROW(LineærRegression_Valg[[#Headers],[Tabel ID]])</f>
        <v>778</v>
      </c>
      <c r="B788" s="171">
        <f>ROUNDDOWN((LineærRegression_Valg[[#This Row],[Tabel ID]]-1)/$B$5,0)+1</f>
        <v>195</v>
      </c>
      <c r="C788" s="171">
        <f t="shared" si="12"/>
        <v>2</v>
      </c>
      <c r="D788" s="171" t="b">
        <f>LineærRegression_Valg[[#This Row],[Afhængig variabel ID]]&lt;&gt;LineærRegression_Valg[[#This Row],[Uafhængig variabel ID]]</f>
        <v>1</v>
      </c>
      <c r="E788" t="b">
        <f>LineærRegression_Valg[[#This Row],[Afhængig variabel ID]]&lt;=$B$5</f>
        <v>0</v>
      </c>
      <c r="F788" t="str" cm="1">
        <f t="array" ref="F788">IF(LineærRegression_Valg[[#This Row],[Indenfor range]],INDEX(DataTitel_liste,LineærRegression_Valg[[#This Row],[Afhængig variabel ID]]),INDEX(DataTitel_liste,1))</f>
        <v>Eksempel 1 (interval)</v>
      </c>
      <c r="G788" s="171" t="str" cm="1">
        <f t="array" ref="G788">IF(LineærRegression_Valg[[#This Row],[Indenfor range]],IF(LineærRegression_Valg[[#This Row],[Intet overlap]],INDEX(DataTitel_liste,LineærRegression_Valg[[#This Row],[Uafhængig variabel ID]]),INDEX(DataTitel_liste,IF(LineærRegression_Valg[[#This Row],[Afhængig variabel ID]]=1,2,1))),$B$7)</f>
        <v>Eksempel 2 (interval)</v>
      </c>
      <c r="H788" s="171">
        <f>_xlfn.AGGREGATE(2,5,LineærRegression_Valg[[#This Row],[Tabel ID]])</f>
        <v>1</v>
      </c>
    </row>
    <row r="789" spans="1:8" x14ac:dyDescent="0.2">
      <c r="A789">
        <f>ROW(LineærRegression_Valg[[#This Row],[Tabel ID]])-ROW(LineærRegression_Valg[[#Headers],[Tabel ID]])</f>
        <v>779</v>
      </c>
      <c r="B789" s="171">
        <f>ROUNDDOWN((LineærRegression_Valg[[#This Row],[Tabel ID]]-1)/$B$5,0)+1</f>
        <v>195</v>
      </c>
      <c r="C789" s="171">
        <f t="shared" si="12"/>
        <v>3</v>
      </c>
      <c r="D789" s="171" t="b">
        <f>LineærRegression_Valg[[#This Row],[Afhængig variabel ID]]&lt;&gt;LineærRegression_Valg[[#This Row],[Uafhængig variabel ID]]</f>
        <v>1</v>
      </c>
      <c r="E789" t="b">
        <f>LineærRegression_Valg[[#This Row],[Afhængig variabel ID]]&lt;=$B$5</f>
        <v>0</v>
      </c>
      <c r="F789" t="str" cm="1">
        <f t="array" ref="F789">IF(LineærRegression_Valg[[#This Row],[Indenfor range]],INDEX(DataTitel_liste,LineærRegression_Valg[[#This Row],[Afhængig variabel ID]]),INDEX(DataTitel_liste,1))</f>
        <v>Eksempel 1 (interval)</v>
      </c>
      <c r="G789" s="171" t="str" cm="1">
        <f t="array" ref="G789">IF(LineærRegression_Valg[[#This Row],[Indenfor range]],IF(LineærRegression_Valg[[#This Row],[Intet overlap]],INDEX(DataTitel_liste,LineærRegression_Valg[[#This Row],[Uafhængig variabel ID]]),INDEX(DataTitel_liste,IF(LineærRegression_Valg[[#This Row],[Afhængig variabel ID]]=1,2,1))),$B$7)</f>
        <v>Eksempel 2 (interval)</v>
      </c>
      <c r="H789" s="171">
        <f>_xlfn.AGGREGATE(2,5,LineærRegression_Valg[[#This Row],[Tabel ID]])</f>
        <v>1</v>
      </c>
    </row>
    <row r="790" spans="1:8" x14ac:dyDescent="0.2">
      <c r="A790">
        <f>ROW(LineærRegression_Valg[[#This Row],[Tabel ID]])-ROW(LineærRegression_Valg[[#Headers],[Tabel ID]])</f>
        <v>780</v>
      </c>
      <c r="B790" s="171">
        <f>ROUNDDOWN((LineærRegression_Valg[[#This Row],[Tabel ID]]-1)/$B$5,0)+1</f>
        <v>195</v>
      </c>
      <c r="C790" s="171">
        <f t="shared" si="12"/>
        <v>4</v>
      </c>
      <c r="D790" s="171" t="b">
        <f>LineærRegression_Valg[[#This Row],[Afhængig variabel ID]]&lt;&gt;LineærRegression_Valg[[#This Row],[Uafhængig variabel ID]]</f>
        <v>1</v>
      </c>
      <c r="E790" t="b">
        <f>LineærRegression_Valg[[#This Row],[Afhængig variabel ID]]&lt;=$B$5</f>
        <v>0</v>
      </c>
      <c r="F790" t="str" cm="1">
        <f t="array" ref="F790">IF(LineærRegression_Valg[[#This Row],[Indenfor range]],INDEX(DataTitel_liste,LineærRegression_Valg[[#This Row],[Afhængig variabel ID]]),INDEX(DataTitel_liste,1))</f>
        <v>Eksempel 1 (interval)</v>
      </c>
      <c r="G790" s="171" t="str" cm="1">
        <f t="array" ref="G790">IF(LineærRegression_Valg[[#This Row],[Indenfor range]],IF(LineærRegression_Valg[[#This Row],[Intet overlap]],INDEX(DataTitel_liste,LineærRegression_Valg[[#This Row],[Uafhængig variabel ID]]),INDEX(DataTitel_liste,IF(LineærRegression_Valg[[#This Row],[Afhængig variabel ID]]=1,2,1))),$B$7)</f>
        <v>Eksempel 2 (interval)</v>
      </c>
      <c r="H790" s="171">
        <f>_xlfn.AGGREGATE(2,5,LineærRegression_Valg[[#This Row],[Tabel ID]])</f>
        <v>1</v>
      </c>
    </row>
    <row r="791" spans="1:8" x14ac:dyDescent="0.2">
      <c r="A791">
        <f>ROW(LineærRegression_Valg[[#This Row],[Tabel ID]])-ROW(LineærRegression_Valg[[#Headers],[Tabel ID]])</f>
        <v>781</v>
      </c>
      <c r="B791" s="171">
        <f>ROUNDDOWN((LineærRegression_Valg[[#This Row],[Tabel ID]]-1)/$B$5,0)+1</f>
        <v>196</v>
      </c>
      <c r="C791" s="171">
        <f t="shared" si="12"/>
        <v>1</v>
      </c>
      <c r="D791" s="171" t="b">
        <f>LineærRegression_Valg[[#This Row],[Afhængig variabel ID]]&lt;&gt;LineærRegression_Valg[[#This Row],[Uafhængig variabel ID]]</f>
        <v>1</v>
      </c>
      <c r="E791" t="b">
        <f>LineærRegression_Valg[[#This Row],[Afhængig variabel ID]]&lt;=$B$5</f>
        <v>0</v>
      </c>
      <c r="F791" t="str" cm="1">
        <f t="array" ref="F791">IF(LineærRegression_Valg[[#This Row],[Indenfor range]],INDEX(DataTitel_liste,LineærRegression_Valg[[#This Row],[Afhængig variabel ID]]),INDEX(DataTitel_liste,1))</f>
        <v>Eksempel 1 (interval)</v>
      </c>
      <c r="G791" s="171" t="str" cm="1">
        <f t="array" ref="G791">IF(LineærRegression_Valg[[#This Row],[Indenfor range]],IF(LineærRegression_Valg[[#This Row],[Intet overlap]],INDEX(DataTitel_liste,LineærRegression_Valg[[#This Row],[Uafhængig variabel ID]]),INDEX(DataTitel_liste,IF(LineærRegression_Valg[[#This Row],[Afhængig variabel ID]]=1,2,1))),$B$7)</f>
        <v>Eksempel 2 (interval)</v>
      </c>
      <c r="H791" s="171">
        <f>_xlfn.AGGREGATE(2,5,LineærRegression_Valg[[#This Row],[Tabel ID]])</f>
        <v>1</v>
      </c>
    </row>
    <row r="792" spans="1:8" x14ac:dyDescent="0.2">
      <c r="A792">
        <f>ROW(LineærRegression_Valg[[#This Row],[Tabel ID]])-ROW(LineærRegression_Valg[[#Headers],[Tabel ID]])</f>
        <v>782</v>
      </c>
      <c r="B792" s="171">
        <f>ROUNDDOWN((LineærRegression_Valg[[#This Row],[Tabel ID]]-1)/$B$5,0)+1</f>
        <v>196</v>
      </c>
      <c r="C792" s="171">
        <f t="shared" si="12"/>
        <v>2</v>
      </c>
      <c r="D792" s="171" t="b">
        <f>LineærRegression_Valg[[#This Row],[Afhængig variabel ID]]&lt;&gt;LineærRegression_Valg[[#This Row],[Uafhængig variabel ID]]</f>
        <v>1</v>
      </c>
      <c r="E792" t="b">
        <f>LineærRegression_Valg[[#This Row],[Afhængig variabel ID]]&lt;=$B$5</f>
        <v>0</v>
      </c>
      <c r="F792" t="str" cm="1">
        <f t="array" ref="F792">IF(LineærRegression_Valg[[#This Row],[Indenfor range]],INDEX(DataTitel_liste,LineærRegression_Valg[[#This Row],[Afhængig variabel ID]]),INDEX(DataTitel_liste,1))</f>
        <v>Eksempel 1 (interval)</v>
      </c>
      <c r="G792" s="171" t="str" cm="1">
        <f t="array" ref="G792">IF(LineærRegression_Valg[[#This Row],[Indenfor range]],IF(LineærRegression_Valg[[#This Row],[Intet overlap]],INDEX(DataTitel_liste,LineærRegression_Valg[[#This Row],[Uafhængig variabel ID]]),INDEX(DataTitel_liste,IF(LineærRegression_Valg[[#This Row],[Afhængig variabel ID]]=1,2,1))),$B$7)</f>
        <v>Eksempel 2 (interval)</v>
      </c>
      <c r="H792" s="171">
        <f>_xlfn.AGGREGATE(2,5,LineærRegression_Valg[[#This Row],[Tabel ID]])</f>
        <v>1</v>
      </c>
    </row>
    <row r="793" spans="1:8" x14ac:dyDescent="0.2">
      <c r="A793">
        <f>ROW(LineærRegression_Valg[[#This Row],[Tabel ID]])-ROW(LineærRegression_Valg[[#Headers],[Tabel ID]])</f>
        <v>783</v>
      </c>
      <c r="B793" s="171">
        <f>ROUNDDOWN((LineærRegression_Valg[[#This Row],[Tabel ID]]-1)/$B$5,0)+1</f>
        <v>196</v>
      </c>
      <c r="C793" s="171">
        <f t="shared" si="12"/>
        <v>3</v>
      </c>
      <c r="D793" s="171" t="b">
        <f>LineærRegression_Valg[[#This Row],[Afhængig variabel ID]]&lt;&gt;LineærRegression_Valg[[#This Row],[Uafhængig variabel ID]]</f>
        <v>1</v>
      </c>
      <c r="E793" t="b">
        <f>LineærRegression_Valg[[#This Row],[Afhængig variabel ID]]&lt;=$B$5</f>
        <v>0</v>
      </c>
      <c r="F793" t="str" cm="1">
        <f t="array" ref="F793">IF(LineærRegression_Valg[[#This Row],[Indenfor range]],INDEX(DataTitel_liste,LineærRegression_Valg[[#This Row],[Afhængig variabel ID]]),INDEX(DataTitel_liste,1))</f>
        <v>Eksempel 1 (interval)</v>
      </c>
      <c r="G793" s="171" t="str" cm="1">
        <f t="array" ref="G793">IF(LineærRegression_Valg[[#This Row],[Indenfor range]],IF(LineærRegression_Valg[[#This Row],[Intet overlap]],INDEX(DataTitel_liste,LineærRegression_Valg[[#This Row],[Uafhængig variabel ID]]),INDEX(DataTitel_liste,IF(LineærRegression_Valg[[#This Row],[Afhængig variabel ID]]=1,2,1))),$B$7)</f>
        <v>Eksempel 2 (interval)</v>
      </c>
      <c r="H793" s="171">
        <f>_xlfn.AGGREGATE(2,5,LineærRegression_Valg[[#This Row],[Tabel ID]])</f>
        <v>1</v>
      </c>
    </row>
    <row r="794" spans="1:8" x14ac:dyDescent="0.2">
      <c r="A794">
        <f>ROW(LineærRegression_Valg[[#This Row],[Tabel ID]])-ROW(LineærRegression_Valg[[#Headers],[Tabel ID]])</f>
        <v>784</v>
      </c>
      <c r="B794" s="171">
        <f>ROUNDDOWN((LineærRegression_Valg[[#This Row],[Tabel ID]]-1)/$B$5,0)+1</f>
        <v>196</v>
      </c>
      <c r="C794" s="171">
        <f t="shared" si="12"/>
        <v>4</v>
      </c>
      <c r="D794" s="171" t="b">
        <f>LineærRegression_Valg[[#This Row],[Afhængig variabel ID]]&lt;&gt;LineærRegression_Valg[[#This Row],[Uafhængig variabel ID]]</f>
        <v>1</v>
      </c>
      <c r="E794" t="b">
        <f>LineærRegression_Valg[[#This Row],[Afhængig variabel ID]]&lt;=$B$5</f>
        <v>0</v>
      </c>
      <c r="F794" t="str" cm="1">
        <f t="array" ref="F794">IF(LineærRegression_Valg[[#This Row],[Indenfor range]],INDEX(DataTitel_liste,LineærRegression_Valg[[#This Row],[Afhængig variabel ID]]),INDEX(DataTitel_liste,1))</f>
        <v>Eksempel 1 (interval)</v>
      </c>
      <c r="G794" s="171" t="str" cm="1">
        <f t="array" ref="G794">IF(LineærRegression_Valg[[#This Row],[Indenfor range]],IF(LineærRegression_Valg[[#This Row],[Intet overlap]],INDEX(DataTitel_liste,LineærRegression_Valg[[#This Row],[Uafhængig variabel ID]]),INDEX(DataTitel_liste,IF(LineærRegression_Valg[[#This Row],[Afhængig variabel ID]]=1,2,1))),$B$7)</f>
        <v>Eksempel 2 (interval)</v>
      </c>
      <c r="H794" s="171">
        <f>_xlfn.AGGREGATE(2,5,LineærRegression_Valg[[#This Row],[Tabel ID]])</f>
        <v>1</v>
      </c>
    </row>
    <row r="795" spans="1:8" x14ac:dyDescent="0.2">
      <c r="A795">
        <f>ROW(LineærRegression_Valg[[#This Row],[Tabel ID]])-ROW(LineærRegression_Valg[[#Headers],[Tabel ID]])</f>
        <v>785</v>
      </c>
      <c r="B795" s="171">
        <f>ROUNDDOWN((LineærRegression_Valg[[#This Row],[Tabel ID]]-1)/$B$5,0)+1</f>
        <v>197</v>
      </c>
      <c r="C795" s="171">
        <f t="shared" si="12"/>
        <v>1</v>
      </c>
      <c r="D795" s="171" t="b">
        <f>LineærRegression_Valg[[#This Row],[Afhængig variabel ID]]&lt;&gt;LineærRegression_Valg[[#This Row],[Uafhængig variabel ID]]</f>
        <v>1</v>
      </c>
      <c r="E795" t="b">
        <f>LineærRegression_Valg[[#This Row],[Afhængig variabel ID]]&lt;=$B$5</f>
        <v>0</v>
      </c>
      <c r="F795" t="str" cm="1">
        <f t="array" ref="F795">IF(LineærRegression_Valg[[#This Row],[Indenfor range]],INDEX(DataTitel_liste,LineærRegression_Valg[[#This Row],[Afhængig variabel ID]]),INDEX(DataTitel_liste,1))</f>
        <v>Eksempel 1 (interval)</v>
      </c>
      <c r="G795" s="171" t="str" cm="1">
        <f t="array" ref="G795">IF(LineærRegression_Valg[[#This Row],[Indenfor range]],IF(LineærRegression_Valg[[#This Row],[Intet overlap]],INDEX(DataTitel_liste,LineærRegression_Valg[[#This Row],[Uafhængig variabel ID]]),INDEX(DataTitel_liste,IF(LineærRegression_Valg[[#This Row],[Afhængig variabel ID]]=1,2,1))),$B$7)</f>
        <v>Eksempel 2 (interval)</v>
      </c>
      <c r="H795" s="171">
        <f>_xlfn.AGGREGATE(2,5,LineærRegression_Valg[[#This Row],[Tabel ID]])</f>
        <v>1</v>
      </c>
    </row>
    <row r="796" spans="1:8" x14ac:dyDescent="0.2">
      <c r="A796">
        <f>ROW(LineærRegression_Valg[[#This Row],[Tabel ID]])-ROW(LineærRegression_Valg[[#Headers],[Tabel ID]])</f>
        <v>786</v>
      </c>
      <c r="B796" s="171">
        <f>ROUNDDOWN((LineærRegression_Valg[[#This Row],[Tabel ID]]-1)/$B$5,0)+1</f>
        <v>197</v>
      </c>
      <c r="C796" s="171">
        <f t="shared" si="12"/>
        <v>2</v>
      </c>
      <c r="D796" s="171" t="b">
        <f>LineærRegression_Valg[[#This Row],[Afhængig variabel ID]]&lt;&gt;LineærRegression_Valg[[#This Row],[Uafhængig variabel ID]]</f>
        <v>1</v>
      </c>
      <c r="E796" t="b">
        <f>LineærRegression_Valg[[#This Row],[Afhængig variabel ID]]&lt;=$B$5</f>
        <v>0</v>
      </c>
      <c r="F796" t="str" cm="1">
        <f t="array" ref="F796">IF(LineærRegression_Valg[[#This Row],[Indenfor range]],INDEX(DataTitel_liste,LineærRegression_Valg[[#This Row],[Afhængig variabel ID]]),INDEX(DataTitel_liste,1))</f>
        <v>Eksempel 1 (interval)</v>
      </c>
      <c r="G796" s="171" t="str" cm="1">
        <f t="array" ref="G796">IF(LineærRegression_Valg[[#This Row],[Indenfor range]],IF(LineærRegression_Valg[[#This Row],[Intet overlap]],INDEX(DataTitel_liste,LineærRegression_Valg[[#This Row],[Uafhængig variabel ID]]),INDEX(DataTitel_liste,IF(LineærRegression_Valg[[#This Row],[Afhængig variabel ID]]=1,2,1))),$B$7)</f>
        <v>Eksempel 2 (interval)</v>
      </c>
      <c r="H796" s="171">
        <f>_xlfn.AGGREGATE(2,5,LineærRegression_Valg[[#This Row],[Tabel ID]])</f>
        <v>1</v>
      </c>
    </row>
    <row r="797" spans="1:8" x14ac:dyDescent="0.2">
      <c r="A797">
        <f>ROW(LineærRegression_Valg[[#This Row],[Tabel ID]])-ROW(LineærRegression_Valg[[#Headers],[Tabel ID]])</f>
        <v>787</v>
      </c>
      <c r="B797" s="171">
        <f>ROUNDDOWN((LineærRegression_Valg[[#This Row],[Tabel ID]]-1)/$B$5,0)+1</f>
        <v>197</v>
      </c>
      <c r="C797" s="171">
        <f t="shared" si="12"/>
        <v>3</v>
      </c>
      <c r="D797" s="171" t="b">
        <f>LineærRegression_Valg[[#This Row],[Afhængig variabel ID]]&lt;&gt;LineærRegression_Valg[[#This Row],[Uafhængig variabel ID]]</f>
        <v>1</v>
      </c>
      <c r="E797" t="b">
        <f>LineærRegression_Valg[[#This Row],[Afhængig variabel ID]]&lt;=$B$5</f>
        <v>0</v>
      </c>
      <c r="F797" t="str" cm="1">
        <f t="array" ref="F797">IF(LineærRegression_Valg[[#This Row],[Indenfor range]],INDEX(DataTitel_liste,LineærRegression_Valg[[#This Row],[Afhængig variabel ID]]),INDEX(DataTitel_liste,1))</f>
        <v>Eksempel 1 (interval)</v>
      </c>
      <c r="G797" s="171" t="str" cm="1">
        <f t="array" ref="G797">IF(LineærRegression_Valg[[#This Row],[Indenfor range]],IF(LineærRegression_Valg[[#This Row],[Intet overlap]],INDEX(DataTitel_liste,LineærRegression_Valg[[#This Row],[Uafhængig variabel ID]]),INDEX(DataTitel_liste,IF(LineærRegression_Valg[[#This Row],[Afhængig variabel ID]]=1,2,1))),$B$7)</f>
        <v>Eksempel 2 (interval)</v>
      </c>
      <c r="H797" s="171">
        <f>_xlfn.AGGREGATE(2,5,LineærRegression_Valg[[#This Row],[Tabel ID]])</f>
        <v>1</v>
      </c>
    </row>
    <row r="798" spans="1:8" x14ac:dyDescent="0.2">
      <c r="A798">
        <f>ROW(LineærRegression_Valg[[#This Row],[Tabel ID]])-ROW(LineærRegression_Valg[[#Headers],[Tabel ID]])</f>
        <v>788</v>
      </c>
      <c r="B798" s="171">
        <f>ROUNDDOWN((LineærRegression_Valg[[#This Row],[Tabel ID]]-1)/$B$5,0)+1</f>
        <v>197</v>
      </c>
      <c r="C798" s="171">
        <f t="shared" si="12"/>
        <v>4</v>
      </c>
      <c r="D798" s="171" t="b">
        <f>LineærRegression_Valg[[#This Row],[Afhængig variabel ID]]&lt;&gt;LineærRegression_Valg[[#This Row],[Uafhængig variabel ID]]</f>
        <v>1</v>
      </c>
      <c r="E798" t="b">
        <f>LineærRegression_Valg[[#This Row],[Afhængig variabel ID]]&lt;=$B$5</f>
        <v>0</v>
      </c>
      <c r="F798" t="str" cm="1">
        <f t="array" ref="F798">IF(LineærRegression_Valg[[#This Row],[Indenfor range]],INDEX(DataTitel_liste,LineærRegression_Valg[[#This Row],[Afhængig variabel ID]]),INDEX(DataTitel_liste,1))</f>
        <v>Eksempel 1 (interval)</v>
      </c>
      <c r="G798" s="171" t="str" cm="1">
        <f t="array" ref="G798">IF(LineærRegression_Valg[[#This Row],[Indenfor range]],IF(LineærRegression_Valg[[#This Row],[Intet overlap]],INDEX(DataTitel_liste,LineærRegression_Valg[[#This Row],[Uafhængig variabel ID]]),INDEX(DataTitel_liste,IF(LineærRegression_Valg[[#This Row],[Afhængig variabel ID]]=1,2,1))),$B$7)</f>
        <v>Eksempel 2 (interval)</v>
      </c>
      <c r="H798" s="171">
        <f>_xlfn.AGGREGATE(2,5,LineærRegression_Valg[[#This Row],[Tabel ID]])</f>
        <v>1</v>
      </c>
    </row>
    <row r="799" spans="1:8" x14ac:dyDescent="0.2">
      <c r="A799">
        <f>ROW(LineærRegression_Valg[[#This Row],[Tabel ID]])-ROW(LineærRegression_Valg[[#Headers],[Tabel ID]])</f>
        <v>789</v>
      </c>
      <c r="B799" s="171">
        <f>ROUNDDOWN((LineærRegression_Valg[[#This Row],[Tabel ID]]-1)/$B$5,0)+1</f>
        <v>198</v>
      </c>
      <c r="C799" s="171">
        <f t="shared" si="12"/>
        <v>1</v>
      </c>
      <c r="D799" s="171" t="b">
        <f>LineærRegression_Valg[[#This Row],[Afhængig variabel ID]]&lt;&gt;LineærRegression_Valg[[#This Row],[Uafhængig variabel ID]]</f>
        <v>1</v>
      </c>
      <c r="E799" t="b">
        <f>LineærRegression_Valg[[#This Row],[Afhængig variabel ID]]&lt;=$B$5</f>
        <v>0</v>
      </c>
      <c r="F799" t="str" cm="1">
        <f t="array" ref="F799">IF(LineærRegression_Valg[[#This Row],[Indenfor range]],INDEX(DataTitel_liste,LineærRegression_Valg[[#This Row],[Afhængig variabel ID]]),INDEX(DataTitel_liste,1))</f>
        <v>Eksempel 1 (interval)</v>
      </c>
      <c r="G799" s="171" t="str" cm="1">
        <f t="array" ref="G799">IF(LineærRegression_Valg[[#This Row],[Indenfor range]],IF(LineærRegression_Valg[[#This Row],[Intet overlap]],INDEX(DataTitel_liste,LineærRegression_Valg[[#This Row],[Uafhængig variabel ID]]),INDEX(DataTitel_liste,IF(LineærRegression_Valg[[#This Row],[Afhængig variabel ID]]=1,2,1))),$B$7)</f>
        <v>Eksempel 2 (interval)</v>
      </c>
      <c r="H799" s="171">
        <f>_xlfn.AGGREGATE(2,5,LineærRegression_Valg[[#This Row],[Tabel ID]])</f>
        <v>1</v>
      </c>
    </row>
    <row r="800" spans="1:8" x14ac:dyDescent="0.2">
      <c r="A800">
        <f>ROW(LineærRegression_Valg[[#This Row],[Tabel ID]])-ROW(LineærRegression_Valg[[#Headers],[Tabel ID]])</f>
        <v>790</v>
      </c>
      <c r="B800" s="171">
        <f>ROUNDDOWN((LineærRegression_Valg[[#This Row],[Tabel ID]]-1)/$B$5,0)+1</f>
        <v>198</v>
      </c>
      <c r="C800" s="171">
        <f t="shared" si="12"/>
        <v>2</v>
      </c>
      <c r="D800" s="171" t="b">
        <f>LineærRegression_Valg[[#This Row],[Afhængig variabel ID]]&lt;&gt;LineærRegression_Valg[[#This Row],[Uafhængig variabel ID]]</f>
        <v>1</v>
      </c>
      <c r="E800" t="b">
        <f>LineærRegression_Valg[[#This Row],[Afhængig variabel ID]]&lt;=$B$5</f>
        <v>0</v>
      </c>
      <c r="F800" t="str" cm="1">
        <f t="array" ref="F800">IF(LineærRegression_Valg[[#This Row],[Indenfor range]],INDEX(DataTitel_liste,LineærRegression_Valg[[#This Row],[Afhængig variabel ID]]),INDEX(DataTitel_liste,1))</f>
        <v>Eksempel 1 (interval)</v>
      </c>
      <c r="G800" s="171" t="str" cm="1">
        <f t="array" ref="G800">IF(LineærRegression_Valg[[#This Row],[Indenfor range]],IF(LineærRegression_Valg[[#This Row],[Intet overlap]],INDEX(DataTitel_liste,LineærRegression_Valg[[#This Row],[Uafhængig variabel ID]]),INDEX(DataTitel_liste,IF(LineærRegression_Valg[[#This Row],[Afhængig variabel ID]]=1,2,1))),$B$7)</f>
        <v>Eksempel 2 (interval)</v>
      </c>
      <c r="H800" s="171">
        <f>_xlfn.AGGREGATE(2,5,LineærRegression_Valg[[#This Row],[Tabel ID]])</f>
        <v>1</v>
      </c>
    </row>
    <row r="801" spans="1:8" x14ac:dyDescent="0.2">
      <c r="A801">
        <f>ROW(LineærRegression_Valg[[#This Row],[Tabel ID]])-ROW(LineærRegression_Valg[[#Headers],[Tabel ID]])</f>
        <v>791</v>
      </c>
      <c r="B801" s="171">
        <f>ROUNDDOWN((LineærRegression_Valg[[#This Row],[Tabel ID]]-1)/$B$5,0)+1</f>
        <v>198</v>
      </c>
      <c r="C801" s="171">
        <f t="shared" si="12"/>
        <v>3</v>
      </c>
      <c r="D801" s="171" t="b">
        <f>LineærRegression_Valg[[#This Row],[Afhængig variabel ID]]&lt;&gt;LineærRegression_Valg[[#This Row],[Uafhængig variabel ID]]</f>
        <v>1</v>
      </c>
      <c r="E801" t="b">
        <f>LineærRegression_Valg[[#This Row],[Afhængig variabel ID]]&lt;=$B$5</f>
        <v>0</v>
      </c>
      <c r="F801" t="str" cm="1">
        <f t="array" ref="F801">IF(LineærRegression_Valg[[#This Row],[Indenfor range]],INDEX(DataTitel_liste,LineærRegression_Valg[[#This Row],[Afhængig variabel ID]]),INDEX(DataTitel_liste,1))</f>
        <v>Eksempel 1 (interval)</v>
      </c>
      <c r="G801" s="171" t="str" cm="1">
        <f t="array" ref="G801">IF(LineærRegression_Valg[[#This Row],[Indenfor range]],IF(LineærRegression_Valg[[#This Row],[Intet overlap]],INDEX(DataTitel_liste,LineærRegression_Valg[[#This Row],[Uafhængig variabel ID]]),INDEX(DataTitel_liste,IF(LineærRegression_Valg[[#This Row],[Afhængig variabel ID]]=1,2,1))),$B$7)</f>
        <v>Eksempel 2 (interval)</v>
      </c>
      <c r="H801" s="171">
        <f>_xlfn.AGGREGATE(2,5,LineærRegression_Valg[[#This Row],[Tabel ID]])</f>
        <v>1</v>
      </c>
    </row>
    <row r="802" spans="1:8" x14ac:dyDescent="0.2">
      <c r="A802">
        <f>ROW(LineærRegression_Valg[[#This Row],[Tabel ID]])-ROW(LineærRegression_Valg[[#Headers],[Tabel ID]])</f>
        <v>792</v>
      </c>
      <c r="B802" s="171">
        <f>ROUNDDOWN((LineærRegression_Valg[[#This Row],[Tabel ID]]-1)/$B$5,0)+1</f>
        <v>198</v>
      </c>
      <c r="C802" s="171">
        <f t="shared" si="12"/>
        <v>4</v>
      </c>
      <c r="D802" s="171" t="b">
        <f>LineærRegression_Valg[[#This Row],[Afhængig variabel ID]]&lt;&gt;LineærRegression_Valg[[#This Row],[Uafhængig variabel ID]]</f>
        <v>1</v>
      </c>
      <c r="E802" t="b">
        <f>LineærRegression_Valg[[#This Row],[Afhængig variabel ID]]&lt;=$B$5</f>
        <v>0</v>
      </c>
      <c r="F802" t="str" cm="1">
        <f t="array" ref="F802">IF(LineærRegression_Valg[[#This Row],[Indenfor range]],INDEX(DataTitel_liste,LineærRegression_Valg[[#This Row],[Afhængig variabel ID]]),INDEX(DataTitel_liste,1))</f>
        <v>Eksempel 1 (interval)</v>
      </c>
      <c r="G802" s="171" t="str" cm="1">
        <f t="array" ref="G802">IF(LineærRegression_Valg[[#This Row],[Indenfor range]],IF(LineærRegression_Valg[[#This Row],[Intet overlap]],INDEX(DataTitel_liste,LineærRegression_Valg[[#This Row],[Uafhængig variabel ID]]),INDEX(DataTitel_liste,IF(LineærRegression_Valg[[#This Row],[Afhængig variabel ID]]=1,2,1))),$B$7)</f>
        <v>Eksempel 2 (interval)</v>
      </c>
      <c r="H802" s="171">
        <f>_xlfn.AGGREGATE(2,5,LineærRegression_Valg[[#This Row],[Tabel ID]])</f>
        <v>1</v>
      </c>
    </row>
    <row r="803" spans="1:8" x14ac:dyDescent="0.2">
      <c r="A803">
        <f>ROW(LineærRegression_Valg[[#This Row],[Tabel ID]])-ROW(LineærRegression_Valg[[#Headers],[Tabel ID]])</f>
        <v>793</v>
      </c>
      <c r="B803" s="171">
        <f>ROUNDDOWN((LineærRegression_Valg[[#This Row],[Tabel ID]]-1)/$B$5,0)+1</f>
        <v>199</v>
      </c>
      <c r="C803" s="171">
        <f t="shared" si="12"/>
        <v>1</v>
      </c>
      <c r="D803" s="171" t="b">
        <f>LineærRegression_Valg[[#This Row],[Afhængig variabel ID]]&lt;&gt;LineærRegression_Valg[[#This Row],[Uafhængig variabel ID]]</f>
        <v>1</v>
      </c>
      <c r="E803" t="b">
        <f>LineærRegression_Valg[[#This Row],[Afhængig variabel ID]]&lt;=$B$5</f>
        <v>0</v>
      </c>
      <c r="F803" t="str" cm="1">
        <f t="array" ref="F803">IF(LineærRegression_Valg[[#This Row],[Indenfor range]],INDEX(DataTitel_liste,LineærRegression_Valg[[#This Row],[Afhængig variabel ID]]),INDEX(DataTitel_liste,1))</f>
        <v>Eksempel 1 (interval)</v>
      </c>
      <c r="G803" s="171" t="str" cm="1">
        <f t="array" ref="G803">IF(LineærRegression_Valg[[#This Row],[Indenfor range]],IF(LineærRegression_Valg[[#This Row],[Intet overlap]],INDEX(DataTitel_liste,LineærRegression_Valg[[#This Row],[Uafhængig variabel ID]]),INDEX(DataTitel_liste,IF(LineærRegression_Valg[[#This Row],[Afhængig variabel ID]]=1,2,1))),$B$7)</f>
        <v>Eksempel 2 (interval)</v>
      </c>
      <c r="H803" s="171">
        <f>_xlfn.AGGREGATE(2,5,LineærRegression_Valg[[#This Row],[Tabel ID]])</f>
        <v>1</v>
      </c>
    </row>
    <row r="804" spans="1:8" x14ac:dyDescent="0.2">
      <c r="A804">
        <f>ROW(LineærRegression_Valg[[#This Row],[Tabel ID]])-ROW(LineærRegression_Valg[[#Headers],[Tabel ID]])</f>
        <v>794</v>
      </c>
      <c r="B804" s="171">
        <f>ROUNDDOWN((LineærRegression_Valg[[#This Row],[Tabel ID]]-1)/$B$5,0)+1</f>
        <v>199</v>
      </c>
      <c r="C804" s="171">
        <f t="shared" si="12"/>
        <v>2</v>
      </c>
      <c r="D804" s="171" t="b">
        <f>LineærRegression_Valg[[#This Row],[Afhængig variabel ID]]&lt;&gt;LineærRegression_Valg[[#This Row],[Uafhængig variabel ID]]</f>
        <v>1</v>
      </c>
      <c r="E804" t="b">
        <f>LineærRegression_Valg[[#This Row],[Afhængig variabel ID]]&lt;=$B$5</f>
        <v>0</v>
      </c>
      <c r="F804" t="str" cm="1">
        <f t="array" ref="F804">IF(LineærRegression_Valg[[#This Row],[Indenfor range]],INDEX(DataTitel_liste,LineærRegression_Valg[[#This Row],[Afhængig variabel ID]]),INDEX(DataTitel_liste,1))</f>
        <v>Eksempel 1 (interval)</v>
      </c>
      <c r="G804" s="171" t="str" cm="1">
        <f t="array" ref="G804">IF(LineærRegression_Valg[[#This Row],[Indenfor range]],IF(LineærRegression_Valg[[#This Row],[Intet overlap]],INDEX(DataTitel_liste,LineærRegression_Valg[[#This Row],[Uafhængig variabel ID]]),INDEX(DataTitel_liste,IF(LineærRegression_Valg[[#This Row],[Afhængig variabel ID]]=1,2,1))),$B$7)</f>
        <v>Eksempel 2 (interval)</v>
      </c>
      <c r="H804" s="171">
        <f>_xlfn.AGGREGATE(2,5,LineærRegression_Valg[[#This Row],[Tabel ID]])</f>
        <v>1</v>
      </c>
    </row>
    <row r="805" spans="1:8" x14ac:dyDescent="0.2">
      <c r="A805">
        <f>ROW(LineærRegression_Valg[[#This Row],[Tabel ID]])-ROW(LineærRegression_Valg[[#Headers],[Tabel ID]])</f>
        <v>795</v>
      </c>
      <c r="B805" s="171">
        <f>ROUNDDOWN((LineærRegression_Valg[[#This Row],[Tabel ID]]-1)/$B$5,0)+1</f>
        <v>199</v>
      </c>
      <c r="C805" s="171">
        <f t="shared" si="12"/>
        <v>3</v>
      </c>
      <c r="D805" s="171" t="b">
        <f>LineærRegression_Valg[[#This Row],[Afhængig variabel ID]]&lt;&gt;LineærRegression_Valg[[#This Row],[Uafhængig variabel ID]]</f>
        <v>1</v>
      </c>
      <c r="E805" t="b">
        <f>LineærRegression_Valg[[#This Row],[Afhængig variabel ID]]&lt;=$B$5</f>
        <v>0</v>
      </c>
      <c r="F805" t="str" cm="1">
        <f t="array" ref="F805">IF(LineærRegression_Valg[[#This Row],[Indenfor range]],INDEX(DataTitel_liste,LineærRegression_Valg[[#This Row],[Afhængig variabel ID]]),INDEX(DataTitel_liste,1))</f>
        <v>Eksempel 1 (interval)</v>
      </c>
      <c r="G805" s="171" t="str" cm="1">
        <f t="array" ref="G805">IF(LineærRegression_Valg[[#This Row],[Indenfor range]],IF(LineærRegression_Valg[[#This Row],[Intet overlap]],INDEX(DataTitel_liste,LineærRegression_Valg[[#This Row],[Uafhængig variabel ID]]),INDEX(DataTitel_liste,IF(LineærRegression_Valg[[#This Row],[Afhængig variabel ID]]=1,2,1))),$B$7)</f>
        <v>Eksempel 2 (interval)</v>
      </c>
      <c r="H805" s="171">
        <f>_xlfn.AGGREGATE(2,5,LineærRegression_Valg[[#This Row],[Tabel ID]])</f>
        <v>1</v>
      </c>
    </row>
    <row r="806" spans="1:8" x14ac:dyDescent="0.2">
      <c r="A806">
        <f>ROW(LineærRegression_Valg[[#This Row],[Tabel ID]])-ROW(LineærRegression_Valg[[#Headers],[Tabel ID]])</f>
        <v>796</v>
      </c>
      <c r="B806" s="171">
        <f>ROUNDDOWN((LineærRegression_Valg[[#This Row],[Tabel ID]]-1)/$B$5,0)+1</f>
        <v>199</v>
      </c>
      <c r="C806" s="171">
        <f t="shared" si="12"/>
        <v>4</v>
      </c>
      <c r="D806" s="171" t="b">
        <f>LineærRegression_Valg[[#This Row],[Afhængig variabel ID]]&lt;&gt;LineærRegression_Valg[[#This Row],[Uafhængig variabel ID]]</f>
        <v>1</v>
      </c>
      <c r="E806" t="b">
        <f>LineærRegression_Valg[[#This Row],[Afhængig variabel ID]]&lt;=$B$5</f>
        <v>0</v>
      </c>
      <c r="F806" t="str" cm="1">
        <f t="array" ref="F806">IF(LineærRegression_Valg[[#This Row],[Indenfor range]],INDEX(DataTitel_liste,LineærRegression_Valg[[#This Row],[Afhængig variabel ID]]),INDEX(DataTitel_liste,1))</f>
        <v>Eksempel 1 (interval)</v>
      </c>
      <c r="G806" s="171" t="str" cm="1">
        <f t="array" ref="G806">IF(LineærRegression_Valg[[#This Row],[Indenfor range]],IF(LineærRegression_Valg[[#This Row],[Intet overlap]],INDEX(DataTitel_liste,LineærRegression_Valg[[#This Row],[Uafhængig variabel ID]]),INDEX(DataTitel_liste,IF(LineærRegression_Valg[[#This Row],[Afhængig variabel ID]]=1,2,1))),$B$7)</f>
        <v>Eksempel 2 (interval)</v>
      </c>
      <c r="H806" s="171">
        <f>_xlfn.AGGREGATE(2,5,LineærRegression_Valg[[#This Row],[Tabel ID]])</f>
        <v>1</v>
      </c>
    </row>
    <row r="807" spans="1:8" x14ac:dyDescent="0.2">
      <c r="A807">
        <f>ROW(LineærRegression_Valg[[#This Row],[Tabel ID]])-ROW(LineærRegression_Valg[[#Headers],[Tabel ID]])</f>
        <v>797</v>
      </c>
      <c r="B807" s="171">
        <f>ROUNDDOWN((LineærRegression_Valg[[#This Row],[Tabel ID]]-1)/$B$5,0)+1</f>
        <v>200</v>
      </c>
      <c r="C807" s="171">
        <f t="shared" si="12"/>
        <v>1</v>
      </c>
      <c r="D807" s="171" t="b">
        <f>LineærRegression_Valg[[#This Row],[Afhængig variabel ID]]&lt;&gt;LineærRegression_Valg[[#This Row],[Uafhængig variabel ID]]</f>
        <v>1</v>
      </c>
      <c r="E807" t="b">
        <f>LineærRegression_Valg[[#This Row],[Afhængig variabel ID]]&lt;=$B$5</f>
        <v>0</v>
      </c>
      <c r="F807" t="str" cm="1">
        <f t="array" ref="F807">IF(LineærRegression_Valg[[#This Row],[Indenfor range]],INDEX(DataTitel_liste,LineærRegression_Valg[[#This Row],[Afhængig variabel ID]]),INDEX(DataTitel_liste,1))</f>
        <v>Eksempel 1 (interval)</v>
      </c>
      <c r="G807" s="171" t="str" cm="1">
        <f t="array" ref="G807">IF(LineærRegression_Valg[[#This Row],[Indenfor range]],IF(LineærRegression_Valg[[#This Row],[Intet overlap]],INDEX(DataTitel_liste,LineærRegression_Valg[[#This Row],[Uafhængig variabel ID]]),INDEX(DataTitel_liste,IF(LineærRegression_Valg[[#This Row],[Afhængig variabel ID]]=1,2,1))),$B$7)</f>
        <v>Eksempel 2 (interval)</v>
      </c>
      <c r="H807" s="171">
        <f>_xlfn.AGGREGATE(2,5,LineærRegression_Valg[[#This Row],[Tabel ID]])</f>
        <v>1</v>
      </c>
    </row>
    <row r="808" spans="1:8" x14ac:dyDescent="0.2">
      <c r="A808">
        <f>ROW(LineærRegression_Valg[[#This Row],[Tabel ID]])-ROW(LineærRegression_Valg[[#Headers],[Tabel ID]])</f>
        <v>798</v>
      </c>
      <c r="B808" s="171">
        <f>ROUNDDOWN((LineærRegression_Valg[[#This Row],[Tabel ID]]-1)/$B$5,0)+1</f>
        <v>200</v>
      </c>
      <c r="C808" s="171">
        <f t="shared" si="12"/>
        <v>2</v>
      </c>
      <c r="D808" s="171" t="b">
        <f>LineærRegression_Valg[[#This Row],[Afhængig variabel ID]]&lt;&gt;LineærRegression_Valg[[#This Row],[Uafhængig variabel ID]]</f>
        <v>1</v>
      </c>
      <c r="E808" t="b">
        <f>LineærRegression_Valg[[#This Row],[Afhængig variabel ID]]&lt;=$B$5</f>
        <v>0</v>
      </c>
      <c r="F808" t="str" cm="1">
        <f t="array" ref="F808">IF(LineærRegression_Valg[[#This Row],[Indenfor range]],INDEX(DataTitel_liste,LineærRegression_Valg[[#This Row],[Afhængig variabel ID]]),INDEX(DataTitel_liste,1))</f>
        <v>Eksempel 1 (interval)</v>
      </c>
      <c r="G808" s="171" t="str" cm="1">
        <f t="array" ref="G808">IF(LineærRegression_Valg[[#This Row],[Indenfor range]],IF(LineærRegression_Valg[[#This Row],[Intet overlap]],INDEX(DataTitel_liste,LineærRegression_Valg[[#This Row],[Uafhængig variabel ID]]),INDEX(DataTitel_liste,IF(LineærRegression_Valg[[#This Row],[Afhængig variabel ID]]=1,2,1))),$B$7)</f>
        <v>Eksempel 2 (interval)</v>
      </c>
      <c r="H808" s="171">
        <f>_xlfn.AGGREGATE(2,5,LineærRegression_Valg[[#This Row],[Tabel ID]])</f>
        <v>1</v>
      </c>
    </row>
    <row r="809" spans="1:8" x14ac:dyDescent="0.2">
      <c r="A809">
        <f>ROW(LineærRegression_Valg[[#This Row],[Tabel ID]])-ROW(LineærRegression_Valg[[#Headers],[Tabel ID]])</f>
        <v>799</v>
      </c>
      <c r="B809" s="171">
        <f>ROUNDDOWN((LineærRegression_Valg[[#This Row],[Tabel ID]]-1)/$B$5,0)+1</f>
        <v>200</v>
      </c>
      <c r="C809" s="171">
        <f t="shared" si="12"/>
        <v>3</v>
      </c>
      <c r="D809" s="171" t="b">
        <f>LineærRegression_Valg[[#This Row],[Afhængig variabel ID]]&lt;&gt;LineærRegression_Valg[[#This Row],[Uafhængig variabel ID]]</f>
        <v>1</v>
      </c>
      <c r="E809" t="b">
        <f>LineærRegression_Valg[[#This Row],[Afhængig variabel ID]]&lt;=$B$5</f>
        <v>0</v>
      </c>
      <c r="F809" t="str" cm="1">
        <f t="array" ref="F809">IF(LineærRegression_Valg[[#This Row],[Indenfor range]],INDEX(DataTitel_liste,LineærRegression_Valg[[#This Row],[Afhængig variabel ID]]),INDEX(DataTitel_liste,1))</f>
        <v>Eksempel 1 (interval)</v>
      </c>
      <c r="G809" s="171" t="str" cm="1">
        <f t="array" ref="G809">IF(LineærRegression_Valg[[#This Row],[Indenfor range]],IF(LineærRegression_Valg[[#This Row],[Intet overlap]],INDEX(DataTitel_liste,LineærRegression_Valg[[#This Row],[Uafhængig variabel ID]]),INDEX(DataTitel_liste,IF(LineærRegression_Valg[[#This Row],[Afhængig variabel ID]]=1,2,1))),$B$7)</f>
        <v>Eksempel 2 (interval)</v>
      </c>
      <c r="H809" s="171">
        <f>_xlfn.AGGREGATE(2,5,LineærRegression_Valg[[#This Row],[Tabel ID]])</f>
        <v>1</v>
      </c>
    </row>
    <row r="810" spans="1:8" x14ac:dyDescent="0.2">
      <c r="A810">
        <f>ROW(LineærRegression_Valg[[#This Row],[Tabel ID]])-ROW(LineærRegression_Valg[[#Headers],[Tabel ID]])</f>
        <v>800</v>
      </c>
      <c r="B810" s="171">
        <f>ROUNDDOWN((LineærRegression_Valg[[#This Row],[Tabel ID]]-1)/$B$5,0)+1</f>
        <v>200</v>
      </c>
      <c r="C810" s="171">
        <f t="shared" si="12"/>
        <v>4</v>
      </c>
      <c r="D810" s="171" t="b">
        <f>LineærRegression_Valg[[#This Row],[Afhængig variabel ID]]&lt;&gt;LineærRegression_Valg[[#This Row],[Uafhængig variabel ID]]</f>
        <v>1</v>
      </c>
      <c r="E810" t="b">
        <f>LineærRegression_Valg[[#This Row],[Afhængig variabel ID]]&lt;=$B$5</f>
        <v>0</v>
      </c>
      <c r="F810" t="str" cm="1">
        <f t="array" ref="F810">IF(LineærRegression_Valg[[#This Row],[Indenfor range]],INDEX(DataTitel_liste,LineærRegression_Valg[[#This Row],[Afhængig variabel ID]]),INDEX(DataTitel_liste,1))</f>
        <v>Eksempel 1 (interval)</v>
      </c>
      <c r="G810" s="171" t="str" cm="1">
        <f t="array" ref="G810">IF(LineærRegression_Valg[[#This Row],[Indenfor range]],IF(LineærRegression_Valg[[#This Row],[Intet overlap]],INDEX(DataTitel_liste,LineærRegression_Valg[[#This Row],[Uafhængig variabel ID]]),INDEX(DataTitel_liste,IF(LineærRegression_Valg[[#This Row],[Afhængig variabel ID]]=1,2,1))),$B$7)</f>
        <v>Eksempel 2 (interval)</v>
      </c>
      <c r="H810" s="171">
        <f>_xlfn.AGGREGATE(2,5,LineærRegression_Valg[[#This Row],[Tabel ID]])</f>
        <v>1</v>
      </c>
    </row>
    <row r="811" spans="1:8" x14ac:dyDescent="0.2">
      <c r="A811">
        <f>ROW(LineærRegression_Valg[[#This Row],[Tabel ID]])-ROW(LineærRegression_Valg[[#Headers],[Tabel ID]])</f>
        <v>801</v>
      </c>
      <c r="B811" s="171">
        <f>ROUNDDOWN((LineærRegression_Valg[[#This Row],[Tabel ID]]-1)/$B$5,0)+1</f>
        <v>201</v>
      </c>
      <c r="C811" s="171">
        <f t="shared" si="12"/>
        <v>1</v>
      </c>
      <c r="D811" s="171" t="b">
        <f>LineærRegression_Valg[[#This Row],[Afhængig variabel ID]]&lt;&gt;LineærRegression_Valg[[#This Row],[Uafhængig variabel ID]]</f>
        <v>1</v>
      </c>
      <c r="E811" t="b">
        <f>LineærRegression_Valg[[#This Row],[Afhængig variabel ID]]&lt;=$B$5</f>
        <v>0</v>
      </c>
      <c r="F811" t="str" cm="1">
        <f t="array" ref="F811">IF(LineærRegression_Valg[[#This Row],[Indenfor range]],INDEX(DataTitel_liste,LineærRegression_Valg[[#This Row],[Afhængig variabel ID]]),INDEX(DataTitel_liste,1))</f>
        <v>Eksempel 1 (interval)</v>
      </c>
      <c r="G811" s="171" t="str" cm="1">
        <f t="array" ref="G811">IF(LineærRegression_Valg[[#This Row],[Indenfor range]],IF(LineærRegression_Valg[[#This Row],[Intet overlap]],INDEX(DataTitel_liste,LineærRegression_Valg[[#This Row],[Uafhængig variabel ID]]),INDEX(DataTitel_liste,IF(LineærRegression_Valg[[#This Row],[Afhængig variabel ID]]=1,2,1))),$B$7)</f>
        <v>Eksempel 2 (interval)</v>
      </c>
      <c r="H811" s="171">
        <f>_xlfn.AGGREGATE(2,5,LineærRegression_Valg[[#This Row],[Tabel ID]])</f>
        <v>1</v>
      </c>
    </row>
    <row r="812" spans="1:8" x14ac:dyDescent="0.2">
      <c r="A812">
        <f>ROW(LineærRegression_Valg[[#This Row],[Tabel ID]])-ROW(LineærRegression_Valg[[#Headers],[Tabel ID]])</f>
        <v>802</v>
      </c>
      <c r="B812" s="171">
        <f>ROUNDDOWN((LineærRegression_Valg[[#This Row],[Tabel ID]]-1)/$B$5,0)+1</f>
        <v>201</v>
      </c>
      <c r="C812" s="171">
        <f t="shared" si="12"/>
        <v>2</v>
      </c>
      <c r="D812" s="171" t="b">
        <f>LineærRegression_Valg[[#This Row],[Afhængig variabel ID]]&lt;&gt;LineærRegression_Valg[[#This Row],[Uafhængig variabel ID]]</f>
        <v>1</v>
      </c>
      <c r="E812" t="b">
        <f>LineærRegression_Valg[[#This Row],[Afhængig variabel ID]]&lt;=$B$5</f>
        <v>0</v>
      </c>
      <c r="F812" t="str" cm="1">
        <f t="array" ref="F812">IF(LineærRegression_Valg[[#This Row],[Indenfor range]],INDEX(DataTitel_liste,LineærRegression_Valg[[#This Row],[Afhængig variabel ID]]),INDEX(DataTitel_liste,1))</f>
        <v>Eksempel 1 (interval)</v>
      </c>
      <c r="G812" s="171" t="str" cm="1">
        <f t="array" ref="G812">IF(LineærRegression_Valg[[#This Row],[Indenfor range]],IF(LineærRegression_Valg[[#This Row],[Intet overlap]],INDEX(DataTitel_liste,LineærRegression_Valg[[#This Row],[Uafhængig variabel ID]]),INDEX(DataTitel_liste,IF(LineærRegression_Valg[[#This Row],[Afhængig variabel ID]]=1,2,1))),$B$7)</f>
        <v>Eksempel 2 (interval)</v>
      </c>
      <c r="H812" s="171">
        <f>_xlfn.AGGREGATE(2,5,LineærRegression_Valg[[#This Row],[Tabel ID]])</f>
        <v>1</v>
      </c>
    </row>
    <row r="813" spans="1:8" x14ac:dyDescent="0.2">
      <c r="A813">
        <f>ROW(LineærRegression_Valg[[#This Row],[Tabel ID]])-ROW(LineærRegression_Valg[[#Headers],[Tabel ID]])</f>
        <v>803</v>
      </c>
      <c r="B813" s="171">
        <f>ROUNDDOWN((LineærRegression_Valg[[#This Row],[Tabel ID]]-1)/$B$5,0)+1</f>
        <v>201</v>
      </c>
      <c r="C813" s="171">
        <f t="shared" si="12"/>
        <v>3</v>
      </c>
      <c r="D813" s="171" t="b">
        <f>LineærRegression_Valg[[#This Row],[Afhængig variabel ID]]&lt;&gt;LineærRegression_Valg[[#This Row],[Uafhængig variabel ID]]</f>
        <v>1</v>
      </c>
      <c r="E813" t="b">
        <f>LineærRegression_Valg[[#This Row],[Afhængig variabel ID]]&lt;=$B$5</f>
        <v>0</v>
      </c>
      <c r="F813" t="str" cm="1">
        <f t="array" ref="F813">IF(LineærRegression_Valg[[#This Row],[Indenfor range]],INDEX(DataTitel_liste,LineærRegression_Valg[[#This Row],[Afhængig variabel ID]]),INDEX(DataTitel_liste,1))</f>
        <v>Eksempel 1 (interval)</v>
      </c>
      <c r="G813" s="171" t="str" cm="1">
        <f t="array" ref="G813">IF(LineærRegression_Valg[[#This Row],[Indenfor range]],IF(LineærRegression_Valg[[#This Row],[Intet overlap]],INDEX(DataTitel_liste,LineærRegression_Valg[[#This Row],[Uafhængig variabel ID]]),INDEX(DataTitel_liste,IF(LineærRegression_Valg[[#This Row],[Afhængig variabel ID]]=1,2,1))),$B$7)</f>
        <v>Eksempel 2 (interval)</v>
      </c>
      <c r="H813" s="171">
        <f>_xlfn.AGGREGATE(2,5,LineærRegression_Valg[[#This Row],[Tabel ID]])</f>
        <v>1</v>
      </c>
    </row>
    <row r="814" spans="1:8" x14ac:dyDescent="0.2">
      <c r="A814">
        <f>ROW(LineærRegression_Valg[[#This Row],[Tabel ID]])-ROW(LineærRegression_Valg[[#Headers],[Tabel ID]])</f>
        <v>804</v>
      </c>
      <c r="B814" s="171">
        <f>ROUNDDOWN((LineærRegression_Valg[[#This Row],[Tabel ID]]-1)/$B$5,0)+1</f>
        <v>201</v>
      </c>
      <c r="C814" s="171">
        <f t="shared" si="12"/>
        <v>4</v>
      </c>
      <c r="D814" s="171" t="b">
        <f>LineærRegression_Valg[[#This Row],[Afhængig variabel ID]]&lt;&gt;LineærRegression_Valg[[#This Row],[Uafhængig variabel ID]]</f>
        <v>1</v>
      </c>
      <c r="E814" t="b">
        <f>LineærRegression_Valg[[#This Row],[Afhængig variabel ID]]&lt;=$B$5</f>
        <v>0</v>
      </c>
      <c r="F814" t="str" cm="1">
        <f t="array" ref="F814">IF(LineærRegression_Valg[[#This Row],[Indenfor range]],INDEX(DataTitel_liste,LineærRegression_Valg[[#This Row],[Afhængig variabel ID]]),INDEX(DataTitel_liste,1))</f>
        <v>Eksempel 1 (interval)</v>
      </c>
      <c r="G814" s="171" t="str" cm="1">
        <f t="array" ref="G814">IF(LineærRegression_Valg[[#This Row],[Indenfor range]],IF(LineærRegression_Valg[[#This Row],[Intet overlap]],INDEX(DataTitel_liste,LineærRegression_Valg[[#This Row],[Uafhængig variabel ID]]),INDEX(DataTitel_liste,IF(LineærRegression_Valg[[#This Row],[Afhængig variabel ID]]=1,2,1))),$B$7)</f>
        <v>Eksempel 2 (interval)</v>
      </c>
      <c r="H814" s="171">
        <f>_xlfn.AGGREGATE(2,5,LineærRegression_Valg[[#This Row],[Tabel ID]])</f>
        <v>1</v>
      </c>
    </row>
    <row r="815" spans="1:8" x14ac:dyDescent="0.2">
      <c r="A815">
        <f>ROW(LineærRegression_Valg[[#This Row],[Tabel ID]])-ROW(LineærRegression_Valg[[#Headers],[Tabel ID]])</f>
        <v>805</v>
      </c>
      <c r="B815" s="171">
        <f>ROUNDDOWN((LineærRegression_Valg[[#This Row],[Tabel ID]]-1)/$B$5,0)+1</f>
        <v>202</v>
      </c>
      <c r="C815" s="171">
        <f t="shared" si="12"/>
        <v>1</v>
      </c>
      <c r="D815" s="171" t="b">
        <f>LineærRegression_Valg[[#This Row],[Afhængig variabel ID]]&lt;&gt;LineærRegression_Valg[[#This Row],[Uafhængig variabel ID]]</f>
        <v>1</v>
      </c>
      <c r="E815" t="b">
        <f>LineærRegression_Valg[[#This Row],[Afhængig variabel ID]]&lt;=$B$5</f>
        <v>0</v>
      </c>
      <c r="F815" t="str" cm="1">
        <f t="array" ref="F815">IF(LineærRegression_Valg[[#This Row],[Indenfor range]],INDEX(DataTitel_liste,LineærRegression_Valg[[#This Row],[Afhængig variabel ID]]),INDEX(DataTitel_liste,1))</f>
        <v>Eksempel 1 (interval)</v>
      </c>
      <c r="G815" s="171" t="str" cm="1">
        <f t="array" ref="G815">IF(LineærRegression_Valg[[#This Row],[Indenfor range]],IF(LineærRegression_Valg[[#This Row],[Intet overlap]],INDEX(DataTitel_liste,LineærRegression_Valg[[#This Row],[Uafhængig variabel ID]]),INDEX(DataTitel_liste,IF(LineærRegression_Valg[[#This Row],[Afhængig variabel ID]]=1,2,1))),$B$7)</f>
        <v>Eksempel 2 (interval)</v>
      </c>
      <c r="H815" s="171">
        <f>_xlfn.AGGREGATE(2,5,LineærRegression_Valg[[#This Row],[Tabel ID]])</f>
        <v>1</v>
      </c>
    </row>
    <row r="816" spans="1:8" x14ac:dyDescent="0.2">
      <c r="A816">
        <f>ROW(LineærRegression_Valg[[#This Row],[Tabel ID]])-ROW(LineærRegression_Valg[[#Headers],[Tabel ID]])</f>
        <v>806</v>
      </c>
      <c r="B816" s="171">
        <f>ROUNDDOWN((LineærRegression_Valg[[#This Row],[Tabel ID]]-1)/$B$5,0)+1</f>
        <v>202</v>
      </c>
      <c r="C816" s="171">
        <f t="shared" si="12"/>
        <v>2</v>
      </c>
      <c r="D816" s="171" t="b">
        <f>LineærRegression_Valg[[#This Row],[Afhængig variabel ID]]&lt;&gt;LineærRegression_Valg[[#This Row],[Uafhængig variabel ID]]</f>
        <v>1</v>
      </c>
      <c r="E816" t="b">
        <f>LineærRegression_Valg[[#This Row],[Afhængig variabel ID]]&lt;=$B$5</f>
        <v>0</v>
      </c>
      <c r="F816" t="str" cm="1">
        <f t="array" ref="F816">IF(LineærRegression_Valg[[#This Row],[Indenfor range]],INDEX(DataTitel_liste,LineærRegression_Valg[[#This Row],[Afhængig variabel ID]]),INDEX(DataTitel_liste,1))</f>
        <v>Eksempel 1 (interval)</v>
      </c>
      <c r="G816" s="171" t="str" cm="1">
        <f t="array" ref="G816">IF(LineærRegression_Valg[[#This Row],[Indenfor range]],IF(LineærRegression_Valg[[#This Row],[Intet overlap]],INDEX(DataTitel_liste,LineærRegression_Valg[[#This Row],[Uafhængig variabel ID]]),INDEX(DataTitel_liste,IF(LineærRegression_Valg[[#This Row],[Afhængig variabel ID]]=1,2,1))),$B$7)</f>
        <v>Eksempel 2 (interval)</v>
      </c>
      <c r="H816" s="171">
        <f>_xlfn.AGGREGATE(2,5,LineærRegression_Valg[[#This Row],[Tabel ID]])</f>
        <v>1</v>
      </c>
    </row>
    <row r="817" spans="1:8" x14ac:dyDescent="0.2">
      <c r="A817">
        <f>ROW(LineærRegression_Valg[[#This Row],[Tabel ID]])-ROW(LineærRegression_Valg[[#Headers],[Tabel ID]])</f>
        <v>807</v>
      </c>
      <c r="B817" s="171">
        <f>ROUNDDOWN((LineærRegression_Valg[[#This Row],[Tabel ID]]-1)/$B$5,0)+1</f>
        <v>202</v>
      </c>
      <c r="C817" s="171">
        <f t="shared" si="12"/>
        <v>3</v>
      </c>
      <c r="D817" s="171" t="b">
        <f>LineærRegression_Valg[[#This Row],[Afhængig variabel ID]]&lt;&gt;LineærRegression_Valg[[#This Row],[Uafhængig variabel ID]]</f>
        <v>1</v>
      </c>
      <c r="E817" t="b">
        <f>LineærRegression_Valg[[#This Row],[Afhængig variabel ID]]&lt;=$B$5</f>
        <v>0</v>
      </c>
      <c r="F817" t="str" cm="1">
        <f t="array" ref="F817">IF(LineærRegression_Valg[[#This Row],[Indenfor range]],INDEX(DataTitel_liste,LineærRegression_Valg[[#This Row],[Afhængig variabel ID]]),INDEX(DataTitel_liste,1))</f>
        <v>Eksempel 1 (interval)</v>
      </c>
      <c r="G817" s="171" t="str" cm="1">
        <f t="array" ref="G817">IF(LineærRegression_Valg[[#This Row],[Indenfor range]],IF(LineærRegression_Valg[[#This Row],[Intet overlap]],INDEX(DataTitel_liste,LineærRegression_Valg[[#This Row],[Uafhængig variabel ID]]),INDEX(DataTitel_liste,IF(LineærRegression_Valg[[#This Row],[Afhængig variabel ID]]=1,2,1))),$B$7)</f>
        <v>Eksempel 2 (interval)</v>
      </c>
      <c r="H817" s="171">
        <f>_xlfn.AGGREGATE(2,5,LineærRegression_Valg[[#This Row],[Tabel ID]])</f>
        <v>1</v>
      </c>
    </row>
    <row r="818" spans="1:8" x14ac:dyDescent="0.2">
      <c r="A818">
        <f>ROW(LineærRegression_Valg[[#This Row],[Tabel ID]])-ROW(LineærRegression_Valg[[#Headers],[Tabel ID]])</f>
        <v>808</v>
      </c>
      <c r="B818" s="171">
        <f>ROUNDDOWN((LineærRegression_Valg[[#This Row],[Tabel ID]]-1)/$B$5,0)+1</f>
        <v>202</v>
      </c>
      <c r="C818" s="171">
        <f t="shared" si="12"/>
        <v>4</v>
      </c>
      <c r="D818" s="171" t="b">
        <f>LineærRegression_Valg[[#This Row],[Afhængig variabel ID]]&lt;&gt;LineærRegression_Valg[[#This Row],[Uafhængig variabel ID]]</f>
        <v>1</v>
      </c>
      <c r="E818" t="b">
        <f>LineærRegression_Valg[[#This Row],[Afhængig variabel ID]]&lt;=$B$5</f>
        <v>0</v>
      </c>
      <c r="F818" t="str" cm="1">
        <f t="array" ref="F818">IF(LineærRegression_Valg[[#This Row],[Indenfor range]],INDEX(DataTitel_liste,LineærRegression_Valg[[#This Row],[Afhængig variabel ID]]),INDEX(DataTitel_liste,1))</f>
        <v>Eksempel 1 (interval)</v>
      </c>
      <c r="G818" s="171" t="str" cm="1">
        <f t="array" ref="G818">IF(LineærRegression_Valg[[#This Row],[Indenfor range]],IF(LineærRegression_Valg[[#This Row],[Intet overlap]],INDEX(DataTitel_liste,LineærRegression_Valg[[#This Row],[Uafhængig variabel ID]]),INDEX(DataTitel_liste,IF(LineærRegression_Valg[[#This Row],[Afhængig variabel ID]]=1,2,1))),$B$7)</f>
        <v>Eksempel 2 (interval)</v>
      </c>
      <c r="H818" s="171">
        <f>_xlfn.AGGREGATE(2,5,LineærRegression_Valg[[#This Row],[Tabel ID]])</f>
        <v>1</v>
      </c>
    </row>
    <row r="819" spans="1:8" x14ac:dyDescent="0.2">
      <c r="A819">
        <f>ROW(LineærRegression_Valg[[#This Row],[Tabel ID]])-ROW(LineærRegression_Valg[[#Headers],[Tabel ID]])</f>
        <v>809</v>
      </c>
      <c r="B819" s="171">
        <f>ROUNDDOWN((LineærRegression_Valg[[#This Row],[Tabel ID]]-1)/$B$5,0)+1</f>
        <v>203</v>
      </c>
      <c r="C819" s="171">
        <f t="shared" si="12"/>
        <v>1</v>
      </c>
      <c r="D819" s="171" t="b">
        <f>LineærRegression_Valg[[#This Row],[Afhængig variabel ID]]&lt;&gt;LineærRegression_Valg[[#This Row],[Uafhængig variabel ID]]</f>
        <v>1</v>
      </c>
      <c r="E819" t="b">
        <f>LineærRegression_Valg[[#This Row],[Afhængig variabel ID]]&lt;=$B$5</f>
        <v>0</v>
      </c>
      <c r="F819" t="str" cm="1">
        <f t="array" ref="F819">IF(LineærRegression_Valg[[#This Row],[Indenfor range]],INDEX(DataTitel_liste,LineærRegression_Valg[[#This Row],[Afhængig variabel ID]]),INDEX(DataTitel_liste,1))</f>
        <v>Eksempel 1 (interval)</v>
      </c>
      <c r="G819" s="171" t="str" cm="1">
        <f t="array" ref="G819">IF(LineærRegression_Valg[[#This Row],[Indenfor range]],IF(LineærRegression_Valg[[#This Row],[Intet overlap]],INDEX(DataTitel_liste,LineærRegression_Valg[[#This Row],[Uafhængig variabel ID]]),INDEX(DataTitel_liste,IF(LineærRegression_Valg[[#This Row],[Afhængig variabel ID]]=1,2,1))),$B$7)</f>
        <v>Eksempel 2 (interval)</v>
      </c>
      <c r="H819" s="171">
        <f>_xlfn.AGGREGATE(2,5,LineærRegression_Valg[[#This Row],[Tabel ID]])</f>
        <v>1</v>
      </c>
    </row>
    <row r="820" spans="1:8" x14ac:dyDescent="0.2">
      <c r="A820">
        <f>ROW(LineærRegression_Valg[[#This Row],[Tabel ID]])-ROW(LineærRegression_Valg[[#Headers],[Tabel ID]])</f>
        <v>810</v>
      </c>
      <c r="B820" s="171">
        <f>ROUNDDOWN((LineærRegression_Valg[[#This Row],[Tabel ID]]-1)/$B$5,0)+1</f>
        <v>203</v>
      </c>
      <c r="C820" s="171">
        <f t="shared" si="12"/>
        <v>2</v>
      </c>
      <c r="D820" s="171" t="b">
        <f>LineærRegression_Valg[[#This Row],[Afhængig variabel ID]]&lt;&gt;LineærRegression_Valg[[#This Row],[Uafhængig variabel ID]]</f>
        <v>1</v>
      </c>
      <c r="E820" t="b">
        <f>LineærRegression_Valg[[#This Row],[Afhængig variabel ID]]&lt;=$B$5</f>
        <v>0</v>
      </c>
      <c r="F820" t="str" cm="1">
        <f t="array" ref="F820">IF(LineærRegression_Valg[[#This Row],[Indenfor range]],INDEX(DataTitel_liste,LineærRegression_Valg[[#This Row],[Afhængig variabel ID]]),INDEX(DataTitel_liste,1))</f>
        <v>Eksempel 1 (interval)</v>
      </c>
      <c r="G820" s="171" t="str" cm="1">
        <f t="array" ref="G820">IF(LineærRegression_Valg[[#This Row],[Indenfor range]],IF(LineærRegression_Valg[[#This Row],[Intet overlap]],INDEX(DataTitel_liste,LineærRegression_Valg[[#This Row],[Uafhængig variabel ID]]),INDEX(DataTitel_liste,IF(LineærRegression_Valg[[#This Row],[Afhængig variabel ID]]=1,2,1))),$B$7)</f>
        <v>Eksempel 2 (interval)</v>
      </c>
      <c r="H820" s="171">
        <f>_xlfn.AGGREGATE(2,5,LineærRegression_Valg[[#This Row],[Tabel ID]])</f>
        <v>1</v>
      </c>
    </row>
    <row r="821" spans="1:8" x14ac:dyDescent="0.2">
      <c r="A821">
        <f>ROW(LineærRegression_Valg[[#This Row],[Tabel ID]])-ROW(LineærRegression_Valg[[#Headers],[Tabel ID]])</f>
        <v>811</v>
      </c>
      <c r="B821" s="171">
        <f>ROUNDDOWN((LineærRegression_Valg[[#This Row],[Tabel ID]]-1)/$B$5,0)+1</f>
        <v>203</v>
      </c>
      <c r="C821" s="171">
        <f t="shared" si="12"/>
        <v>3</v>
      </c>
      <c r="D821" s="171" t="b">
        <f>LineærRegression_Valg[[#This Row],[Afhængig variabel ID]]&lt;&gt;LineærRegression_Valg[[#This Row],[Uafhængig variabel ID]]</f>
        <v>1</v>
      </c>
      <c r="E821" t="b">
        <f>LineærRegression_Valg[[#This Row],[Afhængig variabel ID]]&lt;=$B$5</f>
        <v>0</v>
      </c>
      <c r="F821" t="str" cm="1">
        <f t="array" ref="F821">IF(LineærRegression_Valg[[#This Row],[Indenfor range]],INDEX(DataTitel_liste,LineærRegression_Valg[[#This Row],[Afhængig variabel ID]]),INDEX(DataTitel_liste,1))</f>
        <v>Eksempel 1 (interval)</v>
      </c>
      <c r="G821" s="171" t="str" cm="1">
        <f t="array" ref="G821">IF(LineærRegression_Valg[[#This Row],[Indenfor range]],IF(LineærRegression_Valg[[#This Row],[Intet overlap]],INDEX(DataTitel_liste,LineærRegression_Valg[[#This Row],[Uafhængig variabel ID]]),INDEX(DataTitel_liste,IF(LineærRegression_Valg[[#This Row],[Afhængig variabel ID]]=1,2,1))),$B$7)</f>
        <v>Eksempel 2 (interval)</v>
      </c>
      <c r="H821" s="171">
        <f>_xlfn.AGGREGATE(2,5,LineærRegression_Valg[[#This Row],[Tabel ID]])</f>
        <v>1</v>
      </c>
    </row>
    <row r="822" spans="1:8" x14ac:dyDescent="0.2">
      <c r="A822">
        <f>ROW(LineærRegression_Valg[[#This Row],[Tabel ID]])-ROW(LineærRegression_Valg[[#Headers],[Tabel ID]])</f>
        <v>812</v>
      </c>
      <c r="B822" s="171">
        <f>ROUNDDOWN((LineærRegression_Valg[[#This Row],[Tabel ID]]-1)/$B$5,0)+1</f>
        <v>203</v>
      </c>
      <c r="C822" s="171">
        <f t="shared" si="12"/>
        <v>4</v>
      </c>
      <c r="D822" s="171" t="b">
        <f>LineærRegression_Valg[[#This Row],[Afhængig variabel ID]]&lt;&gt;LineærRegression_Valg[[#This Row],[Uafhængig variabel ID]]</f>
        <v>1</v>
      </c>
      <c r="E822" t="b">
        <f>LineærRegression_Valg[[#This Row],[Afhængig variabel ID]]&lt;=$B$5</f>
        <v>0</v>
      </c>
      <c r="F822" t="str" cm="1">
        <f t="array" ref="F822">IF(LineærRegression_Valg[[#This Row],[Indenfor range]],INDEX(DataTitel_liste,LineærRegression_Valg[[#This Row],[Afhængig variabel ID]]),INDEX(DataTitel_liste,1))</f>
        <v>Eksempel 1 (interval)</v>
      </c>
      <c r="G822" s="171" t="str" cm="1">
        <f t="array" ref="G822">IF(LineærRegression_Valg[[#This Row],[Indenfor range]],IF(LineærRegression_Valg[[#This Row],[Intet overlap]],INDEX(DataTitel_liste,LineærRegression_Valg[[#This Row],[Uafhængig variabel ID]]),INDEX(DataTitel_liste,IF(LineærRegression_Valg[[#This Row],[Afhængig variabel ID]]=1,2,1))),$B$7)</f>
        <v>Eksempel 2 (interval)</v>
      </c>
      <c r="H822" s="171">
        <f>_xlfn.AGGREGATE(2,5,LineærRegression_Valg[[#This Row],[Tabel ID]])</f>
        <v>1</v>
      </c>
    </row>
    <row r="823" spans="1:8" x14ac:dyDescent="0.2">
      <c r="A823">
        <f>ROW(LineærRegression_Valg[[#This Row],[Tabel ID]])-ROW(LineærRegression_Valg[[#Headers],[Tabel ID]])</f>
        <v>813</v>
      </c>
      <c r="B823" s="171">
        <f>ROUNDDOWN((LineærRegression_Valg[[#This Row],[Tabel ID]]-1)/$B$5,0)+1</f>
        <v>204</v>
      </c>
      <c r="C823" s="171">
        <f t="shared" si="12"/>
        <v>1</v>
      </c>
      <c r="D823" s="171" t="b">
        <f>LineærRegression_Valg[[#This Row],[Afhængig variabel ID]]&lt;&gt;LineærRegression_Valg[[#This Row],[Uafhængig variabel ID]]</f>
        <v>1</v>
      </c>
      <c r="E823" t="b">
        <f>LineærRegression_Valg[[#This Row],[Afhængig variabel ID]]&lt;=$B$5</f>
        <v>0</v>
      </c>
      <c r="F823" t="str" cm="1">
        <f t="array" ref="F823">IF(LineærRegression_Valg[[#This Row],[Indenfor range]],INDEX(DataTitel_liste,LineærRegression_Valg[[#This Row],[Afhængig variabel ID]]),INDEX(DataTitel_liste,1))</f>
        <v>Eksempel 1 (interval)</v>
      </c>
      <c r="G823" s="171" t="str" cm="1">
        <f t="array" ref="G823">IF(LineærRegression_Valg[[#This Row],[Indenfor range]],IF(LineærRegression_Valg[[#This Row],[Intet overlap]],INDEX(DataTitel_liste,LineærRegression_Valg[[#This Row],[Uafhængig variabel ID]]),INDEX(DataTitel_liste,IF(LineærRegression_Valg[[#This Row],[Afhængig variabel ID]]=1,2,1))),$B$7)</f>
        <v>Eksempel 2 (interval)</v>
      </c>
      <c r="H823" s="171">
        <f>_xlfn.AGGREGATE(2,5,LineærRegression_Valg[[#This Row],[Tabel ID]])</f>
        <v>1</v>
      </c>
    </row>
    <row r="824" spans="1:8" x14ac:dyDescent="0.2">
      <c r="A824">
        <f>ROW(LineærRegression_Valg[[#This Row],[Tabel ID]])-ROW(LineærRegression_Valg[[#Headers],[Tabel ID]])</f>
        <v>814</v>
      </c>
      <c r="B824" s="171">
        <f>ROUNDDOWN((LineærRegression_Valg[[#This Row],[Tabel ID]]-1)/$B$5,0)+1</f>
        <v>204</v>
      </c>
      <c r="C824" s="171">
        <f t="shared" si="12"/>
        <v>2</v>
      </c>
      <c r="D824" s="171" t="b">
        <f>LineærRegression_Valg[[#This Row],[Afhængig variabel ID]]&lt;&gt;LineærRegression_Valg[[#This Row],[Uafhængig variabel ID]]</f>
        <v>1</v>
      </c>
      <c r="E824" t="b">
        <f>LineærRegression_Valg[[#This Row],[Afhængig variabel ID]]&lt;=$B$5</f>
        <v>0</v>
      </c>
      <c r="F824" t="str" cm="1">
        <f t="array" ref="F824">IF(LineærRegression_Valg[[#This Row],[Indenfor range]],INDEX(DataTitel_liste,LineærRegression_Valg[[#This Row],[Afhængig variabel ID]]),INDEX(DataTitel_liste,1))</f>
        <v>Eksempel 1 (interval)</v>
      </c>
      <c r="G824" s="171" t="str" cm="1">
        <f t="array" ref="G824">IF(LineærRegression_Valg[[#This Row],[Indenfor range]],IF(LineærRegression_Valg[[#This Row],[Intet overlap]],INDEX(DataTitel_liste,LineærRegression_Valg[[#This Row],[Uafhængig variabel ID]]),INDEX(DataTitel_liste,IF(LineærRegression_Valg[[#This Row],[Afhængig variabel ID]]=1,2,1))),$B$7)</f>
        <v>Eksempel 2 (interval)</v>
      </c>
      <c r="H824" s="171">
        <f>_xlfn.AGGREGATE(2,5,LineærRegression_Valg[[#This Row],[Tabel ID]])</f>
        <v>1</v>
      </c>
    </row>
    <row r="825" spans="1:8" x14ac:dyDescent="0.2">
      <c r="A825">
        <f>ROW(LineærRegression_Valg[[#This Row],[Tabel ID]])-ROW(LineærRegression_Valg[[#Headers],[Tabel ID]])</f>
        <v>815</v>
      </c>
      <c r="B825" s="171">
        <f>ROUNDDOWN((LineærRegression_Valg[[#This Row],[Tabel ID]]-1)/$B$5,0)+1</f>
        <v>204</v>
      </c>
      <c r="C825" s="171">
        <f t="shared" si="12"/>
        <v>3</v>
      </c>
      <c r="D825" s="171" t="b">
        <f>LineærRegression_Valg[[#This Row],[Afhængig variabel ID]]&lt;&gt;LineærRegression_Valg[[#This Row],[Uafhængig variabel ID]]</f>
        <v>1</v>
      </c>
      <c r="E825" t="b">
        <f>LineærRegression_Valg[[#This Row],[Afhængig variabel ID]]&lt;=$B$5</f>
        <v>0</v>
      </c>
      <c r="F825" t="str" cm="1">
        <f t="array" ref="F825">IF(LineærRegression_Valg[[#This Row],[Indenfor range]],INDEX(DataTitel_liste,LineærRegression_Valg[[#This Row],[Afhængig variabel ID]]),INDEX(DataTitel_liste,1))</f>
        <v>Eksempel 1 (interval)</v>
      </c>
      <c r="G825" s="171" t="str" cm="1">
        <f t="array" ref="G825">IF(LineærRegression_Valg[[#This Row],[Indenfor range]],IF(LineærRegression_Valg[[#This Row],[Intet overlap]],INDEX(DataTitel_liste,LineærRegression_Valg[[#This Row],[Uafhængig variabel ID]]),INDEX(DataTitel_liste,IF(LineærRegression_Valg[[#This Row],[Afhængig variabel ID]]=1,2,1))),$B$7)</f>
        <v>Eksempel 2 (interval)</v>
      </c>
      <c r="H825" s="171">
        <f>_xlfn.AGGREGATE(2,5,LineærRegression_Valg[[#This Row],[Tabel ID]])</f>
        <v>1</v>
      </c>
    </row>
    <row r="826" spans="1:8" x14ac:dyDescent="0.2">
      <c r="A826">
        <f>ROW(LineærRegression_Valg[[#This Row],[Tabel ID]])-ROW(LineærRegression_Valg[[#Headers],[Tabel ID]])</f>
        <v>816</v>
      </c>
      <c r="B826" s="171">
        <f>ROUNDDOWN((LineærRegression_Valg[[#This Row],[Tabel ID]]-1)/$B$5,0)+1</f>
        <v>204</v>
      </c>
      <c r="C826" s="171">
        <f t="shared" si="12"/>
        <v>4</v>
      </c>
      <c r="D826" s="171" t="b">
        <f>LineærRegression_Valg[[#This Row],[Afhængig variabel ID]]&lt;&gt;LineærRegression_Valg[[#This Row],[Uafhængig variabel ID]]</f>
        <v>1</v>
      </c>
      <c r="E826" t="b">
        <f>LineærRegression_Valg[[#This Row],[Afhængig variabel ID]]&lt;=$B$5</f>
        <v>0</v>
      </c>
      <c r="F826" t="str" cm="1">
        <f t="array" ref="F826">IF(LineærRegression_Valg[[#This Row],[Indenfor range]],INDEX(DataTitel_liste,LineærRegression_Valg[[#This Row],[Afhængig variabel ID]]),INDEX(DataTitel_liste,1))</f>
        <v>Eksempel 1 (interval)</v>
      </c>
      <c r="G826" s="171" t="str" cm="1">
        <f t="array" ref="G826">IF(LineærRegression_Valg[[#This Row],[Indenfor range]],IF(LineærRegression_Valg[[#This Row],[Intet overlap]],INDEX(DataTitel_liste,LineærRegression_Valg[[#This Row],[Uafhængig variabel ID]]),INDEX(DataTitel_liste,IF(LineærRegression_Valg[[#This Row],[Afhængig variabel ID]]=1,2,1))),$B$7)</f>
        <v>Eksempel 2 (interval)</v>
      </c>
      <c r="H826" s="171">
        <f>_xlfn.AGGREGATE(2,5,LineærRegression_Valg[[#This Row],[Tabel ID]])</f>
        <v>1</v>
      </c>
    </row>
    <row r="827" spans="1:8" x14ac:dyDescent="0.2">
      <c r="A827">
        <f>ROW(LineærRegression_Valg[[#This Row],[Tabel ID]])-ROW(LineærRegression_Valg[[#Headers],[Tabel ID]])</f>
        <v>817</v>
      </c>
      <c r="B827" s="171">
        <f>ROUNDDOWN((LineærRegression_Valg[[#This Row],[Tabel ID]]-1)/$B$5,0)+1</f>
        <v>205</v>
      </c>
      <c r="C827" s="171">
        <f t="shared" si="12"/>
        <v>1</v>
      </c>
      <c r="D827" s="171" t="b">
        <f>LineærRegression_Valg[[#This Row],[Afhængig variabel ID]]&lt;&gt;LineærRegression_Valg[[#This Row],[Uafhængig variabel ID]]</f>
        <v>1</v>
      </c>
      <c r="E827" t="b">
        <f>LineærRegression_Valg[[#This Row],[Afhængig variabel ID]]&lt;=$B$5</f>
        <v>0</v>
      </c>
      <c r="F827" t="str" cm="1">
        <f t="array" ref="F827">IF(LineærRegression_Valg[[#This Row],[Indenfor range]],INDEX(DataTitel_liste,LineærRegression_Valg[[#This Row],[Afhængig variabel ID]]),INDEX(DataTitel_liste,1))</f>
        <v>Eksempel 1 (interval)</v>
      </c>
      <c r="G827" s="171" t="str" cm="1">
        <f t="array" ref="G827">IF(LineærRegression_Valg[[#This Row],[Indenfor range]],IF(LineærRegression_Valg[[#This Row],[Intet overlap]],INDEX(DataTitel_liste,LineærRegression_Valg[[#This Row],[Uafhængig variabel ID]]),INDEX(DataTitel_liste,IF(LineærRegression_Valg[[#This Row],[Afhængig variabel ID]]=1,2,1))),$B$7)</f>
        <v>Eksempel 2 (interval)</v>
      </c>
      <c r="H827" s="171">
        <f>_xlfn.AGGREGATE(2,5,LineærRegression_Valg[[#This Row],[Tabel ID]])</f>
        <v>1</v>
      </c>
    </row>
    <row r="828" spans="1:8" x14ac:dyDescent="0.2">
      <c r="A828">
        <f>ROW(LineærRegression_Valg[[#This Row],[Tabel ID]])-ROW(LineærRegression_Valg[[#Headers],[Tabel ID]])</f>
        <v>818</v>
      </c>
      <c r="B828" s="171">
        <f>ROUNDDOWN((LineærRegression_Valg[[#This Row],[Tabel ID]]-1)/$B$5,0)+1</f>
        <v>205</v>
      </c>
      <c r="C828" s="171">
        <f t="shared" si="12"/>
        <v>2</v>
      </c>
      <c r="D828" s="171" t="b">
        <f>LineærRegression_Valg[[#This Row],[Afhængig variabel ID]]&lt;&gt;LineærRegression_Valg[[#This Row],[Uafhængig variabel ID]]</f>
        <v>1</v>
      </c>
      <c r="E828" t="b">
        <f>LineærRegression_Valg[[#This Row],[Afhængig variabel ID]]&lt;=$B$5</f>
        <v>0</v>
      </c>
      <c r="F828" t="str" cm="1">
        <f t="array" ref="F828">IF(LineærRegression_Valg[[#This Row],[Indenfor range]],INDEX(DataTitel_liste,LineærRegression_Valg[[#This Row],[Afhængig variabel ID]]),INDEX(DataTitel_liste,1))</f>
        <v>Eksempel 1 (interval)</v>
      </c>
      <c r="G828" s="171" t="str" cm="1">
        <f t="array" ref="G828">IF(LineærRegression_Valg[[#This Row],[Indenfor range]],IF(LineærRegression_Valg[[#This Row],[Intet overlap]],INDEX(DataTitel_liste,LineærRegression_Valg[[#This Row],[Uafhængig variabel ID]]),INDEX(DataTitel_liste,IF(LineærRegression_Valg[[#This Row],[Afhængig variabel ID]]=1,2,1))),$B$7)</f>
        <v>Eksempel 2 (interval)</v>
      </c>
      <c r="H828" s="171">
        <f>_xlfn.AGGREGATE(2,5,LineærRegression_Valg[[#This Row],[Tabel ID]])</f>
        <v>1</v>
      </c>
    </row>
    <row r="829" spans="1:8" x14ac:dyDescent="0.2">
      <c r="A829">
        <f>ROW(LineærRegression_Valg[[#This Row],[Tabel ID]])-ROW(LineærRegression_Valg[[#Headers],[Tabel ID]])</f>
        <v>819</v>
      </c>
      <c r="B829" s="171">
        <f>ROUNDDOWN((LineærRegression_Valg[[#This Row],[Tabel ID]]-1)/$B$5,0)+1</f>
        <v>205</v>
      </c>
      <c r="C829" s="171">
        <f t="shared" si="12"/>
        <v>3</v>
      </c>
      <c r="D829" s="171" t="b">
        <f>LineærRegression_Valg[[#This Row],[Afhængig variabel ID]]&lt;&gt;LineærRegression_Valg[[#This Row],[Uafhængig variabel ID]]</f>
        <v>1</v>
      </c>
      <c r="E829" t="b">
        <f>LineærRegression_Valg[[#This Row],[Afhængig variabel ID]]&lt;=$B$5</f>
        <v>0</v>
      </c>
      <c r="F829" t="str" cm="1">
        <f t="array" ref="F829">IF(LineærRegression_Valg[[#This Row],[Indenfor range]],INDEX(DataTitel_liste,LineærRegression_Valg[[#This Row],[Afhængig variabel ID]]),INDEX(DataTitel_liste,1))</f>
        <v>Eksempel 1 (interval)</v>
      </c>
      <c r="G829" s="171" t="str" cm="1">
        <f t="array" ref="G829">IF(LineærRegression_Valg[[#This Row],[Indenfor range]],IF(LineærRegression_Valg[[#This Row],[Intet overlap]],INDEX(DataTitel_liste,LineærRegression_Valg[[#This Row],[Uafhængig variabel ID]]),INDEX(DataTitel_liste,IF(LineærRegression_Valg[[#This Row],[Afhængig variabel ID]]=1,2,1))),$B$7)</f>
        <v>Eksempel 2 (interval)</v>
      </c>
      <c r="H829" s="171">
        <f>_xlfn.AGGREGATE(2,5,LineærRegression_Valg[[#This Row],[Tabel ID]])</f>
        <v>1</v>
      </c>
    </row>
    <row r="830" spans="1:8" x14ac:dyDescent="0.2">
      <c r="A830">
        <f>ROW(LineærRegression_Valg[[#This Row],[Tabel ID]])-ROW(LineærRegression_Valg[[#Headers],[Tabel ID]])</f>
        <v>820</v>
      </c>
      <c r="B830" s="171">
        <f>ROUNDDOWN((LineærRegression_Valg[[#This Row],[Tabel ID]]-1)/$B$5,0)+1</f>
        <v>205</v>
      </c>
      <c r="C830" s="171">
        <f t="shared" si="12"/>
        <v>4</v>
      </c>
      <c r="D830" s="171" t="b">
        <f>LineærRegression_Valg[[#This Row],[Afhængig variabel ID]]&lt;&gt;LineærRegression_Valg[[#This Row],[Uafhængig variabel ID]]</f>
        <v>1</v>
      </c>
      <c r="E830" t="b">
        <f>LineærRegression_Valg[[#This Row],[Afhængig variabel ID]]&lt;=$B$5</f>
        <v>0</v>
      </c>
      <c r="F830" t="str" cm="1">
        <f t="array" ref="F830">IF(LineærRegression_Valg[[#This Row],[Indenfor range]],INDEX(DataTitel_liste,LineærRegression_Valg[[#This Row],[Afhængig variabel ID]]),INDEX(DataTitel_liste,1))</f>
        <v>Eksempel 1 (interval)</v>
      </c>
      <c r="G830" s="171" t="str" cm="1">
        <f t="array" ref="G830">IF(LineærRegression_Valg[[#This Row],[Indenfor range]],IF(LineærRegression_Valg[[#This Row],[Intet overlap]],INDEX(DataTitel_liste,LineærRegression_Valg[[#This Row],[Uafhængig variabel ID]]),INDEX(DataTitel_liste,IF(LineærRegression_Valg[[#This Row],[Afhængig variabel ID]]=1,2,1))),$B$7)</f>
        <v>Eksempel 2 (interval)</v>
      </c>
      <c r="H830" s="171">
        <f>_xlfn.AGGREGATE(2,5,LineærRegression_Valg[[#This Row],[Tabel ID]])</f>
        <v>1</v>
      </c>
    </row>
    <row r="831" spans="1:8" x14ac:dyDescent="0.2">
      <c r="A831">
        <f>ROW(LineærRegression_Valg[[#This Row],[Tabel ID]])-ROW(LineærRegression_Valg[[#Headers],[Tabel ID]])</f>
        <v>821</v>
      </c>
      <c r="B831" s="171">
        <f>ROUNDDOWN((LineærRegression_Valg[[#This Row],[Tabel ID]]-1)/$B$5,0)+1</f>
        <v>206</v>
      </c>
      <c r="C831" s="171">
        <f t="shared" si="12"/>
        <v>1</v>
      </c>
      <c r="D831" s="171" t="b">
        <f>LineærRegression_Valg[[#This Row],[Afhængig variabel ID]]&lt;&gt;LineærRegression_Valg[[#This Row],[Uafhængig variabel ID]]</f>
        <v>1</v>
      </c>
      <c r="E831" t="b">
        <f>LineærRegression_Valg[[#This Row],[Afhængig variabel ID]]&lt;=$B$5</f>
        <v>0</v>
      </c>
      <c r="F831" t="str" cm="1">
        <f t="array" ref="F831">IF(LineærRegression_Valg[[#This Row],[Indenfor range]],INDEX(DataTitel_liste,LineærRegression_Valg[[#This Row],[Afhængig variabel ID]]),INDEX(DataTitel_liste,1))</f>
        <v>Eksempel 1 (interval)</v>
      </c>
      <c r="G831" s="171" t="str" cm="1">
        <f t="array" ref="G831">IF(LineærRegression_Valg[[#This Row],[Indenfor range]],IF(LineærRegression_Valg[[#This Row],[Intet overlap]],INDEX(DataTitel_liste,LineærRegression_Valg[[#This Row],[Uafhængig variabel ID]]),INDEX(DataTitel_liste,IF(LineærRegression_Valg[[#This Row],[Afhængig variabel ID]]=1,2,1))),$B$7)</f>
        <v>Eksempel 2 (interval)</v>
      </c>
      <c r="H831" s="171">
        <f>_xlfn.AGGREGATE(2,5,LineærRegression_Valg[[#This Row],[Tabel ID]])</f>
        <v>1</v>
      </c>
    </row>
    <row r="832" spans="1:8" x14ac:dyDescent="0.2">
      <c r="A832">
        <f>ROW(LineærRegression_Valg[[#This Row],[Tabel ID]])-ROW(LineærRegression_Valg[[#Headers],[Tabel ID]])</f>
        <v>822</v>
      </c>
      <c r="B832" s="171">
        <f>ROUNDDOWN((LineærRegression_Valg[[#This Row],[Tabel ID]]-1)/$B$5,0)+1</f>
        <v>206</v>
      </c>
      <c r="C832" s="171">
        <f t="shared" si="12"/>
        <v>2</v>
      </c>
      <c r="D832" s="171" t="b">
        <f>LineærRegression_Valg[[#This Row],[Afhængig variabel ID]]&lt;&gt;LineærRegression_Valg[[#This Row],[Uafhængig variabel ID]]</f>
        <v>1</v>
      </c>
      <c r="E832" t="b">
        <f>LineærRegression_Valg[[#This Row],[Afhængig variabel ID]]&lt;=$B$5</f>
        <v>0</v>
      </c>
      <c r="F832" t="str" cm="1">
        <f t="array" ref="F832">IF(LineærRegression_Valg[[#This Row],[Indenfor range]],INDEX(DataTitel_liste,LineærRegression_Valg[[#This Row],[Afhængig variabel ID]]),INDEX(DataTitel_liste,1))</f>
        <v>Eksempel 1 (interval)</v>
      </c>
      <c r="G832" s="171" t="str" cm="1">
        <f t="array" ref="G832">IF(LineærRegression_Valg[[#This Row],[Indenfor range]],IF(LineærRegression_Valg[[#This Row],[Intet overlap]],INDEX(DataTitel_liste,LineærRegression_Valg[[#This Row],[Uafhængig variabel ID]]),INDEX(DataTitel_liste,IF(LineærRegression_Valg[[#This Row],[Afhængig variabel ID]]=1,2,1))),$B$7)</f>
        <v>Eksempel 2 (interval)</v>
      </c>
      <c r="H832" s="171">
        <f>_xlfn.AGGREGATE(2,5,LineærRegression_Valg[[#This Row],[Tabel ID]])</f>
        <v>1</v>
      </c>
    </row>
    <row r="833" spans="1:8" x14ac:dyDescent="0.2">
      <c r="A833">
        <f>ROW(LineærRegression_Valg[[#This Row],[Tabel ID]])-ROW(LineærRegression_Valg[[#Headers],[Tabel ID]])</f>
        <v>823</v>
      </c>
      <c r="B833" s="171">
        <f>ROUNDDOWN((LineærRegression_Valg[[#This Row],[Tabel ID]]-1)/$B$5,0)+1</f>
        <v>206</v>
      </c>
      <c r="C833" s="171">
        <f t="shared" si="12"/>
        <v>3</v>
      </c>
      <c r="D833" s="171" t="b">
        <f>LineærRegression_Valg[[#This Row],[Afhængig variabel ID]]&lt;&gt;LineærRegression_Valg[[#This Row],[Uafhængig variabel ID]]</f>
        <v>1</v>
      </c>
      <c r="E833" t="b">
        <f>LineærRegression_Valg[[#This Row],[Afhængig variabel ID]]&lt;=$B$5</f>
        <v>0</v>
      </c>
      <c r="F833" t="str" cm="1">
        <f t="array" ref="F833">IF(LineærRegression_Valg[[#This Row],[Indenfor range]],INDEX(DataTitel_liste,LineærRegression_Valg[[#This Row],[Afhængig variabel ID]]),INDEX(DataTitel_liste,1))</f>
        <v>Eksempel 1 (interval)</v>
      </c>
      <c r="G833" s="171" t="str" cm="1">
        <f t="array" ref="G833">IF(LineærRegression_Valg[[#This Row],[Indenfor range]],IF(LineærRegression_Valg[[#This Row],[Intet overlap]],INDEX(DataTitel_liste,LineærRegression_Valg[[#This Row],[Uafhængig variabel ID]]),INDEX(DataTitel_liste,IF(LineærRegression_Valg[[#This Row],[Afhængig variabel ID]]=1,2,1))),$B$7)</f>
        <v>Eksempel 2 (interval)</v>
      </c>
      <c r="H833" s="171">
        <f>_xlfn.AGGREGATE(2,5,LineærRegression_Valg[[#This Row],[Tabel ID]])</f>
        <v>1</v>
      </c>
    </row>
    <row r="834" spans="1:8" x14ac:dyDescent="0.2">
      <c r="A834">
        <f>ROW(LineærRegression_Valg[[#This Row],[Tabel ID]])-ROW(LineærRegression_Valg[[#Headers],[Tabel ID]])</f>
        <v>824</v>
      </c>
      <c r="B834" s="171">
        <f>ROUNDDOWN((LineærRegression_Valg[[#This Row],[Tabel ID]]-1)/$B$5,0)+1</f>
        <v>206</v>
      </c>
      <c r="C834" s="171">
        <f t="shared" si="12"/>
        <v>4</v>
      </c>
      <c r="D834" s="171" t="b">
        <f>LineærRegression_Valg[[#This Row],[Afhængig variabel ID]]&lt;&gt;LineærRegression_Valg[[#This Row],[Uafhængig variabel ID]]</f>
        <v>1</v>
      </c>
      <c r="E834" t="b">
        <f>LineærRegression_Valg[[#This Row],[Afhængig variabel ID]]&lt;=$B$5</f>
        <v>0</v>
      </c>
      <c r="F834" t="str" cm="1">
        <f t="array" ref="F834">IF(LineærRegression_Valg[[#This Row],[Indenfor range]],INDEX(DataTitel_liste,LineærRegression_Valg[[#This Row],[Afhængig variabel ID]]),INDEX(DataTitel_liste,1))</f>
        <v>Eksempel 1 (interval)</v>
      </c>
      <c r="G834" s="171" t="str" cm="1">
        <f t="array" ref="G834">IF(LineærRegression_Valg[[#This Row],[Indenfor range]],IF(LineærRegression_Valg[[#This Row],[Intet overlap]],INDEX(DataTitel_liste,LineærRegression_Valg[[#This Row],[Uafhængig variabel ID]]),INDEX(DataTitel_liste,IF(LineærRegression_Valg[[#This Row],[Afhængig variabel ID]]=1,2,1))),$B$7)</f>
        <v>Eksempel 2 (interval)</v>
      </c>
      <c r="H834" s="171">
        <f>_xlfn.AGGREGATE(2,5,LineærRegression_Valg[[#This Row],[Tabel ID]])</f>
        <v>1</v>
      </c>
    </row>
    <row r="835" spans="1:8" x14ac:dyDescent="0.2">
      <c r="A835">
        <f>ROW(LineærRegression_Valg[[#This Row],[Tabel ID]])-ROW(LineærRegression_Valg[[#Headers],[Tabel ID]])</f>
        <v>825</v>
      </c>
      <c r="B835" s="171">
        <f>ROUNDDOWN((LineærRegression_Valg[[#This Row],[Tabel ID]]-1)/$B$5,0)+1</f>
        <v>207</v>
      </c>
      <c r="C835" s="171">
        <f t="shared" si="12"/>
        <v>1</v>
      </c>
      <c r="D835" s="171" t="b">
        <f>LineærRegression_Valg[[#This Row],[Afhængig variabel ID]]&lt;&gt;LineærRegression_Valg[[#This Row],[Uafhængig variabel ID]]</f>
        <v>1</v>
      </c>
      <c r="E835" t="b">
        <f>LineærRegression_Valg[[#This Row],[Afhængig variabel ID]]&lt;=$B$5</f>
        <v>0</v>
      </c>
      <c r="F835" t="str" cm="1">
        <f t="array" ref="F835">IF(LineærRegression_Valg[[#This Row],[Indenfor range]],INDEX(DataTitel_liste,LineærRegression_Valg[[#This Row],[Afhængig variabel ID]]),INDEX(DataTitel_liste,1))</f>
        <v>Eksempel 1 (interval)</v>
      </c>
      <c r="G835" s="171" t="str" cm="1">
        <f t="array" ref="G835">IF(LineærRegression_Valg[[#This Row],[Indenfor range]],IF(LineærRegression_Valg[[#This Row],[Intet overlap]],INDEX(DataTitel_liste,LineærRegression_Valg[[#This Row],[Uafhængig variabel ID]]),INDEX(DataTitel_liste,IF(LineærRegression_Valg[[#This Row],[Afhængig variabel ID]]=1,2,1))),$B$7)</f>
        <v>Eksempel 2 (interval)</v>
      </c>
      <c r="H835" s="171">
        <f>_xlfn.AGGREGATE(2,5,LineærRegression_Valg[[#This Row],[Tabel ID]])</f>
        <v>1</v>
      </c>
    </row>
    <row r="836" spans="1:8" x14ac:dyDescent="0.2">
      <c r="A836">
        <f>ROW(LineærRegression_Valg[[#This Row],[Tabel ID]])-ROW(LineærRegression_Valg[[#Headers],[Tabel ID]])</f>
        <v>826</v>
      </c>
      <c r="B836" s="171">
        <f>ROUNDDOWN((LineærRegression_Valg[[#This Row],[Tabel ID]]-1)/$B$5,0)+1</f>
        <v>207</v>
      </c>
      <c r="C836" s="171">
        <f t="shared" si="12"/>
        <v>2</v>
      </c>
      <c r="D836" s="171" t="b">
        <f>LineærRegression_Valg[[#This Row],[Afhængig variabel ID]]&lt;&gt;LineærRegression_Valg[[#This Row],[Uafhængig variabel ID]]</f>
        <v>1</v>
      </c>
      <c r="E836" t="b">
        <f>LineærRegression_Valg[[#This Row],[Afhængig variabel ID]]&lt;=$B$5</f>
        <v>0</v>
      </c>
      <c r="F836" t="str" cm="1">
        <f t="array" ref="F836">IF(LineærRegression_Valg[[#This Row],[Indenfor range]],INDEX(DataTitel_liste,LineærRegression_Valg[[#This Row],[Afhængig variabel ID]]),INDEX(DataTitel_liste,1))</f>
        <v>Eksempel 1 (interval)</v>
      </c>
      <c r="G836" s="171" t="str" cm="1">
        <f t="array" ref="G836">IF(LineærRegression_Valg[[#This Row],[Indenfor range]],IF(LineærRegression_Valg[[#This Row],[Intet overlap]],INDEX(DataTitel_liste,LineærRegression_Valg[[#This Row],[Uafhængig variabel ID]]),INDEX(DataTitel_liste,IF(LineærRegression_Valg[[#This Row],[Afhængig variabel ID]]=1,2,1))),$B$7)</f>
        <v>Eksempel 2 (interval)</v>
      </c>
      <c r="H836" s="171">
        <f>_xlfn.AGGREGATE(2,5,LineærRegression_Valg[[#This Row],[Tabel ID]])</f>
        <v>1</v>
      </c>
    </row>
    <row r="837" spans="1:8" x14ac:dyDescent="0.2">
      <c r="A837">
        <f>ROW(LineærRegression_Valg[[#This Row],[Tabel ID]])-ROW(LineærRegression_Valg[[#Headers],[Tabel ID]])</f>
        <v>827</v>
      </c>
      <c r="B837" s="171">
        <f>ROUNDDOWN((LineærRegression_Valg[[#This Row],[Tabel ID]]-1)/$B$5,0)+1</f>
        <v>207</v>
      </c>
      <c r="C837" s="171">
        <f t="shared" si="12"/>
        <v>3</v>
      </c>
      <c r="D837" s="171" t="b">
        <f>LineærRegression_Valg[[#This Row],[Afhængig variabel ID]]&lt;&gt;LineærRegression_Valg[[#This Row],[Uafhængig variabel ID]]</f>
        <v>1</v>
      </c>
      <c r="E837" t="b">
        <f>LineærRegression_Valg[[#This Row],[Afhængig variabel ID]]&lt;=$B$5</f>
        <v>0</v>
      </c>
      <c r="F837" t="str" cm="1">
        <f t="array" ref="F837">IF(LineærRegression_Valg[[#This Row],[Indenfor range]],INDEX(DataTitel_liste,LineærRegression_Valg[[#This Row],[Afhængig variabel ID]]),INDEX(DataTitel_liste,1))</f>
        <v>Eksempel 1 (interval)</v>
      </c>
      <c r="G837" s="171" t="str" cm="1">
        <f t="array" ref="G837">IF(LineærRegression_Valg[[#This Row],[Indenfor range]],IF(LineærRegression_Valg[[#This Row],[Intet overlap]],INDEX(DataTitel_liste,LineærRegression_Valg[[#This Row],[Uafhængig variabel ID]]),INDEX(DataTitel_liste,IF(LineærRegression_Valg[[#This Row],[Afhængig variabel ID]]=1,2,1))),$B$7)</f>
        <v>Eksempel 2 (interval)</v>
      </c>
      <c r="H837" s="171">
        <f>_xlfn.AGGREGATE(2,5,LineærRegression_Valg[[#This Row],[Tabel ID]])</f>
        <v>1</v>
      </c>
    </row>
    <row r="838" spans="1:8" x14ac:dyDescent="0.2">
      <c r="A838">
        <f>ROW(LineærRegression_Valg[[#This Row],[Tabel ID]])-ROW(LineærRegression_Valg[[#Headers],[Tabel ID]])</f>
        <v>828</v>
      </c>
      <c r="B838" s="171">
        <f>ROUNDDOWN((LineærRegression_Valg[[#This Row],[Tabel ID]]-1)/$B$5,0)+1</f>
        <v>207</v>
      </c>
      <c r="C838" s="171">
        <f t="shared" si="12"/>
        <v>4</v>
      </c>
      <c r="D838" s="171" t="b">
        <f>LineærRegression_Valg[[#This Row],[Afhængig variabel ID]]&lt;&gt;LineærRegression_Valg[[#This Row],[Uafhængig variabel ID]]</f>
        <v>1</v>
      </c>
      <c r="E838" t="b">
        <f>LineærRegression_Valg[[#This Row],[Afhængig variabel ID]]&lt;=$B$5</f>
        <v>0</v>
      </c>
      <c r="F838" t="str" cm="1">
        <f t="array" ref="F838">IF(LineærRegression_Valg[[#This Row],[Indenfor range]],INDEX(DataTitel_liste,LineærRegression_Valg[[#This Row],[Afhængig variabel ID]]),INDEX(DataTitel_liste,1))</f>
        <v>Eksempel 1 (interval)</v>
      </c>
      <c r="G838" s="171" t="str" cm="1">
        <f t="array" ref="G838">IF(LineærRegression_Valg[[#This Row],[Indenfor range]],IF(LineærRegression_Valg[[#This Row],[Intet overlap]],INDEX(DataTitel_liste,LineærRegression_Valg[[#This Row],[Uafhængig variabel ID]]),INDEX(DataTitel_liste,IF(LineærRegression_Valg[[#This Row],[Afhængig variabel ID]]=1,2,1))),$B$7)</f>
        <v>Eksempel 2 (interval)</v>
      </c>
      <c r="H838" s="171">
        <f>_xlfn.AGGREGATE(2,5,LineærRegression_Valg[[#This Row],[Tabel ID]])</f>
        <v>1</v>
      </c>
    </row>
    <row r="839" spans="1:8" x14ac:dyDescent="0.2">
      <c r="A839">
        <f>ROW(LineærRegression_Valg[[#This Row],[Tabel ID]])-ROW(LineærRegression_Valg[[#Headers],[Tabel ID]])</f>
        <v>829</v>
      </c>
      <c r="B839" s="171">
        <f>ROUNDDOWN((LineærRegression_Valg[[#This Row],[Tabel ID]]-1)/$B$5,0)+1</f>
        <v>208</v>
      </c>
      <c r="C839" s="171">
        <f t="shared" si="12"/>
        <v>1</v>
      </c>
      <c r="D839" s="171" t="b">
        <f>LineærRegression_Valg[[#This Row],[Afhængig variabel ID]]&lt;&gt;LineærRegression_Valg[[#This Row],[Uafhængig variabel ID]]</f>
        <v>1</v>
      </c>
      <c r="E839" t="b">
        <f>LineærRegression_Valg[[#This Row],[Afhængig variabel ID]]&lt;=$B$5</f>
        <v>0</v>
      </c>
      <c r="F839" t="str" cm="1">
        <f t="array" ref="F839">IF(LineærRegression_Valg[[#This Row],[Indenfor range]],INDEX(DataTitel_liste,LineærRegression_Valg[[#This Row],[Afhængig variabel ID]]),INDEX(DataTitel_liste,1))</f>
        <v>Eksempel 1 (interval)</v>
      </c>
      <c r="G839" s="171" t="str" cm="1">
        <f t="array" ref="G839">IF(LineærRegression_Valg[[#This Row],[Indenfor range]],IF(LineærRegression_Valg[[#This Row],[Intet overlap]],INDEX(DataTitel_liste,LineærRegression_Valg[[#This Row],[Uafhængig variabel ID]]),INDEX(DataTitel_liste,IF(LineærRegression_Valg[[#This Row],[Afhængig variabel ID]]=1,2,1))),$B$7)</f>
        <v>Eksempel 2 (interval)</v>
      </c>
      <c r="H839" s="171">
        <f>_xlfn.AGGREGATE(2,5,LineærRegression_Valg[[#This Row],[Tabel ID]])</f>
        <v>1</v>
      </c>
    </row>
    <row r="840" spans="1:8" x14ac:dyDescent="0.2">
      <c r="A840">
        <f>ROW(LineærRegression_Valg[[#This Row],[Tabel ID]])-ROW(LineærRegression_Valg[[#Headers],[Tabel ID]])</f>
        <v>830</v>
      </c>
      <c r="B840" s="171">
        <f>ROUNDDOWN((LineærRegression_Valg[[#This Row],[Tabel ID]]-1)/$B$5,0)+1</f>
        <v>208</v>
      </c>
      <c r="C840" s="171">
        <f t="shared" si="12"/>
        <v>2</v>
      </c>
      <c r="D840" s="171" t="b">
        <f>LineærRegression_Valg[[#This Row],[Afhængig variabel ID]]&lt;&gt;LineærRegression_Valg[[#This Row],[Uafhængig variabel ID]]</f>
        <v>1</v>
      </c>
      <c r="E840" t="b">
        <f>LineærRegression_Valg[[#This Row],[Afhængig variabel ID]]&lt;=$B$5</f>
        <v>0</v>
      </c>
      <c r="F840" t="str" cm="1">
        <f t="array" ref="F840">IF(LineærRegression_Valg[[#This Row],[Indenfor range]],INDEX(DataTitel_liste,LineærRegression_Valg[[#This Row],[Afhængig variabel ID]]),INDEX(DataTitel_liste,1))</f>
        <v>Eksempel 1 (interval)</v>
      </c>
      <c r="G840" s="171" t="str" cm="1">
        <f t="array" ref="G840">IF(LineærRegression_Valg[[#This Row],[Indenfor range]],IF(LineærRegression_Valg[[#This Row],[Intet overlap]],INDEX(DataTitel_liste,LineærRegression_Valg[[#This Row],[Uafhængig variabel ID]]),INDEX(DataTitel_liste,IF(LineærRegression_Valg[[#This Row],[Afhængig variabel ID]]=1,2,1))),$B$7)</f>
        <v>Eksempel 2 (interval)</v>
      </c>
      <c r="H840" s="171">
        <f>_xlfn.AGGREGATE(2,5,LineærRegression_Valg[[#This Row],[Tabel ID]])</f>
        <v>1</v>
      </c>
    </row>
    <row r="841" spans="1:8" x14ac:dyDescent="0.2">
      <c r="A841">
        <f>ROW(LineærRegression_Valg[[#This Row],[Tabel ID]])-ROW(LineærRegression_Valg[[#Headers],[Tabel ID]])</f>
        <v>831</v>
      </c>
      <c r="B841" s="171">
        <f>ROUNDDOWN((LineærRegression_Valg[[#This Row],[Tabel ID]]-1)/$B$5,0)+1</f>
        <v>208</v>
      </c>
      <c r="C841" s="171">
        <f t="shared" si="12"/>
        <v>3</v>
      </c>
      <c r="D841" s="171" t="b">
        <f>LineærRegression_Valg[[#This Row],[Afhængig variabel ID]]&lt;&gt;LineærRegression_Valg[[#This Row],[Uafhængig variabel ID]]</f>
        <v>1</v>
      </c>
      <c r="E841" t="b">
        <f>LineærRegression_Valg[[#This Row],[Afhængig variabel ID]]&lt;=$B$5</f>
        <v>0</v>
      </c>
      <c r="F841" t="str" cm="1">
        <f t="array" ref="F841">IF(LineærRegression_Valg[[#This Row],[Indenfor range]],INDEX(DataTitel_liste,LineærRegression_Valg[[#This Row],[Afhængig variabel ID]]),INDEX(DataTitel_liste,1))</f>
        <v>Eksempel 1 (interval)</v>
      </c>
      <c r="G841" s="171" t="str" cm="1">
        <f t="array" ref="G841">IF(LineærRegression_Valg[[#This Row],[Indenfor range]],IF(LineærRegression_Valg[[#This Row],[Intet overlap]],INDEX(DataTitel_liste,LineærRegression_Valg[[#This Row],[Uafhængig variabel ID]]),INDEX(DataTitel_liste,IF(LineærRegression_Valg[[#This Row],[Afhængig variabel ID]]=1,2,1))),$B$7)</f>
        <v>Eksempel 2 (interval)</v>
      </c>
      <c r="H841" s="171">
        <f>_xlfn.AGGREGATE(2,5,LineærRegression_Valg[[#This Row],[Tabel ID]])</f>
        <v>1</v>
      </c>
    </row>
    <row r="842" spans="1:8" x14ac:dyDescent="0.2">
      <c r="A842">
        <f>ROW(LineærRegression_Valg[[#This Row],[Tabel ID]])-ROW(LineærRegression_Valg[[#Headers],[Tabel ID]])</f>
        <v>832</v>
      </c>
      <c r="B842" s="171">
        <f>ROUNDDOWN((LineærRegression_Valg[[#This Row],[Tabel ID]]-1)/$B$5,0)+1</f>
        <v>208</v>
      </c>
      <c r="C842" s="171">
        <f t="shared" si="12"/>
        <v>4</v>
      </c>
      <c r="D842" s="171" t="b">
        <f>LineærRegression_Valg[[#This Row],[Afhængig variabel ID]]&lt;&gt;LineærRegression_Valg[[#This Row],[Uafhængig variabel ID]]</f>
        <v>1</v>
      </c>
      <c r="E842" t="b">
        <f>LineærRegression_Valg[[#This Row],[Afhængig variabel ID]]&lt;=$B$5</f>
        <v>0</v>
      </c>
      <c r="F842" t="str" cm="1">
        <f t="array" ref="F842">IF(LineærRegression_Valg[[#This Row],[Indenfor range]],INDEX(DataTitel_liste,LineærRegression_Valg[[#This Row],[Afhængig variabel ID]]),INDEX(DataTitel_liste,1))</f>
        <v>Eksempel 1 (interval)</v>
      </c>
      <c r="G842" s="171" t="str" cm="1">
        <f t="array" ref="G842">IF(LineærRegression_Valg[[#This Row],[Indenfor range]],IF(LineærRegression_Valg[[#This Row],[Intet overlap]],INDEX(DataTitel_liste,LineærRegression_Valg[[#This Row],[Uafhængig variabel ID]]),INDEX(DataTitel_liste,IF(LineærRegression_Valg[[#This Row],[Afhængig variabel ID]]=1,2,1))),$B$7)</f>
        <v>Eksempel 2 (interval)</v>
      </c>
      <c r="H842" s="171">
        <f>_xlfn.AGGREGATE(2,5,LineærRegression_Valg[[#This Row],[Tabel ID]])</f>
        <v>1</v>
      </c>
    </row>
    <row r="843" spans="1:8" x14ac:dyDescent="0.2">
      <c r="A843">
        <f>ROW(LineærRegression_Valg[[#This Row],[Tabel ID]])-ROW(LineærRegression_Valg[[#Headers],[Tabel ID]])</f>
        <v>833</v>
      </c>
      <c r="B843" s="171">
        <f>ROUNDDOWN((LineærRegression_Valg[[#This Row],[Tabel ID]]-1)/$B$5,0)+1</f>
        <v>209</v>
      </c>
      <c r="C843" s="171">
        <f t="shared" ref="C843:C906" si="13">MOD(A843-1,$B$5)+1</f>
        <v>1</v>
      </c>
      <c r="D843" s="171" t="b">
        <f>LineærRegression_Valg[[#This Row],[Afhængig variabel ID]]&lt;&gt;LineærRegression_Valg[[#This Row],[Uafhængig variabel ID]]</f>
        <v>1</v>
      </c>
      <c r="E843" t="b">
        <f>LineærRegression_Valg[[#This Row],[Afhængig variabel ID]]&lt;=$B$5</f>
        <v>0</v>
      </c>
      <c r="F843" t="str" cm="1">
        <f t="array" ref="F843">IF(LineærRegression_Valg[[#This Row],[Indenfor range]],INDEX(DataTitel_liste,LineærRegression_Valg[[#This Row],[Afhængig variabel ID]]),INDEX(DataTitel_liste,1))</f>
        <v>Eksempel 1 (interval)</v>
      </c>
      <c r="G843" s="171" t="str" cm="1">
        <f t="array" ref="G843">IF(LineærRegression_Valg[[#This Row],[Indenfor range]],IF(LineærRegression_Valg[[#This Row],[Intet overlap]],INDEX(DataTitel_liste,LineærRegression_Valg[[#This Row],[Uafhængig variabel ID]]),INDEX(DataTitel_liste,IF(LineærRegression_Valg[[#This Row],[Afhængig variabel ID]]=1,2,1))),$B$7)</f>
        <v>Eksempel 2 (interval)</v>
      </c>
      <c r="H843" s="171">
        <f>_xlfn.AGGREGATE(2,5,LineærRegression_Valg[[#This Row],[Tabel ID]])</f>
        <v>1</v>
      </c>
    </row>
    <row r="844" spans="1:8" x14ac:dyDescent="0.2">
      <c r="A844">
        <f>ROW(LineærRegression_Valg[[#This Row],[Tabel ID]])-ROW(LineærRegression_Valg[[#Headers],[Tabel ID]])</f>
        <v>834</v>
      </c>
      <c r="B844" s="171">
        <f>ROUNDDOWN((LineærRegression_Valg[[#This Row],[Tabel ID]]-1)/$B$5,0)+1</f>
        <v>209</v>
      </c>
      <c r="C844" s="171">
        <f t="shared" si="13"/>
        <v>2</v>
      </c>
      <c r="D844" s="171" t="b">
        <f>LineærRegression_Valg[[#This Row],[Afhængig variabel ID]]&lt;&gt;LineærRegression_Valg[[#This Row],[Uafhængig variabel ID]]</f>
        <v>1</v>
      </c>
      <c r="E844" t="b">
        <f>LineærRegression_Valg[[#This Row],[Afhængig variabel ID]]&lt;=$B$5</f>
        <v>0</v>
      </c>
      <c r="F844" t="str" cm="1">
        <f t="array" ref="F844">IF(LineærRegression_Valg[[#This Row],[Indenfor range]],INDEX(DataTitel_liste,LineærRegression_Valg[[#This Row],[Afhængig variabel ID]]),INDEX(DataTitel_liste,1))</f>
        <v>Eksempel 1 (interval)</v>
      </c>
      <c r="G844" s="171" t="str" cm="1">
        <f t="array" ref="G844">IF(LineærRegression_Valg[[#This Row],[Indenfor range]],IF(LineærRegression_Valg[[#This Row],[Intet overlap]],INDEX(DataTitel_liste,LineærRegression_Valg[[#This Row],[Uafhængig variabel ID]]),INDEX(DataTitel_liste,IF(LineærRegression_Valg[[#This Row],[Afhængig variabel ID]]=1,2,1))),$B$7)</f>
        <v>Eksempel 2 (interval)</v>
      </c>
      <c r="H844" s="171">
        <f>_xlfn.AGGREGATE(2,5,LineærRegression_Valg[[#This Row],[Tabel ID]])</f>
        <v>1</v>
      </c>
    </row>
    <row r="845" spans="1:8" x14ac:dyDescent="0.2">
      <c r="A845">
        <f>ROW(LineærRegression_Valg[[#This Row],[Tabel ID]])-ROW(LineærRegression_Valg[[#Headers],[Tabel ID]])</f>
        <v>835</v>
      </c>
      <c r="B845" s="171">
        <f>ROUNDDOWN((LineærRegression_Valg[[#This Row],[Tabel ID]]-1)/$B$5,0)+1</f>
        <v>209</v>
      </c>
      <c r="C845" s="171">
        <f t="shared" si="13"/>
        <v>3</v>
      </c>
      <c r="D845" s="171" t="b">
        <f>LineærRegression_Valg[[#This Row],[Afhængig variabel ID]]&lt;&gt;LineærRegression_Valg[[#This Row],[Uafhængig variabel ID]]</f>
        <v>1</v>
      </c>
      <c r="E845" t="b">
        <f>LineærRegression_Valg[[#This Row],[Afhængig variabel ID]]&lt;=$B$5</f>
        <v>0</v>
      </c>
      <c r="F845" t="str" cm="1">
        <f t="array" ref="F845">IF(LineærRegression_Valg[[#This Row],[Indenfor range]],INDEX(DataTitel_liste,LineærRegression_Valg[[#This Row],[Afhængig variabel ID]]),INDEX(DataTitel_liste,1))</f>
        <v>Eksempel 1 (interval)</v>
      </c>
      <c r="G845" s="171" t="str" cm="1">
        <f t="array" ref="G845">IF(LineærRegression_Valg[[#This Row],[Indenfor range]],IF(LineærRegression_Valg[[#This Row],[Intet overlap]],INDEX(DataTitel_liste,LineærRegression_Valg[[#This Row],[Uafhængig variabel ID]]),INDEX(DataTitel_liste,IF(LineærRegression_Valg[[#This Row],[Afhængig variabel ID]]=1,2,1))),$B$7)</f>
        <v>Eksempel 2 (interval)</v>
      </c>
      <c r="H845" s="171">
        <f>_xlfn.AGGREGATE(2,5,LineærRegression_Valg[[#This Row],[Tabel ID]])</f>
        <v>1</v>
      </c>
    </row>
    <row r="846" spans="1:8" x14ac:dyDescent="0.2">
      <c r="A846">
        <f>ROW(LineærRegression_Valg[[#This Row],[Tabel ID]])-ROW(LineærRegression_Valg[[#Headers],[Tabel ID]])</f>
        <v>836</v>
      </c>
      <c r="B846" s="171">
        <f>ROUNDDOWN((LineærRegression_Valg[[#This Row],[Tabel ID]]-1)/$B$5,0)+1</f>
        <v>209</v>
      </c>
      <c r="C846" s="171">
        <f t="shared" si="13"/>
        <v>4</v>
      </c>
      <c r="D846" s="171" t="b">
        <f>LineærRegression_Valg[[#This Row],[Afhængig variabel ID]]&lt;&gt;LineærRegression_Valg[[#This Row],[Uafhængig variabel ID]]</f>
        <v>1</v>
      </c>
      <c r="E846" t="b">
        <f>LineærRegression_Valg[[#This Row],[Afhængig variabel ID]]&lt;=$B$5</f>
        <v>0</v>
      </c>
      <c r="F846" t="str" cm="1">
        <f t="array" ref="F846">IF(LineærRegression_Valg[[#This Row],[Indenfor range]],INDEX(DataTitel_liste,LineærRegression_Valg[[#This Row],[Afhængig variabel ID]]),INDEX(DataTitel_liste,1))</f>
        <v>Eksempel 1 (interval)</v>
      </c>
      <c r="G846" s="171" t="str" cm="1">
        <f t="array" ref="G846">IF(LineærRegression_Valg[[#This Row],[Indenfor range]],IF(LineærRegression_Valg[[#This Row],[Intet overlap]],INDEX(DataTitel_liste,LineærRegression_Valg[[#This Row],[Uafhængig variabel ID]]),INDEX(DataTitel_liste,IF(LineærRegression_Valg[[#This Row],[Afhængig variabel ID]]=1,2,1))),$B$7)</f>
        <v>Eksempel 2 (interval)</v>
      </c>
      <c r="H846" s="171">
        <f>_xlfn.AGGREGATE(2,5,LineærRegression_Valg[[#This Row],[Tabel ID]])</f>
        <v>1</v>
      </c>
    </row>
    <row r="847" spans="1:8" x14ac:dyDescent="0.2">
      <c r="A847">
        <f>ROW(LineærRegression_Valg[[#This Row],[Tabel ID]])-ROW(LineærRegression_Valg[[#Headers],[Tabel ID]])</f>
        <v>837</v>
      </c>
      <c r="B847" s="171">
        <f>ROUNDDOWN((LineærRegression_Valg[[#This Row],[Tabel ID]]-1)/$B$5,0)+1</f>
        <v>210</v>
      </c>
      <c r="C847" s="171">
        <f t="shared" si="13"/>
        <v>1</v>
      </c>
      <c r="D847" s="171" t="b">
        <f>LineærRegression_Valg[[#This Row],[Afhængig variabel ID]]&lt;&gt;LineærRegression_Valg[[#This Row],[Uafhængig variabel ID]]</f>
        <v>1</v>
      </c>
      <c r="E847" t="b">
        <f>LineærRegression_Valg[[#This Row],[Afhængig variabel ID]]&lt;=$B$5</f>
        <v>0</v>
      </c>
      <c r="F847" t="str" cm="1">
        <f t="array" ref="F847">IF(LineærRegression_Valg[[#This Row],[Indenfor range]],INDEX(DataTitel_liste,LineærRegression_Valg[[#This Row],[Afhængig variabel ID]]),INDEX(DataTitel_liste,1))</f>
        <v>Eksempel 1 (interval)</v>
      </c>
      <c r="G847" s="171" t="str" cm="1">
        <f t="array" ref="G847">IF(LineærRegression_Valg[[#This Row],[Indenfor range]],IF(LineærRegression_Valg[[#This Row],[Intet overlap]],INDEX(DataTitel_liste,LineærRegression_Valg[[#This Row],[Uafhængig variabel ID]]),INDEX(DataTitel_liste,IF(LineærRegression_Valg[[#This Row],[Afhængig variabel ID]]=1,2,1))),$B$7)</f>
        <v>Eksempel 2 (interval)</v>
      </c>
      <c r="H847" s="171">
        <f>_xlfn.AGGREGATE(2,5,LineærRegression_Valg[[#This Row],[Tabel ID]])</f>
        <v>1</v>
      </c>
    </row>
    <row r="848" spans="1:8" x14ac:dyDescent="0.2">
      <c r="A848">
        <f>ROW(LineærRegression_Valg[[#This Row],[Tabel ID]])-ROW(LineærRegression_Valg[[#Headers],[Tabel ID]])</f>
        <v>838</v>
      </c>
      <c r="B848" s="171">
        <f>ROUNDDOWN((LineærRegression_Valg[[#This Row],[Tabel ID]]-1)/$B$5,0)+1</f>
        <v>210</v>
      </c>
      <c r="C848" s="171">
        <f t="shared" si="13"/>
        <v>2</v>
      </c>
      <c r="D848" s="171" t="b">
        <f>LineærRegression_Valg[[#This Row],[Afhængig variabel ID]]&lt;&gt;LineærRegression_Valg[[#This Row],[Uafhængig variabel ID]]</f>
        <v>1</v>
      </c>
      <c r="E848" t="b">
        <f>LineærRegression_Valg[[#This Row],[Afhængig variabel ID]]&lt;=$B$5</f>
        <v>0</v>
      </c>
      <c r="F848" t="str" cm="1">
        <f t="array" ref="F848">IF(LineærRegression_Valg[[#This Row],[Indenfor range]],INDEX(DataTitel_liste,LineærRegression_Valg[[#This Row],[Afhængig variabel ID]]),INDEX(DataTitel_liste,1))</f>
        <v>Eksempel 1 (interval)</v>
      </c>
      <c r="G848" s="171" t="str" cm="1">
        <f t="array" ref="G848">IF(LineærRegression_Valg[[#This Row],[Indenfor range]],IF(LineærRegression_Valg[[#This Row],[Intet overlap]],INDEX(DataTitel_liste,LineærRegression_Valg[[#This Row],[Uafhængig variabel ID]]),INDEX(DataTitel_liste,IF(LineærRegression_Valg[[#This Row],[Afhængig variabel ID]]=1,2,1))),$B$7)</f>
        <v>Eksempel 2 (interval)</v>
      </c>
      <c r="H848" s="171">
        <f>_xlfn.AGGREGATE(2,5,LineærRegression_Valg[[#This Row],[Tabel ID]])</f>
        <v>1</v>
      </c>
    </row>
    <row r="849" spans="1:8" x14ac:dyDescent="0.2">
      <c r="A849">
        <f>ROW(LineærRegression_Valg[[#This Row],[Tabel ID]])-ROW(LineærRegression_Valg[[#Headers],[Tabel ID]])</f>
        <v>839</v>
      </c>
      <c r="B849" s="171">
        <f>ROUNDDOWN((LineærRegression_Valg[[#This Row],[Tabel ID]]-1)/$B$5,0)+1</f>
        <v>210</v>
      </c>
      <c r="C849" s="171">
        <f t="shared" si="13"/>
        <v>3</v>
      </c>
      <c r="D849" s="171" t="b">
        <f>LineærRegression_Valg[[#This Row],[Afhængig variabel ID]]&lt;&gt;LineærRegression_Valg[[#This Row],[Uafhængig variabel ID]]</f>
        <v>1</v>
      </c>
      <c r="E849" t="b">
        <f>LineærRegression_Valg[[#This Row],[Afhængig variabel ID]]&lt;=$B$5</f>
        <v>0</v>
      </c>
      <c r="F849" t="str" cm="1">
        <f t="array" ref="F849">IF(LineærRegression_Valg[[#This Row],[Indenfor range]],INDEX(DataTitel_liste,LineærRegression_Valg[[#This Row],[Afhængig variabel ID]]),INDEX(DataTitel_liste,1))</f>
        <v>Eksempel 1 (interval)</v>
      </c>
      <c r="G849" s="171" t="str" cm="1">
        <f t="array" ref="G849">IF(LineærRegression_Valg[[#This Row],[Indenfor range]],IF(LineærRegression_Valg[[#This Row],[Intet overlap]],INDEX(DataTitel_liste,LineærRegression_Valg[[#This Row],[Uafhængig variabel ID]]),INDEX(DataTitel_liste,IF(LineærRegression_Valg[[#This Row],[Afhængig variabel ID]]=1,2,1))),$B$7)</f>
        <v>Eksempel 2 (interval)</v>
      </c>
      <c r="H849" s="171">
        <f>_xlfn.AGGREGATE(2,5,LineærRegression_Valg[[#This Row],[Tabel ID]])</f>
        <v>1</v>
      </c>
    </row>
    <row r="850" spans="1:8" x14ac:dyDescent="0.2">
      <c r="A850">
        <f>ROW(LineærRegression_Valg[[#This Row],[Tabel ID]])-ROW(LineærRegression_Valg[[#Headers],[Tabel ID]])</f>
        <v>840</v>
      </c>
      <c r="B850" s="171">
        <f>ROUNDDOWN((LineærRegression_Valg[[#This Row],[Tabel ID]]-1)/$B$5,0)+1</f>
        <v>210</v>
      </c>
      <c r="C850" s="171">
        <f t="shared" si="13"/>
        <v>4</v>
      </c>
      <c r="D850" s="171" t="b">
        <f>LineærRegression_Valg[[#This Row],[Afhængig variabel ID]]&lt;&gt;LineærRegression_Valg[[#This Row],[Uafhængig variabel ID]]</f>
        <v>1</v>
      </c>
      <c r="E850" t="b">
        <f>LineærRegression_Valg[[#This Row],[Afhængig variabel ID]]&lt;=$B$5</f>
        <v>0</v>
      </c>
      <c r="F850" t="str" cm="1">
        <f t="array" ref="F850">IF(LineærRegression_Valg[[#This Row],[Indenfor range]],INDEX(DataTitel_liste,LineærRegression_Valg[[#This Row],[Afhængig variabel ID]]),INDEX(DataTitel_liste,1))</f>
        <v>Eksempel 1 (interval)</v>
      </c>
      <c r="G850" s="171" t="str" cm="1">
        <f t="array" ref="G850">IF(LineærRegression_Valg[[#This Row],[Indenfor range]],IF(LineærRegression_Valg[[#This Row],[Intet overlap]],INDEX(DataTitel_liste,LineærRegression_Valg[[#This Row],[Uafhængig variabel ID]]),INDEX(DataTitel_liste,IF(LineærRegression_Valg[[#This Row],[Afhængig variabel ID]]=1,2,1))),$B$7)</f>
        <v>Eksempel 2 (interval)</v>
      </c>
      <c r="H850" s="171">
        <f>_xlfn.AGGREGATE(2,5,LineærRegression_Valg[[#This Row],[Tabel ID]])</f>
        <v>1</v>
      </c>
    </row>
    <row r="851" spans="1:8" x14ac:dyDescent="0.2">
      <c r="A851">
        <f>ROW(LineærRegression_Valg[[#This Row],[Tabel ID]])-ROW(LineærRegression_Valg[[#Headers],[Tabel ID]])</f>
        <v>841</v>
      </c>
      <c r="B851" s="171">
        <f>ROUNDDOWN((LineærRegression_Valg[[#This Row],[Tabel ID]]-1)/$B$5,0)+1</f>
        <v>211</v>
      </c>
      <c r="C851" s="171">
        <f t="shared" si="13"/>
        <v>1</v>
      </c>
      <c r="D851" s="171" t="b">
        <f>LineærRegression_Valg[[#This Row],[Afhængig variabel ID]]&lt;&gt;LineærRegression_Valg[[#This Row],[Uafhængig variabel ID]]</f>
        <v>1</v>
      </c>
      <c r="E851" t="b">
        <f>LineærRegression_Valg[[#This Row],[Afhængig variabel ID]]&lt;=$B$5</f>
        <v>0</v>
      </c>
      <c r="F851" t="str" cm="1">
        <f t="array" ref="F851">IF(LineærRegression_Valg[[#This Row],[Indenfor range]],INDEX(DataTitel_liste,LineærRegression_Valg[[#This Row],[Afhængig variabel ID]]),INDEX(DataTitel_liste,1))</f>
        <v>Eksempel 1 (interval)</v>
      </c>
      <c r="G851" s="171" t="str" cm="1">
        <f t="array" ref="G851">IF(LineærRegression_Valg[[#This Row],[Indenfor range]],IF(LineærRegression_Valg[[#This Row],[Intet overlap]],INDEX(DataTitel_liste,LineærRegression_Valg[[#This Row],[Uafhængig variabel ID]]),INDEX(DataTitel_liste,IF(LineærRegression_Valg[[#This Row],[Afhængig variabel ID]]=1,2,1))),$B$7)</f>
        <v>Eksempel 2 (interval)</v>
      </c>
      <c r="H851" s="171">
        <f>_xlfn.AGGREGATE(2,5,LineærRegression_Valg[[#This Row],[Tabel ID]])</f>
        <v>1</v>
      </c>
    </row>
    <row r="852" spans="1:8" x14ac:dyDescent="0.2">
      <c r="A852">
        <f>ROW(LineærRegression_Valg[[#This Row],[Tabel ID]])-ROW(LineærRegression_Valg[[#Headers],[Tabel ID]])</f>
        <v>842</v>
      </c>
      <c r="B852" s="171">
        <f>ROUNDDOWN((LineærRegression_Valg[[#This Row],[Tabel ID]]-1)/$B$5,0)+1</f>
        <v>211</v>
      </c>
      <c r="C852" s="171">
        <f t="shared" si="13"/>
        <v>2</v>
      </c>
      <c r="D852" s="171" t="b">
        <f>LineærRegression_Valg[[#This Row],[Afhængig variabel ID]]&lt;&gt;LineærRegression_Valg[[#This Row],[Uafhængig variabel ID]]</f>
        <v>1</v>
      </c>
      <c r="E852" t="b">
        <f>LineærRegression_Valg[[#This Row],[Afhængig variabel ID]]&lt;=$B$5</f>
        <v>0</v>
      </c>
      <c r="F852" t="str" cm="1">
        <f t="array" ref="F852">IF(LineærRegression_Valg[[#This Row],[Indenfor range]],INDEX(DataTitel_liste,LineærRegression_Valg[[#This Row],[Afhængig variabel ID]]),INDEX(DataTitel_liste,1))</f>
        <v>Eksempel 1 (interval)</v>
      </c>
      <c r="G852" s="171" t="str" cm="1">
        <f t="array" ref="G852">IF(LineærRegression_Valg[[#This Row],[Indenfor range]],IF(LineærRegression_Valg[[#This Row],[Intet overlap]],INDEX(DataTitel_liste,LineærRegression_Valg[[#This Row],[Uafhængig variabel ID]]),INDEX(DataTitel_liste,IF(LineærRegression_Valg[[#This Row],[Afhængig variabel ID]]=1,2,1))),$B$7)</f>
        <v>Eksempel 2 (interval)</v>
      </c>
      <c r="H852" s="171">
        <f>_xlfn.AGGREGATE(2,5,LineærRegression_Valg[[#This Row],[Tabel ID]])</f>
        <v>1</v>
      </c>
    </row>
    <row r="853" spans="1:8" x14ac:dyDescent="0.2">
      <c r="A853">
        <f>ROW(LineærRegression_Valg[[#This Row],[Tabel ID]])-ROW(LineærRegression_Valg[[#Headers],[Tabel ID]])</f>
        <v>843</v>
      </c>
      <c r="B853" s="171">
        <f>ROUNDDOWN((LineærRegression_Valg[[#This Row],[Tabel ID]]-1)/$B$5,0)+1</f>
        <v>211</v>
      </c>
      <c r="C853" s="171">
        <f t="shared" si="13"/>
        <v>3</v>
      </c>
      <c r="D853" s="171" t="b">
        <f>LineærRegression_Valg[[#This Row],[Afhængig variabel ID]]&lt;&gt;LineærRegression_Valg[[#This Row],[Uafhængig variabel ID]]</f>
        <v>1</v>
      </c>
      <c r="E853" t="b">
        <f>LineærRegression_Valg[[#This Row],[Afhængig variabel ID]]&lt;=$B$5</f>
        <v>0</v>
      </c>
      <c r="F853" t="str" cm="1">
        <f t="array" ref="F853">IF(LineærRegression_Valg[[#This Row],[Indenfor range]],INDEX(DataTitel_liste,LineærRegression_Valg[[#This Row],[Afhængig variabel ID]]),INDEX(DataTitel_liste,1))</f>
        <v>Eksempel 1 (interval)</v>
      </c>
      <c r="G853" s="171" t="str" cm="1">
        <f t="array" ref="G853">IF(LineærRegression_Valg[[#This Row],[Indenfor range]],IF(LineærRegression_Valg[[#This Row],[Intet overlap]],INDEX(DataTitel_liste,LineærRegression_Valg[[#This Row],[Uafhængig variabel ID]]),INDEX(DataTitel_liste,IF(LineærRegression_Valg[[#This Row],[Afhængig variabel ID]]=1,2,1))),$B$7)</f>
        <v>Eksempel 2 (interval)</v>
      </c>
      <c r="H853" s="171">
        <f>_xlfn.AGGREGATE(2,5,LineærRegression_Valg[[#This Row],[Tabel ID]])</f>
        <v>1</v>
      </c>
    </row>
    <row r="854" spans="1:8" x14ac:dyDescent="0.2">
      <c r="A854">
        <f>ROW(LineærRegression_Valg[[#This Row],[Tabel ID]])-ROW(LineærRegression_Valg[[#Headers],[Tabel ID]])</f>
        <v>844</v>
      </c>
      <c r="B854" s="171">
        <f>ROUNDDOWN((LineærRegression_Valg[[#This Row],[Tabel ID]]-1)/$B$5,0)+1</f>
        <v>211</v>
      </c>
      <c r="C854" s="171">
        <f t="shared" si="13"/>
        <v>4</v>
      </c>
      <c r="D854" s="171" t="b">
        <f>LineærRegression_Valg[[#This Row],[Afhængig variabel ID]]&lt;&gt;LineærRegression_Valg[[#This Row],[Uafhængig variabel ID]]</f>
        <v>1</v>
      </c>
      <c r="E854" t="b">
        <f>LineærRegression_Valg[[#This Row],[Afhængig variabel ID]]&lt;=$B$5</f>
        <v>0</v>
      </c>
      <c r="F854" t="str" cm="1">
        <f t="array" ref="F854">IF(LineærRegression_Valg[[#This Row],[Indenfor range]],INDEX(DataTitel_liste,LineærRegression_Valg[[#This Row],[Afhængig variabel ID]]),INDEX(DataTitel_liste,1))</f>
        <v>Eksempel 1 (interval)</v>
      </c>
      <c r="G854" s="171" t="str" cm="1">
        <f t="array" ref="G854">IF(LineærRegression_Valg[[#This Row],[Indenfor range]],IF(LineærRegression_Valg[[#This Row],[Intet overlap]],INDEX(DataTitel_liste,LineærRegression_Valg[[#This Row],[Uafhængig variabel ID]]),INDEX(DataTitel_liste,IF(LineærRegression_Valg[[#This Row],[Afhængig variabel ID]]=1,2,1))),$B$7)</f>
        <v>Eksempel 2 (interval)</v>
      </c>
      <c r="H854" s="171">
        <f>_xlfn.AGGREGATE(2,5,LineærRegression_Valg[[#This Row],[Tabel ID]])</f>
        <v>1</v>
      </c>
    </row>
    <row r="855" spans="1:8" x14ac:dyDescent="0.2">
      <c r="A855">
        <f>ROW(LineærRegression_Valg[[#This Row],[Tabel ID]])-ROW(LineærRegression_Valg[[#Headers],[Tabel ID]])</f>
        <v>845</v>
      </c>
      <c r="B855" s="171">
        <f>ROUNDDOWN((LineærRegression_Valg[[#This Row],[Tabel ID]]-1)/$B$5,0)+1</f>
        <v>212</v>
      </c>
      <c r="C855" s="171">
        <f t="shared" si="13"/>
        <v>1</v>
      </c>
      <c r="D855" s="171" t="b">
        <f>LineærRegression_Valg[[#This Row],[Afhængig variabel ID]]&lt;&gt;LineærRegression_Valg[[#This Row],[Uafhængig variabel ID]]</f>
        <v>1</v>
      </c>
      <c r="E855" t="b">
        <f>LineærRegression_Valg[[#This Row],[Afhængig variabel ID]]&lt;=$B$5</f>
        <v>0</v>
      </c>
      <c r="F855" t="str" cm="1">
        <f t="array" ref="F855">IF(LineærRegression_Valg[[#This Row],[Indenfor range]],INDEX(DataTitel_liste,LineærRegression_Valg[[#This Row],[Afhængig variabel ID]]),INDEX(DataTitel_liste,1))</f>
        <v>Eksempel 1 (interval)</v>
      </c>
      <c r="G855" s="171" t="str" cm="1">
        <f t="array" ref="G855">IF(LineærRegression_Valg[[#This Row],[Indenfor range]],IF(LineærRegression_Valg[[#This Row],[Intet overlap]],INDEX(DataTitel_liste,LineærRegression_Valg[[#This Row],[Uafhængig variabel ID]]),INDEX(DataTitel_liste,IF(LineærRegression_Valg[[#This Row],[Afhængig variabel ID]]=1,2,1))),$B$7)</f>
        <v>Eksempel 2 (interval)</v>
      </c>
      <c r="H855" s="171">
        <f>_xlfn.AGGREGATE(2,5,LineærRegression_Valg[[#This Row],[Tabel ID]])</f>
        <v>1</v>
      </c>
    </row>
    <row r="856" spans="1:8" x14ac:dyDescent="0.2">
      <c r="A856">
        <f>ROW(LineærRegression_Valg[[#This Row],[Tabel ID]])-ROW(LineærRegression_Valg[[#Headers],[Tabel ID]])</f>
        <v>846</v>
      </c>
      <c r="B856" s="171">
        <f>ROUNDDOWN((LineærRegression_Valg[[#This Row],[Tabel ID]]-1)/$B$5,0)+1</f>
        <v>212</v>
      </c>
      <c r="C856" s="171">
        <f t="shared" si="13"/>
        <v>2</v>
      </c>
      <c r="D856" s="171" t="b">
        <f>LineærRegression_Valg[[#This Row],[Afhængig variabel ID]]&lt;&gt;LineærRegression_Valg[[#This Row],[Uafhængig variabel ID]]</f>
        <v>1</v>
      </c>
      <c r="E856" t="b">
        <f>LineærRegression_Valg[[#This Row],[Afhængig variabel ID]]&lt;=$B$5</f>
        <v>0</v>
      </c>
      <c r="F856" t="str" cm="1">
        <f t="array" ref="F856">IF(LineærRegression_Valg[[#This Row],[Indenfor range]],INDEX(DataTitel_liste,LineærRegression_Valg[[#This Row],[Afhængig variabel ID]]),INDEX(DataTitel_liste,1))</f>
        <v>Eksempel 1 (interval)</v>
      </c>
      <c r="G856" s="171" t="str" cm="1">
        <f t="array" ref="G856">IF(LineærRegression_Valg[[#This Row],[Indenfor range]],IF(LineærRegression_Valg[[#This Row],[Intet overlap]],INDEX(DataTitel_liste,LineærRegression_Valg[[#This Row],[Uafhængig variabel ID]]),INDEX(DataTitel_liste,IF(LineærRegression_Valg[[#This Row],[Afhængig variabel ID]]=1,2,1))),$B$7)</f>
        <v>Eksempel 2 (interval)</v>
      </c>
      <c r="H856" s="171">
        <f>_xlfn.AGGREGATE(2,5,LineærRegression_Valg[[#This Row],[Tabel ID]])</f>
        <v>1</v>
      </c>
    </row>
    <row r="857" spans="1:8" x14ac:dyDescent="0.2">
      <c r="A857">
        <f>ROW(LineærRegression_Valg[[#This Row],[Tabel ID]])-ROW(LineærRegression_Valg[[#Headers],[Tabel ID]])</f>
        <v>847</v>
      </c>
      <c r="B857" s="171">
        <f>ROUNDDOWN((LineærRegression_Valg[[#This Row],[Tabel ID]]-1)/$B$5,0)+1</f>
        <v>212</v>
      </c>
      <c r="C857" s="171">
        <f t="shared" si="13"/>
        <v>3</v>
      </c>
      <c r="D857" s="171" t="b">
        <f>LineærRegression_Valg[[#This Row],[Afhængig variabel ID]]&lt;&gt;LineærRegression_Valg[[#This Row],[Uafhængig variabel ID]]</f>
        <v>1</v>
      </c>
      <c r="E857" t="b">
        <f>LineærRegression_Valg[[#This Row],[Afhængig variabel ID]]&lt;=$B$5</f>
        <v>0</v>
      </c>
      <c r="F857" t="str" cm="1">
        <f t="array" ref="F857">IF(LineærRegression_Valg[[#This Row],[Indenfor range]],INDEX(DataTitel_liste,LineærRegression_Valg[[#This Row],[Afhængig variabel ID]]),INDEX(DataTitel_liste,1))</f>
        <v>Eksempel 1 (interval)</v>
      </c>
      <c r="G857" s="171" t="str" cm="1">
        <f t="array" ref="G857">IF(LineærRegression_Valg[[#This Row],[Indenfor range]],IF(LineærRegression_Valg[[#This Row],[Intet overlap]],INDEX(DataTitel_liste,LineærRegression_Valg[[#This Row],[Uafhængig variabel ID]]),INDEX(DataTitel_liste,IF(LineærRegression_Valg[[#This Row],[Afhængig variabel ID]]=1,2,1))),$B$7)</f>
        <v>Eksempel 2 (interval)</v>
      </c>
      <c r="H857" s="171">
        <f>_xlfn.AGGREGATE(2,5,LineærRegression_Valg[[#This Row],[Tabel ID]])</f>
        <v>1</v>
      </c>
    </row>
    <row r="858" spans="1:8" x14ac:dyDescent="0.2">
      <c r="A858">
        <f>ROW(LineærRegression_Valg[[#This Row],[Tabel ID]])-ROW(LineærRegression_Valg[[#Headers],[Tabel ID]])</f>
        <v>848</v>
      </c>
      <c r="B858" s="171">
        <f>ROUNDDOWN((LineærRegression_Valg[[#This Row],[Tabel ID]]-1)/$B$5,0)+1</f>
        <v>212</v>
      </c>
      <c r="C858" s="171">
        <f t="shared" si="13"/>
        <v>4</v>
      </c>
      <c r="D858" s="171" t="b">
        <f>LineærRegression_Valg[[#This Row],[Afhængig variabel ID]]&lt;&gt;LineærRegression_Valg[[#This Row],[Uafhængig variabel ID]]</f>
        <v>1</v>
      </c>
      <c r="E858" t="b">
        <f>LineærRegression_Valg[[#This Row],[Afhængig variabel ID]]&lt;=$B$5</f>
        <v>0</v>
      </c>
      <c r="F858" t="str" cm="1">
        <f t="array" ref="F858">IF(LineærRegression_Valg[[#This Row],[Indenfor range]],INDEX(DataTitel_liste,LineærRegression_Valg[[#This Row],[Afhængig variabel ID]]),INDEX(DataTitel_liste,1))</f>
        <v>Eksempel 1 (interval)</v>
      </c>
      <c r="G858" s="171" t="str" cm="1">
        <f t="array" ref="G858">IF(LineærRegression_Valg[[#This Row],[Indenfor range]],IF(LineærRegression_Valg[[#This Row],[Intet overlap]],INDEX(DataTitel_liste,LineærRegression_Valg[[#This Row],[Uafhængig variabel ID]]),INDEX(DataTitel_liste,IF(LineærRegression_Valg[[#This Row],[Afhængig variabel ID]]=1,2,1))),$B$7)</f>
        <v>Eksempel 2 (interval)</v>
      </c>
      <c r="H858" s="171">
        <f>_xlfn.AGGREGATE(2,5,LineærRegression_Valg[[#This Row],[Tabel ID]])</f>
        <v>1</v>
      </c>
    </row>
    <row r="859" spans="1:8" x14ac:dyDescent="0.2">
      <c r="A859">
        <f>ROW(LineærRegression_Valg[[#This Row],[Tabel ID]])-ROW(LineærRegression_Valg[[#Headers],[Tabel ID]])</f>
        <v>849</v>
      </c>
      <c r="B859" s="171">
        <f>ROUNDDOWN((LineærRegression_Valg[[#This Row],[Tabel ID]]-1)/$B$5,0)+1</f>
        <v>213</v>
      </c>
      <c r="C859" s="171">
        <f t="shared" si="13"/>
        <v>1</v>
      </c>
      <c r="D859" s="171" t="b">
        <f>LineærRegression_Valg[[#This Row],[Afhængig variabel ID]]&lt;&gt;LineærRegression_Valg[[#This Row],[Uafhængig variabel ID]]</f>
        <v>1</v>
      </c>
      <c r="E859" t="b">
        <f>LineærRegression_Valg[[#This Row],[Afhængig variabel ID]]&lt;=$B$5</f>
        <v>0</v>
      </c>
      <c r="F859" t="str" cm="1">
        <f t="array" ref="F859">IF(LineærRegression_Valg[[#This Row],[Indenfor range]],INDEX(DataTitel_liste,LineærRegression_Valg[[#This Row],[Afhængig variabel ID]]),INDEX(DataTitel_liste,1))</f>
        <v>Eksempel 1 (interval)</v>
      </c>
      <c r="G859" s="171" t="str" cm="1">
        <f t="array" ref="G859">IF(LineærRegression_Valg[[#This Row],[Indenfor range]],IF(LineærRegression_Valg[[#This Row],[Intet overlap]],INDEX(DataTitel_liste,LineærRegression_Valg[[#This Row],[Uafhængig variabel ID]]),INDEX(DataTitel_liste,IF(LineærRegression_Valg[[#This Row],[Afhængig variabel ID]]=1,2,1))),$B$7)</f>
        <v>Eksempel 2 (interval)</v>
      </c>
      <c r="H859" s="171">
        <f>_xlfn.AGGREGATE(2,5,LineærRegression_Valg[[#This Row],[Tabel ID]])</f>
        <v>1</v>
      </c>
    </row>
    <row r="860" spans="1:8" x14ac:dyDescent="0.2">
      <c r="A860">
        <f>ROW(LineærRegression_Valg[[#This Row],[Tabel ID]])-ROW(LineærRegression_Valg[[#Headers],[Tabel ID]])</f>
        <v>850</v>
      </c>
      <c r="B860" s="171">
        <f>ROUNDDOWN((LineærRegression_Valg[[#This Row],[Tabel ID]]-1)/$B$5,0)+1</f>
        <v>213</v>
      </c>
      <c r="C860" s="171">
        <f t="shared" si="13"/>
        <v>2</v>
      </c>
      <c r="D860" s="171" t="b">
        <f>LineærRegression_Valg[[#This Row],[Afhængig variabel ID]]&lt;&gt;LineærRegression_Valg[[#This Row],[Uafhængig variabel ID]]</f>
        <v>1</v>
      </c>
      <c r="E860" t="b">
        <f>LineærRegression_Valg[[#This Row],[Afhængig variabel ID]]&lt;=$B$5</f>
        <v>0</v>
      </c>
      <c r="F860" t="str" cm="1">
        <f t="array" ref="F860">IF(LineærRegression_Valg[[#This Row],[Indenfor range]],INDEX(DataTitel_liste,LineærRegression_Valg[[#This Row],[Afhængig variabel ID]]),INDEX(DataTitel_liste,1))</f>
        <v>Eksempel 1 (interval)</v>
      </c>
      <c r="G860" s="171" t="str" cm="1">
        <f t="array" ref="G860">IF(LineærRegression_Valg[[#This Row],[Indenfor range]],IF(LineærRegression_Valg[[#This Row],[Intet overlap]],INDEX(DataTitel_liste,LineærRegression_Valg[[#This Row],[Uafhængig variabel ID]]),INDEX(DataTitel_liste,IF(LineærRegression_Valg[[#This Row],[Afhængig variabel ID]]=1,2,1))),$B$7)</f>
        <v>Eksempel 2 (interval)</v>
      </c>
      <c r="H860" s="171">
        <f>_xlfn.AGGREGATE(2,5,LineærRegression_Valg[[#This Row],[Tabel ID]])</f>
        <v>1</v>
      </c>
    </row>
    <row r="861" spans="1:8" x14ac:dyDescent="0.2">
      <c r="A861">
        <f>ROW(LineærRegression_Valg[[#This Row],[Tabel ID]])-ROW(LineærRegression_Valg[[#Headers],[Tabel ID]])</f>
        <v>851</v>
      </c>
      <c r="B861" s="171">
        <f>ROUNDDOWN((LineærRegression_Valg[[#This Row],[Tabel ID]]-1)/$B$5,0)+1</f>
        <v>213</v>
      </c>
      <c r="C861" s="171">
        <f t="shared" si="13"/>
        <v>3</v>
      </c>
      <c r="D861" s="171" t="b">
        <f>LineærRegression_Valg[[#This Row],[Afhængig variabel ID]]&lt;&gt;LineærRegression_Valg[[#This Row],[Uafhængig variabel ID]]</f>
        <v>1</v>
      </c>
      <c r="E861" t="b">
        <f>LineærRegression_Valg[[#This Row],[Afhængig variabel ID]]&lt;=$B$5</f>
        <v>0</v>
      </c>
      <c r="F861" t="str" cm="1">
        <f t="array" ref="F861">IF(LineærRegression_Valg[[#This Row],[Indenfor range]],INDEX(DataTitel_liste,LineærRegression_Valg[[#This Row],[Afhængig variabel ID]]),INDEX(DataTitel_liste,1))</f>
        <v>Eksempel 1 (interval)</v>
      </c>
      <c r="G861" s="171" t="str" cm="1">
        <f t="array" ref="G861">IF(LineærRegression_Valg[[#This Row],[Indenfor range]],IF(LineærRegression_Valg[[#This Row],[Intet overlap]],INDEX(DataTitel_liste,LineærRegression_Valg[[#This Row],[Uafhængig variabel ID]]),INDEX(DataTitel_liste,IF(LineærRegression_Valg[[#This Row],[Afhængig variabel ID]]=1,2,1))),$B$7)</f>
        <v>Eksempel 2 (interval)</v>
      </c>
      <c r="H861" s="171">
        <f>_xlfn.AGGREGATE(2,5,LineærRegression_Valg[[#This Row],[Tabel ID]])</f>
        <v>1</v>
      </c>
    </row>
    <row r="862" spans="1:8" x14ac:dyDescent="0.2">
      <c r="A862">
        <f>ROW(LineærRegression_Valg[[#This Row],[Tabel ID]])-ROW(LineærRegression_Valg[[#Headers],[Tabel ID]])</f>
        <v>852</v>
      </c>
      <c r="B862" s="171">
        <f>ROUNDDOWN((LineærRegression_Valg[[#This Row],[Tabel ID]]-1)/$B$5,0)+1</f>
        <v>213</v>
      </c>
      <c r="C862" s="171">
        <f t="shared" si="13"/>
        <v>4</v>
      </c>
      <c r="D862" s="171" t="b">
        <f>LineærRegression_Valg[[#This Row],[Afhængig variabel ID]]&lt;&gt;LineærRegression_Valg[[#This Row],[Uafhængig variabel ID]]</f>
        <v>1</v>
      </c>
      <c r="E862" t="b">
        <f>LineærRegression_Valg[[#This Row],[Afhængig variabel ID]]&lt;=$B$5</f>
        <v>0</v>
      </c>
      <c r="F862" t="str" cm="1">
        <f t="array" ref="F862">IF(LineærRegression_Valg[[#This Row],[Indenfor range]],INDEX(DataTitel_liste,LineærRegression_Valg[[#This Row],[Afhængig variabel ID]]),INDEX(DataTitel_liste,1))</f>
        <v>Eksempel 1 (interval)</v>
      </c>
      <c r="G862" s="171" t="str" cm="1">
        <f t="array" ref="G862">IF(LineærRegression_Valg[[#This Row],[Indenfor range]],IF(LineærRegression_Valg[[#This Row],[Intet overlap]],INDEX(DataTitel_liste,LineærRegression_Valg[[#This Row],[Uafhængig variabel ID]]),INDEX(DataTitel_liste,IF(LineærRegression_Valg[[#This Row],[Afhængig variabel ID]]=1,2,1))),$B$7)</f>
        <v>Eksempel 2 (interval)</v>
      </c>
      <c r="H862" s="171">
        <f>_xlfn.AGGREGATE(2,5,LineærRegression_Valg[[#This Row],[Tabel ID]])</f>
        <v>1</v>
      </c>
    </row>
    <row r="863" spans="1:8" x14ac:dyDescent="0.2">
      <c r="A863">
        <f>ROW(LineærRegression_Valg[[#This Row],[Tabel ID]])-ROW(LineærRegression_Valg[[#Headers],[Tabel ID]])</f>
        <v>853</v>
      </c>
      <c r="B863" s="171">
        <f>ROUNDDOWN((LineærRegression_Valg[[#This Row],[Tabel ID]]-1)/$B$5,0)+1</f>
        <v>214</v>
      </c>
      <c r="C863" s="171">
        <f t="shared" si="13"/>
        <v>1</v>
      </c>
      <c r="D863" s="171" t="b">
        <f>LineærRegression_Valg[[#This Row],[Afhængig variabel ID]]&lt;&gt;LineærRegression_Valg[[#This Row],[Uafhængig variabel ID]]</f>
        <v>1</v>
      </c>
      <c r="E863" t="b">
        <f>LineærRegression_Valg[[#This Row],[Afhængig variabel ID]]&lt;=$B$5</f>
        <v>0</v>
      </c>
      <c r="F863" t="str" cm="1">
        <f t="array" ref="F863">IF(LineærRegression_Valg[[#This Row],[Indenfor range]],INDEX(DataTitel_liste,LineærRegression_Valg[[#This Row],[Afhængig variabel ID]]),INDEX(DataTitel_liste,1))</f>
        <v>Eksempel 1 (interval)</v>
      </c>
      <c r="G863" s="171" t="str" cm="1">
        <f t="array" ref="G863">IF(LineærRegression_Valg[[#This Row],[Indenfor range]],IF(LineærRegression_Valg[[#This Row],[Intet overlap]],INDEX(DataTitel_liste,LineærRegression_Valg[[#This Row],[Uafhængig variabel ID]]),INDEX(DataTitel_liste,IF(LineærRegression_Valg[[#This Row],[Afhængig variabel ID]]=1,2,1))),$B$7)</f>
        <v>Eksempel 2 (interval)</v>
      </c>
      <c r="H863" s="171">
        <f>_xlfn.AGGREGATE(2,5,LineærRegression_Valg[[#This Row],[Tabel ID]])</f>
        <v>1</v>
      </c>
    </row>
    <row r="864" spans="1:8" x14ac:dyDescent="0.2">
      <c r="A864">
        <f>ROW(LineærRegression_Valg[[#This Row],[Tabel ID]])-ROW(LineærRegression_Valg[[#Headers],[Tabel ID]])</f>
        <v>854</v>
      </c>
      <c r="B864" s="171">
        <f>ROUNDDOWN((LineærRegression_Valg[[#This Row],[Tabel ID]]-1)/$B$5,0)+1</f>
        <v>214</v>
      </c>
      <c r="C864" s="171">
        <f t="shared" si="13"/>
        <v>2</v>
      </c>
      <c r="D864" s="171" t="b">
        <f>LineærRegression_Valg[[#This Row],[Afhængig variabel ID]]&lt;&gt;LineærRegression_Valg[[#This Row],[Uafhængig variabel ID]]</f>
        <v>1</v>
      </c>
      <c r="E864" t="b">
        <f>LineærRegression_Valg[[#This Row],[Afhængig variabel ID]]&lt;=$B$5</f>
        <v>0</v>
      </c>
      <c r="F864" t="str" cm="1">
        <f t="array" ref="F864">IF(LineærRegression_Valg[[#This Row],[Indenfor range]],INDEX(DataTitel_liste,LineærRegression_Valg[[#This Row],[Afhængig variabel ID]]),INDEX(DataTitel_liste,1))</f>
        <v>Eksempel 1 (interval)</v>
      </c>
      <c r="G864" s="171" t="str" cm="1">
        <f t="array" ref="G864">IF(LineærRegression_Valg[[#This Row],[Indenfor range]],IF(LineærRegression_Valg[[#This Row],[Intet overlap]],INDEX(DataTitel_liste,LineærRegression_Valg[[#This Row],[Uafhængig variabel ID]]),INDEX(DataTitel_liste,IF(LineærRegression_Valg[[#This Row],[Afhængig variabel ID]]=1,2,1))),$B$7)</f>
        <v>Eksempel 2 (interval)</v>
      </c>
      <c r="H864" s="171">
        <f>_xlfn.AGGREGATE(2,5,LineærRegression_Valg[[#This Row],[Tabel ID]])</f>
        <v>1</v>
      </c>
    </row>
    <row r="865" spans="1:8" x14ac:dyDescent="0.2">
      <c r="A865">
        <f>ROW(LineærRegression_Valg[[#This Row],[Tabel ID]])-ROW(LineærRegression_Valg[[#Headers],[Tabel ID]])</f>
        <v>855</v>
      </c>
      <c r="B865" s="171">
        <f>ROUNDDOWN((LineærRegression_Valg[[#This Row],[Tabel ID]]-1)/$B$5,0)+1</f>
        <v>214</v>
      </c>
      <c r="C865" s="171">
        <f t="shared" si="13"/>
        <v>3</v>
      </c>
      <c r="D865" s="171" t="b">
        <f>LineærRegression_Valg[[#This Row],[Afhængig variabel ID]]&lt;&gt;LineærRegression_Valg[[#This Row],[Uafhængig variabel ID]]</f>
        <v>1</v>
      </c>
      <c r="E865" t="b">
        <f>LineærRegression_Valg[[#This Row],[Afhængig variabel ID]]&lt;=$B$5</f>
        <v>0</v>
      </c>
      <c r="F865" t="str" cm="1">
        <f t="array" ref="F865">IF(LineærRegression_Valg[[#This Row],[Indenfor range]],INDEX(DataTitel_liste,LineærRegression_Valg[[#This Row],[Afhængig variabel ID]]),INDEX(DataTitel_liste,1))</f>
        <v>Eksempel 1 (interval)</v>
      </c>
      <c r="G865" s="171" t="str" cm="1">
        <f t="array" ref="G865">IF(LineærRegression_Valg[[#This Row],[Indenfor range]],IF(LineærRegression_Valg[[#This Row],[Intet overlap]],INDEX(DataTitel_liste,LineærRegression_Valg[[#This Row],[Uafhængig variabel ID]]),INDEX(DataTitel_liste,IF(LineærRegression_Valg[[#This Row],[Afhængig variabel ID]]=1,2,1))),$B$7)</f>
        <v>Eksempel 2 (interval)</v>
      </c>
      <c r="H865" s="171">
        <f>_xlfn.AGGREGATE(2,5,LineærRegression_Valg[[#This Row],[Tabel ID]])</f>
        <v>1</v>
      </c>
    </row>
    <row r="866" spans="1:8" x14ac:dyDescent="0.2">
      <c r="A866">
        <f>ROW(LineærRegression_Valg[[#This Row],[Tabel ID]])-ROW(LineærRegression_Valg[[#Headers],[Tabel ID]])</f>
        <v>856</v>
      </c>
      <c r="B866" s="171">
        <f>ROUNDDOWN((LineærRegression_Valg[[#This Row],[Tabel ID]]-1)/$B$5,0)+1</f>
        <v>214</v>
      </c>
      <c r="C866" s="171">
        <f t="shared" si="13"/>
        <v>4</v>
      </c>
      <c r="D866" s="171" t="b">
        <f>LineærRegression_Valg[[#This Row],[Afhængig variabel ID]]&lt;&gt;LineærRegression_Valg[[#This Row],[Uafhængig variabel ID]]</f>
        <v>1</v>
      </c>
      <c r="E866" t="b">
        <f>LineærRegression_Valg[[#This Row],[Afhængig variabel ID]]&lt;=$B$5</f>
        <v>0</v>
      </c>
      <c r="F866" t="str" cm="1">
        <f t="array" ref="F866">IF(LineærRegression_Valg[[#This Row],[Indenfor range]],INDEX(DataTitel_liste,LineærRegression_Valg[[#This Row],[Afhængig variabel ID]]),INDEX(DataTitel_liste,1))</f>
        <v>Eksempel 1 (interval)</v>
      </c>
      <c r="G866" s="171" t="str" cm="1">
        <f t="array" ref="G866">IF(LineærRegression_Valg[[#This Row],[Indenfor range]],IF(LineærRegression_Valg[[#This Row],[Intet overlap]],INDEX(DataTitel_liste,LineærRegression_Valg[[#This Row],[Uafhængig variabel ID]]),INDEX(DataTitel_liste,IF(LineærRegression_Valg[[#This Row],[Afhængig variabel ID]]=1,2,1))),$B$7)</f>
        <v>Eksempel 2 (interval)</v>
      </c>
      <c r="H866" s="171">
        <f>_xlfn.AGGREGATE(2,5,LineærRegression_Valg[[#This Row],[Tabel ID]])</f>
        <v>1</v>
      </c>
    </row>
    <row r="867" spans="1:8" x14ac:dyDescent="0.2">
      <c r="A867">
        <f>ROW(LineærRegression_Valg[[#This Row],[Tabel ID]])-ROW(LineærRegression_Valg[[#Headers],[Tabel ID]])</f>
        <v>857</v>
      </c>
      <c r="B867" s="171">
        <f>ROUNDDOWN((LineærRegression_Valg[[#This Row],[Tabel ID]]-1)/$B$5,0)+1</f>
        <v>215</v>
      </c>
      <c r="C867" s="171">
        <f t="shared" si="13"/>
        <v>1</v>
      </c>
      <c r="D867" s="171" t="b">
        <f>LineærRegression_Valg[[#This Row],[Afhængig variabel ID]]&lt;&gt;LineærRegression_Valg[[#This Row],[Uafhængig variabel ID]]</f>
        <v>1</v>
      </c>
      <c r="E867" t="b">
        <f>LineærRegression_Valg[[#This Row],[Afhængig variabel ID]]&lt;=$B$5</f>
        <v>0</v>
      </c>
      <c r="F867" t="str" cm="1">
        <f t="array" ref="F867">IF(LineærRegression_Valg[[#This Row],[Indenfor range]],INDEX(DataTitel_liste,LineærRegression_Valg[[#This Row],[Afhængig variabel ID]]),INDEX(DataTitel_liste,1))</f>
        <v>Eksempel 1 (interval)</v>
      </c>
      <c r="G867" s="171" t="str" cm="1">
        <f t="array" ref="G867">IF(LineærRegression_Valg[[#This Row],[Indenfor range]],IF(LineærRegression_Valg[[#This Row],[Intet overlap]],INDEX(DataTitel_liste,LineærRegression_Valg[[#This Row],[Uafhængig variabel ID]]),INDEX(DataTitel_liste,IF(LineærRegression_Valg[[#This Row],[Afhængig variabel ID]]=1,2,1))),$B$7)</f>
        <v>Eksempel 2 (interval)</v>
      </c>
      <c r="H867" s="171">
        <f>_xlfn.AGGREGATE(2,5,LineærRegression_Valg[[#This Row],[Tabel ID]])</f>
        <v>1</v>
      </c>
    </row>
    <row r="868" spans="1:8" x14ac:dyDescent="0.2">
      <c r="A868">
        <f>ROW(LineærRegression_Valg[[#This Row],[Tabel ID]])-ROW(LineærRegression_Valg[[#Headers],[Tabel ID]])</f>
        <v>858</v>
      </c>
      <c r="B868" s="171">
        <f>ROUNDDOWN((LineærRegression_Valg[[#This Row],[Tabel ID]]-1)/$B$5,0)+1</f>
        <v>215</v>
      </c>
      <c r="C868" s="171">
        <f t="shared" si="13"/>
        <v>2</v>
      </c>
      <c r="D868" s="171" t="b">
        <f>LineærRegression_Valg[[#This Row],[Afhængig variabel ID]]&lt;&gt;LineærRegression_Valg[[#This Row],[Uafhængig variabel ID]]</f>
        <v>1</v>
      </c>
      <c r="E868" t="b">
        <f>LineærRegression_Valg[[#This Row],[Afhængig variabel ID]]&lt;=$B$5</f>
        <v>0</v>
      </c>
      <c r="F868" t="str" cm="1">
        <f t="array" ref="F868">IF(LineærRegression_Valg[[#This Row],[Indenfor range]],INDEX(DataTitel_liste,LineærRegression_Valg[[#This Row],[Afhængig variabel ID]]),INDEX(DataTitel_liste,1))</f>
        <v>Eksempel 1 (interval)</v>
      </c>
      <c r="G868" s="171" t="str" cm="1">
        <f t="array" ref="G868">IF(LineærRegression_Valg[[#This Row],[Indenfor range]],IF(LineærRegression_Valg[[#This Row],[Intet overlap]],INDEX(DataTitel_liste,LineærRegression_Valg[[#This Row],[Uafhængig variabel ID]]),INDEX(DataTitel_liste,IF(LineærRegression_Valg[[#This Row],[Afhængig variabel ID]]=1,2,1))),$B$7)</f>
        <v>Eksempel 2 (interval)</v>
      </c>
      <c r="H868" s="171">
        <f>_xlfn.AGGREGATE(2,5,LineærRegression_Valg[[#This Row],[Tabel ID]])</f>
        <v>1</v>
      </c>
    </row>
    <row r="869" spans="1:8" x14ac:dyDescent="0.2">
      <c r="A869">
        <f>ROW(LineærRegression_Valg[[#This Row],[Tabel ID]])-ROW(LineærRegression_Valg[[#Headers],[Tabel ID]])</f>
        <v>859</v>
      </c>
      <c r="B869" s="171">
        <f>ROUNDDOWN((LineærRegression_Valg[[#This Row],[Tabel ID]]-1)/$B$5,0)+1</f>
        <v>215</v>
      </c>
      <c r="C869" s="171">
        <f t="shared" si="13"/>
        <v>3</v>
      </c>
      <c r="D869" s="171" t="b">
        <f>LineærRegression_Valg[[#This Row],[Afhængig variabel ID]]&lt;&gt;LineærRegression_Valg[[#This Row],[Uafhængig variabel ID]]</f>
        <v>1</v>
      </c>
      <c r="E869" t="b">
        <f>LineærRegression_Valg[[#This Row],[Afhængig variabel ID]]&lt;=$B$5</f>
        <v>0</v>
      </c>
      <c r="F869" t="str" cm="1">
        <f t="array" ref="F869">IF(LineærRegression_Valg[[#This Row],[Indenfor range]],INDEX(DataTitel_liste,LineærRegression_Valg[[#This Row],[Afhængig variabel ID]]),INDEX(DataTitel_liste,1))</f>
        <v>Eksempel 1 (interval)</v>
      </c>
      <c r="G869" s="171" t="str" cm="1">
        <f t="array" ref="G869">IF(LineærRegression_Valg[[#This Row],[Indenfor range]],IF(LineærRegression_Valg[[#This Row],[Intet overlap]],INDEX(DataTitel_liste,LineærRegression_Valg[[#This Row],[Uafhængig variabel ID]]),INDEX(DataTitel_liste,IF(LineærRegression_Valg[[#This Row],[Afhængig variabel ID]]=1,2,1))),$B$7)</f>
        <v>Eksempel 2 (interval)</v>
      </c>
      <c r="H869" s="171">
        <f>_xlfn.AGGREGATE(2,5,LineærRegression_Valg[[#This Row],[Tabel ID]])</f>
        <v>1</v>
      </c>
    </row>
    <row r="870" spans="1:8" x14ac:dyDescent="0.2">
      <c r="A870">
        <f>ROW(LineærRegression_Valg[[#This Row],[Tabel ID]])-ROW(LineærRegression_Valg[[#Headers],[Tabel ID]])</f>
        <v>860</v>
      </c>
      <c r="B870" s="171">
        <f>ROUNDDOWN((LineærRegression_Valg[[#This Row],[Tabel ID]]-1)/$B$5,0)+1</f>
        <v>215</v>
      </c>
      <c r="C870" s="171">
        <f t="shared" si="13"/>
        <v>4</v>
      </c>
      <c r="D870" s="171" t="b">
        <f>LineærRegression_Valg[[#This Row],[Afhængig variabel ID]]&lt;&gt;LineærRegression_Valg[[#This Row],[Uafhængig variabel ID]]</f>
        <v>1</v>
      </c>
      <c r="E870" t="b">
        <f>LineærRegression_Valg[[#This Row],[Afhængig variabel ID]]&lt;=$B$5</f>
        <v>0</v>
      </c>
      <c r="F870" t="str" cm="1">
        <f t="array" ref="F870">IF(LineærRegression_Valg[[#This Row],[Indenfor range]],INDEX(DataTitel_liste,LineærRegression_Valg[[#This Row],[Afhængig variabel ID]]),INDEX(DataTitel_liste,1))</f>
        <v>Eksempel 1 (interval)</v>
      </c>
      <c r="G870" s="171" t="str" cm="1">
        <f t="array" ref="G870">IF(LineærRegression_Valg[[#This Row],[Indenfor range]],IF(LineærRegression_Valg[[#This Row],[Intet overlap]],INDEX(DataTitel_liste,LineærRegression_Valg[[#This Row],[Uafhængig variabel ID]]),INDEX(DataTitel_liste,IF(LineærRegression_Valg[[#This Row],[Afhængig variabel ID]]=1,2,1))),$B$7)</f>
        <v>Eksempel 2 (interval)</v>
      </c>
      <c r="H870" s="171">
        <f>_xlfn.AGGREGATE(2,5,LineærRegression_Valg[[#This Row],[Tabel ID]])</f>
        <v>1</v>
      </c>
    </row>
    <row r="871" spans="1:8" x14ac:dyDescent="0.2">
      <c r="A871">
        <f>ROW(LineærRegression_Valg[[#This Row],[Tabel ID]])-ROW(LineærRegression_Valg[[#Headers],[Tabel ID]])</f>
        <v>861</v>
      </c>
      <c r="B871" s="171">
        <f>ROUNDDOWN((LineærRegression_Valg[[#This Row],[Tabel ID]]-1)/$B$5,0)+1</f>
        <v>216</v>
      </c>
      <c r="C871" s="171">
        <f t="shared" si="13"/>
        <v>1</v>
      </c>
      <c r="D871" s="171" t="b">
        <f>LineærRegression_Valg[[#This Row],[Afhængig variabel ID]]&lt;&gt;LineærRegression_Valg[[#This Row],[Uafhængig variabel ID]]</f>
        <v>1</v>
      </c>
      <c r="E871" t="b">
        <f>LineærRegression_Valg[[#This Row],[Afhængig variabel ID]]&lt;=$B$5</f>
        <v>0</v>
      </c>
      <c r="F871" t="str" cm="1">
        <f t="array" ref="F871">IF(LineærRegression_Valg[[#This Row],[Indenfor range]],INDEX(DataTitel_liste,LineærRegression_Valg[[#This Row],[Afhængig variabel ID]]),INDEX(DataTitel_liste,1))</f>
        <v>Eksempel 1 (interval)</v>
      </c>
      <c r="G871" s="171" t="str" cm="1">
        <f t="array" ref="G871">IF(LineærRegression_Valg[[#This Row],[Indenfor range]],IF(LineærRegression_Valg[[#This Row],[Intet overlap]],INDEX(DataTitel_liste,LineærRegression_Valg[[#This Row],[Uafhængig variabel ID]]),INDEX(DataTitel_liste,IF(LineærRegression_Valg[[#This Row],[Afhængig variabel ID]]=1,2,1))),$B$7)</f>
        <v>Eksempel 2 (interval)</v>
      </c>
      <c r="H871" s="171">
        <f>_xlfn.AGGREGATE(2,5,LineærRegression_Valg[[#This Row],[Tabel ID]])</f>
        <v>1</v>
      </c>
    </row>
    <row r="872" spans="1:8" x14ac:dyDescent="0.2">
      <c r="A872">
        <f>ROW(LineærRegression_Valg[[#This Row],[Tabel ID]])-ROW(LineærRegression_Valg[[#Headers],[Tabel ID]])</f>
        <v>862</v>
      </c>
      <c r="B872" s="171">
        <f>ROUNDDOWN((LineærRegression_Valg[[#This Row],[Tabel ID]]-1)/$B$5,0)+1</f>
        <v>216</v>
      </c>
      <c r="C872" s="171">
        <f t="shared" si="13"/>
        <v>2</v>
      </c>
      <c r="D872" s="171" t="b">
        <f>LineærRegression_Valg[[#This Row],[Afhængig variabel ID]]&lt;&gt;LineærRegression_Valg[[#This Row],[Uafhængig variabel ID]]</f>
        <v>1</v>
      </c>
      <c r="E872" t="b">
        <f>LineærRegression_Valg[[#This Row],[Afhængig variabel ID]]&lt;=$B$5</f>
        <v>0</v>
      </c>
      <c r="F872" t="str" cm="1">
        <f t="array" ref="F872">IF(LineærRegression_Valg[[#This Row],[Indenfor range]],INDEX(DataTitel_liste,LineærRegression_Valg[[#This Row],[Afhængig variabel ID]]),INDEX(DataTitel_liste,1))</f>
        <v>Eksempel 1 (interval)</v>
      </c>
      <c r="G872" s="171" t="str" cm="1">
        <f t="array" ref="G872">IF(LineærRegression_Valg[[#This Row],[Indenfor range]],IF(LineærRegression_Valg[[#This Row],[Intet overlap]],INDEX(DataTitel_liste,LineærRegression_Valg[[#This Row],[Uafhængig variabel ID]]),INDEX(DataTitel_liste,IF(LineærRegression_Valg[[#This Row],[Afhængig variabel ID]]=1,2,1))),$B$7)</f>
        <v>Eksempel 2 (interval)</v>
      </c>
      <c r="H872" s="171">
        <f>_xlfn.AGGREGATE(2,5,LineærRegression_Valg[[#This Row],[Tabel ID]])</f>
        <v>1</v>
      </c>
    </row>
    <row r="873" spans="1:8" x14ac:dyDescent="0.2">
      <c r="A873">
        <f>ROW(LineærRegression_Valg[[#This Row],[Tabel ID]])-ROW(LineærRegression_Valg[[#Headers],[Tabel ID]])</f>
        <v>863</v>
      </c>
      <c r="B873" s="171">
        <f>ROUNDDOWN((LineærRegression_Valg[[#This Row],[Tabel ID]]-1)/$B$5,0)+1</f>
        <v>216</v>
      </c>
      <c r="C873" s="171">
        <f t="shared" si="13"/>
        <v>3</v>
      </c>
      <c r="D873" s="171" t="b">
        <f>LineærRegression_Valg[[#This Row],[Afhængig variabel ID]]&lt;&gt;LineærRegression_Valg[[#This Row],[Uafhængig variabel ID]]</f>
        <v>1</v>
      </c>
      <c r="E873" t="b">
        <f>LineærRegression_Valg[[#This Row],[Afhængig variabel ID]]&lt;=$B$5</f>
        <v>0</v>
      </c>
      <c r="F873" t="str" cm="1">
        <f t="array" ref="F873">IF(LineærRegression_Valg[[#This Row],[Indenfor range]],INDEX(DataTitel_liste,LineærRegression_Valg[[#This Row],[Afhængig variabel ID]]),INDEX(DataTitel_liste,1))</f>
        <v>Eksempel 1 (interval)</v>
      </c>
      <c r="G873" s="171" t="str" cm="1">
        <f t="array" ref="G873">IF(LineærRegression_Valg[[#This Row],[Indenfor range]],IF(LineærRegression_Valg[[#This Row],[Intet overlap]],INDEX(DataTitel_liste,LineærRegression_Valg[[#This Row],[Uafhængig variabel ID]]),INDEX(DataTitel_liste,IF(LineærRegression_Valg[[#This Row],[Afhængig variabel ID]]=1,2,1))),$B$7)</f>
        <v>Eksempel 2 (interval)</v>
      </c>
      <c r="H873" s="171">
        <f>_xlfn.AGGREGATE(2,5,LineærRegression_Valg[[#This Row],[Tabel ID]])</f>
        <v>1</v>
      </c>
    </row>
    <row r="874" spans="1:8" x14ac:dyDescent="0.2">
      <c r="A874">
        <f>ROW(LineærRegression_Valg[[#This Row],[Tabel ID]])-ROW(LineærRegression_Valg[[#Headers],[Tabel ID]])</f>
        <v>864</v>
      </c>
      <c r="B874" s="171">
        <f>ROUNDDOWN((LineærRegression_Valg[[#This Row],[Tabel ID]]-1)/$B$5,0)+1</f>
        <v>216</v>
      </c>
      <c r="C874" s="171">
        <f t="shared" si="13"/>
        <v>4</v>
      </c>
      <c r="D874" s="171" t="b">
        <f>LineærRegression_Valg[[#This Row],[Afhængig variabel ID]]&lt;&gt;LineærRegression_Valg[[#This Row],[Uafhængig variabel ID]]</f>
        <v>1</v>
      </c>
      <c r="E874" t="b">
        <f>LineærRegression_Valg[[#This Row],[Afhængig variabel ID]]&lt;=$B$5</f>
        <v>0</v>
      </c>
      <c r="F874" t="str" cm="1">
        <f t="array" ref="F874">IF(LineærRegression_Valg[[#This Row],[Indenfor range]],INDEX(DataTitel_liste,LineærRegression_Valg[[#This Row],[Afhængig variabel ID]]),INDEX(DataTitel_liste,1))</f>
        <v>Eksempel 1 (interval)</v>
      </c>
      <c r="G874" s="171" t="str" cm="1">
        <f t="array" ref="G874">IF(LineærRegression_Valg[[#This Row],[Indenfor range]],IF(LineærRegression_Valg[[#This Row],[Intet overlap]],INDEX(DataTitel_liste,LineærRegression_Valg[[#This Row],[Uafhængig variabel ID]]),INDEX(DataTitel_liste,IF(LineærRegression_Valg[[#This Row],[Afhængig variabel ID]]=1,2,1))),$B$7)</f>
        <v>Eksempel 2 (interval)</v>
      </c>
      <c r="H874" s="171">
        <f>_xlfn.AGGREGATE(2,5,LineærRegression_Valg[[#This Row],[Tabel ID]])</f>
        <v>1</v>
      </c>
    </row>
    <row r="875" spans="1:8" x14ac:dyDescent="0.2">
      <c r="A875">
        <f>ROW(LineærRegression_Valg[[#This Row],[Tabel ID]])-ROW(LineærRegression_Valg[[#Headers],[Tabel ID]])</f>
        <v>865</v>
      </c>
      <c r="B875" s="171">
        <f>ROUNDDOWN((LineærRegression_Valg[[#This Row],[Tabel ID]]-1)/$B$5,0)+1</f>
        <v>217</v>
      </c>
      <c r="C875" s="171">
        <f t="shared" si="13"/>
        <v>1</v>
      </c>
      <c r="D875" s="171" t="b">
        <f>LineærRegression_Valg[[#This Row],[Afhængig variabel ID]]&lt;&gt;LineærRegression_Valg[[#This Row],[Uafhængig variabel ID]]</f>
        <v>1</v>
      </c>
      <c r="E875" t="b">
        <f>LineærRegression_Valg[[#This Row],[Afhængig variabel ID]]&lt;=$B$5</f>
        <v>0</v>
      </c>
      <c r="F875" t="str" cm="1">
        <f t="array" ref="F875">IF(LineærRegression_Valg[[#This Row],[Indenfor range]],INDEX(DataTitel_liste,LineærRegression_Valg[[#This Row],[Afhængig variabel ID]]),INDEX(DataTitel_liste,1))</f>
        <v>Eksempel 1 (interval)</v>
      </c>
      <c r="G875" s="171" t="str" cm="1">
        <f t="array" ref="G875">IF(LineærRegression_Valg[[#This Row],[Indenfor range]],IF(LineærRegression_Valg[[#This Row],[Intet overlap]],INDEX(DataTitel_liste,LineærRegression_Valg[[#This Row],[Uafhængig variabel ID]]),INDEX(DataTitel_liste,IF(LineærRegression_Valg[[#This Row],[Afhængig variabel ID]]=1,2,1))),$B$7)</f>
        <v>Eksempel 2 (interval)</v>
      </c>
      <c r="H875" s="171">
        <f>_xlfn.AGGREGATE(2,5,LineærRegression_Valg[[#This Row],[Tabel ID]])</f>
        <v>1</v>
      </c>
    </row>
    <row r="876" spans="1:8" x14ac:dyDescent="0.2">
      <c r="A876">
        <f>ROW(LineærRegression_Valg[[#This Row],[Tabel ID]])-ROW(LineærRegression_Valg[[#Headers],[Tabel ID]])</f>
        <v>866</v>
      </c>
      <c r="B876" s="171">
        <f>ROUNDDOWN((LineærRegression_Valg[[#This Row],[Tabel ID]]-1)/$B$5,0)+1</f>
        <v>217</v>
      </c>
      <c r="C876" s="171">
        <f t="shared" si="13"/>
        <v>2</v>
      </c>
      <c r="D876" s="171" t="b">
        <f>LineærRegression_Valg[[#This Row],[Afhængig variabel ID]]&lt;&gt;LineærRegression_Valg[[#This Row],[Uafhængig variabel ID]]</f>
        <v>1</v>
      </c>
      <c r="E876" t="b">
        <f>LineærRegression_Valg[[#This Row],[Afhængig variabel ID]]&lt;=$B$5</f>
        <v>0</v>
      </c>
      <c r="F876" t="str" cm="1">
        <f t="array" ref="F876">IF(LineærRegression_Valg[[#This Row],[Indenfor range]],INDEX(DataTitel_liste,LineærRegression_Valg[[#This Row],[Afhængig variabel ID]]),INDEX(DataTitel_liste,1))</f>
        <v>Eksempel 1 (interval)</v>
      </c>
      <c r="G876" s="171" t="str" cm="1">
        <f t="array" ref="G876">IF(LineærRegression_Valg[[#This Row],[Indenfor range]],IF(LineærRegression_Valg[[#This Row],[Intet overlap]],INDEX(DataTitel_liste,LineærRegression_Valg[[#This Row],[Uafhængig variabel ID]]),INDEX(DataTitel_liste,IF(LineærRegression_Valg[[#This Row],[Afhængig variabel ID]]=1,2,1))),$B$7)</f>
        <v>Eksempel 2 (interval)</v>
      </c>
      <c r="H876" s="171">
        <f>_xlfn.AGGREGATE(2,5,LineærRegression_Valg[[#This Row],[Tabel ID]])</f>
        <v>1</v>
      </c>
    </row>
    <row r="877" spans="1:8" x14ac:dyDescent="0.2">
      <c r="A877">
        <f>ROW(LineærRegression_Valg[[#This Row],[Tabel ID]])-ROW(LineærRegression_Valg[[#Headers],[Tabel ID]])</f>
        <v>867</v>
      </c>
      <c r="B877" s="171">
        <f>ROUNDDOWN((LineærRegression_Valg[[#This Row],[Tabel ID]]-1)/$B$5,0)+1</f>
        <v>217</v>
      </c>
      <c r="C877" s="171">
        <f t="shared" si="13"/>
        <v>3</v>
      </c>
      <c r="D877" s="171" t="b">
        <f>LineærRegression_Valg[[#This Row],[Afhængig variabel ID]]&lt;&gt;LineærRegression_Valg[[#This Row],[Uafhængig variabel ID]]</f>
        <v>1</v>
      </c>
      <c r="E877" t="b">
        <f>LineærRegression_Valg[[#This Row],[Afhængig variabel ID]]&lt;=$B$5</f>
        <v>0</v>
      </c>
      <c r="F877" t="str" cm="1">
        <f t="array" ref="F877">IF(LineærRegression_Valg[[#This Row],[Indenfor range]],INDEX(DataTitel_liste,LineærRegression_Valg[[#This Row],[Afhængig variabel ID]]),INDEX(DataTitel_liste,1))</f>
        <v>Eksempel 1 (interval)</v>
      </c>
      <c r="G877" s="171" t="str" cm="1">
        <f t="array" ref="G877">IF(LineærRegression_Valg[[#This Row],[Indenfor range]],IF(LineærRegression_Valg[[#This Row],[Intet overlap]],INDEX(DataTitel_liste,LineærRegression_Valg[[#This Row],[Uafhængig variabel ID]]),INDEX(DataTitel_liste,IF(LineærRegression_Valg[[#This Row],[Afhængig variabel ID]]=1,2,1))),$B$7)</f>
        <v>Eksempel 2 (interval)</v>
      </c>
      <c r="H877" s="171">
        <f>_xlfn.AGGREGATE(2,5,LineærRegression_Valg[[#This Row],[Tabel ID]])</f>
        <v>1</v>
      </c>
    </row>
    <row r="878" spans="1:8" x14ac:dyDescent="0.2">
      <c r="A878">
        <f>ROW(LineærRegression_Valg[[#This Row],[Tabel ID]])-ROW(LineærRegression_Valg[[#Headers],[Tabel ID]])</f>
        <v>868</v>
      </c>
      <c r="B878" s="171">
        <f>ROUNDDOWN((LineærRegression_Valg[[#This Row],[Tabel ID]]-1)/$B$5,0)+1</f>
        <v>217</v>
      </c>
      <c r="C878" s="171">
        <f t="shared" si="13"/>
        <v>4</v>
      </c>
      <c r="D878" s="171" t="b">
        <f>LineærRegression_Valg[[#This Row],[Afhængig variabel ID]]&lt;&gt;LineærRegression_Valg[[#This Row],[Uafhængig variabel ID]]</f>
        <v>1</v>
      </c>
      <c r="E878" t="b">
        <f>LineærRegression_Valg[[#This Row],[Afhængig variabel ID]]&lt;=$B$5</f>
        <v>0</v>
      </c>
      <c r="F878" t="str" cm="1">
        <f t="array" ref="F878">IF(LineærRegression_Valg[[#This Row],[Indenfor range]],INDEX(DataTitel_liste,LineærRegression_Valg[[#This Row],[Afhængig variabel ID]]),INDEX(DataTitel_liste,1))</f>
        <v>Eksempel 1 (interval)</v>
      </c>
      <c r="G878" s="171" t="str" cm="1">
        <f t="array" ref="G878">IF(LineærRegression_Valg[[#This Row],[Indenfor range]],IF(LineærRegression_Valg[[#This Row],[Intet overlap]],INDEX(DataTitel_liste,LineærRegression_Valg[[#This Row],[Uafhængig variabel ID]]),INDEX(DataTitel_liste,IF(LineærRegression_Valg[[#This Row],[Afhængig variabel ID]]=1,2,1))),$B$7)</f>
        <v>Eksempel 2 (interval)</v>
      </c>
      <c r="H878" s="171">
        <f>_xlfn.AGGREGATE(2,5,LineærRegression_Valg[[#This Row],[Tabel ID]])</f>
        <v>1</v>
      </c>
    </row>
    <row r="879" spans="1:8" x14ac:dyDescent="0.2">
      <c r="A879">
        <f>ROW(LineærRegression_Valg[[#This Row],[Tabel ID]])-ROW(LineærRegression_Valg[[#Headers],[Tabel ID]])</f>
        <v>869</v>
      </c>
      <c r="B879" s="171">
        <f>ROUNDDOWN((LineærRegression_Valg[[#This Row],[Tabel ID]]-1)/$B$5,0)+1</f>
        <v>218</v>
      </c>
      <c r="C879" s="171">
        <f t="shared" si="13"/>
        <v>1</v>
      </c>
      <c r="D879" s="171" t="b">
        <f>LineærRegression_Valg[[#This Row],[Afhængig variabel ID]]&lt;&gt;LineærRegression_Valg[[#This Row],[Uafhængig variabel ID]]</f>
        <v>1</v>
      </c>
      <c r="E879" t="b">
        <f>LineærRegression_Valg[[#This Row],[Afhængig variabel ID]]&lt;=$B$5</f>
        <v>0</v>
      </c>
      <c r="F879" t="str" cm="1">
        <f t="array" ref="F879">IF(LineærRegression_Valg[[#This Row],[Indenfor range]],INDEX(DataTitel_liste,LineærRegression_Valg[[#This Row],[Afhængig variabel ID]]),INDEX(DataTitel_liste,1))</f>
        <v>Eksempel 1 (interval)</v>
      </c>
      <c r="G879" s="171" t="str" cm="1">
        <f t="array" ref="G879">IF(LineærRegression_Valg[[#This Row],[Indenfor range]],IF(LineærRegression_Valg[[#This Row],[Intet overlap]],INDEX(DataTitel_liste,LineærRegression_Valg[[#This Row],[Uafhængig variabel ID]]),INDEX(DataTitel_liste,IF(LineærRegression_Valg[[#This Row],[Afhængig variabel ID]]=1,2,1))),$B$7)</f>
        <v>Eksempel 2 (interval)</v>
      </c>
      <c r="H879" s="171">
        <f>_xlfn.AGGREGATE(2,5,LineærRegression_Valg[[#This Row],[Tabel ID]])</f>
        <v>1</v>
      </c>
    </row>
    <row r="880" spans="1:8" x14ac:dyDescent="0.2">
      <c r="A880">
        <f>ROW(LineærRegression_Valg[[#This Row],[Tabel ID]])-ROW(LineærRegression_Valg[[#Headers],[Tabel ID]])</f>
        <v>870</v>
      </c>
      <c r="B880" s="171">
        <f>ROUNDDOWN((LineærRegression_Valg[[#This Row],[Tabel ID]]-1)/$B$5,0)+1</f>
        <v>218</v>
      </c>
      <c r="C880" s="171">
        <f t="shared" si="13"/>
        <v>2</v>
      </c>
      <c r="D880" s="171" t="b">
        <f>LineærRegression_Valg[[#This Row],[Afhængig variabel ID]]&lt;&gt;LineærRegression_Valg[[#This Row],[Uafhængig variabel ID]]</f>
        <v>1</v>
      </c>
      <c r="E880" t="b">
        <f>LineærRegression_Valg[[#This Row],[Afhængig variabel ID]]&lt;=$B$5</f>
        <v>0</v>
      </c>
      <c r="F880" t="str" cm="1">
        <f t="array" ref="F880">IF(LineærRegression_Valg[[#This Row],[Indenfor range]],INDEX(DataTitel_liste,LineærRegression_Valg[[#This Row],[Afhængig variabel ID]]),INDEX(DataTitel_liste,1))</f>
        <v>Eksempel 1 (interval)</v>
      </c>
      <c r="G880" s="171" t="str" cm="1">
        <f t="array" ref="G880">IF(LineærRegression_Valg[[#This Row],[Indenfor range]],IF(LineærRegression_Valg[[#This Row],[Intet overlap]],INDEX(DataTitel_liste,LineærRegression_Valg[[#This Row],[Uafhængig variabel ID]]),INDEX(DataTitel_liste,IF(LineærRegression_Valg[[#This Row],[Afhængig variabel ID]]=1,2,1))),$B$7)</f>
        <v>Eksempel 2 (interval)</v>
      </c>
      <c r="H880" s="171">
        <f>_xlfn.AGGREGATE(2,5,LineærRegression_Valg[[#This Row],[Tabel ID]])</f>
        <v>1</v>
      </c>
    </row>
    <row r="881" spans="1:8" x14ac:dyDescent="0.2">
      <c r="A881">
        <f>ROW(LineærRegression_Valg[[#This Row],[Tabel ID]])-ROW(LineærRegression_Valg[[#Headers],[Tabel ID]])</f>
        <v>871</v>
      </c>
      <c r="B881" s="171">
        <f>ROUNDDOWN((LineærRegression_Valg[[#This Row],[Tabel ID]]-1)/$B$5,0)+1</f>
        <v>218</v>
      </c>
      <c r="C881" s="171">
        <f t="shared" si="13"/>
        <v>3</v>
      </c>
      <c r="D881" s="171" t="b">
        <f>LineærRegression_Valg[[#This Row],[Afhængig variabel ID]]&lt;&gt;LineærRegression_Valg[[#This Row],[Uafhængig variabel ID]]</f>
        <v>1</v>
      </c>
      <c r="E881" t="b">
        <f>LineærRegression_Valg[[#This Row],[Afhængig variabel ID]]&lt;=$B$5</f>
        <v>0</v>
      </c>
      <c r="F881" t="str" cm="1">
        <f t="array" ref="F881">IF(LineærRegression_Valg[[#This Row],[Indenfor range]],INDEX(DataTitel_liste,LineærRegression_Valg[[#This Row],[Afhængig variabel ID]]),INDEX(DataTitel_liste,1))</f>
        <v>Eksempel 1 (interval)</v>
      </c>
      <c r="G881" s="171" t="str" cm="1">
        <f t="array" ref="G881">IF(LineærRegression_Valg[[#This Row],[Indenfor range]],IF(LineærRegression_Valg[[#This Row],[Intet overlap]],INDEX(DataTitel_liste,LineærRegression_Valg[[#This Row],[Uafhængig variabel ID]]),INDEX(DataTitel_liste,IF(LineærRegression_Valg[[#This Row],[Afhængig variabel ID]]=1,2,1))),$B$7)</f>
        <v>Eksempel 2 (interval)</v>
      </c>
      <c r="H881" s="171">
        <f>_xlfn.AGGREGATE(2,5,LineærRegression_Valg[[#This Row],[Tabel ID]])</f>
        <v>1</v>
      </c>
    </row>
    <row r="882" spans="1:8" x14ac:dyDescent="0.2">
      <c r="A882">
        <f>ROW(LineærRegression_Valg[[#This Row],[Tabel ID]])-ROW(LineærRegression_Valg[[#Headers],[Tabel ID]])</f>
        <v>872</v>
      </c>
      <c r="B882" s="171">
        <f>ROUNDDOWN((LineærRegression_Valg[[#This Row],[Tabel ID]]-1)/$B$5,0)+1</f>
        <v>218</v>
      </c>
      <c r="C882" s="171">
        <f t="shared" si="13"/>
        <v>4</v>
      </c>
      <c r="D882" s="171" t="b">
        <f>LineærRegression_Valg[[#This Row],[Afhængig variabel ID]]&lt;&gt;LineærRegression_Valg[[#This Row],[Uafhængig variabel ID]]</f>
        <v>1</v>
      </c>
      <c r="E882" t="b">
        <f>LineærRegression_Valg[[#This Row],[Afhængig variabel ID]]&lt;=$B$5</f>
        <v>0</v>
      </c>
      <c r="F882" t="str" cm="1">
        <f t="array" ref="F882">IF(LineærRegression_Valg[[#This Row],[Indenfor range]],INDEX(DataTitel_liste,LineærRegression_Valg[[#This Row],[Afhængig variabel ID]]),INDEX(DataTitel_liste,1))</f>
        <v>Eksempel 1 (interval)</v>
      </c>
      <c r="G882" s="171" t="str" cm="1">
        <f t="array" ref="G882">IF(LineærRegression_Valg[[#This Row],[Indenfor range]],IF(LineærRegression_Valg[[#This Row],[Intet overlap]],INDEX(DataTitel_liste,LineærRegression_Valg[[#This Row],[Uafhængig variabel ID]]),INDEX(DataTitel_liste,IF(LineærRegression_Valg[[#This Row],[Afhængig variabel ID]]=1,2,1))),$B$7)</f>
        <v>Eksempel 2 (interval)</v>
      </c>
      <c r="H882" s="171">
        <f>_xlfn.AGGREGATE(2,5,LineærRegression_Valg[[#This Row],[Tabel ID]])</f>
        <v>1</v>
      </c>
    </row>
    <row r="883" spans="1:8" x14ac:dyDescent="0.2">
      <c r="A883">
        <f>ROW(LineærRegression_Valg[[#This Row],[Tabel ID]])-ROW(LineærRegression_Valg[[#Headers],[Tabel ID]])</f>
        <v>873</v>
      </c>
      <c r="B883" s="171">
        <f>ROUNDDOWN((LineærRegression_Valg[[#This Row],[Tabel ID]]-1)/$B$5,0)+1</f>
        <v>219</v>
      </c>
      <c r="C883" s="171">
        <f t="shared" si="13"/>
        <v>1</v>
      </c>
      <c r="D883" s="171" t="b">
        <f>LineærRegression_Valg[[#This Row],[Afhængig variabel ID]]&lt;&gt;LineærRegression_Valg[[#This Row],[Uafhængig variabel ID]]</f>
        <v>1</v>
      </c>
      <c r="E883" t="b">
        <f>LineærRegression_Valg[[#This Row],[Afhængig variabel ID]]&lt;=$B$5</f>
        <v>0</v>
      </c>
      <c r="F883" t="str" cm="1">
        <f t="array" ref="F883">IF(LineærRegression_Valg[[#This Row],[Indenfor range]],INDEX(DataTitel_liste,LineærRegression_Valg[[#This Row],[Afhængig variabel ID]]),INDEX(DataTitel_liste,1))</f>
        <v>Eksempel 1 (interval)</v>
      </c>
      <c r="G883" s="171" t="str" cm="1">
        <f t="array" ref="G883">IF(LineærRegression_Valg[[#This Row],[Indenfor range]],IF(LineærRegression_Valg[[#This Row],[Intet overlap]],INDEX(DataTitel_liste,LineærRegression_Valg[[#This Row],[Uafhængig variabel ID]]),INDEX(DataTitel_liste,IF(LineærRegression_Valg[[#This Row],[Afhængig variabel ID]]=1,2,1))),$B$7)</f>
        <v>Eksempel 2 (interval)</v>
      </c>
      <c r="H883" s="171">
        <f>_xlfn.AGGREGATE(2,5,LineærRegression_Valg[[#This Row],[Tabel ID]])</f>
        <v>1</v>
      </c>
    </row>
    <row r="884" spans="1:8" x14ac:dyDescent="0.2">
      <c r="A884">
        <f>ROW(LineærRegression_Valg[[#This Row],[Tabel ID]])-ROW(LineærRegression_Valg[[#Headers],[Tabel ID]])</f>
        <v>874</v>
      </c>
      <c r="B884" s="171">
        <f>ROUNDDOWN((LineærRegression_Valg[[#This Row],[Tabel ID]]-1)/$B$5,0)+1</f>
        <v>219</v>
      </c>
      <c r="C884" s="171">
        <f t="shared" si="13"/>
        <v>2</v>
      </c>
      <c r="D884" s="171" t="b">
        <f>LineærRegression_Valg[[#This Row],[Afhængig variabel ID]]&lt;&gt;LineærRegression_Valg[[#This Row],[Uafhængig variabel ID]]</f>
        <v>1</v>
      </c>
      <c r="E884" t="b">
        <f>LineærRegression_Valg[[#This Row],[Afhængig variabel ID]]&lt;=$B$5</f>
        <v>0</v>
      </c>
      <c r="F884" t="str" cm="1">
        <f t="array" ref="F884">IF(LineærRegression_Valg[[#This Row],[Indenfor range]],INDEX(DataTitel_liste,LineærRegression_Valg[[#This Row],[Afhængig variabel ID]]),INDEX(DataTitel_liste,1))</f>
        <v>Eksempel 1 (interval)</v>
      </c>
      <c r="G884" s="171" t="str" cm="1">
        <f t="array" ref="G884">IF(LineærRegression_Valg[[#This Row],[Indenfor range]],IF(LineærRegression_Valg[[#This Row],[Intet overlap]],INDEX(DataTitel_liste,LineærRegression_Valg[[#This Row],[Uafhængig variabel ID]]),INDEX(DataTitel_liste,IF(LineærRegression_Valg[[#This Row],[Afhængig variabel ID]]=1,2,1))),$B$7)</f>
        <v>Eksempel 2 (interval)</v>
      </c>
      <c r="H884" s="171">
        <f>_xlfn.AGGREGATE(2,5,LineærRegression_Valg[[#This Row],[Tabel ID]])</f>
        <v>1</v>
      </c>
    </row>
    <row r="885" spans="1:8" x14ac:dyDescent="0.2">
      <c r="A885">
        <f>ROW(LineærRegression_Valg[[#This Row],[Tabel ID]])-ROW(LineærRegression_Valg[[#Headers],[Tabel ID]])</f>
        <v>875</v>
      </c>
      <c r="B885" s="171">
        <f>ROUNDDOWN((LineærRegression_Valg[[#This Row],[Tabel ID]]-1)/$B$5,0)+1</f>
        <v>219</v>
      </c>
      <c r="C885" s="171">
        <f t="shared" si="13"/>
        <v>3</v>
      </c>
      <c r="D885" s="171" t="b">
        <f>LineærRegression_Valg[[#This Row],[Afhængig variabel ID]]&lt;&gt;LineærRegression_Valg[[#This Row],[Uafhængig variabel ID]]</f>
        <v>1</v>
      </c>
      <c r="E885" t="b">
        <f>LineærRegression_Valg[[#This Row],[Afhængig variabel ID]]&lt;=$B$5</f>
        <v>0</v>
      </c>
      <c r="F885" t="str" cm="1">
        <f t="array" ref="F885">IF(LineærRegression_Valg[[#This Row],[Indenfor range]],INDEX(DataTitel_liste,LineærRegression_Valg[[#This Row],[Afhængig variabel ID]]),INDEX(DataTitel_liste,1))</f>
        <v>Eksempel 1 (interval)</v>
      </c>
      <c r="G885" s="171" t="str" cm="1">
        <f t="array" ref="G885">IF(LineærRegression_Valg[[#This Row],[Indenfor range]],IF(LineærRegression_Valg[[#This Row],[Intet overlap]],INDEX(DataTitel_liste,LineærRegression_Valg[[#This Row],[Uafhængig variabel ID]]),INDEX(DataTitel_liste,IF(LineærRegression_Valg[[#This Row],[Afhængig variabel ID]]=1,2,1))),$B$7)</f>
        <v>Eksempel 2 (interval)</v>
      </c>
      <c r="H885" s="171">
        <f>_xlfn.AGGREGATE(2,5,LineærRegression_Valg[[#This Row],[Tabel ID]])</f>
        <v>1</v>
      </c>
    </row>
    <row r="886" spans="1:8" x14ac:dyDescent="0.2">
      <c r="A886">
        <f>ROW(LineærRegression_Valg[[#This Row],[Tabel ID]])-ROW(LineærRegression_Valg[[#Headers],[Tabel ID]])</f>
        <v>876</v>
      </c>
      <c r="B886" s="171">
        <f>ROUNDDOWN((LineærRegression_Valg[[#This Row],[Tabel ID]]-1)/$B$5,0)+1</f>
        <v>219</v>
      </c>
      <c r="C886" s="171">
        <f t="shared" si="13"/>
        <v>4</v>
      </c>
      <c r="D886" s="171" t="b">
        <f>LineærRegression_Valg[[#This Row],[Afhængig variabel ID]]&lt;&gt;LineærRegression_Valg[[#This Row],[Uafhængig variabel ID]]</f>
        <v>1</v>
      </c>
      <c r="E886" t="b">
        <f>LineærRegression_Valg[[#This Row],[Afhængig variabel ID]]&lt;=$B$5</f>
        <v>0</v>
      </c>
      <c r="F886" t="str" cm="1">
        <f t="array" ref="F886">IF(LineærRegression_Valg[[#This Row],[Indenfor range]],INDEX(DataTitel_liste,LineærRegression_Valg[[#This Row],[Afhængig variabel ID]]),INDEX(DataTitel_liste,1))</f>
        <v>Eksempel 1 (interval)</v>
      </c>
      <c r="G886" s="171" t="str" cm="1">
        <f t="array" ref="G886">IF(LineærRegression_Valg[[#This Row],[Indenfor range]],IF(LineærRegression_Valg[[#This Row],[Intet overlap]],INDEX(DataTitel_liste,LineærRegression_Valg[[#This Row],[Uafhængig variabel ID]]),INDEX(DataTitel_liste,IF(LineærRegression_Valg[[#This Row],[Afhængig variabel ID]]=1,2,1))),$B$7)</f>
        <v>Eksempel 2 (interval)</v>
      </c>
      <c r="H886" s="171">
        <f>_xlfn.AGGREGATE(2,5,LineærRegression_Valg[[#This Row],[Tabel ID]])</f>
        <v>1</v>
      </c>
    </row>
    <row r="887" spans="1:8" x14ac:dyDescent="0.2">
      <c r="A887">
        <f>ROW(LineærRegression_Valg[[#This Row],[Tabel ID]])-ROW(LineærRegression_Valg[[#Headers],[Tabel ID]])</f>
        <v>877</v>
      </c>
      <c r="B887" s="171">
        <f>ROUNDDOWN((LineærRegression_Valg[[#This Row],[Tabel ID]]-1)/$B$5,0)+1</f>
        <v>220</v>
      </c>
      <c r="C887" s="171">
        <f t="shared" si="13"/>
        <v>1</v>
      </c>
      <c r="D887" s="171" t="b">
        <f>LineærRegression_Valg[[#This Row],[Afhængig variabel ID]]&lt;&gt;LineærRegression_Valg[[#This Row],[Uafhængig variabel ID]]</f>
        <v>1</v>
      </c>
      <c r="E887" t="b">
        <f>LineærRegression_Valg[[#This Row],[Afhængig variabel ID]]&lt;=$B$5</f>
        <v>0</v>
      </c>
      <c r="F887" t="str" cm="1">
        <f t="array" ref="F887">IF(LineærRegression_Valg[[#This Row],[Indenfor range]],INDEX(DataTitel_liste,LineærRegression_Valg[[#This Row],[Afhængig variabel ID]]),INDEX(DataTitel_liste,1))</f>
        <v>Eksempel 1 (interval)</v>
      </c>
      <c r="G887" s="171" t="str" cm="1">
        <f t="array" ref="G887">IF(LineærRegression_Valg[[#This Row],[Indenfor range]],IF(LineærRegression_Valg[[#This Row],[Intet overlap]],INDEX(DataTitel_liste,LineærRegression_Valg[[#This Row],[Uafhængig variabel ID]]),INDEX(DataTitel_liste,IF(LineærRegression_Valg[[#This Row],[Afhængig variabel ID]]=1,2,1))),$B$7)</f>
        <v>Eksempel 2 (interval)</v>
      </c>
      <c r="H887" s="171">
        <f>_xlfn.AGGREGATE(2,5,LineærRegression_Valg[[#This Row],[Tabel ID]])</f>
        <v>1</v>
      </c>
    </row>
    <row r="888" spans="1:8" x14ac:dyDescent="0.2">
      <c r="A888">
        <f>ROW(LineærRegression_Valg[[#This Row],[Tabel ID]])-ROW(LineærRegression_Valg[[#Headers],[Tabel ID]])</f>
        <v>878</v>
      </c>
      <c r="B888" s="171">
        <f>ROUNDDOWN((LineærRegression_Valg[[#This Row],[Tabel ID]]-1)/$B$5,0)+1</f>
        <v>220</v>
      </c>
      <c r="C888" s="171">
        <f t="shared" si="13"/>
        <v>2</v>
      </c>
      <c r="D888" s="171" t="b">
        <f>LineærRegression_Valg[[#This Row],[Afhængig variabel ID]]&lt;&gt;LineærRegression_Valg[[#This Row],[Uafhængig variabel ID]]</f>
        <v>1</v>
      </c>
      <c r="E888" t="b">
        <f>LineærRegression_Valg[[#This Row],[Afhængig variabel ID]]&lt;=$B$5</f>
        <v>0</v>
      </c>
      <c r="F888" t="str" cm="1">
        <f t="array" ref="F888">IF(LineærRegression_Valg[[#This Row],[Indenfor range]],INDEX(DataTitel_liste,LineærRegression_Valg[[#This Row],[Afhængig variabel ID]]),INDEX(DataTitel_liste,1))</f>
        <v>Eksempel 1 (interval)</v>
      </c>
      <c r="G888" s="171" t="str" cm="1">
        <f t="array" ref="G888">IF(LineærRegression_Valg[[#This Row],[Indenfor range]],IF(LineærRegression_Valg[[#This Row],[Intet overlap]],INDEX(DataTitel_liste,LineærRegression_Valg[[#This Row],[Uafhængig variabel ID]]),INDEX(DataTitel_liste,IF(LineærRegression_Valg[[#This Row],[Afhængig variabel ID]]=1,2,1))),$B$7)</f>
        <v>Eksempel 2 (interval)</v>
      </c>
      <c r="H888" s="171">
        <f>_xlfn.AGGREGATE(2,5,LineærRegression_Valg[[#This Row],[Tabel ID]])</f>
        <v>1</v>
      </c>
    </row>
    <row r="889" spans="1:8" x14ac:dyDescent="0.2">
      <c r="A889">
        <f>ROW(LineærRegression_Valg[[#This Row],[Tabel ID]])-ROW(LineærRegression_Valg[[#Headers],[Tabel ID]])</f>
        <v>879</v>
      </c>
      <c r="B889" s="171">
        <f>ROUNDDOWN((LineærRegression_Valg[[#This Row],[Tabel ID]]-1)/$B$5,0)+1</f>
        <v>220</v>
      </c>
      <c r="C889" s="171">
        <f t="shared" si="13"/>
        <v>3</v>
      </c>
      <c r="D889" s="171" t="b">
        <f>LineærRegression_Valg[[#This Row],[Afhængig variabel ID]]&lt;&gt;LineærRegression_Valg[[#This Row],[Uafhængig variabel ID]]</f>
        <v>1</v>
      </c>
      <c r="E889" t="b">
        <f>LineærRegression_Valg[[#This Row],[Afhængig variabel ID]]&lt;=$B$5</f>
        <v>0</v>
      </c>
      <c r="F889" t="str" cm="1">
        <f t="array" ref="F889">IF(LineærRegression_Valg[[#This Row],[Indenfor range]],INDEX(DataTitel_liste,LineærRegression_Valg[[#This Row],[Afhængig variabel ID]]),INDEX(DataTitel_liste,1))</f>
        <v>Eksempel 1 (interval)</v>
      </c>
      <c r="G889" s="171" t="str" cm="1">
        <f t="array" ref="G889">IF(LineærRegression_Valg[[#This Row],[Indenfor range]],IF(LineærRegression_Valg[[#This Row],[Intet overlap]],INDEX(DataTitel_liste,LineærRegression_Valg[[#This Row],[Uafhængig variabel ID]]),INDEX(DataTitel_liste,IF(LineærRegression_Valg[[#This Row],[Afhængig variabel ID]]=1,2,1))),$B$7)</f>
        <v>Eksempel 2 (interval)</v>
      </c>
      <c r="H889" s="171">
        <f>_xlfn.AGGREGATE(2,5,LineærRegression_Valg[[#This Row],[Tabel ID]])</f>
        <v>1</v>
      </c>
    </row>
    <row r="890" spans="1:8" x14ac:dyDescent="0.2">
      <c r="A890">
        <f>ROW(LineærRegression_Valg[[#This Row],[Tabel ID]])-ROW(LineærRegression_Valg[[#Headers],[Tabel ID]])</f>
        <v>880</v>
      </c>
      <c r="B890" s="171">
        <f>ROUNDDOWN((LineærRegression_Valg[[#This Row],[Tabel ID]]-1)/$B$5,0)+1</f>
        <v>220</v>
      </c>
      <c r="C890" s="171">
        <f t="shared" si="13"/>
        <v>4</v>
      </c>
      <c r="D890" s="171" t="b">
        <f>LineærRegression_Valg[[#This Row],[Afhængig variabel ID]]&lt;&gt;LineærRegression_Valg[[#This Row],[Uafhængig variabel ID]]</f>
        <v>1</v>
      </c>
      <c r="E890" t="b">
        <f>LineærRegression_Valg[[#This Row],[Afhængig variabel ID]]&lt;=$B$5</f>
        <v>0</v>
      </c>
      <c r="F890" t="str" cm="1">
        <f t="array" ref="F890">IF(LineærRegression_Valg[[#This Row],[Indenfor range]],INDEX(DataTitel_liste,LineærRegression_Valg[[#This Row],[Afhængig variabel ID]]),INDEX(DataTitel_liste,1))</f>
        <v>Eksempel 1 (interval)</v>
      </c>
      <c r="G890" s="171" t="str" cm="1">
        <f t="array" ref="G890">IF(LineærRegression_Valg[[#This Row],[Indenfor range]],IF(LineærRegression_Valg[[#This Row],[Intet overlap]],INDEX(DataTitel_liste,LineærRegression_Valg[[#This Row],[Uafhængig variabel ID]]),INDEX(DataTitel_liste,IF(LineærRegression_Valg[[#This Row],[Afhængig variabel ID]]=1,2,1))),$B$7)</f>
        <v>Eksempel 2 (interval)</v>
      </c>
      <c r="H890" s="171">
        <f>_xlfn.AGGREGATE(2,5,LineærRegression_Valg[[#This Row],[Tabel ID]])</f>
        <v>1</v>
      </c>
    </row>
    <row r="891" spans="1:8" x14ac:dyDescent="0.2">
      <c r="A891">
        <f>ROW(LineærRegression_Valg[[#This Row],[Tabel ID]])-ROW(LineærRegression_Valg[[#Headers],[Tabel ID]])</f>
        <v>881</v>
      </c>
      <c r="B891" s="171">
        <f>ROUNDDOWN((LineærRegression_Valg[[#This Row],[Tabel ID]]-1)/$B$5,0)+1</f>
        <v>221</v>
      </c>
      <c r="C891" s="171">
        <f t="shared" si="13"/>
        <v>1</v>
      </c>
      <c r="D891" s="171" t="b">
        <f>LineærRegression_Valg[[#This Row],[Afhængig variabel ID]]&lt;&gt;LineærRegression_Valg[[#This Row],[Uafhængig variabel ID]]</f>
        <v>1</v>
      </c>
      <c r="E891" t="b">
        <f>LineærRegression_Valg[[#This Row],[Afhængig variabel ID]]&lt;=$B$5</f>
        <v>0</v>
      </c>
      <c r="F891" t="str" cm="1">
        <f t="array" ref="F891">IF(LineærRegression_Valg[[#This Row],[Indenfor range]],INDEX(DataTitel_liste,LineærRegression_Valg[[#This Row],[Afhængig variabel ID]]),INDEX(DataTitel_liste,1))</f>
        <v>Eksempel 1 (interval)</v>
      </c>
      <c r="G891" s="171" t="str" cm="1">
        <f t="array" ref="G891">IF(LineærRegression_Valg[[#This Row],[Indenfor range]],IF(LineærRegression_Valg[[#This Row],[Intet overlap]],INDEX(DataTitel_liste,LineærRegression_Valg[[#This Row],[Uafhængig variabel ID]]),INDEX(DataTitel_liste,IF(LineærRegression_Valg[[#This Row],[Afhængig variabel ID]]=1,2,1))),$B$7)</f>
        <v>Eksempel 2 (interval)</v>
      </c>
      <c r="H891" s="171">
        <f>_xlfn.AGGREGATE(2,5,LineærRegression_Valg[[#This Row],[Tabel ID]])</f>
        <v>1</v>
      </c>
    </row>
    <row r="892" spans="1:8" x14ac:dyDescent="0.2">
      <c r="A892">
        <f>ROW(LineærRegression_Valg[[#This Row],[Tabel ID]])-ROW(LineærRegression_Valg[[#Headers],[Tabel ID]])</f>
        <v>882</v>
      </c>
      <c r="B892" s="171">
        <f>ROUNDDOWN((LineærRegression_Valg[[#This Row],[Tabel ID]]-1)/$B$5,0)+1</f>
        <v>221</v>
      </c>
      <c r="C892" s="171">
        <f t="shared" si="13"/>
        <v>2</v>
      </c>
      <c r="D892" s="171" t="b">
        <f>LineærRegression_Valg[[#This Row],[Afhængig variabel ID]]&lt;&gt;LineærRegression_Valg[[#This Row],[Uafhængig variabel ID]]</f>
        <v>1</v>
      </c>
      <c r="E892" t="b">
        <f>LineærRegression_Valg[[#This Row],[Afhængig variabel ID]]&lt;=$B$5</f>
        <v>0</v>
      </c>
      <c r="F892" t="str" cm="1">
        <f t="array" ref="F892">IF(LineærRegression_Valg[[#This Row],[Indenfor range]],INDEX(DataTitel_liste,LineærRegression_Valg[[#This Row],[Afhængig variabel ID]]),INDEX(DataTitel_liste,1))</f>
        <v>Eksempel 1 (interval)</v>
      </c>
      <c r="G892" s="171" t="str" cm="1">
        <f t="array" ref="G892">IF(LineærRegression_Valg[[#This Row],[Indenfor range]],IF(LineærRegression_Valg[[#This Row],[Intet overlap]],INDEX(DataTitel_liste,LineærRegression_Valg[[#This Row],[Uafhængig variabel ID]]),INDEX(DataTitel_liste,IF(LineærRegression_Valg[[#This Row],[Afhængig variabel ID]]=1,2,1))),$B$7)</f>
        <v>Eksempel 2 (interval)</v>
      </c>
      <c r="H892" s="171">
        <f>_xlfn.AGGREGATE(2,5,LineærRegression_Valg[[#This Row],[Tabel ID]])</f>
        <v>1</v>
      </c>
    </row>
    <row r="893" spans="1:8" x14ac:dyDescent="0.2">
      <c r="A893">
        <f>ROW(LineærRegression_Valg[[#This Row],[Tabel ID]])-ROW(LineærRegression_Valg[[#Headers],[Tabel ID]])</f>
        <v>883</v>
      </c>
      <c r="B893" s="171">
        <f>ROUNDDOWN((LineærRegression_Valg[[#This Row],[Tabel ID]]-1)/$B$5,0)+1</f>
        <v>221</v>
      </c>
      <c r="C893" s="171">
        <f t="shared" si="13"/>
        <v>3</v>
      </c>
      <c r="D893" s="171" t="b">
        <f>LineærRegression_Valg[[#This Row],[Afhængig variabel ID]]&lt;&gt;LineærRegression_Valg[[#This Row],[Uafhængig variabel ID]]</f>
        <v>1</v>
      </c>
      <c r="E893" t="b">
        <f>LineærRegression_Valg[[#This Row],[Afhængig variabel ID]]&lt;=$B$5</f>
        <v>0</v>
      </c>
      <c r="F893" t="str" cm="1">
        <f t="array" ref="F893">IF(LineærRegression_Valg[[#This Row],[Indenfor range]],INDEX(DataTitel_liste,LineærRegression_Valg[[#This Row],[Afhængig variabel ID]]),INDEX(DataTitel_liste,1))</f>
        <v>Eksempel 1 (interval)</v>
      </c>
      <c r="G893" s="171" t="str" cm="1">
        <f t="array" ref="G893">IF(LineærRegression_Valg[[#This Row],[Indenfor range]],IF(LineærRegression_Valg[[#This Row],[Intet overlap]],INDEX(DataTitel_liste,LineærRegression_Valg[[#This Row],[Uafhængig variabel ID]]),INDEX(DataTitel_liste,IF(LineærRegression_Valg[[#This Row],[Afhængig variabel ID]]=1,2,1))),$B$7)</f>
        <v>Eksempel 2 (interval)</v>
      </c>
      <c r="H893" s="171">
        <f>_xlfn.AGGREGATE(2,5,LineærRegression_Valg[[#This Row],[Tabel ID]])</f>
        <v>1</v>
      </c>
    </row>
    <row r="894" spans="1:8" x14ac:dyDescent="0.2">
      <c r="A894">
        <f>ROW(LineærRegression_Valg[[#This Row],[Tabel ID]])-ROW(LineærRegression_Valg[[#Headers],[Tabel ID]])</f>
        <v>884</v>
      </c>
      <c r="B894" s="171">
        <f>ROUNDDOWN((LineærRegression_Valg[[#This Row],[Tabel ID]]-1)/$B$5,0)+1</f>
        <v>221</v>
      </c>
      <c r="C894" s="171">
        <f t="shared" si="13"/>
        <v>4</v>
      </c>
      <c r="D894" s="171" t="b">
        <f>LineærRegression_Valg[[#This Row],[Afhængig variabel ID]]&lt;&gt;LineærRegression_Valg[[#This Row],[Uafhængig variabel ID]]</f>
        <v>1</v>
      </c>
      <c r="E894" t="b">
        <f>LineærRegression_Valg[[#This Row],[Afhængig variabel ID]]&lt;=$B$5</f>
        <v>0</v>
      </c>
      <c r="F894" t="str" cm="1">
        <f t="array" ref="F894">IF(LineærRegression_Valg[[#This Row],[Indenfor range]],INDEX(DataTitel_liste,LineærRegression_Valg[[#This Row],[Afhængig variabel ID]]),INDEX(DataTitel_liste,1))</f>
        <v>Eksempel 1 (interval)</v>
      </c>
      <c r="G894" s="171" t="str" cm="1">
        <f t="array" ref="G894">IF(LineærRegression_Valg[[#This Row],[Indenfor range]],IF(LineærRegression_Valg[[#This Row],[Intet overlap]],INDEX(DataTitel_liste,LineærRegression_Valg[[#This Row],[Uafhængig variabel ID]]),INDEX(DataTitel_liste,IF(LineærRegression_Valg[[#This Row],[Afhængig variabel ID]]=1,2,1))),$B$7)</f>
        <v>Eksempel 2 (interval)</v>
      </c>
      <c r="H894" s="171">
        <f>_xlfn.AGGREGATE(2,5,LineærRegression_Valg[[#This Row],[Tabel ID]])</f>
        <v>1</v>
      </c>
    </row>
    <row r="895" spans="1:8" x14ac:dyDescent="0.2">
      <c r="A895">
        <f>ROW(LineærRegression_Valg[[#This Row],[Tabel ID]])-ROW(LineærRegression_Valg[[#Headers],[Tabel ID]])</f>
        <v>885</v>
      </c>
      <c r="B895" s="171">
        <f>ROUNDDOWN((LineærRegression_Valg[[#This Row],[Tabel ID]]-1)/$B$5,0)+1</f>
        <v>222</v>
      </c>
      <c r="C895" s="171">
        <f t="shared" si="13"/>
        <v>1</v>
      </c>
      <c r="D895" s="171" t="b">
        <f>LineærRegression_Valg[[#This Row],[Afhængig variabel ID]]&lt;&gt;LineærRegression_Valg[[#This Row],[Uafhængig variabel ID]]</f>
        <v>1</v>
      </c>
      <c r="E895" t="b">
        <f>LineærRegression_Valg[[#This Row],[Afhængig variabel ID]]&lt;=$B$5</f>
        <v>0</v>
      </c>
      <c r="F895" t="str" cm="1">
        <f t="array" ref="F895">IF(LineærRegression_Valg[[#This Row],[Indenfor range]],INDEX(DataTitel_liste,LineærRegression_Valg[[#This Row],[Afhængig variabel ID]]),INDEX(DataTitel_liste,1))</f>
        <v>Eksempel 1 (interval)</v>
      </c>
      <c r="G895" s="171" t="str" cm="1">
        <f t="array" ref="G895">IF(LineærRegression_Valg[[#This Row],[Indenfor range]],IF(LineærRegression_Valg[[#This Row],[Intet overlap]],INDEX(DataTitel_liste,LineærRegression_Valg[[#This Row],[Uafhængig variabel ID]]),INDEX(DataTitel_liste,IF(LineærRegression_Valg[[#This Row],[Afhængig variabel ID]]=1,2,1))),$B$7)</f>
        <v>Eksempel 2 (interval)</v>
      </c>
      <c r="H895" s="171">
        <f>_xlfn.AGGREGATE(2,5,LineærRegression_Valg[[#This Row],[Tabel ID]])</f>
        <v>1</v>
      </c>
    </row>
    <row r="896" spans="1:8" x14ac:dyDescent="0.2">
      <c r="A896">
        <f>ROW(LineærRegression_Valg[[#This Row],[Tabel ID]])-ROW(LineærRegression_Valg[[#Headers],[Tabel ID]])</f>
        <v>886</v>
      </c>
      <c r="B896" s="171">
        <f>ROUNDDOWN((LineærRegression_Valg[[#This Row],[Tabel ID]]-1)/$B$5,0)+1</f>
        <v>222</v>
      </c>
      <c r="C896" s="171">
        <f t="shared" si="13"/>
        <v>2</v>
      </c>
      <c r="D896" s="171" t="b">
        <f>LineærRegression_Valg[[#This Row],[Afhængig variabel ID]]&lt;&gt;LineærRegression_Valg[[#This Row],[Uafhængig variabel ID]]</f>
        <v>1</v>
      </c>
      <c r="E896" t="b">
        <f>LineærRegression_Valg[[#This Row],[Afhængig variabel ID]]&lt;=$B$5</f>
        <v>0</v>
      </c>
      <c r="F896" t="str" cm="1">
        <f t="array" ref="F896">IF(LineærRegression_Valg[[#This Row],[Indenfor range]],INDEX(DataTitel_liste,LineærRegression_Valg[[#This Row],[Afhængig variabel ID]]),INDEX(DataTitel_liste,1))</f>
        <v>Eksempel 1 (interval)</v>
      </c>
      <c r="G896" s="171" t="str" cm="1">
        <f t="array" ref="G896">IF(LineærRegression_Valg[[#This Row],[Indenfor range]],IF(LineærRegression_Valg[[#This Row],[Intet overlap]],INDEX(DataTitel_liste,LineærRegression_Valg[[#This Row],[Uafhængig variabel ID]]),INDEX(DataTitel_liste,IF(LineærRegression_Valg[[#This Row],[Afhængig variabel ID]]=1,2,1))),$B$7)</f>
        <v>Eksempel 2 (interval)</v>
      </c>
      <c r="H896" s="171">
        <f>_xlfn.AGGREGATE(2,5,LineærRegression_Valg[[#This Row],[Tabel ID]])</f>
        <v>1</v>
      </c>
    </row>
    <row r="897" spans="1:8" x14ac:dyDescent="0.2">
      <c r="A897">
        <f>ROW(LineærRegression_Valg[[#This Row],[Tabel ID]])-ROW(LineærRegression_Valg[[#Headers],[Tabel ID]])</f>
        <v>887</v>
      </c>
      <c r="B897" s="171">
        <f>ROUNDDOWN((LineærRegression_Valg[[#This Row],[Tabel ID]]-1)/$B$5,0)+1</f>
        <v>222</v>
      </c>
      <c r="C897" s="171">
        <f t="shared" si="13"/>
        <v>3</v>
      </c>
      <c r="D897" s="171" t="b">
        <f>LineærRegression_Valg[[#This Row],[Afhængig variabel ID]]&lt;&gt;LineærRegression_Valg[[#This Row],[Uafhængig variabel ID]]</f>
        <v>1</v>
      </c>
      <c r="E897" t="b">
        <f>LineærRegression_Valg[[#This Row],[Afhængig variabel ID]]&lt;=$B$5</f>
        <v>0</v>
      </c>
      <c r="F897" t="str" cm="1">
        <f t="array" ref="F897">IF(LineærRegression_Valg[[#This Row],[Indenfor range]],INDEX(DataTitel_liste,LineærRegression_Valg[[#This Row],[Afhængig variabel ID]]),INDEX(DataTitel_liste,1))</f>
        <v>Eksempel 1 (interval)</v>
      </c>
      <c r="G897" s="171" t="str" cm="1">
        <f t="array" ref="G897">IF(LineærRegression_Valg[[#This Row],[Indenfor range]],IF(LineærRegression_Valg[[#This Row],[Intet overlap]],INDEX(DataTitel_liste,LineærRegression_Valg[[#This Row],[Uafhængig variabel ID]]),INDEX(DataTitel_liste,IF(LineærRegression_Valg[[#This Row],[Afhængig variabel ID]]=1,2,1))),$B$7)</f>
        <v>Eksempel 2 (interval)</v>
      </c>
      <c r="H897" s="171">
        <f>_xlfn.AGGREGATE(2,5,LineærRegression_Valg[[#This Row],[Tabel ID]])</f>
        <v>1</v>
      </c>
    </row>
    <row r="898" spans="1:8" x14ac:dyDescent="0.2">
      <c r="A898">
        <f>ROW(LineærRegression_Valg[[#This Row],[Tabel ID]])-ROW(LineærRegression_Valg[[#Headers],[Tabel ID]])</f>
        <v>888</v>
      </c>
      <c r="B898" s="171">
        <f>ROUNDDOWN((LineærRegression_Valg[[#This Row],[Tabel ID]]-1)/$B$5,0)+1</f>
        <v>222</v>
      </c>
      <c r="C898" s="171">
        <f t="shared" si="13"/>
        <v>4</v>
      </c>
      <c r="D898" s="171" t="b">
        <f>LineærRegression_Valg[[#This Row],[Afhængig variabel ID]]&lt;&gt;LineærRegression_Valg[[#This Row],[Uafhængig variabel ID]]</f>
        <v>1</v>
      </c>
      <c r="E898" t="b">
        <f>LineærRegression_Valg[[#This Row],[Afhængig variabel ID]]&lt;=$B$5</f>
        <v>0</v>
      </c>
      <c r="F898" t="str" cm="1">
        <f t="array" ref="F898">IF(LineærRegression_Valg[[#This Row],[Indenfor range]],INDEX(DataTitel_liste,LineærRegression_Valg[[#This Row],[Afhængig variabel ID]]),INDEX(DataTitel_liste,1))</f>
        <v>Eksempel 1 (interval)</v>
      </c>
      <c r="G898" s="171" t="str" cm="1">
        <f t="array" ref="G898">IF(LineærRegression_Valg[[#This Row],[Indenfor range]],IF(LineærRegression_Valg[[#This Row],[Intet overlap]],INDEX(DataTitel_liste,LineærRegression_Valg[[#This Row],[Uafhængig variabel ID]]),INDEX(DataTitel_liste,IF(LineærRegression_Valg[[#This Row],[Afhængig variabel ID]]=1,2,1))),$B$7)</f>
        <v>Eksempel 2 (interval)</v>
      </c>
      <c r="H898" s="171">
        <f>_xlfn.AGGREGATE(2,5,LineærRegression_Valg[[#This Row],[Tabel ID]])</f>
        <v>1</v>
      </c>
    </row>
    <row r="899" spans="1:8" x14ac:dyDescent="0.2">
      <c r="A899">
        <f>ROW(LineærRegression_Valg[[#This Row],[Tabel ID]])-ROW(LineærRegression_Valg[[#Headers],[Tabel ID]])</f>
        <v>889</v>
      </c>
      <c r="B899" s="171">
        <f>ROUNDDOWN((LineærRegression_Valg[[#This Row],[Tabel ID]]-1)/$B$5,0)+1</f>
        <v>223</v>
      </c>
      <c r="C899" s="171">
        <f t="shared" si="13"/>
        <v>1</v>
      </c>
      <c r="D899" s="171" t="b">
        <f>LineærRegression_Valg[[#This Row],[Afhængig variabel ID]]&lt;&gt;LineærRegression_Valg[[#This Row],[Uafhængig variabel ID]]</f>
        <v>1</v>
      </c>
      <c r="E899" t="b">
        <f>LineærRegression_Valg[[#This Row],[Afhængig variabel ID]]&lt;=$B$5</f>
        <v>0</v>
      </c>
      <c r="F899" t="str" cm="1">
        <f t="array" ref="F899">IF(LineærRegression_Valg[[#This Row],[Indenfor range]],INDEX(DataTitel_liste,LineærRegression_Valg[[#This Row],[Afhængig variabel ID]]),INDEX(DataTitel_liste,1))</f>
        <v>Eksempel 1 (interval)</v>
      </c>
      <c r="G899" s="171" t="str" cm="1">
        <f t="array" ref="G899">IF(LineærRegression_Valg[[#This Row],[Indenfor range]],IF(LineærRegression_Valg[[#This Row],[Intet overlap]],INDEX(DataTitel_liste,LineærRegression_Valg[[#This Row],[Uafhængig variabel ID]]),INDEX(DataTitel_liste,IF(LineærRegression_Valg[[#This Row],[Afhængig variabel ID]]=1,2,1))),$B$7)</f>
        <v>Eksempel 2 (interval)</v>
      </c>
      <c r="H899" s="171">
        <f>_xlfn.AGGREGATE(2,5,LineærRegression_Valg[[#This Row],[Tabel ID]])</f>
        <v>1</v>
      </c>
    </row>
    <row r="900" spans="1:8" x14ac:dyDescent="0.2">
      <c r="A900">
        <f>ROW(LineærRegression_Valg[[#This Row],[Tabel ID]])-ROW(LineærRegression_Valg[[#Headers],[Tabel ID]])</f>
        <v>890</v>
      </c>
      <c r="B900" s="171">
        <f>ROUNDDOWN((LineærRegression_Valg[[#This Row],[Tabel ID]]-1)/$B$5,0)+1</f>
        <v>223</v>
      </c>
      <c r="C900" s="171">
        <f t="shared" si="13"/>
        <v>2</v>
      </c>
      <c r="D900" s="171" t="b">
        <f>LineærRegression_Valg[[#This Row],[Afhængig variabel ID]]&lt;&gt;LineærRegression_Valg[[#This Row],[Uafhængig variabel ID]]</f>
        <v>1</v>
      </c>
      <c r="E900" t="b">
        <f>LineærRegression_Valg[[#This Row],[Afhængig variabel ID]]&lt;=$B$5</f>
        <v>0</v>
      </c>
      <c r="F900" t="str" cm="1">
        <f t="array" ref="F900">IF(LineærRegression_Valg[[#This Row],[Indenfor range]],INDEX(DataTitel_liste,LineærRegression_Valg[[#This Row],[Afhængig variabel ID]]),INDEX(DataTitel_liste,1))</f>
        <v>Eksempel 1 (interval)</v>
      </c>
      <c r="G900" s="171" t="str" cm="1">
        <f t="array" ref="G900">IF(LineærRegression_Valg[[#This Row],[Indenfor range]],IF(LineærRegression_Valg[[#This Row],[Intet overlap]],INDEX(DataTitel_liste,LineærRegression_Valg[[#This Row],[Uafhængig variabel ID]]),INDEX(DataTitel_liste,IF(LineærRegression_Valg[[#This Row],[Afhængig variabel ID]]=1,2,1))),$B$7)</f>
        <v>Eksempel 2 (interval)</v>
      </c>
      <c r="H900" s="171">
        <f>_xlfn.AGGREGATE(2,5,LineærRegression_Valg[[#This Row],[Tabel ID]])</f>
        <v>1</v>
      </c>
    </row>
    <row r="901" spans="1:8" x14ac:dyDescent="0.2">
      <c r="A901">
        <f>ROW(LineærRegression_Valg[[#This Row],[Tabel ID]])-ROW(LineærRegression_Valg[[#Headers],[Tabel ID]])</f>
        <v>891</v>
      </c>
      <c r="B901" s="171">
        <f>ROUNDDOWN((LineærRegression_Valg[[#This Row],[Tabel ID]]-1)/$B$5,0)+1</f>
        <v>223</v>
      </c>
      <c r="C901" s="171">
        <f t="shared" si="13"/>
        <v>3</v>
      </c>
      <c r="D901" s="171" t="b">
        <f>LineærRegression_Valg[[#This Row],[Afhængig variabel ID]]&lt;&gt;LineærRegression_Valg[[#This Row],[Uafhængig variabel ID]]</f>
        <v>1</v>
      </c>
      <c r="E901" t="b">
        <f>LineærRegression_Valg[[#This Row],[Afhængig variabel ID]]&lt;=$B$5</f>
        <v>0</v>
      </c>
      <c r="F901" t="str" cm="1">
        <f t="array" ref="F901">IF(LineærRegression_Valg[[#This Row],[Indenfor range]],INDEX(DataTitel_liste,LineærRegression_Valg[[#This Row],[Afhængig variabel ID]]),INDEX(DataTitel_liste,1))</f>
        <v>Eksempel 1 (interval)</v>
      </c>
      <c r="G901" s="171" t="str" cm="1">
        <f t="array" ref="G901">IF(LineærRegression_Valg[[#This Row],[Indenfor range]],IF(LineærRegression_Valg[[#This Row],[Intet overlap]],INDEX(DataTitel_liste,LineærRegression_Valg[[#This Row],[Uafhængig variabel ID]]),INDEX(DataTitel_liste,IF(LineærRegression_Valg[[#This Row],[Afhængig variabel ID]]=1,2,1))),$B$7)</f>
        <v>Eksempel 2 (interval)</v>
      </c>
      <c r="H901" s="171">
        <f>_xlfn.AGGREGATE(2,5,LineærRegression_Valg[[#This Row],[Tabel ID]])</f>
        <v>1</v>
      </c>
    </row>
    <row r="902" spans="1:8" x14ac:dyDescent="0.2">
      <c r="A902">
        <f>ROW(LineærRegression_Valg[[#This Row],[Tabel ID]])-ROW(LineærRegression_Valg[[#Headers],[Tabel ID]])</f>
        <v>892</v>
      </c>
      <c r="B902" s="171">
        <f>ROUNDDOWN((LineærRegression_Valg[[#This Row],[Tabel ID]]-1)/$B$5,0)+1</f>
        <v>223</v>
      </c>
      <c r="C902" s="171">
        <f t="shared" si="13"/>
        <v>4</v>
      </c>
      <c r="D902" s="171" t="b">
        <f>LineærRegression_Valg[[#This Row],[Afhængig variabel ID]]&lt;&gt;LineærRegression_Valg[[#This Row],[Uafhængig variabel ID]]</f>
        <v>1</v>
      </c>
      <c r="E902" t="b">
        <f>LineærRegression_Valg[[#This Row],[Afhængig variabel ID]]&lt;=$B$5</f>
        <v>0</v>
      </c>
      <c r="F902" t="str" cm="1">
        <f t="array" ref="F902">IF(LineærRegression_Valg[[#This Row],[Indenfor range]],INDEX(DataTitel_liste,LineærRegression_Valg[[#This Row],[Afhængig variabel ID]]),INDEX(DataTitel_liste,1))</f>
        <v>Eksempel 1 (interval)</v>
      </c>
      <c r="G902" s="171" t="str" cm="1">
        <f t="array" ref="G902">IF(LineærRegression_Valg[[#This Row],[Indenfor range]],IF(LineærRegression_Valg[[#This Row],[Intet overlap]],INDEX(DataTitel_liste,LineærRegression_Valg[[#This Row],[Uafhængig variabel ID]]),INDEX(DataTitel_liste,IF(LineærRegression_Valg[[#This Row],[Afhængig variabel ID]]=1,2,1))),$B$7)</f>
        <v>Eksempel 2 (interval)</v>
      </c>
      <c r="H902" s="171">
        <f>_xlfn.AGGREGATE(2,5,LineærRegression_Valg[[#This Row],[Tabel ID]])</f>
        <v>1</v>
      </c>
    </row>
    <row r="903" spans="1:8" x14ac:dyDescent="0.2">
      <c r="A903">
        <f>ROW(LineærRegression_Valg[[#This Row],[Tabel ID]])-ROW(LineærRegression_Valg[[#Headers],[Tabel ID]])</f>
        <v>893</v>
      </c>
      <c r="B903" s="171">
        <f>ROUNDDOWN((LineærRegression_Valg[[#This Row],[Tabel ID]]-1)/$B$5,0)+1</f>
        <v>224</v>
      </c>
      <c r="C903" s="171">
        <f t="shared" si="13"/>
        <v>1</v>
      </c>
      <c r="D903" s="171" t="b">
        <f>LineærRegression_Valg[[#This Row],[Afhængig variabel ID]]&lt;&gt;LineærRegression_Valg[[#This Row],[Uafhængig variabel ID]]</f>
        <v>1</v>
      </c>
      <c r="E903" t="b">
        <f>LineærRegression_Valg[[#This Row],[Afhængig variabel ID]]&lt;=$B$5</f>
        <v>0</v>
      </c>
      <c r="F903" t="str" cm="1">
        <f t="array" ref="F903">IF(LineærRegression_Valg[[#This Row],[Indenfor range]],INDEX(DataTitel_liste,LineærRegression_Valg[[#This Row],[Afhængig variabel ID]]),INDEX(DataTitel_liste,1))</f>
        <v>Eksempel 1 (interval)</v>
      </c>
      <c r="G903" s="171" t="str" cm="1">
        <f t="array" ref="G903">IF(LineærRegression_Valg[[#This Row],[Indenfor range]],IF(LineærRegression_Valg[[#This Row],[Intet overlap]],INDEX(DataTitel_liste,LineærRegression_Valg[[#This Row],[Uafhængig variabel ID]]),INDEX(DataTitel_liste,IF(LineærRegression_Valg[[#This Row],[Afhængig variabel ID]]=1,2,1))),$B$7)</f>
        <v>Eksempel 2 (interval)</v>
      </c>
      <c r="H903" s="171">
        <f>_xlfn.AGGREGATE(2,5,LineærRegression_Valg[[#This Row],[Tabel ID]])</f>
        <v>1</v>
      </c>
    </row>
    <row r="904" spans="1:8" x14ac:dyDescent="0.2">
      <c r="A904">
        <f>ROW(LineærRegression_Valg[[#This Row],[Tabel ID]])-ROW(LineærRegression_Valg[[#Headers],[Tabel ID]])</f>
        <v>894</v>
      </c>
      <c r="B904" s="171">
        <f>ROUNDDOWN((LineærRegression_Valg[[#This Row],[Tabel ID]]-1)/$B$5,0)+1</f>
        <v>224</v>
      </c>
      <c r="C904" s="171">
        <f t="shared" si="13"/>
        <v>2</v>
      </c>
      <c r="D904" s="171" t="b">
        <f>LineærRegression_Valg[[#This Row],[Afhængig variabel ID]]&lt;&gt;LineærRegression_Valg[[#This Row],[Uafhængig variabel ID]]</f>
        <v>1</v>
      </c>
      <c r="E904" t="b">
        <f>LineærRegression_Valg[[#This Row],[Afhængig variabel ID]]&lt;=$B$5</f>
        <v>0</v>
      </c>
      <c r="F904" t="str" cm="1">
        <f t="array" ref="F904">IF(LineærRegression_Valg[[#This Row],[Indenfor range]],INDEX(DataTitel_liste,LineærRegression_Valg[[#This Row],[Afhængig variabel ID]]),INDEX(DataTitel_liste,1))</f>
        <v>Eksempel 1 (interval)</v>
      </c>
      <c r="G904" s="171" t="str" cm="1">
        <f t="array" ref="G904">IF(LineærRegression_Valg[[#This Row],[Indenfor range]],IF(LineærRegression_Valg[[#This Row],[Intet overlap]],INDEX(DataTitel_liste,LineærRegression_Valg[[#This Row],[Uafhængig variabel ID]]),INDEX(DataTitel_liste,IF(LineærRegression_Valg[[#This Row],[Afhængig variabel ID]]=1,2,1))),$B$7)</f>
        <v>Eksempel 2 (interval)</v>
      </c>
      <c r="H904" s="171">
        <f>_xlfn.AGGREGATE(2,5,LineærRegression_Valg[[#This Row],[Tabel ID]])</f>
        <v>1</v>
      </c>
    </row>
    <row r="905" spans="1:8" x14ac:dyDescent="0.2">
      <c r="A905">
        <f>ROW(LineærRegression_Valg[[#This Row],[Tabel ID]])-ROW(LineærRegression_Valg[[#Headers],[Tabel ID]])</f>
        <v>895</v>
      </c>
      <c r="B905" s="171">
        <f>ROUNDDOWN((LineærRegression_Valg[[#This Row],[Tabel ID]]-1)/$B$5,0)+1</f>
        <v>224</v>
      </c>
      <c r="C905" s="171">
        <f t="shared" si="13"/>
        <v>3</v>
      </c>
      <c r="D905" s="171" t="b">
        <f>LineærRegression_Valg[[#This Row],[Afhængig variabel ID]]&lt;&gt;LineærRegression_Valg[[#This Row],[Uafhængig variabel ID]]</f>
        <v>1</v>
      </c>
      <c r="E905" t="b">
        <f>LineærRegression_Valg[[#This Row],[Afhængig variabel ID]]&lt;=$B$5</f>
        <v>0</v>
      </c>
      <c r="F905" t="str" cm="1">
        <f t="array" ref="F905">IF(LineærRegression_Valg[[#This Row],[Indenfor range]],INDEX(DataTitel_liste,LineærRegression_Valg[[#This Row],[Afhængig variabel ID]]),INDEX(DataTitel_liste,1))</f>
        <v>Eksempel 1 (interval)</v>
      </c>
      <c r="G905" s="171" t="str" cm="1">
        <f t="array" ref="G905">IF(LineærRegression_Valg[[#This Row],[Indenfor range]],IF(LineærRegression_Valg[[#This Row],[Intet overlap]],INDEX(DataTitel_liste,LineærRegression_Valg[[#This Row],[Uafhængig variabel ID]]),INDEX(DataTitel_liste,IF(LineærRegression_Valg[[#This Row],[Afhængig variabel ID]]=1,2,1))),$B$7)</f>
        <v>Eksempel 2 (interval)</v>
      </c>
      <c r="H905" s="171">
        <f>_xlfn.AGGREGATE(2,5,LineærRegression_Valg[[#This Row],[Tabel ID]])</f>
        <v>1</v>
      </c>
    </row>
    <row r="906" spans="1:8" x14ac:dyDescent="0.2">
      <c r="A906">
        <f>ROW(LineærRegression_Valg[[#This Row],[Tabel ID]])-ROW(LineærRegression_Valg[[#Headers],[Tabel ID]])</f>
        <v>896</v>
      </c>
      <c r="B906" s="171">
        <f>ROUNDDOWN((LineærRegression_Valg[[#This Row],[Tabel ID]]-1)/$B$5,0)+1</f>
        <v>224</v>
      </c>
      <c r="C906" s="171">
        <f t="shared" si="13"/>
        <v>4</v>
      </c>
      <c r="D906" s="171" t="b">
        <f>LineærRegression_Valg[[#This Row],[Afhængig variabel ID]]&lt;&gt;LineærRegression_Valg[[#This Row],[Uafhængig variabel ID]]</f>
        <v>1</v>
      </c>
      <c r="E906" t="b">
        <f>LineærRegression_Valg[[#This Row],[Afhængig variabel ID]]&lt;=$B$5</f>
        <v>0</v>
      </c>
      <c r="F906" t="str" cm="1">
        <f t="array" ref="F906">IF(LineærRegression_Valg[[#This Row],[Indenfor range]],INDEX(DataTitel_liste,LineærRegression_Valg[[#This Row],[Afhængig variabel ID]]),INDEX(DataTitel_liste,1))</f>
        <v>Eksempel 1 (interval)</v>
      </c>
      <c r="G906" s="171" t="str" cm="1">
        <f t="array" ref="G906">IF(LineærRegression_Valg[[#This Row],[Indenfor range]],IF(LineærRegression_Valg[[#This Row],[Intet overlap]],INDEX(DataTitel_liste,LineærRegression_Valg[[#This Row],[Uafhængig variabel ID]]),INDEX(DataTitel_liste,IF(LineærRegression_Valg[[#This Row],[Afhængig variabel ID]]=1,2,1))),$B$7)</f>
        <v>Eksempel 2 (interval)</v>
      </c>
      <c r="H906" s="171">
        <f>_xlfn.AGGREGATE(2,5,LineærRegression_Valg[[#This Row],[Tabel ID]])</f>
        <v>1</v>
      </c>
    </row>
    <row r="907" spans="1:8" x14ac:dyDescent="0.2">
      <c r="A907">
        <f>ROW(LineærRegression_Valg[[#This Row],[Tabel ID]])-ROW(LineærRegression_Valg[[#Headers],[Tabel ID]])</f>
        <v>897</v>
      </c>
      <c r="B907" s="171">
        <f>ROUNDDOWN((LineærRegression_Valg[[#This Row],[Tabel ID]]-1)/$B$5,0)+1</f>
        <v>225</v>
      </c>
      <c r="C907" s="171">
        <f t="shared" ref="C907:C970" si="14">MOD(A907-1,$B$5)+1</f>
        <v>1</v>
      </c>
      <c r="D907" s="171" t="b">
        <f>LineærRegression_Valg[[#This Row],[Afhængig variabel ID]]&lt;&gt;LineærRegression_Valg[[#This Row],[Uafhængig variabel ID]]</f>
        <v>1</v>
      </c>
      <c r="E907" t="b">
        <f>LineærRegression_Valg[[#This Row],[Afhængig variabel ID]]&lt;=$B$5</f>
        <v>0</v>
      </c>
      <c r="F907" t="str" cm="1">
        <f t="array" ref="F907">IF(LineærRegression_Valg[[#This Row],[Indenfor range]],INDEX(DataTitel_liste,LineærRegression_Valg[[#This Row],[Afhængig variabel ID]]),INDEX(DataTitel_liste,1))</f>
        <v>Eksempel 1 (interval)</v>
      </c>
      <c r="G907" s="171" t="str" cm="1">
        <f t="array" ref="G907">IF(LineærRegression_Valg[[#This Row],[Indenfor range]],IF(LineærRegression_Valg[[#This Row],[Intet overlap]],INDEX(DataTitel_liste,LineærRegression_Valg[[#This Row],[Uafhængig variabel ID]]),INDEX(DataTitel_liste,IF(LineærRegression_Valg[[#This Row],[Afhængig variabel ID]]=1,2,1))),$B$7)</f>
        <v>Eksempel 2 (interval)</v>
      </c>
      <c r="H907" s="171">
        <f>_xlfn.AGGREGATE(2,5,LineærRegression_Valg[[#This Row],[Tabel ID]])</f>
        <v>1</v>
      </c>
    </row>
    <row r="908" spans="1:8" x14ac:dyDescent="0.2">
      <c r="A908">
        <f>ROW(LineærRegression_Valg[[#This Row],[Tabel ID]])-ROW(LineærRegression_Valg[[#Headers],[Tabel ID]])</f>
        <v>898</v>
      </c>
      <c r="B908" s="171">
        <f>ROUNDDOWN((LineærRegression_Valg[[#This Row],[Tabel ID]]-1)/$B$5,0)+1</f>
        <v>225</v>
      </c>
      <c r="C908" s="171">
        <f t="shared" si="14"/>
        <v>2</v>
      </c>
      <c r="D908" s="171" t="b">
        <f>LineærRegression_Valg[[#This Row],[Afhængig variabel ID]]&lt;&gt;LineærRegression_Valg[[#This Row],[Uafhængig variabel ID]]</f>
        <v>1</v>
      </c>
      <c r="E908" t="b">
        <f>LineærRegression_Valg[[#This Row],[Afhængig variabel ID]]&lt;=$B$5</f>
        <v>0</v>
      </c>
      <c r="F908" t="str" cm="1">
        <f t="array" ref="F908">IF(LineærRegression_Valg[[#This Row],[Indenfor range]],INDEX(DataTitel_liste,LineærRegression_Valg[[#This Row],[Afhængig variabel ID]]),INDEX(DataTitel_liste,1))</f>
        <v>Eksempel 1 (interval)</v>
      </c>
      <c r="G908" s="171" t="str" cm="1">
        <f t="array" ref="G908">IF(LineærRegression_Valg[[#This Row],[Indenfor range]],IF(LineærRegression_Valg[[#This Row],[Intet overlap]],INDEX(DataTitel_liste,LineærRegression_Valg[[#This Row],[Uafhængig variabel ID]]),INDEX(DataTitel_liste,IF(LineærRegression_Valg[[#This Row],[Afhængig variabel ID]]=1,2,1))),$B$7)</f>
        <v>Eksempel 2 (interval)</v>
      </c>
      <c r="H908" s="171">
        <f>_xlfn.AGGREGATE(2,5,LineærRegression_Valg[[#This Row],[Tabel ID]])</f>
        <v>1</v>
      </c>
    </row>
    <row r="909" spans="1:8" x14ac:dyDescent="0.2">
      <c r="A909">
        <f>ROW(LineærRegression_Valg[[#This Row],[Tabel ID]])-ROW(LineærRegression_Valg[[#Headers],[Tabel ID]])</f>
        <v>899</v>
      </c>
      <c r="B909" s="171">
        <f>ROUNDDOWN((LineærRegression_Valg[[#This Row],[Tabel ID]]-1)/$B$5,0)+1</f>
        <v>225</v>
      </c>
      <c r="C909" s="171">
        <f t="shared" si="14"/>
        <v>3</v>
      </c>
      <c r="D909" s="171" t="b">
        <f>LineærRegression_Valg[[#This Row],[Afhængig variabel ID]]&lt;&gt;LineærRegression_Valg[[#This Row],[Uafhængig variabel ID]]</f>
        <v>1</v>
      </c>
      <c r="E909" t="b">
        <f>LineærRegression_Valg[[#This Row],[Afhængig variabel ID]]&lt;=$B$5</f>
        <v>0</v>
      </c>
      <c r="F909" t="str" cm="1">
        <f t="array" ref="F909">IF(LineærRegression_Valg[[#This Row],[Indenfor range]],INDEX(DataTitel_liste,LineærRegression_Valg[[#This Row],[Afhængig variabel ID]]),INDEX(DataTitel_liste,1))</f>
        <v>Eksempel 1 (interval)</v>
      </c>
      <c r="G909" s="171" t="str" cm="1">
        <f t="array" ref="G909">IF(LineærRegression_Valg[[#This Row],[Indenfor range]],IF(LineærRegression_Valg[[#This Row],[Intet overlap]],INDEX(DataTitel_liste,LineærRegression_Valg[[#This Row],[Uafhængig variabel ID]]),INDEX(DataTitel_liste,IF(LineærRegression_Valg[[#This Row],[Afhængig variabel ID]]=1,2,1))),$B$7)</f>
        <v>Eksempel 2 (interval)</v>
      </c>
      <c r="H909" s="171">
        <f>_xlfn.AGGREGATE(2,5,LineærRegression_Valg[[#This Row],[Tabel ID]])</f>
        <v>1</v>
      </c>
    </row>
    <row r="910" spans="1:8" x14ac:dyDescent="0.2">
      <c r="A910">
        <f>ROW(LineærRegression_Valg[[#This Row],[Tabel ID]])-ROW(LineærRegression_Valg[[#Headers],[Tabel ID]])</f>
        <v>900</v>
      </c>
      <c r="B910" s="171">
        <f>ROUNDDOWN((LineærRegression_Valg[[#This Row],[Tabel ID]]-1)/$B$5,0)+1</f>
        <v>225</v>
      </c>
      <c r="C910" s="171">
        <f t="shared" si="14"/>
        <v>4</v>
      </c>
      <c r="D910" s="171" t="b">
        <f>LineærRegression_Valg[[#This Row],[Afhængig variabel ID]]&lt;&gt;LineærRegression_Valg[[#This Row],[Uafhængig variabel ID]]</f>
        <v>1</v>
      </c>
      <c r="E910" t="b">
        <f>LineærRegression_Valg[[#This Row],[Afhængig variabel ID]]&lt;=$B$5</f>
        <v>0</v>
      </c>
      <c r="F910" t="str" cm="1">
        <f t="array" ref="F910">IF(LineærRegression_Valg[[#This Row],[Indenfor range]],INDEX(DataTitel_liste,LineærRegression_Valg[[#This Row],[Afhængig variabel ID]]),INDEX(DataTitel_liste,1))</f>
        <v>Eksempel 1 (interval)</v>
      </c>
      <c r="G910" s="171" t="str" cm="1">
        <f t="array" ref="G910">IF(LineærRegression_Valg[[#This Row],[Indenfor range]],IF(LineærRegression_Valg[[#This Row],[Intet overlap]],INDEX(DataTitel_liste,LineærRegression_Valg[[#This Row],[Uafhængig variabel ID]]),INDEX(DataTitel_liste,IF(LineærRegression_Valg[[#This Row],[Afhængig variabel ID]]=1,2,1))),$B$7)</f>
        <v>Eksempel 2 (interval)</v>
      </c>
      <c r="H910" s="171">
        <f>_xlfn.AGGREGATE(2,5,LineærRegression_Valg[[#This Row],[Tabel ID]])</f>
        <v>1</v>
      </c>
    </row>
    <row r="911" spans="1:8" x14ac:dyDescent="0.2">
      <c r="A911">
        <f>ROW(LineærRegression_Valg[[#This Row],[Tabel ID]])-ROW(LineærRegression_Valg[[#Headers],[Tabel ID]])</f>
        <v>901</v>
      </c>
      <c r="B911" s="171">
        <f>ROUNDDOWN((LineærRegression_Valg[[#This Row],[Tabel ID]]-1)/$B$5,0)+1</f>
        <v>226</v>
      </c>
      <c r="C911" s="171">
        <f t="shared" si="14"/>
        <v>1</v>
      </c>
      <c r="D911" s="171" t="b">
        <f>LineærRegression_Valg[[#This Row],[Afhængig variabel ID]]&lt;&gt;LineærRegression_Valg[[#This Row],[Uafhængig variabel ID]]</f>
        <v>1</v>
      </c>
      <c r="E911" t="b">
        <f>LineærRegression_Valg[[#This Row],[Afhængig variabel ID]]&lt;=$B$5</f>
        <v>0</v>
      </c>
      <c r="F911" t="str" cm="1">
        <f t="array" ref="F911">IF(LineærRegression_Valg[[#This Row],[Indenfor range]],INDEX(DataTitel_liste,LineærRegression_Valg[[#This Row],[Afhængig variabel ID]]),INDEX(DataTitel_liste,1))</f>
        <v>Eksempel 1 (interval)</v>
      </c>
      <c r="G911" s="171" t="str" cm="1">
        <f t="array" ref="G911">IF(LineærRegression_Valg[[#This Row],[Indenfor range]],IF(LineærRegression_Valg[[#This Row],[Intet overlap]],INDEX(DataTitel_liste,LineærRegression_Valg[[#This Row],[Uafhængig variabel ID]]),INDEX(DataTitel_liste,IF(LineærRegression_Valg[[#This Row],[Afhængig variabel ID]]=1,2,1))),$B$7)</f>
        <v>Eksempel 2 (interval)</v>
      </c>
      <c r="H911" s="171">
        <f>_xlfn.AGGREGATE(2,5,LineærRegression_Valg[[#This Row],[Tabel ID]])</f>
        <v>1</v>
      </c>
    </row>
    <row r="912" spans="1:8" x14ac:dyDescent="0.2">
      <c r="A912">
        <f>ROW(LineærRegression_Valg[[#This Row],[Tabel ID]])-ROW(LineærRegression_Valg[[#Headers],[Tabel ID]])</f>
        <v>902</v>
      </c>
      <c r="B912" s="171">
        <f>ROUNDDOWN((LineærRegression_Valg[[#This Row],[Tabel ID]]-1)/$B$5,0)+1</f>
        <v>226</v>
      </c>
      <c r="C912" s="171">
        <f t="shared" si="14"/>
        <v>2</v>
      </c>
      <c r="D912" s="171" t="b">
        <f>LineærRegression_Valg[[#This Row],[Afhængig variabel ID]]&lt;&gt;LineærRegression_Valg[[#This Row],[Uafhængig variabel ID]]</f>
        <v>1</v>
      </c>
      <c r="E912" t="b">
        <f>LineærRegression_Valg[[#This Row],[Afhængig variabel ID]]&lt;=$B$5</f>
        <v>0</v>
      </c>
      <c r="F912" t="str" cm="1">
        <f t="array" ref="F912">IF(LineærRegression_Valg[[#This Row],[Indenfor range]],INDEX(DataTitel_liste,LineærRegression_Valg[[#This Row],[Afhængig variabel ID]]),INDEX(DataTitel_liste,1))</f>
        <v>Eksempel 1 (interval)</v>
      </c>
      <c r="G912" s="171" t="str" cm="1">
        <f t="array" ref="G912">IF(LineærRegression_Valg[[#This Row],[Indenfor range]],IF(LineærRegression_Valg[[#This Row],[Intet overlap]],INDEX(DataTitel_liste,LineærRegression_Valg[[#This Row],[Uafhængig variabel ID]]),INDEX(DataTitel_liste,IF(LineærRegression_Valg[[#This Row],[Afhængig variabel ID]]=1,2,1))),$B$7)</f>
        <v>Eksempel 2 (interval)</v>
      </c>
      <c r="H912" s="171">
        <f>_xlfn.AGGREGATE(2,5,LineærRegression_Valg[[#This Row],[Tabel ID]])</f>
        <v>1</v>
      </c>
    </row>
    <row r="913" spans="1:8" x14ac:dyDescent="0.2">
      <c r="A913">
        <f>ROW(LineærRegression_Valg[[#This Row],[Tabel ID]])-ROW(LineærRegression_Valg[[#Headers],[Tabel ID]])</f>
        <v>903</v>
      </c>
      <c r="B913" s="171">
        <f>ROUNDDOWN((LineærRegression_Valg[[#This Row],[Tabel ID]]-1)/$B$5,0)+1</f>
        <v>226</v>
      </c>
      <c r="C913" s="171">
        <f t="shared" si="14"/>
        <v>3</v>
      </c>
      <c r="D913" s="171" t="b">
        <f>LineærRegression_Valg[[#This Row],[Afhængig variabel ID]]&lt;&gt;LineærRegression_Valg[[#This Row],[Uafhængig variabel ID]]</f>
        <v>1</v>
      </c>
      <c r="E913" t="b">
        <f>LineærRegression_Valg[[#This Row],[Afhængig variabel ID]]&lt;=$B$5</f>
        <v>0</v>
      </c>
      <c r="F913" t="str" cm="1">
        <f t="array" ref="F913">IF(LineærRegression_Valg[[#This Row],[Indenfor range]],INDEX(DataTitel_liste,LineærRegression_Valg[[#This Row],[Afhængig variabel ID]]),INDEX(DataTitel_liste,1))</f>
        <v>Eksempel 1 (interval)</v>
      </c>
      <c r="G913" s="171" t="str" cm="1">
        <f t="array" ref="G913">IF(LineærRegression_Valg[[#This Row],[Indenfor range]],IF(LineærRegression_Valg[[#This Row],[Intet overlap]],INDEX(DataTitel_liste,LineærRegression_Valg[[#This Row],[Uafhængig variabel ID]]),INDEX(DataTitel_liste,IF(LineærRegression_Valg[[#This Row],[Afhængig variabel ID]]=1,2,1))),$B$7)</f>
        <v>Eksempel 2 (interval)</v>
      </c>
      <c r="H913" s="171">
        <f>_xlfn.AGGREGATE(2,5,LineærRegression_Valg[[#This Row],[Tabel ID]])</f>
        <v>1</v>
      </c>
    </row>
    <row r="914" spans="1:8" x14ac:dyDescent="0.2">
      <c r="A914">
        <f>ROW(LineærRegression_Valg[[#This Row],[Tabel ID]])-ROW(LineærRegression_Valg[[#Headers],[Tabel ID]])</f>
        <v>904</v>
      </c>
      <c r="B914" s="171">
        <f>ROUNDDOWN((LineærRegression_Valg[[#This Row],[Tabel ID]]-1)/$B$5,0)+1</f>
        <v>226</v>
      </c>
      <c r="C914" s="171">
        <f t="shared" si="14"/>
        <v>4</v>
      </c>
      <c r="D914" s="171" t="b">
        <f>LineærRegression_Valg[[#This Row],[Afhængig variabel ID]]&lt;&gt;LineærRegression_Valg[[#This Row],[Uafhængig variabel ID]]</f>
        <v>1</v>
      </c>
      <c r="E914" t="b">
        <f>LineærRegression_Valg[[#This Row],[Afhængig variabel ID]]&lt;=$B$5</f>
        <v>0</v>
      </c>
      <c r="F914" t="str" cm="1">
        <f t="array" ref="F914">IF(LineærRegression_Valg[[#This Row],[Indenfor range]],INDEX(DataTitel_liste,LineærRegression_Valg[[#This Row],[Afhængig variabel ID]]),INDEX(DataTitel_liste,1))</f>
        <v>Eksempel 1 (interval)</v>
      </c>
      <c r="G914" s="171" t="str" cm="1">
        <f t="array" ref="G914">IF(LineærRegression_Valg[[#This Row],[Indenfor range]],IF(LineærRegression_Valg[[#This Row],[Intet overlap]],INDEX(DataTitel_liste,LineærRegression_Valg[[#This Row],[Uafhængig variabel ID]]),INDEX(DataTitel_liste,IF(LineærRegression_Valg[[#This Row],[Afhængig variabel ID]]=1,2,1))),$B$7)</f>
        <v>Eksempel 2 (interval)</v>
      </c>
      <c r="H914" s="171">
        <f>_xlfn.AGGREGATE(2,5,LineærRegression_Valg[[#This Row],[Tabel ID]])</f>
        <v>1</v>
      </c>
    </row>
    <row r="915" spans="1:8" x14ac:dyDescent="0.2">
      <c r="A915">
        <f>ROW(LineærRegression_Valg[[#This Row],[Tabel ID]])-ROW(LineærRegression_Valg[[#Headers],[Tabel ID]])</f>
        <v>905</v>
      </c>
      <c r="B915" s="171">
        <f>ROUNDDOWN((LineærRegression_Valg[[#This Row],[Tabel ID]]-1)/$B$5,0)+1</f>
        <v>227</v>
      </c>
      <c r="C915" s="171">
        <f t="shared" si="14"/>
        <v>1</v>
      </c>
      <c r="D915" s="171" t="b">
        <f>LineærRegression_Valg[[#This Row],[Afhængig variabel ID]]&lt;&gt;LineærRegression_Valg[[#This Row],[Uafhængig variabel ID]]</f>
        <v>1</v>
      </c>
      <c r="E915" t="b">
        <f>LineærRegression_Valg[[#This Row],[Afhængig variabel ID]]&lt;=$B$5</f>
        <v>0</v>
      </c>
      <c r="F915" t="str" cm="1">
        <f t="array" ref="F915">IF(LineærRegression_Valg[[#This Row],[Indenfor range]],INDEX(DataTitel_liste,LineærRegression_Valg[[#This Row],[Afhængig variabel ID]]),INDEX(DataTitel_liste,1))</f>
        <v>Eksempel 1 (interval)</v>
      </c>
      <c r="G915" s="171" t="str" cm="1">
        <f t="array" ref="G915">IF(LineærRegression_Valg[[#This Row],[Indenfor range]],IF(LineærRegression_Valg[[#This Row],[Intet overlap]],INDEX(DataTitel_liste,LineærRegression_Valg[[#This Row],[Uafhængig variabel ID]]),INDEX(DataTitel_liste,IF(LineærRegression_Valg[[#This Row],[Afhængig variabel ID]]=1,2,1))),$B$7)</f>
        <v>Eksempel 2 (interval)</v>
      </c>
      <c r="H915" s="171">
        <f>_xlfn.AGGREGATE(2,5,LineærRegression_Valg[[#This Row],[Tabel ID]])</f>
        <v>1</v>
      </c>
    </row>
    <row r="916" spans="1:8" x14ac:dyDescent="0.2">
      <c r="A916">
        <f>ROW(LineærRegression_Valg[[#This Row],[Tabel ID]])-ROW(LineærRegression_Valg[[#Headers],[Tabel ID]])</f>
        <v>906</v>
      </c>
      <c r="B916" s="171">
        <f>ROUNDDOWN((LineærRegression_Valg[[#This Row],[Tabel ID]]-1)/$B$5,0)+1</f>
        <v>227</v>
      </c>
      <c r="C916" s="171">
        <f t="shared" si="14"/>
        <v>2</v>
      </c>
      <c r="D916" s="171" t="b">
        <f>LineærRegression_Valg[[#This Row],[Afhængig variabel ID]]&lt;&gt;LineærRegression_Valg[[#This Row],[Uafhængig variabel ID]]</f>
        <v>1</v>
      </c>
      <c r="E916" t="b">
        <f>LineærRegression_Valg[[#This Row],[Afhængig variabel ID]]&lt;=$B$5</f>
        <v>0</v>
      </c>
      <c r="F916" t="str" cm="1">
        <f t="array" ref="F916">IF(LineærRegression_Valg[[#This Row],[Indenfor range]],INDEX(DataTitel_liste,LineærRegression_Valg[[#This Row],[Afhængig variabel ID]]),INDEX(DataTitel_liste,1))</f>
        <v>Eksempel 1 (interval)</v>
      </c>
      <c r="G916" s="171" t="str" cm="1">
        <f t="array" ref="G916">IF(LineærRegression_Valg[[#This Row],[Indenfor range]],IF(LineærRegression_Valg[[#This Row],[Intet overlap]],INDEX(DataTitel_liste,LineærRegression_Valg[[#This Row],[Uafhængig variabel ID]]),INDEX(DataTitel_liste,IF(LineærRegression_Valg[[#This Row],[Afhængig variabel ID]]=1,2,1))),$B$7)</f>
        <v>Eksempel 2 (interval)</v>
      </c>
      <c r="H916" s="171">
        <f>_xlfn.AGGREGATE(2,5,LineærRegression_Valg[[#This Row],[Tabel ID]])</f>
        <v>1</v>
      </c>
    </row>
    <row r="917" spans="1:8" x14ac:dyDescent="0.2">
      <c r="A917">
        <f>ROW(LineærRegression_Valg[[#This Row],[Tabel ID]])-ROW(LineærRegression_Valg[[#Headers],[Tabel ID]])</f>
        <v>907</v>
      </c>
      <c r="B917" s="171">
        <f>ROUNDDOWN((LineærRegression_Valg[[#This Row],[Tabel ID]]-1)/$B$5,0)+1</f>
        <v>227</v>
      </c>
      <c r="C917" s="171">
        <f t="shared" si="14"/>
        <v>3</v>
      </c>
      <c r="D917" s="171" t="b">
        <f>LineærRegression_Valg[[#This Row],[Afhængig variabel ID]]&lt;&gt;LineærRegression_Valg[[#This Row],[Uafhængig variabel ID]]</f>
        <v>1</v>
      </c>
      <c r="E917" t="b">
        <f>LineærRegression_Valg[[#This Row],[Afhængig variabel ID]]&lt;=$B$5</f>
        <v>0</v>
      </c>
      <c r="F917" t="str" cm="1">
        <f t="array" ref="F917">IF(LineærRegression_Valg[[#This Row],[Indenfor range]],INDEX(DataTitel_liste,LineærRegression_Valg[[#This Row],[Afhængig variabel ID]]),INDEX(DataTitel_liste,1))</f>
        <v>Eksempel 1 (interval)</v>
      </c>
      <c r="G917" s="171" t="str" cm="1">
        <f t="array" ref="G917">IF(LineærRegression_Valg[[#This Row],[Indenfor range]],IF(LineærRegression_Valg[[#This Row],[Intet overlap]],INDEX(DataTitel_liste,LineærRegression_Valg[[#This Row],[Uafhængig variabel ID]]),INDEX(DataTitel_liste,IF(LineærRegression_Valg[[#This Row],[Afhængig variabel ID]]=1,2,1))),$B$7)</f>
        <v>Eksempel 2 (interval)</v>
      </c>
      <c r="H917" s="171">
        <f>_xlfn.AGGREGATE(2,5,LineærRegression_Valg[[#This Row],[Tabel ID]])</f>
        <v>1</v>
      </c>
    </row>
    <row r="918" spans="1:8" x14ac:dyDescent="0.2">
      <c r="A918">
        <f>ROW(LineærRegression_Valg[[#This Row],[Tabel ID]])-ROW(LineærRegression_Valg[[#Headers],[Tabel ID]])</f>
        <v>908</v>
      </c>
      <c r="B918" s="171">
        <f>ROUNDDOWN((LineærRegression_Valg[[#This Row],[Tabel ID]]-1)/$B$5,0)+1</f>
        <v>227</v>
      </c>
      <c r="C918" s="171">
        <f t="shared" si="14"/>
        <v>4</v>
      </c>
      <c r="D918" s="171" t="b">
        <f>LineærRegression_Valg[[#This Row],[Afhængig variabel ID]]&lt;&gt;LineærRegression_Valg[[#This Row],[Uafhængig variabel ID]]</f>
        <v>1</v>
      </c>
      <c r="E918" t="b">
        <f>LineærRegression_Valg[[#This Row],[Afhængig variabel ID]]&lt;=$B$5</f>
        <v>0</v>
      </c>
      <c r="F918" t="str" cm="1">
        <f t="array" ref="F918">IF(LineærRegression_Valg[[#This Row],[Indenfor range]],INDEX(DataTitel_liste,LineærRegression_Valg[[#This Row],[Afhængig variabel ID]]),INDEX(DataTitel_liste,1))</f>
        <v>Eksempel 1 (interval)</v>
      </c>
      <c r="G918" s="171" t="str" cm="1">
        <f t="array" ref="G918">IF(LineærRegression_Valg[[#This Row],[Indenfor range]],IF(LineærRegression_Valg[[#This Row],[Intet overlap]],INDEX(DataTitel_liste,LineærRegression_Valg[[#This Row],[Uafhængig variabel ID]]),INDEX(DataTitel_liste,IF(LineærRegression_Valg[[#This Row],[Afhængig variabel ID]]=1,2,1))),$B$7)</f>
        <v>Eksempel 2 (interval)</v>
      </c>
      <c r="H918" s="171">
        <f>_xlfn.AGGREGATE(2,5,LineærRegression_Valg[[#This Row],[Tabel ID]])</f>
        <v>1</v>
      </c>
    </row>
    <row r="919" spans="1:8" x14ac:dyDescent="0.2">
      <c r="A919">
        <f>ROW(LineærRegression_Valg[[#This Row],[Tabel ID]])-ROW(LineærRegression_Valg[[#Headers],[Tabel ID]])</f>
        <v>909</v>
      </c>
      <c r="B919" s="171">
        <f>ROUNDDOWN((LineærRegression_Valg[[#This Row],[Tabel ID]]-1)/$B$5,0)+1</f>
        <v>228</v>
      </c>
      <c r="C919" s="171">
        <f t="shared" si="14"/>
        <v>1</v>
      </c>
      <c r="D919" s="171" t="b">
        <f>LineærRegression_Valg[[#This Row],[Afhængig variabel ID]]&lt;&gt;LineærRegression_Valg[[#This Row],[Uafhængig variabel ID]]</f>
        <v>1</v>
      </c>
      <c r="E919" t="b">
        <f>LineærRegression_Valg[[#This Row],[Afhængig variabel ID]]&lt;=$B$5</f>
        <v>0</v>
      </c>
      <c r="F919" t="str" cm="1">
        <f t="array" ref="F919">IF(LineærRegression_Valg[[#This Row],[Indenfor range]],INDEX(DataTitel_liste,LineærRegression_Valg[[#This Row],[Afhængig variabel ID]]),INDEX(DataTitel_liste,1))</f>
        <v>Eksempel 1 (interval)</v>
      </c>
      <c r="G919" s="171" t="str" cm="1">
        <f t="array" ref="G919">IF(LineærRegression_Valg[[#This Row],[Indenfor range]],IF(LineærRegression_Valg[[#This Row],[Intet overlap]],INDEX(DataTitel_liste,LineærRegression_Valg[[#This Row],[Uafhængig variabel ID]]),INDEX(DataTitel_liste,IF(LineærRegression_Valg[[#This Row],[Afhængig variabel ID]]=1,2,1))),$B$7)</f>
        <v>Eksempel 2 (interval)</v>
      </c>
      <c r="H919" s="171">
        <f>_xlfn.AGGREGATE(2,5,LineærRegression_Valg[[#This Row],[Tabel ID]])</f>
        <v>1</v>
      </c>
    </row>
    <row r="920" spans="1:8" x14ac:dyDescent="0.2">
      <c r="A920">
        <f>ROW(LineærRegression_Valg[[#This Row],[Tabel ID]])-ROW(LineærRegression_Valg[[#Headers],[Tabel ID]])</f>
        <v>910</v>
      </c>
      <c r="B920" s="171">
        <f>ROUNDDOWN((LineærRegression_Valg[[#This Row],[Tabel ID]]-1)/$B$5,0)+1</f>
        <v>228</v>
      </c>
      <c r="C920" s="171">
        <f t="shared" si="14"/>
        <v>2</v>
      </c>
      <c r="D920" s="171" t="b">
        <f>LineærRegression_Valg[[#This Row],[Afhængig variabel ID]]&lt;&gt;LineærRegression_Valg[[#This Row],[Uafhængig variabel ID]]</f>
        <v>1</v>
      </c>
      <c r="E920" t="b">
        <f>LineærRegression_Valg[[#This Row],[Afhængig variabel ID]]&lt;=$B$5</f>
        <v>0</v>
      </c>
      <c r="F920" t="str" cm="1">
        <f t="array" ref="F920">IF(LineærRegression_Valg[[#This Row],[Indenfor range]],INDEX(DataTitel_liste,LineærRegression_Valg[[#This Row],[Afhængig variabel ID]]),INDEX(DataTitel_liste,1))</f>
        <v>Eksempel 1 (interval)</v>
      </c>
      <c r="G920" s="171" t="str" cm="1">
        <f t="array" ref="G920">IF(LineærRegression_Valg[[#This Row],[Indenfor range]],IF(LineærRegression_Valg[[#This Row],[Intet overlap]],INDEX(DataTitel_liste,LineærRegression_Valg[[#This Row],[Uafhængig variabel ID]]),INDEX(DataTitel_liste,IF(LineærRegression_Valg[[#This Row],[Afhængig variabel ID]]=1,2,1))),$B$7)</f>
        <v>Eksempel 2 (interval)</v>
      </c>
      <c r="H920" s="171">
        <f>_xlfn.AGGREGATE(2,5,LineærRegression_Valg[[#This Row],[Tabel ID]])</f>
        <v>1</v>
      </c>
    </row>
    <row r="921" spans="1:8" x14ac:dyDescent="0.2">
      <c r="A921">
        <f>ROW(LineærRegression_Valg[[#This Row],[Tabel ID]])-ROW(LineærRegression_Valg[[#Headers],[Tabel ID]])</f>
        <v>911</v>
      </c>
      <c r="B921" s="171">
        <f>ROUNDDOWN((LineærRegression_Valg[[#This Row],[Tabel ID]]-1)/$B$5,0)+1</f>
        <v>228</v>
      </c>
      <c r="C921" s="171">
        <f t="shared" si="14"/>
        <v>3</v>
      </c>
      <c r="D921" s="171" t="b">
        <f>LineærRegression_Valg[[#This Row],[Afhængig variabel ID]]&lt;&gt;LineærRegression_Valg[[#This Row],[Uafhængig variabel ID]]</f>
        <v>1</v>
      </c>
      <c r="E921" t="b">
        <f>LineærRegression_Valg[[#This Row],[Afhængig variabel ID]]&lt;=$B$5</f>
        <v>0</v>
      </c>
      <c r="F921" t="str" cm="1">
        <f t="array" ref="F921">IF(LineærRegression_Valg[[#This Row],[Indenfor range]],INDEX(DataTitel_liste,LineærRegression_Valg[[#This Row],[Afhængig variabel ID]]),INDEX(DataTitel_liste,1))</f>
        <v>Eksempel 1 (interval)</v>
      </c>
      <c r="G921" s="171" t="str" cm="1">
        <f t="array" ref="G921">IF(LineærRegression_Valg[[#This Row],[Indenfor range]],IF(LineærRegression_Valg[[#This Row],[Intet overlap]],INDEX(DataTitel_liste,LineærRegression_Valg[[#This Row],[Uafhængig variabel ID]]),INDEX(DataTitel_liste,IF(LineærRegression_Valg[[#This Row],[Afhængig variabel ID]]=1,2,1))),$B$7)</f>
        <v>Eksempel 2 (interval)</v>
      </c>
      <c r="H921" s="171">
        <f>_xlfn.AGGREGATE(2,5,LineærRegression_Valg[[#This Row],[Tabel ID]])</f>
        <v>1</v>
      </c>
    </row>
    <row r="922" spans="1:8" x14ac:dyDescent="0.2">
      <c r="A922">
        <f>ROW(LineærRegression_Valg[[#This Row],[Tabel ID]])-ROW(LineærRegression_Valg[[#Headers],[Tabel ID]])</f>
        <v>912</v>
      </c>
      <c r="B922" s="171">
        <f>ROUNDDOWN((LineærRegression_Valg[[#This Row],[Tabel ID]]-1)/$B$5,0)+1</f>
        <v>228</v>
      </c>
      <c r="C922" s="171">
        <f t="shared" si="14"/>
        <v>4</v>
      </c>
      <c r="D922" s="171" t="b">
        <f>LineærRegression_Valg[[#This Row],[Afhængig variabel ID]]&lt;&gt;LineærRegression_Valg[[#This Row],[Uafhængig variabel ID]]</f>
        <v>1</v>
      </c>
      <c r="E922" t="b">
        <f>LineærRegression_Valg[[#This Row],[Afhængig variabel ID]]&lt;=$B$5</f>
        <v>0</v>
      </c>
      <c r="F922" t="str" cm="1">
        <f t="array" ref="F922">IF(LineærRegression_Valg[[#This Row],[Indenfor range]],INDEX(DataTitel_liste,LineærRegression_Valg[[#This Row],[Afhængig variabel ID]]),INDEX(DataTitel_liste,1))</f>
        <v>Eksempel 1 (interval)</v>
      </c>
      <c r="G922" s="171" t="str" cm="1">
        <f t="array" ref="G922">IF(LineærRegression_Valg[[#This Row],[Indenfor range]],IF(LineærRegression_Valg[[#This Row],[Intet overlap]],INDEX(DataTitel_liste,LineærRegression_Valg[[#This Row],[Uafhængig variabel ID]]),INDEX(DataTitel_liste,IF(LineærRegression_Valg[[#This Row],[Afhængig variabel ID]]=1,2,1))),$B$7)</f>
        <v>Eksempel 2 (interval)</v>
      </c>
      <c r="H922" s="171">
        <f>_xlfn.AGGREGATE(2,5,LineærRegression_Valg[[#This Row],[Tabel ID]])</f>
        <v>1</v>
      </c>
    </row>
    <row r="923" spans="1:8" x14ac:dyDescent="0.2">
      <c r="A923">
        <f>ROW(LineærRegression_Valg[[#This Row],[Tabel ID]])-ROW(LineærRegression_Valg[[#Headers],[Tabel ID]])</f>
        <v>913</v>
      </c>
      <c r="B923" s="171">
        <f>ROUNDDOWN((LineærRegression_Valg[[#This Row],[Tabel ID]]-1)/$B$5,0)+1</f>
        <v>229</v>
      </c>
      <c r="C923" s="171">
        <f t="shared" si="14"/>
        <v>1</v>
      </c>
      <c r="D923" s="171" t="b">
        <f>LineærRegression_Valg[[#This Row],[Afhængig variabel ID]]&lt;&gt;LineærRegression_Valg[[#This Row],[Uafhængig variabel ID]]</f>
        <v>1</v>
      </c>
      <c r="E923" t="b">
        <f>LineærRegression_Valg[[#This Row],[Afhængig variabel ID]]&lt;=$B$5</f>
        <v>0</v>
      </c>
      <c r="F923" t="str" cm="1">
        <f t="array" ref="F923">IF(LineærRegression_Valg[[#This Row],[Indenfor range]],INDEX(DataTitel_liste,LineærRegression_Valg[[#This Row],[Afhængig variabel ID]]),INDEX(DataTitel_liste,1))</f>
        <v>Eksempel 1 (interval)</v>
      </c>
      <c r="G923" s="171" t="str" cm="1">
        <f t="array" ref="G923">IF(LineærRegression_Valg[[#This Row],[Indenfor range]],IF(LineærRegression_Valg[[#This Row],[Intet overlap]],INDEX(DataTitel_liste,LineærRegression_Valg[[#This Row],[Uafhængig variabel ID]]),INDEX(DataTitel_liste,IF(LineærRegression_Valg[[#This Row],[Afhængig variabel ID]]=1,2,1))),$B$7)</f>
        <v>Eksempel 2 (interval)</v>
      </c>
      <c r="H923" s="171">
        <f>_xlfn.AGGREGATE(2,5,LineærRegression_Valg[[#This Row],[Tabel ID]])</f>
        <v>1</v>
      </c>
    </row>
    <row r="924" spans="1:8" x14ac:dyDescent="0.2">
      <c r="A924">
        <f>ROW(LineærRegression_Valg[[#This Row],[Tabel ID]])-ROW(LineærRegression_Valg[[#Headers],[Tabel ID]])</f>
        <v>914</v>
      </c>
      <c r="B924" s="171">
        <f>ROUNDDOWN((LineærRegression_Valg[[#This Row],[Tabel ID]]-1)/$B$5,0)+1</f>
        <v>229</v>
      </c>
      <c r="C924" s="171">
        <f t="shared" si="14"/>
        <v>2</v>
      </c>
      <c r="D924" s="171" t="b">
        <f>LineærRegression_Valg[[#This Row],[Afhængig variabel ID]]&lt;&gt;LineærRegression_Valg[[#This Row],[Uafhængig variabel ID]]</f>
        <v>1</v>
      </c>
      <c r="E924" t="b">
        <f>LineærRegression_Valg[[#This Row],[Afhængig variabel ID]]&lt;=$B$5</f>
        <v>0</v>
      </c>
      <c r="F924" t="str" cm="1">
        <f t="array" ref="F924">IF(LineærRegression_Valg[[#This Row],[Indenfor range]],INDEX(DataTitel_liste,LineærRegression_Valg[[#This Row],[Afhængig variabel ID]]),INDEX(DataTitel_liste,1))</f>
        <v>Eksempel 1 (interval)</v>
      </c>
      <c r="G924" s="171" t="str" cm="1">
        <f t="array" ref="G924">IF(LineærRegression_Valg[[#This Row],[Indenfor range]],IF(LineærRegression_Valg[[#This Row],[Intet overlap]],INDEX(DataTitel_liste,LineærRegression_Valg[[#This Row],[Uafhængig variabel ID]]),INDEX(DataTitel_liste,IF(LineærRegression_Valg[[#This Row],[Afhængig variabel ID]]=1,2,1))),$B$7)</f>
        <v>Eksempel 2 (interval)</v>
      </c>
      <c r="H924" s="171">
        <f>_xlfn.AGGREGATE(2,5,LineærRegression_Valg[[#This Row],[Tabel ID]])</f>
        <v>1</v>
      </c>
    </row>
    <row r="925" spans="1:8" x14ac:dyDescent="0.2">
      <c r="A925">
        <f>ROW(LineærRegression_Valg[[#This Row],[Tabel ID]])-ROW(LineærRegression_Valg[[#Headers],[Tabel ID]])</f>
        <v>915</v>
      </c>
      <c r="B925" s="171">
        <f>ROUNDDOWN((LineærRegression_Valg[[#This Row],[Tabel ID]]-1)/$B$5,0)+1</f>
        <v>229</v>
      </c>
      <c r="C925" s="171">
        <f t="shared" si="14"/>
        <v>3</v>
      </c>
      <c r="D925" s="171" t="b">
        <f>LineærRegression_Valg[[#This Row],[Afhængig variabel ID]]&lt;&gt;LineærRegression_Valg[[#This Row],[Uafhængig variabel ID]]</f>
        <v>1</v>
      </c>
      <c r="E925" t="b">
        <f>LineærRegression_Valg[[#This Row],[Afhængig variabel ID]]&lt;=$B$5</f>
        <v>0</v>
      </c>
      <c r="F925" t="str" cm="1">
        <f t="array" ref="F925">IF(LineærRegression_Valg[[#This Row],[Indenfor range]],INDEX(DataTitel_liste,LineærRegression_Valg[[#This Row],[Afhængig variabel ID]]),INDEX(DataTitel_liste,1))</f>
        <v>Eksempel 1 (interval)</v>
      </c>
      <c r="G925" s="171" t="str" cm="1">
        <f t="array" ref="G925">IF(LineærRegression_Valg[[#This Row],[Indenfor range]],IF(LineærRegression_Valg[[#This Row],[Intet overlap]],INDEX(DataTitel_liste,LineærRegression_Valg[[#This Row],[Uafhængig variabel ID]]),INDEX(DataTitel_liste,IF(LineærRegression_Valg[[#This Row],[Afhængig variabel ID]]=1,2,1))),$B$7)</f>
        <v>Eksempel 2 (interval)</v>
      </c>
      <c r="H925" s="171">
        <f>_xlfn.AGGREGATE(2,5,LineærRegression_Valg[[#This Row],[Tabel ID]])</f>
        <v>1</v>
      </c>
    </row>
    <row r="926" spans="1:8" x14ac:dyDescent="0.2">
      <c r="A926">
        <f>ROW(LineærRegression_Valg[[#This Row],[Tabel ID]])-ROW(LineærRegression_Valg[[#Headers],[Tabel ID]])</f>
        <v>916</v>
      </c>
      <c r="B926" s="171">
        <f>ROUNDDOWN((LineærRegression_Valg[[#This Row],[Tabel ID]]-1)/$B$5,0)+1</f>
        <v>229</v>
      </c>
      <c r="C926" s="171">
        <f t="shared" si="14"/>
        <v>4</v>
      </c>
      <c r="D926" s="171" t="b">
        <f>LineærRegression_Valg[[#This Row],[Afhængig variabel ID]]&lt;&gt;LineærRegression_Valg[[#This Row],[Uafhængig variabel ID]]</f>
        <v>1</v>
      </c>
      <c r="E926" t="b">
        <f>LineærRegression_Valg[[#This Row],[Afhængig variabel ID]]&lt;=$B$5</f>
        <v>0</v>
      </c>
      <c r="F926" t="str" cm="1">
        <f t="array" ref="F926">IF(LineærRegression_Valg[[#This Row],[Indenfor range]],INDEX(DataTitel_liste,LineærRegression_Valg[[#This Row],[Afhængig variabel ID]]),INDEX(DataTitel_liste,1))</f>
        <v>Eksempel 1 (interval)</v>
      </c>
      <c r="G926" s="171" t="str" cm="1">
        <f t="array" ref="G926">IF(LineærRegression_Valg[[#This Row],[Indenfor range]],IF(LineærRegression_Valg[[#This Row],[Intet overlap]],INDEX(DataTitel_liste,LineærRegression_Valg[[#This Row],[Uafhængig variabel ID]]),INDEX(DataTitel_liste,IF(LineærRegression_Valg[[#This Row],[Afhængig variabel ID]]=1,2,1))),$B$7)</f>
        <v>Eksempel 2 (interval)</v>
      </c>
      <c r="H926" s="171">
        <f>_xlfn.AGGREGATE(2,5,LineærRegression_Valg[[#This Row],[Tabel ID]])</f>
        <v>1</v>
      </c>
    </row>
    <row r="927" spans="1:8" x14ac:dyDescent="0.2">
      <c r="A927">
        <f>ROW(LineærRegression_Valg[[#This Row],[Tabel ID]])-ROW(LineærRegression_Valg[[#Headers],[Tabel ID]])</f>
        <v>917</v>
      </c>
      <c r="B927" s="171">
        <f>ROUNDDOWN((LineærRegression_Valg[[#This Row],[Tabel ID]]-1)/$B$5,0)+1</f>
        <v>230</v>
      </c>
      <c r="C927" s="171">
        <f t="shared" si="14"/>
        <v>1</v>
      </c>
      <c r="D927" s="171" t="b">
        <f>LineærRegression_Valg[[#This Row],[Afhængig variabel ID]]&lt;&gt;LineærRegression_Valg[[#This Row],[Uafhængig variabel ID]]</f>
        <v>1</v>
      </c>
      <c r="E927" t="b">
        <f>LineærRegression_Valg[[#This Row],[Afhængig variabel ID]]&lt;=$B$5</f>
        <v>0</v>
      </c>
      <c r="F927" t="str" cm="1">
        <f t="array" ref="F927">IF(LineærRegression_Valg[[#This Row],[Indenfor range]],INDEX(DataTitel_liste,LineærRegression_Valg[[#This Row],[Afhængig variabel ID]]),INDEX(DataTitel_liste,1))</f>
        <v>Eksempel 1 (interval)</v>
      </c>
      <c r="G927" s="171" t="str" cm="1">
        <f t="array" ref="G927">IF(LineærRegression_Valg[[#This Row],[Indenfor range]],IF(LineærRegression_Valg[[#This Row],[Intet overlap]],INDEX(DataTitel_liste,LineærRegression_Valg[[#This Row],[Uafhængig variabel ID]]),INDEX(DataTitel_liste,IF(LineærRegression_Valg[[#This Row],[Afhængig variabel ID]]=1,2,1))),$B$7)</f>
        <v>Eksempel 2 (interval)</v>
      </c>
      <c r="H927" s="171">
        <f>_xlfn.AGGREGATE(2,5,LineærRegression_Valg[[#This Row],[Tabel ID]])</f>
        <v>1</v>
      </c>
    </row>
    <row r="928" spans="1:8" x14ac:dyDescent="0.2">
      <c r="A928">
        <f>ROW(LineærRegression_Valg[[#This Row],[Tabel ID]])-ROW(LineærRegression_Valg[[#Headers],[Tabel ID]])</f>
        <v>918</v>
      </c>
      <c r="B928" s="171">
        <f>ROUNDDOWN((LineærRegression_Valg[[#This Row],[Tabel ID]]-1)/$B$5,0)+1</f>
        <v>230</v>
      </c>
      <c r="C928" s="171">
        <f t="shared" si="14"/>
        <v>2</v>
      </c>
      <c r="D928" s="171" t="b">
        <f>LineærRegression_Valg[[#This Row],[Afhængig variabel ID]]&lt;&gt;LineærRegression_Valg[[#This Row],[Uafhængig variabel ID]]</f>
        <v>1</v>
      </c>
      <c r="E928" t="b">
        <f>LineærRegression_Valg[[#This Row],[Afhængig variabel ID]]&lt;=$B$5</f>
        <v>0</v>
      </c>
      <c r="F928" t="str" cm="1">
        <f t="array" ref="F928">IF(LineærRegression_Valg[[#This Row],[Indenfor range]],INDEX(DataTitel_liste,LineærRegression_Valg[[#This Row],[Afhængig variabel ID]]),INDEX(DataTitel_liste,1))</f>
        <v>Eksempel 1 (interval)</v>
      </c>
      <c r="G928" s="171" t="str" cm="1">
        <f t="array" ref="G928">IF(LineærRegression_Valg[[#This Row],[Indenfor range]],IF(LineærRegression_Valg[[#This Row],[Intet overlap]],INDEX(DataTitel_liste,LineærRegression_Valg[[#This Row],[Uafhængig variabel ID]]),INDEX(DataTitel_liste,IF(LineærRegression_Valg[[#This Row],[Afhængig variabel ID]]=1,2,1))),$B$7)</f>
        <v>Eksempel 2 (interval)</v>
      </c>
      <c r="H928" s="171">
        <f>_xlfn.AGGREGATE(2,5,LineærRegression_Valg[[#This Row],[Tabel ID]])</f>
        <v>1</v>
      </c>
    </row>
    <row r="929" spans="1:8" x14ac:dyDescent="0.2">
      <c r="A929">
        <f>ROW(LineærRegression_Valg[[#This Row],[Tabel ID]])-ROW(LineærRegression_Valg[[#Headers],[Tabel ID]])</f>
        <v>919</v>
      </c>
      <c r="B929" s="171">
        <f>ROUNDDOWN((LineærRegression_Valg[[#This Row],[Tabel ID]]-1)/$B$5,0)+1</f>
        <v>230</v>
      </c>
      <c r="C929" s="171">
        <f t="shared" si="14"/>
        <v>3</v>
      </c>
      <c r="D929" s="171" t="b">
        <f>LineærRegression_Valg[[#This Row],[Afhængig variabel ID]]&lt;&gt;LineærRegression_Valg[[#This Row],[Uafhængig variabel ID]]</f>
        <v>1</v>
      </c>
      <c r="E929" t="b">
        <f>LineærRegression_Valg[[#This Row],[Afhængig variabel ID]]&lt;=$B$5</f>
        <v>0</v>
      </c>
      <c r="F929" t="str" cm="1">
        <f t="array" ref="F929">IF(LineærRegression_Valg[[#This Row],[Indenfor range]],INDEX(DataTitel_liste,LineærRegression_Valg[[#This Row],[Afhængig variabel ID]]),INDEX(DataTitel_liste,1))</f>
        <v>Eksempel 1 (interval)</v>
      </c>
      <c r="G929" s="171" t="str" cm="1">
        <f t="array" ref="G929">IF(LineærRegression_Valg[[#This Row],[Indenfor range]],IF(LineærRegression_Valg[[#This Row],[Intet overlap]],INDEX(DataTitel_liste,LineærRegression_Valg[[#This Row],[Uafhængig variabel ID]]),INDEX(DataTitel_liste,IF(LineærRegression_Valg[[#This Row],[Afhængig variabel ID]]=1,2,1))),$B$7)</f>
        <v>Eksempel 2 (interval)</v>
      </c>
      <c r="H929" s="171">
        <f>_xlfn.AGGREGATE(2,5,LineærRegression_Valg[[#This Row],[Tabel ID]])</f>
        <v>1</v>
      </c>
    </row>
    <row r="930" spans="1:8" x14ac:dyDescent="0.2">
      <c r="A930">
        <f>ROW(LineærRegression_Valg[[#This Row],[Tabel ID]])-ROW(LineærRegression_Valg[[#Headers],[Tabel ID]])</f>
        <v>920</v>
      </c>
      <c r="B930" s="171">
        <f>ROUNDDOWN((LineærRegression_Valg[[#This Row],[Tabel ID]]-1)/$B$5,0)+1</f>
        <v>230</v>
      </c>
      <c r="C930" s="171">
        <f t="shared" si="14"/>
        <v>4</v>
      </c>
      <c r="D930" s="171" t="b">
        <f>LineærRegression_Valg[[#This Row],[Afhængig variabel ID]]&lt;&gt;LineærRegression_Valg[[#This Row],[Uafhængig variabel ID]]</f>
        <v>1</v>
      </c>
      <c r="E930" t="b">
        <f>LineærRegression_Valg[[#This Row],[Afhængig variabel ID]]&lt;=$B$5</f>
        <v>0</v>
      </c>
      <c r="F930" t="str" cm="1">
        <f t="array" ref="F930">IF(LineærRegression_Valg[[#This Row],[Indenfor range]],INDEX(DataTitel_liste,LineærRegression_Valg[[#This Row],[Afhængig variabel ID]]),INDEX(DataTitel_liste,1))</f>
        <v>Eksempel 1 (interval)</v>
      </c>
      <c r="G930" s="171" t="str" cm="1">
        <f t="array" ref="G930">IF(LineærRegression_Valg[[#This Row],[Indenfor range]],IF(LineærRegression_Valg[[#This Row],[Intet overlap]],INDEX(DataTitel_liste,LineærRegression_Valg[[#This Row],[Uafhængig variabel ID]]),INDEX(DataTitel_liste,IF(LineærRegression_Valg[[#This Row],[Afhængig variabel ID]]=1,2,1))),$B$7)</f>
        <v>Eksempel 2 (interval)</v>
      </c>
      <c r="H930" s="171">
        <f>_xlfn.AGGREGATE(2,5,LineærRegression_Valg[[#This Row],[Tabel ID]])</f>
        <v>1</v>
      </c>
    </row>
    <row r="931" spans="1:8" x14ac:dyDescent="0.2">
      <c r="A931">
        <f>ROW(LineærRegression_Valg[[#This Row],[Tabel ID]])-ROW(LineærRegression_Valg[[#Headers],[Tabel ID]])</f>
        <v>921</v>
      </c>
      <c r="B931" s="171">
        <f>ROUNDDOWN((LineærRegression_Valg[[#This Row],[Tabel ID]]-1)/$B$5,0)+1</f>
        <v>231</v>
      </c>
      <c r="C931" s="171">
        <f t="shared" si="14"/>
        <v>1</v>
      </c>
      <c r="D931" s="171" t="b">
        <f>LineærRegression_Valg[[#This Row],[Afhængig variabel ID]]&lt;&gt;LineærRegression_Valg[[#This Row],[Uafhængig variabel ID]]</f>
        <v>1</v>
      </c>
      <c r="E931" t="b">
        <f>LineærRegression_Valg[[#This Row],[Afhængig variabel ID]]&lt;=$B$5</f>
        <v>0</v>
      </c>
      <c r="F931" t="str" cm="1">
        <f t="array" ref="F931">IF(LineærRegression_Valg[[#This Row],[Indenfor range]],INDEX(DataTitel_liste,LineærRegression_Valg[[#This Row],[Afhængig variabel ID]]),INDEX(DataTitel_liste,1))</f>
        <v>Eksempel 1 (interval)</v>
      </c>
      <c r="G931" s="171" t="str" cm="1">
        <f t="array" ref="G931">IF(LineærRegression_Valg[[#This Row],[Indenfor range]],IF(LineærRegression_Valg[[#This Row],[Intet overlap]],INDEX(DataTitel_liste,LineærRegression_Valg[[#This Row],[Uafhængig variabel ID]]),INDEX(DataTitel_liste,IF(LineærRegression_Valg[[#This Row],[Afhængig variabel ID]]=1,2,1))),$B$7)</f>
        <v>Eksempel 2 (interval)</v>
      </c>
      <c r="H931" s="171">
        <f>_xlfn.AGGREGATE(2,5,LineærRegression_Valg[[#This Row],[Tabel ID]])</f>
        <v>1</v>
      </c>
    </row>
    <row r="932" spans="1:8" x14ac:dyDescent="0.2">
      <c r="A932">
        <f>ROW(LineærRegression_Valg[[#This Row],[Tabel ID]])-ROW(LineærRegression_Valg[[#Headers],[Tabel ID]])</f>
        <v>922</v>
      </c>
      <c r="B932" s="171">
        <f>ROUNDDOWN((LineærRegression_Valg[[#This Row],[Tabel ID]]-1)/$B$5,0)+1</f>
        <v>231</v>
      </c>
      <c r="C932" s="171">
        <f t="shared" si="14"/>
        <v>2</v>
      </c>
      <c r="D932" s="171" t="b">
        <f>LineærRegression_Valg[[#This Row],[Afhængig variabel ID]]&lt;&gt;LineærRegression_Valg[[#This Row],[Uafhængig variabel ID]]</f>
        <v>1</v>
      </c>
      <c r="E932" t="b">
        <f>LineærRegression_Valg[[#This Row],[Afhængig variabel ID]]&lt;=$B$5</f>
        <v>0</v>
      </c>
      <c r="F932" t="str" cm="1">
        <f t="array" ref="F932">IF(LineærRegression_Valg[[#This Row],[Indenfor range]],INDEX(DataTitel_liste,LineærRegression_Valg[[#This Row],[Afhængig variabel ID]]),INDEX(DataTitel_liste,1))</f>
        <v>Eksempel 1 (interval)</v>
      </c>
      <c r="G932" s="171" t="str" cm="1">
        <f t="array" ref="G932">IF(LineærRegression_Valg[[#This Row],[Indenfor range]],IF(LineærRegression_Valg[[#This Row],[Intet overlap]],INDEX(DataTitel_liste,LineærRegression_Valg[[#This Row],[Uafhængig variabel ID]]),INDEX(DataTitel_liste,IF(LineærRegression_Valg[[#This Row],[Afhængig variabel ID]]=1,2,1))),$B$7)</f>
        <v>Eksempel 2 (interval)</v>
      </c>
      <c r="H932" s="171">
        <f>_xlfn.AGGREGATE(2,5,LineærRegression_Valg[[#This Row],[Tabel ID]])</f>
        <v>1</v>
      </c>
    </row>
    <row r="933" spans="1:8" x14ac:dyDescent="0.2">
      <c r="A933">
        <f>ROW(LineærRegression_Valg[[#This Row],[Tabel ID]])-ROW(LineærRegression_Valg[[#Headers],[Tabel ID]])</f>
        <v>923</v>
      </c>
      <c r="B933" s="171">
        <f>ROUNDDOWN((LineærRegression_Valg[[#This Row],[Tabel ID]]-1)/$B$5,0)+1</f>
        <v>231</v>
      </c>
      <c r="C933" s="171">
        <f t="shared" si="14"/>
        <v>3</v>
      </c>
      <c r="D933" s="171" t="b">
        <f>LineærRegression_Valg[[#This Row],[Afhængig variabel ID]]&lt;&gt;LineærRegression_Valg[[#This Row],[Uafhængig variabel ID]]</f>
        <v>1</v>
      </c>
      <c r="E933" t="b">
        <f>LineærRegression_Valg[[#This Row],[Afhængig variabel ID]]&lt;=$B$5</f>
        <v>0</v>
      </c>
      <c r="F933" t="str" cm="1">
        <f t="array" ref="F933">IF(LineærRegression_Valg[[#This Row],[Indenfor range]],INDEX(DataTitel_liste,LineærRegression_Valg[[#This Row],[Afhængig variabel ID]]),INDEX(DataTitel_liste,1))</f>
        <v>Eksempel 1 (interval)</v>
      </c>
      <c r="G933" s="171" t="str" cm="1">
        <f t="array" ref="G933">IF(LineærRegression_Valg[[#This Row],[Indenfor range]],IF(LineærRegression_Valg[[#This Row],[Intet overlap]],INDEX(DataTitel_liste,LineærRegression_Valg[[#This Row],[Uafhængig variabel ID]]),INDEX(DataTitel_liste,IF(LineærRegression_Valg[[#This Row],[Afhængig variabel ID]]=1,2,1))),$B$7)</f>
        <v>Eksempel 2 (interval)</v>
      </c>
      <c r="H933" s="171">
        <f>_xlfn.AGGREGATE(2,5,LineærRegression_Valg[[#This Row],[Tabel ID]])</f>
        <v>1</v>
      </c>
    </row>
    <row r="934" spans="1:8" x14ac:dyDescent="0.2">
      <c r="A934">
        <f>ROW(LineærRegression_Valg[[#This Row],[Tabel ID]])-ROW(LineærRegression_Valg[[#Headers],[Tabel ID]])</f>
        <v>924</v>
      </c>
      <c r="B934" s="171">
        <f>ROUNDDOWN((LineærRegression_Valg[[#This Row],[Tabel ID]]-1)/$B$5,0)+1</f>
        <v>231</v>
      </c>
      <c r="C934" s="171">
        <f t="shared" si="14"/>
        <v>4</v>
      </c>
      <c r="D934" s="171" t="b">
        <f>LineærRegression_Valg[[#This Row],[Afhængig variabel ID]]&lt;&gt;LineærRegression_Valg[[#This Row],[Uafhængig variabel ID]]</f>
        <v>1</v>
      </c>
      <c r="E934" t="b">
        <f>LineærRegression_Valg[[#This Row],[Afhængig variabel ID]]&lt;=$B$5</f>
        <v>0</v>
      </c>
      <c r="F934" t="str" cm="1">
        <f t="array" ref="F934">IF(LineærRegression_Valg[[#This Row],[Indenfor range]],INDEX(DataTitel_liste,LineærRegression_Valg[[#This Row],[Afhængig variabel ID]]),INDEX(DataTitel_liste,1))</f>
        <v>Eksempel 1 (interval)</v>
      </c>
      <c r="G934" s="171" t="str" cm="1">
        <f t="array" ref="G934">IF(LineærRegression_Valg[[#This Row],[Indenfor range]],IF(LineærRegression_Valg[[#This Row],[Intet overlap]],INDEX(DataTitel_liste,LineærRegression_Valg[[#This Row],[Uafhængig variabel ID]]),INDEX(DataTitel_liste,IF(LineærRegression_Valg[[#This Row],[Afhængig variabel ID]]=1,2,1))),$B$7)</f>
        <v>Eksempel 2 (interval)</v>
      </c>
      <c r="H934" s="171">
        <f>_xlfn.AGGREGATE(2,5,LineærRegression_Valg[[#This Row],[Tabel ID]])</f>
        <v>1</v>
      </c>
    </row>
    <row r="935" spans="1:8" x14ac:dyDescent="0.2">
      <c r="A935">
        <f>ROW(LineærRegression_Valg[[#This Row],[Tabel ID]])-ROW(LineærRegression_Valg[[#Headers],[Tabel ID]])</f>
        <v>925</v>
      </c>
      <c r="B935" s="171">
        <f>ROUNDDOWN((LineærRegression_Valg[[#This Row],[Tabel ID]]-1)/$B$5,0)+1</f>
        <v>232</v>
      </c>
      <c r="C935" s="171">
        <f t="shared" si="14"/>
        <v>1</v>
      </c>
      <c r="D935" s="171" t="b">
        <f>LineærRegression_Valg[[#This Row],[Afhængig variabel ID]]&lt;&gt;LineærRegression_Valg[[#This Row],[Uafhængig variabel ID]]</f>
        <v>1</v>
      </c>
      <c r="E935" t="b">
        <f>LineærRegression_Valg[[#This Row],[Afhængig variabel ID]]&lt;=$B$5</f>
        <v>0</v>
      </c>
      <c r="F935" t="str" cm="1">
        <f t="array" ref="F935">IF(LineærRegression_Valg[[#This Row],[Indenfor range]],INDEX(DataTitel_liste,LineærRegression_Valg[[#This Row],[Afhængig variabel ID]]),INDEX(DataTitel_liste,1))</f>
        <v>Eksempel 1 (interval)</v>
      </c>
      <c r="G935" s="171" t="str" cm="1">
        <f t="array" ref="G935">IF(LineærRegression_Valg[[#This Row],[Indenfor range]],IF(LineærRegression_Valg[[#This Row],[Intet overlap]],INDEX(DataTitel_liste,LineærRegression_Valg[[#This Row],[Uafhængig variabel ID]]),INDEX(DataTitel_liste,IF(LineærRegression_Valg[[#This Row],[Afhængig variabel ID]]=1,2,1))),$B$7)</f>
        <v>Eksempel 2 (interval)</v>
      </c>
      <c r="H935" s="171">
        <f>_xlfn.AGGREGATE(2,5,LineærRegression_Valg[[#This Row],[Tabel ID]])</f>
        <v>1</v>
      </c>
    </row>
    <row r="936" spans="1:8" x14ac:dyDescent="0.2">
      <c r="A936">
        <f>ROW(LineærRegression_Valg[[#This Row],[Tabel ID]])-ROW(LineærRegression_Valg[[#Headers],[Tabel ID]])</f>
        <v>926</v>
      </c>
      <c r="B936" s="171">
        <f>ROUNDDOWN((LineærRegression_Valg[[#This Row],[Tabel ID]]-1)/$B$5,0)+1</f>
        <v>232</v>
      </c>
      <c r="C936" s="171">
        <f t="shared" si="14"/>
        <v>2</v>
      </c>
      <c r="D936" s="171" t="b">
        <f>LineærRegression_Valg[[#This Row],[Afhængig variabel ID]]&lt;&gt;LineærRegression_Valg[[#This Row],[Uafhængig variabel ID]]</f>
        <v>1</v>
      </c>
      <c r="E936" t="b">
        <f>LineærRegression_Valg[[#This Row],[Afhængig variabel ID]]&lt;=$B$5</f>
        <v>0</v>
      </c>
      <c r="F936" t="str" cm="1">
        <f t="array" ref="F936">IF(LineærRegression_Valg[[#This Row],[Indenfor range]],INDEX(DataTitel_liste,LineærRegression_Valg[[#This Row],[Afhængig variabel ID]]),INDEX(DataTitel_liste,1))</f>
        <v>Eksempel 1 (interval)</v>
      </c>
      <c r="G936" s="171" t="str" cm="1">
        <f t="array" ref="G936">IF(LineærRegression_Valg[[#This Row],[Indenfor range]],IF(LineærRegression_Valg[[#This Row],[Intet overlap]],INDEX(DataTitel_liste,LineærRegression_Valg[[#This Row],[Uafhængig variabel ID]]),INDEX(DataTitel_liste,IF(LineærRegression_Valg[[#This Row],[Afhængig variabel ID]]=1,2,1))),$B$7)</f>
        <v>Eksempel 2 (interval)</v>
      </c>
      <c r="H936" s="171">
        <f>_xlfn.AGGREGATE(2,5,LineærRegression_Valg[[#This Row],[Tabel ID]])</f>
        <v>1</v>
      </c>
    </row>
    <row r="937" spans="1:8" x14ac:dyDescent="0.2">
      <c r="A937">
        <f>ROW(LineærRegression_Valg[[#This Row],[Tabel ID]])-ROW(LineærRegression_Valg[[#Headers],[Tabel ID]])</f>
        <v>927</v>
      </c>
      <c r="B937" s="171">
        <f>ROUNDDOWN((LineærRegression_Valg[[#This Row],[Tabel ID]]-1)/$B$5,0)+1</f>
        <v>232</v>
      </c>
      <c r="C937" s="171">
        <f t="shared" si="14"/>
        <v>3</v>
      </c>
      <c r="D937" s="171" t="b">
        <f>LineærRegression_Valg[[#This Row],[Afhængig variabel ID]]&lt;&gt;LineærRegression_Valg[[#This Row],[Uafhængig variabel ID]]</f>
        <v>1</v>
      </c>
      <c r="E937" t="b">
        <f>LineærRegression_Valg[[#This Row],[Afhængig variabel ID]]&lt;=$B$5</f>
        <v>0</v>
      </c>
      <c r="F937" t="str" cm="1">
        <f t="array" ref="F937">IF(LineærRegression_Valg[[#This Row],[Indenfor range]],INDEX(DataTitel_liste,LineærRegression_Valg[[#This Row],[Afhængig variabel ID]]),INDEX(DataTitel_liste,1))</f>
        <v>Eksempel 1 (interval)</v>
      </c>
      <c r="G937" s="171" t="str" cm="1">
        <f t="array" ref="G937">IF(LineærRegression_Valg[[#This Row],[Indenfor range]],IF(LineærRegression_Valg[[#This Row],[Intet overlap]],INDEX(DataTitel_liste,LineærRegression_Valg[[#This Row],[Uafhængig variabel ID]]),INDEX(DataTitel_liste,IF(LineærRegression_Valg[[#This Row],[Afhængig variabel ID]]=1,2,1))),$B$7)</f>
        <v>Eksempel 2 (interval)</v>
      </c>
      <c r="H937" s="171">
        <f>_xlfn.AGGREGATE(2,5,LineærRegression_Valg[[#This Row],[Tabel ID]])</f>
        <v>1</v>
      </c>
    </row>
    <row r="938" spans="1:8" x14ac:dyDescent="0.2">
      <c r="A938">
        <f>ROW(LineærRegression_Valg[[#This Row],[Tabel ID]])-ROW(LineærRegression_Valg[[#Headers],[Tabel ID]])</f>
        <v>928</v>
      </c>
      <c r="B938" s="171">
        <f>ROUNDDOWN((LineærRegression_Valg[[#This Row],[Tabel ID]]-1)/$B$5,0)+1</f>
        <v>232</v>
      </c>
      <c r="C938" s="171">
        <f t="shared" si="14"/>
        <v>4</v>
      </c>
      <c r="D938" s="171" t="b">
        <f>LineærRegression_Valg[[#This Row],[Afhængig variabel ID]]&lt;&gt;LineærRegression_Valg[[#This Row],[Uafhængig variabel ID]]</f>
        <v>1</v>
      </c>
      <c r="E938" t="b">
        <f>LineærRegression_Valg[[#This Row],[Afhængig variabel ID]]&lt;=$B$5</f>
        <v>0</v>
      </c>
      <c r="F938" t="str" cm="1">
        <f t="array" ref="F938">IF(LineærRegression_Valg[[#This Row],[Indenfor range]],INDEX(DataTitel_liste,LineærRegression_Valg[[#This Row],[Afhængig variabel ID]]),INDEX(DataTitel_liste,1))</f>
        <v>Eksempel 1 (interval)</v>
      </c>
      <c r="G938" s="171" t="str" cm="1">
        <f t="array" ref="G938">IF(LineærRegression_Valg[[#This Row],[Indenfor range]],IF(LineærRegression_Valg[[#This Row],[Intet overlap]],INDEX(DataTitel_liste,LineærRegression_Valg[[#This Row],[Uafhængig variabel ID]]),INDEX(DataTitel_liste,IF(LineærRegression_Valg[[#This Row],[Afhængig variabel ID]]=1,2,1))),$B$7)</f>
        <v>Eksempel 2 (interval)</v>
      </c>
      <c r="H938" s="171">
        <f>_xlfn.AGGREGATE(2,5,LineærRegression_Valg[[#This Row],[Tabel ID]])</f>
        <v>1</v>
      </c>
    </row>
    <row r="939" spans="1:8" x14ac:dyDescent="0.2">
      <c r="A939">
        <f>ROW(LineærRegression_Valg[[#This Row],[Tabel ID]])-ROW(LineærRegression_Valg[[#Headers],[Tabel ID]])</f>
        <v>929</v>
      </c>
      <c r="B939" s="171">
        <f>ROUNDDOWN((LineærRegression_Valg[[#This Row],[Tabel ID]]-1)/$B$5,0)+1</f>
        <v>233</v>
      </c>
      <c r="C939" s="171">
        <f t="shared" si="14"/>
        <v>1</v>
      </c>
      <c r="D939" s="171" t="b">
        <f>LineærRegression_Valg[[#This Row],[Afhængig variabel ID]]&lt;&gt;LineærRegression_Valg[[#This Row],[Uafhængig variabel ID]]</f>
        <v>1</v>
      </c>
      <c r="E939" t="b">
        <f>LineærRegression_Valg[[#This Row],[Afhængig variabel ID]]&lt;=$B$5</f>
        <v>0</v>
      </c>
      <c r="F939" t="str" cm="1">
        <f t="array" ref="F939">IF(LineærRegression_Valg[[#This Row],[Indenfor range]],INDEX(DataTitel_liste,LineærRegression_Valg[[#This Row],[Afhængig variabel ID]]),INDEX(DataTitel_liste,1))</f>
        <v>Eksempel 1 (interval)</v>
      </c>
      <c r="G939" s="171" t="str" cm="1">
        <f t="array" ref="G939">IF(LineærRegression_Valg[[#This Row],[Indenfor range]],IF(LineærRegression_Valg[[#This Row],[Intet overlap]],INDEX(DataTitel_liste,LineærRegression_Valg[[#This Row],[Uafhængig variabel ID]]),INDEX(DataTitel_liste,IF(LineærRegression_Valg[[#This Row],[Afhængig variabel ID]]=1,2,1))),$B$7)</f>
        <v>Eksempel 2 (interval)</v>
      </c>
      <c r="H939" s="171">
        <f>_xlfn.AGGREGATE(2,5,LineærRegression_Valg[[#This Row],[Tabel ID]])</f>
        <v>1</v>
      </c>
    </row>
    <row r="940" spans="1:8" x14ac:dyDescent="0.2">
      <c r="A940">
        <f>ROW(LineærRegression_Valg[[#This Row],[Tabel ID]])-ROW(LineærRegression_Valg[[#Headers],[Tabel ID]])</f>
        <v>930</v>
      </c>
      <c r="B940" s="171">
        <f>ROUNDDOWN((LineærRegression_Valg[[#This Row],[Tabel ID]]-1)/$B$5,0)+1</f>
        <v>233</v>
      </c>
      <c r="C940" s="171">
        <f t="shared" si="14"/>
        <v>2</v>
      </c>
      <c r="D940" s="171" t="b">
        <f>LineærRegression_Valg[[#This Row],[Afhængig variabel ID]]&lt;&gt;LineærRegression_Valg[[#This Row],[Uafhængig variabel ID]]</f>
        <v>1</v>
      </c>
      <c r="E940" t="b">
        <f>LineærRegression_Valg[[#This Row],[Afhængig variabel ID]]&lt;=$B$5</f>
        <v>0</v>
      </c>
      <c r="F940" t="str" cm="1">
        <f t="array" ref="F940">IF(LineærRegression_Valg[[#This Row],[Indenfor range]],INDEX(DataTitel_liste,LineærRegression_Valg[[#This Row],[Afhængig variabel ID]]),INDEX(DataTitel_liste,1))</f>
        <v>Eksempel 1 (interval)</v>
      </c>
      <c r="G940" s="171" t="str" cm="1">
        <f t="array" ref="G940">IF(LineærRegression_Valg[[#This Row],[Indenfor range]],IF(LineærRegression_Valg[[#This Row],[Intet overlap]],INDEX(DataTitel_liste,LineærRegression_Valg[[#This Row],[Uafhængig variabel ID]]),INDEX(DataTitel_liste,IF(LineærRegression_Valg[[#This Row],[Afhængig variabel ID]]=1,2,1))),$B$7)</f>
        <v>Eksempel 2 (interval)</v>
      </c>
      <c r="H940" s="171">
        <f>_xlfn.AGGREGATE(2,5,LineærRegression_Valg[[#This Row],[Tabel ID]])</f>
        <v>1</v>
      </c>
    </row>
    <row r="941" spans="1:8" x14ac:dyDescent="0.2">
      <c r="A941">
        <f>ROW(LineærRegression_Valg[[#This Row],[Tabel ID]])-ROW(LineærRegression_Valg[[#Headers],[Tabel ID]])</f>
        <v>931</v>
      </c>
      <c r="B941" s="171">
        <f>ROUNDDOWN((LineærRegression_Valg[[#This Row],[Tabel ID]]-1)/$B$5,0)+1</f>
        <v>233</v>
      </c>
      <c r="C941" s="171">
        <f t="shared" si="14"/>
        <v>3</v>
      </c>
      <c r="D941" s="171" t="b">
        <f>LineærRegression_Valg[[#This Row],[Afhængig variabel ID]]&lt;&gt;LineærRegression_Valg[[#This Row],[Uafhængig variabel ID]]</f>
        <v>1</v>
      </c>
      <c r="E941" t="b">
        <f>LineærRegression_Valg[[#This Row],[Afhængig variabel ID]]&lt;=$B$5</f>
        <v>0</v>
      </c>
      <c r="F941" t="str" cm="1">
        <f t="array" ref="F941">IF(LineærRegression_Valg[[#This Row],[Indenfor range]],INDEX(DataTitel_liste,LineærRegression_Valg[[#This Row],[Afhængig variabel ID]]),INDEX(DataTitel_liste,1))</f>
        <v>Eksempel 1 (interval)</v>
      </c>
      <c r="G941" s="171" t="str" cm="1">
        <f t="array" ref="G941">IF(LineærRegression_Valg[[#This Row],[Indenfor range]],IF(LineærRegression_Valg[[#This Row],[Intet overlap]],INDEX(DataTitel_liste,LineærRegression_Valg[[#This Row],[Uafhængig variabel ID]]),INDEX(DataTitel_liste,IF(LineærRegression_Valg[[#This Row],[Afhængig variabel ID]]=1,2,1))),$B$7)</f>
        <v>Eksempel 2 (interval)</v>
      </c>
      <c r="H941" s="171">
        <f>_xlfn.AGGREGATE(2,5,LineærRegression_Valg[[#This Row],[Tabel ID]])</f>
        <v>1</v>
      </c>
    </row>
    <row r="942" spans="1:8" x14ac:dyDescent="0.2">
      <c r="A942">
        <f>ROW(LineærRegression_Valg[[#This Row],[Tabel ID]])-ROW(LineærRegression_Valg[[#Headers],[Tabel ID]])</f>
        <v>932</v>
      </c>
      <c r="B942" s="171">
        <f>ROUNDDOWN((LineærRegression_Valg[[#This Row],[Tabel ID]]-1)/$B$5,0)+1</f>
        <v>233</v>
      </c>
      <c r="C942" s="171">
        <f t="shared" si="14"/>
        <v>4</v>
      </c>
      <c r="D942" s="171" t="b">
        <f>LineærRegression_Valg[[#This Row],[Afhængig variabel ID]]&lt;&gt;LineærRegression_Valg[[#This Row],[Uafhængig variabel ID]]</f>
        <v>1</v>
      </c>
      <c r="E942" t="b">
        <f>LineærRegression_Valg[[#This Row],[Afhængig variabel ID]]&lt;=$B$5</f>
        <v>0</v>
      </c>
      <c r="F942" t="str" cm="1">
        <f t="array" ref="F942">IF(LineærRegression_Valg[[#This Row],[Indenfor range]],INDEX(DataTitel_liste,LineærRegression_Valg[[#This Row],[Afhængig variabel ID]]),INDEX(DataTitel_liste,1))</f>
        <v>Eksempel 1 (interval)</v>
      </c>
      <c r="G942" s="171" t="str" cm="1">
        <f t="array" ref="G942">IF(LineærRegression_Valg[[#This Row],[Indenfor range]],IF(LineærRegression_Valg[[#This Row],[Intet overlap]],INDEX(DataTitel_liste,LineærRegression_Valg[[#This Row],[Uafhængig variabel ID]]),INDEX(DataTitel_liste,IF(LineærRegression_Valg[[#This Row],[Afhængig variabel ID]]=1,2,1))),$B$7)</f>
        <v>Eksempel 2 (interval)</v>
      </c>
      <c r="H942" s="171">
        <f>_xlfn.AGGREGATE(2,5,LineærRegression_Valg[[#This Row],[Tabel ID]])</f>
        <v>1</v>
      </c>
    </row>
    <row r="943" spans="1:8" x14ac:dyDescent="0.2">
      <c r="A943">
        <f>ROW(LineærRegression_Valg[[#This Row],[Tabel ID]])-ROW(LineærRegression_Valg[[#Headers],[Tabel ID]])</f>
        <v>933</v>
      </c>
      <c r="B943" s="171">
        <f>ROUNDDOWN((LineærRegression_Valg[[#This Row],[Tabel ID]]-1)/$B$5,0)+1</f>
        <v>234</v>
      </c>
      <c r="C943" s="171">
        <f t="shared" si="14"/>
        <v>1</v>
      </c>
      <c r="D943" s="171" t="b">
        <f>LineærRegression_Valg[[#This Row],[Afhængig variabel ID]]&lt;&gt;LineærRegression_Valg[[#This Row],[Uafhængig variabel ID]]</f>
        <v>1</v>
      </c>
      <c r="E943" t="b">
        <f>LineærRegression_Valg[[#This Row],[Afhængig variabel ID]]&lt;=$B$5</f>
        <v>0</v>
      </c>
      <c r="F943" t="str" cm="1">
        <f t="array" ref="F943">IF(LineærRegression_Valg[[#This Row],[Indenfor range]],INDEX(DataTitel_liste,LineærRegression_Valg[[#This Row],[Afhængig variabel ID]]),INDEX(DataTitel_liste,1))</f>
        <v>Eksempel 1 (interval)</v>
      </c>
      <c r="G943" s="171" t="str" cm="1">
        <f t="array" ref="G943">IF(LineærRegression_Valg[[#This Row],[Indenfor range]],IF(LineærRegression_Valg[[#This Row],[Intet overlap]],INDEX(DataTitel_liste,LineærRegression_Valg[[#This Row],[Uafhængig variabel ID]]),INDEX(DataTitel_liste,IF(LineærRegression_Valg[[#This Row],[Afhængig variabel ID]]=1,2,1))),$B$7)</f>
        <v>Eksempel 2 (interval)</v>
      </c>
      <c r="H943" s="171">
        <f>_xlfn.AGGREGATE(2,5,LineærRegression_Valg[[#This Row],[Tabel ID]])</f>
        <v>1</v>
      </c>
    </row>
    <row r="944" spans="1:8" x14ac:dyDescent="0.2">
      <c r="A944">
        <f>ROW(LineærRegression_Valg[[#This Row],[Tabel ID]])-ROW(LineærRegression_Valg[[#Headers],[Tabel ID]])</f>
        <v>934</v>
      </c>
      <c r="B944" s="171">
        <f>ROUNDDOWN((LineærRegression_Valg[[#This Row],[Tabel ID]]-1)/$B$5,0)+1</f>
        <v>234</v>
      </c>
      <c r="C944" s="171">
        <f t="shared" si="14"/>
        <v>2</v>
      </c>
      <c r="D944" s="171" t="b">
        <f>LineærRegression_Valg[[#This Row],[Afhængig variabel ID]]&lt;&gt;LineærRegression_Valg[[#This Row],[Uafhængig variabel ID]]</f>
        <v>1</v>
      </c>
      <c r="E944" t="b">
        <f>LineærRegression_Valg[[#This Row],[Afhængig variabel ID]]&lt;=$B$5</f>
        <v>0</v>
      </c>
      <c r="F944" t="str" cm="1">
        <f t="array" ref="F944">IF(LineærRegression_Valg[[#This Row],[Indenfor range]],INDEX(DataTitel_liste,LineærRegression_Valg[[#This Row],[Afhængig variabel ID]]),INDEX(DataTitel_liste,1))</f>
        <v>Eksempel 1 (interval)</v>
      </c>
      <c r="G944" s="171" t="str" cm="1">
        <f t="array" ref="G944">IF(LineærRegression_Valg[[#This Row],[Indenfor range]],IF(LineærRegression_Valg[[#This Row],[Intet overlap]],INDEX(DataTitel_liste,LineærRegression_Valg[[#This Row],[Uafhængig variabel ID]]),INDEX(DataTitel_liste,IF(LineærRegression_Valg[[#This Row],[Afhængig variabel ID]]=1,2,1))),$B$7)</f>
        <v>Eksempel 2 (interval)</v>
      </c>
      <c r="H944" s="171">
        <f>_xlfn.AGGREGATE(2,5,LineærRegression_Valg[[#This Row],[Tabel ID]])</f>
        <v>1</v>
      </c>
    </row>
    <row r="945" spans="1:8" x14ac:dyDescent="0.2">
      <c r="A945">
        <f>ROW(LineærRegression_Valg[[#This Row],[Tabel ID]])-ROW(LineærRegression_Valg[[#Headers],[Tabel ID]])</f>
        <v>935</v>
      </c>
      <c r="B945" s="171">
        <f>ROUNDDOWN((LineærRegression_Valg[[#This Row],[Tabel ID]]-1)/$B$5,0)+1</f>
        <v>234</v>
      </c>
      <c r="C945" s="171">
        <f t="shared" si="14"/>
        <v>3</v>
      </c>
      <c r="D945" s="171" t="b">
        <f>LineærRegression_Valg[[#This Row],[Afhængig variabel ID]]&lt;&gt;LineærRegression_Valg[[#This Row],[Uafhængig variabel ID]]</f>
        <v>1</v>
      </c>
      <c r="E945" t="b">
        <f>LineærRegression_Valg[[#This Row],[Afhængig variabel ID]]&lt;=$B$5</f>
        <v>0</v>
      </c>
      <c r="F945" t="str" cm="1">
        <f t="array" ref="F945">IF(LineærRegression_Valg[[#This Row],[Indenfor range]],INDEX(DataTitel_liste,LineærRegression_Valg[[#This Row],[Afhængig variabel ID]]),INDEX(DataTitel_liste,1))</f>
        <v>Eksempel 1 (interval)</v>
      </c>
      <c r="G945" s="171" t="str" cm="1">
        <f t="array" ref="G945">IF(LineærRegression_Valg[[#This Row],[Indenfor range]],IF(LineærRegression_Valg[[#This Row],[Intet overlap]],INDEX(DataTitel_liste,LineærRegression_Valg[[#This Row],[Uafhængig variabel ID]]),INDEX(DataTitel_liste,IF(LineærRegression_Valg[[#This Row],[Afhængig variabel ID]]=1,2,1))),$B$7)</f>
        <v>Eksempel 2 (interval)</v>
      </c>
      <c r="H945" s="171">
        <f>_xlfn.AGGREGATE(2,5,LineærRegression_Valg[[#This Row],[Tabel ID]])</f>
        <v>1</v>
      </c>
    </row>
    <row r="946" spans="1:8" x14ac:dyDescent="0.2">
      <c r="A946">
        <f>ROW(LineærRegression_Valg[[#This Row],[Tabel ID]])-ROW(LineærRegression_Valg[[#Headers],[Tabel ID]])</f>
        <v>936</v>
      </c>
      <c r="B946" s="171">
        <f>ROUNDDOWN((LineærRegression_Valg[[#This Row],[Tabel ID]]-1)/$B$5,0)+1</f>
        <v>234</v>
      </c>
      <c r="C946" s="171">
        <f t="shared" si="14"/>
        <v>4</v>
      </c>
      <c r="D946" s="171" t="b">
        <f>LineærRegression_Valg[[#This Row],[Afhængig variabel ID]]&lt;&gt;LineærRegression_Valg[[#This Row],[Uafhængig variabel ID]]</f>
        <v>1</v>
      </c>
      <c r="E946" t="b">
        <f>LineærRegression_Valg[[#This Row],[Afhængig variabel ID]]&lt;=$B$5</f>
        <v>0</v>
      </c>
      <c r="F946" t="str" cm="1">
        <f t="array" ref="F946">IF(LineærRegression_Valg[[#This Row],[Indenfor range]],INDEX(DataTitel_liste,LineærRegression_Valg[[#This Row],[Afhængig variabel ID]]),INDEX(DataTitel_liste,1))</f>
        <v>Eksempel 1 (interval)</v>
      </c>
      <c r="G946" s="171" t="str" cm="1">
        <f t="array" ref="G946">IF(LineærRegression_Valg[[#This Row],[Indenfor range]],IF(LineærRegression_Valg[[#This Row],[Intet overlap]],INDEX(DataTitel_liste,LineærRegression_Valg[[#This Row],[Uafhængig variabel ID]]),INDEX(DataTitel_liste,IF(LineærRegression_Valg[[#This Row],[Afhængig variabel ID]]=1,2,1))),$B$7)</f>
        <v>Eksempel 2 (interval)</v>
      </c>
      <c r="H946" s="171">
        <f>_xlfn.AGGREGATE(2,5,LineærRegression_Valg[[#This Row],[Tabel ID]])</f>
        <v>1</v>
      </c>
    </row>
    <row r="947" spans="1:8" x14ac:dyDescent="0.2">
      <c r="A947">
        <f>ROW(LineærRegression_Valg[[#This Row],[Tabel ID]])-ROW(LineærRegression_Valg[[#Headers],[Tabel ID]])</f>
        <v>937</v>
      </c>
      <c r="B947" s="171">
        <f>ROUNDDOWN((LineærRegression_Valg[[#This Row],[Tabel ID]]-1)/$B$5,0)+1</f>
        <v>235</v>
      </c>
      <c r="C947" s="171">
        <f t="shared" si="14"/>
        <v>1</v>
      </c>
      <c r="D947" s="171" t="b">
        <f>LineærRegression_Valg[[#This Row],[Afhængig variabel ID]]&lt;&gt;LineærRegression_Valg[[#This Row],[Uafhængig variabel ID]]</f>
        <v>1</v>
      </c>
      <c r="E947" t="b">
        <f>LineærRegression_Valg[[#This Row],[Afhængig variabel ID]]&lt;=$B$5</f>
        <v>0</v>
      </c>
      <c r="F947" t="str" cm="1">
        <f t="array" ref="F947">IF(LineærRegression_Valg[[#This Row],[Indenfor range]],INDEX(DataTitel_liste,LineærRegression_Valg[[#This Row],[Afhængig variabel ID]]),INDEX(DataTitel_liste,1))</f>
        <v>Eksempel 1 (interval)</v>
      </c>
      <c r="G947" s="171" t="str" cm="1">
        <f t="array" ref="G947">IF(LineærRegression_Valg[[#This Row],[Indenfor range]],IF(LineærRegression_Valg[[#This Row],[Intet overlap]],INDEX(DataTitel_liste,LineærRegression_Valg[[#This Row],[Uafhængig variabel ID]]),INDEX(DataTitel_liste,IF(LineærRegression_Valg[[#This Row],[Afhængig variabel ID]]=1,2,1))),$B$7)</f>
        <v>Eksempel 2 (interval)</v>
      </c>
      <c r="H947" s="171">
        <f>_xlfn.AGGREGATE(2,5,LineærRegression_Valg[[#This Row],[Tabel ID]])</f>
        <v>1</v>
      </c>
    </row>
    <row r="948" spans="1:8" x14ac:dyDescent="0.2">
      <c r="A948">
        <f>ROW(LineærRegression_Valg[[#This Row],[Tabel ID]])-ROW(LineærRegression_Valg[[#Headers],[Tabel ID]])</f>
        <v>938</v>
      </c>
      <c r="B948" s="171">
        <f>ROUNDDOWN((LineærRegression_Valg[[#This Row],[Tabel ID]]-1)/$B$5,0)+1</f>
        <v>235</v>
      </c>
      <c r="C948" s="171">
        <f t="shared" si="14"/>
        <v>2</v>
      </c>
      <c r="D948" s="171" t="b">
        <f>LineærRegression_Valg[[#This Row],[Afhængig variabel ID]]&lt;&gt;LineærRegression_Valg[[#This Row],[Uafhængig variabel ID]]</f>
        <v>1</v>
      </c>
      <c r="E948" t="b">
        <f>LineærRegression_Valg[[#This Row],[Afhængig variabel ID]]&lt;=$B$5</f>
        <v>0</v>
      </c>
      <c r="F948" t="str" cm="1">
        <f t="array" ref="F948">IF(LineærRegression_Valg[[#This Row],[Indenfor range]],INDEX(DataTitel_liste,LineærRegression_Valg[[#This Row],[Afhængig variabel ID]]),INDEX(DataTitel_liste,1))</f>
        <v>Eksempel 1 (interval)</v>
      </c>
      <c r="G948" s="171" t="str" cm="1">
        <f t="array" ref="G948">IF(LineærRegression_Valg[[#This Row],[Indenfor range]],IF(LineærRegression_Valg[[#This Row],[Intet overlap]],INDEX(DataTitel_liste,LineærRegression_Valg[[#This Row],[Uafhængig variabel ID]]),INDEX(DataTitel_liste,IF(LineærRegression_Valg[[#This Row],[Afhængig variabel ID]]=1,2,1))),$B$7)</f>
        <v>Eksempel 2 (interval)</v>
      </c>
      <c r="H948" s="171">
        <f>_xlfn.AGGREGATE(2,5,LineærRegression_Valg[[#This Row],[Tabel ID]])</f>
        <v>1</v>
      </c>
    </row>
    <row r="949" spans="1:8" x14ac:dyDescent="0.2">
      <c r="A949">
        <f>ROW(LineærRegression_Valg[[#This Row],[Tabel ID]])-ROW(LineærRegression_Valg[[#Headers],[Tabel ID]])</f>
        <v>939</v>
      </c>
      <c r="B949" s="171">
        <f>ROUNDDOWN((LineærRegression_Valg[[#This Row],[Tabel ID]]-1)/$B$5,0)+1</f>
        <v>235</v>
      </c>
      <c r="C949" s="171">
        <f t="shared" si="14"/>
        <v>3</v>
      </c>
      <c r="D949" s="171" t="b">
        <f>LineærRegression_Valg[[#This Row],[Afhængig variabel ID]]&lt;&gt;LineærRegression_Valg[[#This Row],[Uafhængig variabel ID]]</f>
        <v>1</v>
      </c>
      <c r="E949" t="b">
        <f>LineærRegression_Valg[[#This Row],[Afhængig variabel ID]]&lt;=$B$5</f>
        <v>0</v>
      </c>
      <c r="F949" t="str" cm="1">
        <f t="array" ref="F949">IF(LineærRegression_Valg[[#This Row],[Indenfor range]],INDEX(DataTitel_liste,LineærRegression_Valg[[#This Row],[Afhængig variabel ID]]),INDEX(DataTitel_liste,1))</f>
        <v>Eksempel 1 (interval)</v>
      </c>
      <c r="G949" s="171" t="str" cm="1">
        <f t="array" ref="G949">IF(LineærRegression_Valg[[#This Row],[Indenfor range]],IF(LineærRegression_Valg[[#This Row],[Intet overlap]],INDEX(DataTitel_liste,LineærRegression_Valg[[#This Row],[Uafhængig variabel ID]]),INDEX(DataTitel_liste,IF(LineærRegression_Valg[[#This Row],[Afhængig variabel ID]]=1,2,1))),$B$7)</f>
        <v>Eksempel 2 (interval)</v>
      </c>
      <c r="H949" s="171">
        <f>_xlfn.AGGREGATE(2,5,LineærRegression_Valg[[#This Row],[Tabel ID]])</f>
        <v>1</v>
      </c>
    </row>
    <row r="950" spans="1:8" x14ac:dyDescent="0.2">
      <c r="A950">
        <f>ROW(LineærRegression_Valg[[#This Row],[Tabel ID]])-ROW(LineærRegression_Valg[[#Headers],[Tabel ID]])</f>
        <v>940</v>
      </c>
      <c r="B950" s="171">
        <f>ROUNDDOWN((LineærRegression_Valg[[#This Row],[Tabel ID]]-1)/$B$5,0)+1</f>
        <v>235</v>
      </c>
      <c r="C950" s="171">
        <f t="shared" si="14"/>
        <v>4</v>
      </c>
      <c r="D950" s="171" t="b">
        <f>LineærRegression_Valg[[#This Row],[Afhængig variabel ID]]&lt;&gt;LineærRegression_Valg[[#This Row],[Uafhængig variabel ID]]</f>
        <v>1</v>
      </c>
      <c r="E950" t="b">
        <f>LineærRegression_Valg[[#This Row],[Afhængig variabel ID]]&lt;=$B$5</f>
        <v>0</v>
      </c>
      <c r="F950" t="str" cm="1">
        <f t="array" ref="F950">IF(LineærRegression_Valg[[#This Row],[Indenfor range]],INDEX(DataTitel_liste,LineærRegression_Valg[[#This Row],[Afhængig variabel ID]]),INDEX(DataTitel_liste,1))</f>
        <v>Eksempel 1 (interval)</v>
      </c>
      <c r="G950" s="171" t="str" cm="1">
        <f t="array" ref="G950">IF(LineærRegression_Valg[[#This Row],[Indenfor range]],IF(LineærRegression_Valg[[#This Row],[Intet overlap]],INDEX(DataTitel_liste,LineærRegression_Valg[[#This Row],[Uafhængig variabel ID]]),INDEX(DataTitel_liste,IF(LineærRegression_Valg[[#This Row],[Afhængig variabel ID]]=1,2,1))),$B$7)</f>
        <v>Eksempel 2 (interval)</v>
      </c>
      <c r="H950" s="171">
        <f>_xlfn.AGGREGATE(2,5,LineærRegression_Valg[[#This Row],[Tabel ID]])</f>
        <v>1</v>
      </c>
    </row>
    <row r="951" spans="1:8" x14ac:dyDescent="0.2">
      <c r="A951">
        <f>ROW(LineærRegression_Valg[[#This Row],[Tabel ID]])-ROW(LineærRegression_Valg[[#Headers],[Tabel ID]])</f>
        <v>941</v>
      </c>
      <c r="B951" s="171">
        <f>ROUNDDOWN((LineærRegression_Valg[[#This Row],[Tabel ID]]-1)/$B$5,0)+1</f>
        <v>236</v>
      </c>
      <c r="C951" s="171">
        <f t="shared" si="14"/>
        <v>1</v>
      </c>
      <c r="D951" s="171" t="b">
        <f>LineærRegression_Valg[[#This Row],[Afhængig variabel ID]]&lt;&gt;LineærRegression_Valg[[#This Row],[Uafhængig variabel ID]]</f>
        <v>1</v>
      </c>
      <c r="E951" t="b">
        <f>LineærRegression_Valg[[#This Row],[Afhængig variabel ID]]&lt;=$B$5</f>
        <v>0</v>
      </c>
      <c r="F951" t="str" cm="1">
        <f t="array" ref="F951">IF(LineærRegression_Valg[[#This Row],[Indenfor range]],INDEX(DataTitel_liste,LineærRegression_Valg[[#This Row],[Afhængig variabel ID]]),INDEX(DataTitel_liste,1))</f>
        <v>Eksempel 1 (interval)</v>
      </c>
      <c r="G951" s="171" t="str" cm="1">
        <f t="array" ref="G951">IF(LineærRegression_Valg[[#This Row],[Indenfor range]],IF(LineærRegression_Valg[[#This Row],[Intet overlap]],INDEX(DataTitel_liste,LineærRegression_Valg[[#This Row],[Uafhængig variabel ID]]),INDEX(DataTitel_liste,IF(LineærRegression_Valg[[#This Row],[Afhængig variabel ID]]=1,2,1))),$B$7)</f>
        <v>Eksempel 2 (interval)</v>
      </c>
      <c r="H951" s="171">
        <f>_xlfn.AGGREGATE(2,5,LineærRegression_Valg[[#This Row],[Tabel ID]])</f>
        <v>1</v>
      </c>
    </row>
    <row r="952" spans="1:8" x14ac:dyDescent="0.2">
      <c r="A952">
        <f>ROW(LineærRegression_Valg[[#This Row],[Tabel ID]])-ROW(LineærRegression_Valg[[#Headers],[Tabel ID]])</f>
        <v>942</v>
      </c>
      <c r="B952" s="171">
        <f>ROUNDDOWN((LineærRegression_Valg[[#This Row],[Tabel ID]]-1)/$B$5,0)+1</f>
        <v>236</v>
      </c>
      <c r="C952" s="171">
        <f t="shared" si="14"/>
        <v>2</v>
      </c>
      <c r="D952" s="171" t="b">
        <f>LineærRegression_Valg[[#This Row],[Afhængig variabel ID]]&lt;&gt;LineærRegression_Valg[[#This Row],[Uafhængig variabel ID]]</f>
        <v>1</v>
      </c>
      <c r="E952" t="b">
        <f>LineærRegression_Valg[[#This Row],[Afhængig variabel ID]]&lt;=$B$5</f>
        <v>0</v>
      </c>
      <c r="F952" t="str" cm="1">
        <f t="array" ref="F952">IF(LineærRegression_Valg[[#This Row],[Indenfor range]],INDEX(DataTitel_liste,LineærRegression_Valg[[#This Row],[Afhængig variabel ID]]),INDEX(DataTitel_liste,1))</f>
        <v>Eksempel 1 (interval)</v>
      </c>
      <c r="G952" s="171" t="str" cm="1">
        <f t="array" ref="G952">IF(LineærRegression_Valg[[#This Row],[Indenfor range]],IF(LineærRegression_Valg[[#This Row],[Intet overlap]],INDEX(DataTitel_liste,LineærRegression_Valg[[#This Row],[Uafhængig variabel ID]]),INDEX(DataTitel_liste,IF(LineærRegression_Valg[[#This Row],[Afhængig variabel ID]]=1,2,1))),$B$7)</f>
        <v>Eksempel 2 (interval)</v>
      </c>
      <c r="H952" s="171">
        <f>_xlfn.AGGREGATE(2,5,LineærRegression_Valg[[#This Row],[Tabel ID]])</f>
        <v>1</v>
      </c>
    </row>
    <row r="953" spans="1:8" x14ac:dyDescent="0.2">
      <c r="A953">
        <f>ROW(LineærRegression_Valg[[#This Row],[Tabel ID]])-ROW(LineærRegression_Valg[[#Headers],[Tabel ID]])</f>
        <v>943</v>
      </c>
      <c r="B953" s="171">
        <f>ROUNDDOWN((LineærRegression_Valg[[#This Row],[Tabel ID]]-1)/$B$5,0)+1</f>
        <v>236</v>
      </c>
      <c r="C953" s="171">
        <f t="shared" si="14"/>
        <v>3</v>
      </c>
      <c r="D953" s="171" t="b">
        <f>LineærRegression_Valg[[#This Row],[Afhængig variabel ID]]&lt;&gt;LineærRegression_Valg[[#This Row],[Uafhængig variabel ID]]</f>
        <v>1</v>
      </c>
      <c r="E953" t="b">
        <f>LineærRegression_Valg[[#This Row],[Afhængig variabel ID]]&lt;=$B$5</f>
        <v>0</v>
      </c>
      <c r="F953" t="str" cm="1">
        <f t="array" ref="F953">IF(LineærRegression_Valg[[#This Row],[Indenfor range]],INDEX(DataTitel_liste,LineærRegression_Valg[[#This Row],[Afhængig variabel ID]]),INDEX(DataTitel_liste,1))</f>
        <v>Eksempel 1 (interval)</v>
      </c>
      <c r="G953" s="171" t="str" cm="1">
        <f t="array" ref="G953">IF(LineærRegression_Valg[[#This Row],[Indenfor range]],IF(LineærRegression_Valg[[#This Row],[Intet overlap]],INDEX(DataTitel_liste,LineærRegression_Valg[[#This Row],[Uafhængig variabel ID]]),INDEX(DataTitel_liste,IF(LineærRegression_Valg[[#This Row],[Afhængig variabel ID]]=1,2,1))),$B$7)</f>
        <v>Eksempel 2 (interval)</v>
      </c>
      <c r="H953" s="171">
        <f>_xlfn.AGGREGATE(2,5,LineærRegression_Valg[[#This Row],[Tabel ID]])</f>
        <v>1</v>
      </c>
    </row>
    <row r="954" spans="1:8" x14ac:dyDescent="0.2">
      <c r="A954">
        <f>ROW(LineærRegression_Valg[[#This Row],[Tabel ID]])-ROW(LineærRegression_Valg[[#Headers],[Tabel ID]])</f>
        <v>944</v>
      </c>
      <c r="B954" s="171">
        <f>ROUNDDOWN((LineærRegression_Valg[[#This Row],[Tabel ID]]-1)/$B$5,0)+1</f>
        <v>236</v>
      </c>
      <c r="C954" s="171">
        <f t="shared" si="14"/>
        <v>4</v>
      </c>
      <c r="D954" s="171" t="b">
        <f>LineærRegression_Valg[[#This Row],[Afhængig variabel ID]]&lt;&gt;LineærRegression_Valg[[#This Row],[Uafhængig variabel ID]]</f>
        <v>1</v>
      </c>
      <c r="E954" t="b">
        <f>LineærRegression_Valg[[#This Row],[Afhængig variabel ID]]&lt;=$B$5</f>
        <v>0</v>
      </c>
      <c r="F954" t="str" cm="1">
        <f t="array" ref="F954">IF(LineærRegression_Valg[[#This Row],[Indenfor range]],INDEX(DataTitel_liste,LineærRegression_Valg[[#This Row],[Afhængig variabel ID]]),INDEX(DataTitel_liste,1))</f>
        <v>Eksempel 1 (interval)</v>
      </c>
      <c r="G954" s="171" t="str" cm="1">
        <f t="array" ref="G954">IF(LineærRegression_Valg[[#This Row],[Indenfor range]],IF(LineærRegression_Valg[[#This Row],[Intet overlap]],INDEX(DataTitel_liste,LineærRegression_Valg[[#This Row],[Uafhængig variabel ID]]),INDEX(DataTitel_liste,IF(LineærRegression_Valg[[#This Row],[Afhængig variabel ID]]=1,2,1))),$B$7)</f>
        <v>Eksempel 2 (interval)</v>
      </c>
      <c r="H954" s="171">
        <f>_xlfn.AGGREGATE(2,5,LineærRegression_Valg[[#This Row],[Tabel ID]])</f>
        <v>1</v>
      </c>
    </row>
    <row r="955" spans="1:8" x14ac:dyDescent="0.2">
      <c r="A955">
        <f>ROW(LineærRegression_Valg[[#This Row],[Tabel ID]])-ROW(LineærRegression_Valg[[#Headers],[Tabel ID]])</f>
        <v>945</v>
      </c>
      <c r="B955" s="171">
        <f>ROUNDDOWN((LineærRegression_Valg[[#This Row],[Tabel ID]]-1)/$B$5,0)+1</f>
        <v>237</v>
      </c>
      <c r="C955" s="171">
        <f t="shared" si="14"/>
        <v>1</v>
      </c>
      <c r="D955" s="171" t="b">
        <f>LineærRegression_Valg[[#This Row],[Afhængig variabel ID]]&lt;&gt;LineærRegression_Valg[[#This Row],[Uafhængig variabel ID]]</f>
        <v>1</v>
      </c>
      <c r="E955" t="b">
        <f>LineærRegression_Valg[[#This Row],[Afhængig variabel ID]]&lt;=$B$5</f>
        <v>0</v>
      </c>
      <c r="F955" t="str" cm="1">
        <f t="array" ref="F955">IF(LineærRegression_Valg[[#This Row],[Indenfor range]],INDEX(DataTitel_liste,LineærRegression_Valg[[#This Row],[Afhængig variabel ID]]),INDEX(DataTitel_liste,1))</f>
        <v>Eksempel 1 (interval)</v>
      </c>
      <c r="G955" s="171" t="str" cm="1">
        <f t="array" ref="G955">IF(LineærRegression_Valg[[#This Row],[Indenfor range]],IF(LineærRegression_Valg[[#This Row],[Intet overlap]],INDEX(DataTitel_liste,LineærRegression_Valg[[#This Row],[Uafhængig variabel ID]]),INDEX(DataTitel_liste,IF(LineærRegression_Valg[[#This Row],[Afhængig variabel ID]]=1,2,1))),$B$7)</f>
        <v>Eksempel 2 (interval)</v>
      </c>
      <c r="H955" s="171">
        <f>_xlfn.AGGREGATE(2,5,LineærRegression_Valg[[#This Row],[Tabel ID]])</f>
        <v>1</v>
      </c>
    </row>
    <row r="956" spans="1:8" x14ac:dyDescent="0.2">
      <c r="A956">
        <f>ROW(LineærRegression_Valg[[#This Row],[Tabel ID]])-ROW(LineærRegression_Valg[[#Headers],[Tabel ID]])</f>
        <v>946</v>
      </c>
      <c r="B956" s="171">
        <f>ROUNDDOWN((LineærRegression_Valg[[#This Row],[Tabel ID]]-1)/$B$5,0)+1</f>
        <v>237</v>
      </c>
      <c r="C956" s="171">
        <f t="shared" si="14"/>
        <v>2</v>
      </c>
      <c r="D956" s="171" t="b">
        <f>LineærRegression_Valg[[#This Row],[Afhængig variabel ID]]&lt;&gt;LineærRegression_Valg[[#This Row],[Uafhængig variabel ID]]</f>
        <v>1</v>
      </c>
      <c r="E956" t="b">
        <f>LineærRegression_Valg[[#This Row],[Afhængig variabel ID]]&lt;=$B$5</f>
        <v>0</v>
      </c>
      <c r="F956" t="str" cm="1">
        <f t="array" ref="F956">IF(LineærRegression_Valg[[#This Row],[Indenfor range]],INDEX(DataTitel_liste,LineærRegression_Valg[[#This Row],[Afhængig variabel ID]]),INDEX(DataTitel_liste,1))</f>
        <v>Eksempel 1 (interval)</v>
      </c>
      <c r="G956" s="171" t="str" cm="1">
        <f t="array" ref="G956">IF(LineærRegression_Valg[[#This Row],[Indenfor range]],IF(LineærRegression_Valg[[#This Row],[Intet overlap]],INDEX(DataTitel_liste,LineærRegression_Valg[[#This Row],[Uafhængig variabel ID]]),INDEX(DataTitel_liste,IF(LineærRegression_Valg[[#This Row],[Afhængig variabel ID]]=1,2,1))),$B$7)</f>
        <v>Eksempel 2 (interval)</v>
      </c>
      <c r="H956" s="171">
        <f>_xlfn.AGGREGATE(2,5,LineærRegression_Valg[[#This Row],[Tabel ID]])</f>
        <v>1</v>
      </c>
    </row>
    <row r="957" spans="1:8" x14ac:dyDescent="0.2">
      <c r="A957">
        <f>ROW(LineærRegression_Valg[[#This Row],[Tabel ID]])-ROW(LineærRegression_Valg[[#Headers],[Tabel ID]])</f>
        <v>947</v>
      </c>
      <c r="B957" s="171">
        <f>ROUNDDOWN((LineærRegression_Valg[[#This Row],[Tabel ID]]-1)/$B$5,0)+1</f>
        <v>237</v>
      </c>
      <c r="C957" s="171">
        <f t="shared" si="14"/>
        <v>3</v>
      </c>
      <c r="D957" s="171" t="b">
        <f>LineærRegression_Valg[[#This Row],[Afhængig variabel ID]]&lt;&gt;LineærRegression_Valg[[#This Row],[Uafhængig variabel ID]]</f>
        <v>1</v>
      </c>
      <c r="E957" t="b">
        <f>LineærRegression_Valg[[#This Row],[Afhængig variabel ID]]&lt;=$B$5</f>
        <v>0</v>
      </c>
      <c r="F957" t="str" cm="1">
        <f t="array" ref="F957">IF(LineærRegression_Valg[[#This Row],[Indenfor range]],INDEX(DataTitel_liste,LineærRegression_Valg[[#This Row],[Afhængig variabel ID]]),INDEX(DataTitel_liste,1))</f>
        <v>Eksempel 1 (interval)</v>
      </c>
      <c r="G957" s="171" t="str" cm="1">
        <f t="array" ref="G957">IF(LineærRegression_Valg[[#This Row],[Indenfor range]],IF(LineærRegression_Valg[[#This Row],[Intet overlap]],INDEX(DataTitel_liste,LineærRegression_Valg[[#This Row],[Uafhængig variabel ID]]),INDEX(DataTitel_liste,IF(LineærRegression_Valg[[#This Row],[Afhængig variabel ID]]=1,2,1))),$B$7)</f>
        <v>Eksempel 2 (interval)</v>
      </c>
      <c r="H957" s="171">
        <f>_xlfn.AGGREGATE(2,5,LineærRegression_Valg[[#This Row],[Tabel ID]])</f>
        <v>1</v>
      </c>
    </row>
    <row r="958" spans="1:8" x14ac:dyDescent="0.2">
      <c r="A958">
        <f>ROW(LineærRegression_Valg[[#This Row],[Tabel ID]])-ROW(LineærRegression_Valg[[#Headers],[Tabel ID]])</f>
        <v>948</v>
      </c>
      <c r="B958" s="171">
        <f>ROUNDDOWN((LineærRegression_Valg[[#This Row],[Tabel ID]]-1)/$B$5,0)+1</f>
        <v>237</v>
      </c>
      <c r="C958" s="171">
        <f t="shared" si="14"/>
        <v>4</v>
      </c>
      <c r="D958" s="171" t="b">
        <f>LineærRegression_Valg[[#This Row],[Afhængig variabel ID]]&lt;&gt;LineærRegression_Valg[[#This Row],[Uafhængig variabel ID]]</f>
        <v>1</v>
      </c>
      <c r="E958" t="b">
        <f>LineærRegression_Valg[[#This Row],[Afhængig variabel ID]]&lt;=$B$5</f>
        <v>0</v>
      </c>
      <c r="F958" t="str" cm="1">
        <f t="array" ref="F958">IF(LineærRegression_Valg[[#This Row],[Indenfor range]],INDEX(DataTitel_liste,LineærRegression_Valg[[#This Row],[Afhængig variabel ID]]),INDEX(DataTitel_liste,1))</f>
        <v>Eksempel 1 (interval)</v>
      </c>
      <c r="G958" s="171" t="str" cm="1">
        <f t="array" ref="G958">IF(LineærRegression_Valg[[#This Row],[Indenfor range]],IF(LineærRegression_Valg[[#This Row],[Intet overlap]],INDEX(DataTitel_liste,LineærRegression_Valg[[#This Row],[Uafhængig variabel ID]]),INDEX(DataTitel_liste,IF(LineærRegression_Valg[[#This Row],[Afhængig variabel ID]]=1,2,1))),$B$7)</f>
        <v>Eksempel 2 (interval)</v>
      </c>
      <c r="H958" s="171">
        <f>_xlfn.AGGREGATE(2,5,LineærRegression_Valg[[#This Row],[Tabel ID]])</f>
        <v>1</v>
      </c>
    </row>
    <row r="959" spans="1:8" x14ac:dyDescent="0.2">
      <c r="A959">
        <f>ROW(LineærRegression_Valg[[#This Row],[Tabel ID]])-ROW(LineærRegression_Valg[[#Headers],[Tabel ID]])</f>
        <v>949</v>
      </c>
      <c r="B959" s="171">
        <f>ROUNDDOWN((LineærRegression_Valg[[#This Row],[Tabel ID]]-1)/$B$5,0)+1</f>
        <v>238</v>
      </c>
      <c r="C959" s="171">
        <f t="shared" si="14"/>
        <v>1</v>
      </c>
      <c r="D959" s="171" t="b">
        <f>LineærRegression_Valg[[#This Row],[Afhængig variabel ID]]&lt;&gt;LineærRegression_Valg[[#This Row],[Uafhængig variabel ID]]</f>
        <v>1</v>
      </c>
      <c r="E959" t="b">
        <f>LineærRegression_Valg[[#This Row],[Afhængig variabel ID]]&lt;=$B$5</f>
        <v>0</v>
      </c>
      <c r="F959" t="str" cm="1">
        <f t="array" ref="F959">IF(LineærRegression_Valg[[#This Row],[Indenfor range]],INDEX(DataTitel_liste,LineærRegression_Valg[[#This Row],[Afhængig variabel ID]]),INDEX(DataTitel_liste,1))</f>
        <v>Eksempel 1 (interval)</v>
      </c>
      <c r="G959" s="171" t="str" cm="1">
        <f t="array" ref="G959">IF(LineærRegression_Valg[[#This Row],[Indenfor range]],IF(LineærRegression_Valg[[#This Row],[Intet overlap]],INDEX(DataTitel_liste,LineærRegression_Valg[[#This Row],[Uafhængig variabel ID]]),INDEX(DataTitel_liste,IF(LineærRegression_Valg[[#This Row],[Afhængig variabel ID]]=1,2,1))),$B$7)</f>
        <v>Eksempel 2 (interval)</v>
      </c>
      <c r="H959" s="171">
        <f>_xlfn.AGGREGATE(2,5,LineærRegression_Valg[[#This Row],[Tabel ID]])</f>
        <v>1</v>
      </c>
    </row>
    <row r="960" spans="1:8" x14ac:dyDescent="0.2">
      <c r="A960">
        <f>ROW(LineærRegression_Valg[[#This Row],[Tabel ID]])-ROW(LineærRegression_Valg[[#Headers],[Tabel ID]])</f>
        <v>950</v>
      </c>
      <c r="B960" s="171">
        <f>ROUNDDOWN((LineærRegression_Valg[[#This Row],[Tabel ID]]-1)/$B$5,0)+1</f>
        <v>238</v>
      </c>
      <c r="C960" s="171">
        <f t="shared" si="14"/>
        <v>2</v>
      </c>
      <c r="D960" s="171" t="b">
        <f>LineærRegression_Valg[[#This Row],[Afhængig variabel ID]]&lt;&gt;LineærRegression_Valg[[#This Row],[Uafhængig variabel ID]]</f>
        <v>1</v>
      </c>
      <c r="E960" t="b">
        <f>LineærRegression_Valg[[#This Row],[Afhængig variabel ID]]&lt;=$B$5</f>
        <v>0</v>
      </c>
      <c r="F960" t="str" cm="1">
        <f t="array" ref="F960">IF(LineærRegression_Valg[[#This Row],[Indenfor range]],INDEX(DataTitel_liste,LineærRegression_Valg[[#This Row],[Afhængig variabel ID]]),INDEX(DataTitel_liste,1))</f>
        <v>Eksempel 1 (interval)</v>
      </c>
      <c r="G960" s="171" t="str" cm="1">
        <f t="array" ref="G960">IF(LineærRegression_Valg[[#This Row],[Indenfor range]],IF(LineærRegression_Valg[[#This Row],[Intet overlap]],INDEX(DataTitel_liste,LineærRegression_Valg[[#This Row],[Uafhængig variabel ID]]),INDEX(DataTitel_liste,IF(LineærRegression_Valg[[#This Row],[Afhængig variabel ID]]=1,2,1))),$B$7)</f>
        <v>Eksempel 2 (interval)</v>
      </c>
      <c r="H960" s="171">
        <f>_xlfn.AGGREGATE(2,5,LineærRegression_Valg[[#This Row],[Tabel ID]])</f>
        <v>1</v>
      </c>
    </row>
    <row r="961" spans="1:8" x14ac:dyDescent="0.2">
      <c r="A961">
        <f>ROW(LineærRegression_Valg[[#This Row],[Tabel ID]])-ROW(LineærRegression_Valg[[#Headers],[Tabel ID]])</f>
        <v>951</v>
      </c>
      <c r="B961" s="171">
        <f>ROUNDDOWN((LineærRegression_Valg[[#This Row],[Tabel ID]]-1)/$B$5,0)+1</f>
        <v>238</v>
      </c>
      <c r="C961" s="171">
        <f t="shared" si="14"/>
        <v>3</v>
      </c>
      <c r="D961" s="171" t="b">
        <f>LineærRegression_Valg[[#This Row],[Afhængig variabel ID]]&lt;&gt;LineærRegression_Valg[[#This Row],[Uafhængig variabel ID]]</f>
        <v>1</v>
      </c>
      <c r="E961" t="b">
        <f>LineærRegression_Valg[[#This Row],[Afhængig variabel ID]]&lt;=$B$5</f>
        <v>0</v>
      </c>
      <c r="F961" t="str" cm="1">
        <f t="array" ref="F961">IF(LineærRegression_Valg[[#This Row],[Indenfor range]],INDEX(DataTitel_liste,LineærRegression_Valg[[#This Row],[Afhængig variabel ID]]),INDEX(DataTitel_liste,1))</f>
        <v>Eksempel 1 (interval)</v>
      </c>
      <c r="G961" s="171" t="str" cm="1">
        <f t="array" ref="G961">IF(LineærRegression_Valg[[#This Row],[Indenfor range]],IF(LineærRegression_Valg[[#This Row],[Intet overlap]],INDEX(DataTitel_liste,LineærRegression_Valg[[#This Row],[Uafhængig variabel ID]]),INDEX(DataTitel_liste,IF(LineærRegression_Valg[[#This Row],[Afhængig variabel ID]]=1,2,1))),$B$7)</f>
        <v>Eksempel 2 (interval)</v>
      </c>
      <c r="H961" s="171">
        <f>_xlfn.AGGREGATE(2,5,LineærRegression_Valg[[#This Row],[Tabel ID]])</f>
        <v>1</v>
      </c>
    </row>
    <row r="962" spans="1:8" x14ac:dyDescent="0.2">
      <c r="A962">
        <f>ROW(LineærRegression_Valg[[#This Row],[Tabel ID]])-ROW(LineærRegression_Valg[[#Headers],[Tabel ID]])</f>
        <v>952</v>
      </c>
      <c r="B962" s="171">
        <f>ROUNDDOWN((LineærRegression_Valg[[#This Row],[Tabel ID]]-1)/$B$5,0)+1</f>
        <v>238</v>
      </c>
      <c r="C962" s="171">
        <f t="shared" si="14"/>
        <v>4</v>
      </c>
      <c r="D962" s="171" t="b">
        <f>LineærRegression_Valg[[#This Row],[Afhængig variabel ID]]&lt;&gt;LineærRegression_Valg[[#This Row],[Uafhængig variabel ID]]</f>
        <v>1</v>
      </c>
      <c r="E962" t="b">
        <f>LineærRegression_Valg[[#This Row],[Afhængig variabel ID]]&lt;=$B$5</f>
        <v>0</v>
      </c>
      <c r="F962" t="str" cm="1">
        <f t="array" ref="F962">IF(LineærRegression_Valg[[#This Row],[Indenfor range]],INDEX(DataTitel_liste,LineærRegression_Valg[[#This Row],[Afhængig variabel ID]]),INDEX(DataTitel_liste,1))</f>
        <v>Eksempel 1 (interval)</v>
      </c>
      <c r="G962" s="171" t="str" cm="1">
        <f t="array" ref="G962">IF(LineærRegression_Valg[[#This Row],[Indenfor range]],IF(LineærRegression_Valg[[#This Row],[Intet overlap]],INDEX(DataTitel_liste,LineærRegression_Valg[[#This Row],[Uafhængig variabel ID]]),INDEX(DataTitel_liste,IF(LineærRegression_Valg[[#This Row],[Afhængig variabel ID]]=1,2,1))),$B$7)</f>
        <v>Eksempel 2 (interval)</v>
      </c>
      <c r="H962" s="171">
        <f>_xlfn.AGGREGATE(2,5,LineærRegression_Valg[[#This Row],[Tabel ID]])</f>
        <v>1</v>
      </c>
    </row>
    <row r="963" spans="1:8" x14ac:dyDescent="0.2">
      <c r="A963">
        <f>ROW(LineærRegression_Valg[[#This Row],[Tabel ID]])-ROW(LineærRegression_Valg[[#Headers],[Tabel ID]])</f>
        <v>953</v>
      </c>
      <c r="B963" s="171">
        <f>ROUNDDOWN((LineærRegression_Valg[[#This Row],[Tabel ID]]-1)/$B$5,0)+1</f>
        <v>239</v>
      </c>
      <c r="C963" s="171">
        <f t="shared" si="14"/>
        <v>1</v>
      </c>
      <c r="D963" s="171" t="b">
        <f>LineærRegression_Valg[[#This Row],[Afhængig variabel ID]]&lt;&gt;LineærRegression_Valg[[#This Row],[Uafhængig variabel ID]]</f>
        <v>1</v>
      </c>
      <c r="E963" t="b">
        <f>LineærRegression_Valg[[#This Row],[Afhængig variabel ID]]&lt;=$B$5</f>
        <v>0</v>
      </c>
      <c r="F963" t="str" cm="1">
        <f t="array" ref="F963">IF(LineærRegression_Valg[[#This Row],[Indenfor range]],INDEX(DataTitel_liste,LineærRegression_Valg[[#This Row],[Afhængig variabel ID]]),INDEX(DataTitel_liste,1))</f>
        <v>Eksempel 1 (interval)</v>
      </c>
      <c r="G963" s="171" t="str" cm="1">
        <f t="array" ref="G963">IF(LineærRegression_Valg[[#This Row],[Indenfor range]],IF(LineærRegression_Valg[[#This Row],[Intet overlap]],INDEX(DataTitel_liste,LineærRegression_Valg[[#This Row],[Uafhængig variabel ID]]),INDEX(DataTitel_liste,IF(LineærRegression_Valg[[#This Row],[Afhængig variabel ID]]=1,2,1))),$B$7)</f>
        <v>Eksempel 2 (interval)</v>
      </c>
      <c r="H963" s="171">
        <f>_xlfn.AGGREGATE(2,5,LineærRegression_Valg[[#This Row],[Tabel ID]])</f>
        <v>1</v>
      </c>
    </row>
    <row r="964" spans="1:8" x14ac:dyDescent="0.2">
      <c r="A964">
        <f>ROW(LineærRegression_Valg[[#This Row],[Tabel ID]])-ROW(LineærRegression_Valg[[#Headers],[Tabel ID]])</f>
        <v>954</v>
      </c>
      <c r="B964" s="171">
        <f>ROUNDDOWN((LineærRegression_Valg[[#This Row],[Tabel ID]]-1)/$B$5,0)+1</f>
        <v>239</v>
      </c>
      <c r="C964" s="171">
        <f t="shared" si="14"/>
        <v>2</v>
      </c>
      <c r="D964" s="171" t="b">
        <f>LineærRegression_Valg[[#This Row],[Afhængig variabel ID]]&lt;&gt;LineærRegression_Valg[[#This Row],[Uafhængig variabel ID]]</f>
        <v>1</v>
      </c>
      <c r="E964" t="b">
        <f>LineærRegression_Valg[[#This Row],[Afhængig variabel ID]]&lt;=$B$5</f>
        <v>0</v>
      </c>
      <c r="F964" t="str" cm="1">
        <f t="array" ref="F964">IF(LineærRegression_Valg[[#This Row],[Indenfor range]],INDEX(DataTitel_liste,LineærRegression_Valg[[#This Row],[Afhængig variabel ID]]),INDEX(DataTitel_liste,1))</f>
        <v>Eksempel 1 (interval)</v>
      </c>
      <c r="G964" s="171" t="str" cm="1">
        <f t="array" ref="G964">IF(LineærRegression_Valg[[#This Row],[Indenfor range]],IF(LineærRegression_Valg[[#This Row],[Intet overlap]],INDEX(DataTitel_liste,LineærRegression_Valg[[#This Row],[Uafhængig variabel ID]]),INDEX(DataTitel_liste,IF(LineærRegression_Valg[[#This Row],[Afhængig variabel ID]]=1,2,1))),$B$7)</f>
        <v>Eksempel 2 (interval)</v>
      </c>
      <c r="H964" s="171">
        <f>_xlfn.AGGREGATE(2,5,LineærRegression_Valg[[#This Row],[Tabel ID]])</f>
        <v>1</v>
      </c>
    </row>
    <row r="965" spans="1:8" x14ac:dyDescent="0.2">
      <c r="A965">
        <f>ROW(LineærRegression_Valg[[#This Row],[Tabel ID]])-ROW(LineærRegression_Valg[[#Headers],[Tabel ID]])</f>
        <v>955</v>
      </c>
      <c r="B965" s="171">
        <f>ROUNDDOWN((LineærRegression_Valg[[#This Row],[Tabel ID]]-1)/$B$5,0)+1</f>
        <v>239</v>
      </c>
      <c r="C965" s="171">
        <f t="shared" si="14"/>
        <v>3</v>
      </c>
      <c r="D965" s="171" t="b">
        <f>LineærRegression_Valg[[#This Row],[Afhængig variabel ID]]&lt;&gt;LineærRegression_Valg[[#This Row],[Uafhængig variabel ID]]</f>
        <v>1</v>
      </c>
      <c r="E965" t="b">
        <f>LineærRegression_Valg[[#This Row],[Afhængig variabel ID]]&lt;=$B$5</f>
        <v>0</v>
      </c>
      <c r="F965" t="str" cm="1">
        <f t="array" ref="F965">IF(LineærRegression_Valg[[#This Row],[Indenfor range]],INDEX(DataTitel_liste,LineærRegression_Valg[[#This Row],[Afhængig variabel ID]]),INDEX(DataTitel_liste,1))</f>
        <v>Eksempel 1 (interval)</v>
      </c>
      <c r="G965" s="171" t="str" cm="1">
        <f t="array" ref="G965">IF(LineærRegression_Valg[[#This Row],[Indenfor range]],IF(LineærRegression_Valg[[#This Row],[Intet overlap]],INDEX(DataTitel_liste,LineærRegression_Valg[[#This Row],[Uafhængig variabel ID]]),INDEX(DataTitel_liste,IF(LineærRegression_Valg[[#This Row],[Afhængig variabel ID]]=1,2,1))),$B$7)</f>
        <v>Eksempel 2 (interval)</v>
      </c>
      <c r="H965" s="171">
        <f>_xlfn.AGGREGATE(2,5,LineærRegression_Valg[[#This Row],[Tabel ID]])</f>
        <v>1</v>
      </c>
    </row>
    <row r="966" spans="1:8" x14ac:dyDescent="0.2">
      <c r="A966">
        <f>ROW(LineærRegression_Valg[[#This Row],[Tabel ID]])-ROW(LineærRegression_Valg[[#Headers],[Tabel ID]])</f>
        <v>956</v>
      </c>
      <c r="B966" s="171">
        <f>ROUNDDOWN((LineærRegression_Valg[[#This Row],[Tabel ID]]-1)/$B$5,0)+1</f>
        <v>239</v>
      </c>
      <c r="C966" s="171">
        <f t="shared" si="14"/>
        <v>4</v>
      </c>
      <c r="D966" s="171" t="b">
        <f>LineærRegression_Valg[[#This Row],[Afhængig variabel ID]]&lt;&gt;LineærRegression_Valg[[#This Row],[Uafhængig variabel ID]]</f>
        <v>1</v>
      </c>
      <c r="E966" t="b">
        <f>LineærRegression_Valg[[#This Row],[Afhængig variabel ID]]&lt;=$B$5</f>
        <v>0</v>
      </c>
      <c r="F966" t="str" cm="1">
        <f t="array" ref="F966">IF(LineærRegression_Valg[[#This Row],[Indenfor range]],INDEX(DataTitel_liste,LineærRegression_Valg[[#This Row],[Afhængig variabel ID]]),INDEX(DataTitel_liste,1))</f>
        <v>Eksempel 1 (interval)</v>
      </c>
      <c r="G966" s="171" t="str" cm="1">
        <f t="array" ref="G966">IF(LineærRegression_Valg[[#This Row],[Indenfor range]],IF(LineærRegression_Valg[[#This Row],[Intet overlap]],INDEX(DataTitel_liste,LineærRegression_Valg[[#This Row],[Uafhængig variabel ID]]),INDEX(DataTitel_liste,IF(LineærRegression_Valg[[#This Row],[Afhængig variabel ID]]=1,2,1))),$B$7)</f>
        <v>Eksempel 2 (interval)</v>
      </c>
      <c r="H966" s="171">
        <f>_xlfn.AGGREGATE(2,5,LineærRegression_Valg[[#This Row],[Tabel ID]])</f>
        <v>1</v>
      </c>
    </row>
    <row r="967" spans="1:8" x14ac:dyDescent="0.2">
      <c r="A967">
        <f>ROW(LineærRegression_Valg[[#This Row],[Tabel ID]])-ROW(LineærRegression_Valg[[#Headers],[Tabel ID]])</f>
        <v>957</v>
      </c>
      <c r="B967" s="171">
        <f>ROUNDDOWN((LineærRegression_Valg[[#This Row],[Tabel ID]]-1)/$B$5,0)+1</f>
        <v>240</v>
      </c>
      <c r="C967" s="171">
        <f t="shared" si="14"/>
        <v>1</v>
      </c>
      <c r="D967" s="171" t="b">
        <f>LineærRegression_Valg[[#This Row],[Afhængig variabel ID]]&lt;&gt;LineærRegression_Valg[[#This Row],[Uafhængig variabel ID]]</f>
        <v>1</v>
      </c>
      <c r="E967" t="b">
        <f>LineærRegression_Valg[[#This Row],[Afhængig variabel ID]]&lt;=$B$5</f>
        <v>0</v>
      </c>
      <c r="F967" t="str" cm="1">
        <f t="array" ref="F967">IF(LineærRegression_Valg[[#This Row],[Indenfor range]],INDEX(DataTitel_liste,LineærRegression_Valg[[#This Row],[Afhængig variabel ID]]),INDEX(DataTitel_liste,1))</f>
        <v>Eksempel 1 (interval)</v>
      </c>
      <c r="G967" s="171" t="str" cm="1">
        <f t="array" ref="G967">IF(LineærRegression_Valg[[#This Row],[Indenfor range]],IF(LineærRegression_Valg[[#This Row],[Intet overlap]],INDEX(DataTitel_liste,LineærRegression_Valg[[#This Row],[Uafhængig variabel ID]]),INDEX(DataTitel_liste,IF(LineærRegression_Valg[[#This Row],[Afhængig variabel ID]]=1,2,1))),$B$7)</f>
        <v>Eksempel 2 (interval)</v>
      </c>
      <c r="H967" s="171">
        <f>_xlfn.AGGREGATE(2,5,LineærRegression_Valg[[#This Row],[Tabel ID]])</f>
        <v>1</v>
      </c>
    </row>
    <row r="968" spans="1:8" x14ac:dyDescent="0.2">
      <c r="A968">
        <f>ROW(LineærRegression_Valg[[#This Row],[Tabel ID]])-ROW(LineærRegression_Valg[[#Headers],[Tabel ID]])</f>
        <v>958</v>
      </c>
      <c r="B968" s="171">
        <f>ROUNDDOWN((LineærRegression_Valg[[#This Row],[Tabel ID]]-1)/$B$5,0)+1</f>
        <v>240</v>
      </c>
      <c r="C968" s="171">
        <f t="shared" si="14"/>
        <v>2</v>
      </c>
      <c r="D968" s="171" t="b">
        <f>LineærRegression_Valg[[#This Row],[Afhængig variabel ID]]&lt;&gt;LineærRegression_Valg[[#This Row],[Uafhængig variabel ID]]</f>
        <v>1</v>
      </c>
      <c r="E968" t="b">
        <f>LineærRegression_Valg[[#This Row],[Afhængig variabel ID]]&lt;=$B$5</f>
        <v>0</v>
      </c>
      <c r="F968" t="str" cm="1">
        <f t="array" ref="F968">IF(LineærRegression_Valg[[#This Row],[Indenfor range]],INDEX(DataTitel_liste,LineærRegression_Valg[[#This Row],[Afhængig variabel ID]]),INDEX(DataTitel_liste,1))</f>
        <v>Eksempel 1 (interval)</v>
      </c>
      <c r="G968" s="171" t="str" cm="1">
        <f t="array" ref="G968">IF(LineærRegression_Valg[[#This Row],[Indenfor range]],IF(LineærRegression_Valg[[#This Row],[Intet overlap]],INDEX(DataTitel_liste,LineærRegression_Valg[[#This Row],[Uafhængig variabel ID]]),INDEX(DataTitel_liste,IF(LineærRegression_Valg[[#This Row],[Afhængig variabel ID]]=1,2,1))),$B$7)</f>
        <v>Eksempel 2 (interval)</v>
      </c>
      <c r="H968" s="171">
        <f>_xlfn.AGGREGATE(2,5,LineærRegression_Valg[[#This Row],[Tabel ID]])</f>
        <v>1</v>
      </c>
    </row>
    <row r="969" spans="1:8" x14ac:dyDescent="0.2">
      <c r="A969">
        <f>ROW(LineærRegression_Valg[[#This Row],[Tabel ID]])-ROW(LineærRegression_Valg[[#Headers],[Tabel ID]])</f>
        <v>959</v>
      </c>
      <c r="B969" s="171">
        <f>ROUNDDOWN((LineærRegression_Valg[[#This Row],[Tabel ID]]-1)/$B$5,0)+1</f>
        <v>240</v>
      </c>
      <c r="C969" s="171">
        <f t="shared" si="14"/>
        <v>3</v>
      </c>
      <c r="D969" s="171" t="b">
        <f>LineærRegression_Valg[[#This Row],[Afhængig variabel ID]]&lt;&gt;LineærRegression_Valg[[#This Row],[Uafhængig variabel ID]]</f>
        <v>1</v>
      </c>
      <c r="E969" t="b">
        <f>LineærRegression_Valg[[#This Row],[Afhængig variabel ID]]&lt;=$B$5</f>
        <v>0</v>
      </c>
      <c r="F969" t="str" cm="1">
        <f t="array" ref="F969">IF(LineærRegression_Valg[[#This Row],[Indenfor range]],INDEX(DataTitel_liste,LineærRegression_Valg[[#This Row],[Afhængig variabel ID]]),INDEX(DataTitel_liste,1))</f>
        <v>Eksempel 1 (interval)</v>
      </c>
      <c r="G969" s="171" t="str" cm="1">
        <f t="array" ref="G969">IF(LineærRegression_Valg[[#This Row],[Indenfor range]],IF(LineærRegression_Valg[[#This Row],[Intet overlap]],INDEX(DataTitel_liste,LineærRegression_Valg[[#This Row],[Uafhængig variabel ID]]),INDEX(DataTitel_liste,IF(LineærRegression_Valg[[#This Row],[Afhængig variabel ID]]=1,2,1))),$B$7)</f>
        <v>Eksempel 2 (interval)</v>
      </c>
      <c r="H969" s="171">
        <f>_xlfn.AGGREGATE(2,5,LineærRegression_Valg[[#This Row],[Tabel ID]])</f>
        <v>1</v>
      </c>
    </row>
    <row r="970" spans="1:8" x14ac:dyDescent="0.2">
      <c r="A970">
        <f>ROW(LineærRegression_Valg[[#This Row],[Tabel ID]])-ROW(LineærRegression_Valg[[#Headers],[Tabel ID]])</f>
        <v>960</v>
      </c>
      <c r="B970" s="171">
        <f>ROUNDDOWN((LineærRegression_Valg[[#This Row],[Tabel ID]]-1)/$B$5,0)+1</f>
        <v>240</v>
      </c>
      <c r="C970" s="171">
        <f t="shared" si="14"/>
        <v>4</v>
      </c>
      <c r="D970" s="171" t="b">
        <f>LineærRegression_Valg[[#This Row],[Afhængig variabel ID]]&lt;&gt;LineærRegression_Valg[[#This Row],[Uafhængig variabel ID]]</f>
        <v>1</v>
      </c>
      <c r="E970" t="b">
        <f>LineærRegression_Valg[[#This Row],[Afhængig variabel ID]]&lt;=$B$5</f>
        <v>0</v>
      </c>
      <c r="F970" t="str" cm="1">
        <f t="array" ref="F970">IF(LineærRegression_Valg[[#This Row],[Indenfor range]],INDEX(DataTitel_liste,LineærRegression_Valg[[#This Row],[Afhængig variabel ID]]),INDEX(DataTitel_liste,1))</f>
        <v>Eksempel 1 (interval)</v>
      </c>
      <c r="G970" s="171" t="str" cm="1">
        <f t="array" ref="G970">IF(LineærRegression_Valg[[#This Row],[Indenfor range]],IF(LineærRegression_Valg[[#This Row],[Intet overlap]],INDEX(DataTitel_liste,LineærRegression_Valg[[#This Row],[Uafhængig variabel ID]]),INDEX(DataTitel_liste,IF(LineærRegression_Valg[[#This Row],[Afhængig variabel ID]]=1,2,1))),$B$7)</f>
        <v>Eksempel 2 (interval)</v>
      </c>
      <c r="H970" s="171">
        <f>_xlfn.AGGREGATE(2,5,LineærRegression_Valg[[#This Row],[Tabel ID]])</f>
        <v>1</v>
      </c>
    </row>
    <row r="971" spans="1:8" x14ac:dyDescent="0.2">
      <c r="A971">
        <f>ROW(LineærRegression_Valg[[#This Row],[Tabel ID]])-ROW(LineærRegression_Valg[[#Headers],[Tabel ID]])</f>
        <v>961</v>
      </c>
      <c r="B971" s="171">
        <f>ROUNDDOWN((LineærRegression_Valg[[#This Row],[Tabel ID]]-1)/$B$5,0)+1</f>
        <v>241</v>
      </c>
      <c r="C971" s="171">
        <f t="shared" ref="C971:C1034" si="15">MOD(A971-1,$B$5)+1</f>
        <v>1</v>
      </c>
      <c r="D971" s="171" t="b">
        <f>LineærRegression_Valg[[#This Row],[Afhængig variabel ID]]&lt;&gt;LineærRegression_Valg[[#This Row],[Uafhængig variabel ID]]</f>
        <v>1</v>
      </c>
      <c r="E971" t="b">
        <f>LineærRegression_Valg[[#This Row],[Afhængig variabel ID]]&lt;=$B$5</f>
        <v>0</v>
      </c>
      <c r="F971" t="str" cm="1">
        <f t="array" ref="F971">IF(LineærRegression_Valg[[#This Row],[Indenfor range]],INDEX(DataTitel_liste,LineærRegression_Valg[[#This Row],[Afhængig variabel ID]]),INDEX(DataTitel_liste,1))</f>
        <v>Eksempel 1 (interval)</v>
      </c>
      <c r="G971" s="171" t="str" cm="1">
        <f t="array" ref="G971">IF(LineærRegression_Valg[[#This Row],[Indenfor range]],IF(LineærRegression_Valg[[#This Row],[Intet overlap]],INDEX(DataTitel_liste,LineærRegression_Valg[[#This Row],[Uafhængig variabel ID]]),INDEX(DataTitel_liste,IF(LineærRegression_Valg[[#This Row],[Afhængig variabel ID]]=1,2,1))),$B$7)</f>
        <v>Eksempel 2 (interval)</v>
      </c>
      <c r="H971" s="171">
        <f>_xlfn.AGGREGATE(2,5,LineærRegression_Valg[[#This Row],[Tabel ID]])</f>
        <v>1</v>
      </c>
    </row>
    <row r="972" spans="1:8" x14ac:dyDescent="0.2">
      <c r="A972">
        <f>ROW(LineærRegression_Valg[[#This Row],[Tabel ID]])-ROW(LineærRegression_Valg[[#Headers],[Tabel ID]])</f>
        <v>962</v>
      </c>
      <c r="B972" s="171">
        <f>ROUNDDOWN((LineærRegression_Valg[[#This Row],[Tabel ID]]-1)/$B$5,0)+1</f>
        <v>241</v>
      </c>
      <c r="C972" s="171">
        <f t="shared" si="15"/>
        <v>2</v>
      </c>
      <c r="D972" s="171" t="b">
        <f>LineærRegression_Valg[[#This Row],[Afhængig variabel ID]]&lt;&gt;LineærRegression_Valg[[#This Row],[Uafhængig variabel ID]]</f>
        <v>1</v>
      </c>
      <c r="E972" t="b">
        <f>LineærRegression_Valg[[#This Row],[Afhængig variabel ID]]&lt;=$B$5</f>
        <v>0</v>
      </c>
      <c r="F972" t="str" cm="1">
        <f t="array" ref="F972">IF(LineærRegression_Valg[[#This Row],[Indenfor range]],INDEX(DataTitel_liste,LineærRegression_Valg[[#This Row],[Afhængig variabel ID]]),INDEX(DataTitel_liste,1))</f>
        <v>Eksempel 1 (interval)</v>
      </c>
      <c r="G972" s="171" t="str" cm="1">
        <f t="array" ref="G972">IF(LineærRegression_Valg[[#This Row],[Indenfor range]],IF(LineærRegression_Valg[[#This Row],[Intet overlap]],INDEX(DataTitel_liste,LineærRegression_Valg[[#This Row],[Uafhængig variabel ID]]),INDEX(DataTitel_liste,IF(LineærRegression_Valg[[#This Row],[Afhængig variabel ID]]=1,2,1))),$B$7)</f>
        <v>Eksempel 2 (interval)</v>
      </c>
      <c r="H972" s="171">
        <f>_xlfn.AGGREGATE(2,5,LineærRegression_Valg[[#This Row],[Tabel ID]])</f>
        <v>1</v>
      </c>
    </row>
    <row r="973" spans="1:8" x14ac:dyDescent="0.2">
      <c r="A973">
        <f>ROW(LineærRegression_Valg[[#This Row],[Tabel ID]])-ROW(LineærRegression_Valg[[#Headers],[Tabel ID]])</f>
        <v>963</v>
      </c>
      <c r="B973" s="171">
        <f>ROUNDDOWN((LineærRegression_Valg[[#This Row],[Tabel ID]]-1)/$B$5,0)+1</f>
        <v>241</v>
      </c>
      <c r="C973" s="171">
        <f t="shared" si="15"/>
        <v>3</v>
      </c>
      <c r="D973" s="171" t="b">
        <f>LineærRegression_Valg[[#This Row],[Afhængig variabel ID]]&lt;&gt;LineærRegression_Valg[[#This Row],[Uafhængig variabel ID]]</f>
        <v>1</v>
      </c>
      <c r="E973" t="b">
        <f>LineærRegression_Valg[[#This Row],[Afhængig variabel ID]]&lt;=$B$5</f>
        <v>0</v>
      </c>
      <c r="F973" t="str" cm="1">
        <f t="array" ref="F973">IF(LineærRegression_Valg[[#This Row],[Indenfor range]],INDEX(DataTitel_liste,LineærRegression_Valg[[#This Row],[Afhængig variabel ID]]),INDEX(DataTitel_liste,1))</f>
        <v>Eksempel 1 (interval)</v>
      </c>
      <c r="G973" s="171" t="str" cm="1">
        <f t="array" ref="G973">IF(LineærRegression_Valg[[#This Row],[Indenfor range]],IF(LineærRegression_Valg[[#This Row],[Intet overlap]],INDEX(DataTitel_liste,LineærRegression_Valg[[#This Row],[Uafhængig variabel ID]]),INDEX(DataTitel_liste,IF(LineærRegression_Valg[[#This Row],[Afhængig variabel ID]]=1,2,1))),$B$7)</f>
        <v>Eksempel 2 (interval)</v>
      </c>
      <c r="H973" s="171">
        <f>_xlfn.AGGREGATE(2,5,LineærRegression_Valg[[#This Row],[Tabel ID]])</f>
        <v>1</v>
      </c>
    </row>
    <row r="974" spans="1:8" x14ac:dyDescent="0.2">
      <c r="A974">
        <f>ROW(LineærRegression_Valg[[#This Row],[Tabel ID]])-ROW(LineærRegression_Valg[[#Headers],[Tabel ID]])</f>
        <v>964</v>
      </c>
      <c r="B974" s="171">
        <f>ROUNDDOWN((LineærRegression_Valg[[#This Row],[Tabel ID]]-1)/$B$5,0)+1</f>
        <v>241</v>
      </c>
      <c r="C974" s="171">
        <f t="shared" si="15"/>
        <v>4</v>
      </c>
      <c r="D974" s="171" t="b">
        <f>LineærRegression_Valg[[#This Row],[Afhængig variabel ID]]&lt;&gt;LineærRegression_Valg[[#This Row],[Uafhængig variabel ID]]</f>
        <v>1</v>
      </c>
      <c r="E974" t="b">
        <f>LineærRegression_Valg[[#This Row],[Afhængig variabel ID]]&lt;=$B$5</f>
        <v>0</v>
      </c>
      <c r="F974" t="str" cm="1">
        <f t="array" ref="F974">IF(LineærRegression_Valg[[#This Row],[Indenfor range]],INDEX(DataTitel_liste,LineærRegression_Valg[[#This Row],[Afhængig variabel ID]]),INDEX(DataTitel_liste,1))</f>
        <v>Eksempel 1 (interval)</v>
      </c>
      <c r="G974" s="171" t="str" cm="1">
        <f t="array" ref="G974">IF(LineærRegression_Valg[[#This Row],[Indenfor range]],IF(LineærRegression_Valg[[#This Row],[Intet overlap]],INDEX(DataTitel_liste,LineærRegression_Valg[[#This Row],[Uafhængig variabel ID]]),INDEX(DataTitel_liste,IF(LineærRegression_Valg[[#This Row],[Afhængig variabel ID]]=1,2,1))),$B$7)</f>
        <v>Eksempel 2 (interval)</v>
      </c>
      <c r="H974" s="171">
        <f>_xlfn.AGGREGATE(2,5,LineærRegression_Valg[[#This Row],[Tabel ID]])</f>
        <v>1</v>
      </c>
    </row>
    <row r="975" spans="1:8" x14ac:dyDescent="0.2">
      <c r="A975">
        <f>ROW(LineærRegression_Valg[[#This Row],[Tabel ID]])-ROW(LineærRegression_Valg[[#Headers],[Tabel ID]])</f>
        <v>965</v>
      </c>
      <c r="B975" s="171">
        <f>ROUNDDOWN((LineærRegression_Valg[[#This Row],[Tabel ID]]-1)/$B$5,0)+1</f>
        <v>242</v>
      </c>
      <c r="C975" s="171">
        <f t="shared" si="15"/>
        <v>1</v>
      </c>
      <c r="D975" s="171" t="b">
        <f>LineærRegression_Valg[[#This Row],[Afhængig variabel ID]]&lt;&gt;LineærRegression_Valg[[#This Row],[Uafhængig variabel ID]]</f>
        <v>1</v>
      </c>
      <c r="E975" t="b">
        <f>LineærRegression_Valg[[#This Row],[Afhængig variabel ID]]&lt;=$B$5</f>
        <v>0</v>
      </c>
      <c r="F975" t="str" cm="1">
        <f t="array" ref="F975">IF(LineærRegression_Valg[[#This Row],[Indenfor range]],INDEX(DataTitel_liste,LineærRegression_Valg[[#This Row],[Afhængig variabel ID]]),INDEX(DataTitel_liste,1))</f>
        <v>Eksempel 1 (interval)</v>
      </c>
      <c r="G975" s="171" t="str" cm="1">
        <f t="array" ref="G975">IF(LineærRegression_Valg[[#This Row],[Indenfor range]],IF(LineærRegression_Valg[[#This Row],[Intet overlap]],INDEX(DataTitel_liste,LineærRegression_Valg[[#This Row],[Uafhængig variabel ID]]),INDEX(DataTitel_liste,IF(LineærRegression_Valg[[#This Row],[Afhængig variabel ID]]=1,2,1))),$B$7)</f>
        <v>Eksempel 2 (interval)</v>
      </c>
      <c r="H975" s="171">
        <f>_xlfn.AGGREGATE(2,5,LineærRegression_Valg[[#This Row],[Tabel ID]])</f>
        <v>1</v>
      </c>
    </row>
    <row r="976" spans="1:8" x14ac:dyDescent="0.2">
      <c r="A976">
        <f>ROW(LineærRegression_Valg[[#This Row],[Tabel ID]])-ROW(LineærRegression_Valg[[#Headers],[Tabel ID]])</f>
        <v>966</v>
      </c>
      <c r="B976" s="171">
        <f>ROUNDDOWN((LineærRegression_Valg[[#This Row],[Tabel ID]]-1)/$B$5,0)+1</f>
        <v>242</v>
      </c>
      <c r="C976" s="171">
        <f t="shared" si="15"/>
        <v>2</v>
      </c>
      <c r="D976" s="171" t="b">
        <f>LineærRegression_Valg[[#This Row],[Afhængig variabel ID]]&lt;&gt;LineærRegression_Valg[[#This Row],[Uafhængig variabel ID]]</f>
        <v>1</v>
      </c>
      <c r="E976" t="b">
        <f>LineærRegression_Valg[[#This Row],[Afhængig variabel ID]]&lt;=$B$5</f>
        <v>0</v>
      </c>
      <c r="F976" t="str" cm="1">
        <f t="array" ref="F976">IF(LineærRegression_Valg[[#This Row],[Indenfor range]],INDEX(DataTitel_liste,LineærRegression_Valg[[#This Row],[Afhængig variabel ID]]),INDEX(DataTitel_liste,1))</f>
        <v>Eksempel 1 (interval)</v>
      </c>
      <c r="G976" s="171" t="str" cm="1">
        <f t="array" ref="G976">IF(LineærRegression_Valg[[#This Row],[Indenfor range]],IF(LineærRegression_Valg[[#This Row],[Intet overlap]],INDEX(DataTitel_liste,LineærRegression_Valg[[#This Row],[Uafhængig variabel ID]]),INDEX(DataTitel_liste,IF(LineærRegression_Valg[[#This Row],[Afhængig variabel ID]]=1,2,1))),$B$7)</f>
        <v>Eksempel 2 (interval)</v>
      </c>
      <c r="H976" s="171">
        <f>_xlfn.AGGREGATE(2,5,LineærRegression_Valg[[#This Row],[Tabel ID]])</f>
        <v>1</v>
      </c>
    </row>
    <row r="977" spans="1:8" x14ac:dyDescent="0.2">
      <c r="A977">
        <f>ROW(LineærRegression_Valg[[#This Row],[Tabel ID]])-ROW(LineærRegression_Valg[[#Headers],[Tabel ID]])</f>
        <v>967</v>
      </c>
      <c r="B977" s="171">
        <f>ROUNDDOWN((LineærRegression_Valg[[#This Row],[Tabel ID]]-1)/$B$5,0)+1</f>
        <v>242</v>
      </c>
      <c r="C977" s="171">
        <f t="shared" si="15"/>
        <v>3</v>
      </c>
      <c r="D977" s="171" t="b">
        <f>LineærRegression_Valg[[#This Row],[Afhængig variabel ID]]&lt;&gt;LineærRegression_Valg[[#This Row],[Uafhængig variabel ID]]</f>
        <v>1</v>
      </c>
      <c r="E977" t="b">
        <f>LineærRegression_Valg[[#This Row],[Afhængig variabel ID]]&lt;=$B$5</f>
        <v>0</v>
      </c>
      <c r="F977" t="str" cm="1">
        <f t="array" ref="F977">IF(LineærRegression_Valg[[#This Row],[Indenfor range]],INDEX(DataTitel_liste,LineærRegression_Valg[[#This Row],[Afhængig variabel ID]]),INDEX(DataTitel_liste,1))</f>
        <v>Eksempel 1 (interval)</v>
      </c>
      <c r="G977" s="171" t="str" cm="1">
        <f t="array" ref="G977">IF(LineærRegression_Valg[[#This Row],[Indenfor range]],IF(LineærRegression_Valg[[#This Row],[Intet overlap]],INDEX(DataTitel_liste,LineærRegression_Valg[[#This Row],[Uafhængig variabel ID]]),INDEX(DataTitel_liste,IF(LineærRegression_Valg[[#This Row],[Afhængig variabel ID]]=1,2,1))),$B$7)</f>
        <v>Eksempel 2 (interval)</v>
      </c>
      <c r="H977" s="171">
        <f>_xlfn.AGGREGATE(2,5,LineærRegression_Valg[[#This Row],[Tabel ID]])</f>
        <v>1</v>
      </c>
    </row>
    <row r="978" spans="1:8" x14ac:dyDescent="0.2">
      <c r="A978">
        <f>ROW(LineærRegression_Valg[[#This Row],[Tabel ID]])-ROW(LineærRegression_Valg[[#Headers],[Tabel ID]])</f>
        <v>968</v>
      </c>
      <c r="B978" s="171">
        <f>ROUNDDOWN((LineærRegression_Valg[[#This Row],[Tabel ID]]-1)/$B$5,0)+1</f>
        <v>242</v>
      </c>
      <c r="C978" s="171">
        <f t="shared" si="15"/>
        <v>4</v>
      </c>
      <c r="D978" s="171" t="b">
        <f>LineærRegression_Valg[[#This Row],[Afhængig variabel ID]]&lt;&gt;LineærRegression_Valg[[#This Row],[Uafhængig variabel ID]]</f>
        <v>1</v>
      </c>
      <c r="E978" t="b">
        <f>LineærRegression_Valg[[#This Row],[Afhængig variabel ID]]&lt;=$B$5</f>
        <v>0</v>
      </c>
      <c r="F978" t="str" cm="1">
        <f t="array" ref="F978">IF(LineærRegression_Valg[[#This Row],[Indenfor range]],INDEX(DataTitel_liste,LineærRegression_Valg[[#This Row],[Afhængig variabel ID]]),INDEX(DataTitel_liste,1))</f>
        <v>Eksempel 1 (interval)</v>
      </c>
      <c r="G978" s="171" t="str" cm="1">
        <f t="array" ref="G978">IF(LineærRegression_Valg[[#This Row],[Indenfor range]],IF(LineærRegression_Valg[[#This Row],[Intet overlap]],INDEX(DataTitel_liste,LineærRegression_Valg[[#This Row],[Uafhængig variabel ID]]),INDEX(DataTitel_liste,IF(LineærRegression_Valg[[#This Row],[Afhængig variabel ID]]=1,2,1))),$B$7)</f>
        <v>Eksempel 2 (interval)</v>
      </c>
      <c r="H978" s="171">
        <f>_xlfn.AGGREGATE(2,5,LineærRegression_Valg[[#This Row],[Tabel ID]])</f>
        <v>1</v>
      </c>
    </row>
    <row r="979" spans="1:8" x14ac:dyDescent="0.2">
      <c r="A979">
        <f>ROW(LineærRegression_Valg[[#This Row],[Tabel ID]])-ROW(LineærRegression_Valg[[#Headers],[Tabel ID]])</f>
        <v>969</v>
      </c>
      <c r="B979" s="171">
        <f>ROUNDDOWN((LineærRegression_Valg[[#This Row],[Tabel ID]]-1)/$B$5,0)+1</f>
        <v>243</v>
      </c>
      <c r="C979" s="171">
        <f t="shared" si="15"/>
        <v>1</v>
      </c>
      <c r="D979" s="171" t="b">
        <f>LineærRegression_Valg[[#This Row],[Afhængig variabel ID]]&lt;&gt;LineærRegression_Valg[[#This Row],[Uafhængig variabel ID]]</f>
        <v>1</v>
      </c>
      <c r="E979" t="b">
        <f>LineærRegression_Valg[[#This Row],[Afhængig variabel ID]]&lt;=$B$5</f>
        <v>0</v>
      </c>
      <c r="F979" t="str" cm="1">
        <f t="array" ref="F979">IF(LineærRegression_Valg[[#This Row],[Indenfor range]],INDEX(DataTitel_liste,LineærRegression_Valg[[#This Row],[Afhængig variabel ID]]),INDEX(DataTitel_liste,1))</f>
        <v>Eksempel 1 (interval)</v>
      </c>
      <c r="G979" s="171" t="str" cm="1">
        <f t="array" ref="G979">IF(LineærRegression_Valg[[#This Row],[Indenfor range]],IF(LineærRegression_Valg[[#This Row],[Intet overlap]],INDEX(DataTitel_liste,LineærRegression_Valg[[#This Row],[Uafhængig variabel ID]]),INDEX(DataTitel_liste,IF(LineærRegression_Valg[[#This Row],[Afhængig variabel ID]]=1,2,1))),$B$7)</f>
        <v>Eksempel 2 (interval)</v>
      </c>
      <c r="H979" s="171">
        <f>_xlfn.AGGREGATE(2,5,LineærRegression_Valg[[#This Row],[Tabel ID]])</f>
        <v>1</v>
      </c>
    </row>
    <row r="980" spans="1:8" x14ac:dyDescent="0.2">
      <c r="A980">
        <f>ROW(LineærRegression_Valg[[#This Row],[Tabel ID]])-ROW(LineærRegression_Valg[[#Headers],[Tabel ID]])</f>
        <v>970</v>
      </c>
      <c r="B980" s="171">
        <f>ROUNDDOWN((LineærRegression_Valg[[#This Row],[Tabel ID]]-1)/$B$5,0)+1</f>
        <v>243</v>
      </c>
      <c r="C980" s="171">
        <f t="shared" si="15"/>
        <v>2</v>
      </c>
      <c r="D980" s="171" t="b">
        <f>LineærRegression_Valg[[#This Row],[Afhængig variabel ID]]&lt;&gt;LineærRegression_Valg[[#This Row],[Uafhængig variabel ID]]</f>
        <v>1</v>
      </c>
      <c r="E980" t="b">
        <f>LineærRegression_Valg[[#This Row],[Afhængig variabel ID]]&lt;=$B$5</f>
        <v>0</v>
      </c>
      <c r="F980" t="str" cm="1">
        <f t="array" ref="F980">IF(LineærRegression_Valg[[#This Row],[Indenfor range]],INDEX(DataTitel_liste,LineærRegression_Valg[[#This Row],[Afhængig variabel ID]]),INDEX(DataTitel_liste,1))</f>
        <v>Eksempel 1 (interval)</v>
      </c>
      <c r="G980" s="171" t="str" cm="1">
        <f t="array" ref="G980">IF(LineærRegression_Valg[[#This Row],[Indenfor range]],IF(LineærRegression_Valg[[#This Row],[Intet overlap]],INDEX(DataTitel_liste,LineærRegression_Valg[[#This Row],[Uafhængig variabel ID]]),INDEX(DataTitel_liste,IF(LineærRegression_Valg[[#This Row],[Afhængig variabel ID]]=1,2,1))),$B$7)</f>
        <v>Eksempel 2 (interval)</v>
      </c>
      <c r="H980" s="171">
        <f>_xlfn.AGGREGATE(2,5,LineærRegression_Valg[[#This Row],[Tabel ID]])</f>
        <v>1</v>
      </c>
    </row>
    <row r="981" spans="1:8" x14ac:dyDescent="0.2">
      <c r="A981">
        <f>ROW(LineærRegression_Valg[[#This Row],[Tabel ID]])-ROW(LineærRegression_Valg[[#Headers],[Tabel ID]])</f>
        <v>971</v>
      </c>
      <c r="B981" s="171">
        <f>ROUNDDOWN((LineærRegression_Valg[[#This Row],[Tabel ID]]-1)/$B$5,0)+1</f>
        <v>243</v>
      </c>
      <c r="C981" s="171">
        <f t="shared" si="15"/>
        <v>3</v>
      </c>
      <c r="D981" s="171" t="b">
        <f>LineærRegression_Valg[[#This Row],[Afhængig variabel ID]]&lt;&gt;LineærRegression_Valg[[#This Row],[Uafhængig variabel ID]]</f>
        <v>1</v>
      </c>
      <c r="E981" t="b">
        <f>LineærRegression_Valg[[#This Row],[Afhængig variabel ID]]&lt;=$B$5</f>
        <v>0</v>
      </c>
      <c r="F981" t="str" cm="1">
        <f t="array" ref="F981">IF(LineærRegression_Valg[[#This Row],[Indenfor range]],INDEX(DataTitel_liste,LineærRegression_Valg[[#This Row],[Afhængig variabel ID]]),INDEX(DataTitel_liste,1))</f>
        <v>Eksempel 1 (interval)</v>
      </c>
      <c r="G981" s="171" t="str" cm="1">
        <f t="array" ref="G981">IF(LineærRegression_Valg[[#This Row],[Indenfor range]],IF(LineærRegression_Valg[[#This Row],[Intet overlap]],INDEX(DataTitel_liste,LineærRegression_Valg[[#This Row],[Uafhængig variabel ID]]),INDEX(DataTitel_liste,IF(LineærRegression_Valg[[#This Row],[Afhængig variabel ID]]=1,2,1))),$B$7)</f>
        <v>Eksempel 2 (interval)</v>
      </c>
      <c r="H981" s="171">
        <f>_xlfn.AGGREGATE(2,5,LineærRegression_Valg[[#This Row],[Tabel ID]])</f>
        <v>1</v>
      </c>
    </row>
    <row r="982" spans="1:8" x14ac:dyDescent="0.2">
      <c r="A982">
        <f>ROW(LineærRegression_Valg[[#This Row],[Tabel ID]])-ROW(LineærRegression_Valg[[#Headers],[Tabel ID]])</f>
        <v>972</v>
      </c>
      <c r="B982" s="171">
        <f>ROUNDDOWN((LineærRegression_Valg[[#This Row],[Tabel ID]]-1)/$B$5,0)+1</f>
        <v>243</v>
      </c>
      <c r="C982" s="171">
        <f t="shared" si="15"/>
        <v>4</v>
      </c>
      <c r="D982" s="171" t="b">
        <f>LineærRegression_Valg[[#This Row],[Afhængig variabel ID]]&lt;&gt;LineærRegression_Valg[[#This Row],[Uafhængig variabel ID]]</f>
        <v>1</v>
      </c>
      <c r="E982" t="b">
        <f>LineærRegression_Valg[[#This Row],[Afhængig variabel ID]]&lt;=$B$5</f>
        <v>0</v>
      </c>
      <c r="F982" t="str" cm="1">
        <f t="array" ref="F982">IF(LineærRegression_Valg[[#This Row],[Indenfor range]],INDEX(DataTitel_liste,LineærRegression_Valg[[#This Row],[Afhængig variabel ID]]),INDEX(DataTitel_liste,1))</f>
        <v>Eksempel 1 (interval)</v>
      </c>
      <c r="G982" s="171" t="str" cm="1">
        <f t="array" ref="G982">IF(LineærRegression_Valg[[#This Row],[Indenfor range]],IF(LineærRegression_Valg[[#This Row],[Intet overlap]],INDEX(DataTitel_liste,LineærRegression_Valg[[#This Row],[Uafhængig variabel ID]]),INDEX(DataTitel_liste,IF(LineærRegression_Valg[[#This Row],[Afhængig variabel ID]]=1,2,1))),$B$7)</f>
        <v>Eksempel 2 (interval)</v>
      </c>
      <c r="H982" s="171">
        <f>_xlfn.AGGREGATE(2,5,LineærRegression_Valg[[#This Row],[Tabel ID]])</f>
        <v>1</v>
      </c>
    </row>
    <row r="983" spans="1:8" x14ac:dyDescent="0.2">
      <c r="A983">
        <f>ROW(LineærRegression_Valg[[#This Row],[Tabel ID]])-ROW(LineærRegression_Valg[[#Headers],[Tabel ID]])</f>
        <v>973</v>
      </c>
      <c r="B983" s="171">
        <f>ROUNDDOWN((LineærRegression_Valg[[#This Row],[Tabel ID]]-1)/$B$5,0)+1</f>
        <v>244</v>
      </c>
      <c r="C983" s="171">
        <f t="shared" si="15"/>
        <v>1</v>
      </c>
      <c r="D983" s="171" t="b">
        <f>LineærRegression_Valg[[#This Row],[Afhængig variabel ID]]&lt;&gt;LineærRegression_Valg[[#This Row],[Uafhængig variabel ID]]</f>
        <v>1</v>
      </c>
      <c r="E983" t="b">
        <f>LineærRegression_Valg[[#This Row],[Afhængig variabel ID]]&lt;=$B$5</f>
        <v>0</v>
      </c>
      <c r="F983" t="str" cm="1">
        <f t="array" ref="F983">IF(LineærRegression_Valg[[#This Row],[Indenfor range]],INDEX(DataTitel_liste,LineærRegression_Valg[[#This Row],[Afhængig variabel ID]]),INDEX(DataTitel_liste,1))</f>
        <v>Eksempel 1 (interval)</v>
      </c>
      <c r="G983" s="171" t="str" cm="1">
        <f t="array" ref="G983">IF(LineærRegression_Valg[[#This Row],[Indenfor range]],IF(LineærRegression_Valg[[#This Row],[Intet overlap]],INDEX(DataTitel_liste,LineærRegression_Valg[[#This Row],[Uafhængig variabel ID]]),INDEX(DataTitel_liste,IF(LineærRegression_Valg[[#This Row],[Afhængig variabel ID]]=1,2,1))),$B$7)</f>
        <v>Eksempel 2 (interval)</v>
      </c>
      <c r="H983" s="171">
        <f>_xlfn.AGGREGATE(2,5,LineærRegression_Valg[[#This Row],[Tabel ID]])</f>
        <v>1</v>
      </c>
    </row>
    <row r="984" spans="1:8" x14ac:dyDescent="0.2">
      <c r="A984">
        <f>ROW(LineærRegression_Valg[[#This Row],[Tabel ID]])-ROW(LineærRegression_Valg[[#Headers],[Tabel ID]])</f>
        <v>974</v>
      </c>
      <c r="B984" s="171">
        <f>ROUNDDOWN((LineærRegression_Valg[[#This Row],[Tabel ID]]-1)/$B$5,0)+1</f>
        <v>244</v>
      </c>
      <c r="C984" s="171">
        <f t="shared" si="15"/>
        <v>2</v>
      </c>
      <c r="D984" s="171" t="b">
        <f>LineærRegression_Valg[[#This Row],[Afhængig variabel ID]]&lt;&gt;LineærRegression_Valg[[#This Row],[Uafhængig variabel ID]]</f>
        <v>1</v>
      </c>
      <c r="E984" t="b">
        <f>LineærRegression_Valg[[#This Row],[Afhængig variabel ID]]&lt;=$B$5</f>
        <v>0</v>
      </c>
      <c r="F984" t="str" cm="1">
        <f t="array" ref="F984">IF(LineærRegression_Valg[[#This Row],[Indenfor range]],INDEX(DataTitel_liste,LineærRegression_Valg[[#This Row],[Afhængig variabel ID]]),INDEX(DataTitel_liste,1))</f>
        <v>Eksempel 1 (interval)</v>
      </c>
      <c r="G984" s="171" t="str" cm="1">
        <f t="array" ref="G984">IF(LineærRegression_Valg[[#This Row],[Indenfor range]],IF(LineærRegression_Valg[[#This Row],[Intet overlap]],INDEX(DataTitel_liste,LineærRegression_Valg[[#This Row],[Uafhængig variabel ID]]),INDEX(DataTitel_liste,IF(LineærRegression_Valg[[#This Row],[Afhængig variabel ID]]=1,2,1))),$B$7)</f>
        <v>Eksempel 2 (interval)</v>
      </c>
      <c r="H984" s="171">
        <f>_xlfn.AGGREGATE(2,5,LineærRegression_Valg[[#This Row],[Tabel ID]])</f>
        <v>1</v>
      </c>
    </row>
    <row r="985" spans="1:8" x14ac:dyDescent="0.2">
      <c r="A985">
        <f>ROW(LineærRegression_Valg[[#This Row],[Tabel ID]])-ROW(LineærRegression_Valg[[#Headers],[Tabel ID]])</f>
        <v>975</v>
      </c>
      <c r="B985" s="171">
        <f>ROUNDDOWN((LineærRegression_Valg[[#This Row],[Tabel ID]]-1)/$B$5,0)+1</f>
        <v>244</v>
      </c>
      <c r="C985" s="171">
        <f t="shared" si="15"/>
        <v>3</v>
      </c>
      <c r="D985" s="171" t="b">
        <f>LineærRegression_Valg[[#This Row],[Afhængig variabel ID]]&lt;&gt;LineærRegression_Valg[[#This Row],[Uafhængig variabel ID]]</f>
        <v>1</v>
      </c>
      <c r="E985" t="b">
        <f>LineærRegression_Valg[[#This Row],[Afhængig variabel ID]]&lt;=$B$5</f>
        <v>0</v>
      </c>
      <c r="F985" t="str" cm="1">
        <f t="array" ref="F985">IF(LineærRegression_Valg[[#This Row],[Indenfor range]],INDEX(DataTitel_liste,LineærRegression_Valg[[#This Row],[Afhængig variabel ID]]),INDEX(DataTitel_liste,1))</f>
        <v>Eksempel 1 (interval)</v>
      </c>
      <c r="G985" s="171" t="str" cm="1">
        <f t="array" ref="G985">IF(LineærRegression_Valg[[#This Row],[Indenfor range]],IF(LineærRegression_Valg[[#This Row],[Intet overlap]],INDEX(DataTitel_liste,LineærRegression_Valg[[#This Row],[Uafhængig variabel ID]]),INDEX(DataTitel_liste,IF(LineærRegression_Valg[[#This Row],[Afhængig variabel ID]]=1,2,1))),$B$7)</f>
        <v>Eksempel 2 (interval)</v>
      </c>
      <c r="H985" s="171">
        <f>_xlfn.AGGREGATE(2,5,LineærRegression_Valg[[#This Row],[Tabel ID]])</f>
        <v>1</v>
      </c>
    </row>
    <row r="986" spans="1:8" x14ac:dyDescent="0.2">
      <c r="A986">
        <f>ROW(LineærRegression_Valg[[#This Row],[Tabel ID]])-ROW(LineærRegression_Valg[[#Headers],[Tabel ID]])</f>
        <v>976</v>
      </c>
      <c r="B986" s="171">
        <f>ROUNDDOWN((LineærRegression_Valg[[#This Row],[Tabel ID]]-1)/$B$5,0)+1</f>
        <v>244</v>
      </c>
      <c r="C986" s="171">
        <f t="shared" si="15"/>
        <v>4</v>
      </c>
      <c r="D986" s="171" t="b">
        <f>LineærRegression_Valg[[#This Row],[Afhængig variabel ID]]&lt;&gt;LineærRegression_Valg[[#This Row],[Uafhængig variabel ID]]</f>
        <v>1</v>
      </c>
      <c r="E986" t="b">
        <f>LineærRegression_Valg[[#This Row],[Afhængig variabel ID]]&lt;=$B$5</f>
        <v>0</v>
      </c>
      <c r="F986" t="str" cm="1">
        <f t="array" ref="F986">IF(LineærRegression_Valg[[#This Row],[Indenfor range]],INDEX(DataTitel_liste,LineærRegression_Valg[[#This Row],[Afhængig variabel ID]]),INDEX(DataTitel_liste,1))</f>
        <v>Eksempel 1 (interval)</v>
      </c>
      <c r="G986" s="171" t="str" cm="1">
        <f t="array" ref="G986">IF(LineærRegression_Valg[[#This Row],[Indenfor range]],IF(LineærRegression_Valg[[#This Row],[Intet overlap]],INDEX(DataTitel_liste,LineærRegression_Valg[[#This Row],[Uafhængig variabel ID]]),INDEX(DataTitel_liste,IF(LineærRegression_Valg[[#This Row],[Afhængig variabel ID]]=1,2,1))),$B$7)</f>
        <v>Eksempel 2 (interval)</v>
      </c>
      <c r="H986" s="171">
        <f>_xlfn.AGGREGATE(2,5,LineærRegression_Valg[[#This Row],[Tabel ID]])</f>
        <v>1</v>
      </c>
    </row>
    <row r="987" spans="1:8" x14ac:dyDescent="0.2">
      <c r="A987">
        <f>ROW(LineærRegression_Valg[[#This Row],[Tabel ID]])-ROW(LineærRegression_Valg[[#Headers],[Tabel ID]])</f>
        <v>977</v>
      </c>
      <c r="B987" s="171">
        <f>ROUNDDOWN((LineærRegression_Valg[[#This Row],[Tabel ID]]-1)/$B$5,0)+1</f>
        <v>245</v>
      </c>
      <c r="C987" s="171">
        <f t="shared" si="15"/>
        <v>1</v>
      </c>
      <c r="D987" s="171" t="b">
        <f>LineærRegression_Valg[[#This Row],[Afhængig variabel ID]]&lt;&gt;LineærRegression_Valg[[#This Row],[Uafhængig variabel ID]]</f>
        <v>1</v>
      </c>
      <c r="E987" t="b">
        <f>LineærRegression_Valg[[#This Row],[Afhængig variabel ID]]&lt;=$B$5</f>
        <v>0</v>
      </c>
      <c r="F987" t="str" cm="1">
        <f t="array" ref="F987">IF(LineærRegression_Valg[[#This Row],[Indenfor range]],INDEX(DataTitel_liste,LineærRegression_Valg[[#This Row],[Afhængig variabel ID]]),INDEX(DataTitel_liste,1))</f>
        <v>Eksempel 1 (interval)</v>
      </c>
      <c r="G987" s="171" t="str" cm="1">
        <f t="array" ref="G987">IF(LineærRegression_Valg[[#This Row],[Indenfor range]],IF(LineærRegression_Valg[[#This Row],[Intet overlap]],INDEX(DataTitel_liste,LineærRegression_Valg[[#This Row],[Uafhængig variabel ID]]),INDEX(DataTitel_liste,IF(LineærRegression_Valg[[#This Row],[Afhængig variabel ID]]=1,2,1))),$B$7)</f>
        <v>Eksempel 2 (interval)</v>
      </c>
      <c r="H987" s="171">
        <f>_xlfn.AGGREGATE(2,5,LineærRegression_Valg[[#This Row],[Tabel ID]])</f>
        <v>1</v>
      </c>
    </row>
    <row r="988" spans="1:8" x14ac:dyDescent="0.2">
      <c r="A988">
        <f>ROW(LineærRegression_Valg[[#This Row],[Tabel ID]])-ROW(LineærRegression_Valg[[#Headers],[Tabel ID]])</f>
        <v>978</v>
      </c>
      <c r="B988" s="171">
        <f>ROUNDDOWN((LineærRegression_Valg[[#This Row],[Tabel ID]]-1)/$B$5,0)+1</f>
        <v>245</v>
      </c>
      <c r="C988" s="171">
        <f t="shared" si="15"/>
        <v>2</v>
      </c>
      <c r="D988" s="171" t="b">
        <f>LineærRegression_Valg[[#This Row],[Afhængig variabel ID]]&lt;&gt;LineærRegression_Valg[[#This Row],[Uafhængig variabel ID]]</f>
        <v>1</v>
      </c>
      <c r="E988" t="b">
        <f>LineærRegression_Valg[[#This Row],[Afhængig variabel ID]]&lt;=$B$5</f>
        <v>0</v>
      </c>
      <c r="F988" t="str" cm="1">
        <f t="array" ref="F988">IF(LineærRegression_Valg[[#This Row],[Indenfor range]],INDEX(DataTitel_liste,LineærRegression_Valg[[#This Row],[Afhængig variabel ID]]),INDEX(DataTitel_liste,1))</f>
        <v>Eksempel 1 (interval)</v>
      </c>
      <c r="G988" s="171" t="str" cm="1">
        <f t="array" ref="G988">IF(LineærRegression_Valg[[#This Row],[Indenfor range]],IF(LineærRegression_Valg[[#This Row],[Intet overlap]],INDEX(DataTitel_liste,LineærRegression_Valg[[#This Row],[Uafhængig variabel ID]]),INDEX(DataTitel_liste,IF(LineærRegression_Valg[[#This Row],[Afhængig variabel ID]]=1,2,1))),$B$7)</f>
        <v>Eksempel 2 (interval)</v>
      </c>
      <c r="H988" s="171">
        <f>_xlfn.AGGREGATE(2,5,LineærRegression_Valg[[#This Row],[Tabel ID]])</f>
        <v>1</v>
      </c>
    </row>
    <row r="989" spans="1:8" x14ac:dyDescent="0.2">
      <c r="A989">
        <f>ROW(LineærRegression_Valg[[#This Row],[Tabel ID]])-ROW(LineærRegression_Valg[[#Headers],[Tabel ID]])</f>
        <v>979</v>
      </c>
      <c r="B989" s="171">
        <f>ROUNDDOWN((LineærRegression_Valg[[#This Row],[Tabel ID]]-1)/$B$5,0)+1</f>
        <v>245</v>
      </c>
      <c r="C989" s="171">
        <f t="shared" si="15"/>
        <v>3</v>
      </c>
      <c r="D989" s="171" t="b">
        <f>LineærRegression_Valg[[#This Row],[Afhængig variabel ID]]&lt;&gt;LineærRegression_Valg[[#This Row],[Uafhængig variabel ID]]</f>
        <v>1</v>
      </c>
      <c r="E989" t="b">
        <f>LineærRegression_Valg[[#This Row],[Afhængig variabel ID]]&lt;=$B$5</f>
        <v>0</v>
      </c>
      <c r="F989" t="str" cm="1">
        <f t="array" ref="F989">IF(LineærRegression_Valg[[#This Row],[Indenfor range]],INDEX(DataTitel_liste,LineærRegression_Valg[[#This Row],[Afhængig variabel ID]]),INDEX(DataTitel_liste,1))</f>
        <v>Eksempel 1 (interval)</v>
      </c>
      <c r="G989" s="171" t="str" cm="1">
        <f t="array" ref="G989">IF(LineærRegression_Valg[[#This Row],[Indenfor range]],IF(LineærRegression_Valg[[#This Row],[Intet overlap]],INDEX(DataTitel_liste,LineærRegression_Valg[[#This Row],[Uafhængig variabel ID]]),INDEX(DataTitel_liste,IF(LineærRegression_Valg[[#This Row],[Afhængig variabel ID]]=1,2,1))),$B$7)</f>
        <v>Eksempel 2 (interval)</v>
      </c>
      <c r="H989" s="171">
        <f>_xlfn.AGGREGATE(2,5,LineærRegression_Valg[[#This Row],[Tabel ID]])</f>
        <v>1</v>
      </c>
    </row>
    <row r="990" spans="1:8" x14ac:dyDescent="0.2">
      <c r="A990">
        <f>ROW(LineærRegression_Valg[[#This Row],[Tabel ID]])-ROW(LineærRegression_Valg[[#Headers],[Tabel ID]])</f>
        <v>980</v>
      </c>
      <c r="B990" s="171">
        <f>ROUNDDOWN((LineærRegression_Valg[[#This Row],[Tabel ID]]-1)/$B$5,0)+1</f>
        <v>245</v>
      </c>
      <c r="C990" s="171">
        <f t="shared" si="15"/>
        <v>4</v>
      </c>
      <c r="D990" s="171" t="b">
        <f>LineærRegression_Valg[[#This Row],[Afhængig variabel ID]]&lt;&gt;LineærRegression_Valg[[#This Row],[Uafhængig variabel ID]]</f>
        <v>1</v>
      </c>
      <c r="E990" t="b">
        <f>LineærRegression_Valg[[#This Row],[Afhængig variabel ID]]&lt;=$B$5</f>
        <v>0</v>
      </c>
      <c r="F990" t="str" cm="1">
        <f t="array" ref="F990">IF(LineærRegression_Valg[[#This Row],[Indenfor range]],INDEX(DataTitel_liste,LineærRegression_Valg[[#This Row],[Afhængig variabel ID]]),INDEX(DataTitel_liste,1))</f>
        <v>Eksempel 1 (interval)</v>
      </c>
      <c r="G990" s="171" t="str" cm="1">
        <f t="array" ref="G990">IF(LineærRegression_Valg[[#This Row],[Indenfor range]],IF(LineærRegression_Valg[[#This Row],[Intet overlap]],INDEX(DataTitel_liste,LineærRegression_Valg[[#This Row],[Uafhængig variabel ID]]),INDEX(DataTitel_liste,IF(LineærRegression_Valg[[#This Row],[Afhængig variabel ID]]=1,2,1))),$B$7)</f>
        <v>Eksempel 2 (interval)</v>
      </c>
      <c r="H990" s="171">
        <f>_xlfn.AGGREGATE(2,5,LineærRegression_Valg[[#This Row],[Tabel ID]])</f>
        <v>1</v>
      </c>
    </row>
    <row r="991" spans="1:8" x14ac:dyDescent="0.2">
      <c r="A991">
        <f>ROW(LineærRegression_Valg[[#This Row],[Tabel ID]])-ROW(LineærRegression_Valg[[#Headers],[Tabel ID]])</f>
        <v>981</v>
      </c>
      <c r="B991" s="171">
        <f>ROUNDDOWN((LineærRegression_Valg[[#This Row],[Tabel ID]]-1)/$B$5,0)+1</f>
        <v>246</v>
      </c>
      <c r="C991" s="171">
        <f t="shared" si="15"/>
        <v>1</v>
      </c>
      <c r="D991" s="171" t="b">
        <f>LineærRegression_Valg[[#This Row],[Afhængig variabel ID]]&lt;&gt;LineærRegression_Valg[[#This Row],[Uafhængig variabel ID]]</f>
        <v>1</v>
      </c>
      <c r="E991" t="b">
        <f>LineærRegression_Valg[[#This Row],[Afhængig variabel ID]]&lt;=$B$5</f>
        <v>0</v>
      </c>
      <c r="F991" t="str" cm="1">
        <f t="array" ref="F991">IF(LineærRegression_Valg[[#This Row],[Indenfor range]],INDEX(DataTitel_liste,LineærRegression_Valg[[#This Row],[Afhængig variabel ID]]),INDEX(DataTitel_liste,1))</f>
        <v>Eksempel 1 (interval)</v>
      </c>
      <c r="G991" s="171" t="str" cm="1">
        <f t="array" ref="G991">IF(LineærRegression_Valg[[#This Row],[Indenfor range]],IF(LineærRegression_Valg[[#This Row],[Intet overlap]],INDEX(DataTitel_liste,LineærRegression_Valg[[#This Row],[Uafhængig variabel ID]]),INDEX(DataTitel_liste,IF(LineærRegression_Valg[[#This Row],[Afhængig variabel ID]]=1,2,1))),$B$7)</f>
        <v>Eksempel 2 (interval)</v>
      </c>
      <c r="H991" s="171">
        <f>_xlfn.AGGREGATE(2,5,LineærRegression_Valg[[#This Row],[Tabel ID]])</f>
        <v>1</v>
      </c>
    </row>
    <row r="992" spans="1:8" x14ac:dyDescent="0.2">
      <c r="A992">
        <f>ROW(LineærRegression_Valg[[#This Row],[Tabel ID]])-ROW(LineærRegression_Valg[[#Headers],[Tabel ID]])</f>
        <v>982</v>
      </c>
      <c r="B992" s="171">
        <f>ROUNDDOWN((LineærRegression_Valg[[#This Row],[Tabel ID]]-1)/$B$5,0)+1</f>
        <v>246</v>
      </c>
      <c r="C992" s="171">
        <f t="shared" si="15"/>
        <v>2</v>
      </c>
      <c r="D992" s="171" t="b">
        <f>LineærRegression_Valg[[#This Row],[Afhængig variabel ID]]&lt;&gt;LineærRegression_Valg[[#This Row],[Uafhængig variabel ID]]</f>
        <v>1</v>
      </c>
      <c r="E992" t="b">
        <f>LineærRegression_Valg[[#This Row],[Afhængig variabel ID]]&lt;=$B$5</f>
        <v>0</v>
      </c>
      <c r="F992" t="str" cm="1">
        <f t="array" ref="F992">IF(LineærRegression_Valg[[#This Row],[Indenfor range]],INDEX(DataTitel_liste,LineærRegression_Valg[[#This Row],[Afhængig variabel ID]]),INDEX(DataTitel_liste,1))</f>
        <v>Eksempel 1 (interval)</v>
      </c>
      <c r="G992" s="171" t="str" cm="1">
        <f t="array" ref="G992">IF(LineærRegression_Valg[[#This Row],[Indenfor range]],IF(LineærRegression_Valg[[#This Row],[Intet overlap]],INDEX(DataTitel_liste,LineærRegression_Valg[[#This Row],[Uafhængig variabel ID]]),INDEX(DataTitel_liste,IF(LineærRegression_Valg[[#This Row],[Afhængig variabel ID]]=1,2,1))),$B$7)</f>
        <v>Eksempel 2 (interval)</v>
      </c>
      <c r="H992" s="171">
        <f>_xlfn.AGGREGATE(2,5,LineærRegression_Valg[[#This Row],[Tabel ID]])</f>
        <v>1</v>
      </c>
    </row>
    <row r="993" spans="1:8" x14ac:dyDescent="0.2">
      <c r="A993">
        <f>ROW(LineærRegression_Valg[[#This Row],[Tabel ID]])-ROW(LineærRegression_Valg[[#Headers],[Tabel ID]])</f>
        <v>983</v>
      </c>
      <c r="B993" s="171">
        <f>ROUNDDOWN((LineærRegression_Valg[[#This Row],[Tabel ID]]-1)/$B$5,0)+1</f>
        <v>246</v>
      </c>
      <c r="C993" s="171">
        <f t="shared" si="15"/>
        <v>3</v>
      </c>
      <c r="D993" s="171" t="b">
        <f>LineærRegression_Valg[[#This Row],[Afhængig variabel ID]]&lt;&gt;LineærRegression_Valg[[#This Row],[Uafhængig variabel ID]]</f>
        <v>1</v>
      </c>
      <c r="E993" t="b">
        <f>LineærRegression_Valg[[#This Row],[Afhængig variabel ID]]&lt;=$B$5</f>
        <v>0</v>
      </c>
      <c r="F993" t="str" cm="1">
        <f t="array" ref="F993">IF(LineærRegression_Valg[[#This Row],[Indenfor range]],INDEX(DataTitel_liste,LineærRegression_Valg[[#This Row],[Afhængig variabel ID]]),INDEX(DataTitel_liste,1))</f>
        <v>Eksempel 1 (interval)</v>
      </c>
      <c r="G993" s="171" t="str" cm="1">
        <f t="array" ref="G993">IF(LineærRegression_Valg[[#This Row],[Indenfor range]],IF(LineærRegression_Valg[[#This Row],[Intet overlap]],INDEX(DataTitel_liste,LineærRegression_Valg[[#This Row],[Uafhængig variabel ID]]),INDEX(DataTitel_liste,IF(LineærRegression_Valg[[#This Row],[Afhængig variabel ID]]=1,2,1))),$B$7)</f>
        <v>Eksempel 2 (interval)</v>
      </c>
      <c r="H993" s="171">
        <f>_xlfn.AGGREGATE(2,5,LineærRegression_Valg[[#This Row],[Tabel ID]])</f>
        <v>1</v>
      </c>
    </row>
    <row r="994" spans="1:8" x14ac:dyDescent="0.2">
      <c r="A994">
        <f>ROW(LineærRegression_Valg[[#This Row],[Tabel ID]])-ROW(LineærRegression_Valg[[#Headers],[Tabel ID]])</f>
        <v>984</v>
      </c>
      <c r="B994" s="171">
        <f>ROUNDDOWN((LineærRegression_Valg[[#This Row],[Tabel ID]]-1)/$B$5,0)+1</f>
        <v>246</v>
      </c>
      <c r="C994" s="171">
        <f t="shared" si="15"/>
        <v>4</v>
      </c>
      <c r="D994" s="171" t="b">
        <f>LineærRegression_Valg[[#This Row],[Afhængig variabel ID]]&lt;&gt;LineærRegression_Valg[[#This Row],[Uafhængig variabel ID]]</f>
        <v>1</v>
      </c>
      <c r="E994" t="b">
        <f>LineærRegression_Valg[[#This Row],[Afhængig variabel ID]]&lt;=$B$5</f>
        <v>0</v>
      </c>
      <c r="F994" t="str" cm="1">
        <f t="array" ref="F994">IF(LineærRegression_Valg[[#This Row],[Indenfor range]],INDEX(DataTitel_liste,LineærRegression_Valg[[#This Row],[Afhængig variabel ID]]),INDEX(DataTitel_liste,1))</f>
        <v>Eksempel 1 (interval)</v>
      </c>
      <c r="G994" s="171" t="str" cm="1">
        <f t="array" ref="G994">IF(LineærRegression_Valg[[#This Row],[Indenfor range]],IF(LineærRegression_Valg[[#This Row],[Intet overlap]],INDEX(DataTitel_liste,LineærRegression_Valg[[#This Row],[Uafhængig variabel ID]]),INDEX(DataTitel_liste,IF(LineærRegression_Valg[[#This Row],[Afhængig variabel ID]]=1,2,1))),$B$7)</f>
        <v>Eksempel 2 (interval)</v>
      </c>
      <c r="H994" s="171">
        <f>_xlfn.AGGREGATE(2,5,LineærRegression_Valg[[#This Row],[Tabel ID]])</f>
        <v>1</v>
      </c>
    </row>
    <row r="995" spans="1:8" x14ac:dyDescent="0.2">
      <c r="A995">
        <f>ROW(LineærRegression_Valg[[#This Row],[Tabel ID]])-ROW(LineærRegression_Valg[[#Headers],[Tabel ID]])</f>
        <v>985</v>
      </c>
      <c r="B995" s="171">
        <f>ROUNDDOWN((LineærRegression_Valg[[#This Row],[Tabel ID]]-1)/$B$5,0)+1</f>
        <v>247</v>
      </c>
      <c r="C995" s="171">
        <f t="shared" si="15"/>
        <v>1</v>
      </c>
      <c r="D995" s="171" t="b">
        <f>LineærRegression_Valg[[#This Row],[Afhængig variabel ID]]&lt;&gt;LineærRegression_Valg[[#This Row],[Uafhængig variabel ID]]</f>
        <v>1</v>
      </c>
      <c r="E995" t="b">
        <f>LineærRegression_Valg[[#This Row],[Afhængig variabel ID]]&lt;=$B$5</f>
        <v>0</v>
      </c>
      <c r="F995" t="str" cm="1">
        <f t="array" ref="F995">IF(LineærRegression_Valg[[#This Row],[Indenfor range]],INDEX(DataTitel_liste,LineærRegression_Valg[[#This Row],[Afhængig variabel ID]]),INDEX(DataTitel_liste,1))</f>
        <v>Eksempel 1 (interval)</v>
      </c>
      <c r="G995" s="171" t="str" cm="1">
        <f t="array" ref="G995">IF(LineærRegression_Valg[[#This Row],[Indenfor range]],IF(LineærRegression_Valg[[#This Row],[Intet overlap]],INDEX(DataTitel_liste,LineærRegression_Valg[[#This Row],[Uafhængig variabel ID]]),INDEX(DataTitel_liste,IF(LineærRegression_Valg[[#This Row],[Afhængig variabel ID]]=1,2,1))),$B$7)</f>
        <v>Eksempel 2 (interval)</v>
      </c>
      <c r="H995" s="171">
        <f>_xlfn.AGGREGATE(2,5,LineærRegression_Valg[[#This Row],[Tabel ID]])</f>
        <v>1</v>
      </c>
    </row>
    <row r="996" spans="1:8" x14ac:dyDescent="0.2">
      <c r="A996">
        <f>ROW(LineærRegression_Valg[[#This Row],[Tabel ID]])-ROW(LineærRegression_Valg[[#Headers],[Tabel ID]])</f>
        <v>986</v>
      </c>
      <c r="B996" s="171">
        <f>ROUNDDOWN((LineærRegression_Valg[[#This Row],[Tabel ID]]-1)/$B$5,0)+1</f>
        <v>247</v>
      </c>
      <c r="C996" s="171">
        <f t="shared" si="15"/>
        <v>2</v>
      </c>
      <c r="D996" s="171" t="b">
        <f>LineærRegression_Valg[[#This Row],[Afhængig variabel ID]]&lt;&gt;LineærRegression_Valg[[#This Row],[Uafhængig variabel ID]]</f>
        <v>1</v>
      </c>
      <c r="E996" t="b">
        <f>LineærRegression_Valg[[#This Row],[Afhængig variabel ID]]&lt;=$B$5</f>
        <v>0</v>
      </c>
      <c r="F996" t="str" cm="1">
        <f t="array" ref="F996">IF(LineærRegression_Valg[[#This Row],[Indenfor range]],INDEX(DataTitel_liste,LineærRegression_Valg[[#This Row],[Afhængig variabel ID]]),INDEX(DataTitel_liste,1))</f>
        <v>Eksempel 1 (interval)</v>
      </c>
      <c r="G996" s="171" t="str" cm="1">
        <f t="array" ref="G996">IF(LineærRegression_Valg[[#This Row],[Indenfor range]],IF(LineærRegression_Valg[[#This Row],[Intet overlap]],INDEX(DataTitel_liste,LineærRegression_Valg[[#This Row],[Uafhængig variabel ID]]),INDEX(DataTitel_liste,IF(LineærRegression_Valg[[#This Row],[Afhængig variabel ID]]=1,2,1))),$B$7)</f>
        <v>Eksempel 2 (interval)</v>
      </c>
      <c r="H996" s="171">
        <f>_xlfn.AGGREGATE(2,5,LineærRegression_Valg[[#This Row],[Tabel ID]])</f>
        <v>1</v>
      </c>
    </row>
    <row r="997" spans="1:8" x14ac:dyDescent="0.2">
      <c r="A997">
        <f>ROW(LineærRegression_Valg[[#This Row],[Tabel ID]])-ROW(LineærRegression_Valg[[#Headers],[Tabel ID]])</f>
        <v>987</v>
      </c>
      <c r="B997" s="171">
        <f>ROUNDDOWN((LineærRegression_Valg[[#This Row],[Tabel ID]]-1)/$B$5,0)+1</f>
        <v>247</v>
      </c>
      <c r="C997" s="171">
        <f t="shared" si="15"/>
        <v>3</v>
      </c>
      <c r="D997" s="171" t="b">
        <f>LineærRegression_Valg[[#This Row],[Afhængig variabel ID]]&lt;&gt;LineærRegression_Valg[[#This Row],[Uafhængig variabel ID]]</f>
        <v>1</v>
      </c>
      <c r="E997" t="b">
        <f>LineærRegression_Valg[[#This Row],[Afhængig variabel ID]]&lt;=$B$5</f>
        <v>0</v>
      </c>
      <c r="F997" t="str" cm="1">
        <f t="array" ref="F997">IF(LineærRegression_Valg[[#This Row],[Indenfor range]],INDEX(DataTitel_liste,LineærRegression_Valg[[#This Row],[Afhængig variabel ID]]),INDEX(DataTitel_liste,1))</f>
        <v>Eksempel 1 (interval)</v>
      </c>
      <c r="G997" s="171" t="str" cm="1">
        <f t="array" ref="G997">IF(LineærRegression_Valg[[#This Row],[Indenfor range]],IF(LineærRegression_Valg[[#This Row],[Intet overlap]],INDEX(DataTitel_liste,LineærRegression_Valg[[#This Row],[Uafhængig variabel ID]]),INDEX(DataTitel_liste,IF(LineærRegression_Valg[[#This Row],[Afhængig variabel ID]]=1,2,1))),$B$7)</f>
        <v>Eksempel 2 (interval)</v>
      </c>
      <c r="H997" s="171">
        <f>_xlfn.AGGREGATE(2,5,LineærRegression_Valg[[#This Row],[Tabel ID]])</f>
        <v>1</v>
      </c>
    </row>
    <row r="998" spans="1:8" x14ac:dyDescent="0.2">
      <c r="A998">
        <f>ROW(LineærRegression_Valg[[#This Row],[Tabel ID]])-ROW(LineærRegression_Valg[[#Headers],[Tabel ID]])</f>
        <v>988</v>
      </c>
      <c r="B998" s="171">
        <f>ROUNDDOWN((LineærRegression_Valg[[#This Row],[Tabel ID]]-1)/$B$5,0)+1</f>
        <v>247</v>
      </c>
      <c r="C998" s="171">
        <f t="shared" si="15"/>
        <v>4</v>
      </c>
      <c r="D998" s="171" t="b">
        <f>LineærRegression_Valg[[#This Row],[Afhængig variabel ID]]&lt;&gt;LineærRegression_Valg[[#This Row],[Uafhængig variabel ID]]</f>
        <v>1</v>
      </c>
      <c r="E998" t="b">
        <f>LineærRegression_Valg[[#This Row],[Afhængig variabel ID]]&lt;=$B$5</f>
        <v>0</v>
      </c>
      <c r="F998" t="str" cm="1">
        <f t="array" ref="F998">IF(LineærRegression_Valg[[#This Row],[Indenfor range]],INDEX(DataTitel_liste,LineærRegression_Valg[[#This Row],[Afhængig variabel ID]]),INDEX(DataTitel_liste,1))</f>
        <v>Eksempel 1 (interval)</v>
      </c>
      <c r="G998" s="171" t="str" cm="1">
        <f t="array" ref="G998">IF(LineærRegression_Valg[[#This Row],[Indenfor range]],IF(LineærRegression_Valg[[#This Row],[Intet overlap]],INDEX(DataTitel_liste,LineærRegression_Valg[[#This Row],[Uafhængig variabel ID]]),INDEX(DataTitel_liste,IF(LineærRegression_Valg[[#This Row],[Afhængig variabel ID]]=1,2,1))),$B$7)</f>
        <v>Eksempel 2 (interval)</v>
      </c>
      <c r="H998" s="171">
        <f>_xlfn.AGGREGATE(2,5,LineærRegression_Valg[[#This Row],[Tabel ID]])</f>
        <v>1</v>
      </c>
    </row>
    <row r="999" spans="1:8" x14ac:dyDescent="0.2">
      <c r="A999">
        <f>ROW(LineærRegression_Valg[[#This Row],[Tabel ID]])-ROW(LineærRegression_Valg[[#Headers],[Tabel ID]])</f>
        <v>989</v>
      </c>
      <c r="B999" s="171">
        <f>ROUNDDOWN((LineærRegression_Valg[[#This Row],[Tabel ID]]-1)/$B$5,0)+1</f>
        <v>248</v>
      </c>
      <c r="C999" s="171">
        <f t="shared" si="15"/>
        <v>1</v>
      </c>
      <c r="D999" s="171" t="b">
        <f>LineærRegression_Valg[[#This Row],[Afhængig variabel ID]]&lt;&gt;LineærRegression_Valg[[#This Row],[Uafhængig variabel ID]]</f>
        <v>1</v>
      </c>
      <c r="E999" t="b">
        <f>LineærRegression_Valg[[#This Row],[Afhængig variabel ID]]&lt;=$B$5</f>
        <v>0</v>
      </c>
      <c r="F999" t="str" cm="1">
        <f t="array" ref="F999">IF(LineærRegression_Valg[[#This Row],[Indenfor range]],INDEX(DataTitel_liste,LineærRegression_Valg[[#This Row],[Afhængig variabel ID]]),INDEX(DataTitel_liste,1))</f>
        <v>Eksempel 1 (interval)</v>
      </c>
      <c r="G999" s="171" t="str" cm="1">
        <f t="array" ref="G999">IF(LineærRegression_Valg[[#This Row],[Indenfor range]],IF(LineærRegression_Valg[[#This Row],[Intet overlap]],INDEX(DataTitel_liste,LineærRegression_Valg[[#This Row],[Uafhængig variabel ID]]),INDEX(DataTitel_liste,IF(LineærRegression_Valg[[#This Row],[Afhængig variabel ID]]=1,2,1))),$B$7)</f>
        <v>Eksempel 2 (interval)</v>
      </c>
      <c r="H999" s="171">
        <f>_xlfn.AGGREGATE(2,5,LineærRegression_Valg[[#This Row],[Tabel ID]])</f>
        <v>1</v>
      </c>
    </row>
    <row r="1000" spans="1:8" x14ac:dyDescent="0.2">
      <c r="A1000">
        <f>ROW(LineærRegression_Valg[[#This Row],[Tabel ID]])-ROW(LineærRegression_Valg[[#Headers],[Tabel ID]])</f>
        <v>990</v>
      </c>
      <c r="B1000" s="171">
        <f>ROUNDDOWN((LineærRegression_Valg[[#This Row],[Tabel ID]]-1)/$B$5,0)+1</f>
        <v>248</v>
      </c>
      <c r="C1000" s="171">
        <f t="shared" si="15"/>
        <v>2</v>
      </c>
      <c r="D1000" s="171" t="b">
        <f>LineærRegression_Valg[[#This Row],[Afhængig variabel ID]]&lt;&gt;LineærRegression_Valg[[#This Row],[Uafhængig variabel ID]]</f>
        <v>1</v>
      </c>
      <c r="E1000" t="b">
        <f>LineærRegression_Valg[[#This Row],[Afhængig variabel ID]]&lt;=$B$5</f>
        <v>0</v>
      </c>
      <c r="F1000" t="str" cm="1">
        <f t="array" ref="F1000">IF(LineærRegression_Valg[[#This Row],[Indenfor range]],INDEX(DataTitel_liste,LineærRegression_Valg[[#This Row],[Afhængig variabel ID]]),INDEX(DataTitel_liste,1))</f>
        <v>Eksempel 1 (interval)</v>
      </c>
      <c r="G1000" s="171" t="str" cm="1">
        <f t="array" ref="G1000">IF(LineærRegression_Valg[[#This Row],[Indenfor range]],IF(LineærRegression_Valg[[#This Row],[Intet overlap]],INDEX(DataTitel_liste,LineærRegression_Valg[[#This Row],[Uafhængig variabel ID]]),INDEX(DataTitel_liste,IF(LineærRegression_Valg[[#This Row],[Afhængig variabel ID]]=1,2,1))),$B$7)</f>
        <v>Eksempel 2 (interval)</v>
      </c>
      <c r="H1000" s="171">
        <f>_xlfn.AGGREGATE(2,5,LineærRegression_Valg[[#This Row],[Tabel ID]])</f>
        <v>1</v>
      </c>
    </row>
    <row r="1001" spans="1:8" x14ac:dyDescent="0.2">
      <c r="A1001">
        <f>ROW(LineærRegression_Valg[[#This Row],[Tabel ID]])-ROW(LineærRegression_Valg[[#Headers],[Tabel ID]])</f>
        <v>991</v>
      </c>
      <c r="B1001" s="171">
        <f>ROUNDDOWN((LineærRegression_Valg[[#This Row],[Tabel ID]]-1)/$B$5,0)+1</f>
        <v>248</v>
      </c>
      <c r="C1001" s="171">
        <f t="shared" si="15"/>
        <v>3</v>
      </c>
      <c r="D1001" s="171" t="b">
        <f>LineærRegression_Valg[[#This Row],[Afhængig variabel ID]]&lt;&gt;LineærRegression_Valg[[#This Row],[Uafhængig variabel ID]]</f>
        <v>1</v>
      </c>
      <c r="E1001" t="b">
        <f>LineærRegression_Valg[[#This Row],[Afhængig variabel ID]]&lt;=$B$5</f>
        <v>0</v>
      </c>
      <c r="F1001" t="str" cm="1">
        <f t="array" ref="F1001">IF(LineærRegression_Valg[[#This Row],[Indenfor range]],INDEX(DataTitel_liste,LineærRegression_Valg[[#This Row],[Afhængig variabel ID]]),INDEX(DataTitel_liste,1))</f>
        <v>Eksempel 1 (interval)</v>
      </c>
      <c r="G1001" s="171" t="str" cm="1">
        <f t="array" ref="G1001">IF(LineærRegression_Valg[[#This Row],[Indenfor range]],IF(LineærRegression_Valg[[#This Row],[Intet overlap]],INDEX(DataTitel_liste,LineærRegression_Valg[[#This Row],[Uafhængig variabel ID]]),INDEX(DataTitel_liste,IF(LineærRegression_Valg[[#This Row],[Afhængig variabel ID]]=1,2,1))),$B$7)</f>
        <v>Eksempel 2 (interval)</v>
      </c>
      <c r="H1001" s="171">
        <f>_xlfn.AGGREGATE(2,5,LineærRegression_Valg[[#This Row],[Tabel ID]])</f>
        <v>1</v>
      </c>
    </row>
    <row r="1002" spans="1:8" x14ac:dyDescent="0.2">
      <c r="A1002">
        <f>ROW(LineærRegression_Valg[[#This Row],[Tabel ID]])-ROW(LineærRegression_Valg[[#Headers],[Tabel ID]])</f>
        <v>992</v>
      </c>
      <c r="B1002" s="171">
        <f>ROUNDDOWN((LineærRegression_Valg[[#This Row],[Tabel ID]]-1)/$B$5,0)+1</f>
        <v>248</v>
      </c>
      <c r="C1002" s="171">
        <f t="shared" si="15"/>
        <v>4</v>
      </c>
      <c r="D1002" s="171" t="b">
        <f>LineærRegression_Valg[[#This Row],[Afhængig variabel ID]]&lt;&gt;LineærRegression_Valg[[#This Row],[Uafhængig variabel ID]]</f>
        <v>1</v>
      </c>
      <c r="E1002" t="b">
        <f>LineærRegression_Valg[[#This Row],[Afhængig variabel ID]]&lt;=$B$5</f>
        <v>0</v>
      </c>
      <c r="F1002" t="str" cm="1">
        <f t="array" ref="F1002">IF(LineærRegression_Valg[[#This Row],[Indenfor range]],INDEX(DataTitel_liste,LineærRegression_Valg[[#This Row],[Afhængig variabel ID]]),INDEX(DataTitel_liste,1))</f>
        <v>Eksempel 1 (interval)</v>
      </c>
      <c r="G1002" s="171" t="str" cm="1">
        <f t="array" ref="G1002">IF(LineærRegression_Valg[[#This Row],[Indenfor range]],IF(LineærRegression_Valg[[#This Row],[Intet overlap]],INDEX(DataTitel_liste,LineærRegression_Valg[[#This Row],[Uafhængig variabel ID]]),INDEX(DataTitel_liste,IF(LineærRegression_Valg[[#This Row],[Afhængig variabel ID]]=1,2,1))),$B$7)</f>
        <v>Eksempel 2 (interval)</v>
      </c>
      <c r="H1002" s="171">
        <f>_xlfn.AGGREGATE(2,5,LineærRegression_Valg[[#This Row],[Tabel ID]])</f>
        <v>1</v>
      </c>
    </row>
    <row r="1003" spans="1:8" x14ac:dyDescent="0.2">
      <c r="A1003">
        <f>ROW(LineærRegression_Valg[[#This Row],[Tabel ID]])-ROW(LineærRegression_Valg[[#Headers],[Tabel ID]])</f>
        <v>993</v>
      </c>
      <c r="B1003" s="171">
        <f>ROUNDDOWN((LineærRegression_Valg[[#This Row],[Tabel ID]]-1)/$B$5,0)+1</f>
        <v>249</v>
      </c>
      <c r="C1003" s="171">
        <f t="shared" si="15"/>
        <v>1</v>
      </c>
      <c r="D1003" s="171" t="b">
        <f>LineærRegression_Valg[[#This Row],[Afhængig variabel ID]]&lt;&gt;LineærRegression_Valg[[#This Row],[Uafhængig variabel ID]]</f>
        <v>1</v>
      </c>
      <c r="E1003" t="b">
        <f>LineærRegression_Valg[[#This Row],[Afhængig variabel ID]]&lt;=$B$5</f>
        <v>0</v>
      </c>
      <c r="F1003" t="str" cm="1">
        <f t="array" ref="F1003">IF(LineærRegression_Valg[[#This Row],[Indenfor range]],INDEX(DataTitel_liste,LineærRegression_Valg[[#This Row],[Afhængig variabel ID]]),INDEX(DataTitel_liste,1))</f>
        <v>Eksempel 1 (interval)</v>
      </c>
      <c r="G1003" s="171" t="str" cm="1">
        <f t="array" ref="G1003">IF(LineærRegression_Valg[[#This Row],[Indenfor range]],IF(LineærRegression_Valg[[#This Row],[Intet overlap]],INDEX(DataTitel_liste,LineærRegression_Valg[[#This Row],[Uafhængig variabel ID]]),INDEX(DataTitel_liste,IF(LineærRegression_Valg[[#This Row],[Afhængig variabel ID]]=1,2,1))),$B$7)</f>
        <v>Eksempel 2 (interval)</v>
      </c>
      <c r="H1003" s="171">
        <f>_xlfn.AGGREGATE(2,5,LineærRegression_Valg[[#This Row],[Tabel ID]])</f>
        <v>1</v>
      </c>
    </row>
    <row r="1004" spans="1:8" x14ac:dyDescent="0.2">
      <c r="A1004">
        <f>ROW(LineærRegression_Valg[[#This Row],[Tabel ID]])-ROW(LineærRegression_Valg[[#Headers],[Tabel ID]])</f>
        <v>994</v>
      </c>
      <c r="B1004" s="171">
        <f>ROUNDDOWN((LineærRegression_Valg[[#This Row],[Tabel ID]]-1)/$B$5,0)+1</f>
        <v>249</v>
      </c>
      <c r="C1004" s="171">
        <f t="shared" si="15"/>
        <v>2</v>
      </c>
      <c r="D1004" s="171" t="b">
        <f>LineærRegression_Valg[[#This Row],[Afhængig variabel ID]]&lt;&gt;LineærRegression_Valg[[#This Row],[Uafhængig variabel ID]]</f>
        <v>1</v>
      </c>
      <c r="E1004" t="b">
        <f>LineærRegression_Valg[[#This Row],[Afhængig variabel ID]]&lt;=$B$5</f>
        <v>0</v>
      </c>
      <c r="F1004" t="str" cm="1">
        <f t="array" ref="F1004">IF(LineærRegression_Valg[[#This Row],[Indenfor range]],INDEX(DataTitel_liste,LineærRegression_Valg[[#This Row],[Afhængig variabel ID]]),INDEX(DataTitel_liste,1))</f>
        <v>Eksempel 1 (interval)</v>
      </c>
      <c r="G1004" s="171" t="str" cm="1">
        <f t="array" ref="G1004">IF(LineærRegression_Valg[[#This Row],[Indenfor range]],IF(LineærRegression_Valg[[#This Row],[Intet overlap]],INDEX(DataTitel_liste,LineærRegression_Valg[[#This Row],[Uafhængig variabel ID]]),INDEX(DataTitel_liste,IF(LineærRegression_Valg[[#This Row],[Afhængig variabel ID]]=1,2,1))),$B$7)</f>
        <v>Eksempel 2 (interval)</v>
      </c>
      <c r="H1004" s="171">
        <f>_xlfn.AGGREGATE(2,5,LineærRegression_Valg[[#This Row],[Tabel ID]])</f>
        <v>1</v>
      </c>
    </row>
    <row r="1005" spans="1:8" x14ac:dyDescent="0.2">
      <c r="A1005">
        <f>ROW(LineærRegression_Valg[[#This Row],[Tabel ID]])-ROW(LineærRegression_Valg[[#Headers],[Tabel ID]])</f>
        <v>995</v>
      </c>
      <c r="B1005" s="171">
        <f>ROUNDDOWN((LineærRegression_Valg[[#This Row],[Tabel ID]]-1)/$B$5,0)+1</f>
        <v>249</v>
      </c>
      <c r="C1005" s="171">
        <f t="shared" si="15"/>
        <v>3</v>
      </c>
      <c r="D1005" s="171" t="b">
        <f>LineærRegression_Valg[[#This Row],[Afhængig variabel ID]]&lt;&gt;LineærRegression_Valg[[#This Row],[Uafhængig variabel ID]]</f>
        <v>1</v>
      </c>
      <c r="E1005" t="b">
        <f>LineærRegression_Valg[[#This Row],[Afhængig variabel ID]]&lt;=$B$5</f>
        <v>0</v>
      </c>
      <c r="F1005" t="str" cm="1">
        <f t="array" ref="F1005">IF(LineærRegression_Valg[[#This Row],[Indenfor range]],INDEX(DataTitel_liste,LineærRegression_Valg[[#This Row],[Afhængig variabel ID]]),INDEX(DataTitel_liste,1))</f>
        <v>Eksempel 1 (interval)</v>
      </c>
      <c r="G1005" s="171" t="str" cm="1">
        <f t="array" ref="G1005">IF(LineærRegression_Valg[[#This Row],[Indenfor range]],IF(LineærRegression_Valg[[#This Row],[Intet overlap]],INDEX(DataTitel_liste,LineærRegression_Valg[[#This Row],[Uafhængig variabel ID]]),INDEX(DataTitel_liste,IF(LineærRegression_Valg[[#This Row],[Afhængig variabel ID]]=1,2,1))),$B$7)</f>
        <v>Eksempel 2 (interval)</v>
      </c>
      <c r="H1005" s="171">
        <f>_xlfn.AGGREGATE(2,5,LineærRegression_Valg[[#This Row],[Tabel ID]])</f>
        <v>1</v>
      </c>
    </row>
    <row r="1006" spans="1:8" x14ac:dyDescent="0.2">
      <c r="A1006">
        <f>ROW(LineærRegression_Valg[[#This Row],[Tabel ID]])-ROW(LineærRegression_Valg[[#Headers],[Tabel ID]])</f>
        <v>996</v>
      </c>
      <c r="B1006" s="171">
        <f>ROUNDDOWN((LineærRegression_Valg[[#This Row],[Tabel ID]]-1)/$B$5,0)+1</f>
        <v>249</v>
      </c>
      <c r="C1006" s="171">
        <f t="shared" si="15"/>
        <v>4</v>
      </c>
      <c r="D1006" s="171" t="b">
        <f>LineærRegression_Valg[[#This Row],[Afhængig variabel ID]]&lt;&gt;LineærRegression_Valg[[#This Row],[Uafhængig variabel ID]]</f>
        <v>1</v>
      </c>
      <c r="E1006" t="b">
        <f>LineærRegression_Valg[[#This Row],[Afhængig variabel ID]]&lt;=$B$5</f>
        <v>0</v>
      </c>
      <c r="F1006" t="str" cm="1">
        <f t="array" ref="F1006">IF(LineærRegression_Valg[[#This Row],[Indenfor range]],INDEX(DataTitel_liste,LineærRegression_Valg[[#This Row],[Afhængig variabel ID]]),INDEX(DataTitel_liste,1))</f>
        <v>Eksempel 1 (interval)</v>
      </c>
      <c r="G1006" s="171" t="str" cm="1">
        <f t="array" ref="G1006">IF(LineærRegression_Valg[[#This Row],[Indenfor range]],IF(LineærRegression_Valg[[#This Row],[Intet overlap]],INDEX(DataTitel_liste,LineærRegression_Valg[[#This Row],[Uafhængig variabel ID]]),INDEX(DataTitel_liste,IF(LineærRegression_Valg[[#This Row],[Afhængig variabel ID]]=1,2,1))),$B$7)</f>
        <v>Eksempel 2 (interval)</v>
      </c>
      <c r="H1006" s="171">
        <f>_xlfn.AGGREGATE(2,5,LineærRegression_Valg[[#This Row],[Tabel ID]])</f>
        <v>1</v>
      </c>
    </row>
    <row r="1007" spans="1:8" x14ac:dyDescent="0.2">
      <c r="A1007">
        <f>ROW(LineærRegression_Valg[[#This Row],[Tabel ID]])-ROW(LineærRegression_Valg[[#Headers],[Tabel ID]])</f>
        <v>997</v>
      </c>
      <c r="B1007" s="171">
        <f>ROUNDDOWN((LineærRegression_Valg[[#This Row],[Tabel ID]]-1)/$B$5,0)+1</f>
        <v>250</v>
      </c>
      <c r="C1007" s="171">
        <f t="shared" si="15"/>
        <v>1</v>
      </c>
      <c r="D1007" s="171" t="b">
        <f>LineærRegression_Valg[[#This Row],[Afhængig variabel ID]]&lt;&gt;LineærRegression_Valg[[#This Row],[Uafhængig variabel ID]]</f>
        <v>1</v>
      </c>
      <c r="E1007" t="b">
        <f>LineærRegression_Valg[[#This Row],[Afhængig variabel ID]]&lt;=$B$5</f>
        <v>0</v>
      </c>
      <c r="F1007" t="str" cm="1">
        <f t="array" ref="F1007">IF(LineærRegression_Valg[[#This Row],[Indenfor range]],INDEX(DataTitel_liste,LineærRegression_Valg[[#This Row],[Afhængig variabel ID]]),INDEX(DataTitel_liste,1))</f>
        <v>Eksempel 1 (interval)</v>
      </c>
      <c r="G1007" s="171" t="str" cm="1">
        <f t="array" ref="G1007">IF(LineærRegression_Valg[[#This Row],[Indenfor range]],IF(LineærRegression_Valg[[#This Row],[Intet overlap]],INDEX(DataTitel_liste,LineærRegression_Valg[[#This Row],[Uafhængig variabel ID]]),INDEX(DataTitel_liste,IF(LineærRegression_Valg[[#This Row],[Afhængig variabel ID]]=1,2,1))),$B$7)</f>
        <v>Eksempel 2 (interval)</v>
      </c>
      <c r="H1007" s="171">
        <f>_xlfn.AGGREGATE(2,5,LineærRegression_Valg[[#This Row],[Tabel ID]])</f>
        <v>1</v>
      </c>
    </row>
    <row r="1008" spans="1:8" x14ac:dyDescent="0.2">
      <c r="A1008">
        <f>ROW(LineærRegression_Valg[[#This Row],[Tabel ID]])-ROW(LineærRegression_Valg[[#Headers],[Tabel ID]])</f>
        <v>998</v>
      </c>
      <c r="B1008" s="171">
        <f>ROUNDDOWN((LineærRegression_Valg[[#This Row],[Tabel ID]]-1)/$B$5,0)+1</f>
        <v>250</v>
      </c>
      <c r="C1008" s="171">
        <f t="shared" si="15"/>
        <v>2</v>
      </c>
      <c r="D1008" s="171" t="b">
        <f>LineærRegression_Valg[[#This Row],[Afhængig variabel ID]]&lt;&gt;LineærRegression_Valg[[#This Row],[Uafhængig variabel ID]]</f>
        <v>1</v>
      </c>
      <c r="E1008" t="b">
        <f>LineærRegression_Valg[[#This Row],[Afhængig variabel ID]]&lt;=$B$5</f>
        <v>0</v>
      </c>
      <c r="F1008" t="str" cm="1">
        <f t="array" ref="F1008">IF(LineærRegression_Valg[[#This Row],[Indenfor range]],INDEX(DataTitel_liste,LineærRegression_Valg[[#This Row],[Afhængig variabel ID]]),INDEX(DataTitel_liste,1))</f>
        <v>Eksempel 1 (interval)</v>
      </c>
      <c r="G1008" s="171" t="str" cm="1">
        <f t="array" ref="G1008">IF(LineærRegression_Valg[[#This Row],[Indenfor range]],IF(LineærRegression_Valg[[#This Row],[Intet overlap]],INDEX(DataTitel_liste,LineærRegression_Valg[[#This Row],[Uafhængig variabel ID]]),INDEX(DataTitel_liste,IF(LineærRegression_Valg[[#This Row],[Afhængig variabel ID]]=1,2,1))),$B$7)</f>
        <v>Eksempel 2 (interval)</v>
      </c>
      <c r="H1008" s="171">
        <f>_xlfn.AGGREGATE(2,5,LineærRegression_Valg[[#This Row],[Tabel ID]])</f>
        <v>1</v>
      </c>
    </row>
    <row r="1009" spans="1:8" x14ac:dyDescent="0.2">
      <c r="A1009">
        <f>ROW(LineærRegression_Valg[[#This Row],[Tabel ID]])-ROW(LineærRegression_Valg[[#Headers],[Tabel ID]])</f>
        <v>999</v>
      </c>
      <c r="B1009" s="171">
        <f>ROUNDDOWN((LineærRegression_Valg[[#This Row],[Tabel ID]]-1)/$B$5,0)+1</f>
        <v>250</v>
      </c>
      <c r="C1009" s="171">
        <f t="shared" si="15"/>
        <v>3</v>
      </c>
      <c r="D1009" s="171" t="b">
        <f>LineærRegression_Valg[[#This Row],[Afhængig variabel ID]]&lt;&gt;LineærRegression_Valg[[#This Row],[Uafhængig variabel ID]]</f>
        <v>1</v>
      </c>
      <c r="E1009" t="b">
        <f>LineærRegression_Valg[[#This Row],[Afhængig variabel ID]]&lt;=$B$5</f>
        <v>0</v>
      </c>
      <c r="F1009" t="str" cm="1">
        <f t="array" ref="F1009">IF(LineærRegression_Valg[[#This Row],[Indenfor range]],INDEX(DataTitel_liste,LineærRegression_Valg[[#This Row],[Afhængig variabel ID]]),INDEX(DataTitel_liste,1))</f>
        <v>Eksempel 1 (interval)</v>
      </c>
      <c r="G1009" s="171" t="str" cm="1">
        <f t="array" ref="G1009">IF(LineærRegression_Valg[[#This Row],[Indenfor range]],IF(LineærRegression_Valg[[#This Row],[Intet overlap]],INDEX(DataTitel_liste,LineærRegression_Valg[[#This Row],[Uafhængig variabel ID]]),INDEX(DataTitel_liste,IF(LineærRegression_Valg[[#This Row],[Afhængig variabel ID]]=1,2,1))),$B$7)</f>
        <v>Eksempel 2 (interval)</v>
      </c>
      <c r="H1009" s="171">
        <f>_xlfn.AGGREGATE(2,5,LineærRegression_Valg[[#This Row],[Tabel ID]])</f>
        <v>1</v>
      </c>
    </row>
    <row r="1010" spans="1:8" x14ac:dyDescent="0.2">
      <c r="A1010">
        <f>ROW(LineærRegression_Valg[[#This Row],[Tabel ID]])-ROW(LineærRegression_Valg[[#Headers],[Tabel ID]])</f>
        <v>1000</v>
      </c>
      <c r="B1010" s="171">
        <f>ROUNDDOWN((LineærRegression_Valg[[#This Row],[Tabel ID]]-1)/$B$5,0)+1</f>
        <v>250</v>
      </c>
      <c r="C1010" s="171">
        <f t="shared" si="15"/>
        <v>4</v>
      </c>
      <c r="D1010" s="171" t="b">
        <f>LineærRegression_Valg[[#This Row],[Afhængig variabel ID]]&lt;&gt;LineærRegression_Valg[[#This Row],[Uafhængig variabel ID]]</f>
        <v>1</v>
      </c>
      <c r="E1010" t="b">
        <f>LineærRegression_Valg[[#This Row],[Afhængig variabel ID]]&lt;=$B$5</f>
        <v>0</v>
      </c>
      <c r="F1010" t="str" cm="1">
        <f t="array" ref="F1010">IF(LineærRegression_Valg[[#This Row],[Indenfor range]],INDEX(DataTitel_liste,LineærRegression_Valg[[#This Row],[Afhængig variabel ID]]),INDEX(DataTitel_liste,1))</f>
        <v>Eksempel 1 (interval)</v>
      </c>
      <c r="G1010" s="171" t="str" cm="1">
        <f t="array" ref="G1010">IF(LineærRegression_Valg[[#This Row],[Indenfor range]],IF(LineærRegression_Valg[[#This Row],[Intet overlap]],INDEX(DataTitel_liste,LineærRegression_Valg[[#This Row],[Uafhængig variabel ID]]),INDEX(DataTitel_liste,IF(LineærRegression_Valg[[#This Row],[Afhængig variabel ID]]=1,2,1))),$B$7)</f>
        <v>Eksempel 2 (interval)</v>
      </c>
      <c r="H1010" s="171">
        <f>_xlfn.AGGREGATE(2,5,LineærRegression_Valg[[#This Row],[Tabel ID]])</f>
        <v>1</v>
      </c>
    </row>
    <row r="1011" spans="1:8" x14ac:dyDescent="0.2">
      <c r="A1011">
        <f>ROW(LineærRegression_Valg[[#This Row],[Tabel ID]])-ROW(LineærRegression_Valg[[#Headers],[Tabel ID]])</f>
        <v>1001</v>
      </c>
      <c r="B1011" s="171">
        <f>ROUNDDOWN((LineærRegression_Valg[[#This Row],[Tabel ID]]-1)/$B$5,0)+1</f>
        <v>251</v>
      </c>
      <c r="C1011" s="171">
        <f t="shared" si="15"/>
        <v>1</v>
      </c>
      <c r="D1011" s="171" t="b">
        <f>LineærRegression_Valg[[#This Row],[Afhængig variabel ID]]&lt;&gt;LineærRegression_Valg[[#This Row],[Uafhængig variabel ID]]</f>
        <v>1</v>
      </c>
      <c r="E1011" t="b">
        <f>LineærRegression_Valg[[#This Row],[Afhængig variabel ID]]&lt;=$B$5</f>
        <v>0</v>
      </c>
      <c r="F1011" t="str" cm="1">
        <f t="array" ref="F1011">IF(LineærRegression_Valg[[#This Row],[Indenfor range]],INDEX(DataTitel_liste,LineærRegression_Valg[[#This Row],[Afhængig variabel ID]]),INDEX(DataTitel_liste,1))</f>
        <v>Eksempel 1 (interval)</v>
      </c>
      <c r="G1011" s="171" t="str" cm="1">
        <f t="array" ref="G1011">IF(LineærRegression_Valg[[#This Row],[Indenfor range]],IF(LineærRegression_Valg[[#This Row],[Intet overlap]],INDEX(DataTitel_liste,LineærRegression_Valg[[#This Row],[Uafhængig variabel ID]]),INDEX(DataTitel_liste,IF(LineærRegression_Valg[[#This Row],[Afhængig variabel ID]]=1,2,1))),$B$7)</f>
        <v>Eksempel 2 (interval)</v>
      </c>
      <c r="H1011" s="171">
        <f>_xlfn.AGGREGATE(2,5,LineærRegression_Valg[[#This Row],[Tabel ID]])</f>
        <v>1</v>
      </c>
    </row>
    <row r="1012" spans="1:8" x14ac:dyDescent="0.2">
      <c r="A1012">
        <f>ROW(LineærRegression_Valg[[#This Row],[Tabel ID]])-ROW(LineærRegression_Valg[[#Headers],[Tabel ID]])</f>
        <v>1002</v>
      </c>
      <c r="B1012" s="171">
        <f>ROUNDDOWN((LineærRegression_Valg[[#This Row],[Tabel ID]]-1)/$B$5,0)+1</f>
        <v>251</v>
      </c>
      <c r="C1012" s="171">
        <f t="shared" si="15"/>
        <v>2</v>
      </c>
      <c r="D1012" s="171" t="b">
        <f>LineærRegression_Valg[[#This Row],[Afhængig variabel ID]]&lt;&gt;LineærRegression_Valg[[#This Row],[Uafhængig variabel ID]]</f>
        <v>1</v>
      </c>
      <c r="E1012" t="b">
        <f>LineærRegression_Valg[[#This Row],[Afhængig variabel ID]]&lt;=$B$5</f>
        <v>0</v>
      </c>
      <c r="F1012" t="str" cm="1">
        <f t="array" ref="F1012">IF(LineærRegression_Valg[[#This Row],[Indenfor range]],INDEX(DataTitel_liste,LineærRegression_Valg[[#This Row],[Afhængig variabel ID]]),INDEX(DataTitel_liste,1))</f>
        <v>Eksempel 1 (interval)</v>
      </c>
      <c r="G1012" s="171" t="str" cm="1">
        <f t="array" ref="G1012">IF(LineærRegression_Valg[[#This Row],[Indenfor range]],IF(LineærRegression_Valg[[#This Row],[Intet overlap]],INDEX(DataTitel_liste,LineærRegression_Valg[[#This Row],[Uafhængig variabel ID]]),INDEX(DataTitel_liste,IF(LineærRegression_Valg[[#This Row],[Afhængig variabel ID]]=1,2,1))),$B$7)</f>
        <v>Eksempel 2 (interval)</v>
      </c>
      <c r="H1012" s="171">
        <f>_xlfn.AGGREGATE(2,5,LineærRegression_Valg[[#This Row],[Tabel ID]])</f>
        <v>1</v>
      </c>
    </row>
    <row r="1013" spans="1:8" x14ac:dyDescent="0.2">
      <c r="A1013">
        <f>ROW(LineærRegression_Valg[[#This Row],[Tabel ID]])-ROW(LineærRegression_Valg[[#Headers],[Tabel ID]])</f>
        <v>1003</v>
      </c>
      <c r="B1013" s="171">
        <f>ROUNDDOWN((LineærRegression_Valg[[#This Row],[Tabel ID]]-1)/$B$5,0)+1</f>
        <v>251</v>
      </c>
      <c r="C1013" s="171">
        <f t="shared" si="15"/>
        <v>3</v>
      </c>
      <c r="D1013" s="171" t="b">
        <f>LineærRegression_Valg[[#This Row],[Afhængig variabel ID]]&lt;&gt;LineærRegression_Valg[[#This Row],[Uafhængig variabel ID]]</f>
        <v>1</v>
      </c>
      <c r="E1013" t="b">
        <f>LineærRegression_Valg[[#This Row],[Afhængig variabel ID]]&lt;=$B$5</f>
        <v>0</v>
      </c>
      <c r="F1013" t="str" cm="1">
        <f t="array" ref="F1013">IF(LineærRegression_Valg[[#This Row],[Indenfor range]],INDEX(DataTitel_liste,LineærRegression_Valg[[#This Row],[Afhængig variabel ID]]),INDEX(DataTitel_liste,1))</f>
        <v>Eksempel 1 (interval)</v>
      </c>
      <c r="G1013" s="171" t="str" cm="1">
        <f t="array" ref="G1013">IF(LineærRegression_Valg[[#This Row],[Indenfor range]],IF(LineærRegression_Valg[[#This Row],[Intet overlap]],INDEX(DataTitel_liste,LineærRegression_Valg[[#This Row],[Uafhængig variabel ID]]),INDEX(DataTitel_liste,IF(LineærRegression_Valg[[#This Row],[Afhængig variabel ID]]=1,2,1))),$B$7)</f>
        <v>Eksempel 2 (interval)</v>
      </c>
      <c r="H1013" s="171">
        <f>_xlfn.AGGREGATE(2,5,LineærRegression_Valg[[#This Row],[Tabel ID]])</f>
        <v>1</v>
      </c>
    </row>
    <row r="1014" spans="1:8" x14ac:dyDescent="0.2">
      <c r="A1014">
        <f>ROW(LineærRegression_Valg[[#This Row],[Tabel ID]])-ROW(LineærRegression_Valg[[#Headers],[Tabel ID]])</f>
        <v>1004</v>
      </c>
      <c r="B1014" s="171">
        <f>ROUNDDOWN((LineærRegression_Valg[[#This Row],[Tabel ID]]-1)/$B$5,0)+1</f>
        <v>251</v>
      </c>
      <c r="C1014" s="171">
        <f t="shared" si="15"/>
        <v>4</v>
      </c>
      <c r="D1014" s="171" t="b">
        <f>LineærRegression_Valg[[#This Row],[Afhængig variabel ID]]&lt;&gt;LineærRegression_Valg[[#This Row],[Uafhængig variabel ID]]</f>
        <v>1</v>
      </c>
      <c r="E1014" t="b">
        <f>LineærRegression_Valg[[#This Row],[Afhængig variabel ID]]&lt;=$B$5</f>
        <v>0</v>
      </c>
      <c r="F1014" t="str" cm="1">
        <f t="array" ref="F1014">IF(LineærRegression_Valg[[#This Row],[Indenfor range]],INDEX(DataTitel_liste,LineærRegression_Valg[[#This Row],[Afhængig variabel ID]]),INDEX(DataTitel_liste,1))</f>
        <v>Eksempel 1 (interval)</v>
      </c>
      <c r="G1014" s="171" t="str" cm="1">
        <f t="array" ref="G1014">IF(LineærRegression_Valg[[#This Row],[Indenfor range]],IF(LineærRegression_Valg[[#This Row],[Intet overlap]],INDEX(DataTitel_liste,LineærRegression_Valg[[#This Row],[Uafhængig variabel ID]]),INDEX(DataTitel_liste,IF(LineærRegression_Valg[[#This Row],[Afhængig variabel ID]]=1,2,1))),$B$7)</f>
        <v>Eksempel 2 (interval)</v>
      </c>
      <c r="H1014" s="171">
        <f>_xlfn.AGGREGATE(2,5,LineærRegression_Valg[[#This Row],[Tabel ID]])</f>
        <v>1</v>
      </c>
    </row>
    <row r="1015" spans="1:8" x14ac:dyDescent="0.2">
      <c r="A1015">
        <f>ROW(LineærRegression_Valg[[#This Row],[Tabel ID]])-ROW(LineærRegression_Valg[[#Headers],[Tabel ID]])</f>
        <v>1005</v>
      </c>
      <c r="B1015" s="171">
        <f>ROUNDDOWN((LineærRegression_Valg[[#This Row],[Tabel ID]]-1)/$B$5,0)+1</f>
        <v>252</v>
      </c>
      <c r="C1015" s="171">
        <f t="shared" si="15"/>
        <v>1</v>
      </c>
      <c r="D1015" s="171" t="b">
        <f>LineærRegression_Valg[[#This Row],[Afhængig variabel ID]]&lt;&gt;LineærRegression_Valg[[#This Row],[Uafhængig variabel ID]]</f>
        <v>1</v>
      </c>
      <c r="E1015" t="b">
        <f>LineærRegression_Valg[[#This Row],[Afhængig variabel ID]]&lt;=$B$5</f>
        <v>0</v>
      </c>
      <c r="F1015" t="str" cm="1">
        <f t="array" ref="F1015">IF(LineærRegression_Valg[[#This Row],[Indenfor range]],INDEX(DataTitel_liste,LineærRegression_Valg[[#This Row],[Afhængig variabel ID]]),INDEX(DataTitel_liste,1))</f>
        <v>Eksempel 1 (interval)</v>
      </c>
      <c r="G1015" s="171" t="str" cm="1">
        <f t="array" ref="G1015">IF(LineærRegression_Valg[[#This Row],[Indenfor range]],IF(LineærRegression_Valg[[#This Row],[Intet overlap]],INDEX(DataTitel_liste,LineærRegression_Valg[[#This Row],[Uafhængig variabel ID]]),INDEX(DataTitel_liste,IF(LineærRegression_Valg[[#This Row],[Afhængig variabel ID]]=1,2,1))),$B$7)</f>
        <v>Eksempel 2 (interval)</v>
      </c>
      <c r="H1015" s="171">
        <f>_xlfn.AGGREGATE(2,5,LineærRegression_Valg[[#This Row],[Tabel ID]])</f>
        <v>1</v>
      </c>
    </row>
    <row r="1016" spans="1:8" x14ac:dyDescent="0.2">
      <c r="A1016">
        <f>ROW(LineærRegression_Valg[[#This Row],[Tabel ID]])-ROW(LineærRegression_Valg[[#Headers],[Tabel ID]])</f>
        <v>1006</v>
      </c>
      <c r="B1016" s="171">
        <f>ROUNDDOWN((LineærRegression_Valg[[#This Row],[Tabel ID]]-1)/$B$5,0)+1</f>
        <v>252</v>
      </c>
      <c r="C1016" s="171">
        <f t="shared" si="15"/>
        <v>2</v>
      </c>
      <c r="D1016" s="171" t="b">
        <f>LineærRegression_Valg[[#This Row],[Afhængig variabel ID]]&lt;&gt;LineærRegression_Valg[[#This Row],[Uafhængig variabel ID]]</f>
        <v>1</v>
      </c>
      <c r="E1016" t="b">
        <f>LineærRegression_Valg[[#This Row],[Afhængig variabel ID]]&lt;=$B$5</f>
        <v>0</v>
      </c>
      <c r="F1016" t="str" cm="1">
        <f t="array" ref="F1016">IF(LineærRegression_Valg[[#This Row],[Indenfor range]],INDEX(DataTitel_liste,LineærRegression_Valg[[#This Row],[Afhængig variabel ID]]),INDEX(DataTitel_liste,1))</f>
        <v>Eksempel 1 (interval)</v>
      </c>
      <c r="G1016" s="171" t="str" cm="1">
        <f t="array" ref="G1016">IF(LineærRegression_Valg[[#This Row],[Indenfor range]],IF(LineærRegression_Valg[[#This Row],[Intet overlap]],INDEX(DataTitel_liste,LineærRegression_Valg[[#This Row],[Uafhængig variabel ID]]),INDEX(DataTitel_liste,IF(LineærRegression_Valg[[#This Row],[Afhængig variabel ID]]=1,2,1))),$B$7)</f>
        <v>Eksempel 2 (interval)</v>
      </c>
      <c r="H1016" s="171">
        <f>_xlfn.AGGREGATE(2,5,LineærRegression_Valg[[#This Row],[Tabel ID]])</f>
        <v>1</v>
      </c>
    </row>
    <row r="1017" spans="1:8" x14ac:dyDescent="0.2">
      <c r="A1017">
        <f>ROW(LineærRegression_Valg[[#This Row],[Tabel ID]])-ROW(LineærRegression_Valg[[#Headers],[Tabel ID]])</f>
        <v>1007</v>
      </c>
      <c r="B1017" s="171">
        <f>ROUNDDOWN((LineærRegression_Valg[[#This Row],[Tabel ID]]-1)/$B$5,0)+1</f>
        <v>252</v>
      </c>
      <c r="C1017" s="171">
        <f t="shared" si="15"/>
        <v>3</v>
      </c>
      <c r="D1017" s="171" t="b">
        <f>LineærRegression_Valg[[#This Row],[Afhængig variabel ID]]&lt;&gt;LineærRegression_Valg[[#This Row],[Uafhængig variabel ID]]</f>
        <v>1</v>
      </c>
      <c r="E1017" t="b">
        <f>LineærRegression_Valg[[#This Row],[Afhængig variabel ID]]&lt;=$B$5</f>
        <v>0</v>
      </c>
      <c r="F1017" t="str" cm="1">
        <f t="array" ref="F1017">IF(LineærRegression_Valg[[#This Row],[Indenfor range]],INDEX(DataTitel_liste,LineærRegression_Valg[[#This Row],[Afhængig variabel ID]]),INDEX(DataTitel_liste,1))</f>
        <v>Eksempel 1 (interval)</v>
      </c>
      <c r="G1017" s="171" t="str" cm="1">
        <f t="array" ref="G1017">IF(LineærRegression_Valg[[#This Row],[Indenfor range]],IF(LineærRegression_Valg[[#This Row],[Intet overlap]],INDEX(DataTitel_liste,LineærRegression_Valg[[#This Row],[Uafhængig variabel ID]]),INDEX(DataTitel_liste,IF(LineærRegression_Valg[[#This Row],[Afhængig variabel ID]]=1,2,1))),$B$7)</f>
        <v>Eksempel 2 (interval)</v>
      </c>
      <c r="H1017" s="171">
        <f>_xlfn.AGGREGATE(2,5,LineærRegression_Valg[[#This Row],[Tabel ID]])</f>
        <v>1</v>
      </c>
    </row>
    <row r="1018" spans="1:8" x14ac:dyDescent="0.2">
      <c r="A1018">
        <f>ROW(LineærRegression_Valg[[#This Row],[Tabel ID]])-ROW(LineærRegression_Valg[[#Headers],[Tabel ID]])</f>
        <v>1008</v>
      </c>
      <c r="B1018" s="171">
        <f>ROUNDDOWN((LineærRegression_Valg[[#This Row],[Tabel ID]]-1)/$B$5,0)+1</f>
        <v>252</v>
      </c>
      <c r="C1018" s="171">
        <f t="shared" si="15"/>
        <v>4</v>
      </c>
      <c r="D1018" s="171" t="b">
        <f>LineærRegression_Valg[[#This Row],[Afhængig variabel ID]]&lt;&gt;LineærRegression_Valg[[#This Row],[Uafhængig variabel ID]]</f>
        <v>1</v>
      </c>
      <c r="E1018" t="b">
        <f>LineærRegression_Valg[[#This Row],[Afhængig variabel ID]]&lt;=$B$5</f>
        <v>0</v>
      </c>
      <c r="F1018" t="str" cm="1">
        <f t="array" ref="F1018">IF(LineærRegression_Valg[[#This Row],[Indenfor range]],INDEX(DataTitel_liste,LineærRegression_Valg[[#This Row],[Afhængig variabel ID]]),INDEX(DataTitel_liste,1))</f>
        <v>Eksempel 1 (interval)</v>
      </c>
      <c r="G1018" s="171" t="str" cm="1">
        <f t="array" ref="G1018">IF(LineærRegression_Valg[[#This Row],[Indenfor range]],IF(LineærRegression_Valg[[#This Row],[Intet overlap]],INDEX(DataTitel_liste,LineærRegression_Valg[[#This Row],[Uafhængig variabel ID]]),INDEX(DataTitel_liste,IF(LineærRegression_Valg[[#This Row],[Afhængig variabel ID]]=1,2,1))),$B$7)</f>
        <v>Eksempel 2 (interval)</v>
      </c>
      <c r="H1018" s="171">
        <f>_xlfn.AGGREGATE(2,5,LineærRegression_Valg[[#This Row],[Tabel ID]])</f>
        <v>1</v>
      </c>
    </row>
    <row r="1019" spans="1:8" x14ac:dyDescent="0.2">
      <c r="A1019">
        <f>ROW(LineærRegression_Valg[[#This Row],[Tabel ID]])-ROW(LineærRegression_Valg[[#Headers],[Tabel ID]])</f>
        <v>1009</v>
      </c>
      <c r="B1019" s="171">
        <f>ROUNDDOWN((LineærRegression_Valg[[#This Row],[Tabel ID]]-1)/$B$5,0)+1</f>
        <v>253</v>
      </c>
      <c r="C1019" s="171">
        <f t="shared" si="15"/>
        <v>1</v>
      </c>
      <c r="D1019" s="171" t="b">
        <f>LineærRegression_Valg[[#This Row],[Afhængig variabel ID]]&lt;&gt;LineærRegression_Valg[[#This Row],[Uafhængig variabel ID]]</f>
        <v>1</v>
      </c>
      <c r="E1019" t="b">
        <f>LineærRegression_Valg[[#This Row],[Afhængig variabel ID]]&lt;=$B$5</f>
        <v>0</v>
      </c>
      <c r="F1019" t="str" cm="1">
        <f t="array" ref="F1019">IF(LineærRegression_Valg[[#This Row],[Indenfor range]],INDEX(DataTitel_liste,LineærRegression_Valg[[#This Row],[Afhængig variabel ID]]),INDEX(DataTitel_liste,1))</f>
        <v>Eksempel 1 (interval)</v>
      </c>
      <c r="G1019" s="171" t="str" cm="1">
        <f t="array" ref="G1019">IF(LineærRegression_Valg[[#This Row],[Indenfor range]],IF(LineærRegression_Valg[[#This Row],[Intet overlap]],INDEX(DataTitel_liste,LineærRegression_Valg[[#This Row],[Uafhængig variabel ID]]),INDEX(DataTitel_liste,IF(LineærRegression_Valg[[#This Row],[Afhængig variabel ID]]=1,2,1))),$B$7)</f>
        <v>Eksempel 2 (interval)</v>
      </c>
      <c r="H1019" s="171">
        <f>_xlfn.AGGREGATE(2,5,LineærRegression_Valg[[#This Row],[Tabel ID]])</f>
        <v>1</v>
      </c>
    </row>
    <row r="1020" spans="1:8" x14ac:dyDescent="0.2">
      <c r="A1020">
        <f>ROW(LineærRegression_Valg[[#This Row],[Tabel ID]])-ROW(LineærRegression_Valg[[#Headers],[Tabel ID]])</f>
        <v>1010</v>
      </c>
      <c r="B1020" s="171">
        <f>ROUNDDOWN((LineærRegression_Valg[[#This Row],[Tabel ID]]-1)/$B$5,0)+1</f>
        <v>253</v>
      </c>
      <c r="C1020" s="171">
        <f t="shared" si="15"/>
        <v>2</v>
      </c>
      <c r="D1020" s="171" t="b">
        <f>LineærRegression_Valg[[#This Row],[Afhængig variabel ID]]&lt;&gt;LineærRegression_Valg[[#This Row],[Uafhængig variabel ID]]</f>
        <v>1</v>
      </c>
      <c r="E1020" t="b">
        <f>LineærRegression_Valg[[#This Row],[Afhængig variabel ID]]&lt;=$B$5</f>
        <v>0</v>
      </c>
      <c r="F1020" t="str" cm="1">
        <f t="array" ref="F1020">IF(LineærRegression_Valg[[#This Row],[Indenfor range]],INDEX(DataTitel_liste,LineærRegression_Valg[[#This Row],[Afhængig variabel ID]]),INDEX(DataTitel_liste,1))</f>
        <v>Eksempel 1 (interval)</v>
      </c>
      <c r="G1020" s="171" t="str" cm="1">
        <f t="array" ref="G1020">IF(LineærRegression_Valg[[#This Row],[Indenfor range]],IF(LineærRegression_Valg[[#This Row],[Intet overlap]],INDEX(DataTitel_liste,LineærRegression_Valg[[#This Row],[Uafhængig variabel ID]]),INDEX(DataTitel_liste,IF(LineærRegression_Valg[[#This Row],[Afhængig variabel ID]]=1,2,1))),$B$7)</f>
        <v>Eksempel 2 (interval)</v>
      </c>
      <c r="H1020" s="171">
        <f>_xlfn.AGGREGATE(2,5,LineærRegression_Valg[[#This Row],[Tabel ID]])</f>
        <v>1</v>
      </c>
    </row>
    <row r="1021" spans="1:8" x14ac:dyDescent="0.2">
      <c r="A1021">
        <f>ROW(LineærRegression_Valg[[#This Row],[Tabel ID]])-ROW(LineærRegression_Valg[[#Headers],[Tabel ID]])</f>
        <v>1011</v>
      </c>
      <c r="B1021" s="171">
        <f>ROUNDDOWN((LineærRegression_Valg[[#This Row],[Tabel ID]]-1)/$B$5,0)+1</f>
        <v>253</v>
      </c>
      <c r="C1021" s="171">
        <f t="shared" si="15"/>
        <v>3</v>
      </c>
      <c r="D1021" s="171" t="b">
        <f>LineærRegression_Valg[[#This Row],[Afhængig variabel ID]]&lt;&gt;LineærRegression_Valg[[#This Row],[Uafhængig variabel ID]]</f>
        <v>1</v>
      </c>
      <c r="E1021" t="b">
        <f>LineærRegression_Valg[[#This Row],[Afhængig variabel ID]]&lt;=$B$5</f>
        <v>0</v>
      </c>
      <c r="F1021" t="str" cm="1">
        <f t="array" ref="F1021">IF(LineærRegression_Valg[[#This Row],[Indenfor range]],INDEX(DataTitel_liste,LineærRegression_Valg[[#This Row],[Afhængig variabel ID]]),INDEX(DataTitel_liste,1))</f>
        <v>Eksempel 1 (interval)</v>
      </c>
      <c r="G1021" s="171" t="str" cm="1">
        <f t="array" ref="G1021">IF(LineærRegression_Valg[[#This Row],[Indenfor range]],IF(LineærRegression_Valg[[#This Row],[Intet overlap]],INDEX(DataTitel_liste,LineærRegression_Valg[[#This Row],[Uafhængig variabel ID]]),INDEX(DataTitel_liste,IF(LineærRegression_Valg[[#This Row],[Afhængig variabel ID]]=1,2,1))),$B$7)</f>
        <v>Eksempel 2 (interval)</v>
      </c>
      <c r="H1021" s="171">
        <f>_xlfn.AGGREGATE(2,5,LineærRegression_Valg[[#This Row],[Tabel ID]])</f>
        <v>1</v>
      </c>
    </row>
    <row r="1022" spans="1:8" x14ac:dyDescent="0.2">
      <c r="A1022">
        <f>ROW(LineærRegression_Valg[[#This Row],[Tabel ID]])-ROW(LineærRegression_Valg[[#Headers],[Tabel ID]])</f>
        <v>1012</v>
      </c>
      <c r="B1022" s="171">
        <f>ROUNDDOWN((LineærRegression_Valg[[#This Row],[Tabel ID]]-1)/$B$5,0)+1</f>
        <v>253</v>
      </c>
      <c r="C1022" s="171">
        <f t="shared" si="15"/>
        <v>4</v>
      </c>
      <c r="D1022" s="171" t="b">
        <f>LineærRegression_Valg[[#This Row],[Afhængig variabel ID]]&lt;&gt;LineærRegression_Valg[[#This Row],[Uafhængig variabel ID]]</f>
        <v>1</v>
      </c>
      <c r="E1022" t="b">
        <f>LineærRegression_Valg[[#This Row],[Afhængig variabel ID]]&lt;=$B$5</f>
        <v>0</v>
      </c>
      <c r="F1022" t="str" cm="1">
        <f t="array" ref="F1022">IF(LineærRegression_Valg[[#This Row],[Indenfor range]],INDEX(DataTitel_liste,LineærRegression_Valg[[#This Row],[Afhængig variabel ID]]),INDEX(DataTitel_liste,1))</f>
        <v>Eksempel 1 (interval)</v>
      </c>
      <c r="G1022" s="171" t="str" cm="1">
        <f t="array" ref="G1022">IF(LineærRegression_Valg[[#This Row],[Indenfor range]],IF(LineærRegression_Valg[[#This Row],[Intet overlap]],INDEX(DataTitel_liste,LineærRegression_Valg[[#This Row],[Uafhængig variabel ID]]),INDEX(DataTitel_liste,IF(LineærRegression_Valg[[#This Row],[Afhængig variabel ID]]=1,2,1))),$B$7)</f>
        <v>Eksempel 2 (interval)</v>
      </c>
      <c r="H1022" s="171">
        <f>_xlfn.AGGREGATE(2,5,LineærRegression_Valg[[#This Row],[Tabel ID]])</f>
        <v>1</v>
      </c>
    </row>
    <row r="1023" spans="1:8" x14ac:dyDescent="0.2">
      <c r="A1023">
        <f>ROW(LineærRegression_Valg[[#This Row],[Tabel ID]])-ROW(LineærRegression_Valg[[#Headers],[Tabel ID]])</f>
        <v>1013</v>
      </c>
      <c r="B1023" s="171">
        <f>ROUNDDOWN((LineærRegression_Valg[[#This Row],[Tabel ID]]-1)/$B$5,0)+1</f>
        <v>254</v>
      </c>
      <c r="C1023" s="171">
        <f t="shared" si="15"/>
        <v>1</v>
      </c>
      <c r="D1023" s="171" t="b">
        <f>LineærRegression_Valg[[#This Row],[Afhængig variabel ID]]&lt;&gt;LineærRegression_Valg[[#This Row],[Uafhængig variabel ID]]</f>
        <v>1</v>
      </c>
      <c r="E1023" t="b">
        <f>LineærRegression_Valg[[#This Row],[Afhængig variabel ID]]&lt;=$B$5</f>
        <v>0</v>
      </c>
      <c r="F1023" t="str" cm="1">
        <f t="array" ref="F1023">IF(LineærRegression_Valg[[#This Row],[Indenfor range]],INDEX(DataTitel_liste,LineærRegression_Valg[[#This Row],[Afhængig variabel ID]]),INDEX(DataTitel_liste,1))</f>
        <v>Eksempel 1 (interval)</v>
      </c>
      <c r="G1023" s="171" t="str" cm="1">
        <f t="array" ref="G1023">IF(LineærRegression_Valg[[#This Row],[Indenfor range]],IF(LineærRegression_Valg[[#This Row],[Intet overlap]],INDEX(DataTitel_liste,LineærRegression_Valg[[#This Row],[Uafhængig variabel ID]]),INDEX(DataTitel_liste,IF(LineærRegression_Valg[[#This Row],[Afhængig variabel ID]]=1,2,1))),$B$7)</f>
        <v>Eksempel 2 (interval)</v>
      </c>
      <c r="H1023" s="171">
        <f>_xlfn.AGGREGATE(2,5,LineærRegression_Valg[[#This Row],[Tabel ID]])</f>
        <v>1</v>
      </c>
    </row>
    <row r="1024" spans="1:8" x14ac:dyDescent="0.2">
      <c r="A1024">
        <f>ROW(LineærRegression_Valg[[#This Row],[Tabel ID]])-ROW(LineærRegression_Valg[[#Headers],[Tabel ID]])</f>
        <v>1014</v>
      </c>
      <c r="B1024" s="171">
        <f>ROUNDDOWN((LineærRegression_Valg[[#This Row],[Tabel ID]]-1)/$B$5,0)+1</f>
        <v>254</v>
      </c>
      <c r="C1024" s="171">
        <f t="shared" si="15"/>
        <v>2</v>
      </c>
      <c r="D1024" s="171" t="b">
        <f>LineærRegression_Valg[[#This Row],[Afhængig variabel ID]]&lt;&gt;LineærRegression_Valg[[#This Row],[Uafhængig variabel ID]]</f>
        <v>1</v>
      </c>
      <c r="E1024" t="b">
        <f>LineærRegression_Valg[[#This Row],[Afhængig variabel ID]]&lt;=$B$5</f>
        <v>0</v>
      </c>
      <c r="F1024" t="str" cm="1">
        <f t="array" ref="F1024">IF(LineærRegression_Valg[[#This Row],[Indenfor range]],INDEX(DataTitel_liste,LineærRegression_Valg[[#This Row],[Afhængig variabel ID]]),INDEX(DataTitel_liste,1))</f>
        <v>Eksempel 1 (interval)</v>
      </c>
      <c r="G1024" s="171" t="str" cm="1">
        <f t="array" ref="G1024">IF(LineærRegression_Valg[[#This Row],[Indenfor range]],IF(LineærRegression_Valg[[#This Row],[Intet overlap]],INDEX(DataTitel_liste,LineærRegression_Valg[[#This Row],[Uafhængig variabel ID]]),INDEX(DataTitel_liste,IF(LineærRegression_Valg[[#This Row],[Afhængig variabel ID]]=1,2,1))),$B$7)</f>
        <v>Eksempel 2 (interval)</v>
      </c>
      <c r="H1024" s="171">
        <f>_xlfn.AGGREGATE(2,5,LineærRegression_Valg[[#This Row],[Tabel ID]])</f>
        <v>1</v>
      </c>
    </row>
    <row r="1025" spans="1:8" x14ac:dyDescent="0.2">
      <c r="A1025">
        <f>ROW(LineærRegression_Valg[[#This Row],[Tabel ID]])-ROW(LineærRegression_Valg[[#Headers],[Tabel ID]])</f>
        <v>1015</v>
      </c>
      <c r="B1025" s="171">
        <f>ROUNDDOWN((LineærRegression_Valg[[#This Row],[Tabel ID]]-1)/$B$5,0)+1</f>
        <v>254</v>
      </c>
      <c r="C1025" s="171">
        <f t="shared" si="15"/>
        <v>3</v>
      </c>
      <c r="D1025" s="171" t="b">
        <f>LineærRegression_Valg[[#This Row],[Afhængig variabel ID]]&lt;&gt;LineærRegression_Valg[[#This Row],[Uafhængig variabel ID]]</f>
        <v>1</v>
      </c>
      <c r="E1025" t="b">
        <f>LineærRegression_Valg[[#This Row],[Afhængig variabel ID]]&lt;=$B$5</f>
        <v>0</v>
      </c>
      <c r="F1025" t="str" cm="1">
        <f t="array" ref="F1025">IF(LineærRegression_Valg[[#This Row],[Indenfor range]],INDEX(DataTitel_liste,LineærRegression_Valg[[#This Row],[Afhængig variabel ID]]),INDEX(DataTitel_liste,1))</f>
        <v>Eksempel 1 (interval)</v>
      </c>
      <c r="G1025" s="171" t="str" cm="1">
        <f t="array" ref="G1025">IF(LineærRegression_Valg[[#This Row],[Indenfor range]],IF(LineærRegression_Valg[[#This Row],[Intet overlap]],INDEX(DataTitel_liste,LineærRegression_Valg[[#This Row],[Uafhængig variabel ID]]),INDEX(DataTitel_liste,IF(LineærRegression_Valg[[#This Row],[Afhængig variabel ID]]=1,2,1))),$B$7)</f>
        <v>Eksempel 2 (interval)</v>
      </c>
      <c r="H1025" s="171">
        <f>_xlfn.AGGREGATE(2,5,LineærRegression_Valg[[#This Row],[Tabel ID]])</f>
        <v>1</v>
      </c>
    </row>
    <row r="1026" spans="1:8" x14ac:dyDescent="0.2">
      <c r="A1026">
        <f>ROW(LineærRegression_Valg[[#This Row],[Tabel ID]])-ROW(LineærRegression_Valg[[#Headers],[Tabel ID]])</f>
        <v>1016</v>
      </c>
      <c r="B1026" s="171">
        <f>ROUNDDOWN((LineærRegression_Valg[[#This Row],[Tabel ID]]-1)/$B$5,0)+1</f>
        <v>254</v>
      </c>
      <c r="C1026" s="171">
        <f t="shared" si="15"/>
        <v>4</v>
      </c>
      <c r="D1026" s="171" t="b">
        <f>LineærRegression_Valg[[#This Row],[Afhængig variabel ID]]&lt;&gt;LineærRegression_Valg[[#This Row],[Uafhængig variabel ID]]</f>
        <v>1</v>
      </c>
      <c r="E1026" t="b">
        <f>LineærRegression_Valg[[#This Row],[Afhængig variabel ID]]&lt;=$B$5</f>
        <v>0</v>
      </c>
      <c r="F1026" t="str" cm="1">
        <f t="array" ref="F1026">IF(LineærRegression_Valg[[#This Row],[Indenfor range]],INDEX(DataTitel_liste,LineærRegression_Valg[[#This Row],[Afhængig variabel ID]]),INDEX(DataTitel_liste,1))</f>
        <v>Eksempel 1 (interval)</v>
      </c>
      <c r="G1026" s="171" t="str" cm="1">
        <f t="array" ref="G1026">IF(LineærRegression_Valg[[#This Row],[Indenfor range]],IF(LineærRegression_Valg[[#This Row],[Intet overlap]],INDEX(DataTitel_liste,LineærRegression_Valg[[#This Row],[Uafhængig variabel ID]]),INDEX(DataTitel_liste,IF(LineærRegression_Valg[[#This Row],[Afhængig variabel ID]]=1,2,1))),$B$7)</f>
        <v>Eksempel 2 (interval)</v>
      </c>
      <c r="H1026" s="171">
        <f>_xlfn.AGGREGATE(2,5,LineærRegression_Valg[[#This Row],[Tabel ID]])</f>
        <v>1</v>
      </c>
    </row>
    <row r="1027" spans="1:8" x14ac:dyDescent="0.2">
      <c r="A1027">
        <f>ROW(LineærRegression_Valg[[#This Row],[Tabel ID]])-ROW(LineærRegression_Valg[[#Headers],[Tabel ID]])</f>
        <v>1017</v>
      </c>
      <c r="B1027" s="171">
        <f>ROUNDDOWN((LineærRegression_Valg[[#This Row],[Tabel ID]]-1)/$B$5,0)+1</f>
        <v>255</v>
      </c>
      <c r="C1027" s="171">
        <f t="shared" si="15"/>
        <v>1</v>
      </c>
      <c r="D1027" s="171" t="b">
        <f>LineærRegression_Valg[[#This Row],[Afhængig variabel ID]]&lt;&gt;LineærRegression_Valg[[#This Row],[Uafhængig variabel ID]]</f>
        <v>1</v>
      </c>
      <c r="E1027" t="b">
        <f>LineærRegression_Valg[[#This Row],[Afhængig variabel ID]]&lt;=$B$5</f>
        <v>0</v>
      </c>
      <c r="F1027" t="str" cm="1">
        <f t="array" ref="F1027">IF(LineærRegression_Valg[[#This Row],[Indenfor range]],INDEX(DataTitel_liste,LineærRegression_Valg[[#This Row],[Afhængig variabel ID]]),INDEX(DataTitel_liste,1))</f>
        <v>Eksempel 1 (interval)</v>
      </c>
      <c r="G1027" s="171" t="str" cm="1">
        <f t="array" ref="G1027">IF(LineærRegression_Valg[[#This Row],[Indenfor range]],IF(LineærRegression_Valg[[#This Row],[Intet overlap]],INDEX(DataTitel_liste,LineærRegression_Valg[[#This Row],[Uafhængig variabel ID]]),INDEX(DataTitel_liste,IF(LineærRegression_Valg[[#This Row],[Afhængig variabel ID]]=1,2,1))),$B$7)</f>
        <v>Eksempel 2 (interval)</v>
      </c>
      <c r="H1027" s="171">
        <f>_xlfn.AGGREGATE(2,5,LineærRegression_Valg[[#This Row],[Tabel ID]])</f>
        <v>1</v>
      </c>
    </row>
    <row r="1028" spans="1:8" x14ac:dyDescent="0.2">
      <c r="A1028">
        <f>ROW(LineærRegression_Valg[[#This Row],[Tabel ID]])-ROW(LineærRegression_Valg[[#Headers],[Tabel ID]])</f>
        <v>1018</v>
      </c>
      <c r="B1028" s="171">
        <f>ROUNDDOWN((LineærRegression_Valg[[#This Row],[Tabel ID]]-1)/$B$5,0)+1</f>
        <v>255</v>
      </c>
      <c r="C1028" s="171">
        <f t="shared" si="15"/>
        <v>2</v>
      </c>
      <c r="D1028" s="171" t="b">
        <f>LineærRegression_Valg[[#This Row],[Afhængig variabel ID]]&lt;&gt;LineærRegression_Valg[[#This Row],[Uafhængig variabel ID]]</f>
        <v>1</v>
      </c>
      <c r="E1028" t="b">
        <f>LineærRegression_Valg[[#This Row],[Afhængig variabel ID]]&lt;=$B$5</f>
        <v>0</v>
      </c>
      <c r="F1028" t="str" cm="1">
        <f t="array" ref="F1028">IF(LineærRegression_Valg[[#This Row],[Indenfor range]],INDEX(DataTitel_liste,LineærRegression_Valg[[#This Row],[Afhængig variabel ID]]),INDEX(DataTitel_liste,1))</f>
        <v>Eksempel 1 (interval)</v>
      </c>
      <c r="G1028" s="171" t="str" cm="1">
        <f t="array" ref="G1028">IF(LineærRegression_Valg[[#This Row],[Indenfor range]],IF(LineærRegression_Valg[[#This Row],[Intet overlap]],INDEX(DataTitel_liste,LineærRegression_Valg[[#This Row],[Uafhængig variabel ID]]),INDEX(DataTitel_liste,IF(LineærRegression_Valg[[#This Row],[Afhængig variabel ID]]=1,2,1))),$B$7)</f>
        <v>Eksempel 2 (interval)</v>
      </c>
      <c r="H1028" s="171">
        <f>_xlfn.AGGREGATE(2,5,LineærRegression_Valg[[#This Row],[Tabel ID]])</f>
        <v>1</v>
      </c>
    </row>
    <row r="1029" spans="1:8" x14ac:dyDescent="0.2">
      <c r="A1029">
        <f>ROW(LineærRegression_Valg[[#This Row],[Tabel ID]])-ROW(LineærRegression_Valg[[#Headers],[Tabel ID]])</f>
        <v>1019</v>
      </c>
      <c r="B1029" s="171">
        <f>ROUNDDOWN((LineærRegression_Valg[[#This Row],[Tabel ID]]-1)/$B$5,0)+1</f>
        <v>255</v>
      </c>
      <c r="C1029" s="171">
        <f t="shared" si="15"/>
        <v>3</v>
      </c>
      <c r="D1029" s="171" t="b">
        <f>LineærRegression_Valg[[#This Row],[Afhængig variabel ID]]&lt;&gt;LineærRegression_Valg[[#This Row],[Uafhængig variabel ID]]</f>
        <v>1</v>
      </c>
      <c r="E1029" t="b">
        <f>LineærRegression_Valg[[#This Row],[Afhængig variabel ID]]&lt;=$B$5</f>
        <v>0</v>
      </c>
      <c r="F1029" t="str" cm="1">
        <f t="array" ref="F1029">IF(LineærRegression_Valg[[#This Row],[Indenfor range]],INDEX(DataTitel_liste,LineærRegression_Valg[[#This Row],[Afhængig variabel ID]]),INDEX(DataTitel_liste,1))</f>
        <v>Eksempel 1 (interval)</v>
      </c>
      <c r="G1029" s="171" t="str" cm="1">
        <f t="array" ref="G1029">IF(LineærRegression_Valg[[#This Row],[Indenfor range]],IF(LineærRegression_Valg[[#This Row],[Intet overlap]],INDEX(DataTitel_liste,LineærRegression_Valg[[#This Row],[Uafhængig variabel ID]]),INDEX(DataTitel_liste,IF(LineærRegression_Valg[[#This Row],[Afhængig variabel ID]]=1,2,1))),$B$7)</f>
        <v>Eksempel 2 (interval)</v>
      </c>
      <c r="H1029" s="171">
        <f>_xlfn.AGGREGATE(2,5,LineærRegression_Valg[[#This Row],[Tabel ID]])</f>
        <v>1</v>
      </c>
    </row>
    <row r="1030" spans="1:8" x14ac:dyDescent="0.2">
      <c r="A1030">
        <f>ROW(LineærRegression_Valg[[#This Row],[Tabel ID]])-ROW(LineærRegression_Valg[[#Headers],[Tabel ID]])</f>
        <v>1020</v>
      </c>
      <c r="B1030" s="171">
        <f>ROUNDDOWN((LineærRegression_Valg[[#This Row],[Tabel ID]]-1)/$B$5,0)+1</f>
        <v>255</v>
      </c>
      <c r="C1030" s="171">
        <f t="shared" si="15"/>
        <v>4</v>
      </c>
      <c r="D1030" s="171" t="b">
        <f>LineærRegression_Valg[[#This Row],[Afhængig variabel ID]]&lt;&gt;LineærRegression_Valg[[#This Row],[Uafhængig variabel ID]]</f>
        <v>1</v>
      </c>
      <c r="E1030" t="b">
        <f>LineærRegression_Valg[[#This Row],[Afhængig variabel ID]]&lt;=$B$5</f>
        <v>0</v>
      </c>
      <c r="F1030" t="str" cm="1">
        <f t="array" ref="F1030">IF(LineærRegression_Valg[[#This Row],[Indenfor range]],INDEX(DataTitel_liste,LineærRegression_Valg[[#This Row],[Afhængig variabel ID]]),INDEX(DataTitel_liste,1))</f>
        <v>Eksempel 1 (interval)</v>
      </c>
      <c r="G1030" s="171" t="str" cm="1">
        <f t="array" ref="G1030">IF(LineærRegression_Valg[[#This Row],[Indenfor range]],IF(LineærRegression_Valg[[#This Row],[Intet overlap]],INDEX(DataTitel_liste,LineærRegression_Valg[[#This Row],[Uafhængig variabel ID]]),INDEX(DataTitel_liste,IF(LineærRegression_Valg[[#This Row],[Afhængig variabel ID]]=1,2,1))),$B$7)</f>
        <v>Eksempel 2 (interval)</v>
      </c>
      <c r="H1030" s="171">
        <f>_xlfn.AGGREGATE(2,5,LineærRegression_Valg[[#This Row],[Tabel ID]])</f>
        <v>1</v>
      </c>
    </row>
    <row r="1031" spans="1:8" x14ac:dyDescent="0.2">
      <c r="A1031">
        <f>ROW(LineærRegression_Valg[[#This Row],[Tabel ID]])-ROW(LineærRegression_Valg[[#Headers],[Tabel ID]])</f>
        <v>1021</v>
      </c>
      <c r="B1031" s="171">
        <f>ROUNDDOWN((LineærRegression_Valg[[#This Row],[Tabel ID]]-1)/$B$5,0)+1</f>
        <v>256</v>
      </c>
      <c r="C1031" s="171">
        <f t="shared" si="15"/>
        <v>1</v>
      </c>
      <c r="D1031" s="171" t="b">
        <f>LineærRegression_Valg[[#This Row],[Afhængig variabel ID]]&lt;&gt;LineærRegression_Valg[[#This Row],[Uafhængig variabel ID]]</f>
        <v>1</v>
      </c>
      <c r="E1031" t="b">
        <f>LineærRegression_Valg[[#This Row],[Afhængig variabel ID]]&lt;=$B$5</f>
        <v>0</v>
      </c>
      <c r="F1031" t="str" cm="1">
        <f t="array" ref="F1031">IF(LineærRegression_Valg[[#This Row],[Indenfor range]],INDEX(DataTitel_liste,LineærRegression_Valg[[#This Row],[Afhængig variabel ID]]),INDEX(DataTitel_liste,1))</f>
        <v>Eksempel 1 (interval)</v>
      </c>
      <c r="G1031" s="171" t="str" cm="1">
        <f t="array" ref="G1031">IF(LineærRegression_Valg[[#This Row],[Indenfor range]],IF(LineærRegression_Valg[[#This Row],[Intet overlap]],INDEX(DataTitel_liste,LineærRegression_Valg[[#This Row],[Uafhængig variabel ID]]),INDEX(DataTitel_liste,IF(LineærRegression_Valg[[#This Row],[Afhængig variabel ID]]=1,2,1))),$B$7)</f>
        <v>Eksempel 2 (interval)</v>
      </c>
      <c r="H1031" s="171">
        <f>_xlfn.AGGREGATE(2,5,LineærRegression_Valg[[#This Row],[Tabel ID]])</f>
        <v>1</v>
      </c>
    </row>
    <row r="1032" spans="1:8" x14ac:dyDescent="0.2">
      <c r="A1032">
        <f>ROW(LineærRegression_Valg[[#This Row],[Tabel ID]])-ROW(LineærRegression_Valg[[#Headers],[Tabel ID]])</f>
        <v>1022</v>
      </c>
      <c r="B1032" s="171">
        <f>ROUNDDOWN((LineærRegression_Valg[[#This Row],[Tabel ID]]-1)/$B$5,0)+1</f>
        <v>256</v>
      </c>
      <c r="C1032" s="171">
        <f t="shared" si="15"/>
        <v>2</v>
      </c>
      <c r="D1032" s="171" t="b">
        <f>LineærRegression_Valg[[#This Row],[Afhængig variabel ID]]&lt;&gt;LineærRegression_Valg[[#This Row],[Uafhængig variabel ID]]</f>
        <v>1</v>
      </c>
      <c r="E1032" t="b">
        <f>LineærRegression_Valg[[#This Row],[Afhængig variabel ID]]&lt;=$B$5</f>
        <v>0</v>
      </c>
      <c r="F1032" t="str" cm="1">
        <f t="array" ref="F1032">IF(LineærRegression_Valg[[#This Row],[Indenfor range]],INDEX(DataTitel_liste,LineærRegression_Valg[[#This Row],[Afhængig variabel ID]]),INDEX(DataTitel_liste,1))</f>
        <v>Eksempel 1 (interval)</v>
      </c>
      <c r="G1032" s="171" t="str" cm="1">
        <f t="array" ref="G1032">IF(LineærRegression_Valg[[#This Row],[Indenfor range]],IF(LineærRegression_Valg[[#This Row],[Intet overlap]],INDEX(DataTitel_liste,LineærRegression_Valg[[#This Row],[Uafhængig variabel ID]]),INDEX(DataTitel_liste,IF(LineærRegression_Valg[[#This Row],[Afhængig variabel ID]]=1,2,1))),$B$7)</f>
        <v>Eksempel 2 (interval)</v>
      </c>
      <c r="H1032" s="171">
        <f>_xlfn.AGGREGATE(2,5,LineærRegression_Valg[[#This Row],[Tabel ID]])</f>
        <v>1</v>
      </c>
    </row>
    <row r="1033" spans="1:8" x14ac:dyDescent="0.2">
      <c r="A1033">
        <f>ROW(LineærRegression_Valg[[#This Row],[Tabel ID]])-ROW(LineærRegression_Valg[[#Headers],[Tabel ID]])</f>
        <v>1023</v>
      </c>
      <c r="B1033" s="171">
        <f>ROUNDDOWN((LineærRegression_Valg[[#This Row],[Tabel ID]]-1)/$B$5,0)+1</f>
        <v>256</v>
      </c>
      <c r="C1033" s="171">
        <f t="shared" si="15"/>
        <v>3</v>
      </c>
      <c r="D1033" s="171" t="b">
        <f>LineærRegression_Valg[[#This Row],[Afhængig variabel ID]]&lt;&gt;LineærRegression_Valg[[#This Row],[Uafhængig variabel ID]]</f>
        <v>1</v>
      </c>
      <c r="E1033" t="b">
        <f>LineærRegression_Valg[[#This Row],[Afhængig variabel ID]]&lt;=$B$5</f>
        <v>0</v>
      </c>
      <c r="F1033" t="str" cm="1">
        <f t="array" ref="F1033">IF(LineærRegression_Valg[[#This Row],[Indenfor range]],INDEX(DataTitel_liste,LineærRegression_Valg[[#This Row],[Afhængig variabel ID]]),INDEX(DataTitel_liste,1))</f>
        <v>Eksempel 1 (interval)</v>
      </c>
      <c r="G1033" s="171" t="str" cm="1">
        <f t="array" ref="G1033">IF(LineærRegression_Valg[[#This Row],[Indenfor range]],IF(LineærRegression_Valg[[#This Row],[Intet overlap]],INDEX(DataTitel_liste,LineærRegression_Valg[[#This Row],[Uafhængig variabel ID]]),INDEX(DataTitel_liste,IF(LineærRegression_Valg[[#This Row],[Afhængig variabel ID]]=1,2,1))),$B$7)</f>
        <v>Eksempel 2 (interval)</v>
      </c>
      <c r="H1033" s="171">
        <f>_xlfn.AGGREGATE(2,5,LineærRegression_Valg[[#This Row],[Tabel ID]])</f>
        <v>1</v>
      </c>
    </row>
    <row r="1034" spans="1:8" x14ac:dyDescent="0.2">
      <c r="A1034">
        <f>ROW(LineærRegression_Valg[[#This Row],[Tabel ID]])-ROW(LineærRegression_Valg[[#Headers],[Tabel ID]])</f>
        <v>1024</v>
      </c>
      <c r="B1034" s="171">
        <f>ROUNDDOWN((LineærRegression_Valg[[#This Row],[Tabel ID]]-1)/$B$5,0)+1</f>
        <v>256</v>
      </c>
      <c r="C1034" s="171">
        <f t="shared" si="15"/>
        <v>4</v>
      </c>
      <c r="D1034" s="171" t="b">
        <f>LineærRegression_Valg[[#This Row],[Afhængig variabel ID]]&lt;&gt;LineærRegression_Valg[[#This Row],[Uafhængig variabel ID]]</f>
        <v>1</v>
      </c>
      <c r="E1034" t="b">
        <f>LineærRegression_Valg[[#This Row],[Afhængig variabel ID]]&lt;=$B$5</f>
        <v>0</v>
      </c>
      <c r="F1034" t="str" cm="1">
        <f t="array" ref="F1034">IF(LineærRegression_Valg[[#This Row],[Indenfor range]],INDEX(DataTitel_liste,LineærRegression_Valg[[#This Row],[Afhængig variabel ID]]),INDEX(DataTitel_liste,1))</f>
        <v>Eksempel 1 (interval)</v>
      </c>
      <c r="G1034" s="171" t="str" cm="1">
        <f t="array" ref="G1034">IF(LineærRegression_Valg[[#This Row],[Indenfor range]],IF(LineærRegression_Valg[[#This Row],[Intet overlap]],INDEX(DataTitel_liste,LineærRegression_Valg[[#This Row],[Uafhængig variabel ID]]),INDEX(DataTitel_liste,IF(LineærRegression_Valg[[#This Row],[Afhængig variabel ID]]=1,2,1))),$B$7)</f>
        <v>Eksempel 2 (interval)</v>
      </c>
      <c r="H1034" s="171">
        <f>_xlfn.AGGREGATE(2,5,LineærRegression_Valg[[#This Row],[Tabel ID]])</f>
        <v>1</v>
      </c>
    </row>
    <row r="1035" spans="1:8" x14ac:dyDescent="0.2">
      <c r="A1035">
        <f>ROW(LineærRegression_Valg[[#This Row],[Tabel ID]])-ROW(LineærRegression_Valg[[#Headers],[Tabel ID]])</f>
        <v>1025</v>
      </c>
      <c r="B1035" s="171">
        <f>ROUNDDOWN((LineærRegression_Valg[[#This Row],[Tabel ID]]-1)/$B$5,0)+1</f>
        <v>257</v>
      </c>
      <c r="C1035" s="171">
        <f t="shared" ref="C1035:C1098" si="16">MOD(A1035-1,$B$5)+1</f>
        <v>1</v>
      </c>
      <c r="D1035" s="171" t="b">
        <f>LineærRegression_Valg[[#This Row],[Afhængig variabel ID]]&lt;&gt;LineærRegression_Valg[[#This Row],[Uafhængig variabel ID]]</f>
        <v>1</v>
      </c>
      <c r="E1035" t="b">
        <f>LineærRegression_Valg[[#This Row],[Afhængig variabel ID]]&lt;=$B$5</f>
        <v>0</v>
      </c>
      <c r="F1035" t="str" cm="1">
        <f t="array" ref="F1035">IF(LineærRegression_Valg[[#This Row],[Indenfor range]],INDEX(DataTitel_liste,LineærRegression_Valg[[#This Row],[Afhængig variabel ID]]),INDEX(DataTitel_liste,1))</f>
        <v>Eksempel 1 (interval)</v>
      </c>
      <c r="G1035" s="171" t="str" cm="1">
        <f t="array" ref="G1035">IF(LineærRegression_Valg[[#This Row],[Indenfor range]],IF(LineærRegression_Valg[[#This Row],[Intet overlap]],INDEX(DataTitel_liste,LineærRegression_Valg[[#This Row],[Uafhængig variabel ID]]),INDEX(DataTitel_liste,IF(LineærRegression_Valg[[#This Row],[Afhængig variabel ID]]=1,2,1))),$B$7)</f>
        <v>Eksempel 2 (interval)</v>
      </c>
      <c r="H1035" s="171">
        <f>_xlfn.AGGREGATE(2,5,LineærRegression_Valg[[#This Row],[Tabel ID]])</f>
        <v>1</v>
      </c>
    </row>
    <row r="1036" spans="1:8" x14ac:dyDescent="0.2">
      <c r="A1036">
        <f>ROW(LineærRegression_Valg[[#This Row],[Tabel ID]])-ROW(LineærRegression_Valg[[#Headers],[Tabel ID]])</f>
        <v>1026</v>
      </c>
      <c r="B1036" s="171">
        <f>ROUNDDOWN((LineærRegression_Valg[[#This Row],[Tabel ID]]-1)/$B$5,0)+1</f>
        <v>257</v>
      </c>
      <c r="C1036" s="171">
        <f t="shared" si="16"/>
        <v>2</v>
      </c>
      <c r="D1036" s="171" t="b">
        <f>LineærRegression_Valg[[#This Row],[Afhængig variabel ID]]&lt;&gt;LineærRegression_Valg[[#This Row],[Uafhængig variabel ID]]</f>
        <v>1</v>
      </c>
      <c r="E1036" t="b">
        <f>LineærRegression_Valg[[#This Row],[Afhængig variabel ID]]&lt;=$B$5</f>
        <v>0</v>
      </c>
      <c r="F1036" t="str" cm="1">
        <f t="array" ref="F1036">IF(LineærRegression_Valg[[#This Row],[Indenfor range]],INDEX(DataTitel_liste,LineærRegression_Valg[[#This Row],[Afhængig variabel ID]]),INDEX(DataTitel_liste,1))</f>
        <v>Eksempel 1 (interval)</v>
      </c>
      <c r="G1036" s="171" t="str" cm="1">
        <f t="array" ref="G1036">IF(LineærRegression_Valg[[#This Row],[Indenfor range]],IF(LineærRegression_Valg[[#This Row],[Intet overlap]],INDEX(DataTitel_liste,LineærRegression_Valg[[#This Row],[Uafhængig variabel ID]]),INDEX(DataTitel_liste,IF(LineærRegression_Valg[[#This Row],[Afhængig variabel ID]]=1,2,1))),$B$7)</f>
        <v>Eksempel 2 (interval)</v>
      </c>
      <c r="H1036" s="171">
        <f>_xlfn.AGGREGATE(2,5,LineærRegression_Valg[[#This Row],[Tabel ID]])</f>
        <v>1</v>
      </c>
    </row>
    <row r="1037" spans="1:8" x14ac:dyDescent="0.2">
      <c r="A1037">
        <f>ROW(LineærRegression_Valg[[#This Row],[Tabel ID]])-ROW(LineærRegression_Valg[[#Headers],[Tabel ID]])</f>
        <v>1027</v>
      </c>
      <c r="B1037" s="171">
        <f>ROUNDDOWN((LineærRegression_Valg[[#This Row],[Tabel ID]]-1)/$B$5,0)+1</f>
        <v>257</v>
      </c>
      <c r="C1037" s="171">
        <f t="shared" si="16"/>
        <v>3</v>
      </c>
      <c r="D1037" s="171" t="b">
        <f>LineærRegression_Valg[[#This Row],[Afhængig variabel ID]]&lt;&gt;LineærRegression_Valg[[#This Row],[Uafhængig variabel ID]]</f>
        <v>1</v>
      </c>
      <c r="E1037" t="b">
        <f>LineærRegression_Valg[[#This Row],[Afhængig variabel ID]]&lt;=$B$5</f>
        <v>0</v>
      </c>
      <c r="F1037" t="str" cm="1">
        <f t="array" ref="F1037">IF(LineærRegression_Valg[[#This Row],[Indenfor range]],INDEX(DataTitel_liste,LineærRegression_Valg[[#This Row],[Afhængig variabel ID]]),INDEX(DataTitel_liste,1))</f>
        <v>Eksempel 1 (interval)</v>
      </c>
      <c r="G1037" s="171" t="str" cm="1">
        <f t="array" ref="G1037">IF(LineærRegression_Valg[[#This Row],[Indenfor range]],IF(LineærRegression_Valg[[#This Row],[Intet overlap]],INDEX(DataTitel_liste,LineærRegression_Valg[[#This Row],[Uafhængig variabel ID]]),INDEX(DataTitel_liste,IF(LineærRegression_Valg[[#This Row],[Afhængig variabel ID]]=1,2,1))),$B$7)</f>
        <v>Eksempel 2 (interval)</v>
      </c>
      <c r="H1037" s="171">
        <f>_xlfn.AGGREGATE(2,5,LineærRegression_Valg[[#This Row],[Tabel ID]])</f>
        <v>1</v>
      </c>
    </row>
    <row r="1038" spans="1:8" x14ac:dyDescent="0.2">
      <c r="A1038">
        <f>ROW(LineærRegression_Valg[[#This Row],[Tabel ID]])-ROW(LineærRegression_Valg[[#Headers],[Tabel ID]])</f>
        <v>1028</v>
      </c>
      <c r="B1038" s="171">
        <f>ROUNDDOWN((LineærRegression_Valg[[#This Row],[Tabel ID]]-1)/$B$5,0)+1</f>
        <v>257</v>
      </c>
      <c r="C1038" s="171">
        <f t="shared" si="16"/>
        <v>4</v>
      </c>
      <c r="D1038" s="171" t="b">
        <f>LineærRegression_Valg[[#This Row],[Afhængig variabel ID]]&lt;&gt;LineærRegression_Valg[[#This Row],[Uafhængig variabel ID]]</f>
        <v>1</v>
      </c>
      <c r="E1038" t="b">
        <f>LineærRegression_Valg[[#This Row],[Afhængig variabel ID]]&lt;=$B$5</f>
        <v>0</v>
      </c>
      <c r="F1038" t="str" cm="1">
        <f t="array" ref="F1038">IF(LineærRegression_Valg[[#This Row],[Indenfor range]],INDEX(DataTitel_liste,LineærRegression_Valg[[#This Row],[Afhængig variabel ID]]),INDEX(DataTitel_liste,1))</f>
        <v>Eksempel 1 (interval)</v>
      </c>
      <c r="G1038" s="171" t="str" cm="1">
        <f t="array" ref="G1038">IF(LineærRegression_Valg[[#This Row],[Indenfor range]],IF(LineærRegression_Valg[[#This Row],[Intet overlap]],INDEX(DataTitel_liste,LineærRegression_Valg[[#This Row],[Uafhængig variabel ID]]),INDEX(DataTitel_liste,IF(LineærRegression_Valg[[#This Row],[Afhængig variabel ID]]=1,2,1))),$B$7)</f>
        <v>Eksempel 2 (interval)</v>
      </c>
      <c r="H1038" s="171">
        <f>_xlfn.AGGREGATE(2,5,LineærRegression_Valg[[#This Row],[Tabel ID]])</f>
        <v>1</v>
      </c>
    </row>
    <row r="1039" spans="1:8" x14ac:dyDescent="0.2">
      <c r="A1039">
        <f>ROW(LineærRegression_Valg[[#This Row],[Tabel ID]])-ROW(LineærRegression_Valg[[#Headers],[Tabel ID]])</f>
        <v>1029</v>
      </c>
      <c r="B1039" s="171">
        <f>ROUNDDOWN((LineærRegression_Valg[[#This Row],[Tabel ID]]-1)/$B$5,0)+1</f>
        <v>258</v>
      </c>
      <c r="C1039" s="171">
        <f t="shared" si="16"/>
        <v>1</v>
      </c>
      <c r="D1039" s="171" t="b">
        <f>LineærRegression_Valg[[#This Row],[Afhængig variabel ID]]&lt;&gt;LineærRegression_Valg[[#This Row],[Uafhængig variabel ID]]</f>
        <v>1</v>
      </c>
      <c r="E1039" t="b">
        <f>LineærRegression_Valg[[#This Row],[Afhængig variabel ID]]&lt;=$B$5</f>
        <v>0</v>
      </c>
      <c r="F1039" t="str" cm="1">
        <f t="array" ref="F1039">IF(LineærRegression_Valg[[#This Row],[Indenfor range]],INDEX(DataTitel_liste,LineærRegression_Valg[[#This Row],[Afhængig variabel ID]]),INDEX(DataTitel_liste,1))</f>
        <v>Eksempel 1 (interval)</v>
      </c>
      <c r="G1039" s="171" t="str" cm="1">
        <f t="array" ref="G1039">IF(LineærRegression_Valg[[#This Row],[Indenfor range]],IF(LineærRegression_Valg[[#This Row],[Intet overlap]],INDEX(DataTitel_liste,LineærRegression_Valg[[#This Row],[Uafhængig variabel ID]]),INDEX(DataTitel_liste,IF(LineærRegression_Valg[[#This Row],[Afhængig variabel ID]]=1,2,1))),$B$7)</f>
        <v>Eksempel 2 (interval)</v>
      </c>
      <c r="H1039" s="171">
        <f>_xlfn.AGGREGATE(2,5,LineærRegression_Valg[[#This Row],[Tabel ID]])</f>
        <v>1</v>
      </c>
    </row>
    <row r="1040" spans="1:8" x14ac:dyDescent="0.2">
      <c r="A1040">
        <f>ROW(LineærRegression_Valg[[#This Row],[Tabel ID]])-ROW(LineærRegression_Valg[[#Headers],[Tabel ID]])</f>
        <v>1030</v>
      </c>
      <c r="B1040" s="171">
        <f>ROUNDDOWN((LineærRegression_Valg[[#This Row],[Tabel ID]]-1)/$B$5,0)+1</f>
        <v>258</v>
      </c>
      <c r="C1040" s="171">
        <f t="shared" si="16"/>
        <v>2</v>
      </c>
      <c r="D1040" s="171" t="b">
        <f>LineærRegression_Valg[[#This Row],[Afhængig variabel ID]]&lt;&gt;LineærRegression_Valg[[#This Row],[Uafhængig variabel ID]]</f>
        <v>1</v>
      </c>
      <c r="E1040" t="b">
        <f>LineærRegression_Valg[[#This Row],[Afhængig variabel ID]]&lt;=$B$5</f>
        <v>0</v>
      </c>
      <c r="F1040" t="str" cm="1">
        <f t="array" ref="F1040">IF(LineærRegression_Valg[[#This Row],[Indenfor range]],INDEX(DataTitel_liste,LineærRegression_Valg[[#This Row],[Afhængig variabel ID]]),INDEX(DataTitel_liste,1))</f>
        <v>Eksempel 1 (interval)</v>
      </c>
      <c r="G1040" s="171" t="str" cm="1">
        <f t="array" ref="G1040">IF(LineærRegression_Valg[[#This Row],[Indenfor range]],IF(LineærRegression_Valg[[#This Row],[Intet overlap]],INDEX(DataTitel_liste,LineærRegression_Valg[[#This Row],[Uafhængig variabel ID]]),INDEX(DataTitel_liste,IF(LineærRegression_Valg[[#This Row],[Afhængig variabel ID]]=1,2,1))),$B$7)</f>
        <v>Eksempel 2 (interval)</v>
      </c>
      <c r="H1040" s="171">
        <f>_xlfn.AGGREGATE(2,5,LineærRegression_Valg[[#This Row],[Tabel ID]])</f>
        <v>1</v>
      </c>
    </row>
    <row r="1041" spans="1:8" x14ac:dyDescent="0.2">
      <c r="A1041">
        <f>ROW(LineærRegression_Valg[[#This Row],[Tabel ID]])-ROW(LineærRegression_Valg[[#Headers],[Tabel ID]])</f>
        <v>1031</v>
      </c>
      <c r="B1041" s="171">
        <f>ROUNDDOWN((LineærRegression_Valg[[#This Row],[Tabel ID]]-1)/$B$5,0)+1</f>
        <v>258</v>
      </c>
      <c r="C1041" s="171">
        <f t="shared" si="16"/>
        <v>3</v>
      </c>
      <c r="D1041" s="171" t="b">
        <f>LineærRegression_Valg[[#This Row],[Afhængig variabel ID]]&lt;&gt;LineærRegression_Valg[[#This Row],[Uafhængig variabel ID]]</f>
        <v>1</v>
      </c>
      <c r="E1041" t="b">
        <f>LineærRegression_Valg[[#This Row],[Afhængig variabel ID]]&lt;=$B$5</f>
        <v>0</v>
      </c>
      <c r="F1041" t="str" cm="1">
        <f t="array" ref="F1041">IF(LineærRegression_Valg[[#This Row],[Indenfor range]],INDEX(DataTitel_liste,LineærRegression_Valg[[#This Row],[Afhængig variabel ID]]),INDEX(DataTitel_liste,1))</f>
        <v>Eksempel 1 (interval)</v>
      </c>
      <c r="G1041" s="171" t="str" cm="1">
        <f t="array" ref="G1041">IF(LineærRegression_Valg[[#This Row],[Indenfor range]],IF(LineærRegression_Valg[[#This Row],[Intet overlap]],INDEX(DataTitel_liste,LineærRegression_Valg[[#This Row],[Uafhængig variabel ID]]),INDEX(DataTitel_liste,IF(LineærRegression_Valg[[#This Row],[Afhængig variabel ID]]=1,2,1))),$B$7)</f>
        <v>Eksempel 2 (interval)</v>
      </c>
      <c r="H1041" s="171">
        <f>_xlfn.AGGREGATE(2,5,LineærRegression_Valg[[#This Row],[Tabel ID]])</f>
        <v>1</v>
      </c>
    </row>
    <row r="1042" spans="1:8" x14ac:dyDescent="0.2">
      <c r="A1042">
        <f>ROW(LineærRegression_Valg[[#This Row],[Tabel ID]])-ROW(LineærRegression_Valg[[#Headers],[Tabel ID]])</f>
        <v>1032</v>
      </c>
      <c r="B1042" s="171">
        <f>ROUNDDOWN((LineærRegression_Valg[[#This Row],[Tabel ID]]-1)/$B$5,0)+1</f>
        <v>258</v>
      </c>
      <c r="C1042" s="171">
        <f t="shared" si="16"/>
        <v>4</v>
      </c>
      <c r="D1042" s="171" t="b">
        <f>LineærRegression_Valg[[#This Row],[Afhængig variabel ID]]&lt;&gt;LineærRegression_Valg[[#This Row],[Uafhængig variabel ID]]</f>
        <v>1</v>
      </c>
      <c r="E1042" t="b">
        <f>LineærRegression_Valg[[#This Row],[Afhængig variabel ID]]&lt;=$B$5</f>
        <v>0</v>
      </c>
      <c r="F1042" t="str" cm="1">
        <f t="array" ref="F1042">IF(LineærRegression_Valg[[#This Row],[Indenfor range]],INDEX(DataTitel_liste,LineærRegression_Valg[[#This Row],[Afhængig variabel ID]]),INDEX(DataTitel_liste,1))</f>
        <v>Eksempel 1 (interval)</v>
      </c>
      <c r="G1042" s="171" t="str" cm="1">
        <f t="array" ref="G1042">IF(LineærRegression_Valg[[#This Row],[Indenfor range]],IF(LineærRegression_Valg[[#This Row],[Intet overlap]],INDEX(DataTitel_liste,LineærRegression_Valg[[#This Row],[Uafhængig variabel ID]]),INDEX(DataTitel_liste,IF(LineærRegression_Valg[[#This Row],[Afhængig variabel ID]]=1,2,1))),$B$7)</f>
        <v>Eksempel 2 (interval)</v>
      </c>
      <c r="H1042" s="171">
        <f>_xlfn.AGGREGATE(2,5,LineærRegression_Valg[[#This Row],[Tabel ID]])</f>
        <v>1</v>
      </c>
    </row>
    <row r="1043" spans="1:8" x14ac:dyDescent="0.2">
      <c r="A1043">
        <f>ROW(LineærRegression_Valg[[#This Row],[Tabel ID]])-ROW(LineærRegression_Valg[[#Headers],[Tabel ID]])</f>
        <v>1033</v>
      </c>
      <c r="B1043" s="171">
        <f>ROUNDDOWN((LineærRegression_Valg[[#This Row],[Tabel ID]]-1)/$B$5,0)+1</f>
        <v>259</v>
      </c>
      <c r="C1043" s="171">
        <f t="shared" si="16"/>
        <v>1</v>
      </c>
      <c r="D1043" s="171" t="b">
        <f>LineærRegression_Valg[[#This Row],[Afhængig variabel ID]]&lt;&gt;LineærRegression_Valg[[#This Row],[Uafhængig variabel ID]]</f>
        <v>1</v>
      </c>
      <c r="E1043" t="b">
        <f>LineærRegression_Valg[[#This Row],[Afhængig variabel ID]]&lt;=$B$5</f>
        <v>0</v>
      </c>
      <c r="F1043" t="str" cm="1">
        <f t="array" ref="F1043">IF(LineærRegression_Valg[[#This Row],[Indenfor range]],INDEX(DataTitel_liste,LineærRegression_Valg[[#This Row],[Afhængig variabel ID]]),INDEX(DataTitel_liste,1))</f>
        <v>Eksempel 1 (interval)</v>
      </c>
      <c r="G1043" s="171" t="str" cm="1">
        <f t="array" ref="G1043">IF(LineærRegression_Valg[[#This Row],[Indenfor range]],IF(LineærRegression_Valg[[#This Row],[Intet overlap]],INDEX(DataTitel_liste,LineærRegression_Valg[[#This Row],[Uafhængig variabel ID]]),INDEX(DataTitel_liste,IF(LineærRegression_Valg[[#This Row],[Afhængig variabel ID]]=1,2,1))),$B$7)</f>
        <v>Eksempel 2 (interval)</v>
      </c>
      <c r="H1043" s="171">
        <f>_xlfn.AGGREGATE(2,5,LineærRegression_Valg[[#This Row],[Tabel ID]])</f>
        <v>1</v>
      </c>
    </row>
    <row r="1044" spans="1:8" x14ac:dyDescent="0.2">
      <c r="A1044">
        <f>ROW(LineærRegression_Valg[[#This Row],[Tabel ID]])-ROW(LineærRegression_Valg[[#Headers],[Tabel ID]])</f>
        <v>1034</v>
      </c>
      <c r="B1044" s="171">
        <f>ROUNDDOWN((LineærRegression_Valg[[#This Row],[Tabel ID]]-1)/$B$5,0)+1</f>
        <v>259</v>
      </c>
      <c r="C1044" s="171">
        <f t="shared" si="16"/>
        <v>2</v>
      </c>
      <c r="D1044" s="171" t="b">
        <f>LineærRegression_Valg[[#This Row],[Afhængig variabel ID]]&lt;&gt;LineærRegression_Valg[[#This Row],[Uafhængig variabel ID]]</f>
        <v>1</v>
      </c>
      <c r="E1044" t="b">
        <f>LineærRegression_Valg[[#This Row],[Afhængig variabel ID]]&lt;=$B$5</f>
        <v>0</v>
      </c>
      <c r="F1044" t="str" cm="1">
        <f t="array" ref="F1044">IF(LineærRegression_Valg[[#This Row],[Indenfor range]],INDEX(DataTitel_liste,LineærRegression_Valg[[#This Row],[Afhængig variabel ID]]),INDEX(DataTitel_liste,1))</f>
        <v>Eksempel 1 (interval)</v>
      </c>
      <c r="G1044" s="171" t="str" cm="1">
        <f t="array" ref="G1044">IF(LineærRegression_Valg[[#This Row],[Indenfor range]],IF(LineærRegression_Valg[[#This Row],[Intet overlap]],INDEX(DataTitel_liste,LineærRegression_Valg[[#This Row],[Uafhængig variabel ID]]),INDEX(DataTitel_liste,IF(LineærRegression_Valg[[#This Row],[Afhængig variabel ID]]=1,2,1))),$B$7)</f>
        <v>Eksempel 2 (interval)</v>
      </c>
      <c r="H1044" s="171">
        <f>_xlfn.AGGREGATE(2,5,LineærRegression_Valg[[#This Row],[Tabel ID]])</f>
        <v>1</v>
      </c>
    </row>
    <row r="1045" spans="1:8" x14ac:dyDescent="0.2">
      <c r="A1045">
        <f>ROW(LineærRegression_Valg[[#This Row],[Tabel ID]])-ROW(LineærRegression_Valg[[#Headers],[Tabel ID]])</f>
        <v>1035</v>
      </c>
      <c r="B1045" s="171">
        <f>ROUNDDOWN((LineærRegression_Valg[[#This Row],[Tabel ID]]-1)/$B$5,0)+1</f>
        <v>259</v>
      </c>
      <c r="C1045" s="171">
        <f t="shared" si="16"/>
        <v>3</v>
      </c>
      <c r="D1045" s="171" t="b">
        <f>LineærRegression_Valg[[#This Row],[Afhængig variabel ID]]&lt;&gt;LineærRegression_Valg[[#This Row],[Uafhængig variabel ID]]</f>
        <v>1</v>
      </c>
      <c r="E1045" t="b">
        <f>LineærRegression_Valg[[#This Row],[Afhængig variabel ID]]&lt;=$B$5</f>
        <v>0</v>
      </c>
      <c r="F1045" t="str" cm="1">
        <f t="array" ref="F1045">IF(LineærRegression_Valg[[#This Row],[Indenfor range]],INDEX(DataTitel_liste,LineærRegression_Valg[[#This Row],[Afhængig variabel ID]]),INDEX(DataTitel_liste,1))</f>
        <v>Eksempel 1 (interval)</v>
      </c>
      <c r="G1045" s="171" t="str" cm="1">
        <f t="array" ref="G1045">IF(LineærRegression_Valg[[#This Row],[Indenfor range]],IF(LineærRegression_Valg[[#This Row],[Intet overlap]],INDEX(DataTitel_liste,LineærRegression_Valg[[#This Row],[Uafhængig variabel ID]]),INDEX(DataTitel_liste,IF(LineærRegression_Valg[[#This Row],[Afhængig variabel ID]]=1,2,1))),$B$7)</f>
        <v>Eksempel 2 (interval)</v>
      </c>
      <c r="H1045" s="171">
        <f>_xlfn.AGGREGATE(2,5,LineærRegression_Valg[[#This Row],[Tabel ID]])</f>
        <v>1</v>
      </c>
    </row>
    <row r="1046" spans="1:8" x14ac:dyDescent="0.2">
      <c r="A1046">
        <f>ROW(LineærRegression_Valg[[#This Row],[Tabel ID]])-ROW(LineærRegression_Valg[[#Headers],[Tabel ID]])</f>
        <v>1036</v>
      </c>
      <c r="B1046" s="171">
        <f>ROUNDDOWN((LineærRegression_Valg[[#This Row],[Tabel ID]]-1)/$B$5,0)+1</f>
        <v>259</v>
      </c>
      <c r="C1046" s="171">
        <f t="shared" si="16"/>
        <v>4</v>
      </c>
      <c r="D1046" s="171" t="b">
        <f>LineærRegression_Valg[[#This Row],[Afhængig variabel ID]]&lt;&gt;LineærRegression_Valg[[#This Row],[Uafhængig variabel ID]]</f>
        <v>1</v>
      </c>
      <c r="E1046" t="b">
        <f>LineærRegression_Valg[[#This Row],[Afhængig variabel ID]]&lt;=$B$5</f>
        <v>0</v>
      </c>
      <c r="F1046" t="str" cm="1">
        <f t="array" ref="F1046">IF(LineærRegression_Valg[[#This Row],[Indenfor range]],INDEX(DataTitel_liste,LineærRegression_Valg[[#This Row],[Afhængig variabel ID]]),INDEX(DataTitel_liste,1))</f>
        <v>Eksempel 1 (interval)</v>
      </c>
      <c r="G1046" s="171" t="str" cm="1">
        <f t="array" ref="G1046">IF(LineærRegression_Valg[[#This Row],[Indenfor range]],IF(LineærRegression_Valg[[#This Row],[Intet overlap]],INDEX(DataTitel_liste,LineærRegression_Valg[[#This Row],[Uafhængig variabel ID]]),INDEX(DataTitel_liste,IF(LineærRegression_Valg[[#This Row],[Afhængig variabel ID]]=1,2,1))),$B$7)</f>
        <v>Eksempel 2 (interval)</v>
      </c>
      <c r="H1046" s="171">
        <f>_xlfn.AGGREGATE(2,5,LineærRegression_Valg[[#This Row],[Tabel ID]])</f>
        <v>1</v>
      </c>
    </row>
    <row r="1047" spans="1:8" x14ac:dyDescent="0.2">
      <c r="A1047">
        <f>ROW(LineærRegression_Valg[[#This Row],[Tabel ID]])-ROW(LineærRegression_Valg[[#Headers],[Tabel ID]])</f>
        <v>1037</v>
      </c>
      <c r="B1047" s="171">
        <f>ROUNDDOWN((LineærRegression_Valg[[#This Row],[Tabel ID]]-1)/$B$5,0)+1</f>
        <v>260</v>
      </c>
      <c r="C1047" s="171">
        <f t="shared" si="16"/>
        <v>1</v>
      </c>
      <c r="D1047" s="171" t="b">
        <f>LineærRegression_Valg[[#This Row],[Afhængig variabel ID]]&lt;&gt;LineærRegression_Valg[[#This Row],[Uafhængig variabel ID]]</f>
        <v>1</v>
      </c>
      <c r="E1047" t="b">
        <f>LineærRegression_Valg[[#This Row],[Afhængig variabel ID]]&lt;=$B$5</f>
        <v>0</v>
      </c>
      <c r="F1047" t="str" cm="1">
        <f t="array" ref="F1047">IF(LineærRegression_Valg[[#This Row],[Indenfor range]],INDEX(DataTitel_liste,LineærRegression_Valg[[#This Row],[Afhængig variabel ID]]),INDEX(DataTitel_liste,1))</f>
        <v>Eksempel 1 (interval)</v>
      </c>
      <c r="G1047" s="171" t="str" cm="1">
        <f t="array" ref="G1047">IF(LineærRegression_Valg[[#This Row],[Indenfor range]],IF(LineærRegression_Valg[[#This Row],[Intet overlap]],INDEX(DataTitel_liste,LineærRegression_Valg[[#This Row],[Uafhængig variabel ID]]),INDEX(DataTitel_liste,IF(LineærRegression_Valg[[#This Row],[Afhængig variabel ID]]=1,2,1))),$B$7)</f>
        <v>Eksempel 2 (interval)</v>
      </c>
      <c r="H1047" s="171">
        <f>_xlfn.AGGREGATE(2,5,LineærRegression_Valg[[#This Row],[Tabel ID]])</f>
        <v>1</v>
      </c>
    </row>
    <row r="1048" spans="1:8" x14ac:dyDescent="0.2">
      <c r="A1048">
        <f>ROW(LineærRegression_Valg[[#This Row],[Tabel ID]])-ROW(LineærRegression_Valg[[#Headers],[Tabel ID]])</f>
        <v>1038</v>
      </c>
      <c r="B1048" s="171">
        <f>ROUNDDOWN((LineærRegression_Valg[[#This Row],[Tabel ID]]-1)/$B$5,0)+1</f>
        <v>260</v>
      </c>
      <c r="C1048" s="171">
        <f t="shared" si="16"/>
        <v>2</v>
      </c>
      <c r="D1048" s="171" t="b">
        <f>LineærRegression_Valg[[#This Row],[Afhængig variabel ID]]&lt;&gt;LineærRegression_Valg[[#This Row],[Uafhængig variabel ID]]</f>
        <v>1</v>
      </c>
      <c r="E1048" t="b">
        <f>LineærRegression_Valg[[#This Row],[Afhængig variabel ID]]&lt;=$B$5</f>
        <v>0</v>
      </c>
      <c r="F1048" t="str" cm="1">
        <f t="array" ref="F1048">IF(LineærRegression_Valg[[#This Row],[Indenfor range]],INDEX(DataTitel_liste,LineærRegression_Valg[[#This Row],[Afhængig variabel ID]]),INDEX(DataTitel_liste,1))</f>
        <v>Eksempel 1 (interval)</v>
      </c>
      <c r="G1048" s="171" t="str" cm="1">
        <f t="array" ref="G1048">IF(LineærRegression_Valg[[#This Row],[Indenfor range]],IF(LineærRegression_Valg[[#This Row],[Intet overlap]],INDEX(DataTitel_liste,LineærRegression_Valg[[#This Row],[Uafhængig variabel ID]]),INDEX(DataTitel_liste,IF(LineærRegression_Valg[[#This Row],[Afhængig variabel ID]]=1,2,1))),$B$7)</f>
        <v>Eksempel 2 (interval)</v>
      </c>
      <c r="H1048" s="171">
        <f>_xlfn.AGGREGATE(2,5,LineærRegression_Valg[[#This Row],[Tabel ID]])</f>
        <v>1</v>
      </c>
    </row>
    <row r="1049" spans="1:8" x14ac:dyDescent="0.2">
      <c r="A1049">
        <f>ROW(LineærRegression_Valg[[#This Row],[Tabel ID]])-ROW(LineærRegression_Valg[[#Headers],[Tabel ID]])</f>
        <v>1039</v>
      </c>
      <c r="B1049" s="171">
        <f>ROUNDDOWN((LineærRegression_Valg[[#This Row],[Tabel ID]]-1)/$B$5,0)+1</f>
        <v>260</v>
      </c>
      <c r="C1049" s="171">
        <f t="shared" si="16"/>
        <v>3</v>
      </c>
      <c r="D1049" s="171" t="b">
        <f>LineærRegression_Valg[[#This Row],[Afhængig variabel ID]]&lt;&gt;LineærRegression_Valg[[#This Row],[Uafhængig variabel ID]]</f>
        <v>1</v>
      </c>
      <c r="E1049" t="b">
        <f>LineærRegression_Valg[[#This Row],[Afhængig variabel ID]]&lt;=$B$5</f>
        <v>0</v>
      </c>
      <c r="F1049" t="str" cm="1">
        <f t="array" ref="F1049">IF(LineærRegression_Valg[[#This Row],[Indenfor range]],INDEX(DataTitel_liste,LineærRegression_Valg[[#This Row],[Afhængig variabel ID]]),INDEX(DataTitel_liste,1))</f>
        <v>Eksempel 1 (interval)</v>
      </c>
      <c r="G1049" s="171" t="str" cm="1">
        <f t="array" ref="G1049">IF(LineærRegression_Valg[[#This Row],[Indenfor range]],IF(LineærRegression_Valg[[#This Row],[Intet overlap]],INDEX(DataTitel_liste,LineærRegression_Valg[[#This Row],[Uafhængig variabel ID]]),INDEX(DataTitel_liste,IF(LineærRegression_Valg[[#This Row],[Afhængig variabel ID]]=1,2,1))),$B$7)</f>
        <v>Eksempel 2 (interval)</v>
      </c>
      <c r="H1049" s="171">
        <f>_xlfn.AGGREGATE(2,5,LineærRegression_Valg[[#This Row],[Tabel ID]])</f>
        <v>1</v>
      </c>
    </row>
    <row r="1050" spans="1:8" x14ac:dyDescent="0.2">
      <c r="A1050">
        <f>ROW(LineærRegression_Valg[[#This Row],[Tabel ID]])-ROW(LineærRegression_Valg[[#Headers],[Tabel ID]])</f>
        <v>1040</v>
      </c>
      <c r="B1050" s="171">
        <f>ROUNDDOWN((LineærRegression_Valg[[#This Row],[Tabel ID]]-1)/$B$5,0)+1</f>
        <v>260</v>
      </c>
      <c r="C1050" s="171">
        <f t="shared" si="16"/>
        <v>4</v>
      </c>
      <c r="D1050" s="171" t="b">
        <f>LineærRegression_Valg[[#This Row],[Afhængig variabel ID]]&lt;&gt;LineærRegression_Valg[[#This Row],[Uafhængig variabel ID]]</f>
        <v>1</v>
      </c>
      <c r="E1050" t="b">
        <f>LineærRegression_Valg[[#This Row],[Afhængig variabel ID]]&lt;=$B$5</f>
        <v>0</v>
      </c>
      <c r="F1050" t="str" cm="1">
        <f t="array" ref="F1050">IF(LineærRegression_Valg[[#This Row],[Indenfor range]],INDEX(DataTitel_liste,LineærRegression_Valg[[#This Row],[Afhængig variabel ID]]),INDEX(DataTitel_liste,1))</f>
        <v>Eksempel 1 (interval)</v>
      </c>
      <c r="G1050" s="171" t="str" cm="1">
        <f t="array" ref="G1050">IF(LineærRegression_Valg[[#This Row],[Indenfor range]],IF(LineærRegression_Valg[[#This Row],[Intet overlap]],INDEX(DataTitel_liste,LineærRegression_Valg[[#This Row],[Uafhængig variabel ID]]),INDEX(DataTitel_liste,IF(LineærRegression_Valg[[#This Row],[Afhængig variabel ID]]=1,2,1))),$B$7)</f>
        <v>Eksempel 2 (interval)</v>
      </c>
      <c r="H1050" s="171">
        <f>_xlfn.AGGREGATE(2,5,LineærRegression_Valg[[#This Row],[Tabel ID]])</f>
        <v>1</v>
      </c>
    </row>
    <row r="1051" spans="1:8" x14ac:dyDescent="0.2">
      <c r="A1051">
        <f>ROW(LineærRegression_Valg[[#This Row],[Tabel ID]])-ROW(LineærRegression_Valg[[#Headers],[Tabel ID]])</f>
        <v>1041</v>
      </c>
      <c r="B1051" s="171">
        <f>ROUNDDOWN((LineærRegression_Valg[[#This Row],[Tabel ID]]-1)/$B$5,0)+1</f>
        <v>261</v>
      </c>
      <c r="C1051" s="171">
        <f t="shared" si="16"/>
        <v>1</v>
      </c>
      <c r="D1051" s="171" t="b">
        <f>LineærRegression_Valg[[#This Row],[Afhængig variabel ID]]&lt;&gt;LineærRegression_Valg[[#This Row],[Uafhængig variabel ID]]</f>
        <v>1</v>
      </c>
      <c r="E1051" t="b">
        <f>LineærRegression_Valg[[#This Row],[Afhængig variabel ID]]&lt;=$B$5</f>
        <v>0</v>
      </c>
      <c r="F1051" t="str" cm="1">
        <f t="array" ref="F1051">IF(LineærRegression_Valg[[#This Row],[Indenfor range]],INDEX(DataTitel_liste,LineærRegression_Valg[[#This Row],[Afhængig variabel ID]]),INDEX(DataTitel_liste,1))</f>
        <v>Eksempel 1 (interval)</v>
      </c>
      <c r="G1051" s="171" t="str" cm="1">
        <f t="array" ref="G1051">IF(LineærRegression_Valg[[#This Row],[Indenfor range]],IF(LineærRegression_Valg[[#This Row],[Intet overlap]],INDEX(DataTitel_liste,LineærRegression_Valg[[#This Row],[Uafhængig variabel ID]]),INDEX(DataTitel_liste,IF(LineærRegression_Valg[[#This Row],[Afhængig variabel ID]]=1,2,1))),$B$7)</f>
        <v>Eksempel 2 (interval)</v>
      </c>
      <c r="H1051" s="171">
        <f>_xlfn.AGGREGATE(2,5,LineærRegression_Valg[[#This Row],[Tabel ID]])</f>
        <v>1</v>
      </c>
    </row>
    <row r="1052" spans="1:8" x14ac:dyDescent="0.2">
      <c r="A1052">
        <f>ROW(LineærRegression_Valg[[#This Row],[Tabel ID]])-ROW(LineærRegression_Valg[[#Headers],[Tabel ID]])</f>
        <v>1042</v>
      </c>
      <c r="B1052" s="171">
        <f>ROUNDDOWN((LineærRegression_Valg[[#This Row],[Tabel ID]]-1)/$B$5,0)+1</f>
        <v>261</v>
      </c>
      <c r="C1052" s="171">
        <f t="shared" si="16"/>
        <v>2</v>
      </c>
      <c r="D1052" s="171" t="b">
        <f>LineærRegression_Valg[[#This Row],[Afhængig variabel ID]]&lt;&gt;LineærRegression_Valg[[#This Row],[Uafhængig variabel ID]]</f>
        <v>1</v>
      </c>
      <c r="E1052" t="b">
        <f>LineærRegression_Valg[[#This Row],[Afhængig variabel ID]]&lt;=$B$5</f>
        <v>0</v>
      </c>
      <c r="F1052" t="str" cm="1">
        <f t="array" ref="F1052">IF(LineærRegression_Valg[[#This Row],[Indenfor range]],INDEX(DataTitel_liste,LineærRegression_Valg[[#This Row],[Afhængig variabel ID]]),INDEX(DataTitel_liste,1))</f>
        <v>Eksempel 1 (interval)</v>
      </c>
      <c r="G1052" s="171" t="str" cm="1">
        <f t="array" ref="G1052">IF(LineærRegression_Valg[[#This Row],[Indenfor range]],IF(LineærRegression_Valg[[#This Row],[Intet overlap]],INDEX(DataTitel_liste,LineærRegression_Valg[[#This Row],[Uafhængig variabel ID]]),INDEX(DataTitel_liste,IF(LineærRegression_Valg[[#This Row],[Afhængig variabel ID]]=1,2,1))),$B$7)</f>
        <v>Eksempel 2 (interval)</v>
      </c>
      <c r="H1052" s="171">
        <f>_xlfn.AGGREGATE(2,5,LineærRegression_Valg[[#This Row],[Tabel ID]])</f>
        <v>1</v>
      </c>
    </row>
    <row r="1053" spans="1:8" x14ac:dyDescent="0.2">
      <c r="A1053">
        <f>ROW(LineærRegression_Valg[[#This Row],[Tabel ID]])-ROW(LineærRegression_Valg[[#Headers],[Tabel ID]])</f>
        <v>1043</v>
      </c>
      <c r="B1053" s="171">
        <f>ROUNDDOWN((LineærRegression_Valg[[#This Row],[Tabel ID]]-1)/$B$5,0)+1</f>
        <v>261</v>
      </c>
      <c r="C1053" s="171">
        <f t="shared" si="16"/>
        <v>3</v>
      </c>
      <c r="D1053" s="171" t="b">
        <f>LineærRegression_Valg[[#This Row],[Afhængig variabel ID]]&lt;&gt;LineærRegression_Valg[[#This Row],[Uafhængig variabel ID]]</f>
        <v>1</v>
      </c>
      <c r="E1053" t="b">
        <f>LineærRegression_Valg[[#This Row],[Afhængig variabel ID]]&lt;=$B$5</f>
        <v>0</v>
      </c>
      <c r="F1053" t="str" cm="1">
        <f t="array" ref="F1053">IF(LineærRegression_Valg[[#This Row],[Indenfor range]],INDEX(DataTitel_liste,LineærRegression_Valg[[#This Row],[Afhængig variabel ID]]),INDEX(DataTitel_liste,1))</f>
        <v>Eksempel 1 (interval)</v>
      </c>
      <c r="G1053" s="171" t="str" cm="1">
        <f t="array" ref="G1053">IF(LineærRegression_Valg[[#This Row],[Indenfor range]],IF(LineærRegression_Valg[[#This Row],[Intet overlap]],INDEX(DataTitel_liste,LineærRegression_Valg[[#This Row],[Uafhængig variabel ID]]),INDEX(DataTitel_liste,IF(LineærRegression_Valg[[#This Row],[Afhængig variabel ID]]=1,2,1))),$B$7)</f>
        <v>Eksempel 2 (interval)</v>
      </c>
      <c r="H1053" s="171">
        <f>_xlfn.AGGREGATE(2,5,LineærRegression_Valg[[#This Row],[Tabel ID]])</f>
        <v>1</v>
      </c>
    </row>
    <row r="1054" spans="1:8" x14ac:dyDescent="0.2">
      <c r="A1054">
        <f>ROW(LineærRegression_Valg[[#This Row],[Tabel ID]])-ROW(LineærRegression_Valg[[#Headers],[Tabel ID]])</f>
        <v>1044</v>
      </c>
      <c r="B1054" s="171">
        <f>ROUNDDOWN((LineærRegression_Valg[[#This Row],[Tabel ID]]-1)/$B$5,0)+1</f>
        <v>261</v>
      </c>
      <c r="C1054" s="171">
        <f t="shared" si="16"/>
        <v>4</v>
      </c>
      <c r="D1054" s="171" t="b">
        <f>LineærRegression_Valg[[#This Row],[Afhængig variabel ID]]&lt;&gt;LineærRegression_Valg[[#This Row],[Uafhængig variabel ID]]</f>
        <v>1</v>
      </c>
      <c r="E1054" t="b">
        <f>LineærRegression_Valg[[#This Row],[Afhængig variabel ID]]&lt;=$B$5</f>
        <v>0</v>
      </c>
      <c r="F1054" t="str" cm="1">
        <f t="array" ref="F1054">IF(LineærRegression_Valg[[#This Row],[Indenfor range]],INDEX(DataTitel_liste,LineærRegression_Valg[[#This Row],[Afhængig variabel ID]]),INDEX(DataTitel_liste,1))</f>
        <v>Eksempel 1 (interval)</v>
      </c>
      <c r="G1054" s="171" t="str" cm="1">
        <f t="array" ref="G1054">IF(LineærRegression_Valg[[#This Row],[Indenfor range]],IF(LineærRegression_Valg[[#This Row],[Intet overlap]],INDEX(DataTitel_liste,LineærRegression_Valg[[#This Row],[Uafhængig variabel ID]]),INDEX(DataTitel_liste,IF(LineærRegression_Valg[[#This Row],[Afhængig variabel ID]]=1,2,1))),$B$7)</f>
        <v>Eksempel 2 (interval)</v>
      </c>
      <c r="H1054" s="171">
        <f>_xlfn.AGGREGATE(2,5,LineærRegression_Valg[[#This Row],[Tabel ID]])</f>
        <v>1</v>
      </c>
    </row>
    <row r="1055" spans="1:8" x14ac:dyDescent="0.2">
      <c r="A1055">
        <f>ROW(LineærRegression_Valg[[#This Row],[Tabel ID]])-ROW(LineærRegression_Valg[[#Headers],[Tabel ID]])</f>
        <v>1045</v>
      </c>
      <c r="B1055" s="171">
        <f>ROUNDDOWN((LineærRegression_Valg[[#This Row],[Tabel ID]]-1)/$B$5,0)+1</f>
        <v>262</v>
      </c>
      <c r="C1055" s="171">
        <f t="shared" si="16"/>
        <v>1</v>
      </c>
      <c r="D1055" s="171" t="b">
        <f>LineærRegression_Valg[[#This Row],[Afhængig variabel ID]]&lt;&gt;LineærRegression_Valg[[#This Row],[Uafhængig variabel ID]]</f>
        <v>1</v>
      </c>
      <c r="E1055" t="b">
        <f>LineærRegression_Valg[[#This Row],[Afhængig variabel ID]]&lt;=$B$5</f>
        <v>0</v>
      </c>
      <c r="F1055" t="str" cm="1">
        <f t="array" ref="F1055">IF(LineærRegression_Valg[[#This Row],[Indenfor range]],INDEX(DataTitel_liste,LineærRegression_Valg[[#This Row],[Afhængig variabel ID]]),INDEX(DataTitel_liste,1))</f>
        <v>Eksempel 1 (interval)</v>
      </c>
      <c r="G1055" s="171" t="str" cm="1">
        <f t="array" ref="G1055">IF(LineærRegression_Valg[[#This Row],[Indenfor range]],IF(LineærRegression_Valg[[#This Row],[Intet overlap]],INDEX(DataTitel_liste,LineærRegression_Valg[[#This Row],[Uafhængig variabel ID]]),INDEX(DataTitel_liste,IF(LineærRegression_Valg[[#This Row],[Afhængig variabel ID]]=1,2,1))),$B$7)</f>
        <v>Eksempel 2 (interval)</v>
      </c>
      <c r="H1055" s="171">
        <f>_xlfn.AGGREGATE(2,5,LineærRegression_Valg[[#This Row],[Tabel ID]])</f>
        <v>1</v>
      </c>
    </row>
    <row r="1056" spans="1:8" x14ac:dyDescent="0.2">
      <c r="A1056">
        <f>ROW(LineærRegression_Valg[[#This Row],[Tabel ID]])-ROW(LineærRegression_Valg[[#Headers],[Tabel ID]])</f>
        <v>1046</v>
      </c>
      <c r="B1056" s="171">
        <f>ROUNDDOWN((LineærRegression_Valg[[#This Row],[Tabel ID]]-1)/$B$5,0)+1</f>
        <v>262</v>
      </c>
      <c r="C1056" s="171">
        <f t="shared" si="16"/>
        <v>2</v>
      </c>
      <c r="D1056" s="171" t="b">
        <f>LineærRegression_Valg[[#This Row],[Afhængig variabel ID]]&lt;&gt;LineærRegression_Valg[[#This Row],[Uafhængig variabel ID]]</f>
        <v>1</v>
      </c>
      <c r="E1056" t="b">
        <f>LineærRegression_Valg[[#This Row],[Afhængig variabel ID]]&lt;=$B$5</f>
        <v>0</v>
      </c>
      <c r="F1056" t="str" cm="1">
        <f t="array" ref="F1056">IF(LineærRegression_Valg[[#This Row],[Indenfor range]],INDEX(DataTitel_liste,LineærRegression_Valg[[#This Row],[Afhængig variabel ID]]),INDEX(DataTitel_liste,1))</f>
        <v>Eksempel 1 (interval)</v>
      </c>
      <c r="G1056" s="171" t="str" cm="1">
        <f t="array" ref="G1056">IF(LineærRegression_Valg[[#This Row],[Indenfor range]],IF(LineærRegression_Valg[[#This Row],[Intet overlap]],INDEX(DataTitel_liste,LineærRegression_Valg[[#This Row],[Uafhængig variabel ID]]),INDEX(DataTitel_liste,IF(LineærRegression_Valg[[#This Row],[Afhængig variabel ID]]=1,2,1))),$B$7)</f>
        <v>Eksempel 2 (interval)</v>
      </c>
      <c r="H1056" s="171">
        <f>_xlfn.AGGREGATE(2,5,LineærRegression_Valg[[#This Row],[Tabel ID]])</f>
        <v>1</v>
      </c>
    </row>
    <row r="1057" spans="1:8" x14ac:dyDescent="0.2">
      <c r="A1057">
        <f>ROW(LineærRegression_Valg[[#This Row],[Tabel ID]])-ROW(LineærRegression_Valg[[#Headers],[Tabel ID]])</f>
        <v>1047</v>
      </c>
      <c r="B1057" s="171">
        <f>ROUNDDOWN((LineærRegression_Valg[[#This Row],[Tabel ID]]-1)/$B$5,0)+1</f>
        <v>262</v>
      </c>
      <c r="C1057" s="171">
        <f t="shared" si="16"/>
        <v>3</v>
      </c>
      <c r="D1057" s="171" t="b">
        <f>LineærRegression_Valg[[#This Row],[Afhængig variabel ID]]&lt;&gt;LineærRegression_Valg[[#This Row],[Uafhængig variabel ID]]</f>
        <v>1</v>
      </c>
      <c r="E1057" t="b">
        <f>LineærRegression_Valg[[#This Row],[Afhængig variabel ID]]&lt;=$B$5</f>
        <v>0</v>
      </c>
      <c r="F1057" t="str" cm="1">
        <f t="array" ref="F1057">IF(LineærRegression_Valg[[#This Row],[Indenfor range]],INDEX(DataTitel_liste,LineærRegression_Valg[[#This Row],[Afhængig variabel ID]]),INDEX(DataTitel_liste,1))</f>
        <v>Eksempel 1 (interval)</v>
      </c>
      <c r="G1057" s="171" t="str" cm="1">
        <f t="array" ref="G1057">IF(LineærRegression_Valg[[#This Row],[Indenfor range]],IF(LineærRegression_Valg[[#This Row],[Intet overlap]],INDEX(DataTitel_liste,LineærRegression_Valg[[#This Row],[Uafhængig variabel ID]]),INDEX(DataTitel_liste,IF(LineærRegression_Valg[[#This Row],[Afhængig variabel ID]]=1,2,1))),$B$7)</f>
        <v>Eksempel 2 (interval)</v>
      </c>
      <c r="H1057" s="171">
        <f>_xlfn.AGGREGATE(2,5,LineærRegression_Valg[[#This Row],[Tabel ID]])</f>
        <v>1</v>
      </c>
    </row>
    <row r="1058" spans="1:8" x14ac:dyDescent="0.2">
      <c r="A1058">
        <f>ROW(LineærRegression_Valg[[#This Row],[Tabel ID]])-ROW(LineærRegression_Valg[[#Headers],[Tabel ID]])</f>
        <v>1048</v>
      </c>
      <c r="B1058" s="171">
        <f>ROUNDDOWN((LineærRegression_Valg[[#This Row],[Tabel ID]]-1)/$B$5,0)+1</f>
        <v>262</v>
      </c>
      <c r="C1058" s="171">
        <f t="shared" si="16"/>
        <v>4</v>
      </c>
      <c r="D1058" s="171" t="b">
        <f>LineærRegression_Valg[[#This Row],[Afhængig variabel ID]]&lt;&gt;LineærRegression_Valg[[#This Row],[Uafhængig variabel ID]]</f>
        <v>1</v>
      </c>
      <c r="E1058" t="b">
        <f>LineærRegression_Valg[[#This Row],[Afhængig variabel ID]]&lt;=$B$5</f>
        <v>0</v>
      </c>
      <c r="F1058" t="str" cm="1">
        <f t="array" ref="F1058">IF(LineærRegression_Valg[[#This Row],[Indenfor range]],INDEX(DataTitel_liste,LineærRegression_Valg[[#This Row],[Afhængig variabel ID]]),INDEX(DataTitel_liste,1))</f>
        <v>Eksempel 1 (interval)</v>
      </c>
      <c r="G1058" s="171" t="str" cm="1">
        <f t="array" ref="G1058">IF(LineærRegression_Valg[[#This Row],[Indenfor range]],IF(LineærRegression_Valg[[#This Row],[Intet overlap]],INDEX(DataTitel_liste,LineærRegression_Valg[[#This Row],[Uafhængig variabel ID]]),INDEX(DataTitel_liste,IF(LineærRegression_Valg[[#This Row],[Afhængig variabel ID]]=1,2,1))),$B$7)</f>
        <v>Eksempel 2 (interval)</v>
      </c>
      <c r="H1058" s="171">
        <f>_xlfn.AGGREGATE(2,5,LineærRegression_Valg[[#This Row],[Tabel ID]])</f>
        <v>1</v>
      </c>
    </row>
    <row r="1059" spans="1:8" x14ac:dyDescent="0.2">
      <c r="A1059">
        <f>ROW(LineærRegression_Valg[[#This Row],[Tabel ID]])-ROW(LineærRegression_Valg[[#Headers],[Tabel ID]])</f>
        <v>1049</v>
      </c>
      <c r="B1059" s="171">
        <f>ROUNDDOWN((LineærRegression_Valg[[#This Row],[Tabel ID]]-1)/$B$5,0)+1</f>
        <v>263</v>
      </c>
      <c r="C1059" s="171">
        <f t="shared" si="16"/>
        <v>1</v>
      </c>
      <c r="D1059" s="171" t="b">
        <f>LineærRegression_Valg[[#This Row],[Afhængig variabel ID]]&lt;&gt;LineærRegression_Valg[[#This Row],[Uafhængig variabel ID]]</f>
        <v>1</v>
      </c>
      <c r="E1059" t="b">
        <f>LineærRegression_Valg[[#This Row],[Afhængig variabel ID]]&lt;=$B$5</f>
        <v>0</v>
      </c>
      <c r="F1059" t="str" cm="1">
        <f t="array" ref="F1059">IF(LineærRegression_Valg[[#This Row],[Indenfor range]],INDEX(DataTitel_liste,LineærRegression_Valg[[#This Row],[Afhængig variabel ID]]),INDEX(DataTitel_liste,1))</f>
        <v>Eksempel 1 (interval)</v>
      </c>
      <c r="G1059" s="171" t="str" cm="1">
        <f t="array" ref="G1059">IF(LineærRegression_Valg[[#This Row],[Indenfor range]],IF(LineærRegression_Valg[[#This Row],[Intet overlap]],INDEX(DataTitel_liste,LineærRegression_Valg[[#This Row],[Uafhængig variabel ID]]),INDEX(DataTitel_liste,IF(LineærRegression_Valg[[#This Row],[Afhængig variabel ID]]=1,2,1))),$B$7)</f>
        <v>Eksempel 2 (interval)</v>
      </c>
      <c r="H1059" s="171">
        <f>_xlfn.AGGREGATE(2,5,LineærRegression_Valg[[#This Row],[Tabel ID]])</f>
        <v>1</v>
      </c>
    </row>
    <row r="1060" spans="1:8" x14ac:dyDescent="0.2">
      <c r="A1060">
        <f>ROW(LineærRegression_Valg[[#This Row],[Tabel ID]])-ROW(LineærRegression_Valg[[#Headers],[Tabel ID]])</f>
        <v>1050</v>
      </c>
      <c r="B1060" s="171">
        <f>ROUNDDOWN((LineærRegression_Valg[[#This Row],[Tabel ID]]-1)/$B$5,0)+1</f>
        <v>263</v>
      </c>
      <c r="C1060" s="171">
        <f t="shared" si="16"/>
        <v>2</v>
      </c>
      <c r="D1060" s="171" t="b">
        <f>LineærRegression_Valg[[#This Row],[Afhængig variabel ID]]&lt;&gt;LineærRegression_Valg[[#This Row],[Uafhængig variabel ID]]</f>
        <v>1</v>
      </c>
      <c r="E1060" t="b">
        <f>LineærRegression_Valg[[#This Row],[Afhængig variabel ID]]&lt;=$B$5</f>
        <v>0</v>
      </c>
      <c r="F1060" t="str" cm="1">
        <f t="array" ref="F1060">IF(LineærRegression_Valg[[#This Row],[Indenfor range]],INDEX(DataTitel_liste,LineærRegression_Valg[[#This Row],[Afhængig variabel ID]]),INDEX(DataTitel_liste,1))</f>
        <v>Eksempel 1 (interval)</v>
      </c>
      <c r="G1060" s="171" t="str" cm="1">
        <f t="array" ref="G1060">IF(LineærRegression_Valg[[#This Row],[Indenfor range]],IF(LineærRegression_Valg[[#This Row],[Intet overlap]],INDEX(DataTitel_liste,LineærRegression_Valg[[#This Row],[Uafhængig variabel ID]]),INDEX(DataTitel_liste,IF(LineærRegression_Valg[[#This Row],[Afhængig variabel ID]]=1,2,1))),$B$7)</f>
        <v>Eksempel 2 (interval)</v>
      </c>
      <c r="H1060" s="171">
        <f>_xlfn.AGGREGATE(2,5,LineærRegression_Valg[[#This Row],[Tabel ID]])</f>
        <v>1</v>
      </c>
    </row>
    <row r="1061" spans="1:8" x14ac:dyDescent="0.2">
      <c r="A1061">
        <f>ROW(LineærRegression_Valg[[#This Row],[Tabel ID]])-ROW(LineærRegression_Valg[[#Headers],[Tabel ID]])</f>
        <v>1051</v>
      </c>
      <c r="B1061" s="171">
        <f>ROUNDDOWN((LineærRegression_Valg[[#This Row],[Tabel ID]]-1)/$B$5,0)+1</f>
        <v>263</v>
      </c>
      <c r="C1061" s="171">
        <f t="shared" si="16"/>
        <v>3</v>
      </c>
      <c r="D1061" s="171" t="b">
        <f>LineærRegression_Valg[[#This Row],[Afhængig variabel ID]]&lt;&gt;LineærRegression_Valg[[#This Row],[Uafhængig variabel ID]]</f>
        <v>1</v>
      </c>
      <c r="E1061" t="b">
        <f>LineærRegression_Valg[[#This Row],[Afhængig variabel ID]]&lt;=$B$5</f>
        <v>0</v>
      </c>
      <c r="F1061" t="str" cm="1">
        <f t="array" ref="F1061">IF(LineærRegression_Valg[[#This Row],[Indenfor range]],INDEX(DataTitel_liste,LineærRegression_Valg[[#This Row],[Afhængig variabel ID]]),INDEX(DataTitel_liste,1))</f>
        <v>Eksempel 1 (interval)</v>
      </c>
      <c r="G1061" s="171" t="str" cm="1">
        <f t="array" ref="G1061">IF(LineærRegression_Valg[[#This Row],[Indenfor range]],IF(LineærRegression_Valg[[#This Row],[Intet overlap]],INDEX(DataTitel_liste,LineærRegression_Valg[[#This Row],[Uafhængig variabel ID]]),INDEX(DataTitel_liste,IF(LineærRegression_Valg[[#This Row],[Afhængig variabel ID]]=1,2,1))),$B$7)</f>
        <v>Eksempel 2 (interval)</v>
      </c>
      <c r="H1061" s="171">
        <f>_xlfn.AGGREGATE(2,5,LineærRegression_Valg[[#This Row],[Tabel ID]])</f>
        <v>1</v>
      </c>
    </row>
    <row r="1062" spans="1:8" x14ac:dyDescent="0.2">
      <c r="A1062">
        <f>ROW(LineærRegression_Valg[[#This Row],[Tabel ID]])-ROW(LineærRegression_Valg[[#Headers],[Tabel ID]])</f>
        <v>1052</v>
      </c>
      <c r="B1062" s="171">
        <f>ROUNDDOWN((LineærRegression_Valg[[#This Row],[Tabel ID]]-1)/$B$5,0)+1</f>
        <v>263</v>
      </c>
      <c r="C1062" s="171">
        <f t="shared" si="16"/>
        <v>4</v>
      </c>
      <c r="D1062" s="171" t="b">
        <f>LineærRegression_Valg[[#This Row],[Afhængig variabel ID]]&lt;&gt;LineærRegression_Valg[[#This Row],[Uafhængig variabel ID]]</f>
        <v>1</v>
      </c>
      <c r="E1062" t="b">
        <f>LineærRegression_Valg[[#This Row],[Afhængig variabel ID]]&lt;=$B$5</f>
        <v>0</v>
      </c>
      <c r="F1062" t="str" cm="1">
        <f t="array" ref="F1062">IF(LineærRegression_Valg[[#This Row],[Indenfor range]],INDEX(DataTitel_liste,LineærRegression_Valg[[#This Row],[Afhængig variabel ID]]),INDEX(DataTitel_liste,1))</f>
        <v>Eksempel 1 (interval)</v>
      </c>
      <c r="G1062" s="171" t="str" cm="1">
        <f t="array" ref="G1062">IF(LineærRegression_Valg[[#This Row],[Indenfor range]],IF(LineærRegression_Valg[[#This Row],[Intet overlap]],INDEX(DataTitel_liste,LineærRegression_Valg[[#This Row],[Uafhængig variabel ID]]),INDEX(DataTitel_liste,IF(LineærRegression_Valg[[#This Row],[Afhængig variabel ID]]=1,2,1))),$B$7)</f>
        <v>Eksempel 2 (interval)</v>
      </c>
      <c r="H1062" s="171">
        <f>_xlfn.AGGREGATE(2,5,LineærRegression_Valg[[#This Row],[Tabel ID]])</f>
        <v>1</v>
      </c>
    </row>
    <row r="1063" spans="1:8" x14ac:dyDescent="0.2">
      <c r="A1063">
        <f>ROW(LineærRegression_Valg[[#This Row],[Tabel ID]])-ROW(LineærRegression_Valg[[#Headers],[Tabel ID]])</f>
        <v>1053</v>
      </c>
      <c r="B1063" s="171">
        <f>ROUNDDOWN((LineærRegression_Valg[[#This Row],[Tabel ID]]-1)/$B$5,0)+1</f>
        <v>264</v>
      </c>
      <c r="C1063" s="171">
        <f t="shared" si="16"/>
        <v>1</v>
      </c>
      <c r="D1063" s="171" t="b">
        <f>LineærRegression_Valg[[#This Row],[Afhængig variabel ID]]&lt;&gt;LineærRegression_Valg[[#This Row],[Uafhængig variabel ID]]</f>
        <v>1</v>
      </c>
      <c r="E1063" t="b">
        <f>LineærRegression_Valg[[#This Row],[Afhængig variabel ID]]&lt;=$B$5</f>
        <v>0</v>
      </c>
      <c r="F1063" t="str" cm="1">
        <f t="array" ref="F1063">IF(LineærRegression_Valg[[#This Row],[Indenfor range]],INDEX(DataTitel_liste,LineærRegression_Valg[[#This Row],[Afhængig variabel ID]]),INDEX(DataTitel_liste,1))</f>
        <v>Eksempel 1 (interval)</v>
      </c>
      <c r="G1063" s="171" t="str" cm="1">
        <f t="array" ref="G1063">IF(LineærRegression_Valg[[#This Row],[Indenfor range]],IF(LineærRegression_Valg[[#This Row],[Intet overlap]],INDEX(DataTitel_liste,LineærRegression_Valg[[#This Row],[Uafhængig variabel ID]]),INDEX(DataTitel_liste,IF(LineærRegression_Valg[[#This Row],[Afhængig variabel ID]]=1,2,1))),$B$7)</f>
        <v>Eksempel 2 (interval)</v>
      </c>
      <c r="H1063" s="171">
        <f>_xlfn.AGGREGATE(2,5,LineærRegression_Valg[[#This Row],[Tabel ID]])</f>
        <v>1</v>
      </c>
    </row>
    <row r="1064" spans="1:8" x14ac:dyDescent="0.2">
      <c r="A1064">
        <f>ROW(LineærRegression_Valg[[#This Row],[Tabel ID]])-ROW(LineærRegression_Valg[[#Headers],[Tabel ID]])</f>
        <v>1054</v>
      </c>
      <c r="B1064" s="171">
        <f>ROUNDDOWN((LineærRegression_Valg[[#This Row],[Tabel ID]]-1)/$B$5,0)+1</f>
        <v>264</v>
      </c>
      <c r="C1064" s="171">
        <f t="shared" si="16"/>
        <v>2</v>
      </c>
      <c r="D1064" s="171" t="b">
        <f>LineærRegression_Valg[[#This Row],[Afhængig variabel ID]]&lt;&gt;LineærRegression_Valg[[#This Row],[Uafhængig variabel ID]]</f>
        <v>1</v>
      </c>
      <c r="E1064" t="b">
        <f>LineærRegression_Valg[[#This Row],[Afhængig variabel ID]]&lt;=$B$5</f>
        <v>0</v>
      </c>
      <c r="F1064" t="str" cm="1">
        <f t="array" ref="F1064">IF(LineærRegression_Valg[[#This Row],[Indenfor range]],INDEX(DataTitel_liste,LineærRegression_Valg[[#This Row],[Afhængig variabel ID]]),INDEX(DataTitel_liste,1))</f>
        <v>Eksempel 1 (interval)</v>
      </c>
      <c r="G1064" s="171" t="str" cm="1">
        <f t="array" ref="G1064">IF(LineærRegression_Valg[[#This Row],[Indenfor range]],IF(LineærRegression_Valg[[#This Row],[Intet overlap]],INDEX(DataTitel_liste,LineærRegression_Valg[[#This Row],[Uafhængig variabel ID]]),INDEX(DataTitel_liste,IF(LineærRegression_Valg[[#This Row],[Afhængig variabel ID]]=1,2,1))),$B$7)</f>
        <v>Eksempel 2 (interval)</v>
      </c>
      <c r="H1064" s="171">
        <f>_xlfn.AGGREGATE(2,5,LineærRegression_Valg[[#This Row],[Tabel ID]])</f>
        <v>1</v>
      </c>
    </row>
    <row r="1065" spans="1:8" x14ac:dyDescent="0.2">
      <c r="A1065">
        <f>ROW(LineærRegression_Valg[[#This Row],[Tabel ID]])-ROW(LineærRegression_Valg[[#Headers],[Tabel ID]])</f>
        <v>1055</v>
      </c>
      <c r="B1065" s="171">
        <f>ROUNDDOWN((LineærRegression_Valg[[#This Row],[Tabel ID]]-1)/$B$5,0)+1</f>
        <v>264</v>
      </c>
      <c r="C1065" s="171">
        <f t="shared" si="16"/>
        <v>3</v>
      </c>
      <c r="D1065" s="171" t="b">
        <f>LineærRegression_Valg[[#This Row],[Afhængig variabel ID]]&lt;&gt;LineærRegression_Valg[[#This Row],[Uafhængig variabel ID]]</f>
        <v>1</v>
      </c>
      <c r="E1065" t="b">
        <f>LineærRegression_Valg[[#This Row],[Afhængig variabel ID]]&lt;=$B$5</f>
        <v>0</v>
      </c>
      <c r="F1065" t="str" cm="1">
        <f t="array" ref="F1065">IF(LineærRegression_Valg[[#This Row],[Indenfor range]],INDEX(DataTitel_liste,LineærRegression_Valg[[#This Row],[Afhængig variabel ID]]),INDEX(DataTitel_liste,1))</f>
        <v>Eksempel 1 (interval)</v>
      </c>
      <c r="G1065" s="171" t="str" cm="1">
        <f t="array" ref="G1065">IF(LineærRegression_Valg[[#This Row],[Indenfor range]],IF(LineærRegression_Valg[[#This Row],[Intet overlap]],INDEX(DataTitel_liste,LineærRegression_Valg[[#This Row],[Uafhængig variabel ID]]),INDEX(DataTitel_liste,IF(LineærRegression_Valg[[#This Row],[Afhængig variabel ID]]=1,2,1))),$B$7)</f>
        <v>Eksempel 2 (interval)</v>
      </c>
      <c r="H1065" s="171">
        <f>_xlfn.AGGREGATE(2,5,LineærRegression_Valg[[#This Row],[Tabel ID]])</f>
        <v>1</v>
      </c>
    </row>
    <row r="1066" spans="1:8" x14ac:dyDescent="0.2">
      <c r="A1066">
        <f>ROW(LineærRegression_Valg[[#This Row],[Tabel ID]])-ROW(LineærRegression_Valg[[#Headers],[Tabel ID]])</f>
        <v>1056</v>
      </c>
      <c r="B1066" s="171">
        <f>ROUNDDOWN((LineærRegression_Valg[[#This Row],[Tabel ID]]-1)/$B$5,0)+1</f>
        <v>264</v>
      </c>
      <c r="C1066" s="171">
        <f t="shared" si="16"/>
        <v>4</v>
      </c>
      <c r="D1066" s="171" t="b">
        <f>LineærRegression_Valg[[#This Row],[Afhængig variabel ID]]&lt;&gt;LineærRegression_Valg[[#This Row],[Uafhængig variabel ID]]</f>
        <v>1</v>
      </c>
      <c r="E1066" t="b">
        <f>LineærRegression_Valg[[#This Row],[Afhængig variabel ID]]&lt;=$B$5</f>
        <v>0</v>
      </c>
      <c r="F1066" t="str" cm="1">
        <f t="array" ref="F1066">IF(LineærRegression_Valg[[#This Row],[Indenfor range]],INDEX(DataTitel_liste,LineærRegression_Valg[[#This Row],[Afhængig variabel ID]]),INDEX(DataTitel_liste,1))</f>
        <v>Eksempel 1 (interval)</v>
      </c>
      <c r="G1066" s="171" t="str" cm="1">
        <f t="array" ref="G1066">IF(LineærRegression_Valg[[#This Row],[Indenfor range]],IF(LineærRegression_Valg[[#This Row],[Intet overlap]],INDEX(DataTitel_liste,LineærRegression_Valg[[#This Row],[Uafhængig variabel ID]]),INDEX(DataTitel_liste,IF(LineærRegression_Valg[[#This Row],[Afhængig variabel ID]]=1,2,1))),$B$7)</f>
        <v>Eksempel 2 (interval)</v>
      </c>
      <c r="H1066" s="171">
        <f>_xlfn.AGGREGATE(2,5,LineærRegression_Valg[[#This Row],[Tabel ID]])</f>
        <v>1</v>
      </c>
    </row>
    <row r="1067" spans="1:8" x14ac:dyDescent="0.2">
      <c r="A1067">
        <f>ROW(LineærRegression_Valg[[#This Row],[Tabel ID]])-ROW(LineærRegression_Valg[[#Headers],[Tabel ID]])</f>
        <v>1057</v>
      </c>
      <c r="B1067" s="171">
        <f>ROUNDDOWN((LineærRegression_Valg[[#This Row],[Tabel ID]]-1)/$B$5,0)+1</f>
        <v>265</v>
      </c>
      <c r="C1067" s="171">
        <f t="shared" si="16"/>
        <v>1</v>
      </c>
      <c r="D1067" s="171" t="b">
        <f>LineærRegression_Valg[[#This Row],[Afhængig variabel ID]]&lt;&gt;LineærRegression_Valg[[#This Row],[Uafhængig variabel ID]]</f>
        <v>1</v>
      </c>
      <c r="E1067" t="b">
        <f>LineærRegression_Valg[[#This Row],[Afhængig variabel ID]]&lt;=$B$5</f>
        <v>0</v>
      </c>
      <c r="F1067" t="str" cm="1">
        <f t="array" ref="F1067">IF(LineærRegression_Valg[[#This Row],[Indenfor range]],INDEX(DataTitel_liste,LineærRegression_Valg[[#This Row],[Afhængig variabel ID]]),INDEX(DataTitel_liste,1))</f>
        <v>Eksempel 1 (interval)</v>
      </c>
      <c r="G1067" s="171" t="str" cm="1">
        <f t="array" ref="G1067">IF(LineærRegression_Valg[[#This Row],[Indenfor range]],IF(LineærRegression_Valg[[#This Row],[Intet overlap]],INDEX(DataTitel_liste,LineærRegression_Valg[[#This Row],[Uafhængig variabel ID]]),INDEX(DataTitel_liste,IF(LineærRegression_Valg[[#This Row],[Afhængig variabel ID]]=1,2,1))),$B$7)</f>
        <v>Eksempel 2 (interval)</v>
      </c>
      <c r="H1067" s="171">
        <f>_xlfn.AGGREGATE(2,5,LineærRegression_Valg[[#This Row],[Tabel ID]])</f>
        <v>1</v>
      </c>
    </row>
    <row r="1068" spans="1:8" x14ac:dyDescent="0.2">
      <c r="A1068">
        <f>ROW(LineærRegression_Valg[[#This Row],[Tabel ID]])-ROW(LineærRegression_Valg[[#Headers],[Tabel ID]])</f>
        <v>1058</v>
      </c>
      <c r="B1068" s="171">
        <f>ROUNDDOWN((LineærRegression_Valg[[#This Row],[Tabel ID]]-1)/$B$5,0)+1</f>
        <v>265</v>
      </c>
      <c r="C1068" s="171">
        <f t="shared" si="16"/>
        <v>2</v>
      </c>
      <c r="D1068" s="171" t="b">
        <f>LineærRegression_Valg[[#This Row],[Afhængig variabel ID]]&lt;&gt;LineærRegression_Valg[[#This Row],[Uafhængig variabel ID]]</f>
        <v>1</v>
      </c>
      <c r="E1068" t="b">
        <f>LineærRegression_Valg[[#This Row],[Afhængig variabel ID]]&lt;=$B$5</f>
        <v>0</v>
      </c>
      <c r="F1068" t="str" cm="1">
        <f t="array" ref="F1068">IF(LineærRegression_Valg[[#This Row],[Indenfor range]],INDEX(DataTitel_liste,LineærRegression_Valg[[#This Row],[Afhængig variabel ID]]),INDEX(DataTitel_liste,1))</f>
        <v>Eksempel 1 (interval)</v>
      </c>
      <c r="G1068" s="171" t="str" cm="1">
        <f t="array" ref="G1068">IF(LineærRegression_Valg[[#This Row],[Indenfor range]],IF(LineærRegression_Valg[[#This Row],[Intet overlap]],INDEX(DataTitel_liste,LineærRegression_Valg[[#This Row],[Uafhængig variabel ID]]),INDEX(DataTitel_liste,IF(LineærRegression_Valg[[#This Row],[Afhængig variabel ID]]=1,2,1))),$B$7)</f>
        <v>Eksempel 2 (interval)</v>
      </c>
      <c r="H1068" s="171">
        <f>_xlfn.AGGREGATE(2,5,LineærRegression_Valg[[#This Row],[Tabel ID]])</f>
        <v>1</v>
      </c>
    </row>
    <row r="1069" spans="1:8" x14ac:dyDescent="0.2">
      <c r="A1069">
        <f>ROW(LineærRegression_Valg[[#This Row],[Tabel ID]])-ROW(LineærRegression_Valg[[#Headers],[Tabel ID]])</f>
        <v>1059</v>
      </c>
      <c r="B1069" s="171">
        <f>ROUNDDOWN((LineærRegression_Valg[[#This Row],[Tabel ID]]-1)/$B$5,0)+1</f>
        <v>265</v>
      </c>
      <c r="C1069" s="171">
        <f t="shared" si="16"/>
        <v>3</v>
      </c>
      <c r="D1069" s="171" t="b">
        <f>LineærRegression_Valg[[#This Row],[Afhængig variabel ID]]&lt;&gt;LineærRegression_Valg[[#This Row],[Uafhængig variabel ID]]</f>
        <v>1</v>
      </c>
      <c r="E1069" t="b">
        <f>LineærRegression_Valg[[#This Row],[Afhængig variabel ID]]&lt;=$B$5</f>
        <v>0</v>
      </c>
      <c r="F1069" t="str" cm="1">
        <f t="array" ref="F1069">IF(LineærRegression_Valg[[#This Row],[Indenfor range]],INDEX(DataTitel_liste,LineærRegression_Valg[[#This Row],[Afhængig variabel ID]]),INDEX(DataTitel_liste,1))</f>
        <v>Eksempel 1 (interval)</v>
      </c>
      <c r="G1069" s="171" t="str" cm="1">
        <f t="array" ref="G1069">IF(LineærRegression_Valg[[#This Row],[Indenfor range]],IF(LineærRegression_Valg[[#This Row],[Intet overlap]],INDEX(DataTitel_liste,LineærRegression_Valg[[#This Row],[Uafhængig variabel ID]]),INDEX(DataTitel_liste,IF(LineærRegression_Valg[[#This Row],[Afhængig variabel ID]]=1,2,1))),$B$7)</f>
        <v>Eksempel 2 (interval)</v>
      </c>
      <c r="H1069" s="171">
        <f>_xlfn.AGGREGATE(2,5,LineærRegression_Valg[[#This Row],[Tabel ID]])</f>
        <v>1</v>
      </c>
    </row>
    <row r="1070" spans="1:8" x14ac:dyDescent="0.2">
      <c r="A1070">
        <f>ROW(LineærRegression_Valg[[#This Row],[Tabel ID]])-ROW(LineærRegression_Valg[[#Headers],[Tabel ID]])</f>
        <v>1060</v>
      </c>
      <c r="B1070" s="171">
        <f>ROUNDDOWN((LineærRegression_Valg[[#This Row],[Tabel ID]]-1)/$B$5,0)+1</f>
        <v>265</v>
      </c>
      <c r="C1070" s="171">
        <f t="shared" si="16"/>
        <v>4</v>
      </c>
      <c r="D1070" s="171" t="b">
        <f>LineærRegression_Valg[[#This Row],[Afhængig variabel ID]]&lt;&gt;LineærRegression_Valg[[#This Row],[Uafhængig variabel ID]]</f>
        <v>1</v>
      </c>
      <c r="E1070" t="b">
        <f>LineærRegression_Valg[[#This Row],[Afhængig variabel ID]]&lt;=$B$5</f>
        <v>0</v>
      </c>
      <c r="F1070" t="str" cm="1">
        <f t="array" ref="F1070">IF(LineærRegression_Valg[[#This Row],[Indenfor range]],INDEX(DataTitel_liste,LineærRegression_Valg[[#This Row],[Afhængig variabel ID]]),INDEX(DataTitel_liste,1))</f>
        <v>Eksempel 1 (interval)</v>
      </c>
      <c r="G1070" s="171" t="str" cm="1">
        <f t="array" ref="G1070">IF(LineærRegression_Valg[[#This Row],[Indenfor range]],IF(LineærRegression_Valg[[#This Row],[Intet overlap]],INDEX(DataTitel_liste,LineærRegression_Valg[[#This Row],[Uafhængig variabel ID]]),INDEX(DataTitel_liste,IF(LineærRegression_Valg[[#This Row],[Afhængig variabel ID]]=1,2,1))),$B$7)</f>
        <v>Eksempel 2 (interval)</v>
      </c>
      <c r="H1070" s="171">
        <f>_xlfn.AGGREGATE(2,5,LineærRegression_Valg[[#This Row],[Tabel ID]])</f>
        <v>1</v>
      </c>
    </row>
    <row r="1071" spans="1:8" x14ac:dyDescent="0.2">
      <c r="A1071">
        <f>ROW(LineærRegression_Valg[[#This Row],[Tabel ID]])-ROW(LineærRegression_Valg[[#Headers],[Tabel ID]])</f>
        <v>1061</v>
      </c>
      <c r="B1071" s="171">
        <f>ROUNDDOWN((LineærRegression_Valg[[#This Row],[Tabel ID]]-1)/$B$5,0)+1</f>
        <v>266</v>
      </c>
      <c r="C1071" s="171">
        <f t="shared" si="16"/>
        <v>1</v>
      </c>
      <c r="D1071" s="171" t="b">
        <f>LineærRegression_Valg[[#This Row],[Afhængig variabel ID]]&lt;&gt;LineærRegression_Valg[[#This Row],[Uafhængig variabel ID]]</f>
        <v>1</v>
      </c>
      <c r="E1071" t="b">
        <f>LineærRegression_Valg[[#This Row],[Afhængig variabel ID]]&lt;=$B$5</f>
        <v>0</v>
      </c>
      <c r="F1071" t="str" cm="1">
        <f t="array" ref="F1071">IF(LineærRegression_Valg[[#This Row],[Indenfor range]],INDEX(DataTitel_liste,LineærRegression_Valg[[#This Row],[Afhængig variabel ID]]),INDEX(DataTitel_liste,1))</f>
        <v>Eksempel 1 (interval)</v>
      </c>
      <c r="G1071" s="171" t="str" cm="1">
        <f t="array" ref="G1071">IF(LineærRegression_Valg[[#This Row],[Indenfor range]],IF(LineærRegression_Valg[[#This Row],[Intet overlap]],INDEX(DataTitel_liste,LineærRegression_Valg[[#This Row],[Uafhængig variabel ID]]),INDEX(DataTitel_liste,IF(LineærRegression_Valg[[#This Row],[Afhængig variabel ID]]=1,2,1))),$B$7)</f>
        <v>Eksempel 2 (interval)</v>
      </c>
      <c r="H1071" s="171">
        <f>_xlfn.AGGREGATE(2,5,LineærRegression_Valg[[#This Row],[Tabel ID]])</f>
        <v>1</v>
      </c>
    </row>
    <row r="1072" spans="1:8" x14ac:dyDescent="0.2">
      <c r="A1072">
        <f>ROW(LineærRegression_Valg[[#This Row],[Tabel ID]])-ROW(LineærRegression_Valg[[#Headers],[Tabel ID]])</f>
        <v>1062</v>
      </c>
      <c r="B1072" s="171">
        <f>ROUNDDOWN((LineærRegression_Valg[[#This Row],[Tabel ID]]-1)/$B$5,0)+1</f>
        <v>266</v>
      </c>
      <c r="C1072" s="171">
        <f t="shared" si="16"/>
        <v>2</v>
      </c>
      <c r="D1072" s="171" t="b">
        <f>LineærRegression_Valg[[#This Row],[Afhængig variabel ID]]&lt;&gt;LineærRegression_Valg[[#This Row],[Uafhængig variabel ID]]</f>
        <v>1</v>
      </c>
      <c r="E1072" t="b">
        <f>LineærRegression_Valg[[#This Row],[Afhængig variabel ID]]&lt;=$B$5</f>
        <v>0</v>
      </c>
      <c r="F1072" t="str" cm="1">
        <f t="array" ref="F1072">IF(LineærRegression_Valg[[#This Row],[Indenfor range]],INDEX(DataTitel_liste,LineærRegression_Valg[[#This Row],[Afhængig variabel ID]]),INDEX(DataTitel_liste,1))</f>
        <v>Eksempel 1 (interval)</v>
      </c>
      <c r="G1072" s="171" t="str" cm="1">
        <f t="array" ref="G1072">IF(LineærRegression_Valg[[#This Row],[Indenfor range]],IF(LineærRegression_Valg[[#This Row],[Intet overlap]],INDEX(DataTitel_liste,LineærRegression_Valg[[#This Row],[Uafhængig variabel ID]]),INDEX(DataTitel_liste,IF(LineærRegression_Valg[[#This Row],[Afhængig variabel ID]]=1,2,1))),$B$7)</f>
        <v>Eksempel 2 (interval)</v>
      </c>
      <c r="H1072" s="171">
        <f>_xlfn.AGGREGATE(2,5,LineærRegression_Valg[[#This Row],[Tabel ID]])</f>
        <v>1</v>
      </c>
    </row>
    <row r="1073" spans="1:8" x14ac:dyDescent="0.2">
      <c r="A1073">
        <f>ROW(LineærRegression_Valg[[#This Row],[Tabel ID]])-ROW(LineærRegression_Valg[[#Headers],[Tabel ID]])</f>
        <v>1063</v>
      </c>
      <c r="B1073" s="171">
        <f>ROUNDDOWN((LineærRegression_Valg[[#This Row],[Tabel ID]]-1)/$B$5,0)+1</f>
        <v>266</v>
      </c>
      <c r="C1073" s="171">
        <f t="shared" si="16"/>
        <v>3</v>
      </c>
      <c r="D1073" s="171" t="b">
        <f>LineærRegression_Valg[[#This Row],[Afhængig variabel ID]]&lt;&gt;LineærRegression_Valg[[#This Row],[Uafhængig variabel ID]]</f>
        <v>1</v>
      </c>
      <c r="E1073" t="b">
        <f>LineærRegression_Valg[[#This Row],[Afhængig variabel ID]]&lt;=$B$5</f>
        <v>0</v>
      </c>
      <c r="F1073" t="str" cm="1">
        <f t="array" ref="F1073">IF(LineærRegression_Valg[[#This Row],[Indenfor range]],INDEX(DataTitel_liste,LineærRegression_Valg[[#This Row],[Afhængig variabel ID]]),INDEX(DataTitel_liste,1))</f>
        <v>Eksempel 1 (interval)</v>
      </c>
      <c r="G1073" s="171" t="str" cm="1">
        <f t="array" ref="G1073">IF(LineærRegression_Valg[[#This Row],[Indenfor range]],IF(LineærRegression_Valg[[#This Row],[Intet overlap]],INDEX(DataTitel_liste,LineærRegression_Valg[[#This Row],[Uafhængig variabel ID]]),INDEX(DataTitel_liste,IF(LineærRegression_Valg[[#This Row],[Afhængig variabel ID]]=1,2,1))),$B$7)</f>
        <v>Eksempel 2 (interval)</v>
      </c>
      <c r="H1073" s="171">
        <f>_xlfn.AGGREGATE(2,5,LineærRegression_Valg[[#This Row],[Tabel ID]])</f>
        <v>1</v>
      </c>
    </row>
    <row r="1074" spans="1:8" x14ac:dyDescent="0.2">
      <c r="A1074">
        <f>ROW(LineærRegression_Valg[[#This Row],[Tabel ID]])-ROW(LineærRegression_Valg[[#Headers],[Tabel ID]])</f>
        <v>1064</v>
      </c>
      <c r="B1074" s="171">
        <f>ROUNDDOWN((LineærRegression_Valg[[#This Row],[Tabel ID]]-1)/$B$5,0)+1</f>
        <v>266</v>
      </c>
      <c r="C1074" s="171">
        <f t="shared" si="16"/>
        <v>4</v>
      </c>
      <c r="D1074" s="171" t="b">
        <f>LineærRegression_Valg[[#This Row],[Afhængig variabel ID]]&lt;&gt;LineærRegression_Valg[[#This Row],[Uafhængig variabel ID]]</f>
        <v>1</v>
      </c>
      <c r="E1074" t="b">
        <f>LineærRegression_Valg[[#This Row],[Afhængig variabel ID]]&lt;=$B$5</f>
        <v>0</v>
      </c>
      <c r="F1074" t="str" cm="1">
        <f t="array" ref="F1074">IF(LineærRegression_Valg[[#This Row],[Indenfor range]],INDEX(DataTitel_liste,LineærRegression_Valg[[#This Row],[Afhængig variabel ID]]),INDEX(DataTitel_liste,1))</f>
        <v>Eksempel 1 (interval)</v>
      </c>
      <c r="G1074" s="171" t="str" cm="1">
        <f t="array" ref="G1074">IF(LineærRegression_Valg[[#This Row],[Indenfor range]],IF(LineærRegression_Valg[[#This Row],[Intet overlap]],INDEX(DataTitel_liste,LineærRegression_Valg[[#This Row],[Uafhængig variabel ID]]),INDEX(DataTitel_liste,IF(LineærRegression_Valg[[#This Row],[Afhængig variabel ID]]=1,2,1))),$B$7)</f>
        <v>Eksempel 2 (interval)</v>
      </c>
      <c r="H1074" s="171">
        <f>_xlfn.AGGREGATE(2,5,LineærRegression_Valg[[#This Row],[Tabel ID]])</f>
        <v>1</v>
      </c>
    </row>
    <row r="1075" spans="1:8" x14ac:dyDescent="0.2">
      <c r="A1075">
        <f>ROW(LineærRegression_Valg[[#This Row],[Tabel ID]])-ROW(LineærRegression_Valg[[#Headers],[Tabel ID]])</f>
        <v>1065</v>
      </c>
      <c r="B1075" s="171">
        <f>ROUNDDOWN((LineærRegression_Valg[[#This Row],[Tabel ID]]-1)/$B$5,0)+1</f>
        <v>267</v>
      </c>
      <c r="C1075" s="171">
        <f t="shared" si="16"/>
        <v>1</v>
      </c>
      <c r="D1075" s="171" t="b">
        <f>LineærRegression_Valg[[#This Row],[Afhængig variabel ID]]&lt;&gt;LineærRegression_Valg[[#This Row],[Uafhængig variabel ID]]</f>
        <v>1</v>
      </c>
      <c r="E1075" t="b">
        <f>LineærRegression_Valg[[#This Row],[Afhængig variabel ID]]&lt;=$B$5</f>
        <v>0</v>
      </c>
      <c r="F1075" t="str" cm="1">
        <f t="array" ref="F1075">IF(LineærRegression_Valg[[#This Row],[Indenfor range]],INDEX(DataTitel_liste,LineærRegression_Valg[[#This Row],[Afhængig variabel ID]]),INDEX(DataTitel_liste,1))</f>
        <v>Eksempel 1 (interval)</v>
      </c>
      <c r="G1075" s="171" t="str" cm="1">
        <f t="array" ref="G1075">IF(LineærRegression_Valg[[#This Row],[Indenfor range]],IF(LineærRegression_Valg[[#This Row],[Intet overlap]],INDEX(DataTitel_liste,LineærRegression_Valg[[#This Row],[Uafhængig variabel ID]]),INDEX(DataTitel_liste,IF(LineærRegression_Valg[[#This Row],[Afhængig variabel ID]]=1,2,1))),$B$7)</f>
        <v>Eksempel 2 (interval)</v>
      </c>
      <c r="H1075" s="171">
        <f>_xlfn.AGGREGATE(2,5,LineærRegression_Valg[[#This Row],[Tabel ID]])</f>
        <v>1</v>
      </c>
    </row>
    <row r="1076" spans="1:8" x14ac:dyDescent="0.2">
      <c r="A1076">
        <f>ROW(LineærRegression_Valg[[#This Row],[Tabel ID]])-ROW(LineærRegression_Valg[[#Headers],[Tabel ID]])</f>
        <v>1066</v>
      </c>
      <c r="B1076" s="171">
        <f>ROUNDDOWN((LineærRegression_Valg[[#This Row],[Tabel ID]]-1)/$B$5,0)+1</f>
        <v>267</v>
      </c>
      <c r="C1076" s="171">
        <f t="shared" si="16"/>
        <v>2</v>
      </c>
      <c r="D1076" s="171" t="b">
        <f>LineærRegression_Valg[[#This Row],[Afhængig variabel ID]]&lt;&gt;LineærRegression_Valg[[#This Row],[Uafhængig variabel ID]]</f>
        <v>1</v>
      </c>
      <c r="E1076" t="b">
        <f>LineærRegression_Valg[[#This Row],[Afhængig variabel ID]]&lt;=$B$5</f>
        <v>0</v>
      </c>
      <c r="F1076" t="str" cm="1">
        <f t="array" ref="F1076">IF(LineærRegression_Valg[[#This Row],[Indenfor range]],INDEX(DataTitel_liste,LineærRegression_Valg[[#This Row],[Afhængig variabel ID]]),INDEX(DataTitel_liste,1))</f>
        <v>Eksempel 1 (interval)</v>
      </c>
      <c r="G1076" s="171" t="str" cm="1">
        <f t="array" ref="G1076">IF(LineærRegression_Valg[[#This Row],[Indenfor range]],IF(LineærRegression_Valg[[#This Row],[Intet overlap]],INDEX(DataTitel_liste,LineærRegression_Valg[[#This Row],[Uafhængig variabel ID]]),INDEX(DataTitel_liste,IF(LineærRegression_Valg[[#This Row],[Afhængig variabel ID]]=1,2,1))),$B$7)</f>
        <v>Eksempel 2 (interval)</v>
      </c>
      <c r="H1076" s="171">
        <f>_xlfn.AGGREGATE(2,5,LineærRegression_Valg[[#This Row],[Tabel ID]])</f>
        <v>1</v>
      </c>
    </row>
    <row r="1077" spans="1:8" x14ac:dyDescent="0.2">
      <c r="A1077">
        <f>ROW(LineærRegression_Valg[[#This Row],[Tabel ID]])-ROW(LineærRegression_Valg[[#Headers],[Tabel ID]])</f>
        <v>1067</v>
      </c>
      <c r="B1077" s="171">
        <f>ROUNDDOWN((LineærRegression_Valg[[#This Row],[Tabel ID]]-1)/$B$5,0)+1</f>
        <v>267</v>
      </c>
      <c r="C1077" s="171">
        <f t="shared" si="16"/>
        <v>3</v>
      </c>
      <c r="D1077" s="171" t="b">
        <f>LineærRegression_Valg[[#This Row],[Afhængig variabel ID]]&lt;&gt;LineærRegression_Valg[[#This Row],[Uafhængig variabel ID]]</f>
        <v>1</v>
      </c>
      <c r="E1077" t="b">
        <f>LineærRegression_Valg[[#This Row],[Afhængig variabel ID]]&lt;=$B$5</f>
        <v>0</v>
      </c>
      <c r="F1077" t="str" cm="1">
        <f t="array" ref="F1077">IF(LineærRegression_Valg[[#This Row],[Indenfor range]],INDEX(DataTitel_liste,LineærRegression_Valg[[#This Row],[Afhængig variabel ID]]),INDEX(DataTitel_liste,1))</f>
        <v>Eksempel 1 (interval)</v>
      </c>
      <c r="G1077" s="171" t="str" cm="1">
        <f t="array" ref="G1077">IF(LineærRegression_Valg[[#This Row],[Indenfor range]],IF(LineærRegression_Valg[[#This Row],[Intet overlap]],INDEX(DataTitel_liste,LineærRegression_Valg[[#This Row],[Uafhængig variabel ID]]),INDEX(DataTitel_liste,IF(LineærRegression_Valg[[#This Row],[Afhængig variabel ID]]=1,2,1))),$B$7)</f>
        <v>Eksempel 2 (interval)</v>
      </c>
      <c r="H1077" s="171">
        <f>_xlfn.AGGREGATE(2,5,LineærRegression_Valg[[#This Row],[Tabel ID]])</f>
        <v>1</v>
      </c>
    </row>
    <row r="1078" spans="1:8" x14ac:dyDescent="0.2">
      <c r="A1078">
        <f>ROW(LineærRegression_Valg[[#This Row],[Tabel ID]])-ROW(LineærRegression_Valg[[#Headers],[Tabel ID]])</f>
        <v>1068</v>
      </c>
      <c r="B1078" s="171">
        <f>ROUNDDOWN((LineærRegression_Valg[[#This Row],[Tabel ID]]-1)/$B$5,0)+1</f>
        <v>267</v>
      </c>
      <c r="C1078" s="171">
        <f t="shared" si="16"/>
        <v>4</v>
      </c>
      <c r="D1078" s="171" t="b">
        <f>LineærRegression_Valg[[#This Row],[Afhængig variabel ID]]&lt;&gt;LineærRegression_Valg[[#This Row],[Uafhængig variabel ID]]</f>
        <v>1</v>
      </c>
      <c r="E1078" t="b">
        <f>LineærRegression_Valg[[#This Row],[Afhængig variabel ID]]&lt;=$B$5</f>
        <v>0</v>
      </c>
      <c r="F1078" t="str" cm="1">
        <f t="array" ref="F1078">IF(LineærRegression_Valg[[#This Row],[Indenfor range]],INDEX(DataTitel_liste,LineærRegression_Valg[[#This Row],[Afhængig variabel ID]]),INDEX(DataTitel_liste,1))</f>
        <v>Eksempel 1 (interval)</v>
      </c>
      <c r="G1078" s="171" t="str" cm="1">
        <f t="array" ref="G1078">IF(LineærRegression_Valg[[#This Row],[Indenfor range]],IF(LineærRegression_Valg[[#This Row],[Intet overlap]],INDEX(DataTitel_liste,LineærRegression_Valg[[#This Row],[Uafhængig variabel ID]]),INDEX(DataTitel_liste,IF(LineærRegression_Valg[[#This Row],[Afhængig variabel ID]]=1,2,1))),$B$7)</f>
        <v>Eksempel 2 (interval)</v>
      </c>
      <c r="H1078" s="171">
        <f>_xlfn.AGGREGATE(2,5,LineærRegression_Valg[[#This Row],[Tabel ID]])</f>
        <v>1</v>
      </c>
    </row>
    <row r="1079" spans="1:8" x14ac:dyDescent="0.2">
      <c r="A1079">
        <f>ROW(LineærRegression_Valg[[#This Row],[Tabel ID]])-ROW(LineærRegression_Valg[[#Headers],[Tabel ID]])</f>
        <v>1069</v>
      </c>
      <c r="B1079" s="171">
        <f>ROUNDDOWN((LineærRegression_Valg[[#This Row],[Tabel ID]]-1)/$B$5,0)+1</f>
        <v>268</v>
      </c>
      <c r="C1079" s="171">
        <f t="shared" si="16"/>
        <v>1</v>
      </c>
      <c r="D1079" s="171" t="b">
        <f>LineærRegression_Valg[[#This Row],[Afhængig variabel ID]]&lt;&gt;LineærRegression_Valg[[#This Row],[Uafhængig variabel ID]]</f>
        <v>1</v>
      </c>
      <c r="E1079" t="b">
        <f>LineærRegression_Valg[[#This Row],[Afhængig variabel ID]]&lt;=$B$5</f>
        <v>0</v>
      </c>
      <c r="F1079" t="str" cm="1">
        <f t="array" ref="F1079">IF(LineærRegression_Valg[[#This Row],[Indenfor range]],INDEX(DataTitel_liste,LineærRegression_Valg[[#This Row],[Afhængig variabel ID]]),INDEX(DataTitel_liste,1))</f>
        <v>Eksempel 1 (interval)</v>
      </c>
      <c r="G1079" s="171" t="str" cm="1">
        <f t="array" ref="G1079">IF(LineærRegression_Valg[[#This Row],[Indenfor range]],IF(LineærRegression_Valg[[#This Row],[Intet overlap]],INDEX(DataTitel_liste,LineærRegression_Valg[[#This Row],[Uafhængig variabel ID]]),INDEX(DataTitel_liste,IF(LineærRegression_Valg[[#This Row],[Afhængig variabel ID]]=1,2,1))),$B$7)</f>
        <v>Eksempel 2 (interval)</v>
      </c>
      <c r="H1079" s="171">
        <f>_xlfn.AGGREGATE(2,5,LineærRegression_Valg[[#This Row],[Tabel ID]])</f>
        <v>1</v>
      </c>
    </row>
    <row r="1080" spans="1:8" x14ac:dyDescent="0.2">
      <c r="A1080">
        <f>ROW(LineærRegression_Valg[[#This Row],[Tabel ID]])-ROW(LineærRegression_Valg[[#Headers],[Tabel ID]])</f>
        <v>1070</v>
      </c>
      <c r="B1080" s="171">
        <f>ROUNDDOWN((LineærRegression_Valg[[#This Row],[Tabel ID]]-1)/$B$5,0)+1</f>
        <v>268</v>
      </c>
      <c r="C1080" s="171">
        <f t="shared" si="16"/>
        <v>2</v>
      </c>
      <c r="D1080" s="171" t="b">
        <f>LineærRegression_Valg[[#This Row],[Afhængig variabel ID]]&lt;&gt;LineærRegression_Valg[[#This Row],[Uafhængig variabel ID]]</f>
        <v>1</v>
      </c>
      <c r="E1080" t="b">
        <f>LineærRegression_Valg[[#This Row],[Afhængig variabel ID]]&lt;=$B$5</f>
        <v>0</v>
      </c>
      <c r="F1080" t="str" cm="1">
        <f t="array" ref="F1080">IF(LineærRegression_Valg[[#This Row],[Indenfor range]],INDEX(DataTitel_liste,LineærRegression_Valg[[#This Row],[Afhængig variabel ID]]),INDEX(DataTitel_liste,1))</f>
        <v>Eksempel 1 (interval)</v>
      </c>
      <c r="G1080" s="171" t="str" cm="1">
        <f t="array" ref="G1080">IF(LineærRegression_Valg[[#This Row],[Indenfor range]],IF(LineærRegression_Valg[[#This Row],[Intet overlap]],INDEX(DataTitel_liste,LineærRegression_Valg[[#This Row],[Uafhængig variabel ID]]),INDEX(DataTitel_liste,IF(LineærRegression_Valg[[#This Row],[Afhængig variabel ID]]=1,2,1))),$B$7)</f>
        <v>Eksempel 2 (interval)</v>
      </c>
      <c r="H1080" s="171">
        <f>_xlfn.AGGREGATE(2,5,LineærRegression_Valg[[#This Row],[Tabel ID]])</f>
        <v>1</v>
      </c>
    </row>
    <row r="1081" spans="1:8" x14ac:dyDescent="0.2">
      <c r="A1081">
        <f>ROW(LineærRegression_Valg[[#This Row],[Tabel ID]])-ROW(LineærRegression_Valg[[#Headers],[Tabel ID]])</f>
        <v>1071</v>
      </c>
      <c r="B1081" s="171">
        <f>ROUNDDOWN((LineærRegression_Valg[[#This Row],[Tabel ID]]-1)/$B$5,0)+1</f>
        <v>268</v>
      </c>
      <c r="C1081" s="171">
        <f t="shared" si="16"/>
        <v>3</v>
      </c>
      <c r="D1081" s="171" t="b">
        <f>LineærRegression_Valg[[#This Row],[Afhængig variabel ID]]&lt;&gt;LineærRegression_Valg[[#This Row],[Uafhængig variabel ID]]</f>
        <v>1</v>
      </c>
      <c r="E1081" t="b">
        <f>LineærRegression_Valg[[#This Row],[Afhængig variabel ID]]&lt;=$B$5</f>
        <v>0</v>
      </c>
      <c r="F1081" t="str" cm="1">
        <f t="array" ref="F1081">IF(LineærRegression_Valg[[#This Row],[Indenfor range]],INDEX(DataTitel_liste,LineærRegression_Valg[[#This Row],[Afhængig variabel ID]]),INDEX(DataTitel_liste,1))</f>
        <v>Eksempel 1 (interval)</v>
      </c>
      <c r="G1081" s="171" t="str" cm="1">
        <f t="array" ref="G1081">IF(LineærRegression_Valg[[#This Row],[Indenfor range]],IF(LineærRegression_Valg[[#This Row],[Intet overlap]],INDEX(DataTitel_liste,LineærRegression_Valg[[#This Row],[Uafhængig variabel ID]]),INDEX(DataTitel_liste,IF(LineærRegression_Valg[[#This Row],[Afhængig variabel ID]]=1,2,1))),$B$7)</f>
        <v>Eksempel 2 (interval)</v>
      </c>
      <c r="H1081" s="171">
        <f>_xlfn.AGGREGATE(2,5,LineærRegression_Valg[[#This Row],[Tabel ID]])</f>
        <v>1</v>
      </c>
    </row>
    <row r="1082" spans="1:8" x14ac:dyDescent="0.2">
      <c r="A1082">
        <f>ROW(LineærRegression_Valg[[#This Row],[Tabel ID]])-ROW(LineærRegression_Valg[[#Headers],[Tabel ID]])</f>
        <v>1072</v>
      </c>
      <c r="B1082" s="171">
        <f>ROUNDDOWN((LineærRegression_Valg[[#This Row],[Tabel ID]]-1)/$B$5,0)+1</f>
        <v>268</v>
      </c>
      <c r="C1082" s="171">
        <f t="shared" si="16"/>
        <v>4</v>
      </c>
      <c r="D1082" s="171" t="b">
        <f>LineærRegression_Valg[[#This Row],[Afhængig variabel ID]]&lt;&gt;LineærRegression_Valg[[#This Row],[Uafhængig variabel ID]]</f>
        <v>1</v>
      </c>
      <c r="E1082" t="b">
        <f>LineærRegression_Valg[[#This Row],[Afhængig variabel ID]]&lt;=$B$5</f>
        <v>0</v>
      </c>
      <c r="F1082" t="str" cm="1">
        <f t="array" ref="F1082">IF(LineærRegression_Valg[[#This Row],[Indenfor range]],INDEX(DataTitel_liste,LineærRegression_Valg[[#This Row],[Afhængig variabel ID]]),INDEX(DataTitel_liste,1))</f>
        <v>Eksempel 1 (interval)</v>
      </c>
      <c r="G1082" s="171" t="str" cm="1">
        <f t="array" ref="G1082">IF(LineærRegression_Valg[[#This Row],[Indenfor range]],IF(LineærRegression_Valg[[#This Row],[Intet overlap]],INDEX(DataTitel_liste,LineærRegression_Valg[[#This Row],[Uafhængig variabel ID]]),INDEX(DataTitel_liste,IF(LineærRegression_Valg[[#This Row],[Afhængig variabel ID]]=1,2,1))),$B$7)</f>
        <v>Eksempel 2 (interval)</v>
      </c>
      <c r="H1082" s="171">
        <f>_xlfn.AGGREGATE(2,5,LineærRegression_Valg[[#This Row],[Tabel ID]])</f>
        <v>1</v>
      </c>
    </row>
    <row r="1083" spans="1:8" x14ac:dyDescent="0.2">
      <c r="A1083">
        <f>ROW(LineærRegression_Valg[[#This Row],[Tabel ID]])-ROW(LineærRegression_Valg[[#Headers],[Tabel ID]])</f>
        <v>1073</v>
      </c>
      <c r="B1083" s="171">
        <f>ROUNDDOWN((LineærRegression_Valg[[#This Row],[Tabel ID]]-1)/$B$5,0)+1</f>
        <v>269</v>
      </c>
      <c r="C1083" s="171">
        <f t="shared" si="16"/>
        <v>1</v>
      </c>
      <c r="D1083" s="171" t="b">
        <f>LineærRegression_Valg[[#This Row],[Afhængig variabel ID]]&lt;&gt;LineærRegression_Valg[[#This Row],[Uafhængig variabel ID]]</f>
        <v>1</v>
      </c>
      <c r="E1083" t="b">
        <f>LineærRegression_Valg[[#This Row],[Afhængig variabel ID]]&lt;=$B$5</f>
        <v>0</v>
      </c>
      <c r="F1083" t="str" cm="1">
        <f t="array" ref="F1083">IF(LineærRegression_Valg[[#This Row],[Indenfor range]],INDEX(DataTitel_liste,LineærRegression_Valg[[#This Row],[Afhængig variabel ID]]),INDEX(DataTitel_liste,1))</f>
        <v>Eksempel 1 (interval)</v>
      </c>
      <c r="G1083" s="171" t="str" cm="1">
        <f t="array" ref="G1083">IF(LineærRegression_Valg[[#This Row],[Indenfor range]],IF(LineærRegression_Valg[[#This Row],[Intet overlap]],INDEX(DataTitel_liste,LineærRegression_Valg[[#This Row],[Uafhængig variabel ID]]),INDEX(DataTitel_liste,IF(LineærRegression_Valg[[#This Row],[Afhængig variabel ID]]=1,2,1))),$B$7)</f>
        <v>Eksempel 2 (interval)</v>
      </c>
      <c r="H1083" s="171">
        <f>_xlfn.AGGREGATE(2,5,LineærRegression_Valg[[#This Row],[Tabel ID]])</f>
        <v>1</v>
      </c>
    </row>
    <row r="1084" spans="1:8" x14ac:dyDescent="0.2">
      <c r="A1084">
        <f>ROW(LineærRegression_Valg[[#This Row],[Tabel ID]])-ROW(LineærRegression_Valg[[#Headers],[Tabel ID]])</f>
        <v>1074</v>
      </c>
      <c r="B1084" s="171">
        <f>ROUNDDOWN((LineærRegression_Valg[[#This Row],[Tabel ID]]-1)/$B$5,0)+1</f>
        <v>269</v>
      </c>
      <c r="C1084" s="171">
        <f t="shared" si="16"/>
        <v>2</v>
      </c>
      <c r="D1084" s="171" t="b">
        <f>LineærRegression_Valg[[#This Row],[Afhængig variabel ID]]&lt;&gt;LineærRegression_Valg[[#This Row],[Uafhængig variabel ID]]</f>
        <v>1</v>
      </c>
      <c r="E1084" t="b">
        <f>LineærRegression_Valg[[#This Row],[Afhængig variabel ID]]&lt;=$B$5</f>
        <v>0</v>
      </c>
      <c r="F1084" t="str" cm="1">
        <f t="array" ref="F1084">IF(LineærRegression_Valg[[#This Row],[Indenfor range]],INDEX(DataTitel_liste,LineærRegression_Valg[[#This Row],[Afhængig variabel ID]]),INDEX(DataTitel_liste,1))</f>
        <v>Eksempel 1 (interval)</v>
      </c>
      <c r="G1084" s="171" t="str" cm="1">
        <f t="array" ref="G1084">IF(LineærRegression_Valg[[#This Row],[Indenfor range]],IF(LineærRegression_Valg[[#This Row],[Intet overlap]],INDEX(DataTitel_liste,LineærRegression_Valg[[#This Row],[Uafhængig variabel ID]]),INDEX(DataTitel_liste,IF(LineærRegression_Valg[[#This Row],[Afhængig variabel ID]]=1,2,1))),$B$7)</f>
        <v>Eksempel 2 (interval)</v>
      </c>
      <c r="H1084" s="171">
        <f>_xlfn.AGGREGATE(2,5,LineærRegression_Valg[[#This Row],[Tabel ID]])</f>
        <v>1</v>
      </c>
    </row>
    <row r="1085" spans="1:8" x14ac:dyDescent="0.2">
      <c r="A1085">
        <f>ROW(LineærRegression_Valg[[#This Row],[Tabel ID]])-ROW(LineærRegression_Valg[[#Headers],[Tabel ID]])</f>
        <v>1075</v>
      </c>
      <c r="B1085" s="171">
        <f>ROUNDDOWN((LineærRegression_Valg[[#This Row],[Tabel ID]]-1)/$B$5,0)+1</f>
        <v>269</v>
      </c>
      <c r="C1085" s="171">
        <f t="shared" si="16"/>
        <v>3</v>
      </c>
      <c r="D1085" s="171" t="b">
        <f>LineærRegression_Valg[[#This Row],[Afhængig variabel ID]]&lt;&gt;LineærRegression_Valg[[#This Row],[Uafhængig variabel ID]]</f>
        <v>1</v>
      </c>
      <c r="E1085" t="b">
        <f>LineærRegression_Valg[[#This Row],[Afhængig variabel ID]]&lt;=$B$5</f>
        <v>0</v>
      </c>
      <c r="F1085" t="str" cm="1">
        <f t="array" ref="F1085">IF(LineærRegression_Valg[[#This Row],[Indenfor range]],INDEX(DataTitel_liste,LineærRegression_Valg[[#This Row],[Afhængig variabel ID]]),INDEX(DataTitel_liste,1))</f>
        <v>Eksempel 1 (interval)</v>
      </c>
      <c r="G1085" s="171" t="str" cm="1">
        <f t="array" ref="G1085">IF(LineærRegression_Valg[[#This Row],[Indenfor range]],IF(LineærRegression_Valg[[#This Row],[Intet overlap]],INDEX(DataTitel_liste,LineærRegression_Valg[[#This Row],[Uafhængig variabel ID]]),INDEX(DataTitel_liste,IF(LineærRegression_Valg[[#This Row],[Afhængig variabel ID]]=1,2,1))),$B$7)</f>
        <v>Eksempel 2 (interval)</v>
      </c>
      <c r="H1085" s="171">
        <f>_xlfn.AGGREGATE(2,5,LineærRegression_Valg[[#This Row],[Tabel ID]])</f>
        <v>1</v>
      </c>
    </row>
    <row r="1086" spans="1:8" x14ac:dyDescent="0.2">
      <c r="A1086">
        <f>ROW(LineærRegression_Valg[[#This Row],[Tabel ID]])-ROW(LineærRegression_Valg[[#Headers],[Tabel ID]])</f>
        <v>1076</v>
      </c>
      <c r="B1086" s="171">
        <f>ROUNDDOWN((LineærRegression_Valg[[#This Row],[Tabel ID]]-1)/$B$5,0)+1</f>
        <v>269</v>
      </c>
      <c r="C1086" s="171">
        <f t="shared" si="16"/>
        <v>4</v>
      </c>
      <c r="D1086" s="171" t="b">
        <f>LineærRegression_Valg[[#This Row],[Afhængig variabel ID]]&lt;&gt;LineærRegression_Valg[[#This Row],[Uafhængig variabel ID]]</f>
        <v>1</v>
      </c>
      <c r="E1086" t="b">
        <f>LineærRegression_Valg[[#This Row],[Afhængig variabel ID]]&lt;=$B$5</f>
        <v>0</v>
      </c>
      <c r="F1086" t="str" cm="1">
        <f t="array" ref="F1086">IF(LineærRegression_Valg[[#This Row],[Indenfor range]],INDEX(DataTitel_liste,LineærRegression_Valg[[#This Row],[Afhængig variabel ID]]),INDEX(DataTitel_liste,1))</f>
        <v>Eksempel 1 (interval)</v>
      </c>
      <c r="G1086" s="171" t="str" cm="1">
        <f t="array" ref="G1086">IF(LineærRegression_Valg[[#This Row],[Indenfor range]],IF(LineærRegression_Valg[[#This Row],[Intet overlap]],INDEX(DataTitel_liste,LineærRegression_Valg[[#This Row],[Uafhængig variabel ID]]),INDEX(DataTitel_liste,IF(LineærRegression_Valg[[#This Row],[Afhængig variabel ID]]=1,2,1))),$B$7)</f>
        <v>Eksempel 2 (interval)</v>
      </c>
      <c r="H1086" s="171">
        <f>_xlfn.AGGREGATE(2,5,LineærRegression_Valg[[#This Row],[Tabel ID]])</f>
        <v>1</v>
      </c>
    </row>
    <row r="1087" spans="1:8" x14ac:dyDescent="0.2">
      <c r="A1087">
        <f>ROW(LineærRegression_Valg[[#This Row],[Tabel ID]])-ROW(LineærRegression_Valg[[#Headers],[Tabel ID]])</f>
        <v>1077</v>
      </c>
      <c r="B1087" s="171">
        <f>ROUNDDOWN((LineærRegression_Valg[[#This Row],[Tabel ID]]-1)/$B$5,0)+1</f>
        <v>270</v>
      </c>
      <c r="C1087" s="171">
        <f t="shared" si="16"/>
        <v>1</v>
      </c>
      <c r="D1087" s="171" t="b">
        <f>LineærRegression_Valg[[#This Row],[Afhængig variabel ID]]&lt;&gt;LineærRegression_Valg[[#This Row],[Uafhængig variabel ID]]</f>
        <v>1</v>
      </c>
      <c r="E1087" t="b">
        <f>LineærRegression_Valg[[#This Row],[Afhængig variabel ID]]&lt;=$B$5</f>
        <v>0</v>
      </c>
      <c r="F1087" t="str" cm="1">
        <f t="array" ref="F1087">IF(LineærRegression_Valg[[#This Row],[Indenfor range]],INDEX(DataTitel_liste,LineærRegression_Valg[[#This Row],[Afhængig variabel ID]]),INDEX(DataTitel_liste,1))</f>
        <v>Eksempel 1 (interval)</v>
      </c>
      <c r="G1087" s="171" t="str" cm="1">
        <f t="array" ref="G1087">IF(LineærRegression_Valg[[#This Row],[Indenfor range]],IF(LineærRegression_Valg[[#This Row],[Intet overlap]],INDEX(DataTitel_liste,LineærRegression_Valg[[#This Row],[Uafhængig variabel ID]]),INDEX(DataTitel_liste,IF(LineærRegression_Valg[[#This Row],[Afhængig variabel ID]]=1,2,1))),$B$7)</f>
        <v>Eksempel 2 (interval)</v>
      </c>
      <c r="H1087" s="171">
        <f>_xlfn.AGGREGATE(2,5,LineærRegression_Valg[[#This Row],[Tabel ID]])</f>
        <v>1</v>
      </c>
    </row>
    <row r="1088" spans="1:8" x14ac:dyDescent="0.2">
      <c r="A1088">
        <f>ROW(LineærRegression_Valg[[#This Row],[Tabel ID]])-ROW(LineærRegression_Valg[[#Headers],[Tabel ID]])</f>
        <v>1078</v>
      </c>
      <c r="B1088" s="171">
        <f>ROUNDDOWN((LineærRegression_Valg[[#This Row],[Tabel ID]]-1)/$B$5,0)+1</f>
        <v>270</v>
      </c>
      <c r="C1088" s="171">
        <f t="shared" si="16"/>
        <v>2</v>
      </c>
      <c r="D1088" s="171" t="b">
        <f>LineærRegression_Valg[[#This Row],[Afhængig variabel ID]]&lt;&gt;LineærRegression_Valg[[#This Row],[Uafhængig variabel ID]]</f>
        <v>1</v>
      </c>
      <c r="E1088" t="b">
        <f>LineærRegression_Valg[[#This Row],[Afhængig variabel ID]]&lt;=$B$5</f>
        <v>0</v>
      </c>
      <c r="F1088" t="str" cm="1">
        <f t="array" ref="F1088">IF(LineærRegression_Valg[[#This Row],[Indenfor range]],INDEX(DataTitel_liste,LineærRegression_Valg[[#This Row],[Afhængig variabel ID]]),INDEX(DataTitel_liste,1))</f>
        <v>Eksempel 1 (interval)</v>
      </c>
      <c r="G1088" s="171" t="str" cm="1">
        <f t="array" ref="G1088">IF(LineærRegression_Valg[[#This Row],[Indenfor range]],IF(LineærRegression_Valg[[#This Row],[Intet overlap]],INDEX(DataTitel_liste,LineærRegression_Valg[[#This Row],[Uafhængig variabel ID]]),INDEX(DataTitel_liste,IF(LineærRegression_Valg[[#This Row],[Afhængig variabel ID]]=1,2,1))),$B$7)</f>
        <v>Eksempel 2 (interval)</v>
      </c>
      <c r="H1088" s="171">
        <f>_xlfn.AGGREGATE(2,5,LineærRegression_Valg[[#This Row],[Tabel ID]])</f>
        <v>1</v>
      </c>
    </row>
    <row r="1089" spans="1:8" x14ac:dyDescent="0.2">
      <c r="A1089">
        <f>ROW(LineærRegression_Valg[[#This Row],[Tabel ID]])-ROW(LineærRegression_Valg[[#Headers],[Tabel ID]])</f>
        <v>1079</v>
      </c>
      <c r="B1089" s="171">
        <f>ROUNDDOWN((LineærRegression_Valg[[#This Row],[Tabel ID]]-1)/$B$5,0)+1</f>
        <v>270</v>
      </c>
      <c r="C1089" s="171">
        <f t="shared" si="16"/>
        <v>3</v>
      </c>
      <c r="D1089" s="171" t="b">
        <f>LineærRegression_Valg[[#This Row],[Afhængig variabel ID]]&lt;&gt;LineærRegression_Valg[[#This Row],[Uafhængig variabel ID]]</f>
        <v>1</v>
      </c>
      <c r="E1089" t="b">
        <f>LineærRegression_Valg[[#This Row],[Afhængig variabel ID]]&lt;=$B$5</f>
        <v>0</v>
      </c>
      <c r="F1089" t="str" cm="1">
        <f t="array" ref="F1089">IF(LineærRegression_Valg[[#This Row],[Indenfor range]],INDEX(DataTitel_liste,LineærRegression_Valg[[#This Row],[Afhængig variabel ID]]),INDEX(DataTitel_liste,1))</f>
        <v>Eksempel 1 (interval)</v>
      </c>
      <c r="G1089" s="171" t="str" cm="1">
        <f t="array" ref="G1089">IF(LineærRegression_Valg[[#This Row],[Indenfor range]],IF(LineærRegression_Valg[[#This Row],[Intet overlap]],INDEX(DataTitel_liste,LineærRegression_Valg[[#This Row],[Uafhængig variabel ID]]),INDEX(DataTitel_liste,IF(LineærRegression_Valg[[#This Row],[Afhængig variabel ID]]=1,2,1))),$B$7)</f>
        <v>Eksempel 2 (interval)</v>
      </c>
      <c r="H1089" s="171">
        <f>_xlfn.AGGREGATE(2,5,LineærRegression_Valg[[#This Row],[Tabel ID]])</f>
        <v>1</v>
      </c>
    </row>
    <row r="1090" spans="1:8" x14ac:dyDescent="0.2">
      <c r="A1090">
        <f>ROW(LineærRegression_Valg[[#This Row],[Tabel ID]])-ROW(LineærRegression_Valg[[#Headers],[Tabel ID]])</f>
        <v>1080</v>
      </c>
      <c r="B1090" s="171">
        <f>ROUNDDOWN((LineærRegression_Valg[[#This Row],[Tabel ID]]-1)/$B$5,0)+1</f>
        <v>270</v>
      </c>
      <c r="C1090" s="171">
        <f t="shared" si="16"/>
        <v>4</v>
      </c>
      <c r="D1090" s="171" t="b">
        <f>LineærRegression_Valg[[#This Row],[Afhængig variabel ID]]&lt;&gt;LineærRegression_Valg[[#This Row],[Uafhængig variabel ID]]</f>
        <v>1</v>
      </c>
      <c r="E1090" t="b">
        <f>LineærRegression_Valg[[#This Row],[Afhængig variabel ID]]&lt;=$B$5</f>
        <v>0</v>
      </c>
      <c r="F1090" t="str" cm="1">
        <f t="array" ref="F1090">IF(LineærRegression_Valg[[#This Row],[Indenfor range]],INDEX(DataTitel_liste,LineærRegression_Valg[[#This Row],[Afhængig variabel ID]]),INDEX(DataTitel_liste,1))</f>
        <v>Eksempel 1 (interval)</v>
      </c>
      <c r="G1090" s="171" t="str" cm="1">
        <f t="array" ref="G1090">IF(LineærRegression_Valg[[#This Row],[Indenfor range]],IF(LineærRegression_Valg[[#This Row],[Intet overlap]],INDEX(DataTitel_liste,LineærRegression_Valg[[#This Row],[Uafhængig variabel ID]]),INDEX(DataTitel_liste,IF(LineærRegression_Valg[[#This Row],[Afhængig variabel ID]]=1,2,1))),$B$7)</f>
        <v>Eksempel 2 (interval)</v>
      </c>
      <c r="H1090" s="171">
        <f>_xlfn.AGGREGATE(2,5,LineærRegression_Valg[[#This Row],[Tabel ID]])</f>
        <v>1</v>
      </c>
    </row>
    <row r="1091" spans="1:8" x14ac:dyDescent="0.2">
      <c r="A1091">
        <f>ROW(LineærRegression_Valg[[#This Row],[Tabel ID]])-ROW(LineærRegression_Valg[[#Headers],[Tabel ID]])</f>
        <v>1081</v>
      </c>
      <c r="B1091" s="171">
        <f>ROUNDDOWN((LineærRegression_Valg[[#This Row],[Tabel ID]]-1)/$B$5,0)+1</f>
        <v>271</v>
      </c>
      <c r="C1091" s="171">
        <f t="shared" si="16"/>
        <v>1</v>
      </c>
      <c r="D1091" s="171" t="b">
        <f>LineærRegression_Valg[[#This Row],[Afhængig variabel ID]]&lt;&gt;LineærRegression_Valg[[#This Row],[Uafhængig variabel ID]]</f>
        <v>1</v>
      </c>
      <c r="E1091" t="b">
        <f>LineærRegression_Valg[[#This Row],[Afhængig variabel ID]]&lt;=$B$5</f>
        <v>0</v>
      </c>
      <c r="F1091" t="str" cm="1">
        <f t="array" ref="F1091">IF(LineærRegression_Valg[[#This Row],[Indenfor range]],INDEX(DataTitel_liste,LineærRegression_Valg[[#This Row],[Afhængig variabel ID]]),INDEX(DataTitel_liste,1))</f>
        <v>Eksempel 1 (interval)</v>
      </c>
      <c r="G1091" s="171" t="str" cm="1">
        <f t="array" ref="G1091">IF(LineærRegression_Valg[[#This Row],[Indenfor range]],IF(LineærRegression_Valg[[#This Row],[Intet overlap]],INDEX(DataTitel_liste,LineærRegression_Valg[[#This Row],[Uafhængig variabel ID]]),INDEX(DataTitel_liste,IF(LineærRegression_Valg[[#This Row],[Afhængig variabel ID]]=1,2,1))),$B$7)</f>
        <v>Eksempel 2 (interval)</v>
      </c>
      <c r="H1091" s="171">
        <f>_xlfn.AGGREGATE(2,5,LineærRegression_Valg[[#This Row],[Tabel ID]])</f>
        <v>1</v>
      </c>
    </row>
    <row r="1092" spans="1:8" x14ac:dyDescent="0.2">
      <c r="A1092">
        <f>ROW(LineærRegression_Valg[[#This Row],[Tabel ID]])-ROW(LineærRegression_Valg[[#Headers],[Tabel ID]])</f>
        <v>1082</v>
      </c>
      <c r="B1092" s="171">
        <f>ROUNDDOWN((LineærRegression_Valg[[#This Row],[Tabel ID]]-1)/$B$5,0)+1</f>
        <v>271</v>
      </c>
      <c r="C1092" s="171">
        <f t="shared" si="16"/>
        <v>2</v>
      </c>
      <c r="D1092" s="171" t="b">
        <f>LineærRegression_Valg[[#This Row],[Afhængig variabel ID]]&lt;&gt;LineærRegression_Valg[[#This Row],[Uafhængig variabel ID]]</f>
        <v>1</v>
      </c>
      <c r="E1092" t="b">
        <f>LineærRegression_Valg[[#This Row],[Afhængig variabel ID]]&lt;=$B$5</f>
        <v>0</v>
      </c>
      <c r="F1092" t="str" cm="1">
        <f t="array" ref="F1092">IF(LineærRegression_Valg[[#This Row],[Indenfor range]],INDEX(DataTitel_liste,LineærRegression_Valg[[#This Row],[Afhængig variabel ID]]),INDEX(DataTitel_liste,1))</f>
        <v>Eksempel 1 (interval)</v>
      </c>
      <c r="G1092" s="171" t="str" cm="1">
        <f t="array" ref="G1092">IF(LineærRegression_Valg[[#This Row],[Indenfor range]],IF(LineærRegression_Valg[[#This Row],[Intet overlap]],INDEX(DataTitel_liste,LineærRegression_Valg[[#This Row],[Uafhængig variabel ID]]),INDEX(DataTitel_liste,IF(LineærRegression_Valg[[#This Row],[Afhængig variabel ID]]=1,2,1))),$B$7)</f>
        <v>Eksempel 2 (interval)</v>
      </c>
      <c r="H1092" s="171">
        <f>_xlfn.AGGREGATE(2,5,LineærRegression_Valg[[#This Row],[Tabel ID]])</f>
        <v>1</v>
      </c>
    </row>
    <row r="1093" spans="1:8" x14ac:dyDescent="0.2">
      <c r="A1093">
        <f>ROW(LineærRegression_Valg[[#This Row],[Tabel ID]])-ROW(LineærRegression_Valg[[#Headers],[Tabel ID]])</f>
        <v>1083</v>
      </c>
      <c r="B1093" s="171">
        <f>ROUNDDOWN((LineærRegression_Valg[[#This Row],[Tabel ID]]-1)/$B$5,0)+1</f>
        <v>271</v>
      </c>
      <c r="C1093" s="171">
        <f t="shared" si="16"/>
        <v>3</v>
      </c>
      <c r="D1093" s="171" t="b">
        <f>LineærRegression_Valg[[#This Row],[Afhængig variabel ID]]&lt;&gt;LineærRegression_Valg[[#This Row],[Uafhængig variabel ID]]</f>
        <v>1</v>
      </c>
      <c r="E1093" t="b">
        <f>LineærRegression_Valg[[#This Row],[Afhængig variabel ID]]&lt;=$B$5</f>
        <v>0</v>
      </c>
      <c r="F1093" t="str" cm="1">
        <f t="array" ref="F1093">IF(LineærRegression_Valg[[#This Row],[Indenfor range]],INDEX(DataTitel_liste,LineærRegression_Valg[[#This Row],[Afhængig variabel ID]]),INDEX(DataTitel_liste,1))</f>
        <v>Eksempel 1 (interval)</v>
      </c>
      <c r="G1093" s="171" t="str" cm="1">
        <f t="array" ref="G1093">IF(LineærRegression_Valg[[#This Row],[Indenfor range]],IF(LineærRegression_Valg[[#This Row],[Intet overlap]],INDEX(DataTitel_liste,LineærRegression_Valg[[#This Row],[Uafhængig variabel ID]]),INDEX(DataTitel_liste,IF(LineærRegression_Valg[[#This Row],[Afhængig variabel ID]]=1,2,1))),$B$7)</f>
        <v>Eksempel 2 (interval)</v>
      </c>
      <c r="H1093" s="171">
        <f>_xlfn.AGGREGATE(2,5,LineærRegression_Valg[[#This Row],[Tabel ID]])</f>
        <v>1</v>
      </c>
    </row>
    <row r="1094" spans="1:8" x14ac:dyDescent="0.2">
      <c r="A1094">
        <f>ROW(LineærRegression_Valg[[#This Row],[Tabel ID]])-ROW(LineærRegression_Valg[[#Headers],[Tabel ID]])</f>
        <v>1084</v>
      </c>
      <c r="B1094" s="171">
        <f>ROUNDDOWN((LineærRegression_Valg[[#This Row],[Tabel ID]]-1)/$B$5,0)+1</f>
        <v>271</v>
      </c>
      <c r="C1094" s="171">
        <f t="shared" si="16"/>
        <v>4</v>
      </c>
      <c r="D1094" s="171" t="b">
        <f>LineærRegression_Valg[[#This Row],[Afhængig variabel ID]]&lt;&gt;LineærRegression_Valg[[#This Row],[Uafhængig variabel ID]]</f>
        <v>1</v>
      </c>
      <c r="E1094" t="b">
        <f>LineærRegression_Valg[[#This Row],[Afhængig variabel ID]]&lt;=$B$5</f>
        <v>0</v>
      </c>
      <c r="F1094" t="str" cm="1">
        <f t="array" ref="F1094">IF(LineærRegression_Valg[[#This Row],[Indenfor range]],INDEX(DataTitel_liste,LineærRegression_Valg[[#This Row],[Afhængig variabel ID]]),INDEX(DataTitel_liste,1))</f>
        <v>Eksempel 1 (interval)</v>
      </c>
      <c r="G1094" s="171" t="str" cm="1">
        <f t="array" ref="G1094">IF(LineærRegression_Valg[[#This Row],[Indenfor range]],IF(LineærRegression_Valg[[#This Row],[Intet overlap]],INDEX(DataTitel_liste,LineærRegression_Valg[[#This Row],[Uafhængig variabel ID]]),INDEX(DataTitel_liste,IF(LineærRegression_Valg[[#This Row],[Afhængig variabel ID]]=1,2,1))),$B$7)</f>
        <v>Eksempel 2 (interval)</v>
      </c>
      <c r="H1094" s="171">
        <f>_xlfn.AGGREGATE(2,5,LineærRegression_Valg[[#This Row],[Tabel ID]])</f>
        <v>1</v>
      </c>
    </row>
    <row r="1095" spans="1:8" x14ac:dyDescent="0.2">
      <c r="A1095">
        <f>ROW(LineærRegression_Valg[[#This Row],[Tabel ID]])-ROW(LineærRegression_Valg[[#Headers],[Tabel ID]])</f>
        <v>1085</v>
      </c>
      <c r="B1095" s="171">
        <f>ROUNDDOWN((LineærRegression_Valg[[#This Row],[Tabel ID]]-1)/$B$5,0)+1</f>
        <v>272</v>
      </c>
      <c r="C1095" s="171">
        <f t="shared" si="16"/>
        <v>1</v>
      </c>
      <c r="D1095" s="171" t="b">
        <f>LineærRegression_Valg[[#This Row],[Afhængig variabel ID]]&lt;&gt;LineærRegression_Valg[[#This Row],[Uafhængig variabel ID]]</f>
        <v>1</v>
      </c>
      <c r="E1095" t="b">
        <f>LineærRegression_Valg[[#This Row],[Afhængig variabel ID]]&lt;=$B$5</f>
        <v>0</v>
      </c>
      <c r="F1095" t="str" cm="1">
        <f t="array" ref="F1095">IF(LineærRegression_Valg[[#This Row],[Indenfor range]],INDEX(DataTitel_liste,LineærRegression_Valg[[#This Row],[Afhængig variabel ID]]),INDEX(DataTitel_liste,1))</f>
        <v>Eksempel 1 (interval)</v>
      </c>
      <c r="G1095" s="171" t="str" cm="1">
        <f t="array" ref="G1095">IF(LineærRegression_Valg[[#This Row],[Indenfor range]],IF(LineærRegression_Valg[[#This Row],[Intet overlap]],INDEX(DataTitel_liste,LineærRegression_Valg[[#This Row],[Uafhængig variabel ID]]),INDEX(DataTitel_liste,IF(LineærRegression_Valg[[#This Row],[Afhængig variabel ID]]=1,2,1))),$B$7)</f>
        <v>Eksempel 2 (interval)</v>
      </c>
      <c r="H1095" s="171">
        <f>_xlfn.AGGREGATE(2,5,LineærRegression_Valg[[#This Row],[Tabel ID]])</f>
        <v>1</v>
      </c>
    </row>
    <row r="1096" spans="1:8" x14ac:dyDescent="0.2">
      <c r="A1096">
        <f>ROW(LineærRegression_Valg[[#This Row],[Tabel ID]])-ROW(LineærRegression_Valg[[#Headers],[Tabel ID]])</f>
        <v>1086</v>
      </c>
      <c r="B1096" s="171">
        <f>ROUNDDOWN((LineærRegression_Valg[[#This Row],[Tabel ID]]-1)/$B$5,0)+1</f>
        <v>272</v>
      </c>
      <c r="C1096" s="171">
        <f t="shared" si="16"/>
        <v>2</v>
      </c>
      <c r="D1096" s="171" t="b">
        <f>LineærRegression_Valg[[#This Row],[Afhængig variabel ID]]&lt;&gt;LineærRegression_Valg[[#This Row],[Uafhængig variabel ID]]</f>
        <v>1</v>
      </c>
      <c r="E1096" t="b">
        <f>LineærRegression_Valg[[#This Row],[Afhængig variabel ID]]&lt;=$B$5</f>
        <v>0</v>
      </c>
      <c r="F1096" t="str" cm="1">
        <f t="array" ref="F1096">IF(LineærRegression_Valg[[#This Row],[Indenfor range]],INDEX(DataTitel_liste,LineærRegression_Valg[[#This Row],[Afhængig variabel ID]]),INDEX(DataTitel_liste,1))</f>
        <v>Eksempel 1 (interval)</v>
      </c>
      <c r="G1096" s="171" t="str" cm="1">
        <f t="array" ref="G1096">IF(LineærRegression_Valg[[#This Row],[Indenfor range]],IF(LineærRegression_Valg[[#This Row],[Intet overlap]],INDEX(DataTitel_liste,LineærRegression_Valg[[#This Row],[Uafhængig variabel ID]]),INDEX(DataTitel_liste,IF(LineærRegression_Valg[[#This Row],[Afhængig variabel ID]]=1,2,1))),$B$7)</f>
        <v>Eksempel 2 (interval)</v>
      </c>
      <c r="H1096" s="171">
        <f>_xlfn.AGGREGATE(2,5,LineærRegression_Valg[[#This Row],[Tabel ID]])</f>
        <v>1</v>
      </c>
    </row>
    <row r="1097" spans="1:8" x14ac:dyDescent="0.2">
      <c r="A1097">
        <f>ROW(LineærRegression_Valg[[#This Row],[Tabel ID]])-ROW(LineærRegression_Valg[[#Headers],[Tabel ID]])</f>
        <v>1087</v>
      </c>
      <c r="B1097" s="171">
        <f>ROUNDDOWN((LineærRegression_Valg[[#This Row],[Tabel ID]]-1)/$B$5,0)+1</f>
        <v>272</v>
      </c>
      <c r="C1097" s="171">
        <f t="shared" si="16"/>
        <v>3</v>
      </c>
      <c r="D1097" s="171" t="b">
        <f>LineærRegression_Valg[[#This Row],[Afhængig variabel ID]]&lt;&gt;LineærRegression_Valg[[#This Row],[Uafhængig variabel ID]]</f>
        <v>1</v>
      </c>
      <c r="E1097" t="b">
        <f>LineærRegression_Valg[[#This Row],[Afhængig variabel ID]]&lt;=$B$5</f>
        <v>0</v>
      </c>
      <c r="F1097" t="str" cm="1">
        <f t="array" ref="F1097">IF(LineærRegression_Valg[[#This Row],[Indenfor range]],INDEX(DataTitel_liste,LineærRegression_Valg[[#This Row],[Afhængig variabel ID]]),INDEX(DataTitel_liste,1))</f>
        <v>Eksempel 1 (interval)</v>
      </c>
      <c r="G1097" s="171" t="str" cm="1">
        <f t="array" ref="G1097">IF(LineærRegression_Valg[[#This Row],[Indenfor range]],IF(LineærRegression_Valg[[#This Row],[Intet overlap]],INDEX(DataTitel_liste,LineærRegression_Valg[[#This Row],[Uafhængig variabel ID]]),INDEX(DataTitel_liste,IF(LineærRegression_Valg[[#This Row],[Afhængig variabel ID]]=1,2,1))),$B$7)</f>
        <v>Eksempel 2 (interval)</v>
      </c>
      <c r="H1097" s="171">
        <f>_xlfn.AGGREGATE(2,5,LineærRegression_Valg[[#This Row],[Tabel ID]])</f>
        <v>1</v>
      </c>
    </row>
    <row r="1098" spans="1:8" x14ac:dyDescent="0.2">
      <c r="A1098">
        <f>ROW(LineærRegression_Valg[[#This Row],[Tabel ID]])-ROW(LineærRegression_Valg[[#Headers],[Tabel ID]])</f>
        <v>1088</v>
      </c>
      <c r="B1098" s="171">
        <f>ROUNDDOWN((LineærRegression_Valg[[#This Row],[Tabel ID]]-1)/$B$5,0)+1</f>
        <v>272</v>
      </c>
      <c r="C1098" s="171">
        <f t="shared" si="16"/>
        <v>4</v>
      </c>
      <c r="D1098" s="171" t="b">
        <f>LineærRegression_Valg[[#This Row],[Afhængig variabel ID]]&lt;&gt;LineærRegression_Valg[[#This Row],[Uafhængig variabel ID]]</f>
        <v>1</v>
      </c>
      <c r="E1098" t="b">
        <f>LineærRegression_Valg[[#This Row],[Afhængig variabel ID]]&lt;=$B$5</f>
        <v>0</v>
      </c>
      <c r="F1098" t="str" cm="1">
        <f t="array" ref="F1098">IF(LineærRegression_Valg[[#This Row],[Indenfor range]],INDEX(DataTitel_liste,LineærRegression_Valg[[#This Row],[Afhængig variabel ID]]),INDEX(DataTitel_liste,1))</f>
        <v>Eksempel 1 (interval)</v>
      </c>
      <c r="G1098" s="171" t="str" cm="1">
        <f t="array" ref="G1098">IF(LineærRegression_Valg[[#This Row],[Indenfor range]],IF(LineærRegression_Valg[[#This Row],[Intet overlap]],INDEX(DataTitel_liste,LineærRegression_Valg[[#This Row],[Uafhængig variabel ID]]),INDEX(DataTitel_liste,IF(LineærRegression_Valg[[#This Row],[Afhængig variabel ID]]=1,2,1))),$B$7)</f>
        <v>Eksempel 2 (interval)</v>
      </c>
      <c r="H1098" s="171">
        <f>_xlfn.AGGREGATE(2,5,LineærRegression_Valg[[#This Row],[Tabel ID]])</f>
        <v>1</v>
      </c>
    </row>
    <row r="1099" spans="1:8" x14ac:dyDescent="0.2">
      <c r="A1099">
        <f>ROW(LineærRegression_Valg[[#This Row],[Tabel ID]])-ROW(LineærRegression_Valg[[#Headers],[Tabel ID]])</f>
        <v>1089</v>
      </c>
      <c r="B1099" s="171">
        <f>ROUNDDOWN((LineærRegression_Valg[[#This Row],[Tabel ID]]-1)/$B$5,0)+1</f>
        <v>273</v>
      </c>
      <c r="C1099" s="171">
        <f t="shared" ref="C1099:C1162" si="17">MOD(A1099-1,$B$5)+1</f>
        <v>1</v>
      </c>
      <c r="D1099" s="171" t="b">
        <f>LineærRegression_Valg[[#This Row],[Afhængig variabel ID]]&lt;&gt;LineærRegression_Valg[[#This Row],[Uafhængig variabel ID]]</f>
        <v>1</v>
      </c>
      <c r="E1099" t="b">
        <f>LineærRegression_Valg[[#This Row],[Afhængig variabel ID]]&lt;=$B$5</f>
        <v>0</v>
      </c>
      <c r="F1099" t="str" cm="1">
        <f t="array" ref="F1099">IF(LineærRegression_Valg[[#This Row],[Indenfor range]],INDEX(DataTitel_liste,LineærRegression_Valg[[#This Row],[Afhængig variabel ID]]),INDEX(DataTitel_liste,1))</f>
        <v>Eksempel 1 (interval)</v>
      </c>
      <c r="G1099" s="171" t="str" cm="1">
        <f t="array" ref="G1099">IF(LineærRegression_Valg[[#This Row],[Indenfor range]],IF(LineærRegression_Valg[[#This Row],[Intet overlap]],INDEX(DataTitel_liste,LineærRegression_Valg[[#This Row],[Uafhængig variabel ID]]),INDEX(DataTitel_liste,IF(LineærRegression_Valg[[#This Row],[Afhængig variabel ID]]=1,2,1))),$B$7)</f>
        <v>Eksempel 2 (interval)</v>
      </c>
      <c r="H1099" s="171">
        <f>_xlfn.AGGREGATE(2,5,LineærRegression_Valg[[#This Row],[Tabel ID]])</f>
        <v>1</v>
      </c>
    </row>
    <row r="1100" spans="1:8" x14ac:dyDescent="0.2">
      <c r="A1100">
        <f>ROW(LineærRegression_Valg[[#This Row],[Tabel ID]])-ROW(LineærRegression_Valg[[#Headers],[Tabel ID]])</f>
        <v>1090</v>
      </c>
      <c r="B1100" s="171">
        <f>ROUNDDOWN((LineærRegression_Valg[[#This Row],[Tabel ID]]-1)/$B$5,0)+1</f>
        <v>273</v>
      </c>
      <c r="C1100" s="171">
        <f t="shared" si="17"/>
        <v>2</v>
      </c>
      <c r="D1100" s="171" t="b">
        <f>LineærRegression_Valg[[#This Row],[Afhængig variabel ID]]&lt;&gt;LineærRegression_Valg[[#This Row],[Uafhængig variabel ID]]</f>
        <v>1</v>
      </c>
      <c r="E1100" t="b">
        <f>LineærRegression_Valg[[#This Row],[Afhængig variabel ID]]&lt;=$B$5</f>
        <v>0</v>
      </c>
      <c r="F1100" t="str" cm="1">
        <f t="array" ref="F1100">IF(LineærRegression_Valg[[#This Row],[Indenfor range]],INDEX(DataTitel_liste,LineærRegression_Valg[[#This Row],[Afhængig variabel ID]]),INDEX(DataTitel_liste,1))</f>
        <v>Eksempel 1 (interval)</v>
      </c>
      <c r="G1100" s="171" t="str" cm="1">
        <f t="array" ref="G1100">IF(LineærRegression_Valg[[#This Row],[Indenfor range]],IF(LineærRegression_Valg[[#This Row],[Intet overlap]],INDEX(DataTitel_liste,LineærRegression_Valg[[#This Row],[Uafhængig variabel ID]]),INDEX(DataTitel_liste,IF(LineærRegression_Valg[[#This Row],[Afhængig variabel ID]]=1,2,1))),$B$7)</f>
        <v>Eksempel 2 (interval)</v>
      </c>
      <c r="H1100" s="171">
        <f>_xlfn.AGGREGATE(2,5,LineærRegression_Valg[[#This Row],[Tabel ID]])</f>
        <v>1</v>
      </c>
    </row>
    <row r="1101" spans="1:8" x14ac:dyDescent="0.2">
      <c r="A1101">
        <f>ROW(LineærRegression_Valg[[#This Row],[Tabel ID]])-ROW(LineærRegression_Valg[[#Headers],[Tabel ID]])</f>
        <v>1091</v>
      </c>
      <c r="B1101" s="171">
        <f>ROUNDDOWN((LineærRegression_Valg[[#This Row],[Tabel ID]]-1)/$B$5,0)+1</f>
        <v>273</v>
      </c>
      <c r="C1101" s="171">
        <f t="shared" si="17"/>
        <v>3</v>
      </c>
      <c r="D1101" s="171" t="b">
        <f>LineærRegression_Valg[[#This Row],[Afhængig variabel ID]]&lt;&gt;LineærRegression_Valg[[#This Row],[Uafhængig variabel ID]]</f>
        <v>1</v>
      </c>
      <c r="E1101" t="b">
        <f>LineærRegression_Valg[[#This Row],[Afhængig variabel ID]]&lt;=$B$5</f>
        <v>0</v>
      </c>
      <c r="F1101" t="str" cm="1">
        <f t="array" ref="F1101">IF(LineærRegression_Valg[[#This Row],[Indenfor range]],INDEX(DataTitel_liste,LineærRegression_Valg[[#This Row],[Afhængig variabel ID]]),INDEX(DataTitel_liste,1))</f>
        <v>Eksempel 1 (interval)</v>
      </c>
      <c r="G1101" s="171" t="str" cm="1">
        <f t="array" ref="G1101">IF(LineærRegression_Valg[[#This Row],[Indenfor range]],IF(LineærRegression_Valg[[#This Row],[Intet overlap]],INDEX(DataTitel_liste,LineærRegression_Valg[[#This Row],[Uafhængig variabel ID]]),INDEX(DataTitel_liste,IF(LineærRegression_Valg[[#This Row],[Afhængig variabel ID]]=1,2,1))),$B$7)</f>
        <v>Eksempel 2 (interval)</v>
      </c>
      <c r="H1101" s="171">
        <f>_xlfn.AGGREGATE(2,5,LineærRegression_Valg[[#This Row],[Tabel ID]])</f>
        <v>1</v>
      </c>
    </row>
    <row r="1102" spans="1:8" x14ac:dyDescent="0.2">
      <c r="A1102">
        <f>ROW(LineærRegression_Valg[[#This Row],[Tabel ID]])-ROW(LineærRegression_Valg[[#Headers],[Tabel ID]])</f>
        <v>1092</v>
      </c>
      <c r="B1102" s="171">
        <f>ROUNDDOWN((LineærRegression_Valg[[#This Row],[Tabel ID]]-1)/$B$5,0)+1</f>
        <v>273</v>
      </c>
      <c r="C1102" s="171">
        <f t="shared" si="17"/>
        <v>4</v>
      </c>
      <c r="D1102" s="171" t="b">
        <f>LineærRegression_Valg[[#This Row],[Afhængig variabel ID]]&lt;&gt;LineærRegression_Valg[[#This Row],[Uafhængig variabel ID]]</f>
        <v>1</v>
      </c>
      <c r="E1102" t="b">
        <f>LineærRegression_Valg[[#This Row],[Afhængig variabel ID]]&lt;=$B$5</f>
        <v>0</v>
      </c>
      <c r="F1102" t="str" cm="1">
        <f t="array" ref="F1102">IF(LineærRegression_Valg[[#This Row],[Indenfor range]],INDEX(DataTitel_liste,LineærRegression_Valg[[#This Row],[Afhængig variabel ID]]),INDEX(DataTitel_liste,1))</f>
        <v>Eksempel 1 (interval)</v>
      </c>
      <c r="G1102" s="171" t="str" cm="1">
        <f t="array" ref="G1102">IF(LineærRegression_Valg[[#This Row],[Indenfor range]],IF(LineærRegression_Valg[[#This Row],[Intet overlap]],INDEX(DataTitel_liste,LineærRegression_Valg[[#This Row],[Uafhængig variabel ID]]),INDEX(DataTitel_liste,IF(LineærRegression_Valg[[#This Row],[Afhængig variabel ID]]=1,2,1))),$B$7)</f>
        <v>Eksempel 2 (interval)</v>
      </c>
      <c r="H1102" s="171">
        <f>_xlfn.AGGREGATE(2,5,LineærRegression_Valg[[#This Row],[Tabel ID]])</f>
        <v>1</v>
      </c>
    </row>
    <row r="1103" spans="1:8" x14ac:dyDescent="0.2">
      <c r="A1103">
        <f>ROW(LineærRegression_Valg[[#This Row],[Tabel ID]])-ROW(LineærRegression_Valg[[#Headers],[Tabel ID]])</f>
        <v>1093</v>
      </c>
      <c r="B1103" s="171">
        <f>ROUNDDOWN((LineærRegression_Valg[[#This Row],[Tabel ID]]-1)/$B$5,0)+1</f>
        <v>274</v>
      </c>
      <c r="C1103" s="171">
        <f t="shared" si="17"/>
        <v>1</v>
      </c>
      <c r="D1103" s="171" t="b">
        <f>LineærRegression_Valg[[#This Row],[Afhængig variabel ID]]&lt;&gt;LineærRegression_Valg[[#This Row],[Uafhængig variabel ID]]</f>
        <v>1</v>
      </c>
      <c r="E1103" t="b">
        <f>LineærRegression_Valg[[#This Row],[Afhængig variabel ID]]&lt;=$B$5</f>
        <v>0</v>
      </c>
      <c r="F1103" t="str" cm="1">
        <f t="array" ref="F1103">IF(LineærRegression_Valg[[#This Row],[Indenfor range]],INDEX(DataTitel_liste,LineærRegression_Valg[[#This Row],[Afhængig variabel ID]]),INDEX(DataTitel_liste,1))</f>
        <v>Eksempel 1 (interval)</v>
      </c>
      <c r="G1103" s="171" t="str" cm="1">
        <f t="array" ref="G1103">IF(LineærRegression_Valg[[#This Row],[Indenfor range]],IF(LineærRegression_Valg[[#This Row],[Intet overlap]],INDEX(DataTitel_liste,LineærRegression_Valg[[#This Row],[Uafhængig variabel ID]]),INDEX(DataTitel_liste,IF(LineærRegression_Valg[[#This Row],[Afhængig variabel ID]]=1,2,1))),$B$7)</f>
        <v>Eksempel 2 (interval)</v>
      </c>
      <c r="H1103" s="171">
        <f>_xlfn.AGGREGATE(2,5,LineærRegression_Valg[[#This Row],[Tabel ID]])</f>
        <v>1</v>
      </c>
    </row>
    <row r="1104" spans="1:8" x14ac:dyDescent="0.2">
      <c r="A1104">
        <f>ROW(LineærRegression_Valg[[#This Row],[Tabel ID]])-ROW(LineærRegression_Valg[[#Headers],[Tabel ID]])</f>
        <v>1094</v>
      </c>
      <c r="B1104" s="171">
        <f>ROUNDDOWN((LineærRegression_Valg[[#This Row],[Tabel ID]]-1)/$B$5,0)+1</f>
        <v>274</v>
      </c>
      <c r="C1104" s="171">
        <f t="shared" si="17"/>
        <v>2</v>
      </c>
      <c r="D1104" s="171" t="b">
        <f>LineærRegression_Valg[[#This Row],[Afhængig variabel ID]]&lt;&gt;LineærRegression_Valg[[#This Row],[Uafhængig variabel ID]]</f>
        <v>1</v>
      </c>
      <c r="E1104" t="b">
        <f>LineærRegression_Valg[[#This Row],[Afhængig variabel ID]]&lt;=$B$5</f>
        <v>0</v>
      </c>
      <c r="F1104" t="str" cm="1">
        <f t="array" ref="F1104">IF(LineærRegression_Valg[[#This Row],[Indenfor range]],INDEX(DataTitel_liste,LineærRegression_Valg[[#This Row],[Afhængig variabel ID]]),INDEX(DataTitel_liste,1))</f>
        <v>Eksempel 1 (interval)</v>
      </c>
      <c r="G1104" s="171" t="str" cm="1">
        <f t="array" ref="G1104">IF(LineærRegression_Valg[[#This Row],[Indenfor range]],IF(LineærRegression_Valg[[#This Row],[Intet overlap]],INDEX(DataTitel_liste,LineærRegression_Valg[[#This Row],[Uafhængig variabel ID]]),INDEX(DataTitel_liste,IF(LineærRegression_Valg[[#This Row],[Afhængig variabel ID]]=1,2,1))),$B$7)</f>
        <v>Eksempel 2 (interval)</v>
      </c>
      <c r="H1104" s="171">
        <f>_xlfn.AGGREGATE(2,5,LineærRegression_Valg[[#This Row],[Tabel ID]])</f>
        <v>1</v>
      </c>
    </row>
    <row r="1105" spans="1:8" x14ac:dyDescent="0.2">
      <c r="A1105">
        <f>ROW(LineærRegression_Valg[[#This Row],[Tabel ID]])-ROW(LineærRegression_Valg[[#Headers],[Tabel ID]])</f>
        <v>1095</v>
      </c>
      <c r="B1105" s="171">
        <f>ROUNDDOWN((LineærRegression_Valg[[#This Row],[Tabel ID]]-1)/$B$5,0)+1</f>
        <v>274</v>
      </c>
      <c r="C1105" s="171">
        <f t="shared" si="17"/>
        <v>3</v>
      </c>
      <c r="D1105" s="171" t="b">
        <f>LineærRegression_Valg[[#This Row],[Afhængig variabel ID]]&lt;&gt;LineærRegression_Valg[[#This Row],[Uafhængig variabel ID]]</f>
        <v>1</v>
      </c>
      <c r="E1105" t="b">
        <f>LineærRegression_Valg[[#This Row],[Afhængig variabel ID]]&lt;=$B$5</f>
        <v>0</v>
      </c>
      <c r="F1105" t="str" cm="1">
        <f t="array" ref="F1105">IF(LineærRegression_Valg[[#This Row],[Indenfor range]],INDEX(DataTitel_liste,LineærRegression_Valg[[#This Row],[Afhængig variabel ID]]),INDEX(DataTitel_liste,1))</f>
        <v>Eksempel 1 (interval)</v>
      </c>
      <c r="G1105" s="171" t="str" cm="1">
        <f t="array" ref="G1105">IF(LineærRegression_Valg[[#This Row],[Indenfor range]],IF(LineærRegression_Valg[[#This Row],[Intet overlap]],INDEX(DataTitel_liste,LineærRegression_Valg[[#This Row],[Uafhængig variabel ID]]),INDEX(DataTitel_liste,IF(LineærRegression_Valg[[#This Row],[Afhængig variabel ID]]=1,2,1))),$B$7)</f>
        <v>Eksempel 2 (interval)</v>
      </c>
      <c r="H1105" s="171">
        <f>_xlfn.AGGREGATE(2,5,LineærRegression_Valg[[#This Row],[Tabel ID]])</f>
        <v>1</v>
      </c>
    </row>
    <row r="1106" spans="1:8" x14ac:dyDescent="0.2">
      <c r="A1106">
        <f>ROW(LineærRegression_Valg[[#This Row],[Tabel ID]])-ROW(LineærRegression_Valg[[#Headers],[Tabel ID]])</f>
        <v>1096</v>
      </c>
      <c r="B1106" s="171">
        <f>ROUNDDOWN((LineærRegression_Valg[[#This Row],[Tabel ID]]-1)/$B$5,0)+1</f>
        <v>274</v>
      </c>
      <c r="C1106" s="171">
        <f t="shared" si="17"/>
        <v>4</v>
      </c>
      <c r="D1106" s="171" t="b">
        <f>LineærRegression_Valg[[#This Row],[Afhængig variabel ID]]&lt;&gt;LineærRegression_Valg[[#This Row],[Uafhængig variabel ID]]</f>
        <v>1</v>
      </c>
      <c r="E1106" t="b">
        <f>LineærRegression_Valg[[#This Row],[Afhængig variabel ID]]&lt;=$B$5</f>
        <v>0</v>
      </c>
      <c r="F1106" t="str" cm="1">
        <f t="array" ref="F1106">IF(LineærRegression_Valg[[#This Row],[Indenfor range]],INDEX(DataTitel_liste,LineærRegression_Valg[[#This Row],[Afhængig variabel ID]]),INDEX(DataTitel_liste,1))</f>
        <v>Eksempel 1 (interval)</v>
      </c>
      <c r="G1106" s="171" t="str" cm="1">
        <f t="array" ref="G1106">IF(LineærRegression_Valg[[#This Row],[Indenfor range]],IF(LineærRegression_Valg[[#This Row],[Intet overlap]],INDEX(DataTitel_liste,LineærRegression_Valg[[#This Row],[Uafhængig variabel ID]]),INDEX(DataTitel_liste,IF(LineærRegression_Valg[[#This Row],[Afhængig variabel ID]]=1,2,1))),$B$7)</f>
        <v>Eksempel 2 (interval)</v>
      </c>
      <c r="H1106" s="171">
        <f>_xlfn.AGGREGATE(2,5,LineærRegression_Valg[[#This Row],[Tabel ID]])</f>
        <v>1</v>
      </c>
    </row>
    <row r="1107" spans="1:8" x14ac:dyDescent="0.2">
      <c r="A1107">
        <f>ROW(LineærRegression_Valg[[#This Row],[Tabel ID]])-ROW(LineærRegression_Valg[[#Headers],[Tabel ID]])</f>
        <v>1097</v>
      </c>
      <c r="B1107" s="171">
        <f>ROUNDDOWN((LineærRegression_Valg[[#This Row],[Tabel ID]]-1)/$B$5,0)+1</f>
        <v>275</v>
      </c>
      <c r="C1107" s="171">
        <f t="shared" si="17"/>
        <v>1</v>
      </c>
      <c r="D1107" s="171" t="b">
        <f>LineærRegression_Valg[[#This Row],[Afhængig variabel ID]]&lt;&gt;LineærRegression_Valg[[#This Row],[Uafhængig variabel ID]]</f>
        <v>1</v>
      </c>
      <c r="E1107" t="b">
        <f>LineærRegression_Valg[[#This Row],[Afhængig variabel ID]]&lt;=$B$5</f>
        <v>0</v>
      </c>
      <c r="F1107" t="str" cm="1">
        <f t="array" ref="F1107">IF(LineærRegression_Valg[[#This Row],[Indenfor range]],INDEX(DataTitel_liste,LineærRegression_Valg[[#This Row],[Afhængig variabel ID]]),INDEX(DataTitel_liste,1))</f>
        <v>Eksempel 1 (interval)</v>
      </c>
      <c r="G1107" s="171" t="str" cm="1">
        <f t="array" ref="G1107">IF(LineærRegression_Valg[[#This Row],[Indenfor range]],IF(LineærRegression_Valg[[#This Row],[Intet overlap]],INDEX(DataTitel_liste,LineærRegression_Valg[[#This Row],[Uafhængig variabel ID]]),INDEX(DataTitel_liste,IF(LineærRegression_Valg[[#This Row],[Afhængig variabel ID]]=1,2,1))),$B$7)</f>
        <v>Eksempel 2 (interval)</v>
      </c>
      <c r="H1107" s="171">
        <f>_xlfn.AGGREGATE(2,5,LineærRegression_Valg[[#This Row],[Tabel ID]])</f>
        <v>1</v>
      </c>
    </row>
    <row r="1108" spans="1:8" x14ac:dyDescent="0.2">
      <c r="A1108">
        <f>ROW(LineærRegression_Valg[[#This Row],[Tabel ID]])-ROW(LineærRegression_Valg[[#Headers],[Tabel ID]])</f>
        <v>1098</v>
      </c>
      <c r="B1108" s="171">
        <f>ROUNDDOWN((LineærRegression_Valg[[#This Row],[Tabel ID]]-1)/$B$5,0)+1</f>
        <v>275</v>
      </c>
      <c r="C1108" s="171">
        <f t="shared" si="17"/>
        <v>2</v>
      </c>
      <c r="D1108" s="171" t="b">
        <f>LineærRegression_Valg[[#This Row],[Afhængig variabel ID]]&lt;&gt;LineærRegression_Valg[[#This Row],[Uafhængig variabel ID]]</f>
        <v>1</v>
      </c>
      <c r="E1108" t="b">
        <f>LineærRegression_Valg[[#This Row],[Afhængig variabel ID]]&lt;=$B$5</f>
        <v>0</v>
      </c>
      <c r="F1108" t="str" cm="1">
        <f t="array" ref="F1108">IF(LineærRegression_Valg[[#This Row],[Indenfor range]],INDEX(DataTitel_liste,LineærRegression_Valg[[#This Row],[Afhængig variabel ID]]),INDEX(DataTitel_liste,1))</f>
        <v>Eksempel 1 (interval)</v>
      </c>
      <c r="G1108" s="171" t="str" cm="1">
        <f t="array" ref="G1108">IF(LineærRegression_Valg[[#This Row],[Indenfor range]],IF(LineærRegression_Valg[[#This Row],[Intet overlap]],INDEX(DataTitel_liste,LineærRegression_Valg[[#This Row],[Uafhængig variabel ID]]),INDEX(DataTitel_liste,IF(LineærRegression_Valg[[#This Row],[Afhængig variabel ID]]=1,2,1))),$B$7)</f>
        <v>Eksempel 2 (interval)</v>
      </c>
      <c r="H1108" s="171">
        <f>_xlfn.AGGREGATE(2,5,LineærRegression_Valg[[#This Row],[Tabel ID]])</f>
        <v>1</v>
      </c>
    </row>
    <row r="1109" spans="1:8" x14ac:dyDescent="0.2">
      <c r="A1109">
        <f>ROW(LineærRegression_Valg[[#This Row],[Tabel ID]])-ROW(LineærRegression_Valg[[#Headers],[Tabel ID]])</f>
        <v>1099</v>
      </c>
      <c r="B1109" s="171">
        <f>ROUNDDOWN((LineærRegression_Valg[[#This Row],[Tabel ID]]-1)/$B$5,0)+1</f>
        <v>275</v>
      </c>
      <c r="C1109" s="171">
        <f t="shared" si="17"/>
        <v>3</v>
      </c>
      <c r="D1109" s="171" t="b">
        <f>LineærRegression_Valg[[#This Row],[Afhængig variabel ID]]&lt;&gt;LineærRegression_Valg[[#This Row],[Uafhængig variabel ID]]</f>
        <v>1</v>
      </c>
      <c r="E1109" t="b">
        <f>LineærRegression_Valg[[#This Row],[Afhængig variabel ID]]&lt;=$B$5</f>
        <v>0</v>
      </c>
      <c r="F1109" t="str" cm="1">
        <f t="array" ref="F1109">IF(LineærRegression_Valg[[#This Row],[Indenfor range]],INDEX(DataTitel_liste,LineærRegression_Valg[[#This Row],[Afhængig variabel ID]]),INDEX(DataTitel_liste,1))</f>
        <v>Eksempel 1 (interval)</v>
      </c>
      <c r="G1109" s="171" t="str" cm="1">
        <f t="array" ref="G1109">IF(LineærRegression_Valg[[#This Row],[Indenfor range]],IF(LineærRegression_Valg[[#This Row],[Intet overlap]],INDEX(DataTitel_liste,LineærRegression_Valg[[#This Row],[Uafhængig variabel ID]]),INDEX(DataTitel_liste,IF(LineærRegression_Valg[[#This Row],[Afhængig variabel ID]]=1,2,1))),$B$7)</f>
        <v>Eksempel 2 (interval)</v>
      </c>
      <c r="H1109" s="171">
        <f>_xlfn.AGGREGATE(2,5,LineærRegression_Valg[[#This Row],[Tabel ID]])</f>
        <v>1</v>
      </c>
    </row>
    <row r="1110" spans="1:8" x14ac:dyDescent="0.2">
      <c r="A1110">
        <f>ROW(LineærRegression_Valg[[#This Row],[Tabel ID]])-ROW(LineærRegression_Valg[[#Headers],[Tabel ID]])</f>
        <v>1100</v>
      </c>
      <c r="B1110" s="171">
        <f>ROUNDDOWN((LineærRegression_Valg[[#This Row],[Tabel ID]]-1)/$B$5,0)+1</f>
        <v>275</v>
      </c>
      <c r="C1110" s="171">
        <f t="shared" si="17"/>
        <v>4</v>
      </c>
      <c r="D1110" s="171" t="b">
        <f>LineærRegression_Valg[[#This Row],[Afhængig variabel ID]]&lt;&gt;LineærRegression_Valg[[#This Row],[Uafhængig variabel ID]]</f>
        <v>1</v>
      </c>
      <c r="E1110" t="b">
        <f>LineærRegression_Valg[[#This Row],[Afhængig variabel ID]]&lt;=$B$5</f>
        <v>0</v>
      </c>
      <c r="F1110" t="str" cm="1">
        <f t="array" ref="F1110">IF(LineærRegression_Valg[[#This Row],[Indenfor range]],INDEX(DataTitel_liste,LineærRegression_Valg[[#This Row],[Afhængig variabel ID]]),INDEX(DataTitel_liste,1))</f>
        <v>Eksempel 1 (interval)</v>
      </c>
      <c r="G1110" s="171" t="str" cm="1">
        <f t="array" ref="G1110">IF(LineærRegression_Valg[[#This Row],[Indenfor range]],IF(LineærRegression_Valg[[#This Row],[Intet overlap]],INDEX(DataTitel_liste,LineærRegression_Valg[[#This Row],[Uafhængig variabel ID]]),INDEX(DataTitel_liste,IF(LineærRegression_Valg[[#This Row],[Afhængig variabel ID]]=1,2,1))),$B$7)</f>
        <v>Eksempel 2 (interval)</v>
      </c>
      <c r="H1110" s="171">
        <f>_xlfn.AGGREGATE(2,5,LineærRegression_Valg[[#This Row],[Tabel ID]])</f>
        <v>1</v>
      </c>
    </row>
    <row r="1111" spans="1:8" x14ac:dyDescent="0.2">
      <c r="A1111">
        <f>ROW(LineærRegression_Valg[[#This Row],[Tabel ID]])-ROW(LineærRegression_Valg[[#Headers],[Tabel ID]])</f>
        <v>1101</v>
      </c>
      <c r="B1111" s="171">
        <f>ROUNDDOWN((LineærRegression_Valg[[#This Row],[Tabel ID]]-1)/$B$5,0)+1</f>
        <v>276</v>
      </c>
      <c r="C1111" s="171">
        <f t="shared" si="17"/>
        <v>1</v>
      </c>
      <c r="D1111" s="171" t="b">
        <f>LineærRegression_Valg[[#This Row],[Afhængig variabel ID]]&lt;&gt;LineærRegression_Valg[[#This Row],[Uafhængig variabel ID]]</f>
        <v>1</v>
      </c>
      <c r="E1111" t="b">
        <f>LineærRegression_Valg[[#This Row],[Afhængig variabel ID]]&lt;=$B$5</f>
        <v>0</v>
      </c>
      <c r="F1111" t="str" cm="1">
        <f t="array" ref="F1111">IF(LineærRegression_Valg[[#This Row],[Indenfor range]],INDEX(DataTitel_liste,LineærRegression_Valg[[#This Row],[Afhængig variabel ID]]),INDEX(DataTitel_liste,1))</f>
        <v>Eksempel 1 (interval)</v>
      </c>
      <c r="G1111" s="171" t="str" cm="1">
        <f t="array" ref="G1111">IF(LineærRegression_Valg[[#This Row],[Indenfor range]],IF(LineærRegression_Valg[[#This Row],[Intet overlap]],INDEX(DataTitel_liste,LineærRegression_Valg[[#This Row],[Uafhængig variabel ID]]),INDEX(DataTitel_liste,IF(LineærRegression_Valg[[#This Row],[Afhængig variabel ID]]=1,2,1))),$B$7)</f>
        <v>Eksempel 2 (interval)</v>
      </c>
      <c r="H1111" s="171">
        <f>_xlfn.AGGREGATE(2,5,LineærRegression_Valg[[#This Row],[Tabel ID]])</f>
        <v>1</v>
      </c>
    </row>
    <row r="1112" spans="1:8" x14ac:dyDescent="0.2">
      <c r="A1112">
        <f>ROW(LineærRegression_Valg[[#This Row],[Tabel ID]])-ROW(LineærRegression_Valg[[#Headers],[Tabel ID]])</f>
        <v>1102</v>
      </c>
      <c r="B1112" s="171">
        <f>ROUNDDOWN((LineærRegression_Valg[[#This Row],[Tabel ID]]-1)/$B$5,0)+1</f>
        <v>276</v>
      </c>
      <c r="C1112" s="171">
        <f t="shared" si="17"/>
        <v>2</v>
      </c>
      <c r="D1112" s="171" t="b">
        <f>LineærRegression_Valg[[#This Row],[Afhængig variabel ID]]&lt;&gt;LineærRegression_Valg[[#This Row],[Uafhængig variabel ID]]</f>
        <v>1</v>
      </c>
      <c r="E1112" t="b">
        <f>LineærRegression_Valg[[#This Row],[Afhængig variabel ID]]&lt;=$B$5</f>
        <v>0</v>
      </c>
      <c r="F1112" t="str" cm="1">
        <f t="array" ref="F1112">IF(LineærRegression_Valg[[#This Row],[Indenfor range]],INDEX(DataTitel_liste,LineærRegression_Valg[[#This Row],[Afhængig variabel ID]]),INDEX(DataTitel_liste,1))</f>
        <v>Eksempel 1 (interval)</v>
      </c>
      <c r="G1112" s="171" t="str" cm="1">
        <f t="array" ref="G1112">IF(LineærRegression_Valg[[#This Row],[Indenfor range]],IF(LineærRegression_Valg[[#This Row],[Intet overlap]],INDEX(DataTitel_liste,LineærRegression_Valg[[#This Row],[Uafhængig variabel ID]]),INDEX(DataTitel_liste,IF(LineærRegression_Valg[[#This Row],[Afhængig variabel ID]]=1,2,1))),$B$7)</f>
        <v>Eksempel 2 (interval)</v>
      </c>
      <c r="H1112" s="171">
        <f>_xlfn.AGGREGATE(2,5,LineærRegression_Valg[[#This Row],[Tabel ID]])</f>
        <v>1</v>
      </c>
    </row>
    <row r="1113" spans="1:8" x14ac:dyDescent="0.2">
      <c r="A1113">
        <f>ROW(LineærRegression_Valg[[#This Row],[Tabel ID]])-ROW(LineærRegression_Valg[[#Headers],[Tabel ID]])</f>
        <v>1103</v>
      </c>
      <c r="B1113" s="171">
        <f>ROUNDDOWN((LineærRegression_Valg[[#This Row],[Tabel ID]]-1)/$B$5,0)+1</f>
        <v>276</v>
      </c>
      <c r="C1113" s="171">
        <f t="shared" si="17"/>
        <v>3</v>
      </c>
      <c r="D1113" s="171" t="b">
        <f>LineærRegression_Valg[[#This Row],[Afhængig variabel ID]]&lt;&gt;LineærRegression_Valg[[#This Row],[Uafhængig variabel ID]]</f>
        <v>1</v>
      </c>
      <c r="E1113" t="b">
        <f>LineærRegression_Valg[[#This Row],[Afhængig variabel ID]]&lt;=$B$5</f>
        <v>0</v>
      </c>
      <c r="F1113" t="str" cm="1">
        <f t="array" ref="F1113">IF(LineærRegression_Valg[[#This Row],[Indenfor range]],INDEX(DataTitel_liste,LineærRegression_Valg[[#This Row],[Afhængig variabel ID]]),INDEX(DataTitel_liste,1))</f>
        <v>Eksempel 1 (interval)</v>
      </c>
      <c r="G1113" s="171" t="str" cm="1">
        <f t="array" ref="G1113">IF(LineærRegression_Valg[[#This Row],[Indenfor range]],IF(LineærRegression_Valg[[#This Row],[Intet overlap]],INDEX(DataTitel_liste,LineærRegression_Valg[[#This Row],[Uafhængig variabel ID]]),INDEX(DataTitel_liste,IF(LineærRegression_Valg[[#This Row],[Afhængig variabel ID]]=1,2,1))),$B$7)</f>
        <v>Eksempel 2 (interval)</v>
      </c>
      <c r="H1113" s="171">
        <f>_xlfn.AGGREGATE(2,5,LineærRegression_Valg[[#This Row],[Tabel ID]])</f>
        <v>1</v>
      </c>
    </row>
    <row r="1114" spans="1:8" x14ac:dyDescent="0.2">
      <c r="A1114">
        <f>ROW(LineærRegression_Valg[[#This Row],[Tabel ID]])-ROW(LineærRegression_Valg[[#Headers],[Tabel ID]])</f>
        <v>1104</v>
      </c>
      <c r="B1114" s="171">
        <f>ROUNDDOWN((LineærRegression_Valg[[#This Row],[Tabel ID]]-1)/$B$5,0)+1</f>
        <v>276</v>
      </c>
      <c r="C1114" s="171">
        <f t="shared" si="17"/>
        <v>4</v>
      </c>
      <c r="D1114" s="171" t="b">
        <f>LineærRegression_Valg[[#This Row],[Afhængig variabel ID]]&lt;&gt;LineærRegression_Valg[[#This Row],[Uafhængig variabel ID]]</f>
        <v>1</v>
      </c>
      <c r="E1114" t="b">
        <f>LineærRegression_Valg[[#This Row],[Afhængig variabel ID]]&lt;=$B$5</f>
        <v>0</v>
      </c>
      <c r="F1114" t="str" cm="1">
        <f t="array" ref="F1114">IF(LineærRegression_Valg[[#This Row],[Indenfor range]],INDEX(DataTitel_liste,LineærRegression_Valg[[#This Row],[Afhængig variabel ID]]),INDEX(DataTitel_liste,1))</f>
        <v>Eksempel 1 (interval)</v>
      </c>
      <c r="G1114" s="171" t="str" cm="1">
        <f t="array" ref="G1114">IF(LineærRegression_Valg[[#This Row],[Indenfor range]],IF(LineærRegression_Valg[[#This Row],[Intet overlap]],INDEX(DataTitel_liste,LineærRegression_Valg[[#This Row],[Uafhængig variabel ID]]),INDEX(DataTitel_liste,IF(LineærRegression_Valg[[#This Row],[Afhængig variabel ID]]=1,2,1))),$B$7)</f>
        <v>Eksempel 2 (interval)</v>
      </c>
      <c r="H1114" s="171">
        <f>_xlfn.AGGREGATE(2,5,LineærRegression_Valg[[#This Row],[Tabel ID]])</f>
        <v>1</v>
      </c>
    </row>
    <row r="1115" spans="1:8" x14ac:dyDescent="0.2">
      <c r="A1115">
        <f>ROW(LineærRegression_Valg[[#This Row],[Tabel ID]])-ROW(LineærRegression_Valg[[#Headers],[Tabel ID]])</f>
        <v>1105</v>
      </c>
      <c r="B1115" s="171">
        <f>ROUNDDOWN((LineærRegression_Valg[[#This Row],[Tabel ID]]-1)/$B$5,0)+1</f>
        <v>277</v>
      </c>
      <c r="C1115" s="171">
        <f t="shared" si="17"/>
        <v>1</v>
      </c>
      <c r="D1115" s="171" t="b">
        <f>LineærRegression_Valg[[#This Row],[Afhængig variabel ID]]&lt;&gt;LineærRegression_Valg[[#This Row],[Uafhængig variabel ID]]</f>
        <v>1</v>
      </c>
      <c r="E1115" t="b">
        <f>LineærRegression_Valg[[#This Row],[Afhængig variabel ID]]&lt;=$B$5</f>
        <v>0</v>
      </c>
      <c r="F1115" t="str" cm="1">
        <f t="array" ref="F1115">IF(LineærRegression_Valg[[#This Row],[Indenfor range]],INDEX(DataTitel_liste,LineærRegression_Valg[[#This Row],[Afhængig variabel ID]]),INDEX(DataTitel_liste,1))</f>
        <v>Eksempel 1 (interval)</v>
      </c>
      <c r="G1115" s="171" t="str" cm="1">
        <f t="array" ref="G1115">IF(LineærRegression_Valg[[#This Row],[Indenfor range]],IF(LineærRegression_Valg[[#This Row],[Intet overlap]],INDEX(DataTitel_liste,LineærRegression_Valg[[#This Row],[Uafhængig variabel ID]]),INDEX(DataTitel_liste,IF(LineærRegression_Valg[[#This Row],[Afhængig variabel ID]]=1,2,1))),$B$7)</f>
        <v>Eksempel 2 (interval)</v>
      </c>
      <c r="H1115" s="171">
        <f>_xlfn.AGGREGATE(2,5,LineærRegression_Valg[[#This Row],[Tabel ID]])</f>
        <v>1</v>
      </c>
    </row>
    <row r="1116" spans="1:8" x14ac:dyDescent="0.2">
      <c r="A1116">
        <f>ROW(LineærRegression_Valg[[#This Row],[Tabel ID]])-ROW(LineærRegression_Valg[[#Headers],[Tabel ID]])</f>
        <v>1106</v>
      </c>
      <c r="B1116" s="171">
        <f>ROUNDDOWN((LineærRegression_Valg[[#This Row],[Tabel ID]]-1)/$B$5,0)+1</f>
        <v>277</v>
      </c>
      <c r="C1116" s="171">
        <f t="shared" si="17"/>
        <v>2</v>
      </c>
      <c r="D1116" s="171" t="b">
        <f>LineærRegression_Valg[[#This Row],[Afhængig variabel ID]]&lt;&gt;LineærRegression_Valg[[#This Row],[Uafhængig variabel ID]]</f>
        <v>1</v>
      </c>
      <c r="E1116" t="b">
        <f>LineærRegression_Valg[[#This Row],[Afhængig variabel ID]]&lt;=$B$5</f>
        <v>0</v>
      </c>
      <c r="F1116" t="str" cm="1">
        <f t="array" ref="F1116">IF(LineærRegression_Valg[[#This Row],[Indenfor range]],INDEX(DataTitel_liste,LineærRegression_Valg[[#This Row],[Afhængig variabel ID]]),INDEX(DataTitel_liste,1))</f>
        <v>Eksempel 1 (interval)</v>
      </c>
      <c r="G1116" s="171" t="str" cm="1">
        <f t="array" ref="G1116">IF(LineærRegression_Valg[[#This Row],[Indenfor range]],IF(LineærRegression_Valg[[#This Row],[Intet overlap]],INDEX(DataTitel_liste,LineærRegression_Valg[[#This Row],[Uafhængig variabel ID]]),INDEX(DataTitel_liste,IF(LineærRegression_Valg[[#This Row],[Afhængig variabel ID]]=1,2,1))),$B$7)</f>
        <v>Eksempel 2 (interval)</v>
      </c>
      <c r="H1116" s="171">
        <f>_xlfn.AGGREGATE(2,5,LineærRegression_Valg[[#This Row],[Tabel ID]])</f>
        <v>1</v>
      </c>
    </row>
    <row r="1117" spans="1:8" x14ac:dyDescent="0.2">
      <c r="A1117">
        <f>ROW(LineærRegression_Valg[[#This Row],[Tabel ID]])-ROW(LineærRegression_Valg[[#Headers],[Tabel ID]])</f>
        <v>1107</v>
      </c>
      <c r="B1117" s="171">
        <f>ROUNDDOWN((LineærRegression_Valg[[#This Row],[Tabel ID]]-1)/$B$5,0)+1</f>
        <v>277</v>
      </c>
      <c r="C1117" s="171">
        <f t="shared" si="17"/>
        <v>3</v>
      </c>
      <c r="D1117" s="171" t="b">
        <f>LineærRegression_Valg[[#This Row],[Afhængig variabel ID]]&lt;&gt;LineærRegression_Valg[[#This Row],[Uafhængig variabel ID]]</f>
        <v>1</v>
      </c>
      <c r="E1117" t="b">
        <f>LineærRegression_Valg[[#This Row],[Afhængig variabel ID]]&lt;=$B$5</f>
        <v>0</v>
      </c>
      <c r="F1117" t="str" cm="1">
        <f t="array" ref="F1117">IF(LineærRegression_Valg[[#This Row],[Indenfor range]],INDEX(DataTitel_liste,LineærRegression_Valg[[#This Row],[Afhængig variabel ID]]),INDEX(DataTitel_liste,1))</f>
        <v>Eksempel 1 (interval)</v>
      </c>
      <c r="G1117" s="171" t="str" cm="1">
        <f t="array" ref="G1117">IF(LineærRegression_Valg[[#This Row],[Indenfor range]],IF(LineærRegression_Valg[[#This Row],[Intet overlap]],INDEX(DataTitel_liste,LineærRegression_Valg[[#This Row],[Uafhængig variabel ID]]),INDEX(DataTitel_liste,IF(LineærRegression_Valg[[#This Row],[Afhængig variabel ID]]=1,2,1))),$B$7)</f>
        <v>Eksempel 2 (interval)</v>
      </c>
      <c r="H1117" s="171">
        <f>_xlfn.AGGREGATE(2,5,LineærRegression_Valg[[#This Row],[Tabel ID]])</f>
        <v>1</v>
      </c>
    </row>
    <row r="1118" spans="1:8" x14ac:dyDescent="0.2">
      <c r="A1118">
        <f>ROW(LineærRegression_Valg[[#This Row],[Tabel ID]])-ROW(LineærRegression_Valg[[#Headers],[Tabel ID]])</f>
        <v>1108</v>
      </c>
      <c r="B1118" s="171">
        <f>ROUNDDOWN((LineærRegression_Valg[[#This Row],[Tabel ID]]-1)/$B$5,0)+1</f>
        <v>277</v>
      </c>
      <c r="C1118" s="171">
        <f t="shared" si="17"/>
        <v>4</v>
      </c>
      <c r="D1118" s="171" t="b">
        <f>LineærRegression_Valg[[#This Row],[Afhængig variabel ID]]&lt;&gt;LineærRegression_Valg[[#This Row],[Uafhængig variabel ID]]</f>
        <v>1</v>
      </c>
      <c r="E1118" t="b">
        <f>LineærRegression_Valg[[#This Row],[Afhængig variabel ID]]&lt;=$B$5</f>
        <v>0</v>
      </c>
      <c r="F1118" t="str" cm="1">
        <f t="array" ref="F1118">IF(LineærRegression_Valg[[#This Row],[Indenfor range]],INDEX(DataTitel_liste,LineærRegression_Valg[[#This Row],[Afhængig variabel ID]]),INDEX(DataTitel_liste,1))</f>
        <v>Eksempel 1 (interval)</v>
      </c>
      <c r="G1118" s="171" t="str" cm="1">
        <f t="array" ref="G1118">IF(LineærRegression_Valg[[#This Row],[Indenfor range]],IF(LineærRegression_Valg[[#This Row],[Intet overlap]],INDEX(DataTitel_liste,LineærRegression_Valg[[#This Row],[Uafhængig variabel ID]]),INDEX(DataTitel_liste,IF(LineærRegression_Valg[[#This Row],[Afhængig variabel ID]]=1,2,1))),$B$7)</f>
        <v>Eksempel 2 (interval)</v>
      </c>
      <c r="H1118" s="171">
        <f>_xlfn.AGGREGATE(2,5,LineærRegression_Valg[[#This Row],[Tabel ID]])</f>
        <v>1</v>
      </c>
    </row>
    <row r="1119" spans="1:8" x14ac:dyDescent="0.2">
      <c r="A1119">
        <f>ROW(LineærRegression_Valg[[#This Row],[Tabel ID]])-ROW(LineærRegression_Valg[[#Headers],[Tabel ID]])</f>
        <v>1109</v>
      </c>
      <c r="B1119" s="171">
        <f>ROUNDDOWN((LineærRegression_Valg[[#This Row],[Tabel ID]]-1)/$B$5,0)+1</f>
        <v>278</v>
      </c>
      <c r="C1119" s="171">
        <f t="shared" si="17"/>
        <v>1</v>
      </c>
      <c r="D1119" s="171" t="b">
        <f>LineærRegression_Valg[[#This Row],[Afhængig variabel ID]]&lt;&gt;LineærRegression_Valg[[#This Row],[Uafhængig variabel ID]]</f>
        <v>1</v>
      </c>
      <c r="E1119" t="b">
        <f>LineærRegression_Valg[[#This Row],[Afhængig variabel ID]]&lt;=$B$5</f>
        <v>0</v>
      </c>
      <c r="F1119" t="str" cm="1">
        <f t="array" ref="F1119">IF(LineærRegression_Valg[[#This Row],[Indenfor range]],INDEX(DataTitel_liste,LineærRegression_Valg[[#This Row],[Afhængig variabel ID]]),INDEX(DataTitel_liste,1))</f>
        <v>Eksempel 1 (interval)</v>
      </c>
      <c r="G1119" s="171" t="str" cm="1">
        <f t="array" ref="G1119">IF(LineærRegression_Valg[[#This Row],[Indenfor range]],IF(LineærRegression_Valg[[#This Row],[Intet overlap]],INDEX(DataTitel_liste,LineærRegression_Valg[[#This Row],[Uafhængig variabel ID]]),INDEX(DataTitel_liste,IF(LineærRegression_Valg[[#This Row],[Afhængig variabel ID]]=1,2,1))),$B$7)</f>
        <v>Eksempel 2 (interval)</v>
      </c>
      <c r="H1119" s="171">
        <f>_xlfn.AGGREGATE(2,5,LineærRegression_Valg[[#This Row],[Tabel ID]])</f>
        <v>1</v>
      </c>
    </row>
    <row r="1120" spans="1:8" x14ac:dyDescent="0.2">
      <c r="A1120">
        <f>ROW(LineærRegression_Valg[[#This Row],[Tabel ID]])-ROW(LineærRegression_Valg[[#Headers],[Tabel ID]])</f>
        <v>1110</v>
      </c>
      <c r="B1120" s="171">
        <f>ROUNDDOWN((LineærRegression_Valg[[#This Row],[Tabel ID]]-1)/$B$5,0)+1</f>
        <v>278</v>
      </c>
      <c r="C1120" s="171">
        <f t="shared" si="17"/>
        <v>2</v>
      </c>
      <c r="D1120" s="171" t="b">
        <f>LineærRegression_Valg[[#This Row],[Afhængig variabel ID]]&lt;&gt;LineærRegression_Valg[[#This Row],[Uafhængig variabel ID]]</f>
        <v>1</v>
      </c>
      <c r="E1120" t="b">
        <f>LineærRegression_Valg[[#This Row],[Afhængig variabel ID]]&lt;=$B$5</f>
        <v>0</v>
      </c>
      <c r="F1120" t="str" cm="1">
        <f t="array" ref="F1120">IF(LineærRegression_Valg[[#This Row],[Indenfor range]],INDEX(DataTitel_liste,LineærRegression_Valg[[#This Row],[Afhængig variabel ID]]),INDEX(DataTitel_liste,1))</f>
        <v>Eksempel 1 (interval)</v>
      </c>
      <c r="G1120" s="171" t="str" cm="1">
        <f t="array" ref="G1120">IF(LineærRegression_Valg[[#This Row],[Indenfor range]],IF(LineærRegression_Valg[[#This Row],[Intet overlap]],INDEX(DataTitel_liste,LineærRegression_Valg[[#This Row],[Uafhængig variabel ID]]),INDEX(DataTitel_liste,IF(LineærRegression_Valg[[#This Row],[Afhængig variabel ID]]=1,2,1))),$B$7)</f>
        <v>Eksempel 2 (interval)</v>
      </c>
      <c r="H1120" s="171">
        <f>_xlfn.AGGREGATE(2,5,LineærRegression_Valg[[#This Row],[Tabel ID]])</f>
        <v>1</v>
      </c>
    </row>
    <row r="1121" spans="1:8" x14ac:dyDescent="0.2">
      <c r="A1121">
        <f>ROW(LineærRegression_Valg[[#This Row],[Tabel ID]])-ROW(LineærRegression_Valg[[#Headers],[Tabel ID]])</f>
        <v>1111</v>
      </c>
      <c r="B1121" s="171">
        <f>ROUNDDOWN((LineærRegression_Valg[[#This Row],[Tabel ID]]-1)/$B$5,0)+1</f>
        <v>278</v>
      </c>
      <c r="C1121" s="171">
        <f t="shared" si="17"/>
        <v>3</v>
      </c>
      <c r="D1121" s="171" t="b">
        <f>LineærRegression_Valg[[#This Row],[Afhængig variabel ID]]&lt;&gt;LineærRegression_Valg[[#This Row],[Uafhængig variabel ID]]</f>
        <v>1</v>
      </c>
      <c r="E1121" t="b">
        <f>LineærRegression_Valg[[#This Row],[Afhængig variabel ID]]&lt;=$B$5</f>
        <v>0</v>
      </c>
      <c r="F1121" t="str" cm="1">
        <f t="array" ref="F1121">IF(LineærRegression_Valg[[#This Row],[Indenfor range]],INDEX(DataTitel_liste,LineærRegression_Valg[[#This Row],[Afhængig variabel ID]]),INDEX(DataTitel_liste,1))</f>
        <v>Eksempel 1 (interval)</v>
      </c>
      <c r="G1121" s="171" t="str" cm="1">
        <f t="array" ref="G1121">IF(LineærRegression_Valg[[#This Row],[Indenfor range]],IF(LineærRegression_Valg[[#This Row],[Intet overlap]],INDEX(DataTitel_liste,LineærRegression_Valg[[#This Row],[Uafhængig variabel ID]]),INDEX(DataTitel_liste,IF(LineærRegression_Valg[[#This Row],[Afhængig variabel ID]]=1,2,1))),$B$7)</f>
        <v>Eksempel 2 (interval)</v>
      </c>
      <c r="H1121" s="171">
        <f>_xlfn.AGGREGATE(2,5,LineærRegression_Valg[[#This Row],[Tabel ID]])</f>
        <v>1</v>
      </c>
    </row>
    <row r="1122" spans="1:8" x14ac:dyDescent="0.2">
      <c r="A1122">
        <f>ROW(LineærRegression_Valg[[#This Row],[Tabel ID]])-ROW(LineærRegression_Valg[[#Headers],[Tabel ID]])</f>
        <v>1112</v>
      </c>
      <c r="B1122" s="171">
        <f>ROUNDDOWN((LineærRegression_Valg[[#This Row],[Tabel ID]]-1)/$B$5,0)+1</f>
        <v>278</v>
      </c>
      <c r="C1122" s="171">
        <f t="shared" si="17"/>
        <v>4</v>
      </c>
      <c r="D1122" s="171" t="b">
        <f>LineærRegression_Valg[[#This Row],[Afhængig variabel ID]]&lt;&gt;LineærRegression_Valg[[#This Row],[Uafhængig variabel ID]]</f>
        <v>1</v>
      </c>
      <c r="E1122" t="b">
        <f>LineærRegression_Valg[[#This Row],[Afhængig variabel ID]]&lt;=$B$5</f>
        <v>0</v>
      </c>
      <c r="F1122" t="str" cm="1">
        <f t="array" ref="F1122">IF(LineærRegression_Valg[[#This Row],[Indenfor range]],INDEX(DataTitel_liste,LineærRegression_Valg[[#This Row],[Afhængig variabel ID]]),INDEX(DataTitel_liste,1))</f>
        <v>Eksempel 1 (interval)</v>
      </c>
      <c r="G1122" s="171" t="str" cm="1">
        <f t="array" ref="G1122">IF(LineærRegression_Valg[[#This Row],[Indenfor range]],IF(LineærRegression_Valg[[#This Row],[Intet overlap]],INDEX(DataTitel_liste,LineærRegression_Valg[[#This Row],[Uafhængig variabel ID]]),INDEX(DataTitel_liste,IF(LineærRegression_Valg[[#This Row],[Afhængig variabel ID]]=1,2,1))),$B$7)</f>
        <v>Eksempel 2 (interval)</v>
      </c>
      <c r="H1122" s="171">
        <f>_xlfn.AGGREGATE(2,5,LineærRegression_Valg[[#This Row],[Tabel ID]])</f>
        <v>1</v>
      </c>
    </row>
    <row r="1123" spans="1:8" x14ac:dyDescent="0.2">
      <c r="A1123">
        <f>ROW(LineærRegression_Valg[[#This Row],[Tabel ID]])-ROW(LineærRegression_Valg[[#Headers],[Tabel ID]])</f>
        <v>1113</v>
      </c>
      <c r="B1123" s="171">
        <f>ROUNDDOWN((LineærRegression_Valg[[#This Row],[Tabel ID]]-1)/$B$5,0)+1</f>
        <v>279</v>
      </c>
      <c r="C1123" s="171">
        <f t="shared" si="17"/>
        <v>1</v>
      </c>
      <c r="D1123" s="171" t="b">
        <f>LineærRegression_Valg[[#This Row],[Afhængig variabel ID]]&lt;&gt;LineærRegression_Valg[[#This Row],[Uafhængig variabel ID]]</f>
        <v>1</v>
      </c>
      <c r="E1123" t="b">
        <f>LineærRegression_Valg[[#This Row],[Afhængig variabel ID]]&lt;=$B$5</f>
        <v>0</v>
      </c>
      <c r="F1123" t="str" cm="1">
        <f t="array" ref="F1123">IF(LineærRegression_Valg[[#This Row],[Indenfor range]],INDEX(DataTitel_liste,LineærRegression_Valg[[#This Row],[Afhængig variabel ID]]),INDEX(DataTitel_liste,1))</f>
        <v>Eksempel 1 (interval)</v>
      </c>
      <c r="G1123" s="171" t="str" cm="1">
        <f t="array" ref="G1123">IF(LineærRegression_Valg[[#This Row],[Indenfor range]],IF(LineærRegression_Valg[[#This Row],[Intet overlap]],INDEX(DataTitel_liste,LineærRegression_Valg[[#This Row],[Uafhængig variabel ID]]),INDEX(DataTitel_liste,IF(LineærRegression_Valg[[#This Row],[Afhængig variabel ID]]=1,2,1))),$B$7)</f>
        <v>Eksempel 2 (interval)</v>
      </c>
      <c r="H1123" s="171">
        <f>_xlfn.AGGREGATE(2,5,LineærRegression_Valg[[#This Row],[Tabel ID]])</f>
        <v>1</v>
      </c>
    </row>
    <row r="1124" spans="1:8" x14ac:dyDescent="0.2">
      <c r="A1124">
        <f>ROW(LineærRegression_Valg[[#This Row],[Tabel ID]])-ROW(LineærRegression_Valg[[#Headers],[Tabel ID]])</f>
        <v>1114</v>
      </c>
      <c r="B1124" s="171">
        <f>ROUNDDOWN((LineærRegression_Valg[[#This Row],[Tabel ID]]-1)/$B$5,0)+1</f>
        <v>279</v>
      </c>
      <c r="C1124" s="171">
        <f t="shared" si="17"/>
        <v>2</v>
      </c>
      <c r="D1124" s="171" t="b">
        <f>LineærRegression_Valg[[#This Row],[Afhængig variabel ID]]&lt;&gt;LineærRegression_Valg[[#This Row],[Uafhængig variabel ID]]</f>
        <v>1</v>
      </c>
      <c r="E1124" t="b">
        <f>LineærRegression_Valg[[#This Row],[Afhængig variabel ID]]&lt;=$B$5</f>
        <v>0</v>
      </c>
      <c r="F1124" t="str" cm="1">
        <f t="array" ref="F1124">IF(LineærRegression_Valg[[#This Row],[Indenfor range]],INDEX(DataTitel_liste,LineærRegression_Valg[[#This Row],[Afhængig variabel ID]]),INDEX(DataTitel_liste,1))</f>
        <v>Eksempel 1 (interval)</v>
      </c>
      <c r="G1124" s="171" t="str" cm="1">
        <f t="array" ref="G1124">IF(LineærRegression_Valg[[#This Row],[Indenfor range]],IF(LineærRegression_Valg[[#This Row],[Intet overlap]],INDEX(DataTitel_liste,LineærRegression_Valg[[#This Row],[Uafhængig variabel ID]]),INDEX(DataTitel_liste,IF(LineærRegression_Valg[[#This Row],[Afhængig variabel ID]]=1,2,1))),$B$7)</f>
        <v>Eksempel 2 (interval)</v>
      </c>
      <c r="H1124" s="171">
        <f>_xlfn.AGGREGATE(2,5,LineærRegression_Valg[[#This Row],[Tabel ID]])</f>
        <v>1</v>
      </c>
    </row>
    <row r="1125" spans="1:8" x14ac:dyDescent="0.2">
      <c r="A1125">
        <f>ROW(LineærRegression_Valg[[#This Row],[Tabel ID]])-ROW(LineærRegression_Valg[[#Headers],[Tabel ID]])</f>
        <v>1115</v>
      </c>
      <c r="B1125" s="171">
        <f>ROUNDDOWN((LineærRegression_Valg[[#This Row],[Tabel ID]]-1)/$B$5,0)+1</f>
        <v>279</v>
      </c>
      <c r="C1125" s="171">
        <f t="shared" si="17"/>
        <v>3</v>
      </c>
      <c r="D1125" s="171" t="b">
        <f>LineærRegression_Valg[[#This Row],[Afhængig variabel ID]]&lt;&gt;LineærRegression_Valg[[#This Row],[Uafhængig variabel ID]]</f>
        <v>1</v>
      </c>
      <c r="E1125" t="b">
        <f>LineærRegression_Valg[[#This Row],[Afhængig variabel ID]]&lt;=$B$5</f>
        <v>0</v>
      </c>
      <c r="F1125" t="str" cm="1">
        <f t="array" ref="F1125">IF(LineærRegression_Valg[[#This Row],[Indenfor range]],INDEX(DataTitel_liste,LineærRegression_Valg[[#This Row],[Afhængig variabel ID]]),INDEX(DataTitel_liste,1))</f>
        <v>Eksempel 1 (interval)</v>
      </c>
      <c r="G1125" s="171" t="str" cm="1">
        <f t="array" ref="G1125">IF(LineærRegression_Valg[[#This Row],[Indenfor range]],IF(LineærRegression_Valg[[#This Row],[Intet overlap]],INDEX(DataTitel_liste,LineærRegression_Valg[[#This Row],[Uafhængig variabel ID]]),INDEX(DataTitel_liste,IF(LineærRegression_Valg[[#This Row],[Afhængig variabel ID]]=1,2,1))),$B$7)</f>
        <v>Eksempel 2 (interval)</v>
      </c>
      <c r="H1125" s="171">
        <f>_xlfn.AGGREGATE(2,5,LineærRegression_Valg[[#This Row],[Tabel ID]])</f>
        <v>1</v>
      </c>
    </row>
    <row r="1126" spans="1:8" x14ac:dyDescent="0.2">
      <c r="A1126">
        <f>ROW(LineærRegression_Valg[[#This Row],[Tabel ID]])-ROW(LineærRegression_Valg[[#Headers],[Tabel ID]])</f>
        <v>1116</v>
      </c>
      <c r="B1126" s="171">
        <f>ROUNDDOWN((LineærRegression_Valg[[#This Row],[Tabel ID]]-1)/$B$5,0)+1</f>
        <v>279</v>
      </c>
      <c r="C1126" s="171">
        <f t="shared" si="17"/>
        <v>4</v>
      </c>
      <c r="D1126" s="171" t="b">
        <f>LineærRegression_Valg[[#This Row],[Afhængig variabel ID]]&lt;&gt;LineærRegression_Valg[[#This Row],[Uafhængig variabel ID]]</f>
        <v>1</v>
      </c>
      <c r="E1126" t="b">
        <f>LineærRegression_Valg[[#This Row],[Afhængig variabel ID]]&lt;=$B$5</f>
        <v>0</v>
      </c>
      <c r="F1126" t="str" cm="1">
        <f t="array" ref="F1126">IF(LineærRegression_Valg[[#This Row],[Indenfor range]],INDEX(DataTitel_liste,LineærRegression_Valg[[#This Row],[Afhængig variabel ID]]),INDEX(DataTitel_liste,1))</f>
        <v>Eksempel 1 (interval)</v>
      </c>
      <c r="G1126" s="171" t="str" cm="1">
        <f t="array" ref="G1126">IF(LineærRegression_Valg[[#This Row],[Indenfor range]],IF(LineærRegression_Valg[[#This Row],[Intet overlap]],INDEX(DataTitel_liste,LineærRegression_Valg[[#This Row],[Uafhængig variabel ID]]),INDEX(DataTitel_liste,IF(LineærRegression_Valg[[#This Row],[Afhængig variabel ID]]=1,2,1))),$B$7)</f>
        <v>Eksempel 2 (interval)</v>
      </c>
      <c r="H1126" s="171">
        <f>_xlfn.AGGREGATE(2,5,LineærRegression_Valg[[#This Row],[Tabel ID]])</f>
        <v>1</v>
      </c>
    </row>
    <row r="1127" spans="1:8" x14ac:dyDescent="0.2">
      <c r="A1127">
        <f>ROW(LineærRegression_Valg[[#This Row],[Tabel ID]])-ROW(LineærRegression_Valg[[#Headers],[Tabel ID]])</f>
        <v>1117</v>
      </c>
      <c r="B1127" s="171">
        <f>ROUNDDOWN((LineærRegression_Valg[[#This Row],[Tabel ID]]-1)/$B$5,0)+1</f>
        <v>280</v>
      </c>
      <c r="C1127" s="171">
        <f t="shared" si="17"/>
        <v>1</v>
      </c>
      <c r="D1127" s="171" t="b">
        <f>LineærRegression_Valg[[#This Row],[Afhængig variabel ID]]&lt;&gt;LineærRegression_Valg[[#This Row],[Uafhængig variabel ID]]</f>
        <v>1</v>
      </c>
      <c r="E1127" t="b">
        <f>LineærRegression_Valg[[#This Row],[Afhængig variabel ID]]&lt;=$B$5</f>
        <v>0</v>
      </c>
      <c r="F1127" t="str" cm="1">
        <f t="array" ref="F1127">IF(LineærRegression_Valg[[#This Row],[Indenfor range]],INDEX(DataTitel_liste,LineærRegression_Valg[[#This Row],[Afhængig variabel ID]]),INDEX(DataTitel_liste,1))</f>
        <v>Eksempel 1 (interval)</v>
      </c>
      <c r="G1127" s="171" t="str" cm="1">
        <f t="array" ref="G1127">IF(LineærRegression_Valg[[#This Row],[Indenfor range]],IF(LineærRegression_Valg[[#This Row],[Intet overlap]],INDEX(DataTitel_liste,LineærRegression_Valg[[#This Row],[Uafhængig variabel ID]]),INDEX(DataTitel_liste,IF(LineærRegression_Valg[[#This Row],[Afhængig variabel ID]]=1,2,1))),$B$7)</f>
        <v>Eksempel 2 (interval)</v>
      </c>
      <c r="H1127" s="171">
        <f>_xlfn.AGGREGATE(2,5,LineærRegression_Valg[[#This Row],[Tabel ID]])</f>
        <v>1</v>
      </c>
    </row>
    <row r="1128" spans="1:8" x14ac:dyDescent="0.2">
      <c r="A1128">
        <f>ROW(LineærRegression_Valg[[#This Row],[Tabel ID]])-ROW(LineærRegression_Valg[[#Headers],[Tabel ID]])</f>
        <v>1118</v>
      </c>
      <c r="B1128" s="171">
        <f>ROUNDDOWN((LineærRegression_Valg[[#This Row],[Tabel ID]]-1)/$B$5,0)+1</f>
        <v>280</v>
      </c>
      <c r="C1128" s="171">
        <f t="shared" si="17"/>
        <v>2</v>
      </c>
      <c r="D1128" s="171" t="b">
        <f>LineærRegression_Valg[[#This Row],[Afhængig variabel ID]]&lt;&gt;LineærRegression_Valg[[#This Row],[Uafhængig variabel ID]]</f>
        <v>1</v>
      </c>
      <c r="E1128" t="b">
        <f>LineærRegression_Valg[[#This Row],[Afhængig variabel ID]]&lt;=$B$5</f>
        <v>0</v>
      </c>
      <c r="F1128" t="str" cm="1">
        <f t="array" ref="F1128">IF(LineærRegression_Valg[[#This Row],[Indenfor range]],INDEX(DataTitel_liste,LineærRegression_Valg[[#This Row],[Afhængig variabel ID]]),INDEX(DataTitel_liste,1))</f>
        <v>Eksempel 1 (interval)</v>
      </c>
      <c r="G1128" s="171" t="str" cm="1">
        <f t="array" ref="G1128">IF(LineærRegression_Valg[[#This Row],[Indenfor range]],IF(LineærRegression_Valg[[#This Row],[Intet overlap]],INDEX(DataTitel_liste,LineærRegression_Valg[[#This Row],[Uafhængig variabel ID]]),INDEX(DataTitel_liste,IF(LineærRegression_Valg[[#This Row],[Afhængig variabel ID]]=1,2,1))),$B$7)</f>
        <v>Eksempel 2 (interval)</v>
      </c>
      <c r="H1128" s="171">
        <f>_xlfn.AGGREGATE(2,5,LineærRegression_Valg[[#This Row],[Tabel ID]])</f>
        <v>1</v>
      </c>
    </row>
    <row r="1129" spans="1:8" x14ac:dyDescent="0.2">
      <c r="A1129">
        <f>ROW(LineærRegression_Valg[[#This Row],[Tabel ID]])-ROW(LineærRegression_Valg[[#Headers],[Tabel ID]])</f>
        <v>1119</v>
      </c>
      <c r="B1129" s="171">
        <f>ROUNDDOWN((LineærRegression_Valg[[#This Row],[Tabel ID]]-1)/$B$5,0)+1</f>
        <v>280</v>
      </c>
      <c r="C1129" s="171">
        <f t="shared" si="17"/>
        <v>3</v>
      </c>
      <c r="D1129" s="171" t="b">
        <f>LineærRegression_Valg[[#This Row],[Afhængig variabel ID]]&lt;&gt;LineærRegression_Valg[[#This Row],[Uafhængig variabel ID]]</f>
        <v>1</v>
      </c>
      <c r="E1129" t="b">
        <f>LineærRegression_Valg[[#This Row],[Afhængig variabel ID]]&lt;=$B$5</f>
        <v>0</v>
      </c>
      <c r="F1129" t="str" cm="1">
        <f t="array" ref="F1129">IF(LineærRegression_Valg[[#This Row],[Indenfor range]],INDEX(DataTitel_liste,LineærRegression_Valg[[#This Row],[Afhængig variabel ID]]),INDEX(DataTitel_liste,1))</f>
        <v>Eksempel 1 (interval)</v>
      </c>
      <c r="G1129" s="171" t="str" cm="1">
        <f t="array" ref="G1129">IF(LineærRegression_Valg[[#This Row],[Indenfor range]],IF(LineærRegression_Valg[[#This Row],[Intet overlap]],INDEX(DataTitel_liste,LineærRegression_Valg[[#This Row],[Uafhængig variabel ID]]),INDEX(DataTitel_liste,IF(LineærRegression_Valg[[#This Row],[Afhængig variabel ID]]=1,2,1))),$B$7)</f>
        <v>Eksempel 2 (interval)</v>
      </c>
      <c r="H1129" s="171">
        <f>_xlfn.AGGREGATE(2,5,LineærRegression_Valg[[#This Row],[Tabel ID]])</f>
        <v>1</v>
      </c>
    </row>
    <row r="1130" spans="1:8" x14ac:dyDescent="0.2">
      <c r="A1130">
        <f>ROW(LineærRegression_Valg[[#This Row],[Tabel ID]])-ROW(LineærRegression_Valg[[#Headers],[Tabel ID]])</f>
        <v>1120</v>
      </c>
      <c r="B1130" s="171">
        <f>ROUNDDOWN((LineærRegression_Valg[[#This Row],[Tabel ID]]-1)/$B$5,0)+1</f>
        <v>280</v>
      </c>
      <c r="C1130" s="171">
        <f t="shared" si="17"/>
        <v>4</v>
      </c>
      <c r="D1130" s="171" t="b">
        <f>LineærRegression_Valg[[#This Row],[Afhængig variabel ID]]&lt;&gt;LineærRegression_Valg[[#This Row],[Uafhængig variabel ID]]</f>
        <v>1</v>
      </c>
      <c r="E1130" t="b">
        <f>LineærRegression_Valg[[#This Row],[Afhængig variabel ID]]&lt;=$B$5</f>
        <v>0</v>
      </c>
      <c r="F1130" t="str" cm="1">
        <f t="array" ref="F1130">IF(LineærRegression_Valg[[#This Row],[Indenfor range]],INDEX(DataTitel_liste,LineærRegression_Valg[[#This Row],[Afhængig variabel ID]]),INDEX(DataTitel_liste,1))</f>
        <v>Eksempel 1 (interval)</v>
      </c>
      <c r="G1130" s="171" t="str" cm="1">
        <f t="array" ref="G1130">IF(LineærRegression_Valg[[#This Row],[Indenfor range]],IF(LineærRegression_Valg[[#This Row],[Intet overlap]],INDEX(DataTitel_liste,LineærRegression_Valg[[#This Row],[Uafhængig variabel ID]]),INDEX(DataTitel_liste,IF(LineærRegression_Valg[[#This Row],[Afhængig variabel ID]]=1,2,1))),$B$7)</f>
        <v>Eksempel 2 (interval)</v>
      </c>
      <c r="H1130" s="171">
        <f>_xlfn.AGGREGATE(2,5,LineærRegression_Valg[[#This Row],[Tabel ID]])</f>
        <v>1</v>
      </c>
    </row>
    <row r="1131" spans="1:8" x14ac:dyDescent="0.2">
      <c r="A1131">
        <f>ROW(LineærRegression_Valg[[#This Row],[Tabel ID]])-ROW(LineærRegression_Valg[[#Headers],[Tabel ID]])</f>
        <v>1121</v>
      </c>
      <c r="B1131" s="171">
        <f>ROUNDDOWN((LineærRegression_Valg[[#This Row],[Tabel ID]]-1)/$B$5,0)+1</f>
        <v>281</v>
      </c>
      <c r="C1131" s="171">
        <f t="shared" si="17"/>
        <v>1</v>
      </c>
      <c r="D1131" s="171" t="b">
        <f>LineærRegression_Valg[[#This Row],[Afhængig variabel ID]]&lt;&gt;LineærRegression_Valg[[#This Row],[Uafhængig variabel ID]]</f>
        <v>1</v>
      </c>
      <c r="E1131" t="b">
        <f>LineærRegression_Valg[[#This Row],[Afhængig variabel ID]]&lt;=$B$5</f>
        <v>0</v>
      </c>
      <c r="F1131" t="str" cm="1">
        <f t="array" ref="F1131">IF(LineærRegression_Valg[[#This Row],[Indenfor range]],INDEX(DataTitel_liste,LineærRegression_Valg[[#This Row],[Afhængig variabel ID]]),INDEX(DataTitel_liste,1))</f>
        <v>Eksempel 1 (interval)</v>
      </c>
      <c r="G1131" s="171" t="str" cm="1">
        <f t="array" ref="G1131">IF(LineærRegression_Valg[[#This Row],[Indenfor range]],IF(LineærRegression_Valg[[#This Row],[Intet overlap]],INDEX(DataTitel_liste,LineærRegression_Valg[[#This Row],[Uafhængig variabel ID]]),INDEX(DataTitel_liste,IF(LineærRegression_Valg[[#This Row],[Afhængig variabel ID]]=1,2,1))),$B$7)</f>
        <v>Eksempel 2 (interval)</v>
      </c>
      <c r="H1131" s="171">
        <f>_xlfn.AGGREGATE(2,5,LineærRegression_Valg[[#This Row],[Tabel ID]])</f>
        <v>1</v>
      </c>
    </row>
    <row r="1132" spans="1:8" x14ac:dyDescent="0.2">
      <c r="A1132">
        <f>ROW(LineærRegression_Valg[[#This Row],[Tabel ID]])-ROW(LineærRegression_Valg[[#Headers],[Tabel ID]])</f>
        <v>1122</v>
      </c>
      <c r="B1132" s="171">
        <f>ROUNDDOWN((LineærRegression_Valg[[#This Row],[Tabel ID]]-1)/$B$5,0)+1</f>
        <v>281</v>
      </c>
      <c r="C1132" s="171">
        <f t="shared" si="17"/>
        <v>2</v>
      </c>
      <c r="D1132" s="171" t="b">
        <f>LineærRegression_Valg[[#This Row],[Afhængig variabel ID]]&lt;&gt;LineærRegression_Valg[[#This Row],[Uafhængig variabel ID]]</f>
        <v>1</v>
      </c>
      <c r="E1132" t="b">
        <f>LineærRegression_Valg[[#This Row],[Afhængig variabel ID]]&lt;=$B$5</f>
        <v>0</v>
      </c>
      <c r="F1132" t="str" cm="1">
        <f t="array" ref="F1132">IF(LineærRegression_Valg[[#This Row],[Indenfor range]],INDEX(DataTitel_liste,LineærRegression_Valg[[#This Row],[Afhængig variabel ID]]),INDEX(DataTitel_liste,1))</f>
        <v>Eksempel 1 (interval)</v>
      </c>
      <c r="G1132" s="171" t="str" cm="1">
        <f t="array" ref="G1132">IF(LineærRegression_Valg[[#This Row],[Indenfor range]],IF(LineærRegression_Valg[[#This Row],[Intet overlap]],INDEX(DataTitel_liste,LineærRegression_Valg[[#This Row],[Uafhængig variabel ID]]),INDEX(DataTitel_liste,IF(LineærRegression_Valg[[#This Row],[Afhængig variabel ID]]=1,2,1))),$B$7)</f>
        <v>Eksempel 2 (interval)</v>
      </c>
      <c r="H1132" s="171">
        <f>_xlfn.AGGREGATE(2,5,LineærRegression_Valg[[#This Row],[Tabel ID]])</f>
        <v>1</v>
      </c>
    </row>
    <row r="1133" spans="1:8" x14ac:dyDescent="0.2">
      <c r="A1133">
        <f>ROW(LineærRegression_Valg[[#This Row],[Tabel ID]])-ROW(LineærRegression_Valg[[#Headers],[Tabel ID]])</f>
        <v>1123</v>
      </c>
      <c r="B1133" s="171">
        <f>ROUNDDOWN((LineærRegression_Valg[[#This Row],[Tabel ID]]-1)/$B$5,0)+1</f>
        <v>281</v>
      </c>
      <c r="C1133" s="171">
        <f t="shared" si="17"/>
        <v>3</v>
      </c>
      <c r="D1133" s="171" t="b">
        <f>LineærRegression_Valg[[#This Row],[Afhængig variabel ID]]&lt;&gt;LineærRegression_Valg[[#This Row],[Uafhængig variabel ID]]</f>
        <v>1</v>
      </c>
      <c r="E1133" t="b">
        <f>LineærRegression_Valg[[#This Row],[Afhængig variabel ID]]&lt;=$B$5</f>
        <v>0</v>
      </c>
      <c r="F1133" t="str" cm="1">
        <f t="array" ref="F1133">IF(LineærRegression_Valg[[#This Row],[Indenfor range]],INDEX(DataTitel_liste,LineærRegression_Valg[[#This Row],[Afhængig variabel ID]]),INDEX(DataTitel_liste,1))</f>
        <v>Eksempel 1 (interval)</v>
      </c>
      <c r="G1133" s="171" t="str" cm="1">
        <f t="array" ref="G1133">IF(LineærRegression_Valg[[#This Row],[Indenfor range]],IF(LineærRegression_Valg[[#This Row],[Intet overlap]],INDEX(DataTitel_liste,LineærRegression_Valg[[#This Row],[Uafhængig variabel ID]]),INDEX(DataTitel_liste,IF(LineærRegression_Valg[[#This Row],[Afhængig variabel ID]]=1,2,1))),$B$7)</f>
        <v>Eksempel 2 (interval)</v>
      </c>
      <c r="H1133" s="171">
        <f>_xlfn.AGGREGATE(2,5,LineærRegression_Valg[[#This Row],[Tabel ID]])</f>
        <v>1</v>
      </c>
    </row>
    <row r="1134" spans="1:8" x14ac:dyDescent="0.2">
      <c r="A1134">
        <f>ROW(LineærRegression_Valg[[#This Row],[Tabel ID]])-ROW(LineærRegression_Valg[[#Headers],[Tabel ID]])</f>
        <v>1124</v>
      </c>
      <c r="B1134" s="171">
        <f>ROUNDDOWN((LineærRegression_Valg[[#This Row],[Tabel ID]]-1)/$B$5,0)+1</f>
        <v>281</v>
      </c>
      <c r="C1134" s="171">
        <f t="shared" si="17"/>
        <v>4</v>
      </c>
      <c r="D1134" s="171" t="b">
        <f>LineærRegression_Valg[[#This Row],[Afhængig variabel ID]]&lt;&gt;LineærRegression_Valg[[#This Row],[Uafhængig variabel ID]]</f>
        <v>1</v>
      </c>
      <c r="E1134" t="b">
        <f>LineærRegression_Valg[[#This Row],[Afhængig variabel ID]]&lt;=$B$5</f>
        <v>0</v>
      </c>
      <c r="F1134" t="str" cm="1">
        <f t="array" ref="F1134">IF(LineærRegression_Valg[[#This Row],[Indenfor range]],INDEX(DataTitel_liste,LineærRegression_Valg[[#This Row],[Afhængig variabel ID]]),INDEX(DataTitel_liste,1))</f>
        <v>Eksempel 1 (interval)</v>
      </c>
      <c r="G1134" s="171" t="str" cm="1">
        <f t="array" ref="G1134">IF(LineærRegression_Valg[[#This Row],[Indenfor range]],IF(LineærRegression_Valg[[#This Row],[Intet overlap]],INDEX(DataTitel_liste,LineærRegression_Valg[[#This Row],[Uafhængig variabel ID]]),INDEX(DataTitel_liste,IF(LineærRegression_Valg[[#This Row],[Afhængig variabel ID]]=1,2,1))),$B$7)</f>
        <v>Eksempel 2 (interval)</v>
      </c>
      <c r="H1134" s="171">
        <f>_xlfn.AGGREGATE(2,5,LineærRegression_Valg[[#This Row],[Tabel ID]])</f>
        <v>1</v>
      </c>
    </row>
    <row r="1135" spans="1:8" x14ac:dyDescent="0.2">
      <c r="A1135">
        <f>ROW(LineærRegression_Valg[[#This Row],[Tabel ID]])-ROW(LineærRegression_Valg[[#Headers],[Tabel ID]])</f>
        <v>1125</v>
      </c>
      <c r="B1135" s="171">
        <f>ROUNDDOWN((LineærRegression_Valg[[#This Row],[Tabel ID]]-1)/$B$5,0)+1</f>
        <v>282</v>
      </c>
      <c r="C1135" s="171">
        <f t="shared" si="17"/>
        <v>1</v>
      </c>
      <c r="D1135" s="171" t="b">
        <f>LineærRegression_Valg[[#This Row],[Afhængig variabel ID]]&lt;&gt;LineærRegression_Valg[[#This Row],[Uafhængig variabel ID]]</f>
        <v>1</v>
      </c>
      <c r="E1135" t="b">
        <f>LineærRegression_Valg[[#This Row],[Afhængig variabel ID]]&lt;=$B$5</f>
        <v>0</v>
      </c>
      <c r="F1135" t="str" cm="1">
        <f t="array" ref="F1135">IF(LineærRegression_Valg[[#This Row],[Indenfor range]],INDEX(DataTitel_liste,LineærRegression_Valg[[#This Row],[Afhængig variabel ID]]),INDEX(DataTitel_liste,1))</f>
        <v>Eksempel 1 (interval)</v>
      </c>
      <c r="G1135" s="171" t="str" cm="1">
        <f t="array" ref="G1135">IF(LineærRegression_Valg[[#This Row],[Indenfor range]],IF(LineærRegression_Valg[[#This Row],[Intet overlap]],INDEX(DataTitel_liste,LineærRegression_Valg[[#This Row],[Uafhængig variabel ID]]),INDEX(DataTitel_liste,IF(LineærRegression_Valg[[#This Row],[Afhængig variabel ID]]=1,2,1))),$B$7)</f>
        <v>Eksempel 2 (interval)</v>
      </c>
      <c r="H1135" s="171">
        <f>_xlfn.AGGREGATE(2,5,LineærRegression_Valg[[#This Row],[Tabel ID]])</f>
        <v>1</v>
      </c>
    </row>
    <row r="1136" spans="1:8" x14ac:dyDescent="0.2">
      <c r="A1136">
        <f>ROW(LineærRegression_Valg[[#This Row],[Tabel ID]])-ROW(LineærRegression_Valg[[#Headers],[Tabel ID]])</f>
        <v>1126</v>
      </c>
      <c r="B1136" s="171">
        <f>ROUNDDOWN((LineærRegression_Valg[[#This Row],[Tabel ID]]-1)/$B$5,0)+1</f>
        <v>282</v>
      </c>
      <c r="C1136" s="171">
        <f t="shared" si="17"/>
        <v>2</v>
      </c>
      <c r="D1136" s="171" t="b">
        <f>LineærRegression_Valg[[#This Row],[Afhængig variabel ID]]&lt;&gt;LineærRegression_Valg[[#This Row],[Uafhængig variabel ID]]</f>
        <v>1</v>
      </c>
      <c r="E1136" t="b">
        <f>LineærRegression_Valg[[#This Row],[Afhængig variabel ID]]&lt;=$B$5</f>
        <v>0</v>
      </c>
      <c r="F1136" t="str" cm="1">
        <f t="array" ref="F1136">IF(LineærRegression_Valg[[#This Row],[Indenfor range]],INDEX(DataTitel_liste,LineærRegression_Valg[[#This Row],[Afhængig variabel ID]]),INDEX(DataTitel_liste,1))</f>
        <v>Eksempel 1 (interval)</v>
      </c>
      <c r="G1136" s="171" t="str" cm="1">
        <f t="array" ref="G1136">IF(LineærRegression_Valg[[#This Row],[Indenfor range]],IF(LineærRegression_Valg[[#This Row],[Intet overlap]],INDEX(DataTitel_liste,LineærRegression_Valg[[#This Row],[Uafhængig variabel ID]]),INDEX(DataTitel_liste,IF(LineærRegression_Valg[[#This Row],[Afhængig variabel ID]]=1,2,1))),$B$7)</f>
        <v>Eksempel 2 (interval)</v>
      </c>
      <c r="H1136" s="171">
        <f>_xlfn.AGGREGATE(2,5,LineærRegression_Valg[[#This Row],[Tabel ID]])</f>
        <v>1</v>
      </c>
    </row>
    <row r="1137" spans="1:8" x14ac:dyDescent="0.2">
      <c r="A1137">
        <f>ROW(LineærRegression_Valg[[#This Row],[Tabel ID]])-ROW(LineærRegression_Valg[[#Headers],[Tabel ID]])</f>
        <v>1127</v>
      </c>
      <c r="B1137" s="171">
        <f>ROUNDDOWN((LineærRegression_Valg[[#This Row],[Tabel ID]]-1)/$B$5,0)+1</f>
        <v>282</v>
      </c>
      <c r="C1137" s="171">
        <f t="shared" si="17"/>
        <v>3</v>
      </c>
      <c r="D1137" s="171" t="b">
        <f>LineærRegression_Valg[[#This Row],[Afhængig variabel ID]]&lt;&gt;LineærRegression_Valg[[#This Row],[Uafhængig variabel ID]]</f>
        <v>1</v>
      </c>
      <c r="E1137" t="b">
        <f>LineærRegression_Valg[[#This Row],[Afhængig variabel ID]]&lt;=$B$5</f>
        <v>0</v>
      </c>
      <c r="F1137" t="str" cm="1">
        <f t="array" ref="F1137">IF(LineærRegression_Valg[[#This Row],[Indenfor range]],INDEX(DataTitel_liste,LineærRegression_Valg[[#This Row],[Afhængig variabel ID]]),INDEX(DataTitel_liste,1))</f>
        <v>Eksempel 1 (interval)</v>
      </c>
      <c r="G1137" s="171" t="str" cm="1">
        <f t="array" ref="G1137">IF(LineærRegression_Valg[[#This Row],[Indenfor range]],IF(LineærRegression_Valg[[#This Row],[Intet overlap]],INDEX(DataTitel_liste,LineærRegression_Valg[[#This Row],[Uafhængig variabel ID]]),INDEX(DataTitel_liste,IF(LineærRegression_Valg[[#This Row],[Afhængig variabel ID]]=1,2,1))),$B$7)</f>
        <v>Eksempel 2 (interval)</v>
      </c>
      <c r="H1137" s="171">
        <f>_xlfn.AGGREGATE(2,5,LineærRegression_Valg[[#This Row],[Tabel ID]])</f>
        <v>1</v>
      </c>
    </row>
    <row r="1138" spans="1:8" x14ac:dyDescent="0.2">
      <c r="A1138">
        <f>ROW(LineærRegression_Valg[[#This Row],[Tabel ID]])-ROW(LineærRegression_Valg[[#Headers],[Tabel ID]])</f>
        <v>1128</v>
      </c>
      <c r="B1138" s="171">
        <f>ROUNDDOWN((LineærRegression_Valg[[#This Row],[Tabel ID]]-1)/$B$5,0)+1</f>
        <v>282</v>
      </c>
      <c r="C1138" s="171">
        <f t="shared" si="17"/>
        <v>4</v>
      </c>
      <c r="D1138" s="171" t="b">
        <f>LineærRegression_Valg[[#This Row],[Afhængig variabel ID]]&lt;&gt;LineærRegression_Valg[[#This Row],[Uafhængig variabel ID]]</f>
        <v>1</v>
      </c>
      <c r="E1138" t="b">
        <f>LineærRegression_Valg[[#This Row],[Afhængig variabel ID]]&lt;=$B$5</f>
        <v>0</v>
      </c>
      <c r="F1138" t="str" cm="1">
        <f t="array" ref="F1138">IF(LineærRegression_Valg[[#This Row],[Indenfor range]],INDEX(DataTitel_liste,LineærRegression_Valg[[#This Row],[Afhængig variabel ID]]),INDEX(DataTitel_liste,1))</f>
        <v>Eksempel 1 (interval)</v>
      </c>
      <c r="G1138" s="171" t="str" cm="1">
        <f t="array" ref="G1138">IF(LineærRegression_Valg[[#This Row],[Indenfor range]],IF(LineærRegression_Valg[[#This Row],[Intet overlap]],INDEX(DataTitel_liste,LineærRegression_Valg[[#This Row],[Uafhængig variabel ID]]),INDEX(DataTitel_liste,IF(LineærRegression_Valg[[#This Row],[Afhængig variabel ID]]=1,2,1))),$B$7)</f>
        <v>Eksempel 2 (interval)</v>
      </c>
      <c r="H1138" s="171">
        <f>_xlfn.AGGREGATE(2,5,LineærRegression_Valg[[#This Row],[Tabel ID]])</f>
        <v>1</v>
      </c>
    </row>
    <row r="1139" spans="1:8" x14ac:dyDescent="0.2">
      <c r="A1139">
        <f>ROW(LineærRegression_Valg[[#This Row],[Tabel ID]])-ROW(LineærRegression_Valg[[#Headers],[Tabel ID]])</f>
        <v>1129</v>
      </c>
      <c r="B1139" s="171">
        <f>ROUNDDOWN((LineærRegression_Valg[[#This Row],[Tabel ID]]-1)/$B$5,0)+1</f>
        <v>283</v>
      </c>
      <c r="C1139" s="171">
        <f t="shared" si="17"/>
        <v>1</v>
      </c>
      <c r="D1139" s="171" t="b">
        <f>LineærRegression_Valg[[#This Row],[Afhængig variabel ID]]&lt;&gt;LineærRegression_Valg[[#This Row],[Uafhængig variabel ID]]</f>
        <v>1</v>
      </c>
      <c r="E1139" t="b">
        <f>LineærRegression_Valg[[#This Row],[Afhængig variabel ID]]&lt;=$B$5</f>
        <v>0</v>
      </c>
      <c r="F1139" t="str" cm="1">
        <f t="array" ref="F1139">IF(LineærRegression_Valg[[#This Row],[Indenfor range]],INDEX(DataTitel_liste,LineærRegression_Valg[[#This Row],[Afhængig variabel ID]]),INDEX(DataTitel_liste,1))</f>
        <v>Eksempel 1 (interval)</v>
      </c>
      <c r="G1139" s="171" t="str" cm="1">
        <f t="array" ref="G1139">IF(LineærRegression_Valg[[#This Row],[Indenfor range]],IF(LineærRegression_Valg[[#This Row],[Intet overlap]],INDEX(DataTitel_liste,LineærRegression_Valg[[#This Row],[Uafhængig variabel ID]]),INDEX(DataTitel_liste,IF(LineærRegression_Valg[[#This Row],[Afhængig variabel ID]]=1,2,1))),$B$7)</f>
        <v>Eksempel 2 (interval)</v>
      </c>
      <c r="H1139" s="171">
        <f>_xlfn.AGGREGATE(2,5,LineærRegression_Valg[[#This Row],[Tabel ID]])</f>
        <v>1</v>
      </c>
    </row>
    <row r="1140" spans="1:8" x14ac:dyDescent="0.2">
      <c r="A1140">
        <f>ROW(LineærRegression_Valg[[#This Row],[Tabel ID]])-ROW(LineærRegression_Valg[[#Headers],[Tabel ID]])</f>
        <v>1130</v>
      </c>
      <c r="B1140" s="171">
        <f>ROUNDDOWN((LineærRegression_Valg[[#This Row],[Tabel ID]]-1)/$B$5,0)+1</f>
        <v>283</v>
      </c>
      <c r="C1140" s="171">
        <f t="shared" si="17"/>
        <v>2</v>
      </c>
      <c r="D1140" s="171" t="b">
        <f>LineærRegression_Valg[[#This Row],[Afhængig variabel ID]]&lt;&gt;LineærRegression_Valg[[#This Row],[Uafhængig variabel ID]]</f>
        <v>1</v>
      </c>
      <c r="E1140" t="b">
        <f>LineærRegression_Valg[[#This Row],[Afhængig variabel ID]]&lt;=$B$5</f>
        <v>0</v>
      </c>
      <c r="F1140" t="str" cm="1">
        <f t="array" ref="F1140">IF(LineærRegression_Valg[[#This Row],[Indenfor range]],INDEX(DataTitel_liste,LineærRegression_Valg[[#This Row],[Afhængig variabel ID]]),INDEX(DataTitel_liste,1))</f>
        <v>Eksempel 1 (interval)</v>
      </c>
      <c r="G1140" s="171" t="str" cm="1">
        <f t="array" ref="G1140">IF(LineærRegression_Valg[[#This Row],[Indenfor range]],IF(LineærRegression_Valg[[#This Row],[Intet overlap]],INDEX(DataTitel_liste,LineærRegression_Valg[[#This Row],[Uafhængig variabel ID]]),INDEX(DataTitel_liste,IF(LineærRegression_Valg[[#This Row],[Afhængig variabel ID]]=1,2,1))),$B$7)</f>
        <v>Eksempel 2 (interval)</v>
      </c>
      <c r="H1140" s="171">
        <f>_xlfn.AGGREGATE(2,5,LineærRegression_Valg[[#This Row],[Tabel ID]])</f>
        <v>1</v>
      </c>
    </row>
    <row r="1141" spans="1:8" x14ac:dyDescent="0.2">
      <c r="A1141">
        <f>ROW(LineærRegression_Valg[[#This Row],[Tabel ID]])-ROW(LineærRegression_Valg[[#Headers],[Tabel ID]])</f>
        <v>1131</v>
      </c>
      <c r="B1141" s="171">
        <f>ROUNDDOWN((LineærRegression_Valg[[#This Row],[Tabel ID]]-1)/$B$5,0)+1</f>
        <v>283</v>
      </c>
      <c r="C1141" s="171">
        <f t="shared" si="17"/>
        <v>3</v>
      </c>
      <c r="D1141" s="171" t="b">
        <f>LineærRegression_Valg[[#This Row],[Afhængig variabel ID]]&lt;&gt;LineærRegression_Valg[[#This Row],[Uafhængig variabel ID]]</f>
        <v>1</v>
      </c>
      <c r="E1141" t="b">
        <f>LineærRegression_Valg[[#This Row],[Afhængig variabel ID]]&lt;=$B$5</f>
        <v>0</v>
      </c>
      <c r="F1141" t="str" cm="1">
        <f t="array" ref="F1141">IF(LineærRegression_Valg[[#This Row],[Indenfor range]],INDEX(DataTitel_liste,LineærRegression_Valg[[#This Row],[Afhængig variabel ID]]),INDEX(DataTitel_liste,1))</f>
        <v>Eksempel 1 (interval)</v>
      </c>
      <c r="G1141" s="171" t="str" cm="1">
        <f t="array" ref="G1141">IF(LineærRegression_Valg[[#This Row],[Indenfor range]],IF(LineærRegression_Valg[[#This Row],[Intet overlap]],INDEX(DataTitel_liste,LineærRegression_Valg[[#This Row],[Uafhængig variabel ID]]),INDEX(DataTitel_liste,IF(LineærRegression_Valg[[#This Row],[Afhængig variabel ID]]=1,2,1))),$B$7)</f>
        <v>Eksempel 2 (interval)</v>
      </c>
      <c r="H1141" s="171">
        <f>_xlfn.AGGREGATE(2,5,LineærRegression_Valg[[#This Row],[Tabel ID]])</f>
        <v>1</v>
      </c>
    </row>
    <row r="1142" spans="1:8" x14ac:dyDescent="0.2">
      <c r="A1142">
        <f>ROW(LineærRegression_Valg[[#This Row],[Tabel ID]])-ROW(LineærRegression_Valg[[#Headers],[Tabel ID]])</f>
        <v>1132</v>
      </c>
      <c r="B1142" s="171">
        <f>ROUNDDOWN((LineærRegression_Valg[[#This Row],[Tabel ID]]-1)/$B$5,0)+1</f>
        <v>283</v>
      </c>
      <c r="C1142" s="171">
        <f t="shared" si="17"/>
        <v>4</v>
      </c>
      <c r="D1142" s="171" t="b">
        <f>LineærRegression_Valg[[#This Row],[Afhængig variabel ID]]&lt;&gt;LineærRegression_Valg[[#This Row],[Uafhængig variabel ID]]</f>
        <v>1</v>
      </c>
      <c r="E1142" t="b">
        <f>LineærRegression_Valg[[#This Row],[Afhængig variabel ID]]&lt;=$B$5</f>
        <v>0</v>
      </c>
      <c r="F1142" t="str" cm="1">
        <f t="array" ref="F1142">IF(LineærRegression_Valg[[#This Row],[Indenfor range]],INDEX(DataTitel_liste,LineærRegression_Valg[[#This Row],[Afhængig variabel ID]]),INDEX(DataTitel_liste,1))</f>
        <v>Eksempel 1 (interval)</v>
      </c>
      <c r="G1142" s="171" t="str" cm="1">
        <f t="array" ref="G1142">IF(LineærRegression_Valg[[#This Row],[Indenfor range]],IF(LineærRegression_Valg[[#This Row],[Intet overlap]],INDEX(DataTitel_liste,LineærRegression_Valg[[#This Row],[Uafhængig variabel ID]]),INDEX(DataTitel_liste,IF(LineærRegression_Valg[[#This Row],[Afhængig variabel ID]]=1,2,1))),$B$7)</f>
        <v>Eksempel 2 (interval)</v>
      </c>
      <c r="H1142" s="171">
        <f>_xlfn.AGGREGATE(2,5,LineærRegression_Valg[[#This Row],[Tabel ID]])</f>
        <v>1</v>
      </c>
    </row>
    <row r="1143" spans="1:8" x14ac:dyDescent="0.2">
      <c r="A1143">
        <f>ROW(LineærRegression_Valg[[#This Row],[Tabel ID]])-ROW(LineærRegression_Valg[[#Headers],[Tabel ID]])</f>
        <v>1133</v>
      </c>
      <c r="B1143" s="171">
        <f>ROUNDDOWN((LineærRegression_Valg[[#This Row],[Tabel ID]]-1)/$B$5,0)+1</f>
        <v>284</v>
      </c>
      <c r="C1143" s="171">
        <f t="shared" si="17"/>
        <v>1</v>
      </c>
      <c r="D1143" s="171" t="b">
        <f>LineærRegression_Valg[[#This Row],[Afhængig variabel ID]]&lt;&gt;LineærRegression_Valg[[#This Row],[Uafhængig variabel ID]]</f>
        <v>1</v>
      </c>
      <c r="E1143" t="b">
        <f>LineærRegression_Valg[[#This Row],[Afhængig variabel ID]]&lt;=$B$5</f>
        <v>0</v>
      </c>
      <c r="F1143" t="str" cm="1">
        <f t="array" ref="F1143">IF(LineærRegression_Valg[[#This Row],[Indenfor range]],INDEX(DataTitel_liste,LineærRegression_Valg[[#This Row],[Afhængig variabel ID]]),INDEX(DataTitel_liste,1))</f>
        <v>Eksempel 1 (interval)</v>
      </c>
      <c r="G1143" s="171" t="str" cm="1">
        <f t="array" ref="G1143">IF(LineærRegression_Valg[[#This Row],[Indenfor range]],IF(LineærRegression_Valg[[#This Row],[Intet overlap]],INDEX(DataTitel_liste,LineærRegression_Valg[[#This Row],[Uafhængig variabel ID]]),INDEX(DataTitel_liste,IF(LineærRegression_Valg[[#This Row],[Afhængig variabel ID]]=1,2,1))),$B$7)</f>
        <v>Eksempel 2 (interval)</v>
      </c>
      <c r="H1143" s="171">
        <f>_xlfn.AGGREGATE(2,5,LineærRegression_Valg[[#This Row],[Tabel ID]])</f>
        <v>1</v>
      </c>
    </row>
    <row r="1144" spans="1:8" x14ac:dyDescent="0.2">
      <c r="A1144">
        <f>ROW(LineærRegression_Valg[[#This Row],[Tabel ID]])-ROW(LineærRegression_Valg[[#Headers],[Tabel ID]])</f>
        <v>1134</v>
      </c>
      <c r="B1144" s="171">
        <f>ROUNDDOWN((LineærRegression_Valg[[#This Row],[Tabel ID]]-1)/$B$5,0)+1</f>
        <v>284</v>
      </c>
      <c r="C1144" s="171">
        <f t="shared" si="17"/>
        <v>2</v>
      </c>
      <c r="D1144" s="171" t="b">
        <f>LineærRegression_Valg[[#This Row],[Afhængig variabel ID]]&lt;&gt;LineærRegression_Valg[[#This Row],[Uafhængig variabel ID]]</f>
        <v>1</v>
      </c>
      <c r="E1144" t="b">
        <f>LineærRegression_Valg[[#This Row],[Afhængig variabel ID]]&lt;=$B$5</f>
        <v>0</v>
      </c>
      <c r="F1144" t="str" cm="1">
        <f t="array" ref="F1144">IF(LineærRegression_Valg[[#This Row],[Indenfor range]],INDEX(DataTitel_liste,LineærRegression_Valg[[#This Row],[Afhængig variabel ID]]),INDEX(DataTitel_liste,1))</f>
        <v>Eksempel 1 (interval)</v>
      </c>
      <c r="G1144" s="171" t="str" cm="1">
        <f t="array" ref="G1144">IF(LineærRegression_Valg[[#This Row],[Indenfor range]],IF(LineærRegression_Valg[[#This Row],[Intet overlap]],INDEX(DataTitel_liste,LineærRegression_Valg[[#This Row],[Uafhængig variabel ID]]),INDEX(DataTitel_liste,IF(LineærRegression_Valg[[#This Row],[Afhængig variabel ID]]=1,2,1))),$B$7)</f>
        <v>Eksempel 2 (interval)</v>
      </c>
      <c r="H1144" s="171">
        <f>_xlfn.AGGREGATE(2,5,LineærRegression_Valg[[#This Row],[Tabel ID]])</f>
        <v>1</v>
      </c>
    </row>
    <row r="1145" spans="1:8" x14ac:dyDescent="0.2">
      <c r="A1145">
        <f>ROW(LineærRegression_Valg[[#This Row],[Tabel ID]])-ROW(LineærRegression_Valg[[#Headers],[Tabel ID]])</f>
        <v>1135</v>
      </c>
      <c r="B1145" s="171">
        <f>ROUNDDOWN((LineærRegression_Valg[[#This Row],[Tabel ID]]-1)/$B$5,0)+1</f>
        <v>284</v>
      </c>
      <c r="C1145" s="171">
        <f t="shared" si="17"/>
        <v>3</v>
      </c>
      <c r="D1145" s="171" t="b">
        <f>LineærRegression_Valg[[#This Row],[Afhængig variabel ID]]&lt;&gt;LineærRegression_Valg[[#This Row],[Uafhængig variabel ID]]</f>
        <v>1</v>
      </c>
      <c r="E1145" t="b">
        <f>LineærRegression_Valg[[#This Row],[Afhængig variabel ID]]&lt;=$B$5</f>
        <v>0</v>
      </c>
      <c r="F1145" t="str" cm="1">
        <f t="array" ref="F1145">IF(LineærRegression_Valg[[#This Row],[Indenfor range]],INDEX(DataTitel_liste,LineærRegression_Valg[[#This Row],[Afhængig variabel ID]]),INDEX(DataTitel_liste,1))</f>
        <v>Eksempel 1 (interval)</v>
      </c>
      <c r="G1145" s="171" t="str" cm="1">
        <f t="array" ref="G1145">IF(LineærRegression_Valg[[#This Row],[Indenfor range]],IF(LineærRegression_Valg[[#This Row],[Intet overlap]],INDEX(DataTitel_liste,LineærRegression_Valg[[#This Row],[Uafhængig variabel ID]]),INDEX(DataTitel_liste,IF(LineærRegression_Valg[[#This Row],[Afhængig variabel ID]]=1,2,1))),$B$7)</f>
        <v>Eksempel 2 (interval)</v>
      </c>
      <c r="H1145" s="171">
        <f>_xlfn.AGGREGATE(2,5,LineærRegression_Valg[[#This Row],[Tabel ID]])</f>
        <v>1</v>
      </c>
    </row>
    <row r="1146" spans="1:8" x14ac:dyDescent="0.2">
      <c r="A1146">
        <f>ROW(LineærRegression_Valg[[#This Row],[Tabel ID]])-ROW(LineærRegression_Valg[[#Headers],[Tabel ID]])</f>
        <v>1136</v>
      </c>
      <c r="B1146" s="171">
        <f>ROUNDDOWN((LineærRegression_Valg[[#This Row],[Tabel ID]]-1)/$B$5,0)+1</f>
        <v>284</v>
      </c>
      <c r="C1146" s="171">
        <f t="shared" si="17"/>
        <v>4</v>
      </c>
      <c r="D1146" s="171" t="b">
        <f>LineærRegression_Valg[[#This Row],[Afhængig variabel ID]]&lt;&gt;LineærRegression_Valg[[#This Row],[Uafhængig variabel ID]]</f>
        <v>1</v>
      </c>
      <c r="E1146" t="b">
        <f>LineærRegression_Valg[[#This Row],[Afhængig variabel ID]]&lt;=$B$5</f>
        <v>0</v>
      </c>
      <c r="F1146" t="str" cm="1">
        <f t="array" ref="F1146">IF(LineærRegression_Valg[[#This Row],[Indenfor range]],INDEX(DataTitel_liste,LineærRegression_Valg[[#This Row],[Afhængig variabel ID]]),INDEX(DataTitel_liste,1))</f>
        <v>Eksempel 1 (interval)</v>
      </c>
      <c r="G1146" s="171" t="str" cm="1">
        <f t="array" ref="G1146">IF(LineærRegression_Valg[[#This Row],[Indenfor range]],IF(LineærRegression_Valg[[#This Row],[Intet overlap]],INDEX(DataTitel_liste,LineærRegression_Valg[[#This Row],[Uafhængig variabel ID]]),INDEX(DataTitel_liste,IF(LineærRegression_Valg[[#This Row],[Afhængig variabel ID]]=1,2,1))),$B$7)</f>
        <v>Eksempel 2 (interval)</v>
      </c>
      <c r="H1146" s="171">
        <f>_xlfn.AGGREGATE(2,5,LineærRegression_Valg[[#This Row],[Tabel ID]])</f>
        <v>1</v>
      </c>
    </row>
    <row r="1147" spans="1:8" x14ac:dyDescent="0.2">
      <c r="A1147">
        <f>ROW(LineærRegression_Valg[[#This Row],[Tabel ID]])-ROW(LineærRegression_Valg[[#Headers],[Tabel ID]])</f>
        <v>1137</v>
      </c>
      <c r="B1147" s="171">
        <f>ROUNDDOWN((LineærRegression_Valg[[#This Row],[Tabel ID]]-1)/$B$5,0)+1</f>
        <v>285</v>
      </c>
      <c r="C1147" s="171">
        <f t="shared" si="17"/>
        <v>1</v>
      </c>
      <c r="D1147" s="171" t="b">
        <f>LineærRegression_Valg[[#This Row],[Afhængig variabel ID]]&lt;&gt;LineærRegression_Valg[[#This Row],[Uafhængig variabel ID]]</f>
        <v>1</v>
      </c>
      <c r="E1147" t="b">
        <f>LineærRegression_Valg[[#This Row],[Afhængig variabel ID]]&lt;=$B$5</f>
        <v>0</v>
      </c>
      <c r="F1147" t="str" cm="1">
        <f t="array" ref="F1147">IF(LineærRegression_Valg[[#This Row],[Indenfor range]],INDEX(DataTitel_liste,LineærRegression_Valg[[#This Row],[Afhængig variabel ID]]),INDEX(DataTitel_liste,1))</f>
        <v>Eksempel 1 (interval)</v>
      </c>
      <c r="G1147" s="171" t="str" cm="1">
        <f t="array" ref="G1147">IF(LineærRegression_Valg[[#This Row],[Indenfor range]],IF(LineærRegression_Valg[[#This Row],[Intet overlap]],INDEX(DataTitel_liste,LineærRegression_Valg[[#This Row],[Uafhængig variabel ID]]),INDEX(DataTitel_liste,IF(LineærRegression_Valg[[#This Row],[Afhængig variabel ID]]=1,2,1))),$B$7)</f>
        <v>Eksempel 2 (interval)</v>
      </c>
      <c r="H1147" s="171">
        <f>_xlfn.AGGREGATE(2,5,LineærRegression_Valg[[#This Row],[Tabel ID]])</f>
        <v>1</v>
      </c>
    </row>
    <row r="1148" spans="1:8" x14ac:dyDescent="0.2">
      <c r="A1148">
        <f>ROW(LineærRegression_Valg[[#This Row],[Tabel ID]])-ROW(LineærRegression_Valg[[#Headers],[Tabel ID]])</f>
        <v>1138</v>
      </c>
      <c r="B1148" s="171">
        <f>ROUNDDOWN((LineærRegression_Valg[[#This Row],[Tabel ID]]-1)/$B$5,0)+1</f>
        <v>285</v>
      </c>
      <c r="C1148" s="171">
        <f t="shared" si="17"/>
        <v>2</v>
      </c>
      <c r="D1148" s="171" t="b">
        <f>LineærRegression_Valg[[#This Row],[Afhængig variabel ID]]&lt;&gt;LineærRegression_Valg[[#This Row],[Uafhængig variabel ID]]</f>
        <v>1</v>
      </c>
      <c r="E1148" t="b">
        <f>LineærRegression_Valg[[#This Row],[Afhængig variabel ID]]&lt;=$B$5</f>
        <v>0</v>
      </c>
      <c r="F1148" t="str" cm="1">
        <f t="array" ref="F1148">IF(LineærRegression_Valg[[#This Row],[Indenfor range]],INDEX(DataTitel_liste,LineærRegression_Valg[[#This Row],[Afhængig variabel ID]]),INDEX(DataTitel_liste,1))</f>
        <v>Eksempel 1 (interval)</v>
      </c>
      <c r="G1148" s="171" t="str" cm="1">
        <f t="array" ref="G1148">IF(LineærRegression_Valg[[#This Row],[Indenfor range]],IF(LineærRegression_Valg[[#This Row],[Intet overlap]],INDEX(DataTitel_liste,LineærRegression_Valg[[#This Row],[Uafhængig variabel ID]]),INDEX(DataTitel_liste,IF(LineærRegression_Valg[[#This Row],[Afhængig variabel ID]]=1,2,1))),$B$7)</f>
        <v>Eksempel 2 (interval)</v>
      </c>
      <c r="H1148" s="171">
        <f>_xlfn.AGGREGATE(2,5,LineærRegression_Valg[[#This Row],[Tabel ID]])</f>
        <v>1</v>
      </c>
    </row>
    <row r="1149" spans="1:8" x14ac:dyDescent="0.2">
      <c r="A1149">
        <f>ROW(LineærRegression_Valg[[#This Row],[Tabel ID]])-ROW(LineærRegression_Valg[[#Headers],[Tabel ID]])</f>
        <v>1139</v>
      </c>
      <c r="B1149" s="171">
        <f>ROUNDDOWN((LineærRegression_Valg[[#This Row],[Tabel ID]]-1)/$B$5,0)+1</f>
        <v>285</v>
      </c>
      <c r="C1149" s="171">
        <f t="shared" si="17"/>
        <v>3</v>
      </c>
      <c r="D1149" s="171" t="b">
        <f>LineærRegression_Valg[[#This Row],[Afhængig variabel ID]]&lt;&gt;LineærRegression_Valg[[#This Row],[Uafhængig variabel ID]]</f>
        <v>1</v>
      </c>
      <c r="E1149" t="b">
        <f>LineærRegression_Valg[[#This Row],[Afhængig variabel ID]]&lt;=$B$5</f>
        <v>0</v>
      </c>
      <c r="F1149" t="str" cm="1">
        <f t="array" ref="F1149">IF(LineærRegression_Valg[[#This Row],[Indenfor range]],INDEX(DataTitel_liste,LineærRegression_Valg[[#This Row],[Afhængig variabel ID]]),INDEX(DataTitel_liste,1))</f>
        <v>Eksempel 1 (interval)</v>
      </c>
      <c r="G1149" s="171" t="str" cm="1">
        <f t="array" ref="G1149">IF(LineærRegression_Valg[[#This Row],[Indenfor range]],IF(LineærRegression_Valg[[#This Row],[Intet overlap]],INDEX(DataTitel_liste,LineærRegression_Valg[[#This Row],[Uafhængig variabel ID]]),INDEX(DataTitel_liste,IF(LineærRegression_Valg[[#This Row],[Afhængig variabel ID]]=1,2,1))),$B$7)</f>
        <v>Eksempel 2 (interval)</v>
      </c>
      <c r="H1149" s="171">
        <f>_xlfn.AGGREGATE(2,5,LineærRegression_Valg[[#This Row],[Tabel ID]])</f>
        <v>1</v>
      </c>
    </row>
    <row r="1150" spans="1:8" x14ac:dyDescent="0.2">
      <c r="A1150">
        <f>ROW(LineærRegression_Valg[[#This Row],[Tabel ID]])-ROW(LineærRegression_Valg[[#Headers],[Tabel ID]])</f>
        <v>1140</v>
      </c>
      <c r="B1150" s="171">
        <f>ROUNDDOWN((LineærRegression_Valg[[#This Row],[Tabel ID]]-1)/$B$5,0)+1</f>
        <v>285</v>
      </c>
      <c r="C1150" s="171">
        <f t="shared" si="17"/>
        <v>4</v>
      </c>
      <c r="D1150" s="171" t="b">
        <f>LineærRegression_Valg[[#This Row],[Afhængig variabel ID]]&lt;&gt;LineærRegression_Valg[[#This Row],[Uafhængig variabel ID]]</f>
        <v>1</v>
      </c>
      <c r="E1150" t="b">
        <f>LineærRegression_Valg[[#This Row],[Afhængig variabel ID]]&lt;=$B$5</f>
        <v>0</v>
      </c>
      <c r="F1150" t="str" cm="1">
        <f t="array" ref="F1150">IF(LineærRegression_Valg[[#This Row],[Indenfor range]],INDEX(DataTitel_liste,LineærRegression_Valg[[#This Row],[Afhængig variabel ID]]),INDEX(DataTitel_liste,1))</f>
        <v>Eksempel 1 (interval)</v>
      </c>
      <c r="G1150" s="171" t="str" cm="1">
        <f t="array" ref="G1150">IF(LineærRegression_Valg[[#This Row],[Indenfor range]],IF(LineærRegression_Valg[[#This Row],[Intet overlap]],INDEX(DataTitel_liste,LineærRegression_Valg[[#This Row],[Uafhængig variabel ID]]),INDEX(DataTitel_liste,IF(LineærRegression_Valg[[#This Row],[Afhængig variabel ID]]=1,2,1))),$B$7)</f>
        <v>Eksempel 2 (interval)</v>
      </c>
      <c r="H1150" s="171">
        <f>_xlfn.AGGREGATE(2,5,LineærRegression_Valg[[#This Row],[Tabel ID]])</f>
        <v>1</v>
      </c>
    </row>
    <row r="1151" spans="1:8" x14ac:dyDescent="0.2">
      <c r="A1151">
        <f>ROW(LineærRegression_Valg[[#This Row],[Tabel ID]])-ROW(LineærRegression_Valg[[#Headers],[Tabel ID]])</f>
        <v>1141</v>
      </c>
      <c r="B1151" s="171">
        <f>ROUNDDOWN((LineærRegression_Valg[[#This Row],[Tabel ID]]-1)/$B$5,0)+1</f>
        <v>286</v>
      </c>
      <c r="C1151" s="171">
        <f t="shared" si="17"/>
        <v>1</v>
      </c>
      <c r="D1151" s="171" t="b">
        <f>LineærRegression_Valg[[#This Row],[Afhængig variabel ID]]&lt;&gt;LineærRegression_Valg[[#This Row],[Uafhængig variabel ID]]</f>
        <v>1</v>
      </c>
      <c r="E1151" t="b">
        <f>LineærRegression_Valg[[#This Row],[Afhængig variabel ID]]&lt;=$B$5</f>
        <v>0</v>
      </c>
      <c r="F1151" t="str" cm="1">
        <f t="array" ref="F1151">IF(LineærRegression_Valg[[#This Row],[Indenfor range]],INDEX(DataTitel_liste,LineærRegression_Valg[[#This Row],[Afhængig variabel ID]]),INDEX(DataTitel_liste,1))</f>
        <v>Eksempel 1 (interval)</v>
      </c>
      <c r="G1151" s="171" t="str" cm="1">
        <f t="array" ref="G1151">IF(LineærRegression_Valg[[#This Row],[Indenfor range]],IF(LineærRegression_Valg[[#This Row],[Intet overlap]],INDEX(DataTitel_liste,LineærRegression_Valg[[#This Row],[Uafhængig variabel ID]]),INDEX(DataTitel_liste,IF(LineærRegression_Valg[[#This Row],[Afhængig variabel ID]]=1,2,1))),$B$7)</f>
        <v>Eksempel 2 (interval)</v>
      </c>
      <c r="H1151" s="171">
        <f>_xlfn.AGGREGATE(2,5,LineærRegression_Valg[[#This Row],[Tabel ID]])</f>
        <v>1</v>
      </c>
    </row>
    <row r="1152" spans="1:8" x14ac:dyDescent="0.2">
      <c r="A1152">
        <f>ROW(LineærRegression_Valg[[#This Row],[Tabel ID]])-ROW(LineærRegression_Valg[[#Headers],[Tabel ID]])</f>
        <v>1142</v>
      </c>
      <c r="B1152" s="171">
        <f>ROUNDDOWN((LineærRegression_Valg[[#This Row],[Tabel ID]]-1)/$B$5,0)+1</f>
        <v>286</v>
      </c>
      <c r="C1152" s="171">
        <f t="shared" si="17"/>
        <v>2</v>
      </c>
      <c r="D1152" s="171" t="b">
        <f>LineærRegression_Valg[[#This Row],[Afhængig variabel ID]]&lt;&gt;LineærRegression_Valg[[#This Row],[Uafhængig variabel ID]]</f>
        <v>1</v>
      </c>
      <c r="E1152" t="b">
        <f>LineærRegression_Valg[[#This Row],[Afhængig variabel ID]]&lt;=$B$5</f>
        <v>0</v>
      </c>
      <c r="F1152" t="str" cm="1">
        <f t="array" ref="F1152">IF(LineærRegression_Valg[[#This Row],[Indenfor range]],INDEX(DataTitel_liste,LineærRegression_Valg[[#This Row],[Afhængig variabel ID]]),INDEX(DataTitel_liste,1))</f>
        <v>Eksempel 1 (interval)</v>
      </c>
      <c r="G1152" s="171" t="str" cm="1">
        <f t="array" ref="G1152">IF(LineærRegression_Valg[[#This Row],[Indenfor range]],IF(LineærRegression_Valg[[#This Row],[Intet overlap]],INDEX(DataTitel_liste,LineærRegression_Valg[[#This Row],[Uafhængig variabel ID]]),INDEX(DataTitel_liste,IF(LineærRegression_Valg[[#This Row],[Afhængig variabel ID]]=1,2,1))),$B$7)</f>
        <v>Eksempel 2 (interval)</v>
      </c>
      <c r="H1152" s="171">
        <f>_xlfn.AGGREGATE(2,5,LineærRegression_Valg[[#This Row],[Tabel ID]])</f>
        <v>1</v>
      </c>
    </row>
    <row r="1153" spans="1:8" x14ac:dyDescent="0.2">
      <c r="A1153">
        <f>ROW(LineærRegression_Valg[[#This Row],[Tabel ID]])-ROW(LineærRegression_Valg[[#Headers],[Tabel ID]])</f>
        <v>1143</v>
      </c>
      <c r="B1153" s="171">
        <f>ROUNDDOWN((LineærRegression_Valg[[#This Row],[Tabel ID]]-1)/$B$5,0)+1</f>
        <v>286</v>
      </c>
      <c r="C1153" s="171">
        <f t="shared" si="17"/>
        <v>3</v>
      </c>
      <c r="D1153" s="171" t="b">
        <f>LineærRegression_Valg[[#This Row],[Afhængig variabel ID]]&lt;&gt;LineærRegression_Valg[[#This Row],[Uafhængig variabel ID]]</f>
        <v>1</v>
      </c>
      <c r="E1153" t="b">
        <f>LineærRegression_Valg[[#This Row],[Afhængig variabel ID]]&lt;=$B$5</f>
        <v>0</v>
      </c>
      <c r="F1153" t="str" cm="1">
        <f t="array" ref="F1153">IF(LineærRegression_Valg[[#This Row],[Indenfor range]],INDEX(DataTitel_liste,LineærRegression_Valg[[#This Row],[Afhængig variabel ID]]),INDEX(DataTitel_liste,1))</f>
        <v>Eksempel 1 (interval)</v>
      </c>
      <c r="G1153" s="171" t="str" cm="1">
        <f t="array" ref="G1153">IF(LineærRegression_Valg[[#This Row],[Indenfor range]],IF(LineærRegression_Valg[[#This Row],[Intet overlap]],INDEX(DataTitel_liste,LineærRegression_Valg[[#This Row],[Uafhængig variabel ID]]),INDEX(DataTitel_liste,IF(LineærRegression_Valg[[#This Row],[Afhængig variabel ID]]=1,2,1))),$B$7)</f>
        <v>Eksempel 2 (interval)</v>
      </c>
      <c r="H1153" s="171">
        <f>_xlfn.AGGREGATE(2,5,LineærRegression_Valg[[#This Row],[Tabel ID]])</f>
        <v>1</v>
      </c>
    </row>
    <row r="1154" spans="1:8" x14ac:dyDescent="0.2">
      <c r="A1154">
        <f>ROW(LineærRegression_Valg[[#This Row],[Tabel ID]])-ROW(LineærRegression_Valg[[#Headers],[Tabel ID]])</f>
        <v>1144</v>
      </c>
      <c r="B1154" s="171">
        <f>ROUNDDOWN((LineærRegression_Valg[[#This Row],[Tabel ID]]-1)/$B$5,0)+1</f>
        <v>286</v>
      </c>
      <c r="C1154" s="171">
        <f t="shared" si="17"/>
        <v>4</v>
      </c>
      <c r="D1154" s="171" t="b">
        <f>LineærRegression_Valg[[#This Row],[Afhængig variabel ID]]&lt;&gt;LineærRegression_Valg[[#This Row],[Uafhængig variabel ID]]</f>
        <v>1</v>
      </c>
      <c r="E1154" t="b">
        <f>LineærRegression_Valg[[#This Row],[Afhængig variabel ID]]&lt;=$B$5</f>
        <v>0</v>
      </c>
      <c r="F1154" t="str" cm="1">
        <f t="array" ref="F1154">IF(LineærRegression_Valg[[#This Row],[Indenfor range]],INDEX(DataTitel_liste,LineærRegression_Valg[[#This Row],[Afhængig variabel ID]]),INDEX(DataTitel_liste,1))</f>
        <v>Eksempel 1 (interval)</v>
      </c>
      <c r="G1154" s="171" t="str" cm="1">
        <f t="array" ref="G1154">IF(LineærRegression_Valg[[#This Row],[Indenfor range]],IF(LineærRegression_Valg[[#This Row],[Intet overlap]],INDEX(DataTitel_liste,LineærRegression_Valg[[#This Row],[Uafhængig variabel ID]]),INDEX(DataTitel_liste,IF(LineærRegression_Valg[[#This Row],[Afhængig variabel ID]]=1,2,1))),$B$7)</f>
        <v>Eksempel 2 (interval)</v>
      </c>
      <c r="H1154" s="171">
        <f>_xlfn.AGGREGATE(2,5,LineærRegression_Valg[[#This Row],[Tabel ID]])</f>
        <v>1</v>
      </c>
    </row>
    <row r="1155" spans="1:8" x14ac:dyDescent="0.2">
      <c r="A1155">
        <f>ROW(LineærRegression_Valg[[#This Row],[Tabel ID]])-ROW(LineærRegression_Valg[[#Headers],[Tabel ID]])</f>
        <v>1145</v>
      </c>
      <c r="B1155" s="171">
        <f>ROUNDDOWN((LineærRegression_Valg[[#This Row],[Tabel ID]]-1)/$B$5,0)+1</f>
        <v>287</v>
      </c>
      <c r="C1155" s="171">
        <f t="shared" si="17"/>
        <v>1</v>
      </c>
      <c r="D1155" s="171" t="b">
        <f>LineærRegression_Valg[[#This Row],[Afhængig variabel ID]]&lt;&gt;LineærRegression_Valg[[#This Row],[Uafhængig variabel ID]]</f>
        <v>1</v>
      </c>
      <c r="E1155" t="b">
        <f>LineærRegression_Valg[[#This Row],[Afhængig variabel ID]]&lt;=$B$5</f>
        <v>0</v>
      </c>
      <c r="F1155" t="str" cm="1">
        <f t="array" ref="F1155">IF(LineærRegression_Valg[[#This Row],[Indenfor range]],INDEX(DataTitel_liste,LineærRegression_Valg[[#This Row],[Afhængig variabel ID]]),INDEX(DataTitel_liste,1))</f>
        <v>Eksempel 1 (interval)</v>
      </c>
      <c r="G1155" s="171" t="str" cm="1">
        <f t="array" ref="G1155">IF(LineærRegression_Valg[[#This Row],[Indenfor range]],IF(LineærRegression_Valg[[#This Row],[Intet overlap]],INDEX(DataTitel_liste,LineærRegression_Valg[[#This Row],[Uafhængig variabel ID]]),INDEX(DataTitel_liste,IF(LineærRegression_Valg[[#This Row],[Afhængig variabel ID]]=1,2,1))),$B$7)</f>
        <v>Eksempel 2 (interval)</v>
      </c>
      <c r="H1155" s="171">
        <f>_xlfn.AGGREGATE(2,5,LineærRegression_Valg[[#This Row],[Tabel ID]])</f>
        <v>1</v>
      </c>
    </row>
    <row r="1156" spans="1:8" x14ac:dyDescent="0.2">
      <c r="A1156">
        <f>ROW(LineærRegression_Valg[[#This Row],[Tabel ID]])-ROW(LineærRegression_Valg[[#Headers],[Tabel ID]])</f>
        <v>1146</v>
      </c>
      <c r="B1156" s="171">
        <f>ROUNDDOWN((LineærRegression_Valg[[#This Row],[Tabel ID]]-1)/$B$5,0)+1</f>
        <v>287</v>
      </c>
      <c r="C1156" s="171">
        <f t="shared" si="17"/>
        <v>2</v>
      </c>
      <c r="D1156" s="171" t="b">
        <f>LineærRegression_Valg[[#This Row],[Afhængig variabel ID]]&lt;&gt;LineærRegression_Valg[[#This Row],[Uafhængig variabel ID]]</f>
        <v>1</v>
      </c>
      <c r="E1156" t="b">
        <f>LineærRegression_Valg[[#This Row],[Afhængig variabel ID]]&lt;=$B$5</f>
        <v>0</v>
      </c>
      <c r="F1156" t="str" cm="1">
        <f t="array" ref="F1156">IF(LineærRegression_Valg[[#This Row],[Indenfor range]],INDEX(DataTitel_liste,LineærRegression_Valg[[#This Row],[Afhængig variabel ID]]),INDEX(DataTitel_liste,1))</f>
        <v>Eksempel 1 (interval)</v>
      </c>
      <c r="G1156" s="171" t="str" cm="1">
        <f t="array" ref="G1156">IF(LineærRegression_Valg[[#This Row],[Indenfor range]],IF(LineærRegression_Valg[[#This Row],[Intet overlap]],INDEX(DataTitel_liste,LineærRegression_Valg[[#This Row],[Uafhængig variabel ID]]),INDEX(DataTitel_liste,IF(LineærRegression_Valg[[#This Row],[Afhængig variabel ID]]=1,2,1))),$B$7)</f>
        <v>Eksempel 2 (interval)</v>
      </c>
      <c r="H1156" s="171">
        <f>_xlfn.AGGREGATE(2,5,LineærRegression_Valg[[#This Row],[Tabel ID]])</f>
        <v>1</v>
      </c>
    </row>
    <row r="1157" spans="1:8" x14ac:dyDescent="0.2">
      <c r="A1157">
        <f>ROW(LineærRegression_Valg[[#This Row],[Tabel ID]])-ROW(LineærRegression_Valg[[#Headers],[Tabel ID]])</f>
        <v>1147</v>
      </c>
      <c r="B1157" s="171">
        <f>ROUNDDOWN((LineærRegression_Valg[[#This Row],[Tabel ID]]-1)/$B$5,0)+1</f>
        <v>287</v>
      </c>
      <c r="C1157" s="171">
        <f t="shared" si="17"/>
        <v>3</v>
      </c>
      <c r="D1157" s="171" t="b">
        <f>LineærRegression_Valg[[#This Row],[Afhængig variabel ID]]&lt;&gt;LineærRegression_Valg[[#This Row],[Uafhængig variabel ID]]</f>
        <v>1</v>
      </c>
      <c r="E1157" t="b">
        <f>LineærRegression_Valg[[#This Row],[Afhængig variabel ID]]&lt;=$B$5</f>
        <v>0</v>
      </c>
      <c r="F1157" t="str" cm="1">
        <f t="array" ref="F1157">IF(LineærRegression_Valg[[#This Row],[Indenfor range]],INDEX(DataTitel_liste,LineærRegression_Valg[[#This Row],[Afhængig variabel ID]]),INDEX(DataTitel_liste,1))</f>
        <v>Eksempel 1 (interval)</v>
      </c>
      <c r="G1157" s="171" t="str" cm="1">
        <f t="array" ref="G1157">IF(LineærRegression_Valg[[#This Row],[Indenfor range]],IF(LineærRegression_Valg[[#This Row],[Intet overlap]],INDEX(DataTitel_liste,LineærRegression_Valg[[#This Row],[Uafhængig variabel ID]]),INDEX(DataTitel_liste,IF(LineærRegression_Valg[[#This Row],[Afhængig variabel ID]]=1,2,1))),$B$7)</f>
        <v>Eksempel 2 (interval)</v>
      </c>
      <c r="H1157" s="171">
        <f>_xlfn.AGGREGATE(2,5,LineærRegression_Valg[[#This Row],[Tabel ID]])</f>
        <v>1</v>
      </c>
    </row>
    <row r="1158" spans="1:8" x14ac:dyDescent="0.2">
      <c r="A1158">
        <f>ROW(LineærRegression_Valg[[#This Row],[Tabel ID]])-ROW(LineærRegression_Valg[[#Headers],[Tabel ID]])</f>
        <v>1148</v>
      </c>
      <c r="B1158" s="171">
        <f>ROUNDDOWN((LineærRegression_Valg[[#This Row],[Tabel ID]]-1)/$B$5,0)+1</f>
        <v>287</v>
      </c>
      <c r="C1158" s="171">
        <f t="shared" si="17"/>
        <v>4</v>
      </c>
      <c r="D1158" s="171" t="b">
        <f>LineærRegression_Valg[[#This Row],[Afhængig variabel ID]]&lt;&gt;LineærRegression_Valg[[#This Row],[Uafhængig variabel ID]]</f>
        <v>1</v>
      </c>
      <c r="E1158" t="b">
        <f>LineærRegression_Valg[[#This Row],[Afhængig variabel ID]]&lt;=$B$5</f>
        <v>0</v>
      </c>
      <c r="F1158" t="str" cm="1">
        <f t="array" ref="F1158">IF(LineærRegression_Valg[[#This Row],[Indenfor range]],INDEX(DataTitel_liste,LineærRegression_Valg[[#This Row],[Afhængig variabel ID]]),INDEX(DataTitel_liste,1))</f>
        <v>Eksempel 1 (interval)</v>
      </c>
      <c r="G1158" s="171" t="str" cm="1">
        <f t="array" ref="G1158">IF(LineærRegression_Valg[[#This Row],[Indenfor range]],IF(LineærRegression_Valg[[#This Row],[Intet overlap]],INDEX(DataTitel_liste,LineærRegression_Valg[[#This Row],[Uafhængig variabel ID]]),INDEX(DataTitel_liste,IF(LineærRegression_Valg[[#This Row],[Afhængig variabel ID]]=1,2,1))),$B$7)</f>
        <v>Eksempel 2 (interval)</v>
      </c>
      <c r="H1158" s="171">
        <f>_xlfn.AGGREGATE(2,5,LineærRegression_Valg[[#This Row],[Tabel ID]])</f>
        <v>1</v>
      </c>
    </row>
    <row r="1159" spans="1:8" x14ac:dyDescent="0.2">
      <c r="A1159">
        <f>ROW(LineærRegression_Valg[[#This Row],[Tabel ID]])-ROW(LineærRegression_Valg[[#Headers],[Tabel ID]])</f>
        <v>1149</v>
      </c>
      <c r="B1159" s="171">
        <f>ROUNDDOWN((LineærRegression_Valg[[#This Row],[Tabel ID]]-1)/$B$5,0)+1</f>
        <v>288</v>
      </c>
      <c r="C1159" s="171">
        <f t="shared" si="17"/>
        <v>1</v>
      </c>
      <c r="D1159" s="171" t="b">
        <f>LineærRegression_Valg[[#This Row],[Afhængig variabel ID]]&lt;&gt;LineærRegression_Valg[[#This Row],[Uafhængig variabel ID]]</f>
        <v>1</v>
      </c>
      <c r="E1159" t="b">
        <f>LineærRegression_Valg[[#This Row],[Afhængig variabel ID]]&lt;=$B$5</f>
        <v>0</v>
      </c>
      <c r="F1159" t="str" cm="1">
        <f t="array" ref="F1159">IF(LineærRegression_Valg[[#This Row],[Indenfor range]],INDEX(DataTitel_liste,LineærRegression_Valg[[#This Row],[Afhængig variabel ID]]),INDEX(DataTitel_liste,1))</f>
        <v>Eksempel 1 (interval)</v>
      </c>
      <c r="G1159" s="171" t="str" cm="1">
        <f t="array" ref="G1159">IF(LineærRegression_Valg[[#This Row],[Indenfor range]],IF(LineærRegression_Valg[[#This Row],[Intet overlap]],INDEX(DataTitel_liste,LineærRegression_Valg[[#This Row],[Uafhængig variabel ID]]),INDEX(DataTitel_liste,IF(LineærRegression_Valg[[#This Row],[Afhængig variabel ID]]=1,2,1))),$B$7)</f>
        <v>Eksempel 2 (interval)</v>
      </c>
      <c r="H1159" s="171">
        <f>_xlfn.AGGREGATE(2,5,LineærRegression_Valg[[#This Row],[Tabel ID]])</f>
        <v>1</v>
      </c>
    </row>
    <row r="1160" spans="1:8" x14ac:dyDescent="0.2">
      <c r="A1160">
        <f>ROW(LineærRegression_Valg[[#This Row],[Tabel ID]])-ROW(LineærRegression_Valg[[#Headers],[Tabel ID]])</f>
        <v>1150</v>
      </c>
      <c r="B1160" s="171">
        <f>ROUNDDOWN((LineærRegression_Valg[[#This Row],[Tabel ID]]-1)/$B$5,0)+1</f>
        <v>288</v>
      </c>
      <c r="C1160" s="171">
        <f t="shared" si="17"/>
        <v>2</v>
      </c>
      <c r="D1160" s="171" t="b">
        <f>LineærRegression_Valg[[#This Row],[Afhængig variabel ID]]&lt;&gt;LineærRegression_Valg[[#This Row],[Uafhængig variabel ID]]</f>
        <v>1</v>
      </c>
      <c r="E1160" t="b">
        <f>LineærRegression_Valg[[#This Row],[Afhængig variabel ID]]&lt;=$B$5</f>
        <v>0</v>
      </c>
      <c r="F1160" t="str" cm="1">
        <f t="array" ref="F1160">IF(LineærRegression_Valg[[#This Row],[Indenfor range]],INDEX(DataTitel_liste,LineærRegression_Valg[[#This Row],[Afhængig variabel ID]]),INDEX(DataTitel_liste,1))</f>
        <v>Eksempel 1 (interval)</v>
      </c>
      <c r="G1160" s="171" t="str" cm="1">
        <f t="array" ref="G1160">IF(LineærRegression_Valg[[#This Row],[Indenfor range]],IF(LineærRegression_Valg[[#This Row],[Intet overlap]],INDEX(DataTitel_liste,LineærRegression_Valg[[#This Row],[Uafhængig variabel ID]]),INDEX(DataTitel_liste,IF(LineærRegression_Valg[[#This Row],[Afhængig variabel ID]]=1,2,1))),$B$7)</f>
        <v>Eksempel 2 (interval)</v>
      </c>
      <c r="H1160" s="171">
        <f>_xlfn.AGGREGATE(2,5,LineærRegression_Valg[[#This Row],[Tabel ID]])</f>
        <v>1</v>
      </c>
    </row>
    <row r="1161" spans="1:8" x14ac:dyDescent="0.2">
      <c r="A1161">
        <f>ROW(LineærRegression_Valg[[#This Row],[Tabel ID]])-ROW(LineærRegression_Valg[[#Headers],[Tabel ID]])</f>
        <v>1151</v>
      </c>
      <c r="B1161" s="171">
        <f>ROUNDDOWN((LineærRegression_Valg[[#This Row],[Tabel ID]]-1)/$B$5,0)+1</f>
        <v>288</v>
      </c>
      <c r="C1161" s="171">
        <f t="shared" si="17"/>
        <v>3</v>
      </c>
      <c r="D1161" s="171" t="b">
        <f>LineærRegression_Valg[[#This Row],[Afhængig variabel ID]]&lt;&gt;LineærRegression_Valg[[#This Row],[Uafhængig variabel ID]]</f>
        <v>1</v>
      </c>
      <c r="E1161" t="b">
        <f>LineærRegression_Valg[[#This Row],[Afhængig variabel ID]]&lt;=$B$5</f>
        <v>0</v>
      </c>
      <c r="F1161" t="str" cm="1">
        <f t="array" ref="F1161">IF(LineærRegression_Valg[[#This Row],[Indenfor range]],INDEX(DataTitel_liste,LineærRegression_Valg[[#This Row],[Afhængig variabel ID]]),INDEX(DataTitel_liste,1))</f>
        <v>Eksempel 1 (interval)</v>
      </c>
      <c r="G1161" s="171" t="str" cm="1">
        <f t="array" ref="G1161">IF(LineærRegression_Valg[[#This Row],[Indenfor range]],IF(LineærRegression_Valg[[#This Row],[Intet overlap]],INDEX(DataTitel_liste,LineærRegression_Valg[[#This Row],[Uafhængig variabel ID]]),INDEX(DataTitel_liste,IF(LineærRegression_Valg[[#This Row],[Afhængig variabel ID]]=1,2,1))),$B$7)</f>
        <v>Eksempel 2 (interval)</v>
      </c>
      <c r="H1161" s="171">
        <f>_xlfn.AGGREGATE(2,5,LineærRegression_Valg[[#This Row],[Tabel ID]])</f>
        <v>1</v>
      </c>
    </row>
    <row r="1162" spans="1:8" x14ac:dyDescent="0.2">
      <c r="A1162">
        <f>ROW(LineærRegression_Valg[[#This Row],[Tabel ID]])-ROW(LineærRegression_Valg[[#Headers],[Tabel ID]])</f>
        <v>1152</v>
      </c>
      <c r="B1162" s="171">
        <f>ROUNDDOWN((LineærRegression_Valg[[#This Row],[Tabel ID]]-1)/$B$5,0)+1</f>
        <v>288</v>
      </c>
      <c r="C1162" s="171">
        <f t="shared" si="17"/>
        <v>4</v>
      </c>
      <c r="D1162" s="171" t="b">
        <f>LineærRegression_Valg[[#This Row],[Afhængig variabel ID]]&lt;&gt;LineærRegression_Valg[[#This Row],[Uafhængig variabel ID]]</f>
        <v>1</v>
      </c>
      <c r="E1162" t="b">
        <f>LineærRegression_Valg[[#This Row],[Afhængig variabel ID]]&lt;=$B$5</f>
        <v>0</v>
      </c>
      <c r="F1162" t="str" cm="1">
        <f t="array" ref="F1162">IF(LineærRegression_Valg[[#This Row],[Indenfor range]],INDEX(DataTitel_liste,LineærRegression_Valg[[#This Row],[Afhængig variabel ID]]),INDEX(DataTitel_liste,1))</f>
        <v>Eksempel 1 (interval)</v>
      </c>
      <c r="G1162" s="171" t="str" cm="1">
        <f t="array" ref="G1162">IF(LineærRegression_Valg[[#This Row],[Indenfor range]],IF(LineærRegression_Valg[[#This Row],[Intet overlap]],INDEX(DataTitel_liste,LineærRegression_Valg[[#This Row],[Uafhængig variabel ID]]),INDEX(DataTitel_liste,IF(LineærRegression_Valg[[#This Row],[Afhængig variabel ID]]=1,2,1))),$B$7)</f>
        <v>Eksempel 2 (interval)</v>
      </c>
      <c r="H1162" s="171">
        <f>_xlfn.AGGREGATE(2,5,LineærRegression_Valg[[#This Row],[Tabel ID]])</f>
        <v>1</v>
      </c>
    </row>
    <row r="1163" spans="1:8" x14ac:dyDescent="0.2">
      <c r="A1163">
        <f>ROW(LineærRegression_Valg[[#This Row],[Tabel ID]])-ROW(LineærRegression_Valg[[#Headers],[Tabel ID]])</f>
        <v>1153</v>
      </c>
      <c r="B1163" s="171">
        <f>ROUNDDOWN((LineærRegression_Valg[[#This Row],[Tabel ID]]-1)/$B$5,0)+1</f>
        <v>289</v>
      </c>
      <c r="C1163" s="171">
        <f t="shared" ref="C1163:C1226" si="18">MOD(A1163-1,$B$5)+1</f>
        <v>1</v>
      </c>
      <c r="D1163" s="171" t="b">
        <f>LineærRegression_Valg[[#This Row],[Afhængig variabel ID]]&lt;&gt;LineærRegression_Valg[[#This Row],[Uafhængig variabel ID]]</f>
        <v>1</v>
      </c>
      <c r="E1163" t="b">
        <f>LineærRegression_Valg[[#This Row],[Afhængig variabel ID]]&lt;=$B$5</f>
        <v>0</v>
      </c>
      <c r="F1163" t="str" cm="1">
        <f t="array" ref="F1163">IF(LineærRegression_Valg[[#This Row],[Indenfor range]],INDEX(DataTitel_liste,LineærRegression_Valg[[#This Row],[Afhængig variabel ID]]),INDEX(DataTitel_liste,1))</f>
        <v>Eksempel 1 (interval)</v>
      </c>
      <c r="G1163" s="171" t="str" cm="1">
        <f t="array" ref="G1163">IF(LineærRegression_Valg[[#This Row],[Indenfor range]],IF(LineærRegression_Valg[[#This Row],[Intet overlap]],INDEX(DataTitel_liste,LineærRegression_Valg[[#This Row],[Uafhængig variabel ID]]),INDEX(DataTitel_liste,IF(LineærRegression_Valg[[#This Row],[Afhængig variabel ID]]=1,2,1))),$B$7)</f>
        <v>Eksempel 2 (interval)</v>
      </c>
      <c r="H1163" s="171">
        <f>_xlfn.AGGREGATE(2,5,LineærRegression_Valg[[#This Row],[Tabel ID]])</f>
        <v>1</v>
      </c>
    </row>
    <row r="1164" spans="1:8" x14ac:dyDescent="0.2">
      <c r="A1164">
        <f>ROW(LineærRegression_Valg[[#This Row],[Tabel ID]])-ROW(LineærRegression_Valg[[#Headers],[Tabel ID]])</f>
        <v>1154</v>
      </c>
      <c r="B1164" s="171">
        <f>ROUNDDOWN((LineærRegression_Valg[[#This Row],[Tabel ID]]-1)/$B$5,0)+1</f>
        <v>289</v>
      </c>
      <c r="C1164" s="171">
        <f t="shared" si="18"/>
        <v>2</v>
      </c>
      <c r="D1164" s="171" t="b">
        <f>LineærRegression_Valg[[#This Row],[Afhængig variabel ID]]&lt;&gt;LineærRegression_Valg[[#This Row],[Uafhængig variabel ID]]</f>
        <v>1</v>
      </c>
      <c r="E1164" t="b">
        <f>LineærRegression_Valg[[#This Row],[Afhængig variabel ID]]&lt;=$B$5</f>
        <v>0</v>
      </c>
      <c r="F1164" t="str" cm="1">
        <f t="array" ref="F1164">IF(LineærRegression_Valg[[#This Row],[Indenfor range]],INDEX(DataTitel_liste,LineærRegression_Valg[[#This Row],[Afhængig variabel ID]]),INDEX(DataTitel_liste,1))</f>
        <v>Eksempel 1 (interval)</v>
      </c>
      <c r="G1164" s="171" t="str" cm="1">
        <f t="array" ref="G1164">IF(LineærRegression_Valg[[#This Row],[Indenfor range]],IF(LineærRegression_Valg[[#This Row],[Intet overlap]],INDEX(DataTitel_liste,LineærRegression_Valg[[#This Row],[Uafhængig variabel ID]]),INDEX(DataTitel_liste,IF(LineærRegression_Valg[[#This Row],[Afhængig variabel ID]]=1,2,1))),$B$7)</f>
        <v>Eksempel 2 (interval)</v>
      </c>
      <c r="H1164" s="171">
        <f>_xlfn.AGGREGATE(2,5,LineærRegression_Valg[[#This Row],[Tabel ID]])</f>
        <v>1</v>
      </c>
    </row>
    <row r="1165" spans="1:8" x14ac:dyDescent="0.2">
      <c r="A1165">
        <f>ROW(LineærRegression_Valg[[#This Row],[Tabel ID]])-ROW(LineærRegression_Valg[[#Headers],[Tabel ID]])</f>
        <v>1155</v>
      </c>
      <c r="B1165" s="171">
        <f>ROUNDDOWN((LineærRegression_Valg[[#This Row],[Tabel ID]]-1)/$B$5,0)+1</f>
        <v>289</v>
      </c>
      <c r="C1165" s="171">
        <f t="shared" si="18"/>
        <v>3</v>
      </c>
      <c r="D1165" s="171" t="b">
        <f>LineærRegression_Valg[[#This Row],[Afhængig variabel ID]]&lt;&gt;LineærRegression_Valg[[#This Row],[Uafhængig variabel ID]]</f>
        <v>1</v>
      </c>
      <c r="E1165" t="b">
        <f>LineærRegression_Valg[[#This Row],[Afhængig variabel ID]]&lt;=$B$5</f>
        <v>0</v>
      </c>
      <c r="F1165" t="str" cm="1">
        <f t="array" ref="F1165">IF(LineærRegression_Valg[[#This Row],[Indenfor range]],INDEX(DataTitel_liste,LineærRegression_Valg[[#This Row],[Afhængig variabel ID]]),INDEX(DataTitel_liste,1))</f>
        <v>Eksempel 1 (interval)</v>
      </c>
      <c r="G1165" s="171" t="str" cm="1">
        <f t="array" ref="G1165">IF(LineærRegression_Valg[[#This Row],[Indenfor range]],IF(LineærRegression_Valg[[#This Row],[Intet overlap]],INDEX(DataTitel_liste,LineærRegression_Valg[[#This Row],[Uafhængig variabel ID]]),INDEX(DataTitel_liste,IF(LineærRegression_Valg[[#This Row],[Afhængig variabel ID]]=1,2,1))),$B$7)</f>
        <v>Eksempel 2 (interval)</v>
      </c>
      <c r="H1165" s="171">
        <f>_xlfn.AGGREGATE(2,5,LineærRegression_Valg[[#This Row],[Tabel ID]])</f>
        <v>1</v>
      </c>
    </row>
    <row r="1166" spans="1:8" x14ac:dyDescent="0.2">
      <c r="A1166">
        <f>ROW(LineærRegression_Valg[[#This Row],[Tabel ID]])-ROW(LineærRegression_Valg[[#Headers],[Tabel ID]])</f>
        <v>1156</v>
      </c>
      <c r="B1166" s="171">
        <f>ROUNDDOWN((LineærRegression_Valg[[#This Row],[Tabel ID]]-1)/$B$5,0)+1</f>
        <v>289</v>
      </c>
      <c r="C1166" s="171">
        <f t="shared" si="18"/>
        <v>4</v>
      </c>
      <c r="D1166" s="171" t="b">
        <f>LineærRegression_Valg[[#This Row],[Afhængig variabel ID]]&lt;&gt;LineærRegression_Valg[[#This Row],[Uafhængig variabel ID]]</f>
        <v>1</v>
      </c>
      <c r="E1166" t="b">
        <f>LineærRegression_Valg[[#This Row],[Afhængig variabel ID]]&lt;=$B$5</f>
        <v>0</v>
      </c>
      <c r="F1166" t="str" cm="1">
        <f t="array" ref="F1166">IF(LineærRegression_Valg[[#This Row],[Indenfor range]],INDEX(DataTitel_liste,LineærRegression_Valg[[#This Row],[Afhængig variabel ID]]),INDEX(DataTitel_liste,1))</f>
        <v>Eksempel 1 (interval)</v>
      </c>
      <c r="G1166" s="171" t="str" cm="1">
        <f t="array" ref="G1166">IF(LineærRegression_Valg[[#This Row],[Indenfor range]],IF(LineærRegression_Valg[[#This Row],[Intet overlap]],INDEX(DataTitel_liste,LineærRegression_Valg[[#This Row],[Uafhængig variabel ID]]),INDEX(DataTitel_liste,IF(LineærRegression_Valg[[#This Row],[Afhængig variabel ID]]=1,2,1))),$B$7)</f>
        <v>Eksempel 2 (interval)</v>
      </c>
      <c r="H1166" s="171">
        <f>_xlfn.AGGREGATE(2,5,LineærRegression_Valg[[#This Row],[Tabel ID]])</f>
        <v>1</v>
      </c>
    </row>
    <row r="1167" spans="1:8" x14ac:dyDescent="0.2">
      <c r="A1167">
        <f>ROW(LineærRegression_Valg[[#This Row],[Tabel ID]])-ROW(LineærRegression_Valg[[#Headers],[Tabel ID]])</f>
        <v>1157</v>
      </c>
      <c r="B1167" s="171">
        <f>ROUNDDOWN((LineærRegression_Valg[[#This Row],[Tabel ID]]-1)/$B$5,0)+1</f>
        <v>290</v>
      </c>
      <c r="C1167" s="171">
        <f t="shared" si="18"/>
        <v>1</v>
      </c>
      <c r="D1167" s="171" t="b">
        <f>LineærRegression_Valg[[#This Row],[Afhængig variabel ID]]&lt;&gt;LineærRegression_Valg[[#This Row],[Uafhængig variabel ID]]</f>
        <v>1</v>
      </c>
      <c r="E1167" t="b">
        <f>LineærRegression_Valg[[#This Row],[Afhængig variabel ID]]&lt;=$B$5</f>
        <v>0</v>
      </c>
      <c r="F1167" t="str" cm="1">
        <f t="array" ref="F1167">IF(LineærRegression_Valg[[#This Row],[Indenfor range]],INDEX(DataTitel_liste,LineærRegression_Valg[[#This Row],[Afhængig variabel ID]]),INDEX(DataTitel_liste,1))</f>
        <v>Eksempel 1 (interval)</v>
      </c>
      <c r="G1167" s="171" t="str" cm="1">
        <f t="array" ref="G1167">IF(LineærRegression_Valg[[#This Row],[Indenfor range]],IF(LineærRegression_Valg[[#This Row],[Intet overlap]],INDEX(DataTitel_liste,LineærRegression_Valg[[#This Row],[Uafhængig variabel ID]]),INDEX(DataTitel_liste,IF(LineærRegression_Valg[[#This Row],[Afhængig variabel ID]]=1,2,1))),$B$7)</f>
        <v>Eksempel 2 (interval)</v>
      </c>
      <c r="H1167" s="171">
        <f>_xlfn.AGGREGATE(2,5,LineærRegression_Valg[[#This Row],[Tabel ID]])</f>
        <v>1</v>
      </c>
    </row>
    <row r="1168" spans="1:8" x14ac:dyDescent="0.2">
      <c r="A1168">
        <f>ROW(LineærRegression_Valg[[#This Row],[Tabel ID]])-ROW(LineærRegression_Valg[[#Headers],[Tabel ID]])</f>
        <v>1158</v>
      </c>
      <c r="B1168" s="171">
        <f>ROUNDDOWN((LineærRegression_Valg[[#This Row],[Tabel ID]]-1)/$B$5,0)+1</f>
        <v>290</v>
      </c>
      <c r="C1168" s="171">
        <f t="shared" si="18"/>
        <v>2</v>
      </c>
      <c r="D1168" s="171" t="b">
        <f>LineærRegression_Valg[[#This Row],[Afhængig variabel ID]]&lt;&gt;LineærRegression_Valg[[#This Row],[Uafhængig variabel ID]]</f>
        <v>1</v>
      </c>
      <c r="E1168" t="b">
        <f>LineærRegression_Valg[[#This Row],[Afhængig variabel ID]]&lt;=$B$5</f>
        <v>0</v>
      </c>
      <c r="F1168" t="str" cm="1">
        <f t="array" ref="F1168">IF(LineærRegression_Valg[[#This Row],[Indenfor range]],INDEX(DataTitel_liste,LineærRegression_Valg[[#This Row],[Afhængig variabel ID]]),INDEX(DataTitel_liste,1))</f>
        <v>Eksempel 1 (interval)</v>
      </c>
      <c r="G1168" s="171" t="str" cm="1">
        <f t="array" ref="G1168">IF(LineærRegression_Valg[[#This Row],[Indenfor range]],IF(LineærRegression_Valg[[#This Row],[Intet overlap]],INDEX(DataTitel_liste,LineærRegression_Valg[[#This Row],[Uafhængig variabel ID]]),INDEX(DataTitel_liste,IF(LineærRegression_Valg[[#This Row],[Afhængig variabel ID]]=1,2,1))),$B$7)</f>
        <v>Eksempel 2 (interval)</v>
      </c>
      <c r="H1168" s="171">
        <f>_xlfn.AGGREGATE(2,5,LineærRegression_Valg[[#This Row],[Tabel ID]])</f>
        <v>1</v>
      </c>
    </row>
    <row r="1169" spans="1:8" x14ac:dyDescent="0.2">
      <c r="A1169">
        <f>ROW(LineærRegression_Valg[[#This Row],[Tabel ID]])-ROW(LineærRegression_Valg[[#Headers],[Tabel ID]])</f>
        <v>1159</v>
      </c>
      <c r="B1169" s="171">
        <f>ROUNDDOWN((LineærRegression_Valg[[#This Row],[Tabel ID]]-1)/$B$5,0)+1</f>
        <v>290</v>
      </c>
      <c r="C1169" s="171">
        <f t="shared" si="18"/>
        <v>3</v>
      </c>
      <c r="D1169" s="171" t="b">
        <f>LineærRegression_Valg[[#This Row],[Afhængig variabel ID]]&lt;&gt;LineærRegression_Valg[[#This Row],[Uafhængig variabel ID]]</f>
        <v>1</v>
      </c>
      <c r="E1169" t="b">
        <f>LineærRegression_Valg[[#This Row],[Afhængig variabel ID]]&lt;=$B$5</f>
        <v>0</v>
      </c>
      <c r="F1169" t="str" cm="1">
        <f t="array" ref="F1169">IF(LineærRegression_Valg[[#This Row],[Indenfor range]],INDEX(DataTitel_liste,LineærRegression_Valg[[#This Row],[Afhængig variabel ID]]),INDEX(DataTitel_liste,1))</f>
        <v>Eksempel 1 (interval)</v>
      </c>
      <c r="G1169" s="171" t="str" cm="1">
        <f t="array" ref="G1169">IF(LineærRegression_Valg[[#This Row],[Indenfor range]],IF(LineærRegression_Valg[[#This Row],[Intet overlap]],INDEX(DataTitel_liste,LineærRegression_Valg[[#This Row],[Uafhængig variabel ID]]),INDEX(DataTitel_liste,IF(LineærRegression_Valg[[#This Row],[Afhængig variabel ID]]=1,2,1))),$B$7)</f>
        <v>Eksempel 2 (interval)</v>
      </c>
      <c r="H1169" s="171">
        <f>_xlfn.AGGREGATE(2,5,LineærRegression_Valg[[#This Row],[Tabel ID]])</f>
        <v>1</v>
      </c>
    </row>
    <row r="1170" spans="1:8" x14ac:dyDescent="0.2">
      <c r="A1170">
        <f>ROW(LineærRegression_Valg[[#This Row],[Tabel ID]])-ROW(LineærRegression_Valg[[#Headers],[Tabel ID]])</f>
        <v>1160</v>
      </c>
      <c r="B1170" s="171">
        <f>ROUNDDOWN((LineærRegression_Valg[[#This Row],[Tabel ID]]-1)/$B$5,0)+1</f>
        <v>290</v>
      </c>
      <c r="C1170" s="171">
        <f t="shared" si="18"/>
        <v>4</v>
      </c>
      <c r="D1170" s="171" t="b">
        <f>LineærRegression_Valg[[#This Row],[Afhængig variabel ID]]&lt;&gt;LineærRegression_Valg[[#This Row],[Uafhængig variabel ID]]</f>
        <v>1</v>
      </c>
      <c r="E1170" t="b">
        <f>LineærRegression_Valg[[#This Row],[Afhængig variabel ID]]&lt;=$B$5</f>
        <v>0</v>
      </c>
      <c r="F1170" t="str" cm="1">
        <f t="array" ref="F1170">IF(LineærRegression_Valg[[#This Row],[Indenfor range]],INDEX(DataTitel_liste,LineærRegression_Valg[[#This Row],[Afhængig variabel ID]]),INDEX(DataTitel_liste,1))</f>
        <v>Eksempel 1 (interval)</v>
      </c>
      <c r="G1170" s="171" t="str" cm="1">
        <f t="array" ref="G1170">IF(LineærRegression_Valg[[#This Row],[Indenfor range]],IF(LineærRegression_Valg[[#This Row],[Intet overlap]],INDEX(DataTitel_liste,LineærRegression_Valg[[#This Row],[Uafhængig variabel ID]]),INDEX(DataTitel_liste,IF(LineærRegression_Valg[[#This Row],[Afhængig variabel ID]]=1,2,1))),$B$7)</f>
        <v>Eksempel 2 (interval)</v>
      </c>
      <c r="H1170" s="171">
        <f>_xlfn.AGGREGATE(2,5,LineærRegression_Valg[[#This Row],[Tabel ID]])</f>
        <v>1</v>
      </c>
    </row>
    <row r="1171" spans="1:8" x14ac:dyDescent="0.2">
      <c r="A1171">
        <f>ROW(LineærRegression_Valg[[#This Row],[Tabel ID]])-ROW(LineærRegression_Valg[[#Headers],[Tabel ID]])</f>
        <v>1161</v>
      </c>
      <c r="B1171" s="171">
        <f>ROUNDDOWN((LineærRegression_Valg[[#This Row],[Tabel ID]]-1)/$B$5,0)+1</f>
        <v>291</v>
      </c>
      <c r="C1171" s="171">
        <f t="shared" si="18"/>
        <v>1</v>
      </c>
      <c r="D1171" s="171" t="b">
        <f>LineærRegression_Valg[[#This Row],[Afhængig variabel ID]]&lt;&gt;LineærRegression_Valg[[#This Row],[Uafhængig variabel ID]]</f>
        <v>1</v>
      </c>
      <c r="E1171" t="b">
        <f>LineærRegression_Valg[[#This Row],[Afhængig variabel ID]]&lt;=$B$5</f>
        <v>0</v>
      </c>
      <c r="F1171" t="str" cm="1">
        <f t="array" ref="F1171">IF(LineærRegression_Valg[[#This Row],[Indenfor range]],INDEX(DataTitel_liste,LineærRegression_Valg[[#This Row],[Afhængig variabel ID]]),INDEX(DataTitel_liste,1))</f>
        <v>Eksempel 1 (interval)</v>
      </c>
      <c r="G1171" s="171" t="str" cm="1">
        <f t="array" ref="G1171">IF(LineærRegression_Valg[[#This Row],[Indenfor range]],IF(LineærRegression_Valg[[#This Row],[Intet overlap]],INDEX(DataTitel_liste,LineærRegression_Valg[[#This Row],[Uafhængig variabel ID]]),INDEX(DataTitel_liste,IF(LineærRegression_Valg[[#This Row],[Afhængig variabel ID]]=1,2,1))),$B$7)</f>
        <v>Eksempel 2 (interval)</v>
      </c>
      <c r="H1171" s="171">
        <f>_xlfn.AGGREGATE(2,5,LineærRegression_Valg[[#This Row],[Tabel ID]])</f>
        <v>1</v>
      </c>
    </row>
    <row r="1172" spans="1:8" x14ac:dyDescent="0.2">
      <c r="A1172">
        <f>ROW(LineærRegression_Valg[[#This Row],[Tabel ID]])-ROW(LineærRegression_Valg[[#Headers],[Tabel ID]])</f>
        <v>1162</v>
      </c>
      <c r="B1172" s="171">
        <f>ROUNDDOWN((LineærRegression_Valg[[#This Row],[Tabel ID]]-1)/$B$5,0)+1</f>
        <v>291</v>
      </c>
      <c r="C1172" s="171">
        <f t="shared" si="18"/>
        <v>2</v>
      </c>
      <c r="D1172" s="171" t="b">
        <f>LineærRegression_Valg[[#This Row],[Afhængig variabel ID]]&lt;&gt;LineærRegression_Valg[[#This Row],[Uafhængig variabel ID]]</f>
        <v>1</v>
      </c>
      <c r="E1172" t="b">
        <f>LineærRegression_Valg[[#This Row],[Afhængig variabel ID]]&lt;=$B$5</f>
        <v>0</v>
      </c>
      <c r="F1172" t="str" cm="1">
        <f t="array" ref="F1172">IF(LineærRegression_Valg[[#This Row],[Indenfor range]],INDEX(DataTitel_liste,LineærRegression_Valg[[#This Row],[Afhængig variabel ID]]),INDEX(DataTitel_liste,1))</f>
        <v>Eksempel 1 (interval)</v>
      </c>
      <c r="G1172" s="171" t="str" cm="1">
        <f t="array" ref="G1172">IF(LineærRegression_Valg[[#This Row],[Indenfor range]],IF(LineærRegression_Valg[[#This Row],[Intet overlap]],INDEX(DataTitel_liste,LineærRegression_Valg[[#This Row],[Uafhængig variabel ID]]),INDEX(DataTitel_liste,IF(LineærRegression_Valg[[#This Row],[Afhængig variabel ID]]=1,2,1))),$B$7)</f>
        <v>Eksempel 2 (interval)</v>
      </c>
      <c r="H1172" s="171">
        <f>_xlfn.AGGREGATE(2,5,LineærRegression_Valg[[#This Row],[Tabel ID]])</f>
        <v>1</v>
      </c>
    </row>
    <row r="1173" spans="1:8" x14ac:dyDescent="0.2">
      <c r="A1173">
        <f>ROW(LineærRegression_Valg[[#This Row],[Tabel ID]])-ROW(LineærRegression_Valg[[#Headers],[Tabel ID]])</f>
        <v>1163</v>
      </c>
      <c r="B1173" s="171">
        <f>ROUNDDOWN((LineærRegression_Valg[[#This Row],[Tabel ID]]-1)/$B$5,0)+1</f>
        <v>291</v>
      </c>
      <c r="C1173" s="171">
        <f t="shared" si="18"/>
        <v>3</v>
      </c>
      <c r="D1173" s="171" t="b">
        <f>LineærRegression_Valg[[#This Row],[Afhængig variabel ID]]&lt;&gt;LineærRegression_Valg[[#This Row],[Uafhængig variabel ID]]</f>
        <v>1</v>
      </c>
      <c r="E1173" t="b">
        <f>LineærRegression_Valg[[#This Row],[Afhængig variabel ID]]&lt;=$B$5</f>
        <v>0</v>
      </c>
      <c r="F1173" t="str" cm="1">
        <f t="array" ref="F1173">IF(LineærRegression_Valg[[#This Row],[Indenfor range]],INDEX(DataTitel_liste,LineærRegression_Valg[[#This Row],[Afhængig variabel ID]]),INDEX(DataTitel_liste,1))</f>
        <v>Eksempel 1 (interval)</v>
      </c>
      <c r="G1173" s="171" t="str" cm="1">
        <f t="array" ref="G1173">IF(LineærRegression_Valg[[#This Row],[Indenfor range]],IF(LineærRegression_Valg[[#This Row],[Intet overlap]],INDEX(DataTitel_liste,LineærRegression_Valg[[#This Row],[Uafhængig variabel ID]]),INDEX(DataTitel_liste,IF(LineærRegression_Valg[[#This Row],[Afhængig variabel ID]]=1,2,1))),$B$7)</f>
        <v>Eksempel 2 (interval)</v>
      </c>
      <c r="H1173" s="171">
        <f>_xlfn.AGGREGATE(2,5,LineærRegression_Valg[[#This Row],[Tabel ID]])</f>
        <v>1</v>
      </c>
    </row>
    <row r="1174" spans="1:8" x14ac:dyDescent="0.2">
      <c r="A1174">
        <f>ROW(LineærRegression_Valg[[#This Row],[Tabel ID]])-ROW(LineærRegression_Valg[[#Headers],[Tabel ID]])</f>
        <v>1164</v>
      </c>
      <c r="B1174" s="171">
        <f>ROUNDDOWN((LineærRegression_Valg[[#This Row],[Tabel ID]]-1)/$B$5,0)+1</f>
        <v>291</v>
      </c>
      <c r="C1174" s="171">
        <f t="shared" si="18"/>
        <v>4</v>
      </c>
      <c r="D1174" s="171" t="b">
        <f>LineærRegression_Valg[[#This Row],[Afhængig variabel ID]]&lt;&gt;LineærRegression_Valg[[#This Row],[Uafhængig variabel ID]]</f>
        <v>1</v>
      </c>
      <c r="E1174" t="b">
        <f>LineærRegression_Valg[[#This Row],[Afhængig variabel ID]]&lt;=$B$5</f>
        <v>0</v>
      </c>
      <c r="F1174" t="str" cm="1">
        <f t="array" ref="F1174">IF(LineærRegression_Valg[[#This Row],[Indenfor range]],INDEX(DataTitel_liste,LineærRegression_Valg[[#This Row],[Afhængig variabel ID]]),INDEX(DataTitel_liste,1))</f>
        <v>Eksempel 1 (interval)</v>
      </c>
      <c r="G1174" s="171" t="str" cm="1">
        <f t="array" ref="G1174">IF(LineærRegression_Valg[[#This Row],[Indenfor range]],IF(LineærRegression_Valg[[#This Row],[Intet overlap]],INDEX(DataTitel_liste,LineærRegression_Valg[[#This Row],[Uafhængig variabel ID]]),INDEX(DataTitel_liste,IF(LineærRegression_Valg[[#This Row],[Afhængig variabel ID]]=1,2,1))),$B$7)</f>
        <v>Eksempel 2 (interval)</v>
      </c>
      <c r="H1174" s="171">
        <f>_xlfn.AGGREGATE(2,5,LineærRegression_Valg[[#This Row],[Tabel ID]])</f>
        <v>1</v>
      </c>
    </row>
    <row r="1175" spans="1:8" x14ac:dyDescent="0.2">
      <c r="A1175">
        <f>ROW(LineærRegression_Valg[[#This Row],[Tabel ID]])-ROW(LineærRegression_Valg[[#Headers],[Tabel ID]])</f>
        <v>1165</v>
      </c>
      <c r="B1175" s="171">
        <f>ROUNDDOWN((LineærRegression_Valg[[#This Row],[Tabel ID]]-1)/$B$5,0)+1</f>
        <v>292</v>
      </c>
      <c r="C1175" s="171">
        <f t="shared" si="18"/>
        <v>1</v>
      </c>
      <c r="D1175" s="171" t="b">
        <f>LineærRegression_Valg[[#This Row],[Afhængig variabel ID]]&lt;&gt;LineærRegression_Valg[[#This Row],[Uafhængig variabel ID]]</f>
        <v>1</v>
      </c>
      <c r="E1175" t="b">
        <f>LineærRegression_Valg[[#This Row],[Afhængig variabel ID]]&lt;=$B$5</f>
        <v>0</v>
      </c>
      <c r="F1175" t="str" cm="1">
        <f t="array" ref="F1175">IF(LineærRegression_Valg[[#This Row],[Indenfor range]],INDEX(DataTitel_liste,LineærRegression_Valg[[#This Row],[Afhængig variabel ID]]),INDEX(DataTitel_liste,1))</f>
        <v>Eksempel 1 (interval)</v>
      </c>
      <c r="G1175" s="171" t="str" cm="1">
        <f t="array" ref="G1175">IF(LineærRegression_Valg[[#This Row],[Indenfor range]],IF(LineærRegression_Valg[[#This Row],[Intet overlap]],INDEX(DataTitel_liste,LineærRegression_Valg[[#This Row],[Uafhængig variabel ID]]),INDEX(DataTitel_liste,IF(LineærRegression_Valg[[#This Row],[Afhængig variabel ID]]=1,2,1))),$B$7)</f>
        <v>Eksempel 2 (interval)</v>
      </c>
      <c r="H1175" s="171">
        <f>_xlfn.AGGREGATE(2,5,LineærRegression_Valg[[#This Row],[Tabel ID]])</f>
        <v>1</v>
      </c>
    </row>
    <row r="1176" spans="1:8" x14ac:dyDescent="0.2">
      <c r="A1176">
        <f>ROW(LineærRegression_Valg[[#This Row],[Tabel ID]])-ROW(LineærRegression_Valg[[#Headers],[Tabel ID]])</f>
        <v>1166</v>
      </c>
      <c r="B1176" s="171">
        <f>ROUNDDOWN((LineærRegression_Valg[[#This Row],[Tabel ID]]-1)/$B$5,0)+1</f>
        <v>292</v>
      </c>
      <c r="C1176" s="171">
        <f t="shared" si="18"/>
        <v>2</v>
      </c>
      <c r="D1176" s="171" t="b">
        <f>LineærRegression_Valg[[#This Row],[Afhængig variabel ID]]&lt;&gt;LineærRegression_Valg[[#This Row],[Uafhængig variabel ID]]</f>
        <v>1</v>
      </c>
      <c r="E1176" t="b">
        <f>LineærRegression_Valg[[#This Row],[Afhængig variabel ID]]&lt;=$B$5</f>
        <v>0</v>
      </c>
      <c r="F1176" t="str" cm="1">
        <f t="array" ref="F1176">IF(LineærRegression_Valg[[#This Row],[Indenfor range]],INDEX(DataTitel_liste,LineærRegression_Valg[[#This Row],[Afhængig variabel ID]]),INDEX(DataTitel_liste,1))</f>
        <v>Eksempel 1 (interval)</v>
      </c>
      <c r="G1176" s="171" t="str" cm="1">
        <f t="array" ref="G1176">IF(LineærRegression_Valg[[#This Row],[Indenfor range]],IF(LineærRegression_Valg[[#This Row],[Intet overlap]],INDEX(DataTitel_liste,LineærRegression_Valg[[#This Row],[Uafhængig variabel ID]]),INDEX(DataTitel_liste,IF(LineærRegression_Valg[[#This Row],[Afhængig variabel ID]]=1,2,1))),$B$7)</f>
        <v>Eksempel 2 (interval)</v>
      </c>
      <c r="H1176" s="171">
        <f>_xlfn.AGGREGATE(2,5,LineærRegression_Valg[[#This Row],[Tabel ID]])</f>
        <v>1</v>
      </c>
    </row>
    <row r="1177" spans="1:8" x14ac:dyDescent="0.2">
      <c r="A1177">
        <f>ROW(LineærRegression_Valg[[#This Row],[Tabel ID]])-ROW(LineærRegression_Valg[[#Headers],[Tabel ID]])</f>
        <v>1167</v>
      </c>
      <c r="B1177" s="171">
        <f>ROUNDDOWN((LineærRegression_Valg[[#This Row],[Tabel ID]]-1)/$B$5,0)+1</f>
        <v>292</v>
      </c>
      <c r="C1177" s="171">
        <f t="shared" si="18"/>
        <v>3</v>
      </c>
      <c r="D1177" s="171" t="b">
        <f>LineærRegression_Valg[[#This Row],[Afhængig variabel ID]]&lt;&gt;LineærRegression_Valg[[#This Row],[Uafhængig variabel ID]]</f>
        <v>1</v>
      </c>
      <c r="E1177" t="b">
        <f>LineærRegression_Valg[[#This Row],[Afhængig variabel ID]]&lt;=$B$5</f>
        <v>0</v>
      </c>
      <c r="F1177" t="str" cm="1">
        <f t="array" ref="F1177">IF(LineærRegression_Valg[[#This Row],[Indenfor range]],INDEX(DataTitel_liste,LineærRegression_Valg[[#This Row],[Afhængig variabel ID]]),INDEX(DataTitel_liste,1))</f>
        <v>Eksempel 1 (interval)</v>
      </c>
      <c r="G1177" s="171" t="str" cm="1">
        <f t="array" ref="G1177">IF(LineærRegression_Valg[[#This Row],[Indenfor range]],IF(LineærRegression_Valg[[#This Row],[Intet overlap]],INDEX(DataTitel_liste,LineærRegression_Valg[[#This Row],[Uafhængig variabel ID]]),INDEX(DataTitel_liste,IF(LineærRegression_Valg[[#This Row],[Afhængig variabel ID]]=1,2,1))),$B$7)</f>
        <v>Eksempel 2 (interval)</v>
      </c>
      <c r="H1177" s="171">
        <f>_xlfn.AGGREGATE(2,5,LineærRegression_Valg[[#This Row],[Tabel ID]])</f>
        <v>1</v>
      </c>
    </row>
    <row r="1178" spans="1:8" x14ac:dyDescent="0.2">
      <c r="A1178">
        <f>ROW(LineærRegression_Valg[[#This Row],[Tabel ID]])-ROW(LineærRegression_Valg[[#Headers],[Tabel ID]])</f>
        <v>1168</v>
      </c>
      <c r="B1178" s="171">
        <f>ROUNDDOWN((LineærRegression_Valg[[#This Row],[Tabel ID]]-1)/$B$5,0)+1</f>
        <v>292</v>
      </c>
      <c r="C1178" s="171">
        <f t="shared" si="18"/>
        <v>4</v>
      </c>
      <c r="D1178" s="171" t="b">
        <f>LineærRegression_Valg[[#This Row],[Afhængig variabel ID]]&lt;&gt;LineærRegression_Valg[[#This Row],[Uafhængig variabel ID]]</f>
        <v>1</v>
      </c>
      <c r="E1178" t="b">
        <f>LineærRegression_Valg[[#This Row],[Afhængig variabel ID]]&lt;=$B$5</f>
        <v>0</v>
      </c>
      <c r="F1178" t="str" cm="1">
        <f t="array" ref="F1178">IF(LineærRegression_Valg[[#This Row],[Indenfor range]],INDEX(DataTitel_liste,LineærRegression_Valg[[#This Row],[Afhængig variabel ID]]),INDEX(DataTitel_liste,1))</f>
        <v>Eksempel 1 (interval)</v>
      </c>
      <c r="G1178" s="171" t="str" cm="1">
        <f t="array" ref="G1178">IF(LineærRegression_Valg[[#This Row],[Indenfor range]],IF(LineærRegression_Valg[[#This Row],[Intet overlap]],INDEX(DataTitel_liste,LineærRegression_Valg[[#This Row],[Uafhængig variabel ID]]),INDEX(DataTitel_liste,IF(LineærRegression_Valg[[#This Row],[Afhængig variabel ID]]=1,2,1))),$B$7)</f>
        <v>Eksempel 2 (interval)</v>
      </c>
      <c r="H1178" s="171">
        <f>_xlfn.AGGREGATE(2,5,LineærRegression_Valg[[#This Row],[Tabel ID]])</f>
        <v>1</v>
      </c>
    </row>
    <row r="1179" spans="1:8" x14ac:dyDescent="0.2">
      <c r="A1179">
        <f>ROW(LineærRegression_Valg[[#This Row],[Tabel ID]])-ROW(LineærRegression_Valg[[#Headers],[Tabel ID]])</f>
        <v>1169</v>
      </c>
      <c r="B1179" s="171">
        <f>ROUNDDOWN((LineærRegression_Valg[[#This Row],[Tabel ID]]-1)/$B$5,0)+1</f>
        <v>293</v>
      </c>
      <c r="C1179" s="171">
        <f t="shared" si="18"/>
        <v>1</v>
      </c>
      <c r="D1179" s="171" t="b">
        <f>LineærRegression_Valg[[#This Row],[Afhængig variabel ID]]&lt;&gt;LineærRegression_Valg[[#This Row],[Uafhængig variabel ID]]</f>
        <v>1</v>
      </c>
      <c r="E1179" t="b">
        <f>LineærRegression_Valg[[#This Row],[Afhængig variabel ID]]&lt;=$B$5</f>
        <v>0</v>
      </c>
      <c r="F1179" t="str" cm="1">
        <f t="array" ref="F1179">IF(LineærRegression_Valg[[#This Row],[Indenfor range]],INDEX(DataTitel_liste,LineærRegression_Valg[[#This Row],[Afhængig variabel ID]]),INDEX(DataTitel_liste,1))</f>
        <v>Eksempel 1 (interval)</v>
      </c>
      <c r="G1179" s="171" t="str" cm="1">
        <f t="array" ref="G1179">IF(LineærRegression_Valg[[#This Row],[Indenfor range]],IF(LineærRegression_Valg[[#This Row],[Intet overlap]],INDEX(DataTitel_liste,LineærRegression_Valg[[#This Row],[Uafhængig variabel ID]]),INDEX(DataTitel_liste,IF(LineærRegression_Valg[[#This Row],[Afhængig variabel ID]]=1,2,1))),$B$7)</f>
        <v>Eksempel 2 (interval)</v>
      </c>
      <c r="H1179" s="171">
        <f>_xlfn.AGGREGATE(2,5,LineærRegression_Valg[[#This Row],[Tabel ID]])</f>
        <v>1</v>
      </c>
    </row>
    <row r="1180" spans="1:8" x14ac:dyDescent="0.2">
      <c r="A1180">
        <f>ROW(LineærRegression_Valg[[#This Row],[Tabel ID]])-ROW(LineærRegression_Valg[[#Headers],[Tabel ID]])</f>
        <v>1170</v>
      </c>
      <c r="B1180" s="171">
        <f>ROUNDDOWN((LineærRegression_Valg[[#This Row],[Tabel ID]]-1)/$B$5,0)+1</f>
        <v>293</v>
      </c>
      <c r="C1180" s="171">
        <f t="shared" si="18"/>
        <v>2</v>
      </c>
      <c r="D1180" s="171" t="b">
        <f>LineærRegression_Valg[[#This Row],[Afhængig variabel ID]]&lt;&gt;LineærRegression_Valg[[#This Row],[Uafhængig variabel ID]]</f>
        <v>1</v>
      </c>
      <c r="E1180" t="b">
        <f>LineærRegression_Valg[[#This Row],[Afhængig variabel ID]]&lt;=$B$5</f>
        <v>0</v>
      </c>
      <c r="F1180" t="str" cm="1">
        <f t="array" ref="F1180">IF(LineærRegression_Valg[[#This Row],[Indenfor range]],INDEX(DataTitel_liste,LineærRegression_Valg[[#This Row],[Afhængig variabel ID]]),INDEX(DataTitel_liste,1))</f>
        <v>Eksempel 1 (interval)</v>
      </c>
      <c r="G1180" s="171" t="str" cm="1">
        <f t="array" ref="G1180">IF(LineærRegression_Valg[[#This Row],[Indenfor range]],IF(LineærRegression_Valg[[#This Row],[Intet overlap]],INDEX(DataTitel_liste,LineærRegression_Valg[[#This Row],[Uafhængig variabel ID]]),INDEX(DataTitel_liste,IF(LineærRegression_Valg[[#This Row],[Afhængig variabel ID]]=1,2,1))),$B$7)</f>
        <v>Eksempel 2 (interval)</v>
      </c>
      <c r="H1180" s="171">
        <f>_xlfn.AGGREGATE(2,5,LineærRegression_Valg[[#This Row],[Tabel ID]])</f>
        <v>1</v>
      </c>
    </row>
    <row r="1181" spans="1:8" x14ac:dyDescent="0.2">
      <c r="A1181">
        <f>ROW(LineærRegression_Valg[[#This Row],[Tabel ID]])-ROW(LineærRegression_Valg[[#Headers],[Tabel ID]])</f>
        <v>1171</v>
      </c>
      <c r="B1181" s="171">
        <f>ROUNDDOWN((LineærRegression_Valg[[#This Row],[Tabel ID]]-1)/$B$5,0)+1</f>
        <v>293</v>
      </c>
      <c r="C1181" s="171">
        <f t="shared" si="18"/>
        <v>3</v>
      </c>
      <c r="D1181" s="171" t="b">
        <f>LineærRegression_Valg[[#This Row],[Afhængig variabel ID]]&lt;&gt;LineærRegression_Valg[[#This Row],[Uafhængig variabel ID]]</f>
        <v>1</v>
      </c>
      <c r="E1181" t="b">
        <f>LineærRegression_Valg[[#This Row],[Afhængig variabel ID]]&lt;=$B$5</f>
        <v>0</v>
      </c>
      <c r="F1181" t="str" cm="1">
        <f t="array" ref="F1181">IF(LineærRegression_Valg[[#This Row],[Indenfor range]],INDEX(DataTitel_liste,LineærRegression_Valg[[#This Row],[Afhængig variabel ID]]),INDEX(DataTitel_liste,1))</f>
        <v>Eksempel 1 (interval)</v>
      </c>
      <c r="G1181" s="171" t="str" cm="1">
        <f t="array" ref="G1181">IF(LineærRegression_Valg[[#This Row],[Indenfor range]],IF(LineærRegression_Valg[[#This Row],[Intet overlap]],INDEX(DataTitel_liste,LineærRegression_Valg[[#This Row],[Uafhængig variabel ID]]),INDEX(DataTitel_liste,IF(LineærRegression_Valg[[#This Row],[Afhængig variabel ID]]=1,2,1))),$B$7)</f>
        <v>Eksempel 2 (interval)</v>
      </c>
      <c r="H1181" s="171">
        <f>_xlfn.AGGREGATE(2,5,LineærRegression_Valg[[#This Row],[Tabel ID]])</f>
        <v>1</v>
      </c>
    </row>
    <row r="1182" spans="1:8" x14ac:dyDescent="0.2">
      <c r="A1182">
        <f>ROW(LineærRegression_Valg[[#This Row],[Tabel ID]])-ROW(LineærRegression_Valg[[#Headers],[Tabel ID]])</f>
        <v>1172</v>
      </c>
      <c r="B1182" s="171">
        <f>ROUNDDOWN((LineærRegression_Valg[[#This Row],[Tabel ID]]-1)/$B$5,0)+1</f>
        <v>293</v>
      </c>
      <c r="C1182" s="171">
        <f t="shared" si="18"/>
        <v>4</v>
      </c>
      <c r="D1182" s="171" t="b">
        <f>LineærRegression_Valg[[#This Row],[Afhængig variabel ID]]&lt;&gt;LineærRegression_Valg[[#This Row],[Uafhængig variabel ID]]</f>
        <v>1</v>
      </c>
      <c r="E1182" t="b">
        <f>LineærRegression_Valg[[#This Row],[Afhængig variabel ID]]&lt;=$B$5</f>
        <v>0</v>
      </c>
      <c r="F1182" t="str" cm="1">
        <f t="array" ref="F1182">IF(LineærRegression_Valg[[#This Row],[Indenfor range]],INDEX(DataTitel_liste,LineærRegression_Valg[[#This Row],[Afhængig variabel ID]]),INDEX(DataTitel_liste,1))</f>
        <v>Eksempel 1 (interval)</v>
      </c>
      <c r="G1182" s="171" t="str" cm="1">
        <f t="array" ref="G1182">IF(LineærRegression_Valg[[#This Row],[Indenfor range]],IF(LineærRegression_Valg[[#This Row],[Intet overlap]],INDEX(DataTitel_liste,LineærRegression_Valg[[#This Row],[Uafhængig variabel ID]]),INDEX(DataTitel_liste,IF(LineærRegression_Valg[[#This Row],[Afhængig variabel ID]]=1,2,1))),$B$7)</f>
        <v>Eksempel 2 (interval)</v>
      </c>
      <c r="H1182" s="171">
        <f>_xlfn.AGGREGATE(2,5,LineærRegression_Valg[[#This Row],[Tabel ID]])</f>
        <v>1</v>
      </c>
    </row>
    <row r="1183" spans="1:8" x14ac:dyDescent="0.2">
      <c r="A1183">
        <f>ROW(LineærRegression_Valg[[#This Row],[Tabel ID]])-ROW(LineærRegression_Valg[[#Headers],[Tabel ID]])</f>
        <v>1173</v>
      </c>
      <c r="B1183" s="171">
        <f>ROUNDDOWN((LineærRegression_Valg[[#This Row],[Tabel ID]]-1)/$B$5,0)+1</f>
        <v>294</v>
      </c>
      <c r="C1183" s="171">
        <f t="shared" si="18"/>
        <v>1</v>
      </c>
      <c r="D1183" s="171" t="b">
        <f>LineærRegression_Valg[[#This Row],[Afhængig variabel ID]]&lt;&gt;LineærRegression_Valg[[#This Row],[Uafhængig variabel ID]]</f>
        <v>1</v>
      </c>
      <c r="E1183" t="b">
        <f>LineærRegression_Valg[[#This Row],[Afhængig variabel ID]]&lt;=$B$5</f>
        <v>0</v>
      </c>
      <c r="F1183" t="str" cm="1">
        <f t="array" ref="F1183">IF(LineærRegression_Valg[[#This Row],[Indenfor range]],INDEX(DataTitel_liste,LineærRegression_Valg[[#This Row],[Afhængig variabel ID]]),INDEX(DataTitel_liste,1))</f>
        <v>Eksempel 1 (interval)</v>
      </c>
      <c r="G1183" s="171" t="str" cm="1">
        <f t="array" ref="G1183">IF(LineærRegression_Valg[[#This Row],[Indenfor range]],IF(LineærRegression_Valg[[#This Row],[Intet overlap]],INDEX(DataTitel_liste,LineærRegression_Valg[[#This Row],[Uafhængig variabel ID]]),INDEX(DataTitel_liste,IF(LineærRegression_Valg[[#This Row],[Afhængig variabel ID]]=1,2,1))),$B$7)</f>
        <v>Eksempel 2 (interval)</v>
      </c>
      <c r="H1183" s="171">
        <f>_xlfn.AGGREGATE(2,5,LineærRegression_Valg[[#This Row],[Tabel ID]])</f>
        <v>1</v>
      </c>
    </row>
    <row r="1184" spans="1:8" x14ac:dyDescent="0.2">
      <c r="A1184">
        <f>ROW(LineærRegression_Valg[[#This Row],[Tabel ID]])-ROW(LineærRegression_Valg[[#Headers],[Tabel ID]])</f>
        <v>1174</v>
      </c>
      <c r="B1184" s="171">
        <f>ROUNDDOWN((LineærRegression_Valg[[#This Row],[Tabel ID]]-1)/$B$5,0)+1</f>
        <v>294</v>
      </c>
      <c r="C1184" s="171">
        <f t="shared" si="18"/>
        <v>2</v>
      </c>
      <c r="D1184" s="171" t="b">
        <f>LineærRegression_Valg[[#This Row],[Afhængig variabel ID]]&lt;&gt;LineærRegression_Valg[[#This Row],[Uafhængig variabel ID]]</f>
        <v>1</v>
      </c>
      <c r="E1184" t="b">
        <f>LineærRegression_Valg[[#This Row],[Afhængig variabel ID]]&lt;=$B$5</f>
        <v>0</v>
      </c>
      <c r="F1184" t="str" cm="1">
        <f t="array" ref="F1184">IF(LineærRegression_Valg[[#This Row],[Indenfor range]],INDEX(DataTitel_liste,LineærRegression_Valg[[#This Row],[Afhængig variabel ID]]),INDEX(DataTitel_liste,1))</f>
        <v>Eksempel 1 (interval)</v>
      </c>
      <c r="G1184" s="171" t="str" cm="1">
        <f t="array" ref="G1184">IF(LineærRegression_Valg[[#This Row],[Indenfor range]],IF(LineærRegression_Valg[[#This Row],[Intet overlap]],INDEX(DataTitel_liste,LineærRegression_Valg[[#This Row],[Uafhængig variabel ID]]),INDEX(DataTitel_liste,IF(LineærRegression_Valg[[#This Row],[Afhængig variabel ID]]=1,2,1))),$B$7)</f>
        <v>Eksempel 2 (interval)</v>
      </c>
      <c r="H1184" s="171">
        <f>_xlfn.AGGREGATE(2,5,LineærRegression_Valg[[#This Row],[Tabel ID]])</f>
        <v>1</v>
      </c>
    </row>
    <row r="1185" spans="1:8" x14ac:dyDescent="0.2">
      <c r="A1185">
        <f>ROW(LineærRegression_Valg[[#This Row],[Tabel ID]])-ROW(LineærRegression_Valg[[#Headers],[Tabel ID]])</f>
        <v>1175</v>
      </c>
      <c r="B1185" s="171">
        <f>ROUNDDOWN((LineærRegression_Valg[[#This Row],[Tabel ID]]-1)/$B$5,0)+1</f>
        <v>294</v>
      </c>
      <c r="C1185" s="171">
        <f t="shared" si="18"/>
        <v>3</v>
      </c>
      <c r="D1185" s="171" t="b">
        <f>LineærRegression_Valg[[#This Row],[Afhængig variabel ID]]&lt;&gt;LineærRegression_Valg[[#This Row],[Uafhængig variabel ID]]</f>
        <v>1</v>
      </c>
      <c r="E1185" t="b">
        <f>LineærRegression_Valg[[#This Row],[Afhængig variabel ID]]&lt;=$B$5</f>
        <v>0</v>
      </c>
      <c r="F1185" t="str" cm="1">
        <f t="array" ref="F1185">IF(LineærRegression_Valg[[#This Row],[Indenfor range]],INDEX(DataTitel_liste,LineærRegression_Valg[[#This Row],[Afhængig variabel ID]]),INDEX(DataTitel_liste,1))</f>
        <v>Eksempel 1 (interval)</v>
      </c>
      <c r="G1185" s="171" t="str" cm="1">
        <f t="array" ref="G1185">IF(LineærRegression_Valg[[#This Row],[Indenfor range]],IF(LineærRegression_Valg[[#This Row],[Intet overlap]],INDEX(DataTitel_liste,LineærRegression_Valg[[#This Row],[Uafhængig variabel ID]]),INDEX(DataTitel_liste,IF(LineærRegression_Valg[[#This Row],[Afhængig variabel ID]]=1,2,1))),$B$7)</f>
        <v>Eksempel 2 (interval)</v>
      </c>
      <c r="H1185" s="171">
        <f>_xlfn.AGGREGATE(2,5,LineærRegression_Valg[[#This Row],[Tabel ID]])</f>
        <v>1</v>
      </c>
    </row>
    <row r="1186" spans="1:8" x14ac:dyDescent="0.2">
      <c r="A1186">
        <f>ROW(LineærRegression_Valg[[#This Row],[Tabel ID]])-ROW(LineærRegression_Valg[[#Headers],[Tabel ID]])</f>
        <v>1176</v>
      </c>
      <c r="B1186" s="171">
        <f>ROUNDDOWN((LineærRegression_Valg[[#This Row],[Tabel ID]]-1)/$B$5,0)+1</f>
        <v>294</v>
      </c>
      <c r="C1186" s="171">
        <f t="shared" si="18"/>
        <v>4</v>
      </c>
      <c r="D1186" s="171" t="b">
        <f>LineærRegression_Valg[[#This Row],[Afhængig variabel ID]]&lt;&gt;LineærRegression_Valg[[#This Row],[Uafhængig variabel ID]]</f>
        <v>1</v>
      </c>
      <c r="E1186" t="b">
        <f>LineærRegression_Valg[[#This Row],[Afhængig variabel ID]]&lt;=$B$5</f>
        <v>0</v>
      </c>
      <c r="F1186" t="str" cm="1">
        <f t="array" ref="F1186">IF(LineærRegression_Valg[[#This Row],[Indenfor range]],INDEX(DataTitel_liste,LineærRegression_Valg[[#This Row],[Afhængig variabel ID]]),INDEX(DataTitel_liste,1))</f>
        <v>Eksempel 1 (interval)</v>
      </c>
      <c r="G1186" s="171" t="str" cm="1">
        <f t="array" ref="G1186">IF(LineærRegression_Valg[[#This Row],[Indenfor range]],IF(LineærRegression_Valg[[#This Row],[Intet overlap]],INDEX(DataTitel_liste,LineærRegression_Valg[[#This Row],[Uafhængig variabel ID]]),INDEX(DataTitel_liste,IF(LineærRegression_Valg[[#This Row],[Afhængig variabel ID]]=1,2,1))),$B$7)</f>
        <v>Eksempel 2 (interval)</v>
      </c>
      <c r="H1186" s="171">
        <f>_xlfn.AGGREGATE(2,5,LineærRegression_Valg[[#This Row],[Tabel ID]])</f>
        <v>1</v>
      </c>
    </row>
    <row r="1187" spans="1:8" x14ac:dyDescent="0.2">
      <c r="A1187">
        <f>ROW(LineærRegression_Valg[[#This Row],[Tabel ID]])-ROW(LineærRegression_Valg[[#Headers],[Tabel ID]])</f>
        <v>1177</v>
      </c>
      <c r="B1187" s="171">
        <f>ROUNDDOWN((LineærRegression_Valg[[#This Row],[Tabel ID]]-1)/$B$5,0)+1</f>
        <v>295</v>
      </c>
      <c r="C1187" s="171">
        <f t="shared" si="18"/>
        <v>1</v>
      </c>
      <c r="D1187" s="171" t="b">
        <f>LineærRegression_Valg[[#This Row],[Afhængig variabel ID]]&lt;&gt;LineærRegression_Valg[[#This Row],[Uafhængig variabel ID]]</f>
        <v>1</v>
      </c>
      <c r="E1187" t="b">
        <f>LineærRegression_Valg[[#This Row],[Afhængig variabel ID]]&lt;=$B$5</f>
        <v>0</v>
      </c>
      <c r="F1187" t="str" cm="1">
        <f t="array" ref="F1187">IF(LineærRegression_Valg[[#This Row],[Indenfor range]],INDEX(DataTitel_liste,LineærRegression_Valg[[#This Row],[Afhængig variabel ID]]),INDEX(DataTitel_liste,1))</f>
        <v>Eksempel 1 (interval)</v>
      </c>
      <c r="G1187" s="171" t="str" cm="1">
        <f t="array" ref="G1187">IF(LineærRegression_Valg[[#This Row],[Indenfor range]],IF(LineærRegression_Valg[[#This Row],[Intet overlap]],INDEX(DataTitel_liste,LineærRegression_Valg[[#This Row],[Uafhængig variabel ID]]),INDEX(DataTitel_liste,IF(LineærRegression_Valg[[#This Row],[Afhængig variabel ID]]=1,2,1))),$B$7)</f>
        <v>Eksempel 2 (interval)</v>
      </c>
      <c r="H1187" s="171">
        <f>_xlfn.AGGREGATE(2,5,LineærRegression_Valg[[#This Row],[Tabel ID]])</f>
        <v>1</v>
      </c>
    </row>
    <row r="1188" spans="1:8" x14ac:dyDescent="0.2">
      <c r="A1188">
        <f>ROW(LineærRegression_Valg[[#This Row],[Tabel ID]])-ROW(LineærRegression_Valg[[#Headers],[Tabel ID]])</f>
        <v>1178</v>
      </c>
      <c r="B1188" s="171">
        <f>ROUNDDOWN((LineærRegression_Valg[[#This Row],[Tabel ID]]-1)/$B$5,0)+1</f>
        <v>295</v>
      </c>
      <c r="C1188" s="171">
        <f t="shared" si="18"/>
        <v>2</v>
      </c>
      <c r="D1188" s="171" t="b">
        <f>LineærRegression_Valg[[#This Row],[Afhængig variabel ID]]&lt;&gt;LineærRegression_Valg[[#This Row],[Uafhængig variabel ID]]</f>
        <v>1</v>
      </c>
      <c r="E1188" t="b">
        <f>LineærRegression_Valg[[#This Row],[Afhængig variabel ID]]&lt;=$B$5</f>
        <v>0</v>
      </c>
      <c r="F1188" t="str" cm="1">
        <f t="array" ref="F1188">IF(LineærRegression_Valg[[#This Row],[Indenfor range]],INDEX(DataTitel_liste,LineærRegression_Valg[[#This Row],[Afhængig variabel ID]]),INDEX(DataTitel_liste,1))</f>
        <v>Eksempel 1 (interval)</v>
      </c>
      <c r="G1188" s="171" t="str" cm="1">
        <f t="array" ref="G1188">IF(LineærRegression_Valg[[#This Row],[Indenfor range]],IF(LineærRegression_Valg[[#This Row],[Intet overlap]],INDEX(DataTitel_liste,LineærRegression_Valg[[#This Row],[Uafhængig variabel ID]]),INDEX(DataTitel_liste,IF(LineærRegression_Valg[[#This Row],[Afhængig variabel ID]]=1,2,1))),$B$7)</f>
        <v>Eksempel 2 (interval)</v>
      </c>
      <c r="H1188" s="171">
        <f>_xlfn.AGGREGATE(2,5,LineærRegression_Valg[[#This Row],[Tabel ID]])</f>
        <v>1</v>
      </c>
    </row>
    <row r="1189" spans="1:8" x14ac:dyDescent="0.2">
      <c r="A1189">
        <f>ROW(LineærRegression_Valg[[#This Row],[Tabel ID]])-ROW(LineærRegression_Valg[[#Headers],[Tabel ID]])</f>
        <v>1179</v>
      </c>
      <c r="B1189" s="171">
        <f>ROUNDDOWN((LineærRegression_Valg[[#This Row],[Tabel ID]]-1)/$B$5,0)+1</f>
        <v>295</v>
      </c>
      <c r="C1189" s="171">
        <f t="shared" si="18"/>
        <v>3</v>
      </c>
      <c r="D1189" s="171" t="b">
        <f>LineærRegression_Valg[[#This Row],[Afhængig variabel ID]]&lt;&gt;LineærRegression_Valg[[#This Row],[Uafhængig variabel ID]]</f>
        <v>1</v>
      </c>
      <c r="E1189" t="b">
        <f>LineærRegression_Valg[[#This Row],[Afhængig variabel ID]]&lt;=$B$5</f>
        <v>0</v>
      </c>
      <c r="F1189" t="str" cm="1">
        <f t="array" ref="F1189">IF(LineærRegression_Valg[[#This Row],[Indenfor range]],INDEX(DataTitel_liste,LineærRegression_Valg[[#This Row],[Afhængig variabel ID]]),INDEX(DataTitel_liste,1))</f>
        <v>Eksempel 1 (interval)</v>
      </c>
      <c r="G1189" s="171" t="str" cm="1">
        <f t="array" ref="G1189">IF(LineærRegression_Valg[[#This Row],[Indenfor range]],IF(LineærRegression_Valg[[#This Row],[Intet overlap]],INDEX(DataTitel_liste,LineærRegression_Valg[[#This Row],[Uafhængig variabel ID]]),INDEX(DataTitel_liste,IF(LineærRegression_Valg[[#This Row],[Afhængig variabel ID]]=1,2,1))),$B$7)</f>
        <v>Eksempel 2 (interval)</v>
      </c>
      <c r="H1189" s="171">
        <f>_xlfn.AGGREGATE(2,5,LineærRegression_Valg[[#This Row],[Tabel ID]])</f>
        <v>1</v>
      </c>
    </row>
    <row r="1190" spans="1:8" x14ac:dyDescent="0.2">
      <c r="A1190">
        <f>ROW(LineærRegression_Valg[[#This Row],[Tabel ID]])-ROW(LineærRegression_Valg[[#Headers],[Tabel ID]])</f>
        <v>1180</v>
      </c>
      <c r="B1190" s="171">
        <f>ROUNDDOWN((LineærRegression_Valg[[#This Row],[Tabel ID]]-1)/$B$5,0)+1</f>
        <v>295</v>
      </c>
      <c r="C1190" s="171">
        <f t="shared" si="18"/>
        <v>4</v>
      </c>
      <c r="D1190" s="171" t="b">
        <f>LineærRegression_Valg[[#This Row],[Afhængig variabel ID]]&lt;&gt;LineærRegression_Valg[[#This Row],[Uafhængig variabel ID]]</f>
        <v>1</v>
      </c>
      <c r="E1190" t="b">
        <f>LineærRegression_Valg[[#This Row],[Afhængig variabel ID]]&lt;=$B$5</f>
        <v>0</v>
      </c>
      <c r="F1190" t="str" cm="1">
        <f t="array" ref="F1190">IF(LineærRegression_Valg[[#This Row],[Indenfor range]],INDEX(DataTitel_liste,LineærRegression_Valg[[#This Row],[Afhængig variabel ID]]),INDEX(DataTitel_liste,1))</f>
        <v>Eksempel 1 (interval)</v>
      </c>
      <c r="G1190" s="171" t="str" cm="1">
        <f t="array" ref="G1190">IF(LineærRegression_Valg[[#This Row],[Indenfor range]],IF(LineærRegression_Valg[[#This Row],[Intet overlap]],INDEX(DataTitel_liste,LineærRegression_Valg[[#This Row],[Uafhængig variabel ID]]),INDEX(DataTitel_liste,IF(LineærRegression_Valg[[#This Row],[Afhængig variabel ID]]=1,2,1))),$B$7)</f>
        <v>Eksempel 2 (interval)</v>
      </c>
      <c r="H1190" s="171">
        <f>_xlfn.AGGREGATE(2,5,LineærRegression_Valg[[#This Row],[Tabel ID]])</f>
        <v>1</v>
      </c>
    </row>
    <row r="1191" spans="1:8" x14ac:dyDescent="0.2">
      <c r="A1191">
        <f>ROW(LineærRegression_Valg[[#This Row],[Tabel ID]])-ROW(LineærRegression_Valg[[#Headers],[Tabel ID]])</f>
        <v>1181</v>
      </c>
      <c r="B1191" s="171">
        <f>ROUNDDOWN((LineærRegression_Valg[[#This Row],[Tabel ID]]-1)/$B$5,0)+1</f>
        <v>296</v>
      </c>
      <c r="C1191" s="171">
        <f t="shared" si="18"/>
        <v>1</v>
      </c>
      <c r="D1191" s="171" t="b">
        <f>LineærRegression_Valg[[#This Row],[Afhængig variabel ID]]&lt;&gt;LineærRegression_Valg[[#This Row],[Uafhængig variabel ID]]</f>
        <v>1</v>
      </c>
      <c r="E1191" t="b">
        <f>LineærRegression_Valg[[#This Row],[Afhængig variabel ID]]&lt;=$B$5</f>
        <v>0</v>
      </c>
      <c r="F1191" t="str" cm="1">
        <f t="array" ref="F1191">IF(LineærRegression_Valg[[#This Row],[Indenfor range]],INDEX(DataTitel_liste,LineærRegression_Valg[[#This Row],[Afhængig variabel ID]]),INDEX(DataTitel_liste,1))</f>
        <v>Eksempel 1 (interval)</v>
      </c>
      <c r="G1191" s="171" t="str" cm="1">
        <f t="array" ref="G1191">IF(LineærRegression_Valg[[#This Row],[Indenfor range]],IF(LineærRegression_Valg[[#This Row],[Intet overlap]],INDEX(DataTitel_liste,LineærRegression_Valg[[#This Row],[Uafhængig variabel ID]]),INDEX(DataTitel_liste,IF(LineærRegression_Valg[[#This Row],[Afhængig variabel ID]]=1,2,1))),$B$7)</f>
        <v>Eksempel 2 (interval)</v>
      </c>
      <c r="H1191" s="171">
        <f>_xlfn.AGGREGATE(2,5,LineærRegression_Valg[[#This Row],[Tabel ID]])</f>
        <v>1</v>
      </c>
    </row>
    <row r="1192" spans="1:8" x14ac:dyDescent="0.2">
      <c r="A1192">
        <f>ROW(LineærRegression_Valg[[#This Row],[Tabel ID]])-ROW(LineærRegression_Valg[[#Headers],[Tabel ID]])</f>
        <v>1182</v>
      </c>
      <c r="B1192" s="171">
        <f>ROUNDDOWN((LineærRegression_Valg[[#This Row],[Tabel ID]]-1)/$B$5,0)+1</f>
        <v>296</v>
      </c>
      <c r="C1192" s="171">
        <f t="shared" si="18"/>
        <v>2</v>
      </c>
      <c r="D1192" s="171" t="b">
        <f>LineærRegression_Valg[[#This Row],[Afhængig variabel ID]]&lt;&gt;LineærRegression_Valg[[#This Row],[Uafhængig variabel ID]]</f>
        <v>1</v>
      </c>
      <c r="E1192" t="b">
        <f>LineærRegression_Valg[[#This Row],[Afhængig variabel ID]]&lt;=$B$5</f>
        <v>0</v>
      </c>
      <c r="F1192" t="str" cm="1">
        <f t="array" ref="F1192">IF(LineærRegression_Valg[[#This Row],[Indenfor range]],INDEX(DataTitel_liste,LineærRegression_Valg[[#This Row],[Afhængig variabel ID]]),INDEX(DataTitel_liste,1))</f>
        <v>Eksempel 1 (interval)</v>
      </c>
      <c r="G1192" s="171" t="str" cm="1">
        <f t="array" ref="G1192">IF(LineærRegression_Valg[[#This Row],[Indenfor range]],IF(LineærRegression_Valg[[#This Row],[Intet overlap]],INDEX(DataTitel_liste,LineærRegression_Valg[[#This Row],[Uafhængig variabel ID]]),INDEX(DataTitel_liste,IF(LineærRegression_Valg[[#This Row],[Afhængig variabel ID]]=1,2,1))),$B$7)</f>
        <v>Eksempel 2 (interval)</v>
      </c>
      <c r="H1192" s="171">
        <f>_xlfn.AGGREGATE(2,5,LineærRegression_Valg[[#This Row],[Tabel ID]])</f>
        <v>1</v>
      </c>
    </row>
    <row r="1193" spans="1:8" x14ac:dyDescent="0.2">
      <c r="A1193">
        <f>ROW(LineærRegression_Valg[[#This Row],[Tabel ID]])-ROW(LineærRegression_Valg[[#Headers],[Tabel ID]])</f>
        <v>1183</v>
      </c>
      <c r="B1193" s="171">
        <f>ROUNDDOWN((LineærRegression_Valg[[#This Row],[Tabel ID]]-1)/$B$5,0)+1</f>
        <v>296</v>
      </c>
      <c r="C1193" s="171">
        <f t="shared" si="18"/>
        <v>3</v>
      </c>
      <c r="D1193" s="171" t="b">
        <f>LineærRegression_Valg[[#This Row],[Afhængig variabel ID]]&lt;&gt;LineærRegression_Valg[[#This Row],[Uafhængig variabel ID]]</f>
        <v>1</v>
      </c>
      <c r="E1193" t="b">
        <f>LineærRegression_Valg[[#This Row],[Afhængig variabel ID]]&lt;=$B$5</f>
        <v>0</v>
      </c>
      <c r="F1193" t="str" cm="1">
        <f t="array" ref="F1193">IF(LineærRegression_Valg[[#This Row],[Indenfor range]],INDEX(DataTitel_liste,LineærRegression_Valg[[#This Row],[Afhængig variabel ID]]),INDEX(DataTitel_liste,1))</f>
        <v>Eksempel 1 (interval)</v>
      </c>
      <c r="G1193" s="171" t="str" cm="1">
        <f t="array" ref="G1193">IF(LineærRegression_Valg[[#This Row],[Indenfor range]],IF(LineærRegression_Valg[[#This Row],[Intet overlap]],INDEX(DataTitel_liste,LineærRegression_Valg[[#This Row],[Uafhængig variabel ID]]),INDEX(DataTitel_liste,IF(LineærRegression_Valg[[#This Row],[Afhængig variabel ID]]=1,2,1))),$B$7)</f>
        <v>Eksempel 2 (interval)</v>
      </c>
      <c r="H1193" s="171">
        <f>_xlfn.AGGREGATE(2,5,LineærRegression_Valg[[#This Row],[Tabel ID]])</f>
        <v>1</v>
      </c>
    </row>
    <row r="1194" spans="1:8" x14ac:dyDescent="0.2">
      <c r="A1194">
        <f>ROW(LineærRegression_Valg[[#This Row],[Tabel ID]])-ROW(LineærRegression_Valg[[#Headers],[Tabel ID]])</f>
        <v>1184</v>
      </c>
      <c r="B1194" s="171">
        <f>ROUNDDOWN((LineærRegression_Valg[[#This Row],[Tabel ID]]-1)/$B$5,0)+1</f>
        <v>296</v>
      </c>
      <c r="C1194" s="171">
        <f t="shared" si="18"/>
        <v>4</v>
      </c>
      <c r="D1194" s="171" t="b">
        <f>LineærRegression_Valg[[#This Row],[Afhængig variabel ID]]&lt;&gt;LineærRegression_Valg[[#This Row],[Uafhængig variabel ID]]</f>
        <v>1</v>
      </c>
      <c r="E1194" t="b">
        <f>LineærRegression_Valg[[#This Row],[Afhængig variabel ID]]&lt;=$B$5</f>
        <v>0</v>
      </c>
      <c r="F1194" t="str" cm="1">
        <f t="array" ref="F1194">IF(LineærRegression_Valg[[#This Row],[Indenfor range]],INDEX(DataTitel_liste,LineærRegression_Valg[[#This Row],[Afhængig variabel ID]]),INDEX(DataTitel_liste,1))</f>
        <v>Eksempel 1 (interval)</v>
      </c>
      <c r="G1194" s="171" t="str" cm="1">
        <f t="array" ref="G1194">IF(LineærRegression_Valg[[#This Row],[Indenfor range]],IF(LineærRegression_Valg[[#This Row],[Intet overlap]],INDEX(DataTitel_liste,LineærRegression_Valg[[#This Row],[Uafhængig variabel ID]]),INDEX(DataTitel_liste,IF(LineærRegression_Valg[[#This Row],[Afhængig variabel ID]]=1,2,1))),$B$7)</f>
        <v>Eksempel 2 (interval)</v>
      </c>
      <c r="H1194" s="171">
        <f>_xlfn.AGGREGATE(2,5,LineærRegression_Valg[[#This Row],[Tabel ID]])</f>
        <v>1</v>
      </c>
    </row>
    <row r="1195" spans="1:8" x14ac:dyDescent="0.2">
      <c r="A1195">
        <f>ROW(LineærRegression_Valg[[#This Row],[Tabel ID]])-ROW(LineærRegression_Valg[[#Headers],[Tabel ID]])</f>
        <v>1185</v>
      </c>
      <c r="B1195" s="171">
        <f>ROUNDDOWN((LineærRegression_Valg[[#This Row],[Tabel ID]]-1)/$B$5,0)+1</f>
        <v>297</v>
      </c>
      <c r="C1195" s="171">
        <f t="shared" si="18"/>
        <v>1</v>
      </c>
      <c r="D1195" s="171" t="b">
        <f>LineærRegression_Valg[[#This Row],[Afhængig variabel ID]]&lt;&gt;LineærRegression_Valg[[#This Row],[Uafhængig variabel ID]]</f>
        <v>1</v>
      </c>
      <c r="E1195" t="b">
        <f>LineærRegression_Valg[[#This Row],[Afhængig variabel ID]]&lt;=$B$5</f>
        <v>0</v>
      </c>
      <c r="F1195" t="str" cm="1">
        <f t="array" ref="F1195">IF(LineærRegression_Valg[[#This Row],[Indenfor range]],INDEX(DataTitel_liste,LineærRegression_Valg[[#This Row],[Afhængig variabel ID]]),INDEX(DataTitel_liste,1))</f>
        <v>Eksempel 1 (interval)</v>
      </c>
      <c r="G1195" s="171" t="str" cm="1">
        <f t="array" ref="G1195">IF(LineærRegression_Valg[[#This Row],[Indenfor range]],IF(LineærRegression_Valg[[#This Row],[Intet overlap]],INDEX(DataTitel_liste,LineærRegression_Valg[[#This Row],[Uafhængig variabel ID]]),INDEX(DataTitel_liste,IF(LineærRegression_Valg[[#This Row],[Afhængig variabel ID]]=1,2,1))),$B$7)</f>
        <v>Eksempel 2 (interval)</v>
      </c>
      <c r="H1195" s="171">
        <f>_xlfn.AGGREGATE(2,5,LineærRegression_Valg[[#This Row],[Tabel ID]])</f>
        <v>1</v>
      </c>
    </row>
    <row r="1196" spans="1:8" x14ac:dyDescent="0.2">
      <c r="A1196">
        <f>ROW(LineærRegression_Valg[[#This Row],[Tabel ID]])-ROW(LineærRegression_Valg[[#Headers],[Tabel ID]])</f>
        <v>1186</v>
      </c>
      <c r="B1196" s="171">
        <f>ROUNDDOWN((LineærRegression_Valg[[#This Row],[Tabel ID]]-1)/$B$5,0)+1</f>
        <v>297</v>
      </c>
      <c r="C1196" s="171">
        <f t="shared" si="18"/>
        <v>2</v>
      </c>
      <c r="D1196" s="171" t="b">
        <f>LineærRegression_Valg[[#This Row],[Afhængig variabel ID]]&lt;&gt;LineærRegression_Valg[[#This Row],[Uafhængig variabel ID]]</f>
        <v>1</v>
      </c>
      <c r="E1196" t="b">
        <f>LineærRegression_Valg[[#This Row],[Afhængig variabel ID]]&lt;=$B$5</f>
        <v>0</v>
      </c>
      <c r="F1196" t="str" cm="1">
        <f t="array" ref="F1196">IF(LineærRegression_Valg[[#This Row],[Indenfor range]],INDEX(DataTitel_liste,LineærRegression_Valg[[#This Row],[Afhængig variabel ID]]),INDEX(DataTitel_liste,1))</f>
        <v>Eksempel 1 (interval)</v>
      </c>
      <c r="G1196" s="171" t="str" cm="1">
        <f t="array" ref="G1196">IF(LineærRegression_Valg[[#This Row],[Indenfor range]],IF(LineærRegression_Valg[[#This Row],[Intet overlap]],INDEX(DataTitel_liste,LineærRegression_Valg[[#This Row],[Uafhængig variabel ID]]),INDEX(DataTitel_liste,IF(LineærRegression_Valg[[#This Row],[Afhængig variabel ID]]=1,2,1))),$B$7)</f>
        <v>Eksempel 2 (interval)</v>
      </c>
      <c r="H1196" s="171">
        <f>_xlfn.AGGREGATE(2,5,LineærRegression_Valg[[#This Row],[Tabel ID]])</f>
        <v>1</v>
      </c>
    </row>
    <row r="1197" spans="1:8" x14ac:dyDescent="0.2">
      <c r="A1197">
        <f>ROW(LineærRegression_Valg[[#This Row],[Tabel ID]])-ROW(LineærRegression_Valg[[#Headers],[Tabel ID]])</f>
        <v>1187</v>
      </c>
      <c r="B1197" s="171">
        <f>ROUNDDOWN((LineærRegression_Valg[[#This Row],[Tabel ID]]-1)/$B$5,0)+1</f>
        <v>297</v>
      </c>
      <c r="C1197" s="171">
        <f t="shared" si="18"/>
        <v>3</v>
      </c>
      <c r="D1197" s="171" t="b">
        <f>LineærRegression_Valg[[#This Row],[Afhængig variabel ID]]&lt;&gt;LineærRegression_Valg[[#This Row],[Uafhængig variabel ID]]</f>
        <v>1</v>
      </c>
      <c r="E1197" t="b">
        <f>LineærRegression_Valg[[#This Row],[Afhængig variabel ID]]&lt;=$B$5</f>
        <v>0</v>
      </c>
      <c r="F1197" t="str" cm="1">
        <f t="array" ref="F1197">IF(LineærRegression_Valg[[#This Row],[Indenfor range]],INDEX(DataTitel_liste,LineærRegression_Valg[[#This Row],[Afhængig variabel ID]]),INDEX(DataTitel_liste,1))</f>
        <v>Eksempel 1 (interval)</v>
      </c>
      <c r="G1197" s="171" t="str" cm="1">
        <f t="array" ref="G1197">IF(LineærRegression_Valg[[#This Row],[Indenfor range]],IF(LineærRegression_Valg[[#This Row],[Intet overlap]],INDEX(DataTitel_liste,LineærRegression_Valg[[#This Row],[Uafhængig variabel ID]]),INDEX(DataTitel_liste,IF(LineærRegression_Valg[[#This Row],[Afhængig variabel ID]]=1,2,1))),$B$7)</f>
        <v>Eksempel 2 (interval)</v>
      </c>
      <c r="H1197" s="171">
        <f>_xlfn.AGGREGATE(2,5,LineærRegression_Valg[[#This Row],[Tabel ID]])</f>
        <v>1</v>
      </c>
    </row>
    <row r="1198" spans="1:8" x14ac:dyDescent="0.2">
      <c r="A1198">
        <f>ROW(LineærRegression_Valg[[#This Row],[Tabel ID]])-ROW(LineærRegression_Valg[[#Headers],[Tabel ID]])</f>
        <v>1188</v>
      </c>
      <c r="B1198" s="171">
        <f>ROUNDDOWN((LineærRegression_Valg[[#This Row],[Tabel ID]]-1)/$B$5,0)+1</f>
        <v>297</v>
      </c>
      <c r="C1198" s="171">
        <f t="shared" si="18"/>
        <v>4</v>
      </c>
      <c r="D1198" s="171" t="b">
        <f>LineærRegression_Valg[[#This Row],[Afhængig variabel ID]]&lt;&gt;LineærRegression_Valg[[#This Row],[Uafhængig variabel ID]]</f>
        <v>1</v>
      </c>
      <c r="E1198" t="b">
        <f>LineærRegression_Valg[[#This Row],[Afhængig variabel ID]]&lt;=$B$5</f>
        <v>0</v>
      </c>
      <c r="F1198" t="str" cm="1">
        <f t="array" ref="F1198">IF(LineærRegression_Valg[[#This Row],[Indenfor range]],INDEX(DataTitel_liste,LineærRegression_Valg[[#This Row],[Afhængig variabel ID]]),INDEX(DataTitel_liste,1))</f>
        <v>Eksempel 1 (interval)</v>
      </c>
      <c r="G1198" s="171" t="str" cm="1">
        <f t="array" ref="G1198">IF(LineærRegression_Valg[[#This Row],[Indenfor range]],IF(LineærRegression_Valg[[#This Row],[Intet overlap]],INDEX(DataTitel_liste,LineærRegression_Valg[[#This Row],[Uafhængig variabel ID]]),INDEX(DataTitel_liste,IF(LineærRegression_Valg[[#This Row],[Afhængig variabel ID]]=1,2,1))),$B$7)</f>
        <v>Eksempel 2 (interval)</v>
      </c>
      <c r="H1198" s="171">
        <f>_xlfn.AGGREGATE(2,5,LineærRegression_Valg[[#This Row],[Tabel ID]])</f>
        <v>1</v>
      </c>
    </row>
    <row r="1199" spans="1:8" x14ac:dyDescent="0.2">
      <c r="A1199">
        <f>ROW(LineærRegression_Valg[[#This Row],[Tabel ID]])-ROW(LineærRegression_Valg[[#Headers],[Tabel ID]])</f>
        <v>1189</v>
      </c>
      <c r="B1199" s="171">
        <f>ROUNDDOWN((LineærRegression_Valg[[#This Row],[Tabel ID]]-1)/$B$5,0)+1</f>
        <v>298</v>
      </c>
      <c r="C1199" s="171">
        <f t="shared" si="18"/>
        <v>1</v>
      </c>
      <c r="D1199" s="171" t="b">
        <f>LineærRegression_Valg[[#This Row],[Afhængig variabel ID]]&lt;&gt;LineærRegression_Valg[[#This Row],[Uafhængig variabel ID]]</f>
        <v>1</v>
      </c>
      <c r="E1199" t="b">
        <f>LineærRegression_Valg[[#This Row],[Afhængig variabel ID]]&lt;=$B$5</f>
        <v>0</v>
      </c>
      <c r="F1199" t="str" cm="1">
        <f t="array" ref="F1199">IF(LineærRegression_Valg[[#This Row],[Indenfor range]],INDEX(DataTitel_liste,LineærRegression_Valg[[#This Row],[Afhængig variabel ID]]),INDEX(DataTitel_liste,1))</f>
        <v>Eksempel 1 (interval)</v>
      </c>
      <c r="G1199" s="171" t="str" cm="1">
        <f t="array" ref="G1199">IF(LineærRegression_Valg[[#This Row],[Indenfor range]],IF(LineærRegression_Valg[[#This Row],[Intet overlap]],INDEX(DataTitel_liste,LineærRegression_Valg[[#This Row],[Uafhængig variabel ID]]),INDEX(DataTitel_liste,IF(LineærRegression_Valg[[#This Row],[Afhængig variabel ID]]=1,2,1))),$B$7)</f>
        <v>Eksempel 2 (interval)</v>
      </c>
      <c r="H1199" s="171">
        <f>_xlfn.AGGREGATE(2,5,LineærRegression_Valg[[#This Row],[Tabel ID]])</f>
        <v>1</v>
      </c>
    </row>
    <row r="1200" spans="1:8" x14ac:dyDescent="0.2">
      <c r="A1200">
        <f>ROW(LineærRegression_Valg[[#This Row],[Tabel ID]])-ROW(LineærRegression_Valg[[#Headers],[Tabel ID]])</f>
        <v>1190</v>
      </c>
      <c r="B1200" s="171">
        <f>ROUNDDOWN((LineærRegression_Valg[[#This Row],[Tabel ID]]-1)/$B$5,0)+1</f>
        <v>298</v>
      </c>
      <c r="C1200" s="171">
        <f t="shared" si="18"/>
        <v>2</v>
      </c>
      <c r="D1200" s="171" t="b">
        <f>LineærRegression_Valg[[#This Row],[Afhængig variabel ID]]&lt;&gt;LineærRegression_Valg[[#This Row],[Uafhængig variabel ID]]</f>
        <v>1</v>
      </c>
      <c r="E1200" t="b">
        <f>LineærRegression_Valg[[#This Row],[Afhængig variabel ID]]&lt;=$B$5</f>
        <v>0</v>
      </c>
      <c r="F1200" t="str" cm="1">
        <f t="array" ref="F1200">IF(LineærRegression_Valg[[#This Row],[Indenfor range]],INDEX(DataTitel_liste,LineærRegression_Valg[[#This Row],[Afhængig variabel ID]]),INDEX(DataTitel_liste,1))</f>
        <v>Eksempel 1 (interval)</v>
      </c>
      <c r="G1200" s="171" t="str" cm="1">
        <f t="array" ref="G1200">IF(LineærRegression_Valg[[#This Row],[Indenfor range]],IF(LineærRegression_Valg[[#This Row],[Intet overlap]],INDEX(DataTitel_liste,LineærRegression_Valg[[#This Row],[Uafhængig variabel ID]]),INDEX(DataTitel_liste,IF(LineærRegression_Valg[[#This Row],[Afhængig variabel ID]]=1,2,1))),$B$7)</f>
        <v>Eksempel 2 (interval)</v>
      </c>
      <c r="H1200" s="171">
        <f>_xlfn.AGGREGATE(2,5,LineærRegression_Valg[[#This Row],[Tabel ID]])</f>
        <v>1</v>
      </c>
    </row>
    <row r="1201" spans="1:8" x14ac:dyDescent="0.2">
      <c r="A1201">
        <f>ROW(LineærRegression_Valg[[#This Row],[Tabel ID]])-ROW(LineærRegression_Valg[[#Headers],[Tabel ID]])</f>
        <v>1191</v>
      </c>
      <c r="B1201" s="171">
        <f>ROUNDDOWN((LineærRegression_Valg[[#This Row],[Tabel ID]]-1)/$B$5,0)+1</f>
        <v>298</v>
      </c>
      <c r="C1201" s="171">
        <f t="shared" si="18"/>
        <v>3</v>
      </c>
      <c r="D1201" s="171" t="b">
        <f>LineærRegression_Valg[[#This Row],[Afhængig variabel ID]]&lt;&gt;LineærRegression_Valg[[#This Row],[Uafhængig variabel ID]]</f>
        <v>1</v>
      </c>
      <c r="E1201" t="b">
        <f>LineærRegression_Valg[[#This Row],[Afhængig variabel ID]]&lt;=$B$5</f>
        <v>0</v>
      </c>
      <c r="F1201" t="str" cm="1">
        <f t="array" ref="F1201">IF(LineærRegression_Valg[[#This Row],[Indenfor range]],INDEX(DataTitel_liste,LineærRegression_Valg[[#This Row],[Afhængig variabel ID]]),INDEX(DataTitel_liste,1))</f>
        <v>Eksempel 1 (interval)</v>
      </c>
      <c r="G1201" s="171" t="str" cm="1">
        <f t="array" ref="G1201">IF(LineærRegression_Valg[[#This Row],[Indenfor range]],IF(LineærRegression_Valg[[#This Row],[Intet overlap]],INDEX(DataTitel_liste,LineærRegression_Valg[[#This Row],[Uafhængig variabel ID]]),INDEX(DataTitel_liste,IF(LineærRegression_Valg[[#This Row],[Afhængig variabel ID]]=1,2,1))),$B$7)</f>
        <v>Eksempel 2 (interval)</v>
      </c>
      <c r="H1201" s="171">
        <f>_xlfn.AGGREGATE(2,5,LineærRegression_Valg[[#This Row],[Tabel ID]])</f>
        <v>1</v>
      </c>
    </row>
    <row r="1202" spans="1:8" x14ac:dyDescent="0.2">
      <c r="A1202">
        <f>ROW(LineærRegression_Valg[[#This Row],[Tabel ID]])-ROW(LineærRegression_Valg[[#Headers],[Tabel ID]])</f>
        <v>1192</v>
      </c>
      <c r="B1202" s="171">
        <f>ROUNDDOWN((LineærRegression_Valg[[#This Row],[Tabel ID]]-1)/$B$5,0)+1</f>
        <v>298</v>
      </c>
      <c r="C1202" s="171">
        <f t="shared" si="18"/>
        <v>4</v>
      </c>
      <c r="D1202" s="171" t="b">
        <f>LineærRegression_Valg[[#This Row],[Afhængig variabel ID]]&lt;&gt;LineærRegression_Valg[[#This Row],[Uafhængig variabel ID]]</f>
        <v>1</v>
      </c>
      <c r="E1202" t="b">
        <f>LineærRegression_Valg[[#This Row],[Afhængig variabel ID]]&lt;=$B$5</f>
        <v>0</v>
      </c>
      <c r="F1202" t="str" cm="1">
        <f t="array" ref="F1202">IF(LineærRegression_Valg[[#This Row],[Indenfor range]],INDEX(DataTitel_liste,LineærRegression_Valg[[#This Row],[Afhængig variabel ID]]),INDEX(DataTitel_liste,1))</f>
        <v>Eksempel 1 (interval)</v>
      </c>
      <c r="G1202" s="171" t="str" cm="1">
        <f t="array" ref="G1202">IF(LineærRegression_Valg[[#This Row],[Indenfor range]],IF(LineærRegression_Valg[[#This Row],[Intet overlap]],INDEX(DataTitel_liste,LineærRegression_Valg[[#This Row],[Uafhængig variabel ID]]),INDEX(DataTitel_liste,IF(LineærRegression_Valg[[#This Row],[Afhængig variabel ID]]=1,2,1))),$B$7)</f>
        <v>Eksempel 2 (interval)</v>
      </c>
      <c r="H1202" s="171">
        <f>_xlfn.AGGREGATE(2,5,LineærRegression_Valg[[#This Row],[Tabel ID]])</f>
        <v>1</v>
      </c>
    </row>
    <row r="1203" spans="1:8" x14ac:dyDescent="0.2">
      <c r="A1203">
        <f>ROW(LineærRegression_Valg[[#This Row],[Tabel ID]])-ROW(LineærRegression_Valg[[#Headers],[Tabel ID]])</f>
        <v>1193</v>
      </c>
      <c r="B1203" s="171">
        <f>ROUNDDOWN((LineærRegression_Valg[[#This Row],[Tabel ID]]-1)/$B$5,0)+1</f>
        <v>299</v>
      </c>
      <c r="C1203" s="171">
        <f t="shared" si="18"/>
        <v>1</v>
      </c>
      <c r="D1203" s="171" t="b">
        <f>LineærRegression_Valg[[#This Row],[Afhængig variabel ID]]&lt;&gt;LineærRegression_Valg[[#This Row],[Uafhængig variabel ID]]</f>
        <v>1</v>
      </c>
      <c r="E1203" t="b">
        <f>LineærRegression_Valg[[#This Row],[Afhængig variabel ID]]&lt;=$B$5</f>
        <v>0</v>
      </c>
      <c r="F1203" t="str" cm="1">
        <f t="array" ref="F1203">IF(LineærRegression_Valg[[#This Row],[Indenfor range]],INDEX(DataTitel_liste,LineærRegression_Valg[[#This Row],[Afhængig variabel ID]]),INDEX(DataTitel_liste,1))</f>
        <v>Eksempel 1 (interval)</v>
      </c>
      <c r="G1203" s="171" t="str" cm="1">
        <f t="array" ref="G1203">IF(LineærRegression_Valg[[#This Row],[Indenfor range]],IF(LineærRegression_Valg[[#This Row],[Intet overlap]],INDEX(DataTitel_liste,LineærRegression_Valg[[#This Row],[Uafhængig variabel ID]]),INDEX(DataTitel_liste,IF(LineærRegression_Valg[[#This Row],[Afhængig variabel ID]]=1,2,1))),$B$7)</f>
        <v>Eksempel 2 (interval)</v>
      </c>
      <c r="H1203" s="171">
        <f>_xlfn.AGGREGATE(2,5,LineærRegression_Valg[[#This Row],[Tabel ID]])</f>
        <v>1</v>
      </c>
    </row>
    <row r="1204" spans="1:8" x14ac:dyDescent="0.2">
      <c r="A1204">
        <f>ROW(LineærRegression_Valg[[#This Row],[Tabel ID]])-ROW(LineærRegression_Valg[[#Headers],[Tabel ID]])</f>
        <v>1194</v>
      </c>
      <c r="B1204" s="171">
        <f>ROUNDDOWN((LineærRegression_Valg[[#This Row],[Tabel ID]]-1)/$B$5,0)+1</f>
        <v>299</v>
      </c>
      <c r="C1204" s="171">
        <f t="shared" si="18"/>
        <v>2</v>
      </c>
      <c r="D1204" s="171" t="b">
        <f>LineærRegression_Valg[[#This Row],[Afhængig variabel ID]]&lt;&gt;LineærRegression_Valg[[#This Row],[Uafhængig variabel ID]]</f>
        <v>1</v>
      </c>
      <c r="E1204" t="b">
        <f>LineærRegression_Valg[[#This Row],[Afhængig variabel ID]]&lt;=$B$5</f>
        <v>0</v>
      </c>
      <c r="F1204" t="str" cm="1">
        <f t="array" ref="F1204">IF(LineærRegression_Valg[[#This Row],[Indenfor range]],INDEX(DataTitel_liste,LineærRegression_Valg[[#This Row],[Afhængig variabel ID]]),INDEX(DataTitel_liste,1))</f>
        <v>Eksempel 1 (interval)</v>
      </c>
      <c r="G1204" s="171" t="str" cm="1">
        <f t="array" ref="G1204">IF(LineærRegression_Valg[[#This Row],[Indenfor range]],IF(LineærRegression_Valg[[#This Row],[Intet overlap]],INDEX(DataTitel_liste,LineærRegression_Valg[[#This Row],[Uafhængig variabel ID]]),INDEX(DataTitel_liste,IF(LineærRegression_Valg[[#This Row],[Afhængig variabel ID]]=1,2,1))),$B$7)</f>
        <v>Eksempel 2 (interval)</v>
      </c>
      <c r="H1204" s="171">
        <f>_xlfn.AGGREGATE(2,5,LineærRegression_Valg[[#This Row],[Tabel ID]])</f>
        <v>1</v>
      </c>
    </row>
    <row r="1205" spans="1:8" x14ac:dyDescent="0.2">
      <c r="A1205">
        <f>ROW(LineærRegression_Valg[[#This Row],[Tabel ID]])-ROW(LineærRegression_Valg[[#Headers],[Tabel ID]])</f>
        <v>1195</v>
      </c>
      <c r="B1205" s="171">
        <f>ROUNDDOWN((LineærRegression_Valg[[#This Row],[Tabel ID]]-1)/$B$5,0)+1</f>
        <v>299</v>
      </c>
      <c r="C1205" s="171">
        <f t="shared" si="18"/>
        <v>3</v>
      </c>
      <c r="D1205" s="171" t="b">
        <f>LineærRegression_Valg[[#This Row],[Afhængig variabel ID]]&lt;&gt;LineærRegression_Valg[[#This Row],[Uafhængig variabel ID]]</f>
        <v>1</v>
      </c>
      <c r="E1205" t="b">
        <f>LineærRegression_Valg[[#This Row],[Afhængig variabel ID]]&lt;=$B$5</f>
        <v>0</v>
      </c>
      <c r="F1205" t="str" cm="1">
        <f t="array" ref="F1205">IF(LineærRegression_Valg[[#This Row],[Indenfor range]],INDEX(DataTitel_liste,LineærRegression_Valg[[#This Row],[Afhængig variabel ID]]),INDEX(DataTitel_liste,1))</f>
        <v>Eksempel 1 (interval)</v>
      </c>
      <c r="G1205" s="171" t="str" cm="1">
        <f t="array" ref="G1205">IF(LineærRegression_Valg[[#This Row],[Indenfor range]],IF(LineærRegression_Valg[[#This Row],[Intet overlap]],INDEX(DataTitel_liste,LineærRegression_Valg[[#This Row],[Uafhængig variabel ID]]),INDEX(DataTitel_liste,IF(LineærRegression_Valg[[#This Row],[Afhængig variabel ID]]=1,2,1))),$B$7)</f>
        <v>Eksempel 2 (interval)</v>
      </c>
      <c r="H1205" s="171">
        <f>_xlfn.AGGREGATE(2,5,LineærRegression_Valg[[#This Row],[Tabel ID]])</f>
        <v>1</v>
      </c>
    </row>
    <row r="1206" spans="1:8" x14ac:dyDescent="0.2">
      <c r="A1206">
        <f>ROW(LineærRegression_Valg[[#This Row],[Tabel ID]])-ROW(LineærRegression_Valg[[#Headers],[Tabel ID]])</f>
        <v>1196</v>
      </c>
      <c r="B1206" s="171">
        <f>ROUNDDOWN((LineærRegression_Valg[[#This Row],[Tabel ID]]-1)/$B$5,0)+1</f>
        <v>299</v>
      </c>
      <c r="C1206" s="171">
        <f t="shared" si="18"/>
        <v>4</v>
      </c>
      <c r="D1206" s="171" t="b">
        <f>LineærRegression_Valg[[#This Row],[Afhængig variabel ID]]&lt;&gt;LineærRegression_Valg[[#This Row],[Uafhængig variabel ID]]</f>
        <v>1</v>
      </c>
      <c r="E1206" t="b">
        <f>LineærRegression_Valg[[#This Row],[Afhængig variabel ID]]&lt;=$B$5</f>
        <v>0</v>
      </c>
      <c r="F1206" t="str" cm="1">
        <f t="array" ref="F1206">IF(LineærRegression_Valg[[#This Row],[Indenfor range]],INDEX(DataTitel_liste,LineærRegression_Valg[[#This Row],[Afhængig variabel ID]]),INDEX(DataTitel_liste,1))</f>
        <v>Eksempel 1 (interval)</v>
      </c>
      <c r="G1206" s="171" t="str" cm="1">
        <f t="array" ref="G1206">IF(LineærRegression_Valg[[#This Row],[Indenfor range]],IF(LineærRegression_Valg[[#This Row],[Intet overlap]],INDEX(DataTitel_liste,LineærRegression_Valg[[#This Row],[Uafhængig variabel ID]]),INDEX(DataTitel_liste,IF(LineærRegression_Valg[[#This Row],[Afhængig variabel ID]]=1,2,1))),$B$7)</f>
        <v>Eksempel 2 (interval)</v>
      </c>
      <c r="H1206" s="171">
        <f>_xlfn.AGGREGATE(2,5,LineærRegression_Valg[[#This Row],[Tabel ID]])</f>
        <v>1</v>
      </c>
    </row>
    <row r="1207" spans="1:8" x14ac:dyDescent="0.2">
      <c r="A1207">
        <f>ROW(LineærRegression_Valg[[#This Row],[Tabel ID]])-ROW(LineærRegression_Valg[[#Headers],[Tabel ID]])</f>
        <v>1197</v>
      </c>
      <c r="B1207" s="171">
        <f>ROUNDDOWN((LineærRegression_Valg[[#This Row],[Tabel ID]]-1)/$B$5,0)+1</f>
        <v>300</v>
      </c>
      <c r="C1207" s="171">
        <f t="shared" si="18"/>
        <v>1</v>
      </c>
      <c r="D1207" s="171" t="b">
        <f>LineærRegression_Valg[[#This Row],[Afhængig variabel ID]]&lt;&gt;LineærRegression_Valg[[#This Row],[Uafhængig variabel ID]]</f>
        <v>1</v>
      </c>
      <c r="E1207" t="b">
        <f>LineærRegression_Valg[[#This Row],[Afhængig variabel ID]]&lt;=$B$5</f>
        <v>0</v>
      </c>
      <c r="F1207" t="str" cm="1">
        <f t="array" ref="F1207">IF(LineærRegression_Valg[[#This Row],[Indenfor range]],INDEX(DataTitel_liste,LineærRegression_Valg[[#This Row],[Afhængig variabel ID]]),INDEX(DataTitel_liste,1))</f>
        <v>Eksempel 1 (interval)</v>
      </c>
      <c r="G1207" s="171" t="str" cm="1">
        <f t="array" ref="G1207">IF(LineærRegression_Valg[[#This Row],[Indenfor range]],IF(LineærRegression_Valg[[#This Row],[Intet overlap]],INDEX(DataTitel_liste,LineærRegression_Valg[[#This Row],[Uafhængig variabel ID]]),INDEX(DataTitel_liste,IF(LineærRegression_Valg[[#This Row],[Afhængig variabel ID]]=1,2,1))),$B$7)</f>
        <v>Eksempel 2 (interval)</v>
      </c>
      <c r="H1207" s="171">
        <f>_xlfn.AGGREGATE(2,5,LineærRegression_Valg[[#This Row],[Tabel ID]])</f>
        <v>1</v>
      </c>
    </row>
    <row r="1208" spans="1:8" x14ac:dyDescent="0.2">
      <c r="A1208">
        <f>ROW(LineærRegression_Valg[[#This Row],[Tabel ID]])-ROW(LineærRegression_Valg[[#Headers],[Tabel ID]])</f>
        <v>1198</v>
      </c>
      <c r="B1208" s="171">
        <f>ROUNDDOWN((LineærRegression_Valg[[#This Row],[Tabel ID]]-1)/$B$5,0)+1</f>
        <v>300</v>
      </c>
      <c r="C1208" s="171">
        <f t="shared" si="18"/>
        <v>2</v>
      </c>
      <c r="D1208" s="171" t="b">
        <f>LineærRegression_Valg[[#This Row],[Afhængig variabel ID]]&lt;&gt;LineærRegression_Valg[[#This Row],[Uafhængig variabel ID]]</f>
        <v>1</v>
      </c>
      <c r="E1208" t="b">
        <f>LineærRegression_Valg[[#This Row],[Afhængig variabel ID]]&lt;=$B$5</f>
        <v>0</v>
      </c>
      <c r="F1208" t="str" cm="1">
        <f t="array" ref="F1208">IF(LineærRegression_Valg[[#This Row],[Indenfor range]],INDEX(DataTitel_liste,LineærRegression_Valg[[#This Row],[Afhængig variabel ID]]),INDEX(DataTitel_liste,1))</f>
        <v>Eksempel 1 (interval)</v>
      </c>
      <c r="G1208" s="171" t="str" cm="1">
        <f t="array" ref="G1208">IF(LineærRegression_Valg[[#This Row],[Indenfor range]],IF(LineærRegression_Valg[[#This Row],[Intet overlap]],INDEX(DataTitel_liste,LineærRegression_Valg[[#This Row],[Uafhængig variabel ID]]),INDEX(DataTitel_liste,IF(LineærRegression_Valg[[#This Row],[Afhængig variabel ID]]=1,2,1))),$B$7)</f>
        <v>Eksempel 2 (interval)</v>
      </c>
      <c r="H1208" s="171">
        <f>_xlfn.AGGREGATE(2,5,LineærRegression_Valg[[#This Row],[Tabel ID]])</f>
        <v>1</v>
      </c>
    </row>
    <row r="1209" spans="1:8" x14ac:dyDescent="0.2">
      <c r="A1209">
        <f>ROW(LineærRegression_Valg[[#This Row],[Tabel ID]])-ROW(LineærRegression_Valg[[#Headers],[Tabel ID]])</f>
        <v>1199</v>
      </c>
      <c r="B1209" s="171">
        <f>ROUNDDOWN((LineærRegression_Valg[[#This Row],[Tabel ID]]-1)/$B$5,0)+1</f>
        <v>300</v>
      </c>
      <c r="C1209" s="171">
        <f t="shared" si="18"/>
        <v>3</v>
      </c>
      <c r="D1209" s="171" t="b">
        <f>LineærRegression_Valg[[#This Row],[Afhængig variabel ID]]&lt;&gt;LineærRegression_Valg[[#This Row],[Uafhængig variabel ID]]</f>
        <v>1</v>
      </c>
      <c r="E1209" t="b">
        <f>LineærRegression_Valg[[#This Row],[Afhængig variabel ID]]&lt;=$B$5</f>
        <v>0</v>
      </c>
      <c r="F1209" t="str" cm="1">
        <f t="array" ref="F1209">IF(LineærRegression_Valg[[#This Row],[Indenfor range]],INDEX(DataTitel_liste,LineærRegression_Valg[[#This Row],[Afhængig variabel ID]]),INDEX(DataTitel_liste,1))</f>
        <v>Eksempel 1 (interval)</v>
      </c>
      <c r="G1209" s="171" t="str" cm="1">
        <f t="array" ref="G1209">IF(LineærRegression_Valg[[#This Row],[Indenfor range]],IF(LineærRegression_Valg[[#This Row],[Intet overlap]],INDEX(DataTitel_liste,LineærRegression_Valg[[#This Row],[Uafhængig variabel ID]]),INDEX(DataTitel_liste,IF(LineærRegression_Valg[[#This Row],[Afhængig variabel ID]]=1,2,1))),$B$7)</f>
        <v>Eksempel 2 (interval)</v>
      </c>
      <c r="H1209" s="171">
        <f>_xlfn.AGGREGATE(2,5,LineærRegression_Valg[[#This Row],[Tabel ID]])</f>
        <v>1</v>
      </c>
    </row>
    <row r="1210" spans="1:8" x14ac:dyDescent="0.2">
      <c r="A1210">
        <f>ROW(LineærRegression_Valg[[#This Row],[Tabel ID]])-ROW(LineærRegression_Valg[[#Headers],[Tabel ID]])</f>
        <v>1200</v>
      </c>
      <c r="B1210" s="171">
        <f>ROUNDDOWN((LineærRegression_Valg[[#This Row],[Tabel ID]]-1)/$B$5,0)+1</f>
        <v>300</v>
      </c>
      <c r="C1210" s="171">
        <f t="shared" si="18"/>
        <v>4</v>
      </c>
      <c r="D1210" s="171" t="b">
        <f>LineærRegression_Valg[[#This Row],[Afhængig variabel ID]]&lt;&gt;LineærRegression_Valg[[#This Row],[Uafhængig variabel ID]]</f>
        <v>1</v>
      </c>
      <c r="E1210" t="b">
        <f>LineærRegression_Valg[[#This Row],[Afhængig variabel ID]]&lt;=$B$5</f>
        <v>0</v>
      </c>
      <c r="F1210" t="str" cm="1">
        <f t="array" ref="F1210">IF(LineærRegression_Valg[[#This Row],[Indenfor range]],INDEX(DataTitel_liste,LineærRegression_Valg[[#This Row],[Afhængig variabel ID]]),INDEX(DataTitel_liste,1))</f>
        <v>Eksempel 1 (interval)</v>
      </c>
      <c r="G1210" s="171" t="str" cm="1">
        <f t="array" ref="G1210">IF(LineærRegression_Valg[[#This Row],[Indenfor range]],IF(LineærRegression_Valg[[#This Row],[Intet overlap]],INDEX(DataTitel_liste,LineærRegression_Valg[[#This Row],[Uafhængig variabel ID]]),INDEX(DataTitel_liste,IF(LineærRegression_Valg[[#This Row],[Afhængig variabel ID]]=1,2,1))),$B$7)</f>
        <v>Eksempel 2 (interval)</v>
      </c>
      <c r="H1210" s="171">
        <f>_xlfn.AGGREGATE(2,5,LineærRegression_Valg[[#This Row],[Tabel ID]])</f>
        <v>1</v>
      </c>
    </row>
    <row r="1211" spans="1:8" x14ac:dyDescent="0.2">
      <c r="A1211">
        <f>ROW(LineærRegression_Valg[[#This Row],[Tabel ID]])-ROW(LineærRegression_Valg[[#Headers],[Tabel ID]])</f>
        <v>1201</v>
      </c>
      <c r="B1211" s="171">
        <f>ROUNDDOWN((LineærRegression_Valg[[#This Row],[Tabel ID]]-1)/$B$5,0)+1</f>
        <v>301</v>
      </c>
      <c r="C1211" s="171">
        <f t="shared" si="18"/>
        <v>1</v>
      </c>
      <c r="D1211" s="171" t="b">
        <f>LineærRegression_Valg[[#This Row],[Afhængig variabel ID]]&lt;&gt;LineærRegression_Valg[[#This Row],[Uafhængig variabel ID]]</f>
        <v>1</v>
      </c>
      <c r="E1211" t="b">
        <f>LineærRegression_Valg[[#This Row],[Afhængig variabel ID]]&lt;=$B$5</f>
        <v>0</v>
      </c>
      <c r="F1211" t="str" cm="1">
        <f t="array" ref="F1211">IF(LineærRegression_Valg[[#This Row],[Indenfor range]],INDEX(DataTitel_liste,LineærRegression_Valg[[#This Row],[Afhængig variabel ID]]),INDEX(DataTitel_liste,1))</f>
        <v>Eksempel 1 (interval)</v>
      </c>
      <c r="G1211" s="171" t="str" cm="1">
        <f t="array" ref="G1211">IF(LineærRegression_Valg[[#This Row],[Indenfor range]],IF(LineærRegression_Valg[[#This Row],[Intet overlap]],INDEX(DataTitel_liste,LineærRegression_Valg[[#This Row],[Uafhængig variabel ID]]),INDEX(DataTitel_liste,IF(LineærRegression_Valg[[#This Row],[Afhængig variabel ID]]=1,2,1))),$B$7)</f>
        <v>Eksempel 2 (interval)</v>
      </c>
      <c r="H1211" s="171">
        <f>_xlfn.AGGREGATE(2,5,LineærRegression_Valg[[#This Row],[Tabel ID]])</f>
        <v>1</v>
      </c>
    </row>
    <row r="1212" spans="1:8" x14ac:dyDescent="0.2">
      <c r="A1212">
        <f>ROW(LineærRegression_Valg[[#This Row],[Tabel ID]])-ROW(LineærRegression_Valg[[#Headers],[Tabel ID]])</f>
        <v>1202</v>
      </c>
      <c r="B1212" s="171">
        <f>ROUNDDOWN((LineærRegression_Valg[[#This Row],[Tabel ID]]-1)/$B$5,0)+1</f>
        <v>301</v>
      </c>
      <c r="C1212" s="171">
        <f t="shared" si="18"/>
        <v>2</v>
      </c>
      <c r="D1212" s="171" t="b">
        <f>LineærRegression_Valg[[#This Row],[Afhængig variabel ID]]&lt;&gt;LineærRegression_Valg[[#This Row],[Uafhængig variabel ID]]</f>
        <v>1</v>
      </c>
      <c r="E1212" t="b">
        <f>LineærRegression_Valg[[#This Row],[Afhængig variabel ID]]&lt;=$B$5</f>
        <v>0</v>
      </c>
      <c r="F1212" t="str" cm="1">
        <f t="array" ref="F1212">IF(LineærRegression_Valg[[#This Row],[Indenfor range]],INDEX(DataTitel_liste,LineærRegression_Valg[[#This Row],[Afhængig variabel ID]]),INDEX(DataTitel_liste,1))</f>
        <v>Eksempel 1 (interval)</v>
      </c>
      <c r="G1212" s="171" t="str" cm="1">
        <f t="array" ref="G1212">IF(LineærRegression_Valg[[#This Row],[Indenfor range]],IF(LineærRegression_Valg[[#This Row],[Intet overlap]],INDEX(DataTitel_liste,LineærRegression_Valg[[#This Row],[Uafhængig variabel ID]]),INDEX(DataTitel_liste,IF(LineærRegression_Valg[[#This Row],[Afhængig variabel ID]]=1,2,1))),$B$7)</f>
        <v>Eksempel 2 (interval)</v>
      </c>
      <c r="H1212" s="171">
        <f>_xlfn.AGGREGATE(2,5,LineærRegression_Valg[[#This Row],[Tabel ID]])</f>
        <v>1</v>
      </c>
    </row>
    <row r="1213" spans="1:8" x14ac:dyDescent="0.2">
      <c r="A1213">
        <f>ROW(LineærRegression_Valg[[#This Row],[Tabel ID]])-ROW(LineærRegression_Valg[[#Headers],[Tabel ID]])</f>
        <v>1203</v>
      </c>
      <c r="B1213" s="171">
        <f>ROUNDDOWN((LineærRegression_Valg[[#This Row],[Tabel ID]]-1)/$B$5,0)+1</f>
        <v>301</v>
      </c>
      <c r="C1213" s="171">
        <f t="shared" si="18"/>
        <v>3</v>
      </c>
      <c r="D1213" s="171" t="b">
        <f>LineærRegression_Valg[[#This Row],[Afhængig variabel ID]]&lt;&gt;LineærRegression_Valg[[#This Row],[Uafhængig variabel ID]]</f>
        <v>1</v>
      </c>
      <c r="E1213" t="b">
        <f>LineærRegression_Valg[[#This Row],[Afhængig variabel ID]]&lt;=$B$5</f>
        <v>0</v>
      </c>
      <c r="F1213" t="str" cm="1">
        <f t="array" ref="F1213">IF(LineærRegression_Valg[[#This Row],[Indenfor range]],INDEX(DataTitel_liste,LineærRegression_Valg[[#This Row],[Afhængig variabel ID]]),INDEX(DataTitel_liste,1))</f>
        <v>Eksempel 1 (interval)</v>
      </c>
      <c r="G1213" s="171" t="str" cm="1">
        <f t="array" ref="G1213">IF(LineærRegression_Valg[[#This Row],[Indenfor range]],IF(LineærRegression_Valg[[#This Row],[Intet overlap]],INDEX(DataTitel_liste,LineærRegression_Valg[[#This Row],[Uafhængig variabel ID]]),INDEX(DataTitel_liste,IF(LineærRegression_Valg[[#This Row],[Afhængig variabel ID]]=1,2,1))),$B$7)</f>
        <v>Eksempel 2 (interval)</v>
      </c>
      <c r="H1213" s="171">
        <f>_xlfn.AGGREGATE(2,5,LineærRegression_Valg[[#This Row],[Tabel ID]])</f>
        <v>1</v>
      </c>
    </row>
    <row r="1214" spans="1:8" x14ac:dyDescent="0.2">
      <c r="A1214">
        <f>ROW(LineærRegression_Valg[[#This Row],[Tabel ID]])-ROW(LineærRegression_Valg[[#Headers],[Tabel ID]])</f>
        <v>1204</v>
      </c>
      <c r="B1214" s="171">
        <f>ROUNDDOWN((LineærRegression_Valg[[#This Row],[Tabel ID]]-1)/$B$5,0)+1</f>
        <v>301</v>
      </c>
      <c r="C1214" s="171">
        <f t="shared" si="18"/>
        <v>4</v>
      </c>
      <c r="D1214" s="171" t="b">
        <f>LineærRegression_Valg[[#This Row],[Afhængig variabel ID]]&lt;&gt;LineærRegression_Valg[[#This Row],[Uafhængig variabel ID]]</f>
        <v>1</v>
      </c>
      <c r="E1214" t="b">
        <f>LineærRegression_Valg[[#This Row],[Afhængig variabel ID]]&lt;=$B$5</f>
        <v>0</v>
      </c>
      <c r="F1214" t="str" cm="1">
        <f t="array" ref="F1214">IF(LineærRegression_Valg[[#This Row],[Indenfor range]],INDEX(DataTitel_liste,LineærRegression_Valg[[#This Row],[Afhængig variabel ID]]),INDEX(DataTitel_liste,1))</f>
        <v>Eksempel 1 (interval)</v>
      </c>
      <c r="G1214" s="171" t="str" cm="1">
        <f t="array" ref="G1214">IF(LineærRegression_Valg[[#This Row],[Indenfor range]],IF(LineærRegression_Valg[[#This Row],[Intet overlap]],INDEX(DataTitel_liste,LineærRegression_Valg[[#This Row],[Uafhængig variabel ID]]),INDEX(DataTitel_liste,IF(LineærRegression_Valg[[#This Row],[Afhængig variabel ID]]=1,2,1))),$B$7)</f>
        <v>Eksempel 2 (interval)</v>
      </c>
      <c r="H1214" s="171">
        <f>_xlfn.AGGREGATE(2,5,LineærRegression_Valg[[#This Row],[Tabel ID]])</f>
        <v>1</v>
      </c>
    </row>
    <row r="1215" spans="1:8" x14ac:dyDescent="0.2">
      <c r="A1215">
        <f>ROW(LineærRegression_Valg[[#This Row],[Tabel ID]])-ROW(LineærRegression_Valg[[#Headers],[Tabel ID]])</f>
        <v>1205</v>
      </c>
      <c r="B1215" s="171">
        <f>ROUNDDOWN((LineærRegression_Valg[[#This Row],[Tabel ID]]-1)/$B$5,0)+1</f>
        <v>302</v>
      </c>
      <c r="C1215" s="171">
        <f t="shared" si="18"/>
        <v>1</v>
      </c>
      <c r="D1215" s="171" t="b">
        <f>LineærRegression_Valg[[#This Row],[Afhængig variabel ID]]&lt;&gt;LineærRegression_Valg[[#This Row],[Uafhængig variabel ID]]</f>
        <v>1</v>
      </c>
      <c r="E1215" t="b">
        <f>LineærRegression_Valg[[#This Row],[Afhængig variabel ID]]&lt;=$B$5</f>
        <v>0</v>
      </c>
      <c r="F1215" t="str" cm="1">
        <f t="array" ref="F1215">IF(LineærRegression_Valg[[#This Row],[Indenfor range]],INDEX(DataTitel_liste,LineærRegression_Valg[[#This Row],[Afhængig variabel ID]]),INDEX(DataTitel_liste,1))</f>
        <v>Eksempel 1 (interval)</v>
      </c>
      <c r="G1215" s="171" t="str" cm="1">
        <f t="array" ref="G1215">IF(LineærRegression_Valg[[#This Row],[Indenfor range]],IF(LineærRegression_Valg[[#This Row],[Intet overlap]],INDEX(DataTitel_liste,LineærRegression_Valg[[#This Row],[Uafhængig variabel ID]]),INDEX(DataTitel_liste,IF(LineærRegression_Valg[[#This Row],[Afhængig variabel ID]]=1,2,1))),$B$7)</f>
        <v>Eksempel 2 (interval)</v>
      </c>
      <c r="H1215" s="171">
        <f>_xlfn.AGGREGATE(2,5,LineærRegression_Valg[[#This Row],[Tabel ID]])</f>
        <v>1</v>
      </c>
    </row>
    <row r="1216" spans="1:8" x14ac:dyDescent="0.2">
      <c r="A1216">
        <f>ROW(LineærRegression_Valg[[#This Row],[Tabel ID]])-ROW(LineærRegression_Valg[[#Headers],[Tabel ID]])</f>
        <v>1206</v>
      </c>
      <c r="B1216" s="171">
        <f>ROUNDDOWN((LineærRegression_Valg[[#This Row],[Tabel ID]]-1)/$B$5,0)+1</f>
        <v>302</v>
      </c>
      <c r="C1216" s="171">
        <f t="shared" si="18"/>
        <v>2</v>
      </c>
      <c r="D1216" s="171" t="b">
        <f>LineærRegression_Valg[[#This Row],[Afhængig variabel ID]]&lt;&gt;LineærRegression_Valg[[#This Row],[Uafhængig variabel ID]]</f>
        <v>1</v>
      </c>
      <c r="E1216" t="b">
        <f>LineærRegression_Valg[[#This Row],[Afhængig variabel ID]]&lt;=$B$5</f>
        <v>0</v>
      </c>
      <c r="F1216" t="str" cm="1">
        <f t="array" ref="F1216">IF(LineærRegression_Valg[[#This Row],[Indenfor range]],INDEX(DataTitel_liste,LineærRegression_Valg[[#This Row],[Afhængig variabel ID]]),INDEX(DataTitel_liste,1))</f>
        <v>Eksempel 1 (interval)</v>
      </c>
      <c r="G1216" s="171" t="str" cm="1">
        <f t="array" ref="G1216">IF(LineærRegression_Valg[[#This Row],[Indenfor range]],IF(LineærRegression_Valg[[#This Row],[Intet overlap]],INDEX(DataTitel_liste,LineærRegression_Valg[[#This Row],[Uafhængig variabel ID]]),INDEX(DataTitel_liste,IF(LineærRegression_Valg[[#This Row],[Afhængig variabel ID]]=1,2,1))),$B$7)</f>
        <v>Eksempel 2 (interval)</v>
      </c>
      <c r="H1216" s="171">
        <f>_xlfn.AGGREGATE(2,5,LineærRegression_Valg[[#This Row],[Tabel ID]])</f>
        <v>1</v>
      </c>
    </row>
    <row r="1217" spans="1:8" x14ac:dyDescent="0.2">
      <c r="A1217">
        <f>ROW(LineærRegression_Valg[[#This Row],[Tabel ID]])-ROW(LineærRegression_Valg[[#Headers],[Tabel ID]])</f>
        <v>1207</v>
      </c>
      <c r="B1217" s="171">
        <f>ROUNDDOWN((LineærRegression_Valg[[#This Row],[Tabel ID]]-1)/$B$5,0)+1</f>
        <v>302</v>
      </c>
      <c r="C1217" s="171">
        <f t="shared" si="18"/>
        <v>3</v>
      </c>
      <c r="D1217" s="171" t="b">
        <f>LineærRegression_Valg[[#This Row],[Afhængig variabel ID]]&lt;&gt;LineærRegression_Valg[[#This Row],[Uafhængig variabel ID]]</f>
        <v>1</v>
      </c>
      <c r="E1217" t="b">
        <f>LineærRegression_Valg[[#This Row],[Afhængig variabel ID]]&lt;=$B$5</f>
        <v>0</v>
      </c>
      <c r="F1217" t="str" cm="1">
        <f t="array" ref="F1217">IF(LineærRegression_Valg[[#This Row],[Indenfor range]],INDEX(DataTitel_liste,LineærRegression_Valg[[#This Row],[Afhængig variabel ID]]),INDEX(DataTitel_liste,1))</f>
        <v>Eksempel 1 (interval)</v>
      </c>
      <c r="G1217" s="171" t="str" cm="1">
        <f t="array" ref="G1217">IF(LineærRegression_Valg[[#This Row],[Indenfor range]],IF(LineærRegression_Valg[[#This Row],[Intet overlap]],INDEX(DataTitel_liste,LineærRegression_Valg[[#This Row],[Uafhængig variabel ID]]),INDEX(DataTitel_liste,IF(LineærRegression_Valg[[#This Row],[Afhængig variabel ID]]=1,2,1))),$B$7)</f>
        <v>Eksempel 2 (interval)</v>
      </c>
      <c r="H1217" s="171">
        <f>_xlfn.AGGREGATE(2,5,LineærRegression_Valg[[#This Row],[Tabel ID]])</f>
        <v>1</v>
      </c>
    </row>
    <row r="1218" spans="1:8" x14ac:dyDescent="0.2">
      <c r="A1218">
        <f>ROW(LineærRegression_Valg[[#This Row],[Tabel ID]])-ROW(LineærRegression_Valg[[#Headers],[Tabel ID]])</f>
        <v>1208</v>
      </c>
      <c r="B1218" s="171">
        <f>ROUNDDOWN((LineærRegression_Valg[[#This Row],[Tabel ID]]-1)/$B$5,0)+1</f>
        <v>302</v>
      </c>
      <c r="C1218" s="171">
        <f t="shared" si="18"/>
        <v>4</v>
      </c>
      <c r="D1218" s="171" t="b">
        <f>LineærRegression_Valg[[#This Row],[Afhængig variabel ID]]&lt;&gt;LineærRegression_Valg[[#This Row],[Uafhængig variabel ID]]</f>
        <v>1</v>
      </c>
      <c r="E1218" t="b">
        <f>LineærRegression_Valg[[#This Row],[Afhængig variabel ID]]&lt;=$B$5</f>
        <v>0</v>
      </c>
      <c r="F1218" t="str" cm="1">
        <f t="array" ref="F1218">IF(LineærRegression_Valg[[#This Row],[Indenfor range]],INDEX(DataTitel_liste,LineærRegression_Valg[[#This Row],[Afhængig variabel ID]]),INDEX(DataTitel_liste,1))</f>
        <v>Eksempel 1 (interval)</v>
      </c>
      <c r="G1218" s="171" t="str" cm="1">
        <f t="array" ref="G1218">IF(LineærRegression_Valg[[#This Row],[Indenfor range]],IF(LineærRegression_Valg[[#This Row],[Intet overlap]],INDEX(DataTitel_liste,LineærRegression_Valg[[#This Row],[Uafhængig variabel ID]]),INDEX(DataTitel_liste,IF(LineærRegression_Valg[[#This Row],[Afhængig variabel ID]]=1,2,1))),$B$7)</f>
        <v>Eksempel 2 (interval)</v>
      </c>
      <c r="H1218" s="171">
        <f>_xlfn.AGGREGATE(2,5,LineærRegression_Valg[[#This Row],[Tabel ID]])</f>
        <v>1</v>
      </c>
    </row>
    <row r="1219" spans="1:8" x14ac:dyDescent="0.2">
      <c r="A1219">
        <f>ROW(LineærRegression_Valg[[#This Row],[Tabel ID]])-ROW(LineærRegression_Valg[[#Headers],[Tabel ID]])</f>
        <v>1209</v>
      </c>
      <c r="B1219" s="171">
        <f>ROUNDDOWN((LineærRegression_Valg[[#This Row],[Tabel ID]]-1)/$B$5,0)+1</f>
        <v>303</v>
      </c>
      <c r="C1219" s="171">
        <f t="shared" si="18"/>
        <v>1</v>
      </c>
      <c r="D1219" s="171" t="b">
        <f>LineærRegression_Valg[[#This Row],[Afhængig variabel ID]]&lt;&gt;LineærRegression_Valg[[#This Row],[Uafhængig variabel ID]]</f>
        <v>1</v>
      </c>
      <c r="E1219" t="b">
        <f>LineærRegression_Valg[[#This Row],[Afhængig variabel ID]]&lt;=$B$5</f>
        <v>0</v>
      </c>
      <c r="F1219" t="str" cm="1">
        <f t="array" ref="F1219">IF(LineærRegression_Valg[[#This Row],[Indenfor range]],INDEX(DataTitel_liste,LineærRegression_Valg[[#This Row],[Afhængig variabel ID]]),INDEX(DataTitel_liste,1))</f>
        <v>Eksempel 1 (interval)</v>
      </c>
      <c r="G1219" s="171" t="str" cm="1">
        <f t="array" ref="G1219">IF(LineærRegression_Valg[[#This Row],[Indenfor range]],IF(LineærRegression_Valg[[#This Row],[Intet overlap]],INDEX(DataTitel_liste,LineærRegression_Valg[[#This Row],[Uafhængig variabel ID]]),INDEX(DataTitel_liste,IF(LineærRegression_Valg[[#This Row],[Afhængig variabel ID]]=1,2,1))),$B$7)</f>
        <v>Eksempel 2 (interval)</v>
      </c>
      <c r="H1219" s="171">
        <f>_xlfn.AGGREGATE(2,5,LineærRegression_Valg[[#This Row],[Tabel ID]])</f>
        <v>1</v>
      </c>
    </row>
    <row r="1220" spans="1:8" x14ac:dyDescent="0.2">
      <c r="A1220">
        <f>ROW(LineærRegression_Valg[[#This Row],[Tabel ID]])-ROW(LineærRegression_Valg[[#Headers],[Tabel ID]])</f>
        <v>1210</v>
      </c>
      <c r="B1220" s="171">
        <f>ROUNDDOWN((LineærRegression_Valg[[#This Row],[Tabel ID]]-1)/$B$5,0)+1</f>
        <v>303</v>
      </c>
      <c r="C1220" s="171">
        <f t="shared" si="18"/>
        <v>2</v>
      </c>
      <c r="D1220" s="171" t="b">
        <f>LineærRegression_Valg[[#This Row],[Afhængig variabel ID]]&lt;&gt;LineærRegression_Valg[[#This Row],[Uafhængig variabel ID]]</f>
        <v>1</v>
      </c>
      <c r="E1220" t="b">
        <f>LineærRegression_Valg[[#This Row],[Afhængig variabel ID]]&lt;=$B$5</f>
        <v>0</v>
      </c>
      <c r="F1220" t="str" cm="1">
        <f t="array" ref="F1220">IF(LineærRegression_Valg[[#This Row],[Indenfor range]],INDEX(DataTitel_liste,LineærRegression_Valg[[#This Row],[Afhængig variabel ID]]),INDEX(DataTitel_liste,1))</f>
        <v>Eksempel 1 (interval)</v>
      </c>
      <c r="G1220" s="171" t="str" cm="1">
        <f t="array" ref="G1220">IF(LineærRegression_Valg[[#This Row],[Indenfor range]],IF(LineærRegression_Valg[[#This Row],[Intet overlap]],INDEX(DataTitel_liste,LineærRegression_Valg[[#This Row],[Uafhængig variabel ID]]),INDEX(DataTitel_liste,IF(LineærRegression_Valg[[#This Row],[Afhængig variabel ID]]=1,2,1))),$B$7)</f>
        <v>Eksempel 2 (interval)</v>
      </c>
      <c r="H1220" s="171">
        <f>_xlfn.AGGREGATE(2,5,LineærRegression_Valg[[#This Row],[Tabel ID]])</f>
        <v>1</v>
      </c>
    </row>
    <row r="1221" spans="1:8" x14ac:dyDescent="0.2">
      <c r="A1221">
        <f>ROW(LineærRegression_Valg[[#This Row],[Tabel ID]])-ROW(LineærRegression_Valg[[#Headers],[Tabel ID]])</f>
        <v>1211</v>
      </c>
      <c r="B1221" s="171">
        <f>ROUNDDOWN((LineærRegression_Valg[[#This Row],[Tabel ID]]-1)/$B$5,0)+1</f>
        <v>303</v>
      </c>
      <c r="C1221" s="171">
        <f t="shared" si="18"/>
        <v>3</v>
      </c>
      <c r="D1221" s="171" t="b">
        <f>LineærRegression_Valg[[#This Row],[Afhængig variabel ID]]&lt;&gt;LineærRegression_Valg[[#This Row],[Uafhængig variabel ID]]</f>
        <v>1</v>
      </c>
      <c r="E1221" t="b">
        <f>LineærRegression_Valg[[#This Row],[Afhængig variabel ID]]&lt;=$B$5</f>
        <v>0</v>
      </c>
      <c r="F1221" t="str" cm="1">
        <f t="array" ref="F1221">IF(LineærRegression_Valg[[#This Row],[Indenfor range]],INDEX(DataTitel_liste,LineærRegression_Valg[[#This Row],[Afhængig variabel ID]]),INDEX(DataTitel_liste,1))</f>
        <v>Eksempel 1 (interval)</v>
      </c>
      <c r="G1221" s="171" t="str" cm="1">
        <f t="array" ref="G1221">IF(LineærRegression_Valg[[#This Row],[Indenfor range]],IF(LineærRegression_Valg[[#This Row],[Intet overlap]],INDEX(DataTitel_liste,LineærRegression_Valg[[#This Row],[Uafhængig variabel ID]]),INDEX(DataTitel_liste,IF(LineærRegression_Valg[[#This Row],[Afhængig variabel ID]]=1,2,1))),$B$7)</f>
        <v>Eksempel 2 (interval)</v>
      </c>
      <c r="H1221" s="171">
        <f>_xlfn.AGGREGATE(2,5,LineærRegression_Valg[[#This Row],[Tabel ID]])</f>
        <v>1</v>
      </c>
    </row>
    <row r="1222" spans="1:8" x14ac:dyDescent="0.2">
      <c r="A1222">
        <f>ROW(LineærRegression_Valg[[#This Row],[Tabel ID]])-ROW(LineærRegression_Valg[[#Headers],[Tabel ID]])</f>
        <v>1212</v>
      </c>
      <c r="B1222" s="171">
        <f>ROUNDDOWN((LineærRegression_Valg[[#This Row],[Tabel ID]]-1)/$B$5,0)+1</f>
        <v>303</v>
      </c>
      <c r="C1222" s="171">
        <f t="shared" si="18"/>
        <v>4</v>
      </c>
      <c r="D1222" s="171" t="b">
        <f>LineærRegression_Valg[[#This Row],[Afhængig variabel ID]]&lt;&gt;LineærRegression_Valg[[#This Row],[Uafhængig variabel ID]]</f>
        <v>1</v>
      </c>
      <c r="E1222" t="b">
        <f>LineærRegression_Valg[[#This Row],[Afhængig variabel ID]]&lt;=$B$5</f>
        <v>0</v>
      </c>
      <c r="F1222" t="str" cm="1">
        <f t="array" ref="F1222">IF(LineærRegression_Valg[[#This Row],[Indenfor range]],INDEX(DataTitel_liste,LineærRegression_Valg[[#This Row],[Afhængig variabel ID]]),INDEX(DataTitel_liste,1))</f>
        <v>Eksempel 1 (interval)</v>
      </c>
      <c r="G1222" s="171" t="str" cm="1">
        <f t="array" ref="G1222">IF(LineærRegression_Valg[[#This Row],[Indenfor range]],IF(LineærRegression_Valg[[#This Row],[Intet overlap]],INDEX(DataTitel_liste,LineærRegression_Valg[[#This Row],[Uafhængig variabel ID]]),INDEX(DataTitel_liste,IF(LineærRegression_Valg[[#This Row],[Afhængig variabel ID]]=1,2,1))),$B$7)</f>
        <v>Eksempel 2 (interval)</v>
      </c>
      <c r="H1222" s="171">
        <f>_xlfn.AGGREGATE(2,5,LineærRegression_Valg[[#This Row],[Tabel ID]])</f>
        <v>1</v>
      </c>
    </row>
    <row r="1223" spans="1:8" x14ac:dyDescent="0.2">
      <c r="A1223">
        <f>ROW(LineærRegression_Valg[[#This Row],[Tabel ID]])-ROW(LineærRegression_Valg[[#Headers],[Tabel ID]])</f>
        <v>1213</v>
      </c>
      <c r="B1223" s="171">
        <f>ROUNDDOWN((LineærRegression_Valg[[#This Row],[Tabel ID]]-1)/$B$5,0)+1</f>
        <v>304</v>
      </c>
      <c r="C1223" s="171">
        <f t="shared" si="18"/>
        <v>1</v>
      </c>
      <c r="D1223" s="171" t="b">
        <f>LineærRegression_Valg[[#This Row],[Afhængig variabel ID]]&lt;&gt;LineærRegression_Valg[[#This Row],[Uafhængig variabel ID]]</f>
        <v>1</v>
      </c>
      <c r="E1223" t="b">
        <f>LineærRegression_Valg[[#This Row],[Afhængig variabel ID]]&lt;=$B$5</f>
        <v>0</v>
      </c>
      <c r="F1223" t="str" cm="1">
        <f t="array" ref="F1223">IF(LineærRegression_Valg[[#This Row],[Indenfor range]],INDEX(DataTitel_liste,LineærRegression_Valg[[#This Row],[Afhængig variabel ID]]),INDEX(DataTitel_liste,1))</f>
        <v>Eksempel 1 (interval)</v>
      </c>
      <c r="G1223" s="171" t="str" cm="1">
        <f t="array" ref="G1223">IF(LineærRegression_Valg[[#This Row],[Indenfor range]],IF(LineærRegression_Valg[[#This Row],[Intet overlap]],INDEX(DataTitel_liste,LineærRegression_Valg[[#This Row],[Uafhængig variabel ID]]),INDEX(DataTitel_liste,IF(LineærRegression_Valg[[#This Row],[Afhængig variabel ID]]=1,2,1))),$B$7)</f>
        <v>Eksempel 2 (interval)</v>
      </c>
      <c r="H1223" s="171">
        <f>_xlfn.AGGREGATE(2,5,LineærRegression_Valg[[#This Row],[Tabel ID]])</f>
        <v>1</v>
      </c>
    </row>
    <row r="1224" spans="1:8" x14ac:dyDescent="0.2">
      <c r="A1224">
        <f>ROW(LineærRegression_Valg[[#This Row],[Tabel ID]])-ROW(LineærRegression_Valg[[#Headers],[Tabel ID]])</f>
        <v>1214</v>
      </c>
      <c r="B1224" s="171">
        <f>ROUNDDOWN((LineærRegression_Valg[[#This Row],[Tabel ID]]-1)/$B$5,0)+1</f>
        <v>304</v>
      </c>
      <c r="C1224" s="171">
        <f t="shared" si="18"/>
        <v>2</v>
      </c>
      <c r="D1224" s="171" t="b">
        <f>LineærRegression_Valg[[#This Row],[Afhængig variabel ID]]&lt;&gt;LineærRegression_Valg[[#This Row],[Uafhængig variabel ID]]</f>
        <v>1</v>
      </c>
      <c r="E1224" t="b">
        <f>LineærRegression_Valg[[#This Row],[Afhængig variabel ID]]&lt;=$B$5</f>
        <v>0</v>
      </c>
      <c r="F1224" t="str" cm="1">
        <f t="array" ref="F1224">IF(LineærRegression_Valg[[#This Row],[Indenfor range]],INDEX(DataTitel_liste,LineærRegression_Valg[[#This Row],[Afhængig variabel ID]]),INDEX(DataTitel_liste,1))</f>
        <v>Eksempel 1 (interval)</v>
      </c>
      <c r="G1224" s="171" t="str" cm="1">
        <f t="array" ref="G1224">IF(LineærRegression_Valg[[#This Row],[Indenfor range]],IF(LineærRegression_Valg[[#This Row],[Intet overlap]],INDEX(DataTitel_liste,LineærRegression_Valg[[#This Row],[Uafhængig variabel ID]]),INDEX(DataTitel_liste,IF(LineærRegression_Valg[[#This Row],[Afhængig variabel ID]]=1,2,1))),$B$7)</f>
        <v>Eksempel 2 (interval)</v>
      </c>
      <c r="H1224" s="171">
        <f>_xlfn.AGGREGATE(2,5,LineærRegression_Valg[[#This Row],[Tabel ID]])</f>
        <v>1</v>
      </c>
    </row>
    <row r="1225" spans="1:8" x14ac:dyDescent="0.2">
      <c r="A1225">
        <f>ROW(LineærRegression_Valg[[#This Row],[Tabel ID]])-ROW(LineærRegression_Valg[[#Headers],[Tabel ID]])</f>
        <v>1215</v>
      </c>
      <c r="B1225" s="171">
        <f>ROUNDDOWN((LineærRegression_Valg[[#This Row],[Tabel ID]]-1)/$B$5,0)+1</f>
        <v>304</v>
      </c>
      <c r="C1225" s="171">
        <f t="shared" si="18"/>
        <v>3</v>
      </c>
      <c r="D1225" s="171" t="b">
        <f>LineærRegression_Valg[[#This Row],[Afhængig variabel ID]]&lt;&gt;LineærRegression_Valg[[#This Row],[Uafhængig variabel ID]]</f>
        <v>1</v>
      </c>
      <c r="E1225" t="b">
        <f>LineærRegression_Valg[[#This Row],[Afhængig variabel ID]]&lt;=$B$5</f>
        <v>0</v>
      </c>
      <c r="F1225" t="str" cm="1">
        <f t="array" ref="F1225">IF(LineærRegression_Valg[[#This Row],[Indenfor range]],INDEX(DataTitel_liste,LineærRegression_Valg[[#This Row],[Afhængig variabel ID]]),INDEX(DataTitel_liste,1))</f>
        <v>Eksempel 1 (interval)</v>
      </c>
      <c r="G1225" s="171" t="str" cm="1">
        <f t="array" ref="G1225">IF(LineærRegression_Valg[[#This Row],[Indenfor range]],IF(LineærRegression_Valg[[#This Row],[Intet overlap]],INDEX(DataTitel_liste,LineærRegression_Valg[[#This Row],[Uafhængig variabel ID]]),INDEX(DataTitel_liste,IF(LineærRegression_Valg[[#This Row],[Afhængig variabel ID]]=1,2,1))),$B$7)</f>
        <v>Eksempel 2 (interval)</v>
      </c>
      <c r="H1225" s="171">
        <f>_xlfn.AGGREGATE(2,5,LineærRegression_Valg[[#This Row],[Tabel ID]])</f>
        <v>1</v>
      </c>
    </row>
    <row r="1226" spans="1:8" x14ac:dyDescent="0.2">
      <c r="A1226">
        <f>ROW(LineærRegression_Valg[[#This Row],[Tabel ID]])-ROW(LineærRegression_Valg[[#Headers],[Tabel ID]])</f>
        <v>1216</v>
      </c>
      <c r="B1226" s="171">
        <f>ROUNDDOWN((LineærRegression_Valg[[#This Row],[Tabel ID]]-1)/$B$5,0)+1</f>
        <v>304</v>
      </c>
      <c r="C1226" s="171">
        <f t="shared" si="18"/>
        <v>4</v>
      </c>
      <c r="D1226" s="171" t="b">
        <f>LineærRegression_Valg[[#This Row],[Afhængig variabel ID]]&lt;&gt;LineærRegression_Valg[[#This Row],[Uafhængig variabel ID]]</f>
        <v>1</v>
      </c>
      <c r="E1226" t="b">
        <f>LineærRegression_Valg[[#This Row],[Afhængig variabel ID]]&lt;=$B$5</f>
        <v>0</v>
      </c>
      <c r="F1226" t="str" cm="1">
        <f t="array" ref="F1226">IF(LineærRegression_Valg[[#This Row],[Indenfor range]],INDEX(DataTitel_liste,LineærRegression_Valg[[#This Row],[Afhængig variabel ID]]),INDEX(DataTitel_liste,1))</f>
        <v>Eksempel 1 (interval)</v>
      </c>
      <c r="G1226" s="171" t="str" cm="1">
        <f t="array" ref="G1226">IF(LineærRegression_Valg[[#This Row],[Indenfor range]],IF(LineærRegression_Valg[[#This Row],[Intet overlap]],INDEX(DataTitel_liste,LineærRegression_Valg[[#This Row],[Uafhængig variabel ID]]),INDEX(DataTitel_liste,IF(LineærRegression_Valg[[#This Row],[Afhængig variabel ID]]=1,2,1))),$B$7)</f>
        <v>Eksempel 2 (interval)</v>
      </c>
      <c r="H1226" s="171">
        <f>_xlfn.AGGREGATE(2,5,LineærRegression_Valg[[#This Row],[Tabel ID]])</f>
        <v>1</v>
      </c>
    </row>
    <row r="1227" spans="1:8" x14ac:dyDescent="0.2">
      <c r="A1227">
        <f>ROW(LineærRegression_Valg[[#This Row],[Tabel ID]])-ROW(LineærRegression_Valg[[#Headers],[Tabel ID]])</f>
        <v>1217</v>
      </c>
      <c r="B1227" s="171">
        <f>ROUNDDOWN((LineærRegression_Valg[[#This Row],[Tabel ID]]-1)/$B$5,0)+1</f>
        <v>305</v>
      </c>
      <c r="C1227" s="171">
        <f t="shared" ref="C1227:C1290" si="19">MOD(A1227-1,$B$5)+1</f>
        <v>1</v>
      </c>
      <c r="D1227" s="171" t="b">
        <f>LineærRegression_Valg[[#This Row],[Afhængig variabel ID]]&lt;&gt;LineærRegression_Valg[[#This Row],[Uafhængig variabel ID]]</f>
        <v>1</v>
      </c>
      <c r="E1227" t="b">
        <f>LineærRegression_Valg[[#This Row],[Afhængig variabel ID]]&lt;=$B$5</f>
        <v>0</v>
      </c>
      <c r="F1227" t="str" cm="1">
        <f t="array" ref="F1227">IF(LineærRegression_Valg[[#This Row],[Indenfor range]],INDEX(DataTitel_liste,LineærRegression_Valg[[#This Row],[Afhængig variabel ID]]),INDEX(DataTitel_liste,1))</f>
        <v>Eksempel 1 (interval)</v>
      </c>
      <c r="G1227" s="171" t="str" cm="1">
        <f t="array" ref="G1227">IF(LineærRegression_Valg[[#This Row],[Indenfor range]],IF(LineærRegression_Valg[[#This Row],[Intet overlap]],INDEX(DataTitel_liste,LineærRegression_Valg[[#This Row],[Uafhængig variabel ID]]),INDEX(DataTitel_liste,IF(LineærRegression_Valg[[#This Row],[Afhængig variabel ID]]=1,2,1))),$B$7)</f>
        <v>Eksempel 2 (interval)</v>
      </c>
      <c r="H1227" s="171">
        <f>_xlfn.AGGREGATE(2,5,LineærRegression_Valg[[#This Row],[Tabel ID]])</f>
        <v>1</v>
      </c>
    </row>
    <row r="1228" spans="1:8" x14ac:dyDescent="0.2">
      <c r="A1228">
        <f>ROW(LineærRegression_Valg[[#This Row],[Tabel ID]])-ROW(LineærRegression_Valg[[#Headers],[Tabel ID]])</f>
        <v>1218</v>
      </c>
      <c r="B1228" s="171">
        <f>ROUNDDOWN((LineærRegression_Valg[[#This Row],[Tabel ID]]-1)/$B$5,0)+1</f>
        <v>305</v>
      </c>
      <c r="C1228" s="171">
        <f t="shared" si="19"/>
        <v>2</v>
      </c>
      <c r="D1228" s="171" t="b">
        <f>LineærRegression_Valg[[#This Row],[Afhængig variabel ID]]&lt;&gt;LineærRegression_Valg[[#This Row],[Uafhængig variabel ID]]</f>
        <v>1</v>
      </c>
      <c r="E1228" t="b">
        <f>LineærRegression_Valg[[#This Row],[Afhængig variabel ID]]&lt;=$B$5</f>
        <v>0</v>
      </c>
      <c r="F1228" t="str" cm="1">
        <f t="array" ref="F1228">IF(LineærRegression_Valg[[#This Row],[Indenfor range]],INDEX(DataTitel_liste,LineærRegression_Valg[[#This Row],[Afhængig variabel ID]]),INDEX(DataTitel_liste,1))</f>
        <v>Eksempel 1 (interval)</v>
      </c>
      <c r="G1228" s="171" t="str" cm="1">
        <f t="array" ref="G1228">IF(LineærRegression_Valg[[#This Row],[Indenfor range]],IF(LineærRegression_Valg[[#This Row],[Intet overlap]],INDEX(DataTitel_liste,LineærRegression_Valg[[#This Row],[Uafhængig variabel ID]]),INDEX(DataTitel_liste,IF(LineærRegression_Valg[[#This Row],[Afhængig variabel ID]]=1,2,1))),$B$7)</f>
        <v>Eksempel 2 (interval)</v>
      </c>
      <c r="H1228" s="171">
        <f>_xlfn.AGGREGATE(2,5,LineærRegression_Valg[[#This Row],[Tabel ID]])</f>
        <v>1</v>
      </c>
    </row>
    <row r="1229" spans="1:8" x14ac:dyDescent="0.2">
      <c r="A1229">
        <f>ROW(LineærRegression_Valg[[#This Row],[Tabel ID]])-ROW(LineærRegression_Valg[[#Headers],[Tabel ID]])</f>
        <v>1219</v>
      </c>
      <c r="B1229" s="171">
        <f>ROUNDDOWN((LineærRegression_Valg[[#This Row],[Tabel ID]]-1)/$B$5,0)+1</f>
        <v>305</v>
      </c>
      <c r="C1229" s="171">
        <f t="shared" si="19"/>
        <v>3</v>
      </c>
      <c r="D1229" s="171" t="b">
        <f>LineærRegression_Valg[[#This Row],[Afhængig variabel ID]]&lt;&gt;LineærRegression_Valg[[#This Row],[Uafhængig variabel ID]]</f>
        <v>1</v>
      </c>
      <c r="E1229" t="b">
        <f>LineærRegression_Valg[[#This Row],[Afhængig variabel ID]]&lt;=$B$5</f>
        <v>0</v>
      </c>
      <c r="F1229" t="str" cm="1">
        <f t="array" ref="F1229">IF(LineærRegression_Valg[[#This Row],[Indenfor range]],INDEX(DataTitel_liste,LineærRegression_Valg[[#This Row],[Afhængig variabel ID]]),INDEX(DataTitel_liste,1))</f>
        <v>Eksempel 1 (interval)</v>
      </c>
      <c r="G1229" s="171" t="str" cm="1">
        <f t="array" ref="G1229">IF(LineærRegression_Valg[[#This Row],[Indenfor range]],IF(LineærRegression_Valg[[#This Row],[Intet overlap]],INDEX(DataTitel_liste,LineærRegression_Valg[[#This Row],[Uafhængig variabel ID]]),INDEX(DataTitel_liste,IF(LineærRegression_Valg[[#This Row],[Afhængig variabel ID]]=1,2,1))),$B$7)</f>
        <v>Eksempel 2 (interval)</v>
      </c>
      <c r="H1229" s="171">
        <f>_xlfn.AGGREGATE(2,5,LineærRegression_Valg[[#This Row],[Tabel ID]])</f>
        <v>1</v>
      </c>
    </row>
    <row r="1230" spans="1:8" x14ac:dyDescent="0.2">
      <c r="A1230">
        <f>ROW(LineærRegression_Valg[[#This Row],[Tabel ID]])-ROW(LineærRegression_Valg[[#Headers],[Tabel ID]])</f>
        <v>1220</v>
      </c>
      <c r="B1230" s="171">
        <f>ROUNDDOWN((LineærRegression_Valg[[#This Row],[Tabel ID]]-1)/$B$5,0)+1</f>
        <v>305</v>
      </c>
      <c r="C1230" s="171">
        <f t="shared" si="19"/>
        <v>4</v>
      </c>
      <c r="D1230" s="171" t="b">
        <f>LineærRegression_Valg[[#This Row],[Afhængig variabel ID]]&lt;&gt;LineærRegression_Valg[[#This Row],[Uafhængig variabel ID]]</f>
        <v>1</v>
      </c>
      <c r="E1230" t="b">
        <f>LineærRegression_Valg[[#This Row],[Afhængig variabel ID]]&lt;=$B$5</f>
        <v>0</v>
      </c>
      <c r="F1230" t="str" cm="1">
        <f t="array" ref="F1230">IF(LineærRegression_Valg[[#This Row],[Indenfor range]],INDEX(DataTitel_liste,LineærRegression_Valg[[#This Row],[Afhængig variabel ID]]),INDEX(DataTitel_liste,1))</f>
        <v>Eksempel 1 (interval)</v>
      </c>
      <c r="G1230" s="171" t="str" cm="1">
        <f t="array" ref="G1230">IF(LineærRegression_Valg[[#This Row],[Indenfor range]],IF(LineærRegression_Valg[[#This Row],[Intet overlap]],INDEX(DataTitel_liste,LineærRegression_Valg[[#This Row],[Uafhængig variabel ID]]),INDEX(DataTitel_liste,IF(LineærRegression_Valg[[#This Row],[Afhængig variabel ID]]=1,2,1))),$B$7)</f>
        <v>Eksempel 2 (interval)</v>
      </c>
      <c r="H1230" s="171">
        <f>_xlfn.AGGREGATE(2,5,LineærRegression_Valg[[#This Row],[Tabel ID]])</f>
        <v>1</v>
      </c>
    </row>
    <row r="1231" spans="1:8" x14ac:dyDescent="0.2">
      <c r="A1231">
        <f>ROW(LineærRegression_Valg[[#This Row],[Tabel ID]])-ROW(LineærRegression_Valg[[#Headers],[Tabel ID]])</f>
        <v>1221</v>
      </c>
      <c r="B1231" s="171">
        <f>ROUNDDOWN((LineærRegression_Valg[[#This Row],[Tabel ID]]-1)/$B$5,0)+1</f>
        <v>306</v>
      </c>
      <c r="C1231" s="171">
        <f t="shared" si="19"/>
        <v>1</v>
      </c>
      <c r="D1231" s="171" t="b">
        <f>LineærRegression_Valg[[#This Row],[Afhængig variabel ID]]&lt;&gt;LineærRegression_Valg[[#This Row],[Uafhængig variabel ID]]</f>
        <v>1</v>
      </c>
      <c r="E1231" t="b">
        <f>LineærRegression_Valg[[#This Row],[Afhængig variabel ID]]&lt;=$B$5</f>
        <v>0</v>
      </c>
      <c r="F1231" t="str" cm="1">
        <f t="array" ref="F1231">IF(LineærRegression_Valg[[#This Row],[Indenfor range]],INDEX(DataTitel_liste,LineærRegression_Valg[[#This Row],[Afhængig variabel ID]]),INDEX(DataTitel_liste,1))</f>
        <v>Eksempel 1 (interval)</v>
      </c>
      <c r="G1231" s="171" t="str" cm="1">
        <f t="array" ref="G1231">IF(LineærRegression_Valg[[#This Row],[Indenfor range]],IF(LineærRegression_Valg[[#This Row],[Intet overlap]],INDEX(DataTitel_liste,LineærRegression_Valg[[#This Row],[Uafhængig variabel ID]]),INDEX(DataTitel_liste,IF(LineærRegression_Valg[[#This Row],[Afhængig variabel ID]]=1,2,1))),$B$7)</f>
        <v>Eksempel 2 (interval)</v>
      </c>
      <c r="H1231" s="171">
        <f>_xlfn.AGGREGATE(2,5,LineærRegression_Valg[[#This Row],[Tabel ID]])</f>
        <v>1</v>
      </c>
    </row>
    <row r="1232" spans="1:8" x14ac:dyDescent="0.2">
      <c r="A1232">
        <f>ROW(LineærRegression_Valg[[#This Row],[Tabel ID]])-ROW(LineærRegression_Valg[[#Headers],[Tabel ID]])</f>
        <v>1222</v>
      </c>
      <c r="B1232" s="171">
        <f>ROUNDDOWN((LineærRegression_Valg[[#This Row],[Tabel ID]]-1)/$B$5,0)+1</f>
        <v>306</v>
      </c>
      <c r="C1232" s="171">
        <f t="shared" si="19"/>
        <v>2</v>
      </c>
      <c r="D1232" s="171" t="b">
        <f>LineærRegression_Valg[[#This Row],[Afhængig variabel ID]]&lt;&gt;LineærRegression_Valg[[#This Row],[Uafhængig variabel ID]]</f>
        <v>1</v>
      </c>
      <c r="E1232" t="b">
        <f>LineærRegression_Valg[[#This Row],[Afhængig variabel ID]]&lt;=$B$5</f>
        <v>0</v>
      </c>
      <c r="F1232" t="str" cm="1">
        <f t="array" ref="F1232">IF(LineærRegression_Valg[[#This Row],[Indenfor range]],INDEX(DataTitel_liste,LineærRegression_Valg[[#This Row],[Afhængig variabel ID]]),INDEX(DataTitel_liste,1))</f>
        <v>Eksempel 1 (interval)</v>
      </c>
      <c r="G1232" s="171" t="str" cm="1">
        <f t="array" ref="G1232">IF(LineærRegression_Valg[[#This Row],[Indenfor range]],IF(LineærRegression_Valg[[#This Row],[Intet overlap]],INDEX(DataTitel_liste,LineærRegression_Valg[[#This Row],[Uafhængig variabel ID]]),INDEX(DataTitel_liste,IF(LineærRegression_Valg[[#This Row],[Afhængig variabel ID]]=1,2,1))),$B$7)</f>
        <v>Eksempel 2 (interval)</v>
      </c>
      <c r="H1232" s="171">
        <f>_xlfn.AGGREGATE(2,5,LineærRegression_Valg[[#This Row],[Tabel ID]])</f>
        <v>1</v>
      </c>
    </row>
    <row r="1233" spans="1:8" x14ac:dyDescent="0.2">
      <c r="A1233">
        <f>ROW(LineærRegression_Valg[[#This Row],[Tabel ID]])-ROW(LineærRegression_Valg[[#Headers],[Tabel ID]])</f>
        <v>1223</v>
      </c>
      <c r="B1233" s="171">
        <f>ROUNDDOWN((LineærRegression_Valg[[#This Row],[Tabel ID]]-1)/$B$5,0)+1</f>
        <v>306</v>
      </c>
      <c r="C1233" s="171">
        <f t="shared" si="19"/>
        <v>3</v>
      </c>
      <c r="D1233" s="171" t="b">
        <f>LineærRegression_Valg[[#This Row],[Afhængig variabel ID]]&lt;&gt;LineærRegression_Valg[[#This Row],[Uafhængig variabel ID]]</f>
        <v>1</v>
      </c>
      <c r="E1233" t="b">
        <f>LineærRegression_Valg[[#This Row],[Afhængig variabel ID]]&lt;=$B$5</f>
        <v>0</v>
      </c>
      <c r="F1233" t="str" cm="1">
        <f t="array" ref="F1233">IF(LineærRegression_Valg[[#This Row],[Indenfor range]],INDEX(DataTitel_liste,LineærRegression_Valg[[#This Row],[Afhængig variabel ID]]),INDEX(DataTitel_liste,1))</f>
        <v>Eksempel 1 (interval)</v>
      </c>
      <c r="G1233" s="171" t="str" cm="1">
        <f t="array" ref="G1233">IF(LineærRegression_Valg[[#This Row],[Indenfor range]],IF(LineærRegression_Valg[[#This Row],[Intet overlap]],INDEX(DataTitel_liste,LineærRegression_Valg[[#This Row],[Uafhængig variabel ID]]),INDEX(DataTitel_liste,IF(LineærRegression_Valg[[#This Row],[Afhængig variabel ID]]=1,2,1))),$B$7)</f>
        <v>Eksempel 2 (interval)</v>
      </c>
      <c r="H1233" s="171">
        <f>_xlfn.AGGREGATE(2,5,LineærRegression_Valg[[#This Row],[Tabel ID]])</f>
        <v>1</v>
      </c>
    </row>
    <row r="1234" spans="1:8" x14ac:dyDescent="0.2">
      <c r="A1234">
        <f>ROW(LineærRegression_Valg[[#This Row],[Tabel ID]])-ROW(LineærRegression_Valg[[#Headers],[Tabel ID]])</f>
        <v>1224</v>
      </c>
      <c r="B1234" s="171">
        <f>ROUNDDOWN((LineærRegression_Valg[[#This Row],[Tabel ID]]-1)/$B$5,0)+1</f>
        <v>306</v>
      </c>
      <c r="C1234" s="171">
        <f t="shared" si="19"/>
        <v>4</v>
      </c>
      <c r="D1234" s="171" t="b">
        <f>LineærRegression_Valg[[#This Row],[Afhængig variabel ID]]&lt;&gt;LineærRegression_Valg[[#This Row],[Uafhængig variabel ID]]</f>
        <v>1</v>
      </c>
      <c r="E1234" t="b">
        <f>LineærRegression_Valg[[#This Row],[Afhængig variabel ID]]&lt;=$B$5</f>
        <v>0</v>
      </c>
      <c r="F1234" t="str" cm="1">
        <f t="array" ref="F1234">IF(LineærRegression_Valg[[#This Row],[Indenfor range]],INDEX(DataTitel_liste,LineærRegression_Valg[[#This Row],[Afhængig variabel ID]]),INDEX(DataTitel_liste,1))</f>
        <v>Eksempel 1 (interval)</v>
      </c>
      <c r="G1234" s="171" t="str" cm="1">
        <f t="array" ref="G1234">IF(LineærRegression_Valg[[#This Row],[Indenfor range]],IF(LineærRegression_Valg[[#This Row],[Intet overlap]],INDEX(DataTitel_liste,LineærRegression_Valg[[#This Row],[Uafhængig variabel ID]]),INDEX(DataTitel_liste,IF(LineærRegression_Valg[[#This Row],[Afhængig variabel ID]]=1,2,1))),$B$7)</f>
        <v>Eksempel 2 (interval)</v>
      </c>
      <c r="H1234" s="171">
        <f>_xlfn.AGGREGATE(2,5,LineærRegression_Valg[[#This Row],[Tabel ID]])</f>
        <v>1</v>
      </c>
    </row>
    <row r="1235" spans="1:8" x14ac:dyDescent="0.2">
      <c r="A1235">
        <f>ROW(LineærRegression_Valg[[#This Row],[Tabel ID]])-ROW(LineærRegression_Valg[[#Headers],[Tabel ID]])</f>
        <v>1225</v>
      </c>
      <c r="B1235" s="171">
        <f>ROUNDDOWN((LineærRegression_Valg[[#This Row],[Tabel ID]]-1)/$B$5,0)+1</f>
        <v>307</v>
      </c>
      <c r="C1235" s="171">
        <f t="shared" si="19"/>
        <v>1</v>
      </c>
      <c r="D1235" s="171" t="b">
        <f>LineærRegression_Valg[[#This Row],[Afhængig variabel ID]]&lt;&gt;LineærRegression_Valg[[#This Row],[Uafhængig variabel ID]]</f>
        <v>1</v>
      </c>
      <c r="E1235" t="b">
        <f>LineærRegression_Valg[[#This Row],[Afhængig variabel ID]]&lt;=$B$5</f>
        <v>0</v>
      </c>
      <c r="F1235" t="str" cm="1">
        <f t="array" ref="F1235">IF(LineærRegression_Valg[[#This Row],[Indenfor range]],INDEX(DataTitel_liste,LineærRegression_Valg[[#This Row],[Afhængig variabel ID]]),INDEX(DataTitel_liste,1))</f>
        <v>Eksempel 1 (interval)</v>
      </c>
      <c r="G1235" s="171" t="str" cm="1">
        <f t="array" ref="G1235">IF(LineærRegression_Valg[[#This Row],[Indenfor range]],IF(LineærRegression_Valg[[#This Row],[Intet overlap]],INDEX(DataTitel_liste,LineærRegression_Valg[[#This Row],[Uafhængig variabel ID]]),INDEX(DataTitel_liste,IF(LineærRegression_Valg[[#This Row],[Afhængig variabel ID]]=1,2,1))),$B$7)</f>
        <v>Eksempel 2 (interval)</v>
      </c>
      <c r="H1235" s="171">
        <f>_xlfn.AGGREGATE(2,5,LineærRegression_Valg[[#This Row],[Tabel ID]])</f>
        <v>1</v>
      </c>
    </row>
    <row r="1236" spans="1:8" x14ac:dyDescent="0.2">
      <c r="A1236">
        <f>ROW(LineærRegression_Valg[[#This Row],[Tabel ID]])-ROW(LineærRegression_Valg[[#Headers],[Tabel ID]])</f>
        <v>1226</v>
      </c>
      <c r="B1236" s="171">
        <f>ROUNDDOWN((LineærRegression_Valg[[#This Row],[Tabel ID]]-1)/$B$5,0)+1</f>
        <v>307</v>
      </c>
      <c r="C1236" s="171">
        <f t="shared" si="19"/>
        <v>2</v>
      </c>
      <c r="D1236" s="171" t="b">
        <f>LineærRegression_Valg[[#This Row],[Afhængig variabel ID]]&lt;&gt;LineærRegression_Valg[[#This Row],[Uafhængig variabel ID]]</f>
        <v>1</v>
      </c>
      <c r="E1236" t="b">
        <f>LineærRegression_Valg[[#This Row],[Afhængig variabel ID]]&lt;=$B$5</f>
        <v>0</v>
      </c>
      <c r="F1236" t="str" cm="1">
        <f t="array" ref="F1236">IF(LineærRegression_Valg[[#This Row],[Indenfor range]],INDEX(DataTitel_liste,LineærRegression_Valg[[#This Row],[Afhængig variabel ID]]),INDEX(DataTitel_liste,1))</f>
        <v>Eksempel 1 (interval)</v>
      </c>
      <c r="G1236" s="171" t="str" cm="1">
        <f t="array" ref="G1236">IF(LineærRegression_Valg[[#This Row],[Indenfor range]],IF(LineærRegression_Valg[[#This Row],[Intet overlap]],INDEX(DataTitel_liste,LineærRegression_Valg[[#This Row],[Uafhængig variabel ID]]),INDEX(DataTitel_liste,IF(LineærRegression_Valg[[#This Row],[Afhængig variabel ID]]=1,2,1))),$B$7)</f>
        <v>Eksempel 2 (interval)</v>
      </c>
      <c r="H1236" s="171">
        <f>_xlfn.AGGREGATE(2,5,LineærRegression_Valg[[#This Row],[Tabel ID]])</f>
        <v>1</v>
      </c>
    </row>
    <row r="1237" spans="1:8" x14ac:dyDescent="0.2">
      <c r="A1237">
        <f>ROW(LineærRegression_Valg[[#This Row],[Tabel ID]])-ROW(LineærRegression_Valg[[#Headers],[Tabel ID]])</f>
        <v>1227</v>
      </c>
      <c r="B1237" s="171">
        <f>ROUNDDOWN((LineærRegression_Valg[[#This Row],[Tabel ID]]-1)/$B$5,0)+1</f>
        <v>307</v>
      </c>
      <c r="C1237" s="171">
        <f t="shared" si="19"/>
        <v>3</v>
      </c>
      <c r="D1237" s="171" t="b">
        <f>LineærRegression_Valg[[#This Row],[Afhængig variabel ID]]&lt;&gt;LineærRegression_Valg[[#This Row],[Uafhængig variabel ID]]</f>
        <v>1</v>
      </c>
      <c r="E1237" t="b">
        <f>LineærRegression_Valg[[#This Row],[Afhængig variabel ID]]&lt;=$B$5</f>
        <v>0</v>
      </c>
      <c r="F1237" t="str" cm="1">
        <f t="array" ref="F1237">IF(LineærRegression_Valg[[#This Row],[Indenfor range]],INDEX(DataTitel_liste,LineærRegression_Valg[[#This Row],[Afhængig variabel ID]]),INDEX(DataTitel_liste,1))</f>
        <v>Eksempel 1 (interval)</v>
      </c>
      <c r="G1237" s="171" t="str" cm="1">
        <f t="array" ref="G1237">IF(LineærRegression_Valg[[#This Row],[Indenfor range]],IF(LineærRegression_Valg[[#This Row],[Intet overlap]],INDEX(DataTitel_liste,LineærRegression_Valg[[#This Row],[Uafhængig variabel ID]]),INDEX(DataTitel_liste,IF(LineærRegression_Valg[[#This Row],[Afhængig variabel ID]]=1,2,1))),$B$7)</f>
        <v>Eksempel 2 (interval)</v>
      </c>
      <c r="H1237" s="171">
        <f>_xlfn.AGGREGATE(2,5,LineærRegression_Valg[[#This Row],[Tabel ID]])</f>
        <v>1</v>
      </c>
    </row>
    <row r="1238" spans="1:8" x14ac:dyDescent="0.2">
      <c r="A1238">
        <f>ROW(LineærRegression_Valg[[#This Row],[Tabel ID]])-ROW(LineærRegression_Valg[[#Headers],[Tabel ID]])</f>
        <v>1228</v>
      </c>
      <c r="B1238" s="171">
        <f>ROUNDDOWN((LineærRegression_Valg[[#This Row],[Tabel ID]]-1)/$B$5,0)+1</f>
        <v>307</v>
      </c>
      <c r="C1238" s="171">
        <f t="shared" si="19"/>
        <v>4</v>
      </c>
      <c r="D1238" s="171" t="b">
        <f>LineærRegression_Valg[[#This Row],[Afhængig variabel ID]]&lt;&gt;LineærRegression_Valg[[#This Row],[Uafhængig variabel ID]]</f>
        <v>1</v>
      </c>
      <c r="E1238" t="b">
        <f>LineærRegression_Valg[[#This Row],[Afhængig variabel ID]]&lt;=$B$5</f>
        <v>0</v>
      </c>
      <c r="F1238" t="str" cm="1">
        <f t="array" ref="F1238">IF(LineærRegression_Valg[[#This Row],[Indenfor range]],INDEX(DataTitel_liste,LineærRegression_Valg[[#This Row],[Afhængig variabel ID]]),INDEX(DataTitel_liste,1))</f>
        <v>Eksempel 1 (interval)</v>
      </c>
      <c r="G1238" s="171" t="str" cm="1">
        <f t="array" ref="G1238">IF(LineærRegression_Valg[[#This Row],[Indenfor range]],IF(LineærRegression_Valg[[#This Row],[Intet overlap]],INDEX(DataTitel_liste,LineærRegression_Valg[[#This Row],[Uafhængig variabel ID]]),INDEX(DataTitel_liste,IF(LineærRegression_Valg[[#This Row],[Afhængig variabel ID]]=1,2,1))),$B$7)</f>
        <v>Eksempel 2 (interval)</v>
      </c>
      <c r="H1238" s="171">
        <f>_xlfn.AGGREGATE(2,5,LineærRegression_Valg[[#This Row],[Tabel ID]])</f>
        <v>1</v>
      </c>
    </row>
    <row r="1239" spans="1:8" x14ac:dyDescent="0.2">
      <c r="A1239">
        <f>ROW(LineærRegression_Valg[[#This Row],[Tabel ID]])-ROW(LineærRegression_Valg[[#Headers],[Tabel ID]])</f>
        <v>1229</v>
      </c>
      <c r="B1239" s="171">
        <f>ROUNDDOWN((LineærRegression_Valg[[#This Row],[Tabel ID]]-1)/$B$5,0)+1</f>
        <v>308</v>
      </c>
      <c r="C1239" s="171">
        <f t="shared" si="19"/>
        <v>1</v>
      </c>
      <c r="D1239" s="171" t="b">
        <f>LineærRegression_Valg[[#This Row],[Afhængig variabel ID]]&lt;&gt;LineærRegression_Valg[[#This Row],[Uafhængig variabel ID]]</f>
        <v>1</v>
      </c>
      <c r="E1239" t="b">
        <f>LineærRegression_Valg[[#This Row],[Afhængig variabel ID]]&lt;=$B$5</f>
        <v>0</v>
      </c>
      <c r="F1239" t="str" cm="1">
        <f t="array" ref="F1239">IF(LineærRegression_Valg[[#This Row],[Indenfor range]],INDEX(DataTitel_liste,LineærRegression_Valg[[#This Row],[Afhængig variabel ID]]),INDEX(DataTitel_liste,1))</f>
        <v>Eksempel 1 (interval)</v>
      </c>
      <c r="G1239" s="171" t="str" cm="1">
        <f t="array" ref="G1239">IF(LineærRegression_Valg[[#This Row],[Indenfor range]],IF(LineærRegression_Valg[[#This Row],[Intet overlap]],INDEX(DataTitel_liste,LineærRegression_Valg[[#This Row],[Uafhængig variabel ID]]),INDEX(DataTitel_liste,IF(LineærRegression_Valg[[#This Row],[Afhængig variabel ID]]=1,2,1))),$B$7)</f>
        <v>Eksempel 2 (interval)</v>
      </c>
      <c r="H1239" s="171">
        <f>_xlfn.AGGREGATE(2,5,LineærRegression_Valg[[#This Row],[Tabel ID]])</f>
        <v>1</v>
      </c>
    </row>
    <row r="1240" spans="1:8" x14ac:dyDescent="0.2">
      <c r="A1240">
        <f>ROW(LineærRegression_Valg[[#This Row],[Tabel ID]])-ROW(LineærRegression_Valg[[#Headers],[Tabel ID]])</f>
        <v>1230</v>
      </c>
      <c r="B1240" s="171">
        <f>ROUNDDOWN((LineærRegression_Valg[[#This Row],[Tabel ID]]-1)/$B$5,0)+1</f>
        <v>308</v>
      </c>
      <c r="C1240" s="171">
        <f t="shared" si="19"/>
        <v>2</v>
      </c>
      <c r="D1240" s="171" t="b">
        <f>LineærRegression_Valg[[#This Row],[Afhængig variabel ID]]&lt;&gt;LineærRegression_Valg[[#This Row],[Uafhængig variabel ID]]</f>
        <v>1</v>
      </c>
      <c r="E1240" t="b">
        <f>LineærRegression_Valg[[#This Row],[Afhængig variabel ID]]&lt;=$B$5</f>
        <v>0</v>
      </c>
      <c r="F1240" t="str" cm="1">
        <f t="array" ref="F1240">IF(LineærRegression_Valg[[#This Row],[Indenfor range]],INDEX(DataTitel_liste,LineærRegression_Valg[[#This Row],[Afhængig variabel ID]]),INDEX(DataTitel_liste,1))</f>
        <v>Eksempel 1 (interval)</v>
      </c>
      <c r="G1240" s="171" t="str" cm="1">
        <f t="array" ref="G1240">IF(LineærRegression_Valg[[#This Row],[Indenfor range]],IF(LineærRegression_Valg[[#This Row],[Intet overlap]],INDEX(DataTitel_liste,LineærRegression_Valg[[#This Row],[Uafhængig variabel ID]]),INDEX(DataTitel_liste,IF(LineærRegression_Valg[[#This Row],[Afhængig variabel ID]]=1,2,1))),$B$7)</f>
        <v>Eksempel 2 (interval)</v>
      </c>
      <c r="H1240" s="171">
        <f>_xlfn.AGGREGATE(2,5,LineærRegression_Valg[[#This Row],[Tabel ID]])</f>
        <v>1</v>
      </c>
    </row>
    <row r="1241" spans="1:8" x14ac:dyDescent="0.2">
      <c r="A1241">
        <f>ROW(LineærRegression_Valg[[#This Row],[Tabel ID]])-ROW(LineærRegression_Valg[[#Headers],[Tabel ID]])</f>
        <v>1231</v>
      </c>
      <c r="B1241" s="171">
        <f>ROUNDDOWN((LineærRegression_Valg[[#This Row],[Tabel ID]]-1)/$B$5,0)+1</f>
        <v>308</v>
      </c>
      <c r="C1241" s="171">
        <f t="shared" si="19"/>
        <v>3</v>
      </c>
      <c r="D1241" s="171" t="b">
        <f>LineærRegression_Valg[[#This Row],[Afhængig variabel ID]]&lt;&gt;LineærRegression_Valg[[#This Row],[Uafhængig variabel ID]]</f>
        <v>1</v>
      </c>
      <c r="E1241" t="b">
        <f>LineærRegression_Valg[[#This Row],[Afhængig variabel ID]]&lt;=$B$5</f>
        <v>0</v>
      </c>
      <c r="F1241" t="str" cm="1">
        <f t="array" ref="F1241">IF(LineærRegression_Valg[[#This Row],[Indenfor range]],INDEX(DataTitel_liste,LineærRegression_Valg[[#This Row],[Afhængig variabel ID]]),INDEX(DataTitel_liste,1))</f>
        <v>Eksempel 1 (interval)</v>
      </c>
      <c r="G1241" s="171" t="str" cm="1">
        <f t="array" ref="G1241">IF(LineærRegression_Valg[[#This Row],[Indenfor range]],IF(LineærRegression_Valg[[#This Row],[Intet overlap]],INDEX(DataTitel_liste,LineærRegression_Valg[[#This Row],[Uafhængig variabel ID]]),INDEX(DataTitel_liste,IF(LineærRegression_Valg[[#This Row],[Afhængig variabel ID]]=1,2,1))),$B$7)</f>
        <v>Eksempel 2 (interval)</v>
      </c>
      <c r="H1241" s="171">
        <f>_xlfn.AGGREGATE(2,5,LineærRegression_Valg[[#This Row],[Tabel ID]])</f>
        <v>1</v>
      </c>
    </row>
    <row r="1242" spans="1:8" x14ac:dyDescent="0.2">
      <c r="A1242">
        <f>ROW(LineærRegression_Valg[[#This Row],[Tabel ID]])-ROW(LineærRegression_Valg[[#Headers],[Tabel ID]])</f>
        <v>1232</v>
      </c>
      <c r="B1242" s="171">
        <f>ROUNDDOWN((LineærRegression_Valg[[#This Row],[Tabel ID]]-1)/$B$5,0)+1</f>
        <v>308</v>
      </c>
      <c r="C1242" s="171">
        <f t="shared" si="19"/>
        <v>4</v>
      </c>
      <c r="D1242" s="171" t="b">
        <f>LineærRegression_Valg[[#This Row],[Afhængig variabel ID]]&lt;&gt;LineærRegression_Valg[[#This Row],[Uafhængig variabel ID]]</f>
        <v>1</v>
      </c>
      <c r="E1242" t="b">
        <f>LineærRegression_Valg[[#This Row],[Afhængig variabel ID]]&lt;=$B$5</f>
        <v>0</v>
      </c>
      <c r="F1242" t="str" cm="1">
        <f t="array" ref="F1242">IF(LineærRegression_Valg[[#This Row],[Indenfor range]],INDEX(DataTitel_liste,LineærRegression_Valg[[#This Row],[Afhængig variabel ID]]),INDEX(DataTitel_liste,1))</f>
        <v>Eksempel 1 (interval)</v>
      </c>
      <c r="G1242" s="171" t="str" cm="1">
        <f t="array" ref="G1242">IF(LineærRegression_Valg[[#This Row],[Indenfor range]],IF(LineærRegression_Valg[[#This Row],[Intet overlap]],INDEX(DataTitel_liste,LineærRegression_Valg[[#This Row],[Uafhængig variabel ID]]),INDEX(DataTitel_liste,IF(LineærRegression_Valg[[#This Row],[Afhængig variabel ID]]=1,2,1))),$B$7)</f>
        <v>Eksempel 2 (interval)</v>
      </c>
      <c r="H1242" s="171">
        <f>_xlfn.AGGREGATE(2,5,LineærRegression_Valg[[#This Row],[Tabel ID]])</f>
        <v>1</v>
      </c>
    </row>
    <row r="1243" spans="1:8" x14ac:dyDescent="0.2">
      <c r="A1243">
        <f>ROW(LineærRegression_Valg[[#This Row],[Tabel ID]])-ROW(LineærRegression_Valg[[#Headers],[Tabel ID]])</f>
        <v>1233</v>
      </c>
      <c r="B1243" s="171">
        <f>ROUNDDOWN((LineærRegression_Valg[[#This Row],[Tabel ID]]-1)/$B$5,0)+1</f>
        <v>309</v>
      </c>
      <c r="C1243" s="171">
        <f t="shared" si="19"/>
        <v>1</v>
      </c>
      <c r="D1243" s="171" t="b">
        <f>LineærRegression_Valg[[#This Row],[Afhængig variabel ID]]&lt;&gt;LineærRegression_Valg[[#This Row],[Uafhængig variabel ID]]</f>
        <v>1</v>
      </c>
      <c r="E1243" t="b">
        <f>LineærRegression_Valg[[#This Row],[Afhængig variabel ID]]&lt;=$B$5</f>
        <v>0</v>
      </c>
      <c r="F1243" t="str" cm="1">
        <f t="array" ref="F1243">IF(LineærRegression_Valg[[#This Row],[Indenfor range]],INDEX(DataTitel_liste,LineærRegression_Valg[[#This Row],[Afhængig variabel ID]]),INDEX(DataTitel_liste,1))</f>
        <v>Eksempel 1 (interval)</v>
      </c>
      <c r="G1243" s="171" t="str" cm="1">
        <f t="array" ref="G1243">IF(LineærRegression_Valg[[#This Row],[Indenfor range]],IF(LineærRegression_Valg[[#This Row],[Intet overlap]],INDEX(DataTitel_liste,LineærRegression_Valg[[#This Row],[Uafhængig variabel ID]]),INDEX(DataTitel_liste,IF(LineærRegression_Valg[[#This Row],[Afhængig variabel ID]]=1,2,1))),$B$7)</f>
        <v>Eksempel 2 (interval)</v>
      </c>
      <c r="H1243" s="171">
        <f>_xlfn.AGGREGATE(2,5,LineærRegression_Valg[[#This Row],[Tabel ID]])</f>
        <v>1</v>
      </c>
    </row>
    <row r="1244" spans="1:8" x14ac:dyDescent="0.2">
      <c r="A1244">
        <f>ROW(LineærRegression_Valg[[#This Row],[Tabel ID]])-ROW(LineærRegression_Valg[[#Headers],[Tabel ID]])</f>
        <v>1234</v>
      </c>
      <c r="B1244" s="171">
        <f>ROUNDDOWN((LineærRegression_Valg[[#This Row],[Tabel ID]]-1)/$B$5,0)+1</f>
        <v>309</v>
      </c>
      <c r="C1244" s="171">
        <f t="shared" si="19"/>
        <v>2</v>
      </c>
      <c r="D1244" s="171" t="b">
        <f>LineærRegression_Valg[[#This Row],[Afhængig variabel ID]]&lt;&gt;LineærRegression_Valg[[#This Row],[Uafhængig variabel ID]]</f>
        <v>1</v>
      </c>
      <c r="E1244" t="b">
        <f>LineærRegression_Valg[[#This Row],[Afhængig variabel ID]]&lt;=$B$5</f>
        <v>0</v>
      </c>
      <c r="F1244" t="str" cm="1">
        <f t="array" ref="F1244">IF(LineærRegression_Valg[[#This Row],[Indenfor range]],INDEX(DataTitel_liste,LineærRegression_Valg[[#This Row],[Afhængig variabel ID]]),INDEX(DataTitel_liste,1))</f>
        <v>Eksempel 1 (interval)</v>
      </c>
      <c r="G1244" s="171" t="str" cm="1">
        <f t="array" ref="G1244">IF(LineærRegression_Valg[[#This Row],[Indenfor range]],IF(LineærRegression_Valg[[#This Row],[Intet overlap]],INDEX(DataTitel_liste,LineærRegression_Valg[[#This Row],[Uafhængig variabel ID]]),INDEX(DataTitel_liste,IF(LineærRegression_Valg[[#This Row],[Afhængig variabel ID]]=1,2,1))),$B$7)</f>
        <v>Eksempel 2 (interval)</v>
      </c>
      <c r="H1244" s="171">
        <f>_xlfn.AGGREGATE(2,5,LineærRegression_Valg[[#This Row],[Tabel ID]])</f>
        <v>1</v>
      </c>
    </row>
    <row r="1245" spans="1:8" x14ac:dyDescent="0.2">
      <c r="A1245">
        <f>ROW(LineærRegression_Valg[[#This Row],[Tabel ID]])-ROW(LineærRegression_Valg[[#Headers],[Tabel ID]])</f>
        <v>1235</v>
      </c>
      <c r="B1245" s="171">
        <f>ROUNDDOWN((LineærRegression_Valg[[#This Row],[Tabel ID]]-1)/$B$5,0)+1</f>
        <v>309</v>
      </c>
      <c r="C1245" s="171">
        <f t="shared" si="19"/>
        <v>3</v>
      </c>
      <c r="D1245" s="171" t="b">
        <f>LineærRegression_Valg[[#This Row],[Afhængig variabel ID]]&lt;&gt;LineærRegression_Valg[[#This Row],[Uafhængig variabel ID]]</f>
        <v>1</v>
      </c>
      <c r="E1245" t="b">
        <f>LineærRegression_Valg[[#This Row],[Afhængig variabel ID]]&lt;=$B$5</f>
        <v>0</v>
      </c>
      <c r="F1245" t="str" cm="1">
        <f t="array" ref="F1245">IF(LineærRegression_Valg[[#This Row],[Indenfor range]],INDEX(DataTitel_liste,LineærRegression_Valg[[#This Row],[Afhængig variabel ID]]),INDEX(DataTitel_liste,1))</f>
        <v>Eksempel 1 (interval)</v>
      </c>
      <c r="G1245" s="171" t="str" cm="1">
        <f t="array" ref="G1245">IF(LineærRegression_Valg[[#This Row],[Indenfor range]],IF(LineærRegression_Valg[[#This Row],[Intet overlap]],INDEX(DataTitel_liste,LineærRegression_Valg[[#This Row],[Uafhængig variabel ID]]),INDEX(DataTitel_liste,IF(LineærRegression_Valg[[#This Row],[Afhængig variabel ID]]=1,2,1))),$B$7)</f>
        <v>Eksempel 2 (interval)</v>
      </c>
      <c r="H1245" s="171">
        <f>_xlfn.AGGREGATE(2,5,LineærRegression_Valg[[#This Row],[Tabel ID]])</f>
        <v>1</v>
      </c>
    </row>
    <row r="1246" spans="1:8" x14ac:dyDescent="0.2">
      <c r="A1246">
        <f>ROW(LineærRegression_Valg[[#This Row],[Tabel ID]])-ROW(LineærRegression_Valg[[#Headers],[Tabel ID]])</f>
        <v>1236</v>
      </c>
      <c r="B1246" s="171">
        <f>ROUNDDOWN((LineærRegression_Valg[[#This Row],[Tabel ID]]-1)/$B$5,0)+1</f>
        <v>309</v>
      </c>
      <c r="C1246" s="171">
        <f t="shared" si="19"/>
        <v>4</v>
      </c>
      <c r="D1246" s="171" t="b">
        <f>LineærRegression_Valg[[#This Row],[Afhængig variabel ID]]&lt;&gt;LineærRegression_Valg[[#This Row],[Uafhængig variabel ID]]</f>
        <v>1</v>
      </c>
      <c r="E1246" t="b">
        <f>LineærRegression_Valg[[#This Row],[Afhængig variabel ID]]&lt;=$B$5</f>
        <v>0</v>
      </c>
      <c r="F1246" t="str" cm="1">
        <f t="array" ref="F1246">IF(LineærRegression_Valg[[#This Row],[Indenfor range]],INDEX(DataTitel_liste,LineærRegression_Valg[[#This Row],[Afhængig variabel ID]]),INDEX(DataTitel_liste,1))</f>
        <v>Eksempel 1 (interval)</v>
      </c>
      <c r="G1246" s="171" t="str" cm="1">
        <f t="array" ref="G1246">IF(LineærRegression_Valg[[#This Row],[Indenfor range]],IF(LineærRegression_Valg[[#This Row],[Intet overlap]],INDEX(DataTitel_liste,LineærRegression_Valg[[#This Row],[Uafhængig variabel ID]]),INDEX(DataTitel_liste,IF(LineærRegression_Valg[[#This Row],[Afhængig variabel ID]]=1,2,1))),$B$7)</f>
        <v>Eksempel 2 (interval)</v>
      </c>
      <c r="H1246" s="171">
        <f>_xlfn.AGGREGATE(2,5,LineærRegression_Valg[[#This Row],[Tabel ID]])</f>
        <v>1</v>
      </c>
    </row>
    <row r="1247" spans="1:8" x14ac:dyDescent="0.2">
      <c r="A1247">
        <f>ROW(LineærRegression_Valg[[#This Row],[Tabel ID]])-ROW(LineærRegression_Valg[[#Headers],[Tabel ID]])</f>
        <v>1237</v>
      </c>
      <c r="B1247" s="171">
        <f>ROUNDDOWN((LineærRegression_Valg[[#This Row],[Tabel ID]]-1)/$B$5,0)+1</f>
        <v>310</v>
      </c>
      <c r="C1247" s="171">
        <f t="shared" si="19"/>
        <v>1</v>
      </c>
      <c r="D1247" s="171" t="b">
        <f>LineærRegression_Valg[[#This Row],[Afhængig variabel ID]]&lt;&gt;LineærRegression_Valg[[#This Row],[Uafhængig variabel ID]]</f>
        <v>1</v>
      </c>
      <c r="E1247" t="b">
        <f>LineærRegression_Valg[[#This Row],[Afhængig variabel ID]]&lt;=$B$5</f>
        <v>0</v>
      </c>
      <c r="F1247" t="str" cm="1">
        <f t="array" ref="F1247">IF(LineærRegression_Valg[[#This Row],[Indenfor range]],INDEX(DataTitel_liste,LineærRegression_Valg[[#This Row],[Afhængig variabel ID]]),INDEX(DataTitel_liste,1))</f>
        <v>Eksempel 1 (interval)</v>
      </c>
      <c r="G1247" s="171" t="str" cm="1">
        <f t="array" ref="G1247">IF(LineærRegression_Valg[[#This Row],[Indenfor range]],IF(LineærRegression_Valg[[#This Row],[Intet overlap]],INDEX(DataTitel_liste,LineærRegression_Valg[[#This Row],[Uafhængig variabel ID]]),INDEX(DataTitel_liste,IF(LineærRegression_Valg[[#This Row],[Afhængig variabel ID]]=1,2,1))),$B$7)</f>
        <v>Eksempel 2 (interval)</v>
      </c>
      <c r="H1247" s="171">
        <f>_xlfn.AGGREGATE(2,5,LineærRegression_Valg[[#This Row],[Tabel ID]])</f>
        <v>1</v>
      </c>
    </row>
    <row r="1248" spans="1:8" x14ac:dyDescent="0.2">
      <c r="A1248">
        <f>ROW(LineærRegression_Valg[[#This Row],[Tabel ID]])-ROW(LineærRegression_Valg[[#Headers],[Tabel ID]])</f>
        <v>1238</v>
      </c>
      <c r="B1248" s="171">
        <f>ROUNDDOWN((LineærRegression_Valg[[#This Row],[Tabel ID]]-1)/$B$5,0)+1</f>
        <v>310</v>
      </c>
      <c r="C1248" s="171">
        <f t="shared" si="19"/>
        <v>2</v>
      </c>
      <c r="D1248" s="171" t="b">
        <f>LineærRegression_Valg[[#This Row],[Afhængig variabel ID]]&lt;&gt;LineærRegression_Valg[[#This Row],[Uafhængig variabel ID]]</f>
        <v>1</v>
      </c>
      <c r="E1248" t="b">
        <f>LineærRegression_Valg[[#This Row],[Afhængig variabel ID]]&lt;=$B$5</f>
        <v>0</v>
      </c>
      <c r="F1248" t="str" cm="1">
        <f t="array" ref="F1248">IF(LineærRegression_Valg[[#This Row],[Indenfor range]],INDEX(DataTitel_liste,LineærRegression_Valg[[#This Row],[Afhængig variabel ID]]),INDEX(DataTitel_liste,1))</f>
        <v>Eksempel 1 (interval)</v>
      </c>
      <c r="G1248" s="171" t="str" cm="1">
        <f t="array" ref="G1248">IF(LineærRegression_Valg[[#This Row],[Indenfor range]],IF(LineærRegression_Valg[[#This Row],[Intet overlap]],INDEX(DataTitel_liste,LineærRegression_Valg[[#This Row],[Uafhængig variabel ID]]),INDEX(DataTitel_liste,IF(LineærRegression_Valg[[#This Row],[Afhængig variabel ID]]=1,2,1))),$B$7)</f>
        <v>Eksempel 2 (interval)</v>
      </c>
      <c r="H1248" s="171">
        <f>_xlfn.AGGREGATE(2,5,LineærRegression_Valg[[#This Row],[Tabel ID]])</f>
        <v>1</v>
      </c>
    </row>
    <row r="1249" spans="1:8" x14ac:dyDescent="0.2">
      <c r="A1249">
        <f>ROW(LineærRegression_Valg[[#This Row],[Tabel ID]])-ROW(LineærRegression_Valg[[#Headers],[Tabel ID]])</f>
        <v>1239</v>
      </c>
      <c r="B1249" s="171">
        <f>ROUNDDOWN((LineærRegression_Valg[[#This Row],[Tabel ID]]-1)/$B$5,0)+1</f>
        <v>310</v>
      </c>
      <c r="C1249" s="171">
        <f t="shared" si="19"/>
        <v>3</v>
      </c>
      <c r="D1249" s="171" t="b">
        <f>LineærRegression_Valg[[#This Row],[Afhængig variabel ID]]&lt;&gt;LineærRegression_Valg[[#This Row],[Uafhængig variabel ID]]</f>
        <v>1</v>
      </c>
      <c r="E1249" t="b">
        <f>LineærRegression_Valg[[#This Row],[Afhængig variabel ID]]&lt;=$B$5</f>
        <v>0</v>
      </c>
      <c r="F1249" t="str" cm="1">
        <f t="array" ref="F1249">IF(LineærRegression_Valg[[#This Row],[Indenfor range]],INDEX(DataTitel_liste,LineærRegression_Valg[[#This Row],[Afhængig variabel ID]]),INDEX(DataTitel_liste,1))</f>
        <v>Eksempel 1 (interval)</v>
      </c>
      <c r="G1249" s="171" t="str" cm="1">
        <f t="array" ref="G1249">IF(LineærRegression_Valg[[#This Row],[Indenfor range]],IF(LineærRegression_Valg[[#This Row],[Intet overlap]],INDEX(DataTitel_liste,LineærRegression_Valg[[#This Row],[Uafhængig variabel ID]]),INDEX(DataTitel_liste,IF(LineærRegression_Valg[[#This Row],[Afhængig variabel ID]]=1,2,1))),$B$7)</f>
        <v>Eksempel 2 (interval)</v>
      </c>
      <c r="H1249" s="171">
        <f>_xlfn.AGGREGATE(2,5,LineærRegression_Valg[[#This Row],[Tabel ID]])</f>
        <v>1</v>
      </c>
    </row>
    <row r="1250" spans="1:8" x14ac:dyDescent="0.2">
      <c r="A1250">
        <f>ROW(LineærRegression_Valg[[#This Row],[Tabel ID]])-ROW(LineærRegression_Valg[[#Headers],[Tabel ID]])</f>
        <v>1240</v>
      </c>
      <c r="B1250" s="171">
        <f>ROUNDDOWN((LineærRegression_Valg[[#This Row],[Tabel ID]]-1)/$B$5,0)+1</f>
        <v>310</v>
      </c>
      <c r="C1250" s="171">
        <f t="shared" si="19"/>
        <v>4</v>
      </c>
      <c r="D1250" s="171" t="b">
        <f>LineærRegression_Valg[[#This Row],[Afhængig variabel ID]]&lt;&gt;LineærRegression_Valg[[#This Row],[Uafhængig variabel ID]]</f>
        <v>1</v>
      </c>
      <c r="E1250" t="b">
        <f>LineærRegression_Valg[[#This Row],[Afhængig variabel ID]]&lt;=$B$5</f>
        <v>0</v>
      </c>
      <c r="F1250" t="str" cm="1">
        <f t="array" ref="F1250">IF(LineærRegression_Valg[[#This Row],[Indenfor range]],INDEX(DataTitel_liste,LineærRegression_Valg[[#This Row],[Afhængig variabel ID]]),INDEX(DataTitel_liste,1))</f>
        <v>Eksempel 1 (interval)</v>
      </c>
      <c r="G1250" s="171" t="str" cm="1">
        <f t="array" ref="G1250">IF(LineærRegression_Valg[[#This Row],[Indenfor range]],IF(LineærRegression_Valg[[#This Row],[Intet overlap]],INDEX(DataTitel_liste,LineærRegression_Valg[[#This Row],[Uafhængig variabel ID]]),INDEX(DataTitel_liste,IF(LineærRegression_Valg[[#This Row],[Afhængig variabel ID]]=1,2,1))),$B$7)</f>
        <v>Eksempel 2 (interval)</v>
      </c>
      <c r="H1250" s="171">
        <f>_xlfn.AGGREGATE(2,5,LineærRegression_Valg[[#This Row],[Tabel ID]])</f>
        <v>1</v>
      </c>
    </row>
    <row r="1251" spans="1:8" x14ac:dyDescent="0.2">
      <c r="A1251">
        <f>ROW(LineærRegression_Valg[[#This Row],[Tabel ID]])-ROW(LineærRegression_Valg[[#Headers],[Tabel ID]])</f>
        <v>1241</v>
      </c>
      <c r="B1251" s="171">
        <f>ROUNDDOWN((LineærRegression_Valg[[#This Row],[Tabel ID]]-1)/$B$5,0)+1</f>
        <v>311</v>
      </c>
      <c r="C1251" s="171">
        <f t="shared" si="19"/>
        <v>1</v>
      </c>
      <c r="D1251" s="171" t="b">
        <f>LineærRegression_Valg[[#This Row],[Afhængig variabel ID]]&lt;&gt;LineærRegression_Valg[[#This Row],[Uafhængig variabel ID]]</f>
        <v>1</v>
      </c>
      <c r="E1251" t="b">
        <f>LineærRegression_Valg[[#This Row],[Afhængig variabel ID]]&lt;=$B$5</f>
        <v>0</v>
      </c>
      <c r="F1251" t="str" cm="1">
        <f t="array" ref="F1251">IF(LineærRegression_Valg[[#This Row],[Indenfor range]],INDEX(DataTitel_liste,LineærRegression_Valg[[#This Row],[Afhængig variabel ID]]),INDEX(DataTitel_liste,1))</f>
        <v>Eksempel 1 (interval)</v>
      </c>
      <c r="G1251" s="171" t="str" cm="1">
        <f t="array" ref="G1251">IF(LineærRegression_Valg[[#This Row],[Indenfor range]],IF(LineærRegression_Valg[[#This Row],[Intet overlap]],INDEX(DataTitel_liste,LineærRegression_Valg[[#This Row],[Uafhængig variabel ID]]),INDEX(DataTitel_liste,IF(LineærRegression_Valg[[#This Row],[Afhængig variabel ID]]=1,2,1))),$B$7)</f>
        <v>Eksempel 2 (interval)</v>
      </c>
      <c r="H1251" s="171">
        <f>_xlfn.AGGREGATE(2,5,LineærRegression_Valg[[#This Row],[Tabel ID]])</f>
        <v>1</v>
      </c>
    </row>
    <row r="1252" spans="1:8" x14ac:dyDescent="0.2">
      <c r="A1252">
        <f>ROW(LineærRegression_Valg[[#This Row],[Tabel ID]])-ROW(LineærRegression_Valg[[#Headers],[Tabel ID]])</f>
        <v>1242</v>
      </c>
      <c r="B1252" s="171">
        <f>ROUNDDOWN((LineærRegression_Valg[[#This Row],[Tabel ID]]-1)/$B$5,0)+1</f>
        <v>311</v>
      </c>
      <c r="C1252" s="171">
        <f t="shared" si="19"/>
        <v>2</v>
      </c>
      <c r="D1252" s="171" t="b">
        <f>LineærRegression_Valg[[#This Row],[Afhængig variabel ID]]&lt;&gt;LineærRegression_Valg[[#This Row],[Uafhængig variabel ID]]</f>
        <v>1</v>
      </c>
      <c r="E1252" t="b">
        <f>LineærRegression_Valg[[#This Row],[Afhængig variabel ID]]&lt;=$B$5</f>
        <v>0</v>
      </c>
      <c r="F1252" t="str" cm="1">
        <f t="array" ref="F1252">IF(LineærRegression_Valg[[#This Row],[Indenfor range]],INDEX(DataTitel_liste,LineærRegression_Valg[[#This Row],[Afhængig variabel ID]]),INDEX(DataTitel_liste,1))</f>
        <v>Eksempel 1 (interval)</v>
      </c>
      <c r="G1252" s="171" t="str" cm="1">
        <f t="array" ref="G1252">IF(LineærRegression_Valg[[#This Row],[Indenfor range]],IF(LineærRegression_Valg[[#This Row],[Intet overlap]],INDEX(DataTitel_liste,LineærRegression_Valg[[#This Row],[Uafhængig variabel ID]]),INDEX(DataTitel_liste,IF(LineærRegression_Valg[[#This Row],[Afhængig variabel ID]]=1,2,1))),$B$7)</f>
        <v>Eksempel 2 (interval)</v>
      </c>
      <c r="H1252" s="171">
        <f>_xlfn.AGGREGATE(2,5,LineærRegression_Valg[[#This Row],[Tabel ID]])</f>
        <v>1</v>
      </c>
    </row>
    <row r="1253" spans="1:8" x14ac:dyDescent="0.2">
      <c r="A1253">
        <f>ROW(LineærRegression_Valg[[#This Row],[Tabel ID]])-ROW(LineærRegression_Valg[[#Headers],[Tabel ID]])</f>
        <v>1243</v>
      </c>
      <c r="B1253" s="171">
        <f>ROUNDDOWN((LineærRegression_Valg[[#This Row],[Tabel ID]]-1)/$B$5,0)+1</f>
        <v>311</v>
      </c>
      <c r="C1253" s="171">
        <f t="shared" si="19"/>
        <v>3</v>
      </c>
      <c r="D1253" s="171" t="b">
        <f>LineærRegression_Valg[[#This Row],[Afhængig variabel ID]]&lt;&gt;LineærRegression_Valg[[#This Row],[Uafhængig variabel ID]]</f>
        <v>1</v>
      </c>
      <c r="E1253" t="b">
        <f>LineærRegression_Valg[[#This Row],[Afhængig variabel ID]]&lt;=$B$5</f>
        <v>0</v>
      </c>
      <c r="F1253" t="str" cm="1">
        <f t="array" ref="F1253">IF(LineærRegression_Valg[[#This Row],[Indenfor range]],INDEX(DataTitel_liste,LineærRegression_Valg[[#This Row],[Afhængig variabel ID]]),INDEX(DataTitel_liste,1))</f>
        <v>Eksempel 1 (interval)</v>
      </c>
      <c r="G1253" s="171" t="str" cm="1">
        <f t="array" ref="G1253">IF(LineærRegression_Valg[[#This Row],[Indenfor range]],IF(LineærRegression_Valg[[#This Row],[Intet overlap]],INDEX(DataTitel_liste,LineærRegression_Valg[[#This Row],[Uafhængig variabel ID]]),INDEX(DataTitel_liste,IF(LineærRegression_Valg[[#This Row],[Afhængig variabel ID]]=1,2,1))),$B$7)</f>
        <v>Eksempel 2 (interval)</v>
      </c>
      <c r="H1253" s="171">
        <f>_xlfn.AGGREGATE(2,5,LineærRegression_Valg[[#This Row],[Tabel ID]])</f>
        <v>1</v>
      </c>
    </row>
    <row r="1254" spans="1:8" x14ac:dyDescent="0.2">
      <c r="A1254">
        <f>ROW(LineærRegression_Valg[[#This Row],[Tabel ID]])-ROW(LineærRegression_Valg[[#Headers],[Tabel ID]])</f>
        <v>1244</v>
      </c>
      <c r="B1254" s="171">
        <f>ROUNDDOWN((LineærRegression_Valg[[#This Row],[Tabel ID]]-1)/$B$5,0)+1</f>
        <v>311</v>
      </c>
      <c r="C1254" s="171">
        <f t="shared" si="19"/>
        <v>4</v>
      </c>
      <c r="D1254" s="171" t="b">
        <f>LineærRegression_Valg[[#This Row],[Afhængig variabel ID]]&lt;&gt;LineærRegression_Valg[[#This Row],[Uafhængig variabel ID]]</f>
        <v>1</v>
      </c>
      <c r="E1254" t="b">
        <f>LineærRegression_Valg[[#This Row],[Afhængig variabel ID]]&lt;=$B$5</f>
        <v>0</v>
      </c>
      <c r="F1254" t="str" cm="1">
        <f t="array" ref="F1254">IF(LineærRegression_Valg[[#This Row],[Indenfor range]],INDEX(DataTitel_liste,LineærRegression_Valg[[#This Row],[Afhængig variabel ID]]),INDEX(DataTitel_liste,1))</f>
        <v>Eksempel 1 (interval)</v>
      </c>
      <c r="G1254" s="171" t="str" cm="1">
        <f t="array" ref="G1254">IF(LineærRegression_Valg[[#This Row],[Indenfor range]],IF(LineærRegression_Valg[[#This Row],[Intet overlap]],INDEX(DataTitel_liste,LineærRegression_Valg[[#This Row],[Uafhængig variabel ID]]),INDEX(DataTitel_liste,IF(LineærRegression_Valg[[#This Row],[Afhængig variabel ID]]=1,2,1))),$B$7)</f>
        <v>Eksempel 2 (interval)</v>
      </c>
      <c r="H1254" s="171">
        <f>_xlfn.AGGREGATE(2,5,LineærRegression_Valg[[#This Row],[Tabel ID]])</f>
        <v>1</v>
      </c>
    </row>
    <row r="1255" spans="1:8" x14ac:dyDescent="0.2">
      <c r="A1255">
        <f>ROW(LineærRegression_Valg[[#This Row],[Tabel ID]])-ROW(LineærRegression_Valg[[#Headers],[Tabel ID]])</f>
        <v>1245</v>
      </c>
      <c r="B1255" s="171">
        <f>ROUNDDOWN((LineærRegression_Valg[[#This Row],[Tabel ID]]-1)/$B$5,0)+1</f>
        <v>312</v>
      </c>
      <c r="C1255" s="171">
        <f t="shared" si="19"/>
        <v>1</v>
      </c>
      <c r="D1255" s="171" t="b">
        <f>LineærRegression_Valg[[#This Row],[Afhængig variabel ID]]&lt;&gt;LineærRegression_Valg[[#This Row],[Uafhængig variabel ID]]</f>
        <v>1</v>
      </c>
      <c r="E1255" t="b">
        <f>LineærRegression_Valg[[#This Row],[Afhængig variabel ID]]&lt;=$B$5</f>
        <v>0</v>
      </c>
      <c r="F1255" t="str" cm="1">
        <f t="array" ref="F1255">IF(LineærRegression_Valg[[#This Row],[Indenfor range]],INDEX(DataTitel_liste,LineærRegression_Valg[[#This Row],[Afhængig variabel ID]]),INDEX(DataTitel_liste,1))</f>
        <v>Eksempel 1 (interval)</v>
      </c>
      <c r="G1255" s="171" t="str" cm="1">
        <f t="array" ref="G1255">IF(LineærRegression_Valg[[#This Row],[Indenfor range]],IF(LineærRegression_Valg[[#This Row],[Intet overlap]],INDEX(DataTitel_liste,LineærRegression_Valg[[#This Row],[Uafhængig variabel ID]]),INDEX(DataTitel_liste,IF(LineærRegression_Valg[[#This Row],[Afhængig variabel ID]]=1,2,1))),$B$7)</f>
        <v>Eksempel 2 (interval)</v>
      </c>
      <c r="H1255" s="171">
        <f>_xlfn.AGGREGATE(2,5,LineærRegression_Valg[[#This Row],[Tabel ID]])</f>
        <v>1</v>
      </c>
    </row>
    <row r="1256" spans="1:8" x14ac:dyDescent="0.2">
      <c r="A1256">
        <f>ROW(LineærRegression_Valg[[#This Row],[Tabel ID]])-ROW(LineærRegression_Valg[[#Headers],[Tabel ID]])</f>
        <v>1246</v>
      </c>
      <c r="B1256" s="171">
        <f>ROUNDDOWN((LineærRegression_Valg[[#This Row],[Tabel ID]]-1)/$B$5,0)+1</f>
        <v>312</v>
      </c>
      <c r="C1256" s="171">
        <f t="shared" si="19"/>
        <v>2</v>
      </c>
      <c r="D1256" s="171" t="b">
        <f>LineærRegression_Valg[[#This Row],[Afhængig variabel ID]]&lt;&gt;LineærRegression_Valg[[#This Row],[Uafhængig variabel ID]]</f>
        <v>1</v>
      </c>
      <c r="E1256" t="b">
        <f>LineærRegression_Valg[[#This Row],[Afhængig variabel ID]]&lt;=$B$5</f>
        <v>0</v>
      </c>
      <c r="F1256" t="str" cm="1">
        <f t="array" ref="F1256">IF(LineærRegression_Valg[[#This Row],[Indenfor range]],INDEX(DataTitel_liste,LineærRegression_Valg[[#This Row],[Afhængig variabel ID]]),INDEX(DataTitel_liste,1))</f>
        <v>Eksempel 1 (interval)</v>
      </c>
      <c r="G1256" s="171" t="str" cm="1">
        <f t="array" ref="G1256">IF(LineærRegression_Valg[[#This Row],[Indenfor range]],IF(LineærRegression_Valg[[#This Row],[Intet overlap]],INDEX(DataTitel_liste,LineærRegression_Valg[[#This Row],[Uafhængig variabel ID]]),INDEX(DataTitel_liste,IF(LineærRegression_Valg[[#This Row],[Afhængig variabel ID]]=1,2,1))),$B$7)</f>
        <v>Eksempel 2 (interval)</v>
      </c>
      <c r="H1256" s="171">
        <f>_xlfn.AGGREGATE(2,5,LineærRegression_Valg[[#This Row],[Tabel ID]])</f>
        <v>1</v>
      </c>
    </row>
    <row r="1257" spans="1:8" x14ac:dyDescent="0.2">
      <c r="A1257">
        <f>ROW(LineærRegression_Valg[[#This Row],[Tabel ID]])-ROW(LineærRegression_Valg[[#Headers],[Tabel ID]])</f>
        <v>1247</v>
      </c>
      <c r="B1257" s="171">
        <f>ROUNDDOWN((LineærRegression_Valg[[#This Row],[Tabel ID]]-1)/$B$5,0)+1</f>
        <v>312</v>
      </c>
      <c r="C1257" s="171">
        <f t="shared" si="19"/>
        <v>3</v>
      </c>
      <c r="D1257" s="171" t="b">
        <f>LineærRegression_Valg[[#This Row],[Afhængig variabel ID]]&lt;&gt;LineærRegression_Valg[[#This Row],[Uafhængig variabel ID]]</f>
        <v>1</v>
      </c>
      <c r="E1257" t="b">
        <f>LineærRegression_Valg[[#This Row],[Afhængig variabel ID]]&lt;=$B$5</f>
        <v>0</v>
      </c>
      <c r="F1257" t="str" cm="1">
        <f t="array" ref="F1257">IF(LineærRegression_Valg[[#This Row],[Indenfor range]],INDEX(DataTitel_liste,LineærRegression_Valg[[#This Row],[Afhængig variabel ID]]),INDEX(DataTitel_liste,1))</f>
        <v>Eksempel 1 (interval)</v>
      </c>
      <c r="G1257" s="171" t="str" cm="1">
        <f t="array" ref="G1257">IF(LineærRegression_Valg[[#This Row],[Indenfor range]],IF(LineærRegression_Valg[[#This Row],[Intet overlap]],INDEX(DataTitel_liste,LineærRegression_Valg[[#This Row],[Uafhængig variabel ID]]),INDEX(DataTitel_liste,IF(LineærRegression_Valg[[#This Row],[Afhængig variabel ID]]=1,2,1))),$B$7)</f>
        <v>Eksempel 2 (interval)</v>
      </c>
      <c r="H1257" s="171">
        <f>_xlfn.AGGREGATE(2,5,LineærRegression_Valg[[#This Row],[Tabel ID]])</f>
        <v>1</v>
      </c>
    </row>
    <row r="1258" spans="1:8" x14ac:dyDescent="0.2">
      <c r="A1258">
        <f>ROW(LineærRegression_Valg[[#This Row],[Tabel ID]])-ROW(LineærRegression_Valg[[#Headers],[Tabel ID]])</f>
        <v>1248</v>
      </c>
      <c r="B1258" s="171">
        <f>ROUNDDOWN((LineærRegression_Valg[[#This Row],[Tabel ID]]-1)/$B$5,0)+1</f>
        <v>312</v>
      </c>
      <c r="C1258" s="171">
        <f t="shared" si="19"/>
        <v>4</v>
      </c>
      <c r="D1258" s="171" t="b">
        <f>LineærRegression_Valg[[#This Row],[Afhængig variabel ID]]&lt;&gt;LineærRegression_Valg[[#This Row],[Uafhængig variabel ID]]</f>
        <v>1</v>
      </c>
      <c r="E1258" t="b">
        <f>LineærRegression_Valg[[#This Row],[Afhængig variabel ID]]&lt;=$B$5</f>
        <v>0</v>
      </c>
      <c r="F1258" t="str" cm="1">
        <f t="array" ref="F1258">IF(LineærRegression_Valg[[#This Row],[Indenfor range]],INDEX(DataTitel_liste,LineærRegression_Valg[[#This Row],[Afhængig variabel ID]]),INDEX(DataTitel_liste,1))</f>
        <v>Eksempel 1 (interval)</v>
      </c>
      <c r="G1258" s="171" t="str" cm="1">
        <f t="array" ref="G1258">IF(LineærRegression_Valg[[#This Row],[Indenfor range]],IF(LineærRegression_Valg[[#This Row],[Intet overlap]],INDEX(DataTitel_liste,LineærRegression_Valg[[#This Row],[Uafhængig variabel ID]]),INDEX(DataTitel_liste,IF(LineærRegression_Valg[[#This Row],[Afhængig variabel ID]]=1,2,1))),$B$7)</f>
        <v>Eksempel 2 (interval)</v>
      </c>
      <c r="H1258" s="171">
        <f>_xlfn.AGGREGATE(2,5,LineærRegression_Valg[[#This Row],[Tabel ID]])</f>
        <v>1</v>
      </c>
    </row>
    <row r="1259" spans="1:8" x14ac:dyDescent="0.2">
      <c r="A1259">
        <f>ROW(LineærRegression_Valg[[#This Row],[Tabel ID]])-ROW(LineærRegression_Valg[[#Headers],[Tabel ID]])</f>
        <v>1249</v>
      </c>
      <c r="B1259" s="171">
        <f>ROUNDDOWN((LineærRegression_Valg[[#This Row],[Tabel ID]]-1)/$B$5,0)+1</f>
        <v>313</v>
      </c>
      <c r="C1259" s="171">
        <f t="shared" si="19"/>
        <v>1</v>
      </c>
      <c r="D1259" s="171" t="b">
        <f>LineærRegression_Valg[[#This Row],[Afhængig variabel ID]]&lt;&gt;LineærRegression_Valg[[#This Row],[Uafhængig variabel ID]]</f>
        <v>1</v>
      </c>
      <c r="E1259" t="b">
        <f>LineærRegression_Valg[[#This Row],[Afhængig variabel ID]]&lt;=$B$5</f>
        <v>0</v>
      </c>
      <c r="F1259" t="str" cm="1">
        <f t="array" ref="F1259">IF(LineærRegression_Valg[[#This Row],[Indenfor range]],INDEX(DataTitel_liste,LineærRegression_Valg[[#This Row],[Afhængig variabel ID]]),INDEX(DataTitel_liste,1))</f>
        <v>Eksempel 1 (interval)</v>
      </c>
      <c r="G1259" s="171" t="str" cm="1">
        <f t="array" ref="G1259">IF(LineærRegression_Valg[[#This Row],[Indenfor range]],IF(LineærRegression_Valg[[#This Row],[Intet overlap]],INDEX(DataTitel_liste,LineærRegression_Valg[[#This Row],[Uafhængig variabel ID]]),INDEX(DataTitel_liste,IF(LineærRegression_Valg[[#This Row],[Afhængig variabel ID]]=1,2,1))),$B$7)</f>
        <v>Eksempel 2 (interval)</v>
      </c>
      <c r="H1259" s="171">
        <f>_xlfn.AGGREGATE(2,5,LineærRegression_Valg[[#This Row],[Tabel ID]])</f>
        <v>1</v>
      </c>
    </row>
    <row r="1260" spans="1:8" x14ac:dyDescent="0.2">
      <c r="A1260">
        <f>ROW(LineærRegression_Valg[[#This Row],[Tabel ID]])-ROW(LineærRegression_Valg[[#Headers],[Tabel ID]])</f>
        <v>1250</v>
      </c>
      <c r="B1260" s="171">
        <f>ROUNDDOWN((LineærRegression_Valg[[#This Row],[Tabel ID]]-1)/$B$5,0)+1</f>
        <v>313</v>
      </c>
      <c r="C1260" s="171">
        <f t="shared" si="19"/>
        <v>2</v>
      </c>
      <c r="D1260" s="171" t="b">
        <f>LineærRegression_Valg[[#This Row],[Afhængig variabel ID]]&lt;&gt;LineærRegression_Valg[[#This Row],[Uafhængig variabel ID]]</f>
        <v>1</v>
      </c>
      <c r="E1260" t="b">
        <f>LineærRegression_Valg[[#This Row],[Afhængig variabel ID]]&lt;=$B$5</f>
        <v>0</v>
      </c>
      <c r="F1260" t="str" cm="1">
        <f t="array" ref="F1260">IF(LineærRegression_Valg[[#This Row],[Indenfor range]],INDEX(DataTitel_liste,LineærRegression_Valg[[#This Row],[Afhængig variabel ID]]),INDEX(DataTitel_liste,1))</f>
        <v>Eksempel 1 (interval)</v>
      </c>
      <c r="G1260" s="171" t="str" cm="1">
        <f t="array" ref="G1260">IF(LineærRegression_Valg[[#This Row],[Indenfor range]],IF(LineærRegression_Valg[[#This Row],[Intet overlap]],INDEX(DataTitel_liste,LineærRegression_Valg[[#This Row],[Uafhængig variabel ID]]),INDEX(DataTitel_liste,IF(LineærRegression_Valg[[#This Row],[Afhængig variabel ID]]=1,2,1))),$B$7)</f>
        <v>Eksempel 2 (interval)</v>
      </c>
      <c r="H1260" s="171">
        <f>_xlfn.AGGREGATE(2,5,LineærRegression_Valg[[#This Row],[Tabel ID]])</f>
        <v>1</v>
      </c>
    </row>
    <row r="1261" spans="1:8" x14ac:dyDescent="0.2">
      <c r="A1261">
        <f>ROW(LineærRegression_Valg[[#This Row],[Tabel ID]])-ROW(LineærRegression_Valg[[#Headers],[Tabel ID]])</f>
        <v>1251</v>
      </c>
      <c r="B1261" s="171">
        <f>ROUNDDOWN((LineærRegression_Valg[[#This Row],[Tabel ID]]-1)/$B$5,0)+1</f>
        <v>313</v>
      </c>
      <c r="C1261" s="171">
        <f t="shared" si="19"/>
        <v>3</v>
      </c>
      <c r="D1261" s="171" t="b">
        <f>LineærRegression_Valg[[#This Row],[Afhængig variabel ID]]&lt;&gt;LineærRegression_Valg[[#This Row],[Uafhængig variabel ID]]</f>
        <v>1</v>
      </c>
      <c r="E1261" t="b">
        <f>LineærRegression_Valg[[#This Row],[Afhængig variabel ID]]&lt;=$B$5</f>
        <v>0</v>
      </c>
      <c r="F1261" t="str" cm="1">
        <f t="array" ref="F1261">IF(LineærRegression_Valg[[#This Row],[Indenfor range]],INDEX(DataTitel_liste,LineærRegression_Valg[[#This Row],[Afhængig variabel ID]]),INDEX(DataTitel_liste,1))</f>
        <v>Eksempel 1 (interval)</v>
      </c>
      <c r="G1261" s="171" t="str" cm="1">
        <f t="array" ref="G1261">IF(LineærRegression_Valg[[#This Row],[Indenfor range]],IF(LineærRegression_Valg[[#This Row],[Intet overlap]],INDEX(DataTitel_liste,LineærRegression_Valg[[#This Row],[Uafhængig variabel ID]]),INDEX(DataTitel_liste,IF(LineærRegression_Valg[[#This Row],[Afhængig variabel ID]]=1,2,1))),$B$7)</f>
        <v>Eksempel 2 (interval)</v>
      </c>
      <c r="H1261" s="171">
        <f>_xlfn.AGGREGATE(2,5,LineærRegression_Valg[[#This Row],[Tabel ID]])</f>
        <v>1</v>
      </c>
    </row>
    <row r="1262" spans="1:8" x14ac:dyDescent="0.2">
      <c r="A1262">
        <f>ROW(LineærRegression_Valg[[#This Row],[Tabel ID]])-ROW(LineærRegression_Valg[[#Headers],[Tabel ID]])</f>
        <v>1252</v>
      </c>
      <c r="B1262" s="171">
        <f>ROUNDDOWN((LineærRegression_Valg[[#This Row],[Tabel ID]]-1)/$B$5,0)+1</f>
        <v>313</v>
      </c>
      <c r="C1262" s="171">
        <f t="shared" si="19"/>
        <v>4</v>
      </c>
      <c r="D1262" s="171" t="b">
        <f>LineærRegression_Valg[[#This Row],[Afhængig variabel ID]]&lt;&gt;LineærRegression_Valg[[#This Row],[Uafhængig variabel ID]]</f>
        <v>1</v>
      </c>
      <c r="E1262" t="b">
        <f>LineærRegression_Valg[[#This Row],[Afhængig variabel ID]]&lt;=$B$5</f>
        <v>0</v>
      </c>
      <c r="F1262" t="str" cm="1">
        <f t="array" ref="F1262">IF(LineærRegression_Valg[[#This Row],[Indenfor range]],INDEX(DataTitel_liste,LineærRegression_Valg[[#This Row],[Afhængig variabel ID]]),INDEX(DataTitel_liste,1))</f>
        <v>Eksempel 1 (interval)</v>
      </c>
      <c r="G1262" s="171" t="str" cm="1">
        <f t="array" ref="G1262">IF(LineærRegression_Valg[[#This Row],[Indenfor range]],IF(LineærRegression_Valg[[#This Row],[Intet overlap]],INDEX(DataTitel_liste,LineærRegression_Valg[[#This Row],[Uafhængig variabel ID]]),INDEX(DataTitel_liste,IF(LineærRegression_Valg[[#This Row],[Afhængig variabel ID]]=1,2,1))),$B$7)</f>
        <v>Eksempel 2 (interval)</v>
      </c>
      <c r="H1262" s="171">
        <f>_xlfn.AGGREGATE(2,5,LineærRegression_Valg[[#This Row],[Tabel ID]])</f>
        <v>1</v>
      </c>
    </row>
    <row r="1263" spans="1:8" x14ac:dyDescent="0.2">
      <c r="A1263">
        <f>ROW(LineærRegression_Valg[[#This Row],[Tabel ID]])-ROW(LineærRegression_Valg[[#Headers],[Tabel ID]])</f>
        <v>1253</v>
      </c>
      <c r="B1263" s="171">
        <f>ROUNDDOWN((LineærRegression_Valg[[#This Row],[Tabel ID]]-1)/$B$5,0)+1</f>
        <v>314</v>
      </c>
      <c r="C1263" s="171">
        <f t="shared" si="19"/>
        <v>1</v>
      </c>
      <c r="D1263" s="171" t="b">
        <f>LineærRegression_Valg[[#This Row],[Afhængig variabel ID]]&lt;&gt;LineærRegression_Valg[[#This Row],[Uafhængig variabel ID]]</f>
        <v>1</v>
      </c>
      <c r="E1263" t="b">
        <f>LineærRegression_Valg[[#This Row],[Afhængig variabel ID]]&lt;=$B$5</f>
        <v>0</v>
      </c>
      <c r="F1263" t="str" cm="1">
        <f t="array" ref="F1263">IF(LineærRegression_Valg[[#This Row],[Indenfor range]],INDEX(DataTitel_liste,LineærRegression_Valg[[#This Row],[Afhængig variabel ID]]),INDEX(DataTitel_liste,1))</f>
        <v>Eksempel 1 (interval)</v>
      </c>
      <c r="G1263" s="171" t="str" cm="1">
        <f t="array" ref="G1263">IF(LineærRegression_Valg[[#This Row],[Indenfor range]],IF(LineærRegression_Valg[[#This Row],[Intet overlap]],INDEX(DataTitel_liste,LineærRegression_Valg[[#This Row],[Uafhængig variabel ID]]),INDEX(DataTitel_liste,IF(LineærRegression_Valg[[#This Row],[Afhængig variabel ID]]=1,2,1))),$B$7)</f>
        <v>Eksempel 2 (interval)</v>
      </c>
      <c r="H1263" s="171">
        <f>_xlfn.AGGREGATE(2,5,LineærRegression_Valg[[#This Row],[Tabel ID]])</f>
        <v>1</v>
      </c>
    </row>
    <row r="1264" spans="1:8" x14ac:dyDescent="0.2">
      <c r="A1264">
        <f>ROW(LineærRegression_Valg[[#This Row],[Tabel ID]])-ROW(LineærRegression_Valg[[#Headers],[Tabel ID]])</f>
        <v>1254</v>
      </c>
      <c r="B1264" s="171">
        <f>ROUNDDOWN((LineærRegression_Valg[[#This Row],[Tabel ID]]-1)/$B$5,0)+1</f>
        <v>314</v>
      </c>
      <c r="C1264" s="171">
        <f t="shared" si="19"/>
        <v>2</v>
      </c>
      <c r="D1264" s="171" t="b">
        <f>LineærRegression_Valg[[#This Row],[Afhængig variabel ID]]&lt;&gt;LineærRegression_Valg[[#This Row],[Uafhængig variabel ID]]</f>
        <v>1</v>
      </c>
      <c r="E1264" t="b">
        <f>LineærRegression_Valg[[#This Row],[Afhængig variabel ID]]&lt;=$B$5</f>
        <v>0</v>
      </c>
      <c r="F1264" t="str" cm="1">
        <f t="array" ref="F1264">IF(LineærRegression_Valg[[#This Row],[Indenfor range]],INDEX(DataTitel_liste,LineærRegression_Valg[[#This Row],[Afhængig variabel ID]]),INDEX(DataTitel_liste,1))</f>
        <v>Eksempel 1 (interval)</v>
      </c>
      <c r="G1264" s="171" t="str" cm="1">
        <f t="array" ref="G1264">IF(LineærRegression_Valg[[#This Row],[Indenfor range]],IF(LineærRegression_Valg[[#This Row],[Intet overlap]],INDEX(DataTitel_liste,LineærRegression_Valg[[#This Row],[Uafhængig variabel ID]]),INDEX(DataTitel_liste,IF(LineærRegression_Valg[[#This Row],[Afhængig variabel ID]]=1,2,1))),$B$7)</f>
        <v>Eksempel 2 (interval)</v>
      </c>
      <c r="H1264" s="171">
        <f>_xlfn.AGGREGATE(2,5,LineærRegression_Valg[[#This Row],[Tabel ID]])</f>
        <v>1</v>
      </c>
    </row>
    <row r="1265" spans="1:8" x14ac:dyDescent="0.2">
      <c r="A1265">
        <f>ROW(LineærRegression_Valg[[#This Row],[Tabel ID]])-ROW(LineærRegression_Valg[[#Headers],[Tabel ID]])</f>
        <v>1255</v>
      </c>
      <c r="B1265" s="171">
        <f>ROUNDDOWN((LineærRegression_Valg[[#This Row],[Tabel ID]]-1)/$B$5,0)+1</f>
        <v>314</v>
      </c>
      <c r="C1265" s="171">
        <f t="shared" si="19"/>
        <v>3</v>
      </c>
      <c r="D1265" s="171" t="b">
        <f>LineærRegression_Valg[[#This Row],[Afhængig variabel ID]]&lt;&gt;LineærRegression_Valg[[#This Row],[Uafhængig variabel ID]]</f>
        <v>1</v>
      </c>
      <c r="E1265" t="b">
        <f>LineærRegression_Valg[[#This Row],[Afhængig variabel ID]]&lt;=$B$5</f>
        <v>0</v>
      </c>
      <c r="F1265" t="str" cm="1">
        <f t="array" ref="F1265">IF(LineærRegression_Valg[[#This Row],[Indenfor range]],INDEX(DataTitel_liste,LineærRegression_Valg[[#This Row],[Afhængig variabel ID]]),INDEX(DataTitel_liste,1))</f>
        <v>Eksempel 1 (interval)</v>
      </c>
      <c r="G1265" s="171" t="str" cm="1">
        <f t="array" ref="G1265">IF(LineærRegression_Valg[[#This Row],[Indenfor range]],IF(LineærRegression_Valg[[#This Row],[Intet overlap]],INDEX(DataTitel_liste,LineærRegression_Valg[[#This Row],[Uafhængig variabel ID]]),INDEX(DataTitel_liste,IF(LineærRegression_Valg[[#This Row],[Afhængig variabel ID]]=1,2,1))),$B$7)</f>
        <v>Eksempel 2 (interval)</v>
      </c>
      <c r="H1265" s="171">
        <f>_xlfn.AGGREGATE(2,5,LineærRegression_Valg[[#This Row],[Tabel ID]])</f>
        <v>1</v>
      </c>
    </row>
    <row r="1266" spans="1:8" x14ac:dyDescent="0.2">
      <c r="A1266">
        <f>ROW(LineærRegression_Valg[[#This Row],[Tabel ID]])-ROW(LineærRegression_Valg[[#Headers],[Tabel ID]])</f>
        <v>1256</v>
      </c>
      <c r="B1266" s="171">
        <f>ROUNDDOWN((LineærRegression_Valg[[#This Row],[Tabel ID]]-1)/$B$5,0)+1</f>
        <v>314</v>
      </c>
      <c r="C1266" s="171">
        <f t="shared" si="19"/>
        <v>4</v>
      </c>
      <c r="D1266" s="171" t="b">
        <f>LineærRegression_Valg[[#This Row],[Afhængig variabel ID]]&lt;&gt;LineærRegression_Valg[[#This Row],[Uafhængig variabel ID]]</f>
        <v>1</v>
      </c>
      <c r="E1266" t="b">
        <f>LineærRegression_Valg[[#This Row],[Afhængig variabel ID]]&lt;=$B$5</f>
        <v>0</v>
      </c>
      <c r="F1266" t="str" cm="1">
        <f t="array" ref="F1266">IF(LineærRegression_Valg[[#This Row],[Indenfor range]],INDEX(DataTitel_liste,LineærRegression_Valg[[#This Row],[Afhængig variabel ID]]),INDEX(DataTitel_liste,1))</f>
        <v>Eksempel 1 (interval)</v>
      </c>
      <c r="G1266" s="171" t="str" cm="1">
        <f t="array" ref="G1266">IF(LineærRegression_Valg[[#This Row],[Indenfor range]],IF(LineærRegression_Valg[[#This Row],[Intet overlap]],INDEX(DataTitel_liste,LineærRegression_Valg[[#This Row],[Uafhængig variabel ID]]),INDEX(DataTitel_liste,IF(LineærRegression_Valg[[#This Row],[Afhængig variabel ID]]=1,2,1))),$B$7)</f>
        <v>Eksempel 2 (interval)</v>
      </c>
      <c r="H1266" s="171">
        <f>_xlfn.AGGREGATE(2,5,LineærRegression_Valg[[#This Row],[Tabel ID]])</f>
        <v>1</v>
      </c>
    </row>
    <row r="1267" spans="1:8" x14ac:dyDescent="0.2">
      <c r="A1267">
        <f>ROW(LineærRegression_Valg[[#This Row],[Tabel ID]])-ROW(LineærRegression_Valg[[#Headers],[Tabel ID]])</f>
        <v>1257</v>
      </c>
      <c r="B1267" s="171">
        <f>ROUNDDOWN((LineærRegression_Valg[[#This Row],[Tabel ID]]-1)/$B$5,0)+1</f>
        <v>315</v>
      </c>
      <c r="C1267" s="171">
        <f t="shared" si="19"/>
        <v>1</v>
      </c>
      <c r="D1267" s="171" t="b">
        <f>LineærRegression_Valg[[#This Row],[Afhængig variabel ID]]&lt;&gt;LineærRegression_Valg[[#This Row],[Uafhængig variabel ID]]</f>
        <v>1</v>
      </c>
      <c r="E1267" t="b">
        <f>LineærRegression_Valg[[#This Row],[Afhængig variabel ID]]&lt;=$B$5</f>
        <v>0</v>
      </c>
      <c r="F1267" t="str" cm="1">
        <f t="array" ref="F1267">IF(LineærRegression_Valg[[#This Row],[Indenfor range]],INDEX(DataTitel_liste,LineærRegression_Valg[[#This Row],[Afhængig variabel ID]]),INDEX(DataTitel_liste,1))</f>
        <v>Eksempel 1 (interval)</v>
      </c>
      <c r="G1267" s="171" t="str" cm="1">
        <f t="array" ref="G1267">IF(LineærRegression_Valg[[#This Row],[Indenfor range]],IF(LineærRegression_Valg[[#This Row],[Intet overlap]],INDEX(DataTitel_liste,LineærRegression_Valg[[#This Row],[Uafhængig variabel ID]]),INDEX(DataTitel_liste,IF(LineærRegression_Valg[[#This Row],[Afhængig variabel ID]]=1,2,1))),$B$7)</f>
        <v>Eksempel 2 (interval)</v>
      </c>
      <c r="H1267" s="171">
        <f>_xlfn.AGGREGATE(2,5,LineærRegression_Valg[[#This Row],[Tabel ID]])</f>
        <v>1</v>
      </c>
    </row>
    <row r="1268" spans="1:8" x14ac:dyDescent="0.2">
      <c r="A1268">
        <f>ROW(LineærRegression_Valg[[#This Row],[Tabel ID]])-ROW(LineærRegression_Valg[[#Headers],[Tabel ID]])</f>
        <v>1258</v>
      </c>
      <c r="B1268" s="171">
        <f>ROUNDDOWN((LineærRegression_Valg[[#This Row],[Tabel ID]]-1)/$B$5,0)+1</f>
        <v>315</v>
      </c>
      <c r="C1268" s="171">
        <f t="shared" si="19"/>
        <v>2</v>
      </c>
      <c r="D1268" s="171" t="b">
        <f>LineærRegression_Valg[[#This Row],[Afhængig variabel ID]]&lt;&gt;LineærRegression_Valg[[#This Row],[Uafhængig variabel ID]]</f>
        <v>1</v>
      </c>
      <c r="E1268" t="b">
        <f>LineærRegression_Valg[[#This Row],[Afhængig variabel ID]]&lt;=$B$5</f>
        <v>0</v>
      </c>
      <c r="F1268" t="str" cm="1">
        <f t="array" ref="F1268">IF(LineærRegression_Valg[[#This Row],[Indenfor range]],INDEX(DataTitel_liste,LineærRegression_Valg[[#This Row],[Afhængig variabel ID]]),INDEX(DataTitel_liste,1))</f>
        <v>Eksempel 1 (interval)</v>
      </c>
      <c r="G1268" s="171" t="str" cm="1">
        <f t="array" ref="G1268">IF(LineærRegression_Valg[[#This Row],[Indenfor range]],IF(LineærRegression_Valg[[#This Row],[Intet overlap]],INDEX(DataTitel_liste,LineærRegression_Valg[[#This Row],[Uafhængig variabel ID]]),INDEX(DataTitel_liste,IF(LineærRegression_Valg[[#This Row],[Afhængig variabel ID]]=1,2,1))),$B$7)</f>
        <v>Eksempel 2 (interval)</v>
      </c>
      <c r="H1268" s="171">
        <f>_xlfn.AGGREGATE(2,5,LineærRegression_Valg[[#This Row],[Tabel ID]])</f>
        <v>1</v>
      </c>
    </row>
    <row r="1269" spans="1:8" x14ac:dyDescent="0.2">
      <c r="A1269">
        <f>ROW(LineærRegression_Valg[[#This Row],[Tabel ID]])-ROW(LineærRegression_Valg[[#Headers],[Tabel ID]])</f>
        <v>1259</v>
      </c>
      <c r="B1269" s="171">
        <f>ROUNDDOWN((LineærRegression_Valg[[#This Row],[Tabel ID]]-1)/$B$5,0)+1</f>
        <v>315</v>
      </c>
      <c r="C1269" s="171">
        <f t="shared" si="19"/>
        <v>3</v>
      </c>
      <c r="D1269" s="171" t="b">
        <f>LineærRegression_Valg[[#This Row],[Afhængig variabel ID]]&lt;&gt;LineærRegression_Valg[[#This Row],[Uafhængig variabel ID]]</f>
        <v>1</v>
      </c>
      <c r="E1269" t="b">
        <f>LineærRegression_Valg[[#This Row],[Afhængig variabel ID]]&lt;=$B$5</f>
        <v>0</v>
      </c>
      <c r="F1269" t="str" cm="1">
        <f t="array" ref="F1269">IF(LineærRegression_Valg[[#This Row],[Indenfor range]],INDEX(DataTitel_liste,LineærRegression_Valg[[#This Row],[Afhængig variabel ID]]),INDEX(DataTitel_liste,1))</f>
        <v>Eksempel 1 (interval)</v>
      </c>
      <c r="G1269" s="171" t="str" cm="1">
        <f t="array" ref="G1269">IF(LineærRegression_Valg[[#This Row],[Indenfor range]],IF(LineærRegression_Valg[[#This Row],[Intet overlap]],INDEX(DataTitel_liste,LineærRegression_Valg[[#This Row],[Uafhængig variabel ID]]),INDEX(DataTitel_liste,IF(LineærRegression_Valg[[#This Row],[Afhængig variabel ID]]=1,2,1))),$B$7)</f>
        <v>Eksempel 2 (interval)</v>
      </c>
      <c r="H1269" s="171">
        <f>_xlfn.AGGREGATE(2,5,LineærRegression_Valg[[#This Row],[Tabel ID]])</f>
        <v>1</v>
      </c>
    </row>
    <row r="1270" spans="1:8" x14ac:dyDescent="0.2">
      <c r="A1270">
        <f>ROW(LineærRegression_Valg[[#This Row],[Tabel ID]])-ROW(LineærRegression_Valg[[#Headers],[Tabel ID]])</f>
        <v>1260</v>
      </c>
      <c r="B1270" s="171">
        <f>ROUNDDOWN((LineærRegression_Valg[[#This Row],[Tabel ID]]-1)/$B$5,0)+1</f>
        <v>315</v>
      </c>
      <c r="C1270" s="171">
        <f t="shared" si="19"/>
        <v>4</v>
      </c>
      <c r="D1270" s="171" t="b">
        <f>LineærRegression_Valg[[#This Row],[Afhængig variabel ID]]&lt;&gt;LineærRegression_Valg[[#This Row],[Uafhængig variabel ID]]</f>
        <v>1</v>
      </c>
      <c r="E1270" t="b">
        <f>LineærRegression_Valg[[#This Row],[Afhængig variabel ID]]&lt;=$B$5</f>
        <v>0</v>
      </c>
      <c r="F1270" t="str" cm="1">
        <f t="array" ref="F1270">IF(LineærRegression_Valg[[#This Row],[Indenfor range]],INDEX(DataTitel_liste,LineærRegression_Valg[[#This Row],[Afhængig variabel ID]]),INDEX(DataTitel_liste,1))</f>
        <v>Eksempel 1 (interval)</v>
      </c>
      <c r="G1270" s="171" t="str" cm="1">
        <f t="array" ref="G1270">IF(LineærRegression_Valg[[#This Row],[Indenfor range]],IF(LineærRegression_Valg[[#This Row],[Intet overlap]],INDEX(DataTitel_liste,LineærRegression_Valg[[#This Row],[Uafhængig variabel ID]]),INDEX(DataTitel_liste,IF(LineærRegression_Valg[[#This Row],[Afhængig variabel ID]]=1,2,1))),$B$7)</f>
        <v>Eksempel 2 (interval)</v>
      </c>
      <c r="H1270" s="171">
        <f>_xlfn.AGGREGATE(2,5,LineærRegression_Valg[[#This Row],[Tabel ID]])</f>
        <v>1</v>
      </c>
    </row>
    <row r="1271" spans="1:8" x14ac:dyDescent="0.2">
      <c r="A1271">
        <f>ROW(LineærRegression_Valg[[#This Row],[Tabel ID]])-ROW(LineærRegression_Valg[[#Headers],[Tabel ID]])</f>
        <v>1261</v>
      </c>
      <c r="B1271" s="171">
        <f>ROUNDDOWN((LineærRegression_Valg[[#This Row],[Tabel ID]]-1)/$B$5,0)+1</f>
        <v>316</v>
      </c>
      <c r="C1271" s="171">
        <f t="shared" si="19"/>
        <v>1</v>
      </c>
      <c r="D1271" s="171" t="b">
        <f>LineærRegression_Valg[[#This Row],[Afhængig variabel ID]]&lt;&gt;LineærRegression_Valg[[#This Row],[Uafhængig variabel ID]]</f>
        <v>1</v>
      </c>
      <c r="E1271" t="b">
        <f>LineærRegression_Valg[[#This Row],[Afhængig variabel ID]]&lt;=$B$5</f>
        <v>0</v>
      </c>
      <c r="F1271" t="str" cm="1">
        <f t="array" ref="F1271">IF(LineærRegression_Valg[[#This Row],[Indenfor range]],INDEX(DataTitel_liste,LineærRegression_Valg[[#This Row],[Afhængig variabel ID]]),INDEX(DataTitel_liste,1))</f>
        <v>Eksempel 1 (interval)</v>
      </c>
      <c r="G1271" s="171" t="str" cm="1">
        <f t="array" ref="G1271">IF(LineærRegression_Valg[[#This Row],[Indenfor range]],IF(LineærRegression_Valg[[#This Row],[Intet overlap]],INDEX(DataTitel_liste,LineærRegression_Valg[[#This Row],[Uafhængig variabel ID]]),INDEX(DataTitel_liste,IF(LineærRegression_Valg[[#This Row],[Afhængig variabel ID]]=1,2,1))),$B$7)</f>
        <v>Eksempel 2 (interval)</v>
      </c>
      <c r="H1271" s="171">
        <f>_xlfn.AGGREGATE(2,5,LineærRegression_Valg[[#This Row],[Tabel ID]])</f>
        <v>1</v>
      </c>
    </row>
    <row r="1272" spans="1:8" x14ac:dyDescent="0.2">
      <c r="A1272">
        <f>ROW(LineærRegression_Valg[[#This Row],[Tabel ID]])-ROW(LineærRegression_Valg[[#Headers],[Tabel ID]])</f>
        <v>1262</v>
      </c>
      <c r="B1272" s="171">
        <f>ROUNDDOWN((LineærRegression_Valg[[#This Row],[Tabel ID]]-1)/$B$5,0)+1</f>
        <v>316</v>
      </c>
      <c r="C1272" s="171">
        <f t="shared" si="19"/>
        <v>2</v>
      </c>
      <c r="D1272" s="171" t="b">
        <f>LineærRegression_Valg[[#This Row],[Afhængig variabel ID]]&lt;&gt;LineærRegression_Valg[[#This Row],[Uafhængig variabel ID]]</f>
        <v>1</v>
      </c>
      <c r="E1272" t="b">
        <f>LineærRegression_Valg[[#This Row],[Afhængig variabel ID]]&lt;=$B$5</f>
        <v>0</v>
      </c>
      <c r="F1272" t="str" cm="1">
        <f t="array" ref="F1272">IF(LineærRegression_Valg[[#This Row],[Indenfor range]],INDEX(DataTitel_liste,LineærRegression_Valg[[#This Row],[Afhængig variabel ID]]),INDEX(DataTitel_liste,1))</f>
        <v>Eksempel 1 (interval)</v>
      </c>
      <c r="G1272" s="171" t="str" cm="1">
        <f t="array" ref="G1272">IF(LineærRegression_Valg[[#This Row],[Indenfor range]],IF(LineærRegression_Valg[[#This Row],[Intet overlap]],INDEX(DataTitel_liste,LineærRegression_Valg[[#This Row],[Uafhængig variabel ID]]),INDEX(DataTitel_liste,IF(LineærRegression_Valg[[#This Row],[Afhængig variabel ID]]=1,2,1))),$B$7)</f>
        <v>Eksempel 2 (interval)</v>
      </c>
      <c r="H1272" s="171">
        <f>_xlfn.AGGREGATE(2,5,LineærRegression_Valg[[#This Row],[Tabel ID]])</f>
        <v>1</v>
      </c>
    </row>
    <row r="1273" spans="1:8" x14ac:dyDescent="0.2">
      <c r="A1273">
        <f>ROW(LineærRegression_Valg[[#This Row],[Tabel ID]])-ROW(LineærRegression_Valg[[#Headers],[Tabel ID]])</f>
        <v>1263</v>
      </c>
      <c r="B1273" s="171">
        <f>ROUNDDOWN((LineærRegression_Valg[[#This Row],[Tabel ID]]-1)/$B$5,0)+1</f>
        <v>316</v>
      </c>
      <c r="C1273" s="171">
        <f t="shared" si="19"/>
        <v>3</v>
      </c>
      <c r="D1273" s="171" t="b">
        <f>LineærRegression_Valg[[#This Row],[Afhængig variabel ID]]&lt;&gt;LineærRegression_Valg[[#This Row],[Uafhængig variabel ID]]</f>
        <v>1</v>
      </c>
      <c r="E1273" t="b">
        <f>LineærRegression_Valg[[#This Row],[Afhængig variabel ID]]&lt;=$B$5</f>
        <v>0</v>
      </c>
      <c r="F1273" t="str" cm="1">
        <f t="array" ref="F1273">IF(LineærRegression_Valg[[#This Row],[Indenfor range]],INDEX(DataTitel_liste,LineærRegression_Valg[[#This Row],[Afhængig variabel ID]]),INDEX(DataTitel_liste,1))</f>
        <v>Eksempel 1 (interval)</v>
      </c>
      <c r="G1273" s="171" t="str" cm="1">
        <f t="array" ref="G1273">IF(LineærRegression_Valg[[#This Row],[Indenfor range]],IF(LineærRegression_Valg[[#This Row],[Intet overlap]],INDEX(DataTitel_liste,LineærRegression_Valg[[#This Row],[Uafhængig variabel ID]]),INDEX(DataTitel_liste,IF(LineærRegression_Valg[[#This Row],[Afhængig variabel ID]]=1,2,1))),$B$7)</f>
        <v>Eksempel 2 (interval)</v>
      </c>
      <c r="H1273" s="171">
        <f>_xlfn.AGGREGATE(2,5,LineærRegression_Valg[[#This Row],[Tabel ID]])</f>
        <v>1</v>
      </c>
    </row>
    <row r="1274" spans="1:8" x14ac:dyDescent="0.2">
      <c r="A1274">
        <f>ROW(LineærRegression_Valg[[#This Row],[Tabel ID]])-ROW(LineærRegression_Valg[[#Headers],[Tabel ID]])</f>
        <v>1264</v>
      </c>
      <c r="B1274" s="171">
        <f>ROUNDDOWN((LineærRegression_Valg[[#This Row],[Tabel ID]]-1)/$B$5,0)+1</f>
        <v>316</v>
      </c>
      <c r="C1274" s="171">
        <f t="shared" si="19"/>
        <v>4</v>
      </c>
      <c r="D1274" s="171" t="b">
        <f>LineærRegression_Valg[[#This Row],[Afhængig variabel ID]]&lt;&gt;LineærRegression_Valg[[#This Row],[Uafhængig variabel ID]]</f>
        <v>1</v>
      </c>
      <c r="E1274" t="b">
        <f>LineærRegression_Valg[[#This Row],[Afhængig variabel ID]]&lt;=$B$5</f>
        <v>0</v>
      </c>
      <c r="F1274" t="str" cm="1">
        <f t="array" ref="F1274">IF(LineærRegression_Valg[[#This Row],[Indenfor range]],INDEX(DataTitel_liste,LineærRegression_Valg[[#This Row],[Afhængig variabel ID]]),INDEX(DataTitel_liste,1))</f>
        <v>Eksempel 1 (interval)</v>
      </c>
      <c r="G1274" s="171" t="str" cm="1">
        <f t="array" ref="G1274">IF(LineærRegression_Valg[[#This Row],[Indenfor range]],IF(LineærRegression_Valg[[#This Row],[Intet overlap]],INDEX(DataTitel_liste,LineærRegression_Valg[[#This Row],[Uafhængig variabel ID]]),INDEX(DataTitel_liste,IF(LineærRegression_Valg[[#This Row],[Afhængig variabel ID]]=1,2,1))),$B$7)</f>
        <v>Eksempel 2 (interval)</v>
      </c>
      <c r="H1274" s="171">
        <f>_xlfn.AGGREGATE(2,5,LineærRegression_Valg[[#This Row],[Tabel ID]])</f>
        <v>1</v>
      </c>
    </row>
    <row r="1275" spans="1:8" x14ac:dyDescent="0.2">
      <c r="A1275">
        <f>ROW(LineærRegression_Valg[[#This Row],[Tabel ID]])-ROW(LineærRegression_Valg[[#Headers],[Tabel ID]])</f>
        <v>1265</v>
      </c>
      <c r="B1275" s="171">
        <f>ROUNDDOWN((LineærRegression_Valg[[#This Row],[Tabel ID]]-1)/$B$5,0)+1</f>
        <v>317</v>
      </c>
      <c r="C1275" s="171">
        <f t="shared" si="19"/>
        <v>1</v>
      </c>
      <c r="D1275" s="171" t="b">
        <f>LineærRegression_Valg[[#This Row],[Afhængig variabel ID]]&lt;&gt;LineærRegression_Valg[[#This Row],[Uafhængig variabel ID]]</f>
        <v>1</v>
      </c>
      <c r="E1275" t="b">
        <f>LineærRegression_Valg[[#This Row],[Afhængig variabel ID]]&lt;=$B$5</f>
        <v>0</v>
      </c>
      <c r="F1275" t="str" cm="1">
        <f t="array" ref="F1275">IF(LineærRegression_Valg[[#This Row],[Indenfor range]],INDEX(DataTitel_liste,LineærRegression_Valg[[#This Row],[Afhængig variabel ID]]),INDEX(DataTitel_liste,1))</f>
        <v>Eksempel 1 (interval)</v>
      </c>
      <c r="G1275" s="171" t="str" cm="1">
        <f t="array" ref="G1275">IF(LineærRegression_Valg[[#This Row],[Indenfor range]],IF(LineærRegression_Valg[[#This Row],[Intet overlap]],INDEX(DataTitel_liste,LineærRegression_Valg[[#This Row],[Uafhængig variabel ID]]),INDEX(DataTitel_liste,IF(LineærRegression_Valg[[#This Row],[Afhængig variabel ID]]=1,2,1))),$B$7)</f>
        <v>Eksempel 2 (interval)</v>
      </c>
      <c r="H1275" s="171">
        <f>_xlfn.AGGREGATE(2,5,LineærRegression_Valg[[#This Row],[Tabel ID]])</f>
        <v>1</v>
      </c>
    </row>
    <row r="1276" spans="1:8" x14ac:dyDescent="0.2">
      <c r="A1276">
        <f>ROW(LineærRegression_Valg[[#This Row],[Tabel ID]])-ROW(LineærRegression_Valg[[#Headers],[Tabel ID]])</f>
        <v>1266</v>
      </c>
      <c r="B1276" s="171">
        <f>ROUNDDOWN((LineærRegression_Valg[[#This Row],[Tabel ID]]-1)/$B$5,0)+1</f>
        <v>317</v>
      </c>
      <c r="C1276" s="171">
        <f t="shared" si="19"/>
        <v>2</v>
      </c>
      <c r="D1276" s="171" t="b">
        <f>LineærRegression_Valg[[#This Row],[Afhængig variabel ID]]&lt;&gt;LineærRegression_Valg[[#This Row],[Uafhængig variabel ID]]</f>
        <v>1</v>
      </c>
      <c r="E1276" t="b">
        <f>LineærRegression_Valg[[#This Row],[Afhængig variabel ID]]&lt;=$B$5</f>
        <v>0</v>
      </c>
      <c r="F1276" t="str" cm="1">
        <f t="array" ref="F1276">IF(LineærRegression_Valg[[#This Row],[Indenfor range]],INDEX(DataTitel_liste,LineærRegression_Valg[[#This Row],[Afhængig variabel ID]]),INDEX(DataTitel_liste,1))</f>
        <v>Eksempel 1 (interval)</v>
      </c>
      <c r="G1276" s="171" t="str" cm="1">
        <f t="array" ref="G1276">IF(LineærRegression_Valg[[#This Row],[Indenfor range]],IF(LineærRegression_Valg[[#This Row],[Intet overlap]],INDEX(DataTitel_liste,LineærRegression_Valg[[#This Row],[Uafhængig variabel ID]]),INDEX(DataTitel_liste,IF(LineærRegression_Valg[[#This Row],[Afhængig variabel ID]]=1,2,1))),$B$7)</f>
        <v>Eksempel 2 (interval)</v>
      </c>
      <c r="H1276" s="171">
        <f>_xlfn.AGGREGATE(2,5,LineærRegression_Valg[[#This Row],[Tabel ID]])</f>
        <v>1</v>
      </c>
    </row>
    <row r="1277" spans="1:8" x14ac:dyDescent="0.2">
      <c r="A1277">
        <f>ROW(LineærRegression_Valg[[#This Row],[Tabel ID]])-ROW(LineærRegression_Valg[[#Headers],[Tabel ID]])</f>
        <v>1267</v>
      </c>
      <c r="B1277" s="171">
        <f>ROUNDDOWN((LineærRegression_Valg[[#This Row],[Tabel ID]]-1)/$B$5,0)+1</f>
        <v>317</v>
      </c>
      <c r="C1277" s="171">
        <f t="shared" si="19"/>
        <v>3</v>
      </c>
      <c r="D1277" s="171" t="b">
        <f>LineærRegression_Valg[[#This Row],[Afhængig variabel ID]]&lt;&gt;LineærRegression_Valg[[#This Row],[Uafhængig variabel ID]]</f>
        <v>1</v>
      </c>
      <c r="E1277" t="b">
        <f>LineærRegression_Valg[[#This Row],[Afhængig variabel ID]]&lt;=$B$5</f>
        <v>0</v>
      </c>
      <c r="F1277" t="str" cm="1">
        <f t="array" ref="F1277">IF(LineærRegression_Valg[[#This Row],[Indenfor range]],INDEX(DataTitel_liste,LineærRegression_Valg[[#This Row],[Afhængig variabel ID]]),INDEX(DataTitel_liste,1))</f>
        <v>Eksempel 1 (interval)</v>
      </c>
      <c r="G1277" s="171" t="str" cm="1">
        <f t="array" ref="G1277">IF(LineærRegression_Valg[[#This Row],[Indenfor range]],IF(LineærRegression_Valg[[#This Row],[Intet overlap]],INDEX(DataTitel_liste,LineærRegression_Valg[[#This Row],[Uafhængig variabel ID]]),INDEX(DataTitel_liste,IF(LineærRegression_Valg[[#This Row],[Afhængig variabel ID]]=1,2,1))),$B$7)</f>
        <v>Eksempel 2 (interval)</v>
      </c>
      <c r="H1277" s="171">
        <f>_xlfn.AGGREGATE(2,5,LineærRegression_Valg[[#This Row],[Tabel ID]])</f>
        <v>1</v>
      </c>
    </row>
    <row r="1278" spans="1:8" x14ac:dyDescent="0.2">
      <c r="A1278">
        <f>ROW(LineærRegression_Valg[[#This Row],[Tabel ID]])-ROW(LineærRegression_Valg[[#Headers],[Tabel ID]])</f>
        <v>1268</v>
      </c>
      <c r="B1278" s="171">
        <f>ROUNDDOWN((LineærRegression_Valg[[#This Row],[Tabel ID]]-1)/$B$5,0)+1</f>
        <v>317</v>
      </c>
      <c r="C1278" s="171">
        <f t="shared" si="19"/>
        <v>4</v>
      </c>
      <c r="D1278" s="171" t="b">
        <f>LineærRegression_Valg[[#This Row],[Afhængig variabel ID]]&lt;&gt;LineærRegression_Valg[[#This Row],[Uafhængig variabel ID]]</f>
        <v>1</v>
      </c>
      <c r="E1278" t="b">
        <f>LineærRegression_Valg[[#This Row],[Afhængig variabel ID]]&lt;=$B$5</f>
        <v>0</v>
      </c>
      <c r="F1278" t="str" cm="1">
        <f t="array" ref="F1278">IF(LineærRegression_Valg[[#This Row],[Indenfor range]],INDEX(DataTitel_liste,LineærRegression_Valg[[#This Row],[Afhængig variabel ID]]),INDEX(DataTitel_liste,1))</f>
        <v>Eksempel 1 (interval)</v>
      </c>
      <c r="G1278" s="171" t="str" cm="1">
        <f t="array" ref="G1278">IF(LineærRegression_Valg[[#This Row],[Indenfor range]],IF(LineærRegression_Valg[[#This Row],[Intet overlap]],INDEX(DataTitel_liste,LineærRegression_Valg[[#This Row],[Uafhængig variabel ID]]),INDEX(DataTitel_liste,IF(LineærRegression_Valg[[#This Row],[Afhængig variabel ID]]=1,2,1))),$B$7)</f>
        <v>Eksempel 2 (interval)</v>
      </c>
      <c r="H1278" s="171">
        <f>_xlfn.AGGREGATE(2,5,LineærRegression_Valg[[#This Row],[Tabel ID]])</f>
        <v>1</v>
      </c>
    </row>
    <row r="1279" spans="1:8" x14ac:dyDescent="0.2">
      <c r="A1279">
        <f>ROW(LineærRegression_Valg[[#This Row],[Tabel ID]])-ROW(LineærRegression_Valg[[#Headers],[Tabel ID]])</f>
        <v>1269</v>
      </c>
      <c r="B1279" s="171">
        <f>ROUNDDOWN((LineærRegression_Valg[[#This Row],[Tabel ID]]-1)/$B$5,0)+1</f>
        <v>318</v>
      </c>
      <c r="C1279" s="171">
        <f t="shared" si="19"/>
        <v>1</v>
      </c>
      <c r="D1279" s="171" t="b">
        <f>LineærRegression_Valg[[#This Row],[Afhængig variabel ID]]&lt;&gt;LineærRegression_Valg[[#This Row],[Uafhængig variabel ID]]</f>
        <v>1</v>
      </c>
      <c r="E1279" t="b">
        <f>LineærRegression_Valg[[#This Row],[Afhængig variabel ID]]&lt;=$B$5</f>
        <v>0</v>
      </c>
      <c r="F1279" t="str" cm="1">
        <f t="array" ref="F1279">IF(LineærRegression_Valg[[#This Row],[Indenfor range]],INDEX(DataTitel_liste,LineærRegression_Valg[[#This Row],[Afhængig variabel ID]]),INDEX(DataTitel_liste,1))</f>
        <v>Eksempel 1 (interval)</v>
      </c>
      <c r="G1279" s="171" t="str" cm="1">
        <f t="array" ref="G1279">IF(LineærRegression_Valg[[#This Row],[Indenfor range]],IF(LineærRegression_Valg[[#This Row],[Intet overlap]],INDEX(DataTitel_liste,LineærRegression_Valg[[#This Row],[Uafhængig variabel ID]]),INDEX(DataTitel_liste,IF(LineærRegression_Valg[[#This Row],[Afhængig variabel ID]]=1,2,1))),$B$7)</f>
        <v>Eksempel 2 (interval)</v>
      </c>
      <c r="H1279" s="171">
        <f>_xlfn.AGGREGATE(2,5,LineærRegression_Valg[[#This Row],[Tabel ID]])</f>
        <v>1</v>
      </c>
    </row>
    <row r="1280" spans="1:8" x14ac:dyDescent="0.2">
      <c r="A1280">
        <f>ROW(LineærRegression_Valg[[#This Row],[Tabel ID]])-ROW(LineærRegression_Valg[[#Headers],[Tabel ID]])</f>
        <v>1270</v>
      </c>
      <c r="B1280" s="171">
        <f>ROUNDDOWN((LineærRegression_Valg[[#This Row],[Tabel ID]]-1)/$B$5,0)+1</f>
        <v>318</v>
      </c>
      <c r="C1280" s="171">
        <f t="shared" si="19"/>
        <v>2</v>
      </c>
      <c r="D1280" s="171" t="b">
        <f>LineærRegression_Valg[[#This Row],[Afhængig variabel ID]]&lt;&gt;LineærRegression_Valg[[#This Row],[Uafhængig variabel ID]]</f>
        <v>1</v>
      </c>
      <c r="E1280" t="b">
        <f>LineærRegression_Valg[[#This Row],[Afhængig variabel ID]]&lt;=$B$5</f>
        <v>0</v>
      </c>
      <c r="F1280" t="str" cm="1">
        <f t="array" ref="F1280">IF(LineærRegression_Valg[[#This Row],[Indenfor range]],INDEX(DataTitel_liste,LineærRegression_Valg[[#This Row],[Afhængig variabel ID]]),INDEX(DataTitel_liste,1))</f>
        <v>Eksempel 1 (interval)</v>
      </c>
      <c r="G1280" s="171" t="str" cm="1">
        <f t="array" ref="G1280">IF(LineærRegression_Valg[[#This Row],[Indenfor range]],IF(LineærRegression_Valg[[#This Row],[Intet overlap]],INDEX(DataTitel_liste,LineærRegression_Valg[[#This Row],[Uafhængig variabel ID]]),INDEX(DataTitel_liste,IF(LineærRegression_Valg[[#This Row],[Afhængig variabel ID]]=1,2,1))),$B$7)</f>
        <v>Eksempel 2 (interval)</v>
      </c>
      <c r="H1280" s="171">
        <f>_xlfn.AGGREGATE(2,5,LineærRegression_Valg[[#This Row],[Tabel ID]])</f>
        <v>1</v>
      </c>
    </row>
    <row r="1281" spans="1:8" x14ac:dyDescent="0.2">
      <c r="A1281">
        <f>ROW(LineærRegression_Valg[[#This Row],[Tabel ID]])-ROW(LineærRegression_Valg[[#Headers],[Tabel ID]])</f>
        <v>1271</v>
      </c>
      <c r="B1281" s="171">
        <f>ROUNDDOWN((LineærRegression_Valg[[#This Row],[Tabel ID]]-1)/$B$5,0)+1</f>
        <v>318</v>
      </c>
      <c r="C1281" s="171">
        <f t="shared" si="19"/>
        <v>3</v>
      </c>
      <c r="D1281" s="171" t="b">
        <f>LineærRegression_Valg[[#This Row],[Afhængig variabel ID]]&lt;&gt;LineærRegression_Valg[[#This Row],[Uafhængig variabel ID]]</f>
        <v>1</v>
      </c>
      <c r="E1281" t="b">
        <f>LineærRegression_Valg[[#This Row],[Afhængig variabel ID]]&lt;=$B$5</f>
        <v>0</v>
      </c>
      <c r="F1281" t="str" cm="1">
        <f t="array" ref="F1281">IF(LineærRegression_Valg[[#This Row],[Indenfor range]],INDEX(DataTitel_liste,LineærRegression_Valg[[#This Row],[Afhængig variabel ID]]),INDEX(DataTitel_liste,1))</f>
        <v>Eksempel 1 (interval)</v>
      </c>
      <c r="G1281" s="171" t="str" cm="1">
        <f t="array" ref="G1281">IF(LineærRegression_Valg[[#This Row],[Indenfor range]],IF(LineærRegression_Valg[[#This Row],[Intet overlap]],INDEX(DataTitel_liste,LineærRegression_Valg[[#This Row],[Uafhængig variabel ID]]),INDEX(DataTitel_liste,IF(LineærRegression_Valg[[#This Row],[Afhængig variabel ID]]=1,2,1))),$B$7)</f>
        <v>Eksempel 2 (interval)</v>
      </c>
      <c r="H1281" s="171">
        <f>_xlfn.AGGREGATE(2,5,LineærRegression_Valg[[#This Row],[Tabel ID]])</f>
        <v>1</v>
      </c>
    </row>
    <row r="1282" spans="1:8" x14ac:dyDescent="0.2">
      <c r="A1282">
        <f>ROW(LineærRegression_Valg[[#This Row],[Tabel ID]])-ROW(LineærRegression_Valg[[#Headers],[Tabel ID]])</f>
        <v>1272</v>
      </c>
      <c r="B1282" s="171">
        <f>ROUNDDOWN((LineærRegression_Valg[[#This Row],[Tabel ID]]-1)/$B$5,0)+1</f>
        <v>318</v>
      </c>
      <c r="C1282" s="171">
        <f t="shared" si="19"/>
        <v>4</v>
      </c>
      <c r="D1282" s="171" t="b">
        <f>LineærRegression_Valg[[#This Row],[Afhængig variabel ID]]&lt;&gt;LineærRegression_Valg[[#This Row],[Uafhængig variabel ID]]</f>
        <v>1</v>
      </c>
      <c r="E1282" t="b">
        <f>LineærRegression_Valg[[#This Row],[Afhængig variabel ID]]&lt;=$B$5</f>
        <v>0</v>
      </c>
      <c r="F1282" t="str" cm="1">
        <f t="array" ref="F1282">IF(LineærRegression_Valg[[#This Row],[Indenfor range]],INDEX(DataTitel_liste,LineærRegression_Valg[[#This Row],[Afhængig variabel ID]]),INDEX(DataTitel_liste,1))</f>
        <v>Eksempel 1 (interval)</v>
      </c>
      <c r="G1282" s="171" t="str" cm="1">
        <f t="array" ref="G1282">IF(LineærRegression_Valg[[#This Row],[Indenfor range]],IF(LineærRegression_Valg[[#This Row],[Intet overlap]],INDEX(DataTitel_liste,LineærRegression_Valg[[#This Row],[Uafhængig variabel ID]]),INDEX(DataTitel_liste,IF(LineærRegression_Valg[[#This Row],[Afhængig variabel ID]]=1,2,1))),$B$7)</f>
        <v>Eksempel 2 (interval)</v>
      </c>
      <c r="H1282" s="171">
        <f>_xlfn.AGGREGATE(2,5,LineærRegression_Valg[[#This Row],[Tabel ID]])</f>
        <v>1</v>
      </c>
    </row>
    <row r="1283" spans="1:8" x14ac:dyDescent="0.2">
      <c r="A1283">
        <f>ROW(LineærRegression_Valg[[#This Row],[Tabel ID]])-ROW(LineærRegression_Valg[[#Headers],[Tabel ID]])</f>
        <v>1273</v>
      </c>
      <c r="B1283" s="171">
        <f>ROUNDDOWN((LineærRegression_Valg[[#This Row],[Tabel ID]]-1)/$B$5,0)+1</f>
        <v>319</v>
      </c>
      <c r="C1283" s="171">
        <f t="shared" si="19"/>
        <v>1</v>
      </c>
      <c r="D1283" s="171" t="b">
        <f>LineærRegression_Valg[[#This Row],[Afhængig variabel ID]]&lt;&gt;LineærRegression_Valg[[#This Row],[Uafhængig variabel ID]]</f>
        <v>1</v>
      </c>
      <c r="E1283" t="b">
        <f>LineærRegression_Valg[[#This Row],[Afhængig variabel ID]]&lt;=$B$5</f>
        <v>0</v>
      </c>
      <c r="F1283" t="str" cm="1">
        <f t="array" ref="F1283">IF(LineærRegression_Valg[[#This Row],[Indenfor range]],INDEX(DataTitel_liste,LineærRegression_Valg[[#This Row],[Afhængig variabel ID]]),INDEX(DataTitel_liste,1))</f>
        <v>Eksempel 1 (interval)</v>
      </c>
      <c r="G1283" s="171" t="str" cm="1">
        <f t="array" ref="G1283">IF(LineærRegression_Valg[[#This Row],[Indenfor range]],IF(LineærRegression_Valg[[#This Row],[Intet overlap]],INDEX(DataTitel_liste,LineærRegression_Valg[[#This Row],[Uafhængig variabel ID]]),INDEX(DataTitel_liste,IF(LineærRegression_Valg[[#This Row],[Afhængig variabel ID]]=1,2,1))),$B$7)</f>
        <v>Eksempel 2 (interval)</v>
      </c>
      <c r="H1283" s="171">
        <f>_xlfn.AGGREGATE(2,5,LineærRegression_Valg[[#This Row],[Tabel ID]])</f>
        <v>1</v>
      </c>
    </row>
    <row r="1284" spans="1:8" x14ac:dyDescent="0.2">
      <c r="A1284">
        <f>ROW(LineærRegression_Valg[[#This Row],[Tabel ID]])-ROW(LineærRegression_Valg[[#Headers],[Tabel ID]])</f>
        <v>1274</v>
      </c>
      <c r="B1284" s="171">
        <f>ROUNDDOWN((LineærRegression_Valg[[#This Row],[Tabel ID]]-1)/$B$5,0)+1</f>
        <v>319</v>
      </c>
      <c r="C1284" s="171">
        <f t="shared" si="19"/>
        <v>2</v>
      </c>
      <c r="D1284" s="171" t="b">
        <f>LineærRegression_Valg[[#This Row],[Afhængig variabel ID]]&lt;&gt;LineærRegression_Valg[[#This Row],[Uafhængig variabel ID]]</f>
        <v>1</v>
      </c>
      <c r="E1284" t="b">
        <f>LineærRegression_Valg[[#This Row],[Afhængig variabel ID]]&lt;=$B$5</f>
        <v>0</v>
      </c>
      <c r="F1284" t="str" cm="1">
        <f t="array" ref="F1284">IF(LineærRegression_Valg[[#This Row],[Indenfor range]],INDEX(DataTitel_liste,LineærRegression_Valg[[#This Row],[Afhængig variabel ID]]),INDEX(DataTitel_liste,1))</f>
        <v>Eksempel 1 (interval)</v>
      </c>
      <c r="G1284" s="171" t="str" cm="1">
        <f t="array" ref="G1284">IF(LineærRegression_Valg[[#This Row],[Indenfor range]],IF(LineærRegression_Valg[[#This Row],[Intet overlap]],INDEX(DataTitel_liste,LineærRegression_Valg[[#This Row],[Uafhængig variabel ID]]),INDEX(DataTitel_liste,IF(LineærRegression_Valg[[#This Row],[Afhængig variabel ID]]=1,2,1))),$B$7)</f>
        <v>Eksempel 2 (interval)</v>
      </c>
      <c r="H1284" s="171">
        <f>_xlfn.AGGREGATE(2,5,LineærRegression_Valg[[#This Row],[Tabel ID]])</f>
        <v>1</v>
      </c>
    </row>
    <row r="1285" spans="1:8" x14ac:dyDescent="0.2">
      <c r="A1285">
        <f>ROW(LineærRegression_Valg[[#This Row],[Tabel ID]])-ROW(LineærRegression_Valg[[#Headers],[Tabel ID]])</f>
        <v>1275</v>
      </c>
      <c r="B1285" s="171">
        <f>ROUNDDOWN((LineærRegression_Valg[[#This Row],[Tabel ID]]-1)/$B$5,0)+1</f>
        <v>319</v>
      </c>
      <c r="C1285" s="171">
        <f t="shared" si="19"/>
        <v>3</v>
      </c>
      <c r="D1285" s="171" t="b">
        <f>LineærRegression_Valg[[#This Row],[Afhængig variabel ID]]&lt;&gt;LineærRegression_Valg[[#This Row],[Uafhængig variabel ID]]</f>
        <v>1</v>
      </c>
      <c r="E1285" t="b">
        <f>LineærRegression_Valg[[#This Row],[Afhængig variabel ID]]&lt;=$B$5</f>
        <v>0</v>
      </c>
      <c r="F1285" t="str" cm="1">
        <f t="array" ref="F1285">IF(LineærRegression_Valg[[#This Row],[Indenfor range]],INDEX(DataTitel_liste,LineærRegression_Valg[[#This Row],[Afhængig variabel ID]]),INDEX(DataTitel_liste,1))</f>
        <v>Eksempel 1 (interval)</v>
      </c>
      <c r="G1285" s="171" t="str" cm="1">
        <f t="array" ref="G1285">IF(LineærRegression_Valg[[#This Row],[Indenfor range]],IF(LineærRegression_Valg[[#This Row],[Intet overlap]],INDEX(DataTitel_liste,LineærRegression_Valg[[#This Row],[Uafhængig variabel ID]]),INDEX(DataTitel_liste,IF(LineærRegression_Valg[[#This Row],[Afhængig variabel ID]]=1,2,1))),$B$7)</f>
        <v>Eksempel 2 (interval)</v>
      </c>
      <c r="H1285" s="171">
        <f>_xlfn.AGGREGATE(2,5,LineærRegression_Valg[[#This Row],[Tabel ID]])</f>
        <v>1</v>
      </c>
    </row>
    <row r="1286" spans="1:8" x14ac:dyDescent="0.2">
      <c r="A1286">
        <f>ROW(LineærRegression_Valg[[#This Row],[Tabel ID]])-ROW(LineærRegression_Valg[[#Headers],[Tabel ID]])</f>
        <v>1276</v>
      </c>
      <c r="B1286" s="171">
        <f>ROUNDDOWN((LineærRegression_Valg[[#This Row],[Tabel ID]]-1)/$B$5,0)+1</f>
        <v>319</v>
      </c>
      <c r="C1286" s="171">
        <f t="shared" si="19"/>
        <v>4</v>
      </c>
      <c r="D1286" s="171" t="b">
        <f>LineærRegression_Valg[[#This Row],[Afhængig variabel ID]]&lt;&gt;LineærRegression_Valg[[#This Row],[Uafhængig variabel ID]]</f>
        <v>1</v>
      </c>
      <c r="E1286" t="b">
        <f>LineærRegression_Valg[[#This Row],[Afhængig variabel ID]]&lt;=$B$5</f>
        <v>0</v>
      </c>
      <c r="F1286" t="str" cm="1">
        <f t="array" ref="F1286">IF(LineærRegression_Valg[[#This Row],[Indenfor range]],INDEX(DataTitel_liste,LineærRegression_Valg[[#This Row],[Afhængig variabel ID]]),INDEX(DataTitel_liste,1))</f>
        <v>Eksempel 1 (interval)</v>
      </c>
      <c r="G1286" s="171" t="str" cm="1">
        <f t="array" ref="G1286">IF(LineærRegression_Valg[[#This Row],[Indenfor range]],IF(LineærRegression_Valg[[#This Row],[Intet overlap]],INDEX(DataTitel_liste,LineærRegression_Valg[[#This Row],[Uafhængig variabel ID]]),INDEX(DataTitel_liste,IF(LineærRegression_Valg[[#This Row],[Afhængig variabel ID]]=1,2,1))),$B$7)</f>
        <v>Eksempel 2 (interval)</v>
      </c>
      <c r="H1286" s="171">
        <f>_xlfn.AGGREGATE(2,5,LineærRegression_Valg[[#This Row],[Tabel ID]])</f>
        <v>1</v>
      </c>
    </row>
    <row r="1287" spans="1:8" x14ac:dyDescent="0.2">
      <c r="A1287">
        <f>ROW(LineærRegression_Valg[[#This Row],[Tabel ID]])-ROW(LineærRegression_Valg[[#Headers],[Tabel ID]])</f>
        <v>1277</v>
      </c>
      <c r="B1287" s="171">
        <f>ROUNDDOWN((LineærRegression_Valg[[#This Row],[Tabel ID]]-1)/$B$5,0)+1</f>
        <v>320</v>
      </c>
      <c r="C1287" s="171">
        <f t="shared" si="19"/>
        <v>1</v>
      </c>
      <c r="D1287" s="171" t="b">
        <f>LineærRegression_Valg[[#This Row],[Afhængig variabel ID]]&lt;&gt;LineærRegression_Valg[[#This Row],[Uafhængig variabel ID]]</f>
        <v>1</v>
      </c>
      <c r="E1287" t="b">
        <f>LineærRegression_Valg[[#This Row],[Afhængig variabel ID]]&lt;=$B$5</f>
        <v>0</v>
      </c>
      <c r="F1287" t="str" cm="1">
        <f t="array" ref="F1287">IF(LineærRegression_Valg[[#This Row],[Indenfor range]],INDEX(DataTitel_liste,LineærRegression_Valg[[#This Row],[Afhængig variabel ID]]),INDEX(DataTitel_liste,1))</f>
        <v>Eksempel 1 (interval)</v>
      </c>
      <c r="G1287" s="171" t="str" cm="1">
        <f t="array" ref="G1287">IF(LineærRegression_Valg[[#This Row],[Indenfor range]],IF(LineærRegression_Valg[[#This Row],[Intet overlap]],INDEX(DataTitel_liste,LineærRegression_Valg[[#This Row],[Uafhængig variabel ID]]),INDEX(DataTitel_liste,IF(LineærRegression_Valg[[#This Row],[Afhængig variabel ID]]=1,2,1))),$B$7)</f>
        <v>Eksempel 2 (interval)</v>
      </c>
      <c r="H1287" s="171">
        <f>_xlfn.AGGREGATE(2,5,LineærRegression_Valg[[#This Row],[Tabel ID]])</f>
        <v>1</v>
      </c>
    </row>
    <row r="1288" spans="1:8" x14ac:dyDescent="0.2">
      <c r="A1288">
        <f>ROW(LineærRegression_Valg[[#This Row],[Tabel ID]])-ROW(LineærRegression_Valg[[#Headers],[Tabel ID]])</f>
        <v>1278</v>
      </c>
      <c r="B1288" s="171">
        <f>ROUNDDOWN((LineærRegression_Valg[[#This Row],[Tabel ID]]-1)/$B$5,0)+1</f>
        <v>320</v>
      </c>
      <c r="C1288" s="171">
        <f t="shared" si="19"/>
        <v>2</v>
      </c>
      <c r="D1288" s="171" t="b">
        <f>LineærRegression_Valg[[#This Row],[Afhængig variabel ID]]&lt;&gt;LineærRegression_Valg[[#This Row],[Uafhængig variabel ID]]</f>
        <v>1</v>
      </c>
      <c r="E1288" t="b">
        <f>LineærRegression_Valg[[#This Row],[Afhængig variabel ID]]&lt;=$B$5</f>
        <v>0</v>
      </c>
      <c r="F1288" t="str" cm="1">
        <f t="array" ref="F1288">IF(LineærRegression_Valg[[#This Row],[Indenfor range]],INDEX(DataTitel_liste,LineærRegression_Valg[[#This Row],[Afhængig variabel ID]]),INDEX(DataTitel_liste,1))</f>
        <v>Eksempel 1 (interval)</v>
      </c>
      <c r="G1288" s="171" t="str" cm="1">
        <f t="array" ref="G1288">IF(LineærRegression_Valg[[#This Row],[Indenfor range]],IF(LineærRegression_Valg[[#This Row],[Intet overlap]],INDEX(DataTitel_liste,LineærRegression_Valg[[#This Row],[Uafhængig variabel ID]]),INDEX(DataTitel_liste,IF(LineærRegression_Valg[[#This Row],[Afhængig variabel ID]]=1,2,1))),$B$7)</f>
        <v>Eksempel 2 (interval)</v>
      </c>
      <c r="H1288" s="171">
        <f>_xlfn.AGGREGATE(2,5,LineærRegression_Valg[[#This Row],[Tabel ID]])</f>
        <v>1</v>
      </c>
    </row>
    <row r="1289" spans="1:8" x14ac:dyDescent="0.2">
      <c r="A1289">
        <f>ROW(LineærRegression_Valg[[#This Row],[Tabel ID]])-ROW(LineærRegression_Valg[[#Headers],[Tabel ID]])</f>
        <v>1279</v>
      </c>
      <c r="B1289" s="171">
        <f>ROUNDDOWN((LineærRegression_Valg[[#This Row],[Tabel ID]]-1)/$B$5,0)+1</f>
        <v>320</v>
      </c>
      <c r="C1289" s="171">
        <f t="shared" si="19"/>
        <v>3</v>
      </c>
      <c r="D1289" s="171" t="b">
        <f>LineærRegression_Valg[[#This Row],[Afhængig variabel ID]]&lt;&gt;LineærRegression_Valg[[#This Row],[Uafhængig variabel ID]]</f>
        <v>1</v>
      </c>
      <c r="E1289" t="b">
        <f>LineærRegression_Valg[[#This Row],[Afhængig variabel ID]]&lt;=$B$5</f>
        <v>0</v>
      </c>
      <c r="F1289" t="str" cm="1">
        <f t="array" ref="F1289">IF(LineærRegression_Valg[[#This Row],[Indenfor range]],INDEX(DataTitel_liste,LineærRegression_Valg[[#This Row],[Afhængig variabel ID]]),INDEX(DataTitel_liste,1))</f>
        <v>Eksempel 1 (interval)</v>
      </c>
      <c r="G1289" s="171" t="str" cm="1">
        <f t="array" ref="G1289">IF(LineærRegression_Valg[[#This Row],[Indenfor range]],IF(LineærRegression_Valg[[#This Row],[Intet overlap]],INDEX(DataTitel_liste,LineærRegression_Valg[[#This Row],[Uafhængig variabel ID]]),INDEX(DataTitel_liste,IF(LineærRegression_Valg[[#This Row],[Afhængig variabel ID]]=1,2,1))),$B$7)</f>
        <v>Eksempel 2 (interval)</v>
      </c>
      <c r="H1289" s="171">
        <f>_xlfn.AGGREGATE(2,5,LineærRegression_Valg[[#This Row],[Tabel ID]])</f>
        <v>1</v>
      </c>
    </row>
    <row r="1290" spans="1:8" x14ac:dyDescent="0.2">
      <c r="A1290">
        <f>ROW(LineærRegression_Valg[[#This Row],[Tabel ID]])-ROW(LineærRegression_Valg[[#Headers],[Tabel ID]])</f>
        <v>1280</v>
      </c>
      <c r="B1290" s="171">
        <f>ROUNDDOWN((LineærRegression_Valg[[#This Row],[Tabel ID]]-1)/$B$5,0)+1</f>
        <v>320</v>
      </c>
      <c r="C1290" s="171">
        <f t="shared" si="19"/>
        <v>4</v>
      </c>
      <c r="D1290" s="171" t="b">
        <f>LineærRegression_Valg[[#This Row],[Afhængig variabel ID]]&lt;&gt;LineærRegression_Valg[[#This Row],[Uafhængig variabel ID]]</f>
        <v>1</v>
      </c>
      <c r="E1290" t="b">
        <f>LineærRegression_Valg[[#This Row],[Afhængig variabel ID]]&lt;=$B$5</f>
        <v>0</v>
      </c>
      <c r="F1290" t="str" cm="1">
        <f t="array" ref="F1290">IF(LineærRegression_Valg[[#This Row],[Indenfor range]],INDEX(DataTitel_liste,LineærRegression_Valg[[#This Row],[Afhængig variabel ID]]),INDEX(DataTitel_liste,1))</f>
        <v>Eksempel 1 (interval)</v>
      </c>
      <c r="G1290" s="171" t="str" cm="1">
        <f t="array" ref="G1290">IF(LineærRegression_Valg[[#This Row],[Indenfor range]],IF(LineærRegression_Valg[[#This Row],[Intet overlap]],INDEX(DataTitel_liste,LineærRegression_Valg[[#This Row],[Uafhængig variabel ID]]),INDEX(DataTitel_liste,IF(LineærRegression_Valg[[#This Row],[Afhængig variabel ID]]=1,2,1))),$B$7)</f>
        <v>Eksempel 2 (interval)</v>
      </c>
      <c r="H1290" s="171">
        <f>_xlfn.AGGREGATE(2,5,LineærRegression_Valg[[#This Row],[Tabel ID]])</f>
        <v>1</v>
      </c>
    </row>
    <row r="1291" spans="1:8" x14ac:dyDescent="0.2">
      <c r="A1291">
        <f>ROW(LineærRegression_Valg[[#This Row],[Tabel ID]])-ROW(LineærRegression_Valg[[#Headers],[Tabel ID]])</f>
        <v>1281</v>
      </c>
      <c r="B1291" s="171">
        <f>ROUNDDOWN((LineærRegression_Valg[[#This Row],[Tabel ID]]-1)/$B$5,0)+1</f>
        <v>321</v>
      </c>
      <c r="C1291" s="171">
        <f t="shared" ref="C1291:C1354" si="20">MOD(A1291-1,$B$5)+1</f>
        <v>1</v>
      </c>
      <c r="D1291" s="171" t="b">
        <f>LineærRegression_Valg[[#This Row],[Afhængig variabel ID]]&lt;&gt;LineærRegression_Valg[[#This Row],[Uafhængig variabel ID]]</f>
        <v>1</v>
      </c>
      <c r="E1291" t="b">
        <f>LineærRegression_Valg[[#This Row],[Afhængig variabel ID]]&lt;=$B$5</f>
        <v>0</v>
      </c>
      <c r="F1291" t="str" cm="1">
        <f t="array" ref="F1291">IF(LineærRegression_Valg[[#This Row],[Indenfor range]],INDEX(DataTitel_liste,LineærRegression_Valg[[#This Row],[Afhængig variabel ID]]),INDEX(DataTitel_liste,1))</f>
        <v>Eksempel 1 (interval)</v>
      </c>
      <c r="G1291" s="171" t="str" cm="1">
        <f t="array" ref="G1291">IF(LineærRegression_Valg[[#This Row],[Indenfor range]],IF(LineærRegression_Valg[[#This Row],[Intet overlap]],INDEX(DataTitel_liste,LineærRegression_Valg[[#This Row],[Uafhængig variabel ID]]),INDEX(DataTitel_liste,IF(LineærRegression_Valg[[#This Row],[Afhængig variabel ID]]=1,2,1))),$B$7)</f>
        <v>Eksempel 2 (interval)</v>
      </c>
      <c r="H1291" s="171">
        <f>_xlfn.AGGREGATE(2,5,LineærRegression_Valg[[#This Row],[Tabel ID]])</f>
        <v>1</v>
      </c>
    </row>
    <row r="1292" spans="1:8" x14ac:dyDescent="0.2">
      <c r="A1292">
        <f>ROW(LineærRegression_Valg[[#This Row],[Tabel ID]])-ROW(LineærRegression_Valg[[#Headers],[Tabel ID]])</f>
        <v>1282</v>
      </c>
      <c r="B1292" s="171">
        <f>ROUNDDOWN((LineærRegression_Valg[[#This Row],[Tabel ID]]-1)/$B$5,0)+1</f>
        <v>321</v>
      </c>
      <c r="C1292" s="171">
        <f t="shared" si="20"/>
        <v>2</v>
      </c>
      <c r="D1292" s="171" t="b">
        <f>LineærRegression_Valg[[#This Row],[Afhængig variabel ID]]&lt;&gt;LineærRegression_Valg[[#This Row],[Uafhængig variabel ID]]</f>
        <v>1</v>
      </c>
      <c r="E1292" t="b">
        <f>LineærRegression_Valg[[#This Row],[Afhængig variabel ID]]&lt;=$B$5</f>
        <v>0</v>
      </c>
      <c r="F1292" t="str" cm="1">
        <f t="array" ref="F1292">IF(LineærRegression_Valg[[#This Row],[Indenfor range]],INDEX(DataTitel_liste,LineærRegression_Valg[[#This Row],[Afhængig variabel ID]]),INDEX(DataTitel_liste,1))</f>
        <v>Eksempel 1 (interval)</v>
      </c>
      <c r="G1292" s="171" t="str" cm="1">
        <f t="array" ref="G1292">IF(LineærRegression_Valg[[#This Row],[Indenfor range]],IF(LineærRegression_Valg[[#This Row],[Intet overlap]],INDEX(DataTitel_liste,LineærRegression_Valg[[#This Row],[Uafhængig variabel ID]]),INDEX(DataTitel_liste,IF(LineærRegression_Valg[[#This Row],[Afhængig variabel ID]]=1,2,1))),$B$7)</f>
        <v>Eksempel 2 (interval)</v>
      </c>
      <c r="H1292" s="171">
        <f>_xlfn.AGGREGATE(2,5,LineærRegression_Valg[[#This Row],[Tabel ID]])</f>
        <v>1</v>
      </c>
    </row>
    <row r="1293" spans="1:8" x14ac:dyDescent="0.2">
      <c r="A1293">
        <f>ROW(LineærRegression_Valg[[#This Row],[Tabel ID]])-ROW(LineærRegression_Valg[[#Headers],[Tabel ID]])</f>
        <v>1283</v>
      </c>
      <c r="B1293" s="171">
        <f>ROUNDDOWN((LineærRegression_Valg[[#This Row],[Tabel ID]]-1)/$B$5,0)+1</f>
        <v>321</v>
      </c>
      <c r="C1293" s="171">
        <f t="shared" si="20"/>
        <v>3</v>
      </c>
      <c r="D1293" s="171" t="b">
        <f>LineærRegression_Valg[[#This Row],[Afhængig variabel ID]]&lt;&gt;LineærRegression_Valg[[#This Row],[Uafhængig variabel ID]]</f>
        <v>1</v>
      </c>
      <c r="E1293" t="b">
        <f>LineærRegression_Valg[[#This Row],[Afhængig variabel ID]]&lt;=$B$5</f>
        <v>0</v>
      </c>
      <c r="F1293" t="str" cm="1">
        <f t="array" ref="F1293">IF(LineærRegression_Valg[[#This Row],[Indenfor range]],INDEX(DataTitel_liste,LineærRegression_Valg[[#This Row],[Afhængig variabel ID]]),INDEX(DataTitel_liste,1))</f>
        <v>Eksempel 1 (interval)</v>
      </c>
      <c r="G1293" s="171" t="str" cm="1">
        <f t="array" ref="G1293">IF(LineærRegression_Valg[[#This Row],[Indenfor range]],IF(LineærRegression_Valg[[#This Row],[Intet overlap]],INDEX(DataTitel_liste,LineærRegression_Valg[[#This Row],[Uafhængig variabel ID]]),INDEX(DataTitel_liste,IF(LineærRegression_Valg[[#This Row],[Afhængig variabel ID]]=1,2,1))),$B$7)</f>
        <v>Eksempel 2 (interval)</v>
      </c>
      <c r="H1293" s="171">
        <f>_xlfn.AGGREGATE(2,5,LineærRegression_Valg[[#This Row],[Tabel ID]])</f>
        <v>1</v>
      </c>
    </row>
    <row r="1294" spans="1:8" x14ac:dyDescent="0.2">
      <c r="A1294">
        <f>ROW(LineærRegression_Valg[[#This Row],[Tabel ID]])-ROW(LineærRegression_Valg[[#Headers],[Tabel ID]])</f>
        <v>1284</v>
      </c>
      <c r="B1294" s="171">
        <f>ROUNDDOWN((LineærRegression_Valg[[#This Row],[Tabel ID]]-1)/$B$5,0)+1</f>
        <v>321</v>
      </c>
      <c r="C1294" s="171">
        <f t="shared" si="20"/>
        <v>4</v>
      </c>
      <c r="D1294" s="171" t="b">
        <f>LineærRegression_Valg[[#This Row],[Afhængig variabel ID]]&lt;&gt;LineærRegression_Valg[[#This Row],[Uafhængig variabel ID]]</f>
        <v>1</v>
      </c>
      <c r="E1294" t="b">
        <f>LineærRegression_Valg[[#This Row],[Afhængig variabel ID]]&lt;=$B$5</f>
        <v>0</v>
      </c>
      <c r="F1294" t="str" cm="1">
        <f t="array" ref="F1294">IF(LineærRegression_Valg[[#This Row],[Indenfor range]],INDEX(DataTitel_liste,LineærRegression_Valg[[#This Row],[Afhængig variabel ID]]),INDEX(DataTitel_liste,1))</f>
        <v>Eksempel 1 (interval)</v>
      </c>
      <c r="G1294" s="171" t="str" cm="1">
        <f t="array" ref="G1294">IF(LineærRegression_Valg[[#This Row],[Indenfor range]],IF(LineærRegression_Valg[[#This Row],[Intet overlap]],INDEX(DataTitel_liste,LineærRegression_Valg[[#This Row],[Uafhængig variabel ID]]),INDEX(DataTitel_liste,IF(LineærRegression_Valg[[#This Row],[Afhængig variabel ID]]=1,2,1))),$B$7)</f>
        <v>Eksempel 2 (interval)</v>
      </c>
      <c r="H1294" s="171">
        <f>_xlfn.AGGREGATE(2,5,LineærRegression_Valg[[#This Row],[Tabel ID]])</f>
        <v>1</v>
      </c>
    </row>
    <row r="1295" spans="1:8" x14ac:dyDescent="0.2">
      <c r="A1295">
        <f>ROW(LineærRegression_Valg[[#This Row],[Tabel ID]])-ROW(LineærRegression_Valg[[#Headers],[Tabel ID]])</f>
        <v>1285</v>
      </c>
      <c r="B1295" s="171">
        <f>ROUNDDOWN((LineærRegression_Valg[[#This Row],[Tabel ID]]-1)/$B$5,0)+1</f>
        <v>322</v>
      </c>
      <c r="C1295" s="171">
        <f t="shared" si="20"/>
        <v>1</v>
      </c>
      <c r="D1295" s="171" t="b">
        <f>LineærRegression_Valg[[#This Row],[Afhængig variabel ID]]&lt;&gt;LineærRegression_Valg[[#This Row],[Uafhængig variabel ID]]</f>
        <v>1</v>
      </c>
      <c r="E1295" t="b">
        <f>LineærRegression_Valg[[#This Row],[Afhængig variabel ID]]&lt;=$B$5</f>
        <v>0</v>
      </c>
      <c r="F1295" t="str" cm="1">
        <f t="array" ref="F1295">IF(LineærRegression_Valg[[#This Row],[Indenfor range]],INDEX(DataTitel_liste,LineærRegression_Valg[[#This Row],[Afhængig variabel ID]]),INDEX(DataTitel_liste,1))</f>
        <v>Eksempel 1 (interval)</v>
      </c>
      <c r="G1295" s="171" t="str" cm="1">
        <f t="array" ref="G1295">IF(LineærRegression_Valg[[#This Row],[Indenfor range]],IF(LineærRegression_Valg[[#This Row],[Intet overlap]],INDEX(DataTitel_liste,LineærRegression_Valg[[#This Row],[Uafhængig variabel ID]]),INDEX(DataTitel_liste,IF(LineærRegression_Valg[[#This Row],[Afhængig variabel ID]]=1,2,1))),$B$7)</f>
        <v>Eksempel 2 (interval)</v>
      </c>
      <c r="H1295" s="171">
        <f>_xlfn.AGGREGATE(2,5,LineærRegression_Valg[[#This Row],[Tabel ID]])</f>
        <v>1</v>
      </c>
    </row>
    <row r="1296" spans="1:8" x14ac:dyDescent="0.2">
      <c r="A1296">
        <f>ROW(LineærRegression_Valg[[#This Row],[Tabel ID]])-ROW(LineærRegression_Valg[[#Headers],[Tabel ID]])</f>
        <v>1286</v>
      </c>
      <c r="B1296" s="171">
        <f>ROUNDDOWN((LineærRegression_Valg[[#This Row],[Tabel ID]]-1)/$B$5,0)+1</f>
        <v>322</v>
      </c>
      <c r="C1296" s="171">
        <f t="shared" si="20"/>
        <v>2</v>
      </c>
      <c r="D1296" s="171" t="b">
        <f>LineærRegression_Valg[[#This Row],[Afhængig variabel ID]]&lt;&gt;LineærRegression_Valg[[#This Row],[Uafhængig variabel ID]]</f>
        <v>1</v>
      </c>
      <c r="E1296" t="b">
        <f>LineærRegression_Valg[[#This Row],[Afhængig variabel ID]]&lt;=$B$5</f>
        <v>0</v>
      </c>
      <c r="F1296" t="str" cm="1">
        <f t="array" ref="F1296">IF(LineærRegression_Valg[[#This Row],[Indenfor range]],INDEX(DataTitel_liste,LineærRegression_Valg[[#This Row],[Afhængig variabel ID]]),INDEX(DataTitel_liste,1))</f>
        <v>Eksempel 1 (interval)</v>
      </c>
      <c r="G1296" s="171" t="str" cm="1">
        <f t="array" ref="G1296">IF(LineærRegression_Valg[[#This Row],[Indenfor range]],IF(LineærRegression_Valg[[#This Row],[Intet overlap]],INDEX(DataTitel_liste,LineærRegression_Valg[[#This Row],[Uafhængig variabel ID]]),INDEX(DataTitel_liste,IF(LineærRegression_Valg[[#This Row],[Afhængig variabel ID]]=1,2,1))),$B$7)</f>
        <v>Eksempel 2 (interval)</v>
      </c>
      <c r="H1296" s="171">
        <f>_xlfn.AGGREGATE(2,5,LineærRegression_Valg[[#This Row],[Tabel ID]])</f>
        <v>1</v>
      </c>
    </row>
    <row r="1297" spans="1:8" x14ac:dyDescent="0.2">
      <c r="A1297">
        <f>ROW(LineærRegression_Valg[[#This Row],[Tabel ID]])-ROW(LineærRegression_Valg[[#Headers],[Tabel ID]])</f>
        <v>1287</v>
      </c>
      <c r="B1297" s="171">
        <f>ROUNDDOWN((LineærRegression_Valg[[#This Row],[Tabel ID]]-1)/$B$5,0)+1</f>
        <v>322</v>
      </c>
      <c r="C1297" s="171">
        <f t="shared" si="20"/>
        <v>3</v>
      </c>
      <c r="D1297" s="171" t="b">
        <f>LineærRegression_Valg[[#This Row],[Afhængig variabel ID]]&lt;&gt;LineærRegression_Valg[[#This Row],[Uafhængig variabel ID]]</f>
        <v>1</v>
      </c>
      <c r="E1297" t="b">
        <f>LineærRegression_Valg[[#This Row],[Afhængig variabel ID]]&lt;=$B$5</f>
        <v>0</v>
      </c>
      <c r="F1297" t="str" cm="1">
        <f t="array" ref="F1297">IF(LineærRegression_Valg[[#This Row],[Indenfor range]],INDEX(DataTitel_liste,LineærRegression_Valg[[#This Row],[Afhængig variabel ID]]),INDEX(DataTitel_liste,1))</f>
        <v>Eksempel 1 (interval)</v>
      </c>
      <c r="G1297" s="171" t="str" cm="1">
        <f t="array" ref="G1297">IF(LineærRegression_Valg[[#This Row],[Indenfor range]],IF(LineærRegression_Valg[[#This Row],[Intet overlap]],INDEX(DataTitel_liste,LineærRegression_Valg[[#This Row],[Uafhængig variabel ID]]),INDEX(DataTitel_liste,IF(LineærRegression_Valg[[#This Row],[Afhængig variabel ID]]=1,2,1))),$B$7)</f>
        <v>Eksempel 2 (interval)</v>
      </c>
      <c r="H1297" s="171">
        <f>_xlfn.AGGREGATE(2,5,LineærRegression_Valg[[#This Row],[Tabel ID]])</f>
        <v>1</v>
      </c>
    </row>
    <row r="1298" spans="1:8" x14ac:dyDescent="0.2">
      <c r="A1298">
        <f>ROW(LineærRegression_Valg[[#This Row],[Tabel ID]])-ROW(LineærRegression_Valg[[#Headers],[Tabel ID]])</f>
        <v>1288</v>
      </c>
      <c r="B1298" s="171">
        <f>ROUNDDOWN((LineærRegression_Valg[[#This Row],[Tabel ID]]-1)/$B$5,0)+1</f>
        <v>322</v>
      </c>
      <c r="C1298" s="171">
        <f t="shared" si="20"/>
        <v>4</v>
      </c>
      <c r="D1298" s="171" t="b">
        <f>LineærRegression_Valg[[#This Row],[Afhængig variabel ID]]&lt;&gt;LineærRegression_Valg[[#This Row],[Uafhængig variabel ID]]</f>
        <v>1</v>
      </c>
      <c r="E1298" t="b">
        <f>LineærRegression_Valg[[#This Row],[Afhængig variabel ID]]&lt;=$B$5</f>
        <v>0</v>
      </c>
      <c r="F1298" t="str" cm="1">
        <f t="array" ref="F1298">IF(LineærRegression_Valg[[#This Row],[Indenfor range]],INDEX(DataTitel_liste,LineærRegression_Valg[[#This Row],[Afhængig variabel ID]]),INDEX(DataTitel_liste,1))</f>
        <v>Eksempel 1 (interval)</v>
      </c>
      <c r="G1298" s="171" t="str" cm="1">
        <f t="array" ref="G1298">IF(LineærRegression_Valg[[#This Row],[Indenfor range]],IF(LineærRegression_Valg[[#This Row],[Intet overlap]],INDEX(DataTitel_liste,LineærRegression_Valg[[#This Row],[Uafhængig variabel ID]]),INDEX(DataTitel_liste,IF(LineærRegression_Valg[[#This Row],[Afhængig variabel ID]]=1,2,1))),$B$7)</f>
        <v>Eksempel 2 (interval)</v>
      </c>
      <c r="H1298" s="171">
        <f>_xlfn.AGGREGATE(2,5,LineærRegression_Valg[[#This Row],[Tabel ID]])</f>
        <v>1</v>
      </c>
    </row>
    <row r="1299" spans="1:8" x14ac:dyDescent="0.2">
      <c r="A1299">
        <f>ROW(LineærRegression_Valg[[#This Row],[Tabel ID]])-ROW(LineærRegression_Valg[[#Headers],[Tabel ID]])</f>
        <v>1289</v>
      </c>
      <c r="B1299" s="171">
        <f>ROUNDDOWN((LineærRegression_Valg[[#This Row],[Tabel ID]]-1)/$B$5,0)+1</f>
        <v>323</v>
      </c>
      <c r="C1299" s="171">
        <f t="shared" si="20"/>
        <v>1</v>
      </c>
      <c r="D1299" s="171" t="b">
        <f>LineærRegression_Valg[[#This Row],[Afhængig variabel ID]]&lt;&gt;LineærRegression_Valg[[#This Row],[Uafhængig variabel ID]]</f>
        <v>1</v>
      </c>
      <c r="E1299" t="b">
        <f>LineærRegression_Valg[[#This Row],[Afhængig variabel ID]]&lt;=$B$5</f>
        <v>0</v>
      </c>
      <c r="F1299" t="str" cm="1">
        <f t="array" ref="F1299">IF(LineærRegression_Valg[[#This Row],[Indenfor range]],INDEX(DataTitel_liste,LineærRegression_Valg[[#This Row],[Afhængig variabel ID]]),INDEX(DataTitel_liste,1))</f>
        <v>Eksempel 1 (interval)</v>
      </c>
      <c r="G1299" s="171" t="str" cm="1">
        <f t="array" ref="G1299">IF(LineærRegression_Valg[[#This Row],[Indenfor range]],IF(LineærRegression_Valg[[#This Row],[Intet overlap]],INDEX(DataTitel_liste,LineærRegression_Valg[[#This Row],[Uafhængig variabel ID]]),INDEX(DataTitel_liste,IF(LineærRegression_Valg[[#This Row],[Afhængig variabel ID]]=1,2,1))),$B$7)</f>
        <v>Eksempel 2 (interval)</v>
      </c>
      <c r="H1299" s="171">
        <f>_xlfn.AGGREGATE(2,5,LineærRegression_Valg[[#This Row],[Tabel ID]])</f>
        <v>1</v>
      </c>
    </row>
    <row r="1300" spans="1:8" x14ac:dyDescent="0.2">
      <c r="A1300">
        <f>ROW(LineærRegression_Valg[[#This Row],[Tabel ID]])-ROW(LineærRegression_Valg[[#Headers],[Tabel ID]])</f>
        <v>1290</v>
      </c>
      <c r="B1300" s="171">
        <f>ROUNDDOWN((LineærRegression_Valg[[#This Row],[Tabel ID]]-1)/$B$5,0)+1</f>
        <v>323</v>
      </c>
      <c r="C1300" s="171">
        <f t="shared" si="20"/>
        <v>2</v>
      </c>
      <c r="D1300" s="171" t="b">
        <f>LineærRegression_Valg[[#This Row],[Afhængig variabel ID]]&lt;&gt;LineærRegression_Valg[[#This Row],[Uafhængig variabel ID]]</f>
        <v>1</v>
      </c>
      <c r="E1300" t="b">
        <f>LineærRegression_Valg[[#This Row],[Afhængig variabel ID]]&lt;=$B$5</f>
        <v>0</v>
      </c>
      <c r="F1300" t="str" cm="1">
        <f t="array" ref="F1300">IF(LineærRegression_Valg[[#This Row],[Indenfor range]],INDEX(DataTitel_liste,LineærRegression_Valg[[#This Row],[Afhængig variabel ID]]),INDEX(DataTitel_liste,1))</f>
        <v>Eksempel 1 (interval)</v>
      </c>
      <c r="G1300" s="171" t="str" cm="1">
        <f t="array" ref="G1300">IF(LineærRegression_Valg[[#This Row],[Indenfor range]],IF(LineærRegression_Valg[[#This Row],[Intet overlap]],INDEX(DataTitel_liste,LineærRegression_Valg[[#This Row],[Uafhængig variabel ID]]),INDEX(DataTitel_liste,IF(LineærRegression_Valg[[#This Row],[Afhængig variabel ID]]=1,2,1))),$B$7)</f>
        <v>Eksempel 2 (interval)</v>
      </c>
      <c r="H1300" s="171">
        <f>_xlfn.AGGREGATE(2,5,LineærRegression_Valg[[#This Row],[Tabel ID]])</f>
        <v>1</v>
      </c>
    </row>
    <row r="1301" spans="1:8" x14ac:dyDescent="0.2">
      <c r="A1301">
        <f>ROW(LineærRegression_Valg[[#This Row],[Tabel ID]])-ROW(LineærRegression_Valg[[#Headers],[Tabel ID]])</f>
        <v>1291</v>
      </c>
      <c r="B1301" s="171">
        <f>ROUNDDOWN((LineærRegression_Valg[[#This Row],[Tabel ID]]-1)/$B$5,0)+1</f>
        <v>323</v>
      </c>
      <c r="C1301" s="171">
        <f t="shared" si="20"/>
        <v>3</v>
      </c>
      <c r="D1301" s="171" t="b">
        <f>LineærRegression_Valg[[#This Row],[Afhængig variabel ID]]&lt;&gt;LineærRegression_Valg[[#This Row],[Uafhængig variabel ID]]</f>
        <v>1</v>
      </c>
      <c r="E1301" t="b">
        <f>LineærRegression_Valg[[#This Row],[Afhængig variabel ID]]&lt;=$B$5</f>
        <v>0</v>
      </c>
      <c r="F1301" t="str" cm="1">
        <f t="array" ref="F1301">IF(LineærRegression_Valg[[#This Row],[Indenfor range]],INDEX(DataTitel_liste,LineærRegression_Valg[[#This Row],[Afhængig variabel ID]]),INDEX(DataTitel_liste,1))</f>
        <v>Eksempel 1 (interval)</v>
      </c>
      <c r="G1301" s="171" t="str" cm="1">
        <f t="array" ref="G1301">IF(LineærRegression_Valg[[#This Row],[Indenfor range]],IF(LineærRegression_Valg[[#This Row],[Intet overlap]],INDEX(DataTitel_liste,LineærRegression_Valg[[#This Row],[Uafhængig variabel ID]]),INDEX(DataTitel_liste,IF(LineærRegression_Valg[[#This Row],[Afhængig variabel ID]]=1,2,1))),$B$7)</f>
        <v>Eksempel 2 (interval)</v>
      </c>
      <c r="H1301" s="171">
        <f>_xlfn.AGGREGATE(2,5,LineærRegression_Valg[[#This Row],[Tabel ID]])</f>
        <v>1</v>
      </c>
    </row>
    <row r="1302" spans="1:8" x14ac:dyDescent="0.2">
      <c r="A1302">
        <f>ROW(LineærRegression_Valg[[#This Row],[Tabel ID]])-ROW(LineærRegression_Valg[[#Headers],[Tabel ID]])</f>
        <v>1292</v>
      </c>
      <c r="B1302" s="171">
        <f>ROUNDDOWN((LineærRegression_Valg[[#This Row],[Tabel ID]]-1)/$B$5,0)+1</f>
        <v>323</v>
      </c>
      <c r="C1302" s="171">
        <f t="shared" si="20"/>
        <v>4</v>
      </c>
      <c r="D1302" s="171" t="b">
        <f>LineærRegression_Valg[[#This Row],[Afhængig variabel ID]]&lt;&gt;LineærRegression_Valg[[#This Row],[Uafhængig variabel ID]]</f>
        <v>1</v>
      </c>
      <c r="E1302" t="b">
        <f>LineærRegression_Valg[[#This Row],[Afhængig variabel ID]]&lt;=$B$5</f>
        <v>0</v>
      </c>
      <c r="F1302" t="str" cm="1">
        <f t="array" ref="F1302">IF(LineærRegression_Valg[[#This Row],[Indenfor range]],INDEX(DataTitel_liste,LineærRegression_Valg[[#This Row],[Afhængig variabel ID]]),INDEX(DataTitel_liste,1))</f>
        <v>Eksempel 1 (interval)</v>
      </c>
      <c r="G1302" s="171" t="str" cm="1">
        <f t="array" ref="G1302">IF(LineærRegression_Valg[[#This Row],[Indenfor range]],IF(LineærRegression_Valg[[#This Row],[Intet overlap]],INDEX(DataTitel_liste,LineærRegression_Valg[[#This Row],[Uafhængig variabel ID]]),INDEX(DataTitel_liste,IF(LineærRegression_Valg[[#This Row],[Afhængig variabel ID]]=1,2,1))),$B$7)</f>
        <v>Eksempel 2 (interval)</v>
      </c>
      <c r="H1302" s="171">
        <f>_xlfn.AGGREGATE(2,5,LineærRegression_Valg[[#This Row],[Tabel ID]])</f>
        <v>1</v>
      </c>
    </row>
    <row r="1303" spans="1:8" x14ac:dyDescent="0.2">
      <c r="A1303">
        <f>ROW(LineærRegression_Valg[[#This Row],[Tabel ID]])-ROW(LineærRegression_Valg[[#Headers],[Tabel ID]])</f>
        <v>1293</v>
      </c>
      <c r="B1303" s="171">
        <f>ROUNDDOWN((LineærRegression_Valg[[#This Row],[Tabel ID]]-1)/$B$5,0)+1</f>
        <v>324</v>
      </c>
      <c r="C1303" s="171">
        <f t="shared" si="20"/>
        <v>1</v>
      </c>
      <c r="D1303" s="171" t="b">
        <f>LineærRegression_Valg[[#This Row],[Afhængig variabel ID]]&lt;&gt;LineærRegression_Valg[[#This Row],[Uafhængig variabel ID]]</f>
        <v>1</v>
      </c>
      <c r="E1303" t="b">
        <f>LineærRegression_Valg[[#This Row],[Afhængig variabel ID]]&lt;=$B$5</f>
        <v>0</v>
      </c>
      <c r="F1303" t="str" cm="1">
        <f t="array" ref="F1303">IF(LineærRegression_Valg[[#This Row],[Indenfor range]],INDEX(DataTitel_liste,LineærRegression_Valg[[#This Row],[Afhængig variabel ID]]),INDEX(DataTitel_liste,1))</f>
        <v>Eksempel 1 (interval)</v>
      </c>
      <c r="G1303" s="171" t="str" cm="1">
        <f t="array" ref="G1303">IF(LineærRegression_Valg[[#This Row],[Indenfor range]],IF(LineærRegression_Valg[[#This Row],[Intet overlap]],INDEX(DataTitel_liste,LineærRegression_Valg[[#This Row],[Uafhængig variabel ID]]),INDEX(DataTitel_liste,IF(LineærRegression_Valg[[#This Row],[Afhængig variabel ID]]=1,2,1))),$B$7)</f>
        <v>Eksempel 2 (interval)</v>
      </c>
      <c r="H1303" s="171">
        <f>_xlfn.AGGREGATE(2,5,LineærRegression_Valg[[#This Row],[Tabel ID]])</f>
        <v>1</v>
      </c>
    </row>
    <row r="1304" spans="1:8" x14ac:dyDescent="0.2">
      <c r="A1304">
        <f>ROW(LineærRegression_Valg[[#This Row],[Tabel ID]])-ROW(LineærRegression_Valg[[#Headers],[Tabel ID]])</f>
        <v>1294</v>
      </c>
      <c r="B1304" s="171">
        <f>ROUNDDOWN((LineærRegression_Valg[[#This Row],[Tabel ID]]-1)/$B$5,0)+1</f>
        <v>324</v>
      </c>
      <c r="C1304" s="171">
        <f t="shared" si="20"/>
        <v>2</v>
      </c>
      <c r="D1304" s="171" t="b">
        <f>LineærRegression_Valg[[#This Row],[Afhængig variabel ID]]&lt;&gt;LineærRegression_Valg[[#This Row],[Uafhængig variabel ID]]</f>
        <v>1</v>
      </c>
      <c r="E1304" t="b">
        <f>LineærRegression_Valg[[#This Row],[Afhængig variabel ID]]&lt;=$B$5</f>
        <v>0</v>
      </c>
      <c r="F1304" t="str" cm="1">
        <f t="array" ref="F1304">IF(LineærRegression_Valg[[#This Row],[Indenfor range]],INDEX(DataTitel_liste,LineærRegression_Valg[[#This Row],[Afhængig variabel ID]]),INDEX(DataTitel_liste,1))</f>
        <v>Eksempel 1 (interval)</v>
      </c>
      <c r="G1304" s="171" t="str" cm="1">
        <f t="array" ref="G1304">IF(LineærRegression_Valg[[#This Row],[Indenfor range]],IF(LineærRegression_Valg[[#This Row],[Intet overlap]],INDEX(DataTitel_liste,LineærRegression_Valg[[#This Row],[Uafhængig variabel ID]]),INDEX(DataTitel_liste,IF(LineærRegression_Valg[[#This Row],[Afhængig variabel ID]]=1,2,1))),$B$7)</f>
        <v>Eksempel 2 (interval)</v>
      </c>
      <c r="H1304" s="171">
        <f>_xlfn.AGGREGATE(2,5,LineærRegression_Valg[[#This Row],[Tabel ID]])</f>
        <v>1</v>
      </c>
    </row>
    <row r="1305" spans="1:8" x14ac:dyDescent="0.2">
      <c r="A1305">
        <f>ROW(LineærRegression_Valg[[#This Row],[Tabel ID]])-ROW(LineærRegression_Valg[[#Headers],[Tabel ID]])</f>
        <v>1295</v>
      </c>
      <c r="B1305" s="171">
        <f>ROUNDDOWN((LineærRegression_Valg[[#This Row],[Tabel ID]]-1)/$B$5,0)+1</f>
        <v>324</v>
      </c>
      <c r="C1305" s="171">
        <f t="shared" si="20"/>
        <v>3</v>
      </c>
      <c r="D1305" s="171" t="b">
        <f>LineærRegression_Valg[[#This Row],[Afhængig variabel ID]]&lt;&gt;LineærRegression_Valg[[#This Row],[Uafhængig variabel ID]]</f>
        <v>1</v>
      </c>
      <c r="E1305" t="b">
        <f>LineærRegression_Valg[[#This Row],[Afhængig variabel ID]]&lt;=$B$5</f>
        <v>0</v>
      </c>
      <c r="F1305" t="str" cm="1">
        <f t="array" ref="F1305">IF(LineærRegression_Valg[[#This Row],[Indenfor range]],INDEX(DataTitel_liste,LineærRegression_Valg[[#This Row],[Afhængig variabel ID]]),INDEX(DataTitel_liste,1))</f>
        <v>Eksempel 1 (interval)</v>
      </c>
      <c r="G1305" s="171" t="str" cm="1">
        <f t="array" ref="G1305">IF(LineærRegression_Valg[[#This Row],[Indenfor range]],IF(LineærRegression_Valg[[#This Row],[Intet overlap]],INDEX(DataTitel_liste,LineærRegression_Valg[[#This Row],[Uafhængig variabel ID]]),INDEX(DataTitel_liste,IF(LineærRegression_Valg[[#This Row],[Afhængig variabel ID]]=1,2,1))),$B$7)</f>
        <v>Eksempel 2 (interval)</v>
      </c>
      <c r="H1305" s="171">
        <f>_xlfn.AGGREGATE(2,5,LineærRegression_Valg[[#This Row],[Tabel ID]])</f>
        <v>1</v>
      </c>
    </row>
    <row r="1306" spans="1:8" x14ac:dyDescent="0.2">
      <c r="A1306">
        <f>ROW(LineærRegression_Valg[[#This Row],[Tabel ID]])-ROW(LineærRegression_Valg[[#Headers],[Tabel ID]])</f>
        <v>1296</v>
      </c>
      <c r="B1306" s="171">
        <f>ROUNDDOWN((LineærRegression_Valg[[#This Row],[Tabel ID]]-1)/$B$5,0)+1</f>
        <v>324</v>
      </c>
      <c r="C1306" s="171">
        <f t="shared" si="20"/>
        <v>4</v>
      </c>
      <c r="D1306" s="171" t="b">
        <f>LineærRegression_Valg[[#This Row],[Afhængig variabel ID]]&lt;&gt;LineærRegression_Valg[[#This Row],[Uafhængig variabel ID]]</f>
        <v>1</v>
      </c>
      <c r="E1306" t="b">
        <f>LineærRegression_Valg[[#This Row],[Afhængig variabel ID]]&lt;=$B$5</f>
        <v>0</v>
      </c>
      <c r="F1306" t="str" cm="1">
        <f t="array" ref="F1306">IF(LineærRegression_Valg[[#This Row],[Indenfor range]],INDEX(DataTitel_liste,LineærRegression_Valg[[#This Row],[Afhængig variabel ID]]),INDEX(DataTitel_liste,1))</f>
        <v>Eksempel 1 (interval)</v>
      </c>
      <c r="G1306" s="171" t="str" cm="1">
        <f t="array" ref="G1306">IF(LineærRegression_Valg[[#This Row],[Indenfor range]],IF(LineærRegression_Valg[[#This Row],[Intet overlap]],INDEX(DataTitel_liste,LineærRegression_Valg[[#This Row],[Uafhængig variabel ID]]),INDEX(DataTitel_liste,IF(LineærRegression_Valg[[#This Row],[Afhængig variabel ID]]=1,2,1))),$B$7)</f>
        <v>Eksempel 2 (interval)</v>
      </c>
      <c r="H1306" s="171">
        <f>_xlfn.AGGREGATE(2,5,LineærRegression_Valg[[#This Row],[Tabel ID]])</f>
        <v>1</v>
      </c>
    </row>
    <row r="1307" spans="1:8" x14ac:dyDescent="0.2">
      <c r="A1307">
        <f>ROW(LineærRegression_Valg[[#This Row],[Tabel ID]])-ROW(LineærRegression_Valg[[#Headers],[Tabel ID]])</f>
        <v>1297</v>
      </c>
      <c r="B1307" s="171">
        <f>ROUNDDOWN((LineærRegression_Valg[[#This Row],[Tabel ID]]-1)/$B$5,0)+1</f>
        <v>325</v>
      </c>
      <c r="C1307" s="171">
        <f t="shared" si="20"/>
        <v>1</v>
      </c>
      <c r="D1307" s="171" t="b">
        <f>LineærRegression_Valg[[#This Row],[Afhængig variabel ID]]&lt;&gt;LineærRegression_Valg[[#This Row],[Uafhængig variabel ID]]</f>
        <v>1</v>
      </c>
      <c r="E1307" t="b">
        <f>LineærRegression_Valg[[#This Row],[Afhængig variabel ID]]&lt;=$B$5</f>
        <v>0</v>
      </c>
      <c r="F1307" t="str" cm="1">
        <f t="array" ref="F1307">IF(LineærRegression_Valg[[#This Row],[Indenfor range]],INDEX(DataTitel_liste,LineærRegression_Valg[[#This Row],[Afhængig variabel ID]]),INDEX(DataTitel_liste,1))</f>
        <v>Eksempel 1 (interval)</v>
      </c>
      <c r="G1307" s="171" t="str" cm="1">
        <f t="array" ref="G1307">IF(LineærRegression_Valg[[#This Row],[Indenfor range]],IF(LineærRegression_Valg[[#This Row],[Intet overlap]],INDEX(DataTitel_liste,LineærRegression_Valg[[#This Row],[Uafhængig variabel ID]]),INDEX(DataTitel_liste,IF(LineærRegression_Valg[[#This Row],[Afhængig variabel ID]]=1,2,1))),$B$7)</f>
        <v>Eksempel 2 (interval)</v>
      </c>
      <c r="H1307" s="171">
        <f>_xlfn.AGGREGATE(2,5,LineærRegression_Valg[[#This Row],[Tabel ID]])</f>
        <v>1</v>
      </c>
    </row>
    <row r="1308" spans="1:8" x14ac:dyDescent="0.2">
      <c r="A1308">
        <f>ROW(LineærRegression_Valg[[#This Row],[Tabel ID]])-ROW(LineærRegression_Valg[[#Headers],[Tabel ID]])</f>
        <v>1298</v>
      </c>
      <c r="B1308" s="171">
        <f>ROUNDDOWN((LineærRegression_Valg[[#This Row],[Tabel ID]]-1)/$B$5,0)+1</f>
        <v>325</v>
      </c>
      <c r="C1308" s="171">
        <f t="shared" si="20"/>
        <v>2</v>
      </c>
      <c r="D1308" s="171" t="b">
        <f>LineærRegression_Valg[[#This Row],[Afhængig variabel ID]]&lt;&gt;LineærRegression_Valg[[#This Row],[Uafhængig variabel ID]]</f>
        <v>1</v>
      </c>
      <c r="E1308" t="b">
        <f>LineærRegression_Valg[[#This Row],[Afhængig variabel ID]]&lt;=$B$5</f>
        <v>0</v>
      </c>
      <c r="F1308" t="str" cm="1">
        <f t="array" ref="F1308">IF(LineærRegression_Valg[[#This Row],[Indenfor range]],INDEX(DataTitel_liste,LineærRegression_Valg[[#This Row],[Afhængig variabel ID]]),INDEX(DataTitel_liste,1))</f>
        <v>Eksempel 1 (interval)</v>
      </c>
      <c r="G1308" s="171" t="str" cm="1">
        <f t="array" ref="G1308">IF(LineærRegression_Valg[[#This Row],[Indenfor range]],IF(LineærRegression_Valg[[#This Row],[Intet overlap]],INDEX(DataTitel_liste,LineærRegression_Valg[[#This Row],[Uafhængig variabel ID]]),INDEX(DataTitel_liste,IF(LineærRegression_Valg[[#This Row],[Afhængig variabel ID]]=1,2,1))),$B$7)</f>
        <v>Eksempel 2 (interval)</v>
      </c>
      <c r="H1308" s="171">
        <f>_xlfn.AGGREGATE(2,5,LineærRegression_Valg[[#This Row],[Tabel ID]])</f>
        <v>1</v>
      </c>
    </row>
    <row r="1309" spans="1:8" x14ac:dyDescent="0.2">
      <c r="A1309">
        <f>ROW(LineærRegression_Valg[[#This Row],[Tabel ID]])-ROW(LineærRegression_Valg[[#Headers],[Tabel ID]])</f>
        <v>1299</v>
      </c>
      <c r="B1309" s="171">
        <f>ROUNDDOWN((LineærRegression_Valg[[#This Row],[Tabel ID]]-1)/$B$5,0)+1</f>
        <v>325</v>
      </c>
      <c r="C1309" s="171">
        <f t="shared" si="20"/>
        <v>3</v>
      </c>
      <c r="D1309" s="171" t="b">
        <f>LineærRegression_Valg[[#This Row],[Afhængig variabel ID]]&lt;&gt;LineærRegression_Valg[[#This Row],[Uafhængig variabel ID]]</f>
        <v>1</v>
      </c>
      <c r="E1309" t="b">
        <f>LineærRegression_Valg[[#This Row],[Afhængig variabel ID]]&lt;=$B$5</f>
        <v>0</v>
      </c>
      <c r="F1309" t="str" cm="1">
        <f t="array" ref="F1309">IF(LineærRegression_Valg[[#This Row],[Indenfor range]],INDEX(DataTitel_liste,LineærRegression_Valg[[#This Row],[Afhængig variabel ID]]),INDEX(DataTitel_liste,1))</f>
        <v>Eksempel 1 (interval)</v>
      </c>
      <c r="G1309" s="171" t="str" cm="1">
        <f t="array" ref="G1309">IF(LineærRegression_Valg[[#This Row],[Indenfor range]],IF(LineærRegression_Valg[[#This Row],[Intet overlap]],INDEX(DataTitel_liste,LineærRegression_Valg[[#This Row],[Uafhængig variabel ID]]),INDEX(DataTitel_liste,IF(LineærRegression_Valg[[#This Row],[Afhængig variabel ID]]=1,2,1))),$B$7)</f>
        <v>Eksempel 2 (interval)</v>
      </c>
      <c r="H1309" s="171">
        <f>_xlfn.AGGREGATE(2,5,LineærRegression_Valg[[#This Row],[Tabel ID]])</f>
        <v>1</v>
      </c>
    </row>
    <row r="1310" spans="1:8" x14ac:dyDescent="0.2">
      <c r="A1310">
        <f>ROW(LineærRegression_Valg[[#This Row],[Tabel ID]])-ROW(LineærRegression_Valg[[#Headers],[Tabel ID]])</f>
        <v>1300</v>
      </c>
      <c r="B1310" s="171">
        <f>ROUNDDOWN((LineærRegression_Valg[[#This Row],[Tabel ID]]-1)/$B$5,0)+1</f>
        <v>325</v>
      </c>
      <c r="C1310" s="171">
        <f t="shared" si="20"/>
        <v>4</v>
      </c>
      <c r="D1310" s="171" t="b">
        <f>LineærRegression_Valg[[#This Row],[Afhængig variabel ID]]&lt;&gt;LineærRegression_Valg[[#This Row],[Uafhængig variabel ID]]</f>
        <v>1</v>
      </c>
      <c r="E1310" t="b">
        <f>LineærRegression_Valg[[#This Row],[Afhængig variabel ID]]&lt;=$B$5</f>
        <v>0</v>
      </c>
      <c r="F1310" t="str" cm="1">
        <f t="array" ref="F1310">IF(LineærRegression_Valg[[#This Row],[Indenfor range]],INDEX(DataTitel_liste,LineærRegression_Valg[[#This Row],[Afhængig variabel ID]]),INDEX(DataTitel_liste,1))</f>
        <v>Eksempel 1 (interval)</v>
      </c>
      <c r="G1310" s="171" t="str" cm="1">
        <f t="array" ref="G1310">IF(LineærRegression_Valg[[#This Row],[Indenfor range]],IF(LineærRegression_Valg[[#This Row],[Intet overlap]],INDEX(DataTitel_liste,LineærRegression_Valg[[#This Row],[Uafhængig variabel ID]]),INDEX(DataTitel_liste,IF(LineærRegression_Valg[[#This Row],[Afhængig variabel ID]]=1,2,1))),$B$7)</f>
        <v>Eksempel 2 (interval)</v>
      </c>
      <c r="H1310" s="171">
        <f>_xlfn.AGGREGATE(2,5,LineærRegression_Valg[[#This Row],[Tabel ID]])</f>
        <v>1</v>
      </c>
    </row>
    <row r="1311" spans="1:8" x14ac:dyDescent="0.2">
      <c r="A1311">
        <f>ROW(LineærRegression_Valg[[#This Row],[Tabel ID]])-ROW(LineærRegression_Valg[[#Headers],[Tabel ID]])</f>
        <v>1301</v>
      </c>
      <c r="B1311" s="171">
        <f>ROUNDDOWN((LineærRegression_Valg[[#This Row],[Tabel ID]]-1)/$B$5,0)+1</f>
        <v>326</v>
      </c>
      <c r="C1311" s="171">
        <f t="shared" si="20"/>
        <v>1</v>
      </c>
      <c r="D1311" s="171" t="b">
        <f>LineærRegression_Valg[[#This Row],[Afhængig variabel ID]]&lt;&gt;LineærRegression_Valg[[#This Row],[Uafhængig variabel ID]]</f>
        <v>1</v>
      </c>
      <c r="E1311" t="b">
        <f>LineærRegression_Valg[[#This Row],[Afhængig variabel ID]]&lt;=$B$5</f>
        <v>0</v>
      </c>
      <c r="F1311" t="str" cm="1">
        <f t="array" ref="F1311">IF(LineærRegression_Valg[[#This Row],[Indenfor range]],INDEX(DataTitel_liste,LineærRegression_Valg[[#This Row],[Afhængig variabel ID]]),INDEX(DataTitel_liste,1))</f>
        <v>Eksempel 1 (interval)</v>
      </c>
      <c r="G1311" s="171" t="str" cm="1">
        <f t="array" ref="G1311">IF(LineærRegression_Valg[[#This Row],[Indenfor range]],IF(LineærRegression_Valg[[#This Row],[Intet overlap]],INDEX(DataTitel_liste,LineærRegression_Valg[[#This Row],[Uafhængig variabel ID]]),INDEX(DataTitel_liste,IF(LineærRegression_Valg[[#This Row],[Afhængig variabel ID]]=1,2,1))),$B$7)</f>
        <v>Eksempel 2 (interval)</v>
      </c>
      <c r="H1311" s="171">
        <f>_xlfn.AGGREGATE(2,5,LineærRegression_Valg[[#This Row],[Tabel ID]])</f>
        <v>1</v>
      </c>
    </row>
    <row r="1312" spans="1:8" x14ac:dyDescent="0.2">
      <c r="A1312">
        <f>ROW(LineærRegression_Valg[[#This Row],[Tabel ID]])-ROW(LineærRegression_Valg[[#Headers],[Tabel ID]])</f>
        <v>1302</v>
      </c>
      <c r="B1312" s="171">
        <f>ROUNDDOWN((LineærRegression_Valg[[#This Row],[Tabel ID]]-1)/$B$5,0)+1</f>
        <v>326</v>
      </c>
      <c r="C1312" s="171">
        <f t="shared" si="20"/>
        <v>2</v>
      </c>
      <c r="D1312" s="171" t="b">
        <f>LineærRegression_Valg[[#This Row],[Afhængig variabel ID]]&lt;&gt;LineærRegression_Valg[[#This Row],[Uafhængig variabel ID]]</f>
        <v>1</v>
      </c>
      <c r="E1312" t="b">
        <f>LineærRegression_Valg[[#This Row],[Afhængig variabel ID]]&lt;=$B$5</f>
        <v>0</v>
      </c>
      <c r="F1312" t="str" cm="1">
        <f t="array" ref="F1312">IF(LineærRegression_Valg[[#This Row],[Indenfor range]],INDEX(DataTitel_liste,LineærRegression_Valg[[#This Row],[Afhængig variabel ID]]),INDEX(DataTitel_liste,1))</f>
        <v>Eksempel 1 (interval)</v>
      </c>
      <c r="G1312" s="171" t="str" cm="1">
        <f t="array" ref="G1312">IF(LineærRegression_Valg[[#This Row],[Indenfor range]],IF(LineærRegression_Valg[[#This Row],[Intet overlap]],INDEX(DataTitel_liste,LineærRegression_Valg[[#This Row],[Uafhængig variabel ID]]),INDEX(DataTitel_liste,IF(LineærRegression_Valg[[#This Row],[Afhængig variabel ID]]=1,2,1))),$B$7)</f>
        <v>Eksempel 2 (interval)</v>
      </c>
      <c r="H1312" s="171">
        <f>_xlfn.AGGREGATE(2,5,LineærRegression_Valg[[#This Row],[Tabel ID]])</f>
        <v>1</v>
      </c>
    </row>
    <row r="1313" spans="1:8" x14ac:dyDescent="0.2">
      <c r="A1313">
        <f>ROW(LineærRegression_Valg[[#This Row],[Tabel ID]])-ROW(LineærRegression_Valg[[#Headers],[Tabel ID]])</f>
        <v>1303</v>
      </c>
      <c r="B1313" s="171">
        <f>ROUNDDOWN((LineærRegression_Valg[[#This Row],[Tabel ID]]-1)/$B$5,0)+1</f>
        <v>326</v>
      </c>
      <c r="C1313" s="171">
        <f t="shared" si="20"/>
        <v>3</v>
      </c>
      <c r="D1313" s="171" t="b">
        <f>LineærRegression_Valg[[#This Row],[Afhængig variabel ID]]&lt;&gt;LineærRegression_Valg[[#This Row],[Uafhængig variabel ID]]</f>
        <v>1</v>
      </c>
      <c r="E1313" t="b">
        <f>LineærRegression_Valg[[#This Row],[Afhængig variabel ID]]&lt;=$B$5</f>
        <v>0</v>
      </c>
      <c r="F1313" t="str" cm="1">
        <f t="array" ref="F1313">IF(LineærRegression_Valg[[#This Row],[Indenfor range]],INDEX(DataTitel_liste,LineærRegression_Valg[[#This Row],[Afhængig variabel ID]]),INDEX(DataTitel_liste,1))</f>
        <v>Eksempel 1 (interval)</v>
      </c>
      <c r="G1313" s="171" t="str" cm="1">
        <f t="array" ref="G1313">IF(LineærRegression_Valg[[#This Row],[Indenfor range]],IF(LineærRegression_Valg[[#This Row],[Intet overlap]],INDEX(DataTitel_liste,LineærRegression_Valg[[#This Row],[Uafhængig variabel ID]]),INDEX(DataTitel_liste,IF(LineærRegression_Valg[[#This Row],[Afhængig variabel ID]]=1,2,1))),$B$7)</f>
        <v>Eksempel 2 (interval)</v>
      </c>
      <c r="H1313" s="171">
        <f>_xlfn.AGGREGATE(2,5,LineærRegression_Valg[[#This Row],[Tabel ID]])</f>
        <v>1</v>
      </c>
    </row>
    <row r="1314" spans="1:8" x14ac:dyDescent="0.2">
      <c r="A1314">
        <f>ROW(LineærRegression_Valg[[#This Row],[Tabel ID]])-ROW(LineærRegression_Valg[[#Headers],[Tabel ID]])</f>
        <v>1304</v>
      </c>
      <c r="B1314" s="171">
        <f>ROUNDDOWN((LineærRegression_Valg[[#This Row],[Tabel ID]]-1)/$B$5,0)+1</f>
        <v>326</v>
      </c>
      <c r="C1314" s="171">
        <f t="shared" si="20"/>
        <v>4</v>
      </c>
      <c r="D1314" s="171" t="b">
        <f>LineærRegression_Valg[[#This Row],[Afhængig variabel ID]]&lt;&gt;LineærRegression_Valg[[#This Row],[Uafhængig variabel ID]]</f>
        <v>1</v>
      </c>
      <c r="E1314" t="b">
        <f>LineærRegression_Valg[[#This Row],[Afhængig variabel ID]]&lt;=$B$5</f>
        <v>0</v>
      </c>
      <c r="F1314" t="str" cm="1">
        <f t="array" ref="F1314">IF(LineærRegression_Valg[[#This Row],[Indenfor range]],INDEX(DataTitel_liste,LineærRegression_Valg[[#This Row],[Afhængig variabel ID]]),INDEX(DataTitel_liste,1))</f>
        <v>Eksempel 1 (interval)</v>
      </c>
      <c r="G1314" s="171" t="str" cm="1">
        <f t="array" ref="G1314">IF(LineærRegression_Valg[[#This Row],[Indenfor range]],IF(LineærRegression_Valg[[#This Row],[Intet overlap]],INDEX(DataTitel_liste,LineærRegression_Valg[[#This Row],[Uafhængig variabel ID]]),INDEX(DataTitel_liste,IF(LineærRegression_Valg[[#This Row],[Afhængig variabel ID]]=1,2,1))),$B$7)</f>
        <v>Eksempel 2 (interval)</v>
      </c>
      <c r="H1314" s="171">
        <f>_xlfn.AGGREGATE(2,5,LineærRegression_Valg[[#This Row],[Tabel ID]])</f>
        <v>1</v>
      </c>
    </row>
    <row r="1315" spans="1:8" x14ac:dyDescent="0.2">
      <c r="A1315">
        <f>ROW(LineærRegression_Valg[[#This Row],[Tabel ID]])-ROW(LineærRegression_Valg[[#Headers],[Tabel ID]])</f>
        <v>1305</v>
      </c>
      <c r="B1315" s="171">
        <f>ROUNDDOWN((LineærRegression_Valg[[#This Row],[Tabel ID]]-1)/$B$5,0)+1</f>
        <v>327</v>
      </c>
      <c r="C1315" s="171">
        <f t="shared" si="20"/>
        <v>1</v>
      </c>
      <c r="D1315" s="171" t="b">
        <f>LineærRegression_Valg[[#This Row],[Afhængig variabel ID]]&lt;&gt;LineærRegression_Valg[[#This Row],[Uafhængig variabel ID]]</f>
        <v>1</v>
      </c>
      <c r="E1315" t="b">
        <f>LineærRegression_Valg[[#This Row],[Afhængig variabel ID]]&lt;=$B$5</f>
        <v>0</v>
      </c>
      <c r="F1315" t="str" cm="1">
        <f t="array" ref="F1315">IF(LineærRegression_Valg[[#This Row],[Indenfor range]],INDEX(DataTitel_liste,LineærRegression_Valg[[#This Row],[Afhængig variabel ID]]),INDEX(DataTitel_liste,1))</f>
        <v>Eksempel 1 (interval)</v>
      </c>
      <c r="G1315" s="171" t="str" cm="1">
        <f t="array" ref="G1315">IF(LineærRegression_Valg[[#This Row],[Indenfor range]],IF(LineærRegression_Valg[[#This Row],[Intet overlap]],INDEX(DataTitel_liste,LineærRegression_Valg[[#This Row],[Uafhængig variabel ID]]),INDEX(DataTitel_liste,IF(LineærRegression_Valg[[#This Row],[Afhængig variabel ID]]=1,2,1))),$B$7)</f>
        <v>Eksempel 2 (interval)</v>
      </c>
      <c r="H1315" s="171">
        <f>_xlfn.AGGREGATE(2,5,LineærRegression_Valg[[#This Row],[Tabel ID]])</f>
        <v>1</v>
      </c>
    </row>
    <row r="1316" spans="1:8" x14ac:dyDescent="0.2">
      <c r="A1316">
        <f>ROW(LineærRegression_Valg[[#This Row],[Tabel ID]])-ROW(LineærRegression_Valg[[#Headers],[Tabel ID]])</f>
        <v>1306</v>
      </c>
      <c r="B1316" s="171">
        <f>ROUNDDOWN((LineærRegression_Valg[[#This Row],[Tabel ID]]-1)/$B$5,0)+1</f>
        <v>327</v>
      </c>
      <c r="C1316" s="171">
        <f t="shared" si="20"/>
        <v>2</v>
      </c>
      <c r="D1316" s="171" t="b">
        <f>LineærRegression_Valg[[#This Row],[Afhængig variabel ID]]&lt;&gt;LineærRegression_Valg[[#This Row],[Uafhængig variabel ID]]</f>
        <v>1</v>
      </c>
      <c r="E1316" t="b">
        <f>LineærRegression_Valg[[#This Row],[Afhængig variabel ID]]&lt;=$B$5</f>
        <v>0</v>
      </c>
      <c r="F1316" t="str" cm="1">
        <f t="array" ref="F1316">IF(LineærRegression_Valg[[#This Row],[Indenfor range]],INDEX(DataTitel_liste,LineærRegression_Valg[[#This Row],[Afhængig variabel ID]]),INDEX(DataTitel_liste,1))</f>
        <v>Eksempel 1 (interval)</v>
      </c>
      <c r="G1316" s="171" t="str" cm="1">
        <f t="array" ref="G1316">IF(LineærRegression_Valg[[#This Row],[Indenfor range]],IF(LineærRegression_Valg[[#This Row],[Intet overlap]],INDEX(DataTitel_liste,LineærRegression_Valg[[#This Row],[Uafhængig variabel ID]]),INDEX(DataTitel_liste,IF(LineærRegression_Valg[[#This Row],[Afhængig variabel ID]]=1,2,1))),$B$7)</f>
        <v>Eksempel 2 (interval)</v>
      </c>
      <c r="H1316" s="171">
        <f>_xlfn.AGGREGATE(2,5,LineærRegression_Valg[[#This Row],[Tabel ID]])</f>
        <v>1</v>
      </c>
    </row>
    <row r="1317" spans="1:8" x14ac:dyDescent="0.2">
      <c r="A1317">
        <f>ROW(LineærRegression_Valg[[#This Row],[Tabel ID]])-ROW(LineærRegression_Valg[[#Headers],[Tabel ID]])</f>
        <v>1307</v>
      </c>
      <c r="B1317" s="171">
        <f>ROUNDDOWN((LineærRegression_Valg[[#This Row],[Tabel ID]]-1)/$B$5,0)+1</f>
        <v>327</v>
      </c>
      <c r="C1317" s="171">
        <f t="shared" si="20"/>
        <v>3</v>
      </c>
      <c r="D1317" s="171" t="b">
        <f>LineærRegression_Valg[[#This Row],[Afhængig variabel ID]]&lt;&gt;LineærRegression_Valg[[#This Row],[Uafhængig variabel ID]]</f>
        <v>1</v>
      </c>
      <c r="E1317" t="b">
        <f>LineærRegression_Valg[[#This Row],[Afhængig variabel ID]]&lt;=$B$5</f>
        <v>0</v>
      </c>
      <c r="F1317" t="str" cm="1">
        <f t="array" ref="F1317">IF(LineærRegression_Valg[[#This Row],[Indenfor range]],INDEX(DataTitel_liste,LineærRegression_Valg[[#This Row],[Afhængig variabel ID]]),INDEX(DataTitel_liste,1))</f>
        <v>Eksempel 1 (interval)</v>
      </c>
      <c r="G1317" s="171" t="str" cm="1">
        <f t="array" ref="G1317">IF(LineærRegression_Valg[[#This Row],[Indenfor range]],IF(LineærRegression_Valg[[#This Row],[Intet overlap]],INDEX(DataTitel_liste,LineærRegression_Valg[[#This Row],[Uafhængig variabel ID]]),INDEX(DataTitel_liste,IF(LineærRegression_Valg[[#This Row],[Afhængig variabel ID]]=1,2,1))),$B$7)</f>
        <v>Eksempel 2 (interval)</v>
      </c>
      <c r="H1317" s="171">
        <f>_xlfn.AGGREGATE(2,5,LineærRegression_Valg[[#This Row],[Tabel ID]])</f>
        <v>1</v>
      </c>
    </row>
    <row r="1318" spans="1:8" x14ac:dyDescent="0.2">
      <c r="A1318">
        <f>ROW(LineærRegression_Valg[[#This Row],[Tabel ID]])-ROW(LineærRegression_Valg[[#Headers],[Tabel ID]])</f>
        <v>1308</v>
      </c>
      <c r="B1318" s="171">
        <f>ROUNDDOWN((LineærRegression_Valg[[#This Row],[Tabel ID]]-1)/$B$5,0)+1</f>
        <v>327</v>
      </c>
      <c r="C1318" s="171">
        <f t="shared" si="20"/>
        <v>4</v>
      </c>
      <c r="D1318" s="171" t="b">
        <f>LineærRegression_Valg[[#This Row],[Afhængig variabel ID]]&lt;&gt;LineærRegression_Valg[[#This Row],[Uafhængig variabel ID]]</f>
        <v>1</v>
      </c>
      <c r="E1318" t="b">
        <f>LineærRegression_Valg[[#This Row],[Afhængig variabel ID]]&lt;=$B$5</f>
        <v>0</v>
      </c>
      <c r="F1318" t="str" cm="1">
        <f t="array" ref="F1318">IF(LineærRegression_Valg[[#This Row],[Indenfor range]],INDEX(DataTitel_liste,LineærRegression_Valg[[#This Row],[Afhængig variabel ID]]),INDEX(DataTitel_liste,1))</f>
        <v>Eksempel 1 (interval)</v>
      </c>
      <c r="G1318" s="171" t="str" cm="1">
        <f t="array" ref="G1318">IF(LineærRegression_Valg[[#This Row],[Indenfor range]],IF(LineærRegression_Valg[[#This Row],[Intet overlap]],INDEX(DataTitel_liste,LineærRegression_Valg[[#This Row],[Uafhængig variabel ID]]),INDEX(DataTitel_liste,IF(LineærRegression_Valg[[#This Row],[Afhængig variabel ID]]=1,2,1))),$B$7)</f>
        <v>Eksempel 2 (interval)</v>
      </c>
      <c r="H1318" s="171">
        <f>_xlfn.AGGREGATE(2,5,LineærRegression_Valg[[#This Row],[Tabel ID]])</f>
        <v>1</v>
      </c>
    </row>
    <row r="1319" spans="1:8" x14ac:dyDescent="0.2">
      <c r="A1319">
        <f>ROW(LineærRegression_Valg[[#This Row],[Tabel ID]])-ROW(LineærRegression_Valg[[#Headers],[Tabel ID]])</f>
        <v>1309</v>
      </c>
      <c r="B1319" s="171">
        <f>ROUNDDOWN((LineærRegression_Valg[[#This Row],[Tabel ID]]-1)/$B$5,0)+1</f>
        <v>328</v>
      </c>
      <c r="C1319" s="171">
        <f t="shared" si="20"/>
        <v>1</v>
      </c>
      <c r="D1319" s="171" t="b">
        <f>LineærRegression_Valg[[#This Row],[Afhængig variabel ID]]&lt;&gt;LineærRegression_Valg[[#This Row],[Uafhængig variabel ID]]</f>
        <v>1</v>
      </c>
      <c r="E1319" t="b">
        <f>LineærRegression_Valg[[#This Row],[Afhængig variabel ID]]&lt;=$B$5</f>
        <v>0</v>
      </c>
      <c r="F1319" t="str" cm="1">
        <f t="array" ref="F1319">IF(LineærRegression_Valg[[#This Row],[Indenfor range]],INDEX(DataTitel_liste,LineærRegression_Valg[[#This Row],[Afhængig variabel ID]]),INDEX(DataTitel_liste,1))</f>
        <v>Eksempel 1 (interval)</v>
      </c>
      <c r="G1319" s="171" t="str" cm="1">
        <f t="array" ref="G1319">IF(LineærRegression_Valg[[#This Row],[Indenfor range]],IF(LineærRegression_Valg[[#This Row],[Intet overlap]],INDEX(DataTitel_liste,LineærRegression_Valg[[#This Row],[Uafhængig variabel ID]]),INDEX(DataTitel_liste,IF(LineærRegression_Valg[[#This Row],[Afhængig variabel ID]]=1,2,1))),$B$7)</f>
        <v>Eksempel 2 (interval)</v>
      </c>
      <c r="H1319" s="171">
        <f>_xlfn.AGGREGATE(2,5,LineærRegression_Valg[[#This Row],[Tabel ID]])</f>
        <v>1</v>
      </c>
    </row>
    <row r="1320" spans="1:8" x14ac:dyDescent="0.2">
      <c r="A1320">
        <f>ROW(LineærRegression_Valg[[#This Row],[Tabel ID]])-ROW(LineærRegression_Valg[[#Headers],[Tabel ID]])</f>
        <v>1310</v>
      </c>
      <c r="B1320" s="171">
        <f>ROUNDDOWN((LineærRegression_Valg[[#This Row],[Tabel ID]]-1)/$B$5,0)+1</f>
        <v>328</v>
      </c>
      <c r="C1320" s="171">
        <f t="shared" si="20"/>
        <v>2</v>
      </c>
      <c r="D1320" s="171" t="b">
        <f>LineærRegression_Valg[[#This Row],[Afhængig variabel ID]]&lt;&gt;LineærRegression_Valg[[#This Row],[Uafhængig variabel ID]]</f>
        <v>1</v>
      </c>
      <c r="E1320" t="b">
        <f>LineærRegression_Valg[[#This Row],[Afhængig variabel ID]]&lt;=$B$5</f>
        <v>0</v>
      </c>
      <c r="F1320" t="str" cm="1">
        <f t="array" ref="F1320">IF(LineærRegression_Valg[[#This Row],[Indenfor range]],INDEX(DataTitel_liste,LineærRegression_Valg[[#This Row],[Afhængig variabel ID]]),INDEX(DataTitel_liste,1))</f>
        <v>Eksempel 1 (interval)</v>
      </c>
      <c r="G1320" s="171" t="str" cm="1">
        <f t="array" ref="G1320">IF(LineærRegression_Valg[[#This Row],[Indenfor range]],IF(LineærRegression_Valg[[#This Row],[Intet overlap]],INDEX(DataTitel_liste,LineærRegression_Valg[[#This Row],[Uafhængig variabel ID]]),INDEX(DataTitel_liste,IF(LineærRegression_Valg[[#This Row],[Afhængig variabel ID]]=1,2,1))),$B$7)</f>
        <v>Eksempel 2 (interval)</v>
      </c>
      <c r="H1320" s="171">
        <f>_xlfn.AGGREGATE(2,5,LineærRegression_Valg[[#This Row],[Tabel ID]])</f>
        <v>1</v>
      </c>
    </row>
    <row r="1321" spans="1:8" x14ac:dyDescent="0.2">
      <c r="A1321">
        <f>ROW(LineærRegression_Valg[[#This Row],[Tabel ID]])-ROW(LineærRegression_Valg[[#Headers],[Tabel ID]])</f>
        <v>1311</v>
      </c>
      <c r="B1321" s="171">
        <f>ROUNDDOWN((LineærRegression_Valg[[#This Row],[Tabel ID]]-1)/$B$5,0)+1</f>
        <v>328</v>
      </c>
      <c r="C1321" s="171">
        <f t="shared" si="20"/>
        <v>3</v>
      </c>
      <c r="D1321" s="171" t="b">
        <f>LineærRegression_Valg[[#This Row],[Afhængig variabel ID]]&lt;&gt;LineærRegression_Valg[[#This Row],[Uafhængig variabel ID]]</f>
        <v>1</v>
      </c>
      <c r="E1321" t="b">
        <f>LineærRegression_Valg[[#This Row],[Afhængig variabel ID]]&lt;=$B$5</f>
        <v>0</v>
      </c>
      <c r="F1321" t="str" cm="1">
        <f t="array" ref="F1321">IF(LineærRegression_Valg[[#This Row],[Indenfor range]],INDEX(DataTitel_liste,LineærRegression_Valg[[#This Row],[Afhængig variabel ID]]),INDEX(DataTitel_liste,1))</f>
        <v>Eksempel 1 (interval)</v>
      </c>
      <c r="G1321" s="171" t="str" cm="1">
        <f t="array" ref="G1321">IF(LineærRegression_Valg[[#This Row],[Indenfor range]],IF(LineærRegression_Valg[[#This Row],[Intet overlap]],INDEX(DataTitel_liste,LineærRegression_Valg[[#This Row],[Uafhængig variabel ID]]),INDEX(DataTitel_liste,IF(LineærRegression_Valg[[#This Row],[Afhængig variabel ID]]=1,2,1))),$B$7)</f>
        <v>Eksempel 2 (interval)</v>
      </c>
      <c r="H1321" s="171">
        <f>_xlfn.AGGREGATE(2,5,LineærRegression_Valg[[#This Row],[Tabel ID]])</f>
        <v>1</v>
      </c>
    </row>
    <row r="1322" spans="1:8" x14ac:dyDescent="0.2">
      <c r="A1322">
        <f>ROW(LineærRegression_Valg[[#This Row],[Tabel ID]])-ROW(LineærRegression_Valg[[#Headers],[Tabel ID]])</f>
        <v>1312</v>
      </c>
      <c r="B1322" s="171">
        <f>ROUNDDOWN((LineærRegression_Valg[[#This Row],[Tabel ID]]-1)/$B$5,0)+1</f>
        <v>328</v>
      </c>
      <c r="C1322" s="171">
        <f t="shared" si="20"/>
        <v>4</v>
      </c>
      <c r="D1322" s="171" t="b">
        <f>LineærRegression_Valg[[#This Row],[Afhængig variabel ID]]&lt;&gt;LineærRegression_Valg[[#This Row],[Uafhængig variabel ID]]</f>
        <v>1</v>
      </c>
      <c r="E1322" t="b">
        <f>LineærRegression_Valg[[#This Row],[Afhængig variabel ID]]&lt;=$B$5</f>
        <v>0</v>
      </c>
      <c r="F1322" t="str" cm="1">
        <f t="array" ref="F1322">IF(LineærRegression_Valg[[#This Row],[Indenfor range]],INDEX(DataTitel_liste,LineærRegression_Valg[[#This Row],[Afhængig variabel ID]]),INDEX(DataTitel_liste,1))</f>
        <v>Eksempel 1 (interval)</v>
      </c>
      <c r="G1322" s="171" t="str" cm="1">
        <f t="array" ref="G1322">IF(LineærRegression_Valg[[#This Row],[Indenfor range]],IF(LineærRegression_Valg[[#This Row],[Intet overlap]],INDEX(DataTitel_liste,LineærRegression_Valg[[#This Row],[Uafhængig variabel ID]]),INDEX(DataTitel_liste,IF(LineærRegression_Valg[[#This Row],[Afhængig variabel ID]]=1,2,1))),$B$7)</f>
        <v>Eksempel 2 (interval)</v>
      </c>
      <c r="H1322" s="171">
        <f>_xlfn.AGGREGATE(2,5,LineærRegression_Valg[[#This Row],[Tabel ID]])</f>
        <v>1</v>
      </c>
    </row>
    <row r="1323" spans="1:8" x14ac:dyDescent="0.2">
      <c r="A1323">
        <f>ROW(LineærRegression_Valg[[#This Row],[Tabel ID]])-ROW(LineærRegression_Valg[[#Headers],[Tabel ID]])</f>
        <v>1313</v>
      </c>
      <c r="B1323" s="171">
        <f>ROUNDDOWN((LineærRegression_Valg[[#This Row],[Tabel ID]]-1)/$B$5,0)+1</f>
        <v>329</v>
      </c>
      <c r="C1323" s="171">
        <f t="shared" si="20"/>
        <v>1</v>
      </c>
      <c r="D1323" s="171" t="b">
        <f>LineærRegression_Valg[[#This Row],[Afhængig variabel ID]]&lt;&gt;LineærRegression_Valg[[#This Row],[Uafhængig variabel ID]]</f>
        <v>1</v>
      </c>
      <c r="E1323" t="b">
        <f>LineærRegression_Valg[[#This Row],[Afhængig variabel ID]]&lt;=$B$5</f>
        <v>0</v>
      </c>
      <c r="F1323" t="str" cm="1">
        <f t="array" ref="F1323">IF(LineærRegression_Valg[[#This Row],[Indenfor range]],INDEX(DataTitel_liste,LineærRegression_Valg[[#This Row],[Afhængig variabel ID]]),INDEX(DataTitel_liste,1))</f>
        <v>Eksempel 1 (interval)</v>
      </c>
      <c r="G1323" s="171" t="str" cm="1">
        <f t="array" ref="G1323">IF(LineærRegression_Valg[[#This Row],[Indenfor range]],IF(LineærRegression_Valg[[#This Row],[Intet overlap]],INDEX(DataTitel_liste,LineærRegression_Valg[[#This Row],[Uafhængig variabel ID]]),INDEX(DataTitel_liste,IF(LineærRegression_Valg[[#This Row],[Afhængig variabel ID]]=1,2,1))),$B$7)</f>
        <v>Eksempel 2 (interval)</v>
      </c>
      <c r="H1323" s="171">
        <f>_xlfn.AGGREGATE(2,5,LineærRegression_Valg[[#This Row],[Tabel ID]])</f>
        <v>1</v>
      </c>
    </row>
    <row r="1324" spans="1:8" x14ac:dyDescent="0.2">
      <c r="A1324">
        <f>ROW(LineærRegression_Valg[[#This Row],[Tabel ID]])-ROW(LineærRegression_Valg[[#Headers],[Tabel ID]])</f>
        <v>1314</v>
      </c>
      <c r="B1324" s="171">
        <f>ROUNDDOWN((LineærRegression_Valg[[#This Row],[Tabel ID]]-1)/$B$5,0)+1</f>
        <v>329</v>
      </c>
      <c r="C1324" s="171">
        <f t="shared" si="20"/>
        <v>2</v>
      </c>
      <c r="D1324" s="171" t="b">
        <f>LineærRegression_Valg[[#This Row],[Afhængig variabel ID]]&lt;&gt;LineærRegression_Valg[[#This Row],[Uafhængig variabel ID]]</f>
        <v>1</v>
      </c>
      <c r="E1324" t="b">
        <f>LineærRegression_Valg[[#This Row],[Afhængig variabel ID]]&lt;=$B$5</f>
        <v>0</v>
      </c>
      <c r="F1324" t="str" cm="1">
        <f t="array" ref="F1324">IF(LineærRegression_Valg[[#This Row],[Indenfor range]],INDEX(DataTitel_liste,LineærRegression_Valg[[#This Row],[Afhængig variabel ID]]),INDEX(DataTitel_liste,1))</f>
        <v>Eksempel 1 (interval)</v>
      </c>
      <c r="G1324" s="171" t="str" cm="1">
        <f t="array" ref="G1324">IF(LineærRegression_Valg[[#This Row],[Indenfor range]],IF(LineærRegression_Valg[[#This Row],[Intet overlap]],INDEX(DataTitel_liste,LineærRegression_Valg[[#This Row],[Uafhængig variabel ID]]),INDEX(DataTitel_liste,IF(LineærRegression_Valg[[#This Row],[Afhængig variabel ID]]=1,2,1))),$B$7)</f>
        <v>Eksempel 2 (interval)</v>
      </c>
      <c r="H1324" s="171">
        <f>_xlfn.AGGREGATE(2,5,LineærRegression_Valg[[#This Row],[Tabel ID]])</f>
        <v>1</v>
      </c>
    </row>
    <row r="1325" spans="1:8" x14ac:dyDescent="0.2">
      <c r="A1325">
        <f>ROW(LineærRegression_Valg[[#This Row],[Tabel ID]])-ROW(LineærRegression_Valg[[#Headers],[Tabel ID]])</f>
        <v>1315</v>
      </c>
      <c r="B1325" s="171">
        <f>ROUNDDOWN((LineærRegression_Valg[[#This Row],[Tabel ID]]-1)/$B$5,0)+1</f>
        <v>329</v>
      </c>
      <c r="C1325" s="171">
        <f t="shared" si="20"/>
        <v>3</v>
      </c>
      <c r="D1325" s="171" t="b">
        <f>LineærRegression_Valg[[#This Row],[Afhængig variabel ID]]&lt;&gt;LineærRegression_Valg[[#This Row],[Uafhængig variabel ID]]</f>
        <v>1</v>
      </c>
      <c r="E1325" t="b">
        <f>LineærRegression_Valg[[#This Row],[Afhængig variabel ID]]&lt;=$B$5</f>
        <v>0</v>
      </c>
      <c r="F1325" t="str" cm="1">
        <f t="array" ref="F1325">IF(LineærRegression_Valg[[#This Row],[Indenfor range]],INDEX(DataTitel_liste,LineærRegression_Valg[[#This Row],[Afhængig variabel ID]]),INDEX(DataTitel_liste,1))</f>
        <v>Eksempel 1 (interval)</v>
      </c>
      <c r="G1325" s="171" t="str" cm="1">
        <f t="array" ref="G1325">IF(LineærRegression_Valg[[#This Row],[Indenfor range]],IF(LineærRegression_Valg[[#This Row],[Intet overlap]],INDEX(DataTitel_liste,LineærRegression_Valg[[#This Row],[Uafhængig variabel ID]]),INDEX(DataTitel_liste,IF(LineærRegression_Valg[[#This Row],[Afhængig variabel ID]]=1,2,1))),$B$7)</f>
        <v>Eksempel 2 (interval)</v>
      </c>
      <c r="H1325" s="171">
        <f>_xlfn.AGGREGATE(2,5,LineærRegression_Valg[[#This Row],[Tabel ID]])</f>
        <v>1</v>
      </c>
    </row>
    <row r="1326" spans="1:8" x14ac:dyDescent="0.2">
      <c r="A1326">
        <f>ROW(LineærRegression_Valg[[#This Row],[Tabel ID]])-ROW(LineærRegression_Valg[[#Headers],[Tabel ID]])</f>
        <v>1316</v>
      </c>
      <c r="B1326" s="171">
        <f>ROUNDDOWN((LineærRegression_Valg[[#This Row],[Tabel ID]]-1)/$B$5,0)+1</f>
        <v>329</v>
      </c>
      <c r="C1326" s="171">
        <f t="shared" si="20"/>
        <v>4</v>
      </c>
      <c r="D1326" s="171" t="b">
        <f>LineærRegression_Valg[[#This Row],[Afhængig variabel ID]]&lt;&gt;LineærRegression_Valg[[#This Row],[Uafhængig variabel ID]]</f>
        <v>1</v>
      </c>
      <c r="E1326" t="b">
        <f>LineærRegression_Valg[[#This Row],[Afhængig variabel ID]]&lt;=$B$5</f>
        <v>0</v>
      </c>
      <c r="F1326" t="str" cm="1">
        <f t="array" ref="F1326">IF(LineærRegression_Valg[[#This Row],[Indenfor range]],INDEX(DataTitel_liste,LineærRegression_Valg[[#This Row],[Afhængig variabel ID]]),INDEX(DataTitel_liste,1))</f>
        <v>Eksempel 1 (interval)</v>
      </c>
      <c r="G1326" s="171" t="str" cm="1">
        <f t="array" ref="G1326">IF(LineærRegression_Valg[[#This Row],[Indenfor range]],IF(LineærRegression_Valg[[#This Row],[Intet overlap]],INDEX(DataTitel_liste,LineærRegression_Valg[[#This Row],[Uafhængig variabel ID]]),INDEX(DataTitel_liste,IF(LineærRegression_Valg[[#This Row],[Afhængig variabel ID]]=1,2,1))),$B$7)</f>
        <v>Eksempel 2 (interval)</v>
      </c>
      <c r="H1326" s="171">
        <f>_xlfn.AGGREGATE(2,5,LineærRegression_Valg[[#This Row],[Tabel ID]])</f>
        <v>1</v>
      </c>
    </row>
    <row r="1327" spans="1:8" x14ac:dyDescent="0.2">
      <c r="A1327">
        <f>ROW(LineærRegression_Valg[[#This Row],[Tabel ID]])-ROW(LineærRegression_Valg[[#Headers],[Tabel ID]])</f>
        <v>1317</v>
      </c>
      <c r="B1327" s="171">
        <f>ROUNDDOWN((LineærRegression_Valg[[#This Row],[Tabel ID]]-1)/$B$5,0)+1</f>
        <v>330</v>
      </c>
      <c r="C1327" s="171">
        <f t="shared" si="20"/>
        <v>1</v>
      </c>
      <c r="D1327" s="171" t="b">
        <f>LineærRegression_Valg[[#This Row],[Afhængig variabel ID]]&lt;&gt;LineærRegression_Valg[[#This Row],[Uafhængig variabel ID]]</f>
        <v>1</v>
      </c>
      <c r="E1327" t="b">
        <f>LineærRegression_Valg[[#This Row],[Afhængig variabel ID]]&lt;=$B$5</f>
        <v>0</v>
      </c>
      <c r="F1327" t="str" cm="1">
        <f t="array" ref="F1327">IF(LineærRegression_Valg[[#This Row],[Indenfor range]],INDEX(DataTitel_liste,LineærRegression_Valg[[#This Row],[Afhængig variabel ID]]),INDEX(DataTitel_liste,1))</f>
        <v>Eksempel 1 (interval)</v>
      </c>
      <c r="G1327" s="171" t="str" cm="1">
        <f t="array" ref="G1327">IF(LineærRegression_Valg[[#This Row],[Indenfor range]],IF(LineærRegression_Valg[[#This Row],[Intet overlap]],INDEX(DataTitel_liste,LineærRegression_Valg[[#This Row],[Uafhængig variabel ID]]),INDEX(DataTitel_liste,IF(LineærRegression_Valg[[#This Row],[Afhængig variabel ID]]=1,2,1))),$B$7)</f>
        <v>Eksempel 2 (interval)</v>
      </c>
      <c r="H1327" s="171">
        <f>_xlfn.AGGREGATE(2,5,LineærRegression_Valg[[#This Row],[Tabel ID]])</f>
        <v>1</v>
      </c>
    </row>
    <row r="1328" spans="1:8" x14ac:dyDescent="0.2">
      <c r="A1328">
        <f>ROW(LineærRegression_Valg[[#This Row],[Tabel ID]])-ROW(LineærRegression_Valg[[#Headers],[Tabel ID]])</f>
        <v>1318</v>
      </c>
      <c r="B1328" s="171">
        <f>ROUNDDOWN((LineærRegression_Valg[[#This Row],[Tabel ID]]-1)/$B$5,0)+1</f>
        <v>330</v>
      </c>
      <c r="C1328" s="171">
        <f t="shared" si="20"/>
        <v>2</v>
      </c>
      <c r="D1328" s="171" t="b">
        <f>LineærRegression_Valg[[#This Row],[Afhængig variabel ID]]&lt;&gt;LineærRegression_Valg[[#This Row],[Uafhængig variabel ID]]</f>
        <v>1</v>
      </c>
      <c r="E1328" t="b">
        <f>LineærRegression_Valg[[#This Row],[Afhængig variabel ID]]&lt;=$B$5</f>
        <v>0</v>
      </c>
      <c r="F1328" t="str" cm="1">
        <f t="array" ref="F1328">IF(LineærRegression_Valg[[#This Row],[Indenfor range]],INDEX(DataTitel_liste,LineærRegression_Valg[[#This Row],[Afhængig variabel ID]]),INDEX(DataTitel_liste,1))</f>
        <v>Eksempel 1 (interval)</v>
      </c>
      <c r="G1328" s="171" t="str" cm="1">
        <f t="array" ref="G1328">IF(LineærRegression_Valg[[#This Row],[Indenfor range]],IF(LineærRegression_Valg[[#This Row],[Intet overlap]],INDEX(DataTitel_liste,LineærRegression_Valg[[#This Row],[Uafhængig variabel ID]]),INDEX(DataTitel_liste,IF(LineærRegression_Valg[[#This Row],[Afhængig variabel ID]]=1,2,1))),$B$7)</f>
        <v>Eksempel 2 (interval)</v>
      </c>
      <c r="H1328" s="171">
        <f>_xlfn.AGGREGATE(2,5,LineærRegression_Valg[[#This Row],[Tabel ID]])</f>
        <v>1</v>
      </c>
    </row>
    <row r="1329" spans="1:8" x14ac:dyDescent="0.2">
      <c r="A1329">
        <f>ROW(LineærRegression_Valg[[#This Row],[Tabel ID]])-ROW(LineærRegression_Valg[[#Headers],[Tabel ID]])</f>
        <v>1319</v>
      </c>
      <c r="B1329" s="171">
        <f>ROUNDDOWN((LineærRegression_Valg[[#This Row],[Tabel ID]]-1)/$B$5,0)+1</f>
        <v>330</v>
      </c>
      <c r="C1329" s="171">
        <f t="shared" si="20"/>
        <v>3</v>
      </c>
      <c r="D1329" s="171" t="b">
        <f>LineærRegression_Valg[[#This Row],[Afhængig variabel ID]]&lt;&gt;LineærRegression_Valg[[#This Row],[Uafhængig variabel ID]]</f>
        <v>1</v>
      </c>
      <c r="E1329" t="b">
        <f>LineærRegression_Valg[[#This Row],[Afhængig variabel ID]]&lt;=$B$5</f>
        <v>0</v>
      </c>
      <c r="F1329" t="str" cm="1">
        <f t="array" ref="F1329">IF(LineærRegression_Valg[[#This Row],[Indenfor range]],INDEX(DataTitel_liste,LineærRegression_Valg[[#This Row],[Afhængig variabel ID]]),INDEX(DataTitel_liste,1))</f>
        <v>Eksempel 1 (interval)</v>
      </c>
      <c r="G1329" s="171" t="str" cm="1">
        <f t="array" ref="G1329">IF(LineærRegression_Valg[[#This Row],[Indenfor range]],IF(LineærRegression_Valg[[#This Row],[Intet overlap]],INDEX(DataTitel_liste,LineærRegression_Valg[[#This Row],[Uafhængig variabel ID]]),INDEX(DataTitel_liste,IF(LineærRegression_Valg[[#This Row],[Afhængig variabel ID]]=1,2,1))),$B$7)</f>
        <v>Eksempel 2 (interval)</v>
      </c>
      <c r="H1329" s="171">
        <f>_xlfn.AGGREGATE(2,5,LineærRegression_Valg[[#This Row],[Tabel ID]])</f>
        <v>1</v>
      </c>
    </row>
    <row r="1330" spans="1:8" x14ac:dyDescent="0.2">
      <c r="A1330">
        <f>ROW(LineærRegression_Valg[[#This Row],[Tabel ID]])-ROW(LineærRegression_Valg[[#Headers],[Tabel ID]])</f>
        <v>1320</v>
      </c>
      <c r="B1330" s="171">
        <f>ROUNDDOWN((LineærRegression_Valg[[#This Row],[Tabel ID]]-1)/$B$5,0)+1</f>
        <v>330</v>
      </c>
      <c r="C1330" s="171">
        <f t="shared" si="20"/>
        <v>4</v>
      </c>
      <c r="D1330" s="171" t="b">
        <f>LineærRegression_Valg[[#This Row],[Afhængig variabel ID]]&lt;&gt;LineærRegression_Valg[[#This Row],[Uafhængig variabel ID]]</f>
        <v>1</v>
      </c>
      <c r="E1330" t="b">
        <f>LineærRegression_Valg[[#This Row],[Afhængig variabel ID]]&lt;=$B$5</f>
        <v>0</v>
      </c>
      <c r="F1330" t="str" cm="1">
        <f t="array" ref="F1330">IF(LineærRegression_Valg[[#This Row],[Indenfor range]],INDEX(DataTitel_liste,LineærRegression_Valg[[#This Row],[Afhængig variabel ID]]),INDEX(DataTitel_liste,1))</f>
        <v>Eksempel 1 (interval)</v>
      </c>
      <c r="G1330" s="171" t="str" cm="1">
        <f t="array" ref="G1330">IF(LineærRegression_Valg[[#This Row],[Indenfor range]],IF(LineærRegression_Valg[[#This Row],[Intet overlap]],INDEX(DataTitel_liste,LineærRegression_Valg[[#This Row],[Uafhængig variabel ID]]),INDEX(DataTitel_liste,IF(LineærRegression_Valg[[#This Row],[Afhængig variabel ID]]=1,2,1))),$B$7)</f>
        <v>Eksempel 2 (interval)</v>
      </c>
      <c r="H1330" s="171">
        <f>_xlfn.AGGREGATE(2,5,LineærRegression_Valg[[#This Row],[Tabel ID]])</f>
        <v>1</v>
      </c>
    </row>
    <row r="1331" spans="1:8" x14ac:dyDescent="0.2">
      <c r="A1331">
        <f>ROW(LineærRegression_Valg[[#This Row],[Tabel ID]])-ROW(LineærRegression_Valg[[#Headers],[Tabel ID]])</f>
        <v>1321</v>
      </c>
      <c r="B1331" s="171">
        <f>ROUNDDOWN((LineærRegression_Valg[[#This Row],[Tabel ID]]-1)/$B$5,0)+1</f>
        <v>331</v>
      </c>
      <c r="C1331" s="171">
        <f t="shared" si="20"/>
        <v>1</v>
      </c>
      <c r="D1331" s="171" t="b">
        <f>LineærRegression_Valg[[#This Row],[Afhængig variabel ID]]&lt;&gt;LineærRegression_Valg[[#This Row],[Uafhængig variabel ID]]</f>
        <v>1</v>
      </c>
      <c r="E1331" t="b">
        <f>LineærRegression_Valg[[#This Row],[Afhængig variabel ID]]&lt;=$B$5</f>
        <v>0</v>
      </c>
      <c r="F1331" t="str" cm="1">
        <f t="array" ref="F1331">IF(LineærRegression_Valg[[#This Row],[Indenfor range]],INDEX(DataTitel_liste,LineærRegression_Valg[[#This Row],[Afhængig variabel ID]]),INDEX(DataTitel_liste,1))</f>
        <v>Eksempel 1 (interval)</v>
      </c>
      <c r="G1331" s="171" t="str" cm="1">
        <f t="array" ref="G1331">IF(LineærRegression_Valg[[#This Row],[Indenfor range]],IF(LineærRegression_Valg[[#This Row],[Intet overlap]],INDEX(DataTitel_liste,LineærRegression_Valg[[#This Row],[Uafhængig variabel ID]]),INDEX(DataTitel_liste,IF(LineærRegression_Valg[[#This Row],[Afhængig variabel ID]]=1,2,1))),$B$7)</f>
        <v>Eksempel 2 (interval)</v>
      </c>
      <c r="H1331" s="171">
        <f>_xlfn.AGGREGATE(2,5,LineærRegression_Valg[[#This Row],[Tabel ID]])</f>
        <v>1</v>
      </c>
    </row>
    <row r="1332" spans="1:8" x14ac:dyDescent="0.2">
      <c r="A1332">
        <f>ROW(LineærRegression_Valg[[#This Row],[Tabel ID]])-ROW(LineærRegression_Valg[[#Headers],[Tabel ID]])</f>
        <v>1322</v>
      </c>
      <c r="B1332" s="171">
        <f>ROUNDDOWN((LineærRegression_Valg[[#This Row],[Tabel ID]]-1)/$B$5,0)+1</f>
        <v>331</v>
      </c>
      <c r="C1332" s="171">
        <f t="shared" si="20"/>
        <v>2</v>
      </c>
      <c r="D1332" s="171" t="b">
        <f>LineærRegression_Valg[[#This Row],[Afhængig variabel ID]]&lt;&gt;LineærRegression_Valg[[#This Row],[Uafhængig variabel ID]]</f>
        <v>1</v>
      </c>
      <c r="E1332" t="b">
        <f>LineærRegression_Valg[[#This Row],[Afhængig variabel ID]]&lt;=$B$5</f>
        <v>0</v>
      </c>
      <c r="F1332" t="str" cm="1">
        <f t="array" ref="F1332">IF(LineærRegression_Valg[[#This Row],[Indenfor range]],INDEX(DataTitel_liste,LineærRegression_Valg[[#This Row],[Afhængig variabel ID]]),INDEX(DataTitel_liste,1))</f>
        <v>Eksempel 1 (interval)</v>
      </c>
      <c r="G1332" s="171" t="str" cm="1">
        <f t="array" ref="G1332">IF(LineærRegression_Valg[[#This Row],[Indenfor range]],IF(LineærRegression_Valg[[#This Row],[Intet overlap]],INDEX(DataTitel_liste,LineærRegression_Valg[[#This Row],[Uafhængig variabel ID]]),INDEX(DataTitel_liste,IF(LineærRegression_Valg[[#This Row],[Afhængig variabel ID]]=1,2,1))),$B$7)</f>
        <v>Eksempel 2 (interval)</v>
      </c>
      <c r="H1332" s="171">
        <f>_xlfn.AGGREGATE(2,5,LineærRegression_Valg[[#This Row],[Tabel ID]])</f>
        <v>1</v>
      </c>
    </row>
    <row r="1333" spans="1:8" x14ac:dyDescent="0.2">
      <c r="A1333">
        <f>ROW(LineærRegression_Valg[[#This Row],[Tabel ID]])-ROW(LineærRegression_Valg[[#Headers],[Tabel ID]])</f>
        <v>1323</v>
      </c>
      <c r="B1333" s="171">
        <f>ROUNDDOWN((LineærRegression_Valg[[#This Row],[Tabel ID]]-1)/$B$5,0)+1</f>
        <v>331</v>
      </c>
      <c r="C1333" s="171">
        <f t="shared" si="20"/>
        <v>3</v>
      </c>
      <c r="D1333" s="171" t="b">
        <f>LineærRegression_Valg[[#This Row],[Afhængig variabel ID]]&lt;&gt;LineærRegression_Valg[[#This Row],[Uafhængig variabel ID]]</f>
        <v>1</v>
      </c>
      <c r="E1333" t="b">
        <f>LineærRegression_Valg[[#This Row],[Afhængig variabel ID]]&lt;=$B$5</f>
        <v>0</v>
      </c>
      <c r="F1333" t="str" cm="1">
        <f t="array" ref="F1333">IF(LineærRegression_Valg[[#This Row],[Indenfor range]],INDEX(DataTitel_liste,LineærRegression_Valg[[#This Row],[Afhængig variabel ID]]),INDEX(DataTitel_liste,1))</f>
        <v>Eksempel 1 (interval)</v>
      </c>
      <c r="G1333" s="171" t="str" cm="1">
        <f t="array" ref="G1333">IF(LineærRegression_Valg[[#This Row],[Indenfor range]],IF(LineærRegression_Valg[[#This Row],[Intet overlap]],INDEX(DataTitel_liste,LineærRegression_Valg[[#This Row],[Uafhængig variabel ID]]),INDEX(DataTitel_liste,IF(LineærRegression_Valg[[#This Row],[Afhængig variabel ID]]=1,2,1))),$B$7)</f>
        <v>Eksempel 2 (interval)</v>
      </c>
      <c r="H1333" s="171">
        <f>_xlfn.AGGREGATE(2,5,LineærRegression_Valg[[#This Row],[Tabel ID]])</f>
        <v>1</v>
      </c>
    </row>
    <row r="1334" spans="1:8" x14ac:dyDescent="0.2">
      <c r="A1334">
        <f>ROW(LineærRegression_Valg[[#This Row],[Tabel ID]])-ROW(LineærRegression_Valg[[#Headers],[Tabel ID]])</f>
        <v>1324</v>
      </c>
      <c r="B1334" s="171">
        <f>ROUNDDOWN((LineærRegression_Valg[[#This Row],[Tabel ID]]-1)/$B$5,0)+1</f>
        <v>331</v>
      </c>
      <c r="C1334" s="171">
        <f t="shared" si="20"/>
        <v>4</v>
      </c>
      <c r="D1334" s="171" t="b">
        <f>LineærRegression_Valg[[#This Row],[Afhængig variabel ID]]&lt;&gt;LineærRegression_Valg[[#This Row],[Uafhængig variabel ID]]</f>
        <v>1</v>
      </c>
      <c r="E1334" t="b">
        <f>LineærRegression_Valg[[#This Row],[Afhængig variabel ID]]&lt;=$B$5</f>
        <v>0</v>
      </c>
      <c r="F1334" t="str" cm="1">
        <f t="array" ref="F1334">IF(LineærRegression_Valg[[#This Row],[Indenfor range]],INDEX(DataTitel_liste,LineærRegression_Valg[[#This Row],[Afhængig variabel ID]]),INDEX(DataTitel_liste,1))</f>
        <v>Eksempel 1 (interval)</v>
      </c>
      <c r="G1334" s="171" t="str" cm="1">
        <f t="array" ref="G1334">IF(LineærRegression_Valg[[#This Row],[Indenfor range]],IF(LineærRegression_Valg[[#This Row],[Intet overlap]],INDEX(DataTitel_liste,LineærRegression_Valg[[#This Row],[Uafhængig variabel ID]]),INDEX(DataTitel_liste,IF(LineærRegression_Valg[[#This Row],[Afhængig variabel ID]]=1,2,1))),$B$7)</f>
        <v>Eksempel 2 (interval)</v>
      </c>
      <c r="H1334" s="171">
        <f>_xlfn.AGGREGATE(2,5,LineærRegression_Valg[[#This Row],[Tabel ID]])</f>
        <v>1</v>
      </c>
    </row>
    <row r="1335" spans="1:8" x14ac:dyDescent="0.2">
      <c r="A1335">
        <f>ROW(LineærRegression_Valg[[#This Row],[Tabel ID]])-ROW(LineærRegression_Valg[[#Headers],[Tabel ID]])</f>
        <v>1325</v>
      </c>
      <c r="B1335" s="171">
        <f>ROUNDDOWN((LineærRegression_Valg[[#This Row],[Tabel ID]]-1)/$B$5,0)+1</f>
        <v>332</v>
      </c>
      <c r="C1335" s="171">
        <f t="shared" si="20"/>
        <v>1</v>
      </c>
      <c r="D1335" s="171" t="b">
        <f>LineærRegression_Valg[[#This Row],[Afhængig variabel ID]]&lt;&gt;LineærRegression_Valg[[#This Row],[Uafhængig variabel ID]]</f>
        <v>1</v>
      </c>
      <c r="E1335" t="b">
        <f>LineærRegression_Valg[[#This Row],[Afhængig variabel ID]]&lt;=$B$5</f>
        <v>0</v>
      </c>
      <c r="F1335" t="str" cm="1">
        <f t="array" ref="F1335">IF(LineærRegression_Valg[[#This Row],[Indenfor range]],INDEX(DataTitel_liste,LineærRegression_Valg[[#This Row],[Afhængig variabel ID]]),INDEX(DataTitel_liste,1))</f>
        <v>Eksempel 1 (interval)</v>
      </c>
      <c r="G1335" s="171" t="str" cm="1">
        <f t="array" ref="G1335">IF(LineærRegression_Valg[[#This Row],[Indenfor range]],IF(LineærRegression_Valg[[#This Row],[Intet overlap]],INDEX(DataTitel_liste,LineærRegression_Valg[[#This Row],[Uafhængig variabel ID]]),INDEX(DataTitel_liste,IF(LineærRegression_Valg[[#This Row],[Afhængig variabel ID]]=1,2,1))),$B$7)</f>
        <v>Eksempel 2 (interval)</v>
      </c>
      <c r="H1335" s="171">
        <f>_xlfn.AGGREGATE(2,5,LineærRegression_Valg[[#This Row],[Tabel ID]])</f>
        <v>1</v>
      </c>
    </row>
    <row r="1336" spans="1:8" x14ac:dyDescent="0.2">
      <c r="A1336">
        <f>ROW(LineærRegression_Valg[[#This Row],[Tabel ID]])-ROW(LineærRegression_Valg[[#Headers],[Tabel ID]])</f>
        <v>1326</v>
      </c>
      <c r="B1336" s="171">
        <f>ROUNDDOWN((LineærRegression_Valg[[#This Row],[Tabel ID]]-1)/$B$5,0)+1</f>
        <v>332</v>
      </c>
      <c r="C1336" s="171">
        <f t="shared" si="20"/>
        <v>2</v>
      </c>
      <c r="D1336" s="171" t="b">
        <f>LineærRegression_Valg[[#This Row],[Afhængig variabel ID]]&lt;&gt;LineærRegression_Valg[[#This Row],[Uafhængig variabel ID]]</f>
        <v>1</v>
      </c>
      <c r="E1336" t="b">
        <f>LineærRegression_Valg[[#This Row],[Afhængig variabel ID]]&lt;=$B$5</f>
        <v>0</v>
      </c>
      <c r="F1336" t="str" cm="1">
        <f t="array" ref="F1336">IF(LineærRegression_Valg[[#This Row],[Indenfor range]],INDEX(DataTitel_liste,LineærRegression_Valg[[#This Row],[Afhængig variabel ID]]),INDEX(DataTitel_liste,1))</f>
        <v>Eksempel 1 (interval)</v>
      </c>
      <c r="G1336" s="171" t="str" cm="1">
        <f t="array" ref="G1336">IF(LineærRegression_Valg[[#This Row],[Indenfor range]],IF(LineærRegression_Valg[[#This Row],[Intet overlap]],INDEX(DataTitel_liste,LineærRegression_Valg[[#This Row],[Uafhængig variabel ID]]),INDEX(DataTitel_liste,IF(LineærRegression_Valg[[#This Row],[Afhængig variabel ID]]=1,2,1))),$B$7)</f>
        <v>Eksempel 2 (interval)</v>
      </c>
      <c r="H1336" s="171">
        <f>_xlfn.AGGREGATE(2,5,LineærRegression_Valg[[#This Row],[Tabel ID]])</f>
        <v>1</v>
      </c>
    </row>
    <row r="1337" spans="1:8" x14ac:dyDescent="0.2">
      <c r="A1337">
        <f>ROW(LineærRegression_Valg[[#This Row],[Tabel ID]])-ROW(LineærRegression_Valg[[#Headers],[Tabel ID]])</f>
        <v>1327</v>
      </c>
      <c r="B1337" s="171">
        <f>ROUNDDOWN((LineærRegression_Valg[[#This Row],[Tabel ID]]-1)/$B$5,0)+1</f>
        <v>332</v>
      </c>
      <c r="C1337" s="171">
        <f t="shared" si="20"/>
        <v>3</v>
      </c>
      <c r="D1337" s="171" t="b">
        <f>LineærRegression_Valg[[#This Row],[Afhængig variabel ID]]&lt;&gt;LineærRegression_Valg[[#This Row],[Uafhængig variabel ID]]</f>
        <v>1</v>
      </c>
      <c r="E1337" t="b">
        <f>LineærRegression_Valg[[#This Row],[Afhængig variabel ID]]&lt;=$B$5</f>
        <v>0</v>
      </c>
      <c r="F1337" t="str" cm="1">
        <f t="array" ref="F1337">IF(LineærRegression_Valg[[#This Row],[Indenfor range]],INDEX(DataTitel_liste,LineærRegression_Valg[[#This Row],[Afhængig variabel ID]]),INDEX(DataTitel_liste,1))</f>
        <v>Eksempel 1 (interval)</v>
      </c>
      <c r="G1337" s="171" t="str" cm="1">
        <f t="array" ref="G1337">IF(LineærRegression_Valg[[#This Row],[Indenfor range]],IF(LineærRegression_Valg[[#This Row],[Intet overlap]],INDEX(DataTitel_liste,LineærRegression_Valg[[#This Row],[Uafhængig variabel ID]]),INDEX(DataTitel_liste,IF(LineærRegression_Valg[[#This Row],[Afhængig variabel ID]]=1,2,1))),$B$7)</f>
        <v>Eksempel 2 (interval)</v>
      </c>
      <c r="H1337" s="171">
        <f>_xlfn.AGGREGATE(2,5,LineærRegression_Valg[[#This Row],[Tabel ID]])</f>
        <v>1</v>
      </c>
    </row>
    <row r="1338" spans="1:8" x14ac:dyDescent="0.2">
      <c r="A1338">
        <f>ROW(LineærRegression_Valg[[#This Row],[Tabel ID]])-ROW(LineærRegression_Valg[[#Headers],[Tabel ID]])</f>
        <v>1328</v>
      </c>
      <c r="B1338" s="171">
        <f>ROUNDDOWN((LineærRegression_Valg[[#This Row],[Tabel ID]]-1)/$B$5,0)+1</f>
        <v>332</v>
      </c>
      <c r="C1338" s="171">
        <f t="shared" si="20"/>
        <v>4</v>
      </c>
      <c r="D1338" s="171" t="b">
        <f>LineærRegression_Valg[[#This Row],[Afhængig variabel ID]]&lt;&gt;LineærRegression_Valg[[#This Row],[Uafhængig variabel ID]]</f>
        <v>1</v>
      </c>
      <c r="E1338" t="b">
        <f>LineærRegression_Valg[[#This Row],[Afhængig variabel ID]]&lt;=$B$5</f>
        <v>0</v>
      </c>
      <c r="F1338" t="str" cm="1">
        <f t="array" ref="F1338">IF(LineærRegression_Valg[[#This Row],[Indenfor range]],INDEX(DataTitel_liste,LineærRegression_Valg[[#This Row],[Afhængig variabel ID]]),INDEX(DataTitel_liste,1))</f>
        <v>Eksempel 1 (interval)</v>
      </c>
      <c r="G1338" s="171" t="str" cm="1">
        <f t="array" ref="G1338">IF(LineærRegression_Valg[[#This Row],[Indenfor range]],IF(LineærRegression_Valg[[#This Row],[Intet overlap]],INDEX(DataTitel_liste,LineærRegression_Valg[[#This Row],[Uafhængig variabel ID]]),INDEX(DataTitel_liste,IF(LineærRegression_Valg[[#This Row],[Afhængig variabel ID]]=1,2,1))),$B$7)</f>
        <v>Eksempel 2 (interval)</v>
      </c>
      <c r="H1338" s="171">
        <f>_xlfn.AGGREGATE(2,5,LineærRegression_Valg[[#This Row],[Tabel ID]])</f>
        <v>1</v>
      </c>
    </row>
    <row r="1339" spans="1:8" x14ac:dyDescent="0.2">
      <c r="A1339">
        <f>ROW(LineærRegression_Valg[[#This Row],[Tabel ID]])-ROW(LineærRegression_Valg[[#Headers],[Tabel ID]])</f>
        <v>1329</v>
      </c>
      <c r="B1339" s="171">
        <f>ROUNDDOWN((LineærRegression_Valg[[#This Row],[Tabel ID]]-1)/$B$5,0)+1</f>
        <v>333</v>
      </c>
      <c r="C1339" s="171">
        <f t="shared" si="20"/>
        <v>1</v>
      </c>
      <c r="D1339" s="171" t="b">
        <f>LineærRegression_Valg[[#This Row],[Afhængig variabel ID]]&lt;&gt;LineærRegression_Valg[[#This Row],[Uafhængig variabel ID]]</f>
        <v>1</v>
      </c>
      <c r="E1339" t="b">
        <f>LineærRegression_Valg[[#This Row],[Afhængig variabel ID]]&lt;=$B$5</f>
        <v>0</v>
      </c>
      <c r="F1339" t="str" cm="1">
        <f t="array" ref="F1339">IF(LineærRegression_Valg[[#This Row],[Indenfor range]],INDEX(DataTitel_liste,LineærRegression_Valg[[#This Row],[Afhængig variabel ID]]),INDEX(DataTitel_liste,1))</f>
        <v>Eksempel 1 (interval)</v>
      </c>
      <c r="G1339" s="171" t="str" cm="1">
        <f t="array" ref="G1339">IF(LineærRegression_Valg[[#This Row],[Indenfor range]],IF(LineærRegression_Valg[[#This Row],[Intet overlap]],INDEX(DataTitel_liste,LineærRegression_Valg[[#This Row],[Uafhængig variabel ID]]),INDEX(DataTitel_liste,IF(LineærRegression_Valg[[#This Row],[Afhængig variabel ID]]=1,2,1))),$B$7)</f>
        <v>Eksempel 2 (interval)</v>
      </c>
      <c r="H1339" s="171">
        <f>_xlfn.AGGREGATE(2,5,LineærRegression_Valg[[#This Row],[Tabel ID]])</f>
        <v>1</v>
      </c>
    </row>
    <row r="1340" spans="1:8" x14ac:dyDescent="0.2">
      <c r="A1340">
        <f>ROW(LineærRegression_Valg[[#This Row],[Tabel ID]])-ROW(LineærRegression_Valg[[#Headers],[Tabel ID]])</f>
        <v>1330</v>
      </c>
      <c r="B1340" s="171">
        <f>ROUNDDOWN((LineærRegression_Valg[[#This Row],[Tabel ID]]-1)/$B$5,0)+1</f>
        <v>333</v>
      </c>
      <c r="C1340" s="171">
        <f t="shared" si="20"/>
        <v>2</v>
      </c>
      <c r="D1340" s="171" t="b">
        <f>LineærRegression_Valg[[#This Row],[Afhængig variabel ID]]&lt;&gt;LineærRegression_Valg[[#This Row],[Uafhængig variabel ID]]</f>
        <v>1</v>
      </c>
      <c r="E1340" t="b">
        <f>LineærRegression_Valg[[#This Row],[Afhængig variabel ID]]&lt;=$B$5</f>
        <v>0</v>
      </c>
      <c r="F1340" t="str" cm="1">
        <f t="array" ref="F1340">IF(LineærRegression_Valg[[#This Row],[Indenfor range]],INDEX(DataTitel_liste,LineærRegression_Valg[[#This Row],[Afhængig variabel ID]]),INDEX(DataTitel_liste,1))</f>
        <v>Eksempel 1 (interval)</v>
      </c>
      <c r="G1340" s="171" t="str" cm="1">
        <f t="array" ref="G1340">IF(LineærRegression_Valg[[#This Row],[Indenfor range]],IF(LineærRegression_Valg[[#This Row],[Intet overlap]],INDEX(DataTitel_liste,LineærRegression_Valg[[#This Row],[Uafhængig variabel ID]]),INDEX(DataTitel_liste,IF(LineærRegression_Valg[[#This Row],[Afhængig variabel ID]]=1,2,1))),$B$7)</f>
        <v>Eksempel 2 (interval)</v>
      </c>
      <c r="H1340" s="171">
        <f>_xlfn.AGGREGATE(2,5,LineærRegression_Valg[[#This Row],[Tabel ID]])</f>
        <v>1</v>
      </c>
    </row>
    <row r="1341" spans="1:8" x14ac:dyDescent="0.2">
      <c r="A1341">
        <f>ROW(LineærRegression_Valg[[#This Row],[Tabel ID]])-ROW(LineærRegression_Valg[[#Headers],[Tabel ID]])</f>
        <v>1331</v>
      </c>
      <c r="B1341" s="171">
        <f>ROUNDDOWN((LineærRegression_Valg[[#This Row],[Tabel ID]]-1)/$B$5,0)+1</f>
        <v>333</v>
      </c>
      <c r="C1341" s="171">
        <f t="shared" si="20"/>
        <v>3</v>
      </c>
      <c r="D1341" s="171" t="b">
        <f>LineærRegression_Valg[[#This Row],[Afhængig variabel ID]]&lt;&gt;LineærRegression_Valg[[#This Row],[Uafhængig variabel ID]]</f>
        <v>1</v>
      </c>
      <c r="E1341" t="b">
        <f>LineærRegression_Valg[[#This Row],[Afhængig variabel ID]]&lt;=$B$5</f>
        <v>0</v>
      </c>
      <c r="F1341" t="str" cm="1">
        <f t="array" ref="F1341">IF(LineærRegression_Valg[[#This Row],[Indenfor range]],INDEX(DataTitel_liste,LineærRegression_Valg[[#This Row],[Afhængig variabel ID]]),INDEX(DataTitel_liste,1))</f>
        <v>Eksempel 1 (interval)</v>
      </c>
      <c r="G1341" s="171" t="str" cm="1">
        <f t="array" ref="G1341">IF(LineærRegression_Valg[[#This Row],[Indenfor range]],IF(LineærRegression_Valg[[#This Row],[Intet overlap]],INDEX(DataTitel_liste,LineærRegression_Valg[[#This Row],[Uafhængig variabel ID]]),INDEX(DataTitel_liste,IF(LineærRegression_Valg[[#This Row],[Afhængig variabel ID]]=1,2,1))),$B$7)</f>
        <v>Eksempel 2 (interval)</v>
      </c>
      <c r="H1341" s="171">
        <f>_xlfn.AGGREGATE(2,5,LineærRegression_Valg[[#This Row],[Tabel ID]])</f>
        <v>1</v>
      </c>
    </row>
    <row r="1342" spans="1:8" x14ac:dyDescent="0.2">
      <c r="A1342">
        <f>ROW(LineærRegression_Valg[[#This Row],[Tabel ID]])-ROW(LineærRegression_Valg[[#Headers],[Tabel ID]])</f>
        <v>1332</v>
      </c>
      <c r="B1342" s="171">
        <f>ROUNDDOWN((LineærRegression_Valg[[#This Row],[Tabel ID]]-1)/$B$5,0)+1</f>
        <v>333</v>
      </c>
      <c r="C1342" s="171">
        <f t="shared" si="20"/>
        <v>4</v>
      </c>
      <c r="D1342" s="171" t="b">
        <f>LineærRegression_Valg[[#This Row],[Afhængig variabel ID]]&lt;&gt;LineærRegression_Valg[[#This Row],[Uafhængig variabel ID]]</f>
        <v>1</v>
      </c>
      <c r="E1342" t="b">
        <f>LineærRegression_Valg[[#This Row],[Afhængig variabel ID]]&lt;=$B$5</f>
        <v>0</v>
      </c>
      <c r="F1342" t="str" cm="1">
        <f t="array" ref="F1342">IF(LineærRegression_Valg[[#This Row],[Indenfor range]],INDEX(DataTitel_liste,LineærRegression_Valg[[#This Row],[Afhængig variabel ID]]),INDEX(DataTitel_liste,1))</f>
        <v>Eksempel 1 (interval)</v>
      </c>
      <c r="G1342" s="171" t="str" cm="1">
        <f t="array" ref="G1342">IF(LineærRegression_Valg[[#This Row],[Indenfor range]],IF(LineærRegression_Valg[[#This Row],[Intet overlap]],INDEX(DataTitel_liste,LineærRegression_Valg[[#This Row],[Uafhængig variabel ID]]),INDEX(DataTitel_liste,IF(LineærRegression_Valg[[#This Row],[Afhængig variabel ID]]=1,2,1))),$B$7)</f>
        <v>Eksempel 2 (interval)</v>
      </c>
      <c r="H1342" s="171">
        <f>_xlfn.AGGREGATE(2,5,LineærRegression_Valg[[#This Row],[Tabel ID]])</f>
        <v>1</v>
      </c>
    </row>
    <row r="1343" spans="1:8" x14ac:dyDescent="0.2">
      <c r="A1343">
        <f>ROW(LineærRegression_Valg[[#This Row],[Tabel ID]])-ROW(LineærRegression_Valg[[#Headers],[Tabel ID]])</f>
        <v>1333</v>
      </c>
      <c r="B1343" s="171">
        <f>ROUNDDOWN((LineærRegression_Valg[[#This Row],[Tabel ID]]-1)/$B$5,0)+1</f>
        <v>334</v>
      </c>
      <c r="C1343" s="171">
        <f t="shared" si="20"/>
        <v>1</v>
      </c>
      <c r="D1343" s="171" t="b">
        <f>LineærRegression_Valg[[#This Row],[Afhængig variabel ID]]&lt;&gt;LineærRegression_Valg[[#This Row],[Uafhængig variabel ID]]</f>
        <v>1</v>
      </c>
      <c r="E1343" t="b">
        <f>LineærRegression_Valg[[#This Row],[Afhængig variabel ID]]&lt;=$B$5</f>
        <v>0</v>
      </c>
      <c r="F1343" t="str" cm="1">
        <f t="array" ref="F1343">IF(LineærRegression_Valg[[#This Row],[Indenfor range]],INDEX(DataTitel_liste,LineærRegression_Valg[[#This Row],[Afhængig variabel ID]]),INDEX(DataTitel_liste,1))</f>
        <v>Eksempel 1 (interval)</v>
      </c>
      <c r="G1343" s="171" t="str" cm="1">
        <f t="array" ref="G1343">IF(LineærRegression_Valg[[#This Row],[Indenfor range]],IF(LineærRegression_Valg[[#This Row],[Intet overlap]],INDEX(DataTitel_liste,LineærRegression_Valg[[#This Row],[Uafhængig variabel ID]]),INDEX(DataTitel_liste,IF(LineærRegression_Valg[[#This Row],[Afhængig variabel ID]]=1,2,1))),$B$7)</f>
        <v>Eksempel 2 (interval)</v>
      </c>
      <c r="H1343" s="171">
        <f>_xlfn.AGGREGATE(2,5,LineærRegression_Valg[[#This Row],[Tabel ID]])</f>
        <v>1</v>
      </c>
    </row>
    <row r="1344" spans="1:8" x14ac:dyDescent="0.2">
      <c r="A1344">
        <f>ROW(LineærRegression_Valg[[#This Row],[Tabel ID]])-ROW(LineærRegression_Valg[[#Headers],[Tabel ID]])</f>
        <v>1334</v>
      </c>
      <c r="B1344" s="171">
        <f>ROUNDDOWN((LineærRegression_Valg[[#This Row],[Tabel ID]]-1)/$B$5,0)+1</f>
        <v>334</v>
      </c>
      <c r="C1344" s="171">
        <f t="shared" si="20"/>
        <v>2</v>
      </c>
      <c r="D1344" s="171" t="b">
        <f>LineærRegression_Valg[[#This Row],[Afhængig variabel ID]]&lt;&gt;LineærRegression_Valg[[#This Row],[Uafhængig variabel ID]]</f>
        <v>1</v>
      </c>
      <c r="E1344" t="b">
        <f>LineærRegression_Valg[[#This Row],[Afhængig variabel ID]]&lt;=$B$5</f>
        <v>0</v>
      </c>
      <c r="F1344" t="str" cm="1">
        <f t="array" ref="F1344">IF(LineærRegression_Valg[[#This Row],[Indenfor range]],INDEX(DataTitel_liste,LineærRegression_Valg[[#This Row],[Afhængig variabel ID]]),INDEX(DataTitel_liste,1))</f>
        <v>Eksempel 1 (interval)</v>
      </c>
      <c r="G1344" s="171" t="str" cm="1">
        <f t="array" ref="G1344">IF(LineærRegression_Valg[[#This Row],[Indenfor range]],IF(LineærRegression_Valg[[#This Row],[Intet overlap]],INDEX(DataTitel_liste,LineærRegression_Valg[[#This Row],[Uafhængig variabel ID]]),INDEX(DataTitel_liste,IF(LineærRegression_Valg[[#This Row],[Afhængig variabel ID]]=1,2,1))),$B$7)</f>
        <v>Eksempel 2 (interval)</v>
      </c>
      <c r="H1344" s="171">
        <f>_xlfn.AGGREGATE(2,5,LineærRegression_Valg[[#This Row],[Tabel ID]])</f>
        <v>1</v>
      </c>
    </row>
    <row r="1345" spans="1:8" x14ac:dyDescent="0.2">
      <c r="A1345">
        <f>ROW(LineærRegression_Valg[[#This Row],[Tabel ID]])-ROW(LineærRegression_Valg[[#Headers],[Tabel ID]])</f>
        <v>1335</v>
      </c>
      <c r="B1345" s="171">
        <f>ROUNDDOWN((LineærRegression_Valg[[#This Row],[Tabel ID]]-1)/$B$5,0)+1</f>
        <v>334</v>
      </c>
      <c r="C1345" s="171">
        <f t="shared" si="20"/>
        <v>3</v>
      </c>
      <c r="D1345" s="171" t="b">
        <f>LineærRegression_Valg[[#This Row],[Afhængig variabel ID]]&lt;&gt;LineærRegression_Valg[[#This Row],[Uafhængig variabel ID]]</f>
        <v>1</v>
      </c>
      <c r="E1345" t="b">
        <f>LineærRegression_Valg[[#This Row],[Afhængig variabel ID]]&lt;=$B$5</f>
        <v>0</v>
      </c>
      <c r="F1345" t="str" cm="1">
        <f t="array" ref="F1345">IF(LineærRegression_Valg[[#This Row],[Indenfor range]],INDEX(DataTitel_liste,LineærRegression_Valg[[#This Row],[Afhængig variabel ID]]),INDEX(DataTitel_liste,1))</f>
        <v>Eksempel 1 (interval)</v>
      </c>
      <c r="G1345" s="171" t="str" cm="1">
        <f t="array" ref="G1345">IF(LineærRegression_Valg[[#This Row],[Indenfor range]],IF(LineærRegression_Valg[[#This Row],[Intet overlap]],INDEX(DataTitel_liste,LineærRegression_Valg[[#This Row],[Uafhængig variabel ID]]),INDEX(DataTitel_liste,IF(LineærRegression_Valg[[#This Row],[Afhængig variabel ID]]=1,2,1))),$B$7)</f>
        <v>Eksempel 2 (interval)</v>
      </c>
      <c r="H1345" s="171">
        <f>_xlfn.AGGREGATE(2,5,LineærRegression_Valg[[#This Row],[Tabel ID]])</f>
        <v>1</v>
      </c>
    </row>
    <row r="1346" spans="1:8" x14ac:dyDescent="0.2">
      <c r="A1346">
        <f>ROW(LineærRegression_Valg[[#This Row],[Tabel ID]])-ROW(LineærRegression_Valg[[#Headers],[Tabel ID]])</f>
        <v>1336</v>
      </c>
      <c r="B1346" s="171">
        <f>ROUNDDOWN((LineærRegression_Valg[[#This Row],[Tabel ID]]-1)/$B$5,0)+1</f>
        <v>334</v>
      </c>
      <c r="C1346" s="171">
        <f t="shared" si="20"/>
        <v>4</v>
      </c>
      <c r="D1346" s="171" t="b">
        <f>LineærRegression_Valg[[#This Row],[Afhængig variabel ID]]&lt;&gt;LineærRegression_Valg[[#This Row],[Uafhængig variabel ID]]</f>
        <v>1</v>
      </c>
      <c r="E1346" t="b">
        <f>LineærRegression_Valg[[#This Row],[Afhængig variabel ID]]&lt;=$B$5</f>
        <v>0</v>
      </c>
      <c r="F1346" t="str" cm="1">
        <f t="array" ref="F1346">IF(LineærRegression_Valg[[#This Row],[Indenfor range]],INDEX(DataTitel_liste,LineærRegression_Valg[[#This Row],[Afhængig variabel ID]]),INDEX(DataTitel_liste,1))</f>
        <v>Eksempel 1 (interval)</v>
      </c>
      <c r="G1346" s="171" t="str" cm="1">
        <f t="array" ref="G1346">IF(LineærRegression_Valg[[#This Row],[Indenfor range]],IF(LineærRegression_Valg[[#This Row],[Intet overlap]],INDEX(DataTitel_liste,LineærRegression_Valg[[#This Row],[Uafhængig variabel ID]]),INDEX(DataTitel_liste,IF(LineærRegression_Valg[[#This Row],[Afhængig variabel ID]]=1,2,1))),$B$7)</f>
        <v>Eksempel 2 (interval)</v>
      </c>
      <c r="H1346" s="171">
        <f>_xlfn.AGGREGATE(2,5,LineærRegression_Valg[[#This Row],[Tabel ID]])</f>
        <v>1</v>
      </c>
    </row>
    <row r="1347" spans="1:8" x14ac:dyDescent="0.2">
      <c r="A1347">
        <f>ROW(LineærRegression_Valg[[#This Row],[Tabel ID]])-ROW(LineærRegression_Valg[[#Headers],[Tabel ID]])</f>
        <v>1337</v>
      </c>
      <c r="B1347" s="171">
        <f>ROUNDDOWN((LineærRegression_Valg[[#This Row],[Tabel ID]]-1)/$B$5,0)+1</f>
        <v>335</v>
      </c>
      <c r="C1347" s="171">
        <f t="shared" si="20"/>
        <v>1</v>
      </c>
      <c r="D1347" s="171" t="b">
        <f>LineærRegression_Valg[[#This Row],[Afhængig variabel ID]]&lt;&gt;LineærRegression_Valg[[#This Row],[Uafhængig variabel ID]]</f>
        <v>1</v>
      </c>
      <c r="E1347" t="b">
        <f>LineærRegression_Valg[[#This Row],[Afhængig variabel ID]]&lt;=$B$5</f>
        <v>0</v>
      </c>
      <c r="F1347" t="str" cm="1">
        <f t="array" ref="F1347">IF(LineærRegression_Valg[[#This Row],[Indenfor range]],INDEX(DataTitel_liste,LineærRegression_Valg[[#This Row],[Afhængig variabel ID]]),INDEX(DataTitel_liste,1))</f>
        <v>Eksempel 1 (interval)</v>
      </c>
      <c r="G1347" s="171" t="str" cm="1">
        <f t="array" ref="G1347">IF(LineærRegression_Valg[[#This Row],[Indenfor range]],IF(LineærRegression_Valg[[#This Row],[Intet overlap]],INDEX(DataTitel_liste,LineærRegression_Valg[[#This Row],[Uafhængig variabel ID]]),INDEX(DataTitel_liste,IF(LineærRegression_Valg[[#This Row],[Afhængig variabel ID]]=1,2,1))),$B$7)</f>
        <v>Eksempel 2 (interval)</v>
      </c>
      <c r="H1347" s="171">
        <f>_xlfn.AGGREGATE(2,5,LineærRegression_Valg[[#This Row],[Tabel ID]])</f>
        <v>1</v>
      </c>
    </row>
    <row r="1348" spans="1:8" x14ac:dyDescent="0.2">
      <c r="A1348">
        <f>ROW(LineærRegression_Valg[[#This Row],[Tabel ID]])-ROW(LineærRegression_Valg[[#Headers],[Tabel ID]])</f>
        <v>1338</v>
      </c>
      <c r="B1348" s="171">
        <f>ROUNDDOWN((LineærRegression_Valg[[#This Row],[Tabel ID]]-1)/$B$5,0)+1</f>
        <v>335</v>
      </c>
      <c r="C1348" s="171">
        <f t="shared" si="20"/>
        <v>2</v>
      </c>
      <c r="D1348" s="171" t="b">
        <f>LineærRegression_Valg[[#This Row],[Afhængig variabel ID]]&lt;&gt;LineærRegression_Valg[[#This Row],[Uafhængig variabel ID]]</f>
        <v>1</v>
      </c>
      <c r="E1348" t="b">
        <f>LineærRegression_Valg[[#This Row],[Afhængig variabel ID]]&lt;=$B$5</f>
        <v>0</v>
      </c>
      <c r="F1348" t="str" cm="1">
        <f t="array" ref="F1348">IF(LineærRegression_Valg[[#This Row],[Indenfor range]],INDEX(DataTitel_liste,LineærRegression_Valg[[#This Row],[Afhængig variabel ID]]),INDEX(DataTitel_liste,1))</f>
        <v>Eksempel 1 (interval)</v>
      </c>
      <c r="G1348" s="171" t="str" cm="1">
        <f t="array" ref="G1348">IF(LineærRegression_Valg[[#This Row],[Indenfor range]],IF(LineærRegression_Valg[[#This Row],[Intet overlap]],INDEX(DataTitel_liste,LineærRegression_Valg[[#This Row],[Uafhængig variabel ID]]),INDEX(DataTitel_liste,IF(LineærRegression_Valg[[#This Row],[Afhængig variabel ID]]=1,2,1))),$B$7)</f>
        <v>Eksempel 2 (interval)</v>
      </c>
      <c r="H1348" s="171">
        <f>_xlfn.AGGREGATE(2,5,LineærRegression_Valg[[#This Row],[Tabel ID]])</f>
        <v>1</v>
      </c>
    </row>
    <row r="1349" spans="1:8" x14ac:dyDescent="0.2">
      <c r="A1349">
        <f>ROW(LineærRegression_Valg[[#This Row],[Tabel ID]])-ROW(LineærRegression_Valg[[#Headers],[Tabel ID]])</f>
        <v>1339</v>
      </c>
      <c r="B1349" s="171">
        <f>ROUNDDOWN((LineærRegression_Valg[[#This Row],[Tabel ID]]-1)/$B$5,0)+1</f>
        <v>335</v>
      </c>
      <c r="C1349" s="171">
        <f t="shared" si="20"/>
        <v>3</v>
      </c>
      <c r="D1349" s="171" t="b">
        <f>LineærRegression_Valg[[#This Row],[Afhængig variabel ID]]&lt;&gt;LineærRegression_Valg[[#This Row],[Uafhængig variabel ID]]</f>
        <v>1</v>
      </c>
      <c r="E1349" t="b">
        <f>LineærRegression_Valg[[#This Row],[Afhængig variabel ID]]&lt;=$B$5</f>
        <v>0</v>
      </c>
      <c r="F1349" t="str" cm="1">
        <f t="array" ref="F1349">IF(LineærRegression_Valg[[#This Row],[Indenfor range]],INDEX(DataTitel_liste,LineærRegression_Valg[[#This Row],[Afhængig variabel ID]]),INDEX(DataTitel_liste,1))</f>
        <v>Eksempel 1 (interval)</v>
      </c>
      <c r="G1349" s="171" t="str" cm="1">
        <f t="array" ref="G1349">IF(LineærRegression_Valg[[#This Row],[Indenfor range]],IF(LineærRegression_Valg[[#This Row],[Intet overlap]],INDEX(DataTitel_liste,LineærRegression_Valg[[#This Row],[Uafhængig variabel ID]]),INDEX(DataTitel_liste,IF(LineærRegression_Valg[[#This Row],[Afhængig variabel ID]]=1,2,1))),$B$7)</f>
        <v>Eksempel 2 (interval)</v>
      </c>
      <c r="H1349" s="171">
        <f>_xlfn.AGGREGATE(2,5,LineærRegression_Valg[[#This Row],[Tabel ID]])</f>
        <v>1</v>
      </c>
    </row>
    <row r="1350" spans="1:8" x14ac:dyDescent="0.2">
      <c r="A1350">
        <f>ROW(LineærRegression_Valg[[#This Row],[Tabel ID]])-ROW(LineærRegression_Valg[[#Headers],[Tabel ID]])</f>
        <v>1340</v>
      </c>
      <c r="B1350" s="171">
        <f>ROUNDDOWN((LineærRegression_Valg[[#This Row],[Tabel ID]]-1)/$B$5,0)+1</f>
        <v>335</v>
      </c>
      <c r="C1350" s="171">
        <f t="shared" si="20"/>
        <v>4</v>
      </c>
      <c r="D1350" s="171" t="b">
        <f>LineærRegression_Valg[[#This Row],[Afhængig variabel ID]]&lt;&gt;LineærRegression_Valg[[#This Row],[Uafhængig variabel ID]]</f>
        <v>1</v>
      </c>
      <c r="E1350" t="b">
        <f>LineærRegression_Valg[[#This Row],[Afhængig variabel ID]]&lt;=$B$5</f>
        <v>0</v>
      </c>
      <c r="F1350" t="str" cm="1">
        <f t="array" ref="F1350">IF(LineærRegression_Valg[[#This Row],[Indenfor range]],INDEX(DataTitel_liste,LineærRegression_Valg[[#This Row],[Afhængig variabel ID]]),INDEX(DataTitel_liste,1))</f>
        <v>Eksempel 1 (interval)</v>
      </c>
      <c r="G1350" s="171" t="str" cm="1">
        <f t="array" ref="G1350">IF(LineærRegression_Valg[[#This Row],[Indenfor range]],IF(LineærRegression_Valg[[#This Row],[Intet overlap]],INDEX(DataTitel_liste,LineærRegression_Valg[[#This Row],[Uafhængig variabel ID]]),INDEX(DataTitel_liste,IF(LineærRegression_Valg[[#This Row],[Afhængig variabel ID]]=1,2,1))),$B$7)</f>
        <v>Eksempel 2 (interval)</v>
      </c>
      <c r="H1350" s="171">
        <f>_xlfn.AGGREGATE(2,5,LineærRegression_Valg[[#This Row],[Tabel ID]])</f>
        <v>1</v>
      </c>
    </row>
    <row r="1351" spans="1:8" x14ac:dyDescent="0.2">
      <c r="A1351">
        <f>ROW(LineærRegression_Valg[[#This Row],[Tabel ID]])-ROW(LineærRegression_Valg[[#Headers],[Tabel ID]])</f>
        <v>1341</v>
      </c>
      <c r="B1351" s="171">
        <f>ROUNDDOWN((LineærRegression_Valg[[#This Row],[Tabel ID]]-1)/$B$5,0)+1</f>
        <v>336</v>
      </c>
      <c r="C1351" s="171">
        <f t="shared" si="20"/>
        <v>1</v>
      </c>
      <c r="D1351" s="171" t="b">
        <f>LineærRegression_Valg[[#This Row],[Afhængig variabel ID]]&lt;&gt;LineærRegression_Valg[[#This Row],[Uafhængig variabel ID]]</f>
        <v>1</v>
      </c>
      <c r="E1351" t="b">
        <f>LineærRegression_Valg[[#This Row],[Afhængig variabel ID]]&lt;=$B$5</f>
        <v>0</v>
      </c>
      <c r="F1351" t="str" cm="1">
        <f t="array" ref="F1351">IF(LineærRegression_Valg[[#This Row],[Indenfor range]],INDEX(DataTitel_liste,LineærRegression_Valg[[#This Row],[Afhængig variabel ID]]),INDEX(DataTitel_liste,1))</f>
        <v>Eksempel 1 (interval)</v>
      </c>
      <c r="G1351" s="171" t="str" cm="1">
        <f t="array" ref="G1351">IF(LineærRegression_Valg[[#This Row],[Indenfor range]],IF(LineærRegression_Valg[[#This Row],[Intet overlap]],INDEX(DataTitel_liste,LineærRegression_Valg[[#This Row],[Uafhængig variabel ID]]),INDEX(DataTitel_liste,IF(LineærRegression_Valg[[#This Row],[Afhængig variabel ID]]=1,2,1))),$B$7)</f>
        <v>Eksempel 2 (interval)</v>
      </c>
      <c r="H1351" s="171">
        <f>_xlfn.AGGREGATE(2,5,LineærRegression_Valg[[#This Row],[Tabel ID]])</f>
        <v>1</v>
      </c>
    </row>
    <row r="1352" spans="1:8" x14ac:dyDescent="0.2">
      <c r="A1352">
        <f>ROW(LineærRegression_Valg[[#This Row],[Tabel ID]])-ROW(LineærRegression_Valg[[#Headers],[Tabel ID]])</f>
        <v>1342</v>
      </c>
      <c r="B1352" s="171">
        <f>ROUNDDOWN((LineærRegression_Valg[[#This Row],[Tabel ID]]-1)/$B$5,0)+1</f>
        <v>336</v>
      </c>
      <c r="C1352" s="171">
        <f t="shared" si="20"/>
        <v>2</v>
      </c>
      <c r="D1352" s="171" t="b">
        <f>LineærRegression_Valg[[#This Row],[Afhængig variabel ID]]&lt;&gt;LineærRegression_Valg[[#This Row],[Uafhængig variabel ID]]</f>
        <v>1</v>
      </c>
      <c r="E1352" t="b">
        <f>LineærRegression_Valg[[#This Row],[Afhængig variabel ID]]&lt;=$B$5</f>
        <v>0</v>
      </c>
      <c r="F1352" t="str" cm="1">
        <f t="array" ref="F1352">IF(LineærRegression_Valg[[#This Row],[Indenfor range]],INDEX(DataTitel_liste,LineærRegression_Valg[[#This Row],[Afhængig variabel ID]]),INDEX(DataTitel_liste,1))</f>
        <v>Eksempel 1 (interval)</v>
      </c>
      <c r="G1352" s="171" t="str" cm="1">
        <f t="array" ref="G1352">IF(LineærRegression_Valg[[#This Row],[Indenfor range]],IF(LineærRegression_Valg[[#This Row],[Intet overlap]],INDEX(DataTitel_liste,LineærRegression_Valg[[#This Row],[Uafhængig variabel ID]]),INDEX(DataTitel_liste,IF(LineærRegression_Valg[[#This Row],[Afhængig variabel ID]]=1,2,1))),$B$7)</f>
        <v>Eksempel 2 (interval)</v>
      </c>
      <c r="H1352" s="171">
        <f>_xlfn.AGGREGATE(2,5,LineærRegression_Valg[[#This Row],[Tabel ID]])</f>
        <v>1</v>
      </c>
    </row>
    <row r="1353" spans="1:8" x14ac:dyDescent="0.2">
      <c r="A1353">
        <f>ROW(LineærRegression_Valg[[#This Row],[Tabel ID]])-ROW(LineærRegression_Valg[[#Headers],[Tabel ID]])</f>
        <v>1343</v>
      </c>
      <c r="B1353" s="171">
        <f>ROUNDDOWN((LineærRegression_Valg[[#This Row],[Tabel ID]]-1)/$B$5,0)+1</f>
        <v>336</v>
      </c>
      <c r="C1353" s="171">
        <f t="shared" si="20"/>
        <v>3</v>
      </c>
      <c r="D1353" s="171" t="b">
        <f>LineærRegression_Valg[[#This Row],[Afhængig variabel ID]]&lt;&gt;LineærRegression_Valg[[#This Row],[Uafhængig variabel ID]]</f>
        <v>1</v>
      </c>
      <c r="E1353" t="b">
        <f>LineærRegression_Valg[[#This Row],[Afhængig variabel ID]]&lt;=$B$5</f>
        <v>0</v>
      </c>
      <c r="F1353" t="str" cm="1">
        <f t="array" ref="F1353">IF(LineærRegression_Valg[[#This Row],[Indenfor range]],INDEX(DataTitel_liste,LineærRegression_Valg[[#This Row],[Afhængig variabel ID]]),INDEX(DataTitel_liste,1))</f>
        <v>Eksempel 1 (interval)</v>
      </c>
      <c r="G1353" s="171" t="str" cm="1">
        <f t="array" ref="G1353">IF(LineærRegression_Valg[[#This Row],[Indenfor range]],IF(LineærRegression_Valg[[#This Row],[Intet overlap]],INDEX(DataTitel_liste,LineærRegression_Valg[[#This Row],[Uafhængig variabel ID]]),INDEX(DataTitel_liste,IF(LineærRegression_Valg[[#This Row],[Afhængig variabel ID]]=1,2,1))),$B$7)</f>
        <v>Eksempel 2 (interval)</v>
      </c>
      <c r="H1353" s="171">
        <f>_xlfn.AGGREGATE(2,5,LineærRegression_Valg[[#This Row],[Tabel ID]])</f>
        <v>1</v>
      </c>
    </row>
    <row r="1354" spans="1:8" x14ac:dyDescent="0.2">
      <c r="A1354">
        <f>ROW(LineærRegression_Valg[[#This Row],[Tabel ID]])-ROW(LineærRegression_Valg[[#Headers],[Tabel ID]])</f>
        <v>1344</v>
      </c>
      <c r="B1354" s="171">
        <f>ROUNDDOWN((LineærRegression_Valg[[#This Row],[Tabel ID]]-1)/$B$5,0)+1</f>
        <v>336</v>
      </c>
      <c r="C1354" s="171">
        <f t="shared" si="20"/>
        <v>4</v>
      </c>
      <c r="D1354" s="171" t="b">
        <f>LineærRegression_Valg[[#This Row],[Afhængig variabel ID]]&lt;&gt;LineærRegression_Valg[[#This Row],[Uafhængig variabel ID]]</f>
        <v>1</v>
      </c>
      <c r="E1354" t="b">
        <f>LineærRegression_Valg[[#This Row],[Afhængig variabel ID]]&lt;=$B$5</f>
        <v>0</v>
      </c>
      <c r="F1354" t="str" cm="1">
        <f t="array" ref="F1354">IF(LineærRegression_Valg[[#This Row],[Indenfor range]],INDEX(DataTitel_liste,LineærRegression_Valg[[#This Row],[Afhængig variabel ID]]),INDEX(DataTitel_liste,1))</f>
        <v>Eksempel 1 (interval)</v>
      </c>
      <c r="G1354" s="171" t="str" cm="1">
        <f t="array" ref="G1354">IF(LineærRegression_Valg[[#This Row],[Indenfor range]],IF(LineærRegression_Valg[[#This Row],[Intet overlap]],INDEX(DataTitel_liste,LineærRegression_Valg[[#This Row],[Uafhængig variabel ID]]),INDEX(DataTitel_liste,IF(LineærRegression_Valg[[#This Row],[Afhængig variabel ID]]=1,2,1))),$B$7)</f>
        <v>Eksempel 2 (interval)</v>
      </c>
      <c r="H1354" s="171">
        <f>_xlfn.AGGREGATE(2,5,LineærRegression_Valg[[#This Row],[Tabel ID]])</f>
        <v>1</v>
      </c>
    </row>
    <row r="1355" spans="1:8" x14ac:dyDescent="0.2">
      <c r="A1355">
        <f>ROW(LineærRegression_Valg[[#This Row],[Tabel ID]])-ROW(LineærRegression_Valg[[#Headers],[Tabel ID]])</f>
        <v>1345</v>
      </c>
      <c r="B1355" s="171">
        <f>ROUNDDOWN((LineærRegression_Valg[[#This Row],[Tabel ID]]-1)/$B$5,0)+1</f>
        <v>337</v>
      </c>
      <c r="C1355" s="171">
        <f t="shared" ref="C1355:C1418" si="21">MOD(A1355-1,$B$5)+1</f>
        <v>1</v>
      </c>
      <c r="D1355" s="171" t="b">
        <f>LineærRegression_Valg[[#This Row],[Afhængig variabel ID]]&lt;&gt;LineærRegression_Valg[[#This Row],[Uafhængig variabel ID]]</f>
        <v>1</v>
      </c>
      <c r="E1355" t="b">
        <f>LineærRegression_Valg[[#This Row],[Afhængig variabel ID]]&lt;=$B$5</f>
        <v>0</v>
      </c>
      <c r="F1355" t="str" cm="1">
        <f t="array" ref="F1355">IF(LineærRegression_Valg[[#This Row],[Indenfor range]],INDEX(DataTitel_liste,LineærRegression_Valg[[#This Row],[Afhængig variabel ID]]),INDEX(DataTitel_liste,1))</f>
        <v>Eksempel 1 (interval)</v>
      </c>
      <c r="G1355" s="171" t="str" cm="1">
        <f t="array" ref="G1355">IF(LineærRegression_Valg[[#This Row],[Indenfor range]],IF(LineærRegression_Valg[[#This Row],[Intet overlap]],INDEX(DataTitel_liste,LineærRegression_Valg[[#This Row],[Uafhængig variabel ID]]),INDEX(DataTitel_liste,IF(LineærRegression_Valg[[#This Row],[Afhængig variabel ID]]=1,2,1))),$B$7)</f>
        <v>Eksempel 2 (interval)</v>
      </c>
      <c r="H1355" s="171">
        <f>_xlfn.AGGREGATE(2,5,LineærRegression_Valg[[#This Row],[Tabel ID]])</f>
        <v>1</v>
      </c>
    </row>
    <row r="1356" spans="1:8" x14ac:dyDescent="0.2">
      <c r="A1356">
        <f>ROW(LineærRegression_Valg[[#This Row],[Tabel ID]])-ROW(LineærRegression_Valg[[#Headers],[Tabel ID]])</f>
        <v>1346</v>
      </c>
      <c r="B1356" s="171">
        <f>ROUNDDOWN((LineærRegression_Valg[[#This Row],[Tabel ID]]-1)/$B$5,0)+1</f>
        <v>337</v>
      </c>
      <c r="C1356" s="171">
        <f t="shared" si="21"/>
        <v>2</v>
      </c>
      <c r="D1356" s="171" t="b">
        <f>LineærRegression_Valg[[#This Row],[Afhængig variabel ID]]&lt;&gt;LineærRegression_Valg[[#This Row],[Uafhængig variabel ID]]</f>
        <v>1</v>
      </c>
      <c r="E1356" t="b">
        <f>LineærRegression_Valg[[#This Row],[Afhængig variabel ID]]&lt;=$B$5</f>
        <v>0</v>
      </c>
      <c r="F1356" t="str" cm="1">
        <f t="array" ref="F1356">IF(LineærRegression_Valg[[#This Row],[Indenfor range]],INDEX(DataTitel_liste,LineærRegression_Valg[[#This Row],[Afhængig variabel ID]]),INDEX(DataTitel_liste,1))</f>
        <v>Eksempel 1 (interval)</v>
      </c>
      <c r="G1356" s="171" t="str" cm="1">
        <f t="array" ref="G1356">IF(LineærRegression_Valg[[#This Row],[Indenfor range]],IF(LineærRegression_Valg[[#This Row],[Intet overlap]],INDEX(DataTitel_liste,LineærRegression_Valg[[#This Row],[Uafhængig variabel ID]]),INDEX(DataTitel_liste,IF(LineærRegression_Valg[[#This Row],[Afhængig variabel ID]]=1,2,1))),$B$7)</f>
        <v>Eksempel 2 (interval)</v>
      </c>
      <c r="H1356" s="171">
        <f>_xlfn.AGGREGATE(2,5,LineærRegression_Valg[[#This Row],[Tabel ID]])</f>
        <v>1</v>
      </c>
    </row>
    <row r="1357" spans="1:8" x14ac:dyDescent="0.2">
      <c r="A1357">
        <f>ROW(LineærRegression_Valg[[#This Row],[Tabel ID]])-ROW(LineærRegression_Valg[[#Headers],[Tabel ID]])</f>
        <v>1347</v>
      </c>
      <c r="B1357" s="171">
        <f>ROUNDDOWN((LineærRegression_Valg[[#This Row],[Tabel ID]]-1)/$B$5,0)+1</f>
        <v>337</v>
      </c>
      <c r="C1357" s="171">
        <f t="shared" si="21"/>
        <v>3</v>
      </c>
      <c r="D1357" s="171" t="b">
        <f>LineærRegression_Valg[[#This Row],[Afhængig variabel ID]]&lt;&gt;LineærRegression_Valg[[#This Row],[Uafhængig variabel ID]]</f>
        <v>1</v>
      </c>
      <c r="E1357" t="b">
        <f>LineærRegression_Valg[[#This Row],[Afhængig variabel ID]]&lt;=$B$5</f>
        <v>0</v>
      </c>
      <c r="F1357" t="str" cm="1">
        <f t="array" ref="F1357">IF(LineærRegression_Valg[[#This Row],[Indenfor range]],INDEX(DataTitel_liste,LineærRegression_Valg[[#This Row],[Afhængig variabel ID]]),INDEX(DataTitel_liste,1))</f>
        <v>Eksempel 1 (interval)</v>
      </c>
      <c r="G1357" s="171" t="str" cm="1">
        <f t="array" ref="G1357">IF(LineærRegression_Valg[[#This Row],[Indenfor range]],IF(LineærRegression_Valg[[#This Row],[Intet overlap]],INDEX(DataTitel_liste,LineærRegression_Valg[[#This Row],[Uafhængig variabel ID]]),INDEX(DataTitel_liste,IF(LineærRegression_Valg[[#This Row],[Afhængig variabel ID]]=1,2,1))),$B$7)</f>
        <v>Eksempel 2 (interval)</v>
      </c>
      <c r="H1357" s="171">
        <f>_xlfn.AGGREGATE(2,5,LineærRegression_Valg[[#This Row],[Tabel ID]])</f>
        <v>1</v>
      </c>
    </row>
    <row r="1358" spans="1:8" x14ac:dyDescent="0.2">
      <c r="A1358">
        <f>ROW(LineærRegression_Valg[[#This Row],[Tabel ID]])-ROW(LineærRegression_Valg[[#Headers],[Tabel ID]])</f>
        <v>1348</v>
      </c>
      <c r="B1358" s="171">
        <f>ROUNDDOWN((LineærRegression_Valg[[#This Row],[Tabel ID]]-1)/$B$5,0)+1</f>
        <v>337</v>
      </c>
      <c r="C1358" s="171">
        <f t="shared" si="21"/>
        <v>4</v>
      </c>
      <c r="D1358" s="171" t="b">
        <f>LineærRegression_Valg[[#This Row],[Afhængig variabel ID]]&lt;&gt;LineærRegression_Valg[[#This Row],[Uafhængig variabel ID]]</f>
        <v>1</v>
      </c>
      <c r="E1358" t="b">
        <f>LineærRegression_Valg[[#This Row],[Afhængig variabel ID]]&lt;=$B$5</f>
        <v>0</v>
      </c>
      <c r="F1358" t="str" cm="1">
        <f t="array" ref="F1358">IF(LineærRegression_Valg[[#This Row],[Indenfor range]],INDEX(DataTitel_liste,LineærRegression_Valg[[#This Row],[Afhængig variabel ID]]),INDEX(DataTitel_liste,1))</f>
        <v>Eksempel 1 (interval)</v>
      </c>
      <c r="G1358" s="171" t="str" cm="1">
        <f t="array" ref="G1358">IF(LineærRegression_Valg[[#This Row],[Indenfor range]],IF(LineærRegression_Valg[[#This Row],[Intet overlap]],INDEX(DataTitel_liste,LineærRegression_Valg[[#This Row],[Uafhængig variabel ID]]),INDEX(DataTitel_liste,IF(LineærRegression_Valg[[#This Row],[Afhængig variabel ID]]=1,2,1))),$B$7)</f>
        <v>Eksempel 2 (interval)</v>
      </c>
      <c r="H1358" s="171">
        <f>_xlfn.AGGREGATE(2,5,LineærRegression_Valg[[#This Row],[Tabel ID]])</f>
        <v>1</v>
      </c>
    </row>
    <row r="1359" spans="1:8" x14ac:dyDescent="0.2">
      <c r="A1359">
        <f>ROW(LineærRegression_Valg[[#This Row],[Tabel ID]])-ROW(LineærRegression_Valg[[#Headers],[Tabel ID]])</f>
        <v>1349</v>
      </c>
      <c r="B1359" s="171">
        <f>ROUNDDOWN((LineærRegression_Valg[[#This Row],[Tabel ID]]-1)/$B$5,0)+1</f>
        <v>338</v>
      </c>
      <c r="C1359" s="171">
        <f t="shared" si="21"/>
        <v>1</v>
      </c>
      <c r="D1359" s="171" t="b">
        <f>LineærRegression_Valg[[#This Row],[Afhængig variabel ID]]&lt;&gt;LineærRegression_Valg[[#This Row],[Uafhængig variabel ID]]</f>
        <v>1</v>
      </c>
      <c r="E1359" t="b">
        <f>LineærRegression_Valg[[#This Row],[Afhængig variabel ID]]&lt;=$B$5</f>
        <v>0</v>
      </c>
      <c r="F1359" t="str" cm="1">
        <f t="array" ref="F1359">IF(LineærRegression_Valg[[#This Row],[Indenfor range]],INDEX(DataTitel_liste,LineærRegression_Valg[[#This Row],[Afhængig variabel ID]]),INDEX(DataTitel_liste,1))</f>
        <v>Eksempel 1 (interval)</v>
      </c>
      <c r="G1359" s="171" t="str" cm="1">
        <f t="array" ref="G1359">IF(LineærRegression_Valg[[#This Row],[Indenfor range]],IF(LineærRegression_Valg[[#This Row],[Intet overlap]],INDEX(DataTitel_liste,LineærRegression_Valg[[#This Row],[Uafhængig variabel ID]]),INDEX(DataTitel_liste,IF(LineærRegression_Valg[[#This Row],[Afhængig variabel ID]]=1,2,1))),$B$7)</f>
        <v>Eksempel 2 (interval)</v>
      </c>
      <c r="H1359" s="171">
        <f>_xlfn.AGGREGATE(2,5,LineærRegression_Valg[[#This Row],[Tabel ID]])</f>
        <v>1</v>
      </c>
    </row>
    <row r="1360" spans="1:8" x14ac:dyDescent="0.2">
      <c r="A1360">
        <f>ROW(LineærRegression_Valg[[#This Row],[Tabel ID]])-ROW(LineærRegression_Valg[[#Headers],[Tabel ID]])</f>
        <v>1350</v>
      </c>
      <c r="B1360" s="171">
        <f>ROUNDDOWN((LineærRegression_Valg[[#This Row],[Tabel ID]]-1)/$B$5,0)+1</f>
        <v>338</v>
      </c>
      <c r="C1360" s="171">
        <f t="shared" si="21"/>
        <v>2</v>
      </c>
      <c r="D1360" s="171" t="b">
        <f>LineærRegression_Valg[[#This Row],[Afhængig variabel ID]]&lt;&gt;LineærRegression_Valg[[#This Row],[Uafhængig variabel ID]]</f>
        <v>1</v>
      </c>
      <c r="E1360" t="b">
        <f>LineærRegression_Valg[[#This Row],[Afhængig variabel ID]]&lt;=$B$5</f>
        <v>0</v>
      </c>
      <c r="F1360" t="str" cm="1">
        <f t="array" ref="F1360">IF(LineærRegression_Valg[[#This Row],[Indenfor range]],INDEX(DataTitel_liste,LineærRegression_Valg[[#This Row],[Afhængig variabel ID]]),INDEX(DataTitel_liste,1))</f>
        <v>Eksempel 1 (interval)</v>
      </c>
      <c r="G1360" s="171" t="str" cm="1">
        <f t="array" ref="G1360">IF(LineærRegression_Valg[[#This Row],[Indenfor range]],IF(LineærRegression_Valg[[#This Row],[Intet overlap]],INDEX(DataTitel_liste,LineærRegression_Valg[[#This Row],[Uafhængig variabel ID]]),INDEX(DataTitel_liste,IF(LineærRegression_Valg[[#This Row],[Afhængig variabel ID]]=1,2,1))),$B$7)</f>
        <v>Eksempel 2 (interval)</v>
      </c>
      <c r="H1360" s="171">
        <f>_xlfn.AGGREGATE(2,5,LineærRegression_Valg[[#This Row],[Tabel ID]])</f>
        <v>1</v>
      </c>
    </row>
    <row r="1361" spans="1:8" x14ac:dyDescent="0.2">
      <c r="A1361">
        <f>ROW(LineærRegression_Valg[[#This Row],[Tabel ID]])-ROW(LineærRegression_Valg[[#Headers],[Tabel ID]])</f>
        <v>1351</v>
      </c>
      <c r="B1361" s="171">
        <f>ROUNDDOWN((LineærRegression_Valg[[#This Row],[Tabel ID]]-1)/$B$5,0)+1</f>
        <v>338</v>
      </c>
      <c r="C1361" s="171">
        <f t="shared" si="21"/>
        <v>3</v>
      </c>
      <c r="D1361" s="171" t="b">
        <f>LineærRegression_Valg[[#This Row],[Afhængig variabel ID]]&lt;&gt;LineærRegression_Valg[[#This Row],[Uafhængig variabel ID]]</f>
        <v>1</v>
      </c>
      <c r="E1361" t="b">
        <f>LineærRegression_Valg[[#This Row],[Afhængig variabel ID]]&lt;=$B$5</f>
        <v>0</v>
      </c>
      <c r="F1361" t="str" cm="1">
        <f t="array" ref="F1361">IF(LineærRegression_Valg[[#This Row],[Indenfor range]],INDEX(DataTitel_liste,LineærRegression_Valg[[#This Row],[Afhængig variabel ID]]),INDEX(DataTitel_liste,1))</f>
        <v>Eksempel 1 (interval)</v>
      </c>
      <c r="G1361" s="171" t="str" cm="1">
        <f t="array" ref="G1361">IF(LineærRegression_Valg[[#This Row],[Indenfor range]],IF(LineærRegression_Valg[[#This Row],[Intet overlap]],INDEX(DataTitel_liste,LineærRegression_Valg[[#This Row],[Uafhængig variabel ID]]),INDEX(DataTitel_liste,IF(LineærRegression_Valg[[#This Row],[Afhængig variabel ID]]=1,2,1))),$B$7)</f>
        <v>Eksempel 2 (interval)</v>
      </c>
      <c r="H1361" s="171">
        <f>_xlfn.AGGREGATE(2,5,LineærRegression_Valg[[#This Row],[Tabel ID]])</f>
        <v>1</v>
      </c>
    </row>
    <row r="1362" spans="1:8" x14ac:dyDescent="0.2">
      <c r="A1362">
        <f>ROW(LineærRegression_Valg[[#This Row],[Tabel ID]])-ROW(LineærRegression_Valg[[#Headers],[Tabel ID]])</f>
        <v>1352</v>
      </c>
      <c r="B1362" s="171">
        <f>ROUNDDOWN((LineærRegression_Valg[[#This Row],[Tabel ID]]-1)/$B$5,0)+1</f>
        <v>338</v>
      </c>
      <c r="C1362" s="171">
        <f t="shared" si="21"/>
        <v>4</v>
      </c>
      <c r="D1362" s="171" t="b">
        <f>LineærRegression_Valg[[#This Row],[Afhængig variabel ID]]&lt;&gt;LineærRegression_Valg[[#This Row],[Uafhængig variabel ID]]</f>
        <v>1</v>
      </c>
      <c r="E1362" t="b">
        <f>LineærRegression_Valg[[#This Row],[Afhængig variabel ID]]&lt;=$B$5</f>
        <v>0</v>
      </c>
      <c r="F1362" t="str" cm="1">
        <f t="array" ref="F1362">IF(LineærRegression_Valg[[#This Row],[Indenfor range]],INDEX(DataTitel_liste,LineærRegression_Valg[[#This Row],[Afhængig variabel ID]]),INDEX(DataTitel_liste,1))</f>
        <v>Eksempel 1 (interval)</v>
      </c>
      <c r="G1362" s="171" t="str" cm="1">
        <f t="array" ref="G1362">IF(LineærRegression_Valg[[#This Row],[Indenfor range]],IF(LineærRegression_Valg[[#This Row],[Intet overlap]],INDEX(DataTitel_liste,LineærRegression_Valg[[#This Row],[Uafhængig variabel ID]]),INDEX(DataTitel_liste,IF(LineærRegression_Valg[[#This Row],[Afhængig variabel ID]]=1,2,1))),$B$7)</f>
        <v>Eksempel 2 (interval)</v>
      </c>
      <c r="H1362" s="171">
        <f>_xlfn.AGGREGATE(2,5,LineærRegression_Valg[[#This Row],[Tabel ID]])</f>
        <v>1</v>
      </c>
    </row>
    <row r="1363" spans="1:8" x14ac:dyDescent="0.2">
      <c r="A1363">
        <f>ROW(LineærRegression_Valg[[#This Row],[Tabel ID]])-ROW(LineærRegression_Valg[[#Headers],[Tabel ID]])</f>
        <v>1353</v>
      </c>
      <c r="B1363" s="171">
        <f>ROUNDDOWN((LineærRegression_Valg[[#This Row],[Tabel ID]]-1)/$B$5,0)+1</f>
        <v>339</v>
      </c>
      <c r="C1363" s="171">
        <f t="shared" si="21"/>
        <v>1</v>
      </c>
      <c r="D1363" s="171" t="b">
        <f>LineærRegression_Valg[[#This Row],[Afhængig variabel ID]]&lt;&gt;LineærRegression_Valg[[#This Row],[Uafhængig variabel ID]]</f>
        <v>1</v>
      </c>
      <c r="E1363" t="b">
        <f>LineærRegression_Valg[[#This Row],[Afhængig variabel ID]]&lt;=$B$5</f>
        <v>0</v>
      </c>
      <c r="F1363" t="str" cm="1">
        <f t="array" ref="F1363">IF(LineærRegression_Valg[[#This Row],[Indenfor range]],INDEX(DataTitel_liste,LineærRegression_Valg[[#This Row],[Afhængig variabel ID]]),INDEX(DataTitel_liste,1))</f>
        <v>Eksempel 1 (interval)</v>
      </c>
      <c r="G1363" s="171" t="str" cm="1">
        <f t="array" ref="G1363">IF(LineærRegression_Valg[[#This Row],[Indenfor range]],IF(LineærRegression_Valg[[#This Row],[Intet overlap]],INDEX(DataTitel_liste,LineærRegression_Valg[[#This Row],[Uafhængig variabel ID]]),INDEX(DataTitel_liste,IF(LineærRegression_Valg[[#This Row],[Afhængig variabel ID]]=1,2,1))),$B$7)</f>
        <v>Eksempel 2 (interval)</v>
      </c>
      <c r="H1363" s="171">
        <f>_xlfn.AGGREGATE(2,5,LineærRegression_Valg[[#This Row],[Tabel ID]])</f>
        <v>1</v>
      </c>
    </row>
    <row r="1364" spans="1:8" x14ac:dyDescent="0.2">
      <c r="A1364">
        <f>ROW(LineærRegression_Valg[[#This Row],[Tabel ID]])-ROW(LineærRegression_Valg[[#Headers],[Tabel ID]])</f>
        <v>1354</v>
      </c>
      <c r="B1364" s="171">
        <f>ROUNDDOWN((LineærRegression_Valg[[#This Row],[Tabel ID]]-1)/$B$5,0)+1</f>
        <v>339</v>
      </c>
      <c r="C1364" s="171">
        <f t="shared" si="21"/>
        <v>2</v>
      </c>
      <c r="D1364" s="171" t="b">
        <f>LineærRegression_Valg[[#This Row],[Afhængig variabel ID]]&lt;&gt;LineærRegression_Valg[[#This Row],[Uafhængig variabel ID]]</f>
        <v>1</v>
      </c>
      <c r="E1364" t="b">
        <f>LineærRegression_Valg[[#This Row],[Afhængig variabel ID]]&lt;=$B$5</f>
        <v>0</v>
      </c>
      <c r="F1364" t="str" cm="1">
        <f t="array" ref="F1364">IF(LineærRegression_Valg[[#This Row],[Indenfor range]],INDEX(DataTitel_liste,LineærRegression_Valg[[#This Row],[Afhængig variabel ID]]),INDEX(DataTitel_liste,1))</f>
        <v>Eksempel 1 (interval)</v>
      </c>
      <c r="G1364" s="171" t="str" cm="1">
        <f t="array" ref="G1364">IF(LineærRegression_Valg[[#This Row],[Indenfor range]],IF(LineærRegression_Valg[[#This Row],[Intet overlap]],INDEX(DataTitel_liste,LineærRegression_Valg[[#This Row],[Uafhængig variabel ID]]),INDEX(DataTitel_liste,IF(LineærRegression_Valg[[#This Row],[Afhængig variabel ID]]=1,2,1))),$B$7)</f>
        <v>Eksempel 2 (interval)</v>
      </c>
      <c r="H1364" s="171">
        <f>_xlfn.AGGREGATE(2,5,LineærRegression_Valg[[#This Row],[Tabel ID]])</f>
        <v>1</v>
      </c>
    </row>
    <row r="1365" spans="1:8" x14ac:dyDescent="0.2">
      <c r="A1365">
        <f>ROW(LineærRegression_Valg[[#This Row],[Tabel ID]])-ROW(LineærRegression_Valg[[#Headers],[Tabel ID]])</f>
        <v>1355</v>
      </c>
      <c r="B1365" s="171">
        <f>ROUNDDOWN((LineærRegression_Valg[[#This Row],[Tabel ID]]-1)/$B$5,0)+1</f>
        <v>339</v>
      </c>
      <c r="C1365" s="171">
        <f t="shared" si="21"/>
        <v>3</v>
      </c>
      <c r="D1365" s="171" t="b">
        <f>LineærRegression_Valg[[#This Row],[Afhængig variabel ID]]&lt;&gt;LineærRegression_Valg[[#This Row],[Uafhængig variabel ID]]</f>
        <v>1</v>
      </c>
      <c r="E1365" t="b">
        <f>LineærRegression_Valg[[#This Row],[Afhængig variabel ID]]&lt;=$B$5</f>
        <v>0</v>
      </c>
      <c r="F1365" t="str" cm="1">
        <f t="array" ref="F1365">IF(LineærRegression_Valg[[#This Row],[Indenfor range]],INDEX(DataTitel_liste,LineærRegression_Valg[[#This Row],[Afhængig variabel ID]]),INDEX(DataTitel_liste,1))</f>
        <v>Eksempel 1 (interval)</v>
      </c>
      <c r="G1365" s="171" t="str" cm="1">
        <f t="array" ref="G1365">IF(LineærRegression_Valg[[#This Row],[Indenfor range]],IF(LineærRegression_Valg[[#This Row],[Intet overlap]],INDEX(DataTitel_liste,LineærRegression_Valg[[#This Row],[Uafhængig variabel ID]]),INDEX(DataTitel_liste,IF(LineærRegression_Valg[[#This Row],[Afhængig variabel ID]]=1,2,1))),$B$7)</f>
        <v>Eksempel 2 (interval)</v>
      </c>
      <c r="H1365" s="171">
        <f>_xlfn.AGGREGATE(2,5,LineærRegression_Valg[[#This Row],[Tabel ID]])</f>
        <v>1</v>
      </c>
    </row>
    <row r="1366" spans="1:8" x14ac:dyDescent="0.2">
      <c r="A1366">
        <f>ROW(LineærRegression_Valg[[#This Row],[Tabel ID]])-ROW(LineærRegression_Valg[[#Headers],[Tabel ID]])</f>
        <v>1356</v>
      </c>
      <c r="B1366" s="171">
        <f>ROUNDDOWN((LineærRegression_Valg[[#This Row],[Tabel ID]]-1)/$B$5,0)+1</f>
        <v>339</v>
      </c>
      <c r="C1366" s="171">
        <f t="shared" si="21"/>
        <v>4</v>
      </c>
      <c r="D1366" s="171" t="b">
        <f>LineærRegression_Valg[[#This Row],[Afhængig variabel ID]]&lt;&gt;LineærRegression_Valg[[#This Row],[Uafhængig variabel ID]]</f>
        <v>1</v>
      </c>
      <c r="E1366" t="b">
        <f>LineærRegression_Valg[[#This Row],[Afhængig variabel ID]]&lt;=$B$5</f>
        <v>0</v>
      </c>
      <c r="F1366" t="str" cm="1">
        <f t="array" ref="F1366">IF(LineærRegression_Valg[[#This Row],[Indenfor range]],INDEX(DataTitel_liste,LineærRegression_Valg[[#This Row],[Afhængig variabel ID]]),INDEX(DataTitel_liste,1))</f>
        <v>Eksempel 1 (interval)</v>
      </c>
      <c r="G1366" s="171" t="str" cm="1">
        <f t="array" ref="G1366">IF(LineærRegression_Valg[[#This Row],[Indenfor range]],IF(LineærRegression_Valg[[#This Row],[Intet overlap]],INDEX(DataTitel_liste,LineærRegression_Valg[[#This Row],[Uafhængig variabel ID]]),INDEX(DataTitel_liste,IF(LineærRegression_Valg[[#This Row],[Afhængig variabel ID]]=1,2,1))),$B$7)</f>
        <v>Eksempel 2 (interval)</v>
      </c>
      <c r="H1366" s="171">
        <f>_xlfn.AGGREGATE(2,5,LineærRegression_Valg[[#This Row],[Tabel ID]])</f>
        <v>1</v>
      </c>
    </row>
    <row r="1367" spans="1:8" x14ac:dyDescent="0.2">
      <c r="A1367">
        <f>ROW(LineærRegression_Valg[[#This Row],[Tabel ID]])-ROW(LineærRegression_Valg[[#Headers],[Tabel ID]])</f>
        <v>1357</v>
      </c>
      <c r="B1367" s="171">
        <f>ROUNDDOWN((LineærRegression_Valg[[#This Row],[Tabel ID]]-1)/$B$5,0)+1</f>
        <v>340</v>
      </c>
      <c r="C1367" s="171">
        <f t="shared" si="21"/>
        <v>1</v>
      </c>
      <c r="D1367" s="171" t="b">
        <f>LineærRegression_Valg[[#This Row],[Afhængig variabel ID]]&lt;&gt;LineærRegression_Valg[[#This Row],[Uafhængig variabel ID]]</f>
        <v>1</v>
      </c>
      <c r="E1367" t="b">
        <f>LineærRegression_Valg[[#This Row],[Afhængig variabel ID]]&lt;=$B$5</f>
        <v>0</v>
      </c>
      <c r="F1367" t="str" cm="1">
        <f t="array" ref="F1367">IF(LineærRegression_Valg[[#This Row],[Indenfor range]],INDEX(DataTitel_liste,LineærRegression_Valg[[#This Row],[Afhængig variabel ID]]),INDEX(DataTitel_liste,1))</f>
        <v>Eksempel 1 (interval)</v>
      </c>
      <c r="G1367" s="171" t="str" cm="1">
        <f t="array" ref="G1367">IF(LineærRegression_Valg[[#This Row],[Indenfor range]],IF(LineærRegression_Valg[[#This Row],[Intet overlap]],INDEX(DataTitel_liste,LineærRegression_Valg[[#This Row],[Uafhængig variabel ID]]),INDEX(DataTitel_liste,IF(LineærRegression_Valg[[#This Row],[Afhængig variabel ID]]=1,2,1))),$B$7)</f>
        <v>Eksempel 2 (interval)</v>
      </c>
      <c r="H1367" s="171">
        <f>_xlfn.AGGREGATE(2,5,LineærRegression_Valg[[#This Row],[Tabel ID]])</f>
        <v>1</v>
      </c>
    </row>
    <row r="1368" spans="1:8" x14ac:dyDescent="0.2">
      <c r="A1368">
        <f>ROW(LineærRegression_Valg[[#This Row],[Tabel ID]])-ROW(LineærRegression_Valg[[#Headers],[Tabel ID]])</f>
        <v>1358</v>
      </c>
      <c r="B1368" s="171">
        <f>ROUNDDOWN((LineærRegression_Valg[[#This Row],[Tabel ID]]-1)/$B$5,0)+1</f>
        <v>340</v>
      </c>
      <c r="C1368" s="171">
        <f t="shared" si="21"/>
        <v>2</v>
      </c>
      <c r="D1368" s="171" t="b">
        <f>LineærRegression_Valg[[#This Row],[Afhængig variabel ID]]&lt;&gt;LineærRegression_Valg[[#This Row],[Uafhængig variabel ID]]</f>
        <v>1</v>
      </c>
      <c r="E1368" t="b">
        <f>LineærRegression_Valg[[#This Row],[Afhængig variabel ID]]&lt;=$B$5</f>
        <v>0</v>
      </c>
      <c r="F1368" t="str" cm="1">
        <f t="array" ref="F1368">IF(LineærRegression_Valg[[#This Row],[Indenfor range]],INDEX(DataTitel_liste,LineærRegression_Valg[[#This Row],[Afhængig variabel ID]]),INDEX(DataTitel_liste,1))</f>
        <v>Eksempel 1 (interval)</v>
      </c>
      <c r="G1368" s="171" t="str" cm="1">
        <f t="array" ref="G1368">IF(LineærRegression_Valg[[#This Row],[Indenfor range]],IF(LineærRegression_Valg[[#This Row],[Intet overlap]],INDEX(DataTitel_liste,LineærRegression_Valg[[#This Row],[Uafhængig variabel ID]]),INDEX(DataTitel_liste,IF(LineærRegression_Valg[[#This Row],[Afhængig variabel ID]]=1,2,1))),$B$7)</f>
        <v>Eksempel 2 (interval)</v>
      </c>
      <c r="H1368" s="171">
        <f>_xlfn.AGGREGATE(2,5,LineærRegression_Valg[[#This Row],[Tabel ID]])</f>
        <v>1</v>
      </c>
    </row>
    <row r="1369" spans="1:8" x14ac:dyDescent="0.2">
      <c r="A1369">
        <f>ROW(LineærRegression_Valg[[#This Row],[Tabel ID]])-ROW(LineærRegression_Valg[[#Headers],[Tabel ID]])</f>
        <v>1359</v>
      </c>
      <c r="B1369" s="171">
        <f>ROUNDDOWN((LineærRegression_Valg[[#This Row],[Tabel ID]]-1)/$B$5,0)+1</f>
        <v>340</v>
      </c>
      <c r="C1369" s="171">
        <f t="shared" si="21"/>
        <v>3</v>
      </c>
      <c r="D1369" s="171" t="b">
        <f>LineærRegression_Valg[[#This Row],[Afhængig variabel ID]]&lt;&gt;LineærRegression_Valg[[#This Row],[Uafhængig variabel ID]]</f>
        <v>1</v>
      </c>
      <c r="E1369" t="b">
        <f>LineærRegression_Valg[[#This Row],[Afhængig variabel ID]]&lt;=$B$5</f>
        <v>0</v>
      </c>
      <c r="F1369" t="str" cm="1">
        <f t="array" ref="F1369">IF(LineærRegression_Valg[[#This Row],[Indenfor range]],INDEX(DataTitel_liste,LineærRegression_Valg[[#This Row],[Afhængig variabel ID]]),INDEX(DataTitel_liste,1))</f>
        <v>Eksempel 1 (interval)</v>
      </c>
      <c r="G1369" s="171" t="str" cm="1">
        <f t="array" ref="G1369">IF(LineærRegression_Valg[[#This Row],[Indenfor range]],IF(LineærRegression_Valg[[#This Row],[Intet overlap]],INDEX(DataTitel_liste,LineærRegression_Valg[[#This Row],[Uafhængig variabel ID]]),INDEX(DataTitel_liste,IF(LineærRegression_Valg[[#This Row],[Afhængig variabel ID]]=1,2,1))),$B$7)</f>
        <v>Eksempel 2 (interval)</v>
      </c>
      <c r="H1369" s="171">
        <f>_xlfn.AGGREGATE(2,5,LineærRegression_Valg[[#This Row],[Tabel ID]])</f>
        <v>1</v>
      </c>
    </row>
    <row r="1370" spans="1:8" x14ac:dyDescent="0.2">
      <c r="A1370">
        <f>ROW(LineærRegression_Valg[[#This Row],[Tabel ID]])-ROW(LineærRegression_Valg[[#Headers],[Tabel ID]])</f>
        <v>1360</v>
      </c>
      <c r="B1370" s="171">
        <f>ROUNDDOWN((LineærRegression_Valg[[#This Row],[Tabel ID]]-1)/$B$5,0)+1</f>
        <v>340</v>
      </c>
      <c r="C1370" s="171">
        <f t="shared" si="21"/>
        <v>4</v>
      </c>
      <c r="D1370" s="171" t="b">
        <f>LineærRegression_Valg[[#This Row],[Afhængig variabel ID]]&lt;&gt;LineærRegression_Valg[[#This Row],[Uafhængig variabel ID]]</f>
        <v>1</v>
      </c>
      <c r="E1370" t="b">
        <f>LineærRegression_Valg[[#This Row],[Afhængig variabel ID]]&lt;=$B$5</f>
        <v>0</v>
      </c>
      <c r="F1370" t="str" cm="1">
        <f t="array" ref="F1370">IF(LineærRegression_Valg[[#This Row],[Indenfor range]],INDEX(DataTitel_liste,LineærRegression_Valg[[#This Row],[Afhængig variabel ID]]),INDEX(DataTitel_liste,1))</f>
        <v>Eksempel 1 (interval)</v>
      </c>
      <c r="G1370" s="171" t="str" cm="1">
        <f t="array" ref="G1370">IF(LineærRegression_Valg[[#This Row],[Indenfor range]],IF(LineærRegression_Valg[[#This Row],[Intet overlap]],INDEX(DataTitel_liste,LineærRegression_Valg[[#This Row],[Uafhængig variabel ID]]),INDEX(DataTitel_liste,IF(LineærRegression_Valg[[#This Row],[Afhængig variabel ID]]=1,2,1))),$B$7)</f>
        <v>Eksempel 2 (interval)</v>
      </c>
      <c r="H1370" s="171">
        <f>_xlfn.AGGREGATE(2,5,LineærRegression_Valg[[#This Row],[Tabel ID]])</f>
        <v>1</v>
      </c>
    </row>
    <row r="1371" spans="1:8" x14ac:dyDescent="0.2">
      <c r="A1371">
        <f>ROW(LineærRegression_Valg[[#This Row],[Tabel ID]])-ROW(LineærRegression_Valg[[#Headers],[Tabel ID]])</f>
        <v>1361</v>
      </c>
      <c r="B1371" s="171">
        <f>ROUNDDOWN((LineærRegression_Valg[[#This Row],[Tabel ID]]-1)/$B$5,0)+1</f>
        <v>341</v>
      </c>
      <c r="C1371" s="171">
        <f t="shared" si="21"/>
        <v>1</v>
      </c>
      <c r="D1371" s="171" t="b">
        <f>LineærRegression_Valg[[#This Row],[Afhængig variabel ID]]&lt;&gt;LineærRegression_Valg[[#This Row],[Uafhængig variabel ID]]</f>
        <v>1</v>
      </c>
      <c r="E1371" t="b">
        <f>LineærRegression_Valg[[#This Row],[Afhængig variabel ID]]&lt;=$B$5</f>
        <v>0</v>
      </c>
      <c r="F1371" t="str" cm="1">
        <f t="array" ref="F1371">IF(LineærRegression_Valg[[#This Row],[Indenfor range]],INDEX(DataTitel_liste,LineærRegression_Valg[[#This Row],[Afhængig variabel ID]]),INDEX(DataTitel_liste,1))</f>
        <v>Eksempel 1 (interval)</v>
      </c>
      <c r="G1371" s="171" t="str" cm="1">
        <f t="array" ref="G1371">IF(LineærRegression_Valg[[#This Row],[Indenfor range]],IF(LineærRegression_Valg[[#This Row],[Intet overlap]],INDEX(DataTitel_liste,LineærRegression_Valg[[#This Row],[Uafhængig variabel ID]]),INDEX(DataTitel_liste,IF(LineærRegression_Valg[[#This Row],[Afhængig variabel ID]]=1,2,1))),$B$7)</f>
        <v>Eksempel 2 (interval)</v>
      </c>
      <c r="H1371" s="171">
        <f>_xlfn.AGGREGATE(2,5,LineærRegression_Valg[[#This Row],[Tabel ID]])</f>
        <v>1</v>
      </c>
    </row>
    <row r="1372" spans="1:8" x14ac:dyDescent="0.2">
      <c r="A1372">
        <f>ROW(LineærRegression_Valg[[#This Row],[Tabel ID]])-ROW(LineærRegression_Valg[[#Headers],[Tabel ID]])</f>
        <v>1362</v>
      </c>
      <c r="B1372" s="171">
        <f>ROUNDDOWN((LineærRegression_Valg[[#This Row],[Tabel ID]]-1)/$B$5,0)+1</f>
        <v>341</v>
      </c>
      <c r="C1372" s="171">
        <f t="shared" si="21"/>
        <v>2</v>
      </c>
      <c r="D1372" s="171" t="b">
        <f>LineærRegression_Valg[[#This Row],[Afhængig variabel ID]]&lt;&gt;LineærRegression_Valg[[#This Row],[Uafhængig variabel ID]]</f>
        <v>1</v>
      </c>
      <c r="E1372" t="b">
        <f>LineærRegression_Valg[[#This Row],[Afhængig variabel ID]]&lt;=$B$5</f>
        <v>0</v>
      </c>
      <c r="F1372" t="str" cm="1">
        <f t="array" ref="F1372">IF(LineærRegression_Valg[[#This Row],[Indenfor range]],INDEX(DataTitel_liste,LineærRegression_Valg[[#This Row],[Afhængig variabel ID]]),INDEX(DataTitel_liste,1))</f>
        <v>Eksempel 1 (interval)</v>
      </c>
      <c r="G1372" s="171" t="str" cm="1">
        <f t="array" ref="G1372">IF(LineærRegression_Valg[[#This Row],[Indenfor range]],IF(LineærRegression_Valg[[#This Row],[Intet overlap]],INDEX(DataTitel_liste,LineærRegression_Valg[[#This Row],[Uafhængig variabel ID]]),INDEX(DataTitel_liste,IF(LineærRegression_Valg[[#This Row],[Afhængig variabel ID]]=1,2,1))),$B$7)</f>
        <v>Eksempel 2 (interval)</v>
      </c>
      <c r="H1372" s="171">
        <f>_xlfn.AGGREGATE(2,5,LineærRegression_Valg[[#This Row],[Tabel ID]])</f>
        <v>1</v>
      </c>
    </row>
    <row r="1373" spans="1:8" x14ac:dyDescent="0.2">
      <c r="A1373">
        <f>ROW(LineærRegression_Valg[[#This Row],[Tabel ID]])-ROW(LineærRegression_Valg[[#Headers],[Tabel ID]])</f>
        <v>1363</v>
      </c>
      <c r="B1373" s="171">
        <f>ROUNDDOWN((LineærRegression_Valg[[#This Row],[Tabel ID]]-1)/$B$5,0)+1</f>
        <v>341</v>
      </c>
      <c r="C1373" s="171">
        <f t="shared" si="21"/>
        <v>3</v>
      </c>
      <c r="D1373" s="171" t="b">
        <f>LineærRegression_Valg[[#This Row],[Afhængig variabel ID]]&lt;&gt;LineærRegression_Valg[[#This Row],[Uafhængig variabel ID]]</f>
        <v>1</v>
      </c>
      <c r="E1373" t="b">
        <f>LineærRegression_Valg[[#This Row],[Afhængig variabel ID]]&lt;=$B$5</f>
        <v>0</v>
      </c>
      <c r="F1373" t="str" cm="1">
        <f t="array" ref="F1373">IF(LineærRegression_Valg[[#This Row],[Indenfor range]],INDEX(DataTitel_liste,LineærRegression_Valg[[#This Row],[Afhængig variabel ID]]),INDEX(DataTitel_liste,1))</f>
        <v>Eksempel 1 (interval)</v>
      </c>
      <c r="G1373" s="171" t="str" cm="1">
        <f t="array" ref="G1373">IF(LineærRegression_Valg[[#This Row],[Indenfor range]],IF(LineærRegression_Valg[[#This Row],[Intet overlap]],INDEX(DataTitel_liste,LineærRegression_Valg[[#This Row],[Uafhængig variabel ID]]),INDEX(DataTitel_liste,IF(LineærRegression_Valg[[#This Row],[Afhængig variabel ID]]=1,2,1))),$B$7)</f>
        <v>Eksempel 2 (interval)</v>
      </c>
      <c r="H1373" s="171">
        <f>_xlfn.AGGREGATE(2,5,LineærRegression_Valg[[#This Row],[Tabel ID]])</f>
        <v>1</v>
      </c>
    </row>
    <row r="1374" spans="1:8" x14ac:dyDescent="0.2">
      <c r="A1374">
        <f>ROW(LineærRegression_Valg[[#This Row],[Tabel ID]])-ROW(LineærRegression_Valg[[#Headers],[Tabel ID]])</f>
        <v>1364</v>
      </c>
      <c r="B1374" s="171">
        <f>ROUNDDOWN((LineærRegression_Valg[[#This Row],[Tabel ID]]-1)/$B$5,0)+1</f>
        <v>341</v>
      </c>
      <c r="C1374" s="171">
        <f t="shared" si="21"/>
        <v>4</v>
      </c>
      <c r="D1374" s="171" t="b">
        <f>LineærRegression_Valg[[#This Row],[Afhængig variabel ID]]&lt;&gt;LineærRegression_Valg[[#This Row],[Uafhængig variabel ID]]</f>
        <v>1</v>
      </c>
      <c r="E1374" t="b">
        <f>LineærRegression_Valg[[#This Row],[Afhængig variabel ID]]&lt;=$B$5</f>
        <v>0</v>
      </c>
      <c r="F1374" t="str" cm="1">
        <f t="array" ref="F1374">IF(LineærRegression_Valg[[#This Row],[Indenfor range]],INDEX(DataTitel_liste,LineærRegression_Valg[[#This Row],[Afhængig variabel ID]]),INDEX(DataTitel_liste,1))</f>
        <v>Eksempel 1 (interval)</v>
      </c>
      <c r="G1374" s="171" t="str" cm="1">
        <f t="array" ref="G1374">IF(LineærRegression_Valg[[#This Row],[Indenfor range]],IF(LineærRegression_Valg[[#This Row],[Intet overlap]],INDEX(DataTitel_liste,LineærRegression_Valg[[#This Row],[Uafhængig variabel ID]]),INDEX(DataTitel_liste,IF(LineærRegression_Valg[[#This Row],[Afhængig variabel ID]]=1,2,1))),$B$7)</f>
        <v>Eksempel 2 (interval)</v>
      </c>
      <c r="H1374" s="171">
        <f>_xlfn.AGGREGATE(2,5,LineærRegression_Valg[[#This Row],[Tabel ID]])</f>
        <v>1</v>
      </c>
    </row>
    <row r="1375" spans="1:8" x14ac:dyDescent="0.2">
      <c r="A1375">
        <f>ROW(LineærRegression_Valg[[#This Row],[Tabel ID]])-ROW(LineærRegression_Valg[[#Headers],[Tabel ID]])</f>
        <v>1365</v>
      </c>
      <c r="B1375" s="171">
        <f>ROUNDDOWN((LineærRegression_Valg[[#This Row],[Tabel ID]]-1)/$B$5,0)+1</f>
        <v>342</v>
      </c>
      <c r="C1375" s="171">
        <f t="shared" si="21"/>
        <v>1</v>
      </c>
      <c r="D1375" s="171" t="b">
        <f>LineærRegression_Valg[[#This Row],[Afhængig variabel ID]]&lt;&gt;LineærRegression_Valg[[#This Row],[Uafhængig variabel ID]]</f>
        <v>1</v>
      </c>
      <c r="E1375" t="b">
        <f>LineærRegression_Valg[[#This Row],[Afhængig variabel ID]]&lt;=$B$5</f>
        <v>0</v>
      </c>
      <c r="F1375" t="str" cm="1">
        <f t="array" ref="F1375">IF(LineærRegression_Valg[[#This Row],[Indenfor range]],INDEX(DataTitel_liste,LineærRegression_Valg[[#This Row],[Afhængig variabel ID]]),INDEX(DataTitel_liste,1))</f>
        <v>Eksempel 1 (interval)</v>
      </c>
      <c r="G1375" s="171" t="str" cm="1">
        <f t="array" ref="G1375">IF(LineærRegression_Valg[[#This Row],[Indenfor range]],IF(LineærRegression_Valg[[#This Row],[Intet overlap]],INDEX(DataTitel_liste,LineærRegression_Valg[[#This Row],[Uafhængig variabel ID]]),INDEX(DataTitel_liste,IF(LineærRegression_Valg[[#This Row],[Afhængig variabel ID]]=1,2,1))),$B$7)</f>
        <v>Eksempel 2 (interval)</v>
      </c>
      <c r="H1375" s="171">
        <f>_xlfn.AGGREGATE(2,5,LineærRegression_Valg[[#This Row],[Tabel ID]])</f>
        <v>1</v>
      </c>
    </row>
    <row r="1376" spans="1:8" x14ac:dyDescent="0.2">
      <c r="A1376">
        <f>ROW(LineærRegression_Valg[[#This Row],[Tabel ID]])-ROW(LineærRegression_Valg[[#Headers],[Tabel ID]])</f>
        <v>1366</v>
      </c>
      <c r="B1376" s="171">
        <f>ROUNDDOWN((LineærRegression_Valg[[#This Row],[Tabel ID]]-1)/$B$5,0)+1</f>
        <v>342</v>
      </c>
      <c r="C1376" s="171">
        <f t="shared" si="21"/>
        <v>2</v>
      </c>
      <c r="D1376" s="171" t="b">
        <f>LineærRegression_Valg[[#This Row],[Afhængig variabel ID]]&lt;&gt;LineærRegression_Valg[[#This Row],[Uafhængig variabel ID]]</f>
        <v>1</v>
      </c>
      <c r="E1376" t="b">
        <f>LineærRegression_Valg[[#This Row],[Afhængig variabel ID]]&lt;=$B$5</f>
        <v>0</v>
      </c>
      <c r="F1376" t="str" cm="1">
        <f t="array" ref="F1376">IF(LineærRegression_Valg[[#This Row],[Indenfor range]],INDEX(DataTitel_liste,LineærRegression_Valg[[#This Row],[Afhængig variabel ID]]),INDEX(DataTitel_liste,1))</f>
        <v>Eksempel 1 (interval)</v>
      </c>
      <c r="G1376" s="171" t="str" cm="1">
        <f t="array" ref="G1376">IF(LineærRegression_Valg[[#This Row],[Indenfor range]],IF(LineærRegression_Valg[[#This Row],[Intet overlap]],INDEX(DataTitel_liste,LineærRegression_Valg[[#This Row],[Uafhængig variabel ID]]),INDEX(DataTitel_liste,IF(LineærRegression_Valg[[#This Row],[Afhængig variabel ID]]=1,2,1))),$B$7)</f>
        <v>Eksempel 2 (interval)</v>
      </c>
      <c r="H1376" s="171">
        <f>_xlfn.AGGREGATE(2,5,LineærRegression_Valg[[#This Row],[Tabel ID]])</f>
        <v>1</v>
      </c>
    </row>
    <row r="1377" spans="1:8" x14ac:dyDescent="0.2">
      <c r="A1377">
        <f>ROW(LineærRegression_Valg[[#This Row],[Tabel ID]])-ROW(LineærRegression_Valg[[#Headers],[Tabel ID]])</f>
        <v>1367</v>
      </c>
      <c r="B1377" s="171">
        <f>ROUNDDOWN((LineærRegression_Valg[[#This Row],[Tabel ID]]-1)/$B$5,0)+1</f>
        <v>342</v>
      </c>
      <c r="C1377" s="171">
        <f t="shared" si="21"/>
        <v>3</v>
      </c>
      <c r="D1377" s="171" t="b">
        <f>LineærRegression_Valg[[#This Row],[Afhængig variabel ID]]&lt;&gt;LineærRegression_Valg[[#This Row],[Uafhængig variabel ID]]</f>
        <v>1</v>
      </c>
      <c r="E1377" t="b">
        <f>LineærRegression_Valg[[#This Row],[Afhængig variabel ID]]&lt;=$B$5</f>
        <v>0</v>
      </c>
      <c r="F1377" t="str" cm="1">
        <f t="array" ref="F1377">IF(LineærRegression_Valg[[#This Row],[Indenfor range]],INDEX(DataTitel_liste,LineærRegression_Valg[[#This Row],[Afhængig variabel ID]]),INDEX(DataTitel_liste,1))</f>
        <v>Eksempel 1 (interval)</v>
      </c>
      <c r="G1377" s="171" t="str" cm="1">
        <f t="array" ref="G1377">IF(LineærRegression_Valg[[#This Row],[Indenfor range]],IF(LineærRegression_Valg[[#This Row],[Intet overlap]],INDEX(DataTitel_liste,LineærRegression_Valg[[#This Row],[Uafhængig variabel ID]]),INDEX(DataTitel_liste,IF(LineærRegression_Valg[[#This Row],[Afhængig variabel ID]]=1,2,1))),$B$7)</f>
        <v>Eksempel 2 (interval)</v>
      </c>
      <c r="H1377" s="171">
        <f>_xlfn.AGGREGATE(2,5,LineærRegression_Valg[[#This Row],[Tabel ID]])</f>
        <v>1</v>
      </c>
    </row>
    <row r="1378" spans="1:8" x14ac:dyDescent="0.2">
      <c r="A1378">
        <f>ROW(LineærRegression_Valg[[#This Row],[Tabel ID]])-ROW(LineærRegression_Valg[[#Headers],[Tabel ID]])</f>
        <v>1368</v>
      </c>
      <c r="B1378" s="171">
        <f>ROUNDDOWN((LineærRegression_Valg[[#This Row],[Tabel ID]]-1)/$B$5,0)+1</f>
        <v>342</v>
      </c>
      <c r="C1378" s="171">
        <f t="shared" si="21"/>
        <v>4</v>
      </c>
      <c r="D1378" s="171" t="b">
        <f>LineærRegression_Valg[[#This Row],[Afhængig variabel ID]]&lt;&gt;LineærRegression_Valg[[#This Row],[Uafhængig variabel ID]]</f>
        <v>1</v>
      </c>
      <c r="E1378" t="b">
        <f>LineærRegression_Valg[[#This Row],[Afhængig variabel ID]]&lt;=$B$5</f>
        <v>0</v>
      </c>
      <c r="F1378" t="str" cm="1">
        <f t="array" ref="F1378">IF(LineærRegression_Valg[[#This Row],[Indenfor range]],INDEX(DataTitel_liste,LineærRegression_Valg[[#This Row],[Afhængig variabel ID]]),INDEX(DataTitel_liste,1))</f>
        <v>Eksempel 1 (interval)</v>
      </c>
      <c r="G1378" s="171" t="str" cm="1">
        <f t="array" ref="G1378">IF(LineærRegression_Valg[[#This Row],[Indenfor range]],IF(LineærRegression_Valg[[#This Row],[Intet overlap]],INDEX(DataTitel_liste,LineærRegression_Valg[[#This Row],[Uafhængig variabel ID]]),INDEX(DataTitel_liste,IF(LineærRegression_Valg[[#This Row],[Afhængig variabel ID]]=1,2,1))),$B$7)</f>
        <v>Eksempel 2 (interval)</v>
      </c>
      <c r="H1378" s="171">
        <f>_xlfn.AGGREGATE(2,5,LineærRegression_Valg[[#This Row],[Tabel ID]])</f>
        <v>1</v>
      </c>
    </row>
    <row r="1379" spans="1:8" x14ac:dyDescent="0.2">
      <c r="A1379">
        <f>ROW(LineærRegression_Valg[[#This Row],[Tabel ID]])-ROW(LineærRegression_Valg[[#Headers],[Tabel ID]])</f>
        <v>1369</v>
      </c>
      <c r="B1379" s="171">
        <f>ROUNDDOWN((LineærRegression_Valg[[#This Row],[Tabel ID]]-1)/$B$5,0)+1</f>
        <v>343</v>
      </c>
      <c r="C1379" s="171">
        <f t="shared" si="21"/>
        <v>1</v>
      </c>
      <c r="D1379" s="171" t="b">
        <f>LineærRegression_Valg[[#This Row],[Afhængig variabel ID]]&lt;&gt;LineærRegression_Valg[[#This Row],[Uafhængig variabel ID]]</f>
        <v>1</v>
      </c>
      <c r="E1379" t="b">
        <f>LineærRegression_Valg[[#This Row],[Afhængig variabel ID]]&lt;=$B$5</f>
        <v>0</v>
      </c>
      <c r="F1379" t="str" cm="1">
        <f t="array" ref="F1379">IF(LineærRegression_Valg[[#This Row],[Indenfor range]],INDEX(DataTitel_liste,LineærRegression_Valg[[#This Row],[Afhængig variabel ID]]),INDEX(DataTitel_liste,1))</f>
        <v>Eksempel 1 (interval)</v>
      </c>
      <c r="G1379" s="171" t="str" cm="1">
        <f t="array" ref="G1379">IF(LineærRegression_Valg[[#This Row],[Indenfor range]],IF(LineærRegression_Valg[[#This Row],[Intet overlap]],INDEX(DataTitel_liste,LineærRegression_Valg[[#This Row],[Uafhængig variabel ID]]),INDEX(DataTitel_liste,IF(LineærRegression_Valg[[#This Row],[Afhængig variabel ID]]=1,2,1))),$B$7)</f>
        <v>Eksempel 2 (interval)</v>
      </c>
      <c r="H1379" s="171">
        <f>_xlfn.AGGREGATE(2,5,LineærRegression_Valg[[#This Row],[Tabel ID]])</f>
        <v>1</v>
      </c>
    </row>
    <row r="1380" spans="1:8" x14ac:dyDescent="0.2">
      <c r="A1380">
        <f>ROW(LineærRegression_Valg[[#This Row],[Tabel ID]])-ROW(LineærRegression_Valg[[#Headers],[Tabel ID]])</f>
        <v>1370</v>
      </c>
      <c r="B1380" s="171">
        <f>ROUNDDOWN((LineærRegression_Valg[[#This Row],[Tabel ID]]-1)/$B$5,0)+1</f>
        <v>343</v>
      </c>
      <c r="C1380" s="171">
        <f t="shared" si="21"/>
        <v>2</v>
      </c>
      <c r="D1380" s="171" t="b">
        <f>LineærRegression_Valg[[#This Row],[Afhængig variabel ID]]&lt;&gt;LineærRegression_Valg[[#This Row],[Uafhængig variabel ID]]</f>
        <v>1</v>
      </c>
      <c r="E1380" t="b">
        <f>LineærRegression_Valg[[#This Row],[Afhængig variabel ID]]&lt;=$B$5</f>
        <v>0</v>
      </c>
      <c r="F1380" t="str" cm="1">
        <f t="array" ref="F1380">IF(LineærRegression_Valg[[#This Row],[Indenfor range]],INDEX(DataTitel_liste,LineærRegression_Valg[[#This Row],[Afhængig variabel ID]]),INDEX(DataTitel_liste,1))</f>
        <v>Eksempel 1 (interval)</v>
      </c>
      <c r="G1380" s="171" t="str" cm="1">
        <f t="array" ref="G1380">IF(LineærRegression_Valg[[#This Row],[Indenfor range]],IF(LineærRegression_Valg[[#This Row],[Intet overlap]],INDEX(DataTitel_liste,LineærRegression_Valg[[#This Row],[Uafhængig variabel ID]]),INDEX(DataTitel_liste,IF(LineærRegression_Valg[[#This Row],[Afhængig variabel ID]]=1,2,1))),$B$7)</f>
        <v>Eksempel 2 (interval)</v>
      </c>
      <c r="H1380" s="171">
        <f>_xlfn.AGGREGATE(2,5,LineærRegression_Valg[[#This Row],[Tabel ID]])</f>
        <v>1</v>
      </c>
    </row>
    <row r="1381" spans="1:8" x14ac:dyDescent="0.2">
      <c r="A1381">
        <f>ROW(LineærRegression_Valg[[#This Row],[Tabel ID]])-ROW(LineærRegression_Valg[[#Headers],[Tabel ID]])</f>
        <v>1371</v>
      </c>
      <c r="B1381" s="171">
        <f>ROUNDDOWN((LineærRegression_Valg[[#This Row],[Tabel ID]]-1)/$B$5,0)+1</f>
        <v>343</v>
      </c>
      <c r="C1381" s="171">
        <f t="shared" si="21"/>
        <v>3</v>
      </c>
      <c r="D1381" s="171" t="b">
        <f>LineærRegression_Valg[[#This Row],[Afhængig variabel ID]]&lt;&gt;LineærRegression_Valg[[#This Row],[Uafhængig variabel ID]]</f>
        <v>1</v>
      </c>
      <c r="E1381" t="b">
        <f>LineærRegression_Valg[[#This Row],[Afhængig variabel ID]]&lt;=$B$5</f>
        <v>0</v>
      </c>
      <c r="F1381" t="str" cm="1">
        <f t="array" ref="F1381">IF(LineærRegression_Valg[[#This Row],[Indenfor range]],INDEX(DataTitel_liste,LineærRegression_Valg[[#This Row],[Afhængig variabel ID]]),INDEX(DataTitel_liste,1))</f>
        <v>Eksempel 1 (interval)</v>
      </c>
      <c r="G1381" s="171" t="str" cm="1">
        <f t="array" ref="G1381">IF(LineærRegression_Valg[[#This Row],[Indenfor range]],IF(LineærRegression_Valg[[#This Row],[Intet overlap]],INDEX(DataTitel_liste,LineærRegression_Valg[[#This Row],[Uafhængig variabel ID]]),INDEX(DataTitel_liste,IF(LineærRegression_Valg[[#This Row],[Afhængig variabel ID]]=1,2,1))),$B$7)</f>
        <v>Eksempel 2 (interval)</v>
      </c>
      <c r="H1381" s="171">
        <f>_xlfn.AGGREGATE(2,5,LineærRegression_Valg[[#This Row],[Tabel ID]])</f>
        <v>1</v>
      </c>
    </row>
    <row r="1382" spans="1:8" x14ac:dyDescent="0.2">
      <c r="A1382">
        <f>ROW(LineærRegression_Valg[[#This Row],[Tabel ID]])-ROW(LineærRegression_Valg[[#Headers],[Tabel ID]])</f>
        <v>1372</v>
      </c>
      <c r="B1382" s="171">
        <f>ROUNDDOWN((LineærRegression_Valg[[#This Row],[Tabel ID]]-1)/$B$5,0)+1</f>
        <v>343</v>
      </c>
      <c r="C1382" s="171">
        <f t="shared" si="21"/>
        <v>4</v>
      </c>
      <c r="D1382" s="171" t="b">
        <f>LineærRegression_Valg[[#This Row],[Afhængig variabel ID]]&lt;&gt;LineærRegression_Valg[[#This Row],[Uafhængig variabel ID]]</f>
        <v>1</v>
      </c>
      <c r="E1382" t="b">
        <f>LineærRegression_Valg[[#This Row],[Afhængig variabel ID]]&lt;=$B$5</f>
        <v>0</v>
      </c>
      <c r="F1382" t="str" cm="1">
        <f t="array" ref="F1382">IF(LineærRegression_Valg[[#This Row],[Indenfor range]],INDEX(DataTitel_liste,LineærRegression_Valg[[#This Row],[Afhængig variabel ID]]),INDEX(DataTitel_liste,1))</f>
        <v>Eksempel 1 (interval)</v>
      </c>
      <c r="G1382" s="171" t="str" cm="1">
        <f t="array" ref="G1382">IF(LineærRegression_Valg[[#This Row],[Indenfor range]],IF(LineærRegression_Valg[[#This Row],[Intet overlap]],INDEX(DataTitel_liste,LineærRegression_Valg[[#This Row],[Uafhængig variabel ID]]),INDEX(DataTitel_liste,IF(LineærRegression_Valg[[#This Row],[Afhængig variabel ID]]=1,2,1))),$B$7)</f>
        <v>Eksempel 2 (interval)</v>
      </c>
      <c r="H1382" s="171">
        <f>_xlfn.AGGREGATE(2,5,LineærRegression_Valg[[#This Row],[Tabel ID]])</f>
        <v>1</v>
      </c>
    </row>
    <row r="1383" spans="1:8" x14ac:dyDescent="0.2">
      <c r="A1383">
        <f>ROW(LineærRegression_Valg[[#This Row],[Tabel ID]])-ROW(LineærRegression_Valg[[#Headers],[Tabel ID]])</f>
        <v>1373</v>
      </c>
      <c r="B1383" s="171">
        <f>ROUNDDOWN((LineærRegression_Valg[[#This Row],[Tabel ID]]-1)/$B$5,0)+1</f>
        <v>344</v>
      </c>
      <c r="C1383" s="171">
        <f t="shared" si="21"/>
        <v>1</v>
      </c>
      <c r="D1383" s="171" t="b">
        <f>LineærRegression_Valg[[#This Row],[Afhængig variabel ID]]&lt;&gt;LineærRegression_Valg[[#This Row],[Uafhængig variabel ID]]</f>
        <v>1</v>
      </c>
      <c r="E1383" t="b">
        <f>LineærRegression_Valg[[#This Row],[Afhængig variabel ID]]&lt;=$B$5</f>
        <v>0</v>
      </c>
      <c r="F1383" t="str" cm="1">
        <f t="array" ref="F1383">IF(LineærRegression_Valg[[#This Row],[Indenfor range]],INDEX(DataTitel_liste,LineærRegression_Valg[[#This Row],[Afhængig variabel ID]]),INDEX(DataTitel_liste,1))</f>
        <v>Eksempel 1 (interval)</v>
      </c>
      <c r="G1383" s="171" t="str" cm="1">
        <f t="array" ref="G1383">IF(LineærRegression_Valg[[#This Row],[Indenfor range]],IF(LineærRegression_Valg[[#This Row],[Intet overlap]],INDEX(DataTitel_liste,LineærRegression_Valg[[#This Row],[Uafhængig variabel ID]]),INDEX(DataTitel_liste,IF(LineærRegression_Valg[[#This Row],[Afhængig variabel ID]]=1,2,1))),$B$7)</f>
        <v>Eksempel 2 (interval)</v>
      </c>
      <c r="H1383" s="171">
        <f>_xlfn.AGGREGATE(2,5,LineærRegression_Valg[[#This Row],[Tabel ID]])</f>
        <v>1</v>
      </c>
    </row>
    <row r="1384" spans="1:8" x14ac:dyDescent="0.2">
      <c r="A1384">
        <f>ROW(LineærRegression_Valg[[#This Row],[Tabel ID]])-ROW(LineærRegression_Valg[[#Headers],[Tabel ID]])</f>
        <v>1374</v>
      </c>
      <c r="B1384" s="171">
        <f>ROUNDDOWN((LineærRegression_Valg[[#This Row],[Tabel ID]]-1)/$B$5,0)+1</f>
        <v>344</v>
      </c>
      <c r="C1384" s="171">
        <f t="shared" si="21"/>
        <v>2</v>
      </c>
      <c r="D1384" s="171" t="b">
        <f>LineærRegression_Valg[[#This Row],[Afhængig variabel ID]]&lt;&gt;LineærRegression_Valg[[#This Row],[Uafhængig variabel ID]]</f>
        <v>1</v>
      </c>
      <c r="E1384" t="b">
        <f>LineærRegression_Valg[[#This Row],[Afhængig variabel ID]]&lt;=$B$5</f>
        <v>0</v>
      </c>
      <c r="F1384" t="str" cm="1">
        <f t="array" ref="F1384">IF(LineærRegression_Valg[[#This Row],[Indenfor range]],INDEX(DataTitel_liste,LineærRegression_Valg[[#This Row],[Afhængig variabel ID]]),INDEX(DataTitel_liste,1))</f>
        <v>Eksempel 1 (interval)</v>
      </c>
      <c r="G1384" s="171" t="str" cm="1">
        <f t="array" ref="G1384">IF(LineærRegression_Valg[[#This Row],[Indenfor range]],IF(LineærRegression_Valg[[#This Row],[Intet overlap]],INDEX(DataTitel_liste,LineærRegression_Valg[[#This Row],[Uafhængig variabel ID]]),INDEX(DataTitel_liste,IF(LineærRegression_Valg[[#This Row],[Afhængig variabel ID]]=1,2,1))),$B$7)</f>
        <v>Eksempel 2 (interval)</v>
      </c>
      <c r="H1384" s="171">
        <f>_xlfn.AGGREGATE(2,5,LineærRegression_Valg[[#This Row],[Tabel ID]])</f>
        <v>1</v>
      </c>
    </row>
    <row r="1385" spans="1:8" x14ac:dyDescent="0.2">
      <c r="A1385">
        <f>ROW(LineærRegression_Valg[[#This Row],[Tabel ID]])-ROW(LineærRegression_Valg[[#Headers],[Tabel ID]])</f>
        <v>1375</v>
      </c>
      <c r="B1385" s="171">
        <f>ROUNDDOWN((LineærRegression_Valg[[#This Row],[Tabel ID]]-1)/$B$5,0)+1</f>
        <v>344</v>
      </c>
      <c r="C1385" s="171">
        <f t="shared" si="21"/>
        <v>3</v>
      </c>
      <c r="D1385" s="171" t="b">
        <f>LineærRegression_Valg[[#This Row],[Afhængig variabel ID]]&lt;&gt;LineærRegression_Valg[[#This Row],[Uafhængig variabel ID]]</f>
        <v>1</v>
      </c>
      <c r="E1385" t="b">
        <f>LineærRegression_Valg[[#This Row],[Afhængig variabel ID]]&lt;=$B$5</f>
        <v>0</v>
      </c>
      <c r="F1385" t="str" cm="1">
        <f t="array" ref="F1385">IF(LineærRegression_Valg[[#This Row],[Indenfor range]],INDEX(DataTitel_liste,LineærRegression_Valg[[#This Row],[Afhængig variabel ID]]),INDEX(DataTitel_liste,1))</f>
        <v>Eksempel 1 (interval)</v>
      </c>
      <c r="G1385" s="171" t="str" cm="1">
        <f t="array" ref="G1385">IF(LineærRegression_Valg[[#This Row],[Indenfor range]],IF(LineærRegression_Valg[[#This Row],[Intet overlap]],INDEX(DataTitel_liste,LineærRegression_Valg[[#This Row],[Uafhængig variabel ID]]),INDEX(DataTitel_liste,IF(LineærRegression_Valg[[#This Row],[Afhængig variabel ID]]=1,2,1))),$B$7)</f>
        <v>Eksempel 2 (interval)</v>
      </c>
      <c r="H1385" s="171">
        <f>_xlfn.AGGREGATE(2,5,LineærRegression_Valg[[#This Row],[Tabel ID]])</f>
        <v>1</v>
      </c>
    </row>
    <row r="1386" spans="1:8" x14ac:dyDescent="0.2">
      <c r="A1386">
        <f>ROW(LineærRegression_Valg[[#This Row],[Tabel ID]])-ROW(LineærRegression_Valg[[#Headers],[Tabel ID]])</f>
        <v>1376</v>
      </c>
      <c r="B1386" s="171">
        <f>ROUNDDOWN((LineærRegression_Valg[[#This Row],[Tabel ID]]-1)/$B$5,0)+1</f>
        <v>344</v>
      </c>
      <c r="C1386" s="171">
        <f t="shared" si="21"/>
        <v>4</v>
      </c>
      <c r="D1386" s="171" t="b">
        <f>LineærRegression_Valg[[#This Row],[Afhængig variabel ID]]&lt;&gt;LineærRegression_Valg[[#This Row],[Uafhængig variabel ID]]</f>
        <v>1</v>
      </c>
      <c r="E1386" t="b">
        <f>LineærRegression_Valg[[#This Row],[Afhængig variabel ID]]&lt;=$B$5</f>
        <v>0</v>
      </c>
      <c r="F1386" t="str" cm="1">
        <f t="array" ref="F1386">IF(LineærRegression_Valg[[#This Row],[Indenfor range]],INDEX(DataTitel_liste,LineærRegression_Valg[[#This Row],[Afhængig variabel ID]]),INDEX(DataTitel_liste,1))</f>
        <v>Eksempel 1 (interval)</v>
      </c>
      <c r="G1386" s="171" t="str" cm="1">
        <f t="array" ref="G1386">IF(LineærRegression_Valg[[#This Row],[Indenfor range]],IF(LineærRegression_Valg[[#This Row],[Intet overlap]],INDEX(DataTitel_liste,LineærRegression_Valg[[#This Row],[Uafhængig variabel ID]]),INDEX(DataTitel_liste,IF(LineærRegression_Valg[[#This Row],[Afhængig variabel ID]]=1,2,1))),$B$7)</f>
        <v>Eksempel 2 (interval)</v>
      </c>
      <c r="H1386" s="171">
        <f>_xlfn.AGGREGATE(2,5,LineærRegression_Valg[[#This Row],[Tabel ID]])</f>
        <v>1</v>
      </c>
    </row>
    <row r="1387" spans="1:8" x14ac:dyDescent="0.2">
      <c r="A1387">
        <f>ROW(LineærRegression_Valg[[#This Row],[Tabel ID]])-ROW(LineærRegression_Valg[[#Headers],[Tabel ID]])</f>
        <v>1377</v>
      </c>
      <c r="B1387" s="171">
        <f>ROUNDDOWN((LineærRegression_Valg[[#This Row],[Tabel ID]]-1)/$B$5,0)+1</f>
        <v>345</v>
      </c>
      <c r="C1387" s="171">
        <f t="shared" si="21"/>
        <v>1</v>
      </c>
      <c r="D1387" s="171" t="b">
        <f>LineærRegression_Valg[[#This Row],[Afhængig variabel ID]]&lt;&gt;LineærRegression_Valg[[#This Row],[Uafhængig variabel ID]]</f>
        <v>1</v>
      </c>
      <c r="E1387" t="b">
        <f>LineærRegression_Valg[[#This Row],[Afhængig variabel ID]]&lt;=$B$5</f>
        <v>0</v>
      </c>
      <c r="F1387" t="str" cm="1">
        <f t="array" ref="F1387">IF(LineærRegression_Valg[[#This Row],[Indenfor range]],INDEX(DataTitel_liste,LineærRegression_Valg[[#This Row],[Afhængig variabel ID]]),INDEX(DataTitel_liste,1))</f>
        <v>Eksempel 1 (interval)</v>
      </c>
      <c r="G1387" s="171" t="str" cm="1">
        <f t="array" ref="G1387">IF(LineærRegression_Valg[[#This Row],[Indenfor range]],IF(LineærRegression_Valg[[#This Row],[Intet overlap]],INDEX(DataTitel_liste,LineærRegression_Valg[[#This Row],[Uafhængig variabel ID]]),INDEX(DataTitel_liste,IF(LineærRegression_Valg[[#This Row],[Afhængig variabel ID]]=1,2,1))),$B$7)</f>
        <v>Eksempel 2 (interval)</v>
      </c>
      <c r="H1387" s="171">
        <f>_xlfn.AGGREGATE(2,5,LineærRegression_Valg[[#This Row],[Tabel ID]])</f>
        <v>1</v>
      </c>
    </row>
    <row r="1388" spans="1:8" x14ac:dyDescent="0.2">
      <c r="A1388">
        <f>ROW(LineærRegression_Valg[[#This Row],[Tabel ID]])-ROW(LineærRegression_Valg[[#Headers],[Tabel ID]])</f>
        <v>1378</v>
      </c>
      <c r="B1388" s="171">
        <f>ROUNDDOWN((LineærRegression_Valg[[#This Row],[Tabel ID]]-1)/$B$5,0)+1</f>
        <v>345</v>
      </c>
      <c r="C1388" s="171">
        <f t="shared" si="21"/>
        <v>2</v>
      </c>
      <c r="D1388" s="171" t="b">
        <f>LineærRegression_Valg[[#This Row],[Afhængig variabel ID]]&lt;&gt;LineærRegression_Valg[[#This Row],[Uafhængig variabel ID]]</f>
        <v>1</v>
      </c>
      <c r="E1388" t="b">
        <f>LineærRegression_Valg[[#This Row],[Afhængig variabel ID]]&lt;=$B$5</f>
        <v>0</v>
      </c>
      <c r="F1388" t="str" cm="1">
        <f t="array" ref="F1388">IF(LineærRegression_Valg[[#This Row],[Indenfor range]],INDEX(DataTitel_liste,LineærRegression_Valg[[#This Row],[Afhængig variabel ID]]),INDEX(DataTitel_liste,1))</f>
        <v>Eksempel 1 (interval)</v>
      </c>
      <c r="G1388" s="171" t="str" cm="1">
        <f t="array" ref="G1388">IF(LineærRegression_Valg[[#This Row],[Indenfor range]],IF(LineærRegression_Valg[[#This Row],[Intet overlap]],INDEX(DataTitel_liste,LineærRegression_Valg[[#This Row],[Uafhængig variabel ID]]),INDEX(DataTitel_liste,IF(LineærRegression_Valg[[#This Row],[Afhængig variabel ID]]=1,2,1))),$B$7)</f>
        <v>Eksempel 2 (interval)</v>
      </c>
      <c r="H1388" s="171">
        <f>_xlfn.AGGREGATE(2,5,LineærRegression_Valg[[#This Row],[Tabel ID]])</f>
        <v>1</v>
      </c>
    </row>
    <row r="1389" spans="1:8" x14ac:dyDescent="0.2">
      <c r="A1389">
        <f>ROW(LineærRegression_Valg[[#This Row],[Tabel ID]])-ROW(LineærRegression_Valg[[#Headers],[Tabel ID]])</f>
        <v>1379</v>
      </c>
      <c r="B1389" s="171">
        <f>ROUNDDOWN((LineærRegression_Valg[[#This Row],[Tabel ID]]-1)/$B$5,0)+1</f>
        <v>345</v>
      </c>
      <c r="C1389" s="171">
        <f t="shared" si="21"/>
        <v>3</v>
      </c>
      <c r="D1389" s="171" t="b">
        <f>LineærRegression_Valg[[#This Row],[Afhængig variabel ID]]&lt;&gt;LineærRegression_Valg[[#This Row],[Uafhængig variabel ID]]</f>
        <v>1</v>
      </c>
      <c r="E1389" t="b">
        <f>LineærRegression_Valg[[#This Row],[Afhængig variabel ID]]&lt;=$B$5</f>
        <v>0</v>
      </c>
      <c r="F1389" t="str" cm="1">
        <f t="array" ref="F1389">IF(LineærRegression_Valg[[#This Row],[Indenfor range]],INDEX(DataTitel_liste,LineærRegression_Valg[[#This Row],[Afhængig variabel ID]]),INDEX(DataTitel_liste,1))</f>
        <v>Eksempel 1 (interval)</v>
      </c>
      <c r="G1389" s="171" t="str" cm="1">
        <f t="array" ref="G1389">IF(LineærRegression_Valg[[#This Row],[Indenfor range]],IF(LineærRegression_Valg[[#This Row],[Intet overlap]],INDEX(DataTitel_liste,LineærRegression_Valg[[#This Row],[Uafhængig variabel ID]]),INDEX(DataTitel_liste,IF(LineærRegression_Valg[[#This Row],[Afhængig variabel ID]]=1,2,1))),$B$7)</f>
        <v>Eksempel 2 (interval)</v>
      </c>
      <c r="H1389" s="171">
        <f>_xlfn.AGGREGATE(2,5,LineærRegression_Valg[[#This Row],[Tabel ID]])</f>
        <v>1</v>
      </c>
    </row>
    <row r="1390" spans="1:8" x14ac:dyDescent="0.2">
      <c r="A1390">
        <f>ROW(LineærRegression_Valg[[#This Row],[Tabel ID]])-ROW(LineærRegression_Valg[[#Headers],[Tabel ID]])</f>
        <v>1380</v>
      </c>
      <c r="B1390" s="171">
        <f>ROUNDDOWN((LineærRegression_Valg[[#This Row],[Tabel ID]]-1)/$B$5,0)+1</f>
        <v>345</v>
      </c>
      <c r="C1390" s="171">
        <f t="shared" si="21"/>
        <v>4</v>
      </c>
      <c r="D1390" s="171" t="b">
        <f>LineærRegression_Valg[[#This Row],[Afhængig variabel ID]]&lt;&gt;LineærRegression_Valg[[#This Row],[Uafhængig variabel ID]]</f>
        <v>1</v>
      </c>
      <c r="E1390" t="b">
        <f>LineærRegression_Valg[[#This Row],[Afhængig variabel ID]]&lt;=$B$5</f>
        <v>0</v>
      </c>
      <c r="F1390" t="str" cm="1">
        <f t="array" ref="F1390">IF(LineærRegression_Valg[[#This Row],[Indenfor range]],INDEX(DataTitel_liste,LineærRegression_Valg[[#This Row],[Afhængig variabel ID]]),INDEX(DataTitel_liste,1))</f>
        <v>Eksempel 1 (interval)</v>
      </c>
      <c r="G1390" s="171" t="str" cm="1">
        <f t="array" ref="G1390">IF(LineærRegression_Valg[[#This Row],[Indenfor range]],IF(LineærRegression_Valg[[#This Row],[Intet overlap]],INDEX(DataTitel_liste,LineærRegression_Valg[[#This Row],[Uafhængig variabel ID]]),INDEX(DataTitel_liste,IF(LineærRegression_Valg[[#This Row],[Afhængig variabel ID]]=1,2,1))),$B$7)</f>
        <v>Eksempel 2 (interval)</v>
      </c>
      <c r="H1390" s="171">
        <f>_xlfn.AGGREGATE(2,5,LineærRegression_Valg[[#This Row],[Tabel ID]])</f>
        <v>1</v>
      </c>
    </row>
    <row r="1391" spans="1:8" x14ac:dyDescent="0.2">
      <c r="A1391">
        <f>ROW(LineærRegression_Valg[[#This Row],[Tabel ID]])-ROW(LineærRegression_Valg[[#Headers],[Tabel ID]])</f>
        <v>1381</v>
      </c>
      <c r="B1391" s="171">
        <f>ROUNDDOWN((LineærRegression_Valg[[#This Row],[Tabel ID]]-1)/$B$5,0)+1</f>
        <v>346</v>
      </c>
      <c r="C1391" s="171">
        <f t="shared" si="21"/>
        <v>1</v>
      </c>
      <c r="D1391" s="171" t="b">
        <f>LineærRegression_Valg[[#This Row],[Afhængig variabel ID]]&lt;&gt;LineærRegression_Valg[[#This Row],[Uafhængig variabel ID]]</f>
        <v>1</v>
      </c>
      <c r="E1391" t="b">
        <f>LineærRegression_Valg[[#This Row],[Afhængig variabel ID]]&lt;=$B$5</f>
        <v>0</v>
      </c>
      <c r="F1391" t="str" cm="1">
        <f t="array" ref="F1391">IF(LineærRegression_Valg[[#This Row],[Indenfor range]],INDEX(DataTitel_liste,LineærRegression_Valg[[#This Row],[Afhængig variabel ID]]),INDEX(DataTitel_liste,1))</f>
        <v>Eksempel 1 (interval)</v>
      </c>
      <c r="G1391" s="171" t="str" cm="1">
        <f t="array" ref="G1391">IF(LineærRegression_Valg[[#This Row],[Indenfor range]],IF(LineærRegression_Valg[[#This Row],[Intet overlap]],INDEX(DataTitel_liste,LineærRegression_Valg[[#This Row],[Uafhængig variabel ID]]),INDEX(DataTitel_liste,IF(LineærRegression_Valg[[#This Row],[Afhængig variabel ID]]=1,2,1))),$B$7)</f>
        <v>Eksempel 2 (interval)</v>
      </c>
      <c r="H1391" s="171">
        <f>_xlfn.AGGREGATE(2,5,LineærRegression_Valg[[#This Row],[Tabel ID]])</f>
        <v>1</v>
      </c>
    </row>
    <row r="1392" spans="1:8" x14ac:dyDescent="0.2">
      <c r="A1392">
        <f>ROW(LineærRegression_Valg[[#This Row],[Tabel ID]])-ROW(LineærRegression_Valg[[#Headers],[Tabel ID]])</f>
        <v>1382</v>
      </c>
      <c r="B1392" s="171">
        <f>ROUNDDOWN((LineærRegression_Valg[[#This Row],[Tabel ID]]-1)/$B$5,0)+1</f>
        <v>346</v>
      </c>
      <c r="C1392" s="171">
        <f t="shared" si="21"/>
        <v>2</v>
      </c>
      <c r="D1392" s="171" t="b">
        <f>LineærRegression_Valg[[#This Row],[Afhængig variabel ID]]&lt;&gt;LineærRegression_Valg[[#This Row],[Uafhængig variabel ID]]</f>
        <v>1</v>
      </c>
      <c r="E1392" t="b">
        <f>LineærRegression_Valg[[#This Row],[Afhængig variabel ID]]&lt;=$B$5</f>
        <v>0</v>
      </c>
      <c r="F1392" t="str" cm="1">
        <f t="array" ref="F1392">IF(LineærRegression_Valg[[#This Row],[Indenfor range]],INDEX(DataTitel_liste,LineærRegression_Valg[[#This Row],[Afhængig variabel ID]]),INDEX(DataTitel_liste,1))</f>
        <v>Eksempel 1 (interval)</v>
      </c>
      <c r="G1392" s="171" t="str" cm="1">
        <f t="array" ref="G1392">IF(LineærRegression_Valg[[#This Row],[Indenfor range]],IF(LineærRegression_Valg[[#This Row],[Intet overlap]],INDEX(DataTitel_liste,LineærRegression_Valg[[#This Row],[Uafhængig variabel ID]]),INDEX(DataTitel_liste,IF(LineærRegression_Valg[[#This Row],[Afhængig variabel ID]]=1,2,1))),$B$7)</f>
        <v>Eksempel 2 (interval)</v>
      </c>
      <c r="H1392" s="171">
        <f>_xlfn.AGGREGATE(2,5,LineærRegression_Valg[[#This Row],[Tabel ID]])</f>
        <v>1</v>
      </c>
    </row>
    <row r="1393" spans="1:8" x14ac:dyDescent="0.2">
      <c r="A1393">
        <f>ROW(LineærRegression_Valg[[#This Row],[Tabel ID]])-ROW(LineærRegression_Valg[[#Headers],[Tabel ID]])</f>
        <v>1383</v>
      </c>
      <c r="B1393" s="171">
        <f>ROUNDDOWN((LineærRegression_Valg[[#This Row],[Tabel ID]]-1)/$B$5,0)+1</f>
        <v>346</v>
      </c>
      <c r="C1393" s="171">
        <f t="shared" si="21"/>
        <v>3</v>
      </c>
      <c r="D1393" s="171" t="b">
        <f>LineærRegression_Valg[[#This Row],[Afhængig variabel ID]]&lt;&gt;LineærRegression_Valg[[#This Row],[Uafhængig variabel ID]]</f>
        <v>1</v>
      </c>
      <c r="E1393" t="b">
        <f>LineærRegression_Valg[[#This Row],[Afhængig variabel ID]]&lt;=$B$5</f>
        <v>0</v>
      </c>
      <c r="F1393" t="str" cm="1">
        <f t="array" ref="F1393">IF(LineærRegression_Valg[[#This Row],[Indenfor range]],INDEX(DataTitel_liste,LineærRegression_Valg[[#This Row],[Afhængig variabel ID]]),INDEX(DataTitel_liste,1))</f>
        <v>Eksempel 1 (interval)</v>
      </c>
      <c r="G1393" s="171" t="str" cm="1">
        <f t="array" ref="G1393">IF(LineærRegression_Valg[[#This Row],[Indenfor range]],IF(LineærRegression_Valg[[#This Row],[Intet overlap]],INDEX(DataTitel_liste,LineærRegression_Valg[[#This Row],[Uafhængig variabel ID]]),INDEX(DataTitel_liste,IF(LineærRegression_Valg[[#This Row],[Afhængig variabel ID]]=1,2,1))),$B$7)</f>
        <v>Eksempel 2 (interval)</v>
      </c>
      <c r="H1393" s="171">
        <f>_xlfn.AGGREGATE(2,5,LineærRegression_Valg[[#This Row],[Tabel ID]])</f>
        <v>1</v>
      </c>
    </row>
    <row r="1394" spans="1:8" x14ac:dyDescent="0.2">
      <c r="A1394">
        <f>ROW(LineærRegression_Valg[[#This Row],[Tabel ID]])-ROW(LineærRegression_Valg[[#Headers],[Tabel ID]])</f>
        <v>1384</v>
      </c>
      <c r="B1394" s="171">
        <f>ROUNDDOWN((LineærRegression_Valg[[#This Row],[Tabel ID]]-1)/$B$5,0)+1</f>
        <v>346</v>
      </c>
      <c r="C1394" s="171">
        <f t="shared" si="21"/>
        <v>4</v>
      </c>
      <c r="D1394" s="171" t="b">
        <f>LineærRegression_Valg[[#This Row],[Afhængig variabel ID]]&lt;&gt;LineærRegression_Valg[[#This Row],[Uafhængig variabel ID]]</f>
        <v>1</v>
      </c>
      <c r="E1394" t="b">
        <f>LineærRegression_Valg[[#This Row],[Afhængig variabel ID]]&lt;=$B$5</f>
        <v>0</v>
      </c>
      <c r="F1394" t="str" cm="1">
        <f t="array" ref="F1394">IF(LineærRegression_Valg[[#This Row],[Indenfor range]],INDEX(DataTitel_liste,LineærRegression_Valg[[#This Row],[Afhængig variabel ID]]),INDEX(DataTitel_liste,1))</f>
        <v>Eksempel 1 (interval)</v>
      </c>
      <c r="G1394" s="171" t="str" cm="1">
        <f t="array" ref="G1394">IF(LineærRegression_Valg[[#This Row],[Indenfor range]],IF(LineærRegression_Valg[[#This Row],[Intet overlap]],INDEX(DataTitel_liste,LineærRegression_Valg[[#This Row],[Uafhængig variabel ID]]),INDEX(DataTitel_liste,IF(LineærRegression_Valg[[#This Row],[Afhængig variabel ID]]=1,2,1))),$B$7)</f>
        <v>Eksempel 2 (interval)</v>
      </c>
      <c r="H1394" s="171">
        <f>_xlfn.AGGREGATE(2,5,LineærRegression_Valg[[#This Row],[Tabel ID]])</f>
        <v>1</v>
      </c>
    </row>
    <row r="1395" spans="1:8" x14ac:dyDescent="0.2">
      <c r="A1395">
        <f>ROW(LineærRegression_Valg[[#This Row],[Tabel ID]])-ROW(LineærRegression_Valg[[#Headers],[Tabel ID]])</f>
        <v>1385</v>
      </c>
      <c r="B1395" s="171">
        <f>ROUNDDOWN((LineærRegression_Valg[[#This Row],[Tabel ID]]-1)/$B$5,0)+1</f>
        <v>347</v>
      </c>
      <c r="C1395" s="171">
        <f t="shared" si="21"/>
        <v>1</v>
      </c>
      <c r="D1395" s="171" t="b">
        <f>LineærRegression_Valg[[#This Row],[Afhængig variabel ID]]&lt;&gt;LineærRegression_Valg[[#This Row],[Uafhængig variabel ID]]</f>
        <v>1</v>
      </c>
      <c r="E1395" t="b">
        <f>LineærRegression_Valg[[#This Row],[Afhængig variabel ID]]&lt;=$B$5</f>
        <v>0</v>
      </c>
      <c r="F1395" t="str" cm="1">
        <f t="array" ref="F1395">IF(LineærRegression_Valg[[#This Row],[Indenfor range]],INDEX(DataTitel_liste,LineærRegression_Valg[[#This Row],[Afhængig variabel ID]]),INDEX(DataTitel_liste,1))</f>
        <v>Eksempel 1 (interval)</v>
      </c>
      <c r="G1395" s="171" t="str" cm="1">
        <f t="array" ref="G1395">IF(LineærRegression_Valg[[#This Row],[Indenfor range]],IF(LineærRegression_Valg[[#This Row],[Intet overlap]],INDEX(DataTitel_liste,LineærRegression_Valg[[#This Row],[Uafhængig variabel ID]]),INDEX(DataTitel_liste,IF(LineærRegression_Valg[[#This Row],[Afhængig variabel ID]]=1,2,1))),$B$7)</f>
        <v>Eksempel 2 (interval)</v>
      </c>
      <c r="H1395" s="171">
        <f>_xlfn.AGGREGATE(2,5,LineærRegression_Valg[[#This Row],[Tabel ID]])</f>
        <v>1</v>
      </c>
    </row>
    <row r="1396" spans="1:8" x14ac:dyDescent="0.2">
      <c r="A1396">
        <f>ROW(LineærRegression_Valg[[#This Row],[Tabel ID]])-ROW(LineærRegression_Valg[[#Headers],[Tabel ID]])</f>
        <v>1386</v>
      </c>
      <c r="B1396" s="171">
        <f>ROUNDDOWN((LineærRegression_Valg[[#This Row],[Tabel ID]]-1)/$B$5,0)+1</f>
        <v>347</v>
      </c>
      <c r="C1396" s="171">
        <f t="shared" si="21"/>
        <v>2</v>
      </c>
      <c r="D1396" s="171" t="b">
        <f>LineærRegression_Valg[[#This Row],[Afhængig variabel ID]]&lt;&gt;LineærRegression_Valg[[#This Row],[Uafhængig variabel ID]]</f>
        <v>1</v>
      </c>
      <c r="E1396" t="b">
        <f>LineærRegression_Valg[[#This Row],[Afhængig variabel ID]]&lt;=$B$5</f>
        <v>0</v>
      </c>
      <c r="F1396" t="str" cm="1">
        <f t="array" ref="F1396">IF(LineærRegression_Valg[[#This Row],[Indenfor range]],INDEX(DataTitel_liste,LineærRegression_Valg[[#This Row],[Afhængig variabel ID]]),INDEX(DataTitel_liste,1))</f>
        <v>Eksempel 1 (interval)</v>
      </c>
      <c r="G1396" s="171" t="str" cm="1">
        <f t="array" ref="G1396">IF(LineærRegression_Valg[[#This Row],[Indenfor range]],IF(LineærRegression_Valg[[#This Row],[Intet overlap]],INDEX(DataTitel_liste,LineærRegression_Valg[[#This Row],[Uafhængig variabel ID]]),INDEX(DataTitel_liste,IF(LineærRegression_Valg[[#This Row],[Afhængig variabel ID]]=1,2,1))),$B$7)</f>
        <v>Eksempel 2 (interval)</v>
      </c>
      <c r="H1396" s="171">
        <f>_xlfn.AGGREGATE(2,5,LineærRegression_Valg[[#This Row],[Tabel ID]])</f>
        <v>1</v>
      </c>
    </row>
    <row r="1397" spans="1:8" x14ac:dyDescent="0.2">
      <c r="A1397">
        <f>ROW(LineærRegression_Valg[[#This Row],[Tabel ID]])-ROW(LineærRegression_Valg[[#Headers],[Tabel ID]])</f>
        <v>1387</v>
      </c>
      <c r="B1397" s="171">
        <f>ROUNDDOWN((LineærRegression_Valg[[#This Row],[Tabel ID]]-1)/$B$5,0)+1</f>
        <v>347</v>
      </c>
      <c r="C1397" s="171">
        <f t="shared" si="21"/>
        <v>3</v>
      </c>
      <c r="D1397" s="171" t="b">
        <f>LineærRegression_Valg[[#This Row],[Afhængig variabel ID]]&lt;&gt;LineærRegression_Valg[[#This Row],[Uafhængig variabel ID]]</f>
        <v>1</v>
      </c>
      <c r="E1397" t="b">
        <f>LineærRegression_Valg[[#This Row],[Afhængig variabel ID]]&lt;=$B$5</f>
        <v>0</v>
      </c>
      <c r="F1397" t="str" cm="1">
        <f t="array" ref="F1397">IF(LineærRegression_Valg[[#This Row],[Indenfor range]],INDEX(DataTitel_liste,LineærRegression_Valg[[#This Row],[Afhængig variabel ID]]),INDEX(DataTitel_liste,1))</f>
        <v>Eksempel 1 (interval)</v>
      </c>
      <c r="G1397" s="171" t="str" cm="1">
        <f t="array" ref="G1397">IF(LineærRegression_Valg[[#This Row],[Indenfor range]],IF(LineærRegression_Valg[[#This Row],[Intet overlap]],INDEX(DataTitel_liste,LineærRegression_Valg[[#This Row],[Uafhængig variabel ID]]),INDEX(DataTitel_liste,IF(LineærRegression_Valg[[#This Row],[Afhængig variabel ID]]=1,2,1))),$B$7)</f>
        <v>Eksempel 2 (interval)</v>
      </c>
      <c r="H1397" s="171">
        <f>_xlfn.AGGREGATE(2,5,LineærRegression_Valg[[#This Row],[Tabel ID]])</f>
        <v>1</v>
      </c>
    </row>
    <row r="1398" spans="1:8" x14ac:dyDescent="0.2">
      <c r="A1398">
        <f>ROW(LineærRegression_Valg[[#This Row],[Tabel ID]])-ROW(LineærRegression_Valg[[#Headers],[Tabel ID]])</f>
        <v>1388</v>
      </c>
      <c r="B1398" s="171">
        <f>ROUNDDOWN((LineærRegression_Valg[[#This Row],[Tabel ID]]-1)/$B$5,0)+1</f>
        <v>347</v>
      </c>
      <c r="C1398" s="171">
        <f t="shared" si="21"/>
        <v>4</v>
      </c>
      <c r="D1398" s="171" t="b">
        <f>LineærRegression_Valg[[#This Row],[Afhængig variabel ID]]&lt;&gt;LineærRegression_Valg[[#This Row],[Uafhængig variabel ID]]</f>
        <v>1</v>
      </c>
      <c r="E1398" t="b">
        <f>LineærRegression_Valg[[#This Row],[Afhængig variabel ID]]&lt;=$B$5</f>
        <v>0</v>
      </c>
      <c r="F1398" t="str" cm="1">
        <f t="array" ref="F1398">IF(LineærRegression_Valg[[#This Row],[Indenfor range]],INDEX(DataTitel_liste,LineærRegression_Valg[[#This Row],[Afhængig variabel ID]]),INDEX(DataTitel_liste,1))</f>
        <v>Eksempel 1 (interval)</v>
      </c>
      <c r="G1398" s="171" t="str" cm="1">
        <f t="array" ref="G1398">IF(LineærRegression_Valg[[#This Row],[Indenfor range]],IF(LineærRegression_Valg[[#This Row],[Intet overlap]],INDEX(DataTitel_liste,LineærRegression_Valg[[#This Row],[Uafhængig variabel ID]]),INDEX(DataTitel_liste,IF(LineærRegression_Valg[[#This Row],[Afhængig variabel ID]]=1,2,1))),$B$7)</f>
        <v>Eksempel 2 (interval)</v>
      </c>
      <c r="H1398" s="171">
        <f>_xlfn.AGGREGATE(2,5,LineærRegression_Valg[[#This Row],[Tabel ID]])</f>
        <v>1</v>
      </c>
    </row>
    <row r="1399" spans="1:8" x14ac:dyDescent="0.2">
      <c r="A1399">
        <f>ROW(LineærRegression_Valg[[#This Row],[Tabel ID]])-ROW(LineærRegression_Valg[[#Headers],[Tabel ID]])</f>
        <v>1389</v>
      </c>
      <c r="B1399" s="171">
        <f>ROUNDDOWN((LineærRegression_Valg[[#This Row],[Tabel ID]]-1)/$B$5,0)+1</f>
        <v>348</v>
      </c>
      <c r="C1399" s="171">
        <f t="shared" si="21"/>
        <v>1</v>
      </c>
      <c r="D1399" s="171" t="b">
        <f>LineærRegression_Valg[[#This Row],[Afhængig variabel ID]]&lt;&gt;LineærRegression_Valg[[#This Row],[Uafhængig variabel ID]]</f>
        <v>1</v>
      </c>
      <c r="E1399" t="b">
        <f>LineærRegression_Valg[[#This Row],[Afhængig variabel ID]]&lt;=$B$5</f>
        <v>0</v>
      </c>
      <c r="F1399" t="str" cm="1">
        <f t="array" ref="F1399">IF(LineærRegression_Valg[[#This Row],[Indenfor range]],INDEX(DataTitel_liste,LineærRegression_Valg[[#This Row],[Afhængig variabel ID]]),INDEX(DataTitel_liste,1))</f>
        <v>Eksempel 1 (interval)</v>
      </c>
      <c r="G1399" s="171" t="str" cm="1">
        <f t="array" ref="G1399">IF(LineærRegression_Valg[[#This Row],[Indenfor range]],IF(LineærRegression_Valg[[#This Row],[Intet overlap]],INDEX(DataTitel_liste,LineærRegression_Valg[[#This Row],[Uafhængig variabel ID]]),INDEX(DataTitel_liste,IF(LineærRegression_Valg[[#This Row],[Afhængig variabel ID]]=1,2,1))),$B$7)</f>
        <v>Eksempel 2 (interval)</v>
      </c>
      <c r="H1399" s="171">
        <f>_xlfn.AGGREGATE(2,5,LineærRegression_Valg[[#This Row],[Tabel ID]])</f>
        <v>1</v>
      </c>
    </row>
    <row r="1400" spans="1:8" x14ac:dyDescent="0.2">
      <c r="A1400">
        <f>ROW(LineærRegression_Valg[[#This Row],[Tabel ID]])-ROW(LineærRegression_Valg[[#Headers],[Tabel ID]])</f>
        <v>1390</v>
      </c>
      <c r="B1400" s="171">
        <f>ROUNDDOWN((LineærRegression_Valg[[#This Row],[Tabel ID]]-1)/$B$5,0)+1</f>
        <v>348</v>
      </c>
      <c r="C1400" s="171">
        <f t="shared" si="21"/>
        <v>2</v>
      </c>
      <c r="D1400" s="171" t="b">
        <f>LineærRegression_Valg[[#This Row],[Afhængig variabel ID]]&lt;&gt;LineærRegression_Valg[[#This Row],[Uafhængig variabel ID]]</f>
        <v>1</v>
      </c>
      <c r="E1400" t="b">
        <f>LineærRegression_Valg[[#This Row],[Afhængig variabel ID]]&lt;=$B$5</f>
        <v>0</v>
      </c>
      <c r="F1400" t="str" cm="1">
        <f t="array" ref="F1400">IF(LineærRegression_Valg[[#This Row],[Indenfor range]],INDEX(DataTitel_liste,LineærRegression_Valg[[#This Row],[Afhængig variabel ID]]),INDEX(DataTitel_liste,1))</f>
        <v>Eksempel 1 (interval)</v>
      </c>
      <c r="G1400" s="171" t="str" cm="1">
        <f t="array" ref="G1400">IF(LineærRegression_Valg[[#This Row],[Indenfor range]],IF(LineærRegression_Valg[[#This Row],[Intet overlap]],INDEX(DataTitel_liste,LineærRegression_Valg[[#This Row],[Uafhængig variabel ID]]),INDEX(DataTitel_liste,IF(LineærRegression_Valg[[#This Row],[Afhængig variabel ID]]=1,2,1))),$B$7)</f>
        <v>Eksempel 2 (interval)</v>
      </c>
      <c r="H1400" s="171">
        <f>_xlfn.AGGREGATE(2,5,LineærRegression_Valg[[#This Row],[Tabel ID]])</f>
        <v>1</v>
      </c>
    </row>
    <row r="1401" spans="1:8" x14ac:dyDescent="0.2">
      <c r="A1401">
        <f>ROW(LineærRegression_Valg[[#This Row],[Tabel ID]])-ROW(LineærRegression_Valg[[#Headers],[Tabel ID]])</f>
        <v>1391</v>
      </c>
      <c r="B1401" s="171">
        <f>ROUNDDOWN((LineærRegression_Valg[[#This Row],[Tabel ID]]-1)/$B$5,0)+1</f>
        <v>348</v>
      </c>
      <c r="C1401" s="171">
        <f t="shared" si="21"/>
        <v>3</v>
      </c>
      <c r="D1401" s="171" t="b">
        <f>LineærRegression_Valg[[#This Row],[Afhængig variabel ID]]&lt;&gt;LineærRegression_Valg[[#This Row],[Uafhængig variabel ID]]</f>
        <v>1</v>
      </c>
      <c r="E1401" t="b">
        <f>LineærRegression_Valg[[#This Row],[Afhængig variabel ID]]&lt;=$B$5</f>
        <v>0</v>
      </c>
      <c r="F1401" t="str" cm="1">
        <f t="array" ref="F1401">IF(LineærRegression_Valg[[#This Row],[Indenfor range]],INDEX(DataTitel_liste,LineærRegression_Valg[[#This Row],[Afhængig variabel ID]]),INDEX(DataTitel_liste,1))</f>
        <v>Eksempel 1 (interval)</v>
      </c>
      <c r="G1401" s="171" t="str" cm="1">
        <f t="array" ref="G1401">IF(LineærRegression_Valg[[#This Row],[Indenfor range]],IF(LineærRegression_Valg[[#This Row],[Intet overlap]],INDEX(DataTitel_liste,LineærRegression_Valg[[#This Row],[Uafhængig variabel ID]]),INDEX(DataTitel_liste,IF(LineærRegression_Valg[[#This Row],[Afhængig variabel ID]]=1,2,1))),$B$7)</f>
        <v>Eksempel 2 (interval)</v>
      </c>
      <c r="H1401" s="171">
        <f>_xlfn.AGGREGATE(2,5,LineærRegression_Valg[[#This Row],[Tabel ID]])</f>
        <v>1</v>
      </c>
    </row>
    <row r="1402" spans="1:8" x14ac:dyDescent="0.2">
      <c r="A1402">
        <f>ROW(LineærRegression_Valg[[#This Row],[Tabel ID]])-ROW(LineærRegression_Valg[[#Headers],[Tabel ID]])</f>
        <v>1392</v>
      </c>
      <c r="B1402" s="171">
        <f>ROUNDDOWN((LineærRegression_Valg[[#This Row],[Tabel ID]]-1)/$B$5,0)+1</f>
        <v>348</v>
      </c>
      <c r="C1402" s="171">
        <f t="shared" si="21"/>
        <v>4</v>
      </c>
      <c r="D1402" s="171" t="b">
        <f>LineærRegression_Valg[[#This Row],[Afhængig variabel ID]]&lt;&gt;LineærRegression_Valg[[#This Row],[Uafhængig variabel ID]]</f>
        <v>1</v>
      </c>
      <c r="E1402" t="b">
        <f>LineærRegression_Valg[[#This Row],[Afhængig variabel ID]]&lt;=$B$5</f>
        <v>0</v>
      </c>
      <c r="F1402" t="str" cm="1">
        <f t="array" ref="F1402">IF(LineærRegression_Valg[[#This Row],[Indenfor range]],INDEX(DataTitel_liste,LineærRegression_Valg[[#This Row],[Afhængig variabel ID]]),INDEX(DataTitel_liste,1))</f>
        <v>Eksempel 1 (interval)</v>
      </c>
      <c r="G1402" s="171" t="str" cm="1">
        <f t="array" ref="G1402">IF(LineærRegression_Valg[[#This Row],[Indenfor range]],IF(LineærRegression_Valg[[#This Row],[Intet overlap]],INDEX(DataTitel_liste,LineærRegression_Valg[[#This Row],[Uafhængig variabel ID]]),INDEX(DataTitel_liste,IF(LineærRegression_Valg[[#This Row],[Afhængig variabel ID]]=1,2,1))),$B$7)</f>
        <v>Eksempel 2 (interval)</v>
      </c>
      <c r="H1402" s="171">
        <f>_xlfn.AGGREGATE(2,5,LineærRegression_Valg[[#This Row],[Tabel ID]])</f>
        <v>1</v>
      </c>
    </row>
    <row r="1403" spans="1:8" x14ac:dyDescent="0.2">
      <c r="A1403">
        <f>ROW(LineærRegression_Valg[[#This Row],[Tabel ID]])-ROW(LineærRegression_Valg[[#Headers],[Tabel ID]])</f>
        <v>1393</v>
      </c>
      <c r="B1403" s="171">
        <f>ROUNDDOWN((LineærRegression_Valg[[#This Row],[Tabel ID]]-1)/$B$5,0)+1</f>
        <v>349</v>
      </c>
      <c r="C1403" s="171">
        <f t="shared" si="21"/>
        <v>1</v>
      </c>
      <c r="D1403" s="171" t="b">
        <f>LineærRegression_Valg[[#This Row],[Afhængig variabel ID]]&lt;&gt;LineærRegression_Valg[[#This Row],[Uafhængig variabel ID]]</f>
        <v>1</v>
      </c>
      <c r="E1403" t="b">
        <f>LineærRegression_Valg[[#This Row],[Afhængig variabel ID]]&lt;=$B$5</f>
        <v>0</v>
      </c>
      <c r="F1403" t="str" cm="1">
        <f t="array" ref="F1403">IF(LineærRegression_Valg[[#This Row],[Indenfor range]],INDEX(DataTitel_liste,LineærRegression_Valg[[#This Row],[Afhængig variabel ID]]),INDEX(DataTitel_liste,1))</f>
        <v>Eksempel 1 (interval)</v>
      </c>
      <c r="G1403" s="171" t="str" cm="1">
        <f t="array" ref="G1403">IF(LineærRegression_Valg[[#This Row],[Indenfor range]],IF(LineærRegression_Valg[[#This Row],[Intet overlap]],INDEX(DataTitel_liste,LineærRegression_Valg[[#This Row],[Uafhængig variabel ID]]),INDEX(DataTitel_liste,IF(LineærRegression_Valg[[#This Row],[Afhængig variabel ID]]=1,2,1))),$B$7)</f>
        <v>Eksempel 2 (interval)</v>
      </c>
      <c r="H1403" s="171">
        <f>_xlfn.AGGREGATE(2,5,LineærRegression_Valg[[#This Row],[Tabel ID]])</f>
        <v>1</v>
      </c>
    </row>
    <row r="1404" spans="1:8" x14ac:dyDescent="0.2">
      <c r="A1404">
        <f>ROW(LineærRegression_Valg[[#This Row],[Tabel ID]])-ROW(LineærRegression_Valg[[#Headers],[Tabel ID]])</f>
        <v>1394</v>
      </c>
      <c r="B1404" s="171">
        <f>ROUNDDOWN((LineærRegression_Valg[[#This Row],[Tabel ID]]-1)/$B$5,0)+1</f>
        <v>349</v>
      </c>
      <c r="C1404" s="171">
        <f t="shared" si="21"/>
        <v>2</v>
      </c>
      <c r="D1404" s="171" t="b">
        <f>LineærRegression_Valg[[#This Row],[Afhængig variabel ID]]&lt;&gt;LineærRegression_Valg[[#This Row],[Uafhængig variabel ID]]</f>
        <v>1</v>
      </c>
      <c r="E1404" t="b">
        <f>LineærRegression_Valg[[#This Row],[Afhængig variabel ID]]&lt;=$B$5</f>
        <v>0</v>
      </c>
      <c r="F1404" t="str" cm="1">
        <f t="array" ref="F1404">IF(LineærRegression_Valg[[#This Row],[Indenfor range]],INDEX(DataTitel_liste,LineærRegression_Valg[[#This Row],[Afhængig variabel ID]]),INDEX(DataTitel_liste,1))</f>
        <v>Eksempel 1 (interval)</v>
      </c>
      <c r="G1404" s="171" t="str" cm="1">
        <f t="array" ref="G1404">IF(LineærRegression_Valg[[#This Row],[Indenfor range]],IF(LineærRegression_Valg[[#This Row],[Intet overlap]],INDEX(DataTitel_liste,LineærRegression_Valg[[#This Row],[Uafhængig variabel ID]]),INDEX(DataTitel_liste,IF(LineærRegression_Valg[[#This Row],[Afhængig variabel ID]]=1,2,1))),$B$7)</f>
        <v>Eksempel 2 (interval)</v>
      </c>
      <c r="H1404" s="171">
        <f>_xlfn.AGGREGATE(2,5,LineærRegression_Valg[[#This Row],[Tabel ID]])</f>
        <v>1</v>
      </c>
    </row>
    <row r="1405" spans="1:8" x14ac:dyDescent="0.2">
      <c r="A1405">
        <f>ROW(LineærRegression_Valg[[#This Row],[Tabel ID]])-ROW(LineærRegression_Valg[[#Headers],[Tabel ID]])</f>
        <v>1395</v>
      </c>
      <c r="B1405" s="171">
        <f>ROUNDDOWN((LineærRegression_Valg[[#This Row],[Tabel ID]]-1)/$B$5,0)+1</f>
        <v>349</v>
      </c>
      <c r="C1405" s="171">
        <f t="shared" si="21"/>
        <v>3</v>
      </c>
      <c r="D1405" s="171" t="b">
        <f>LineærRegression_Valg[[#This Row],[Afhængig variabel ID]]&lt;&gt;LineærRegression_Valg[[#This Row],[Uafhængig variabel ID]]</f>
        <v>1</v>
      </c>
      <c r="E1405" t="b">
        <f>LineærRegression_Valg[[#This Row],[Afhængig variabel ID]]&lt;=$B$5</f>
        <v>0</v>
      </c>
      <c r="F1405" t="str" cm="1">
        <f t="array" ref="F1405">IF(LineærRegression_Valg[[#This Row],[Indenfor range]],INDEX(DataTitel_liste,LineærRegression_Valg[[#This Row],[Afhængig variabel ID]]),INDEX(DataTitel_liste,1))</f>
        <v>Eksempel 1 (interval)</v>
      </c>
      <c r="G1405" s="171" t="str" cm="1">
        <f t="array" ref="G1405">IF(LineærRegression_Valg[[#This Row],[Indenfor range]],IF(LineærRegression_Valg[[#This Row],[Intet overlap]],INDEX(DataTitel_liste,LineærRegression_Valg[[#This Row],[Uafhængig variabel ID]]),INDEX(DataTitel_liste,IF(LineærRegression_Valg[[#This Row],[Afhængig variabel ID]]=1,2,1))),$B$7)</f>
        <v>Eksempel 2 (interval)</v>
      </c>
      <c r="H1405" s="171">
        <f>_xlfn.AGGREGATE(2,5,LineærRegression_Valg[[#This Row],[Tabel ID]])</f>
        <v>1</v>
      </c>
    </row>
    <row r="1406" spans="1:8" x14ac:dyDescent="0.2">
      <c r="A1406">
        <f>ROW(LineærRegression_Valg[[#This Row],[Tabel ID]])-ROW(LineærRegression_Valg[[#Headers],[Tabel ID]])</f>
        <v>1396</v>
      </c>
      <c r="B1406" s="171">
        <f>ROUNDDOWN((LineærRegression_Valg[[#This Row],[Tabel ID]]-1)/$B$5,0)+1</f>
        <v>349</v>
      </c>
      <c r="C1406" s="171">
        <f t="shared" si="21"/>
        <v>4</v>
      </c>
      <c r="D1406" s="171" t="b">
        <f>LineærRegression_Valg[[#This Row],[Afhængig variabel ID]]&lt;&gt;LineærRegression_Valg[[#This Row],[Uafhængig variabel ID]]</f>
        <v>1</v>
      </c>
      <c r="E1406" t="b">
        <f>LineærRegression_Valg[[#This Row],[Afhængig variabel ID]]&lt;=$B$5</f>
        <v>0</v>
      </c>
      <c r="F1406" t="str" cm="1">
        <f t="array" ref="F1406">IF(LineærRegression_Valg[[#This Row],[Indenfor range]],INDEX(DataTitel_liste,LineærRegression_Valg[[#This Row],[Afhængig variabel ID]]),INDEX(DataTitel_liste,1))</f>
        <v>Eksempel 1 (interval)</v>
      </c>
      <c r="G1406" s="171" t="str" cm="1">
        <f t="array" ref="G1406">IF(LineærRegression_Valg[[#This Row],[Indenfor range]],IF(LineærRegression_Valg[[#This Row],[Intet overlap]],INDEX(DataTitel_liste,LineærRegression_Valg[[#This Row],[Uafhængig variabel ID]]),INDEX(DataTitel_liste,IF(LineærRegression_Valg[[#This Row],[Afhængig variabel ID]]=1,2,1))),$B$7)</f>
        <v>Eksempel 2 (interval)</v>
      </c>
      <c r="H1406" s="171">
        <f>_xlfn.AGGREGATE(2,5,LineærRegression_Valg[[#This Row],[Tabel ID]])</f>
        <v>1</v>
      </c>
    </row>
    <row r="1407" spans="1:8" x14ac:dyDescent="0.2">
      <c r="A1407">
        <f>ROW(LineærRegression_Valg[[#This Row],[Tabel ID]])-ROW(LineærRegression_Valg[[#Headers],[Tabel ID]])</f>
        <v>1397</v>
      </c>
      <c r="B1407" s="171">
        <f>ROUNDDOWN((LineærRegression_Valg[[#This Row],[Tabel ID]]-1)/$B$5,0)+1</f>
        <v>350</v>
      </c>
      <c r="C1407" s="171">
        <f t="shared" si="21"/>
        <v>1</v>
      </c>
      <c r="D1407" s="171" t="b">
        <f>LineærRegression_Valg[[#This Row],[Afhængig variabel ID]]&lt;&gt;LineærRegression_Valg[[#This Row],[Uafhængig variabel ID]]</f>
        <v>1</v>
      </c>
      <c r="E1407" t="b">
        <f>LineærRegression_Valg[[#This Row],[Afhængig variabel ID]]&lt;=$B$5</f>
        <v>0</v>
      </c>
      <c r="F1407" t="str" cm="1">
        <f t="array" ref="F1407">IF(LineærRegression_Valg[[#This Row],[Indenfor range]],INDEX(DataTitel_liste,LineærRegression_Valg[[#This Row],[Afhængig variabel ID]]),INDEX(DataTitel_liste,1))</f>
        <v>Eksempel 1 (interval)</v>
      </c>
      <c r="G1407" s="171" t="str" cm="1">
        <f t="array" ref="G1407">IF(LineærRegression_Valg[[#This Row],[Indenfor range]],IF(LineærRegression_Valg[[#This Row],[Intet overlap]],INDEX(DataTitel_liste,LineærRegression_Valg[[#This Row],[Uafhængig variabel ID]]),INDEX(DataTitel_liste,IF(LineærRegression_Valg[[#This Row],[Afhængig variabel ID]]=1,2,1))),$B$7)</f>
        <v>Eksempel 2 (interval)</v>
      </c>
      <c r="H1407" s="171">
        <f>_xlfn.AGGREGATE(2,5,LineærRegression_Valg[[#This Row],[Tabel ID]])</f>
        <v>1</v>
      </c>
    </row>
    <row r="1408" spans="1:8" x14ac:dyDescent="0.2">
      <c r="A1408">
        <f>ROW(LineærRegression_Valg[[#This Row],[Tabel ID]])-ROW(LineærRegression_Valg[[#Headers],[Tabel ID]])</f>
        <v>1398</v>
      </c>
      <c r="B1408" s="171">
        <f>ROUNDDOWN((LineærRegression_Valg[[#This Row],[Tabel ID]]-1)/$B$5,0)+1</f>
        <v>350</v>
      </c>
      <c r="C1408" s="171">
        <f t="shared" si="21"/>
        <v>2</v>
      </c>
      <c r="D1408" s="171" t="b">
        <f>LineærRegression_Valg[[#This Row],[Afhængig variabel ID]]&lt;&gt;LineærRegression_Valg[[#This Row],[Uafhængig variabel ID]]</f>
        <v>1</v>
      </c>
      <c r="E1408" t="b">
        <f>LineærRegression_Valg[[#This Row],[Afhængig variabel ID]]&lt;=$B$5</f>
        <v>0</v>
      </c>
      <c r="F1408" t="str" cm="1">
        <f t="array" ref="F1408">IF(LineærRegression_Valg[[#This Row],[Indenfor range]],INDEX(DataTitel_liste,LineærRegression_Valg[[#This Row],[Afhængig variabel ID]]),INDEX(DataTitel_liste,1))</f>
        <v>Eksempel 1 (interval)</v>
      </c>
      <c r="G1408" s="171" t="str" cm="1">
        <f t="array" ref="G1408">IF(LineærRegression_Valg[[#This Row],[Indenfor range]],IF(LineærRegression_Valg[[#This Row],[Intet overlap]],INDEX(DataTitel_liste,LineærRegression_Valg[[#This Row],[Uafhængig variabel ID]]),INDEX(DataTitel_liste,IF(LineærRegression_Valg[[#This Row],[Afhængig variabel ID]]=1,2,1))),$B$7)</f>
        <v>Eksempel 2 (interval)</v>
      </c>
      <c r="H1408" s="171">
        <f>_xlfn.AGGREGATE(2,5,LineærRegression_Valg[[#This Row],[Tabel ID]])</f>
        <v>1</v>
      </c>
    </row>
    <row r="1409" spans="1:8" x14ac:dyDescent="0.2">
      <c r="A1409">
        <f>ROW(LineærRegression_Valg[[#This Row],[Tabel ID]])-ROW(LineærRegression_Valg[[#Headers],[Tabel ID]])</f>
        <v>1399</v>
      </c>
      <c r="B1409" s="171">
        <f>ROUNDDOWN((LineærRegression_Valg[[#This Row],[Tabel ID]]-1)/$B$5,0)+1</f>
        <v>350</v>
      </c>
      <c r="C1409" s="171">
        <f t="shared" si="21"/>
        <v>3</v>
      </c>
      <c r="D1409" s="171" t="b">
        <f>LineærRegression_Valg[[#This Row],[Afhængig variabel ID]]&lt;&gt;LineærRegression_Valg[[#This Row],[Uafhængig variabel ID]]</f>
        <v>1</v>
      </c>
      <c r="E1409" t="b">
        <f>LineærRegression_Valg[[#This Row],[Afhængig variabel ID]]&lt;=$B$5</f>
        <v>0</v>
      </c>
      <c r="F1409" t="str" cm="1">
        <f t="array" ref="F1409">IF(LineærRegression_Valg[[#This Row],[Indenfor range]],INDEX(DataTitel_liste,LineærRegression_Valg[[#This Row],[Afhængig variabel ID]]),INDEX(DataTitel_liste,1))</f>
        <v>Eksempel 1 (interval)</v>
      </c>
      <c r="G1409" s="171" t="str" cm="1">
        <f t="array" ref="G1409">IF(LineærRegression_Valg[[#This Row],[Indenfor range]],IF(LineærRegression_Valg[[#This Row],[Intet overlap]],INDEX(DataTitel_liste,LineærRegression_Valg[[#This Row],[Uafhængig variabel ID]]),INDEX(DataTitel_liste,IF(LineærRegression_Valg[[#This Row],[Afhængig variabel ID]]=1,2,1))),$B$7)</f>
        <v>Eksempel 2 (interval)</v>
      </c>
      <c r="H1409" s="171">
        <f>_xlfn.AGGREGATE(2,5,LineærRegression_Valg[[#This Row],[Tabel ID]])</f>
        <v>1</v>
      </c>
    </row>
    <row r="1410" spans="1:8" x14ac:dyDescent="0.2">
      <c r="A1410">
        <f>ROW(LineærRegression_Valg[[#This Row],[Tabel ID]])-ROW(LineærRegression_Valg[[#Headers],[Tabel ID]])</f>
        <v>1400</v>
      </c>
      <c r="B1410" s="171">
        <f>ROUNDDOWN((LineærRegression_Valg[[#This Row],[Tabel ID]]-1)/$B$5,0)+1</f>
        <v>350</v>
      </c>
      <c r="C1410" s="171">
        <f t="shared" si="21"/>
        <v>4</v>
      </c>
      <c r="D1410" s="171" t="b">
        <f>LineærRegression_Valg[[#This Row],[Afhængig variabel ID]]&lt;&gt;LineærRegression_Valg[[#This Row],[Uafhængig variabel ID]]</f>
        <v>1</v>
      </c>
      <c r="E1410" t="b">
        <f>LineærRegression_Valg[[#This Row],[Afhængig variabel ID]]&lt;=$B$5</f>
        <v>0</v>
      </c>
      <c r="F1410" t="str" cm="1">
        <f t="array" ref="F1410">IF(LineærRegression_Valg[[#This Row],[Indenfor range]],INDEX(DataTitel_liste,LineærRegression_Valg[[#This Row],[Afhængig variabel ID]]),INDEX(DataTitel_liste,1))</f>
        <v>Eksempel 1 (interval)</v>
      </c>
      <c r="G1410" s="171" t="str" cm="1">
        <f t="array" ref="G1410">IF(LineærRegression_Valg[[#This Row],[Indenfor range]],IF(LineærRegression_Valg[[#This Row],[Intet overlap]],INDEX(DataTitel_liste,LineærRegression_Valg[[#This Row],[Uafhængig variabel ID]]),INDEX(DataTitel_liste,IF(LineærRegression_Valg[[#This Row],[Afhængig variabel ID]]=1,2,1))),$B$7)</f>
        <v>Eksempel 2 (interval)</v>
      </c>
      <c r="H1410" s="171">
        <f>_xlfn.AGGREGATE(2,5,LineærRegression_Valg[[#This Row],[Tabel ID]])</f>
        <v>1</v>
      </c>
    </row>
    <row r="1411" spans="1:8" x14ac:dyDescent="0.2">
      <c r="A1411">
        <f>ROW(LineærRegression_Valg[[#This Row],[Tabel ID]])-ROW(LineærRegression_Valg[[#Headers],[Tabel ID]])</f>
        <v>1401</v>
      </c>
      <c r="B1411" s="171">
        <f>ROUNDDOWN((LineærRegression_Valg[[#This Row],[Tabel ID]]-1)/$B$5,0)+1</f>
        <v>351</v>
      </c>
      <c r="C1411" s="171">
        <f t="shared" si="21"/>
        <v>1</v>
      </c>
      <c r="D1411" s="171" t="b">
        <f>LineærRegression_Valg[[#This Row],[Afhængig variabel ID]]&lt;&gt;LineærRegression_Valg[[#This Row],[Uafhængig variabel ID]]</f>
        <v>1</v>
      </c>
      <c r="E1411" t="b">
        <f>LineærRegression_Valg[[#This Row],[Afhængig variabel ID]]&lt;=$B$5</f>
        <v>0</v>
      </c>
      <c r="F1411" t="str" cm="1">
        <f t="array" ref="F1411">IF(LineærRegression_Valg[[#This Row],[Indenfor range]],INDEX(DataTitel_liste,LineærRegression_Valg[[#This Row],[Afhængig variabel ID]]),INDEX(DataTitel_liste,1))</f>
        <v>Eksempel 1 (interval)</v>
      </c>
      <c r="G1411" s="171" t="str" cm="1">
        <f t="array" ref="G1411">IF(LineærRegression_Valg[[#This Row],[Indenfor range]],IF(LineærRegression_Valg[[#This Row],[Intet overlap]],INDEX(DataTitel_liste,LineærRegression_Valg[[#This Row],[Uafhængig variabel ID]]),INDEX(DataTitel_liste,IF(LineærRegression_Valg[[#This Row],[Afhængig variabel ID]]=1,2,1))),$B$7)</f>
        <v>Eksempel 2 (interval)</v>
      </c>
      <c r="H1411" s="171">
        <f>_xlfn.AGGREGATE(2,5,LineærRegression_Valg[[#This Row],[Tabel ID]])</f>
        <v>1</v>
      </c>
    </row>
    <row r="1412" spans="1:8" x14ac:dyDescent="0.2">
      <c r="A1412">
        <f>ROW(LineærRegression_Valg[[#This Row],[Tabel ID]])-ROW(LineærRegression_Valg[[#Headers],[Tabel ID]])</f>
        <v>1402</v>
      </c>
      <c r="B1412" s="171">
        <f>ROUNDDOWN((LineærRegression_Valg[[#This Row],[Tabel ID]]-1)/$B$5,0)+1</f>
        <v>351</v>
      </c>
      <c r="C1412" s="171">
        <f t="shared" si="21"/>
        <v>2</v>
      </c>
      <c r="D1412" s="171" t="b">
        <f>LineærRegression_Valg[[#This Row],[Afhængig variabel ID]]&lt;&gt;LineærRegression_Valg[[#This Row],[Uafhængig variabel ID]]</f>
        <v>1</v>
      </c>
      <c r="E1412" t="b">
        <f>LineærRegression_Valg[[#This Row],[Afhængig variabel ID]]&lt;=$B$5</f>
        <v>0</v>
      </c>
      <c r="F1412" t="str" cm="1">
        <f t="array" ref="F1412">IF(LineærRegression_Valg[[#This Row],[Indenfor range]],INDEX(DataTitel_liste,LineærRegression_Valg[[#This Row],[Afhængig variabel ID]]),INDEX(DataTitel_liste,1))</f>
        <v>Eksempel 1 (interval)</v>
      </c>
      <c r="G1412" s="171" t="str" cm="1">
        <f t="array" ref="G1412">IF(LineærRegression_Valg[[#This Row],[Indenfor range]],IF(LineærRegression_Valg[[#This Row],[Intet overlap]],INDEX(DataTitel_liste,LineærRegression_Valg[[#This Row],[Uafhængig variabel ID]]),INDEX(DataTitel_liste,IF(LineærRegression_Valg[[#This Row],[Afhængig variabel ID]]=1,2,1))),$B$7)</f>
        <v>Eksempel 2 (interval)</v>
      </c>
      <c r="H1412" s="171">
        <f>_xlfn.AGGREGATE(2,5,LineærRegression_Valg[[#This Row],[Tabel ID]])</f>
        <v>1</v>
      </c>
    </row>
    <row r="1413" spans="1:8" x14ac:dyDescent="0.2">
      <c r="A1413">
        <f>ROW(LineærRegression_Valg[[#This Row],[Tabel ID]])-ROW(LineærRegression_Valg[[#Headers],[Tabel ID]])</f>
        <v>1403</v>
      </c>
      <c r="B1413" s="171">
        <f>ROUNDDOWN((LineærRegression_Valg[[#This Row],[Tabel ID]]-1)/$B$5,0)+1</f>
        <v>351</v>
      </c>
      <c r="C1413" s="171">
        <f t="shared" si="21"/>
        <v>3</v>
      </c>
      <c r="D1413" s="171" t="b">
        <f>LineærRegression_Valg[[#This Row],[Afhængig variabel ID]]&lt;&gt;LineærRegression_Valg[[#This Row],[Uafhængig variabel ID]]</f>
        <v>1</v>
      </c>
      <c r="E1413" t="b">
        <f>LineærRegression_Valg[[#This Row],[Afhængig variabel ID]]&lt;=$B$5</f>
        <v>0</v>
      </c>
      <c r="F1413" t="str" cm="1">
        <f t="array" ref="F1413">IF(LineærRegression_Valg[[#This Row],[Indenfor range]],INDEX(DataTitel_liste,LineærRegression_Valg[[#This Row],[Afhængig variabel ID]]),INDEX(DataTitel_liste,1))</f>
        <v>Eksempel 1 (interval)</v>
      </c>
      <c r="G1413" s="171" t="str" cm="1">
        <f t="array" ref="G1413">IF(LineærRegression_Valg[[#This Row],[Indenfor range]],IF(LineærRegression_Valg[[#This Row],[Intet overlap]],INDEX(DataTitel_liste,LineærRegression_Valg[[#This Row],[Uafhængig variabel ID]]),INDEX(DataTitel_liste,IF(LineærRegression_Valg[[#This Row],[Afhængig variabel ID]]=1,2,1))),$B$7)</f>
        <v>Eksempel 2 (interval)</v>
      </c>
      <c r="H1413" s="171">
        <f>_xlfn.AGGREGATE(2,5,LineærRegression_Valg[[#This Row],[Tabel ID]])</f>
        <v>1</v>
      </c>
    </row>
    <row r="1414" spans="1:8" x14ac:dyDescent="0.2">
      <c r="A1414">
        <f>ROW(LineærRegression_Valg[[#This Row],[Tabel ID]])-ROW(LineærRegression_Valg[[#Headers],[Tabel ID]])</f>
        <v>1404</v>
      </c>
      <c r="B1414" s="171">
        <f>ROUNDDOWN((LineærRegression_Valg[[#This Row],[Tabel ID]]-1)/$B$5,0)+1</f>
        <v>351</v>
      </c>
      <c r="C1414" s="171">
        <f t="shared" si="21"/>
        <v>4</v>
      </c>
      <c r="D1414" s="171" t="b">
        <f>LineærRegression_Valg[[#This Row],[Afhængig variabel ID]]&lt;&gt;LineærRegression_Valg[[#This Row],[Uafhængig variabel ID]]</f>
        <v>1</v>
      </c>
      <c r="E1414" t="b">
        <f>LineærRegression_Valg[[#This Row],[Afhængig variabel ID]]&lt;=$B$5</f>
        <v>0</v>
      </c>
      <c r="F1414" t="str" cm="1">
        <f t="array" ref="F1414">IF(LineærRegression_Valg[[#This Row],[Indenfor range]],INDEX(DataTitel_liste,LineærRegression_Valg[[#This Row],[Afhængig variabel ID]]),INDEX(DataTitel_liste,1))</f>
        <v>Eksempel 1 (interval)</v>
      </c>
      <c r="G1414" s="171" t="str" cm="1">
        <f t="array" ref="G1414">IF(LineærRegression_Valg[[#This Row],[Indenfor range]],IF(LineærRegression_Valg[[#This Row],[Intet overlap]],INDEX(DataTitel_liste,LineærRegression_Valg[[#This Row],[Uafhængig variabel ID]]),INDEX(DataTitel_liste,IF(LineærRegression_Valg[[#This Row],[Afhængig variabel ID]]=1,2,1))),$B$7)</f>
        <v>Eksempel 2 (interval)</v>
      </c>
      <c r="H1414" s="171">
        <f>_xlfn.AGGREGATE(2,5,LineærRegression_Valg[[#This Row],[Tabel ID]])</f>
        <v>1</v>
      </c>
    </row>
    <row r="1415" spans="1:8" x14ac:dyDescent="0.2">
      <c r="A1415">
        <f>ROW(LineærRegression_Valg[[#This Row],[Tabel ID]])-ROW(LineærRegression_Valg[[#Headers],[Tabel ID]])</f>
        <v>1405</v>
      </c>
      <c r="B1415" s="171">
        <f>ROUNDDOWN((LineærRegression_Valg[[#This Row],[Tabel ID]]-1)/$B$5,0)+1</f>
        <v>352</v>
      </c>
      <c r="C1415" s="171">
        <f t="shared" si="21"/>
        <v>1</v>
      </c>
      <c r="D1415" s="171" t="b">
        <f>LineærRegression_Valg[[#This Row],[Afhængig variabel ID]]&lt;&gt;LineærRegression_Valg[[#This Row],[Uafhængig variabel ID]]</f>
        <v>1</v>
      </c>
      <c r="E1415" t="b">
        <f>LineærRegression_Valg[[#This Row],[Afhængig variabel ID]]&lt;=$B$5</f>
        <v>0</v>
      </c>
      <c r="F1415" t="str" cm="1">
        <f t="array" ref="F1415">IF(LineærRegression_Valg[[#This Row],[Indenfor range]],INDEX(DataTitel_liste,LineærRegression_Valg[[#This Row],[Afhængig variabel ID]]),INDEX(DataTitel_liste,1))</f>
        <v>Eksempel 1 (interval)</v>
      </c>
      <c r="G1415" s="171" t="str" cm="1">
        <f t="array" ref="G1415">IF(LineærRegression_Valg[[#This Row],[Indenfor range]],IF(LineærRegression_Valg[[#This Row],[Intet overlap]],INDEX(DataTitel_liste,LineærRegression_Valg[[#This Row],[Uafhængig variabel ID]]),INDEX(DataTitel_liste,IF(LineærRegression_Valg[[#This Row],[Afhængig variabel ID]]=1,2,1))),$B$7)</f>
        <v>Eksempel 2 (interval)</v>
      </c>
      <c r="H1415" s="171">
        <f>_xlfn.AGGREGATE(2,5,LineærRegression_Valg[[#This Row],[Tabel ID]])</f>
        <v>1</v>
      </c>
    </row>
    <row r="1416" spans="1:8" x14ac:dyDescent="0.2">
      <c r="A1416">
        <f>ROW(LineærRegression_Valg[[#This Row],[Tabel ID]])-ROW(LineærRegression_Valg[[#Headers],[Tabel ID]])</f>
        <v>1406</v>
      </c>
      <c r="B1416" s="171">
        <f>ROUNDDOWN((LineærRegression_Valg[[#This Row],[Tabel ID]]-1)/$B$5,0)+1</f>
        <v>352</v>
      </c>
      <c r="C1416" s="171">
        <f t="shared" si="21"/>
        <v>2</v>
      </c>
      <c r="D1416" s="171" t="b">
        <f>LineærRegression_Valg[[#This Row],[Afhængig variabel ID]]&lt;&gt;LineærRegression_Valg[[#This Row],[Uafhængig variabel ID]]</f>
        <v>1</v>
      </c>
      <c r="E1416" t="b">
        <f>LineærRegression_Valg[[#This Row],[Afhængig variabel ID]]&lt;=$B$5</f>
        <v>0</v>
      </c>
      <c r="F1416" t="str" cm="1">
        <f t="array" ref="F1416">IF(LineærRegression_Valg[[#This Row],[Indenfor range]],INDEX(DataTitel_liste,LineærRegression_Valg[[#This Row],[Afhængig variabel ID]]),INDEX(DataTitel_liste,1))</f>
        <v>Eksempel 1 (interval)</v>
      </c>
      <c r="G1416" s="171" t="str" cm="1">
        <f t="array" ref="G1416">IF(LineærRegression_Valg[[#This Row],[Indenfor range]],IF(LineærRegression_Valg[[#This Row],[Intet overlap]],INDEX(DataTitel_liste,LineærRegression_Valg[[#This Row],[Uafhængig variabel ID]]),INDEX(DataTitel_liste,IF(LineærRegression_Valg[[#This Row],[Afhængig variabel ID]]=1,2,1))),$B$7)</f>
        <v>Eksempel 2 (interval)</v>
      </c>
      <c r="H1416" s="171">
        <f>_xlfn.AGGREGATE(2,5,LineærRegression_Valg[[#This Row],[Tabel ID]])</f>
        <v>1</v>
      </c>
    </row>
    <row r="1417" spans="1:8" x14ac:dyDescent="0.2">
      <c r="A1417">
        <f>ROW(LineærRegression_Valg[[#This Row],[Tabel ID]])-ROW(LineærRegression_Valg[[#Headers],[Tabel ID]])</f>
        <v>1407</v>
      </c>
      <c r="B1417" s="171">
        <f>ROUNDDOWN((LineærRegression_Valg[[#This Row],[Tabel ID]]-1)/$B$5,0)+1</f>
        <v>352</v>
      </c>
      <c r="C1417" s="171">
        <f t="shared" si="21"/>
        <v>3</v>
      </c>
      <c r="D1417" s="171" t="b">
        <f>LineærRegression_Valg[[#This Row],[Afhængig variabel ID]]&lt;&gt;LineærRegression_Valg[[#This Row],[Uafhængig variabel ID]]</f>
        <v>1</v>
      </c>
      <c r="E1417" t="b">
        <f>LineærRegression_Valg[[#This Row],[Afhængig variabel ID]]&lt;=$B$5</f>
        <v>0</v>
      </c>
      <c r="F1417" t="str" cm="1">
        <f t="array" ref="F1417">IF(LineærRegression_Valg[[#This Row],[Indenfor range]],INDEX(DataTitel_liste,LineærRegression_Valg[[#This Row],[Afhængig variabel ID]]),INDEX(DataTitel_liste,1))</f>
        <v>Eksempel 1 (interval)</v>
      </c>
      <c r="G1417" s="171" t="str" cm="1">
        <f t="array" ref="G1417">IF(LineærRegression_Valg[[#This Row],[Indenfor range]],IF(LineærRegression_Valg[[#This Row],[Intet overlap]],INDEX(DataTitel_liste,LineærRegression_Valg[[#This Row],[Uafhængig variabel ID]]),INDEX(DataTitel_liste,IF(LineærRegression_Valg[[#This Row],[Afhængig variabel ID]]=1,2,1))),$B$7)</f>
        <v>Eksempel 2 (interval)</v>
      </c>
      <c r="H1417" s="171">
        <f>_xlfn.AGGREGATE(2,5,LineærRegression_Valg[[#This Row],[Tabel ID]])</f>
        <v>1</v>
      </c>
    </row>
    <row r="1418" spans="1:8" x14ac:dyDescent="0.2">
      <c r="A1418">
        <f>ROW(LineærRegression_Valg[[#This Row],[Tabel ID]])-ROW(LineærRegression_Valg[[#Headers],[Tabel ID]])</f>
        <v>1408</v>
      </c>
      <c r="B1418" s="171">
        <f>ROUNDDOWN((LineærRegression_Valg[[#This Row],[Tabel ID]]-1)/$B$5,0)+1</f>
        <v>352</v>
      </c>
      <c r="C1418" s="171">
        <f t="shared" si="21"/>
        <v>4</v>
      </c>
      <c r="D1418" s="171" t="b">
        <f>LineærRegression_Valg[[#This Row],[Afhængig variabel ID]]&lt;&gt;LineærRegression_Valg[[#This Row],[Uafhængig variabel ID]]</f>
        <v>1</v>
      </c>
      <c r="E1418" t="b">
        <f>LineærRegression_Valg[[#This Row],[Afhængig variabel ID]]&lt;=$B$5</f>
        <v>0</v>
      </c>
      <c r="F1418" t="str" cm="1">
        <f t="array" ref="F1418">IF(LineærRegression_Valg[[#This Row],[Indenfor range]],INDEX(DataTitel_liste,LineærRegression_Valg[[#This Row],[Afhængig variabel ID]]),INDEX(DataTitel_liste,1))</f>
        <v>Eksempel 1 (interval)</v>
      </c>
      <c r="G1418" s="171" t="str" cm="1">
        <f t="array" ref="G1418">IF(LineærRegression_Valg[[#This Row],[Indenfor range]],IF(LineærRegression_Valg[[#This Row],[Intet overlap]],INDEX(DataTitel_liste,LineærRegression_Valg[[#This Row],[Uafhængig variabel ID]]),INDEX(DataTitel_liste,IF(LineærRegression_Valg[[#This Row],[Afhængig variabel ID]]=1,2,1))),$B$7)</f>
        <v>Eksempel 2 (interval)</v>
      </c>
      <c r="H1418" s="171">
        <f>_xlfn.AGGREGATE(2,5,LineærRegression_Valg[[#This Row],[Tabel ID]])</f>
        <v>1</v>
      </c>
    </row>
    <row r="1419" spans="1:8" x14ac:dyDescent="0.2">
      <c r="A1419">
        <f>ROW(LineærRegression_Valg[[#This Row],[Tabel ID]])-ROW(LineærRegression_Valg[[#Headers],[Tabel ID]])</f>
        <v>1409</v>
      </c>
      <c r="B1419" s="171">
        <f>ROUNDDOWN((LineærRegression_Valg[[#This Row],[Tabel ID]]-1)/$B$5,0)+1</f>
        <v>353</v>
      </c>
      <c r="C1419" s="171">
        <f t="shared" ref="C1419:C1482" si="22">MOD(A1419-1,$B$5)+1</f>
        <v>1</v>
      </c>
      <c r="D1419" s="171" t="b">
        <f>LineærRegression_Valg[[#This Row],[Afhængig variabel ID]]&lt;&gt;LineærRegression_Valg[[#This Row],[Uafhængig variabel ID]]</f>
        <v>1</v>
      </c>
      <c r="E1419" t="b">
        <f>LineærRegression_Valg[[#This Row],[Afhængig variabel ID]]&lt;=$B$5</f>
        <v>0</v>
      </c>
      <c r="F1419" t="str" cm="1">
        <f t="array" ref="F1419">IF(LineærRegression_Valg[[#This Row],[Indenfor range]],INDEX(DataTitel_liste,LineærRegression_Valg[[#This Row],[Afhængig variabel ID]]),INDEX(DataTitel_liste,1))</f>
        <v>Eksempel 1 (interval)</v>
      </c>
      <c r="G1419" s="171" t="str" cm="1">
        <f t="array" ref="G1419">IF(LineærRegression_Valg[[#This Row],[Indenfor range]],IF(LineærRegression_Valg[[#This Row],[Intet overlap]],INDEX(DataTitel_liste,LineærRegression_Valg[[#This Row],[Uafhængig variabel ID]]),INDEX(DataTitel_liste,IF(LineærRegression_Valg[[#This Row],[Afhængig variabel ID]]=1,2,1))),$B$7)</f>
        <v>Eksempel 2 (interval)</v>
      </c>
      <c r="H1419" s="171">
        <f>_xlfn.AGGREGATE(2,5,LineærRegression_Valg[[#This Row],[Tabel ID]])</f>
        <v>1</v>
      </c>
    </row>
    <row r="1420" spans="1:8" x14ac:dyDescent="0.2">
      <c r="A1420">
        <f>ROW(LineærRegression_Valg[[#This Row],[Tabel ID]])-ROW(LineærRegression_Valg[[#Headers],[Tabel ID]])</f>
        <v>1410</v>
      </c>
      <c r="B1420" s="171">
        <f>ROUNDDOWN((LineærRegression_Valg[[#This Row],[Tabel ID]]-1)/$B$5,0)+1</f>
        <v>353</v>
      </c>
      <c r="C1420" s="171">
        <f t="shared" si="22"/>
        <v>2</v>
      </c>
      <c r="D1420" s="171" t="b">
        <f>LineærRegression_Valg[[#This Row],[Afhængig variabel ID]]&lt;&gt;LineærRegression_Valg[[#This Row],[Uafhængig variabel ID]]</f>
        <v>1</v>
      </c>
      <c r="E1420" t="b">
        <f>LineærRegression_Valg[[#This Row],[Afhængig variabel ID]]&lt;=$B$5</f>
        <v>0</v>
      </c>
      <c r="F1420" t="str" cm="1">
        <f t="array" ref="F1420">IF(LineærRegression_Valg[[#This Row],[Indenfor range]],INDEX(DataTitel_liste,LineærRegression_Valg[[#This Row],[Afhængig variabel ID]]),INDEX(DataTitel_liste,1))</f>
        <v>Eksempel 1 (interval)</v>
      </c>
      <c r="G1420" s="171" t="str" cm="1">
        <f t="array" ref="G1420">IF(LineærRegression_Valg[[#This Row],[Indenfor range]],IF(LineærRegression_Valg[[#This Row],[Intet overlap]],INDEX(DataTitel_liste,LineærRegression_Valg[[#This Row],[Uafhængig variabel ID]]),INDEX(DataTitel_liste,IF(LineærRegression_Valg[[#This Row],[Afhængig variabel ID]]=1,2,1))),$B$7)</f>
        <v>Eksempel 2 (interval)</v>
      </c>
      <c r="H1420" s="171">
        <f>_xlfn.AGGREGATE(2,5,LineærRegression_Valg[[#This Row],[Tabel ID]])</f>
        <v>1</v>
      </c>
    </row>
    <row r="1421" spans="1:8" x14ac:dyDescent="0.2">
      <c r="A1421">
        <f>ROW(LineærRegression_Valg[[#This Row],[Tabel ID]])-ROW(LineærRegression_Valg[[#Headers],[Tabel ID]])</f>
        <v>1411</v>
      </c>
      <c r="B1421" s="171">
        <f>ROUNDDOWN((LineærRegression_Valg[[#This Row],[Tabel ID]]-1)/$B$5,0)+1</f>
        <v>353</v>
      </c>
      <c r="C1421" s="171">
        <f t="shared" si="22"/>
        <v>3</v>
      </c>
      <c r="D1421" s="171" t="b">
        <f>LineærRegression_Valg[[#This Row],[Afhængig variabel ID]]&lt;&gt;LineærRegression_Valg[[#This Row],[Uafhængig variabel ID]]</f>
        <v>1</v>
      </c>
      <c r="E1421" t="b">
        <f>LineærRegression_Valg[[#This Row],[Afhængig variabel ID]]&lt;=$B$5</f>
        <v>0</v>
      </c>
      <c r="F1421" t="str" cm="1">
        <f t="array" ref="F1421">IF(LineærRegression_Valg[[#This Row],[Indenfor range]],INDEX(DataTitel_liste,LineærRegression_Valg[[#This Row],[Afhængig variabel ID]]),INDEX(DataTitel_liste,1))</f>
        <v>Eksempel 1 (interval)</v>
      </c>
      <c r="G1421" s="171" t="str" cm="1">
        <f t="array" ref="G1421">IF(LineærRegression_Valg[[#This Row],[Indenfor range]],IF(LineærRegression_Valg[[#This Row],[Intet overlap]],INDEX(DataTitel_liste,LineærRegression_Valg[[#This Row],[Uafhængig variabel ID]]),INDEX(DataTitel_liste,IF(LineærRegression_Valg[[#This Row],[Afhængig variabel ID]]=1,2,1))),$B$7)</f>
        <v>Eksempel 2 (interval)</v>
      </c>
      <c r="H1421" s="171">
        <f>_xlfn.AGGREGATE(2,5,LineærRegression_Valg[[#This Row],[Tabel ID]])</f>
        <v>1</v>
      </c>
    </row>
    <row r="1422" spans="1:8" x14ac:dyDescent="0.2">
      <c r="A1422">
        <f>ROW(LineærRegression_Valg[[#This Row],[Tabel ID]])-ROW(LineærRegression_Valg[[#Headers],[Tabel ID]])</f>
        <v>1412</v>
      </c>
      <c r="B1422" s="171">
        <f>ROUNDDOWN((LineærRegression_Valg[[#This Row],[Tabel ID]]-1)/$B$5,0)+1</f>
        <v>353</v>
      </c>
      <c r="C1422" s="171">
        <f t="shared" si="22"/>
        <v>4</v>
      </c>
      <c r="D1422" s="171" t="b">
        <f>LineærRegression_Valg[[#This Row],[Afhængig variabel ID]]&lt;&gt;LineærRegression_Valg[[#This Row],[Uafhængig variabel ID]]</f>
        <v>1</v>
      </c>
      <c r="E1422" t="b">
        <f>LineærRegression_Valg[[#This Row],[Afhængig variabel ID]]&lt;=$B$5</f>
        <v>0</v>
      </c>
      <c r="F1422" t="str" cm="1">
        <f t="array" ref="F1422">IF(LineærRegression_Valg[[#This Row],[Indenfor range]],INDEX(DataTitel_liste,LineærRegression_Valg[[#This Row],[Afhængig variabel ID]]),INDEX(DataTitel_liste,1))</f>
        <v>Eksempel 1 (interval)</v>
      </c>
      <c r="G1422" s="171" t="str" cm="1">
        <f t="array" ref="G1422">IF(LineærRegression_Valg[[#This Row],[Indenfor range]],IF(LineærRegression_Valg[[#This Row],[Intet overlap]],INDEX(DataTitel_liste,LineærRegression_Valg[[#This Row],[Uafhængig variabel ID]]),INDEX(DataTitel_liste,IF(LineærRegression_Valg[[#This Row],[Afhængig variabel ID]]=1,2,1))),$B$7)</f>
        <v>Eksempel 2 (interval)</v>
      </c>
      <c r="H1422" s="171">
        <f>_xlfn.AGGREGATE(2,5,LineærRegression_Valg[[#This Row],[Tabel ID]])</f>
        <v>1</v>
      </c>
    </row>
    <row r="1423" spans="1:8" x14ac:dyDescent="0.2">
      <c r="A1423">
        <f>ROW(LineærRegression_Valg[[#This Row],[Tabel ID]])-ROW(LineærRegression_Valg[[#Headers],[Tabel ID]])</f>
        <v>1413</v>
      </c>
      <c r="B1423" s="171">
        <f>ROUNDDOWN((LineærRegression_Valg[[#This Row],[Tabel ID]]-1)/$B$5,0)+1</f>
        <v>354</v>
      </c>
      <c r="C1423" s="171">
        <f t="shared" si="22"/>
        <v>1</v>
      </c>
      <c r="D1423" s="171" t="b">
        <f>LineærRegression_Valg[[#This Row],[Afhængig variabel ID]]&lt;&gt;LineærRegression_Valg[[#This Row],[Uafhængig variabel ID]]</f>
        <v>1</v>
      </c>
      <c r="E1423" t="b">
        <f>LineærRegression_Valg[[#This Row],[Afhængig variabel ID]]&lt;=$B$5</f>
        <v>0</v>
      </c>
      <c r="F1423" t="str" cm="1">
        <f t="array" ref="F1423">IF(LineærRegression_Valg[[#This Row],[Indenfor range]],INDEX(DataTitel_liste,LineærRegression_Valg[[#This Row],[Afhængig variabel ID]]),INDEX(DataTitel_liste,1))</f>
        <v>Eksempel 1 (interval)</v>
      </c>
      <c r="G1423" s="171" t="str" cm="1">
        <f t="array" ref="G1423">IF(LineærRegression_Valg[[#This Row],[Indenfor range]],IF(LineærRegression_Valg[[#This Row],[Intet overlap]],INDEX(DataTitel_liste,LineærRegression_Valg[[#This Row],[Uafhængig variabel ID]]),INDEX(DataTitel_liste,IF(LineærRegression_Valg[[#This Row],[Afhængig variabel ID]]=1,2,1))),$B$7)</f>
        <v>Eksempel 2 (interval)</v>
      </c>
      <c r="H1423" s="171">
        <f>_xlfn.AGGREGATE(2,5,LineærRegression_Valg[[#This Row],[Tabel ID]])</f>
        <v>1</v>
      </c>
    </row>
    <row r="1424" spans="1:8" x14ac:dyDescent="0.2">
      <c r="A1424">
        <f>ROW(LineærRegression_Valg[[#This Row],[Tabel ID]])-ROW(LineærRegression_Valg[[#Headers],[Tabel ID]])</f>
        <v>1414</v>
      </c>
      <c r="B1424" s="171">
        <f>ROUNDDOWN((LineærRegression_Valg[[#This Row],[Tabel ID]]-1)/$B$5,0)+1</f>
        <v>354</v>
      </c>
      <c r="C1424" s="171">
        <f t="shared" si="22"/>
        <v>2</v>
      </c>
      <c r="D1424" s="171" t="b">
        <f>LineærRegression_Valg[[#This Row],[Afhængig variabel ID]]&lt;&gt;LineærRegression_Valg[[#This Row],[Uafhængig variabel ID]]</f>
        <v>1</v>
      </c>
      <c r="E1424" t="b">
        <f>LineærRegression_Valg[[#This Row],[Afhængig variabel ID]]&lt;=$B$5</f>
        <v>0</v>
      </c>
      <c r="F1424" t="str" cm="1">
        <f t="array" ref="F1424">IF(LineærRegression_Valg[[#This Row],[Indenfor range]],INDEX(DataTitel_liste,LineærRegression_Valg[[#This Row],[Afhængig variabel ID]]),INDEX(DataTitel_liste,1))</f>
        <v>Eksempel 1 (interval)</v>
      </c>
      <c r="G1424" s="171" t="str" cm="1">
        <f t="array" ref="G1424">IF(LineærRegression_Valg[[#This Row],[Indenfor range]],IF(LineærRegression_Valg[[#This Row],[Intet overlap]],INDEX(DataTitel_liste,LineærRegression_Valg[[#This Row],[Uafhængig variabel ID]]),INDEX(DataTitel_liste,IF(LineærRegression_Valg[[#This Row],[Afhængig variabel ID]]=1,2,1))),$B$7)</f>
        <v>Eksempel 2 (interval)</v>
      </c>
      <c r="H1424" s="171">
        <f>_xlfn.AGGREGATE(2,5,LineærRegression_Valg[[#This Row],[Tabel ID]])</f>
        <v>1</v>
      </c>
    </row>
    <row r="1425" spans="1:8" x14ac:dyDescent="0.2">
      <c r="A1425">
        <f>ROW(LineærRegression_Valg[[#This Row],[Tabel ID]])-ROW(LineærRegression_Valg[[#Headers],[Tabel ID]])</f>
        <v>1415</v>
      </c>
      <c r="B1425" s="171">
        <f>ROUNDDOWN((LineærRegression_Valg[[#This Row],[Tabel ID]]-1)/$B$5,0)+1</f>
        <v>354</v>
      </c>
      <c r="C1425" s="171">
        <f t="shared" si="22"/>
        <v>3</v>
      </c>
      <c r="D1425" s="171" t="b">
        <f>LineærRegression_Valg[[#This Row],[Afhængig variabel ID]]&lt;&gt;LineærRegression_Valg[[#This Row],[Uafhængig variabel ID]]</f>
        <v>1</v>
      </c>
      <c r="E1425" t="b">
        <f>LineærRegression_Valg[[#This Row],[Afhængig variabel ID]]&lt;=$B$5</f>
        <v>0</v>
      </c>
      <c r="F1425" t="str" cm="1">
        <f t="array" ref="F1425">IF(LineærRegression_Valg[[#This Row],[Indenfor range]],INDEX(DataTitel_liste,LineærRegression_Valg[[#This Row],[Afhængig variabel ID]]),INDEX(DataTitel_liste,1))</f>
        <v>Eksempel 1 (interval)</v>
      </c>
      <c r="G1425" s="171" t="str" cm="1">
        <f t="array" ref="G1425">IF(LineærRegression_Valg[[#This Row],[Indenfor range]],IF(LineærRegression_Valg[[#This Row],[Intet overlap]],INDEX(DataTitel_liste,LineærRegression_Valg[[#This Row],[Uafhængig variabel ID]]),INDEX(DataTitel_liste,IF(LineærRegression_Valg[[#This Row],[Afhængig variabel ID]]=1,2,1))),$B$7)</f>
        <v>Eksempel 2 (interval)</v>
      </c>
      <c r="H1425" s="171">
        <f>_xlfn.AGGREGATE(2,5,LineærRegression_Valg[[#This Row],[Tabel ID]])</f>
        <v>1</v>
      </c>
    </row>
    <row r="1426" spans="1:8" x14ac:dyDescent="0.2">
      <c r="A1426">
        <f>ROW(LineærRegression_Valg[[#This Row],[Tabel ID]])-ROW(LineærRegression_Valg[[#Headers],[Tabel ID]])</f>
        <v>1416</v>
      </c>
      <c r="B1426" s="171">
        <f>ROUNDDOWN((LineærRegression_Valg[[#This Row],[Tabel ID]]-1)/$B$5,0)+1</f>
        <v>354</v>
      </c>
      <c r="C1426" s="171">
        <f t="shared" si="22"/>
        <v>4</v>
      </c>
      <c r="D1426" s="171" t="b">
        <f>LineærRegression_Valg[[#This Row],[Afhængig variabel ID]]&lt;&gt;LineærRegression_Valg[[#This Row],[Uafhængig variabel ID]]</f>
        <v>1</v>
      </c>
      <c r="E1426" t="b">
        <f>LineærRegression_Valg[[#This Row],[Afhængig variabel ID]]&lt;=$B$5</f>
        <v>0</v>
      </c>
      <c r="F1426" t="str" cm="1">
        <f t="array" ref="F1426">IF(LineærRegression_Valg[[#This Row],[Indenfor range]],INDEX(DataTitel_liste,LineærRegression_Valg[[#This Row],[Afhængig variabel ID]]),INDEX(DataTitel_liste,1))</f>
        <v>Eksempel 1 (interval)</v>
      </c>
      <c r="G1426" s="171" t="str" cm="1">
        <f t="array" ref="G1426">IF(LineærRegression_Valg[[#This Row],[Indenfor range]],IF(LineærRegression_Valg[[#This Row],[Intet overlap]],INDEX(DataTitel_liste,LineærRegression_Valg[[#This Row],[Uafhængig variabel ID]]),INDEX(DataTitel_liste,IF(LineærRegression_Valg[[#This Row],[Afhængig variabel ID]]=1,2,1))),$B$7)</f>
        <v>Eksempel 2 (interval)</v>
      </c>
      <c r="H1426" s="171">
        <f>_xlfn.AGGREGATE(2,5,LineærRegression_Valg[[#This Row],[Tabel ID]])</f>
        <v>1</v>
      </c>
    </row>
    <row r="1427" spans="1:8" x14ac:dyDescent="0.2">
      <c r="A1427">
        <f>ROW(LineærRegression_Valg[[#This Row],[Tabel ID]])-ROW(LineærRegression_Valg[[#Headers],[Tabel ID]])</f>
        <v>1417</v>
      </c>
      <c r="B1427" s="171">
        <f>ROUNDDOWN((LineærRegression_Valg[[#This Row],[Tabel ID]]-1)/$B$5,0)+1</f>
        <v>355</v>
      </c>
      <c r="C1427" s="171">
        <f t="shared" si="22"/>
        <v>1</v>
      </c>
      <c r="D1427" s="171" t="b">
        <f>LineærRegression_Valg[[#This Row],[Afhængig variabel ID]]&lt;&gt;LineærRegression_Valg[[#This Row],[Uafhængig variabel ID]]</f>
        <v>1</v>
      </c>
      <c r="E1427" t="b">
        <f>LineærRegression_Valg[[#This Row],[Afhængig variabel ID]]&lt;=$B$5</f>
        <v>0</v>
      </c>
      <c r="F1427" t="str" cm="1">
        <f t="array" ref="F1427">IF(LineærRegression_Valg[[#This Row],[Indenfor range]],INDEX(DataTitel_liste,LineærRegression_Valg[[#This Row],[Afhængig variabel ID]]),INDEX(DataTitel_liste,1))</f>
        <v>Eksempel 1 (interval)</v>
      </c>
      <c r="G1427" s="171" t="str" cm="1">
        <f t="array" ref="G1427">IF(LineærRegression_Valg[[#This Row],[Indenfor range]],IF(LineærRegression_Valg[[#This Row],[Intet overlap]],INDEX(DataTitel_liste,LineærRegression_Valg[[#This Row],[Uafhængig variabel ID]]),INDEX(DataTitel_liste,IF(LineærRegression_Valg[[#This Row],[Afhængig variabel ID]]=1,2,1))),$B$7)</f>
        <v>Eksempel 2 (interval)</v>
      </c>
      <c r="H1427" s="171">
        <f>_xlfn.AGGREGATE(2,5,LineærRegression_Valg[[#This Row],[Tabel ID]])</f>
        <v>1</v>
      </c>
    </row>
    <row r="1428" spans="1:8" x14ac:dyDescent="0.2">
      <c r="A1428">
        <f>ROW(LineærRegression_Valg[[#This Row],[Tabel ID]])-ROW(LineærRegression_Valg[[#Headers],[Tabel ID]])</f>
        <v>1418</v>
      </c>
      <c r="B1428" s="171">
        <f>ROUNDDOWN((LineærRegression_Valg[[#This Row],[Tabel ID]]-1)/$B$5,0)+1</f>
        <v>355</v>
      </c>
      <c r="C1428" s="171">
        <f t="shared" si="22"/>
        <v>2</v>
      </c>
      <c r="D1428" s="171" t="b">
        <f>LineærRegression_Valg[[#This Row],[Afhængig variabel ID]]&lt;&gt;LineærRegression_Valg[[#This Row],[Uafhængig variabel ID]]</f>
        <v>1</v>
      </c>
      <c r="E1428" t="b">
        <f>LineærRegression_Valg[[#This Row],[Afhængig variabel ID]]&lt;=$B$5</f>
        <v>0</v>
      </c>
      <c r="F1428" t="str" cm="1">
        <f t="array" ref="F1428">IF(LineærRegression_Valg[[#This Row],[Indenfor range]],INDEX(DataTitel_liste,LineærRegression_Valg[[#This Row],[Afhængig variabel ID]]),INDEX(DataTitel_liste,1))</f>
        <v>Eksempel 1 (interval)</v>
      </c>
      <c r="G1428" s="171" t="str" cm="1">
        <f t="array" ref="G1428">IF(LineærRegression_Valg[[#This Row],[Indenfor range]],IF(LineærRegression_Valg[[#This Row],[Intet overlap]],INDEX(DataTitel_liste,LineærRegression_Valg[[#This Row],[Uafhængig variabel ID]]),INDEX(DataTitel_liste,IF(LineærRegression_Valg[[#This Row],[Afhængig variabel ID]]=1,2,1))),$B$7)</f>
        <v>Eksempel 2 (interval)</v>
      </c>
      <c r="H1428" s="171">
        <f>_xlfn.AGGREGATE(2,5,LineærRegression_Valg[[#This Row],[Tabel ID]])</f>
        <v>1</v>
      </c>
    </row>
    <row r="1429" spans="1:8" x14ac:dyDescent="0.2">
      <c r="A1429">
        <f>ROW(LineærRegression_Valg[[#This Row],[Tabel ID]])-ROW(LineærRegression_Valg[[#Headers],[Tabel ID]])</f>
        <v>1419</v>
      </c>
      <c r="B1429" s="171">
        <f>ROUNDDOWN((LineærRegression_Valg[[#This Row],[Tabel ID]]-1)/$B$5,0)+1</f>
        <v>355</v>
      </c>
      <c r="C1429" s="171">
        <f t="shared" si="22"/>
        <v>3</v>
      </c>
      <c r="D1429" s="171" t="b">
        <f>LineærRegression_Valg[[#This Row],[Afhængig variabel ID]]&lt;&gt;LineærRegression_Valg[[#This Row],[Uafhængig variabel ID]]</f>
        <v>1</v>
      </c>
      <c r="E1429" t="b">
        <f>LineærRegression_Valg[[#This Row],[Afhængig variabel ID]]&lt;=$B$5</f>
        <v>0</v>
      </c>
      <c r="F1429" t="str" cm="1">
        <f t="array" ref="F1429">IF(LineærRegression_Valg[[#This Row],[Indenfor range]],INDEX(DataTitel_liste,LineærRegression_Valg[[#This Row],[Afhængig variabel ID]]),INDEX(DataTitel_liste,1))</f>
        <v>Eksempel 1 (interval)</v>
      </c>
      <c r="G1429" s="171" t="str" cm="1">
        <f t="array" ref="G1429">IF(LineærRegression_Valg[[#This Row],[Indenfor range]],IF(LineærRegression_Valg[[#This Row],[Intet overlap]],INDEX(DataTitel_liste,LineærRegression_Valg[[#This Row],[Uafhængig variabel ID]]),INDEX(DataTitel_liste,IF(LineærRegression_Valg[[#This Row],[Afhængig variabel ID]]=1,2,1))),$B$7)</f>
        <v>Eksempel 2 (interval)</v>
      </c>
      <c r="H1429" s="171">
        <f>_xlfn.AGGREGATE(2,5,LineærRegression_Valg[[#This Row],[Tabel ID]])</f>
        <v>1</v>
      </c>
    </row>
    <row r="1430" spans="1:8" x14ac:dyDescent="0.2">
      <c r="A1430">
        <f>ROW(LineærRegression_Valg[[#This Row],[Tabel ID]])-ROW(LineærRegression_Valg[[#Headers],[Tabel ID]])</f>
        <v>1420</v>
      </c>
      <c r="B1430" s="171">
        <f>ROUNDDOWN((LineærRegression_Valg[[#This Row],[Tabel ID]]-1)/$B$5,0)+1</f>
        <v>355</v>
      </c>
      <c r="C1430" s="171">
        <f t="shared" si="22"/>
        <v>4</v>
      </c>
      <c r="D1430" s="171" t="b">
        <f>LineærRegression_Valg[[#This Row],[Afhængig variabel ID]]&lt;&gt;LineærRegression_Valg[[#This Row],[Uafhængig variabel ID]]</f>
        <v>1</v>
      </c>
      <c r="E1430" t="b">
        <f>LineærRegression_Valg[[#This Row],[Afhængig variabel ID]]&lt;=$B$5</f>
        <v>0</v>
      </c>
      <c r="F1430" t="str" cm="1">
        <f t="array" ref="F1430">IF(LineærRegression_Valg[[#This Row],[Indenfor range]],INDEX(DataTitel_liste,LineærRegression_Valg[[#This Row],[Afhængig variabel ID]]),INDEX(DataTitel_liste,1))</f>
        <v>Eksempel 1 (interval)</v>
      </c>
      <c r="G1430" s="171" t="str" cm="1">
        <f t="array" ref="G1430">IF(LineærRegression_Valg[[#This Row],[Indenfor range]],IF(LineærRegression_Valg[[#This Row],[Intet overlap]],INDEX(DataTitel_liste,LineærRegression_Valg[[#This Row],[Uafhængig variabel ID]]),INDEX(DataTitel_liste,IF(LineærRegression_Valg[[#This Row],[Afhængig variabel ID]]=1,2,1))),$B$7)</f>
        <v>Eksempel 2 (interval)</v>
      </c>
      <c r="H1430" s="171">
        <f>_xlfn.AGGREGATE(2,5,LineærRegression_Valg[[#This Row],[Tabel ID]])</f>
        <v>1</v>
      </c>
    </row>
    <row r="1431" spans="1:8" x14ac:dyDescent="0.2">
      <c r="A1431">
        <f>ROW(LineærRegression_Valg[[#This Row],[Tabel ID]])-ROW(LineærRegression_Valg[[#Headers],[Tabel ID]])</f>
        <v>1421</v>
      </c>
      <c r="B1431" s="171">
        <f>ROUNDDOWN((LineærRegression_Valg[[#This Row],[Tabel ID]]-1)/$B$5,0)+1</f>
        <v>356</v>
      </c>
      <c r="C1431" s="171">
        <f t="shared" si="22"/>
        <v>1</v>
      </c>
      <c r="D1431" s="171" t="b">
        <f>LineærRegression_Valg[[#This Row],[Afhængig variabel ID]]&lt;&gt;LineærRegression_Valg[[#This Row],[Uafhængig variabel ID]]</f>
        <v>1</v>
      </c>
      <c r="E1431" t="b">
        <f>LineærRegression_Valg[[#This Row],[Afhængig variabel ID]]&lt;=$B$5</f>
        <v>0</v>
      </c>
      <c r="F1431" t="str" cm="1">
        <f t="array" ref="F1431">IF(LineærRegression_Valg[[#This Row],[Indenfor range]],INDEX(DataTitel_liste,LineærRegression_Valg[[#This Row],[Afhængig variabel ID]]),INDEX(DataTitel_liste,1))</f>
        <v>Eksempel 1 (interval)</v>
      </c>
      <c r="G1431" s="171" t="str" cm="1">
        <f t="array" ref="G1431">IF(LineærRegression_Valg[[#This Row],[Indenfor range]],IF(LineærRegression_Valg[[#This Row],[Intet overlap]],INDEX(DataTitel_liste,LineærRegression_Valg[[#This Row],[Uafhængig variabel ID]]),INDEX(DataTitel_liste,IF(LineærRegression_Valg[[#This Row],[Afhængig variabel ID]]=1,2,1))),$B$7)</f>
        <v>Eksempel 2 (interval)</v>
      </c>
      <c r="H1431" s="171">
        <f>_xlfn.AGGREGATE(2,5,LineærRegression_Valg[[#This Row],[Tabel ID]])</f>
        <v>1</v>
      </c>
    </row>
    <row r="1432" spans="1:8" x14ac:dyDescent="0.2">
      <c r="A1432">
        <f>ROW(LineærRegression_Valg[[#This Row],[Tabel ID]])-ROW(LineærRegression_Valg[[#Headers],[Tabel ID]])</f>
        <v>1422</v>
      </c>
      <c r="B1432" s="171">
        <f>ROUNDDOWN((LineærRegression_Valg[[#This Row],[Tabel ID]]-1)/$B$5,0)+1</f>
        <v>356</v>
      </c>
      <c r="C1432" s="171">
        <f t="shared" si="22"/>
        <v>2</v>
      </c>
      <c r="D1432" s="171" t="b">
        <f>LineærRegression_Valg[[#This Row],[Afhængig variabel ID]]&lt;&gt;LineærRegression_Valg[[#This Row],[Uafhængig variabel ID]]</f>
        <v>1</v>
      </c>
      <c r="E1432" t="b">
        <f>LineærRegression_Valg[[#This Row],[Afhængig variabel ID]]&lt;=$B$5</f>
        <v>0</v>
      </c>
      <c r="F1432" t="str" cm="1">
        <f t="array" ref="F1432">IF(LineærRegression_Valg[[#This Row],[Indenfor range]],INDEX(DataTitel_liste,LineærRegression_Valg[[#This Row],[Afhængig variabel ID]]),INDEX(DataTitel_liste,1))</f>
        <v>Eksempel 1 (interval)</v>
      </c>
      <c r="G1432" s="171" t="str" cm="1">
        <f t="array" ref="G1432">IF(LineærRegression_Valg[[#This Row],[Indenfor range]],IF(LineærRegression_Valg[[#This Row],[Intet overlap]],INDEX(DataTitel_liste,LineærRegression_Valg[[#This Row],[Uafhængig variabel ID]]),INDEX(DataTitel_liste,IF(LineærRegression_Valg[[#This Row],[Afhængig variabel ID]]=1,2,1))),$B$7)</f>
        <v>Eksempel 2 (interval)</v>
      </c>
      <c r="H1432" s="171">
        <f>_xlfn.AGGREGATE(2,5,LineærRegression_Valg[[#This Row],[Tabel ID]])</f>
        <v>1</v>
      </c>
    </row>
    <row r="1433" spans="1:8" x14ac:dyDescent="0.2">
      <c r="A1433">
        <f>ROW(LineærRegression_Valg[[#This Row],[Tabel ID]])-ROW(LineærRegression_Valg[[#Headers],[Tabel ID]])</f>
        <v>1423</v>
      </c>
      <c r="B1433" s="171">
        <f>ROUNDDOWN((LineærRegression_Valg[[#This Row],[Tabel ID]]-1)/$B$5,0)+1</f>
        <v>356</v>
      </c>
      <c r="C1433" s="171">
        <f t="shared" si="22"/>
        <v>3</v>
      </c>
      <c r="D1433" s="171" t="b">
        <f>LineærRegression_Valg[[#This Row],[Afhængig variabel ID]]&lt;&gt;LineærRegression_Valg[[#This Row],[Uafhængig variabel ID]]</f>
        <v>1</v>
      </c>
      <c r="E1433" t="b">
        <f>LineærRegression_Valg[[#This Row],[Afhængig variabel ID]]&lt;=$B$5</f>
        <v>0</v>
      </c>
      <c r="F1433" t="str" cm="1">
        <f t="array" ref="F1433">IF(LineærRegression_Valg[[#This Row],[Indenfor range]],INDEX(DataTitel_liste,LineærRegression_Valg[[#This Row],[Afhængig variabel ID]]),INDEX(DataTitel_liste,1))</f>
        <v>Eksempel 1 (interval)</v>
      </c>
      <c r="G1433" s="171" t="str" cm="1">
        <f t="array" ref="G1433">IF(LineærRegression_Valg[[#This Row],[Indenfor range]],IF(LineærRegression_Valg[[#This Row],[Intet overlap]],INDEX(DataTitel_liste,LineærRegression_Valg[[#This Row],[Uafhængig variabel ID]]),INDEX(DataTitel_liste,IF(LineærRegression_Valg[[#This Row],[Afhængig variabel ID]]=1,2,1))),$B$7)</f>
        <v>Eksempel 2 (interval)</v>
      </c>
      <c r="H1433" s="171">
        <f>_xlfn.AGGREGATE(2,5,LineærRegression_Valg[[#This Row],[Tabel ID]])</f>
        <v>1</v>
      </c>
    </row>
    <row r="1434" spans="1:8" x14ac:dyDescent="0.2">
      <c r="A1434">
        <f>ROW(LineærRegression_Valg[[#This Row],[Tabel ID]])-ROW(LineærRegression_Valg[[#Headers],[Tabel ID]])</f>
        <v>1424</v>
      </c>
      <c r="B1434" s="171">
        <f>ROUNDDOWN((LineærRegression_Valg[[#This Row],[Tabel ID]]-1)/$B$5,0)+1</f>
        <v>356</v>
      </c>
      <c r="C1434" s="171">
        <f t="shared" si="22"/>
        <v>4</v>
      </c>
      <c r="D1434" s="171" t="b">
        <f>LineærRegression_Valg[[#This Row],[Afhængig variabel ID]]&lt;&gt;LineærRegression_Valg[[#This Row],[Uafhængig variabel ID]]</f>
        <v>1</v>
      </c>
      <c r="E1434" t="b">
        <f>LineærRegression_Valg[[#This Row],[Afhængig variabel ID]]&lt;=$B$5</f>
        <v>0</v>
      </c>
      <c r="F1434" t="str" cm="1">
        <f t="array" ref="F1434">IF(LineærRegression_Valg[[#This Row],[Indenfor range]],INDEX(DataTitel_liste,LineærRegression_Valg[[#This Row],[Afhængig variabel ID]]),INDEX(DataTitel_liste,1))</f>
        <v>Eksempel 1 (interval)</v>
      </c>
      <c r="G1434" s="171" t="str" cm="1">
        <f t="array" ref="G1434">IF(LineærRegression_Valg[[#This Row],[Indenfor range]],IF(LineærRegression_Valg[[#This Row],[Intet overlap]],INDEX(DataTitel_liste,LineærRegression_Valg[[#This Row],[Uafhængig variabel ID]]),INDEX(DataTitel_liste,IF(LineærRegression_Valg[[#This Row],[Afhængig variabel ID]]=1,2,1))),$B$7)</f>
        <v>Eksempel 2 (interval)</v>
      </c>
      <c r="H1434" s="171">
        <f>_xlfn.AGGREGATE(2,5,LineærRegression_Valg[[#This Row],[Tabel ID]])</f>
        <v>1</v>
      </c>
    </row>
    <row r="1435" spans="1:8" x14ac:dyDescent="0.2">
      <c r="A1435">
        <f>ROW(LineærRegression_Valg[[#This Row],[Tabel ID]])-ROW(LineærRegression_Valg[[#Headers],[Tabel ID]])</f>
        <v>1425</v>
      </c>
      <c r="B1435" s="171">
        <f>ROUNDDOWN((LineærRegression_Valg[[#This Row],[Tabel ID]]-1)/$B$5,0)+1</f>
        <v>357</v>
      </c>
      <c r="C1435" s="171">
        <f t="shared" si="22"/>
        <v>1</v>
      </c>
      <c r="D1435" s="171" t="b">
        <f>LineærRegression_Valg[[#This Row],[Afhængig variabel ID]]&lt;&gt;LineærRegression_Valg[[#This Row],[Uafhængig variabel ID]]</f>
        <v>1</v>
      </c>
      <c r="E1435" t="b">
        <f>LineærRegression_Valg[[#This Row],[Afhængig variabel ID]]&lt;=$B$5</f>
        <v>0</v>
      </c>
      <c r="F1435" t="str" cm="1">
        <f t="array" ref="F1435">IF(LineærRegression_Valg[[#This Row],[Indenfor range]],INDEX(DataTitel_liste,LineærRegression_Valg[[#This Row],[Afhængig variabel ID]]),INDEX(DataTitel_liste,1))</f>
        <v>Eksempel 1 (interval)</v>
      </c>
      <c r="G1435" s="171" t="str" cm="1">
        <f t="array" ref="G1435">IF(LineærRegression_Valg[[#This Row],[Indenfor range]],IF(LineærRegression_Valg[[#This Row],[Intet overlap]],INDEX(DataTitel_liste,LineærRegression_Valg[[#This Row],[Uafhængig variabel ID]]),INDEX(DataTitel_liste,IF(LineærRegression_Valg[[#This Row],[Afhængig variabel ID]]=1,2,1))),$B$7)</f>
        <v>Eksempel 2 (interval)</v>
      </c>
      <c r="H1435" s="171">
        <f>_xlfn.AGGREGATE(2,5,LineærRegression_Valg[[#This Row],[Tabel ID]])</f>
        <v>1</v>
      </c>
    </row>
    <row r="1436" spans="1:8" x14ac:dyDescent="0.2">
      <c r="A1436">
        <f>ROW(LineærRegression_Valg[[#This Row],[Tabel ID]])-ROW(LineærRegression_Valg[[#Headers],[Tabel ID]])</f>
        <v>1426</v>
      </c>
      <c r="B1436" s="171">
        <f>ROUNDDOWN((LineærRegression_Valg[[#This Row],[Tabel ID]]-1)/$B$5,0)+1</f>
        <v>357</v>
      </c>
      <c r="C1436" s="171">
        <f t="shared" si="22"/>
        <v>2</v>
      </c>
      <c r="D1436" s="171" t="b">
        <f>LineærRegression_Valg[[#This Row],[Afhængig variabel ID]]&lt;&gt;LineærRegression_Valg[[#This Row],[Uafhængig variabel ID]]</f>
        <v>1</v>
      </c>
      <c r="E1436" t="b">
        <f>LineærRegression_Valg[[#This Row],[Afhængig variabel ID]]&lt;=$B$5</f>
        <v>0</v>
      </c>
      <c r="F1436" t="str" cm="1">
        <f t="array" ref="F1436">IF(LineærRegression_Valg[[#This Row],[Indenfor range]],INDEX(DataTitel_liste,LineærRegression_Valg[[#This Row],[Afhængig variabel ID]]),INDEX(DataTitel_liste,1))</f>
        <v>Eksempel 1 (interval)</v>
      </c>
      <c r="G1436" s="171" t="str" cm="1">
        <f t="array" ref="G1436">IF(LineærRegression_Valg[[#This Row],[Indenfor range]],IF(LineærRegression_Valg[[#This Row],[Intet overlap]],INDEX(DataTitel_liste,LineærRegression_Valg[[#This Row],[Uafhængig variabel ID]]),INDEX(DataTitel_liste,IF(LineærRegression_Valg[[#This Row],[Afhængig variabel ID]]=1,2,1))),$B$7)</f>
        <v>Eksempel 2 (interval)</v>
      </c>
      <c r="H1436" s="171">
        <f>_xlfn.AGGREGATE(2,5,LineærRegression_Valg[[#This Row],[Tabel ID]])</f>
        <v>1</v>
      </c>
    </row>
    <row r="1437" spans="1:8" x14ac:dyDescent="0.2">
      <c r="A1437">
        <f>ROW(LineærRegression_Valg[[#This Row],[Tabel ID]])-ROW(LineærRegression_Valg[[#Headers],[Tabel ID]])</f>
        <v>1427</v>
      </c>
      <c r="B1437" s="171">
        <f>ROUNDDOWN((LineærRegression_Valg[[#This Row],[Tabel ID]]-1)/$B$5,0)+1</f>
        <v>357</v>
      </c>
      <c r="C1437" s="171">
        <f t="shared" si="22"/>
        <v>3</v>
      </c>
      <c r="D1437" s="171" t="b">
        <f>LineærRegression_Valg[[#This Row],[Afhængig variabel ID]]&lt;&gt;LineærRegression_Valg[[#This Row],[Uafhængig variabel ID]]</f>
        <v>1</v>
      </c>
      <c r="E1437" t="b">
        <f>LineærRegression_Valg[[#This Row],[Afhængig variabel ID]]&lt;=$B$5</f>
        <v>0</v>
      </c>
      <c r="F1437" t="str" cm="1">
        <f t="array" ref="F1437">IF(LineærRegression_Valg[[#This Row],[Indenfor range]],INDEX(DataTitel_liste,LineærRegression_Valg[[#This Row],[Afhængig variabel ID]]),INDEX(DataTitel_liste,1))</f>
        <v>Eksempel 1 (interval)</v>
      </c>
      <c r="G1437" s="171" t="str" cm="1">
        <f t="array" ref="G1437">IF(LineærRegression_Valg[[#This Row],[Indenfor range]],IF(LineærRegression_Valg[[#This Row],[Intet overlap]],INDEX(DataTitel_liste,LineærRegression_Valg[[#This Row],[Uafhængig variabel ID]]),INDEX(DataTitel_liste,IF(LineærRegression_Valg[[#This Row],[Afhængig variabel ID]]=1,2,1))),$B$7)</f>
        <v>Eksempel 2 (interval)</v>
      </c>
      <c r="H1437" s="171">
        <f>_xlfn.AGGREGATE(2,5,LineærRegression_Valg[[#This Row],[Tabel ID]])</f>
        <v>1</v>
      </c>
    </row>
    <row r="1438" spans="1:8" x14ac:dyDescent="0.2">
      <c r="A1438">
        <f>ROW(LineærRegression_Valg[[#This Row],[Tabel ID]])-ROW(LineærRegression_Valg[[#Headers],[Tabel ID]])</f>
        <v>1428</v>
      </c>
      <c r="B1438" s="171">
        <f>ROUNDDOWN((LineærRegression_Valg[[#This Row],[Tabel ID]]-1)/$B$5,0)+1</f>
        <v>357</v>
      </c>
      <c r="C1438" s="171">
        <f t="shared" si="22"/>
        <v>4</v>
      </c>
      <c r="D1438" s="171" t="b">
        <f>LineærRegression_Valg[[#This Row],[Afhængig variabel ID]]&lt;&gt;LineærRegression_Valg[[#This Row],[Uafhængig variabel ID]]</f>
        <v>1</v>
      </c>
      <c r="E1438" t="b">
        <f>LineærRegression_Valg[[#This Row],[Afhængig variabel ID]]&lt;=$B$5</f>
        <v>0</v>
      </c>
      <c r="F1438" t="str" cm="1">
        <f t="array" ref="F1438">IF(LineærRegression_Valg[[#This Row],[Indenfor range]],INDEX(DataTitel_liste,LineærRegression_Valg[[#This Row],[Afhængig variabel ID]]),INDEX(DataTitel_liste,1))</f>
        <v>Eksempel 1 (interval)</v>
      </c>
      <c r="G1438" s="171" t="str" cm="1">
        <f t="array" ref="G1438">IF(LineærRegression_Valg[[#This Row],[Indenfor range]],IF(LineærRegression_Valg[[#This Row],[Intet overlap]],INDEX(DataTitel_liste,LineærRegression_Valg[[#This Row],[Uafhængig variabel ID]]),INDEX(DataTitel_liste,IF(LineærRegression_Valg[[#This Row],[Afhængig variabel ID]]=1,2,1))),$B$7)</f>
        <v>Eksempel 2 (interval)</v>
      </c>
      <c r="H1438" s="171">
        <f>_xlfn.AGGREGATE(2,5,LineærRegression_Valg[[#This Row],[Tabel ID]])</f>
        <v>1</v>
      </c>
    </row>
    <row r="1439" spans="1:8" x14ac:dyDescent="0.2">
      <c r="A1439">
        <f>ROW(LineærRegression_Valg[[#This Row],[Tabel ID]])-ROW(LineærRegression_Valg[[#Headers],[Tabel ID]])</f>
        <v>1429</v>
      </c>
      <c r="B1439" s="171">
        <f>ROUNDDOWN((LineærRegression_Valg[[#This Row],[Tabel ID]]-1)/$B$5,0)+1</f>
        <v>358</v>
      </c>
      <c r="C1439" s="171">
        <f t="shared" si="22"/>
        <v>1</v>
      </c>
      <c r="D1439" s="171" t="b">
        <f>LineærRegression_Valg[[#This Row],[Afhængig variabel ID]]&lt;&gt;LineærRegression_Valg[[#This Row],[Uafhængig variabel ID]]</f>
        <v>1</v>
      </c>
      <c r="E1439" t="b">
        <f>LineærRegression_Valg[[#This Row],[Afhængig variabel ID]]&lt;=$B$5</f>
        <v>0</v>
      </c>
      <c r="F1439" t="str" cm="1">
        <f t="array" ref="F1439">IF(LineærRegression_Valg[[#This Row],[Indenfor range]],INDEX(DataTitel_liste,LineærRegression_Valg[[#This Row],[Afhængig variabel ID]]),INDEX(DataTitel_liste,1))</f>
        <v>Eksempel 1 (interval)</v>
      </c>
      <c r="G1439" s="171" t="str" cm="1">
        <f t="array" ref="G1439">IF(LineærRegression_Valg[[#This Row],[Indenfor range]],IF(LineærRegression_Valg[[#This Row],[Intet overlap]],INDEX(DataTitel_liste,LineærRegression_Valg[[#This Row],[Uafhængig variabel ID]]),INDEX(DataTitel_liste,IF(LineærRegression_Valg[[#This Row],[Afhængig variabel ID]]=1,2,1))),$B$7)</f>
        <v>Eksempel 2 (interval)</v>
      </c>
      <c r="H1439" s="171">
        <f>_xlfn.AGGREGATE(2,5,LineærRegression_Valg[[#This Row],[Tabel ID]])</f>
        <v>1</v>
      </c>
    </row>
    <row r="1440" spans="1:8" x14ac:dyDescent="0.2">
      <c r="A1440">
        <f>ROW(LineærRegression_Valg[[#This Row],[Tabel ID]])-ROW(LineærRegression_Valg[[#Headers],[Tabel ID]])</f>
        <v>1430</v>
      </c>
      <c r="B1440" s="171">
        <f>ROUNDDOWN((LineærRegression_Valg[[#This Row],[Tabel ID]]-1)/$B$5,0)+1</f>
        <v>358</v>
      </c>
      <c r="C1440" s="171">
        <f t="shared" si="22"/>
        <v>2</v>
      </c>
      <c r="D1440" s="171" t="b">
        <f>LineærRegression_Valg[[#This Row],[Afhængig variabel ID]]&lt;&gt;LineærRegression_Valg[[#This Row],[Uafhængig variabel ID]]</f>
        <v>1</v>
      </c>
      <c r="E1440" t="b">
        <f>LineærRegression_Valg[[#This Row],[Afhængig variabel ID]]&lt;=$B$5</f>
        <v>0</v>
      </c>
      <c r="F1440" t="str" cm="1">
        <f t="array" ref="F1440">IF(LineærRegression_Valg[[#This Row],[Indenfor range]],INDEX(DataTitel_liste,LineærRegression_Valg[[#This Row],[Afhængig variabel ID]]),INDEX(DataTitel_liste,1))</f>
        <v>Eksempel 1 (interval)</v>
      </c>
      <c r="G1440" s="171" t="str" cm="1">
        <f t="array" ref="G1440">IF(LineærRegression_Valg[[#This Row],[Indenfor range]],IF(LineærRegression_Valg[[#This Row],[Intet overlap]],INDEX(DataTitel_liste,LineærRegression_Valg[[#This Row],[Uafhængig variabel ID]]),INDEX(DataTitel_liste,IF(LineærRegression_Valg[[#This Row],[Afhængig variabel ID]]=1,2,1))),$B$7)</f>
        <v>Eksempel 2 (interval)</v>
      </c>
      <c r="H1440" s="171">
        <f>_xlfn.AGGREGATE(2,5,LineærRegression_Valg[[#This Row],[Tabel ID]])</f>
        <v>1</v>
      </c>
    </row>
    <row r="1441" spans="1:8" x14ac:dyDescent="0.2">
      <c r="A1441">
        <f>ROW(LineærRegression_Valg[[#This Row],[Tabel ID]])-ROW(LineærRegression_Valg[[#Headers],[Tabel ID]])</f>
        <v>1431</v>
      </c>
      <c r="B1441" s="171">
        <f>ROUNDDOWN((LineærRegression_Valg[[#This Row],[Tabel ID]]-1)/$B$5,0)+1</f>
        <v>358</v>
      </c>
      <c r="C1441" s="171">
        <f t="shared" si="22"/>
        <v>3</v>
      </c>
      <c r="D1441" s="171" t="b">
        <f>LineærRegression_Valg[[#This Row],[Afhængig variabel ID]]&lt;&gt;LineærRegression_Valg[[#This Row],[Uafhængig variabel ID]]</f>
        <v>1</v>
      </c>
      <c r="E1441" t="b">
        <f>LineærRegression_Valg[[#This Row],[Afhængig variabel ID]]&lt;=$B$5</f>
        <v>0</v>
      </c>
      <c r="F1441" t="str" cm="1">
        <f t="array" ref="F1441">IF(LineærRegression_Valg[[#This Row],[Indenfor range]],INDEX(DataTitel_liste,LineærRegression_Valg[[#This Row],[Afhængig variabel ID]]),INDEX(DataTitel_liste,1))</f>
        <v>Eksempel 1 (interval)</v>
      </c>
      <c r="G1441" s="171" t="str" cm="1">
        <f t="array" ref="G1441">IF(LineærRegression_Valg[[#This Row],[Indenfor range]],IF(LineærRegression_Valg[[#This Row],[Intet overlap]],INDEX(DataTitel_liste,LineærRegression_Valg[[#This Row],[Uafhængig variabel ID]]),INDEX(DataTitel_liste,IF(LineærRegression_Valg[[#This Row],[Afhængig variabel ID]]=1,2,1))),$B$7)</f>
        <v>Eksempel 2 (interval)</v>
      </c>
      <c r="H1441" s="171">
        <f>_xlfn.AGGREGATE(2,5,LineærRegression_Valg[[#This Row],[Tabel ID]])</f>
        <v>1</v>
      </c>
    </row>
    <row r="1442" spans="1:8" x14ac:dyDescent="0.2">
      <c r="A1442">
        <f>ROW(LineærRegression_Valg[[#This Row],[Tabel ID]])-ROW(LineærRegression_Valg[[#Headers],[Tabel ID]])</f>
        <v>1432</v>
      </c>
      <c r="B1442" s="171">
        <f>ROUNDDOWN((LineærRegression_Valg[[#This Row],[Tabel ID]]-1)/$B$5,0)+1</f>
        <v>358</v>
      </c>
      <c r="C1442" s="171">
        <f t="shared" si="22"/>
        <v>4</v>
      </c>
      <c r="D1442" s="171" t="b">
        <f>LineærRegression_Valg[[#This Row],[Afhængig variabel ID]]&lt;&gt;LineærRegression_Valg[[#This Row],[Uafhængig variabel ID]]</f>
        <v>1</v>
      </c>
      <c r="E1442" t="b">
        <f>LineærRegression_Valg[[#This Row],[Afhængig variabel ID]]&lt;=$B$5</f>
        <v>0</v>
      </c>
      <c r="F1442" t="str" cm="1">
        <f t="array" ref="F1442">IF(LineærRegression_Valg[[#This Row],[Indenfor range]],INDEX(DataTitel_liste,LineærRegression_Valg[[#This Row],[Afhængig variabel ID]]),INDEX(DataTitel_liste,1))</f>
        <v>Eksempel 1 (interval)</v>
      </c>
      <c r="G1442" s="171" t="str" cm="1">
        <f t="array" ref="G1442">IF(LineærRegression_Valg[[#This Row],[Indenfor range]],IF(LineærRegression_Valg[[#This Row],[Intet overlap]],INDEX(DataTitel_liste,LineærRegression_Valg[[#This Row],[Uafhængig variabel ID]]),INDEX(DataTitel_liste,IF(LineærRegression_Valg[[#This Row],[Afhængig variabel ID]]=1,2,1))),$B$7)</f>
        <v>Eksempel 2 (interval)</v>
      </c>
      <c r="H1442" s="171">
        <f>_xlfn.AGGREGATE(2,5,LineærRegression_Valg[[#This Row],[Tabel ID]])</f>
        <v>1</v>
      </c>
    </row>
    <row r="1443" spans="1:8" x14ac:dyDescent="0.2">
      <c r="A1443">
        <f>ROW(LineærRegression_Valg[[#This Row],[Tabel ID]])-ROW(LineærRegression_Valg[[#Headers],[Tabel ID]])</f>
        <v>1433</v>
      </c>
      <c r="B1443" s="171">
        <f>ROUNDDOWN((LineærRegression_Valg[[#This Row],[Tabel ID]]-1)/$B$5,0)+1</f>
        <v>359</v>
      </c>
      <c r="C1443" s="171">
        <f t="shared" si="22"/>
        <v>1</v>
      </c>
      <c r="D1443" s="171" t="b">
        <f>LineærRegression_Valg[[#This Row],[Afhængig variabel ID]]&lt;&gt;LineærRegression_Valg[[#This Row],[Uafhængig variabel ID]]</f>
        <v>1</v>
      </c>
      <c r="E1443" t="b">
        <f>LineærRegression_Valg[[#This Row],[Afhængig variabel ID]]&lt;=$B$5</f>
        <v>0</v>
      </c>
      <c r="F1443" t="str" cm="1">
        <f t="array" ref="F1443">IF(LineærRegression_Valg[[#This Row],[Indenfor range]],INDEX(DataTitel_liste,LineærRegression_Valg[[#This Row],[Afhængig variabel ID]]),INDEX(DataTitel_liste,1))</f>
        <v>Eksempel 1 (interval)</v>
      </c>
      <c r="G1443" s="171" t="str" cm="1">
        <f t="array" ref="G1443">IF(LineærRegression_Valg[[#This Row],[Indenfor range]],IF(LineærRegression_Valg[[#This Row],[Intet overlap]],INDEX(DataTitel_liste,LineærRegression_Valg[[#This Row],[Uafhængig variabel ID]]),INDEX(DataTitel_liste,IF(LineærRegression_Valg[[#This Row],[Afhængig variabel ID]]=1,2,1))),$B$7)</f>
        <v>Eksempel 2 (interval)</v>
      </c>
      <c r="H1443" s="171">
        <f>_xlfn.AGGREGATE(2,5,LineærRegression_Valg[[#This Row],[Tabel ID]])</f>
        <v>1</v>
      </c>
    </row>
    <row r="1444" spans="1:8" x14ac:dyDescent="0.2">
      <c r="A1444">
        <f>ROW(LineærRegression_Valg[[#This Row],[Tabel ID]])-ROW(LineærRegression_Valg[[#Headers],[Tabel ID]])</f>
        <v>1434</v>
      </c>
      <c r="B1444" s="171">
        <f>ROUNDDOWN((LineærRegression_Valg[[#This Row],[Tabel ID]]-1)/$B$5,0)+1</f>
        <v>359</v>
      </c>
      <c r="C1444" s="171">
        <f t="shared" si="22"/>
        <v>2</v>
      </c>
      <c r="D1444" s="171" t="b">
        <f>LineærRegression_Valg[[#This Row],[Afhængig variabel ID]]&lt;&gt;LineærRegression_Valg[[#This Row],[Uafhængig variabel ID]]</f>
        <v>1</v>
      </c>
      <c r="E1444" t="b">
        <f>LineærRegression_Valg[[#This Row],[Afhængig variabel ID]]&lt;=$B$5</f>
        <v>0</v>
      </c>
      <c r="F1444" t="str" cm="1">
        <f t="array" ref="F1444">IF(LineærRegression_Valg[[#This Row],[Indenfor range]],INDEX(DataTitel_liste,LineærRegression_Valg[[#This Row],[Afhængig variabel ID]]),INDEX(DataTitel_liste,1))</f>
        <v>Eksempel 1 (interval)</v>
      </c>
      <c r="G1444" s="171" t="str" cm="1">
        <f t="array" ref="G1444">IF(LineærRegression_Valg[[#This Row],[Indenfor range]],IF(LineærRegression_Valg[[#This Row],[Intet overlap]],INDEX(DataTitel_liste,LineærRegression_Valg[[#This Row],[Uafhængig variabel ID]]),INDEX(DataTitel_liste,IF(LineærRegression_Valg[[#This Row],[Afhængig variabel ID]]=1,2,1))),$B$7)</f>
        <v>Eksempel 2 (interval)</v>
      </c>
      <c r="H1444" s="171">
        <f>_xlfn.AGGREGATE(2,5,LineærRegression_Valg[[#This Row],[Tabel ID]])</f>
        <v>1</v>
      </c>
    </row>
    <row r="1445" spans="1:8" x14ac:dyDescent="0.2">
      <c r="A1445">
        <f>ROW(LineærRegression_Valg[[#This Row],[Tabel ID]])-ROW(LineærRegression_Valg[[#Headers],[Tabel ID]])</f>
        <v>1435</v>
      </c>
      <c r="B1445" s="171">
        <f>ROUNDDOWN((LineærRegression_Valg[[#This Row],[Tabel ID]]-1)/$B$5,0)+1</f>
        <v>359</v>
      </c>
      <c r="C1445" s="171">
        <f t="shared" si="22"/>
        <v>3</v>
      </c>
      <c r="D1445" s="171" t="b">
        <f>LineærRegression_Valg[[#This Row],[Afhængig variabel ID]]&lt;&gt;LineærRegression_Valg[[#This Row],[Uafhængig variabel ID]]</f>
        <v>1</v>
      </c>
      <c r="E1445" t="b">
        <f>LineærRegression_Valg[[#This Row],[Afhængig variabel ID]]&lt;=$B$5</f>
        <v>0</v>
      </c>
      <c r="F1445" t="str" cm="1">
        <f t="array" ref="F1445">IF(LineærRegression_Valg[[#This Row],[Indenfor range]],INDEX(DataTitel_liste,LineærRegression_Valg[[#This Row],[Afhængig variabel ID]]),INDEX(DataTitel_liste,1))</f>
        <v>Eksempel 1 (interval)</v>
      </c>
      <c r="G1445" s="171" t="str" cm="1">
        <f t="array" ref="G1445">IF(LineærRegression_Valg[[#This Row],[Indenfor range]],IF(LineærRegression_Valg[[#This Row],[Intet overlap]],INDEX(DataTitel_liste,LineærRegression_Valg[[#This Row],[Uafhængig variabel ID]]),INDEX(DataTitel_liste,IF(LineærRegression_Valg[[#This Row],[Afhængig variabel ID]]=1,2,1))),$B$7)</f>
        <v>Eksempel 2 (interval)</v>
      </c>
      <c r="H1445" s="171">
        <f>_xlfn.AGGREGATE(2,5,LineærRegression_Valg[[#This Row],[Tabel ID]])</f>
        <v>1</v>
      </c>
    </row>
    <row r="1446" spans="1:8" x14ac:dyDescent="0.2">
      <c r="A1446">
        <f>ROW(LineærRegression_Valg[[#This Row],[Tabel ID]])-ROW(LineærRegression_Valg[[#Headers],[Tabel ID]])</f>
        <v>1436</v>
      </c>
      <c r="B1446" s="171">
        <f>ROUNDDOWN((LineærRegression_Valg[[#This Row],[Tabel ID]]-1)/$B$5,0)+1</f>
        <v>359</v>
      </c>
      <c r="C1446" s="171">
        <f t="shared" si="22"/>
        <v>4</v>
      </c>
      <c r="D1446" s="171" t="b">
        <f>LineærRegression_Valg[[#This Row],[Afhængig variabel ID]]&lt;&gt;LineærRegression_Valg[[#This Row],[Uafhængig variabel ID]]</f>
        <v>1</v>
      </c>
      <c r="E1446" s="171" t="b">
        <f>LineærRegression_Valg[[#This Row],[Afhængig variabel ID]]&lt;=$B$5</f>
        <v>0</v>
      </c>
      <c r="F1446" t="str" cm="1">
        <f t="array" ref="F1446">IF(LineærRegression_Valg[[#This Row],[Indenfor range]],INDEX(DataTitel_liste,LineærRegression_Valg[[#This Row],[Afhængig variabel ID]]),INDEX(DataTitel_liste,1))</f>
        <v>Eksempel 1 (interval)</v>
      </c>
      <c r="G1446" s="171" t="str" cm="1">
        <f t="array" ref="G1446">IF(LineærRegression_Valg[[#This Row],[Indenfor range]],IF(LineærRegression_Valg[[#This Row],[Intet overlap]],INDEX(DataTitel_liste,LineærRegression_Valg[[#This Row],[Uafhængig variabel ID]]),INDEX(DataTitel_liste,IF(LineærRegression_Valg[[#This Row],[Afhængig variabel ID]]=1,2,1))),$B$7)</f>
        <v>Eksempel 2 (interval)</v>
      </c>
      <c r="H1446" s="171">
        <f>_xlfn.AGGREGATE(2,5,LineærRegression_Valg[[#This Row],[Tabel ID]])</f>
        <v>1</v>
      </c>
    </row>
    <row r="1447" spans="1:8" x14ac:dyDescent="0.2">
      <c r="A1447">
        <f>ROW(LineærRegression_Valg[[#This Row],[Tabel ID]])-ROW(LineærRegression_Valg[[#Headers],[Tabel ID]])</f>
        <v>1437</v>
      </c>
      <c r="B1447" s="171">
        <f>ROUNDDOWN((LineærRegression_Valg[[#This Row],[Tabel ID]]-1)/$B$5,0)+1</f>
        <v>360</v>
      </c>
      <c r="C1447" s="171">
        <f t="shared" si="22"/>
        <v>1</v>
      </c>
      <c r="D1447" s="171" t="b">
        <f>LineærRegression_Valg[[#This Row],[Afhængig variabel ID]]&lt;&gt;LineærRegression_Valg[[#This Row],[Uafhængig variabel ID]]</f>
        <v>1</v>
      </c>
      <c r="E1447" s="171" t="b">
        <f>LineærRegression_Valg[[#This Row],[Afhængig variabel ID]]&lt;=$B$5</f>
        <v>0</v>
      </c>
      <c r="F1447" t="str" cm="1">
        <f t="array" ref="F1447">IF(LineærRegression_Valg[[#This Row],[Indenfor range]],INDEX(DataTitel_liste,LineærRegression_Valg[[#This Row],[Afhængig variabel ID]]),INDEX(DataTitel_liste,1))</f>
        <v>Eksempel 1 (interval)</v>
      </c>
      <c r="G1447" s="171" t="str" cm="1">
        <f t="array" ref="G1447">IF(LineærRegression_Valg[[#This Row],[Indenfor range]],IF(LineærRegression_Valg[[#This Row],[Intet overlap]],INDEX(DataTitel_liste,LineærRegression_Valg[[#This Row],[Uafhængig variabel ID]]),INDEX(DataTitel_liste,IF(LineærRegression_Valg[[#This Row],[Afhængig variabel ID]]=1,2,1))),$B$7)</f>
        <v>Eksempel 2 (interval)</v>
      </c>
      <c r="H1447" s="171">
        <f>_xlfn.AGGREGATE(2,5,LineærRegression_Valg[[#This Row],[Tabel ID]])</f>
        <v>1</v>
      </c>
    </row>
    <row r="1448" spans="1:8" x14ac:dyDescent="0.2">
      <c r="A1448">
        <f>ROW(LineærRegression_Valg[[#This Row],[Tabel ID]])-ROW(LineærRegression_Valg[[#Headers],[Tabel ID]])</f>
        <v>1438</v>
      </c>
      <c r="B1448" s="171">
        <f>ROUNDDOWN((LineærRegression_Valg[[#This Row],[Tabel ID]]-1)/$B$5,0)+1</f>
        <v>360</v>
      </c>
      <c r="C1448" s="171">
        <f t="shared" si="22"/>
        <v>2</v>
      </c>
      <c r="D1448" s="171" t="b">
        <f>LineærRegression_Valg[[#This Row],[Afhængig variabel ID]]&lt;&gt;LineærRegression_Valg[[#This Row],[Uafhængig variabel ID]]</f>
        <v>1</v>
      </c>
      <c r="E1448" s="171" t="b">
        <f>LineærRegression_Valg[[#This Row],[Afhængig variabel ID]]&lt;=$B$5</f>
        <v>0</v>
      </c>
      <c r="F1448" t="str" cm="1">
        <f t="array" ref="F1448">IF(LineærRegression_Valg[[#This Row],[Indenfor range]],INDEX(DataTitel_liste,LineærRegression_Valg[[#This Row],[Afhængig variabel ID]]),INDEX(DataTitel_liste,1))</f>
        <v>Eksempel 1 (interval)</v>
      </c>
      <c r="G1448" s="171" t="str" cm="1">
        <f t="array" ref="G1448">IF(LineærRegression_Valg[[#This Row],[Indenfor range]],IF(LineærRegression_Valg[[#This Row],[Intet overlap]],INDEX(DataTitel_liste,LineærRegression_Valg[[#This Row],[Uafhængig variabel ID]]),INDEX(DataTitel_liste,IF(LineærRegression_Valg[[#This Row],[Afhængig variabel ID]]=1,2,1))),$B$7)</f>
        <v>Eksempel 2 (interval)</v>
      </c>
      <c r="H1448" s="171">
        <f>_xlfn.AGGREGATE(2,5,LineærRegression_Valg[[#This Row],[Tabel ID]])</f>
        <v>1</v>
      </c>
    </row>
    <row r="1449" spans="1:8" x14ac:dyDescent="0.2">
      <c r="A1449">
        <f>ROW(LineærRegression_Valg[[#This Row],[Tabel ID]])-ROW(LineærRegression_Valg[[#Headers],[Tabel ID]])</f>
        <v>1439</v>
      </c>
      <c r="B1449" s="171">
        <f>ROUNDDOWN((LineærRegression_Valg[[#This Row],[Tabel ID]]-1)/$B$5,0)+1</f>
        <v>360</v>
      </c>
      <c r="C1449" s="171">
        <f t="shared" si="22"/>
        <v>3</v>
      </c>
      <c r="D1449" s="171" t="b">
        <f>LineærRegression_Valg[[#This Row],[Afhængig variabel ID]]&lt;&gt;LineærRegression_Valg[[#This Row],[Uafhængig variabel ID]]</f>
        <v>1</v>
      </c>
      <c r="E1449" s="171" t="b">
        <f>LineærRegression_Valg[[#This Row],[Afhængig variabel ID]]&lt;=$B$5</f>
        <v>0</v>
      </c>
      <c r="F1449" t="str" cm="1">
        <f t="array" ref="F1449">IF(LineærRegression_Valg[[#This Row],[Indenfor range]],INDEX(DataTitel_liste,LineærRegression_Valg[[#This Row],[Afhængig variabel ID]]),INDEX(DataTitel_liste,1))</f>
        <v>Eksempel 1 (interval)</v>
      </c>
      <c r="G1449" s="171" t="str" cm="1">
        <f t="array" ref="G1449">IF(LineærRegression_Valg[[#This Row],[Indenfor range]],IF(LineærRegression_Valg[[#This Row],[Intet overlap]],INDEX(DataTitel_liste,LineærRegression_Valg[[#This Row],[Uafhængig variabel ID]]),INDEX(DataTitel_liste,IF(LineærRegression_Valg[[#This Row],[Afhængig variabel ID]]=1,2,1))),$B$7)</f>
        <v>Eksempel 2 (interval)</v>
      </c>
      <c r="H1449" s="171">
        <f>_xlfn.AGGREGATE(2,5,LineærRegression_Valg[[#This Row],[Tabel ID]])</f>
        <v>1</v>
      </c>
    </row>
    <row r="1450" spans="1:8" x14ac:dyDescent="0.2">
      <c r="A1450">
        <f>ROW(LineærRegression_Valg[[#This Row],[Tabel ID]])-ROW(LineærRegression_Valg[[#Headers],[Tabel ID]])</f>
        <v>1440</v>
      </c>
      <c r="B1450" s="171">
        <f>ROUNDDOWN((LineærRegression_Valg[[#This Row],[Tabel ID]]-1)/$B$5,0)+1</f>
        <v>360</v>
      </c>
      <c r="C1450" s="171">
        <f t="shared" si="22"/>
        <v>4</v>
      </c>
      <c r="D1450" s="171" t="b">
        <f>LineærRegression_Valg[[#This Row],[Afhængig variabel ID]]&lt;&gt;LineærRegression_Valg[[#This Row],[Uafhængig variabel ID]]</f>
        <v>1</v>
      </c>
      <c r="E1450" s="171" t="b">
        <f>LineærRegression_Valg[[#This Row],[Afhængig variabel ID]]&lt;=$B$5</f>
        <v>0</v>
      </c>
      <c r="F1450" t="str" cm="1">
        <f t="array" ref="F1450">IF(LineærRegression_Valg[[#This Row],[Indenfor range]],INDEX(DataTitel_liste,LineærRegression_Valg[[#This Row],[Afhængig variabel ID]]),INDEX(DataTitel_liste,1))</f>
        <v>Eksempel 1 (interval)</v>
      </c>
      <c r="G1450" s="171" t="str" cm="1">
        <f t="array" ref="G1450">IF(LineærRegression_Valg[[#This Row],[Indenfor range]],IF(LineærRegression_Valg[[#This Row],[Intet overlap]],INDEX(DataTitel_liste,LineærRegression_Valg[[#This Row],[Uafhængig variabel ID]]),INDEX(DataTitel_liste,IF(LineærRegression_Valg[[#This Row],[Afhængig variabel ID]]=1,2,1))),$B$7)</f>
        <v>Eksempel 2 (interval)</v>
      </c>
      <c r="H1450" s="171">
        <f>_xlfn.AGGREGATE(2,5,LineærRegression_Valg[[#This Row],[Tabel ID]])</f>
        <v>1</v>
      </c>
    </row>
    <row r="1451" spans="1:8" x14ac:dyDescent="0.2">
      <c r="A1451">
        <f>ROW(LineærRegression_Valg[[#This Row],[Tabel ID]])-ROW(LineærRegression_Valg[[#Headers],[Tabel ID]])</f>
        <v>1441</v>
      </c>
      <c r="B1451" s="171">
        <f>ROUNDDOWN((LineærRegression_Valg[[#This Row],[Tabel ID]]-1)/$B$5,0)+1</f>
        <v>361</v>
      </c>
      <c r="C1451" s="171">
        <f t="shared" si="22"/>
        <v>1</v>
      </c>
      <c r="D1451" s="171" t="b">
        <f>LineærRegression_Valg[[#This Row],[Afhængig variabel ID]]&lt;&gt;LineærRegression_Valg[[#This Row],[Uafhængig variabel ID]]</f>
        <v>1</v>
      </c>
      <c r="E1451" s="171" t="b">
        <f>LineærRegression_Valg[[#This Row],[Afhængig variabel ID]]&lt;=$B$5</f>
        <v>0</v>
      </c>
      <c r="F1451" t="str" cm="1">
        <f t="array" ref="F1451">IF(LineærRegression_Valg[[#This Row],[Indenfor range]],INDEX(DataTitel_liste,LineærRegression_Valg[[#This Row],[Afhængig variabel ID]]),INDEX(DataTitel_liste,1))</f>
        <v>Eksempel 1 (interval)</v>
      </c>
      <c r="G1451" s="171" t="str" cm="1">
        <f t="array" ref="G1451">IF(LineærRegression_Valg[[#This Row],[Indenfor range]],IF(LineærRegression_Valg[[#This Row],[Intet overlap]],INDEX(DataTitel_liste,LineærRegression_Valg[[#This Row],[Uafhængig variabel ID]]),INDEX(DataTitel_liste,IF(LineærRegression_Valg[[#This Row],[Afhængig variabel ID]]=1,2,1))),$B$7)</f>
        <v>Eksempel 2 (interval)</v>
      </c>
      <c r="H1451" s="171">
        <f>_xlfn.AGGREGATE(2,5,LineærRegression_Valg[[#This Row],[Tabel ID]])</f>
        <v>1</v>
      </c>
    </row>
    <row r="1452" spans="1:8" x14ac:dyDescent="0.2">
      <c r="A1452">
        <f>ROW(LineærRegression_Valg[[#This Row],[Tabel ID]])-ROW(LineærRegression_Valg[[#Headers],[Tabel ID]])</f>
        <v>1442</v>
      </c>
      <c r="B1452" s="171">
        <f>ROUNDDOWN((LineærRegression_Valg[[#This Row],[Tabel ID]]-1)/$B$5,0)+1</f>
        <v>361</v>
      </c>
      <c r="C1452" s="171">
        <f t="shared" si="22"/>
        <v>2</v>
      </c>
      <c r="D1452" s="171" t="b">
        <f>LineærRegression_Valg[[#This Row],[Afhængig variabel ID]]&lt;&gt;LineærRegression_Valg[[#This Row],[Uafhængig variabel ID]]</f>
        <v>1</v>
      </c>
      <c r="E1452" s="171" t="b">
        <f>LineærRegression_Valg[[#This Row],[Afhængig variabel ID]]&lt;=$B$5</f>
        <v>0</v>
      </c>
      <c r="F1452" t="str" cm="1">
        <f t="array" ref="F1452">IF(LineærRegression_Valg[[#This Row],[Indenfor range]],INDEX(DataTitel_liste,LineærRegression_Valg[[#This Row],[Afhængig variabel ID]]),INDEX(DataTitel_liste,1))</f>
        <v>Eksempel 1 (interval)</v>
      </c>
      <c r="G1452" s="171" t="str" cm="1">
        <f t="array" ref="G1452">IF(LineærRegression_Valg[[#This Row],[Indenfor range]],IF(LineærRegression_Valg[[#This Row],[Intet overlap]],INDEX(DataTitel_liste,LineærRegression_Valg[[#This Row],[Uafhængig variabel ID]]),INDEX(DataTitel_liste,IF(LineærRegression_Valg[[#This Row],[Afhængig variabel ID]]=1,2,1))),$B$7)</f>
        <v>Eksempel 2 (interval)</v>
      </c>
      <c r="H1452" s="171">
        <f>_xlfn.AGGREGATE(2,5,LineærRegression_Valg[[#This Row],[Tabel ID]])</f>
        <v>1</v>
      </c>
    </row>
    <row r="1453" spans="1:8" x14ac:dyDescent="0.2">
      <c r="A1453">
        <f>ROW(LineærRegression_Valg[[#This Row],[Tabel ID]])-ROW(LineærRegression_Valg[[#Headers],[Tabel ID]])</f>
        <v>1443</v>
      </c>
      <c r="B1453" s="171">
        <f>ROUNDDOWN((LineærRegression_Valg[[#This Row],[Tabel ID]]-1)/$B$5,0)+1</f>
        <v>361</v>
      </c>
      <c r="C1453" s="171">
        <f t="shared" si="22"/>
        <v>3</v>
      </c>
      <c r="D1453" s="171" t="b">
        <f>LineærRegression_Valg[[#This Row],[Afhængig variabel ID]]&lt;&gt;LineærRegression_Valg[[#This Row],[Uafhængig variabel ID]]</f>
        <v>1</v>
      </c>
      <c r="E1453" s="171" t="b">
        <f>LineærRegression_Valg[[#This Row],[Afhængig variabel ID]]&lt;=$B$5</f>
        <v>0</v>
      </c>
      <c r="F1453" t="str" cm="1">
        <f t="array" ref="F1453">IF(LineærRegression_Valg[[#This Row],[Indenfor range]],INDEX(DataTitel_liste,LineærRegression_Valg[[#This Row],[Afhængig variabel ID]]),INDEX(DataTitel_liste,1))</f>
        <v>Eksempel 1 (interval)</v>
      </c>
      <c r="G1453" s="171" t="str" cm="1">
        <f t="array" ref="G1453">IF(LineærRegression_Valg[[#This Row],[Indenfor range]],IF(LineærRegression_Valg[[#This Row],[Intet overlap]],INDEX(DataTitel_liste,LineærRegression_Valg[[#This Row],[Uafhængig variabel ID]]),INDEX(DataTitel_liste,IF(LineærRegression_Valg[[#This Row],[Afhængig variabel ID]]=1,2,1))),$B$7)</f>
        <v>Eksempel 2 (interval)</v>
      </c>
      <c r="H1453" s="171">
        <f>_xlfn.AGGREGATE(2,5,LineærRegression_Valg[[#This Row],[Tabel ID]])</f>
        <v>1</v>
      </c>
    </row>
    <row r="1454" spans="1:8" x14ac:dyDescent="0.2">
      <c r="A1454">
        <f>ROW(LineærRegression_Valg[[#This Row],[Tabel ID]])-ROW(LineærRegression_Valg[[#Headers],[Tabel ID]])</f>
        <v>1444</v>
      </c>
      <c r="B1454" s="171">
        <f>ROUNDDOWN((LineærRegression_Valg[[#This Row],[Tabel ID]]-1)/$B$5,0)+1</f>
        <v>361</v>
      </c>
      <c r="C1454" s="171">
        <f t="shared" si="22"/>
        <v>4</v>
      </c>
      <c r="D1454" s="171" t="b">
        <f>LineærRegression_Valg[[#This Row],[Afhængig variabel ID]]&lt;&gt;LineærRegression_Valg[[#This Row],[Uafhængig variabel ID]]</f>
        <v>1</v>
      </c>
      <c r="E1454" s="171" t="b">
        <f>LineærRegression_Valg[[#This Row],[Afhængig variabel ID]]&lt;=$B$5</f>
        <v>0</v>
      </c>
      <c r="F1454" t="str" cm="1">
        <f t="array" ref="F1454">IF(LineærRegression_Valg[[#This Row],[Indenfor range]],INDEX(DataTitel_liste,LineærRegression_Valg[[#This Row],[Afhængig variabel ID]]),INDEX(DataTitel_liste,1))</f>
        <v>Eksempel 1 (interval)</v>
      </c>
      <c r="G1454" s="171" t="str" cm="1">
        <f t="array" ref="G1454">IF(LineærRegression_Valg[[#This Row],[Indenfor range]],IF(LineærRegression_Valg[[#This Row],[Intet overlap]],INDEX(DataTitel_liste,LineærRegression_Valg[[#This Row],[Uafhængig variabel ID]]),INDEX(DataTitel_liste,IF(LineærRegression_Valg[[#This Row],[Afhængig variabel ID]]=1,2,1))),$B$7)</f>
        <v>Eksempel 2 (interval)</v>
      </c>
      <c r="H1454" s="171">
        <f>_xlfn.AGGREGATE(2,5,LineærRegression_Valg[[#This Row],[Tabel ID]])</f>
        <v>1</v>
      </c>
    </row>
    <row r="1455" spans="1:8" x14ac:dyDescent="0.2">
      <c r="A1455">
        <f>ROW(LineærRegression_Valg[[#This Row],[Tabel ID]])-ROW(LineærRegression_Valg[[#Headers],[Tabel ID]])</f>
        <v>1445</v>
      </c>
      <c r="B1455" s="171">
        <f>ROUNDDOWN((LineærRegression_Valg[[#This Row],[Tabel ID]]-1)/$B$5,0)+1</f>
        <v>362</v>
      </c>
      <c r="C1455" s="171">
        <f t="shared" si="22"/>
        <v>1</v>
      </c>
      <c r="D1455" s="171" t="b">
        <f>LineærRegression_Valg[[#This Row],[Afhængig variabel ID]]&lt;&gt;LineærRegression_Valg[[#This Row],[Uafhængig variabel ID]]</f>
        <v>1</v>
      </c>
      <c r="E1455" s="171" t="b">
        <f>LineærRegression_Valg[[#This Row],[Afhængig variabel ID]]&lt;=$B$5</f>
        <v>0</v>
      </c>
      <c r="F1455" t="str" cm="1">
        <f t="array" ref="F1455">IF(LineærRegression_Valg[[#This Row],[Indenfor range]],INDEX(DataTitel_liste,LineærRegression_Valg[[#This Row],[Afhængig variabel ID]]),INDEX(DataTitel_liste,1))</f>
        <v>Eksempel 1 (interval)</v>
      </c>
      <c r="G1455" s="171" t="str" cm="1">
        <f t="array" ref="G1455">IF(LineærRegression_Valg[[#This Row],[Indenfor range]],IF(LineærRegression_Valg[[#This Row],[Intet overlap]],INDEX(DataTitel_liste,LineærRegression_Valg[[#This Row],[Uafhængig variabel ID]]),INDEX(DataTitel_liste,IF(LineærRegression_Valg[[#This Row],[Afhængig variabel ID]]=1,2,1))),$B$7)</f>
        <v>Eksempel 2 (interval)</v>
      </c>
      <c r="H1455" s="171">
        <f>_xlfn.AGGREGATE(2,5,LineærRegression_Valg[[#This Row],[Tabel ID]])</f>
        <v>1</v>
      </c>
    </row>
    <row r="1456" spans="1:8" x14ac:dyDescent="0.2">
      <c r="A1456">
        <f>ROW(LineærRegression_Valg[[#This Row],[Tabel ID]])-ROW(LineærRegression_Valg[[#Headers],[Tabel ID]])</f>
        <v>1446</v>
      </c>
      <c r="B1456" s="171">
        <f>ROUNDDOWN((LineærRegression_Valg[[#This Row],[Tabel ID]]-1)/$B$5,0)+1</f>
        <v>362</v>
      </c>
      <c r="C1456" s="171">
        <f t="shared" si="22"/>
        <v>2</v>
      </c>
      <c r="D1456" s="171" t="b">
        <f>LineærRegression_Valg[[#This Row],[Afhængig variabel ID]]&lt;&gt;LineærRegression_Valg[[#This Row],[Uafhængig variabel ID]]</f>
        <v>1</v>
      </c>
      <c r="E1456" s="171" t="b">
        <f>LineærRegression_Valg[[#This Row],[Afhængig variabel ID]]&lt;=$B$5</f>
        <v>0</v>
      </c>
      <c r="F1456" t="str" cm="1">
        <f t="array" ref="F1456">IF(LineærRegression_Valg[[#This Row],[Indenfor range]],INDEX(DataTitel_liste,LineærRegression_Valg[[#This Row],[Afhængig variabel ID]]),INDEX(DataTitel_liste,1))</f>
        <v>Eksempel 1 (interval)</v>
      </c>
      <c r="G1456" s="171" t="str" cm="1">
        <f t="array" ref="G1456">IF(LineærRegression_Valg[[#This Row],[Indenfor range]],IF(LineærRegression_Valg[[#This Row],[Intet overlap]],INDEX(DataTitel_liste,LineærRegression_Valg[[#This Row],[Uafhængig variabel ID]]),INDEX(DataTitel_liste,IF(LineærRegression_Valg[[#This Row],[Afhængig variabel ID]]=1,2,1))),$B$7)</f>
        <v>Eksempel 2 (interval)</v>
      </c>
      <c r="H1456" s="171">
        <f>_xlfn.AGGREGATE(2,5,LineærRegression_Valg[[#This Row],[Tabel ID]])</f>
        <v>1</v>
      </c>
    </row>
    <row r="1457" spans="1:8" x14ac:dyDescent="0.2">
      <c r="A1457">
        <f>ROW(LineærRegression_Valg[[#This Row],[Tabel ID]])-ROW(LineærRegression_Valg[[#Headers],[Tabel ID]])</f>
        <v>1447</v>
      </c>
      <c r="B1457" s="171">
        <f>ROUNDDOWN((LineærRegression_Valg[[#This Row],[Tabel ID]]-1)/$B$5,0)+1</f>
        <v>362</v>
      </c>
      <c r="C1457" s="171">
        <f t="shared" si="22"/>
        <v>3</v>
      </c>
      <c r="D1457" s="171" t="b">
        <f>LineærRegression_Valg[[#This Row],[Afhængig variabel ID]]&lt;&gt;LineærRegression_Valg[[#This Row],[Uafhængig variabel ID]]</f>
        <v>1</v>
      </c>
      <c r="E1457" s="171" t="b">
        <f>LineærRegression_Valg[[#This Row],[Afhængig variabel ID]]&lt;=$B$5</f>
        <v>0</v>
      </c>
      <c r="F1457" t="str" cm="1">
        <f t="array" ref="F1457">IF(LineærRegression_Valg[[#This Row],[Indenfor range]],INDEX(DataTitel_liste,LineærRegression_Valg[[#This Row],[Afhængig variabel ID]]),INDEX(DataTitel_liste,1))</f>
        <v>Eksempel 1 (interval)</v>
      </c>
      <c r="G1457" s="171" t="str" cm="1">
        <f t="array" ref="G1457">IF(LineærRegression_Valg[[#This Row],[Indenfor range]],IF(LineærRegression_Valg[[#This Row],[Intet overlap]],INDEX(DataTitel_liste,LineærRegression_Valg[[#This Row],[Uafhængig variabel ID]]),INDEX(DataTitel_liste,IF(LineærRegression_Valg[[#This Row],[Afhængig variabel ID]]=1,2,1))),$B$7)</f>
        <v>Eksempel 2 (interval)</v>
      </c>
      <c r="H1457" s="171">
        <f>_xlfn.AGGREGATE(2,5,LineærRegression_Valg[[#This Row],[Tabel ID]])</f>
        <v>1</v>
      </c>
    </row>
    <row r="1458" spans="1:8" x14ac:dyDescent="0.2">
      <c r="A1458">
        <f>ROW(LineærRegression_Valg[[#This Row],[Tabel ID]])-ROW(LineærRegression_Valg[[#Headers],[Tabel ID]])</f>
        <v>1448</v>
      </c>
      <c r="B1458" s="171">
        <f>ROUNDDOWN((LineærRegression_Valg[[#This Row],[Tabel ID]]-1)/$B$5,0)+1</f>
        <v>362</v>
      </c>
      <c r="C1458" s="171">
        <f t="shared" si="22"/>
        <v>4</v>
      </c>
      <c r="D1458" s="171" t="b">
        <f>LineærRegression_Valg[[#This Row],[Afhængig variabel ID]]&lt;&gt;LineærRegression_Valg[[#This Row],[Uafhængig variabel ID]]</f>
        <v>1</v>
      </c>
      <c r="E1458" s="171" t="b">
        <f>LineærRegression_Valg[[#This Row],[Afhængig variabel ID]]&lt;=$B$5</f>
        <v>0</v>
      </c>
      <c r="F1458" t="str" cm="1">
        <f t="array" ref="F1458">IF(LineærRegression_Valg[[#This Row],[Indenfor range]],INDEX(DataTitel_liste,LineærRegression_Valg[[#This Row],[Afhængig variabel ID]]),INDEX(DataTitel_liste,1))</f>
        <v>Eksempel 1 (interval)</v>
      </c>
      <c r="G1458" s="171" t="str" cm="1">
        <f t="array" ref="G1458">IF(LineærRegression_Valg[[#This Row],[Indenfor range]],IF(LineærRegression_Valg[[#This Row],[Intet overlap]],INDEX(DataTitel_liste,LineærRegression_Valg[[#This Row],[Uafhængig variabel ID]]),INDEX(DataTitel_liste,IF(LineærRegression_Valg[[#This Row],[Afhængig variabel ID]]=1,2,1))),$B$7)</f>
        <v>Eksempel 2 (interval)</v>
      </c>
      <c r="H1458" s="171">
        <f>_xlfn.AGGREGATE(2,5,LineærRegression_Valg[[#This Row],[Tabel ID]])</f>
        <v>1</v>
      </c>
    </row>
    <row r="1459" spans="1:8" x14ac:dyDescent="0.2">
      <c r="A1459">
        <f>ROW(LineærRegression_Valg[[#This Row],[Tabel ID]])-ROW(LineærRegression_Valg[[#Headers],[Tabel ID]])</f>
        <v>1449</v>
      </c>
      <c r="B1459" s="171">
        <f>ROUNDDOWN((LineærRegression_Valg[[#This Row],[Tabel ID]]-1)/$B$5,0)+1</f>
        <v>363</v>
      </c>
      <c r="C1459" s="171">
        <f t="shared" si="22"/>
        <v>1</v>
      </c>
      <c r="D1459" s="171" t="b">
        <f>LineærRegression_Valg[[#This Row],[Afhængig variabel ID]]&lt;&gt;LineærRegression_Valg[[#This Row],[Uafhængig variabel ID]]</f>
        <v>1</v>
      </c>
      <c r="E1459" s="171" t="b">
        <f>LineærRegression_Valg[[#This Row],[Afhængig variabel ID]]&lt;=$B$5</f>
        <v>0</v>
      </c>
      <c r="F1459" t="str" cm="1">
        <f t="array" ref="F1459">IF(LineærRegression_Valg[[#This Row],[Indenfor range]],INDEX(DataTitel_liste,LineærRegression_Valg[[#This Row],[Afhængig variabel ID]]),INDEX(DataTitel_liste,1))</f>
        <v>Eksempel 1 (interval)</v>
      </c>
      <c r="G1459" s="171" t="str" cm="1">
        <f t="array" ref="G1459">IF(LineærRegression_Valg[[#This Row],[Indenfor range]],IF(LineærRegression_Valg[[#This Row],[Intet overlap]],INDEX(DataTitel_liste,LineærRegression_Valg[[#This Row],[Uafhængig variabel ID]]),INDEX(DataTitel_liste,IF(LineærRegression_Valg[[#This Row],[Afhængig variabel ID]]=1,2,1))),$B$7)</f>
        <v>Eksempel 2 (interval)</v>
      </c>
      <c r="H1459" s="171">
        <f>_xlfn.AGGREGATE(2,5,LineærRegression_Valg[[#This Row],[Tabel ID]])</f>
        <v>1</v>
      </c>
    </row>
    <row r="1460" spans="1:8" x14ac:dyDescent="0.2">
      <c r="A1460">
        <f>ROW(LineærRegression_Valg[[#This Row],[Tabel ID]])-ROW(LineærRegression_Valg[[#Headers],[Tabel ID]])</f>
        <v>1450</v>
      </c>
      <c r="B1460" s="171">
        <f>ROUNDDOWN((LineærRegression_Valg[[#This Row],[Tabel ID]]-1)/$B$5,0)+1</f>
        <v>363</v>
      </c>
      <c r="C1460" s="171">
        <f t="shared" si="22"/>
        <v>2</v>
      </c>
      <c r="D1460" s="171" t="b">
        <f>LineærRegression_Valg[[#This Row],[Afhængig variabel ID]]&lt;&gt;LineærRegression_Valg[[#This Row],[Uafhængig variabel ID]]</f>
        <v>1</v>
      </c>
      <c r="E1460" s="171" t="b">
        <f>LineærRegression_Valg[[#This Row],[Afhængig variabel ID]]&lt;=$B$5</f>
        <v>0</v>
      </c>
      <c r="F1460" t="str" cm="1">
        <f t="array" ref="F1460">IF(LineærRegression_Valg[[#This Row],[Indenfor range]],INDEX(DataTitel_liste,LineærRegression_Valg[[#This Row],[Afhængig variabel ID]]),INDEX(DataTitel_liste,1))</f>
        <v>Eksempel 1 (interval)</v>
      </c>
      <c r="G1460" s="171" t="str" cm="1">
        <f t="array" ref="G1460">IF(LineærRegression_Valg[[#This Row],[Indenfor range]],IF(LineærRegression_Valg[[#This Row],[Intet overlap]],INDEX(DataTitel_liste,LineærRegression_Valg[[#This Row],[Uafhængig variabel ID]]),INDEX(DataTitel_liste,IF(LineærRegression_Valg[[#This Row],[Afhængig variabel ID]]=1,2,1))),$B$7)</f>
        <v>Eksempel 2 (interval)</v>
      </c>
      <c r="H1460" s="171">
        <f>_xlfn.AGGREGATE(2,5,LineærRegression_Valg[[#This Row],[Tabel ID]])</f>
        <v>1</v>
      </c>
    </row>
    <row r="1461" spans="1:8" x14ac:dyDescent="0.2">
      <c r="A1461">
        <f>ROW(LineærRegression_Valg[[#This Row],[Tabel ID]])-ROW(LineærRegression_Valg[[#Headers],[Tabel ID]])</f>
        <v>1451</v>
      </c>
      <c r="B1461" s="171">
        <f>ROUNDDOWN((LineærRegression_Valg[[#This Row],[Tabel ID]]-1)/$B$5,0)+1</f>
        <v>363</v>
      </c>
      <c r="C1461" s="171">
        <f t="shared" si="22"/>
        <v>3</v>
      </c>
      <c r="D1461" s="171" t="b">
        <f>LineærRegression_Valg[[#This Row],[Afhængig variabel ID]]&lt;&gt;LineærRegression_Valg[[#This Row],[Uafhængig variabel ID]]</f>
        <v>1</v>
      </c>
      <c r="E1461" s="171" t="b">
        <f>LineærRegression_Valg[[#This Row],[Afhængig variabel ID]]&lt;=$B$5</f>
        <v>0</v>
      </c>
      <c r="F1461" t="str" cm="1">
        <f t="array" ref="F1461">IF(LineærRegression_Valg[[#This Row],[Indenfor range]],INDEX(DataTitel_liste,LineærRegression_Valg[[#This Row],[Afhængig variabel ID]]),INDEX(DataTitel_liste,1))</f>
        <v>Eksempel 1 (interval)</v>
      </c>
      <c r="G1461" s="171" t="str" cm="1">
        <f t="array" ref="G1461">IF(LineærRegression_Valg[[#This Row],[Indenfor range]],IF(LineærRegression_Valg[[#This Row],[Intet overlap]],INDEX(DataTitel_liste,LineærRegression_Valg[[#This Row],[Uafhængig variabel ID]]),INDEX(DataTitel_liste,IF(LineærRegression_Valg[[#This Row],[Afhængig variabel ID]]=1,2,1))),$B$7)</f>
        <v>Eksempel 2 (interval)</v>
      </c>
      <c r="H1461" s="171">
        <f>_xlfn.AGGREGATE(2,5,LineærRegression_Valg[[#This Row],[Tabel ID]])</f>
        <v>1</v>
      </c>
    </row>
    <row r="1462" spans="1:8" x14ac:dyDescent="0.2">
      <c r="A1462">
        <f>ROW(LineærRegression_Valg[[#This Row],[Tabel ID]])-ROW(LineærRegression_Valg[[#Headers],[Tabel ID]])</f>
        <v>1452</v>
      </c>
      <c r="B1462" s="171">
        <f>ROUNDDOWN((LineærRegression_Valg[[#This Row],[Tabel ID]]-1)/$B$5,0)+1</f>
        <v>363</v>
      </c>
      <c r="C1462" s="171">
        <f t="shared" si="22"/>
        <v>4</v>
      </c>
      <c r="D1462" s="171" t="b">
        <f>LineærRegression_Valg[[#This Row],[Afhængig variabel ID]]&lt;&gt;LineærRegression_Valg[[#This Row],[Uafhængig variabel ID]]</f>
        <v>1</v>
      </c>
      <c r="E1462" s="171" t="b">
        <f>LineærRegression_Valg[[#This Row],[Afhængig variabel ID]]&lt;=$B$5</f>
        <v>0</v>
      </c>
      <c r="F1462" t="str" cm="1">
        <f t="array" ref="F1462">IF(LineærRegression_Valg[[#This Row],[Indenfor range]],INDEX(DataTitel_liste,LineærRegression_Valg[[#This Row],[Afhængig variabel ID]]),INDEX(DataTitel_liste,1))</f>
        <v>Eksempel 1 (interval)</v>
      </c>
      <c r="G1462" s="171" t="str" cm="1">
        <f t="array" ref="G1462">IF(LineærRegression_Valg[[#This Row],[Indenfor range]],IF(LineærRegression_Valg[[#This Row],[Intet overlap]],INDEX(DataTitel_liste,LineærRegression_Valg[[#This Row],[Uafhængig variabel ID]]),INDEX(DataTitel_liste,IF(LineærRegression_Valg[[#This Row],[Afhængig variabel ID]]=1,2,1))),$B$7)</f>
        <v>Eksempel 2 (interval)</v>
      </c>
      <c r="H1462" s="171">
        <f>_xlfn.AGGREGATE(2,5,LineærRegression_Valg[[#This Row],[Tabel ID]])</f>
        <v>1</v>
      </c>
    </row>
    <row r="1463" spans="1:8" x14ac:dyDescent="0.2">
      <c r="A1463">
        <f>ROW(LineærRegression_Valg[[#This Row],[Tabel ID]])-ROW(LineærRegression_Valg[[#Headers],[Tabel ID]])</f>
        <v>1453</v>
      </c>
      <c r="B1463" s="171">
        <f>ROUNDDOWN((LineærRegression_Valg[[#This Row],[Tabel ID]]-1)/$B$5,0)+1</f>
        <v>364</v>
      </c>
      <c r="C1463" s="171">
        <f t="shared" si="22"/>
        <v>1</v>
      </c>
      <c r="D1463" s="171" t="b">
        <f>LineærRegression_Valg[[#This Row],[Afhængig variabel ID]]&lt;&gt;LineærRegression_Valg[[#This Row],[Uafhængig variabel ID]]</f>
        <v>1</v>
      </c>
      <c r="E1463" s="171" t="b">
        <f>LineærRegression_Valg[[#This Row],[Afhængig variabel ID]]&lt;=$B$5</f>
        <v>0</v>
      </c>
      <c r="F1463" t="str" cm="1">
        <f t="array" ref="F1463">IF(LineærRegression_Valg[[#This Row],[Indenfor range]],INDEX(DataTitel_liste,LineærRegression_Valg[[#This Row],[Afhængig variabel ID]]),INDEX(DataTitel_liste,1))</f>
        <v>Eksempel 1 (interval)</v>
      </c>
      <c r="G1463" s="171" t="str" cm="1">
        <f t="array" ref="G1463">IF(LineærRegression_Valg[[#This Row],[Indenfor range]],IF(LineærRegression_Valg[[#This Row],[Intet overlap]],INDEX(DataTitel_liste,LineærRegression_Valg[[#This Row],[Uafhængig variabel ID]]),INDEX(DataTitel_liste,IF(LineærRegression_Valg[[#This Row],[Afhængig variabel ID]]=1,2,1))),$B$7)</f>
        <v>Eksempel 2 (interval)</v>
      </c>
      <c r="H1463" s="171">
        <f>_xlfn.AGGREGATE(2,5,LineærRegression_Valg[[#This Row],[Tabel ID]])</f>
        <v>1</v>
      </c>
    </row>
    <row r="1464" spans="1:8" x14ac:dyDescent="0.2">
      <c r="A1464">
        <f>ROW(LineærRegression_Valg[[#This Row],[Tabel ID]])-ROW(LineærRegression_Valg[[#Headers],[Tabel ID]])</f>
        <v>1454</v>
      </c>
      <c r="B1464" s="171">
        <f>ROUNDDOWN((LineærRegression_Valg[[#This Row],[Tabel ID]]-1)/$B$5,0)+1</f>
        <v>364</v>
      </c>
      <c r="C1464" s="171">
        <f t="shared" si="22"/>
        <v>2</v>
      </c>
      <c r="D1464" s="171" t="b">
        <f>LineærRegression_Valg[[#This Row],[Afhængig variabel ID]]&lt;&gt;LineærRegression_Valg[[#This Row],[Uafhængig variabel ID]]</f>
        <v>1</v>
      </c>
      <c r="E1464" s="171" t="b">
        <f>LineærRegression_Valg[[#This Row],[Afhængig variabel ID]]&lt;=$B$5</f>
        <v>0</v>
      </c>
      <c r="F1464" t="str" cm="1">
        <f t="array" ref="F1464">IF(LineærRegression_Valg[[#This Row],[Indenfor range]],INDEX(DataTitel_liste,LineærRegression_Valg[[#This Row],[Afhængig variabel ID]]),INDEX(DataTitel_liste,1))</f>
        <v>Eksempel 1 (interval)</v>
      </c>
      <c r="G1464" s="171" t="str" cm="1">
        <f t="array" ref="G1464">IF(LineærRegression_Valg[[#This Row],[Indenfor range]],IF(LineærRegression_Valg[[#This Row],[Intet overlap]],INDEX(DataTitel_liste,LineærRegression_Valg[[#This Row],[Uafhængig variabel ID]]),INDEX(DataTitel_liste,IF(LineærRegression_Valg[[#This Row],[Afhængig variabel ID]]=1,2,1))),$B$7)</f>
        <v>Eksempel 2 (interval)</v>
      </c>
      <c r="H1464" s="171">
        <f>_xlfn.AGGREGATE(2,5,LineærRegression_Valg[[#This Row],[Tabel ID]])</f>
        <v>1</v>
      </c>
    </row>
    <row r="1465" spans="1:8" x14ac:dyDescent="0.2">
      <c r="A1465">
        <f>ROW(LineærRegression_Valg[[#This Row],[Tabel ID]])-ROW(LineærRegression_Valg[[#Headers],[Tabel ID]])</f>
        <v>1455</v>
      </c>
      <c r="B1465" s="171">
        <f>ROUNDDOWN((LineærRegression_Valg[[#This Row],[Tabel ID]]-1)/$B$5,0)+1</f>
        <v>364</v>
      </c>
      <c r="C1465" s="171">
        <f t="shared" si="22"/>
        <v>3</v>
      </c>
      <c r="D1465" s="171" t="b">
        <f>LineærRegression_Valg[[#This Row],[Afhængig variabel ID]]&lt;&gt;LineærRegression_Valg[[#This Row],[Uafhængig variabel ID]]</f>
        <v>1</v>
      </c>
      <c r="E1465" s="171" t="b">
        <f>LineærRegression_Valg[[#This Row],[Afhængig variabel ID]]&lt;=$B$5</f>
        <v>0</v>
      </c>
      <c r="F1465" t="str" cm="1">
        <f t="array" ref="F1465">IF(LineærRegression_Valg[[#This Row],[Indenfor range]],INDEX(DataTitel_liste,LineærRegression_Valg[[#This Row],[Afhængig variabel ID]]),INDEX(DataTitel_liste,1))</f>
        <v>Eksempel 1 (interval)</v>
      </c>
      <c r="G1465" s="171" t="str" cm="1">
        <f t="array" ref="G1465">IF(LineærRegression_Valg[[#This Row],[Indenfor range]],IF(LineærRegression_Valg[[#This Row],[Intet overlap]],INDEX(DataTitel_liste,LineærRegression_Valg[[#This Row],[Uafhængig variabel ID]]),INDEX(DataTitel_liste,IF(LineærRegression_Valg[[#This Row],[Afhængig variabel ID]]=1,2,1))),$B$7)</f>
        <v>Eksempel 2 (interval)</v>
      </c>
      <c r="H1465" s="171">
        <f>_xlfn.AGGREGATE(2,5,LineærRegression_Valg[[#This Row],[Tabel ID]])</f>
        <v>1</v>
      </c>
    </row>
    <row r="1466" spans="1:8" x14ac:dyDescent="0.2">
      <c r="A1466">
        <f>ROW(LineærRegression_Valg[[#This Row],[Tabel ID]])-ROW(LineærRegression_Valg[[#Headers],[Tabel ID]])</f>
        <v>1456</v>
      </c>
      <c r="B1466" s="171">
        <f>ROUNDDOWN((LineærRegression_Valg[[#This Row],[Tabel ID]]-1)/$B$5,0)+1</f>
        <v>364</v>
      </c>
      <c r="C1466" s="171">
        <f t="shared" si="22"/>
        <v>4</v>
      </c>
      <c r="D1466" s="171" t="b">
        <f>LineærRegression_Valg[[#This Row],[Afhængig variabel ID]]&lt;&gt;LineærRegression_Valg[[#This Row],[Uafhængig variabel ID]]</f>
        <v>1</v>
      </c>
      <c r="E1466" s="171" t="b">
        <f>LineærRegression_Valg[[#This Row],[Afhængig variabel ID]]&lt;=$B$5</f>
        <v>0</v>
      </c>
      <c r="F1466" t="str" cm="1">
        <f t="array" ref="F1466">IF(LineærRegression_Valg[[#This Row],[Indenfor range]],INDEX(DataTitel_liste,LineærRegression_Valg[[#This Row],[Afhængig variabel ID]]),INDEX(DataTitel_liste,1))</f>
        <v>Eksempel 1 (interval)</v>
      </c>
      <c r="G1466" s="171" t="str" cm="1">
        <f t="array" ref="G1466">IF(LineærRegression_Valg[[#This Row],[Indenfor range]],IF(LineærRegression_Valg[[#This Row],[Intet overlap]],INDEX(DataTitel_liste,LineærRegression_Valg[[#This Row],[Uafhængig variabel ID]]),INDEX(DataTitel_liste,IF(LineærRegression_Valg[[#This Row],[Afhængig variabel ID]]=1,2,1))),$B$7)</f>
        <v>Eksempel 2 (interval)</v>
      </c>
      <c r="H1466" s="171">
        <f>_xlfn.AGGREGATE(2,5,LineærRegression_Valg[[#This Row],[Tabel ID]])</f>
        <v>1</v>
      </c>
    </row>
    <row r="1467" spans="1:8" x14ac:dyDescent="0.2">
      <c r="A1467">
        <f>ROW(LineærRegression_Valg[[#This Row],[Tabel ID]])-ROW(LineærRegression_Valg[[#Headers],[Tabel ID]])</f>
        <v>1457</v>
      </c>
      <c r="B1467" s="171">
        <f>ROUNDDOWN((LineærRegression_Valg[[#This Row],[Tabel ID]]-1)/$B$5,0)+1</f>
        <v>365</v>
      </c>
      <c r="C1467" s="171">
        <f t="shared" si="22"/>
        <v>1</v>
      </c>
      <c r="D1467" s="171" t="b">
        <f>LineærRegression_Valg[[#This Row],[Afhængig variabel ID]]&lt;&gt;LineærRegression_Valg[[#This Row],[Uafhængig variabel ID]]</f>
        <v>1</v>
      </c>
      <c r="E1467" s="171" t="b">
        <f>LineærRegression_Valg[[#This Row],[Afhængig variabel ID]]&lt;=$B$5</f>
        <v>0</v>
      </c>
      <c r="F1467" t="str" cm="1">
        <f t="array" ref="F1467">IF(LineærRegression_Valg[[#This Row],[Indenfor range]],INDEX(DataTitel_liste,LineærRegression_Valg[[#This Row],[Afhængig variabel ID]]),INDEX(DataTitel_liste,1))</f>
        <v>Eksempel 1 (interval)</v>
      </c>
      <c r="G1467" s="171" t="str" cm="1">
        <f t="array" ref="G1467">IF(LineærRegression_Valg[[#This Row],[Indenfor range]],IF(LineærRegression_Valg[[#This Row],[Intet overlap]],INDEX(DataTitel_liste,LineærRegression_Valg[[#This Row],[Uafhængig variabel ID]]),INDEX(DataTitel_liste,IF(LineærRegression_Valg[[#This Row],[Afhængig variabel ID]]=1,2,1))),$B$7)</f>
        <v>Eksempel 2 (interval)</v>
      </c>
      <c r="H1467" s="171">
        <f>_xlfn.AGGREGATE(2,5,LineærRegression_Valg[[#This Row],[Tabel ID]])</f>
        <v>1</v>
      </c>
    </row>
    <row r="1468" spans="1:8" x14ac:dyDescent="0.2">
      <c r="A1468">
        <f>ROW(LineærRegression_Valg[[#This Row],[Tabel ID]])-ROW(LineærRegression_Valg[[#Headers],[Tabel ID]])</f>
        <v>1458</v>
      </c>
      <c r="B1468" s="171">
        <f>ROUNDDOWN((LineærRegression_Valg[[#This Row],[Tabel ID]]-1)/$B$5,0)+1</f>
        <v>365</v>
      </c>
      <c r="C1468" s="171">
        <f t="shared" si="22"/>
        <v>2</v>
      </c>
      <c r="D1468" s="171" t="b">
        <f>LineærRegression_Valg[[#This Row],[Afhængig variabel ID]]&lt;&gt;LineærRegression_Valg[[#This Row],[Uafhængig variabel ID]]</f>
        <v>1</v>
      </c>
      <c r="E1468" s="171" t="b">
        <f>LineærRegression_Valg[[#This Row],[Afhængig variabel ID]]&lt;=$B$5</f>
        <v>0</v>
      </c>
      <c r="F1468" t="str" cm="1">
        <f t="array" ref="F1468">IF(LineærRegression_Valg[[#This Row],[Indenfor range]],INDEX(DataTitel_liste,LineærRegression_Valg[[#This Row],[Afhængig variabel ID]]),INDEX(DataTitel_liste,1))</f>
        <v>Eksempel 1 (interval)</v>
      </c>
      <c r="G1468" s="171" t="str" cm="1">
        <f t="array" ref="G1468">IF(LineærRegression_Valg[[#This Row],[Indenfor range]],IF(LineærRegression_Valg[[#This Row],[Intet overlap]],INDEX(DataTitel_liste,LineærRegression_Valg[[#This Row],[Uafhængig variabel ID]]),INDEX(DataTitel_liste,IF(LineærRegression_Valg[[#This Row],[Afhængig variabel ID]]=1,2,1))),$B$7)</f>
        <v>Eksempel 2 (interval)</v>
      </c>
      <c r="H1468" s="171">
        <f>_xlfn.AGGREGATE(2,5,LineærRegression_Valg[[#This Row],[Tabel ID]])</f>
        <v>1</v>
      </c>
    </row>
    <row r="1469" spans="1:8" x14ac:dyDescent="0.2">
      <c r="A1469">
        <f>ROW(LineærRegression_Valg[[#This Row],[Tabel ID]])-ROW(LineærRegression_Valg[[#Headers],[Tabel ID]])</f>
        <v>1459</v>
      </c>
      <c r="B1469" s="171">
        <f>ROUNDDOWN((LineærRegression_Valg[[#This Row],[Tabel ID]]-1)/$B$5,0)+1</f>
        <v>365</v>
      </c>
      <c r="C1469" s="171">
        <f t="shared" si="22"/>
        <v>3</v>
      </c>
      <c r="D1469" s="171" t="b">
        <f>LineærRegression_Valg[[#This Row],[Afhængig variabel ID]]&lt;&gt;LineærRegression_Valg[[#This Row],[Uafhængig variabel ID]]</f>
        <v>1</v>
      </c>
      <c r="E1469" s="171" t="b">
        <f>LineærRegression_Valg[[#This Row],[Afhængig variabel ID]]&lt;=$B$5</f>
        <v>0</v>
      </c>
      <c r="F1469" t="str" cm="1">
        <f t="array" ref="F1469">IF(LineærRegression_Valg[[#This Row],[Indenfor range]],INDEX(DataTitel_liste,LineærRegression_Valg[[#This Row],[Afhængig variabel ID]]),INDEX(DataTitel_liste,1))</f>
        <v>Eksempel 1 (interval)</v>
      </c>
      <c r="G1469" s="171" t="str" cm="1">
        <f t="array" ref="G1469">IF(LineærRegression_Valg[[#This Row],[Indenfor range]],IF(LineærRegression_Valg[[#This Row],[Intet overlap]],INDEX(DataTitel_liste,LineærRegression_Valg[[#This Row],[Uafhængig variabel ID]]),INDEX(DataTitel_liste,IF(LineærRegression_Valg[[#This Row],[Afhængig variabel ID]]=1,2,1))),$B$7)</f>
        <v>Eksempel 2 (interval)</v>
      </c>
      <c r="H1469" s="171">
        <f>_xlfn.AGGREGATE(2,5,LineærRegression_Valg[[#This Row],[Tabel ID]])</f>
        <v>1</v>
      </c>
    </row>
    <row r="1470" spans="1:8" x14ac:dyDescent="0.2">
      <c r="A1470">
        <f>ROW(LineærRegression_Valg[[#This Row],[Tabel ID]])-ROW(LineærRegression_Valg[[#Headers],[Tabel ID]])</f>
        <v>1460</v>
      </c>
      <c r="B1470" s="171">
        <f>ROUNDDOWN((LineærRegression_Valg[[#This Row],[Tabel ID]]-1)/$B$5,0)+1</f>
        <v>365</v>
      </c>
      <c r="C1470" s="171">
        <f t="shared" si="22"/>
        <v>4</v>
      </c>
      <c r="D1470" s="171" t="b">
        <f>LineærRegression_Valg[[#This Row],[Afhængig variabel ID]]&lt;&gt;LineærRegression_Valg[[#This Row],[Uafhængig variabel ID]]</f>
        <v>1</v>
      </c>
      <c r="E1470" s="171" t="b">
        <f>LineærRegression_Valg[[#This Row],[Afhængig variabel ID]]&lt;=$B$5</f>
        <v>0</v>
      </c>
      <c r="F1470" t="str" cm="1">
        <f t="array" ref="F1470">IF(LineærRegression_Valg[[#This Row],[Indenfor range]],INDEX(DataTitel_liste,LineærRegression_Valg[[#This Row],[Afhængig variabel ID]]),INDEX(DataTitel_liste,1))</f>
        <v>Eksempel 1 (interval)</v>
      </c>
      <c r="G1470" s="171" t="str" cm="1">
        <f t="array" ref="G1470">IF(LineærRegression_Valg[[#This Row],[Indenfor range]],IF(LineærRegression_Valg[[#This Row],[Intet overlap]],INDEX(DataTitel_liste,LineærRegression_Valg[[#This Row],[Uafhængig variabel ID]]),INDEX(DataTitel_liste,IF(LineærRegression_Valg[[#This Row],[Afhængig variabel ID]]=1,2,1))),$B$7)</f>
        <v>Eksempel 2 (interval)</v>
      </c>
      <c r="H1470" s="171">
        <f>_xlfn.AGGREGATE(2,5,LineærRegression_Valg[[#This Row],[Tabel ID]])</f>
        <v>1</v>
      </c>
    </row>
    <row r="1471" spans="1:8" x14ac:dyDescent="0.2">
      <c r="A1471">
        <f>ROW(LineærRegression_Valg[[#This Row],[Tabel ID]])-ROW(LineærRegression_Valg[[#Headers],[Tabel ID]])</f>
        <v>1461</v>
      </c>
      <c r="B1471" s="171">
        <f>ROUNDDOWN((LineærRegression_Valg[[#This Row],[Tabel ID]]-1)/$B$5,0)+1</f>
        <v>366</v>
      </c>
      <c r="C1471" s="171">
        <f t="shared" si="22"/>
        <v>1</v>
      </c>
      <c r="D1471" s="171" t="b">
        <f>LineærRegression_Valg[[#This Row],[Afhængig variabel ID]]&lt;&gt;LineærRegression_Valg[[#This Row],[Uafhængig variabel ID]]</f>
        <v>1</v>
      </c>
      <c r="E1471" s="171" t="b">
        <f>LineærRegression_Valg[[#This Row],[Afhængig variabel ID]]&lt;=$B$5</f>
        <v>0</v>
      </c>
      <c r="F1471" t="str" cm="1">
        <f t="array" ref="F1471">IF(LineærRegression_Valg[[#This Row],[Indenfor range]],INDEX(DataTitel_liste,LineærRegression_Valg[[#This Row],[Afhængig variabel ID]]),INDEX(DataTitel_liste,1))</f>
        <v>Eksempel 1 (interval)</v>
      </c>
      <c r="G1471" s="171" t="str" cm="1">
        <f t="array" ref="G1471">IF(LineærRegression_Valg[[#This Row],[Indenfor range]],IF(LineærRegression_Valg[[#This Row],[Intet overlap]],INDEX(DataTitel_liste,LineærRegression_Valg[[#This Row],[Uafhængig variabel ID]]),INDEX(DataTitel_liste,IF(LineærRegression_Valg[[#This Row],[Afhængig variabel ID]]=1,2,1))),$B$7)</f>
        <v>Eksempel 2 (interval)</v>
      </c>
      <c r="H1471" s="171">
        <f>_xlfn.AGGREGATE(2,5,LineærRegression_Valg[[#This Row],[Tabel ID]])</f>
        <v>1</v>
      </c>
    </row>
    <row r="1472" spans="1:8" x14ac:dyDescent="0.2">
      <c r="A1472">
        <f>ROW(LineærRegression_Valg[[#This Row],[Tabel ID]])-ROW(LineærRegression_Valg[[#Headers],[Tabel ID]])</f>
        <v>1462</v>
      </c>
      <c r="B1472" s="171">
        <f>ROUNDDOWN((LineærRegression_Valg[[#This Row],[Tabel ID]]-1)/$B$5,0)+1</f>
        <v>366</v>
      </c>
      <c r="C1472" s="171">
        <f t="shared" si="22"/>
        <v>2</v>
      </c>
      <c r="D1472" s="171" t="b">
        <f>LineærRegression_Valg[[#This Row],[Afhængig variabel ID]]&lt;&gt;LineærRegression_Valg[[#This Row],[Uafhængig variabel ID]]</f>
        <v>1</v>
      </c>
      <c r="E1472" s="171" t="b">
        <f>LineærRegression_Valg[[#This Row],[Afhængig variabel ID]]&lt;=$B$5</f>
        <v>0</v>
      </c>
      <c r="F1472" t="str" cm="1">
        <f t="array" ref="F1472">IF(LineærRegression_Valg[[#This Row],[Indenfor range]],INDEX(DataTitel_liste,LineærRegression_Valg[[#This Row],[Afhængig variabel ID]]),INDEX(DataTitel_liste,1))</f>
        <v>Eksempel 1 (interval)</v>
      </c>
      <c r="G1472" s="171" t="str" cm="1">
        <f t="array" ref="G1472">IF(LineærRegression_Valg[[#This Row],[Indenfor range]],IF(LineærRegression_Valg[[#This Row],[Intet overlap]],INDEX(DataTitel_liste,LineærRegression_Valg[[#This Row],[Uafhængig variabel ID]]),INDEX(DataTitel_liste,IF(LineærRegression_Valg[[#This Row],[Afhængig variabel ID]]=1,2,1))),$B$7)</f>
        <v>Eksempel 2 (interval)</v>
      </c>
      <c r="H1472" s="171">
        <f>_xlfn.AGGREGATE(2,5,LineærRegression_Valg[[#This Row],[Tabel ID]])</f>
        <v>1</v>
      </c>
    </row>
    <row r="1473" spans="1:8" x14ac:dyDescent="0.2">
      <c r="A1473">
        <f>ROW(LineærRegression_Valg[[#This Row],[Tabel ID]])-ROW(LineærRegression_Valg[[#Headers],[Tabel ID]])</f>
        <v>1463</v>
      </c>
      <c r="B1473" s="171">
        <f>ROUNDDOWN((LineærRegression_Valg[[#This Row],[Tabel ID]]-1)/$B$5,0)+1</f>
        <v>366</v>
      </c>
      <c r="C1473" s="171">
        <f t="shared" si="22"/>
        <v>3</v>
      </c>
      <c r="D1473" s="171" t="b">
        <f>LineærRegression_Valg[[#This Row],[Afhængig variabel ID]]&lt;&gt;LineærRegression_Valg[[#This Row],[Uafhængig variabel ID]]</f>
        <v>1</v>
      </c>
      <c r="E1473" s="171" t="b">
        <f>LineærRegression_Valg[[#This Row],[Afhængig variabel ID]]&lt;=$B$5</f>
        <v>0</v>
      </c>
      <c r="F1473" t="str" cm="1">
        <f t="array" ref="F1473">IF(LineærRegression_Valg[[#This Row],[Indenfor range]],INDEX(DataTitel_liste,LineærRegression_Valg[[#This Row],[Afhængig variabel ID]]),INDEX(DataTitel_liste,1))</f>
        <v>Eksempel 1 (interval)</v>
      </c>
      <c r="G1473" s="171" t="str" cm="1">
        <f t="array" ref="G1473">IF(LineærRegression_Valg[[#This Row],[Indenfor range]],IF(LineærRegression_Valg[[#This Row],[Intet overlap]],INDEX(DataTitel_liste,LineærRegression_Valg[[#This Row],[Uafhængig variabel ID]]),INDEX(DataTitel_liste,IF(LineærRegression_Valg[[#This Row],[Afhængig variabel ID]]=1,2,1))),$B$7)</f>
        <v>Eksempel 2 (interval)</v>
      </c>
      <c r="H1473" s="171">
        <f>_xlfn.AGGREGATE(2,5,LineærRegression_Valg[[#This Row],[Tabel ID]])</f>
        <v>1</v>
      </c>
    </row>
    <row r="1474" spans="1:8" x14ac:dyDescent="0.2">
      <c r="A1474">
        <f>ROW(LineærRegression_Valg[[#This Row],[Tabel ID]])-ROW(LineærRegression_Valg[[#Headers],[Tabel ID]])</f>
        <v>1464</v>
      </c>
      <c r="B1474" s="171">
        <f>ROUNDDOWN((LineærRegression_Valg[[#This Row],[Tabel ID]]-1)/$B$5,0)+1</f>
        <v>366</v>
      </c>
      <c r="C1474" s="171">
        <f t="shared" si="22"/>
        <v>4</v>
      </c>
      <c r="D1474" s="171" t="b">
        <f>LineærRegression_Valg[[#This Row],[Afhængig variabel ID]]&lt;&gt;LineærRegression_Valg[[#This Row],[Uafhængig variabel ID]]</f>
        <v>1</v>
      </c>
      <c r="E1474" s="171" t="b">
        <f>LineærRegression_Valg[[#This Row],[Afhængig variabel ID]]&lt;=$B$5</f>
        <v>0</v>
      </c>
      <c r="F1474" t="str" cm="1">
        <f t="array" ref="F1474">IF(LineærRegression_Valg[[#This Row],[Indenfor range]],INDEX(DataTitel_liste,LineærRegression_Valg[[#This Row],[Afhængig variabel ID]]),INDEX(DataTitel_liste,1))</f>
        <v>Eksempel 1 (interval)</v>
      </c>
      <c r="G1474" s="171" t="str" cm="1">
        <f t="array" ref="G1474">IF(LineærRegression_Valg[[#This Row],[Indenfor range]],IF(LineærRegression_Valg[[#This Row],[Intet overlap]],INDEX(DataTitel_liste,LineærRegression_Valg[[#This Row],[Uafhængig variabel ID]]),INDEX(DataTitel_liste,IF(LineærRegression_Valg[[#This Row],[Afhængig variabel ID]]=1,2,1))),$B$7)</f>
        <v>Eksempel 2 (interval)</v>
      </c>
      <c r="H1474" s="171">
        <f>_xlfn.AGGREGATE(2,5,LineærRegression_Valg[[#This Row],[Tabel ID]])</f>
        <v>1</v>
      </c>
    </row>
    <row r="1475" spans="1:8" x14ac:dyDescent="0.2">
      <c r="A1475">
        <f>ROW(LineærRegression_Valg[[#This Row],[Tabel ID]])-ROW(LineærRegression_Valg[[#Headers],[Tabel ID]])</f>
        <v>1465</v>
      </c>
      <c r="B1475" s="171">
        <f>ROUNDDOWN((LineærRegression_Valg[[#This Row],[Tabel ID]]-1)/$B$5,0)+1</f>
        <v>367</v>
      </c>
      <c r="C1475" s="171">
        <f t="shared" si="22"/>
        <v>1</v>
      </c>
      <c r="D1475" s="171" t="b">
        <f>LineærRegression_Valg[[#This Row],[Afhængig variabel ID]]&lt;&gt;LineærRegression_Valg[[#This Row],[Uafhængig variabel ID]]</f>
        <v>1</v>
      </c>
      <c r="E1475" s="171" t="b">
        <f>LineærRegression_Valg[[#This Row],[Afhængig variabel ID]]&lt;=$B$5</f>
        <v>0</v>
      </c>
      <c r="F1475" t="str" cm="1">
        <f t="array" ref="F1475">IF(LineærRegression_Valg[[#This Row],[Indenfor range]],INDEX(DataTitel_liste,LineærRegression_Valg[[#This Row],[Afhængig variabel ID]]),INDEX(DataTitel_liste,1))</f>
        <v>Eksempel 1 (interval)</v>
      </c>
      <c r="G1475" s="171" t="str" cm="1">
        <f t="array" ref="G1475">IF(LineærRegression_Valg[[#This Row],[Indenfor range]],IF(LineærRegression_Valg[[#This Row],[Intet overlap]],INDEX(DataTitel_liste,LineærRegression_Valg[[#This Row],[Uafhængig variabel ID]]),INDEX(DataTitel_liste,IF(LineærRegression_Valg[[#This Row],[Afhængig variabel ID]]=1,2,1))),$B$7)</f>
        <v>Eksempel 2 (interval)</v>
      </c>
      <c r="H1475" s="171">
        <f>_xlfn.AGGREGATE(2,5,LineærRegression_Valg[[#This Row],[Tabel ID]])</f>
        <v>1</v>
      </c>
    </row>
    <row r="1476" spans="1:8" x14ac:dyDescent="0.2">
      <c r="A1476">
        <f>ROW(LineærRegression_Valg[[#This Row],[Tabel ID]])-ROW(LineærRegression_Valg[[#Headers],[Tabel ID]])</f>
        <v>1466</v>
      </c>
      <c r="B1476" s="171">
        <f>ROUNDDOWN((LineærRegression_Valg[[#This Row],[Tabel ID]]-1)/$B$5,0)+1</f>
        <v>367</v>
      </c>
      <c r="C1476" s="171">
        <f t="shared" si="22"/>
        <v>2</v>
      </c>
      <c r="D1476" s="171" t="b">
        <f>LineærRegression_Valg[[#This Row],[Afhængig variabel ID]]&lt;&gt;LineærRegression_Valg[[#This Row],[Uafhængig variabel ID]]</f>
        <v>1</v>
      </c>
      <c r="E1476" s="171" t="b">
        <f>LineærRegression_Valg[[#This Row],[Afhængig variabel ID]]&lt;=$B$5</f>
        <v>0</v>
      </c>
      <c r="F1476" t="str" cm="1">
        <f t="array" ref="F1476">IF(LineærRegression_Valg[[#This Row],[Indenfor range]],INDEX(DataTitel_liste,LineærRegression_Valg[[#This Row],[Afhængig variabel ID]]),INDEX(DataTitel_liste,1))</f>
        <v>Eksempel 1 (interval)</v>
      </c>
      <c r="G1476" s="171" t="str" cm="1">
        <f t="array" ref="G1476">IF(LineærRegression_Valg[[#This Row],[Indenfor range]],IF(LineærRegression_Valg[[#This Row],[Intet overlap]],INDEX(DataTitel_liste,LineærRegression_Valg[[#This Row],[Uafhængig variabel ID]]),INDEX(DataTitel_liste,IF(LineærRegression_Valg[[#This Row],[Afhængig variabel ID]]=1,2,1))),$B$7)</f>
        <v>Eksempel 2 (interval)</v>
      </c>
      <c r="H1476" s="171">
        <f>_xlfn.AGGREGATE(2,5,LineærRegression_Valg[[#This Row],[Tabel ID]])</f>
        <v>1</v>
      </c>
    </row>
    <row r="1477" spans="1:8" x14ac:dyDescent="0.2">
      <c r="A1477">
        <f>ROW(LineærRegression_Valg[[#This Row],[Tabel ID]])-ROW(LineærRegression_Valg[[#Headers],[Tabel ID]])</f>
        <v>1467</v>
      </c>
      <c r="B1477" s="171">
        <f>ROUNDDOWN((LineærRegression_Valg[[#This Row],[Tabel ID]]-1)/$B$5,0)+1</f>
        <v>367</v>
      </c>
      <c r="C1477" s="171">
        <f t="shared" si="22"/>
        <v>3</v>
      </c>
      <c r="D1477" s="171" t="b">
        <f>LineærRegression_Valg[[#This Row],[Afhængig variabel ID]]&lt;&gt;LineærRegression_Valg[[#This Row],[Uafhængig variabel ID]]</f>
        <v>1</v>
      </c>
      <c r="E1477" s="171" t="b">
        <f>LineærRegression_Valg[[#This Row],[Afhængig variabel ID]]&lt;=$B$5</f>
        <v>0</v>
      </c>
      <c r="F1477" t="str" cm="1">
        <f t="array" ref="F1477">IF(LineærRegression_Valg[[#This Row],[Indenfor range]],INDEX(DataTitel_liste,LineærRegression_Valg[[#This Row],[Afhængig variabel ID]]),INDEX(DataTitel_liste,1))</f>
        <v>Eksempel 1 (interval)</v>
      </c>
      <c r="G1477" s="171" t="str" cm="1">
        <f t="array" ref="G1477">IF(LineærRegression_Valg[[#This Row],[Indenfor range]],IF(LineærRegression_Valg[[#This Row],[Intet overlap]],INDEX(DataTitel_liste,LineærRegression_Valg[[#This Row],[Uafhængig variabel ID]]),INDEX(DataTitel_liste,IF(LineærRegression_Valg[[#This Row],[Afhængig variabel ID]]=1,2,1))),$B$7)</f>
        <v>Eksempel 2 (interval)</v>
      </c>
      <c r="H1477" s="171">
        <f>_xlfn.AGGREGATE(2,5,LineærRegression_Valg[[#This Row],[Tabel ID]])</f>
        <v>1</v>
      </c>
    </row>
    <row r="1478" spans="1:8" x14ac:dyDescent="0.2">
      <c r="A1478">
        <f>ROW(LineærRegression_Valg[[#This Row],[Tabel ID]])-ROW(LineærRegression_Valg[[#Headers],[Tabel ID]])</f>
        <v>1468</v>
      </c>
      <c r="B1478" s="171">
        <f>ROUNDDOWN((LineærRegression_Valg[[#This Row],[Tabel ID]]-1)/$B$5,0)+1</f>
        <v>367</v>
      </c>
      <c r="C1478" s="171">
        <f t="shared" si="22"/>
        <v>4</v>
      </c>
      <c r="D1478" s="171" t="b">
        <f>LineærRegression_Valg[[#This Row],[Afhængig variabel ID]]&lt;&gt;LineærRegression_Valg[[#This Row],[Uafhængig variabel ID]]</f>
        <v>1</v>
      </c>
      <c r="E1478" s="171" t="b">
        <f>LineærRegression_Valg[[#This Row],[Afhængig variabel ID]]&lt;=$B$5</f>
        <v>0</v>
      </c>
      <c r="F1478" t="str" cm="1">
        <f t="array" ref="F1478">IF(LineærRegression_Valg[[#This Row],[Indenfor range]],INDEX(DataTitel_liste,LineærRegression_Valg[[#This Row],[Afhængig variabel ID]]),INDEX(DataTitel_liste,1))</f>
        <v>Eksempel 1 (interval)</v>
      </c>
      <c r="G1478" s="171" t="str" cm="1">
        <f t="array" ref="G1478">IF(LineærRegression_Valg[[#This Row],[Indenfor range]],IF(LineærRegression_Valg[[#This Row],[Intet overlap]],INDEX(DataTitel_liste,LineærRegression_Valg[[#This Row],[Uafhængig variabel ID]]),INDEX(DataTitel_liste,IF(LineærRegression_Valg[[#This Row],[Afhængig variabel ID]]=1,2,1))),$B$7)</f>
        <v>Eksempel 2 (interval)</v>
      </c>
      <c r="H1478" s="171">
        <f>_xlfn.AGGREGATE(2,5,LineærRegression_Valg[[#This Row],[Tabel ID]])</f>
        <v>1</v>
      </c>
    </row>
    <row r="1479" spans="1:8" x14ac:dyDescent="0.2">
      <c r="A1479">
        <f>ROW(LineærRegression_Valg[[#This Row],[Tabel ID]])-ROW(LineærRegression_Valg[[#Headers],[Tabel ID]])</f>
        <v>1469</v>
      </c>
      <c r="B1479" s="171">
        <f>ROUNDDOWN((LineærRegression_Valg[[#This Row],[Tabel ID]]-1)/$B$5,0)+1</f>
        <v>368</v>
      </c>
      <c r="C1479" s="171">
        <f t="shared" si="22"/>
        <v>1</v>
      </c>
      <c r="D1479" s="171" t="b">
        <f>LineærRegression_Valg[[#This Row],[Afhængig variabel ID]]&lt;&gt;LineærRegression_Valg[[#This Row],[Uafhængig variabel ID]]</f>
        <v>1</v>
      </c>
      <c r="E1479" s="171" t="b">
        <f>LineærRegression_Valg[[#This Row],[Afhængig variabel ID]]&lt;=$B$5</f>
        <v>0</v>
      </c>
      <c r="F1479" t="str" cm="1">
        <f t="array" ref="F1479">IF(LineærRegression_Valg[[#This Row],[Indenfor range]],INDEX(DataTitel_liste,LineærRegression_Valg[[#This Row],[Afhængig variabel ID]]),INDEX(DataTitel_liste,1))</f>
        <v>Eksempel 1 (interval)</v>
      </c>
      <c r="G1479" s="171" t="str" cm="1">
        <f t="array" ref="G1479">IF(LineærRegression_Valg[[#This Row],[Indenfor range]],IF(LineærRegression_Valg[[#This Row],[Intet overlap]],INDEX(DataTitel_liste,LineærRegression_Valg[[#This Row],[Uafhængig variabel ID]]),INDEX(DataTitel_liste,IF(LineærRegression_Valg[[#This Row],[Afhængig variabel ID]]=1,2,1))),$B$7)</f>
        <v>Eksempel 2 (interval)</v>
      </c>
      <c r="H1479" s="171">
        <f>_xlfn.AGGREGATE(2,5,LineærRegression_Valg[[#This Row],[Tabel ID]])</f>
        <v>1</v>
      </c>
    </row>
    <row r="1480" spans="1:8" x14ac:dyDescent="0.2">
      <c r="A1480">
        <f>ROW(LineærRegression_Valg[[#This Row],[Tabel ID]])-ROW(LineærRegression_Valg[[#Headers],[Tabel ID]])</f>
        <v>1470</v>
      </c>
      <c r="B1480" s="171">
        <f>ROUNDDOWN((LineærRegression_Valg[[#This Row],[Tabel ID]]-1)/$B$5,0)+1</f>
        <v>368</v>
      </c>
      <c r="C1480" s="171">
        <f t="shared" si="22"/>
        <v>2</v>
      </c>
      <c r="D1480" s="171" t="b">
        <f>LineærRegression_Valg[[#This Row],[Afhængig variabel ID]]&lt;&gt;LineærRegression_Valg[[#This Row],[Uafhængig variabel ID]]</f>
        <v>1</v>
      </c>
      <c r="E1480" s="171" t="b">
        <f>LineærRegression_Valg[[#This Row],[Afhængig variabel ID]]&lt;=$B$5</f>
        <v>0</v>
      </c>
      <c r="F1480" t="str" cm="1">
        <f t="array" ref="F1480">IF(LineærRegression_Valg[[#This Row],[Indenfor range]],INDEX(DataTitel_liste,LineærRegression_Valg[[#This Row],[Afhængig variabel ID]]),INDEX(DataTitel_liste,1))</f>
        <v>Eksempel 1 (interval)</v>
      </c>
      <c r="G1480" s="171" t="str" cm="1">
        <f t="array" ref="G1480">IF(LineærRegression_Valg[[#This Row],[Indenfor range]],IF(LineærRegression_Valg[[#This Row],[Intet overlap]],INDEX(DataTitel_liste,LineærRegression_Valg[[#This Row],[Uafhængig variabel ID]]),INDEX(DataTitel_liste,IF(LineærRegression_Valg[[#This Row],[Afhængig variabel ID]]=1,2,1))),$B$7)</f>
        <v>Eksempel 2 (interval)</v>
      </c>
      <c r="H1480" s="171">
        <f>_xlfn.AGGREGATE(2,5,LineærRegression_Valg[[#This Row],[Tabel ID]])</f>
        <v>1</v>
      </c>
    </row>
    <row r="1481" spans="1:8" x14ac:dyDescent="0.2">
      <c r="A1481">
        <f>ROW(LineærRegression_Valg[[#This Row],[Tabel ID]])-ROW(LineærRegression_Valg[[#Headers],[Tabel ID]])</f>
        <v>1471</v>
      </c>
      <c r="B1481" s="171">
        <f>ROUNDDOWN((LineærRegression_Valg[[#This Row],[Tabel ID]]-1)/$B$5,0)+1</f>
        <v>368</v>
      </c>
      <c r="C1481" s="171">
        <f t="shared" si="22"/>
        <v>3</v>
      </c>
      <c r="D1481" s="171" t="b">
        <f>LineærRegression_Valg[[#This Row],[Afhængig variabel ID]]&lt;&gt;LineærRegression_Valg[[#This Row],[Uafhængig variabel ID]]</f>
        <v>1</v>
      </c>
      <c r="E1481" s="171" t="b">
        <f>LineærRegression_Valg[[#This Row],[Afhængig variabel ID]]&lt;=$B$5</f>
        <v>0</v>
      </c>
      <c r="F1481" t="str" cm="1">
        <f t="array" ref="F1481">IF(LineærRegression_Valg[[#This Row],[Indenfor range]],INDEX(DataTitel_liste,LineærRegression_Valg[[#This Row],[Afhængig variabel ID]]),INDEX(DataTitel_liste,1))</f>
        <v>Eksempel 1 (interval)</v>
      </c>
      <c r="G1481" s="171" t="str" cm="1">
        <f t="array" ref="G1481">IF(LineærRegression_Valg[[#This Row],[Indenfor range]],IF(LineærRegression_Valg[[#This Row],[Intet overlap]],INDEX(DataTitel_liste,LineærRegression_Valg[[#This Row],[Uafhængig variabel ID]]),INDEX(DataTitel_liste,IF(LineærRegression_Valg[[#This Row],[Afhængig variabel ID]]=1,2,1))),$B$7)</f>
        <v>Eksempel 2 (interval)</v>
      </c>
      <c r="H1481" s="171">
        <f>_xlfn.AGGREGATE(2,5,LineærRegression_Valg[[#This Row],[Tabel ID]])</f>
        <v>1</v>
      </c>
    </row>
    <row r="1482" spans="1:8" x14ac:dyDescent="0.2">
      <c r="A1482">
        <f>ROW(LineærRegression_Valg[[#This Row],[Tabel ID]])-ROW(LineærRegression_Valg[[#Headers],[Tabel ID]])</f>
        <v>1472</v>
      </c>
      <c r="B1482" s="171">
        <f>ROUNDDOWN((LineærRegression_Valg[[#This Row],[Tabel ID]]-1)/$B$5,0)+1</f>
        <v>368</v>
      </c>
      <c r="C1482" s="171">
        <f t="shared" si="22"/>
        <v>4</v>
      </c>
      <c r="D1482" s="171" t="b">
        <f>LineærRegression_Valg[[#This Row],[Afhængig variabel ID]]&lt;&gt;LineærRegression_Valg[[#This Row],[Uafhængig variabel ID]]</f>
        <v>1</v>
      </c>
      <c r="E1482" s="171" t="b">
        <f>LineærRegression_Valg[[#This Row],[Afhængig variabel ID]]&lt;=$B$5</f>
        <v>0</v>
      </c>
      <c r="F1482" t="str" cm="1">
        <f t="array" ref="F1482">IF(LineærRegression_Valg[[#This Row],[Indenfor range]],INDEX(DataTitel_liste,LineærRegression_Valg[[#This Row],[Afhængig variabel ID]]),INDEX(DataTitel_liste,1))</f>
        <v>Eksempel 1 (interval)</v>
      </c>
      <c r="G1482" s="171" t="str" cm="1">
        <f t="array" ref="G1482">IF(LineærRegression_Valg[[#This Row],[Indenfor range]],IF(LineærRegression_Valg[[#This Row],[Intet overlap]],INDEX(DataTitel_liste,LineærRegression_Valg[[#This Row],[Uafhængig variabel ID]]),INDEX(DataTitel_liste,IF(LineærRegression_Valg[[#This Row],[Afhængig variabel ID]]=1,2,1))),$B$7)</f>
        <v>Eksempel 2 (interval)</v>
      </c>
      <c r="H1482" s="171">
        <f>_xlfn.AGGREGATE(2,5,LineærRegression_Valg[[#This Row],[Tabel ID]])</f>
        <v>1</v>
      </c>
    </row>
    <row r="1483" spans="1:8" x14ac:dyDescent="0.2">
      <c r="A1483">
        <f>ROW(LineærRegression_Valg[[#This Row],[Tabel ID]])-ROW(LineærRegression_Valg[[#Headers],[Tabel ID]])</f>
        <v>1473</v>
      </c>
      <c r="B1483" s="171">
        <f>ROUNDDOWN((LineærRegression_Valg[[#This Row],[Tabel ID]]-1)/$B$5,0)+1</f>
        <v>369</v>
      </c>
      <c r="C1483" s="171">
        <f t="shared" ref="C1483:C1546" si="23">MOD(A1483-1,$B$5)+1</f>
        <v>1</v>
      </c>
      <c r="D1483" s="171" t="b">
        <f>LineærRegression_Valg[[#This Row],[Afhængig variabel ID]]&lt;&gt;LineærRegression_Valg[[#This Row],[Uafhængig variabel ID]]</f>
        <v>1</v>
      </c>
      <c r="E1483" s="171" t="b">
        <f>LineærRegression_Valg[[#This Row],[Afhængig variabel ID]]&lt;=$B$5</f>
        <v>0</v>
      </c>
      <c r="F1483" t="str" cm="1">
        <f t="array" ref="F1483">IF(LineærRegression_Valg[[#This Row],[Indenfor range]],INDEX(DataTitel_liste,LineærRegression_Valg[[#This Row],[Afhængig variabel ID]]),INDEX(DataTitel_liste,1))</f>
        <v>Eksempel 1 (interval)</v>
      </c>
      <c r="G1483" s="171" t="str" cm="1">
        <f t="array" ref="G1483">IF(LineærRegression_Valg[[#This Row],[Indenfor range]],IF(LineærRegression_Valg[[#This Row],[Intet overlap]],INDEX(DataTitel_liste,LineærRegression_Valg[[#This Row],[Uafhængig variabel ID]]),INDEX(DataTitel_liste,IF(LineærRegression_Valg[[#This Row],[Afhængig variabel ID]]=1,2,1))),$B$7)</f>
        <v>Eksempel 2 (interval)</v>
      </c>
      <c r="H1483" s="171">
        <f>_xlfn.AGGREGATE(2,5,LineærRegression_Valg[[#This Row],[Tabel ID]])</f>
        <v>1</v>
      </c>
    </row>
    <row r="1484" spans="1:8" x14ac:dyDescent="0.2">
      <c r="A1484">
        <f>ROW(LineærRegression_Valg[[#This Row],[Tabel ID]])-ROW(LineærRegression_Valg[[#Headers],[Tabel ID]])</f>
        <v>1474</v>
      </c>
      <c r="B1484" s="171">
        <f>ROUNDDOWN((LineærRegression_Valg[[#This Row],[Tabel ID]]-1)/$B$5,0)+1</f>
        <v>369</v>
      </c>
      <c r="C1484" s="171">
        <f t="shared" si="23"/>
        <v>2</v>
      </c>
      <c r="D1484" s="171" t="b">
        <f>LineærRegression_Valg[[#This Row],[Afhængig variabel ID]]&lt;&gt;LineærRegression_Valg[[#This Row],[Uafhængig variabel ID]]</f>
        <v>1</v>
      </c>
      <c r="E1484" s="171" t="b">
        <f>LineærRegression_Valg[[#This Row],[Afhængig variabel ID]]&lt;=$B$5</f>
        <v>0</v>
      </c>
      <c r="F1484" t="str" cm="1">
        <f t="array" ref="F1484">IF(LineærRegression_Valg[[#This Row],[Indenfor range]],INDEX(DataTitel_liste,LineærRegression_Valg[[#This Row],[Afhængig variabel ID]]),INDEX(DataTitel_liste,1))</f>
        <v>Eksempel 1 (interval)</v>
      </c>
      <c r="G1484" s="171" t="str" cm="1">
        <f t="array" ref="G1484">IF(LineærRegression_Valg[[#This Row],[Indenfor range]],IF(LineærRegression_Valg[[#This Row],[Intet overlap]],INDEX(DataTitel_liste,LineærRegression_Valg[[#This Row],[Uafhængig variabel ID]]),INDEX(DataTitel_liste,IF(LineærRegression_Valg[[#This Row],[Afhængig variabel ID]]=1,2,1))),$B$7)</f>
        <v>Eksempel 2 (interval)</v>
      </c>
      <c r="H1484" s="171">
        <f>_xlfn.AGGREGATE(2,5,LineærRegression_Valg[[#This Row],[Tabel ID]])</f>
        <v>1</v>
      </c>
    </row>
    <row r="1485" spans="1:8" x14ac:dyDescent="0.2">
      <c r="A1485">
        <f>ROW(LineærRegression_Valg[[#This Row],[Tabel ID]])-ROW(LineærRegression_Valg[[#Headers],[Tabel ID]])</f>
        <v>1475</v>
      </c>
      <c r="B1485" s="171">
        <f>ROUNDDOWN((LineærRegression_Valg[[#This Row],[Tabel ID]]-1)/$B$5,0)+1</f>
        <v>369</v>
      </c>
      <c r="C1485" s="171">
        <f t="shared" si="23"/>
        <v>3</v>
      </c>
      <c r="D1485" s="171" t="b">
        <f>LineærRegression_Valg[[#This Row],[Afhængig variabel ID]]&lt;&gt;LineærRegression_Valg[[#This Row],[Uafhængig variabel ID]]</f>
        <v>1</v>
      </c>
      <c r="E1485" s="171" t="b">
        <f>LineærRegression_Valg[[#This Row],[Afhængig variabel ID]]&lt;=$B$5</f>
        <v>0</v>
      </c>
      <c r="F1485" t="str" cm="1">
        <f t="array" ref="F1485">IF(LineærRegression_Valg[[#This Row],[Indenfor range]],INDEX(DataTitel_liste,LineærRegression_Valg[[#This Row],[Afhængig variabel ID]]),INDEX(DataTitel_liste,1))</f>
        <v>Eksempel 1 (interval)</v>
      </c>
      <c r="G1485" s="171" t="str" cm="1">
        <f t="array" ref="G1485">IF(LineærRegression_Valg[[#This Row],[Indenfor range]],IF(LineærRegression_Valg[[#This Row],[Intet overlap]],INDEX(DataTitel_liste,LineærRegression_Valg[[#This Row],[Uafhængig variabel ID]]),INDEX(DataTitel_liste,IF(LineærRegression_Valg[[#This Row],[Afhængig variabel ID]]=1,2,1))),$B$7)</f>
        <v>Eksempel 2 (interval)</v>
      </c>
      <c r="H1485" s="171">
        <f>_xlfn.AGGREGATE(2,5,LineærRegression_Valg[[#This Row],[Tabel ID]])</f>
        <v>1</v>
      </c>
    </row>
    <row r="1486" spans="1:8" x14ac:dyDescent="0.2">
      <c r="A1486">
        <f>ROW(LineærRegression_Valg[[#This Row],[Tabel ID]])-ROW(LineærRegression_Valg[[#Headers],[Tabel ID]])</f>
        <v>1476</v>
      </c>
      <c r="B1486" s="171">
        <f>ROUNDDOWN((LineærRegression_Valg[[#This Row],[Tabel ID]]-1)/$B$5,0)+1</f>
        <v>369</v>
      </c>
      <c r="C1486" s="171">
        <f t="shared" si="23"/>
        <v>4</v>
      </c>
      <c r="D1486" s="171" t="b">
        <f>LineærRegression_Valg[[#This Row],[Afhængig variabel ID]]&lt;&gt;LineærRegression_Valg[[#This Row],[Uafhængig variabel ID]]</f>
        <v>1</v>
      </c>
      <c r="E1486" s="171" t="b">
        <f>LineærRegression_Valg[[#This Row],[Afhængig variabel ID]]&lt;=$B$5</f>
        <v>0</v>
      </c>
      <c r="F1486" t="str" cm="1">
        <f t="array" ref="F1486">IF(LineærRegression_Valg[[#This Row],[Indenfor range]],INDEX(DataTitel_liste,LineærRegression_Valg[[#This Row],[Afhængig variabel ID]]),INDEX(DataTitel_liste,1))</f>
        <v>Eksempel 1 (interval)</v>
      </c>
      <c r="G1486" s="171" t="str" cm="1">
        <f t="array" ref="G1486">IF(LineærRegression_Valg[[#This Row],[Indenfor range]],IF(LineærRegression_Valg[[#This Row],[Intet overlap]],INDEX(DataTitel_liste,LineærRegression_Valg[[#This Row],[Uafhængig variabel ID]]),INDEX(DataTitel_liste,IF(LineærRegression_Valg[[#This Row],[Afhængig variabel ID]]=1,2,1))),$B$7)</f>
        <v>Eksempel 2 (interval)</v>
      </c>
      <c r="H1486" s="171">
        <f>_xlfn.AGGREGATE(2,5,LineærRegression_Valg[[#This Row],[Tabel ID]])</f>
        <v>1</v>
      </c>
    </row>
    <row r="1487" spans="1:8" x14ac:dyDescent="0.2">
      <c r="A1487">
        <f>ROW(LineærRegression_Valg[[#This Row],[Tabel ID]])-ROW(LineærRegression_Valg[[#Headers],[Tabel ID]])</f>
        <v>1477</v>
      </c>
      <c r="B1487" s="171">
        <f>ROUNDDOWN((LineærRegression_Valg[[#This Row],[Tabel ID]]-1)/$B$5,0)+1</f>
        <v>370</v>
      </c>
      <c r="C1487" s="171">
        <f t="shared" si="23"/>
        <v>1</v>
      </c>
      <c r="D1487" s="171" t="b">
        <f>LineærRegression_Valg[[#This Row],[Afhængig variabel ID]]&lt;&gt;LineærRegression_Valg[[#This Row],[Uafhængig variabel ID]]</f>
        <v>1</v>
      </c>
      <c r="E1487" s="171" t="b">
        <f>LineærRegression_Valg[[#This Row],[Afhængig variabel ID]]&lt;=$B$5</f>
        <v>0</v>
      </c>
      <c r="F1487" t="str" cm="1">
        <f t="array" ref="F1487">IF(LineærRegression_Valg[[#This Row],[Indenfor range]],INDEX(DataTitel_liste,LineærRegression_Valg[[#This Row],[Afhængig variabel ID]]),INDEX(DataTitel_liste,1))</f>
        <v>Eksempel 1 (interval)</v>
      </c>
      <c r="G1487" s="171" t="str" cm="1">
        <f t="array" ref="G1487">IF(LineærRegression_Valg[[#This Row],[Indenfor range]],IF(LineærRegression_Valg[[#This Row],[Intet overlap]],INDEX(DataTitel_liste,LineærRegression_Valg[[#This Row],[Uafhængig variabel ID]]),INDEX(DataTitel_liste,IF(LineærRegression_Valg[[#This Row],[Afhængig variabel ID]]=1,2,1))),$B$7)</f>
        <v>Eksempel 2 (interval)</v>
      </c>
      <c r="H1487" s="171">
        <f>_xlfn.AGGREGATE(2,5,LineærRegression_Valg[[#This Row],[Tabel ID]])</f>
        <v>1</v>
      </c>
    </row>
    <row r="1488" spans="1:8" x14ac:dyDescent="0.2">
      <c r="A1488">
        <f>ROW(LineærRegression_Valg[[#This Row],[Tabel ID]])-ROW(LineærRegression_Valg[[#Headers],[Tabel ID]])</f>
        <v>1478</v>
      </c>
      <c r="B1488" s="171">
        <f>ROUNDDOWN((LineærRegression_Valg[[#This Row],[Tabel ID]]-1)/$B$5,0)+1</f>
        <v>370</v>
      </c>
      <c r="C1488" s="171">
        <f t="shared" si="23"/>
        <v>2</v>
      </c>
      <c r="D1488" s="171" t="b">
        <f>LineærRegression_Valg[[#This Row],[Afhængig variabel ID]]&lt;&gt;LineærRegression_Valg[[#This Row],[Uafhængig variabel ID]]</f>
        <v>1</v>
      </c>
      <c r="E1488" s="171" t="b">
        <f>LineærRegression_Valg[[#This Row],[Afhængig variabel ID]]&lt;=$B$5</f>
        <v>0</v>
      </c>
      <c r="F1488" t="str" cm="1">
        <f t="array" ref="F1488">IF(LineærRegression_Valg[[#This Row],[Indenfor range]],INDEX(DataTitel_liste,LineærRegression_Valg[[#This Row],[Afhængig variabel ID]]),INDEX(DataTitel_liste,1))</f>
        <v>Eksempel 1 (interval)</v>
      </c>
      <c r="G1488" s="171" t="str" cm="1">
        <f t="array" ref="G1488">IF(LineærRegression_Valg[[#This Row],[Indenfor range]],IF(LineærRegression_Valg[[#This Row],[Intet overlap]],INDEX(DataTitel_liste,LineærRegression_Valg[[#This Row],[Uafhængig variabel ID]]),INDEX(DataTitel_liste,IF(LineærRegression_Valg[[#This Row],[Afhængig variabel ID]]=1,2,1))),$B$7)</f>
        <v>Eksempel 2 (interval)</v>
      </c>
      <c r="H1488" s="171">
        <f>_xlfn.AGGREGATE(2,5,LineærRegression_Valg[[#This Row],[Tabel ID]])</f>
        <v>1</v>
      </c>
    </row>
    <row r="1489" spans="1:8" x14ac:dyDescent="0.2">
      <c r="A1489">
        <f>ROW(LineærRegression_Valg[[#This Row],[Tabel ID]])-ROW(LineærRegression_Valg[[#Headers],[Tabel ID]])</f>
        <v>1479</v>
      </c>
      <c r="B1489" s="171">
        <f>ROUNDDOWN((LineærRegression_Valg[[#This Row],[Tabel ID]]-1)/$B$5,0)+1</f>
        <v>370</v>
      </c>
      <c r="C1489" s="171">
        <f t="shared" si="23"/>
        <v>3</v>
      </c>
      <c r="D1489" s="171" t="b">
        <f>LineærRegression_Valg[[#This Row],[Afhængig variabel ID]]&lt;&gt;LineærRegression_Valg[[#This Row],[Uafhængig variabel ID]]</f>
        <v>1</v>
      </c>
      <c r="E1489" s="171" t="b">
        <f>LineærRegression_Valg[[#This Row],[Afhængig variabel ID]]&lt;=$B$5</f>
        <v>0</v>
      </c>
      <c r="F1489" t="str" cm="1">
        <f t="array" ref="F1489">IF(LineærRegression_Valg[[#This Row],[Indenfor range]],INDEX(DataTitel_liste,LineærRegression_Valg[[#This Row],[Afhængig variabel ID]]),INDEX(DataTitel_liste,1))</f>
        <v>Eksempel 1 (interval)</v>
      </c>
      <c r="G1489" s="171" t="str" cm="1">
        <f t="array" ref="G1489">IF(LineærRegression_Valg[[#This Row],[Indenfor range]],IF(LineærRegression_Valg[[#This Row],[Intet overlap]],INDEX(DataTitel_liste,LineærRegression_Valg[[#This Row],[Uafhængig variabel ID]]),INDEX(DataTitel_liste,IF(LineærRegression_Valg[[#This Row],[Afhængig variabel ID]]=1,2,1))),$B$7)</f>
        <v>Eksempel 2 (interval)</v>
      </c>
      <c r="H1489" s="171">
        <f>_xlfn.AGGREGATE(2,5,LineærRegression_Valg[[#This Row],[Tabel ID]])</f>
        <v>1</v>
      </c>
    </row>
    <row r="1490" spans="1:8" x14ac:dyDescent="0.2">
      <c r="A1490">
        <f>ROW(LineærRegression_Valg[[#This Row],[Tabel ID]])-ROW(LineærRegression_Valg[[#Headers],[Tabel ID]])</f>
        <v>1480</v>
      </c>
      <c r="B1490" s="171">
        <f>ROUNDDOWN((LineærRegression_Valg[[#This Row],[Tabel ID]]-1)/$B$5,0)+1</f>
        <v>370</v>
      </c>
      <c r="C1490" s="171">
        <f t="shared" si="23"/>
        <v>4</v>
      </c>
      <c r="D1490" s="171" t="b">
        <f>LineærRegression_Valg[[#This Row],[Afhængig variabel ID]]&lt;&gt;LineærRegression_Valg[[#This Row],[Uafhængig variabel ID]]</f>
        <v>1</v>
      </c>
      <c r="E1490" s="171" t="b">
        <f>LineærRegression_Valg[[#This Row],[Afhængig variabel ID]]&lt;=$B$5</f>
        <v>0</v>
      </c>
      <c r="F1490" t="str" cm="1">
        <f t="array" ref="F1490">IF(LineærRegression_Valg[[#This Row],[Indenfor range]],INDEX(DataTitel_liste,LineærRegression_Valg[[#This Row],[Afhængig variabel ID]]),INDEX(DataTitel_liste,1))</f>
        <v>Eksempel 1 (interval)</v>
      </c>
      <c r="G1490" s="171" t="str" cm="1">
        <f t="array" ref="G1490">IF(LineærRegression_Valg[[#This Row],[Indenfor range]],IF(LineærRegression_Valg[[#This Row],[Intet overlap]],INDEX(DataTitel_liste,LineærRegression_Valg[[#This Row],[Uafhængig variabel ID]]),INDEX(DataTitel_liste,IF(LineærRegression_Valg[[#This Row],[Afhængig variabel ID]]=1,2,1))),$B$7)</f>
        <v>Eksempel 2 (interval)</v>
      </c>
      <c r="H1490" s="171">
        <f>_xlfn.AGGREGATE(2,5,LineærRegression_Valg[[#This Row],[Tabel ID]])</f>
        <v>1</v>
      </c>
    </row>
    <row r="1491" spans="1:8" x14ac:dyDescent="0.2">
      <c r="A1491">
        <f>ROW(LineærRegression_Valg[[#This Row],[Tabel ID]])-ROW(LineærRegression_Valg[[#Headers],[Tabel ID]])</f>
        <v>1481</v>
      </c>
      <c r="B1491" s="171">
        <f>ROUNDDOWN((LineærRegression_Valg[[#This Row],[Tabel ID]]-1)/$B$5,0)+1</f>
        <v>371</v>
      </c>
      <c r="C1491" s="171">
        <f t="shared" si="23"/>
        <v>1</v>
      </c>
      <c r="D1491" s="171" t="b">
        <f>LineærRegression_Valg[[#This Row],[Afhængig variabel ID]]&lt;&gt;LineærRegression_Valg[[#This Row],[Uafhængig variabel ID]]</f>
        <v>1</v>
      </c>
      <c r="E1491" s="171" t="b">
        <f>LineærRegression_Valg[[#This Row],[Afhængig variabel ID]]&lt;=$B$5</f>
        <v>0</v>
      </c>
      <c r="F1491" t="str" cm="1">
        <f t="array" ref="F1491">IF(LineærRegression_Valg[[#This Row],[Indenfor range]],INDEX(DataTitel_liste,LineærRegression_Valg[[#This Row],[Afhængig variabel ID]]),INDEX(DataTitel_liste,1))</f>
        <v>Eksempel 1 (interval)</v>
      </c>
      <c r="G1491" s="171" t="str" cm="1">
        <f t="array" ref="G1491">IF(LineærRegression_Valg[[#This Row],[Indenfor range]],IF(LineærRegression_Valg[[#This Row],[Intet overlap]],INDEX(DataTitel_liste,LineærRegression_Valg[[#This Row],[Uafhængig variabel ID]]),INDEX(DataTitel_liste,IF(LineærRegression_Valg[[#This Row],[Afhængig variabel ID]]=1,2,1))),$B$7)</f>
        <v>Eksempel 2 (interval)</v>
      </c>
      <c r="H1491" s="171">
        <f>_xlfn.AGGREGATE(2,5,LineærRegression_Valg[[#This Row],[Tabel ID]])</f>
        <v>1</v>
      </c>
    </row>
    <row r="1492" spans="1:8" x14ac:dyDescent="0.2">
      <c r="A1492">
        <f>ROW(LineærRegression_Valg[[#This Row],[Tabel ID]])-ROW(LineærRegression_Valg[[#Headers],[Tabel ID]])</f>
        <v>1482</v>
      </c>
      <c r="B1492" s="171">
        <f>ROUNDDOWN((LineærRegression_Valg[[#This Row],[Tabel ID]]-1)/$B$5,0)+1</f>
        <v>371</v>
      </c>
      <c r="C1492" s="171">
        <f t="shared" si="23"/>
        <v>2</v>
      </c>
      <c r="D1492" s="171" t="b">
        <f>LineærRegression_Valg[[#This Row],[Afhængig variabel ID]]&lt;&gt;LineærRegression_Valg[[#This Row],[Uafhængig variabel ID]]</f>
        <v>1</v>
      </c>
      <c r="E1492" s="171" t="b">
        <f>LineærRegression_Valg[[#This Row],[Afhængig variabel ID]]&lt;=$B$5</f>
        <v>0</v>
      </c>
      <c r="F1492" t="str" cm="1">
        <f t="array" ref="F1492">IF(LineærRegression_Valg[[#This Row],[Indenfor range]],INDEX(DataTitel_liste,LineærRegression_Valg[[#This Row],[Afhængig variabel ID]]),INDEX(DataTitel_liste,1))</f>
        <v>Eksempel 1 (interval)</v>
      </c>
      <c r="G1492" s="171" t="str" cm="1">
        <f t="array" ref="G1492">IF(LineærRegression_Valg[[#This Row],[Indenfor range]],IF(LineærRegression_Valg[[#This Row],[Intet overlap]],INDEX(DataTitel_liste,LineærRegression_Valg[[#This Row],[Uafhængig variabel ID]]),INDEX(DataTitel_liste,IF(LineærRegression_Valg[[#This Row],[Afhængig variabel ID]]=1,2,1))),$B$7)</f>
        <v>Eksempel 2 (interval)</v>
      </c>
      <c r="H1492" s="171">
        <f>_xlfn.AGGREGATE(2,5,LineærRegression_Valg[[#This Row],[Tabel ID]])</f>
        <v>1</v>
      </c>
    </row>
    <row r="1493" spans="1:8" x14ac:dyDescent="0.2">
      <c r="A1493">
        <f>ROW(LineærRegression_Valg[[#This Row],[Tabel ID]])-ROW(LineærRegression_Valg[[#Headers],[Tabel ID]])</f>
        <v>1483</v>
      </c>
      <c r="B1493" s="171">
        <f>ROUNDDOWN((LineærRegression_Valg[[#This Row],[Tabel ID]]-1)/$B$5,0)+1</f>
        <v>371</v>
      </c>
      <c r="C1493" s="171">
        <f t="shared" si="23"/>
        <v>3</v>
      </c>
      <c r="D1493" s="171" t="b">
        <f>LineærRegression_Valg[[#This Row],[Afhængig variabel ID]]&lt;&gt;LineærRegression_Valg[[#This Row],[Uafhængig variabel ID]]</f>
        <v>1</v>
      </c>
      <c r="E1493" s="171" t="b">
        <f>LineærRegression_Valg[[#This Row],[Afhængig variabel ID]]&lt;=$B$5</f>
        <v>0</v>
      </c>
      <c r="F1493" t="str" cm="1">
        <f t="array" ref="F1493">IF(LineærRegression_Valg[[#This Row],[Indenfor range]],INDEX(DataTitel_liste,LineærRegression_Valg[[#This Row],[Afhængig variabel ID]]),INDEX(DataTitel_liste,1))</f>
        <v>Eksempel 1 (interval)</v>
      </c>
      <c r="G1493" s="171" t="str" cm="1">
        <f t="array" ref="G1493">IF(LineærRegression_Valg[[#This Row],[Indenfor range]],IF(LineærRegression_Valg[[#This Row],[Intet overlap]],INDEX(DataTitel_liste,LineærRegression_Valg[[#This Row],[Uafhængig variabel ID]]),INDEX(DataTitel_liste,IF(LineærRegression_Valg[[#This Row],[Afhængig variabel ID]]=1,2,1))),$B$7)</f>
        <v>Eksempel 2 (interval)</v>
      </c>
      <c r="H1493" s="171">
        <f>_xlfn.AGGREGATE(2,5,LineærRegression_Valg[[#This Row],[Tabel ID]])</f>
        <v>1</v>
      </c>
    </row>
    <row r="1494" spans="1:8" x14ac:dyDescent="0.2">
      <c r="A1494">
        <f>ROW(LineærRegression_Valg[[#This Row],[Tabel ID]])-ROW(LineærRegression_Valg[[#Headers],[Tabel ID]])</f>
        <v>1484</v>
      </c>
      <c r="B1494" s="171">
        <f>ROUNDDOWN((LineærRegression_Valg[[#This Row],[Tabel ID]]-1)/$B$5,0)+1</f>
        <v>371</v>
      </c>
      <c r="C1494" s="171">
        <f t="shared" si="23"/>
        <v>4</v>
      </c>
      <c r="D1494" s="171" t="b">
        <f>LineærRegression_Valg[[#This Row],[Afhængig variabel ID]]&lt;&gt;LineærRegression_Valg[[#This Row],[Uafhængig variabel ID]]</f>
        <v>1</v>
      </c>
      <c r="E1494" s="171" t="b">
        <f>LineærRegression_Valg[[#This Row],[Afhængig variabel ID]]&lt;=$B$5</f>
        <v>0</v>
      </c>
      <c r="F1494" t="str" cm="1">
        <f t="array" ref="F1494">IF(LineærRegression_Valg[[#This Row],[Indenfor range]],INDEX(DataTitel_liste,LineærRegression_Valg[[#This Row],[Afhængig variabel ID]]),INDEX(DataTitel_liste,1))</f>
        <v>Eksempel 1 (interval)</v>
      </c>
      <c r="G1494" s="171" t="str" cm="1">
        <f t="array" ref="G1494">IF(LineærRegression_Valg[[#This Row],[Indenfor range]],IF(LineærRegression_Valg[[#This Row],[Intet overlap]],INDEX(DataTitel_liste,LineærRegression_Valg[[#This Row],[Uafhængig variabel ID]]),INDEX(DataTitel_liste,IF(LineærRegression_Valg[[#This Row],[Afhængig variabel ID]]=1,2,1))),$B$7)</f>
        <v>Eksempel 2 (interval)</v>
      </c>
      <c r="H1494" s="171">
        <f>_xlfn.AGGREGATE(2,5,LineærRegression_Valg[[#This Row],[Tabel ID]])</f>
        <v>1</v>
      </c>
    </row>
    <row r="1495" spans="1:8" x14ac:dyDescent="0.2">
      <c r="A1495">
        <f>ROW(LineærRegression_Valg[[#This Row],[Tabel ID]])-ROW(LineærRegression_Valg[[#Headers],[Tabel ID]])</f>
        <v>1485</v>
      </c>
      <c r="B1495" s="171">
        <f>ROUNDDOWN((LineærRegression_Valg[[#This Row],[Tabel ID]]-1)/$B$5,0)+1</f>
        <v>372</v>
      </c>
      <c r="C1495" s="171">
        <f t="shared" si="23"/>
        <v>1</v>
      </c>
      <c r="D1495" s="171" t="b">
        <f>LineærRegression_Valg[[#This Row],[Afhængig variabel ID]]&lt;&gt;LineærRegression_Valg[[#This Row],[Uafhængig variabel ID]]</f>
        <v>1</v>
      </c>
      <c r="E1495" s="171" t="b">
        <f>LineærRegression_Valg[[#This Row],[Afhængig variabel ID]]&lt;=$B$5</f>
        <v>0</v>
      </c>
      <c r="F1495" t="str" cm="1">
        <f t="array" ref="F1495">IF(LineærRegression_Valg[[#This Row],[Indenfor range]],INDEX(DataTitel_liste,LineærRegression_Valg[[#This Row],[Afhængig variabel ID]]),INDEX(DataTitel_liste,1))</f>
        <v>Eksempel 1 (interval)</v>
      </c>
      <c r="G1495" s="171" t="str" cm="1">
        <f t="array" ref="G1495">IF(LineærRegression_Valg[[#This Row],[Indenfor range]],IF(LineærRegression_Valg[[#This Row],[Intet overlap]],INDEX(DataTitel_liste,LineærRegression_Valg[[#This Row],[Uafhængig variabel ID]]),INDEX(DataTitel_liste,IF(LineærRegression_Valg[[#This Row],[Afhængig variabel ID]]=1,2,1))),$B$7)</f>
        <v>Eksempel 2 (interval)</v>
      </c>
      <c r="H1495" s="171">
        <f>_xlfn.AGGREGATE(2,5,LineærRegression_Valg[[#This Row],[Tabel ID]])</f>
        <v>1</v>
      </c>
    </row>
    <row r="1496" spans="1:8" x14ac:dyDescent="0.2">
      <c r="A1496">
        <f>ROW(LineærRegression_Valg[[#This Row],[Tabel ID]])-ROW(LineærRegression_Valg[[#Headers],[Tabel ID]])</f>
        <v>1486</v>
      </c>
      <c r="B1496" s="171">
        <f>ROUNDDOWN((LineærRegression_Valg[[#This Row],[Tabel ID]]-1)/$B$5,0)+1</f>
        <v>372</v>
      </c>
      <c r="C1496" s="171">
        <f t="shared" si="23"/>
        <v>2</v>
      </c>
      <c r="D1496" s="171" t="b">
        <f>LineærRegression_Valg[[#This Row],[Afhængig variabel ID]]&lt;&gt;LineærRegression_Valg[[#This Row],[Uafhængig variabel ID]]</f>
        <v>1</v>
      </c>
      <c r="E1496" s="171" t="b">
        <f>LineærRegression_Valg[[#This Row],[Afhængig variabel ID]]&lt;=$B$5</f>
        <v>0</v>
      </c>
      <c r="F1496" t="str" cm="1">
        <f t="array" ref="F1496">IF(LineærRegression_Valg[[#This Row],[Indenfor range]],INDEX(DataTitel_liste,LineærRegression_Valg[[#This Row],[Afhængig variabel ID]]),INDEX(DataTitel_liste,1))</f>
        <v>Eksempel 1 (interval)</v>
      </c>
      <c r="G1496" s="171" t="str" cm="1">
        <f t="array" ref="G1496">IF(LineærRegression_Valg[[#This Row],[Indenfor range]],IF(LineærRegression_Valg[[#This Row],[Intet overlap]],INDEX(DataTitel_liste,LineærRegression_Valg[[#This Row],[Uafhængig variabel ID]]),INDEX(DataTitel_liste,IF(LineærRegression_Valg[[#This Row],[Afhængig variabel ID]]=1,2,1))),$B$7)</f>
        <v>Eksempel 2 (interval)</v>
      </c>
      <c r="H1496" s="171">
        <f>_xlfn.AGGREGATE(2,5,LineærRegression_Valg[[#This Row],[Tabel ID]])</f>
        <v>1</v>
      </c>
    </row>
    <row r="1497" spans="1:8" x14ac:dyDescent="0.2">
      <c r="A1497">
        <f>ROW(LineærRegression_Valg[[#This Row],[Tabel ID]])-ROW(LineærRegression_Valg[[#Headers],[Tabel ID]])</f>
        <v>1487</v>
      </c>
      <c r="B1497" s="171">
        <f>ROUNDDOWN((LineærRegression_Valg[[#This Row],[Tabel ID]]-1)/$B$5,0)+1</f>
        <v>372</v>
      </c>
      <c r="C1497" s="171">
        <f t="shared" si="23"/>
        <v>3</v>
      </c>
      <c r="D1497" s="171" t="b">
        <f>LineærRegression_Valg[[#This Row],[Afhængig variabel ID]]&lt;&gt;LineærRegression_Valg[[#This Row],[Uafhængig variabel ID]]</f>
        <v>1</v>
      </c>
      <c r="E1497" s="171" t="b">
        <f>LineærRegression_Valg[[#This Row],[Afhængig variabel ID]]&lt;=$B$5</f>
        <v>0</v>
      </c>
      <c r="F1497" t="str" cm="1">
        <f t="array" ref="F1497">IF(LineærRegression_Valg[[#This Row],[Indenfor range]],INDEX(DataTitel_liste,LineærRegression_Valg[[#This Row],[Afhængig variabel ID]]),INDEX(DataTitel_liste,1))</f>
        <v>Eksempel 1 (interval)</v>
      </c>
      <c r="G1497" s="171" t="str" cm="1">
        <f t="array" ref="G1497">IF(LineærRegression_Valg[[#This Row],[Indenfor range]],IF(LineærRegression_Valg[[#This Row],[Intet overlap]],INDEX(DataTitel_liste,LineærRegression_Valg[[#This Row],[Uafhængig variabel ID]]),INDEX(DataTitel_liste,IF(LineærRegression_Valg[[#This Row],[Afhængig variabel ID]]=1,2,1))),$B$7)</f>
        <v>Eksempel 2 (interval)</v>
      </c>
      <c r="H1497" s="171">
        <f>_xlfn.AGGREGATE(2,5,LineærRegression_Valg[[#This Row],[Tabel ID]])</f>
        <v>1</v>
      </c>
    </row>
    <row r="1498" spans="1:8" x14ac:dyDescent="0.2">
      <c r="A1498">
        <f>ROW(LineærRegression_Valg[[#This Row],[Tabel ID]])-ROW(LineærRegression_Valg[[#Headers],[Tabel ID]])</f>
        <v>1488</v>
      </c>
      <c r="B1498" s="171">
        <f>ROUNDDOWN((LineærRegression_Valg[[#This Row],[Tabel ID]]-1)/$B$5,0)+1</f>
        <v>372</v>
      </c>
      <c r="C1498" s="171">
        <f t="shared" si="23"/>
        <v>4</v>
      </c>
      <c r="D1498" s="171" t="b">
        <f>LineærRegression_Valg[[#This Row],[Afhængig variabel ID]]&lt;&gt;LineærRegression_Valg[[#This Row],[Uafhængig variabel ID]]</f>
        <v>1</v>
      </c>
      <c r="E1498" s="171" t="b">
        <f>LineærRegression_Valg[[#This Row],[Afhængig variabel ID]]&lt;=$B$5</f>
        <v>0</v>
      </c>
      <c r="F1498" t="str" cm="1">
        <f t="array" ref="F1498">IF(LineærRegression_Valg[[#This Row],[Indenfor range]],INDEX(DataTitel_liste,LineærRegression_Valg[[#This Row],[Afhængig variabel ID]]),INDEX(DataTitel_liste,1))</f>
        <v>Eksempel 1 (interval)</v>
      </c>
      <c r="G1498" s="171" t="str" cm="1">
        <f t="array" ref="G1498">IF(LineærRegression_Valg[[#This Row],[Indenfor range]],IF(LineærRegression_Valg[[#This Row],[Intet overlap]],INDEX(DataTitel_liste,LineærRegression_Valg[[#This Row],[Uafhængig variabel ID]]),INDEX(DataTitel_liste,IF(LineærRegression_Valg[[#This Row],[Afhængig variabel ID]]=1,2,1))),$B$7)</f>
        <v>Eksempel 2 (interval)</v>
      </c>
      <c r="H1498" s="171">
        <f>_xlfn.AGGREGATE(2,5,LineærRegression_Valg[[#This Row],[Tabel ID]])</f>
        <v>1</v>
      </c>
    </row>
    <row r="1499" spans="1:8" x14ac:dyDescent="0.2">
      <c r="A1499">
        <f>ROW(LineærRegression_Valg[[#This Row],[Tabel ID]])-ROW(LineærRegression_Valg[[#Headers],[Tabel ID]])</f>
        <v>1489</v>
      </c>
      <c r="B1499" s="171">
        <f>ROUNDDOWN((LineærRegression_Valg[[#This Row],[Tabel ID]]-1)/$B$5,0)+1</f>
        <v>373</v>
      </c>
      <c r="C1499" s="171">
        <f t="shared" si="23"/>
        <v>1</v>
      </c>
      <c r="D1499" s="171" t="b">
        <f>LineærRegression_Valg[[#This Row],[Afhængig variabel ID]]&lt;&gt;LineærRegression_Valg[[#This Row],[Uafhængig variabel ID]]</f>
        <v>1</v>
      </c>
      <c r="E1499" s="171" t="b">
        <f>LineærRegression_Valg[[#This Row],[Afhængig variabel ID]]&lt;=$B$5</f>
        <v>0</v>
      </c>
      <c r="F1499" t="str" cm="1">
        <f t="array" ref="F1499">IF(LineærRegression_Valg[[#This Row],[Indenfor range]],INDEX(DataTitel_liste,LineærRegression_Valg[[#This Row],[Afhængig variabel ID]]),INDEX(DataTitel_liste,1))</f>
        <v>Eksempel 1 (interval)</v>
      </c>
      <c r="G1499" s="171" t="str" cm="1">
        <f t="array" ref="G1499">IF(LineærRegression_Valg[[#This Row],[Indenfor range]],IF(LineærRegression_Valg[[#This Row],[Intet overlap]],INDEX(DataTitel_liste,LineærRegression_Valg[[#This Row],[Uafhængig variabel ID]]),INDEX(DataTitel_liste,IF(LineærRegression_Valg[[#This Row],[Afhængig variabel ID]]=1,2,1))),$B$7)</f>
        <v>Eksempel 2 (interval)</v>
      </c>
      <c r="H1499" s="171">
        <f>_xlfn.AGGREGATE(2,5,LineærRegression_Valg[[#This Row],[Tabel ID]])</f>
        <v>1</v>
      </c>
    </row>
    <row r="1500" spans="1:8" x14ac:dyDescent="0.2">
      <c r="A1500">
        <f>ROW(LineærRegression_Valg[[#This Row],[Tabel ID]])-ROW(LineærRegression_Valg[[#Headers],[Tabel ID]])</f>
        <v>1490</v>
      </c>
      <c r="B1500" s="171">
        <f>ROUNDDOWN((LineærRegression_Valg[[#This Row],[Tabel ID]]-1)/$B$5,0)+1</f>
        <v>373</v>
      </c>
      <c r="C1500" s="171">
        <f t="shared" si="23"/>
        <v>2</v>
      </c>
      <c r="D1500" s="171" t="b">
        <f>LineærRegression_Valg[[#This Row],[Afhængig variabel ID]]&lt;&gt;LineærRegression_Valg[[#This Row],[Uafhængig variabel ID]]</f>
        <v>1</v>
      </c>
      <c r="E1500" s="171" t="b">
        <f>LineærRegression_Valg[[#This Row],[Afhængig variabel ID]]&lt;=$B$5</f>
        <v>0</v>
      </c>
      <c r="F1500" t="str" cm="1">
        <f t="array" ref="F1500">IF(LineærRegression_Valg[[#This Row],[Indenfor range]],INDEX(DataTitel_liste,LineærRegression_Valg[[#This Row],[Afhængig variabel ID]]),INDEX(DataTitel_liste,1))</f>
        <v>Eksempel 1 (interval)</v>
      </c>
      <c r="G1500" s="171" t="str" cm="1">
        <f t="array" ref="G1500">IF(LineærRegression_Valg[[#This Row],[Indenfor range]],IF(LineærRegression_Valg[[#This Row],[Intet overlap]],INDEX(DataTitel_liste,LineærRegression_Valg[[#This Row],[Uafhængig variabel ID]]),INDEX(DataTitel_liste,IF(LineærRegression_Valg[[#This Row],[Afhængig variabel ID]]=1,2,1))),$B$7)</f>
        <v>Eksempel 2 (interval)</v>
      </c>
      <c r="H1500" s="171">
        <f>_xlfn.AGGREGATE(2,5,LineærRegression_Valg[[#This Row],[Tabel ID]])</f>
        <v>1</v>
      </c>
    </row>
    <row r="1501" spans="1:8" x14ac:dyDescent="0.2">
      <c r="A1501">
        <f>ROW(LineærRegression_Valg[[#This Row],[Tabel ID]])-ROW(LineærRegression_Valg[[#Headers],[Tabel ID]])</f>
        <v>1491</v>
      </c>
      <c r="B1501" s="171">
        <f>ROUNDDOWN((LineærRegression_Valg[[#This Row],[Tabel ID]]-1)/$B$5,0)+1</f>
        <v>373</v>
      </c>
      <c r="C1501" s="171">
        <f t="shared" si="23"/>
        <v>3</v>
      </c>
      <c r="D1501" s="171" t="b">
        <f>LineærRegression_Valg[[#This Row],[Afhængig variabel ID]]&lt;&gt;LineærRegression_Valg[[#This Row],[Uafhængig variabel ID]]</f>
        <v>1</v>
      </c>
      <c r="E1501" s="171" t="b">
        <f>LineærRegression_Valg[[#This Row],[Afhængig variabel ID]]&lt;=$B$5</f>
        <v>0</v>
      </c>
      <c r="F1501" t="str" cm="1">
        <f t="array" ref="F1501">IF(LineærRegression_Valg[[#This Row],[Indenfor range]],INDEX(DataTitel_liste,LineærRegression_Valg[[#This Row],[Afhængig variabel ID]]),INDEX(DataTitel_liste,1))</f>
        <v>Eksempel 1 (interval)</v>
      </c>
      <c r="G1501" s="171" t="str" cm="1">
        <f t="array" ref="G1501">IF(LineærRegression_Valg[[#This Row],[Indenfor range]],IF(LineærRegression_Valg[[#This Row],[Intet overlap]],INDEX(DataTitel_liste,LineærRegression_Valg[[#This Row],[Uafhængig variabel ID]]),INDEX(DataTitel_liste,IF(LineærRegression_Valg[[#This Row],[Afhængig variabel ID]]=1,2,1))),$B$7)</f>
        <v>Eksempel 2 (interval)</v>
      </c>
      <c r="H1501" s="171">
        <f>_xlfn.AGGREGATE(2,5,LineærRegression_Valg[[#This Row],[Tabel ID]])</f>
        <v>1</v>
      </c>
    </row>
    <row r="1502" spans="1:8" x14ac:dyDescent="0.2">
      <c r="A1502">
        <f>ROW(LineærRegression_Valg[[#This Row],[Tabel ID]])-ROW(LineærRegression_Valg[[#Headers],[Tabel ID]])</f>
        <v>1492</v>
      </c>
      <c r="B1502" s="171">
        <f>ROUNDDOWN((LineærRegression_Valg[[#This Row],[Tabel ID]]-1)/$B$5,0)+1</f>
        <v>373</v>
      </c>
      <c r="C1502" s="171">
        <f t="shared" si="23"/>
        <v>4</v>
      </c>
      <c r="D1502" s="171" t="b">
        <f>LineærRegression_Valg[[#This Row],[Afhængig variabel ID]]&lt;&gt;LineærRegression_Valg[[#This Row],[Uafhængig variabel ID]]</f>
        <v>1</v>
      </c>
      <c r="E1502" s="171" t="b">
        <f>LineærRegression_Valg[[#This Row],[Afhængig variabel ID]]&lt;=$B$5</f>
        <v>0</v>
      </c>
      <c r="F1502" t="str" cm="1">
        <f t="array" ref="F1502">IF(LineærRegression_Valg[[#This Row],[Indenfor range]],INDEX(DataTitel_liste,LineærRegression_Valg[[#This Row],[Afhængig variabel ID]]),INDEX(DataTitel_liste,1))</f>
        <v>Eksempel 1 (interval)</v>
      </c>
      <c r="G1502" s="171" t="str" cm="1">
        <f t="array" ref="G1502">IF(LineærRegression_Valg[[#This Row],[Indenfor range]],IF(LineærRegression_Valg[[#This Row],[Intet overlap]],INDEX(DataTitel_liste,LineærRegression_Valg[[#This Row],[Uafhængig variabel ID]]),INDEX(DataTitel_liste,IF(LineærRegression_Valg[[#This Row],[Afhængig variabel ID]]=1,2,1))),$B$7)</f>
        <v>Eksempel 2 (interval)</v>
      </c>
      <c r="H1502" s="171">
        <f>_xlfn.AGGREGATE(2,5,LineærRegression_Valg[[#This Row],[Tabel ID]])</f>
        <v>1</v>
      </c>
    </row>
    <row r="1503" spans="1:8" x14ac:dyDescent="0.2">
      <c r="A1503">
        <f>ROW(LineærRegression_Valg[[#This Row],[Tabel ID]])-ROW(LineærRegression_Valg[[#Headers],[Tabel ID]])</f>
        <v>1493</v>
      </c>
      <c r="B1503" s="171">
        <f>ROUNDDOWN((LineærRegression_Valg[[#This Row],[Tabel ID]]-1)/$B$5,0)+1</f>
        <v>374</v>
      </c>
      <c r="C1503" s="171">
        <f t="shared" si="23"/>
        <v>1</v>
      </c>
      <c r="D1503" s="171" t="b">
        <f>LineærRegression_Valg[[#This Row],[Afhængig variabel ID]]&lt;&gt;LineærRegression_Valg[[#This Row],[Uafhængig variabel ID]]</f>
        <v>1</v>
      </c>
      <c r="E1503" s="171" t="b">
        <f>LineærRegression_Valg[[#This Row],[Afhængig variabel ID]]&lt;=$B$5</f>
        <v>0</v>
      </c>
      <c r="F1503" t="str" cm="1">
        <f t="array" ref="F1503">IF(LineærRegression_Valg[[#This Row],[Indenfor range]],INDEX(DataTitel_liste,LineærRegression_Valg[[#This Row],[Afhængig variabel ID]]),INDEX(DataTitel_liste,1))</f>
        <v>Eksempel 1 (interval)</v>
      </c>
      <c r="G1503" s="171" t="str" cm="1">
        <f t="array" ref="G1503">IF(LineærRegression_Valg[[#This Row],[Indenfor range]],IF(LineærRegression_Valg[[#This Row],[Intet overlap]],INDEX(DataTitel_liste,LineærRegression_Valg[[#This Row],[Uafhængig variabel ID]]),INDEX(DataTitel_liste,IF(LineærRegression_Valg[[#This Row],[Afhængig variabel ID]]=1,2,1))),$B$7)</f>
        <v>Eksempel 2 (interval)</v>
      </c>
      <c r="H1503" s="171">
        <f>_xlfn.AGGREGATE(2,5,LineærRegression_Valg[[#This Row],[Tabel ID]])</f>
        <v>1</v>
      </c>
    </row>
    <row r="1504" spans="1:8" x14ac:dyDescent="0.2">
      <c r="A1504">
        <f>ROW(LineærRegression_Valg[[#This Row],[Tabel ID]])-ROW(LineærRegression_Valg[[#Headers],[Tabel ID]])</f>
        <v>1494</v>
      </c>
      <c r="B1504" s="171">
        <f>ROUNDDOWN((LineærRegression_Valg[[#This Row],[Tabel ID]]-1)/$B$5,0)+1</f>
        <v>374</v>
      </c>
      <c r="C1504" s="171">
        <f t="shared" si="23"/>
        <v>2</v>
      </c>
      <c r="D1504" s="171" t="b">
        <f>LineærRegression_Valg[[#This Row],[Afhængig variabel ID]]&lt;&gt;LineærRegression_Valg[[#This Row],[Uafhængig variabel ID]]</f>
        <v>1</v>
      </c>
      <c r="E1504" s="171" t="b">
        <f>LineærRegression_Valg[[#This Row],[Afhængig variabel ID]]&lt;=$B$5</f>
        <v>0</v>
      </c>
      <c r="F1504" t="str" cm="1">
        <f t="array" ref="F1504">IF(LineærRegression_Valg[[#This Row],[Indenfor range]],INDEX(DataTitel_liste,LineærRegression_Valg[[#This Row],[Afhængig variabel ID]]),INDEX(DataTitel_liste,1))</f>
        <v>Eksempel 1 (interval)</v>
      </c>
      <c r="G1504" s="171" t="str" cm="1">
        <f t="array" ref="G1504">IF(LineærRegression_Valg[[#This Row],[Indenfor range]],IF(LineærRegression_Valg[[#This Row],[Intet overlap]],INDEX(DataTitel_liste,LineærRegression_Valg[[#This Row],[Uafhængig variabel ID]]),INDEX(DataTitel_liste,IF(LineærRegression_Valg[[#This Row],[Afhængig variabel ID]]=1,2,1))),$B$7)</f>
        <v>Eksempel 2 (interval)</v>
      </c>
      <c r="H1504" s="171">
        <f>_xlfn.AGGREGATE(2,5,LineærRegression_Valg[[#This Row],[Tabel ID]])</f>
        <v>1</v>
      </c>
    </row>
    <row r="1505" spans="1:8" x14ac:dyDescent="0.2">
      <c r="A1505">
        <f>ROW(LineærRegression_Valg[[#This Row],[Tabel ID]])-ROW(LineærRegression_Valg[[#Headers],[Tabel ID]])</f>
        <v>1495</v>
      </c>
      <c r="B1505" s="171">
        <f>ROUNDDOWN((LineærRegression_Valg[[#This Row],[Tabel ID]]-1)/$B$5,0)+1</f>
        <v>374</v>
      </c>
      <c r="C1505" s="171">
        <f t="shared" si="23"/>
        <v>3</v>
      </c>
      <c r="D1505" s="171" t="b">
        <f>LineærRegression_Valg[[#This Row],[Afhængig variabel ID]]&lt;&gt;LineærRegression_Valg[[#This Row],[Uafhængig variabel ID]]</f>
        <v>1</v>
      </c>
      <c r="E1505" s="171" t="b">
        <f>LineærRegression_Valg[[#This Row],[Afhængig variabel ID]]&lt;=$B$5</f>
        <v>0</v>
      </c>
      <c r="F1505" t="str" cm="1">
        <f t="array" ref="F1505">IF(LineærRegression_Valg[[#This Row],[Indenfor range]],INDEX(DataTitel_liste,LineærRegression_Valg[[#This Row],[Afhængig variabel ID]]),INDEX(DataTitel_liste,1))</f>
        <v>Eksempel 1 (interval)</v>
      </c>
      <c r="G1505" s="171" t="str" cm="1">
        <f t="array" ref="G1505">IF(LineærRegression_Valg[[#This Row],[Indenfor range]],IF(LineærRegression_Valg[[#This Row],[Intet overlap]],INDEX(DataTitel_liste,LineærRegression_Valg[[#This Row],[Uafhængig variabel ID]]),INDEX(DataTitel_liste,IF(LineærRegression_Valg[[#This Row],[Afhængig variabel ID]]=1,2,1))),$B$7)</f>
        <v>Eksempel 2 (interval)</v>
      </c>
      <c r="H1505" s="171">
        <f>_xlfn.AGGREGATE(2,5,LineærRegression_Valg[[#This Row],[Tabel ID]])</f>
        <v>1</v>
      </c>
    </row>
    <row r="1506" spans="1:8" x14ac:dyDescent="0.2">
      <c r="A1506">
        <f>ROW(LineærRegression_Valg[[#This Row],[Tabel ID]])-ROW(LineærRegression_Valg[[#Headers],[Tabel ID]])</f>
        <v>1496</v>
      </c>
      <c r="B1506" s="171">
        <f>ROUNDDOWN((LineærRegression_Valg[[#This Row],[Tabel ID]]-1)/$B$5,0)+1</f>
        <v>374</v>
      </c>
      <c r="C1506" s="171">
        <f t="shared" si="23"/>
        <v>4</v>
      </c>
      <c r="D1506" s="171" t="b">
        <f>LineærRegression_Valg[[#This Row],[Afhængig variabel ID]]&lt;&gt;LineærRegression_Valg[[#This Row],[Uafhængig variabel ID]]</f>
        <v>1</v>
      </c>
      <c r="E1506" s="171" t="b">
        <f>LineærRegression_Valg[[#This Row],[Afhængig variabel ID]]&lt;=$B$5</f>
        <v>0</v>
      </c>
      <c r="F1506" t="str" cm="1">
        <f t="array" ref="F1506">IF(LineærRegression_Valg[[#This Row],[Indenfor range]],INDEX(DataTitel_liste,LineærRegression_Valg[[#This Row],[Afhængig variabel ID]]),INDEX(DataTitel_liste,1))</f>
        <v>Eksempel 1 (interval)</v>
      </c>
      <c r="G1506" s="171" t="str" cm="1">
        <f t="array" ref="G1506">IF(LineærRegression_Valg[[#This Row],[Indenfor range]],IF(LineærRegression_Valg[[#This Row],[Intet overlap]],INDEX(DataTitel_liste,LineærRegression_Valg[[#This Row],[Uafhængig variabel ID]]),INDEX(DataTitel_liste,IF(LineærRegression_Valg[[#This Row],[Afhængig variabel ID]]=1,2,1))),$B$7)</f>
        <v>Eksempel 2 (interval)</v>
      </c>
      <c r="H1506" s="171">
        <f>_xlfn.AGGREGATE(2,5,LineærRegression_Valg[[#This Row],[Tabel ID]])</f>
        <v>1</v>
      </c>
    </row>
    <row r="1507" spans="1:8" x14ac:dyDescent="0.2">
      <c r="A1507">
        <f>ROW(LineærRegression_Valg[[#This Row],[Tabel ID]])-ROW(LineærRegression_Valg[[#Headers],[Tabel ID]])</f>
        <v>1497</v>
      </c>
      <c r="B1507" s="171">
        <f>ROUNDDOWN((LineærRegression_Valg[[#This Row],[Tabel ID]]-1)/$B$5,0)+1</f>
        <v>375</v>
      </c>
      <c r="C1507" s="171">
        <f t="shared" si="23"/>
        <v>1</v>
      </c>
      <c r="D1507" s="171" t="b">
        <f>LineærRegression_Valg[[#This Row],[Afhængig variabel ID]]&lt;&gt;LineærRegression_Valg[[#This Row],[Uafhængig variabel ID]]</f>
        <v>1</v>
      </c>
      <c r="E1507" s="171" t="b">
        <f>LineærRegression_Valg[[#This Row],[Afhængig variabel ID]]&lt;=$B$5</f>
        <v>0</v>
      </c>
      <c r="F1507" t="str" cm="1">
        <f t="array" ref="F1507">IF(LineærRegression_Valg[[#This Row],[Indenfor range]],INDEX(DataTitel_liste,LineærRegression_Valg[[#This Row],[Afhængig variabel ID]]),INDEX(DataTitel_liste,1))</f>
        <v>Eksempel 1 (interval)</v>
      </c>
      <c r="G1507" s="171" t="str" cm="1">
        <f t="array" ref="G1507">IF(LineærRegression_Valg[[#This Row],[Indenfor range]],IF(LineærRegression_Valg[[#This Row],[Intet overlap]],INDEX(DataTitel_liste,LineærRegression_Valg[[#This Row],[Uafhængig variabel ID]]),INDEX(DataTitel_liste,IF(LineærRegression_Valg[[#This Row],[Afhængig variabel ID]]=1,2,1))),$B$7)</f>
        <v>Eksempel 2 (interval)</v>
      </c>
      <c r="H1507" s="171">
        <f>_xlfn.AGGREGATE(2,5,LineærRegression_Valg[[#This Row],[Tabel ID]])</f>
        <v>1</v>
      </c>
    </row>
    <row r="1508" spans="1:8" x14ac:dyDescent="0.2">
      <c r="A1508">
        <f>ROW(LineærRegression_Valg[[#This Row],[Tabel ID]])-ROW(LineærRegression_Valg[[#Headers],[Tabel ID]])</f>
        <v>1498</v>
      </c>
      <c r="B1508" s="171">
        <f>ROUNDDOWN((LineærRegression_Valg[[#This Row],[Tabel ID]]-1)/$B$5,0)+1</f>
        <v>375</v>
      </c>
      <c r="C1508" s="171">
        <f t="shared" si="23"/>
        <v>2</v>
      </c>
      <c r="D1508" s="171" t="b">
        <f>LineærRegression_Valg[[#This Row],[Afhængig variabel ID]]&lt;&gt;LineærRegression_Valg[[#This Row],[Uafhængig variabel ID]]</f>
        <v>1</v>
      </c>
      <c r="E1508" s="171" t="b">
        <f>LineærRegression_Valg[[#This Row],[Afhængig variabel ID]]&lt;=$B$5</f>
        <v>0</v>
      </c>
      <c r="F1508" t="str" cm="1">
        <f t="array" ref="F1508">IF(LineærRegression_Valg[[#This Row],[Indenfor range]],INDEX(DataTitel_liste,LineærRegression_Valg[[#This Row],[Afhængig variabel ID]]),INDEX(DataTitel_liste,1))</f>
        <v>Eksempel 1 (interval)</v>
      </c>
      <c r="G1508" s="171" t="str" cm="1">
        <f t="array" ref="G1508">IF(LineærRegression_Valg[[#This Row],[Indenfor range]],IF(LineærRegression_Valg[[#This Row],[Intet overlap]],INDEX(DataTitel_liste,LineærRegression_Valg[[#This Row],[Uafhængig variabel ID]]),INDEX(DataTitel_liste,IF(LineærRegression_Valg[[#This Row],[Afhængig variabel ID]]=1,2,1))),$B$7)</f>
        <v>Eksempel 2 (interval)</v>
      </c>
      <c r="H1508" s="171">
        <f>_xlfn.AGGREGATE(2,5,LineærRegression_Valg[[#This Row],[Tabel ID]])</f>
        <v>1</v>
      </c>
    </row>
    <row r="1509" spans="1:8" x14ac:dyDescent="0.2">
      <c r="A1509">
        <f>ROW(LineærRegression_Valg[[#This Row],[Tabel ID]])-ROW(LineærRegression_Valg[[#Headers],[Tabel ID]])</f>
        <v>1499</v>
      </c>
      <c r="B1509" s="171">
        <f>ROUNDDOWN((LineærRegression_Valg[[#This Row],[Tabel ID]]-1)/$B$5,0)+1</f>
        <v>375</v>
      </c>
      <c r="C1509" s="171">
        <f t="shared" si="23"/>
        <v>3</v>
      </c>
      <c r="D1509" s="171" t="b">
        <f>LineærRegression_Valg[[#This Row],[Afhængig variabel ID]]&lt;&gt;LineærRegression_Valg[[#This Row],[Uafhængig variabel ID]]</f>
        <v>1</v>
      </c>
      <c r="E1509" s="171" t="b">
        <f>LineærRegression_Valg[[#This Row],[Afhængig variabel ID]]&lt;=$B$5</f>
        <v>0</v>
      </c>
      <c r="F1509" t="str" cm="1">
        <f t="array" ref="F1509">IF(LineærRegression_Valg[[#This Row],[Indenfor range]],INDEX(DataTitel_liste,LineærRegression_Valg[[#This Row],[Afhængig variabel ID]]),INDEX(DataTitel_liste,1))</f>
        <v>Eksempel 1 (interval)</v>
      </c>
      <c r="G1509" s="171" t="str" cm="1">
        <f t="array" ref="G1509">IF(LineærRegression_Valg[[#This Row],[Indenfor range]],IF(LineærRegression_Valg[[#This Row],[Intet overlap]],INDEX(DataTitel_liste,LineærRegression_Valg[[#This Row],[Uafhængig variabel ID]]),INDEX(DataTitel_liste,IF(LineærRegression_Valg[[#This Row],[Afhængig variabel ID]]=1,2,1))),$B$7)</f>
        <v>Eksempel 2 (interval)</v>
      </c>
      <c r="H1509" s="171">
        <f>_xlfn.AGGREGATE(2,5,LineærRegression_Valg[[#This Row],[Tabel ID]])</f>
        <v>1</v>
      </c>
    </row>
    <row r="1510" spans="1:8" x14ac:dyDescent="0.2">
      <c r="A1510">
        <f>ROW(LineærRegression_Valg[[#This Row],[Tabel ID]])-ROW(LineærRegression_Valg[[#Headers],[Tabel ID]])</f>
        <v>1500</v>
      </c>
      <c r="B1510" s="171">
        <f>ROUNDDOWN((LineærRegression_Valg[[#This Row],[Tabel ID]]-1)/$B$5,0)+1</f>
        <v>375</v>
      </c>
      <c r="C1510" s="171">
        <f t="shared" si="23"/>
        <v>4</v>
      </c>
      <c r="D1510" s="171" t="b">
        <f>LineærRegression_Valg[[#This Row],[Afhængig variabel ID]]&lt;&gt;LineærRegression_Valg[[#This Row],[Uafhængig variabel ID]]</f>
        <v>1</v>
      </c>
      <c r="E1510" s="171" t="b">
        <f>LineærRegression_Valg[[#This Row],[Afhængig variabel ID]]&lt;=$B$5</f>
        <v>0</v>
      </c>
      <c r="F1510" t="str" cm="1">
        <f t="array" ref="F1510">IF(LineærRegression_Valg[[#This Row],[Indenfor range]],INDEX(DataTitel_liste,LineærRegression_Valg[[#This Row],[Afhængig variabel ID]]),INDEX(DataTitel_liste,1))</f>
        <v>Eksempel 1 (interval)</v>
      </c>
      <c r="G1510" s="171" t="str" cm="1">
        <f t="array" ref="G1510">IF(LineærRegression_Valg[[#This Row],[Indenfor range]],IF(LineærRegression_Valg[[#This Row],[Intet overlap]],INDEX(DataTitel_liste,LineærRegression_Valg[[#This Row],[Uafhængig variabel ID]]),INDEX(DataTitel_liste,IF(LineærRegression_Valg[[#This Row],[Afhængig variabel ID]]=1,2,1))),$B$7)</f>
        <v>Eksempel 2 (interval)</v>
      </c>
      <c r="H1510" s="171">
        <f>_xlfn.AGGREGATE(2,5,LineærRegression_Valg[[#This Row],[Tabel ID]])</f>
        <v>1</v>
      </c>
    </row>
    <row r="1511" spans="1:8" x14ac:dyDescent="0.2">
      <c r="A1511">
        <f>ROW(LineærRegression_Valg[[#This Row],[Tabel ID]])-ROW(LineærRegression_Valg[[#Headers],[Tabel ID]])</f>
        <v>1501</v>
      </c>
      <c r="B1511" s="171">
        <f>ROUNDDOWN((LineærRegression_Valg[[#This Row],[Tabel ID]]-1)/$B$5,0)+1</f>
        <v>376</v>
      </c>
      <c r="C1511" s="171">
        <f t="shared" si="23"/>
        <v>1</v>
      </c>
      <c r="D1511" s="171" t="b">
        <f>LineærRegression_Valg[[#This Row],[Afhængig variabel ID]]&lt;&gt;LineærRegression_Valg[[#This Row],[Uafhængig variabel ID]]</f>
        <v>1</v>
      </c>
      <c r="E1511" s="171" t="b">
        <f>LineærRegression_Valg[[#This Row],[Afhængig variabel ID]]&lt;=$B$5</f>
        <v>0</v>
      </c>
      <c r="F1511" t="str" cm="1">
        <f t="array" ref="F1511">IF(LineærRegression_Valg[[#This Row],[Indenfor range]],INDEX(DataTitel_liste,LineærRegression_Valg[[#This Row],[Afhængig variabel ID]]),INDEX(DataTitel_liste,1))</f>
        <v>Eksempel 1 (interval)</v>
      </c>
      <c r="G1511" s="171" t="str" cm="1">
        <f t="array" ref="G1511">IF(LineærRegression_Valg[[#This Row],[Indenfor range]],IF(LineærRegression_Valg[[#This Row],[Intet overlap]],INDEX(DataTitel_liste,LineærRegression_Valg[[#This Row],[Uafhængig variabel ID]]),INDEX(DataTitel_liste,IF(LineærRegression_Valg[[#This Row],[Afhængig variabel ID]]=1,2,1))),$B$7)</f>
        <v>Eksempel 2 (interval)</v>
      </c>
      <c r="H1511" s="171">
        <f>_xlfn.AGGREGATE(2,5,LineærRegression_Valg[[#This Row],[Tabel ID]])</f>
        <v>1</v>
      </c>
    </row>
    <row r="1512" spans="1:8" x14ac:dyDescent="0.2">
      <c r="A1512">
        <f>ROW(LineærRegression_Valg[[#This Row],[Tabel ID]])-ROW(LineærRegression_Valg[[#Headers],[Tabel ID]])</f>
        <v>1502</v>
      </c>
      <c r="B1512" s="171">
        <f>ROUNDDOWN((LineærRegression_Valg[[#This Row],[Tabel ID]]-1)/$B$5,0)+1</f>
        <v>376</v>
      </c>
      <c r="C1512" s="171">
        <f t="shared" si="23"/>
        <v>2</v>
      </c>
      <c r="D1512" s="171" t="b">
        <f>LineærRegression_Valg[[#This Row],[Afhængig variabel ID]]&lt;&gt;LineærRegression_Valg[[#This Row],[Uafhængig variabel ID]]</f>
        <v>1</v>
      </c>
      <c r="E1512" s="171" t="b">
        <f>LineærRegression_Valg[[#This Row],[Afhængig variabel ID]]&lt;=$B$5</f>
        <v>0</v>
      </c>
      <c r="F1512" t="str" cm="1">
        <f t="array" ref="F1512">IF(LineærRegression_Valg[[#This Row],[Indenfor range]],INDEX(DataTitel_liste,LineærRegression_Valg[[#This Row],[Afhængig variabel ID]]),INDEX(DataTitel_liste,1))</f>
        <v>Eksempel 1 (interval)</v>
      </c>
      <c r="G1512" s="171" t="str" cm="1">
        <f t="array" ref="G1512">IF(LineærRegression_Valg[[#This Row],[Indenfor range]],IF(LineærRegression_Valg[[#This Row],[Intet overlap]],INDEX(DataTitel_liste,LineærRegression_Valg[[#This Row],[Uafhængig variabel ID]]),INDEX(DataTitel_liste,IF(LineærRegression_Valg[[#This Row],[Afhængig variabel ID]]=1,2,1))),$B$7)</f>
        <v>Eksempel 2 (interval)</v>
      </c>
      <c r="H1512" s="171">
        <f>_xlfn.AGGREGATE(2,5,LineærRegression_Valg[[#This Row],[Tabel ID]])</f>
        <v>1</v>
      </c>
    </row>
    <row r="1513" spans="1:8" x14ac:dyDescent="0.2">
      <c r="A1513">
        <f>ROW(LineærRegression_Valg[[#This Row],[Tabel ID]])-ROW(LineærRegression_Valg[[#Headers],[Tabel ID]])</f>
        <v>1503</v>
      </c>
      <c r="B1513" s="171">
        <f>ROUNDDOWN((LineærRegression_Valg[[#This Row],[Tabel ID]]-1)/$B$5,0)+1</f>
        <v>376</v>
      </c>
      <c r="C1513" s="171">
        <f t="shared" si="23"/>
        <v>3</v>
      </c>
      <c r="D1513" s="171" t="b">
        <f>LineærRegression_Valg[[#This Row],[Afhængig variabel ID]]&lt;&gt;LineærRegression_Valg[[#This Row],[Uafhængig variabel ID]]</f>
        <v>1</v>
      </c>
      <c r="E1513" s="171" t="b">
        <f>LineærRegression_Valg[[#This Row],[Afhængig variabel ID]]&lt;=$B$5</f>
        <v>0</v>
      </c>
      <c r="F1513" t="str" cm="1">
        <f t="array" ref="F1513">IF(LineærRegression_Valg[[#This Row],[Indenfor range]],INDEX(DataTitel_liste,LineærRegression_Valg[[#This Row],[Afhængig variabel ID]]),INDEX(DataTitel_liste,1))</f>
        <v>Eksempel 1 (interval)</v>
      </c>
      <c r="G1513" s="171" t="str" cm="1">
        <f t="array" ref="G1513">IF(LineærRegression_Valg[[#This Row],[Indenfor range]],IF(LineærRegression_Valg[[#This Row],[Intet overlap]],INDEX(DataTitel_liste,LineærRegression_Valg[[#This Row],[Uafhængig variabel ID]]),INDEX(DataTitel_liste,IF(LineærRegression_Valg[[#This Row],[Afhængig variabel ID]]=1,2,1))),$B$7)</f>
        <v>Eksempel 2 (interval)</v>
      </c>
      <c r="H1513" s="171">
        <f>_xlfn.AGGREGATE(2,5,LineærRegression_Valg[[#This Row],[Tabel ID]])</f>
        <v>1</v>
      </c>
    </row>
    <row r="1514" spans="1:8" x14ac:dyDescent="0.2">
      <c r="A1514">
        <f>ROW(LineærRegression_Valg[[#This Row],[Tabel ID]])-ROW(LineærRegression_Valg[[#Headers],[Tabel ID]])</f>
        <v>1504</v>
      </c>
      <c r="B1514" s="171">
        <f>ROUNDDOWN((LineærRegression_Valg[[#This Row],[Tabel ID]]-1)/$B$5,0)+1</f>
        <v>376</v>
      </c>
      <c r="C1514" s="171">
        <f t="shared" si="23"/>
        <v>4</v>
      </c>
      <c r="D1514" s="171" t="b">
        <f>LineærRegression_Valg[[#This Row],[Afhængig variabel ID]]&lt;&gt;LineærRegression_Valg[[#This Row],[Uafhængig variabel ID]]</f>
        <v>1</v>
      </c>
      <c r="E1514" s="171" t="b">
        <f>LineærRegression_Valg[[#This Row],[Afhængig variabel ID]]&lt;=$B$5</f>
        <v>0</v>
      </c>
      <c r="F1514" t="str" cm="1">
        <f t="array" ref="F1514">IF(LineærRegression_Valg[[#This Row],[Indenfor range]],INDEX(DataTitel_liste,LineærRegression_Valg[[#This Row],[Afhængig variabel ID]]),INDEX(DataTitel_liste,1))</f>
        <v>Eksempel 1 (interval)</v>
      </c>
      <c r="G1514" s="171" t="str" cm="1">
        <f t="array" ref="G1514">IF(LineærRegression_Valg[[#This Row],[Indenfor range]],IF(LineærRegression_Valg[[#This Row],[Intet overlap]],INDEX(DataTitel_liste,LineærRegression_Valg[[#This Row],[Uafhængig variabel ID]]),INDEX(DataTitel_liste,IF(LineærRegression_Valg[[#This Row],[Afhængig variabel ID]]=1,2,1))),$B$7)</f>
        <v>Eksempel 2 (interval)</v>
      </c>
      <c r="H1514" s="171">
        <f>_xlfn.AGGREGATE(2,5,LineærRegression_Valg[[#This Row],[Tabel ID]])</f>
        <v>1</v>
      </c>
    </row>
    <row r="1515" spans="1:8" x14ac:dyDescent="0.2">
      <c r="A1515">
        <f>ROW(LineærRegression_Valg[[#This Row],[Tabel ID]])-ROW(LineærRegression_Valg[[#Headers],[Tabel ID]])</f>
        <v>1505</v>
      </c>
      <c r="B1515" s="171">
        <f>ROUNDDOWN((LineærRegression_Valg[[#This Row],[Tabel ID]]-1)/$B$5,0)+1</f>
        <v>377</v>
      </c>
      <c r="C1515" s="171">
        <f t="shared" si="23"/>
        <v>1</v>
      </c>
      <c r="D1515" s="171" t="b">
        <f>LineærRegression_Valg[[#This Row],[Afhængig variabel ID]]&lt;&gt;LineærRegression_Valg[[#This Row],[Uafhængig variabel ID]]</f>
        <v>1</v>
      </c>
      <c r="E1515" s="171" t="b">
        <f>LineærRegression_Valg[[#This Row],[Afhængig variabel ID]]&lt;=$B$5</f>
        <v>0</v>
      </c>
      <c r="F1515" t="str" cm="1">
        <f t="array" ref="F1515">IF(LineærRegression_Valg[[#This Row],[Indenfor range]],INDEX(DataTitel_liste,LineærRegression_Valg[[#This Row],[Afhængig variabel ID]]),INDEX(DataTitel_liste,1))</f>
        <v>Eksempel 1 (interval)</v>
      </c>
      <c r="G1515" s="171" t="str" cm="1">
        <f t="array" ref="G1515">IF(LineærRegression_Valg[[#This Row],[Indenfor range]],IF(LineærRegression_Valg[[#This Row],[Intet overlap]],INDEX(DataTitel_liste,LineærRegression_Valg[[#This Row],[Uafhængig variabel ID]]),INDEX(DataTitel_liste,IF(LineærRegression_Valg[[#This Row],[Afhængig variabel ID]]=1,2,1))),$B$7)</f>
        <v>Eksempel 2 (interval)</v>
      </c>
      <c r="H1515" s="171">
        <f>_xlfn.AGGREGATE(2,5,LineærRegression_Valg[[#This Row],[Tabel ID]])</f>
        <v>1</v>
      </c>
    </row>
    <row r="1516" spans="1:8" x14ac:dyDescent="0.2">
      <c r="A1516">
        <f>ROW(LineærRegression_Valg[[#This Row],[Tabel ID]])-ROW(LineærRegression_Valg[[#Headers],[Tabel ID]])</f>
        <v>1506</v>
      </c>
      <c r="B1516" s="171">
        <f>ROUNDDOWN((LineærRegression_Valg[[#This Row],[Tabel ID]]-1)/$B$5,0)+1</f>
        <v>377</v>
      </c>
      <c r="C1516" s="171">
        <f t="shared" si="23"/>
        <v>2</v>
      </c>
      <c r="D1516" s="171" t="b">
        <f>LineærRegression_Valg[[#This Row],[Afhængig variabel ID]]&lt;&gt;LineærRegression_Valg[[#This Row],[Uafhængig variabel ID]]</f>
        <v>1</v>
      </c>
      <c r="E1516" s="171" t="b">
        <f>LineærRegression_Valg[[#This Row],[Afhængig variabel ID]]&lt;=$B$5</f>
        <v>0</v>
      </c>
      <c r="F1516" t="str" cm="1">
        <f t="array" ref="F1516">IF(LineærRegression_Valg[[#This Row],[Indenfor range]],INDEX(DataTitel_liste,LineærRegression_Valg[[#This Row],[Afhængig variabel ID]]),INDEX(DataTitel_liste,1))</f>
        <v>Eksempel 1 (interval)</v>
      </c>
      <c r="G1516" s="171" t="str" cm="1">
        <f t="array" ref="G1516">IF(LineærRegression_Valg[[#This Row],[Indenfor range]],IF(LineærRegression_Valg[[#This Row],[Intet overlap]],INDEX(DataTitel_liste,LineærRegression_Valg[[#This Row],[Uafhængig variabel ID]]),INDEX(DataTitel_liste,IF(LineærRegression_Valg[[#This Row],[Afhængig variabel ID]]=1,2,1))),$B$7)</f>
        <v>Eksempel 2 (interval)</v>
      </c>
      <c r="H1516" s="171">
        <f>_xlfn.AGGREGATE(2,5,LineærRegression_Valg[[#This Row],[Tabel ID]])</f>
        <v>1</v>
      </c>
    </row>
    <row r="1517" spans="1:8" x14ac:dyDescent="0.2">
      <c r="A1517">
        <f>ROW(LineærRegression_Valg[[#This Row],[Tabel ID]])-ROW(LineærRegression_Valg[[#Headers],[Tabel ID]])</f>
        <v>1507</v>
      </c>
      <c r="B1517" s="171">
        <f>ROUNDDOWN((LineærRegression_Valg[[#This Row],[Tabel ID]]-1)/$B$5,0)+1</f>
        <v>377</v>
      </c>
      <c r="C1517" s="171">
        <f t="shared" si="23"/>
        <v>3</v>
      </c>
      <c r="D1517" s="171" t="b">
        <f>LineærRegression_Valg[[#This Row],[Afhængig variabel ID]]&lt;&gt;LineærRegression_Valg[[#This Row],[Uafhængig variabel ID]]</f>
        <v>1</v>
      </c>
      <c r="E1517" s="171" t="b">
        <f>LineærRegression_Valg[[#This Row],[Afhængig variabel ID]]&lt;=$B$5</f>
        <v>0</v>
      </c>
      <c r="F1517" t="str" cm="1">
        <f t="array" ref="F1517">IF(LineærRegression_Valg[[#This Row],[Indenfor range]],INDEX(DataTitel_liste,LineærRegression_Valg[[#This Row],[Afhængig variabel ID]]),INDEX(DataTitel_liste,1))</f>
        <v>Eksempel 1 (interval)</v>
      </c>
      <c r="G1517" s="171" t="str" cm="1">
        <f t="array" ref="G1517">IF(LineærRegression_Valg[[#This Row],[Indenfor range]],IF(LineærRegression_Valg[[#This Row],[Intet overlap]],INDEX(DataTitel_liste,LineærRegression_Valg[[#This Row],[Uafhængig variabel ID]]),INDEX(DataTitel_liste,IF(LineærRegression_Valg[[#This Row],[Afhængig variabel ID]]=1,2,1))),$B$7)</f>
        <v>Eksempel 2 (interval)</v>
      </c>
      <c r="H1517" s="171">
        <f>_xlfn.AGGREGATE(2,5,LineærRegression_Valg[[#This Row],[Tabel ID]])</f>
        <v>1</v>
      </c>
    </row>
    <row r="1518" spans="1:8" x14ac:dyDescent="0.2">
      <c r="A1518">
        <f>ROW(LineærRegression_Valg[[#This Row],[Tabel ID]])-ROW(LineærRegression_Valg[[#Headers],[Tabel ID]])</f>
        <v>1508</v>
      </c>
      <c r="B1518" s="171">
        <f>ROUNDDOWN((LineærRegression_Valg[[#This Row],[Tabel ID]]-1)/$B$5,0)+1</f>
        <v>377</v>
      </c>
      <c r="C1518" s="171">
        <f t="shared" si="23"/>
        <v>4</v>
      </c>
      <c r="D1518" s="171" t="b">
        <f>LineærRegression_Valg[[#This Row],[Afhængig variabel ID]]&lt;&gt;LineærRegression_Valg[[#This Row],[Uafhængig variabel ID]]</f>
        <v>1</v>
      </c>
      <c r="E1518" s="171" t="b">
        <f>LineærRegression_Valg[[#This Row],[Afhængig variabel ID]]&lt;=$B$5</f>
        <v>0</v>
      </c>
      <c r="F1518" t="str" cm="1">
        <f t="array" ref="F1518">IF(LineærRegression_Valg[[#This Row],[Indenfor range]],INDEX(DataTitel_liste,LineærRegression_Valg[[#This Row],[Afhængig variabel ID]]),INDEX(DataTitel_liste,1))</f>
        <v>Eksempel 1 (interval)</v>
      </c>
      <c r="G1518" s="171" t="str" cm="1">
        <f t="array" ref="G1518">IF(LineærRegression_Valg[[#This Row],[Indenfor range]],IF(LineærRegression_Valg[[#This Row],[Intet overlap]],INDEX(DataTitel_liste,LineærRegression_Valg[[#This Row],[Uafhængig variabel ID]]),INDEX(DataTitel_liste,IF(LineærRegression_Valg[[#This Row],[Afhængig variabel ID]]=1,2,1))),$B$7)</f>
        <v>Eksempel 2 (interval)</v>
      </c>
      <c r="H1518" s="171">
        <f>_xlfn.AGGREGATE(2,5,LineærRegression_Valg[[#This Row],[Tabel ID]])</f>
        <v>1</v>
      </c>
    </row>
    <row r="1519" spans="1:8" x14ac:dyDescent="0.2">
      <c r="A1519">
        <f>ROW(LineærRegression_Valg[[#This Row],[Tabel ID]])-ROW(LineærRegression_Valg[[#Headers],[Tabel ID]])</f>
        <v>1509</v>
      </c>
      <c r="B1519" s="171">
        <f>ROUNDDOWN((LineærRegression_Valg[[#This Row],[Tabel ID]]-1)/$B$5,0)+1</f>
        <v>378</v>
      </c>
      <c r="C1519" s="171">
        <f t="shared" si="23"/>
        <v>1</v>
      </c>
      <c r="D1519" s="171" t="b">
        <f>LineærRegression_Valg[[#This Row],[Afhængig variabel ID]]&lt;&gt;LineærRegression_Valg[[#This Row],[Uafhængig variabel ID]]</f>
        <v>1</v>
      </c>
      <c r="E1519" s="171" t="b">
        <f>LineærRegression_Valg[[#This Row],[Afhængig variabel ID]]&lt;=$B$5</f>
        <v>0</v>
      </c>
      <c r="F1519" t="str" cm="1">
        <f t="array" ref="F1519">IF(LineærRegression_Valg[[#This Row],[Indenfor range]],INDEX(DataTitel_liste,LineærRegression_Valg[[#This Row],[Afhængig variabel ID]]),INDEX(DataTitel_liste,1))</f>
        <v>Eksempel 1 (interval)</v>
      </c>
      <c r="G1519" s="171" t="str" cm="1">
        <f t="array" ref="G1519">IF(LineærRegression_Valg[[#This Row],[Indenfor range]],IF(LineærRegression_Valg[[#This Row],[Intet overlap]],INDEX(DataTitel_liste,LineærRegression_Valg[[#This Row],[Uafhængig variabel ID]]),INDEX(DataTitel_liste,IF(LineærRegression_Valg[[#This Row],[Afhængig variabel ID]]=1,2,1))),$B$7)</f>
        <v>Eksempel 2 (interval)</v>
      </c>
      <c r="H1519" s="171">
        <f>_xlfn.AGGREGATE(2,5,LineærRegression_Valg[[#This Row],[Tabel ID]])</f>
        <v>1</v>
      </c>
    </row>
    <row r="1520" spans="1:8" x14ac:dyDescent="0.2">
      <c r="A1520">
        <f>ROW(LineærRegression_Valg[[#This Row],[Tabel ID]])-ROW(LineærRegression_Valg[[#Headers],[Tabel ID]])</f>
        <v>1510</v>
      </c>
      <c r="B1520" s="171">
        <f>ROUNDDOWN((LineærRegression_Valg[[#This Row],[Tabel ID]]-1)/$B$5,0)+1</f>
        <v>378</v>
      </c>
      <c r="C1520" s="171">
        <f t="shared" si="23"/>
        <v>2</v>
      </c>
      <c r="D1520" s="171" t="b">
        <f>LineærRegression_Valg[[#This Row],[Afhængig variabel ID]]&lt;&gt;LineærRegression_Valg[[#This Row],[Uafhængig variabel ID]]</f>
        <v>1</v>
      </c>
      <c r="E1520" s="171" t="b">
        <f>LineærRegression_Valg[[#This Row],[Afhængig variabel ID]]&lt;=$B$5</f>
        <v>0</v>
      </c>
      <c r="F1520" t="str" cm="1">
        <f t="array" ref="F1520">IF(LineærRegression_Valg[[#This Row],[Indenfor range]],INDEX(DataTitel_liste,LineærRegression_Valg[[#This Row],[Afhængig variabel ID]]),INDEX(DataTitel_liste,1))</f>
        <v>Eksempel 1 (interval)</v>
      </c>
      <c r="G1520" s="171" t="str" cm="1">
        <f t="array" ref="G1520">IF(LineærRegression_Valg[[#This Row],[Indenfor range]],IF(LineærRegression_Valg[[#This Row],[Intet overlap]],INDEX(DataTitel_liste,LineærRegression_Valg[[#This Row],[Uafhængig variabel ID]]),INDEX(DataTitel_liste,IF(LineærRegression_Valg[[#This Row],[Afhængig variabel ID]]=1,2,1))),$B$7)</f>
        <v>Eksempel 2 (interval)</v>
      </c>
      <c r="H1520" s="171">
        <f>_xlfn.AGGREGATE(2,5,LineærRegression_Valg[[#This Row],[Tabel ID]])</f>
        <v>1</v>
      </c>
    </row>
    <row r="1521" spans="1:8" x14ac:dyDescent="0.2">
      <c r="A1521">
        <f>ROW(LineærRegression_Valg[[#This Row],[Tabel ID]])-ROW(LineærRegression_Valg[[#Headers],[Tabel ID]])</f>
        <v>1511</v>
      </c>
      <c r="B1521" s="171">
        <f>ROUNDDOWN((LineærRegression_Valg[[#This Row],[Tabel ID]]-1)/$B$5,0)+1</f>
        <v>378</v>
      </c>
      <c r="C1521" s="171">
        <f t="shared" si="23"/>
        <v>3</v>
      </c>
      <c r="D1521" s="171" t="b">
        <f>LineærRegression_Valg[[#This Row],[Afhængig variabel ID]]&lt;&gt;LineærRegression_Valg[[#This Row],[Uafhængig variabel ID]]</f>
        <v>1</v>
      </c>
      <c r="E1521" s="171" t="b">
        <f>LineærRegression_Valg[[#This Row],[Afhængig variabel ID]]&lt;=$B$5</f>
        <v>0</v>
      </c>
      <c r="F1521" t="str" cm="1">
        <f t="array" ref="F1521">IF(LineærRegression_Valg[[#This Row],[Indenfor range]],INDEX(DataTitel_liste,LineærRegression_Valg[[#This Row],[Afhængig variabel ID]]),INDEX(DataTitel_liste,1))</f>
        <v>Eksempel 1 (interval)</v>
      </c>
      <c r="G1521" s="171" t="str" cm="1">
        <f t="array" ref="G1521">IF(LineærRegression_Valg[[#This Row],[Indenfor range]],IF(LineærRegression_Valg[[#This Row],[Intet overlap]],INDEX(DataTitel_liste,LineærRegression_Valg[[#This Row],[Uafhængig variabel ID]]),INDEX(DataTitel_liste,IF(LineærRegression_Valg[[#This Row],[Afhængig variabel ID]]=1,2,1))),$B$7)</f>
        <v>Eksempel 2 (interval)</v>
      </c>
      <c r="H1521" s="171">
        <f>_xlfn.AGGREGATE(2,5,LineærRegression_Valg[[#This Row],[Tabel ID]])</f>
        <v>1</v>
      </c>
    </row>
    <row r="1522" spans="1:8" x14ac:dyDescent="0.2">
      <c r="A1522">
        <f>ROW(LineærRegression_Valg[[#This Row],[Tabel ID]])-ROW(LineærRegression_Valg[[#Headers],[Tabel ID]])</f>
        <v>1512</v>
      </c>
      <c r="B1522" s="171">
        <f>ROUNDDOWN((LineærRegression_Valg[[#This Row],[Tabel ID]]-1)/$B$5,0)+1</f>
        <v>378</v>
      </c>
      <c r="C1522" s="171">
        <f t="shared" si="23"/>
        <v>4</v>
      </c>
      <c r="D1522" s="171" t="b">
        <f>LineærRegression_Valg[[#This Row],[Afhængig variabel ID]]&lt;&gt;LineærRegression_Valg[[#This Row],[Uafhængig variabel ID]]</f>
        <v>1</v>
      </c>
      <c r="E1522" s="171" t="b">
        <f>LineærRegression_Valg[[#This Row],[Afhængig variabel ID]]&lt;=$B$5</f>
        <v>0</v>
      </c>
      <c r="F1522" t="str" cm="1">
        <f t="array" ref="F1522">IF(LineærRegression_Valg[[#This Row],[Indenfor range]],INDEX(DataTitel_liste,LineærRegression_Valg[[#This Row],[Afhængig variabel ID]]),INDEX(DataTitel_liste,1))</f>
        <v>Eksempel 1 (interval)</v>
      </c>
      <c r="G1522" s="171" t="str" cm="1">
        <f t="array" ref="G1522">IF(LineærRegression_Valg[[#This Row],[Indenfor range]],IF(LineærRegression_Valg[[#This Row],[Intet overlap]],INDEX(DataTitel_liste,LineærRegression_Valg[[#This Row],[Uafhængig variabel ID]]),INDEX(DataTitel_liste,IF(LineærRegression_Valg[[#This Row],[Afhængig variabel ID]]=1,2,1))),$B$7)</f>
        <v>Eksempel 2 (interval)</v>
      </c>
      <c r="H1522" s="171">
        <f>_xlfn.AGGREGATE(2,5,LineærRegression_Valg[[#This Row],[Tabel ID]])</f>
        <v>1</v>
      </c>
    </row>
    <row r="1523" spans="1:8" x14ac:dyDescent="0.2">
      <c r="A1523">
        <f>ROW(LineærRegression_Valg[[#This Row],[Tabel ID]])-ROW(LineærRegression_Valg[[#Headers],[Tabel ID]])</f>
        <v>1513</v>
      </c>
      <c r="B1523" s="171">
        <f>ROUNDDOWN((LineærRegression_Valg[[#This Row],[Tabel ID]]-1)/$B$5,0)+1</f>
        <v>379</v>
      </c>
      <c r="C1523" s="171">
        <f t="shared" si="23"/>
        <v>1</v>
      </c>
      <c r="D1523" s="171" t="b">
        <f>LineærRegression_Valg[[#This Row],[Afhængig variabel ID]]&lt;&gt;LineærRegression_Valg[[#This Row],[Uafhængig variabel ID]]</f>
        <v>1</v>
      </c>
      <c r="E1523" s="171" t="b">
        <f>LineærRegression_Valg[[#This Row],[Afhængig variabel ID]]&lt;=$B$5</f>
        <v>0</v>
      </c>
      <c r="F1523" t="str" cm="1">
        <f t="array" ref="F1523">IF(LineærRegression_Valg[[#This Row],[Indenfor range]],INDEX(DataTitel_liste,LineærRegression_Valg[[#This Row],[Afhængig variabel ID]]),INDEX(DataTitel_liste,1))</f>
        <v>Eksempel 1 (interval)</v>
      </c>
      <c r="G1523" s="171" t="str" cm="1">
        <f t="array" ref="G1523">IF(LineærRegression_Valg[[#This Row],[Indenfor range]],IF(LineærRegression_Valg[[#This Row],[Intet overlap]],INDEX(DataTitel_liste,LineærRegression_Valg[[#This Row],[Uafhængig variabel ID]]),INDEX(DataTitel_liste,IF(LineærRegression_Valg[[#This Row],[Afhængig variabel ID]]=1,2,1))),$B$7)</f>
        <v>Eksempel 2 (interval)</v>
      </c>
      <c r="H1523" s="171">
        <f>_xlfn.AGGREGATE(2,5,LineærRegression_Valg[[#This Row],[Tabel ID]])</f>
        <v>1</v>
      </c>
    </row>
    <row r="1524" spans="1:8" x14ac:dyDescent="0.2">
      <c r="A1524">
        <f>ROW(LineærRegression_Valg[[#This Row],[Tabel ID]])-ROW(LineærRegression_Valg[[#Headers],[Tabel ID]])</f>
        <v>1514</v>
      </c>
      <c r="B1524" s="171">
        <f>ROUNDDOWN((LineærRegression_Valg[[#This Row],[Tabel ID]]-1)/$B$5,0)+1</f>
        <v>379</v>
      </c>
      <c r="C1524" s="171">
        <f t="shared" si="23"/>
        <v>2</v>
      </c>
      <c r="D1524" s="171" t="b">
        <f>LineærRegression_Valg[[#This Row],[Afhængig variabel ID]]&lt;&gt;LineærRegression_Valg[[#This Row],[Uafhængig variabel ID]]</f>
        <v>1</v>
      </c>
      <c r="E1524" s="171" t="b">
        <f>LineærRegression_Valg[[#This Row],[Afhængig variabel ID]]&lt;=$B$5</f>
        <v>0</v>
      </c>
      <c r="F1524" t="str" cm="1">
        <f t="array" ref="F1524">IF(LineærRegression_Valg[[#This Row],[Indenfor range]],INDEX(DataTitel_liste,LineærRegression_Valg[[#This Row],[Afhængig variabel ID]]),INDEX(DataTitel_liste,1))</f>
        <v>Eksempel 1 (interval)</v>
      </c>
      <c r="G1524" s="171" t="str" cm="1">
        <f t="array" ref="G1524">IF(LineærRegression_Valg[[#This Row],[Indenfor range]],IF(LineærRegression_Valg[[#This Row],[Intet overlap]],INDEX(DataTitel_liste,LineærRegression_Valg[[#This Row],[Uafhængig variabel ID]]),INDEX(DataTitel_liste,IF(LineærRegression_Valg[[#This Row],[Afhængig variabel ID]]=1,2,1))),$B$7)</f>
        <v>Eksempel 2 (interval)</v>
      </c>
      <c r="H1524" s="171">
        <f>_xlfn.AGGREGATE(2,5,LineærRegression_Valg[[#This Row],[Tabel ID]])</f>
        <v>1</v>
      </c>
    </row>
    <row r="1525" spans="1:8" x14ac:dyDescent="0.2">
      <c r="A1525">
        <f>ROW(LineærRegression_Valg[[#This Row],[Tabel ID]])-ROW(LineærRegression_Valg[[#Headers],[Tabel ID]])</f>
        <v>1515</v>
      </c>
      <c r="B1525" s="171">
        <f>ROUNDDOWN((LineærRegression_Valg[[#This Row],[Tabel ID]]-1)/$B$5,0)+1</f>
        <v>379</v>
      </c>
      <c r="C1525" s="171">
        <f t="shared" si="23"/>
        <v>3</v>
      </c>
      <c r="D1525" s="171" t="b">
        <f>LineærRegression_Valg[[#This Row],[Afhængig variabel ID]]&lt;&gt;LineærRegression_Valg[[#This Row],[Uafhængig variabel ID]]</f>
        <v>1</v>
      </c>
      <c r="E1525" s="171" t="b">
        <f>LineærRegression_Valg[[#This Row],[Afhængig variabel ID]]&lt;=$B$5</f>
        <v>0</v>
      </c>
      <c r="F1525" t="str" cm="1">
        <f t="array" ref="F1525">IF(LineærRegression_Valg[[#This Row],[Indenfor range]],INDEX(DataTitel_liste,LineærRegression_Valg[[#This Row],[Afhængig variabel ID]]),INDEX(DataTitel_liste,1))</f>
        <v>Eksempel 1 (interval)</v>
      </c>
      <c r="G1525" s="171" t="str" cm="1">
        <f t="array" ref="G1525">IF(LineærRegression_Valg[[#This Row],[Indenfor range]],IF(LineærRegression_Valg[[#This Row],[Intet overlap]],INDEX(DataTitel_liste,LineærRegression_Valg[[#This Row],[Uafhængig variabel ID]]),INDEX(DataTitel_liste,IF(LineærRegression_Valg[[#This Row],[Afhængig variabel ID]]=1,2,1))),$B$7)</f>
        <v>Eksempel 2 (interval)</v>
      </c>
      <c r="H1525" s="171">
        <f>_xlfn.AGGREGATE(2,5,LineærRegression_Valg[[#This Row],[Tabel ID]])</f>
        <v>1</v>
      </c>
    </row>
    <row r="1526" spans="1:8" x14ac:dyDescent="0.2">
      <c r="A1526">
        <f>ROW(LineærRegression_Valg[[#This Row],[Tabel ID]])-ROW(LineærRegression_Valg[[#Headers],[Tabel ID]])</f>
        <v>1516</v>
      </c>
      <c r="B1526" s="171">
        <f>ROUNDDOWN((LineærRegression_Valg[[#This Row],[Tabel ID]]-1)/$B$5,0)+1</f>
        <v>379</v>
      </c>
      <c r="C1526" s="171">
        <f t="shared" si="23"/>
        <v>4</v>
      </c>
      <c r="D1526" s="171" t="b">
        <f>LineærRegression_Valg[[#This Row],[Afhængig variabel ID]]&lt;&gt;LineærRegression_Valg[[#This Row],[Uafhængig variabel ID]]</f>
        <v>1</v>
      </c>
      <c r="E1526" s="171" t="b">
        <f>LineærRegression_Valg[[#This Row],[Afhængig variabel ID]]&lt;=$B$5</f>
        <v>0</v>
      </c>
      <c r="F1526" t="str" cm="1">
        <f t="array" ref="F1526">IF(LineærRegression_Valg[[#This Row],[Indenfor range]],INDEX(DataTitel_liste,LineærRegression_Valg[[#This Row],[Afhængig variabel ID]]),INDEX(DataTitel_liste,1))</f>
        <v>Eksempel 1 (interval)</v>
      </c>
      <c r="G1526" s="171" t="str" cm="1">
        <f t="array" ref="G1526">IF(LineærRegression_Valg[[#This Row],[Indenfor range]],IF(LineærRegression_Valg[[#This Row],[Intet overlap]],INDEX(DataTitel_liste,LineærRegression_Valg[[#This Row],[Uafhængig variabel ID]]),INDEX(DataTitel_liste,IF(LineærRegression_Valg[[#This Row],[Afhængig variabel ID]]=1,2,1))),$B$7)</f>
        <v>Eksempel 2 (interval)</v>
      </c>
      <c r="H1526" s="171">
        <f>_xlfn.AGGREGATE(2,5,LineærRegression_Valg[[#This Row],[Tabel ID]])</f>
        <v>1</v>
      </c>
    </row>
    <row r="1527" spans="1:8" x14ac:dyDescent="0.2">
      <c r="A1527">
        <f>ROW(LineærRegression_Valg[[#This Row],[Tabel ID]])-ROW(LineærRegression_Valg[[#Headers],[Tabel ID]])</f>
        <v>1517</v>
      </c>
      <c r="B1527" s="171">
        <f>ROUNDDOWN((LineærRegression_Valg[[#This Row],[Tabel ID]]-1)/$B$5,0)+1</f>
        <v>380</v>
      </c>
      <c r="C1527" s="171">
        <f t="shared" si="23"/>
        <v>1</v>
      </c>
      <c r="D1527" s="171" t="b">
        <f>LineærRegression_Valg[[#This Row],[Afhængig variabel ID]]&lt;&gt;LineærRegression_Valg[[#This Row],[Uafhængig variabel ID]]</f>
        <v>1</v>
      </c>
      <c r="E1527" s="171" t="b">
        <f>LineærRegression_Valg[[#This Row],[Afhængig variabel ID]]&lt;=$B$5</f>
        <v>0</v>
      </c>
      <c r="F1527" t="str" cm="1">
        <f t="array" ref="F1527">IF(LineærRegression_Valg[[#This Row],[Indenfor range]],INDEX(DataTitel_liste,LineærRegression_Valg[[#This Row],[Afhængig variabel ID]]),INDEX(DataTitel_liste,1))</f>
        <v>Eksempel 1 (interval)</v>
      </c>
      <c r="G1527" s="171" t="str" cm="1">
        <f t="array" ref="G1527">IF(LineærRegression_Valg[[#This Row],[Indenfor range]],IF(LineærRegression_Valg[[#This Row],[Intet overlap]],INDEX(DataTitel_liste,LineærRegression_Valg[[#This Row],[Uafhængig variabel ID]]),INDEX(DataTitel_liste,IF(LineærRegression_Valg[[#This Row],[Afhængig variabel ID]]=1,2,1))),$B$7)</f>
        <v>Eksempel 2 (interval)</v>
      </c>
      <c r="H1527" s="171">
        <f>_xlfn.AGGREGATE(2,5,LineærRegression_Valg[[#This Row],[Tabel ID]])</f>
        <v>1</v>
      </c>
    </row>
    <row r="1528" spans="1:8" x14ac:dyDescent="0.2">
      <c r="A1528">
        <f>ROW(LineærRegression_Valg[[#This Row],[Tabel ID]])-ROW(LineærRegression_Valg[[#Headers],[Tabel ID]])</f>
        <v>1518</v>
      </c>
      <c r="B1528" s="171">
        <f>ROUNDDOWN((LineærRegression_Valg[[#This Row],[Tabel ID]]-1)/$B$5,0)+1</f>
        <v>380</v>
      </c>
      <c r="C1528" s="171">
        <f t="shared" si="23"/>
        <v>2</v>
      </c>
      <c r="D1528" s="171" t="b">
        <f>LineærRegression_Valg[[#This Row],[Afhængig variabel ID]]&lt;&gt;LineærRegression_Valg[[#This Row],[Uafhængig variabel ID]]</f>
        <v>1</v>
      </c>
      <c r="E1528" s="171" t="b">
        <f>LineærRegression_Valg[[#This Row],[Afhængig variabel ID]]&lt;=$B$5</f>
        <v>0</v>
      </c>
      <c r="F1528" t="str" cm="1">
        <f t="array" ref="F1528">IF(LineærRegression_Valg[[#This Row],[Indenfor range]],INDEX(DataTitel_liste,LineærRegression_Valg[[#This Row],[Afhængig variabel ID]]),INDEX(DataTitel_liste,1))</f>
        <v>Eksempel 1 (interval)</v>
      </c>
      <c r="G1528" s="171" t="str" cm="1">
        <f t="array" ref="G1528">IF(LineærRegression_Valg[[#This Row],[Indenfor range]],IF(LineærRegression_Valg[[#This Row],[Intet overlap]],INDEX(DataTitel_liste,LineærRegression_Valg[[#This Row],[Uafhængig variabel ID]]),INDEX(DataTitel_liste,IF(LineærRegression_Valg[[#This Row],[Afhængig variabel ID]]=1,2,1))),$B$7)</f>
        <v>Eksempel 2 (interval)</v>
      </c>
      <c r="H1528" s="171">
        <f>_xlfn.AGGREGATE(2,5,LineærRegression_Valg[[#This Row],[Tabel ID]])</f>
        <v>1</v>
      </c>
    </row>
    <row r="1529" spans="1:8" x14ac:dyDescent="0.2">
      <c r="A1529">
        <f>ROW(LineærRegression_Valg[[#This Row],[Tabel ID]])-ROW(LineærRegression_Valg[[#Headers],[Tabel ID]])</f>
        <v>1519</v>
      </c>
      <c r="B1529" s="171">
        <f>ROUNDDOWN((LineærRegression_Valg[[#This Row],[Tabel ID]]-1)/$B$5,0)+1</f>
        <v>380</v>
      </c>
      <c r="C1529" s="171">
        <f t="shared" si="23"/>
        <v>3</v>
      </c>
      <c r="D1529" s="171" t="b">
        <f>LineærRegression_Valg[[#This Row],[Afhængig variabel ID]]&lt;&gt;LineærRegression_Valg[[#This Row],[Uafhængig variabel ID]]</f>
        <v>1</v>
      </c>
      <c r="E1529" s="171" t="b">
        <f>LineærRegression_Valg[[#This Row],[Afhængig variabel ID]]&lt;=$B$5</f>
        <v>0</v>
      </c>
      <c r="F1529" t="str" cm="1">
        <f t="array" ref="F1529">IF(LineærRegression_Valg[[#This Row],[Indenfor range]],INDEX(DataTitel_liste,LineærRegression_Valg[[#This Row],[Afhængig variabel ID]]),INDEX(DataTitel_liste,1))</f>
        <v>Eksempel 1 (interval)</v>
      </c>
      <c r="G1529" s="171" t="str" cm="1">
        <f t="array" ref="G1529">IF(LineærRegression_Valg[[#This Row],[Indenfor range]],IF(LineærRegression_Valg[[#This Row],[Intet overlap]],INDEX(DataTitel_liste,LineærRegression_Valg[[#This Row],[Uafhængig variabel ID]]),INDEX(DataTitel_liste,IF(LineærRegression_Valg[[#This Row],[Afhængig variabel ID]]=1,2,1))),$B$7)</f>
        <v>Eksempel 2 (interval)</v>
      </c>
      <c r="H1529" s="171">
        <f>_xlfn.AGGREGATE(2,5,LineærRegression_Valg[[#This Row],[Tabel ID]])</f>
        <v>1</v>
      </c>
    </row>
    <row r="1530" spans="1:8" x14ac:dyDescent="0.2">
      <c r="A1530">
        <f>ROW(LineærRegression_Valg[[#This Row],[Tabel ID]])-ROW(LineærRegression_Valg[[#Headers],[Tabel ID]])</f>
        <v>1520</v>
      </c>
      <c r="B1530" s="171">
        <f>ROUNDDOWN((LineærRegression_Valg[[#This Row],[Tabel ID]]-1)/$B$5,0)+1</f>
        <v>380</v>
      </c>
      <c r="C1530" s="171">
        <f t="shared" si="23"/>
        <v>4</v>
      </c>
      <c r="D1530" s="171" t="b">
        <f>LineærRegression_Valg[[#This Row],[Afhængig variabel ID]]&lt;&gt;LineærRegression_Valg[[#This Row],[Uafhængig variabel ID]]</f>
        <v>1</v>
      </c>
      <c r="E1530" s="171" t="b">
        <f>LineærRegression_Valg[[#This Row],[Afhængig variabel ID]]&lt;=$B$5</f>
        <v>0</v>
      </c>
      <c r="F1530" t="str" cm="1">
        <f t="array" ref="F1530">IF(LineærRegression_Valg[[#This Row],[Indenfor range]],INDEX(DataTitel_liste,LineærRegression_Valg[[#This Row],[Afhængig variabel ID]]),INDEX(DataTitel_liste,1))</f>
        <v>Eksempel 1 (interval)</v>
      </c>
      <c r="G1530" s="171" t="str" cm="1">
        <f t="array" ref="G1530">IF(LineærRegression_Valg[[#This Row],[Indenfor range]],IF(LineærRegression_Valg[[#This Row],[Intet overlap]],INDEX(DataTitel_liste,LineærRegression_Valg[[#This Row],[Uafhængig variabel ID]]),INDEX(DataTitel_liste,IF(LineærRegression_Valg[[#This Row],[Afhængig variabel ID]]=1,2,1))),$B$7)</f>
        <v>Eksempel 2 (interval)</v>
      </c>
      <c r="H1530" s="171">
        <f>_xlfn.AGGREGATE(2,5,LineærRegression_Valg[[#This Row],[Tabel ID]])</f>
        <v>1</v>
      </c>
    </row>
    <row r="1531" spans="1:8" x14ac:dyDescent="0.2">
      <c r="A1531">
        <f>ROW(LineærRegression_Valg[[#This Row],[Tabel ID]])-ROW(LineærRegression_Valg[[#Headers],[Tabel ID]])</f>
        <v>1521</v>
      </c>
      <c r="B1531" s="171">
        <f>ROUNDDOWN((LineærRegression_Valg[[#This Row],[Tabel ID]]-1)/$B$5,0)+1</f>
        <v>381</v>
      </c>
      <c r="C1531" s="171">
        <f t="shared" si="23"/>
        <v>1</v>
      </c>
      <c r="D1531" s="171" t="b">
        <f>LineærRegression_Valg[[#This Row],[Afhængig variabel ID]]&lt;&gt;LineærRegression_Valg[[#This Row],[Uafhængig variabel ID]]</f>
        <v>1</v>
      </c>
      <c r="E1531" s="171" t="b">
        <f>LineærRegression_Valg[[#This Row],[Afhængig variabel ID]]&lt;=$B$5</f>
        <v>0</v>
      </c>
      <c r="F1531" t="str" cm="1">
        <f t="array" ref="F1531">IF(LineærRegression_Valg[[#This Row],[Indenfor range]],INDEX(DataTitel_liste,LineærRegression_Valg[[#This Row],[Afhængig variabel ID]]),INDEX(DataTitel_liste,1))</f>
        <v>Eksempel 1 (interval)</v>
      </c>
      <c r="G1531" s="171" t="str" cm="1">
        <f t="array" ref="G1531">IF(LineærRegression_Valg[[#This Row],[Indenfor range]],IF(LineærRegression_Valg[[#This Row],[Intet overlap]],INDEX(DataTitel_liste,LineærRegression_Valg[[#This Row],[Uafhængig variabel ID]]),INDEX(DataTitel_liste,IF(LineærRegression_Valg[[#This Row],[Afhængig variabel ID]]=1,2,1))),$B$7)</f>
        <v>Eksempel 2 (interval)</v>
      </c>
      <c r="H1531" s="171">
        <f>_xlfn.AGGREGATE(2,5,LineærRegression_Valg[[#This Row],[Tabel ID]])</f>
        <v>1</v>
      </c>
    </row>
    <row r="1532" spans="1:8" x14ac:dyDescent="0.2">
      <c r="A1532">
        <f>ROW(LineærRegression_Valg[[#This Row],[Tabel ID]])-ROW(LineærRegression_Valg[[#Headers],[Tabel ID]])</f>
        <v>1522</v>
      </c>
      <c r="B1532" s="171">
        <f>ROUNDDOWN((LineærRegression_Valg[[#This Row],[Tabel ID]]-1)/$B$5,0)+1</f>
        <v>381</v>
      </c>
      <c r="C1532" s="171">
        <f t="shared" si="23"/>
        <v>2</v>
      </c>
      <c r="D1532" s="171" t="b">
        <f>LineærRegression_Valg[[#This Row],[Afhængig variabel ID]]&lt;&gt;LineærRegression_Valg[[#This Row],[Uafhængig variabel ID]]</f>
        <v>1</v>
      </c>
      <c r="E1532" s="171" t="b">
        <f>LineærRegression_Valg[[#This Row],[Afhængig variabel ID]]&lt;=$B$5</f>
        <v>0</v>
      </c>
      <c r="F1532" t="str" cm="1">
        <f t="array" ref="F1532">IF(LineærRegression_Valg[[#This Row],[Indenfor range]],INDEX(DataTitel_liste,LineærRegression_Valg[[#This Row],[Afhængig variabel ID]]),INDEX(DataTitel_liste,1))</f>
        <v>Eksempel 1 (interval)</v>
      </c>
      <c r="G1532" s="171" t="str" cm="1">
        <f t="array" ref="G1532">IF(LineærRegression_Valg[[#This Row],[Indenfor range]],IF(LineærRegression_Valg[[#This Row],[Intet overlap]],INDEX(DataTitel_liste,LineærRegression_Valg[[#This Row],[Uafhængig variabel ID]]),INDEX(DataTitel_liste,IF(LineærRegression_Valg[[#This Row],[Afhængig variabel ID]]=1,2,1))),$B$7)</f>
        <v>Eksempel 2 (interval)</v>
      </c>
      <c r="H1532" s="171">
        <f>_xlfn.AGGREGATE(2,5,LineærRegression_Valg[[#This Row],[Tabel ID]])</f>
        <v>1</v>
      </c>
    </row>
    <row r="1533" spans="1:8" x14ac:dyDescent="0.2">
      <c r="A1533">
        <f>ROW(LineærRegression_Valg[[#This Row],[Tabel ID]])-ROW(LineærRegression_Valg[[#Headers],[Tabel ID]])</f>
        <v>1523</v>
      </c>
      <c r="B1533" s="171">
        <f>ROUNDDOWN((LineærRegression_Valg[[#This Row],[Tabel ID]]-1)/$B$5,0)+1</f>
        <v>381</v>
      </c>
      <c r="C1533" s="171">
        <f t="shared" si="23"/>
        <v>3</v>
      </c>
      <c r="D1533" s="171" t="b">
        <f>LineærRegression_Valg[[#This Row],[Afhængig variabel ID]]&lt;&gt;LineærRegression_Valg[[#This Row],[Uafhængig variabel ID]]</f>
        <v>1</v>
      </c>
      <c r="E1533" s="171" t="b">
        <f>LineærRegression_Valg[[#This Row],[Afhængig variabel ID]]&lt;=$B$5</f>
        <v>0</v>
      </c>
      <c r="F1533" t="str" cm="1">
        <f t="array" ref="F1533">IF(LineærRegression_Valg[[#This Row],[Indenfor range]],INDEX(DataTitel_liste,LineærRegression_Valg[[#This Row],[Afhængig variabel ID]]),INDEX(DataTitel_liste,1))</f>
        <v>Eksempel 1 (interval)</v>
      </c>
      <c r="G1533" s="171" t="str" cm="1">
        <f t="array" ref="G1533">IF(LineærRegression_Valg[[#This Row],[Indenfor range]],IF(LineærRegression_Valg[[#This Row],[Intet overlap]],INDEX(DataTitel_liste,LineærRegression_Valg[[#This Row],[Uafhængig variabel ID]]),INDEX(DataTitel_liste,IF(LineærRegression_Valg[[#This Row],[Afhængig variabel ID]]=1,2,1))),$B$7)</f>
        <v>Eksempel 2 (interval)</v>
      </c>
      <c r="H1533" s="171">
        <f>_xlfn.AGGREGATE(2,5,LineærRegression_Valg[[#This Row],[Tabel ID]])</f>
        <v>1</v>
      </c>
    </row>
    <row r="1534" spans="1:8" x14ac:dyDescent="0.2">
      <c r="A1534">
        <f>ROW(LineærRegression_Valg[[#This Row],[Tabel ID]])-ROW(LineærRegression_Valg[[#Headers],[Tabel ID]])</f>
        <v>1524</v>
      </c>
      <c r="B1534" s="171">
        <f>ROUNDDOWN((LineærRegression_Valg[[#This Row],[Tabel ID]]-1)/$B$5,0)+1</f>
        <v>381</v>
      </c>
      <c r="C1534" s="171">
        <f t="shared" si="23"/>
        <v>4</v>
      </c>
      <c r="D1534" s="171" t="b">
        <f>LineærRegression_Valg[[#This Row],[Afhængig variabel ID]]&lt;&gt;LineærRegression_Valg[[#This Row],[Uafhængig variabel ID]]</f>
        <v>1</v>
      </c>
      <c r="E1534" s="171" t="b">
        <f>LineærRegression_Valg[[#This Row],[Afhængig variabel ID]]&lt;=$B$5</f>
        <v>0</v>
      </c>
      <c r="F1534" t="str" cm="1">
        <f t="array" ref="F1534">IF(LineærRegression_Valg[[#This Row],[Indenfor range]],INDEX(DataTitel_liste,LineærRegression_Valg[[#This Row],[Afhængig variabel ID]]),INDEX(DataTitel_liste,1))</f>
        <v>Eksempel 1 (interval)</v>
      </c>
      <c r="G1534" s="171" t="str" cm="1">
        <f t="array" ref="G1534">IF(LineærRegression_Valg[[#This Row],[Indenfor range]],IF(LineærRegression_Valg[[#This Row],[Intet overlap]],INDEX(DataTitel_liste,LineærRegression_Valg[[#This Row],[Uafhængig variabel ID]]),INDEX(DataTitel_liste,IF(LineærRegression_Valg[[#This Row],[Afhængig variabel ID]]=1,2,1))),$B$7)</f>
        <v>Eksempel 2 (interval)</v>
      </c>
      <c r="H1534" s="171">
        <f>_xlfn.AGGREGATE(2,5,LineærRegression_Valg[[#This Row],[Tabel ID]])</f>
        <v>1</v>
      </c>
    </row>
    <row r="1535" spans="1:8" x14ac:dyDescent="0.2">
      <c r="A1535">
        <f>ROW(LineærRegression_Valg[[#This Row],[Tabel ID]])-ROW(LineærRegression_Valg[[#Headers],[Tabel ID]])</f>
        <v>1525</v>
      </c>
      <c r="B1535" s="171">
        <f>ROUNDDOWN((LineærRegression_Valg[[#This Row],[Tabel ID]]-1)/$B$5,0)+1</f>
        <v>382</v>
      </c>
      <c r="C1535" s="171">
        <f t="shared" si="23"/>
        <v>1</v>
      </c>
      <c r="D1535" s="171" t="b">
        <f>LineærRegression_Valg[[#This Row],[Afhængig variabel ID]]&lt;&gt;LineærRegression_Valg[[#This Row],[Uafhængig variabel ID]]</f>
        <v>1</v>
      </c>
      <c r="E1535" s="171" t="b">
        <f>LineærRegression_Valg[[#This Row],[Afhængig variabel ID]]&lt;=$B$5</f>
        <v>0</v>
      </c>
      <c r="F1535" t="str" cm="1">
        <f t="array" ref="F1535">IF(LineærRegression_Valg[[#This Row],[Indenfor range]],INDEX(DataTitel_liste,LineærRegression_Valg[[#This Row],[Afhængig variabel ID]]),INDEX(DataTitel_liste,1))</f>
        <v>Eksempel 1 (interval)</v>
      </c>
      <c r="G1535" s="171" t="str" cm="1">
        <f t="array" ref="G1535">IF(LineærRegression_Valg[[#This Row],[Indenfor range]],IF(LineærRegression_Valg[[#This Row],[Intet overlap]],INDEX(DataTitel_liste,LineærRegression_Valg[[#This Row],[Uafhængig variabel ID]]),INDEX(DataTitel_liste,IF(LineærRegression_Valg[[#This Row],[Afhængig variabel ID]]=1,2,1))),$B$7)</f>
        <v>Eksempel 2 (interval)</v>
      </c>
      <c r="H1535" s="171">
        <f>_xlfn.AGGREGATE(2,5,LineærRegression_Valg[[#This Row],[Tabel ID]])</f>
        <v>1</v>
      </c>
    </row>
    <row r="1536" spans="1:8" x14ac:dyDescent="0.2">
      <c r="A1536">
        <f>ROW(LineærRegression_Valg[[#This Row],[Tabel ID]])-ROW(LineærRegression_Valg[[#Headers],[Tabel ID]])</f>
        <v>1526</v>
      </c>
      <c r="B1536" s="171">
        <f>ROUNDDOWN((LineærRegression_Valg[[#This Row],[Tabel ID]]-1)/$B$5,0)+1</f>
        <v>382</v>
      </c>
      <c r="C1536" s="171">
        <f t="shared" si="23"/>
        <v>2</v>
      </c>
      <c r="D1536" s="171" t="b">
        <f>LineærRegression_Valg[[#This Row],[Afhængig variabel ID]]&lt;&gt;LineærRegression_Valg[[#This Row],[Uafhængig variabel ID]]</f>
        <v>1</v>
      </c>
      <c r="E1536" s="171" t="b">
        <f>LineærRegression_Valg[[#This Row],[Afhængig variabel ID]]&lt;=$B$5</f>
        <v>0</v>
      </c>
      <c r="F1536" t="str" cm="1">
        <f t="array" ref="F1536">IF(LineærRegression_Valg[[#This Row],[Indenfor range]],INDEX(DataTitel_liste,LineærRegression_Valg[[#This Row],[Afhængig variabel ID]]),INDEX(DataTitel_liste,1))</f>
        <v>Eksempel 1 (interval)</v>
      </c>
      <c r="G1536" s="171" t="str" cm="1">
        <f t="array" ref="G1536">IF(LineærRegression_Valg[[#This Row],[Indenfor range]],IF(LineærRegression_Valg[[#This Row],[Intet overlap]],INDEX(DataTitel_liste,LineærRegression_Valg[[#This Row],[Uafhængig variabel ID]]),INDEX(DataTitel_liste,IF(LineærRegression_Valg[[#This Row],[Afhængig variabel ID]]=1,2,1))),$B$7)</f>
        <v>Eksempel 2 (interval)</v>
      </c>
      <c r="H1536" s="171">
        <f>_xlfn.AGGREGATE(2,5,LineærRegression_Valg[[#This Row],[Tabel ID]])</f>
        <v>1</v>
      </c>
    </row>
    <row r="1537" spans="1:8" x14ac:dyDescent="0.2">
      <c r="A1537">
        <f>ROW(LineærRegression_Valg[[#This Row],[Tabel ID]])-ROW(LineærRegression_Valg[[#Headers],[Tabel ID]])</f>
        <v>1527</v>
      </c>
      <c r="B1537" s="171">
        <f>ROUNDDOWN((LineærRegression_Valg[[#This Row],[Tabel ID]]-1)/$B$5,0)+1</f>
        <v>382</v>
      </c>
      <c r="C1537" s="171">
        <f t="shared" si="23"/>
        <v>3</v>
      </c>
      <c r="D1537" s="171" t="b">
        <f>LineærRegression_Valg[[#This Row],[Afhængig variabel ID]]&lt;&gt;LineærRegression_Valg[[#This Row],[Uafhængig variabel ID]]</f>
        <v>1</v>
      </c>
      <c r="E1537" s="171" t="b">
        <f>LineærRegression_Valg[[#This Row],[Afhængig variabel ID]]&lt;=$B$5</f>
        <v>0</v>
      </c>
      <c r="F1537" t="str" cm="1">
        <f t="array" ref="F1537">IF(LineærRegression_Valg[[#This Row],[Indenfor range]],INDEX(DataTitel_liste,LineærRegression_Valg[[#This Row],[Afhængig variabel ID]]),INDEX(DataTitel_liste,1))</f>
        <v>Eksempel 1 (interval)</v>
      </c>
      <c r="G1537" s="171" t="str" cm="1">
        <f t="array" ref="G1537">IF(LineærRegression_Valg[[#This Row],[Indenfor range]],IF(LineærRegression_Valg[[#This Row],[Intet overlap]],INDEX(DataTitel_liste,LineærRegression_Valg[[#This Row],[Uafhængig variabel ID]]),INDEX(DataTitel_liste,IF(LineærRegression_Valg[[#This Row],[Afhængig variabel ID]]=1,2,1))),$B$7)</f>
        <v>Eksempel 2 (interval)</v>
      </c>
      <c r="H1537" s="171">
        <f>_xlfn.AGGREGATE(2,5,LineærRegression_Valg[[#This Row],[Tabel ID]])</f>
        <v>1</v>
      </c>
    </row>
    <row r="1538" spans="1:8" x14ac:dyDescent="0.2">
      <c r="A1538">
        <f>ROW(LineærRegression_Valg[[#This Row],[Tabel ID]])-ROW(LineærRegression_Valg[[#Headers],[Tabel ID]])</f>
        <v>1528</v>
      </c>
      <c r="B1538" s="171">
        <f>ROUNDDOWN((LineærRegression_Valg[[#This Row],[Tabel ID]]-1)/$B$5,0)+1</f>
        <v>382</v>
      </c>
      <c r="C1538" s="171">
        <f t="shared" si="23"/>
        <v>4</v>
      </c>
      <c r="D1538" s="171" t="b">
        <f>LineærRegression_Valg[[#This Row],[Afhængig variabel ID]]&lt;&gt;LineærRegression_Valg[[#This Row],[Uafhængig variabel ID]]</f>
        <v>1</v>
      </c>
      <c r="E1538" s="171" t="b">
        <f>LineærRegression_Valg[[#This Row],[Afhængig variabel ID]]&lt;=$B$5</f>
        <v>0</v>
      </c>
      <c r="F1538" t="str" cm="1">
        <f t="array" ref="F1538">IF(LineærRegression_Valg[[#This Row],[Indenfor range]],INDEX(DataTitel_liste,LineærRegression_Valg[[#This Row],[Afhængig variabel ID]]),INDEX(DataTitel_liste,1))</f>
        <v>Eksempel 1 (interval)</v>
      </c>
      <c r="G1538" s="171" t="str" cm="1">
        <f t="array" ref="G1538">IF(LineærRegression_Valg[[#This Row],[Indenfor range]],IF(LineærRegression_Valg[[#This Row],[Intet overlap]],INDEX(DataTitel_liste,LineærRegression_Valg[[#This Row],[Uafhængig variabel ID]]),INDEX(DataTitel_liste,IF(LineærRegression_Valg[[#This Row],[Afhængig variabel ID]]=1,2,1))),$B$7)</f>
        <v>Eksempel 2 (interval)</v>
      </c>
      <c r="H1538" s="171">
        <f>_xlfn.AGGREGATE(2,5,LineærRegression_Valg[[#This Row],[Tabel ID]])</f>
        <v>1</v>
      </c>
    </row>
    <row r="1539" spans="1:8" x14ac:dyDescent="0.2">
      <c r="A1539">
        <f>ROW(LineærRegression_Valg[[#This Row],[Tabel ID]])-ROW(LineærRegression_Valg[[#Headers],[Tabel ID]])</f>
        <v>1529</v>
      </c>
      <c r="B1539" s="171">
        <f>ROUNDDOWN((LineærRegression_Valg[[#This Row],[Tabel ID]]-1)/$B$5,0)+1</f>
        <v>383</v>
      </c>
      <c r="C1539" s="171">
        <f t="shared" si="23"/>
        <v>1</v>
      </c>
      <c r="D1539" s="171" t="b">
        <f>LineærRegression_Valg[[#This Row],[Afhængig variabel ID]]&lt;&gt;LineærRegression_Valg[[#This Row],[Uafhængig variabel ID]]</f>
        <v>1</v>
      </c>
      <c r="E1539" s="171" t="b">
        <f>LineærRegression_Valg[[#This Row],[Afhængig variabel ID]]&lt;=$B$5</f>
        <v>0</v>
      </c>
      <c r="F1539" t="str" cm="1">
        <f t="array" ref="F1539">IF(LineærRegression_Valg[[#This Row],[Indenfor range]],INDEX(DataTitel_liste,LineærRegression_Valg[[#This Row],[Afhængig variabel ID]]),INDEX(DataTitel_liste,1))</f>
        <v>Eksempel 1 (interval)</v>
      </c>
      <c r="G1539" s="171" t="str" cm="1">
        <f t="array" ref="G1539">IF(LineærRegression_Valg[[#This Row],[Indenfor range]],IF(LineærRegression_Valg[[#This Row],[Intet overlap]],INDEX(DataTitel_liste,LineærRegression_Valg[[#This Row],[Uafhængig variabel ID]]),INDEX(DataTitel_liste,IF(LineærRegression_Valg[[#This Row],[Afhængig variabel ID]]=1,2,1))),$B$7)</f>
        <v>Eksempel 2 (interval)</v>
      </c>
      <c r="H1539" s="171">
        <f>_xlfn.AGGREGATE(2,5,LineærRegression_Valg[[#This Row],[Tabel ID]])</f>
        <v>1</v>
      </c>
    </row>
    <row r="1540" spans="1:8" x14ac:dyDescent="0.2">
      <c r="A1540">
        <f>ROW(LineærRegression_Valg[[#This Row],[Tabel ID]])-ROW(LineærRegression_Valg[[#Headers],[Tabel ID]])</f>
        <v>1530</v>
      </c>
      <c r="B1540" s="171">
        <f>ROUNDDOWN((LineærRegression_Valg[[#This Row],[Tabel ID]]-1)/$B$5,0)+1</f>
        <v>383</v>
      </c>
      <c r="C1540" s="171">
        <f t="shared" si="23"/>
        <v>2</v>
      </c>
      <c r="D1540" s="171" t="b">
        <f>LineærRegression_Valg[[#This Row],[Afhængig variabel ID]]&lt;&gt;LineærRegression_Valg[[#This Row],[Uafhængig variabel ID]]</f>
        <v>1</v>
      </c>
      <c r="E1540" s="171" t="b">
        <f>LineærRegression_Valg[[#This Row],[Afhængig variabel ID]]&lt;=$B$5</f>
        <v>0</v>
      </c>
      <c r="F1540" t="str" cm="1">
        <f t="array" ref="F1540">IF(LineærRegression_Valg[[#This Row],[Indenfor range]],INDEX(DataTitel_liste,LineærRegression_Valg[[#This Row],[Afhængig variabel ID]]),INDEX(DataTitel_liste,1))</f>
        <v>Eksempel 1 (interval)</v>
      </c>
      <c r="G1540" s="171" t="str" cm="1">
        <f t="array" ref="G1540">IF(LineærRegression_Valg[[#This Row],[Indenfor range]],IF(LineærRegression_Valg[[#This Row],[Intet overlap]],INDEX(DataTitel_liste,LineærRegression_Valg[[#This Row],[Uafhængig variabel ID]]),INDEX(DataTitel_liste,IF(LineærRegression_Valg[[#This Row],[Afhængig variabel ID]]=1,2,1))),$B$7)</f>
        <v>Eksempel 2 (interval)</v>
      </c>
      <c r="H1540" s="171">
        <f>_xlfn.AGGREGATE(2,5,LineærRegression_Valg[[#This Row],[Tabel ID]])</f>
        <v>1</v>
      </c>
    </row>
    <row r="1541" spans="1:8" x14ac:dyDescent="0.2">
      <c r="A1541">
        <f>ROW(LineærRegression_Valg[[#This Row],[Tabel ID]])-ROW(LineærRegression_Valg[[#Headers],[Tabel ID]])</f>
        <v>1531</v>
      </c>
      <c r="B1541" s="171">
        <f>ROUNDDOWN((LineærRegression_Valg[[#This Row],[Tabel ID]]-1)/$B$5,0)+1</f>
        <v>383</v>
      </c>
      <c r="C1541" s="171">
        <f t="shared" si="23"/>
        <v>3</v>
      </c>
      <c r="D1541" s="171" t="b">
        <f>LineærRegression_Valg[[#This Row],[Afhængig variabel ID]]&lt;&gt;LineærRegression_Valg[[#This Row],[Uafhængig variabel ID]]</f>
        <v>1</v>
      </c>
      <c r="E1541" s="171" t="b">
        <f>LineærRegression_Valg[[#This Row],[Afhængig variabel ID]]&lt;=$B$5</f>
        <v>0</v>
      </c>
      <c r="F1541" t="str" cm="1">
        <f t="array" ref="F1541">IF(LineærRegression_Valg[[#This Row],[Indenfor range]],INDEX(DataTitel_liste,LineærRegression_Valg[[#This Row],[Afhængig variabel ID]]),INDEX(DataTitel_liste,1))</f>
        <v>Eksempel 1 (interval)</v>
      </c>
      <c r="G1541" s="171" t="str" cm="1">
        <f t="array" ref="G1541">IF(LineærRegression_Valg[[#This Row],[Indenfor range]],IF(LineærRegression_Valg[[#This Row],[Intet overlap]],INDEX(DataTitel_liste,LineærRegression_Valg[[#This Row],[Uafhængig variabel ID]]),INDEX(DataTitel_liste,IF(LineærRegression_Valg[[#This Row],[Afhængig variabel ID]]=1,2,1))),$B$7)</f>
        <v>Eksempel 2 (interval)</v>
      </c>
      <c r="H1541" s="171">
        <f>_xlfn.AGGREGATE(2,5,LineærRegression_Valg[[#This Row],[Tabel ID]])</f>
        <v>1</v>
      </c>
    </row>
    <row r="1542" spans="1:8" x14ac:dyDescent="0.2">
      <c r="A1542">
        <f>ROW(LineærRegression_Valg[[#This Row],[Tabel ID]])-ROW(LineærRegression_Valg[[#Headers],[Tabel ID]])</f>
        <v>1532</v>
      </c>
      <c r="B1542" s="171">
        <f>ROUNDDOWN((LineærRegression_Valg[[#This Row],[Tabel ID]]-1)/$B$5,0)+1</f>
        <v>383</v>
      </c>
      <c r="C1542" s="171">
        <f t="shared" si="23"/>
        <v>4</v>
      </c>
      <c r="D1542" s="171" t="b">
        <f>LineærRegression_Valg[[#This Row],[Afhængig variabel ID]]&lt;&gt;LineærRegression_Valg[[#This Row],[Uafhængig variabel ID]]</f>
        <v>1</v>
      </c>
      <c r="E1542" s="171" t="b">
        <f>LineærRegression_Valg[[#This Row],[Afhængig variabel ID]]&lt;=$B$5</f>
        <v>0</v>
      </c>
      <c r="F1542" t="str" cm="1">
        <f t="array" ref="F1542">IF(LineærRegression_Valg[[#This Row],[Indenfor range]],INDEX(DataTitel_liste,LineærRegression_Valg[[#This Row],[Afhængig variabel ID]]),INDEX(DataTitel_liste,1))</f>
        <v>Eksempel 1 (interval)</v>
      </c>
      <c r="G1542" s="171" t="str" cm="1">
        <f t="array" ref="G1542">IF(LineærRegression_Valg[[#This Row],[Indenfor range]],IF(LineærRegression_Valg[[#This Row],[Intet overlap]],INDEX(DataTitel_liste,LineærRegression_Valg[[#This Row],[Uafhængig variabel ID]]),INDEX(DataTitel_liste,IF(LineærRegression_Valg[[#This Row],[Afhængig variabel ID]]=1,2,1))),$B$7)</f>
        <v>Eksempel 2 (interval)</v>
      </c>
      <c r="H1542" s="171">
        <f>_xlfn.AGGREGATE(2,5,LineærRegression_Valg[[#This Row],[Tabel ID]])</f>
        <v>1</v>
      </c>
    </row>
    <row r="1543" spans="1:8" x14ac:dyDescent="0.2">
      <c r="A1543">
        <f>ROW(LineærRegression_Valg[[#This Row],[Tabel ID]])-ROW(LineærRegression_Valg[[#Headers],[Tabel ID]])</f>
        <v>1533</v>
      </c>
      <c r="B1543" s="171">
        <f>ROUNDDOWN((LineærRegression_Valg[[#This Row],[Tabel ID]]-1)/$B$5,0)+1</f>
        <v>384</v>
      </c>
      <c r="C1543" s="171">
        <f t="shared" si="23"/>
        <v>1</v>
      </c>
      <c r="D1543" s="171" t="b">
        <f>LineærRegression_Valg[[#This Row],[Afhængig variabel ID]]&lt;&gt;LineærRegression_Valg[[#This Row],[Uafhængig variabel ID]]</f>
        <v>1</v>
      </c>
      <c r="E1543" s="171" t="b">
        <f>LineærRegression_Valg[[#This Row],[Afhængig variabel ID]]&lt;=$B$5</f>
        <v>0</v>
      </c>
      <c r="F1543" t="str" cm="1">
        <f t="array" ref="F1543">IF(LineærRegression_Valg[[#This Row],[Indenfor range]],INDEX(DataTitel_liste,LineærRegression_Valg[[#This Row],[Afhængig variabel ID]]),INDEX(DataTitel_liste,1))</f>
        <v>Eksempel 1 (interval)</v>
      </c>
      <c r="G1543" s="171" t="str" cm="1">
        <f t="array" ref="G1543">IF(LineærRegression_Valg[[#This Row],[Indenfor range]],IF(LineærRegression_Valg[[#This Row],[Intet overlap]],INDEX(DataTitel_liste,LineærRegression_Valg[[#This Row],[Uafhængig variabel ID]]),INDEX(DataTitel_liste,IF(LineærRegression_Valg[[#This Row],[Afhængig variabel ID]]=1,2,1))),$B$7)</f>
        <v>Eksempel 2 (interval)</v>
      </c>
      <c r="H1543" s="171">
        <f>_xlfn.AGGREGATE(2,5,LineærRegression_Valg[[#This Row],[Tabel ID]])</f>
        <v>1</v>
      </c>
    </row>
    <row r="1544" spans="1:8" x14ac:dyDescent="0.2">
      <c r="A1544">
        <f>ROW(LineærRegression_Valg[[#This Row],[Tabel ID]])-ROW(LineærRegression_Valg[[#Headers],[Tabel ID]])</f>
        <v>1534</v>
      </c>
      <c r="B1544" s="171">
        <f>ROUNDDOWN((LineærRegression_Valg[[#This Row],[Tabel ID]]-1)/$B$5,0)+1</f>
        <v>384</v>
      </c>
      <c r="C1544" s="171">
        <f t="shared" si="23"/>
        <v>2</v>
      </c>
      <c r="D1544" s="171" t="b">
        <f>LineærRegression_Valg[[#This Row],[Afhængig variabel ID]]&lt;&gt;LineærRegression_Valg[[#This Row],[Uafhængig variabel ID]]</f>
        <v>1</v>
      </c>
      <c r="E1544" s="171" t="b">
        <f>LineærRegression_Valg[[#This Row],[Afhængig variabel ID]]&lt;=$B$5</f>
        <v>0</v>
      </c>
      <c r="F1544" t="str" cm="1">
        <f t="array" ref="F1544">IF(LineærRegression_Valg[[#This Row],[Indenfor range]],INDEX(DataTitel_liste,LineærRegression_Valg[[#This Row],[Afhængig variabel ID]]),INDEX(DataTitel_liste,1))</f>
        <v>Eksempel 1 (interval)</v>
      </c>
      <c r="G1544" s="171" t="str" cm="1">
        <f t="array" ref="G1544">IF(LineærRegression_Valg[[#This Row],[Indenfor range]],IF(LineærRegression_Valg[[#This Row],[Intet overlap]],INDEX(DataTitel_liste,LineærRegression_Valg[[#This Row],[Uafhængig variabel ID]]),INDEX(DataTitel_liste,IF(LineærRegression_Valg[[#This Row],[Afhængig variabel ID]]=1,2,1))),$B$7)</f>
        <v>Eksempel 2 (interval)</v>
      </c>
      <c r="H1544" s="171">
        <f>_xlfn.AGGREGATE(2,5,LineærRegression_Valg[[#This Row],[Tabel ID]])</f>
        <v>1</v>
      </c>
    </row>
    <row r="1545" spans="1:8" x14ac:dyDescent="0.2">
      <c r="A1545">
        <f>ROW(LineærRegression_Valg[[#This Row],[Tabel ID]])-ROW(LineærRegression_Valg[[#Headers],[Tabel ID]])</f>
        <v>1535</v>
      </c>
      <c r="B1545" s="171">
        <f>ROUNDDOWN((LineærRegression_Valg[[#This Row],[Tabel ID]]-1)/$B$5,0)+1</f>
        <v>384</v>
      </c>
      <c r="C1545" s="171">
        <f t="shared" si="23"/>
        <v>3</v>
      </c>
      <c r="D1545" s="171" t="b">
        <f>LineærRegression_Valg[[#This Row],[Afhængig variabel ID]]&lt;&gt;LineærRegression_Valg[[#This Row],[Uafhængig variabel ID]]</f>
        <v>1</v>
      </c>
      <c r="E1545" s="171" t="b">
        <f>LineærRegression_Valg[[#This Row],[Afhængig variabel ID]]&lt;=$B$5</f>
        <v>0</v>
      </c>
      <c r="F1545" t="str" cm="1">
        <f t="array" ref="F1545">IF(LineærRegression_Valg[[#This Row],[Indenfor range]],INDEX(DataTitel_liste,LineærRegression_Valg[[#This Row],[Afhængig variabel ID]]),INDEX(DataTitel_liste,1))</f>
        <v>Eksempel 1 (interval)</v>
      </c>
      <c r="G1545" s="171" t="str" cm="1">
        <f t="array" ref="G1545">IF(LineærRegression_Valg[[#This Row],[Indenfor range]],IF(LineærRegression_Valg[[#This Row],[Intet overlap]],INDEX(DataTitel_liste,LineærRegression_Valg[[#This Row],[Uafhængig variabel ID]]),INDEX(DataTitel_liste,IF(LineærRegression_Valg[[#This Row],[Afhængig variabel ID]]=1,2,1))),$B$7)</f>
        <v>Eksempel 2 (interval)</v>
      </c>
      <c r="H1545" s="171">
        <f>_xlfn.AGGREGATE(2,5,LineærRegression_Valg[[#This Row],[Tabel ID]])</f>
        <v>1</v>
      </c>
    </row>
    <row r="1546" spans="1:8" x14ac:dyDescent="0.2">
      <c r="A1546">
        <f>ROW(LineærRegression_Valg[[#This Row],[Tabel ID]])-ROW(LineærRegression_Valg[[#Headers],[Tabel ID]])</f>
        <v>1536</v>
      </c>
      <c r="B1546" s="171">
        <f>ROUNDDOWN((LineærRegression_Valg[[#This Row],[Tabel ID]]-1)/$B$5,0)+1</f>
        <v>384</v>
      </c>
      <c r="C1546" s="171">
        <f t="shared" si="23"/>
        <v>4</v>
      </c>
      <c r="D1546" s="171" t="b">
        <f>LineærRegression_Valg[[#This Row],[Afhængig variabel ID]]&lt;&gt;LineærRegression_Valg[[#This Row],[Uafhængig variabel ID]]</f>
        <v>1</v>
      </c>
      <c r="E1546" s="171" t="b">
        <f>LineærRegression_Valg[[#This Row],[Afhængig variabel ID]]&lt;=$B$5</f>
        <v>0</v>
      </c>
      <c r="F1546" t="str" cm="1">
        <f t="array" ref="F1546">IF(LineærRegression_Valg[[#This Row],[Indenfor range]],INDEX(DataTitel_liste,LineærRegression_Valg[[#This Row],[Afhængig variabel ID]]),INDEX(DataTitel_liste,1))</f>
        <v>Eksempel 1 (interval)</v>
      </c>
      <c r="G1546" s="171" t="str" cm="1">
        <f t="array" ref="G1546">IF(LineærRegression_Valg[[#This Row],[Indenfor range]],IF(LineærRegression_Valg[[#This Row],[Intet overlap]],INDEX(DataTitel_liste,LineærRegression_Valg[[#This Row],[Uafhængig variabel ID]]),INDEX(DataTitel_liste,IF(LineærRegression_Valg[[#This Row],[Afhængig variabel ID]]=1,2,1))),$B$7)</f>
        <v>Eksempel 2 (interval)</v>
      </c>
      <c r="H1546" s="171">
        <f>_xlfn.AGGREGATE(2,5,LineærRegression_Valg[[#This Row],[Tabel ID]])</f>
        <v>1</v>
      </c>
    </row>
    <row r="1547" spans="1:8" x14ac:dyDescent="0.2">
      <c r="A1547">
        <f>ROW(LineærRegression_Valg[[#This Row],[Tabel ID]])-ROW(LineærRegression_Valg[[#Headers],[Tabel ID]])</f>
        <v>1537</v>
      </c>
      <c r="B1547" s="171">
        <f>ROUNDDOWN((LineærRegression_Valg[[#This Row],[Tabel ID]]-1)/$B$5,0)+1</f>
        <v>385</v>
      </c>
      <c r="C1547" s="171">
        <f t="shared" ref="C1547:C1610" si="24">MOD(A1547-1,$B$5)+1</f>
        <v>1</v>
      </c>
      <c r="D1547" s="171" t="b">
        <f>LineærRegression_Valg[[#This Row],[Afhængig variabel ID]]&lt;&gt;LineærRegression_Valg[[#This Row],[Uafhængig variabel ID]]</f>
        <v>1</v>
      </c>
      <c r="E1547" s="171" t="b">
        <f>LineærRegression_Valg[[#This Row],[Afhængig variabel ID]]&lt;=$B$5</f>
        <v>0</v>
      </c>
      <c r="F1547" t="str" cm="1">
        <f t="array" ref="F1547">IF(LineærRegression_Valg[[#This Row],[Indenfor range]],INDEX(DataTitel_liste,LineærRegression_Valg[[#This Row],[Afhængig variabel ID]]),INDEX(DataTitel_liste,1))</f>
        <v>Eksempel 1 (interval)</v>
      </c>
      <c r="G1547" s="171" t="str" cm="1">
        <f t="array" ref="G1547">IF(LineærRegression_Valg[[#This Row],[Indenfor range]],IF(LineærRegression_Valg[[#This Row],[Intet overlap]],INDEX(DataTitel_liste,LineærRegression_Valg[[#This Row],[Uafhængig variabel ID]]),INDEX(DataTitel_liste,IF(LineærRegression_Valg[[#This Row],[Afhængig variabel ID]]=1,2,1))),$B$7)</f>
        <v>Eksempel 2 (interval)</v>
      </c>
      <c r="H1547" s="171">
        <f>_xlfn.AGGREGATE(2,5,LineærRegression_Valg[[#This Row],[Tabel ID]])</f>
        <v>1</v>
      </c>
    </row>
    <row r="1548" spans="1:8" x14ac:dyDescent="0.2">
      <c r="A1548">
        <f>ROW(LineærRegression_Valg[[#This Row],[Tabel ID]])-ROW(LineærRegression_Valg[[#Headers],[Tabel ID]])</f>
        <v>1538</v>
      </c>
      <c r="B1548" s="171">
        <f>ROUNDDOWN((LineærRegression_Valg[[#This Row],[Tabel ID]]-1)/$B$5,0)+1</f>
        <v>385</v>
      </c>
      <c r="C1548" s="171">
        <f t="shared" si="24"/>
        <v>2</v>
      </c>
      <c r="D1548" s="171" t="b">
        <f>LineærRegression_Valg[[#This Row],[Afhængig variabel ID]]&lt;&gt;LineærRegression_Valg[[#This Row],[Uafhængig variabel ID]]</f>
        <v>1</v>
      </c>
      <c r="E1548" s="171" t="b">
        <f>LineærRegression_Valg[[#This Row],[Afhængig variabel ID]]&lt;=$B$5</f>
        <v>0</v>
      </c>
      <c r="F1548" t="str" cm="1">
        <f t="array" ref="F1548">IF(LineærRegression_Valg[[#This Row],[Indenfor range]],INDEX(DataTitel_liste,LineærRegression_Valg[[#This Row],[Afhængig variabel ID]]),INDEX(DataTitel_liste,1))</f>
        <v>Eksempel 1 (interval)</v>
      </c>
      <c r="G1548" s="171" t="str" cm="1">
        <f t="array" ref="G1548">IF(LineærRegression_Valg[[#This Row],[Indenfor range]],IF(LineærRegression_Valg[[#This Row],[Intet overlap]],INDEX(DataTitel_liste,LineærRegression_Valg[[#This Row],[Uafhængig variabel ID]]),INDEX(DataTitel_liste,IF(LineærRegression_Valg[[#This Row],[Afhængig variabel ID]]=1,2,1))),$B$7)</f>
        <v>Eksempel 2 (interval)</v>
      </c>
      <c r="H1548" s="171">
        <f>_xlfn.AGGREGATE(2,5,LineærRegression_Valg[[#This Row],[Tabel ID]])</f>
        <v>1</v>
      </c>
    </row>
    <row r="1549" spans="1:8" x14ac:dyDescent="0.2">
      <c r="A1549">
        <f>ROW(LineærRegression_Valg[[#This Row],[Tabel ID]])-ROW(LineærRegression_Valg[[#Headers],[Tabel ID]])</f>
        <v>1539</v>
      </c>
      <c r="B1549" s="171">
        <f>ROUNDDOWN((LineærRegression_Valg[[#This Row],[Tabel ID]]-1)/$B$5,0)+1</f>
        <v>385</v>
      </c>
      <c r="C1549" s="171">
        <f t="shared" si="24"/>
        <v>3</v>
      </c>
      <c r="D1549" s="171" t="b">
        <f>LineærRegression_Valg[[#This Row],[Afhængig variabel ID]]&lt;&gt;LineærRegression_Valg[[#This Row],[Uafhængig variabel ID]]</f>
        <v>1</v>
      </c>
      <c r="E1549" s="171" t="b">
        <f>LineærRegression_Valg[[#This Row],[Afhængig variabel ID]]&lt;=$B$5</f>
        <v>0</v>
      </c>
      <c r="F1549" t="str" cm="1">
        <f t="array" ref="F1549">IF(LineærRegression_Valg[[#This Row],[Indenfor range]],INDEX(DataTitel_liste,LineærRegression_Valg[[#This Row],[Afhængig variabel ID]]),INDEX(DataTitel_liste,1))</f>
        <v>Eksempel 1 (interval)</v>
      </c>
      <c r="G1549" s="171" t="str" cm="1">
        <f t="array" ref="G1549">IF(LineærRegression_Valg[[#This Row],[Indenfor range]],IF(LineærRegression_Valg[[#This Row],[Intet overlap]],INDEX(DataTitel_liste,LineærRegression_Valg[[#This Row],[Uafhængig variabel ID]]),INDEX(DataTitel_liste,IF(LineærRegression_Valg[[#This Row],[Afhængig variabel ID]]=1,2,1))),$B$7)</f>
        <v>Eksempel 2 (interval)</v>
      </c>
      <c r="H1549" s="171">
        <f>_xlfn.AGGREGATE(2,5,LineærRegression_Valg[[#This Row],[Tabel ID]])</f>
        <v>1</v>
      </c>
    </row>
    <row r="1550" spans="1:8" x14ac:dyDescent="0.2">
      <c r="A1550">
        <f>ROW(LineærRegression_Valg[[#This Row],[Tabel ID]])-ROW(LineærRegression_Valg[[#Headers],[Tabel ID]])</f>
        <v>1540</v>
      </c>
      <c r="B1550" s="171">
        <f>ROUNDDOWN((LineærRegression_Valg[[#This Row],[Tabel ID]]-1)/$B$5,0)+1</f>
        <v>385</v>
      </c>
      <c r="C1550" s="171">
        <f t="shared" si="24"/>
        <v>4</v>
      </c>
      <c r="D1550" s="171" t="b">
        <f>LineærRegression_Valg[[#This Row],[Afhængig variabel ID]]&lt;&gt;LineærRegression_Valg[[#This Row],[Uafhængig variabel ID]]</f>
        <v>1</v>
      </c>
      <c r="E1550" s="171" t="b">
        <f>LineærRegression_Valg[[#This Row],[Afhængig variabel ID]]&lt;=$B$5</f>
        <v>0</v>
      </c>
      <c r="F1550" t="str" cm="1">
        <f t="array" ref="F1550">IF(LineærRegression_Valg[[#This Row],[Indenfor range]],INDEX(DataTitel_liste,LineærRegression_Valg[[#This Row],[Afhængig variabel ID]]),INDEX(DataTitel_liste,1))</f>
        <v>Eksempel 1 (interval)</v>
      </c>
      <c r="G1550" s="171" t="str" cm="1">
        <f t="array" ref="G1550">IF(LineærRegression_Valg[[#This Row],[Indenfor range]],IF(LineærRegression_Valg[[#This Row],[Intet overlap]],INDEX(DataTitel_liste,LineærRegression_Valg[[#This Row],[Uafhængig variabel ID]]),INDEX(DataTitel_liste,IF(LineærRegression_Valg[[#This Row],[Afhængig variabel ID]]=1,2,1))),$B$7)</f>
        <v>Eksempel 2 (interval)</v>
      </c>
      <c r="H1550" s="171">
        <f>_xlfn.AGGREGATE(2,5,LineærRegression_Valg[[#This Row],[Tabel ID]])</f>
        <v>1</v>
      </c>
    </row>
    <row r="1551" spans="1:8" x14ac:dyDescent="0.2">
      <c r="A1551">
        <f>ROW(LineærRegression_Valg[[#This Row],[Tabel ID]])-ROW(LineærRegression_Valg[[#Headers],[Tabel ID]])</f>
        <v>1541</v>
      </c>
      <c r="B1551" s="171">
        <f>ROUNDDOWN((LineærRegression_Valg[[#This Row],[Tabel ID]]-1)/$B$5,0)+1</f>
        <v>386</v>
      </c>
      <c r="C1551" s="171">
        <f t="shared" si="24"/>
        <v>1</v>
      </c>
      <c r="D1551" s="171" t="b">
        <f>LineærRegression_Valg[[#This Row],[Afhængig variabel ID]]&lt;&gt;LineærRegression_Valg[[#This Row],[Uafhængig variabel ID]]</f>
        <v>1</v>
      </c>
      <c r="E1551" s="171" t="b">
        <f>LineærRegression_Valg[[#This Row],[Afhængig variabel ID]]&lt;=$B$5</f>
        <v>0</v>
      </c>
      <c r="F1551" t="str" cm="1">
        <f t="array" ref="F1551">IF(LineærRegression_Valg[[#This Row],[Indenfor range]],INDEX(DataTitel_liste,LineærRegression_Valg[[#This Row],[Afhængig variabel ID]]),INDEX(DataTitel_liste,1))</f>
        <v>Eksempel 1 (interval)</v>
      </c>
      <c r="G1551" s="171" t="str" cm="1">
        <f t="array" ref="G1551">IF(LineærRegression_Valg[[#This Row],[Indenfor range]],IF(LineærRegression_Valg[[#This Row],[Intet overlap]],INDEX(DataTitel_liste,LineærRegression_Valg[[#This Row],[Uafhængig variabel ID]]),INDEX(DataTitel_liste,IF(LineærRegression_Valg[[#This Row],[Afhængig variabel ID]]=1,2,1))),$B$7)</f>
        <v>Eksempel 2 (interval)</v>
      </c>
      <c r="H1551" s="171">
        <f>_xlfn.AGGREGATE(2,5,LineærRegression_Valg[[#This Row],[Tabel ID]])</f>
        <v>1</v>
      </c>
    </row>
    <row r="1552" spans="1:8" x14ac:dyDescent="0.2">
      <c r="A1552">
        <f>ROW(LineærRegression_Valg[[#This Row],[Tabel ID]])-ROW(LineærRegression_Valg[[#Headers],[Tabel ID]])</f>
        <v>1542</v>
      </c>
      <c r="B1552" s="171">
        <f>ROUNDDOWN((LineærRegression_Valg[[#This Row],[Tabel ID]]-1)/$B$5,0)+1</f>
        <v>386</v>
      </c>
      <c r="C1552" s="171">
        <f t="shared" si="24"/>
        <v>2</v>
      </c>
      <c r="D1552" s="171" t="b">
        <f>LineærRegression_Valg[[#This Row],[Afhængig variabel ID]]&lt;&gt;LineærRegression_Valg[[#This Row],[Uafhængig variabel ID]]</f>
        <v>1</v>
      </c>
      <c r="E1552" s="171" t="b">
        <f>LineærRegression_Valg[[#This Row],[Afhængig variabel ID]]&lt;=$B$5</f>
        <v>0</v>
      </c>
      <c r="F1552" t="str" cm="1">
        <f t="array" ref="F1552">IF(LineærRegression_Valg[[#This Row],[Indenfor range]],INDEX(DataTitel_liste,LineærRegression_Valg[[#This Row],[Afhængig variabel ID]]),INDEX(DataTitel_liste,1))</f>
        <v>Eksempel 1 (interval)</v>
      </c>
      <c r="G1552" s="171" t="str" cm="1">
        <f t="array" ref="G1552">IF(LineærRegression_Valg[[#This Row],[Indenfor range]],IF(LineærRegression_Valg[[#This Row],[Intet overlap]],INDEX(DataTitel_liste,LineærRegression_Valg[[#This Row],[Uafhængig variabel ID]]),INDEX(DataTitel_liste,IF(LineærRegression_Valg[[#This Row],[Afhængig variabel ID]]=1,2,1))),$B$7)</f>
        <v>Eksempel 2 (interval)</v>
      </c>
      <c r="H1552" s="171">
        <f>_xlfn.AGGREGATE(2,5,LineærRegression_Valg[[#This Row],[Tabel ID]])</f>
        <v>1</v>
      </c>
    </row>
    <row r="1553" spans="1:8" x14ac:dyDescent="0.2">
      <c r="A1553">
        <f>ROW(LineærRegression_Valg[[#This Row],[Tabel ID]])-ROW(LineærRegression_Valg[[#Headers],[Tabel ID]])</f>
        <v>1543</v>
      </c>
      <c r="B1553" s="171">
        <f>ROUNDDOWN((LineærRegression_Valg[[#This Row],[Tabel ID]]-1)/$B$5,0)+1</f>
        <v>386</v>
      </c>
      <c r="C1553" s="171">
        <f t="shared" si="24"/>
        <v>3</v>
      </c>
      <c r="D1553" s="171" t="b">
        <f>LineærRegression_Valg[[#This Row],[Afhængig variabel ID]]&lt;&gt;LineærRegression_Valg[[#This Row],[Uafhængig variabel ID]]</f>
        <v>1</v>
      </c>
      <c r="E1553" s="171" t="b">
        <f>LineærRegression_Valg[[#This Row],[Afhængig variabel ID]]&lt;=$B$5</f>
        <v>0</v>
      </c>
      <c r="F1553" t="str" cm="1">
        <f t="array" ref="F1553">IF(LineærRegression_Valg[[#This Row],[Indenfor range]],INDEX(DataTitel_liste,LineærRegression_Valg[[#This Row],[Afhængig variabel ID]]),INDEX(DataTitel_liste,1))</f>
        <v>Eksempel 1 (interval)</v>
      </c>
      <c r="G1553" s="171" t="str" cm="1">
        <f t="array" ref="G1553">IF(LineærRegression_Valg[[#This Row],[Indenfor range]],IF(LineærRegression_Valg[[#This Row],[Intet overlap]],INDEX(DataTitel_liste,LineærRegression_Valg[[#This Row],[Uafhængig variabel ID]]),INDEX(DataTitel_liste,IF(LineærRegression_Valg[[#This Row],[Afhængig variabel ID]]=1,2,1))),$B$7)</f>
        <v>Eksempel 2 (interval)</v>
      </c>
      <c r="H1553" s="171">
        <f>_xlfn.AGGREGATE(2,5,LineærRegression_Valg[[#This Row],[Tabel ID]])</f>
        <v>1</v>
      </c>
    </row>
    <row r="1554" spans="1:8" x14ac:dyDescent="0.2">
      <c r="A1554">
        <f>ROW(LineærRegression_Valg[[#This Row],[Tabel ID]])-ROW(LineærRegression_Valg[[#Headers],[Tabel ID]])</f>
        <v>1544</v>
      </c>
      <c r="B1554" s="171">
        <f>ROUNDDOWN((LineærRegression_Valg[[#This Row],[Tabel ID]]-1)/$B$5,0)+1</f>
        <v>386</v>
      </c>
      <c r="C1554" s="171">
        <f t="shared" si="24"/>
        <v>4</v>
      </c>
      <c r="D1554" s="171" t="b">
        <f>LineærRegression_Valg[[#This Row],[Afhængig variabel ID]]&lt;&gt;LineærRegression_Valg[[#This Row],[Uafhængig variabel ID]]</f>
        <v>1</v>
      </c>
      <c r="E1554" s="171" t="b">
        <f>LineærRegression_Valg[[#This Row],[Afhængig variabel ID]]&lt;=$B$5</f>
        <v>0</v>
      </c>
      <c r="F1554" t="str" cm="1">
        <f t="array" ref="F1554">IF(LineærRegression_Valg[[#This Row],[Indenfor range]],INDEX(DataTitel_liste,LineærRegression_Valg[[#This Row],[Afhængig variabel ID]]),INDEX(DataTitel_liste,1))</f>
        <v>Eksempel 1 (interval)</v>
      </c>
      <c r="G1554" s="171" t="str" cm="1">
        <f t="array" ref="G1554">IF(LineærRegression_Valg[[#This Row],[Indenfor range]],IF(LineærRegression_Valg[[#This Row],[Intet overlap]],INDEX(DataTitel_liste,LineærRegression_Valg[[#This Row],[Uafhængig variabel ID]]),INDEX(DataTitel_liste,IF(LineærRegression_Valg[[#This Row],[Afhængig variabel ID]]=1,2,1))),$B$7)</f>
        <v>Eksempel 2 (interval)</v>
      </c>
      <c r="H1554" s="171">
        <f>_xlfn.AGGREGATE(2,5,LineærRegression_Valg[[#This Row],[Tabel ID]])</f>
        <v>1</v>
      </c>
    </row>
    <row r="1555" spans="1:8" x14ac:dyDescent="0.2">
      <c r="A1555">
        <f>ROW(LineærRegression_Valg[[#This Row],[Tabel ID]])-ROW(LineærRegression_Valg[[#Headers],[Tabel ID]])</f>
        <v>1545</v>
      </c>
      <c r="B1555" s="171">
        <f>ROUNDDOWN((LineærRegression_Valg[[#This Row],[Tabel ID]]-1)/$B$5,0)+1</f>
        <v>387</v>
      </c>
      <c r="C1555" s="171">
        <f t="shared" si="24"/>
        <v>1</v>
      </c>
      <c r="D1555" s="171" t="b">
        <f>LineærRegression_Valg[[#This Row],[Afhængig variabel ID]]&lt;&gt;LineærRegression_Valg[[#This Row],[Uafhængig variabel ID]]</f>
        <v>1</v>
      </c>
      <c r="E1555" s="171" t="b">
        <f>LineærRegression_Valg[[#This Row],[Afhængig variabel ID]]&lt;=$B$5</f>
        <v>0</v>
      </c>
      <c r="F1555" t="str" cm="1">
        <f t="array" ref="F1555">IF(LineærRegression_Valg[[#This Row],[Indenfor range]],INDEX(DataTitel_liste,LineærRegression_Valg[[#This Row],[Afhængig variabel ID]]),INDEX(DataTitel_liste,1))</f>
        <v>Eksempel 1 (interval)</v>
      </c>
      <c r="G1555" s="171" t="str" cm="1">
        <f t="array" ref="G1555">IF(LineærRegression_Valg[[#This Row],[Indenfor range]],IF(LineærRegression_Valg[[#This Row],[Intet overlap]],INDEX(DataTitel_liste,LineærRegression_Valg[[#This Row],[Uafhængig variabel ID]]),INDEX(DataTitel_liste,IF(LineærRegression_Valg[[#This Row],[Afhængig variabel ID]]=1,2,1))),$B$7)</f>
        <v>Eksempel 2 (interval)</v>
      </c>
      <c r="H1555" s="171">
        <f>_xlfn.AGGREGATE(2,5,LineærRegression_Valg[[#This Row],[Tabel ID]])</f>
        <v>1</v>
      </c>
    </row>
    <row r="1556" spans="1:8" x14ac:dyDescent="0.2">
      <c r="A1556">
        <f>ROW(LineærRegression_Valg[[#This Row],[Tabel ID]])-ROW(LineærRegression_Valg[[#Headers],[Tabel ID]])</f>
        <v>1546</v>
      </c>
      <c r="B1556" s="171">
        <f>ROUNDDOWN((LineærRegression_Valg[[#This Row],[Tabel ID]]-1)/$B$5,0)+1</f>
        <v>387</v>
      </c>
      <c r="C1556" s="171">
        <f t="shared" si="24"/>
        <v>2</v>
      </c>
      <c r="D1556" s="171" t="b">
        <f>LineærRegression_Valg[[#This Row],[Afhængig variabel ID]]&lt;&gt;LineærRegression_Valg[[#This Row],[Uafhængig variabel ID]]</f>
        <v>1</v>
      </c>
      <c r="E1556" s="171" t="b">
        <f>LineærRegression_Valg[[#This Row],[Afhængig variabel ID]]&lt;=$B$5</f>
        <v>0</v>
      </c>
      <c r="F1556" t="str" cm="1">
        <f t="array" ref="F1556">IF(LineærRegression_Valg[[#This Row],[Indenfor range]],INDEX(DataTitel_liste,LineærRegression_Valg[[#This Row],[Afhængig variabel ID]]),INDEX(DataTitel_liste,1))</f>
        <v>Eksempel 1 (interval)</v>
      </c>
      <c r="G1556" s="171" t="str" cm="1">
        <f t="array" ref="G1556">IF(LineærRegression_Valg[[#This Row],[Indenfor range]],IF(LineærRegression_Valg[[#This Row],[Intet overlap]],INDEX(DataTitel_liste,LineærRegression_Valg[[#This Row],[Uafhængig variabel ID]]),INDEX(DataTitel_liste,IF(LineærRegression_Valg[[#This Row],[Afhængig variabel ID]]=1,2,1))),$B$7)</f>
        <v>Eksempel 2 (interval)</v>
      </c>
      <c r="H1556" s="171">
        <f>_xlfn.AGGREGATE(2,5,LineærRegression_Valg[[#This Row],[Tabel ID]])</f>
        <v>1</v>
      </c>
    </row>
    <row r="1557" spans="1:8" x14ac:dyDescent="0.2">
      <c r="A1557">
        <f>ROW(LineærRegression_Valg[[#This Row],[Tabel ID]])-ROW(LineærRegression_Valg[[#Headers],[Tabel ID]])</f>
        <v>1547</v>
      </c>
      <c r="B1557" s="171">
        <f>ROUNDDOWN((LineærRegression_Valg[[#This Row],[Tabel ID]]-1)/$B$5,0)+1</f>
        <v>387</v>
      </c>
      <c r="C1557" s="171">
        <f t="shared" si="24"/>
        <v>3</v>
      </c>
      <c r="D1557" s="171" t="b">
        <f>LineærRegression_Valg[[#This Row],[Afhængig variabel ID]]&lt;&gt;LineærRegression_Valg[[#This Row],[Uafhængig variabel ID]]</f>
        <v>1</v>
      </c>
      <c r="E1557" s="171" t="b">
        <f>LineærRegression_Valg[[#This Row],[Afhængig variabel ID]]&lt;=$B$5</f>
        <v>0</v>
      </c>
      <c r="F1557" t="str" cm="1">
        <f t="array" ref="F1557">IF(LineærRegression_Valg[[#This Row],[Indenfor range]],INDEX(DataTitel_liste,LineærRegression_Valg[[#This Row],[Afhængig variabel ID]]),INDEX(DataTitel_liste,1))</f>
        <v>Eksempel 1 (interval)</v>
      </c>
      <c r="G1557" s="171" t="str" cm="1">
        <f t="array" ref="G1557">IF(LineærRegression_Valg[[#This Row],[Indenfor range]],IF(LineærRegression_Valg[[#This Row],[Intet overlap]],INDEX(DataTitel_liste,LineærRegression_Valg[[#This Row],[Uafhængig variabel ID]]),INDEX(DataTitel_liste,IF(LineærRegression_Valg[[#This Row],[Afhængig variabel ID]]=1,2,1))),$B$7)</f>
        <v>Eksempel 2 (interval)</v>
      </c>
      <c r="H1557" s="171">
        <f>_xlfn.AGGREGATE(2,5,LineærRegression_Valg[[#This Row],[Tabel ID]])</f>
        <v>1</v>
      </c>
    </row>
    <row r="1558" spans="1:8" x14ac:dyDescent="0.2">
      <c r="A1558">
        <f>ROW(LineærRegression_Valg[[#This Row],[Tabel ID]])-ROW(LineærRegression_Valg[[#Headers],[Tabel ID]])</f>
        <v>1548</v>
      </c>
      <c r="B1558" s="171">
        <f>ROUNDDOWN((LineærRegression_Valg[[#This Row],[Tabel ID]]-1)/$B$5,0)+1</f>
        <v>387</v>
      </c>
      <c r="C1558" s="171">
        <f t="shared" si="24"/>
        <v>4</v>
      </c>
      <c r="D1558" s="171" t="b">
        <f>LineærRegression_Valg[[#This Row],[Afhængig variabel ID]]&lt;&gt;LineærRegression_Valg[[#This Row],[Uafhængig variabel ID]]</f>
        <v>1</v>
      </c>
      <c r="E1558" s="171" t="b">
        <f>LineærRegression_Valg[[#This Row],[Afhængig variabel ID]]&lt;=$B$5</f>
        <v>0</v>
      </c>
      <c r="F1558" t="str" cm="1">
        <f t="array" ref="F1558">IF(LineærRegression_Valg[[#This Row],[Indenfor range]],INDEX(DataTitel_liste,LineærRegression_Valg[[#This Row],[Afhængig variabel ID]]),INDEX(DataTitel_liste,1))</f>
        <v>Eksempel 1 (interval)</v>
      </c>
      <c r="G1558" s="171" t="str" cm="1">
        <f t="array" ref="G1558">IF(LineærRegression_Valg[[#This Row],[Indenfor range]],IF(LineærRegression_Valg[[#This Row],[Intet overlap]],INDEX(DataTitel_liste,LineærRegression_Valg[[#This Row],[Uafhængig variabel ID]]),INDEX(DataTitel_liste,IF(LineærRegression_Valg[[#This Row],[Afhængig variabel ID]]=1,2,1))),$B$7)</f>
        <v>Eksempel 2 (interval)</v>
      </c>
      <c r="H1558" s="171">
        <f>_xlfn.AGGREGATE(2,5,LineærRegression_Valg[[#This Row],[Tabel ID]])</f>
        <v>1</v>
      </c>
    </row>
    <row r="1559" spans="1:8" x14ac:dyDescent="0.2">
      <c r="A1559">
        <f>ROW(LineærRegression_Valg[[#This Row],[Tabel ID]])-ROW(LineærRegression_Valg[[#Headers],[Tabel ID]])</f>
        <v>1549</v>
      </c>
      <c r="B1559" s="171">
        <f>ROUNDDOWN((LineærRegression_Valg[[#This Row],[Tabel ID]]-1)/$B$5,0)+1</f>
        <v>388</v>
      </c>
      <c r="C1559" s="171">
        <f t="shared" si="24"/>
        <v>1</v>
      </c>
      <c r="D1559" s="171" t="b">
        <f>LineærRegression_Valg[[#This Row],[Afhængig variabel ID]]&lt;&gt;LineærRegression_Valg[[#This Row],[Uafhængig variabel ID]]</f>
        <v>1</v>
      </c>
      <c r="E1559" s="171" t="b">
        <f>LineærRegression_Valg[[#This Row],[Afhængig variabel ID]]&lt;=$B$5</f>
        <v>0</v>
      </c>
      <c r="F1559" t="str" cm="1">
        <f t="array" ref="F1559">IF(LineærRegression_Valg[[#This Row],[Indenfor range]],INDEX(DataTitel_liste,LineærRegression_Valg[[#This Row],[Afhængig variabel ID]]),INDEX(DataTitel_liste,1))</f>
        <v>Eksempel 1 (interval)</v>
      </c>
      <c r="G1559" s="171" t="str" cm="1">
        <f t="array" ref="G1559">IF(LineærRegression_Valg[[#This Row],[Indenfor range]],IF(LineærRegression_Valg[[#This Row],[Intet overlap]],INDEX(DataTitel_liste,LineærRegression_Valg[[#This Row],[Uafhængig variabel ID]]),INDEX(DataTitel_liste,IF(LineærRegression_Valg[[#This Row],[Afhængig variabel ID]]=1,2,1))),$B$7)</f>
        <v>Eksempel 2 (interval)</v>
      </c>
      <c r="H1559" s="171">
        <f>_xlfn.AGGREGATE(2,5,LineærRegression_Valg[[#This Row],[Tabel ID]])</f>
        <v>1</v>
      </c>
    </row>
    <row r="1560" spans="1:8" x14ac:dyDescent="0.2">
      <c r="A1560">
        <f>ROW(LineærRegression_Valg[[#This Row],[Tabel ID]])-ROW(LineærRegression_Valg[[#Headers],[Tabel ID]])</f>
        <v>1550</v>
      </c>
      <c r="B1560" s="171">
        <f>ROUNDDOWN((LineærRegression_Valg[[#This Row],[Tabel ID]]-1)/$B$5,0)+1</f>
        <v>388</v>
      </c>
      <c r="C1560" s="171">
        <f t="shared" si="24"/>
        <v>2</v>
      </c>
      <c r="D1560" s="171" t="b">
        <f>LineærRegression_Valg[[#This Row],[Afhængig variabel ID]]&lt;&gt;LineærRegression_Valg[[#This Row],[Uafhængig variabel ID]]</f>
        <v>1</v>
      </c>
      <c r="E1560" s="171" t="b">
        <f>LineærRegression_Valg[[#This Row],[Afhængig variabel ID]]&lt;=$B$5</f>
        <v>0</v>
      </c>
      <c r="F1560" t="str" cm="1">
        <f t="array" ref="F1560">IF(LineærRegression_Valg[[#This Row],[Indenfor range]],INDEX(DataTitel_liste,LineærRegression_Valg[[#This Row],[Afhængig variabel ID]]),INDEX(DataTitel_liste,1))</f>
        <v>Eksempel 1 (interval)</v>
      </c>
      <c r="G1560" s="171" t="str" cm="1">
        <f t="array" ref="G1560">IF(LineærRegression_Valg[[#This Row],[Indenfor range]],IF(LineærRegression_Valg[[#This Row],[Intet overlap]],INDEX(DataTitel_liste,LineærRegression_Valg[[#This Row],[Uafhængig variabel ID]]),INDEX(DataTitel_liste,IF(LineærRegression_Valg[[#This Row],[Afhængig variabel ID]]=1,2,1))),$B$7)</f>
        <v>Eksempel 2 (interval)</v>
      </c>
      <c r="H1560" s="171">
        <f>_xlfn.AGGREGATE(2,5,LineærRegression_Valg[[#This Row],[Tabel ID]])</f>
        <v>1</v>
      </c>
    </row>
    <row r="1561" spans="1:8" x14ac:dyDescent="0.2">
      <c r="A1561">
        <f>ROW(LineærRegression_Valg[[#This Row],[Tabel ID]])-ROW(LineærRegression_Valg[[#Headers],[Tabel ID]])</f>
        <v>1551</v>
      </c>
      <c r="B1561" s="171">
        <f>ROUNDDOWN((LineærRegression_Valg[[#This Row],[Tabel ID]]-1)/$B$5,0)+1</f>
        <v>388</v>
      </c>
      <c r="C1561" s="171">
        <f t="shared" si="24"/>
        <v>3</v>
      </c>
      <c r="D1561" s="171" t="b">
        <f>LineærRegression_Valg[[#This Row],[Afhængig variabel ID]]&lt;&gt;LineærRegression_Valg[[#This Row],[Uafhængig variabel ID]]</f>
        <v>1</v>
      </c>
      <c r="E1561" s="171" t="b">
        <f>LineærRegression_Valg[[#This Row],[Afhængig variabel ID]]&lt;=$B$5</f>
        <v>0</v>
      </c>
      <c r="F1561" t="str" cm="1">
        <f t="array" ref="F1561">IF(LineærRegression_Valg[[#This Row],[Indenfor range]],INDEX(DataTitel_liste,LineærRegression_Valg[[#This Row],[Afhængig variabel ID]]),INDEX(DataTitel_liste,1))</f>
        <v>Eksempel 1 (interval)</v>
      </c>
      <c r="G1561" s="171" t="str" cm="1">
        <f t="array" ref="G1561">IF(LineærRegression_Valg[[#This Row],[Indenfor range]],IF(LineærRegression_Valg[[#This Row],[Intet overlap]],INDEX(DataTitel_liste,LineærRegression_Valg[[#This Row],[Uafhængig variabel ID]]),INDEX(DataTitel_liste,IF(LineærRegression_Valg[[#This Row],[Afhængig variabel ID]]=1,2,1))),$B$7)</f>
        <v>Eksempel 2 (interval)</v>
      </c>
      <c r="H1561" s="171">
        <f>_xlfn.AGGREGATE(2,5,LineærRegression_Valg[[#This Row],[Tabel ID]])</f>
        <v>1</v>
      </c>
    </row>
    <row r="1562" spans="1:8" x14ac:dyDescent="0.2">
      <c r="A1562">
        <f>ROW(LineærRegression_Valg[[#This Row],[Tabel ID]])-ROW(LineærRegression_Valg[[#Headers],[Tabel ID]])</f>
        <v>1552</v>
      </c>
      <c r="B1562" s="171">
        <f>ROUNDDOWN((LineærRegression_Valg[[#This Row],[Tabel ID]]-1)/$B$5,0)+1</f>
        <v>388</v>
      </c>
      <c r="C1562" s="171">
        <f t="shared" si="24"/>
        <v>4</v>
      </c>
      <c r="D1562" s="171" t="b">
        <f>LineærRegression_Valg[[#This Row],[Afhængig variabel ID]]&lt;&gt;LineærRegression_Valg[[#This Row],[Uafhængig variabel ID]]</f>
        <v>1</v>
      </c>
      <c r="E1562" s="171" t="b">
        <f>LineærRegression_Valg[[#This Row],[Afhængig variabel ID]]&lt;=$B$5</f>
        <v>0</v>
      </c>
      <c r="F1562" t="str" cm="1">
        <f t="array" ref="F1562">IF(LineærRegression_Valg[[#This Row],[Indenfor range]],INDEX(DataTitel_liste,LineærRegression_Valg[[#This Row],[Afhængig variabel ID]]),INDEX(DataTitel_liste,1))</f>
        <v>Eksempel 1 (interval)</v>
      </c>
      <c r="G1562" s="171" t="str" cm="1">
        <f t="array" ref="G1562">IF(LineærRegression_Valg[[#This Row],[Indenfor range]],IF(LineærRegression_Valg[[#This Row],[Intet overlap]],INDEX(DataTitel_liste,LineærRegression_Valg[[#This Row],[Uafhængig variabel ID]]),INDEX(DataTitel_liste,IF(LineærRegression_Valg[[#This Row],[Afhængig variabel ID]]=1,2,1))),$B$7)</f>
        <v>Eksempel 2 (interval)</v>
      </c>
      <c r="H1562" s="171">
        <f>_xlfn.AGGREGATE(2,5,LineærRegression_Valg[[#This Row],[Tabel ID]])</f>
        <v>1</v>
      </c>
    </row>
    <row r="1563" spans="1:8" x14ac:dyDescent="0.2">
      <c r="A1563">
        <f>ROW(LineærRegression_Valg[[#This Row],[Tabel ID]])-ROW(LineærRegression_Valg[[#Headers],[Tabel ID]])</f>
        <v>1553</v>
      </c>
      <c r="B1563" s="171">
        <f>ROUNDDOWN((LineærRegression_Valg[[#This Row],[Tabel ID]]-1)/$B$5,0)+1</f>
        <v>389</v>
      </c>
      <c r="C1563" s="171">
        <f t="shared" si="24"/>
        <v>1</v>
      </c>
      <c r="D1563" s="171" t="b">
        <f>LineærRegression_Valg[[#This Row],[Afhængig variabel ID]]&lt;&gt;LineærRegression_Valg[[#This Row],[Uafhængig variabel ID]]</f>
        <v>1</v>
      </c>
      <c r="E1563" s="171" t="b">
        <f>LineærRegression_Valg[[#This Row],[Afhængig variabel ID]]&lt;=$B$5</f>
        <v>0</v>
      </c>
      <c r="F1563" t="str" cm="1">
        <f t="array" ref="F1563">IF(LineærRegression_Valg[[#This Row],[Indenfor range]],INDEX(DataTitel_liste,LineærRegression_Valg[[#This Row],[Afhængig variabel ID]]),INDEX(DataTitel_liste,1))</f>
        <v>Eksempel 1 (interval)</v>
      </c>
      <c r="G1563" s="171" t="str" cm="1">
        <f t="array" ref="G1563">IF(LineærRegression_Valg[[#This Row],[Indenfor range]],IF(LineærRegression_Valg[[#This Row],[Intet overlap]],INDEX(DataTitel_liste,LineærRegression_Valg[[#This Row],[Uafhængig variabel ID]]),INDEX(DataTitel_liste,IF(LineærRegression_Valg[[#This Row],[Afhængig variabel ID]]=1,2,1))),$B$7)</f>
        <v>Eksempel 2 (interval)</v>
      </c>
      <c r="H1563" s="171">
        <f>_xlfn.AGGREGATE(2,5,LineærRegression_Valg[[#This Row],[Tabel ID]])</f>
        <v>1</v>
      </c>
    </row>
    <row r="1564" spans="1:8" x14ac:dyDescent="0.2">
      <c r="A1564">
        <f>ROW(LineærRegression_Valg[[#This Row],[Tabel ID]])-ROW(LineærRegression_Valg[[#Headers],[Tabel ID]])</f>
        <v>1554</v>
      </c>
      <c r="B1564" s="171">
        <f>ROUNDDOWN((LineærRegression_Valg[[#This Row],[Tabel ID]]-1)/$B$5,0)+1</f>
        <v>389</v>
      </c>
      <c r="C1564" s="171">
        <f t="shared" si="24"/>
        <v>2</v>
      </c>
      <c r="D1564" s="171" t="b">
        <f>LineærRegression_Valg[[#This Row],[Afhængig variabel ID]]&lt;&gt;LineærRegression_Valg[[#This Row],[Uafhængig variabel ID]]</f>
        <v>1</v>
      </c>
      <c r="E1564" s="171" t="b">
        <f>LineærRegression_Valg[[#This Row],[Afhængig variabel ID]]&lt;=$B$5</f>
        <v>0</v>
      </c>
      <c r="F1564" t="str" cm="1">
        <f t="array" ref="F1564">IF(LineærRegression_Valg[[#This Row],[Indenfor range]],INDEX(DataTitel_liste,LineærRegression_Valg[[#This Row],[Afhængig variabel ID]]),INDEX(DataTitel_liste,1))</f>
        <v>Eksempel 1 (interval)</v>
      </c>
      <c r="G1564" s="171" t="str" cm="1">
        <f t="array" ref="G1564">IF(LineærRegression_Valg[[#This Row],[Indenfor range]],IF(LineærRegression_Valg[[#This Row],[Intet overlap]],INDEX(DataTitel_liste,LineærRegression_Valg[[#This Row],[Uafhængig variabel ID]]),INDEX(DataTitel_liste,IF(LineærRegression_Valg[[#This Row],[Afhængig variabel ID]]=1,2,1))),$B$7)</f>
        <v>Eksempel 2 (interval)</v>
      </c>
      <c r="H1564" s="171">
        <f>_xlfn.AGGREGATE(2,5,LineærRegression_Valg[[#This Row],[Tabel ID]])</f>
        <v>1</v>
      </c>
    </row>
    <row r="1565" spans="1:8" x14ac:dyDescent="0.2">
      <c r="A1565">
        <f>ROW(LineærRegression_Valg[[#This Row],[Tabel ID]])-ROW(LineærRegression_Valg[[#Headers],[Tabel ID]])</f>
        <v>1555</v>
      </c>
      <c r="B1565" s="171">
        <f>ROUNDDOWN((LineærRegression_Valg[[#This Row],[Tabel ID]]-1)/$B$5,0)+1</f>
        <v>389</v>
      </c>
      <c r="C1565" s="171">
        <f t="shared" si="24"/>
        <v>3</v>
      </c>
      <c r="D1565" s="171" t="b">
        <f>LineærRegression_Valg[[#This Row],[Afhængig variabel ID]]&lt;&gt;LineærRegression_Valg[[#This Row],[Uafhængig variabel ID]]</f>
        <v>1</v>
      </c>
      <c r="E1565" s="171" t="b">
        <f>LineærRegression_Valg[[#This Row],[Afhængig variabel ID]]&lt;=$B$5</f>
        <v>0</v>
      </c>
      <c r="F1565" t="str" cm="1">
        <f t="array" ref="F1565">IF(LineærRegression_Valg[[#This Row],[Indenfor range]],INDEX(DataTitel_liste,LineærRegression_Valg[[#This Row],[Afhængig variabel ID]]),INDEX(DataTitel_liste,1))</f>
        <v>Eksempel 1 (interval)</v>
      </c>
      <c r="G1565" s="171" t="str" cm="1">
        <f t="array" ref="G1565">IF(LineærRegression_Valg[[#This Row],[Indenfor range]],IF(LineærRegression_Valg[[#This Row],[Intet overlap]],INDEX(DataTitel_liste,LineærRegression_Valg[[#This Row],[Uafhængig variabel ID]]),INDEX(DataTitel_liste,IF(LineærRegression_Valg[[#This Row],[Afhængig variabel ID]]=1,2,1))),$B$7)</f>
        <v>Eksempel 2 (interval)</v>
      </c>
      <c r="H1565" s="171">
        <f>_xlfn.AGGREGATE(2,5,LineærRegression_Valg[[#This Row],[Tabel ID]])</f>
        <v>1</v>
      </c>
    </row>
    <row r="1566" spans="1:8" x14ac:dyDescent="0.2">
      <c r="A1566">
        <f>ROW(LineærRegression_Valg[[#This Row],[Tabel ID]])-ROW(LineærRegression_Valg[[#Headers],[Tabel ID]])</f>
        <v>1556</v>
      </c>
      <c r="B1566" s="171">
        <f>ROUNDDOWN((LineærRegression_Valg[[#This Row],[Tabel ID]]-1)/$B$5,0)+1</f>
        <v>389</v>
      </c>
      <c r="C1566" s="171">
        <f t="shared" si="24"/>
        <v>4</v>
      </c>
      <c r="D1566" s="171" t="b">
        <f>LineærRegression_Valg[[#This Row],[Afhængig variabel ID]]&lt;&gt;LineærRegression_Valg[[#This Row],[Uafhængig variabel ID]]</f>
        <v>1</v>
      </c>
      <c r="E1566" s="171" t="b">
        <f>LineærRegression_Valg[[#This Row],[Afhængig variabel ID]]&lt;=$B$5</f>
        <v>0</v>
      </c>
      <c r="F1566" t="str" cm="1">
        <f t="array" ref="F1566">IF(LineærRegression_Valg[[#This Row],[Indenfor range]],INDEX(DataTitel_liste,LineærRegression_Valg[[#This Row],[Afhængig variabel ID]]),INDEX(DataTitel_liste,1))</f>
        <v>Eksempel 1 (interval)</v>
      </c>
      <c r="G1566" s="171" t="str" cm="1">
        <f t="array" ref="G1566">IF(LineærRegression_Valg[[#This Row],[Indenfor range]],IF(LineærRegression_Valg[[#This Row],[Intet overlap]],INDEX(DataTitel_liste,LineærRegression_Valg[[#This Row],[Uafhængig variabel ID]]),INDEX(DataTitel_liste,IF(LineærRegression_Valg[[#This Row],[Afhængig variabel ID]]=1,2,1))),$B$7)</f>
        <v>Eksempel 2 (interval)</v>
      </c>
      <c r="H1566" s="171">
        <f>_xlfn.AGGREGATE(2,5,LineærRegression_Valg[[#This Row],[Tabel ID]])</f>
        <v>1</v>
      </c>
    </row>
    <row r="1567" spans="1:8" x14ac:dyDescent="0.2">
      <c r="A1567">
        <f>ROW(LineærRegression_Valg[[#This Row],[Tabel ID]])-ROW(LineærRegression_Valg[[#Headers],[Tabel ID]])</f>
        <v>1557</v>
      </c>
      <c r="B1567" s="171">
        <f>ROUNDDOWN((LineærRegression_Valg[[#This Row],[Tabel ID]]-1)/$B$5,0)+1</f>
        <v>390</v>
      </c>
      <c r="C1567" s="171">
        <f t="shared" si="24"/>
        <v>1</v>
      </c>
      <c r="D1567" s="171" t="b">
        <f>LineærRegression_Valg[[#This Row],[Afhængig variabel ID]]&lt;&gt;LineærRegression_Valg[[#This Row],[Uafhængig variabel ID]]</f>
        <v>1</v>
      </c>
      <c r="E1567" s="171" t="b">
        <f>LineærRegression_Valg[[#This Row],[Afhængig variabel ID]]&lt;=$B$5</f>
        <v>0</v>
      </c>
      <c r="F1567" t="str" cm="1">
        <f t="array" ref="F1567">IF(LineærRegression_Valg[[#This Row],[Indenfor range]],INDEX(DataTitel_liste,LineærRegression_Valg[[#This Row],[Afhængig variabel ID]]),INDEX(DataTitel_liste,1))</f>
        <v>Eksempel 1 (interval)</v>
      </c>
      <c r="G1567" s="171" t="str" cm="1">
        <f t="array" ref="G1567">IF(LineærRegression_Valg[[#This Row],[Indenfor range]],IF(LineærRegression_Valg[[#This Row],[Intet overlap]],INDEX(DataTitel_liste,LineærRegression_Valg[[#This Row],[Uafhængig variabel ID]]),INDEX(DataTitel_liste,IF(LineærRegression_Valg[[#This Row],[Afhængig variabel ID]]=1,2,1))),$B$7)</f>
        <v>Eksempel 2 (interval)</v>
      </c>
      <c r="H1567" s="171">
        <f>_xlfn.AGGREGATE(2,5,LineærRegression_Valg[[#This Row],[Tabel ID]])</f>
        <v>1</v>
      </c>
    </row>
    <row r="1568" spans="1:8" x14ac:dyDescent="0.2">
      <c r="A1568">
        <f>ROW(LineærRegression_Valg[[#This Row],[Tabel ID]])-ROW(LineærRegression_Valg[[#Headers],[Tabel ID]])</f>
        <v>1558</v>
      </c>
      <c r="B1568" s="171">
        <f>ROUNDDOWN((LineærRegression_Valg[[#This Row],[Tabel ID]]-1)/$B$5,0)+1</f>
        <v>390</v>
      </c>
      <c r="C1568" s="171">
        <f t="shared" si="24"/>
        <v>2</v>
      </c>
      <c r="D1568" s="171" t="b">
        <f>LineærRegression_Valg[[#This Row],[Afhængig variabel ID]]&lt;&gt;LineærRegression_Valg[[#This Row],[Uafhængig variabel ID]]</f>
        <v>1</v>
      </c>
      <c r="E1568" s="171" t="b">
        <f>LineærRegression_Valg[[#This Row],[Afhængig variabel ID]]&lt;=$B$5</f>
        <v>0</v>
      </c>
      <c r="F1568" t="str" cm="1">
        <f t="array" ref="F1568">IF(LineærRegression_Valg[[#This Row],[Indenfor range]],INDEX(DataTitel_liste,LineærRegression_Valg[[#This Row],[Afhængig variabel ID]]),INDEX(DataTitel_liste,1))</f>
        <v>Eksempel 1 (interval)</v>
      </c>
      <c r="G1568" s="171" t="str" cm="1">
        <f t="array" ref="G1568">IF(LineærRegression_Valg[[#This Row],[Indenfor range]],IF(LineærRegression_Valg[[#This Row],[Intet overlap]],INDEX(DataTitel_liste,LineærRegression_Valg[[#This Row],[Uafhængig variabel ID]]),INDEX(DataTitel_liste,IF(LineærRegression_Valg[[#This Row],[Afhængig variabel ID]]=1,2,1))),$B$7)</f>
        <v>Eksempel 2 (interval)</v>
      </c>
      <c r="H1568" s="171">
        <f>_xlfn.AGGREGATE(2,5,LineærRegression_Valg[[#This Row],[Tabel ID]])</f>
        <v>1</v>
      </c>
    </row>
    <row r="1569" spans="1:8" x14ac:dyDescent="0.2">
      <c r="A1569">
        <f>ROW(LineærRegression_Valg[[#This Row],[Tabel ID]])-ROW(LineærRegression_Valg[[#Headers],[Tabel ID]])</f>
        <v>1559</v>
      </c>
      <c r="B1569" s="171">
        <f>ROUNDDOWN((LineærRegression_Valg[[#This Row],[Tabel ID]]-1)/$B$5,0)+1</f>
        <v>390</v>
      </c>
      <c r="C1569" s="171">
        <f t="shared" si="24"/>
        <v>3</v>
      </c>
      <c r="D1569" s="171" t="b">
        <f>LineærRegression_Valg[[#This Row],[Afhængig variabel ID]]&lt;&gt;LineærRegression_Valg[[#This Row],[Uafhængig variabel ID]]</f>
        <v>1</v>
      </c>
      <c r="E1569" s="171" t="b">
        <f>LineærRegression_Valg[[#This Row],[Afhængig variabel ID]]&lt;=$B$5</f>
        <v>0</v>
      </c>
      <c r="F1569" t="str" cm="1">
        <f t="array" ref="F1569">IF(LineærRegression_Valg[[#This Row],[Indenfor range]],INDEX(DataTitel_liste,LineærRegression_Valg[[#This Row],[Afhængig variabel ID]]),INDEX(DataTitel_liste,1))</f>
        <v>Eksempel 1 (interval)</v>
      </c>
      <c r="G1569" s="171" t="str" cm="1">
        <f t="array" ref="G1569">IF(LineærRegression_Valg[[#This Row],[Indenfor range]],IF(LineærRegression_Valg[[#This Row],[Intet overlap]],INDEX(DataTitel_liste,LineærRegression_Valg[[#This Row],[Uafhængig variabel ID]]),INDEX(DataTitel_liste,IF(LineærRegression_Valg[[#This Row],[Afhængig variabel ID]]=1,2,1))),$B$7)</f>
        <v>Eksempel 2 (interval)</v>
      </c>
      <c r="H1569" s="171">
        <f>_xlfn.AGGREGATE(2,5,LineærRegression_Valg[[#This Row],[Tabel ID]])</f>
        <v>1</v>
      </c>
    </row>
    <row r="1570" spans="1:8" x14ac:dyDescent="0.2">
      <c r="A1570">
        <f>ROW(LineærRegression_Valg[[#This Row],[Tabel ID]])-ROW(LineærRegression_Valg[[#Headers],[Tabel ID]])</f>
        <v>1560</v>
      </c>
      <c r="B1570" s="171">
        <f>ROUNDDOWN((LineærRegression_Valg[[#This Row],[Tabel ID]]-1)/$B$5,0)+1</f>
        <v>390</v>
      </c>
      <c r="C1570" s="171">
        <f t="shared" si="24"/>
        <v>4</v>
      </c>
      <c r="D1570" s="171" t="b">
        <f>LineærRegression_Valg[[#This Row],[Afhængig variabel ID]]&lt;&gt;LineærRegression_Valg[[#This Row],[Uafhængig variabel ID]]</f>
        <v>1</v>
      </c>
      <c r="E1570" s="171" t="b">
        <f>LineærRegression_Valg[[#This Row],[Afhængig variabel ID]]&lt;=$B$5</f>
        <v>0</v>
      </c>
      <c r="F1570" t="str" cm="1">
        <f t="array" ref="F1570">IF(LineærRegression_Valg[[#This Row],[Indenfor range]],INDEX(DataTitel_liste,LineærRegression_Valg[[#This Row],[Afhængig variabel ID]]),INDEX(DataTitel_liste,1))</f>
        <v>Eksempel 1 (interval)</v>
      </c>
      <c r="G1570" s="171" t="str" cm="1">
        <f t="array" ref="G1570">IF(LineærRegression_Valg[[#This Row],[Indenfor range]],IF(LineærRegression_Valg[[#This Row],[Intet overlap]],INDEX(DataTitel_liste,LineærRegression_Valg[[#This Row],[Uafhængig variabel ID]]),INDEX(DataTitel_liste,IF(LineærRegression_Valg[[#This Row],[Afhængig variabel ID]]=1,2,1))),$B$7)</f>
        <v>Eksempel 2 (interval)</v>
      </c>
      <c r="H1570" s="171">
        <f>_xlfn.AGGREGATE(2,5,LineærRegression_Valg[[#This Row],[Tabel ID]])</f>
        <v>1</v>
      </c>
    </row>
    <row r="1571" spans="1:8" x14ac:dyDescent="0.2">
      <c r="A1571">
        <f>ROW(LineærRegression_Valg[[#This Row],[Tabel ID]])-ROW(LineærRegression_Valg[[#Headers],[Tabel ID]])</f>
        <v>1561</v>
      </c>
      <c r="B1571" s="171">
        <f>ROUNDDOWN((LineærRegression_Valg[[#This Row],[Tabel ID]]-1)/$B$5,0)+1</f>
        <v>391</v>
      </c>
      <c r="C1571" s="171">
        <f t="shared" si="24"/>
        <v>1</v>
      </c>
      <c r="D1571" s="171" t="b">
        <f>LineærRegression_Valg[[#This Row],[Afhængig variabel ID]]&lt;&gt;LineærRegression_Valg[[#This Row],[Uafhængig variabel ID]]</f>
        <v>1</v>
      </c>
      <c r="E1571" s="171" t="b">
        <f>LineærRegression_Valg[[#This Row],[Afhængig variabel ID]]&lt;=$B$5</f>
        <v>0</v>
      </c>
      <c r="F1571" t="str" cm="1">
        <f t="array" ref="F1571">IF(LineærRegression_Valg[[#This Row],[Indenfor range]],INDEX(DataTitel_liste,LineærRegression_Valg[[#This Row],[Afhængig variabel ID]]),INDEX(DataTitel_liste,1))</f>
        <v>Eksempel 1 (interval)</v>
      </c>
      <c r="G1571" s="171" t="str" cm="1">
        <f t="array" ref="G1571">IF(LineærRegression_Valg[[#This Row],[Indenfor range]],IF(LineærRegression_Valg[[#This Row],[Intet overlap]],INDEX(DataTitel_liste,LineærRegression_Valg[[#This Row],[Uafhængig variabel ID]]),INDEX(DataTitel_liste,IF(LineærRegression_Valg[[#This Row],[Afhængig variabel ID]]=1,2,1))),$B$7)</f>
        <v>Eksempel 2 (interval)</v>
      </c>
      <c r="H1571" s="171">
        <f>_xlfn.AGGREGATE(2,5,LineærRegression_Valg[[#This Row],[Tabel ID]])</f>
        <v>1</v>
      </c>
    </row>
    <row r="1572" spans="1:8" x14ac:dyDescent="0.2">
      <c r="A1572">
        <f>ROW(LineærRegression_Valg[[#This Row],[Tabel ID]])-ROW(LineærRegression_Valg[[#Headers],[Tabel ID]])</f>
        <v>1562</v>
      </c>
      <c r="B1572" s="171">
        <f>ROUNDDOWN((LineærRegression_Valg[[#This Row],[Tabel ID]]-1)/$B$5,0)+1</f>
        <v>391</v>
      </c>
      <c r="C1572" s="171">
        <f t="shared" si="24"/>
        <v>2</v>
      </c>
      <c r="D1572" s="171" t="b">
        <f>LineærRegression_Valg[[#This Row],[Afhængig variabel ID]]&lt;&gt;LineærRegression_Valg[[#This Row],[Uafhængig variabel ID]]</f>
        <v>1</v>
      </c>
      <c r="E1572" s="171" t="b">
        <f>LineærRegression_Valg[[#This Row],[Afhængig variabel ID]]&lt;=$B$5</f>
        <v>0</v>
      </c>
      <c r="F1572" t="str" cm="1">
        <f t="array" ref="F1572">IF(LineærRegression_Valg[[#This Row],[Indenfor range]],INDEX(DataTitel_liste,LineærRegression_Valg[[#This Row],[Afhængig variabel ID]]),INDEX(DataTitel_liste,1))</f>
        <v>Eksempel 1 (interval)</v>
      </c>
      <c r="G1572" s="171" t="str" cm="1">
        <f t="array" ref="G1572">IF(LineærRegression_Valg[[#This Row],[Indenfor range]],IF(LineærRegression_Valg[[#This Row],[Intet overlap]],INDEX(DataTitel_liste,LineærRegression_Valg[[#This Row],[Uafhængig variabel ID]]),INDEX(DataTitel_liste,IF(LineærRegression_Valg[[#This Row],[Afhængig variabel ID]]=1,2,1))),$B$7)</f>
        <v>Eksempel 2 (interval)</v>
      </c>
      <c r="H1572" s="171">
        <f>_xlfn.AGGREGATE(2,5,LineærRegression_Valg[[#This Row],[Tabel ID]])</f>
        <v>1</v>
      </c>
    </row>
    <row r="1573" spans="1:8" x14ac:dyDescent="0.2">
      <c r="A1573">
        <f>ROW(LineærRegression_Valg[[#This Row],[Tabel ID]])-ROW(LineærRegression_Valg[[#Headers],[Tabel ID]])</f>
        <v>1563</v>
      </c>
      <c r="B1573" s="171">
        <f>ROUNDDOWN((LineærRegression_Valg[[#This Row],[Tabel ID]]-1)/$B$5,0)+1</f>
        <v>391</v>
      </c>
      <c r="C1573" s="171">
        <f t="shared" si="24"/>
        <v>3</v>
      </c>
      <c r="D1573" s="171" t="b">
        <f>LineærRegression_Valg[[#This Row],[Afhængig variabel ID]]&lt;&gt;LineærRegression_Valg[[#This Row],[Uafhængig variabel ID]]</f>
        <v>1</v>
      </c>
      <c r="E1573" s="171" t="b">
        <f>LineærRegression_Valg[[#This Row],[Afhængig variabel ID]]&lt;=$B$5</f>
        <v>0</v>
      </c>
      <c r="F1573" t="str" cm="1">
        <f t="array" ref="F1573">IF(LineærRegression_Valg[[#This Row],[Indenfor range]],INDEX(DataTitel_liste,LineærRegression_Valg[[#This Row],[Afhængig variabel ID]]),INDEX(DataTitel_liste,1))</f>
        <v>Eksempel 1 (interval)</v>
      </c>
      <c r="G1573" s="171" t="str" cm="1">
        <f t="array" ref="G1573">IF(LineærRegression_Valg[[#This Row],[Indenfor range]],IF(LineærRegression_Valg[[#This Row],[Intet overlap]],INDEX(DataTitel_liste,LineærRegression_Valg[[#This Row],[Uafhængig variabel ID]]),INDEX(DataTitel_liste,IF(LineærRegression_Valg[[#This Row],[Afhængig variabel ID]]=1,2,1))),$B$7)</f>
        <v>Eksempel 2 (interval)</v>
      </c>
      <c r="H1573" s="171">
        <f>_xlfn.AGGREGATE(2,5,LineærRegression_Valg[[#This Row],[Tabel ID]])</f>
        <v>1</v>
      </c>
    </row>
    <row r="1574" spans="1:8" x14ac:dyDescent="0.2">
      <c r="A1574">
        <f>ROW(LineærRegression_Valg[[#This Row],[Tabel ID]])-ROW(LineærRegression_Valg[[#Headers],[Tabel ID]])</f>
        <v>1564</v>
      </c>
      <c r="B1574" s="171">
        <f>ROUNDDOWN((LineærRegression_Valg[[#This Row],[Tabel ID]]-1)/$B$5,0)+1</f>
        <v>391</v>
      </c>
      <c r="C1574" s="171">
        <f t="shared" si="24"/>
        <v>4</v>
      </c>
      <c r="D1574" s="171" t="b">
        <f>LineærRegression_Valg[[#This Row],[Afhængig variabel ID]]&lt;&gt;LineærRegression_Valg[[#This Row],[Uafhængig variabel ID]]</f>
        <v>1</v>
      </c>
      <c r="E1574" s="171" t="b">
        <f>LineærRegression_Valg[[#This Row],[Afhængig variabel ID]]&lt;=$B$5</f>
        <v>0</v>
      </c>
      <c r="F1574" t="str" cm="1">
        <f t="array" ref="F1574">IF(LineærRegression_Valg[[#This Row],[Indenfor range]],INDEX(DataTitel_liste,LineærRegression_Valg[[#This Row],[Afhængig variabel ID]]),INDEX(DataTitel_liste,1))</f>
        <v>Eksempel 1 (interval)</v>
      </c>
      <c r="G1574" s="171" t="str" cm="1">
        <f t="array" ref="G1574">IF(LineærRegression_Valg[[#This Row],[Indenfor range]],IF(LineærRegression_Valg[[#This Row],[Intet overlap]],INDEX(DataTitel_liste,LineærRegression_Valg[[#This Row],[Uafhængig variabel ID]]),INDEX(DataTitel_liste,IF(LineærRegression_Valg[[#This Row],[Afhængig variabel ID]]=1,2,1))),$B$7)</f>
        <v>Eksempel 2 (interval)</v>
      </c>
      <c r="H1574" s="171">
        <f>_xlfn.AGGREGATE(2,5,LineærRegression_Valg[[#This Row],[Tabel ID]])</f>
        <v>1</v>
      </c>
    </row>
    <row r="1575" spans="1:8" x14ac:dyDescent="0.2">
      <c r="A1575">
        <f>ROW(LineærRegression_Valg[[#This Row],[Tabel ID]])-ROW(LineærRegression_Valg[[#Headers],[Tabel ID]])</f>
        <v>1565</v>
      </c>
      <c r="B1575" s="171">
        <f>ROUNDDOWN((LineærRegression_Valg[[#This Row],[Tabel ID]]-1)/$B$5,0)+1</f>
        <v>392</v>
      </c>
      <c r="C1575" s="171">
        <f t="shared" si="24"/>
        <v>1</v>
      </c>
      <c r="D1575" s="171" t="b">
        <f>LineærRegression_Valg[[#This Row],[Afhængig variabel ID]]&lt;&gt;LineærRegression_Valg[[#This Row],[Uafhængig variabel ID]]</f>
        <v>1</v>
      </c>
      <c r="E1575" s="171" t="b">
        <f>LineærRegression_Valg[[#This Row],[Afhængig variabel ID]]&lt;=$B$5</f>
        <v>0</v>
      </c>
      <c r="F1575" t="str" cm="1">
        <f t="array" ref="F1575">IF(LineærRegression_Valg[[#This Row],[Indenfor range]],INDEX(DataTitel_liste,LineærRegression_Valg[[#This Row],[Afhængig variabel ID]]),INDEX(DataTitel_liste,1))</f>
        <v>Eksempel 1 (interval)</v>
      </c>
      <c r="G1575" s="171" t="str" cm="1">
        <f t="array" ref="G1575">IF(LineærRegression_Valg[[#This Row],[Indenfor range]],IF(LineærRegression_Valg[[#This Row],[Intet overlap]],INDEX(DataTitel_liste,LineærRegression_Valg[[#This Row],[Uafhængig variabel ID]]),INDEX(DataTitel_liste,IF(LineærRegression_Valg[[#This Row],[Afhængig variabel ID]]=1,2,1))),$B$7)</f>
        <v>Eksempel 2 (interval)</v>
      </c>
      <c r="H1575" s="171">
        <f>_xlfn.AGGREGATE(2,5,LineærRegression_Valg[[#This Row],[Tabel ID]])</f>
        <v>1</v>
      </c>
    </row>
    <row r="1576" spans="1:8" x14ac:dyDescent="0.2">
      <c r="A1576">
        <f>ROW(LineærRegression_Valg[[#This Row],[Tabel ID]])-ROW(LineærRegression_Valg[[#Headers],[Tabel ID]])</f>
        <v>1566</v>
      </c>
      <c r="B1576" s="171">
        <f>ROUNDDOWN((LineærRegression_Valg[[#This Row],[Tabel ID]]-1)/$B$5,0)+1</f>
        <v>392</v>
      </c>
      <c r="C1576" s="171">
        <f t="shared" si="24"/>
        <v>2</v>
      </c>
      <c r="D1576" s="171" t="b">
        <f>LineærRegression_Valg[[#This Row],[Afhængig variabel ID]]&lt;&gt;LineærRegression_Valg[[#This Row],[Uafhængig variabel ID]]</f>
        <v>1</v>
      </c>
      <c r="E1576" s="171" t="b">
        <f>LineærRegression_Valg[[#This Row],[Afhængig variabel ID]]&lt;=$B$5</f>
        <v>0</v>
      </c>
      <c r="F1576" t="str" cm="1">
        <f t="array" ref="F1576">IF(LineærRegression_Valg[[#This Row],[Indenfor range]],INDEX(DataTitel_liste,LineærRegression_Valg[[#This Row],[Afhængig variabel ID]]),INDEX(DataTitel_liste,1))</f>
        <v>Eksempel 1 (interval)</v>
      </c>
      <c r="G1576" s="171" t="str" cm="1">
        <f t="array" ref="G1576">IF(LineærRegression_Valg[[#This Row],[Indenfor range]],IF(LineærRegression_Valg[[#This Row],[Intet overlap]],INDEX(DataTitel_liste,LineærRegression_Valg[[#This Row],[Uafhængig variabel ID]]),INDEX(DataTitel_liste,IF(LineærRegression_Valg[[#This Row],[Afhængig variabel ID]]=1,2,1))),$B$7)</f>
        <v>Eksempel 2 (interval)</v>
      </c>
      <c r="H1576" s="171">
        <f>_xlfn.AGGREGATE(2,5,LineærRegression_Valg[[#This Row],[Tabel ID]])</f>
        <v>1</v>
      </c>
    </row>
    <row r="1577" spans="1:8" x14ac:dyDescent="0.2">
      <c r="A1577">
        <f>ROW(LineærRegression_Valg[[#This Row],[Tabel ID]])-ROW(LineærRegression_Valg[[#Headers],[Tabel ID]])</f>
        <v>1567</v>
      </c>
      <c r="B1577" s="171">
        <f>ROUNDDOWN((LineærRegression_Valg[[#This Row],[Tabel ID]]-1)/$B$5,0)+1</f>
        <v>392</v>
      </c>
      <c r="C1577" s="171">
        <f t="shared" si="24"/>
        <v>3</v>
      </c>
      <c r="D1577" s="171" t="b">
        <f>LineærRegression_Valg[[#This Row],[Afhængig variabel ID]]&lt;&gt;LineærRegression_Valg[[#This Row],[Uafhængig variabel ID]]</f>
        <v>1</v>
      </c>
      <c r="E1577" s="171" t="b">
        <f>LineærRegression_Valg[[#This Row],[Afhængig variabel ID]]&lt;=$B$5</f>
        <v>0</v>
      </c>
      <c r="F1577" t="str" cm="1">
        <f t="array" ref="F1577">IF(LineærRegression_Valg[[#This Row],[Indenfor range]],INDEX(DataTitel_liste,LineærRegression_Valg[[#This Row],[Afhængig variabel ID]]),INDEX(DataTitel_liste,1))</f>
        <v>Eksempel 1 (interval)</v>
      </c>
      <c r="G1577" s="171" t="str" cm="1">
        <f t="array" ref="G1577">IF(LineærRegression_Valg[[#This Row],[Indenfor range]],IF(LineærRegression_Valg[[#This Row],[Intet overlap]],INDEX(DataTitel_liste,LineærRegression_Valg[[#This Row],[Uafhængig variabel ID]]),INDEX(DataTitel_liste,IF(LineærRegression_Valg[[#This Row],[Afhængig variabel ID]]=1,2,1))),$B$7)</f>
        <v>Eksempel 2 (interval)</v>
      </c>
      <c r="H1577" s="171">
        <f>_xlfn.AGGREGATE(2,5,LineærRegression_Valg[[#This Row],[Tabel ID]])</f>
        <v>1</v>
      </c>
    </row>
    <row r="1578" spans="1:8" x14ac:dyDescent="0.2">
      <c r="A1578">
        <f>ROW(LineærRegression_Valg[[#This Row],[Tabel ID]])-ROW(LineærRegression_Valg[[#Headers],[Tabel ID]])</f>
        <v>1568</v>
      </c>
      <c r="B1578" s="171">
        <f>ROUNDDOWN((LineærRegression_Valg[[#This Row],[Tabel ID]]-1)/$B$5,0)+1</f>
        <v>392</v>
      </c>
      <c r="C1578" s="171">
        <f t="shared" si="24"/>
        <v>4</v>
      </c>
      <c r="D1578" s="171" t="b">
        <f>LineærRegression_Valg[[#This Row],[Afhængig variabel ID]]&lt;&gt;LineærRegression_Valg[[#This Row],[Uafhængig variabel ID]]</f>
        <v>1</v>
      </c>
      <c r="E1578" s="171" t="b">
        <f>LineærRegression_Valg[[#This Row],[Afhængig variabel ID]]&lt;=$B$5</f>
        <v>0</v>
      </c>
      <c r="F1578" t="str" cm="1">
        <f t="array" ref="F1578">IF(LineærRegression_Valg[[#This Row],[Indenfor range]],INDEX(DataTitel_liste,LineærRegression_Valg[[#This Row],[Afhængig variabel ID]]),INDEX(DataTitel_liste,1))</f>
        <v>Eksempel 1 (interval)</v>
      </c>
      <c r="G1578" s="171" t="str" cm="1">
        <f t="array" ref="G1578">IF(LineærRegression_Valg[[#This Row],[Indenfor range]],IF(LineærRegression_Valg[[#This Row],[Intet overlap]],INDEX(DataTitel_liste,LineærRegression_Valg[[#This Row],[Uafhængig variabel ID]]),INDEX(DataTitel_liste,IF(LineærRegression_Valg[[#This Row],[Afhængig variabel ID]]=1,2,1))),$B$7)</f>
        <v>Eksempel 2 (interval)</v>
      </c>
      <c r="H1578" s="171">
        <f>_xlfn.AGGREGATE(2,5,LineærRegression_Valg[[#This Row],[Tabel ID]])</f>
        <v>1</v>
      </c>
    </row>
    <row r="1579" spans="1:8" x14ac:dyDescent="0.2">
      <c r="A1579">
        <f>ROW(LineærRegression_Valg[[#This Row],[Tabel ID]])-ROW(LineærRegression_Valg[[#Headers],[Tabel ID]])</f>
        <v>1569</v>
      </c>
      <c r="B1579" s="171">
        <f>ROUNDDOWN((LineærRegression_Valg[[#This Row],[Tabel ID]]-1)/$B$5,0)+1</f>
        <v>393</v>
      </c>
      <c r="C1579" s="171">
        <f t="shared" si="24"/>
        <v>1</v>
      </c>
      <c r="D1579" s="171" t="b">
        <f>LineærRegression_Valg[[#This Row],[Afhængig variabel ID]]&lt;&gt;LineærRegression_Valg[[#This Row],[Uafhængig variabel ID]]</f>
        <v>1</v>
      </c>
      <c r="E1579" s="171" t="b">
        <f>LineærRegression_Valg[[#This Row],[Afhængig variabel ID]]&lt;=$B$5</f>
        <v>0</v>
      </c>
      <c r="F1579" t="str" cm="1">
        <f t="array" ref="F1579">IF(LineærRegression_Valg[[#This Row],[Indenfor range]],INDEX(DataTitel_liste,LineærRegression_Valg[[#This Row],[Afhængig variabel ID]]),INDEX(DataTitel_liste,1))</f>
        <v>Eksempel 1 (interval)</v>
      </c>
      <c r="G1579" s="171" t="str" cm="1">
        <f t="array" ref="G1579">IF(LineærRegression_Valg[[#This Row],[Indenfor range]],IF(LineærRegression_Valg[[#This Row],[Intet overlap]],INDEX(DataTitel_liste,LineærRegression_Valg[[#This Row],[Uafhængig variabel ID]]),INDEX(DataTitel_liste,IF(LineærRegression_Valg[[#This Row],[Afhængig variabel ID]]=1,2,1))),$B$7)</f>
        <v>Eksempel 2 (interval)</v>
      </c>
      <c r="H1579" s="171">
        <f>_xlfn.AGGREGATE(2,5,LineærRegression_Valg[[#This Row],[Tabel ID]])</f>
        <v>1</v>
      </c>
    </row>
    <row r="1580" spans="1:8" x14ac:dyDescent="0.2">
      <c r="A1580">
        <f>ROW(LineærRegression_Valg[[#This Row],[Tabel ID]])-ROW(LineærRegression_Valg[[#Headers],[Tabel ID]])</f>
        <v>1570</v>
      </c>
      <c r="B1580" s="171">
        <f>ROUNDDOWN((LineærRegression_Valg[[#This Row],[Tabel ID]]-1)/$B$5,0)+1</f>
        <v>393</v>
      </c>
      <c r="C1580" s="171">
        <f t="shared" si="24"/>
        <v>2</v>
      </c>
      <c r="D1580" s="171" t="b">
        <f>LineærRegression_Valg[[#This Row],[Afhængig variabel ID]]&lt;&gt;LineærRegression_Valg[[#This Row],[Uafhængig variabel ID]]</f>
        <v>1</v>
      </c>
      <c r="E1580" s="171" t="b">
        <f>LineærRegression_Valg[[#This Row],[Afhængig variabel ID]]&lt;=$B$5</f>
        <v>0</v>
      </c>
      <c r="F1580" t="str" cm="1">
        <f t="array" ref="F1580">IF(LineærRegression_Valg[[#This Row],[Indenfor range]],INDEX(DataTitel_liste,LineærRegression_Valg[[#This Row],[Afhængig variabel ID]]),INDEX(DataTitel_liste,1))</f>
        <v>Eksempel 1 (interval)</v>
      </c>
      <c r="G1580" s="171" t="str" cm="1">
        <f t="array" ref="G1580">IF(LineærRegression_Valg[[#This Row],[Indenfor range]],IF(LineærRegression_Valg[[#This Row],[Intet overlap]],INDEX(DataTitel_liste,LineærRegression_Valg[[#This Row],[Uafhængig variabel ID]]),INDEX(DataTitel_liste,IF(LineærRegression_Valg[[#This Row],[Afhængig variabel ID]]=1,2,1))),$B$7)</f>
        <v>Eksempel 2 (interval)</v>
      </c>
      <c r="H1580" s="171">
        <f>_xlfn.AGGREGATE(2,5,LineærRegression_Valg[[#This Row],[Tabel ID]])</f>
        <v>1</v>
      </c>
    </row>
    <row r="1581" spans="1:8" x14ac:dyDescent="0.2">
      <c r="A1581">
        <f>ROW(LineærRegression_Valg[[#This Row],[Tabel ID]])-ROW(LineærRegression_Valg[[#Headers],[Tabel ID]])</f>
        <v>1571</v>
      </c>
      <c r="B1581" s="171">
        <f>ROUNDDOWN((LineærRegression_Valg[[#This Row],[Tabel ID]]-1)/$B$5,0)+1</f>
        <v>393</v>
      </c>
      <c r="C1581" s="171">
        <f t="shared" si="24"/>
        <v>3</v>
      </c>
      <c r="D1581" s="171" t="b">
        <f>LineærRegression_Valg[[#This Row],[Afhængig variabel ID]]&lt;&gt;LineærRegression_Valg[[#This Row],[Uafhængig variabel ID]]</f>
        <v>1</v>
      </c>
      <c r="E1581" s="171" t="b">
        <f>LineærRegression_Valg[[#This Row],[Afhængig variabel ID]]&lt;=$B$5</f>
        <v>0</v>
      </c>
      <c r="F1581" t="str" cm="1">
        <f t="array" ref="F1581">IF(LineærRegression_Valg[[#This Row],[Indenfor range]],INDEX(DataTitel_liste,LineærRegression_Valg[[#This Row],[Afhængig variabel ID]]),INDEX(DataTitel_liste,1))</f>
        <v>Eksempel 1 (interval)</v>
      </c>
      <c r="G1581" s="171" t="str" cm="1">
        <f t="array" ref="G1581">IF(LineærRegression_Valg[[#This Row],[Indenfor range]],IF(LineærRegression_Valg[[#This Row],[Intet overlap]],INDEX(DataTitel_liste,LineærRegression_Valg[[#This Row],[Uafhængig variabel ID]]),INDEX(DataTitel_liste,IF(LineærRegression_Valg[[#This Row],[Afhængig variabel ID]]=1,2,1))),$B$7)</f>
        <v>Eksempel 2 (interval)</v>
      </c>
      <c r="H1581" s="171">
        <f>_xlfn.AGGREGATE(2,5,LineærRegression_Valg[[#This Row],[Tabel ID]])</f>
        <v>1</v>
      </c>
    </row>
    <row r="1582" spans="1:8" x14ac:dyDescent="0.2">
      <c r="A1582">
        <f>ROW(LineærRegression_Valg[[#This Row],[Tabel ID]])-ROW(LineærRegression_Valg[[#Headers],[Tabel ID]])</f>
        <v>1572</v>
      </c>
      <c r="B1582" s="171">
        <f>ROUNDDOWN((LineærRegression_Valg[[#This Row],[Tabel ID]]-1)/$B$5,0)+1</f>
        <v>393</v>
      </c>
      <c r="C1582" s="171">
        <f t="shared" si="24"/>
        <v>4</v>
      </c>
      <c r="D1582" s="171" t="b">
        <f>LineærRegression_Valg[[#This Row],[Afhængig variabel ID]]&lt;&gt;LineærRegression_Valg[[#This Row],[Uafhængig variabel ID]]</f>
        <v>1</v>
      </c>
      <c r="E1582" s="171" t="b">
        <f>LineærRegression_Valg[[#This Row],[Afhængig variabel ID]]&lt;=$B$5</f>
        <v>0</v>
      </c>
      <c r="F1582" t="str" cm="1">
        <f t="array" ref="F1582">IF(LineærRegression_Valg[[#This Row],[Indenfor range]],INDEX(DataTitel_liste,LineærRegression_Valg[[#This Row],[Afhængig variabel ID]]),INDEX(DataTitel_liste,1))</f>
        <v>Eksempel 1 (interval)</v>
      </c>
      <c r="G1582" s="171" t="str" cm="1">
        <f t="array" ref="G1582">IF(LineærRegression_Valg[[#This Row],[Indenfor range]],IF(LineærRegression_Valg[[#This Row],[Intet overlap]],INDEX(DataTitel_liste,LineærRegression_Valg[[#This Row],[Uafhængig variabel ID]]),INDEX(DataTitel_liste,IF(LineærRegression_Valg[[#This Row],[Afhængig variabel ID]]=1,2,1))),$B$7)</f>
        <v>Eksempel 2 (interval)</v>
      </c>
      <c r="H1582" s="171">
        <f>_xlfn.AGGREGATE(2,5,LineærRegression_Valg[[#This Row],[Tabel ID]])</f>
        <v>1</v>
      </c>
    </row>
    <row r="1583" spans="1:8" x14ac:dyDescent="0.2">
      <c r="A1583">
        <f>ROW(LineærRegression_Valg[[#This Row],[Tabel ID]])-ROW(LineærRegression_Valg[[#Headers],[Tabel ID]])</f>
        <v>1573</v>
      </c>
      <c r="B1583" s="171">
        <f>ROUNDDOWN((LineærRegression_Valg[[#This Row],[Tabel ID]]-1)/$B$5,0)+1</f>
        <v>394</v>
      </c>
      <c r="C1583" s="171">
        <f t="shared" si="24"/>
        <v>1</v>
      </c>
      <c r="D1583" s="171" t="b">
        <f>LineærRegression_Valg[[#This Row],[Afhængig variabel ID]]&lt;&gt;LineærRegression_Valg[[#This Row],[Uafhængig variabel ID]]</f>
        <v>1</v>
      </c>
      <c r="E1583" s="171" t="b">
        <f>LineærRegression_Valg[[#This Row],[Afhængig variabel ID]]&lt;=$B$5</f>
        <v>0</v>
      </c>
      <c r="F1583" t="str" cm="1">
        <f t="array" ref="F1583">IF(LineærRegression_Valg[[#This Row],[Indenfor range]],INDEX(DataTitel_liste,LineærRegression_Valg[[#This Row],[Afhængig variabel ID]]),INDEX(DataTitel_liste,1))</f>
        <v>Eksempel 1 (interval)</v>
      </c>
      <c r="G1583" s="171" t="str" cm="1">
        <f t="array" ref="G1583">IF(LineærRegression_Valg[[#This Row],[Indenfor range]],IF(LineærRegression_Valg[[#This Row],[Intet overlap]],INDEX(DataTitel_liste,LineærRegression_Valg[[#This Row],[Uafhængig variabel ID]]),INDEX(DataTitel_liste,IF(LineærRegression_Valg[[#This Row],[Afhængig variabel ID]]=1,2,1))),$B$7)</f>
        <v>Eksempel 2 (interval)</v>
      </c>
      <c r="H1583" s="171">
        <f>_xlfn.AGGREGATE(2,5,LineærRegression_Valg[[#This Row],[Tabel ID]])</f>
        <v>1</v>
      </c>
    </row>
    <row r="1584" spans="1:8" x14ac:dyDescent="0.2">
      <c r="A1584">
        <f>ROW(LineærRegression_Valg[[#This Row],[Tabel ID]])-ROW(LineærRegression_Valg[[#Headers],[Tabel ID]])</f>
        <v>1574</v>
      </c>
      <c r="B1584" s="171">
        <f>ROUNDDOWN((LineærRegression_Valg[[#This Row],[Tabel ID]]-1)/$B$5,0)+1</f>
        <v>394</v>
      </c>
      <c r="C1584" s="171">
        <f t="shared" si="24"/>
        <v>2</v>
      </c>
      <c r="D1584" s="171" t="b">
        <f>LineærRegression_Valg[[#This Row],[Afhængig variabel ID]]&lt;&gt;LineærRegression_Valg[[#This Row],[Uafhængig variabel ID]]</f>
        <v>1</v>
      </c>
      <c r="E1584" s="171" t="b">
        <f>LineærRegression_Valg[[#This Row],[Afhængig variabel ID]]&lt;=$B$5</f>
        <v>0</v>
      </c>
      <c r="F1584" t="str" cm="1">
        <f t="array" ref="F1584">IF(LineærRegression_Valg[[#This Row],[Indenfor range]],INDEX(DataTitel_liste,LineærRegression_Valg[[#This Row],[Afhængig variabel ID]]),INDEX(DataTitel_liste,1))</f>
        <v>Eksempel 1 (interval)</v>
      </c>
      <c r="G1584" s="171" t="str" cm="1">
        <f t="array" ref="G1584">IF(LineærRegression_Valg[[#This Row],[Indenfor range]],IF(LineærRegression_Valg[[#This Row],[Intet overlap]],INDEX(DataTitel_liste,LineærRegression_Valg[[#This Row],[Uafhængig variabel ID]]),INDEX(DataTitel_liste,IF(LineærRegression_Valg[[#This Row],[Afhængig variabel ID]]=1,2,1))),$B$7)</f>
        <v>Eksempel 2 (interval)</v>
      </c>
      <c r="H1584" s="171">
        <f>_xlfn.AGGREGATE(2,5,LineærRegression_Valg[[#This Row],[Tabel ID]])</f>
        <v>1</v>
      </c>
    </row>
    <row r="1585" spans="1:8" x14ac:dyDescent="0.2">
      <c r="A1585">
        <f>ROW(LineærRegression_Valg[[#This Row],[Tabel ID]])-ROW(LineærRegression_Valg[[#Headers],[Tabel ID]])</f>
        <v>1575</v>
      </c>
      <c r="B1585" s="171">
        <f>ROUNDDOWN((LineærRegression_Valg[[#This Row],[Tabel ID]]-1)/$B$5,0)+1</f>
        <v>394</v>
      </c>
      <c r="C1585" s="171">
        <f t="shared" si="24"/>
        <v>3</v>
      </c>
      <c r="D1585" s="171" t="b">
        <f>LineærRegression_Valg[[#This Row],[Afhængig variabel ID]]&lt;&gt;LineærRegression_Valg[[#This Row],[Uafhængig variabel ID]]</f>
        <v>1</v>
      </c>
      <c r="E1585" s="171" t="b">
        <f>LineærRegression_Valg[[#This Row],[Afhængig variabel ID]]&lt;=$B$5</f>
        <v>0</v>
      </c>
      <c r="F1585" t="str" cm="1">
        <f t="array" ref="F1585">IF(LineærRegression_Valg[[#This Row],[Indenfor range]],INDEX(DataTitel_liste,LineærRegression_Valg[[#This Row],[Afhængig variabel ID]]),INDEX(DataTitel_liste,1))</f>
        <v>Eksempel 1 (interval)</v>
      </c>
      <c r="G1585" s="171" t="str" cm="1">
        <f t="array" ref="G1585">IF(LineærRegression_Valg[[#This Row],[Indenfor range]],IF(LineærRegression_Valg[[#This Row],[Intet overlap]],INDEX(DataTitel_liste,LineærRegression_Valg[[#This Row],[Uafhængig variabel ID]]),INDEX(DataTitel_liste,IF(LineærRegression_Valg[[#This Row],[Afhængig variabel ID]]=1,2,1))),$B$7)</f>
        <v>Eksempel 2 (interval)</v>
      </c>
      <c r="H1585" s="171">
        <f>_xlfn.AGGREGATE(2,5,LineærRegression_Valg[[#This Row],[Tabel ID]])</f>
        <v>1</v>
      </c>
    </row>
    <row r="1586" spans="1:8" x14ac:dyDescent="0.2">
      <c r="A1586">
        <f>ROW(LineærRegression_Valg[[#This Row],[Tabel ID]])-ROW(LineærRegression_Valg[[#Headers],[Tabel ID]])</f>
        <v>1576</v>
      </c>
      <c r="B1586" s="171">
        <f>ROUNDDOWN((LineærRegression_Valg[[#This Row],[Tabel ID]]-1)/$B$5,0)+1</f>
        <v>394</v>
      </c>
      <c r="C1586" s="171">
        <f t="shared" si="24"/>
        <v>4</v>
      </c>
      <c r="D1586" s="171" t="b">
        <f>LineærRegression_Valg[[#This Row],[Afhængig variabel ID]]&lt;&gt;LineærRegression_Valg[[#This Row],[Uafhængig variabel ID]]</f>
        <v>1</v>
      </c>
      <c r="E1586" s="171" t="b">
        <f>LineærRegression_Valg[[#This Row],[Afhængig variabel ID]]&lt;=$B$5</f>
        <v>0</v>
      </c>
      <c r="F1586" t="str" cm="1">
        <f t="array" ref="F1586">IF(LineærRegression_Valg[[#This Row],[Indenfor range]],INDEX(DataTitel_liste,LineærRegression_Valg[[#This Row],[Afhængig variabel ID]]),INDEX(DataTitel_liste,1))</f>
        <v>Eksempel 1 (interval)</v>
      </c>
      <c r="G1586" s="171" t="str" cm="1">
        <f t="array" ref="G1586">IF(LineærRegression_Valg[[#This Row],[Indenfor range]],IF(LineærRegression_Valg[[#This Row],[Intet overlap]],INDEX(DataTitel_liste,LineærRegression_Valg[[#This Row],[Uafhængig variabel ID]]),INDEX(DataTitel_liste,IF(LineærRegression_Valg[[#This Row],[Afhængig variabel ID]]=1,2,1))),$B$7)</f>
        <v>Eksempel 2 (interval)</v>
      </c>
      <c r="H1586" s="171">
        <f>_xlfn.AGGREGATE(2,5,LineærRegression_Valg[[#This Row],[Tabel ID]])</f>
        <v>1</v>
      </c>
    </row>
    <row r="1587" spans="1:8" x14ac:dyDescent="0.2">
      <c r="A1587">
        <f>ROW(LineærRegression_Valg[[#This Row],[Tabel ID]])-ROW(LineærRegression_Valg[[#Headers],[Tabel ID]])</f>
        <v>1577</v>
      </c>
      <c r="B1587" s="171">
        <f>ROUNDDOWN((LineærRegression_Valg[[#This Row],[Tabel ID]]-1)/$B$5,0)+1</f>
        <v>395</v>
      </c>
      <c r="C1587" s="171">
        <f t="shared" si="24"/>
        <v>1</v>
      </c>
      <c r="D1587" s="171" t="b">
        <f>LineærRegression_Valg[[#This Row],[Afhængig variabel ID]]&lt;&gt;LineærRegression_Valg[[#This Row],[Uafhængig variabel ID]]</f>
        <v>1</v>
      </c>
      <c r="E1587" s="171" t="b">
        <f>LineærRegression_Valg[[#This Row],[Afhængig variabel ID]]&lt;=$B$5</f>
        <v>0</v>
      </c>
      <c r="F1587" t="str" cm="1">
        <f t="array" ref="F1587">IF(LineærRegression_Valg[[#This Row],[Indenfor range]],INDEX(DataTitel_liste,LineærRegression_Valg[[#This Row],[Afhængig variabel ID]]),INDEX(DataTitel_liste,1))</f>
        <v>Eksempel 1 (interval)</v>
      </c>
      <c r="G1587" s="171" t="str" cm="1">
        <f t="array" ref="G1587">IF(LineærRegression_Valg[[#This Row],[Indenfor range]],IF(LineærRegression_Valg[[#This Row],[Intet overlap]],INDEX(DataTitel_liste,LineærRegression_Valg[[#This Row],[Uafhængig variabel ID]]),INDEX(DataTitel_liste,IF(LineærRegression_Valg[[#This Row],[Afhængig variabel ID]]=1,2,1))),$B$7)</f>
        <v>Eksempel 2 (interval)</v>
      </c>
      <c r="H1587" s="171">
        <f>_xlfn.AGGREGATE(2,5,LineærRegression_Valg[[#This Row],[Tabel ID]])</f>
        <v>1</v>
      </c>
    </row>
    <row r="1588" spans="1:8" x14ac:dyDescent="0.2">
      <c r="A1588">
        <f>ROW(LineærRegression_Valg[[#This Row],[Tabel ID]])-ROW(LineærRegression_Valg[[#Headers],[Tabel ID]])</f>
        <v>1578</v>
      </c>
      <c r="B1588" s="171">
        <f>ROUNDDOWN((LineærRegression_Valg[[#This Row],[Tabel ID]]-1)/$B$5,0)+1</f>
        <v>395</v>
      </c>
      <c r="C1588" s="171">
        <f t="shared" si="24"/>
        <v>2</v>
      </c>
      <c r="D1588" s="171" t="b">
        <f>LineærRegression_Valg[[#This Row],[Afhængig variabel ID]]&lt;&gt;LineærRegression_Valg[[#This Row],[Uafhængig variabel ID]]</f>
        <v>1</v>
      </c>
      <c r="E1588" s="171" t="b">
        <f>LineærRegression_Valg[[#This Row],[Afhængig variabel ID]]&lt;=$B$5</f>
        <v>0</v>
      </c>
      <c r="F1588" t="str" cm="1">
        <f t="array" ref="F1588">IF(LineærRegression_Valg[[#This Row],[Indenfor range]],INDEX(DataTitel_liste,LineærRegression_Valg[[#This Row],[Afhængig variabel ID]]),INDEX(DataTitel_liste,1))</f>
        <v>Eksempel 1 (interval)</v>
      </c>
      <c r="G1588" s="171" t="str" cm="1">
        <f t="array" ref="G1588">IF(LineærRegression_Valg[[#This Row],[Indenfor range]],IF(LineærRegression_Valg[[#This Row],[Intet overlap]],INDEX(DataTitel_liste,LineærRegression_Valg[[#This Row],[Uafhængig variabel ID]]),INDEX(DataTitel_liste,IF(LineærRegression_Valg[[#This Row],[Afhængig variabel ID]]=1,2,1))),$B$7)</f>
        <v>Eksempel 2 (interval)</v>
      </c>
      <c r="H1588" s="171">
        <f>_xlfn.AGGREGATE(2,5,LineærRegression_Valg[[#This Row],[Tabel ID]])</f>
        <v>1</v>
      </c>
    </row>
    <row r="1589" spans="1:8" x14ac:dyDescent="0.2">
      <c r="A1589">
        <f>ROW(LineærRegression_Valg[[#This Row],[Tabel ID]])-ROW(LineærRegression_Valg[[#Headers],[Tabel ID]])</f>
        <v>1579</v>
      </c>
      <c r="B1589" s="171">
        <f>ROUNDDOWN((LineærRegression_Valg[[#This Row],[Tabel ID]]-1)/$B$5,0)+1</f>
        <v>395</v>
      </c>
      <c r="C1589" s="171">
        <f t="shared" si="24"/>
        <v>3</v>
      </c>
      <c r="D1589" s="171" t="b">
        <f>LineærRegression_Valg[[#This Row],[Afhængig variabel ID]]&lt;&gt;LineærRegression_Valg[[#This Row],[Uafhængig variabel ID]]</f>
        <v>1</v>
      </c>
      <c r="E1589" s="171" t="b">
        <f>LineærRegression_Valg[[#This Row],[Afhængig variabel ID]]&lt;=$B$5</f>
        <v>0</v>
      </c>
      <c r="F1589" t="str" cm="1">
        <f t="array" ref="F1589">IF(LineærRegression_Valg[[#This Row],[Indenfor range]],INDEX(DataTitel_liste,LineærRegression_Valg[[#This Row],[Afhængig variabel ID]]),INDEX(DataTitel_liste,1))</f>
        <v>Eksempel 1 (interval)</v>
      </c>
      <c r="G1589" s="171" t="str" cm="1">
        <f t="array" ref="G1589">IF(LineærRegression_Valg[[#This Row],[Indenfor range]],IF(LineærRegression_Valg[[#This Row],[Intet overlap]],INDEX(DataTitel_liste,LineærRegression_Valg[[#This Row],[Uafhængig variabel ID]]),INDEX(DataTitel_liste,IF(LineærRegression_Valg[[#This Row],[Afhængig variabel ID]]=1,2,1))),$B$7)</f>
        <v>Eksempel 2 (interval)</v>
      </c>
      <c r="H1589" s="171">
        <f>_xlfn.AGGREGATE(2,5,LineærRegression_Valg[[#This Row],[Tabel ID]])</f>
        <v>1</v>
      </c>
    </row>
    <row r="1590" spans="1:8" x14ac:dyDescent="0.2">
      <c r="A1590">
        <f>ROW(LineærRegression_Valg[[#This Row],[Tabel ID]])-ROW(LineærRegression_Valg[[#Headers],[Tabel ID]])</f>
        <v>1580</v>
      </c>
      <c r="B1590" s="171">
        <f>ROUNDDOWN((LineærRegression_Valg[[#This Row],[Tabel ID]]-1)/$B$5,0)+1</f>
        <v>395</v>
      </c>
      <c r="C1590" s="171">
        <f t="shared" si="24"/>
        <v>4</v>
      </c>
      <c r="D1590" s="171" t="b">
        <f>LineærRegression_Valg[[#This Row],[Afhængig variabel ID]]&lt;&gt;LineærRegression_Valg[[#This Row],[Uafhængig variabel ID]]</f>
        <v>1</v>
      </c>
      <c r="E1590" s="171" t="b">
        <f>LineærRegression_Valg[[#This Row],[Afhængig variabel ID]]&lt;=$B$5</f>
        <v>0</v>
      </c>
      <c r="F1590" t="str" cm="1">
        <f t="array" ref="F1590">IF(LineærRegression_Valg[[#This Row],[Indenfor range]],INDEX(DataTitel_liste,LineærRegression_Valg[[#This Row],[Afhængig variabel ID]]),INDEX(DataTitel_liste,1))</f>
        <v>Eksempel 1 (interval)</v>
      </c>
      <c r="G1590" s="171" t="str" cm="1">
        <f t="array" ref="G1590">IF(LineærRegression_Valg[[#This Row],[Indenfor range]],IF(LineærRegression_Valg[[#This Row],[Intet overlap]],INDEX(DataTitel_liste,LineærRegression_Valg[[#This Row],[Uafhængig variabel ID]]),INDEX(DataTitel_liste,IF(LineærRegression_Valg[[#This Row],[Afhængig variabel ID]]=1,2,1))),$B$7)</f>
        <v>Eksempel 2 (interval)</v>
      </c>
      <c r="H1590" s="171">
        <f>_xlfn.AGGREGATE(2,5,LineærRegression_Valg[[#This Row],[Tabel ID]])</f>
        <v>1</v>
      </c>
    </row>
    <row r="1591" spans="1:8" x14ac:dyDescent="0.2">
      <c r="A1591">
        <f>ROW(LineærRegression_Valg[[#This Row],[Tabel ID]])-ROW(LineærRegression_Valg[[#Headers],[Tabel ID]])</f>
        <v>1581</v>
      </c>
      <c r="B1591" s="171">
        <f>ROUNDDOWN((LineærRegression_Valg[[#This Row],[Tabel ID]]-1)/$B$5,0)+1</f>
        <v>396</v>
      </c>
      <c r="C1591" s="171">
        <f t="shared" si="24"/>
        <v>1</v>
      </c>
      <c r="D1591" s="171" t="b">
        <f>LineærRegression_Valg[[#This Row],[Afhængig variabel ID]]&lt;&gt;LineærRegression_Valg[[#This Row],[Uafhængig variabel ID]]</f>
        <v>1</v>
      </c>
      <c r="E1591" s="171" t="b">
        <f>LineærRegression_Valg[[#This Row],[Afhængig variabel ID]]&lt;=$B$5</f>
        <v>0</v>
      </c>
      <c r="F1591" t="str" cm="1">
        <f t="array" ref="F1591">IF(LineærRegression_Valg[[#This Row],[Indenfor range]],INDEX(DataTitel_liste,LineærRegression_Valg[[#This Row],[Afhængig variabel ID]]),INDEX(DataTitel_liste,1))</f>
        <v>Eksempel 1 (interval)</v>
      </c>
      <c r="G1591" s="171" t="str" cm="1">
        <f t="array" ref="G1591">IF(LineærRegression_Valg[[#This Row],[Indenfor range]],IF(LineærRegression_Valg[[#This Row],[Intet overlap]],INDEX(DataTitel_liste,LineærRegression_Valg[[#This Row],[Uafhængig variabel ID]]),INDEX(DataTitel_liste,IF(LineærRegression_Valg[[#This Row],[Afhængig variabel ID]]=1,2,1))),$B$7)</f>
        <v>Eksempel 2 (interval)</v>
      </c>
      <c r="H1591" s="171">
        <f>_xlfn.AGGREGATE(2,5,LineærRegression_Valg[[#This Row],[Tabel ID]])</f>
        <v>1</v>
      </c>
    </row>
    <row r="1592" spans="1:8" x14ac:dyDescent="0.2">
      <c r="A1592">
        <f>ROW(LineærRegression_Valg[[#This Row],[Tabel ID]])-ROW(LineærRegression_Valg[[#Headers],[Tabel ID]])</f>
        <v>1582</v>
      </c>
      <c r="B1592" s="171">
        <f>ROUNDDOWN((LineærRegression_Valg[[#This Row],[Tabel ID]]-1)/$B$5,0)+1</f>
        <v>396</v>
      </c>
      <c r="C1592" s="171">
        <f t="shared" si="24"/>
        <v>2</v>
      </c>
      <c r="D1592" s="171" t="b">
        <f>LineærRegression_Valg[[#This Row],[Afhængig variabel ID]]&lt;&gt;LineærRegression_Valg[[#This Row],[Uafhængig variabel ID]]</f>
        <v>1</v>
      </c>
      <c r="E1592" s="171" t="b">
        <f>LineærRegression_Valg[[#This Row],[Afhængig variabel ID]]&lt;=$B$5</f>
        <v>0</v>
      </c>
      <c r="F1592" t="str" cm="1">
        <f t="array" ref="F1592">IF(LineærRegression_Valg[[#This Row],[Indenfor range]],INDEX(DataTitel_liste,LineærRegression_Valg[[#This Row],[Afhængig variabel ID]]),INDEX(DataTitel_liste,1))</f>
        <v>Eksempel 1 (interval)</v>
      </c>
      <c r="G1592" s="171" t="str" cm="1">
        <f t="array" ref="G1592">IF(LineærRegression_Valg[[#This Row],[Indenfor range]],IF(LineærRegression_Valg[[#This Row],[Intet overlap]],INDEX(DataTitel_liste,LineærRegression_Valg[[#This Row],[Uafhængig variabel ID]]),INDEX(DataTitel_liste,IF(LineærRegression_Valg[[#This Row],[Afhængig variabel ID]]=1,2,1))),$B$7)</f>
        <v>Eksempel 2 (interval)</v>
      </c>
      <c r="H1592" s="171">
        <f>_xlfn.AGGREGATE(2,5,LineærRegression_Valg[[#This Row],[Tabel ID]])</f>
        <v>1</v>
      </c>
    </row>
    <row r="1593" spans="1:8" x14ac:dyDescent="0.2">
      <c r="A1593">
        <f>ROW(LineærRegression_Valg[[#This Row],[Tabel ID]])-ROW(LineærRegression_Valg[[#Headers],[Tabel ID]])</f>
        <v>1583</v>
      </c>
      <c r="B1593" s="171">
        <f>ROUNDDOWN((LineærRegression_Valg[[#This Row],[Tabel ID]]-1)/$B$5,0)+1</f>
        <v>396</v>
      </c>
      <c r="C1593" s="171">
        <f t="shared" si="24"/>
        <v>3</v>
      </c>
      <c r="D1593" s="171" t="b">
        <f>LineærRegression_Valg[[#This Row],[Afhængig variabel ID]]&lt;&gt;LineærRegression_Valg[[#This Row],[Uafhængig variabel ID]]</f>
        <v>1</v>
      </c>
      <c r="E1593" s="171" t="b">
        <f>LineærRegression_Valg[[#This Row],[Afhængig variabel ID]]&lt;=$B$5</f>
        <v>0</v>
      </c>
      <c r="F1593" t="str" cm="1">
        <f t="array" ref="F1593">IF(LineærRegression_Valg[[#This Row],[Indenfor range]],INDEX(DataTitel_liste,LineærRegression_Valg[[#This Row],[Afhængig variabel ID]]),INDEX(DataTitel_liste,1))</f>
        <v>Eksempel 1 (interval)</v>
      </c>
      <c r="G1593" s="171" t="str" cm="1">
        <f t="array" ref="G1593">IF(LineærRegression_Valg[[#This Row],[Indenfor range]],IF(LineærRegression_Valg[[#This Row],[Intet overlap]],INDEX(DataTitel_liste,LineærRegression_Valg[[#This Row],[Uafhængig variabel ID]]),INDEX(DataTitel_liste,IF(LineærRegression_Valg[[#This Row],[Afhængig variabel ID]]=1,2,1))),$B$7)</f>
        <v>Eksempel 2 (interval)</v>
      </c>
      <c r="H1593" s="171">
        <f>_xlfn.AGGREGATE(2,5,LineærRegression_Valg[[#This Row],[Tabel ID]])</f>
        <v>1</v>
      </c>
    </row>
    <row r="1594" spans="1:8" x14ac:dyDescent="0.2">
      <c r="A1594">
        <f>ROW(LineærRegression_Valg[[#This Row],[Tabel ID]])-ROW(LineærRegression_Valg[[#Headers],[Tabel ID]])</f>
        <v>1584</v>
      </c>
      <c r="B1594" s="171">
        <f>ROUNDDOWN((LineærRegression_Valg[[#This Row],[Tabel ID]]-1)/$B$5,0)+1</f>
        <v>396</v>
      </c>
      <c r="C1594" s="171">
        <f t="shared" si="24"/>
        <v>4</v>
      </c>
      <c r="D1594" s="171" t="b">
        <f>LineærRegression_Valg[[#This Row],[Afhængig variabel ID]]&lt;&gt;LineærRegression_Valg[[#This Row],[Uafhængig variabel ID]]</f>
        <v>1</v>
      </c>
      <c r="E1594" s="171" t="b">
        <f>LineærRegression_Valg[[#This Row],[Afhængig variabel ID]]&lt;=$B$5</f>
        <v>0</v>
      </c>
      <c r="F1594" t="str" cm="1">
        <f t="array" ref="F1594">IF(LineærRegression_Valg[[#This Row],[Indenfor range]],INDEX(DataTitel_liste,LineærRegression_Valg[[#This Row],[Afhængig variabel ID]]),INDEX(DataTitel_liste,1))</f>
        <v>Eksempel 1 (interval)</v>
      </c>
      <c r="G1594" s="171" t="str" cm="1">
        <f t="array" ref="G1594">IF(LineærRegression_Valg[[#This Row],[Indenfor range]],IF(LineærRegression_Valg[[#This Row],[Intet overlap]],INDEX(DataTitel_liste,LineærRegression_Valg[[#This Row],[Uafhængig variabel ID]]),INDEX(DataTitel_liste,IF(LineærRegression_Valg[[#This Row],[Afhængig variabel ID]]=1,2,1))),$B$7)</f>
        <v>Eksempel 2 (interval)</v>
      </c>
      <c r="H1594" s="171">
        <f>_xlfn.AGGREGATE(2,5,LineærRegression_Valg[[#This Row],[Tabel ID]])</f>
        <v>1</v>
      </c>
    </row>
    <row r="1595" spans="1:8" x14ac:dyDescent="0.2">
      <c r="A1595">
        <f>ROW(LineærRegression_Valg[[#This Row],[Tabel ID]])-ROW(LineærRegression_Valg[[#Headers],[Tabel ID]])</f>
        <v>1585</v>
      </c>
      <c r="B1595" s="171">
        <f>ROUNDDOWN((LineærRegression_Valg[[#This Row],[Tabel ID]]-1)/$B$5,0)+1</f>
        <v>397</v>
      </c>
      <c r="C1595" s="171">
        <f t="shared" si="24"/>
        <v>1</v>
      </c>
      <c r="D1595" s="171" t="b">
        <f>LineærRegression_Valg[[#This Row],[Afhængig variabel ID]]&lt;&gt;LineærRegression_Valg[[#This Row],[Uafhængig variabel ID]]</f>
        <v>1</v>
      </c>
      <c r="E1595" s="171" t="b">
        <f>LineærRegression_Valg[[#This Row],[Afhængig variabel ID]]&lt;=$B$5</f>
        <v>0</v>
      </c>
      <c r="F1595" t="str" cm="1">
        <f t="array" ref="F1595">IF(LineærRegression_Valg[[#This Row],[Indenfor range]],INDEX(DataTitel_liste,LineærRegression_Valg[[#This Row],[Afhængig variabel ID]]),INDEX(DataTitel_liste,1))</f>
        <v>Eksempel 1 (interval)</v>
      </c>
      <c r="G1595" s="171" t="str" cm="1">
        <f t="array" ref="G1595">IF(LineærRegression_Valg[[#This Row],[Indenfor range]],IF(LineærRegression_Valg[[#This Row],[Intet overlap]],INDEX(DataTitel_liste,LineærRegression_Valg[[#This Row],[Uafhængig variabel ID]]),INDEX(DataTitel_liste,IF(LineærRegression_Valg[[#This Row],[Afhængig variabel ID]]=1,2,1))),$B$7)</f>
        <v>Eksempel 2 (interval)</v>
      </c>
      <c r="H1595" s="171">
        <f>_xlfn.AGGREGATE(2,5,LineærRegression_Valg[[#This Row],[Tabel ID]])</f>
        <v>1</v>
      </c>
    </row>
    <row r="1596" spans="1:8" x14ac:dyDescent="0.2">
      <c r="A1596">
        <f>ROW(LineærRegression_Valg[[#This Row],[Tabel ID]])-ROW(LineærRegression_Valg[[#Headers],[Tabel ID]])</f>
        <v>1586</v>
      </c>
      <c r="B1596" s="171">
        <f>ROUNDDOWN((LineærRegression_Valg[[#This Row],[Tabel ID]]-1)/$B$5,0)+1</f>
        <v>397</v>
      </c>
      <c r="C1596" s="171">
        <f t="shared" si="24"/>
        <v>2</v>
      </c>
      <c r="D1596" s="171" t="b">
        <f>LineærRegression_Valg[[#This Row],[Afhængig variabel ID]]&lt;&gt;LineærRegression_Valg[[#This Row],[Uafhængig variabel ID]]</f>
        <v>1</v>
      </c>
      <c r="E1596" s="171" t="b">
        <f>LineærRegression_Valg[[#This Row],[Afhængig variabel ID]]&lt;=$B$5</f>
        <v>0</v>
      </c>
      <c r="F1596" t="str" cm="1">
        <f t="array" ref="F1596">IF(LineærRegression_Valg[[#This Row],[Indenfor range]],INDEX(DataTitel_liste,LineærRegression_Valg[[#This Row],[Afhængig variabel ID]]),INDEX(DataTitel_liste,1))</f>
        <v>Eksempel 1 (interval)</v>
      </c>
      <c r="G1596" s="171" t="str" cm="1">
        <f t="array" ref="G1596">IF(LineærRegression_Valg[[#This Row],[Indenfor range]],IF(LineærRegression_Valg[[#This Row],[Intet overlap]],INDEX(DataTitel_liste,LineærRegression_Valg[[#This Row],[Uafhængig variabel ID]]),INDEX(DataTitel_liste,IF(LineærRegression_Valg[[#This Row],[Afhængig variabel ID]]=1,2,1))),$B$7)</f>
        <v>Eksempel 2 (interval)</v>
      </c>
      <c r="H1596" s="171">
        <f>_xlfn.AGGREGATE(2,5,LineærRegression_Valg[[#This Row],[Tabel ID]])</f>
        <v>1</v>
      </c>
    </row>
    <row r="1597" spans="1:8" x14ac:dyDescent="0.2">
      <c r="A1597">
        <f>ROW(LineærRegression_Valg[[#This Row],[Tabel ID]])-ROW(LineærRegression_Valg[[#Headers],[Tabel ID]])</f>
        <v>1587</v>
      </c>
      <c r="B1597" s="171">
        <f>ROUNDDOWN((LineærRegression_Valg[[#This Row],[Tabel ID]]-1)/$B$5,0)+1</f>
        <v>397</v>
      </c>
      <c r="C1597" s="171">
        <f t="shared" si="24"/>
        <v>3</v>
      </c>
      <c r="D1597" s="171" t="b">
        <f>LineærRegression_Valg[[#This Row],[Afhængig variabel ID]]&lt;&gt;LineærRegression_Valg[[#This Row],[Uafhængig variabel ID]]</f>
        <v>1</v>
      </c>
      <c r="E1597" s="171" t="b">
        <f>LineærRegression_Valg[[#This Row],[Afhængig variabel ID]]&lt;=$B$5</f>
        <v>0</v>
      </c>
      <c r="F1597" t="str" cm="1">
        <f t="array" ref="F1597">IF(LineærRegression_Valg[[#This Row],[Indenfor range]],INDEX(DataTitel_liste,LineærRegression_Valg[[#This Row],[Afhængig variabel ID]]),INDEX(DataTitel_liste,1))</f>
        <v>Eksempel 1 (interval)</v>
      </c>
      <c r="G1597" s="171" t="str" cm="1">
        <f t="array" ref="G1597">IF(LineærRegression_Valg[[#This Row],[Indenfor range]],IF(LineærRegression_Valg[[#This Row],[Intet overlap]],INDEX(DataTitel_liste,LineærRegression_Valg[[#This Row],[Uafhængig variabel ID]]),INDEX(DataTitel_liste,IF(LineærRegression_Valg[[#This Row],[Afhængig variabel ID]]=1,2,1))),$B$7)</f>
        <v>Eksempel 2 (interval)</v>
      </c>
      <c r="H1597" s="171">
        <f>_xlfn.AGGREGATE(2,5,LineærRegression_Valg[[#This Row],[Tabel ID]])</f>
        <v>1</v>
      </c>
    </row>
    <row r="1598" spans="1:8" x14ac:dyDescent="0.2">
      <c r="A1598">
        <f>ROW(LineærRegression_Valg[[#This Row],[Tabel ID]])-ROW(LineærRegression_Valg[[#Headers],[Tabel ID]])</f>
        <v>1588</v>
      </c>
      <c r="B1598" s="171">
        <f>ROUNDDOWN((LineærRegression_Valg[[#This Row],[Tabel ID]]-1)/$B$5,0)+1</f>
        <v>397</v>
      </c>
      <c r="C1598" s="171">
        <f t="shared" si="24"/>
        <v>4</v>
      </c>
      <c r="D1598" s="171" t="b">
        <f>LineærRegression_Valg[[#This Row],[Afhængig variabel ID]]&lt;&gt;LineærRegression_Valg[[#This Row],[Uafhængig variabel ID]]</f>
        <v>1</v>
      </c>
      <c r="E1598" s="171" t="b">
        <f>LineærRegression_Valg[[#This Row],[Afhængig variabel ID]]&lt;=$B$5</f>
        <v>0</v>
      </c>
      <c r="F1598" t="str" cm="1">
        <f t="array" ref="F1598">IF(LineærRegression_Valg[[#This Row],[Indenfor range]],INDEX(DataTitel_liste,LineærRegression_Valg[[#This Row],[Afhængig variabel ID]]),INDEX(DataTitel_liste,1))</f>
        <v>Eksempel 1 (interval)</v>
      </c>
      <c r="G1598" s="171" t="str" cm="1">
        <f t="array" ref="G1598">IF(LineærRegression_Valg[[#This Row],[Indenfor range]],IF(LineærRegression_Valg[[#This Row],[Intet overlap]],INDEX(DataTitel_liste,LineærRegression_Valg[[#This Row],[Uafhængig variabel ID]]),INDEX(DataTitel_liste,IF(LineærRegression_Valg[[#This Row],[Afhængig variabel ID]]=1,2,1))),$B$7)</f>
        <v>Eksempel 2 (interval)</v>
      </c>
      <c r="H1598" s="171">
        <f>_xlfn.AGGREGATE(2,5,LineærRegression_Valg[[#This Row],[Tabel ID]])</f>
        <v>1</v>
      </c>
    </row>
    <row r="1599" spans="1:8" x14ac:dyDescent="0.2">
      <c r="A1599">
        <f>ROW(LineærRegression_Valg[[#This Row],[Tabel ID]])-ROW(LineærRegression_Valg[[#Headers],[Tabel ID]])</f>
        <v>1589</v>
      </c>
      <c r="B1599" s="171">
        <f>ROUNDDOWN((LineærRegression_Valg[[#This Row],[Tabel ID]]-1)/$B$5,0)+1</f>
        <v>398</v>
      </c>
      <c r="C1599" s="171">
        <f t="shared" si="24"/>
        <v>1</v>
      </c>
      <c r="D1599" s="171" t="b">
        <f>LineærRegression_Valg[[#This Row],[Afhængig variabel ID]]&lt;&gt;LineærRegression_Valg[[#This Row],[Uafhængig variabel ID]]</f>
        <v>1</v>
      </c>
      <c r="E1599" s="171" t="b">
        <f>LineærRegression_Valg[[#This Row],[Afhængig variabel ID]]&lt;=$B$5</f>
        <v>0</v>
      </c>
      <c r="F1599" t="str" cm="1">
        <f t="array" ref="F1599">IF(LineærRegression_Valg[[#This Row],[Indenfor range]],INDEX(DataTitel_liste,LineærRegression_Valg[[#This Row],[Afhængig variabel ID]]),INDEX(DataTitel_liste,1))</f>
        <v>Eksempel 1 (interval)</v>
      </c>
      <c r="G1599" s="171" t="str" cm="1">
        <f t="array" ref="G1599">IF(LineærRegression_Valg[[#This Row],[Indenfor range]],IF(LineærRegression_Valg[[#This Row],[Intet overlap]],INDEX(DataTitel_liste,LineærRegression_Valg[[#This Row],[Uafhængig variabel ID]]),INDEX(DataTitel_liste,IF(LineærRegression_Valg[[#This Row],[Afhængig variabel ID]]=1,2,1))),$B$7)</f>
        <v>Eksempel 2 (interval)</v>
      </c>
      <c r="H1599" s="171">
        <f>_xlfn.AGGREGATE(2,5,LineærRegression_Valg[[#This Row],[Tabel ID]])</f>
        <v>1</v>
      </c>
    </row>
    <row r="1600" spans="1:8" x14ac:dyDescent="0.2">
      <c r="A1600">
        <f>ROW(LineærRegression_Valg[[#This Row],[Tabel ID]])-ROW(LineærRegression_Valg[[#Headers],[Tabel ID]])</f>
        <v>1590</v>
      </c>
      <c r="B1600" s="171">
        <f>ROUNDDOWN((LineærRegression_Valg[[#This Row],[Tabel ID]]-1)/$B$5,0)+1</f>
        <v>398</v>
      </c>
      <c r="C1600" s="171">
        <f t="shared" si="24"/>
        <v>2</v>
      </c>
      <c r="D1600" s="171" t="b">
        <f>LineærRegression_Valg[[#This Row],[Afhængig variabel ID]]&lt;&gt;LineærRegression_Valg[[#This Row],[Uafhængig variabel ID]]</f>
        <v>1</v>
      </c>
      <c r="E1600" s="171" t="b">
        <f>LineærRegression_Valg[[#This Row],[Afhængig variabel ID]]&lt;=$B$5</f>
        <v>0</v>
      </c>
      <c r="F1600" t="str" cm="1">
        <f t="array" ref="F1600">IF(LineærRegression_Valg[[#This Row],[Indenfor range]],INDEX(DataTitel_liste,LineærRegression_Valg[[#This Row],[Afhængig variabel ID]]),INDEX(DataTitel_liste,1))</f>
        <v>Eksempel 1 (interval)</v>
      </c>
      <c r="G1600" s="171" t="str" cm="1">
        <f t="array" ref="G1600">IF(LineærRegression_Valg[[#This Row],[Indenfor range]],IF(LineærRegression_Valg[[#This Row],[Intet overlap]],INDEX(DataTitel_liste,LineærRegression_Valg[[#This Row],[Uafhængig variabel ID]]),INDEX(DataTitel_liste,IF(LineærRegression_Valg[[#This Row],[Afhængig variabel ID]]=1,2,1))),$B$7)</f>
        <v>Eksempel 2 (interval)</v>
      </c>
      <c r="H1600" s="171">
        <f>_xlfn.AGGREGATE(2,5,LineærRegression_Valg[[#This Row],[Tabel ID]])</f>
        <v>1</v>
      </c>
    </row>
    <row r="1601" spans="1:8" x14ac:dyDescent="0.2">
      <c r="A1601">
        <f>ROW(LineærRegression_Valg[[#This Row],[Tabel ID]])-ROW(LineærRegression_Valg[[#Headers],[Tabel ID]])</f>
        <v>1591</v>
      </c>
      <c r="B1601" s="171">
        <f>ROUNDDOWN((LineærRegression_Valg[[#This Row],[Tabel ID]]-1)/$B$5,0)+1</f>
        <v>398</v>
      </c>
      <c r="C1601" s="171">
        <f t="shared" si="24"/>
        <v>3</v>
      </c>
      <c r="D1601" s="171" t="b">
        <f>LineærRegression_Valg[[#This Row],[Afhængig variabel ID]]&lt;&gt;LineærRegression_Valg[[#This Row],[Uafhængig variabel ID]]</f>
        <v>1</v>
      </c>
      <c r="E1601" s="171" t="b">
        <f>LineærRegression_Valg[[#This Row],[Afhængig variabel ID]]&lt;=$B$5</f>
        <v>0</v>
      </c>
      <c r="F1601" t="str" cm="1">
        <f t="array" ref="F1601">IF(LineærRegression_Valg[[#This Row],[Indenfor range]],INDEX(DataTitel_liste,LineærRegression_Valg[[#This Row],[Afhængig variabel ID]]),INDEX(DataTitel_liste,1))</f>
        <v>Eksempel 1 (interval)</v>
      </c>
      <c r="G1601" s="171" t="str" cm="1">
        <f t="array" ref="G1601">IF(LineærRegression_Valg[[#This Row],[Indenfor range]],IF(LineærRegression_Valg[[#This Row],[Intet overlap]],INDEX(DataTitel_liste,LineærRegression_Valg[[#This Row],[Uafhængig variabel ID]]),INDEX(DataTitel_liste,IF(LineærRegression_Valg[[#This Row],[Afhængig variabel ID]]=1,2,1))),$B$7)</f>
        <v>Eksempel 2 (interval)</v>
      </c>
      <c r="H1601" s="171">
        <f>_xlfn.AGGREGATE(2,5,LineærRegression_Valg[[#This Row],[Tabel ID]])</f>
        <v>1</v>
      </c>
    </row>
    <row r="1602" spans="1:8" x14ac:dyDescent="0.2">
      <c r="A1602">
        <f>ROW(LineærRegression_Valg[[#This Row],[Tabel ID]])-ROW(LineærRegression_Valg[[#Headers],[Tabel ID]])</f>
        <v>1592</v>
      </c>
      <c r="B1602" s="171">
        <f>ROUNDDOWN((LineærRegression_Valg[[#This Row],[Tabel ID]]-1)/$B$5,0)+1</f>
        <v>398</v>
      </c>
      <c r="C1602" s="171">
        <f t="shared" si="24"/>
        <v>4</v>
      </c>
      <c r="D1602" s="171" t="b">
        <f>LineærRegression_Valg[[#This Row],[Afhængig variabel ID]]&lt;&gt;LineærRegression_Valg[[#This Row],[Uafhængig variabel ID]]</f>
        <v>1</v>
      </c>
      <c r="E1602" s="171" t="b">
        <f>LineærRegression_Valg[[#This Row],[Afhængig variabel ID]]&lt;=$B$5</f>
        <v>0</v>
      </c>
      <c r="F1602" t="str" cm="1">
        <f t="array" ref="F1602">IF(LineærRegression_Valg[[#This Row],[Indenfor range]],INDEX(DataTitel_liste,LineærRegression_Valg[[#This Row],[Afhængig variabel ID]]),INDEX(DataTitel_liste,1))</f>
        <v>Eksempel 1 (interval)</v>
      </c>
      <c r="G1602" s="171" t="str" cm="1">
        <f t="array" ref="G1602">IF(LineærRegression_Valg[[#This Row],[Indenfor range]],IF(LineærRegression_Valg[[#This Row],[Intet overlap]],INDEX(DataTitel_liste,LineærRegression_Valg[[#This Row],[Uafhængig variabel ID]]),INDEX(DataTitel_liste,IF(LineærRegression_Valg[[#This Row],[Afhængig variabel ID]]=1,2,1))),$B$7)</f>
        <v>Eksempel 2 (interval)</v>
      </c>
      <c r="H1602" s="171">
        <f>_xlfn.AGGREGATE(2,5,LineærRegression_Valg[[#This Row],[Tabel ID]])</f>
        <v>1</v>
      </c>
    </row>
    <row r="1603" spans="1:8" x14ac:dyDescent="0.2">
      <c r="A1603">
        <f>ROW(LineærRegression_Valg[[#This Row],[Tabel ID]])-ROW(LineærRegression_Valg[[#Headers],[Tabel ID]])</f>
        <v>1593</v>
      </c>
      <c r="B1603" s="171">
        <f>ROUNDDOWN((LineærRegression_Valg[[#This Row],[Tabel ID]]-1)/$B$5,0)+1</f>
        <v>399</v>
      </c>
      <c r="C1603" s="171">
        <f t="shared" si="24"/>
        <v>1</v>
      </c>
      <c r="D1603" s="171" t="b">
        <f>LineærRegression_Valg[[#This Row],[Afhængig variabel ID]]&lt;&gt;LineærRegression_Valg[[#This Row],[Uafhængig variabel ID]]</f>
        <v>1</v>
      </c>
      <c r="E1603" s="171" t="b">
        <f>LineærRegression_Valg[[#This Row],[Afhængig variabel ID]]&lt;=$B$5</f>
        <v>0</v>
      </c>
      <c r="F1603" t="str" cm="1">
        <f t="array" ref="F1603">IF(LineærRegression_Valg[[#This Row],[Indenfor range]],INDEX(DataTitel_liste,LineærRegression_Valg[[#This Row],[Afhængig variabel ID]]),INDEX(DataTitel_liste,1))</f>
        <v>Eksempel 1 (interval)</v>
      </c>
      <c r="G1603" s="171" t="str" cm="1">
        <f t="array" ref="G1603">IF(LineærRegression_Valg[[#This Row],[Indenfor range]],IF(LineærRegression_Valg[[#This Row],[Intet overlap]],INDEX(DataTitel_liste,LineærRegression_Valg[[#This Row],[Uafhængig variabel ID]]),INDEX(DataTitel_liste,IF(LineærRegression_Valg[[#This Row],[Afhængig variabel ID]]=1,2,1))),$B$7)</f>
        <v>Eksempel 2 (interval)</v>
      </c>
      <c r="H1603" s="171">
        <f>_xlfn.AGGREGATE(2,5,LineærRegression_Valg[[#This Row],[Tabel ID]])</f>
        <v>1</v>
      </c>
    </row>
    <row r="1604" spans="1:8" x14ac:dyDescent="0.2">
      <c r="A1604">
        <f>ROW(LineærRegression_Valg[[#This Row],[Tabel ID]])-ROW(LineærRegression_Valg[[#Headers],[Tabel ID]])</f>
        <v>1594</v>
      </c>
      <c r="B1604" s="171">
        <f>ROUNDDOWN((LineærRegression_Valg[[#This Row],[Tabel ID]]-1)/$B$5,0)+1</f>
        <v>399</v>
      </c>
      <c r="C1604" s="171">
        <f t="shared" si="24"/>
        <v>2</v>
      </c>
      <c r="D1604" s="171" t="b">
        <f>LineærRegression_Valg[[#This Row],[Afhængig variabel ID]]&lt;&gt;LineærRegression_Valg[[#This Row],[Uafhængig variabel ID]]</f>
        <v>1</v>
      </c>
      <c r="E1604" s="171" t="b">
        <f>LineærRegression_Valg[[#This Row],[Afhængig variabel ID]]&lt;=$B$5</f>
        <v>0</v>
      </c>
      <c r="F1604" t="str" cm="1">
        <f t="array" ref="F1604">IF(LineærRegression_Valg[[#This Row],[Indenfor range]],INDEX(DataTitel_liste,LineærRegression_Valg[[#This Row],[Afhængig variabel ID]]),INDEX(DataTitel_liste,1))</f>
        <v>Eksempel 1 (interval)</v>
      </c>
      <c r="G1604" s="171" t="str" cm="1">
        <f t="array" ref="G1604">IF(LineærRegression_Valg[[#This Row],[Indenfor range]],IF(LineærRegression_Valg[[#This Row],[Intet overlap]],INDEX(DataTitel_liste,LineærRegression_Valg[[#This Row],[Uafhængig variabel ID]]),INDEX(DataTitel_liste,IF(LineærRegression_Valg[[#This Row],[Afhængig variabel ID]]=1,2,1))),$B$7)</f>
        <v>Eksempel 2 (interval)</v>
      </c>
      <c r="H1604" s="171">
        <f>_xlfn.AGGREGATE(2,5,LineærRegression_Valg[[#This Row],[Tabel ID]])</f>
        <v>1</v>
      </c>
    </row>
    <row r="1605" spans="1:8" x14ac:dyDescent="0.2">
      <c r="A1605">
        <f>ROW(LineærRegression_Valg[[#This Row],[Tabel ID]])-ROW(LineærRegression_Valg[[#Headers],[Tabel ID]])</f>
        <v>1595</v>
      </c>
      <c r="B1605" s="171">
        <f>ROUNDDOWN((LineærRegression_Valg[[#This Row],[Tabel ID]]-1)/$B$5,0)+1</f>
        <v>399</v>
      </c>
      <c r="C1605" s="171">
        <f t="shared" si="24"/>
        <v>3</v>
      </c>
      <c r="D1605" s="171" t="b">
        <f>LineærRegression_Valg[[#This Row],[Afhængig variabel ID]]&lt;&gt;LineærRegression_Valg[[#This Row],[Uafhængig variabel ID]]</f>
        <v>1</v>
      </c>
      <c r="E1605" s="171" t="b">
        <f>LineærRegression_Valg[[#This Row],[Afhængig variabel ID]]&lt;=$B$5</f>
        <v>0</v>
      </c>
      <c r="F1605" t="str" cm="1">
        <f t="array" ref="F1605">IF(LineærRegression_Valg[[#This Row],[Indenfor range]],INDEX(DataTitel_liste,LineærRegression_Valg[[#This Row],[Afhængig variabel ID]]),INDEX(DataTitel_liste,1))</f>
        <v>Eksempel 1 (interval)</v>
      </c>
      <c r="G1605" s="171" t="str" cm="1">
        <f t="array" ref="G1605">IF(LineærRegression_Valg[[#This Row],[Indenfor range]],IF(LineærRegression_Valg[[#This Row],[Intet overlap]],INDEX(DataTitel_liste,LineærRegression_Valg[[#This Row],[Uafhængig variabel ID]]),INDEX(DataTitel_liste,IF(LineærRegression_Valg[[#This Row],[Afhængig variabel ID]]=1,2,1))),$B$7)</f>
        <v>Eksempel 2 (interval)</v>
      </c>
      <c r="H1605" s="171">
        <f>_xlfn.AGGREGATE(2,5,LineærRegression_Valg[[#This Row],[Tabel ID]])</f>
        <v>1</v>
      </c>
    </row>
    <row r="1606" spans="1:8" x14ac:dyDescent="0.2">
      <c r="A1606">
        <f>ROW(LineærRegression_Valg[[#This Row],[Tabel ID]])-ROW(LineærRegression_Valg[[#Headers],[Tabel ID]])</f>
        <v>1596</v>
      </c>
      <c r="B1606" s="171">
        <f>ROUNDDOWN((LineærRegression_Valg[[#This Row],[Tabel ID]]-1)/$B$5,0)+1</f>
        <v>399</v>
      </c>
      <c r="C1606" s="171">
        <f t="shared" si="24"/>
        <v>4</v>
      </c>
      <c r="D1606" s="171" t="b">
        <f>LineærRegression_Valg[[#This Row],[Afhængig variabel ID]]&lt;&gt;LineærRegression_Valg[[#This Row],[Uafhængig variabel ID]]</f>
        <v>1</v>
      </c>
      <c r="E1606" s="171" t="b">
        <f>LineærRegression_Valg[[#This Row],[Afhængig variabel ID]]&lt;=$B$5</f>
        <v>0</v>
      </c>
      <c r="F1606" t="str" cm="1">
        <f t="array" ref="F1606">IF(LineærRegression_Valg[[#This Row],[Indenfor range]],INDEX(DataTitel_liste,LineærRegression_Valg[[#This Row],[Afhængig variabel ID]]),INDEX(DataTitel_liste,1))</f>
        <v>Eksempel 1 (interval)</v>
      </c>
      <c r="G1606" s="171" t="str" cm="1">
        <f t="array" ref="G1606">IF(LineærRegression_Valg[[#This Row],[Indenfor range]],IF(LineærRegression_Valg[[#This Row],[Intet overlap]],INDEX(DataTitel_liste,LineærRegression_Valg[[#This Row],[Uafhængig variabel ID]]),INDEX(DataTitel_liste,IF(LineærRegression_Valg[[#This Row],[Afhængig variabel ID]]=1,2,1))),$B$7)</f>
        <v>Eksempel 2 (interval)</v>
      </c>
      <c r="H1606" s="171">
        <f>_xlfn.AGGREGATE(2,5,LineærRegression_Valg[[#This Row],[Tabel ID]])</f>
        <v>1</v>
      </c>
    </row>
    <row r="1607" spans="1:8" x14ac:dyDescent="0.2">
      <c r="A1607">
        <f>ROW(LineærRegression_Valg[[#This Row],[Tabel ID]])-ROW(LineærRegression_Valg[[#Headers],[Tabel ID]])</f>
        <v>1597</v>
      </c>
      <c r="B1607" s="171">
        <f>ROUNDDOWN((LineærRegression_Valg[[#This Row],[Tabel ID]]-1)/$B$5,0)+1</f>
        <v>400</v>
      </c>
      <c r="C1607" s="171">
        <f t="shared" si="24"/>
        <v>1</v>
      </c>
      <c r="D1607" s="171" t="b">
        <f>LineærRegression_Valg[[#This Row],[Afhængig variabel ID]]&lt;&gt;LineærRegression_Valg[[#This Row],[Uafhængig variabel ID]]</f>
        <v>1</v>
      </c>
      <c r="E1607" s="171" t="b">
        <f>LineærRegression_Valg[[#This Row],[Afhængig variabel ID]]&lt;=$B$5</f>
        <v>0</v>
      </c>
      <c r="F1607" t="str" cm="1">
        <f t="array" ref="F1607">IF(LineærRegression_Valg[[#This Row],[Indenfor range]],INDEX(DataTitel_liste,LineærRegression_Valg[[#This Row],[Afhængig variabel ID]]),INDEX(DataTitel_liste,1))</f>
        <v>Eksempel 1 (interval)</v>
      </c>
      <c r="G1607" s="171" t="str" cm="1">
        <f t="array" ref="G1607">IF(LineærRegression_Valg[[#This Row],[Indenfor range]],IF(LineærRegression_Valg[[#This Row],[Intet overlap]],INDEX(DataTitel_liste,LineærRegression_Valg[[#This Row],[Uafhængig variabel ID]]),INDEX(DataTitel_liste,IF(LineærRegression_Valg[[#This Row],[Afhængig variabel ID]]=1,2,1))),$B$7)</f>
        <v>Eksempel 2 (interval)</v>
      </c>
      <c r="H1607" s="171">
        <f>_xlfn.AGGREGATE(2,5,LineærRegression_Valg[[#This Row],[Tabel ID]])</f>
        <v>1</v>
      </c>
    </row>
    <row r="1608" spans="1:8" x14ac:dyDescent="0.2">
      <c r="A1608">
        <f>ROW(LineærRegression_Valg[[#This Row],[Tabel ID]])-ROW(LineærRegression_Valg[[#Headers],[Tabel ID]])</f>
        <v>1598</v>
      </c>
      <c r="B1608" s="171">
        <f>ROUNDDOWN((LineærRegression_Valg[[#This Row],[Tabel ID]]-1)/$B$5,0)+1</f>
        <v>400</v>
      </c>
      <c r="C1608" s="171">
        <f t="shared" si="24"/>
        <v>2</v>
      </c>
      <c r="D1608" s="171" t="b">
        <f>LineærRegression_Valg[[#This Row],[Afhængig variabel ID]]&lt;&gt;LineærRegression_Valg[[#This Row],[Uafhængig variabel ID]]</f>
        <v>1</v>
      </c>
      <c r="E1608" s="171" t="b">
        <f>LineærRegression_Valg[[#This Row],[Afhængig variabel ID]]&lt;=$B$5</f>
        <v>0</v>
      </c>
      <c r="F1608" t="str" cm="1">
        <f t="array" ref="F1608">IF(LineærRegression_Valg[[#This Row],[Indenfor range]],INDEX(DataTitel_liste,LineærRegression_Valg[[#This Row],[Afhængig variabel ID]]),INDEX(DataTitel_liste,1))</f>
        <v>Eksempel 1 (interval)</v>
      </c>
      <c r="G1608" s="171" t="str" cm="1">
        <f t="array" ref="G1608">IF(LineærRegression_Valg[[#This Row],[Indenfor range]],IF(LineærRegression_Valg[[#This Row],[Intet overlap]],INDEX(DataTitel_liste,LineærRegression_Valg[[#This Row],[Uafhængig variabel ID]]),INDEX(DataTitel_liste,IF(LineærRegression_Valg[[#This Row],[Afhængig variabel ID]]=1,2,1))),$B$7)</f>
        <v>Eksempel 2 (interval)</v>
      </c>
      <c r="H1608" s="171">
        <f>_xlfn.AGGREGATE(2,5,LineærRegression_Valg[[#This Row],[Tabel ID]])</f>
        <v>1</v>
      </c>
    </row>
    <row r="1609" spans="1:8" x14ac:dyDescent="0.2">
      <c r="A1609">
        <f>ROW(LineærRegression_Valg[[#This Row],[Tabel ID]])-ROW(LineærRegression_Valg[[#Headers],[Tabel ID]])</f>
        <v>1599</v>
      </c>
      <c r="B1609" s="171">
        <f>ROUNDDOWN((LineærRegression_Valg[[#This Row],[Tabel ID]]-1)/$B$5,0)+1</f>
        <v>400</v>
      </c>
      <c r="C1609" s="171">
        <f t="shared" si="24"/>
        <v>3</v>
      </c>
      <c r="D1609" s="171" t="b">
        <f>LineærRegression_Valg[[#This Row],[Afhængig variabel ID]]&lt;&gt;LineærRegression_Valg[[#This Row],[Uafhængig variabel ID]]</f>
        <v>1</v>
      </c>
      <c r="E1609" s="171" t="b">
        <f>LineærRegression_Valg[[#This Row],[Afhængig variabel ID]]&lt;=$B$5</f>
        <v>0</v>
      </c>
      <c r="F1609" t="str" cm="1">
        <f t="array" ref="F1609">IF(LineærRegression_Valg[[#This Row],[Indenfor range]],INDEX(DataTitel_liste,LineærRegression_Valg[[#This Row],[Afhængig variabel ID]]),INDEX(DataTitel_liste,1))</f>
        <v>Eksempel 1 (interval)</v>
      </c>
      <c r="G1609" s="171" t="str" cm="1">
        <f t="array" ref="G1609">IF(LineærRegression_Valg[[#This Row],[Indenfor range]],IF(LineærRegression_Valg[[#This Row],[Intet overlap]],INDEX(DataTitel_liste,LineærRegression_Valg[[#This Row],[Uafhængig variabel ID]]),INDEX(DataTitel_liste,IF(LineærRegression_Valg[[#This Row],[Afhængig variabel ID]]=1,2,1))),$B$7)</f>
        <v>Eksempel 2 (interval)</v>
      </c>
      <c r="H1609" s="171">
        <f>_xlfn.AGGREGATE(2,5,LineærRegression_Valg[[#This Row],[Tabel ID]])</f>
        <v>1</v>
      </c>
    </row>
    <row r="1610" spans="1:8" x14ac:dyDescent="0.2">
      <c r="A1610">
        <f>ROW(LineærRegression_Valg[[#This Row],[Tabel ID]])-ROW(LineærRegression_Valg[[#Headers],[Tabel ID]])</f>
        <v>1600</v>
      </c>
      <c r="B1610" s="171">
        <f>ROUNDDOWN((LineærRegression_Valg[[#This Row],[Tabel ID]]-1)/$B$5,0)+1</f>
        <v>400</v>
      </c>
      <c r="C1610" s="171">
        <f t="shared" si="24"/>
        <v>4</v>
      </c>
      <c r="D1610" s="171" t="b">
        <f>LineærRegression_Valg[[#This Row],[Afhængig variabel ID]]&lt;&gt;LineærRegression_Valg[[#This Row],[Uafhængig variabel ID]]</f>
        <v>1</v>
      </c>
      <c r="E1610" s="171" t="b">
        <f>LineærRegression_Valg[[#This Row],[Afhængig variabel ID]]&lt;=$B$5</f>
        <v>0</v>
      </c>
      <c r="F1610" t="str" cm="1">
        <f t="array" ref="F1610">IF(LineærRegression_Valg[[#This Row],[Indenfor range]],INDEX(DataTitel_liste,LineærRegression_Valg[[#This Row],[Afhængig variabel ID]]),INDEX(DataTitel_liste,1))</f>
        <v>Eksempel 1 (interval)</v>
      </c>
      <c r="G1610" s="171" t="str" cm="1">
        <f t="array" ref="G1610">IF(LineærRegression_Valg[[#This Row],[Indenfor range]],IF(LineærRegression_Valg[[#This Row],[Intet overlap]],INDEX(DataTitel_liste,LineærRegression_Valg[[#This Row],[Uafhængig variabel ID]]),INDEX(DataTitel_liste,IF(LineærRegression_Valg[[#This Row],[Afhængig variabel ID]]=1,2,1))),$B$7)</f>
        <v>Eksempel 2 (interval)</v>
      </c>
      <c r="H1610" s="171">
        <f>_xlfn.AGGREGATE(2,5,LineærRegression_Valg[[#This Row],[Tabel ID]])</f>
        <v>1</v>
      </c>
    </row>
    <row r="1611" spans="1:8" x14ac:dyDescent="0.2">
      <c r="A1611">
        <f>ROW(LineærRegression_Valg[[#This Row],[Tabel ID]])-ROW(LineærRegression_Valg[[#Headers],[Tabel ID]])</f>
        <v>1601</v>
      </c>
      <c r="B1611" s="171">
        <f>ROUNDDOWN((LineærRegression_Valg[[#This Row],[Tabel ID]]-1)/$B$5,0)+1</f>
        <v>401</v>
      </c>
      <c r="C1611" s="171">
        <f t="shared" ref="C1611:C1674" si="25">MOD(A1611-1,$B$5)+1</f>
        <v>1</v>
      </c>
      <c r="D1611" s="171" t="b">
        <f>LineærRegression_Valg[[#This Row],[Afhængig variabel ID]]&lt;&gt;LineærRegression_Valg[[#This Row],[Uafhængig variabel ID]]</f>
        <v>1</v>
      </c>
      <c r="E1611" s="171" t="b">
        <f>LineærRegression_Valg[[#This Row],[Afhængig variabel ID]]&lt;=$B$5</f>
        <v>0</v>
      </c>
      <c r="F1611" t="str" cm="1">
        <f t="array" ref="F1611">IF(LineærRegression_Valg[[#This Row],[Indenfor range]],INDEX(DataTitel_liste,LineærRegression_Valg[[#This Row],[Afhængig variabel ID]]),INDEX(DataTitel_liste,1))</f>
        <v>Eksempel 1 (interval)</v>
      </c>
      <c r="G1611" s="171" t="str" cm="1">
        <f t="array" ref="G1611">IF(LineærRegression_Valg[[#This Row],[Indenfor range]],IF(LineærRegression_Valg[[#This Row],[Intet overlap]],INDEX(DataTitel_liste,LineærRegression_Valg[[#This Row],[Uafhængig variabel ID]]),INDEX(DataTitel_liste,IF(LineærRegression_Valg[[#This Row],[Afhængig variabel ID]]=1,2,1))),$B$7)</f>
        <v>Eksempel 2 (interval)</v>
      </c>
      <c r="H1611" s="171">
        <f>_xlfn.AGGREGATE(2,5,LineærRegression_Valg[[#This Row],[Tabel ID]])</f>
        <v>1</v>
      </c>
    </row>
    <row r="1612" spans="1:8" x14ac:dyDescent="0.2">
      <c r="A1612">
        <f>ROW(LineærRegression_Valg[[#This Row],[Tabel ID]])-ROW(LineærRegression_Valg[[#Headers],[Tabel ID]])</f>
        <v>1602</v>
      </c>
      <c r="B1612" s="171">
        <f>ROUNDDOWN((LineærRegression_Valg[[#This Row],[Tabel ID]]-1)/$B$5,0)+1</f>
        <v>401</v>
      </c>
      <c r="C1612" s="171">
        <f t="shared" si="25"/>
        <v>2</v>
      </c>
      <c r="D1612" s="171" t="b">
        <f>LineærRegression_Valg[[#This Row],[Afhængig variabel ID]]&lt;&gt;LineærRegression_Valg[[#This Row],[Uafhængig variabel ID]]</f>
        <v>1</v>
      </c>
      <c r="E1612" s="171" t="b">
        <f>LineærRegression_Valg[[#This Row],[Afhængig variabel ID]]&lt;=$B$5</f>
        <v>0</v>
      </c>
      <c r="F1612" t="str" cm="1">
        <f t="array" ref="F1612">IF(LineærRegression_Valg[[#This Row],[Indenfor range]],INDEX(DataTitel_liste,LineærRegression_Valg[[#This Row],[Afhængig variabel ID]]),INDEX(DataTitel_liste,1))</f>
        <v>Eksempel 1 (interval)</v>
      </c>
      <c r="G1612" s="171" t="str" cm="1">
        <f t="array" ref="G1612">IF(LineærRegression_Valg[[#This Row],[Indenfor range]],IF(LineærRegression_Valg[[#This Row],[Intet overlap]],INDEX(DataTitel_liste,LineærRegression_Valg[[#This Row],[Uafhængig variabel ID]]),INDEX(DataTitel_liste,IF(LineærRegression_Valg[[#This Row],[Afhængig variabel ID]]=1,2,1))),$B$7)</f>
        <v>Eksempel 2 (interval)</v>
      </c>
      <c r="H1612" s="171">
        <f>_xlfn.AGGREGATE(2,5,LineærRegression_Valg[[#This Row],[Tabel ID]])</f>
        <v>1</v>
      </c>
    </row>
    <row r="1613" spans="1:8" x14ac:dyDescent="0.2">
      <c r="A1613">
        <f>ROW(LineærRegression_Valg[[#This Row],[Tabel ID]])-ROW(LineærRegression_Valg[[#Headers],[Tabel ID]])</f>
        <v>1603</v>
      </c>
      <c r="B1613" s="171">
        <f>ROUNDDOWN((LineærRegression_Valg[[#This Row],[Tabel ID]]-1)/$B$5,0)+1</f>
        <v>401</v>
      </c>
      <c r="C1613" s="171">
        <f t="shared" si="25"/>
        <v>3</v>
      </c>
      <c r="D1613" s="171" t="b">
        <f>LineærRegression_Valg[[#This Row],[Afhængig variabel ID]]&lt;&gt;LineærRegression_Valg[[#This Row],[Uafhængig variabel ID]]</f>
        <v>1</v>
      </c>
      <c r="E1613" s="171" t="b">
        <f>LineærRegression_Valg[[#This Row],[Afhængig variabel ID]]&lt;=$B$5</f>
        <v>0</v>
      </c>
      <c r="F1613" t="str" cm="1">
        <f t="array" ref="F1613">IF(LineærRegression_Valg[[#This Row],[Indenfor range]],INDEX(DataTitel_liste,LineærRegression_Valg[[#This Row],[Afhængig variabel ID]]),INDEX(DataTitel_liste,1))</f>
        <v>Eksempel 1 (interval)</v>
      </c>
      <c r="G1613" s="171" t="str" cm="1">
        <f t="array" ref="G1613">IF(LineærRegression_Valg[[#This Row],[Indenfor range]],IF(LineærRegression_Valg[[#This Row],[Intet overlap]],INDEX(DataTitel_liste,LineærRegression_Valg[[#This Row],[Uafhængig variabel ID]]),INDEX(DataTitel_liste,IF(LineærRegression_Valg[[#This Row],[Afhængig variabel ID]]=1,2,1))),$B$7)</f>
        <v>Eksempel 2 (interval)</v>
      </c>
      <c r="H1613" s="171">
        <f>_xlfn.AGGREGATE(2,5,LineærRegression_Valg[[#This Row],[Tabel ID]])</f>
        <v>1</v>
      </c>
    </row>
    <row r="1614" spans="1:8" x14ac:dyDescent="0.2">
      <c r="A1614">
        <f>ROW(LineærRegression_Valg[[#This Row],[Tabel ID]])-ROW(LineærRegression_Valg[[#Headers],[Tabel ID]])</f>
        <v>1604</v>
      </c>
      <c r="B1614" s="171">
        <f>ROUNDDOWN((LineærRegression_Valg[[#This Row],[Tabel ID]]-1)/$B$5,0)+1</f>
        <v>401</v>
      </c>
      <c r="C1614" s="171">
        <f t="shared" si="25"/>
        <v>4</v>
      </c>
      <c r="D1614" s="171" t="b">
        <f>LineærRegression_Valg[[#This Row],[Afhængig variabel ID]]&lt;&gt;LineærRegression_Valg[[#This Row],[Uafhængig variabel ID]]</f>
        <v>1</v>
      </c>
      <c r="E1614" s="171" t="b">
        <f>LineærRegression_Valg[[#This Row],[Afhængig variabel ID]]&lt;=$B$5</f>
        <v>0</v>
      </c>
      <c r="F1614" t="str" cm="1">
        <f t="array" ref="F1614">IF(LineærRegression_Valg[[#This Row],[Indenfor range]],INDEX(DataTitel_liste,LineærRegression_Valg[[#This Row],[Afhængig variabel ID]]),INDEX(DataTitel_liste,1))</f>
        <v>Eksempel 1 (interval)</v>
      </c>
      <c r="G1614" s="171" t="str" cm="1">
        <f t="array" ref="G1614">IF(LineærRegression_Valg[[#This Row],[Indenfor range]],IF(LineærRegression_Valg[[#This Row],[Intet overlap]],INDEX(DataTitel_liste,LineærRegression_Valg[[#This Row],[Uafhængig variabel ID]]),INDEX(DataTitel_liste,IF(LineærRegression_Valg[[#This Row],[Afhængig variabel ID]]=1,2,1))),$B$7)</f>
        <v>Eksempel 2 (interval)</v>
      </c>
      <c r="H1614" s="171">
        <f>_xlfn.AGGREGATE(2,5,LineærRegression_Valg[[#This Row],[Tabel ID]])</f>
        <v>1</v>
      </c>
    </row>
    <row r="1615" spans="1:8" x14ac:dyDescent="0.2">
      <c r="A1615">
        <f>ROW(LineærRegression_Valg[[#This Row],[Tabel ID]])-ROW(LineærRegression_Valg[[#Headers],[Tabel ID]])</f>
        <v>1605</v>
      </c>
      <c r="B1615" s="171">
        <f>ROUNDDOWN((LineærRegression_Valg[[#This Row],[Tabel ID]]-1)/$B$5,0)+1</f>
        <v>402</v>
      </c>
      <c r="C1615" s="171">
        <f t="shared" si="25"/>
        <v>1</v>
      </c>
      <c r="D1615" s="171" t="b">
        <f>LineærRegression_Valg[[#This Row],[Afhængig variabel ID]]&lt;&gt;LineærRegression_Valg[[#This Row],[Uafhængig variabel ID]]</f>
        <v>1</v>
      </c>
      <c r="E1615" s="171" t="b">
        <f>LineærRegression_Valg[[#This Row],[Afhængig variabel ID]]&lt;=$B$5</f>
        <v>0</v>
      </c>
      <c r="F1615" t="str" cm="1">
        <f t="array" ref="F1615">IF(LineærRegression_Valg[[#This Row],[Indenfor range]],INDEX(DataTitel_liste,LineærRegression_Valg[[#This Row],[Afhængig variabel ID]]),INDEX(DataTitel_liste,1))</f>
        <v>Eksempel 1 (interval)</v>
      </c>
      <c r="G1615" s="171" t="str" cm="1">
        <f t="array" ref="G1615">IF(LineærRegression_Valg[[#This Row],[Indenfor range]],IF(LineærRegression_Valg[[#This Row],[Intet overlap]],INDEX(DataTitel_liste,LineærRegression_Valg[[#This Row],[Uafhængig variabel ID]]),INDEX(DataTitel_liste,IF(LineærRegression_Valg[[#This Row],[Afhængig variabel ID]]=1,2,1))),$B$7)</f>
        <v>Eksempel 2 (interval)</v>
      </c>
      <c r="H1615" s="171">
        <f>_xlfn.AGGREGATE(2,5,LineærRegression_Valg[[#This Row],[Tabel ID]])</f>
        <v>1</v>
      </c>
    </row>
    <row r="1616" spans="1:8" x14ac:dyDescent="0.2">
      <c r="A1616">
        <f>ROW(LineærRegression_Valg[[#This Row],[Tabel ID]])-ROW(LineærRegression_Valg[[#Headers],[Tabel ID]])</f>
        <v>1606</v>
      </c>
      <c r="B1616" s="171">
        <f>ROUNDDOWN((LineærRegression_Valg[[#This Row],[Tabel ID]]-1)/$B$5,0)+1</f>
        <v>402</v>
      </c>
      <c r="C1616" s="171">
        <f t="shared" si="25"/>
        <v>2</v>
      </c>
      <c r="D1616" s="171" t="b">
        <f>LineærRegression_Valg[[#This Row],[Afhængig variabel ID]]&lt;&gt;LineærRegression_Valg[[#This Row],[Uafhængig variabel ID]]</f>
        <v>1</v>
      </c>
      <c r="E1616" s="171" t="b">
        <f>LineærRegression_Valg[[#This Row],[Afhængig variabel ID]]&lt;=$B$5</f>
        <v>0</v>
      </c>
      <c r="F1616" t="str" cm="1">
        <f t="array" ref="F1616">IF(LineærRegression_Valg[[#This Row],[Indenfor range]],INDEX(DataTitel_liste,LineærRegression_Valg[[#This Row],[Afhængig variabel ID]]),INDEX(DataTitel_liste,1))</f>
        <v>Eksempel 1 (interval)</v>
      </c>
      <c r="G1616" s="171" t="str" cm="1">
        <f t="array" ref="G1616">IF(LineærRegression_Valg[[#This Row],[Indenfor range]],IF(LineærRegression_Valg[[#This Row],[Intet overlap]],INDEX(DataTitel_liste,LineærRegression_Valg[[#This Row],[Uafhængig variabel ID]]),INDEX(DataTitel_liste,IF(LineærRegression_Valg[[#This Row],[Afhængig variabel ID]]=1,2,1))),$B$7)</f>
        <v>Eksempel 2 (interval)</v>
      </c>
      <c r="H1616" s="171">
        <f>_xlfn.AGGREGATE(2,5,LineærRegression_Valg[[#This Row],[Tabel ID]])</f>
        <v>1</v>
      </c>
    </row>
    <row r="1617" spans="1:8" x14ac:dyDescent="0.2">
      <c r="A1617">
        <f>ROW(LineærRegression_Valg[[#This Row],[Tabel ID]])-ROW(LineærRegression_Valg[[#Headers],[Tabel ID]])</f>
        <v>1607</v>
      </c>
      <c r="B1617" s="171">
        <f>ROUNDDOWN((LineærRegression_Valg[[#This Row],[Tabel ID]]-1)/$B$5,0)+1</f>
        <v>402</v>
      </c>
      <c r="C1617" s="171">
        <f t="shared" si="25"/>
        <v>3</v>
      </c>
      <c r="D1617" s="171" t="b">
        <f>LineærRegression_Valg[[#This Row],[Afhængig variabel ID]]&lt;&gt;LineærRegression_Valg[[#This Row],[Uafhængig variabel ID]]</f>
        <v>1</v>
      </c>
      <c r="E1617" s="171" t="b">
        <f>LineærRegression_Valg[[#This Row],[Afhængig variabel ID]]&lt;=$B$5</f>
        <v>0</v>
      </c>
      <c r="F1617" t="str" cm="1">
        <f t="array" ref="F1617">IF(LineærRegression_Valg[[#This Row],[Indenfor range]],INDEX(DataTitel_liste,LineærRegression_Valg[[#This Row],[Afhængig variabel ID]]),INDEX(DataTitel_liste,1))</f>
        <v>Eksempel 1 (interval)</v>
      </c>
      <c r="G1617" s="171" t="str" cm="1">
        <f t="array" ref="G1617">IF(LineærRegression_Valg[[#This Row],[Indenfor range]],IF(LineærRegression_Valg[[#This Row],[Intet overlap]],INDEX(DataTitel_liste,LineærRegression_Valg[[#This Row],[Uafhængig variabel ID]]),INDEX(DataTitel_liste,IF(LineærRegression_Valg[[#This Row],[Afhængig variabel ID]]=1,2,1))),$B$7)</f>
        <v>Eksempel 2 (interval)</v>
      </c>
      <c r="H1617" s="171">
        <f>_xlfn.AGGREGATE(2,5,LineærRegression_Valg[[#This Row],[Tabel ID]])</f>
        <v>1</v>
      </c>
    </row>
    <row r="1618" spans="1:8" x14ac:dyDescent="0.2">
      <c r="A1618">
        <f>ROW(LineærRegression_Valg[[#This Row],[Tabel ID]])-ROW(LineærRegression_Valg[[#Headers],[Tabel ID]])</f>
        <v>1608</v>
      </c>
      <c r="B1618" s="171">
        <f>ROUNDDOWN((LineærRegression_Valg[[#This Row],[Tabel ID]]-1)/$B$5,0)+1</f>
        <v>402</v>
      </c>
      <c r="C1618" s="171">
        <f t="shared" si="25"/>
        <v>4</v>
      </c>
      <c r="D1618" s="171" t="b">
        <f>LineærRegression_Valg[[#This Row],[Afhængig variabel ID]]&lt;&gt;LineærRegression_Valg[[#This Row],[Uafhængig variabel ID]]</f>
        <v>1</v>
      </c>
      <c r="E1618" s="171" t="b">
        <f>LineærRegression_Valg[[#This Row],[Afhængig variabel ID]]&lt;=$B$5</f>
        <v>0</v>
      </c>
      <c r="F1618" t="str" cm="1">
        <f t="array" ref="F1618">IF(LineærRegression_Valg[[#This Row],[Indenfor range]],INDEX(DataTitel_liste,LineærRegression_Valg[[#This Row],[Afhængig variabel ID]]),INDEX(DataTitel_liste,1))</f>
        <v>Eksempel 1 (interval)</v>
      </c>
      <c r="G1618" s="171" t="str" cm="1">
        <f t="array" ref="G1618">IF(LineærRegression_Valg[[#This Row],[Indenfor range]],IF(LineærRegression_Valg[[#This Row],[Intet overlap]],INDEX(DataTitel_liste,LineærRegression_Valg[[#This Row],[Uafhængig variabel ID]]),INDEX(DataTitel_liste,IF(LineærRegression_Valg[[#This Row],[Afhængig variabel ID]]=1,2,1))),$B$7)</f>
        <v>Eksempel 2 (interval)</v>
      </c>
      <c r="H1618" s="171">
        <f>_xlfn.AGGREGATE(2,5,LineærRegression_Valg[[#This Row],[Tabel ID]])</f>
        <v>1</v>
      </c>
    </row>
    <row r="1619" spans="1:8" x14ac:dyDescent="0.2">
      <c r="A1619">
        <f>ROW(LineærRegression_Valg[[#This Row],[Tabel ID]])-ROW(LineærRegression_Valg[[#Headers],[Tabel ID]])</f>
        <v>1609</v>
      </c>
      <c r="B1619" s="171">
        <f>ROUNDDOWN((LineærRegression_Valg[[#This Row],[Tabel ID]]-1)/$B$5,0)+1</f>
        <v>403</v>
      </c>
      <c r="C1619" s="171">
        <f t="shared" si="25"/>
        <v>1</v>
      </c>
      <c r="D1619" s="171" t="b">
        <f>LineærRegression_Valg[[#This Row],[Afhængig variabel ID]]&lt;&gt;LineærRegression_Valg[[#This Row],[Uafhængig variabel ID]]</f>
        <v>1</v>
      </c>
      <c r="E1619" s="171" t="b">
        <f>LineærRegression_Valg[[#This Row],[Afhængig variabel ID]]&lt;=$B$5</f>
        <v>0</v>
      </c>
      <c r="F1619" t="str" cm="1">
        <f t="array" ref="F1619">IF(LineærRegression_Valg[[#This Row],[Indenfor range]],INDEX(DataTitel_liste,LineærRegression_Valg[[#This Row],[Afhængig variabel ID]]),INDEX(DataTitel_liste,1))</f>
        <v>Eksempel 1 (interval)</v>
      </c>
      <c r="G1619" s="171" t="str" cm="1">
        <f t="array" ref="G1619">IF(LineærRegression_Valg[[#This Row],[Indenfor range]],IF(LineærRegression_Valg[[#This Row],[Intet overlap]],INDEX(DataTitel_liste,LineærRegression_Valg[[#This Row],[Uafhængig variabel ID]]),INDEX(DataTitel_liste,IF(LineærRegression_Valg[[#This Row],[Afhængig variabel ID]]=1,2,1))),$B$7)</f>
        <v>Eksempel 2 (interval)</v>
      </c>
      <c r="H1619" s="171">
        <f>_xlfn.AGGREGATE(2,5,LineærRegression_Valg[[#This Row],[Tabel ID]])</f>
        <v>1</v>
      </c>
    </row>
    <row r="1620" spans="1:8" x14ac:dyDescent="0.2">
      <c r="A1620">
        <f>ROW(LineærRegression_Valg[[#This Row],[Tabel ID]])-ROW(LineærRegression_Valg[[#Headers],[Tabel ID]])</f>
        <v>1610</v>
      </c>
      <c r="B1620" s="171">
        <f>ROUNDDOWN((LineærRegression_Valg[[#This Row],[Tabel ID]]-1)/$B$5,0)+1</f>
        <v>403</v>
      </c>
      <c r="C1620" s="171">
        <f t="shared" si="25"/>
        <v>2</v>
      </c>
      <c r="D1620" s="171" t="b">
        <f>LineærRegression_Valg[[#This Row],[Afhængig variabel ID]]&lt;&gt;LineærRegression_Valg[[#This Row],[Uafhængig variabel ID]]</f>
        <v>1</v>
      </c>
      <c r="E1620" s="171" t="b">
        <f>LineærRegression_Valg[[#This Row],[Afhængig variabel ID]]&lt;=$B$5</f>
        <v>0</v>
      </c>
      <c r="F1620" t="str" cm="1">
        <f t="array" ref="F1620">IF(LineærRegression_Valg[[#This Row],[Indenfor range]],INDEX(DataTitel_liste,LineærRegression_Valg[[#This Row],[Afhængig variabel ID]]),INDEX(DataTitel_liste,1))</f>
        <v>Eksempel 1 (interval)</v>
      </c>
      <c r="G1620" s="171" t="str" cm="1">
        <f t="array" ref="G1620">IF(LineærRegression_Valg[[#This Row],[Indenfor range]],IF(LineærRegression_Valg[[#This Row],[Intet overlap]],INDEX(DataTitel_liste,LineærRegression_Valg[[#This Row],[Uafhængig variabel ID]]),INDEX(DataTitel_liste,IF(LineærRegression_Valg[[#This Row],[Afhængig variabel ID]]=1,2,1))),$B$7)</f>
        <v>Eksempel 2 (interval)</v>
      </c>
      <c r="H1620" s="171">
        <f>_xlfn.AGGREGATE(2,5,LineærRegression_Valg[[#This Row],[Tabel ID]])</f>
        <v>1</v>
      </c>
    </row>
    <row r="1621" spans="1:8" x14ac:dyDescent="0.2">
      <c r="A1621">
        <f>ROW(LineærRegression_Valg[[#This Row],[Tabel ID]])-ROW(LineærRegression_Valg[[#Headers],[Tabel ID]])</f>
        <v>1611</v>
      </c>
      <c r="B1621" s="171">
        <f>ROUNDDOWN((LineærRegression_Valg[[#This Row],[Tabel ID]]-1)/$B$5,0)+1</f>
        <v>403</v>
      </c>
      <c r="C1621" s="171">
        <f t="shared" si="25"/>
        <v>3</v>
      </c>
      <c r="D1621" s="171" t="b">
        <f>LineærRegression_Valg[[#This Row],[Afhængig variabel ID]]&lt;&gt;LineærRegression_Valg[[#This Row],[Uafhængig variabel ID]]</f>
        <v>1</v>
      </c>
      <c r="E1621" s="171" t="b">
        <f>LineærRegression_Valg[[#This Row],[Afhængig variabel ID]]&lt;=$B$5</f>
        <v>0</v>
      </c>
      <c r="F1621" t="str" cm="1">
        <f t="array" ref="F1621">IF(LineærRegression_Valg[[#This Row],[Indenfor range]],INDEX(DataTitel_liste,LineærRegression_Valg[[#This Row],[Afhængig variabel ID]]),INDEX(DataTitel_liste,1))</f>
        <v>Eksempel 1 (interval)</v>
      </c>
      <c r="G1621" s="171" t="str" cm="1">
        <f t="array" ref="G1621">IF(LineærRegression_Valg[[#This Row],[Indenfor range]],IF(LineærRegression_Valg[[#This Row],[Intet overlap]],INDEX(DataTitel_liste,LineærRegression_Valg[[#This Row],[Uafhængig variabel ID]]),INDEX(DataTitel_liste,IF(LineærRegression_Valg[[#This Row],[Afhængig variabel ID]]=1,2,1))),$B$7)</f>
        <v>Eksempel 2 (interval)</v>
      </c>
      <c r="H1621" s="171">
        <f>_xlfn.AGGREGATE(2,5,LineærRegression_Valg[[#This Row],[Tabel ID]])</f>
        <v>1</v>
      </c>
    </row>
    <row r="1622" spans="1:8" x14ac:dyDescent="0.2">
      <c r="A1622">
        <f>ROW(LineærRegression_Valg[[#This Row],[Tabel ID]])-ROW(LineærRegression_Valg[[#Headers],[Tabel ID]])</f>
        <v>1612</v>
      </c>
      <c r="B1622" s="171">
        <f>ROUNDDOWN((LineærRegression_Valg[[#This Row],[Tabel ID]]-1)/$B$5,0)+1</f>
        <v>403</v>
      </c>
      <c r="C1622" s="171">
        <f t="shared" si="25"/>
        <v>4</v>
      </c>
      <c r="D1622" s="171" t="b">
        <f>LineærRegression_Valg[[#This Row],[Afhængig variabel ID]]&lt;&gt;LineærRegression_Valg[[#This Row],[Uafhængig variabel ID]]</f>
        <v>1</v>
      </c>
      <c r="E1622" s="171" t="b">
        <f>LineærRegression_Valg[[#This Row],[Afhængig variabel ID]]&lt;=$B$5</f>
        <v>0</v>
      </c>
      <c r="F1622" t="str" cm="1">
        <f t="array" ref="F1622">IF(LineærRegression_Valg[[#This Row],[Indenfor range]],INDEX(DataTitel_liste,LineærRegression_Valg[[#This Row],[Afhængig variabel ID]]),INDEX(DataTitel_liste,1))</f>
        <v>Eksempel 1 (interval)</v>
      </c>
      <c r="G1622" s="171" t="str" cm="1">
        <f t="array" ref="G1622">IF(LineærRegression_Valg[[#This Row],[Indenfor range]],IF(LineærRegression_Valg[[#This Row],[Intet overlap]],INDEX(DataTitel_liste,LineærRegression_Valg[[#This Row],[Uafhængig variabel ID]]),INDEX(DataTitel_liste,IF(LineærRegression_Valg[[#This Row],[Afhængig variabel ID]]=1,2,1))),$B$7)</f>
        <v>Eksempel 2 (interval)</v>
      </c>
      <c r="H1622" s="171">
        <f>_xlfn.AGGREGATE(2,5,LineærRegression_Valg[[#This Row],[Tabel ID]])</f>
        <v>1</v>
      </c>
    </row>
    <row r="1623" spans="1:8" x14ac:dyDescent="0.2">
      <c r="A1623">
        <f>ROW(LineærRegression_Valg[[#This Row],[Tabel ID]])-ROW(LineærRegression_Valg[[#Headers],[Tabel ID]])</f>
        <v>1613</v>
      </c>
      <c r="B1623" s="171">
        <f>ROUNDDOWN((LineærRegression_Valg[[#This Row],[Tabel ID]]-1)/$B$5,0)+1</f>
        <v>404</v>
      </c>
      <c r="C1623" s="171">
        <f t="shared" si="25"/>
        <v>1</v>
      </c>
      <c r="D1623" s="171" t="b">
        <f>LineærRegression_Valg[[#This Row],[Afhængig variabel ID]]&lt;&gt;LineærRegression_Valg[[#This Row],[Uafhængig variabel ID]]</f>
        <v>1</v>
      </c>
      <c r="E1623" s="171" t="b">
        <f>LineærRegression_Valg[[#This Row],[Afhængig variabel ID]]&lt;=$B$5</f>
        <v>0</v>
      </c>
      <c r="F1623" t="str" cm="1">
        <f t="array" ref="F1623">IF(LineærRegression_Valg[[#This Row],[Indenfor range]],INDEX(DataTitel_liste,LineærRegression_Valg[[#This Row],[Afhængig variabel ID]]),INDEX(DataTitel_liste,1))</f>
        <v>Eksempel 1 (interval)</v>
      </c>
      <c r="G1623" s="171" t="str" cm="1">
        <f t="array" ref="G1623">IF(LineærRegression_Valg[[#This Row],[Indenfor range]],IF(LineærRegression_Valg[[#This Row],[Intet overlap]],INDEX(DataTitel_liste,LineærRegression_Valg[[#This Row],[Uafhængig variabel ID]]),INDEX(DataTitel_liste,IF(LineærRegression_Valg[[#This Row],[Afhængig variabel ID]]=1,2,1))),$B$7)</f>
        <v>Eksempel 2 (interval)</v>
      </c>
      <c r="H1623" s="171">
        <f>_xlfn.AGGREGATE(2,5,LineærRegression_Valg[[#This Row],[Tabel ID]])</f>
        <v>1</v>
      </c>
    </row>
    <row r="1624" spans="1:8" x14ac:dyDescent="0.2">
      <c r="A1624">
        <f>ROW(LineærRegression_Valg[[#This Row],[Tabel ID]])-ROW(LineærRegression_Valg[[#Headers],[Tabel ID]])</f>
        <v>1614</v>
      </c>
      <c r="B1624" s="171">
        <f>ROUNDDOWN((LineærRegression_Valg[[#This Row],[Tabel ID]]-1)/$B$5,0)+1</f>
        <v>404</v>
      </c>
      <c r="C1624" s="171">
        <f t="shared" si="25"/>
        <v>2</v>
      </c>
      <c r="D1624" s="171" t="b">
        <f>LineærRegression_Valg[[#This Row],[Afhængig variabel ID]]&lt;&gt;LineærRegression_Valg[[#This Row],[Uafhængig variabel ID]]</f>
        <v>1</v>
      </c>
      <c r="E1624" s="171" t="b">
        <f>LineærRegression_Valg[[#This Row],[Afhængig variabel ID]]&lt;=$B$5</f>
        <v>0</v>
      </c>
      <c r="F1624" t="str" cm="1">
        <f t="array" ref="F1624">IF(LineærRegression_Valg[[#This Row],[Indenfor range]],INDEX(DataTitel_liste,LineærRegression_Valg[[#This Row],[Afhængig variabel ID]]),INDEX(DataTitel_liste,1))</f>
        <v>Eksempel 1 (interval)</v>
      </c>
      <c r="G1624" s="171" t="str" cm="1">
        <f t="array" ref="G1624">IF(LineærRegression_Valg[[#This Row],[Indenfor range]],IF(LineærRegression_Valg[[#This Row],[Intet overlap]],INDEX(DataTitel_liste,LineærRegression_Valg[[#This Row],[Uafhængig variabel ID]]),INDEX(DataTitel_liste,IF(LineærRegression_Valg[[#This Row],[Afhængig variabel ID]]=1,2,1))),$B$7)</f>
        <v>Eksempel 2 (interval)</v>
      </c>
      <c r="H1624" s="171">
        <f>_xlfn.AGGREGATE(2,5,LineærRegression_Valg[[#This Row],[Tabel ID]])</f>
        <v>1</v>
      </c>
    </row>
    <row r="1625" spans="1:8" x14ac:dyDescent="0.2">
      <c r="A1625">
        <f>ROW(LineærRegression_Valg[[#This Row],[Tabel ID]])-ROW(LineærRegression_Valg[[#Headers],[Tabel ID]])</f>
        <v>1615</v>
      </c>
      <c r="B1625" s="171">
        <f>ROUNDDOWN((LineærRegression_Valg[[#This Row],[Tabel ID]]-1)/$B$5,0)+1</f>
        <v>404</v>
      </c>
      <c r="C1625" s="171">
        <f t="shared" si="25"/>
        <v>3</v>
      </c>
      <c r="D1625" s="171" t="b">
        <f>LineærRegression_Valg[[#This Row],[Afhængig variabel ID]]&lt;&gt;LineærRegression_Valg[[#This Row],[Uafhængig variabel ID]]</f>
        <v>1</v>
      </c>
      <c r="E1625" s="171" t="b">
        <f>LineærRegression_Valg[[#This Row],[Afhængig variabel ID]]&lt;=$B$5</f>
        <v>0</v>
      </c>
      <c r="F1625" t="str" cm="1">
        <f t="array" ref="F1625">IF(LineærRegression_Valg[[#This Row],[Indenfor range]],INDEX(DataTitel_liste,LineærRegression_Valg[[#This Row],[Afhængig variabel ID]]),INDEX(DataTitel_liste,1))</f>
        <v>Eksempel 1 (interval)</v>
      </c>
      <c r="G1625" s="171" t="str" cm="1">
        <f t="array" ref="G1625">IF(LineærRegression_Valg[[#This Row],[Indenfor range]],IF(LineærRegression_Valg[[#This Row],[Intet overlap]],INDEX(DataTitel_liste,LineærRegression_Valg[[#This Row],[Uafhængig variabel ID]]),INDEX(DataTitel_liste,IF(LineærRegression_Valg[[#This Row],[Afhængig variabel ID]]=1,2,1))),$B$7)</f>
        <v>Eksempel 2 (interval)</v>
      </c>
      <c r="H1625" s="171">
        <f>_xlfn.AGGREGATE(2,5,LineærRegression_Valg[[#This Row],[Tabel ID]])</f>
        <v>1</v>
      </c>
    </row>
    <row r="1626" spans="1:8" x14ac:dyDescent="0.2">
      <c r="A1626">
        <f>ROW(LineærRegression_Valg[[#This Row],[Tabel ID]])-ROW(LineærRegression_Valg[[#Headers],[Tabel ID]])</f>
        <v>1616</v>
      </c>
      <c r="B1626" s="171">
        <f>ROUNDDOWN((LineærRegression_Valg[[#This Row],[Tabel ID]]-1)/$B$5,0)+1</f>
        <v>404</v>
      </c>
      <c r="C1626" s="171">
        <f t="shared" si="25"/>
        <v>4</v>
      </c>
      <c r="D1626" s="171" t="b">
        <f>LineærRegression_Valg[[#This Row],[Afhængig variabel ID]]&lt;&gt;LineærRegression_Valg[[#This Row],[Uafhængig variabel ID]]</f>
        <v>1</v>
      </c>
      <c r="E1626" s="171" t="b">
        <f>LineærRegression_Valg[[#This Row],[Afhængig variabel ID]]&lt;=$B$5</f>
        <v>0</v>
      </c>
      <c r="F1626" t="str" cm="1">
        <f t="array" ref="F1626">IF(LineærRegression_Valg[[#This Row],[Indenfor range]],INDEX(DataTitel_liste,LineærRegression_Valg[[#This Row],[Afhængig variabel ID]]),INDEX(DataTitel_liste,1))</f>
        <v>Eksempel 1 (interval)</v>
      </c>
      <c r="G1626" s="171" t="str" cm="1">
        <f t="array" ref="G1626">IF(LineærRegression_Valg[[#This Row],[Indenfor range]],IF(LineærRegression_Valg[[#This Row],[Intet overlap]],INDEX(DataTitel_liste,LineærRegression_Valg[[#This Row],[Uafhængig variabel ID]]),INDEX(DataTitel_liste,IF(LineærRegression_Valg[[#This Row],[Afhængig variabel ID]]=1,2,1))),$B$7)</f>
        <v>Eksempel 2 (interval)</v>
      </c>
      <c r="H1626" s="171">
        <f>_xlfn.AGGREGATE(2,5,LineærRegression_Valg[[#This Row],[Tabel ID]])</f>
        <v>1</v>
      </c>
    </row>
    <row r="1627" spans="1:8" x14ac:dyDescent="0.2">
      <c r="A1627">
        <f>ROW(LineærRegression_Valg[[#This Row],[Tabel ID]])-ROW(LineærRegression_Valg[[#Headers],[Tabel ID]])</f>
        <v>1617</v>
      </c>
      <c r="B1627" s="171">
        <f>ROUNDDOWN((LineærRegression_Valg[[#This Row],[Tabel ID]]-1)/$B$5,0)+1</f>
        <v>405</v>
      </c>
      <c r="C1627" s="171">
        <f t="shared" si="25"/>
        <v>1</v>
      </c>
      <c r="D1627" s="171" t="b">
        <f>LineærRegression_Valg[[#This Row],[Afhængig variabel ID]]&lt;&gt;LineærRegression_Valg[[#This Row],[Uafhængig variabel ID]]</f>
        <v>1</v>
      </c>
      <c r="E1627" s="171" t="b">
        <f>LineærRegression_Valg[[#This Row],[Afhængig variabel ID]]&lt;=$B$5</f>
        <v>0</v>
      </c>
      <c r="F1627" t="str" cm="1">
        <f t="array" ref="F1627">IF(LineærRegression_Valg[[#This Row],[Indenfor range]],INDEX(DataTitel_liste,LineærRegression_Valg[[#This Row],[Afhængig variabel ID]]),INDEX(DataTitel_liste,1))</f>
        <v>Eksempel 1 (interval)</v>
      </c>
      <c r="G1627" s="171" t="str" cm="1">
        <f t="array" ref="G1627">IF(LineærRegression_Valg[[#This Row],[Indenfor range]],IF(LineærRegression_Valg[[#This Row],[Intet overlap]],INDEX(DataTitel_liste,LineærRegression_Valg[[#This Row],[Uafhængig variabel ID]]),INDEX(DataTitel_liste,IF(LineærRegression_Valg[[#This Row],[Afhængig variabel ID]]=1,2,1))),$B$7)</f>
        <v>Eksempel 2 (interval)</v>
      </c>
      <c r="H1627" s="171">
        <f>_xlfn.AGGREGATE(2,5,LineærRegression_Valg[[#This Row],[Tabel ID]])</f>
        <v>1</v>
      </c>
    </row>
    <row r="1628" spans="1:8" x14ac:dyDescent="0.2">
      <c r="A1628">
        <f>ROW(LineærRegression_Valg[[#This Row],[Tabel ID]])-ROW(LineærRegression_Valg[[#Headers],[Tabel ID]])</f>
        <v>1618</v>
      </c>
      <c r="B1628" s="171">
        <f>ROUNDDOWN((LineærRegression_Valg[[#This Row],[Tabel ID]]-1)/$B$5,0)+1</f>
        <v>405</v>
      </c>
      <c r="C1628" s="171">
        <f t="shared" si="25"/>
        <v>2</v>
      </c>
      <c r="D1628" s="171" t="b">
        <f>LineærRegression_Valg[[#This Row],[Afhængig variabel ID]]&lt;&gt;LineærRegression_Valg[[#This Row],[Uafhængig variabel ID]]</f>
        <v>1</v>
      </c>
      <c r="E1628" s="171" t="b">
        <f>LineærRegression_Valg[[#This Row],[Afhængig variabel ID]]&lt;=$B$5</f>
        <v>0</v>
      </c>
      <c r="F1628" t="str" cm="1">
        <f t="array" ref="F1628">IF(LineærRegression_Valg[[#This Row],[Indenfor range]],INDEX(DataTitel_liste,LineærRegression_Valg[[#This Row],[Afhængig variabel ID]]),INDEX(DataTitel_liste,1))</f>
        <v>Eksempel 1 (interval)</v>
      </c>
      <c r="G1628" s="171" t="str" cm="1">
        <f t="array" ref="G1628">IF(LineærRegression_Valg[[#This Row],[Indenfor range]],IF(LineærRegression_Valg[[#This Row],[Intet overlap]],INDEX(DataTitel_liste,LineærRegression_Valg[[#This Row],[Uafhængig variabel ID]]),INDEX(DataTitel_liste,IF(LineærRegression_Valg[[#This Row],[Afhængig variabel ID]]=1,2,1))),$B$7)</f>
        <v>Eksempel 2 (interval)</v>
      </c>
      <c r="H1628" s="171">
        <f>_xlfn.AGGREGATE(2,5,LineærRegression_Valg[[#This Row],[Tabel ID]])</f>
        <v>1</v>
      </c>
    </row>
    <row r="1629" spans="1:8" x14ac:dyDescent="0.2">
      <c r="A1629">
        <f>ROW(LineærRegression_Valg[[#This Row],[Tabel ID]])-ROW(LineærRegression_Valg[[#Headers],[Tabel ID]])</f>
        <v>1619</v>
      </c>
      <c r="B1629" s="171">
        <f>ROUNDDOWN((LineærRegression_Valg[[#This Row],[Tabel ID]]-1)/$B$5,0)+1</f>
        <v>405</v>
      </c>
      <c r="C1629" s="171">
        <f t="shared" si="25"/>
        <v>3</v>
      </c>
      <c r="D1629" s="171" t="b">
        <f>LineærRegression_Valg[[#This Row],[Afhængig variabel ID]]&lt;&gt;LineærRegression_Valg[[#This Row],[Uafhængig variabel ID]]</f>
        <v>1</v>
      </c>
      <c r="E1629" s="171" t="b">
        <f>LineærRegression_Valg[[#This Row],[Afhængig variabel ID]]&lt;=$B$5</f>
        <v>0</v>
      </c>
      <c r="F1629" t="str" cm="1">
        <f t="array" ref="F1629">IF(LineærRegression_Valg[[#This Row],[Indenfor range]],INDEX(DataTitel_liste,LineærRegression_Valg[[#This Row],[Afhængig variabel ID]]),INDEX(DataTitel_liste,1))</f>
        <v>Eksempel 1 (interval)</v>
      </c>
      <c r="G1629" s="171" t="str" cm="1">
        <f t="array" ref="G1629">IF(LineærRegression_Valg[[#This Row],[Indenfor range]],IF(LineærRegression_Valg[[#This Row],[Intet overlap]],INDEX(DataTitel_liste,LineærRegression_Valg[[#This Row],[Uafhængig variabel ID]]),INDEX(DataTitel_liste,IF(LineærRegression_Valg[[#This Row],[Afhængig variabel ID]]=1,2,1))),$B$7)</f>
        <v>Eksempel 2 (interval)</v>
      </c>
      <c r="H1629" s="171">
        <f>_xlfn.AGGREGATE(2,5,LineærRegression_Valg[[#This Row],[Tabel ID]])</f>
        <v>1</v>
      </c>
    </row>
    <row r="1630" spans="1:8" x14ac:dyDescent="0.2">
      <c r="A1630">
        <f>ROW(LineærRegression_Valg[[#This Row],[Tabel ID]])-ROW(LineærRegression_Valg[[#Headers],[Tabel ID]])</f>
        <v>1620</v>
      </c>
      <c r="B1630" s="171">
        <f>ROUNDDOWN((LineærRegression_Valg[[#This Row],[Tabel ID]]-1)/$B$5,0)+1</f>
        <v>405</v>
      </c>
      <c r="C1630" s="171">
        <f t="shared" si="25"/>
        <v>4</v>
      </c>
      <c r="D1630" s="171" t="b">
        <f>LineærRegression_Valg[[#This Row],[Afhængig variabel ID]]&lt;&gt;LineærRegression_Valg[[#This Row],[Uafhængig variabel ID]]</f>
        <v>1</v>
      </c>
      <c r="E1630" s="171" t="b">
        <f>LineærRegression_Valg[[#This Row],[Afhængig variabel ID]]&lt;=$B$5</f>
        <v>0</v>
      </c>
      <c r="F1630" t="str" cm="1">
        <f t="array" ref="F1630">IF(LineærRegression_Valg[[#This Row],[Indenfor range]],INDEX(DataTitel_liste,LineærRegression_Valg[[#This Row],[Afhængig variabel ID]]),INDEX(DataTitel_liste,1))</f>
        <v>Eksempel 1 (interval)</v>
      </c>
      <c r="G1630" s="171" t="str" cm="1">
        <f t="array" ref="G1630">IF(LineærRegression_Valg[[#This Row],[Indenfor range]],IF(LineærRegression_Valg[[#This Row],[Intet overlap]],INDEX(DataTitel_liste,LineærRegression_Valg[[#This Row],[Uafhængig variabel ID]]),INDEX(DataTitel_liste,IF(LineærRegression_Valg[[#This Row],[Afhængig variabel ID]]=1,2,1))),$B$7)</f>
        <v>Eksempel 2 (interval)</v>
      </c>
      <c r="H1630" s="171">
        <f>_xlfn.AGGREGATE(2,5,LineærRegression_Valg[[#This Row],[Tabel ID]])</f>
        <v>1</v>
      </c>
    </row>
    <row r="1631" spans="1:8" x14ac:dyDescent="0.2">
      <c r="A1631">
        <f>ROW(LineærRegression_Valg[[#This Row],[Tabel ID]])-ROW(LineærRegression_Valg[[#Headers],[Tabel ID]])</f>
        <v>1621</v>
      </c>
      <c r="B1631" s="171">
        <f>ROUNDDOWN((LineærRegression_Valg[[#This Row],[Tabel ID]]-1)/$B$5,0)+1</f>
        <v>406</v>
      </c>
      <c r="C1631" s="171">
        <f t="shared" si="25"/>
        <v>1</v>
      </c>
      <c r="D1631" s="171" t="b">
        <f>LineærRegression_Valg[[#This Row],[Afhængig variabel ID]]&lt;&gt;LineærRegression_Valg[[#This Row],[Uafhængig variabel ID]]</f>
        <v>1</v>
      </c>
      <c r="E1631" s="171" t="b">
        <f>LineærRegression_Valg[[#This Row],[Afhængig variabel ID]]&lt;=$B$5</f>
        <v>0</v>
      </c>
      <c r="F1631" t="str" cm="1">
        <f t="array" ref="F1631">IF(LineærRegression_Valg[[#This Row],[Indenfor range]],INDEX(DataTitel_liste,LineærRegression_Valg[[#This Row],[Afhængig variabel ID]]),INDEX(DataTitel_liste,1))</f>
        <v>Eksempel 1 (interval)</v>
      </c>
      <c r="G1631" s="171" t="str" cm="1">
        <f t="array" ref="G1631">IF(LineærRegression_Valg[[#This Row],[Indenfor range]],IF(LineærRegression_Valg[[#This Row],[Intet overlap]],INDEX(DataTitel_liste,LineærRegression_Valg[[#This Row],[Uafhængig variabel ID]]),INDEX(DataTitel_liste,IF(LineærRegression_Valg[[#This Row],[Afhængig variabel ID]]=1,2,1))),$B$7)</f>
        <v>Eksempel 2 (interval)</v>
      </c>
      <c r="H1631" s="171">
        <f>_xlfn.AGGREGATE(2,5,LineærRegression_Valg[[#This Row],[Tabel ID]])</f>
        <v>1</v>
      </c>
    </row>
    <row r="1632" spans="1:8" x14ac:dyDescent="0.2">
      <c r="A1632">
        <f>ROW(LineærRegression_Valg[[#This Row],[Tabel ID]])-ROW(LineærRegression_Valg[[#Headers],[Tabel ID]])</f>
        <v>1622</v>
      </c>
      <c r="B1632" s="171">
        <f>ROUNDDOWN((LineærRegression_Valg[[#This Row],[Tabel ID]]-1)/$B$5,0)+1</f>
        <v>406</v>
      </c>
      <c r="C1632" s="171">
        <f t="shared" si="25"/>
        <v>2</v>
      </c>
      <c r="D1632" s="171" t="b">
        <f>LineærRegression_Valg[[#This Row],[Afhængig variabel ID]]&lt;&gt;LineærRegression_Valg[[#This Row],[Uafhængig variabel ID]]</f>
        <v>1</v>
      </c>
      <c r="E1632" s="171" t="b">
        <f>LineærRegression_Valg[[#This Row],[Afhængig variabel ID]]&lt;=$B$5</f>
        <v>0</v>
      </c>
      <c r="F1632" t="str" cm="1">
        <f t="array" ref="F1632">IF(LineærRegression_Valg[[#This Row],[Indenfor range]],INDEX(DataTitel_liste,LineærRegression_Valg[[#This Row],[Afhængig variabel ID]]),INDEX(DataTitel_liste,1))</f>
        <v>Eksempel 1 (interval)</v>
      </c>
      <c r="G1632" s="171" t="str" cm="1">
        <f t="array" ref="G1632">IF(LineærRegression_Valg[[#This Row],[Indenfor range]],IF(LineærRegression_Valg[[#This Row],[Intet overlap]],INDEX(DataTitel_liste,LineærRegression_Valg[[#This Row],[Uafhængig variabel ID]]),INDEX(DataTitel_liste,IF(LineærRegression_Valg[[#This Row],[Afhængig variabel ID]]=1,2,1))),$B$7)</f>
        <v>Eksempel 2 (interval)</v>
      </c>
      <c r="H1632" s="171">
        <f>_xlfn.AGGREGATE(2,5,LineærRegression_Valg[[#This Row],[Tabel ID]])</f>
        <v>1</v>
      </c>
    </row>
    <row r="1633" spans="1:8" x14ac:dyDescent="0.2">
      <c r="A1633">
        <f>ROW(LineærRegression_Valg[[#This Row],[Tabel ID]])-ROW(LineærRegression_Valg[[#Headers],[Tabel ID]])</f>
        <v>1623</v>
      </c>
      <c r="B1633" s="171">
        <f>ROUNDDOWN((LineærRegression_Valg[[#This Row],[Tabel ID]]-1)/$B$5,0)+1</f>
        <v>406</v>
      </c>
      <c r="C1633" s="171">
        <f t="shared" si="25"/>
        <v>3</v>
      </c>
      <c r="D1633" s="171" t="b">
        <f>LineærRegression_Valg[[#This Row],[Afhængig variabel ID]]&lt;&gt;LineærRegression_Valg[[#This Row],[Uafhængig variabel ID]]</f>
        <v>1</v>
      </c>
      <c r="E1633" s="171" t="b">
        <f>LineærRegression_Valg[[#This Row],[Afhængig variabel ID]]&lt;=$B$5</f>
        <v>0</v>
      </c>
      <c r="F1633" t="str" cm="1">
        <f t="array" ref="F1633">IF(LineærRegression_Valg[[#This Row],[Indenfor range]],INDEX(DataTitel_liste,LineærRegression_Valg[[#This Row],[Afhængig variabel ID]]),INDEX(DataTitel_liste,1))</f>
        <v>Eksempel 1 (interval)</v>
      </c>
      <c r="G1633" s="171" t="str" cm="1">
        <f t="array" ref="G1633">IF(LineærRegression_Valg[[#This Row],[Indenfor range]],IF(LineærRegression_Valg[[#This Row],[Intet overlap]],INDEX(DataTitel_liste,LineærRegression_Valg[[#This Row],[Uafhængig variabel ID]]),INDEX(DataTitel_liste,IF(LineærRegression_Valg[[#This Row],[Afhængig variabel ID]]=1,2,1))),$B$7)</f>
        <v>Eksempel 2 (interval)</v>
      </c>
      <c r="H1633" s="171">
        <f>_xlfn.AGGREGATE(2,5,LineærRegression_Valg[[#This Row],[Tabel ID]])</f>
        <v>1</v>
      </c>
    </row>
    <row r="1634" spans="1:8" x14ac:dyDescent="0.2">
      <c r="A1634">
        <f>ROW(LineærRegression_Valg[[#This Row],[Tabel ID]])-ROW(LineærRegression_Valg[[#Headers],[Tabel ID]])</f>
        <v>1624</v>
      </c>
      <c r="B1634" s="171">
        <f>ROUNDDOWN((LineærRegression_Valg[[#This Row],[Tabel ID]]-1)/$B$5,0)+1</f>
        <v>406</v>
      </c>
      <c r="C1634" s="171">
        <f t="shared" si="25"/>
        <v>4</v>
      </c>
      <c r="D1634" s="171" t="b">
        <f>LineærRegression_Valg[[#This Row],[Afhængig variabel ID]]&lt;&gt;LineærRegression_Valg[[#This Row],[Uafhængig variabel ID]]</f>
        <v>1</v>
      </c>
      <c r="E1634" s="171" t="b">
        <f>LineærRegression_Valg[[#This Row],[Afhængig variabel ID]]&lt;=$B$5</f>
        <v>0</v>
      </c>
      <c r="F1634" t="str" cm="1">
        <f t="array" ref="F1634">IF(LineærRegression_Valg[[#This Row],[Indenfor range]],INDEX(DataTitel_liste,LineærRegression_Valg[[#This Row],[Afhængig variabel ID]]),INDEX(DataTitel_liste,1))</f>
        <v>Eksempel 1 (interval)</v>
      </c>
      <c r="G1634" s="171" t="str" cm="1">
        <f t="array" ref="G1634">IF(LineærRegression_Valg[[#This Row],[Indenfor range]],IF(LineærRegression_Valg[[#This Row],[Intet overlap]],INDEX(DataTitel_liste,LineærRegression_Valg[[#This Row],[Uafhængig variabel ID]]),INDEX(DataTitel_liste,IF(LineærRegression_Valg[[#This Row],[Afhængig variabel ID]]=1,2,1))),$B$7)</f>
        <v>Eksempel 2 (interval)</v>
      </c>
      <c r="H1634" s="171">
        <f>_xlfn.AGGREGATE(2,5,LineærRegression_Valg[[#This Row],[Tabel ID]])</f>
        <v>1</v>
      </c>
    </row>
    <row r="1635" spans="1:8" x14ac:dyDescent="0.2">
      <c r="A1635">
        <f>ROW(LineærRegression_Valg[[#This Row],[Tabel ID]])-ROW(LineærRegression_Valg[[#Headers],[Tabel ID]])</f>
        <v>1625</v>
      </c>
      <c r="B1635" s="171">
        <f>ROUNDDOWN((LineærRegression_Valg[[#This Row],[Tabel ID]]-1)/$B$5,0)+1</f>
        <v>407</v>
      </c>
      <c r="C1635" s="171">
        <f t="shared" si="25"/>
        <v>1</v>
      </c>
      <c r="D1635" s="171" t="b">
        <f>LineærRegression_Valg[[#This Row],[Afhængig variabel ID]]&lt;&gt;LineærRegression_Valg[[#This Row],[Uafhængig variabel ID]]</f>
        <v>1</v>
      </c>
      <c r="E1635" s="171" t="b">
        <f>LineærRegression_Valg[[#This Row],[Afhængig variabel ID]]&lt;=$B$5</f>
        <v>0</v>
      </c>
      <c r="F1635" t="str" cm="1">
        <f t="array" ref="F1635">IF(LineærRegression_Valg[[#This Row],[Indenfor range]],INDEX(DataTitel_liste,LineærRegression_Valg[[#This Row],[Afhængig variabel ID]]),INDEX(DataTitel_liste,1))</f>
        <v>Eksempel 1 (interval)</v>
      </c>
      <c r="G1635" s="171" t="str" cm="1">
        <f t="array" ref="G1635">IF(LineærRegression_Valg[[#This Row],[Indenfor range]],IF(LineærRegression_Valg[[#This Row],[Intet overlap]],INDEX(DataTitel_liste,LineærRegression_Valg[[#This Row],[Uafhængig variabel ID]]),INDEX(DataTitel_liste,IF(LineærRegression_Valg[[#This Row],[Afhængig variabel ID]]=1,2,1))),$B$7)</f>
        <v>Eksempel 2 (interval)</v>
      </c>
      <c r="H1635" s="171">
        <f>_xlfn.AGGREGATE(2,5,LineærRegression_Valg[[#This Row],[Tabel ID]])</f>
        <v>1</v>
      </c>
    </row>
    <row r="1636" spans="1:8" x14ac:dyDescent="0.2">
      <c r="A1636">
        <f>ROW(LineærRegression_Valg[[#This Row],[Tabel ID]])-ROW(LineærRegression_Valg[[#Headers],[Tabel ID]])</f>
        <v>1626</v>
      </c>
      <c r="B1636" s="171">
        <f>ROUNDDOWN((LineærRegression_Valg[[#This Row],[Tabel ID]]-1)/$B$5,0)+1</f>
        <v>407</v>
      </c>
      <c r="C1636" s="171">
        <f t="shared" si="25"/>
        <v>2</v>
      </c>
      <c r="D1636" s="171" t="b">
        <f>LineærRegression_Valg[[#This Row],[Afhængig variabel ID]]&lt;&gt;LineærRegression_Valg[[#This Row],[Uafhængig variabel ID]]</f>
        <v>1</v>
      </c>
      <c r="E1636" s="171" t="b">
        <f>LineærRegression_Valg[[#This Row],[Afhængig variabel ID]]&lt;=$B$5</f>
        <v>0</v>
      </c>
      <c r="F1636" t="str" cm="1">
        <f t="array" ref="F1636">IF(LineærRegression_Valg[[#This Row],[Indenfor range]],INDEX(DataTitel_liste,LineærRegression_Valg[[#This Row],[Afhængig variabel ID]]),INDEX(DataTitel_liste,1))</f>
        <v>Eksempel 1 (interval)</v>
      </c>
      <c r="G1636" s="171" t="str" cm="1">
        <f t="array" ref="G1636">IF(LineærRegression_Valg[[#This Row],[Indenfor range]],IF(LineærRegression_Valg[[#This Row],[Intet overlap]],INDEX(DataTitel_liste,LineærRegression_Valg[[#This Row],[Uafhængig variabel ID]]),INDEX(DataTitel_liste,IF(LineærRegression_Valg[[#This Row],[Afhængig variabel ID]]=1,2,1))),$B$7)</f>
        <v>Eksempel 2 (interval)</v>
      </c>
      <c r="H1636" s="171">
        <f>_xlfn.AGGREGATE(2,5,LineærRegression_Valg[[#This Row],[Tabel ID]])</f>
        <v>1</v>
      </c>
    </row>
    <row r="1637" spans="1:8" x14ac:dyDescent="0.2">
      <c r="A1637">
        <f>ROW(LineærRegression_Valg[[#This Row],[Tabel ID]])-ROW(LineærRegression_Valg[[#Headers],[Tabel ID]])</f>
        <v>1627</v>
      </c>
      <c r="B1637" s="171">
        <f>ROUNDDOWN((LineærRegression_Valg[[#This Row],[Tabel ID]]-1)/$B$5,0)+1</f>
        <v>407</v>
      </c>
      <c r="C1637" s="171">
        <f t="shared" si="25"/>
        <v>3</v>
      </c>
      <c r="D1637" s="171" t="b">
        <f>LineærRegression_Valg[[#This Row],[Afhængig variabel ID]]&lt;&gt;LineærRegression_Valg[[#This Row],[Uafhængig variabel ID]]</f>
        <v>1</v>
      </c>
      <c r="E1637" s="171" t="b">
        <f>LineærRegression_Valg[[#This Row],[Afhængig variabel ID]]&lt;=$B$5</f>
        <v>0</v>
      </c>
      <c r="F1637" t="str" cm="1">
        <f t="array" ref="F1637">IF(LineærRegression_Valg[[#This Row],[Indenfor range]],INDEX(DataTitel_liste,LineærRegression_Valg[[#This Row],[Afhængig variabel ID]]),INDEX(DataTitel_liste,1))</f>
        <v>Eksempel 1 (interval)</v>
      </c>
      <c r="G1637" s="171" t="str" cm="1">
        <f t="array" ref="G1637">IF(LineærRegression_Valg[[#This Row],[Indenfor range]],IF(LineærRegression_Valg[[#This Row],[Intet overlap]],INDEX(DataTitel_liste,LineærRegression_Valg[[#This Row],[Uafhængig variabel ID]]),INDEX(DataTitel_liste,IF(LineærRegression_Valg[[#This Row],[Afhængig variabel ID]]=1,2,1))),$B$7)</f>
        <v>Eksempel 2 (interval)</v>
      </c>
      <c r="H1637" s="171">
        <f>_xlfn.AGGREGATE(2,5,LineærRegression_Valg[[#This Row],[Tabel ID]])</f>
        <v>1</v>
      </c>
    </row>
    <row r="1638" spans="1:8" x14ac:dyDescent="0.2">
      <c r="A1638">
        <f>ROW(LineærRegression_Valg[[#This Row],[Tabel ID]])-ROW(LineærRegression_Valg[[#Headers],[Tabel ID]])</f>
        <v>1628</v>
      </c>
      <c r="B1638" s="171">
        <f>ROUNDDOWN((LineærRegression_Valg[[#This Row],[Tabel ID]]-1)/$B$5,0)+1</f>
        <v>407</v>
      </c>
      <c r="C1638" s="171">
        <f t="shared" si="25"/>
        <v>4</v>
      </c>
      <c r="D1638" s="171" t="b">
        <f>LineærRegression_Valg[[#This Row],[Afhængig variabel ID]]&lt;&gt;LineærRegression_Valg[[#This Row],[Uafhængig variabel ID]]</f>
        <v>1</v>
      </c>
      <c r="E1638" s="171" t="b">
        <f>LineærRegression_Valg[[#This Row],[Afhængig variabel ID]]&lt;=$B$5</f>
        <v>0</v>
      </c>
      <c r="F1638" t="str" cm="1">
        <f t="array" ref="F1638">IF(LineærRegression_Valg[[#This Row],[Indenfor range]],INDEX(DataTitel_liste,LineærRegression_Valg[[#This Row],[Afhængig variabel ID]]),INDEX(DataTitel_liste,1))</f>
        <v>Eksempel 1 (interval)</v>
      </c>
      <c r="G1638" s="171" t="str" cm="1">
        <f t="array" ref="G1638">IF(LineærRegression_Valg[[#This Row],[Indenfor range]],IF(LineærRegression_Valg[[#This Row],[Intet overlap]],INDEX(DataTitel_liste,LineærRegression_Valg[[#This Row],[Uafhængig variabel ID]]),INDEX(DataTitel_liste,IF(LineærRegression_Valg[[#This Row],[Afhængig variabel ID]]=1,2,1))),$B$7)</f>
        <v>Eksempel 2 (interval)</v>
      </c>
      <c r="H1638" s="171">
        <f>_xlfn.AGGREGATE(2,5,LineærRegression_Valg[[#This Row],[Tabel ID]])</f>
        <v>1</v>
      </c>
    </row>
    <row r="1639" spans="1:8" x14ac:dyDescent="0.2">
      <c r="A1639">
        <f>ROW(LineærRegression_Valg[[#This Row],[Tabel ID]])-ROW(LineærRegression_Valg[[#Headers],[Tabel ID]])</f>
        <v>1629</v>
      </c>
      <c r="B1639" s="171">
        <f>ROUNDDOWN((LineærRegression_Valg[[#This Row],[Tabel ID]]-1)/$B$5,0)+1</f>
        <v>408</v>
      </c>
      <c r="C1639" s="171">
        <f t="shared" si="25"/>
        <v>1</v>
      </c>
      <c r="D1639" s="171" t="b">
        <f>LineærRegression_Valg[[#This Row],[Afhængig variabel ID]]&lt;&gt;LineærRegression_Valg[[#This Row],[Uafhængig variabel ID]]</f>
        <v>1</v>
      </c>
      <c r="E1639" s="171" t="b">
        <f>LineærRegression_Valg[[#This Row],[Afhængig variabel ID]]&lt;=$B$5</f>
        <v>0</v>
      </c>
      <c r="F1639" t="str" cm="1">
        <f t="array" ref="F1639">IF(LineærRegression_Valg[[#This Row],[Indenfor range]],INDEX(DataTitel_liste,LineærRegression_Valg[[#This Row],[Afhængig variabel ID]]),INDEX(DataTitel_liste,1))</f>
        <v>Eksempel 1 (interval)</v>
      </c>
      <c r="G1639" s="171" t="str" cm="1">
        <f t="array" ref="G1639">IF(LineærRegression_Valg[[#This Row],[Indenfor range]],IF(LineærRegression_Valg[[#This Row],[Intet overlap]],INDEX(DataTitel_liste,LineærRegression_Valg[[#This Row],[Uafhængig variabel ID]]),INDEX(DataTitel_liste,IF(LineærRegression_Valg[[#This Row],[Afhængig variabel ID]]=1,2,1))),$B$7)</f>
        <v>Eksempel 2 (interval)</v>
      </c>
      <c r="H1639" s="171">
        <f>_xlfn.AGGREGATE(2,5,LineærRegression_Valg[[#This Row],[Tabel ID]])</f>
        <v>1</v>
      </c>
    </row>
    <row r="1640" spans="1:8" x14ac:dyDescent="0.2">
      <c r="A1640">
        <f>ROW(LineærRegression_Valg[[#This Row],[Tabel ID]])-ROW(LineærRegression_Valg[[#Headers],[Tabel ID]])</f>
        <v>1630</v>
      </c>
      <c r="B1640" s="171">
        <f>ROUNDDOWN((LineærRegression_Valg[[#This Row],[Tabel ID]]-1)/$B$5,0)+1</f>
        <v>408</v>
      </c>
      <c r="C1640" s="171">
        <f t="shared" si="25"/>
        <v>2</v>
      </c>
      <c r="D1640" s="171" t="b">
        <f>LineærRegression_Valg[[#This Row],[Afhængig variabel ID]]&lt;&gt;LineærRegression_Valg[[#This Row],[Uafhængig variabel ID]]</f>
        <v>1</v>
      </c>
      <c r="E1640" s="171" t="b">
        <f>LineærRegression_Valg[[#This Row],[Afhængig variabel ID]]&lt;=$B$5</f>
        <v>0</v>
      </c>
      <c r="F1640" t="str" cm="1">
        <f t="array" ref="F1640">IF(LineærRegression_Valg[[#This Row],[Indenfor range]],INDEX(DataTitel_liste,LineærRegression_Valg[[#This Row],[Afhængig variabel ID]]),INDEX(DataTitel_liste,1))</f>
        <v>Eksempel 1 (interval)</v>
      </c>
      <c r="G1640" s="171" t="str" cm="1">
        <f t="array" ref="G1640">IF(LineærRegression_Valg[[#This Row],[Indenfor range]],IF(LineærRegression_Valg[[#This Row],[Intet overlap]],INDEX(DataTitel_liste,LineærRegression_Valg[[#This Row],[Uafhængig variabel ID]]),INDEX(DataTitel_liste,IF(LineærRegression_Valg[[#This Row],[Afhængig variabel ID]]=1,2,1))),$B$7)</f>
        <v>Eksempel 2 (interval)</v>
      </c>
      <c r="H1640" s="171">
        <f>_xlfn.AGGREGATE(2,5,LineærRegression_Valg[[#This Row],[Tabel ID]])</f>
        <v>1</v>
      </c>
    </row>
    <row r="1641" spans="1:8" x14ac:dyDescent="0.2">
      <c r="A1641">
        <f>ROW(LineærRegression_Valg[[#This Row],[Tabel ID]])-ROW(LineærRegression_Valg[[#Headers],[Tabel ID]])</f>
        <v>1631</v>
      </c>
      <c r="B1641" s="171">
        <f>ROUNDDOWN((LineærRegression_Valg[[#This Row],[Tabel ID]]-1)/$B$5,0)+1</f>
        <v>408</v>
      </c>
      <c r="C1641" s="171">
        <f t="shared" si="25"/>
        <v>3</v>
      </c>
      <c r="D1641" s="171" t="b">
        <f>LineærRegression_Valg[[#This Row],[Afhængig variabel ID]]&lt;&gt;LineærRegression_Valg[[#This Row],[Uafhængig variabel ID]]</f>
        <v>1</v>
      </c>
      <c r="E1641" s="171" t="b">
        <f>LineærRegression_Valg[[#This Row],[Afhængig variabel ID]]&lt;=$B$5</f>
        <v>0</v>
      </c>
      <c r="F1641" t="str" cm="1">
        <f t="array" ref="F1641">IF(LineærRegression_Valg[[#This Row],[Indenfor range]],INDEX(DataTitel_liste,LineærRegression_Valg[[#This Row],[Afhængig variabel ID]]),INDEX(DataTitel_liste,1))</f>
        <v>Eksempel 1 (interval)</v>
      </c>
      <c r="G1641" s="171" t="str" cm="1">
        <f t="array" ref="G1641">IF(LineærRegression_Valg[[#This Row],[Indenfor range]],IF(LineærRegression_Valg[[#This Row],[Intet overlap]],INDEX(DataTitel_liste,LineærRegression_Valg[[#This Row],[Uafhængig variabel ID]]),INDEX(DataTitel_liste,IF(LineærRegression_Valg[[#This Row],[Afhængig variabel ID]]=1,2,1))),$B$7)</f>
        <v>Eksempel 2 (interval)</v>
      </c>
      <c r="H1641" s="171">
        <f>_xlfn.AGGREGATE(2,5,LineærRegression_Valg[[#This Row],[Tabel ID]])</f>
        <v>1</v>
      </c>
    </row>
    <row r="1642" spans="1:8" x14ac:dyDescent="0.2">
      <c r="A1642">
        <f>ROW(LineærRegression_Valg[[#This Row],[Tabel ID]])-ROW(LineærRegression_Valg[[#Headers],[Tabel ID]])</f>
        <v>1632</v>
      </c>
      <c r="B1642" s="171">
        <f>ROUNDDOWN((LineærRegression_Valg[[#This Row],[Tabel ID]]-1)/$B$5,0)+1</f>
        <v>408</v>
      </c>
      <c r="C1642" s="171">
        <f t="shared" si="25"/>
        <v>4</v>
      </c>
      <c r="D1642" s="171" t="b">
        <f>LineærRegression_Valg[[#This Row],[Afhængig variabel ID]]&lt;&gt;LineærRegression_Valg[[#This Row],[Uafhængig variabel ID]]</f>
        <v>1</v>
      </c>
      <c r="E1642" s="171" t="b">
        <f>LineærRegression_Valg[[#This Row],[Afhængig variabel ID]]&lt;=$B$5</f>
        <v>0</v>
      </c>
      <c r="F1642" t="str" cm="1">
        <f t="array" ref="F1642">IF(LineærRegression_Valg[[#This Row],[Indenfor range]],INDEX(DataTitel_liste,LineærRegression_Valg[[#This Row],[Afhængig variabel ID]]),INDEX(DataTitel_liste,1))</f>
        <v>Eksempel 1 (interval)</v>
      </c>
      <c r="G1642" s="171" t="str" cm="1">
        <f t="array" ref="G1642">IF(LineærRegression_Valg[[#This Row],[Indenfor range]],IF(LineærRegression_Valg[[#This Row],[Intet overlap]],INDEX(DataTitel_liste,LineærRegression_Valg[[#This Row],[Uafhængig variabel ID]]),INDEX(DataTitel_liste,IF(LineærRegression_Valg[[#This Row],[Afhængig variabel ID]]=1,2,1))),$B$7)</f>
        <v>Eksempel 2 (interval)</v>
      </c>
      <c r="H1642" s="171">
        <f>_xlfn.AGGREGATE(2,5,LineærRegression_Valg[[#This Row],[Tabel ID]])</f>
        <v>1</v>
      </c>
    </row>
    <row r="1643" spans="1:8" x14ac:dyDescent="0.2">
      <c r="A1643">
        <f>ROW(LineærRegression_Valg[[#This Row],[Tabel ID]])-ROW(LineærRegression_Valg[[#Headers],[Tabel ID]])</f>
        <v>1633</v>
      </c>
      <c r="B1643" s="171">
        <f>ROUNDDOWN((LineærRegression_Valg[[#This Row],[Tabel ID]]-1)/$B$5,0)+1</f>
        <v>409</v>
      </c>
      <c r="C1643" s="171">
        <f t="shared" si="25"/>
        <v>1</v>
      </c>
      <c r="D1643" s="171" t="b">
        <f>LineærRegression_Valg[[#This Row],[Afhængig variabel ID]]&lt;&gt;LineærRegression_Valg[[#This Row],[Uafhængig variabel ID]]</f>
        <v>1</v>
      </c>
      <c r="E1643" s="171" t="b">
        <f>LineærRegression_Valg[[#This Row],[Afhængig variabel ID]]&lt;=$B$5</f>
        <v>0</v>
      </c>
      <c r="F1643" t="str" cm="1">
        <f t="array" ref="F1643">IF(LineærRegression_Valg[[#This Row],[Indenfor range]],INDEX(DataTitel_liste,LineærRegression_Valg[[#This Row],[Afhængig variabel ID]]),INDEX(DataTitel_liste,1))</f>
        <v>Eksempel 1 (interval)</v>
      </c>
      <c r="G1643" s="171" t="str" cm="1">
        <f t="array" ref="G1643">IF(LineærRegression_Valg[[#This Row],[Indenfor range]],IF(LineærRegression_Valg[[#This Row],[Intet overlap]],INDEX(DataTitel_liste,LineærRegression_Valg[[#This Row],[Uafhængig variabel ID]]),INDEX(DataTitel_liste,IF(LineærRegression_Valg[[#This Row],[Afhængig variabel ID]]=1,2,1))),$B$7)</f>
        <v>Eksempel 2 (interval)</v>
      </c>
      <c r="H1643" s="171">
        <f>_xlfn.AGGREGATE(2,5,LineærRegression_Valg[[#This Row],[Tabel ID]])</f>
        <v>1</v>
      </c>
    </row>
    <row r="1644" spans="1:8" x14ac:dyDescent="0.2">
      <c r="A1644">
        <f>ROW(LineærRegression_Valg[[#This Row],[Tabel ID]])-ROW(LineærRegression_Valg[[#Headers],[Tabel ID]])</f>
        <v>1634</v>
      </c>
      <c r="B1644" s="171">
        <f>ROUNDDOWN((LineærRegression_Valg[[#This Row],[Tabel ID]]-1)/$B$5,0)+1</f>
        <v>409</v>
      </c>
      <c r="C1644" s="171">
        <f t="shared" si="25"/>
        <v>2</v>
      </c>
      <c r="D1644" s="171" t="b">
        <f>LineærRegression_Valg[[#This Row],[Afhængig variabel ID]]&lt;&gt;LineærRegression_Valg[[#This Row],[Uafhængig variabel ID]]</f>
        <v>1</v>
      </c>
      <c r="E1644" s="171" t="b">
        <f>LineærRegression_Valg[[#This Row],[Afhængig variabel ID]]&lt;=$B$5</f>
        <v>0</v>
      </c>
      <c r="F1644" t="str" cm="1">
        <f t="array" ref="F1644">IF(LineærRegression_Valg[[#This Row],[Indenfor range]],INDEX(DataTitel_liste,LineærRegression_Valg[[#This Row],[Afhængig variabel ID]]),INDEX(DataTitel_liste,1))</f>
        <v>Eksempel 1 (interval)</v>
      </c>
      <c r="G1644" s="171" t="str" cm="1">
        <f t="array" ref="G1644">IF(LineærRegression_Valg[[#This Row],[Indenfor range]],IF(LineærRegression_Valg[[#This Row],[Intet overlap]],INDEX(DataTitel_liste,LineærRegression_Valg[[#This Row],[Uafhængig variabel ID]]),INDEX(DataTitel_liste,IF(LineærRegression_Valg[[#This Row],[Afhængig variabel ID]]=1,2,1))),$B$7)</f>
        <v>Eksempel 2 (interval)</v>
      </c>
      <c r="H1644" s="171">
        <f>_xlfn.AGGREGATE(2,5,LineærRegression_Valg[[#This Row],[Tabel ID]])</f>
        <v>1</v>
      </c>
    </row>
    <row r="1645" spans="1:8" x14ac:dyDescent="0.2">
      <c r="A1645">
        <f>ROW(LineærRegression_Valg[[#This Row],[Tabel ID]])-ROW(LineærRegression_Valg[[#Headers],[Tabel ID]])</f>
        <v>1635</v>
      </c>
      <c r="B1645" s="171">
        <f>ROUNDDOWN((LineærRegression_Valg[[#This Row],[Tabel ID]]-1)/$B$5,0)+1</f>
        <v>409</v>
      </c>
      <c r="C1645" s="171">
        <f t="shared" si="25"/>
        <v>3</v>
      </c>
      <c r="D1645" s="171" t="b">
        <f>LineærRegression_Valg[[#This Row],[Afhængig variabel ID]]&lt;&gt;LineærRegression_Valg[[#This Row],[Uafhængig variabel ID]]</f>
        <v>1</v>
      </c>
      <c r="E1645" s="171" t="b">
        <f>LineærRegression_Valg[[#This Row],[Afhængig variabel ID]]&lt;=$B$5</f>
        <v>0</v>
      </c>
      <c r="F1645" t="str" cm="1">
        <f t="array" ref="F1645">IF(LineærRegression_Valg[[#This Row],[Indenfor range]],INDEX(DataTitel_liste,LineærRegression_Valg[[#This Row],[Afhængig variabel ID]]),INDEX(DataTitel_liste,1))</f>
        <v>Eksempel 1 (interval)</v>
      </c>
      <c r="G1645" s="171" t="str" cm="1">
        <f t="array" ref="G1645">IF(LineærRegression_Valg[[#This Row],[Indenfor range]],IF(LineærRegression_Valg[[#This Row],[Intet overlap]],INDEX(DataTitel_liste,LineærRegression_Valg[[#This Row],[Uafhængig variabel ID]]),INDEX(DataTitel_liste,IF(LineærRegression_Valg[[#This Row],[Afhængig variabel ID]]=1,2,1))),$B$7)</f>
        <v>Eksempel 2 (interval)</v>
      </c>
      <c r="H1645" s="171">
        <f>_xlfn.AGGREGATE(2,5,LineærRegression_Valg[[#This Row],[Tabel ID]])</f>
        <v>1</v>
      </c>
    </row>
    <row r="1646" spans="1:8" x14ac:dyDescent="0.2">
      <c r="A1646">
        <f>ROW(LineærRegression_Valg[[#This Row],[Tabel ID]])-ROW(LineærRegression_Valg[[#Headers],[Tabel ID]])</f>
        <v>1636</v>
      </c>
      <c r="B1646" s="171">
        <f>ROUNDDOWN((LineærRegression_Valg[[#This Row],[Tabel ID]]-1)/$B$5,0)+1</f>
        <v>409</v>
      </c>
      <c r="C1646" s="171">
        <f t="shared" si="25"/>
        <v>4</v>
      </c>
      <c r="D1646" s="171" t="b">
        <f>LineærRegression_Valg[[#This Row],[Afhængig variabel ID]]&lt;&gt;LineærRegression_Valg[[#This Row],[Uafhængig variabel ID]]</f>
        <v>1</v>
      </c>
      <c r="E1646" s="171" t="b">
        <f>LineærRegression_Valg[[#This Row],[Afhængig variabel ID]]&lt;=$B$5</f>
        <v>0</v>
      </c>
      <c r="F1646" t="str" cm="1">
        <f t="array" ref="F1646">IF(LineærRegression_Valg[[#This Row],[Indenfor range]],INDEX(DataTitel_liste,LineærRegression_Valg[[#This Row],[Afhængig variabel ID]]),INDEX(DataTitel_liste,1))</f>
        <v>Eksempel 1 (interval)</v>
      </c>
      <c r="G1646" s="171" t="str" cm="1">
        <f t="array" ref="G1646">IF(LineærRegression_Valg[[#This Row],[Indenfor range]],IF(LineærRegression_Valg[[#This Row],[Intet overlap]],INDEX(DataTitel_liste,LineærRegression_Valg[[#This Row],[Uafhængig variabel ID]]),INDEX(DataTitel_liste,IF(LineærRegression_Valg[[#This Row],[Afhængig variabel ID]]=1,2,1))),$B$7)</f>
        <v>Eksempel 2 (interval)</v>
      </c>
      <c r="H1646" s="171">
        <f>_xlfn.AGGREGATE(2,5,LineærRegression_Valg[[#This Row],[Tabel ID]])</f>
        <v>1</v>
      </c>
    </row>
    <row r="1647" spans="1:8" x14ac:dyDescent="0.2">
      <c r="A1647">
        <f>ROW(LineærRegression_Valg[[#This Row],[Tabel ID]])-ROW(LineærRegression_Valg[[#Headers],[Tabel ID]])</f>
        <v>1637</v>
      </c>
      <c r="B1647" s="171">
        <f>ROUNDDOWN((LineærRegression_Valg[[#This Row],[Tabel ID]]-1)/$B$5,0)+1</f>
        <v>410</v>
      </c>
      <c r="C1647" s="171">
        <f t="shared" si="25"/>
        <v>1</v>
      </c>
      <c r="D1647" s="171" t="b">
        <f>LineærRegression_Valg[[#This Row],[Afhængig variabel ID]]&lt;&gt;LineærRegression_Valg[[#This Row],[Uafhængig variabel ID]]</f>
        <v>1</v>
      </c>
      <c r="E1647" s="171" t="b">
        <f>LineærRegression_Valg[[#This Row],[Afhængig variabel ID]]&lt;=$B$5</f>
        <v>0</v>
      </c>
      <c r="F1647" t="str" cm="1">
        <f t="array" ref="F1647">IF(LineærRegression_Valg[[#This Row],[Indenfor range]],INDEX(DataTitel_liste,LineærRegression_Valg[[#This Row],[Afhængig variabel ID]]),INDEX(DataTitel_liste,1))</f>
        <v>Eksempel 1 (interval)</v>
      </c>
      <c r="G1647" s="171" t="str" cm="1">
        <f t="array" ref="G1647">IF(LineærRegression_Valg[[#This Row],[Indenfor range]],IF(LineærRegression_Valg[[#This Row],[Intet overlap]],INDEX(DataTitel_liste,LineærRegression_Valg[[#This Row],[Uafhængig variabel ID]]),INDEX(DataTitel_liste,IF(LineærRegression_Valg[[#This Row],[Afhængig variabel ID]]=1,2,1))),$B$7)</f>
        <v>Eksempel 2 (interval)</v>
      </c>
      <c r="H1647" s="171">
        <f>_xlfn.AGGREGATE(2,5,LineærRegression_Valg[[#This Row],[Tabel ID]])</f>
        <v>1</v>
      </c>
    </row>
    <row r="1648" spans="1:8" x14ac:dyDescent="0.2">
      <c r="A1648">
        <f>ROW(LineærRegression_Valg[[#This Row],[Tabel ID]])-ROW(LineærRegression_Valg[[#Headers],[Tabel ID]])</f>
        <v>1638</v>
      </c>
      <c r="B1648" s="171">
        <f>ROUNDDOWN((LineærRegression_Valg[[#This Row],[Tabel ID]]-1)/$B$5,0)+1</f>
        <v>410</v>
      </c>
      <c r="C1648" s="171">
        <f t="shared" si="25"/>
        <v>2</v>
      </c>
      <c r="D1648" s="171" t="b">
        <f>LineærRegression_Valg[[#This Row],[Afhængig variabel ID]]&lt;&gt;LineærRegression_Valg[[#This Row],[Uafhængig variabel ID]]</f>
        <v>1</v>
      </c>
      <c r="E1648" s="171" t="b">
        <f>LineærRegression_Valg[[#This Row],[Afhængig variabel ID]]&lt;=$B$5</f>
        <v>0</v>
      </c>
      <c r="F1648" t="str" cm="1">
        <f t="array" ref="F1648">IF(LineærRegression_Valg[[#This Row],[Indenfor range]],INDEX(DataTitel_liste,LineærRegression_Valg[[#This Row],[Afhængig variabel ID]]),INDEX(DataTitel_liste,1))</f>
        <v>Eksempel 1 (interval)</v>
      </c>
      <c r="G1648" s="171" t="str" cm="1">
        <f t="array" ref="G1648">IF(LineærRegression_Valg[[#This Row],[Indenfor range]],IF(LineærRegression_Valg[[#This Row],[Intet overlap]],INDEX(DataTitel_liste,LineærRegression_Valg[[#This Row],[Uafhængig variabel ID]]),INDEX(DataTitel_liste,IF(LineærRegression_Valg[[#This Row],[Afhængig variabel ID]]=1,2,1))),$B$7)</f>
        <v>Eksempel 2 (interval)</v>
      </c>
      <c r="H1648" s="171">
        <f>_xlfn.AGGREGATE(2,5,LineærRegression_Valg[[#This Row],[Tabel ID]])</f>
        <v>1</v>
      </c>
    </row>
    <row r="1649" spans="1:8" x14ac:dyDescent="0.2">
      <c r="A1649">
        <f>ROW(LineærRegression_Valg[[#This Row],[Tabel ID]])-ROW(LineærRegression_Valg[[#Headers],[Tabel ID]])</f>
        <v>1639</v>
      </c>
      <c r="B1649" s="171">
        <f>ROUNDDOWN((LineærRegression_Valg[[#This Row],[Tabel ID]]-1)/$B$5,0)+1</f>
        <v>410</v>
      </c>
      <c r="C1649" s="171">
        <f t="shared" si="25"/>
        <v>3</v>
      </c>
      <c r="D1649" s="171" t="b">
        <f>LineærRegression_Valg[[#This Row],[Afhængig variabel ID]]&lt;&gt;LineærRegression_Valg[[#This Row],[Uafhængig variabel ID]]</f>
        <v>1</v>
      </c>
      <c r="E1649" s="171" t="b">
        <f>LineærRegression_Valg[[#This Row],[Afhængig variabel ID]]&lt;=$B$5</f>
        <v>0</v>
      </c>
      <c r="F1649" t="str" cm="1">
        <f t="array" ref="F1649">IF(LineærRegression_Valg[[#This Row],[Indenfor range]],INDEX(DataTitel_liste,LineærRegression_Valg[[#This Row],[Afhængig variabel ID]]),INDEX(DataTitel_liste,1))</f>
        <v>Eksempel 1 (interval)</v>
      </c>
      <c r="G1649" s="171" t="str" cm="1">
        <f t="array" ref="G1649">IF(LineærRegression_Valg[[#This Row],[Indenfor range]],IF(LineærRegression_Valg[[#This Row],[Intet overlap]],INDEX(DataTitel_liste,LineærRegression_Valg[[#This Row],[Uafhængig variabel ID]]),INDEX(DataTitel_liste,IF(LineærRegression_Valg[[#This Row],[Afhængig variabel ID]]=1,2,1))),$B$7)</f>
        <v>Eksempel 2 (interval)</v>
      </c>
      <c r="H1649" s="171">
        <f>_xlfn.AGGREGATE(2,5,LineærRegression_Valg[[#This Row],[Tabel ID]])</f>
        <v>1</v>
      </c>
    </row>
    <row r="1650" spans="1:8" x14ac:dyDescent="0.2">
      <c r="A1650">
        <f>ROW(LineærRegression_Valg[[#This Row],[Tabel ID]])-ROW(LineærRegression_Valg[[#Headers],[Tabel ID]])</f>
        <v>1640</v>
      </c>
      <c r="B1650" s="171">
        <f>ROUNDDOWN((LineærRegression_Valg[[#This Row],[Tabel ID]]-1)/$B$5,0)+1</f>
        <v>410</v>
      </c>
      <c r="C1650" s="171">
        <f t="shared" si="25"/>
        <v>4</v>
      </c>
      <c r="D1650" s="171" t="b">
        <f>LineærRegression_Valg[[#This Row],[Afhængig variabel ID]]&lt;&gt;LineærRegression_Valg[[#This Row],[Uafhængig variabel ID]]</f>
        <v>1</v>
      </c>
      <c r="E1650" s="171" t="b">
        <f>LineærRegression_Valg[[#This Row],[Afhængig variabel ID]]&lt;=$B$5</f>
        <v>0</v>
      </c>
      <c r="F1650" t="str" cm="1">
        <f t="array" ref="F1650">IF(LineærRegression_Valg[[#This Row],[Indenfor range]],INDEX(DataTitel_liste,LineærRegression_Valg[[#This Row],[Afhængig variabel ID]]),INDEX(DataTitel_liste,1))</f>
        <v>Eksempel 1 (interval)</v>
      </c>
      <c r="G1650" s="171" t="str" cm="1">
        <f t="array" ref="G1650">IF(LineærRegression_Valg[[#This Row],[Indenfor range]],IF(LineærRegression_Valg[[#This Row],[Intet overlap]],INDEX(DataTitel_liste,LineærRegression_Valg[[#This Row],[Uafhængig variabel ID]]),INDEX(DataTitel_liste,IF(LineærRegression_Valg[[#This Row],[Afhængig variabel ID]]=1,2,1))),$B$7)</f>
        <v>Eksempel 2 (interval)</v>
      </c>
      <c r="H1650" s="171">
        <f>_xlfn.AGGREGATE(2,5,LineærRegression_Valg[[#This Row],[Tabel ID]])</f>
        <v>1</v>
      </c>
    </row>
    <row r="1651" spans="1:8" x14ac:dyDescent="0.2">
      <c r="A1651">
        <f>ROW(LineærRegression_Valg[[#This Row],[Tabel ID]])-ROW(LineærRegression_Valg[[#Headers],[Tabel ID]])</f>
        <v>1641</v>
      </c>
      <c r="B1651" s="171">
        <f>ROUNDDOWN((LineærRegression_Valg[[#This Row],[Tabel ID]]-1)/$B$5,0)+1</f>
        <v>411</v>
      </c>
      <c r="C1651" s="171">
        <f t="shared" si="25"/>
        <v>1</v>
      </c>
      <c r="D1651" s="171" t="b">
        <f>LineærRegression_Valg[[#This Row],[Afhængig variabel ID]]&lt;&gt;LineærRegression_Valg[[#This Row],[Uafhængig variabel ID]]</f>
        <v>1</v>
      </c>
      <c r="E1651" s="171" t="b">
        <f>LineærRegression_Valg[[#This Row],[Afhængig variabel ID]]&lt;=$B$5</f>
        <v>0</v>
      </c>
      <c r="F1651" t="str" cm="1">
        <f t="array" ref="F1651">IF(LineærRegression_Valg[[#This Row],[Indenfor range]],INDEX(DataTitel_liste,LineærRegression_Valg[[#This Row],[Afhængig variabel ID]]),INDEX(DataTitel_liste,1))</f>
        <v>Eksempel 1 (interval)</v>
      </c>
      <c r="G1651" s="171" t="str" cm="1">
        <f t="array" ref="G1651">IF(LineærRegression_Valg[[#This Row],[Indenfor range]],IF(LineærRegression_Valg[[#This Row],[Intet overlap]],INDEX(DataTitel_liste,LineærRegression_Valg[[#This Row],[Uafhængig variabel ID]]),INDEX(DataTitel_liste,IF(LineærRegression_Valg[[#This Row],[Afhængig variabel ID]]=1,2,1))),$B$7)</f>
        <v>Eksempel 2 (interval)</v>
      </c>
      <c r="H1651" s="171">
        <f>_xlfn.AGGREGATE(2,5,LineærRegression_Valg[[#This Row],[Tabel ID]])</f>
        <v>1</v>
      </c>
    </row>
    <row r="1652" spans="1:8" x14ac:dyDescent="0.2">
      <c r="A1652">
        <f>ROW(LineærRegression_Valg[[#This Row],[Tabel ID]])-ROW(LineærRegression_Valg[[#Headers],[Tabel ID]])</f>
        <v>1642</v>
      </c>
      <c r="B1652" s="171">
        <f>ROUNDDOWN((LineærRegression_Valg[[#This Row],[Tabel ID]]-1)/$B$5,0)+1</f>
        <v>411</v>
      </c>
      <c r="C1652" s="171">
        <f t="shared" si="25"/>
        <v>2</v>
      </c>
      <c r="D1652" s="171" t="b">
        <f>LineærRegression_Valg[[#This Row],[Afhængig variabel ID]]&lt;&gt;LineærRegression_Valg[[#This Row],[Uafhængig variabel ID]]</f>
        <v>1</v>
      </c>
      <c r="E1652" s="171" t="b">
        <f>LineærRegression_Valg[[#This Row],[Afhængig variabel ID]]&lt;=$B$5</f>
        <v>0</v>
      </c>
      <c r="F1652" t="str" cm="1">
        <f t="array" ref="F1652">IF(LineærRegression_Valg[[#This Row],[Indenfor range]],INDEX(DataTitel_liste,LineærRegression_Valg[[#This Row],[Afhængig variabel ID]]),INDEX(DataTitel_liste,1))</f>
        <v>Eksempel 1 (interval)</v>
      </c>
      <c r="G1652" s="171" t="str" cm="1">
        <f t="array" ref="G1652">IF(LineærRegression_Valg[[#This Row],[Indenfor range]],IF(LineærRegression_Valg[[#This Row],[Intet overlap]],INDEX(DataTitel_liste,LineærRegression_Valg[[#This Row],[Uafhængig variabel ID]]),INDEX(DataTitel_liste,IF(LineærRegression_Valg[[#This Row],[Afhængig variabel ID]]=1,2,1))),$B$7)</f>
        <v>Eksempel 2 (interval)</v>
      </c>
      <c r="H1652" s="171">
        <f>_xlfn.AGGREGATE(2,5,LineærRegression_Valg[[#This Row],[Tabel ID]])</f>
        <v>1</v>
      </c>
    </row>
    <row r="1653" spans="1:8" x14ac:dyDescent="0.2">
      <c r="A1653">
        <f>ROW(LineærRegression_Valg[[#This Row],[Tabel ID]])-ROW(LineærRegression_Valg[[#Headers],[Tabel ID]])</f>
        <v>1643</v>
      </c>
      <c r="B1653" s="171">
        <f>ROUNDDOWN((LineærRegression_Valg[[#This Row],[Tabel ID]]-1)/$B$5,0)+1</f>
        <v>411</v>
      </c>
      <c r="C1653" s="171">
        <f t="shared" si="25"/>
        <v>3</v>
      </c>
      <c r="D1653" s="171" t="b">
        <f>LineærRegression_Valg[[#This Row],[Afhængig variabel ID]]&lt;&gt;LineærRegression_Valg[[#This Row],[Uafhængig variabel ID]]</f>
        <v>1</v>
      </c>
      <c r="E1653" s="171" t="b">
        <f>LineærRegression_Valg[[#This Row],[Afhængig variabel ID]]&lt;=$B$5</f>
        <v>0</v>
      </c>
      <c r="F1653" t="str" cm="1">
        <f t="array" ref="F1653">IF(LineærRegression_Valg[[#This Row],[Indenfor range]],INDEX(DataTitel_liste,LineærRegression_Valg[[#This Row],[Afhængig variabel ID]]),INDEX(DataTitel_liste,1))</f>
        <v>Eksempel 1 (interval)</v>
      </c>
      <c r="G1653" s="171" t="str" cm="1">
        <f t="array" ref="G1653">IF(LineærRegression_Valg[[#This Row],[Indenfor range]],IF(LineærRegression_Valg[[#This Row],[Intet overlap]],INDEX(DataTitel_liste,LineærRegression_Valg[[#This Row],[Uafhængig variabel ID]]),INDEX(DataTitel_liste,IF(LineærRegression_Valg[[#This Row],[Afhængig variabel ID]]=1,2,1))),$B$7)</f>
        <v>Eksempel 2 (interval)</v>
      </c>
      <c r="H1653" s="171">
        <f>_xlfn.AGGREGATE(2,5,LineærRegression_Valg[[#This Row],[Tabel ID]])</f>
        <v>1</v>
      </c>
    </row>
    <row r="1654" spans="1:8" x14ac:dyDescent="0.2">
      <c r="A1654">
        <f>ROW(LineærRegression_Valg[[#This Row],[Tabel ID]])-ROW(LineærRegression_Valg[[#Headers],[Tabel ID]])</f>
        <v>1644</v>
      </c>
      <c r="B1654" s="171">
        <f>ROUNDDOWN((LineærRegression_Valg[[#This Row],[Tabel ID]]-1)/$B$5,0)+1</f>
        <v>411</v>
      </c>
      <c r="C1654" s="171">
        <f t="shared" si="25"/>
        <v>4</v>
      </c>
      <c r="D1654" s="171" t="b">
        <f>LineærRegression_Valg[[#This Row],[Afhængig variabel ID]]&lt;&gt;LineærRegression_Valg[[#This Row],[Uafhængig variabel ID]]</f>
        <v>1</v>
      </c>
      <c r="E1654" s="171" t="b">
        <f>LineærRegression_Valg[[#This Row],[Afhængig variabel ID]]&lt;=$B$5</f>
        <v>0</v>
      </c>
      <c r="F1654" t="str" cm="1">
        <f t="array" ref="F1654">IF(LineærRegression_Valg[[#This Row],[Indenfor range]],INDEX(DataTitel_liste,LineærRegression_Valg[[#This Row],[Afhængig variabel ID]]),INDEX(DataTitel_liste,1))</f>
        <v>Eksempel 1 (interval)</v>
      </c>
      <c r="G1654" s="171" t="str" cm="1">
        <f t="array" ref="G1654">IF(LineærRegression_Valg[[#This Row],[Indenfor range]],IF(LineærRegression_Valg[[#This Row],[Intet overlap]],INDEX(DataTitel_liste,LineærRegression_Valg[[#This Row],[Uafhængig variabel ID]]),INDEX(DataTitel_liste,IF(LineærRegression_Valg[[#This Row],[Afhængig variabel ID]]=1,2,1))),$B$7)</f>
        <v>Eksempel 2 (interval)</v>
      </c>
      <c r="H1654" s="171">
        <f>_xlfn.AGGREGATE(2,5,LineærRegression_Valg[[#This Row],[Tabel ID]])</f>
        <v>1</v>
      </c>
    </row>
    <row r="1655" spans="1:8" x14ac:dyDescent="0.2">
      <c r="A1655">
        <f>ROW(LineærRegression_Valg[[#This Row],[Tabel ID]])-ROW(LineærRegression_Valg[[#Headers],[Tabel ID]])</f>
        <v>1645</v>
      </c>
      <c r="B1655" s="171">
        <f>ROUNDDOWN((LineærRegression_Valg[[#This Row],[Tabel ID]]-1)/$B$5,0)+1</f>
        <v>412</v>
      </c>
      <c r="C1655" s="171">
        <f t="shared" si="25"/>
        <v>1</v>
      </c>
      <c r="D1655" s="171" t="b">
        <f>LineærRegression_Valg[[#This Row],[Afhængig variabel ID]]&lt;&gt;LineærRegression_Valg[[#This Row],[Uafhængig variabel ID]]</f>
        <v>1</v>
      </c>
      <c r="E1655" s="171" t="b">
        <f>LineærRegression_Valg[[#This Row],[Afhængig variabel ID]]&lt;=$B$5</f>
        <v>0</v>
      </c>
      <c r="F1655" t="str" cm="1">
        <f t="array" ref="F1655">IF(LineærRegression_Valg[[#This Row],[Indenfor range]],INDEX(DataTitel_liste,LineærRegression_Valg[[#This Row],[Afhængig variabel ID]]),INDEX(DataTitel_liste,1))</f>
        <v>Eksempel 1 (interval)</v>
      </c>
      <c r="G1655" s="171" t="str" cm="1">
        <f t="array" ref="G1655">IF(LineærRegression_Valg[[#This Row],[Indenfor range]],IF(LineærRegression_Valg[[#This Row],[Intet overlap]],INDEX(DataTitel_liste,LineærRegression_Valg[[#This Row],[Uafhængig variabel ID]]),INDEX(DataTitel_liste,IF(LineærRegression_Valg[[#This Row],[Afhængig variabel ID]]=1,2,1))),$B$7)</f>
        <v>Eksempel 2 (interval)</v>
      </c>
      <c r="H1655" s="171">
        <f>_xlfn.AGGREGATE(2,5,LineærRegression_Valg[[#This Row],[Tabel ID]])</f>
        <v>1</v>
      </c>
    </row>
    <row r="1656" spans="1:8" x14ac:dyDescent="0.2">
      <c r="A1656">
        <f>ROW(LineærRegression_Valg[[#This Row],[Tabel ID]])-ROW(LineærRegression_Valg[[#Headers],[Tabel ID]])</f>
        <v>1646</v>
      </c>
      <c r="B1656" s="171">
        <f>ROUNDDOWN((LineærRegression_Valg[[#This Row],[Tabel ID]]-1)/$B$5,0)+1</f>
        <v>412</v>
      </c>
      <c r="C1656" s="171">
        <f t="shared" si="25"/>
        <v>2</v>
      </c>
      <c r="D1656" s="171" t="b">
        <f>LineærRegression_Valg[[#This Row],[Afhængig variabel ID]]&lt;&gt;LineærRegression_Valg[[#This Row],[Uafhængig variabel ID]]</f>
        <v>1</v>
      </c>
      <c r="E1656" s="171" t="b">
        <f>LineærRegression_Valg[[#This Row],[Afhængig variabel ID]]&lt;=$B$5</f>
        <v>0</v>
      </c>
      <c r="F1656" t="str" cm="1">
        <f t="array" ref="F1656">IF(LineærRegression_Valg[[#This Row],[Indenfor range]],INDEX(DataTitel_liste,LineærRegression_Valg[[#This Row],[Afhængig variabel ID]]),INDEX(DataTitel_liste,1))</f>
        <v>Eksempel 1 (interval)</v>
      </c>
      <c r="G1656" s="171" t="str" cm="1">
        <f t="array" ref="G1656">IF(LineærRegression_Valg[[#This Row],[Indenfor range]],IF(LineærRegression_Valg[[#This Row],[Intet overlap]],INDEX(DataTitel_liste,LineærRegression_Valg[[#This Row],[Uafhængig variabel ID]]),INDEX(DataTitel_liste,IF(LineærRegression_Valg[[#This Row],[Afhængig variabel ID]]=1,2,1))),$B$7)</f>
        <v>Eksempel 2 (interval)</v>
      </c>
      <c r="H1656" s="171">
        <f>_xlfn.AGGREGATE(2,5,LineærRegression_Valg[[#This Row],[Tabel ID]])</f>
        <v>1</v>
      </c>
    </row>
    <row r="1657" spans="1:8" x14ac:dyDescent="0.2">
      <c r="A1657">
        <f>ROW(LineærRegression_Valg[[#This Row],[Tabel ID]])-ROW(LineærRegression_Valg[[#Headers],[Tabel ID]])</f>
        <v>1647</v>
      </c>
      <c r="B1657" s="171">
        <f>ROUNDDOWN((LineærRegression_Valg[[#This Row],[Tabel ID]]-1)/$B$5,0)+1</f>
        <v>412</v>
      </c>
      <c r="C1657" s="171">
        <f t="shared" si="25"/>
        <v>3</v>
      </c>
      <c r="D1657" s="171" t="b">
        <f>LineærRegression_Valg[[#This Row],[Afhængig variabel ID]]&lt;&gt;LineærRegression_Valg[[#This Row],[Uafhængig variabel ID]]</f>
        <v>1</v>
      </c>
      <c r="E1657" s="171" t="b">
        <f>LineærRegression_Valg[[#This Row],[Afhængig variabel ID]]&lt;=$B$5</f>
        <v>0</v>
      </c>
      <c r="F1657" t="str" cm="1">
        <f t="array" ref="F1657">IF(LineærRegression_Valg[[#This Row],[Indenfor range]],INDEX(DataTitel_liste,LineærRegression_Valg[[#This Row],[Afhængig variabel ID]]),INDEX(DataTitel_liste,1))</f>
        <v>Eksempel 1 (interval)</v>
      </c>
      <c r="G1657" s="171" t="str" cm="1">
        <f t="array" ref="G1657">IF(LineærRegression_Valg[[#This Row],[Indenfor range]],IF(LineærRegression_Valg[[#This Row],[Intet overlap]],INDEX(DataTitel_liste,LineærRegression_Valg[[#This Row],[Uafhængig variabel ID]]),INDEX(DataTitel_liste,IF(LineærRegression_Valg[[#This Row],[Afhængig variabel ID]]=1,2,1))),$B$7)</f>
        <v>Eksempel 2 (interval)</v>
      </c>
      <c r="H1657" s="171">
        <f>_xlfn.AGGREGATE(2,5,LineærRegression_Valg[[#This Row],[Tabel ID]])</f>
        <v>1</v>
      </c>
    </row>
    <row r="1658" spans="1:8" x14ac:dyDescent="0.2">
      <c r="A1658">
        <f>ROW(LineærRegression_Valg[[#This Row],[Tabel ID]])-ROW(LineærRegression_Valg[[#Headers],[Tabel ID]])</f>
        <v>1648</v>
      </c>
      <c r="B1658" s="171">
        <f>ROUNDDOWN((LineærRegression_Valg[[#This Row],[Tabel ID]]-1)/$B$5,0)+1</f>
        <v>412</v>
      </c>
      <c r="C1658" s="171">
        <f t="shared" si="25"/>
        <v>4</v>
      </c>
      <c r="D1658" s="171" t="b">
        <f>LineærRegression_Valg[[#This Row],[Afhængig variabel ID]]&lt;&gt;LineærRegression_Valg[[#This Row],[Uafhængig variabel ID]]</f>
        <v>1</v>
      </c>
      <c r="E1658" s="171" t="b">
        <f>LineærRegression_Valg[[#This Row],[Afhængig variabel ID]]&lt;=$B$5</f>
        <v>0</v>
      </c>
      <c r="F1658" t="str" cm="1">
        <f t="array" ref="F1658">IF(LineærRegression_Valg[[#This Row],[Indenfor range]],INDEX(DataTitel_liste,LineærRegression_Valg[[#This Row],[Afhængig variabel ID]]),INDEX(DataTitel_liste,1))</f>
        <v>Eksempel 1 (interval)</v>
      </c>
      <c r="G1658" s="171" t="str" cm="1">
        <f t="array" ref="G1658">IF(LineærRegression_Valg[[#This Row],[Indenfor range]],IF(LineærRegression_Valg[[#This Row],[Intet overlap]],INDEX(DataTitel_liste,LineærRegression_Valg[[#This Row],[Uafhængig variabel ID]]),INDEX(DataTitel_liste,IF(LineærRegression_Valg[[#This Row],[Afhængig variabel ID]]=1,2,1))),$B$7)</f>
        <v>Eksempel 2 (interval)</v>
      </c>
      <c r="H1658" s="171">
        <f>_xlfn.AGGREGATE(2,5,LineærRegression_Valg[[#This Row],[Tabel ID]])</f>
        <v>1</v>
      </c>
    </row>
    <row r="1659" spans="1:8" x14ac:dyDescent="0.2">
      <c r="A1659">
        <f>ROW(LineærRegression_Valg[[#This Row],[Tabel ID]])-ROW(LineærRegression_Valg[[#Headers],[Tabel ID]])</f>
        <v>1649</v>
      </c>
      <c r="B1659" s="171">
        <f>ROUNDDOWN((LineærRegression_Valg[[#This Row],[Tabel ID]]-1)/$B$5,0)+1</f>
        <v>413</v>
      </c>
      <c r="C1659" s="171">
        <f t="shared" si="25"/>
        <v>1</v>
      </c>
      <c r="D1659" s="171" t="b">
        <f>LineærRegression_Valg[[#This Row],[Afhængig variabel ID]]&lt;&gt;LineærRegression_Valg[[#This Row],[Uafhængig variabel ID]]</f>
        <v>1</v>
      </c>
      <c r="E1659" s="171" t="b">
        <f>LineærRegression_Valg[[#This Row],[Afhængig variabel ID]]&lt;=$B$5</f>
        <v>0</v>
      </c>
      <c r="F1659" t="str" cm="1">
        <f t="array" ref="F1659">IF(LineærRegression_Valg[[#This Row],[Indenfor range]],INDEX(DataTitel_liste,LineærRegression_Valg[[#This Row],[Afhængig variabel ID]]),INDEX(DataTitel_liste,1))</f>
        <v>Eksempel 1 (interval)</v>
      </c>
      <c r="G1659" s="171" t="str" cm="1">
        <f t="array" ref="G1659">IF(LineærRegression_Valg[[#This Row],[Indenfor range]],IF(LineærRegression_Valg[[#This Row],[Intet overlap]],INDEX(DataTitel_liste,LineærRegression_Valg[[#This Row],[Uafhængig variabel ID]]),INDEX(DataTitel_liste,IF(LineærRegression_Valg[[#This Row],[Afhængig variabel ID]]=1,2,1))),$B$7)</f>
        <v>Eksempel 2 (interval)</v>
      </c>
      <c r="H1659" s="171">
        <f>_xlfn.AGGREGATE(2,5,LineærRegression_Valg[[#This Row],[Tabel ID]])</f>
        <v>1</v>
      </c>
    </row>
    <row r="1660" spans="1:8" x14ac:dyDescent="0.2">
      <c r="A1660">
        <f>ROW(LineærRegression_Valg[[#This Row],[Tabel ID]])-ROW(LineærRegression_Valg[[#Headers],[Tabel ID]])</f>
        <v>1650</v>
      </c>
      <c r="B1660" s="171">
        <f>ROUNDDOWN((LineærRegression_Valg[[#This Row],[Tabel ID]]-1)/$B$5,0)+1</f>
        <v>413</v>
      </c>
      <c r="C1660" s="171">
        <f t="shared" si="25"/>
        <v>2</v>
      </c>
      <c r="D1660" s="171" t="b">
        <f>LineærRegression_Valg[[#This Row],[Afhængig variabel ID]]&lt;&gt;LineærRegression_Valg[[#This Row],[Uafhængig variabel ID]]</f>
        <v>1</v>
      </c>
      <c r="E1660" s="171" t="b">
        <f>LineærRegression_Valg[[#This Row],[Afhængig variabel ID]]&lt;=$B$5</f>
        <v>0</v>
      </c>
      <c r="F1660" t="str" cm="1">
        <f t="array" ref="F1660">IF(LineærRegression_Valg[[#This Row],[Indenfor range]],INDEX(DataTitel_liste,LineærRegression_Valg[[#This Row],[Afhængig variabel ID]]),INDEX(DataTitel_liste,1))</f>
        <v>Eksempel 1 (interval)</v>
      </c>
      <c r="G1660" s="171" t="str" cm="1">
        <f t="array" ref="G1660">IF(LineærRegression_Valg[[#This Row],[Indenfor range]],IF(LineærRegression_Valg[[#This Row],[Intet overlap]],INDEX(DataTitel_liste,LineærRegression_Valg[[#This Row],[Uafhængig variabel ID]]),INDEX(DataTitel_liste,IF(LineærRegression_Valg[[#This Row],[Afhængig variabel ID]]=1,2,1))),$B$7)</f>
        <v>Eksempel 2 (interval)</v>
      </c>
      <c r="H1660" s="171">
        <f>_xlfn.AGGREGATE(2,5,LineærRegression_Valg[[#This Row],[Tabel ID]])</f>
        <v>1</v>
      </c>
    </row>
    <row r="1661" spans="1:8" x14ac:dyDescent="0.2">
      <c r="A1661">
        <f>ROW(LineærRegression_Valg[[#This Row],[Tabel ID]])-ROW(LineærRegression_Valg[[#Headers],[Tabel ID]])</f>
        <v>1651</v>
      </c>
      <c r="B1661" s="171">
        <f>ROUNDDOWN((LineærRegression_Valg[[#This Row],[Tabel ID]]-1)/$B$5,0)+1</f>
        <v>413</v>
      </c>
      <c r="C1661" s="171">
        <f t="shared" si="25"/>
        <v>3</v>
      </c>
      <c r="D1661" s="171" t="b">
        <f>LineærRegression_Valg[[#This Row],[Afhængig variabel ID]]&lt;&gt;LineærRegression_Valg[[#This Row],[Uafhængig variabel ID]]</f>
        <v>1</v>
      </c>
      <c r="E1661" s="171" t="b">
        <f>LineærRegression_Valg[[#This Row],[Afhængig variabel ID]]&lt;=$B$5</f>
        <v>0</v>
      </c>
      <c r="F1661" t="str" cm="1">
        <f t="array" ref="F1661">IF(LineærRegression_Valg[[#This Row],[Indenfor range]],INDEX(DataTitel_liste,LineærRegression_Valg[[#This Row],[Afhængig variabel ID]]),INDEX(DataTitel_liste,1))</f>
        <v>Eksempel 1 (interval)</v>
      </c>
      <c r="G1661" s="171" t="str" cm="1">
        <f t="array" ref="G1661">IF(LineærRegression_Valg[[#This Row],[Indenfor range]],IF(LineærRegression_Valg[[#This Row],[Intet overlap]],INDEX(DataTitel_liste,LineærRegression_Valg[[#This Row],[Uafhængig variabel ID]]),INDEX(DataTitel_liste,IF(LineærRegression_Valg[[#This Row],[Afhængig variabel ID]]=1,2,1))),$B$7)</f>
        <v>Eksempel 2 (interval)</v>
      </c>
      <c r="H1661" s="171">
        <f>_xlfn.AGGREGATE(2,5,LineærRegression_Valg[[#This Row],[Tabel ID]])</f>
        <v>1</v>
      </c>
    </row>
    <row r="1662" spans="1:8" x14ac:dyDescent="0.2">
      <c r="A1662">
        <f>ROW(LineærRegression_Valg[[#This Row],[Tabel ID]])-ROW(LineærRegression_Valg[[#Headers],[Tabel ID]])</f>
        <v>1652</v>
      </c>
      <c r="B1662" s="171">
        <f>ROUNDDOWN((LineærRegression_Valg[[#This Row],[Tabel ID]]-1)/$B$5,0)+1</f>
        <v>413</v>
      </c>
      <c r="C1662" s="171">
        <f t="shared" si="25"/>
        <v>4</v>
      </c>
      <c r="D1662" s="171" t="b">
        <f>LineærRegression_Valg[[#This Row],[Afhængig variabel ID]]&lt;&gt;LineærRegression_Valg[[#This Row],[Uafhængig variabel ID]]</f>
        <v>1</v>
      </c>
      <c r="E1662" s="171" t="b">
        <f>LineærRegression_Valg[[#This Row],[Afhængig variabel ID]]&lt;=$B$5</f>
        <v>0</v>
      </c>
      <c r="F1662" t="str" cm="1">
        <f t="array" ref="F1662">IF(LineærRegression_Valg[[#This Row],[Indenfor range]],INDEX(DataTitel_liste,LineærRegression_Valg[[#This Row],[Afhængig variabel ID]]),INDEX(DataTitel_liste,1))</f>
        <v>Eksempel 1 (interval)</v>
      </c>
      <c r="G1662" s="171" t="str" cm="1">
        <f t="array" ref="G1662">IF(LineærRegression_Valg[[#This Row],[Indenfor range]],IF(LineærRegression_Valg[[#This Row],[Intet overlap]],INDEX(DataTitel_liste,LineærRegression_Valg[[#This Row],[Uafhængig variabel ID]]),INDEX(DataTitel_liste,IF(LineærRegression_Valg[[#This Row],[Afhængig variabel ID]]=1,2,1))),$B$7)</f>
        <v>Eksempel 2 (interval)</v>
      </c>
      <c r="H1662" s="171">
        <f>_xlfn.AGGREGATE(2,5,LineærRegression_Valg[[#This Row],[Tabel ID]])</f>
        <v>1</v>
      </c>
    </row>
    <row r="1663" spans="1:8" x14ac:dyDescent="0.2">
      <c r="A1663">
        <f>ROW(LineærRegression_Valg[[#This Row],[Tabel ID]])-ROW(LineærRegression_Valg[[#Headers],[Tabel ID]])</f>
        <v>1653</v>
      </c>
      <c r="B1663" s="171">
        <f>ROUNDDOWN((LineærRegression_Valg[[#This Row],[Tabel ID]]-1)/$B$5,0)+1</f>
        <v>414</v>
      </c>
      <c r="C1663" s="171">
        <f t="shared" si="25"/>
        <v>1</v>
      </c>
      <c r="D1663" s="171" t="b">
        <f>LineærRegression_Valg[[#This Row],[Afhængig variabel ID]]&lt;&gt;LineærRegression_Valg[[#This Row],[Uafhængig variabel ID]]</f>
        <v>1</v>
      </c>
      <c r="E1663" s="171" t="b">
        <f>LineærRegression_Valg[[#This Row],[Afhængig variabel ID]]&lt;=$B$5</f>
        <v>0</v>
      </c>
      <c r="F1663" t="str" cm="1">
        <f t="array" ref="F1663">IF(LineærRegression_Valg[[#This Row],[Indenfor range]],INDEX(DataTitel_liste,LineærRegression_Valg[[#This Row],[Afhængig variabel ID]]),INDEX(DataTitel_liste,1))</f>
        <v>Eksempel 1 (interval)</v>
      </c>
      <c r="G1663" s="171" t="str" cm="1">
        <f t="array" ref="G1663">IF(LineærRegression_Valg[[#This Row],[Indenfor range]],IF(LineærRegression_Valg[[#This Row],[Intet overlap]],INDEX(DataTitel_liste,LineærRegression_Valg[[#This Row],[Uafhængig variabel ID]]),INDEX(DataTitel_liste,IF(LineærRegression_Valg[[#This Row],[Afhængig variabel ID]]=1,2,1))),$B$7)</f>
        <v>Eksempel 2 (interval)</v>
      </c>
      <c r="H1663" s="171">
        <f>_xlfn.AGGREGATE(2,5,LineærRegression_Valg[[#This Row],[Tabel ID]])</f>
        <v>1</v>
      </c>
    </row>
    <row r="1664" spans="1:8" x14ac:dyDescent="0.2">
      <c r="A1664">
        <f>ROW(LineærRegression_Valg[[#This Row],[Tabel ID]])-ROW(LineærRegression_Valg[[#Headers],[Tabel ID]])</f>
        <v>1654</v>
      </c>
      <c r="B1664" s="171">
        <f>ROUNDDOWN((LineærRegression_Valg[[#This Row],[Tabel ID]]-1)/$B$5,0)+1</f>
        <v>414</v>
      </c>
      <c r="C1664" s="171">
        <f t="shared" si="25"/>
        <v>2</v>
      </c>
      <c r="D1664" s="171" t="b">
        <f>LineærRegression_Valg[[#This Row],[Afhængig variabel ID]]&lt;&gt;LineærRegression_Valg[[#This Row],[Uafhængig variabel ID]]</f>
        <v>1</v>
      </c>
      <c r="E1664" s="171" t="b">
        <f>LineærRegression_Valg[[#This Row],[Afhængig variabel ID]]&lt;=$B$5</f>
        <v>0</v>
      </c>
      <c r="F1664" t="str" cm="1">
        <f t="array" ref="F1664">IF(LineærRegression_Valg[[#This Row],[Indenfor range]],INDEX(DataTitel_liste,LineærRegression_Valg[[#This Row],[Afhængig variabel ID]]),INDEX(DataTitel_liste,1))</f>
        <v>Eksempel 1 (interval)</v>
      </c>
      <c r="G1664" s="171" t="str" cm="1">
        <f t="array" ref="G1664">IF(LineærRegression_Valg[[#This Row],[Indenfor range]],IF(LineærRegression_Valg[[#This Row],[Intet overlap]],INDEX(DataTitel_liste,LineærRegression_Valg[[#This Row],[Uafhængig variabel ID]]),INDEX(DataTitel_liste,IF(LineærRegression_Valg[[#This Row],[Afhængig variabel ID]]=1,2,1))),$B$7)</f>
        <v>Eksempel 2 (interval)</v>
      </c>
      <c r="H1664" s="171">
        <f>_xlfn.AGGREGATE(2,5,LineærRegression_Valg[[#This Row],[Tabel ID]])</f>
        <v>1</v>
      </c>
    </row>
    <row r="1665" spans="1:8" x14ac:dyDescent="0.2">
      <c r="A1665">
        <f>ROW(LineærRegression_Valg[[#This Row],[Tabel ID]])-ROW(LineærRegression_Valg[[#Headers],[Tabel ID]])</f>
        <v>1655</v>
      </c>
      <c r="B1665" s="171">
        <f>ROUNDDOWN((LineærRegression_Valg[[#This Row],[Tabel ID]]-1)/$B$5,0)+1</f>
        <v>414</v>
      </c>
      <c r="C1665" s="171">
        <f t="shared" si="25"/>
        <v>3</v>
      </c>
      <c r="D1665" s="171" t="b">
        <f>LineærRegression_Valg[[#This Row],[Afhængig variabel ID]]&lt;&gt;LineærRegression_Valg[[#This Row],[Uafhængig variabel ID]]</f>
        <v>1</v>
      </c>
      <c r="E1665" s="171" t="b">
        <f>LineærRegression_Valg[[#This Row],[Afhængig variabel ID]]&lt;=$B$5</f>
        <v>0</v>
      </c>
      <c r="F1665" t="str" cm="1">
        <f t="array" ref="F1665">IF(LineærRegression_Valg[[#This Row],[Indenfor range]],INDEX(DataTitel_liste,LineærRegression_Valg[[#This Row],[Afhængig variabel ID]]),INDEX(DataTitel_liste,1))</f>
        <v>Eksempel 1 (interval)</v>
      </c>
      <c r="G1665" s="171" t="str" cm="1">
        <f t="array" ref="G1665">IF(LineærRegression_Valg[[#This Row],[Indenfor range]],IF(LineærRegression_Valg[[#This Row],[Intet overlap]],INDEX(DataTitel_liste,LineærRegression_Valg[[#This Row],[Uafhængig variabel ID]]),INDEX(DataTitel_liste,IF(LineærRegression_Valg[[#This Row],[Afhængig variabel ID]]=1,2,1))),$B$7)</f>
        <v>Eksempel 2 (interval)</v>
      </c>
      <c r="H1665" s="171">
        <f>_xlfn.AGGREGATE(2,5,LineærRegression_Valg[[#This Row],[Tabel ID]])</f>
        <v>1</v>
      </c>
    </row>
    <row r="1666" spans="1:8" x14ac:dyDescent="0.2">
      <c r="A1666">
        <f>ROW(LineærRegression_Valg[[#This Row],[Tabel ID]])-ROW(LineærRegression_Valg[[#Headers],[Tabel ID]])</f>
        <v>1656</v>
      </c>
      <c r="B1666" s="171">
        <f>ROUNDDOWN((LineærRegression_Valg[[#This Row],[Tabel ID]]-1)/$B$5,0)+1</f>
        <v>414</v>
      </c>
      <c r="C1666" s="171">
        <f t="shared" si="25"/>
        <v>4</v>
      </c>
      <c r="D1666" s="171" t="b">
        <f>LineærRegression_Valg[[#This Row],[Afhængig variabel ID]]&lt;&gt;LineærRegression_Valg[[#This Row],[Uafhængig variabel ID]]</f>
        <v>1</v>
      </c>
      <c r="E1666" s="171" t="b">
        <f>LineærRegression_Valg[[#This Row],[Afhængig variabel ID]]&lt;=$B$5</f>
        <v>0</v>
      </c>
      <c r="F1666" t="str" cm="1">
        <f t="array" ref="F1666">IF(LineærRegression_Valg[[#This Row],[Indenfor range]],INDEX(DataTitel_liste,LineærRegression_Valg[[#This Row],[Afhængig variabel ID]]),INDEX(DataTitel_liste,1))</f>
        <v>Eksempel 1 (interval)</v>
      </c>
      <c r="G1666" s="171" t="str" cm="1">
        <f t="array" ref="G1666">IF(LineærRegression_Valg[[#This Row],[Indenfor range]],IF(LineærRegression_Valg[[#This Row],[Intet overlap]],INDEX(DataTitel_liste,LineærRegression_Valg[[#This Row],[Uafhængig variabel ID]]),INDEX(DataTitel_liste,IF(LineærRegression_Valg[[#This Row],[Afhængig variabel ID]]=1,2,1))),$B$7)</f>
        <v>Eksempel 2 (interval)</v>
      </c>
      <c r="H1666" s="171">
        <f>_xlfn.AGGREGATE(2,5,LineærRegression_Valg[[#This Row],[Tabel ID]])</f>
        <v>1</v>
      </c>
    </row>
    <row r="1667" spans="1:8" x14ac:dyDescent="0.2">
      <c r="A1667">
        <f>ROW(LineærRegression_Valg[[#This Row],[Tabel ID]])-ROW(LineærRegression_Valg[[#Headers],[Tabel ID]])</f>
        <v>1657</v>
      </c>
      <c r="B1667" s="171">
        <f>ROUNDDOWN((LineærRegression_Valg[[#This Row],[Tabel ID]]-1)/$B$5,0)+1</f>
        <v>415</v>
      </c>
      <c r="C1667" s="171">
        <f t="shared" si="25"/>
        <v>1</v>
      </c>
      <c r="D1667" s="171" t="b">
        <f>LineærRegression_Valg[[#This Row],[Afhængig variabel ID]]&lt;&gt;LineærRegression_Valg[[#This Row],[Uafhængig variabel ID]]</f>
        <v>1</v>
      </c>
      <c r="E1667" s="171" t="b">
        <f>LineærRegression_Valg[[#This Row],[Afhængig variabel ID]]&lt;=$B$5</f>
        <v>0</v>
      </c>
      <c r="F1667" t="str" cm="1">
        <f t="array" ref="F1667">IF(LineærRegression_Valg[[#This Row],[Indenfor range]],INDEX(DataTitel_liste,LineærRegression_Valg[[#This Row],[Afhængig variabel ID]]),INDEX(DataTitel_liste,1))</f>
        <v>Eksempel 1 (interval)</v>
      </c>
      <c r="G1667" s="171" t="str" cm="1">
        <f t="array" ref="G1667">IF(LineærRegression_Valg[[#This Row],[Indenfor range]],IF(LineærRegression_Valg[[#This Row],[Intet overlap]],INDEX(DataTitel_liste,LineærRegression_Valg[[#This Row],[Uafhængig variabel ID]]),INDEX(DataTitel_liste,IF(LineærRegression_Valg[[#This Row],[Afhængig variabel ID]]=1,2,1))),$B$7)</f>
        <v>Eksempel 2 (interval)</v>
      </c>
      <c r="H1667" s="171">
        <f>_xlfn.AGGREGATE(2,5,LineærRegression_Valg[[#This Row],[Tabel ID]])</f>
        <v>1</v>
      </c>
    </row>
    <row r="1668" spans="1:8" x14ac:dyDescent="0.2">
      <c r="A1668">
        <f>ROW(LineærRegression_Valg[[#This Row],[Tabel ID]])-ROW(LineærRegression_Valg[[#Headers],[Tabel ID]])</f>
        <v>1658</v>
      </c>
      <c r="B1668" s="171">
        <f>ROUNDDOWN((LineærRegression_Valg[[#This Row],[Tabel ID]]-1)/$B$5,0)+1</f>
        <v>415</v>
      </c>
      <c r="C1668" s="171">
        <f t="shared" si="25"/>
        <v>2</v>
      </c>
      <c r="D1668" s="171" t="b">
        <f>LineærRegression_Valg[[#This Row],[Afhængig variabel ID]]&lt;&gt;LineærRegression_Valg[[#This Row],[Uafhængig variabel ID]]</f>
        <v>1</v>
      </c>
      <c r="E1668" s="171" t="b">
        <f>LineærRegression_Valg[[#This Row],[Afhængig variabel ID]]&lt;=$B$5</f>
        <v>0</v>
      </c>
      <c r="F1668" t="str" cm="1">
        <f t="array" ref="F1668">IF(LineærRegression_Valg[[#This Row],[Indenfor range]],INDEX(DataTitel_liste,LineærRegression_Valg[[#This Row],[Afhængig variabel ID]]),INDEX(DataTitel_liste,1))</f>
        <v>Eksempel 1 (interval)</v>
      </c>
      <c r="G1668" s="171" t="str" cm="1">
        <f t="array" ref="G1668">IF(LineærRegression_Valg[[#This Row],[Indenfor range]],IF(LineærRegression_Valg[[#This Row],[Intet overlap]],INDEX(DataTitel_liste,LineærRegression_Valg[[#This Row],[Uafhængig variabel ID]]),INDEX(DataTitel_liste,IF(LineærRegression_Valg[[#This Row],[Afhængig variabel ID]]=1,2,1))),$B$7)</f>
        <v>Eksempel 2 (interval)</v>
      </c>
      <c r="H1668" s="171">
        <f>_xlfn.AGGREGATE(2,5,LineærRegression_Valg[[#This Row],[Tabel ID]])</f>
        <v>1</v>
      </c>
    </row>
    <row r="1669" spans="1:8" x14ac:dyDescent="0.2">
      <c r="A1669">
        <f>ROW(LineærRegression_Valg[[#This Row],[Tabel ID]])-ROW(LineærRegression_Valg[[#Headers],[Tabel ID]])</f>
        <v>1659</v>
      </c>
      <c r="B1669" s="171">
        <f>ROUNDDOWN((LineærRegression_Valg[[#This Row],[Tabel ID]]-1)/$B$5,0)+1</f>
        <v>415</v>
      </c>
      <c r="C1669" s="171">
        <f t="shared" si="25"/>
        <v>3</v>
      </c>
      <c r="D1669" s="171" t="b">
        <f>LineærRegression_Valg[[#This Row],[Afhængig variabel ID]]&lt;&gt;LineærRegression_Valg[[#This Row],[Uafhængig variabel ID]]</f>
        <v>1</v>
      </c>
      <c r="E1669" s="171" t="b">
        <f>LineærRegression_Valg[[#This Row],[Afhængig variabel ID]]&lt;=$B$5</f>
        <v>0</v>
      </c>
      <c r="F1669" t="str" cm="1">
        <f t="array" ref="F1669">IF(LineærRegression_Valg[[#This Row],[Indenfor range]],INDEX(DataTitel_liste,LineærRegression_Valg[[#This Row],[Afhængig variabel ID]]),INDEX(DataTitel_liste,1))</f>
        <v>Eksempel 1 (interval)</v>
      </c>
      <c r="G1669" s="171" t="str" cm="1">
        <f t="array" ref="G1669">IF(LineærRegression_Valg[[#This Row],[Indenfor range]],IF(LineærRegression_Valg[[#This Row],[Intet overlap]],INDEX(DataTitel_liste,LineærRegression_Valg[[#This Row],[Uafhængig variabel ID]]),INDEX(DataTitel_liste,IF(LineærRegression_Valg[[#This Row],[Afhængig variabel ID]]=1,2,1))),$B$7)</f>
        <v>Eksempel 2 (interval)</v>
      </c>
      <c r="H1669" s="171">
        <f>_xlfn.AGGREGATE(2,5,LineærRegression_Valg[[#This Row],[Tabel ID]])</f>
        <v>1</v>
      </c>
    </row>
    <row r="1670" spans="1:8" x14ac:dyDescent="0.2">
      <c r="A1670">
        <f>ROW(LineærRegression_Valg[[#This Row],[Tabel ID]])-ROW(LineærRegression_Valg[[#Headers],[Tabel ID]])</f>
        <v>1660</v>
      </c>
      <c r="B1670" s="171">
        <f>ROUNDDOWN((LineærRegression_Valg[[#This Row],[Tabel ID]]-1)/$B$5,0)+1</f>
        <v>415</v>
      </c>
      <c r="C1670" s="171">
        <f t="shared" si="25"/>
        <v>4</v>
      </c>
      <c r="D1670" s="171" t="b">
        <f>LineærRegression_Valg[[#This Row],[Afhængig variabel ID]]&lt;&gt;LineærRegression_Valg[[#This Row],[Uafhængig variabel ID]]</f>
        <v>1</v>
      </c>
      <c r="E1670" s="171" t="b">
        <f>LineærRegression_Valg[[#This Row],[Afhængig variabel ID]]&lt;=$B$5</f>
        <v>0</v>
      </c>
      <c r="F1670" t="str" cm="1">
        <f t="array" ref="F1670">IF(LineærRegression_Valg[[#This Row],[Indenfor range]],INDEX(DataTitel_liste,LineærRegression_Valg[[#This Row],[Afhængig variabel ID]]),INDEX(DataTitel_liste,1))</f>
        <v>Eksempel 1 (interval)</v>
      </c>
      <c r="G1670" s="171" t="str" cm="1">
        <f t="array" ref="G1670">IF(LineærRegression_Valg[[#This Row],[Indenfor range]],IF(LineærRegression_Valg[[#This Row],[Intet overlap]],INDEX(DataTitel_liste,LineærRegression_Valg[[#This Row],[Uafhængig variabel ID]]),INDEX(DataTitel_liste,IF(LineærRegression_Valg[[#This Row],[Afhængig variabel ID]]=1,2,1))),$B$7)</f>
        <v>Eksempel 2 (interval)</v>
      </c>
      <c r="H1670" s="171">
        <f>_xlfn.AGGREGATE(2,5,LineærRegression_Valg[[#This Row],[Tabel ID]])</f>
        <v>1</v>
      </c>
    </row>
    <row r="1671" spans="1:8" x14ac:dyDescent="0.2">
      <c r="A1671">
        <f>ROW(LineærRegression_Valg[[#This Row],[Tabel ID]])-ROW(LineærRegression_Valg[[#Headers],[Tabel ID]])</f>
        <v>1661</v>
      </c>
      <c r="B1671" s="171">
        <f>ROUNDDOWN((LineærRegression_Valg[[#This Row],[Tabel ID]]-1)/$B$5,0)+1</f>
        <v>416</v>
      </c>
      <c r="C1671" s="171">
        <f t="shared" si="25"/>
        <v>1</v>
      </c>
      <c r="D1671" s="171" t="b">
        <f>LineærRegression_Valg[[#This Row],[Afhængig variabel ID]]&lt;&gt;LineærRegression_Valg[[#This Row],[Uafhængig variabel ID]]</f>
        <v>1</v>
      </c>
      <c r="E1671" s="171" t="b">
        <f>LineærRegression_Valg[[#This Row],[Afhængig variabel ID]]&lt;=$B$5</f>
        <v>0</v>
      </c>
      <c r="F1671" t="str" cm="1">
        <f t="array" ref="F1671">IF(LineærRegression_Valg[[#This Row],[Indenfor range]],INDEX(DataTitel_liste,LineærRegression_Valg[[#This Row],[Afhængig variabel ID]]),INDEX(DataTitel_liste,1))</f>
        <v>Eksempel 1 (interval)</v>
      </c>
      <c r="G1671" s="171" t="str" cm="1">
        <f t="array" ref="G1671">IF(LineærRegression_Valg[[#This Row],[Indenfor range]],IF(LineærRegression_Valg[[#This Row],[Intet overlap]],INDEX(DataTitel_liste,LineærRegression_Valg[[#This Row],[Uafhængig variabel ID]]),INDEX(DataTitel_liste,IF(LineærRegression_Valg[[#This Row],[Afhængig variabel ID]]=1,2,1))),$B$7)</f>
        <v>Eksempel 2 (interval)</v>
      </c>
      <c r="H1671" s="171">
        <f>_xlfn.AGGREGATE(2,5,LineærRegression_Valg[[#This Row],[Tabel ID]])</f>
        <v>1</v>
      </c>
    </row>
    <row r="1672" spans="1:8" x14ac:dyDescent="0.2">
      <c r="A1672">
        <f>ROW(LineærRegression_Valg[[#This Row],[Tabel ID]])-ROW(LineærRegression_Valg[[#Headers],[Tabel ID]])</f>
        <v>1662</v>
      </c>
      <c r="B1672" s="171">
        <f>ROUNDDOWN((LineærRegression_Valg[[#This Row],[Tabel ID]]-1)/$B$5,0)+1</f>
        <v>416</v>
      </c>
      <c r="C1672" s="171">
        <f t="shared" si="25"/>
        <v>2</v>
      </c>
      <c r="D1672" s="171" t="b">
        <f>LineærRegression_Valg[[#This Row],[Afhængig variabel ID]]&lt;&gt;LineærRegression_Valg[[#This Row],[Uafhængig variabel ID]]</f>
        <v>1</v>
      </c>
      <c r="E1672" s="171" t="b">
        <f>LineærRegression_Valg[[#This Row],[Afhængig variabel ID]]&lt;=$B$5</f>
        <v>0</v>
      </c>
      <c r="F1672" t="str" cm="1">
        <f t="array" ref="F1672">IF(LineærRegression_Valg[[#This Row],[Indenfor range]],INDEX(DataTitel_liste,LineærRegression_Valg[[#This Row],[Afhængig variabel ID]]),INDEX(DataTitel_liste,1))</f>
        <v>Eksempel 1 (interval)</v>
      </c>
      <c r="G1672" s="171" t="str" cm="1">
        <f t="array" ref="G1672">IF(LineærRegression_Valg[[#This Row],[Indenfor range]],IF(LineærRegression_Valg[[#This Row],[Intet overlap]],INDEX(DataTitel_liste,LineærRegression_Valg[[#This Row],[Uafhængig variabel ID]]),INDEX(DataTitel_liste,IF(LineærRegression_Valg[[#This Row],[Afhængig variabel ID]]=1,2,1))),$B$7)</f>
        <v>Eksempel 2 (interval)</v>
      </c>
      <c r="H1672" s="171">
        <f>_xlfn.AGGREGATE(2,5,LineærRegression_Valg[[#This Row],[Tabel ID]])</f>
        <v>1</v>
      </c>
    </row>
    <row r="1673" spans="1:8" x14ac:dyDescent="0.2">
      <c r="A1673">
        <f>ROW(LineærRegression_Valg[[#This Row],[Tabel ID]])-ROW(LineærRegression_Valg[[#Headers],[Tabel ID]])</f>
        <v>1663</v>
      </c>
      <c r="B1673" s="171">
        <f>ROUNDDOWN((LineærRegression_Valg[[#This Row],[Tabel ID]]-1)/$B$5,0)+1</f>
        <v>416</v>
      </c>
      <c r="C1673" s="171">
        <f t="shared" si="25"/>
        <v>3</v>
      </c>
      <c r="D1673" s="171" t="b">
        <f>LineærRegression_Valg[[#This Row],[Afhængig variabel ID]]&lt;&gt;LineærRegression_Valg[[#This Row],[Uafhængig variabel ID]]</f>
        <v>1</v>
      </c>
      <c r="E1673" s="171" t="b">
        <f>LineærRegression_Valg[[#This Row],[Afhængig variabel ID]]&lt;=$B$5</f>
        <v>0</v>
      </c>
      <c r="F1673" t="str" cm="1">
        <f t="array" ref="F1673">IF(LineærRegression_Valg[[#This Row],[Indenfor range]],INDEX(DataTitel_liste,LineærRegression_Valg[[#This Row],[Afhængig variabel ID]]),INDEX(DataTitel_liste,1))</f>
        <v>Eksempel 1 (interval)</v>
      </c>
      <c r="G1673" s="171" t="str" cm="1">
        <f t="array" ref="G1673">IF(LineærRegression_Valg[[#This Row],[Indenfor range]],IF(LineærRegression_Valg[[#This Row],[Intet overlap]],INDEX(DataTitel_liste,LineærRegression_Valg[[#This Row],[Uafhængig variabel ID]]),INDEX(DataTitel_liste,IF(LineærRegression_Valg[[#This Row],[Afhængig variabel ID]]=1,2,1))),$B$7)</f>
        <v>Eksempel 2 (interval)</v>
      </c>
      <c r="H1673" s="171">
        <f>_xlfn.AGGREGATE(2,5,LineærRegression_Valg[[#This Row],[Tabel ID]])</f>
        <v>1</v>
      </c>
    </row>
    <row r="1674" spans="1:8" x14ac:dyDescent="0.2">
      <c r="A1674">
        <f>ROW(LineærRegression_Valg[[#This Row],[Tabel ID]])-ROW(LineærRegression_Valg[[#Headers],[Tabel ID]])</f>
        <v>1664</v>
      </c>
      <c r="B1674" s="171">
        <f>ROUNDDOWN((LineærRegression_Valg[[#This Row],[Tabel ID]]-1)/$B$5,0)+1</f>
        <v>416</v>
      </c>
      <c r="C1674" s="171">
        <f t="shared" si="25"/>
        <v>4</v>
      </c>
      <c r="D1674" s="171" t="b">
        <f>LineærRegression_Valg[[#This Row],[Afhængig variabel ID]]&lt;&gt;LineærRegression_Valg[[#This Row],[Uafhængig variabel ID]]</f>
        <v>1</v>
      </c>
      <c r="E1674" s="171" t="b">
        <f>LineærRegression_Valg[[#This Row],[Afhængig variabel ID]]&lt;=$B$5</f>
        <v>0</v>
      </c>
      <c r="F1674" t="str" cm="1">
        <f t="array" ref="F1674">IF(LineærRegression_Valg[[#This Row],[Indenfor range]],INDEX(DataTitel_liste,LineærRegression_Valg[[#This Row],[Afhængig variabel ID]]),INDEX(DataTitel_liste,1))</f>
        <v>Eksempel 1 (interval)</v>
      </c>
      <c r="G1674" s="171" t="str" cm="1">
        <f t="array" ref="G1674">IF(LineærRegression_Valg[[#This Row],[Indenfor range]],IF(LineærRegression_Valg[[#This Row],[Intet overlap]],INDEX(DataTitel_liste,LineærRegression_Valg[[#This Row],[Uafhængig variabel ID]]),INDEX(DataTitel_liste,IF(LineærRegression_Valg[[#This Row],[Afhængig variabel ID]]=1,2,1))),$B$7)</f>
        <v>Eksempel 2 (interval)</v>
      </c>
      <c r="H1674" s="171">
        <f>_xlfn.AGGREGATE(2,5,LineærRegression_Valg[[#This Row],[Tabel ID]])</f>
        <v>1</v>
      </c>
    </row>
    <row r="1675" spans="1:8" x14ac:dyDescent="0.2">
      <c r="A1675">
        <f>ROW(LineærRegression_Valg[[#This Row],[Tabel ID]])-ROW(LineærRegression_Valg[[#Headers],[Tabel ID]])</f>
        <v>1665</v>
      </c>
      <c r="B1675" s="171">
        <f>ROUNDDOWN((LineærRegression_Valg[[#This Row],[Tabel ID]]-1)/$B$5,0)+1</f>
        <v>417</v>
      </c>
      <c r="C1675" s="171">
        <f t="shared" ref="C1675:C1738" si="26">MOD(A1675-1,$B$5)+1</f>
        <v>1</v>
      </c>
      <c r="D1675" s="171" t="b">
        <f>LineærRegression_Valg[[#This Row],[Afhængig variabel ID]]&lt;&gt;LineærRegression_Valg[[#This Row],[Uafhængig variabel ID]]</f>
        <v>1</v>
      </c>
      <c r="E1675" s="171" t="b">
        <f>LineærRegression_Valg[[#This Row],[Afhængig variabel ID]]&lt;=$B$5</f>
        <v>0</v>
      </c>
      <c r="F1675" t="str" cm="1">
        <f t="array" ref="F1675">IF(LineærRegression_Valg[[#This Row],[Indenfor range]],INDEX(DataTitel_liste,LineærRegression_Valg[[#This Row],[Afhængig variabel ID]]),INDEX(DataTitel_liste,1))</f>
        <v>Eksempel 1 (interval)</v>
      </c>
      <c r="G1675" s="171" t="str" cm="1">
        <f t="array" ref="G1675">IF(LineærRegression_Valg[[#This Row],[Indenfor range]],IF(LineærRegression_Valg[[#This Row],[Intet overlap]],INDEX(DataTitel_liste,LineærRegression_Valg[[#This Row],[Uafhængig variabel ID]]),INDEX(DataTitel_liste,IF(LineærRegression_Valg[[#This Row],[Afhængig variabel ID]]=1,2,1))),$B$7)</f>
        <v>Eksempel 2 (interval)</v>
      </c>
      <c r="H1675" s="171">
        <f>_xlfn.AGGREGATE(2,5,LineærRegression_Valg[[#This Row],[Tabel ID]])</f>
        <v>1</v>
      </c>
    </row>
    <row r="1676" spans="1:8" x14ac:dyDescent="0.2">
      <c r="A1676">
        <f>ROW(LineærRegression_Valg[[#This Row],[Tabel ID]])-ROW(LineærRegression_Valg[[#Headers],[Tabel ID]])</f>
        <v>1666</v>
      </c>
      <c r="B1676" s="171">
        <f>ROUNDDOWN((LineærRegression_Valg[[#This Row],[Tabel ID]]-1)/$B$5,0)+1</f>
        <v>417</v>
      </c>
      <c r="C1676" s="171">
        <f t="shared" si="26"/>
        <v>2</v>
      </c>
      <c r="D1676" s="171" t="b">
        <f>LineærRegression_Valg[[#This Row],[Afhængig variabel ID]]&lt;&gt;LineærRegression_Valg[[#This Row],[Uafhængig variabel ID]]</f>
        <v>1</v>
      </c>
      <c r="E1676" s="171" t="b">
        <f>LineærRegression_Valg[[#This Row],[Afhængig variabel ID]]&lt;=$B$5</f>
        <v>0</v>
      </c>
      <c r="F1676" t="str" cm="1">
        <f t="array" ref="F1676">IF(LineærRegression_Valg[[#This Row],[Indenfor range]],INDEX(DataTitel_liste,LineærRegression_Valg[[#This Row],[Afhængig variabel ID]]),INDEX(DataTitel_liste,1))</f>
        <v>Eksempel 1 (interval)</v>
      </c>
      <c r="G1676" s="171" t="str" cm="1">
        <f t="array" ref="G1676">IF(LineærRegression_Valg[[#This Row],[Indenfor range]],IF(LineærRegression_Valg[[#This Row],[Intet overlap]],INDEX(DataTitel_liste,LineærRegression_Valg[[#This Row],[Uafhængig variabel ID]]),INDEX(DataTitel_liste,IF(LineærRegression_Valg[[#This Row],[Afhængig variabel ID]]=1,2,1))),$B$7)</f>
        <v>Eksempel 2 (interval)</v>
      </c>
      <c r="H1676" s="171">
        <f>_xlfn.AGGREGATE(2,5,LineærRegression_Valg[[#This Row],[Tabel ID]])</f>
        <v>1</v>
      </c>
    </row>
    <row r="1677" spans="1:8" x14ac:dyDescent="0.2">
      <c r="A1677">
        <f>ROW(LineærRegression_Valg[[#This Row],[Tabel ID]])-ROW(LineærRegression_Valg[[#Headers],[Tabel ID]])</f>
        <v>1667</v>
      </c>
      <c r="B1677" s="171">
        <f>ROUNDDOWN((LineærRegression_Valg[[#This Row],[Tabel ID]]-1)/$B$5,0)+1</f>
        <v>417</v>
      </c>
      <c r="C1677" s="171">
        <f t="shared" si="26"/>
        <v>3</v>
      </c>
      <c r="D1677" s="171" t="b">
        <f>LineærRegression_Valg[[#This Row],[Afhængig variabel ID]]&lt;&gt;LineærRegression_Valg[[#This Row],[Uafhængig variabel ID]]</f>
        <v>1</v>
      </c>
      <c r="E1677" s="171" t="b">
        <f>LineærRegression_Valg[[#This Row],[Afhængig variabel ID]]&lt;=$B$5</f>
        <v>0</v>
      </c>
      <c r="F1677" t="str" cm="1">
        <f t="array" ref="F1677">IF(LineærRegression_Valg[[#This Row],[Indenfor range]],INDEX(DataTitel_liste,LineærRegression_Valg[[#This Row],[Afhængig variabel ID]]),INDEX(DataTitel_liste,1))</f>
        <v>Eksempel 1 (interval)</v>
      </c>
      <c r="G1677" s="171" t="str" cm="1">
        <f t="array" ref="G1677">IF(LineærRegression_Valg[[#This Row],[Indenfor range]],IF(LineærRegression_Valg[[#This Row],[Intet overlap]],INDEX(DataTitel_liste,LineærRegression_Valg[[#This Row],[Uafhængig variabel ID]]),INDEX(DataTitel_liste,IF(LineærRegression_Valg[[#This Row],[Afhængig variabel ID]]=1,2,1))),$B$7)</f>
        <v>Eksempel 2 (interval)</v>
      </c>
      <c r="H1677" s="171">
        <f>_xlfn.AGGREGATE(2,5,LineærRegression_Valg[[#This Row],[Tabel ID]])</f>
        <v>1</v>
      </c>
    </row>
    <row r="1678" spans="1:8" x14ac:dyDescent="0.2">
      <c r="A1678">
        <f>ROW(LineærRegression_Valg[[#This Row],[Tabel ID]])-ROW(LineærRegression_Valg[[#Headers],[Tabel ID]])</f>
        <v>1668</v>
      </c>
      <c r="B1678" s="171">
        <f>ROUNDDOWN((LineærRegression_Valg[[#This Row],[Tabel ID]]-1)/$B$5,0)+1</f>
        <v>417</v>
      </c>
      <c r="C1678" s="171">
        <f t="shared" si="26"/>
        <v>4</v>
      </c>
      <c r="D1678" s="171" t="b">
        <f>LineærRegression_Valg[[#This Row],[Afhængig variabel ID]]&lt;&gt;LineærRegression_Valg[[#This Row],[Uafhængig variabel ID]]</f>
        <v>1</v>
      </c>
      <c r="E1678" s="171" t="b">
        <f>LineærRegression_Valg[[#This Row],[Afhængig variabel ID]]&lt;=$B$5</f>
        <v>0</v>
      </c>
      <c r="F1678" t="str" cm="1">
        <f t="array" ref="F1678">IF(LineærRegression_Valg[[#This Row],[Indenfor range]],INDEX(DataTitel_liste,LineærRegression_Valg[[#This Row],[Afhængig variabel ID]]),INDEX(DataTitel_liste,1))</f>
        <v>Eksempel 1 (interval)</v>
      </c>
      <c r="G1678" s="171" t="str" cm="1">
        <f t="array" ref="G1678">IF(LineærRegression_Valg[[#This Row],[Indenfor range]],IF(LineærRegression_Valg[[#This Row],[Intet overlap]],INDEX(DataTitel_liste,LineærRegression_Valg[[#This Row],[Uafhængig variabel ID]]),INDEX(DataTitel_liste,IF(LineærRegression_Valg[[#This Row],[Afhængig variabel ID]]=1,2,1))),$B$7)</f>
        <v>Eksempel 2 (interval)</v>
      </c>
      <c r="H1678" s="171">
        <f>_xlfn.AGGREGATE(2,5,LineærRegression_Valg[[#This Row],[Tabel ID]])</f>
        <v>1</v>
      </c>
    </row>
    <row r="1679" spans="1:8" x14ac:dyDescent="0.2">
      <c r="A1679">
        <f>ROW(LineærRegression_Valg[[#This Row],[Tabel ID]])-ROW(LineærRegression_Valg[[#Headers],[Tabel ID]])</f>
        <v>1669</v>
      </c>
      <c r="B1679" s="171">
        <f>ROUNDDOWN((LineærRegression_Valg[[#This Row],[Tabel ID]]-1)/$B$5,0)+1</f>
        <v>418</v>
      </c>
      <c r="C1679" s="171">
        <f t="shared" si="26"/>
        <v>1</v>
      </c>
      <c r="D1679" s="171" t="b">
        <f>LineærRegression_Valg[[#This Row],[Afhængig variabel ID]]&lt;&gt;LineærRegression_Valg[[#This Row],[Uafhængig variabel ID]]</f>
        <v>1</v>
      </c>
      <c r="E1679" s="171" t="b">
        <f>LineærRegression_Valg[[#This Row],[Afhængig variabel ID]]&lt;=$B$5</f>
        <v>0</v>
      </c>
      <c r="F1679" t="str" cm="1">
        <f t="array" ref="F1679">IF(LineærRegression_Valg[[#This Row],[Indenfor range]],INDEX(DataTitel_liste,LineærRegression_Valg[[#This Row],[Afhængig variabel ID]]),INDEX(DataTitel_liste,1))</f>
        <v>Eksempel 1 (interval)</v>
      </c>
      <c r="G1679" s="171" t="str" cm="1">
        <f t="array" ref="G1679">IF(LineærRegression_Valg[[#This Row],[Indenfor range]],IF(LineærRegression_Valg[[#This Row],[Intet overlap]],INDEX(DataTitel_liste,LineærRegression_Valg[[#This Row],[Uafhængig variabel ID]]),INDEX(DataTitel_liste,IF(LineærRegression_Valg[[#This Row],[Afhængig variabel ID]]=1,2,1))),$B$7)</f>
        <v>Eksempel 2 (interval)</v>
      </c>
      <c r="H1679" s="171">
        <f>_xlfn.AGGREGATE(2,5,LineærRegression_Valg[[#This Row],[Tabel ID]])</f>
        <v>1</v>
      </c>
    </row>
    <row r="1680" spans="1:8" x14ac:dyDescent="0.2">
      <c r="A1680">
        <f>ROW(LineærRegression_Valg[[#This Row],[Tabel ID]])-ROW(LineærRegression_Valg[[#Headers],[Tabel ID]])</f>
        <v>1670</v>
      </c>
      <c r="B1680" s="171">
        <f>ROUNDDOWN((LineærRegression_Valg[[#This Row],[Tabel ID]]-1)/$B$5,0)+1</f>
        <v>418</v>
      </c>
      <c r="C1680" s="171">
        <f t="shared" si="26"/>
        <v>2</v>
      </c>
      <c r="D1680" s="171" t="b">
        <f>LineærRegression_Valg[[#This Row],[Afhængig variabel ID]]&lt;&gt;LineærRegression_Valg[[#This Row],[Uafhængig variabel ID]]</f>
        <v>1</v>
      </c>
      <c r="E1680" s="171" t="b">
        <f>LineærRegression_Valg[[#This Row],[Afhængig variabel ID]]&lt;=$B$5</f>
        <v>0</v>
      </c>
      <c r="F1680" t="str" cm="1">
        <f t="array" ref="F1680">IF(LineærRegression_Valg[[#This Row],[Indenfor range]],INDEX(DataTitel_liste,LineærRegression_Valg[[#This Row],[Afhængig variabel ID]]),INDEX(DataTitel_liste,1))</f>
        <v>Eksempel 1 (interval)</v>
      </c>
      <c r="G1680" s="171" t="str" cm="1">
        <f t="array" ref="G1680">IF(LineærRegression_Valg[[#This Row],[Indenfor range]],IF(LineærRegression_Valg[[#This Row],[Intet overlap]],INDEX(DataTitel_liste,LineærRegression_Valg[[#This Row],[Uafhængig variabel ID]]),INDEX(DataTitel_liste,IF(LineærRegression_Valg[[#This Row],[Afhængig variabel ID]]=1,2,1))),$B$7)</f>
        <v>Eksempel 2 (interval)</v>
      </c>
      <c r="H1680" s="171">
        <f>_xlfn.AGGREGATE(2,5,LineærRegression_Valg[[#This Row],[Tabel ID]])</f>
        <v>1</v>
      </c>
    </row>
    <row r="1681" spans="1:8" x14ac:dyDescent="0.2">
      <c r="A1681">
        <f>ROW(LineærRegression_Valg[[#This Row],[Tabel ID]])-ROW(LineærRegression_Valg[[#Headers],[Tabel ID]])</f>
        <v>1671</v>
      </c>
      <c r="B1681" s="171">
        <f>ROUNDDOWN((LineærRegression_Valg[[#This Row],[Tabel ID]]-1)/$B$5,0)+1</f>
        <v>418</v>
      </c>
      <c r="C1681" s="171">
        <f t="shared" si="26"/>
        <v>3</v>
      </c>
      <c r="D1681" s="171" t="b">
        <f>LineærRegression_Valg[[#This Row],[Afhængig variabel ID]]&lt;&gt;LineærRegression_Valg[[#This Row],[Uafhængig variabel ID]]</f>
        <v>1</v>
      </c>
      <c r="E1681" s="171" t="b">
        <f>LineærRegression_Valg[[#This Row],[Afhængig variabel ID]]&lt;=$B$5</f>
        <v>0</v>
      </c>
      <c r="F1681" t="str" cm="1">
        <f t="array" ref="F1681">IF(LineærRegression_Valg[[#This Row],[Indenfor range]],INDEX(DataTitel_liste,LineærRegression_Valg[[#This Row],[Afhængig variabel ID]]),INDEX(DataTitel_liste,1))</f>
        <v>Eksempel 1 (interval)</v>
      </c>
      <c r="G1681" s="171" t="str" cm="1">
        <f t="array" ref="G1681">IF(LineærRegression_Valg[[#This Row],[Indenfor range]],IF(LineærRegression_Valg[[#This Row],[Intet overlap]],INDEX(DataTitel_liste,LineærRegression_Valg[[#This Row],[Uafhængig variabel ID]]),INDEX(DataTitel_liste,IF(LineærRegression_Valg[[#This Row],[Afhængig variabel ID]]=1,2,1))),$B$7)</f>
        <v>Eksempel 2 (interval)</v>
      </c>
      <c r="H1681" s="171">
        <f>_xlfn.AGGREGATE(2,5,LineærRegression_Valg[[#This Row],[Tabel ID]])</f>
        <v>1</v>
      </c>
    </row>
    <row r="1682" spans="1:8" x14ac:dyDescent="0.2">
      <c r="A1682">
        <f>ROW(LineærRegression_Valg[[#This Row],[Tabel ID]])-ROW(LineærRegression_Valg[[#Headers],[Tabel ID]])</f>
        <v>1672</v>
      </c>
      <c r="B1682" s="171">
        <f>ROUNDDOWN((LineærRegression_Valg[[#This Row],[Tabel ID]]-1)/$B$5,0)+1</f>
        <v>418</v>
      </c>
      <c r="C1682" s="171">
        <f t="shared" si="26"/>
        <v>4</v>
      </c>
      <c r="D1682" s="171" t="b">
        <f>LineærRegression_Valg[[#This Row],[Afhængig variabel ID]]&lt;&gt;LineærRegression_Valg[[#This Row],[Uafhængig variabel ID]]</f>
        <v>1</v>
      </c>
      <c r="E1682" s="171" t="b">
        <f>LineærRegression_Valg[[#This Row],[Afhængig variabel ID]]&lt;=$B$5</f>
        <v>0</v>
      </c>
      <c r="F1682" t="str" cm="1">
        <f t="array" ref="F1682">IF(LineærRegression_Valg[[#This Row],[Indenfor range]],INDEX(DataTitel_liste,LineærRegression_Valg[[#This Row],[Afhængig variabel ID]]),INDEX(DataTitel_liste,1))</f>
        <v>Eksempel 1 (interval)</v>
      </c>
      <c r="G1682" s="171" t="str" cm="1">
        <f t="array" ref="G1682">IF(LineærRegression_Valg[[#This Row],[Indenfor range]],IF(LineærRegression_Valg[[#This Row],[Intet overlap]],INDEX(DataTitel_liste,LineærRegression_Valg[[#This Row],[Uafhængig variabel ID]]),INDEX(DataTitel_liste,IF(LineærRegression_Valg[[#This Row],[Afhængig variabel ID]]=1,2,1))),$B$7)</f>
        <v>Eksempel 2 (interval)</v>
      </c>
      <c r="H1682" s="171">
        <f>_xlfn.AGGREGATE(2,5,LineærRegression_Valg[[#This Row],[Tabel ID]])</f>
        <v>1</v>
      </c>
    </row>
    <row r="1683" spans="1:8" x14ac:dyDescent="0.2">
      <c r="A1683">
        <f>ROW(LineærRegression_Valg[[#This Row],[Tabel ID]])-ROW(LineærRegression_Valg[[#Headers],[Tabel ID]])</f>
        <v>1673</v>
      </c>
      <c r="B1683" s="171">
        <f>ROUNDDOWN((LineærRegression_Valg[[#This Row],[Tabel ID]]-1)/$B$5,0)+1</f>
        <v>419</v>
      </c>
      <c r="C1683" s="171">
        <f t="shared" si="26"/>
        <v>1</v>
      </c>
      <c r="D1683" s="171" t="b">
        <f>LineærRegression_Valg[[#This Row],[Afhængig variabel ID]]&lt;&gt;LineærRegression_Valg[[#This Row],[Uafhængig variabel ID]]</f>
        <v>1</v>
      </c>
      <c r="E1683" s="171" t="b">
        <f>LineærRegression_Valg[[#This Row],[Afhængig variabel ID]]&lt;=$B$5</f>
        <v>0</v>
      </c>
      <c r="F1683" t="str" cm="1">
        <f t="array" ref="F1683">IF(LineærRegression_Valg[[#This Row],[Indenfor range]],INDEX(DataTitel_liste,LineærRegression_Valg[[#This Row],[Afhængig variabel ID]]),INDEX(DataTitel_liste,1))</f>
        <v>Eksempel 1 (interval)</v>
      </c>
      <c r="G1683" s="171" t="str" cm="1">
        <f t="array" ref="G1683">IF(LineærRegression_Valg[[#This Row],[Indenfor range]],IF(LineærRegression_Valg[[#This Row],[Intet overlap]],INDEX(DataTitel_liste,LineærRegression_Valg[[#This Row],[Uafhængig variabel ID]]),INDEX(DataTitel_liste,IF(LineærRegression_Valg[[#This Row],[Afhængig variabel ID]]=1,2,1))),$B$7)</f>
        <v>Eksempel 2 (interval)</v>
      </c>
      <c r="H1683" s="171">
        <f>_xlfn.AGGREGATE(2,5,LineærRegression_Valg[[#This Row],[Tabel ID]])</f>
        <v>1</v>
      </c>
    </row>
    <row r="1684" spans="1:8" x14ac:dyDescent="0.2">
      <c r="A1684">
        <f>ROW(LineærRegression_Valg[[#This Row],[Tabel ID]])-ROW(LineærRegression_Valg[[#Headers],[Tabel ID]])</f>
        <v>1674</v>
      </c>
      <c r="B1684" s="171">
        <f>ROUNDDOWN((LineærRegression_Valg[[#This Row],[Tabel ID]]-1)/$B$5,0)+1</f>
        <v>419</v>
      </c>
      <c r="C1684" s="171">
        <f t="shared" si="26"/>
        <v>2</v>
      </c>
      <c r="D1684" s="171" t="b">
        <f>LineærRegression_Valg[[#This Row],[Afhængig variabel ID]]&lt;&gt;LineærRegression_Valg[[#This Row],[Uafhængig variabel ID]]</f>
        <v>1</v>
      </c>
      <c r="E1684" s="171" t="b">
        <f>LineærRegression_Valg[[#This Row],[Afhængig variabel ID]]&lt;=$B$5</f>
        <v>0</v>
      </c>
      <c r="F1684" t="str" cm="1">
        <f t="array" ref="F1684">IF(LineærRegression_Valg[[#This Row],[Indenfor range]],INDEX(DataTitel_liste,LineærRegression_Valg[[#This Row],[Afhængig variabel ID]]),INDEX(DataTitel_liste,1))</f>
        <v>Eksempel 1 (interval)</v>
      </c>
      <c r="G1684" s="171" t="str" cm="1">
        <f t="array" ref="G1684">IF(LineærRegression_Valg[[#This Row],[Indenfor range]],IF(LineærRegression_Valg[[#This Row],[Intet overlap]],INDEX(DataTitel_liste,LineærRegression_Valg[[#This Row],[Uafhængig variabel ID]]),INDEX(DataTitel_liste,IF(LineærRegression_Valg[[#This Row],[Afhængig variabel ID]]=1,2,1))),$B$7)</f>
        <v>Eksempel 2 (interval)</v>
      </c>
      <c r="H1684" s="171">
        <f>_xlfn.AGGREGATE(2,5,LineærRegression_Valg[[#This Row],[Tabel ID]])</f>
        <v>1</v>
      </c>
    </row>
    <row r="1685" spans="1:8" x14ac:dyDescent="0.2">
      <c r="A1685">
        <f>ROW(LineærRegression_Valg[[#This Row],[Tabel ID]])-ROW(LineærRegression_Valg[[#Headers],[Tabel ID]])</f>
        <v>1675</v>
      </c>
      <c r="B1685" s="171">
        <f>ROUNDDOWN((LineærRegression_Valg[[#This Row],[Tabel ID]]-1)/$B$5,0)+1</f>
        <v>419</v>
      </c>
      <c r="C1685" s="171">
        <f t="shared" si="26"/>
        <v>3</v>
      </c>
      <c r="D1685" s="171" t="b">
        <f>LineærRegression_Valg[[#This Row],[Afhængig variabel ID]]&lt;&gt;LineærRegression_Valg[[#This Row],[Uafhængig variabel ID]]</f>
        <v>1</v>
      </c>
      <c r="E1685" s="171" t="b">
        <f>LineærRegression_Valg[[#This Row],[Afhængig variabel ID]]&lt;=$B$5</f>
        <v>0</v>
      </c>
      <c r="F1685" t="str" cm="1">
        <f t="array" ref="F1685">IF(LineærRegression_Valg[[#This Row],[Indenfor range]],INDEX(DataTitel_liste,LineærRegression_Valg[[#This Row],[Afhængig variabel ID]]),INDEX(DataTitel_liste,1))</f>
        <v>Eksempel 1 (interval)</v>
      </c>
      <c r="G1685" s="171" t="str" cm="1">
        <f t="array" ref="G1685">IF(LineærRegression_Valg[[#This Row],[Indenfor range]],IF(LineærRegression_Valg[[#This Row],[Intet overlap]],INDEX(DataTitel_liste,LineærRegression_Valg[[#This Row],[Uafhængig variabel ID]]),INDEX(DataTitel_liste,IF(LineærRegression_Valg[[#This Row],[Afhængig variabel ID]]=1,2,1))),$B$7)</f>
        <v>Eksempel 2 (interval)</v>
      </c>
      <c r="H1685" s="171">
        <f>_xlfn.AGGREGATE(2,5,LineærRegression_Valg[[#This Row],[Tabel ID]])</f>
        <v>1</v>
      </c>
    </row>
    <row r="1686" spans="1:8" x14ac:dyDescent="0.2">
      <c r="A1686">
        <f>ROW(LineærRegression_Valg[[#This Row],[Tabel ID]])-ROW(LineærRegression_Valg[[#Headers],[Tabel ID]])</f>
        <v>1676</v>
      </c>
      <c r="B1686" s="171">
        <f>ROUNDDOWN((LineærRegression_Valg[[#This Row],[Tabel ID]]-1)/$B$5,0)+1</f>
        <v>419</v>
      </c>
      <c r="C1686" s="171">
        <f t="shared" si="26"/>
        <v>4</v>
      </c>
      <c r="D1686" s="171" t="b">
        <f>LineærRegression_Valg[[#This Row],[Afhængig variabel ID]]&lt;&gt;LineærRegression_Valg[[#This Row],[Uafhængig variabel ID]]</f>
        <v>1</v>
      </c>
      <c r="E1686" s="171" t="b">
        <f>LineærRegression_Valg[[#This Row],[Afhængig variabel ID]]&lt;=$B$5</f>
        <v>0</v>
      </c>
      <c r="F1686" t="str" cm="1">
        <f t="array" ref="F1686">IF(LineærRegression_Valg[[#This Row],[Indenfor range]],INDEX(DataTitel_liste,LineærRegression_Valg[[#This Row],[Afhængig variabel ID]]),INDEX(DataTitel_liste,1))</f>
        <v>Eksempel 1 (interval)</v>
      </c>
      <c r="G1686" s="171" t="str" cm="1">
        <f t="array" ref="G1686">IF(LineærRegression_Valg[[#This Row],[Indenfor range]],IF(LineærRegression_Valg[[#This Row],[Intet overlap]],INDEX(DataTitel_liste,LineærRegression_Valg[[#This Row],[Uafhængig variabel ID]]),INDEX(DataTitel_liste,IF(LineærRegression_Valg[[#This Row],[Afhængig variabel ID]]=1,2,1))),$B$7)</f>
        <v>Eksempel 2 (interval)</v>
      </c>
      <c r="H1686" s="171">
        <f>_xlfn.AGGREGATE(2,5,LineærRegression_Valg[[#This Row],[Tabel ID]])</f>
        <v>1</v>
      </c>
    </row>
    <row r="1687" spans="1:8" x14ac:dyDescent="0.2">
      <c r="A1687">
        <f>ROW(LineærRegression_Valg[[#This Row],[Tabel ID]])-ROW(LineærRegression_Valg[[#Headers],[Tabel ID]])</f>
        <v>1677</v>
      </c>
      <c r="B1687" s="171">
        <f>ROUNDDOWN((LineærRegression_Valg[[#This Row],[Tabel ID]]-1)/$B$5,0)+1</f>
        <v>420</v>
      </c>
      <c r="C1687" s="171">
        <f t="shared" si="26"/>
        <v>1</v>
      </c>
      <c r="D1687" s="171" t="b">
        <f>LineærRegression_Valg[[#This Row],[Afhængig variabel ID]]&lt;&gt;LineærRegression_Valg[[#This Row],[Uafhængig variabel ID]]</f>
        <v>1</v>
      </c>
      <c r="E1687" s="171" t="b">
        <f>LineærRegression_Valg[[#This Row],[Afhængig variabel ID]]&lt;=$B$5</f>
        <v>0</v>
      </c>
      <c r="F1687" t="str" cm="1">
        <f t="array" ref="F1687">IF(LineærRegression_Valg[[#This Row],[Indenfor range]],INDEX(DataTitel_liste,LineærRegression_Valg[[#This Row],[Afhængig variabel ID]]),INDEX(DataTitel_liste,1))</f>
        <v>Eksempel 1 (interval)</v>
      </c>
      <c r="G1687" s="171" t="str" cm="1">
        <f t="array" ref="G1687">IF(LineærRegression_Valg[[#This Row],[Indenfor range]],IF(LineærRegression_Valg[[#This Row],[Intet overlap]],INDEX(DataTitel_liste,LineærRegression_Valg[[#This Row],[Uafhængig variabel ID]]),INDEX(DataTitel_liste,IF(LineærRegression_Valg[[#This Row],[Afhængig variabel ID]]=1,2,1))),$B$7)</f>
        <v>Eksempel 2 (interval)</v>
      </c>
      <c r="H1687" s="171">
        <f>_xlfn.AGGREGATE(2,5,LineærRegression_Valg[[#This Row],[Tabel ID]])</f>
        <v>1</v>
      </c>
    </row>
    <row r="1688" spans="1:8" x14ac:dyDescent="0.2">
      <c r="A1688">
        <f>ROW(LineærRegression_Valg[[#This Row],[Tabel ID]])-ROW(LineærRegression_Valg[[#Headers],[Tabel ID]])</f>
        <v>1678</v>
      </c>
      <c r="B1688" s="171">
        <f>ROUNDDOWN((LineærRegression_Valg[[#This Row],[Tabel ID]]-1)/$B$5,0)+1</f>
        <v>420</v>
      </c>
      <c r="C1688" s="171">
        <f t="shared" si="26"/>
        <v>2</v>
      </c>
      <c r="D1688" s="171" t="b">
        <f>LineærRegression_Valg[[#This Row],[Afhængig variabel ID]]&lt;&gt;LineærRegression_Valg[[#This Row],[Uafhængig variabel ID]]</f>
        <v>1</v>
      </c>
      <c r="E1688" s="171" t="b">
        <f>LineærRegression_Valg[[#This Row],[Afhængig variabel ID]]&lt;=$B$5</f>
        <v>0</v>
      </c>
      <c r="F1688" t="str" cm="1">
        <f t="array" ref="F1688">IF(LineærRegression_Valg[[#This Row],[Indenfor range]],INDEX(DataTitel_liste,LineærRegression_Valg[[#This Row],[Afhængig variabel ID]]),INDEX(DataTitel_liste,1))</f>
        <v>Eksempel 1 (interval)</v>
      </c>
      <c r="G1688" s="171" t="str" cm="1">
        <f t="array" ref="G1688">IF(LineærRegression_Valg[[#This Row],[Indenfor range]],IF(LineærRegression_Valg[[#This Row],[Intet overlap]],INDEX(DataTitel_liste,LineærRegression_Valg[[#This Row],[Uafhængig variabel ID]]),INDEX(DataTitel_liste,IF(LineærRegression_Valg[[#This Row],[Afhængig variabel ID]]=1,2,1))),$B$7)</f>
        <v>Eksempel 2 (interval)</v>
      </c>
      <c r="H1688" s="171">
        <f>_xlfn.AGGREGATE(2,5,LineærRegression_Valg[[#This Row],[Tabel ID]])</f>
        <v>1</v>
      </c>
    </row>
    <row r="1689" spans="1:8" x14ac:dyDescent="0.2">
      <c r="A1689">
        <f>ROW(LineærRegression_Valg[[#This Row],[Tabel ID]])-ROW(LineærRegression_Valg[[#Headers],[Tabel ID]])</f>
        <v>1679</v>
      </c>
      <c r="B1689" s="171">
        <f>ROUNDDOWN((LineærRegression_Valg[[#This Row],[Tabel ID]]-1)/$B$5,0)+1</f>
        <v>420</v>
      </c>
      <c r="C1689" s="171">
        <f t="shared" si="26"/>
        <v>3</v>
      </c>
      <c r="D1689" s="171" t="b">
        <f>LineærRegression_Valg[[#This Row],[Afhængig variabel ID]]&lt;&gt;LineærRegression_Valg[[#This Row],[Uafhængig variabel ID]]</f>
        <v>1</v>
      </c>
      <c r="E1689" s="171" t="b">
        <f>LineærRegression_Valg[[#This Row],[Afhængig variabel ID]]&lt;=$B$5</f>
        <v>0</v>
      </c>
      <c r="F1689" t="str" cm="1">
        <f t="array" ref="F1689">IF(LineærRegression_Valg[[#This Row],[Indenfor range]],INDEX(DataTitel_liste,LineærRegression_Valg[[#This Row],[Afhængig variabel ID]]),INDEX(DataTitel_liste,1))</f>
        <v>Eksempel 1 (interval)</v>
      </c>
      <c r="G1689" s="171" t="str" cm="1">
        <f t="array" ref="G1689">IF(LineærRegression_Valg[[#This Row],[Indenfor range]],IF(LineærRegression_Valg[[#This Row],[Intet overlap]],INDEX(DataTitel_liste,LineærRegression_Valg[[#This Row],[Uafhængig variabel ID]]),INDEX(DataTitel_liste,IF(LineærRegression_Valg[[#This Row],[Afhængig variabel ID]]=1,2,1))),$B$7)</f>
        <v>Eksempel 2 (interval)</v>
      </c>
      <c r="H1689" s="171">
        <f>_xlfn.AGGREGATE(2,5,LineærRegression_Valg[[#This Row],[Tabel ID]])</f>
        <v>1</v>
      </c>
    </row>
    <row r="1690" spans="1:8" x14ac:dyDescent="0.2">
      <c r="A1690">
        <f>ROW(LineærRegression_Valg[[#This Row],[Tabel ID]])-ROW(LineærRegression_Valg[[#Headers],[Tabel ID]])</f>
        <v>1680</v>
      </c>
      <c r="B1690" s="171">
        <f>ROUNDDOWN((LineærRegression_Valg[[#This Row],[Tabel ID]]-1)/$B$5,0)+1</f>
        <v>420</v>
      </c>
      <c r="C1690" s="171">
        <f t="shared" si="26"/>
        <v>4</v>
      </c>
      <c r="D1690" s="171" t="b">
        <f>LineærRegression_Valg[[#This Row],[Afhængig variabel ID]]&lt;&gt;LineærRegression_Valg[[#This Row],[Uafhængig variabel ID]]</f>
        <v>1</v>
      </c>
      <c r="E1690" s="171" t="b">
        <f>LineærRegression_Valg[[#This Row],[Afhængig variabel ID]]&lt;=$B$5</f>
        <v>0</v>
      </c>
      <c r="F1690" t="str" cm="1">
        <f t="array" ref="F1690">IF(LineærRegression_Valg[[#This Row],[Indenfor range]],INDEX(DataTitel_liste,LineærRegression_Valg[[#This Row],[Afhængig variabel ID]]),INDEX(DataTitel_liste,1))</f>
        <v>Eksempel 1 (interval)</v>
      </c>
      <c r="G1690" s="171" t="str" cm="1">
        <f t="array" ref="G1690">IF(LineærRegression_Valg[[#This Row],[Indenfor range]],IF(LineærRegression_Valg[[#This Row],[Intet overlap]],INDEX(DataTitel_liste,LineærRegression_Valg[[#This Row],[Uafhængig variabel ID]]),INDEX(DataTitel_liste,IF(LineærRegression_Valg[[#This Row],[Afhængig variabel ID]]=1,2,1))),$B$7)</f>
        <v>Eksempel 2 (interval)</v>
      </c>
      <c r="H1690" s="171">
        <f>_xlfn.AGGREGATE(2,5,LineærRegression_Valg[[#This Row],[Tabel ID]])</f>
        <v>1</v>
      </c>
    </row>
    <row r="1691" spans="1:8" x14ac:dyDescent="0.2">
      <c r="A1691">
        <f>ROW(LineærRegression_Valg[[#This Row],[Tabel ID]])-ROW(LineærRegression_Valg[[#Headers],[Tabel ID]])</f>
        <v>1681</v>
      </c>
      <c r="B1691" s="171">
        <f>ROUNDDOWN((LineærRegression_Valg[[#This Row],[Tabel ID]]-1)/$B$5,0)+1</f>
        <v>421</v>
      </c>
      <c r="C1691" s="171">
        <f t="shared" si="26"/>
        <v>1</v>
      </c>
      <c r="D1691" s="171" t="b">
        <f>LineærRegression_Valg[[#This Row],[Afhængig variabel ID]]&lt;&gt;LineærRegression_Valg[[#This Row],[Uafhængig variabel ID]]</f>
        <v>1</v>
      </c>
      <c r="E1691" s="171" t="b">
        <f>LineærRegression_Valg[[#This Row],[Afhængig variabel ID]]&lt;=$B$5</f>
        <v>0</v>
      </c>
      <c r="F1691" t="str" cm="1">
        <f t="array" ref="F1691">IF(LineærRegression_Valg[[#This Row],[Indenfor range]],INDEX(DataTitel_liste,LineærRegression_Valg[[#This Row],[Afhængig variabel ID]]),INDEX(DataTitel_liste,1))</f>
        <v>Eksempel 1 (interval)</v>
      </c>
      <c r="G1691" s="171" t="str" cm="1">
        <f t="array" ref="G1691">IF(LineærRegression_Valg[[#This Row],[Indenfor range]],IF(LineærRegression_Valg[[#This Row],[Intet overlap]],INDEX(DataTitel_liste,LineærRegression_Valg[[#This Row],[Uafhængig variabel ID]]),INDEX(DataTitel_liste,IF(LineærRegression_Valg[[#This Row],[Afhængig variabel ID]]=1,2,1))),$B$7)</f>
        <v>Eksempel 2 (interval)</v>
      </c>
      <c r="H1691" s="171">
        <f>_xlfn.AGGREGATE(2,5,LineærRegression_Valg[[#This Row],[Tabel ID]])</f>
        <v>1</v>
      </c>
    </row>
    <row r="1692" spans="1:8" x14ac:dyDescent="0.2">
      <c r="A1692">
        <f>ROW(LineærRegression_Valg[[#This Row],[Tabel ID]])-ROW(LineærRegression_Valg[[#Headers],[Tabel ID]])</f>
        <v>1682</v>
      </c>
      <c r="B1692" s="171">
        <f>ROUNDDOWN((LineærRegression_Valg[[#This Row],[Tabel ID]]-1)/$B$5,0)+1</f>
        <v>421</v>
      </c>
      <c r="C1692" s="171">
        <f t="shared" si="26"/>
        <v>2</v>
      </c>
      <c r="D1692" s="171" t="b">
        <f>LineærRegression_Valg[[#This Row],[Afhængig variabel ID]]&lt;&gt;LineærRegression_Valg[[#This Row],[Uafhængig variabel ID]]</f>
        <v>1</v>
      </c>
      <c r="E1692" s="171" t="b">
        <f>LineærRegression_Valg[[#This Row],[Afhængig variabel ID]]&lt;=$B$5</f>
        <v>0</v>
      </c>
      <c r="F1692" t="str" cm="1">
        <f t="array" ref="F1692">IF(LineærRegression_Valg[[#This Row],[Indenfor range]],INDEX(DataTitel_liste,LineærRegression_Valg[[#This Row],[Afhængig variabel ID]]),INDEX(DataTitel_liste,1))</f>
        <v>Eksempel 1 (interval)</v>
      </c>
      <c r="G1692" s="171" t="str" cm="1">
        <f t="array" ref="G1692">IF(LineærRegression_Valg[[#This Row],[Indenfor range]],IF(LineærRegression_Valg[[#This Row],[Intet overlap]],INDEX(DataTitel_liste,LineærRegression_Valg[[#This Row],[Uafhængig variabel ID]]),INDEX(DataTitel_liste,IF(LineærRegression_Valg[[#This Row],[Afhængig variabel ID]]=1,2,1))),$B$7)</f>
        <v>Eksempel 2 (interval)</v>
      </c>
      <c r="H1692" s="171">
        <f>_xlfn.AGGREGATE(2,5,LineærRegression_Valg[[#This Row],[Tabel ID]])</f>
        <v>1</v>
      </c>
    </row>
    <row r="1693" spans="1:8" x14ac:dyDescent="0.2">
      <c r="A1693">
        <f>ROW(LineærRegression_Valg[[#This Row],[Tabel ID]])-ROW(LineærRegression_Valg[[#Headers],[Tabel ID]])</f>
        <v>1683</v>
      </c>
      <c r="B1693" s="171">
        <f>ROUNDDOWN((LineærRegression_Valg[[#This Row],[Tabel ID]]-1)/$B$5,0)+1</f>
        <v>421</v>
      </c>
      <c r="C1693" s="171">
        <f t="shared" si="26"/>
        <v>3</v>
      </c>
      <c r="D1693" s="171" t="b">
        <f>LineærRegression_Valg[[#This Row],[Afhængig variabel ID]]&lt;&gt;LineærRegression_Valg[[#This Row],[Uafhængig variabel ID]]</f>
        <v>1</v>
      </c>
      <c r="E1693" s="171" t="b">
        <f>LineærRegression_Valg[[#This Row],[Afhængig variabel ID]]&lt;=$B$5</f>
        <v>0</v>
      </c>
      <c r="F1693" t="str" cm="1">
        <f t="array" ref="F1693">IF(LineærRegression_Valg[[#This Row],[Indenfor range]],INDEX(DataTitel_liste,LineærRegression_Valg[[#This Row],[Afhængig variabel ID]]),INDEX(DataTitel_liste,1))</f>
        <v>Eksempel 1 (interval)</v>
      </c>
      <c r="G1693" s="171" t="str" cm="1">
        <f t="array" ref="G1693">IF(LineærRegression_Valg[[#This Row],[Indenfor range]],IF(LineærRegression_Valg[[#This Row],[Intet overlap]],INDEX(DataTitel_liste,LineærRegression_Valg[[#This Row],[Uafhængig variabel ID]]),INDEX(DataTitel_liste,IF(LineærRegression_Valg[[#This Row],[Afhængig variabel ID]]=1,2,1))),$B$7)</f>
        <v>Eksempel 2 (interval)</v>
      </c>
      <c r="H1693" s="171">
        <f>_xlfn.AGGREGATE(2,5,LineærRegression_Valg[[#This Row],[Tabel ID]])</f>
        <v>1</v>
      </c>
    </row>
    <row r="1694" spans="1:8" x14ac:dyDescent="0.2">
      <c r="A1694">
        <f>ROW(LineærRegression_Valg[[#This Row],[Tabel ID]])-ROW(LineærRegression_Valg[[#Headers],[Tabel ID]])</f>
        <v>1684</v>
      </c>
      <c r="B1694" s="171">
        <f>ROUNDDOWN((LineærRegression_Valg[[#This Row],[Tabel ID]]-1)/$B$5,0)+1</f>
        <v>421</v>
      </c>
      <c r="C1694" s="171">
        <f t="shared" si="26"/>
        <v>4</v>
      </c>
      <c r="D1694" s="171" t="b">
        <f>LineærRegression_Valg[[#This Row],[Afhængig variabel ID]]&lt;&gt;LineærRegression_Valg[[#This Row],[Uafhængig variabel ID]]</f>
        <v>1</v>
      </c>
      <c r="E1694" s="171" t="b">
        <f>LineærRegression_Valg[[#This Row],[Afhængig variabel ID]]&lt;=$B$5</f>
        <v>0</v>
      </c>
      <c r="F1694" t="str" cm="1">
        <f t="array" ref="F1694">IF(LineærRegression_Valg[[#This Row],[Indenfor range]],INDEX(DataTitel_liste,LineærRegression_Valg[[#This Row],[Afhængig variabel ID]]),INDEX(DataTitel_liste,1))</f>
        <v>Eksempel 1 (interval)</v>
      </c>
      <c r="G1694" s="171" t="str" cm="1">
        <f t="array" ref="G1694">IF(LineærRegression_Valg[[#This Row],[Indenfor range]],IF(LineærRegression_Valg[[#This Row],[Intet overlap]],INDEX(DataTitel_liste,LineærRegression_Valg[[#This Row],[Uafhængig variabel ID]]),INDEX(DataTitel_liste,IF(LineærRegression_Valg[[#This Row],[Afhængig variabel ID]]=1,2,1))),$B$7)</f>
        <v>Eksempel 2 (interval)</v>
      </c>
      <c r="H1694" s="171">
        <f>_xlfn.AGGREGATE(2,5,LineærRegression_Valg[[#This Row],[Tabel ID]])</f>
        <v>1</v>
      </c>
    </row>
    <row r="1695" spans="1:8" x14ac:dyDescent="0.2">
      <c r="A1695">
        <f>ROW(LineærRegression_Valg[[#This Row],[Tabel ID]])-ROW(LineærRegression_Valg[[#Headers],[Tabel ID]])</f>
        <v>1685</v>
      </c>
      <c r="B1695" s="171">
        <f>ROUNDDOWN((LineærRegression_Valg[[#This Row],[Tabel ID]]-1)/$B$5,0)+1</f>
        <v>422</v>
      </c>
      <c r="C1695" s="171">
        <f t="shared" si="26"/>
        <v>1</v>
      </c>
      <c r="D1695" s="171" t="b">
        <f>LineærRegression_Valg[[#This Row],[Afhængig variabel ID]]&lt;&gt;LineærRegression_Valg[[#This Row],[Uafhængig variabel ID]]</f>
        <v>1</v>
      </c>
      <c r="E1695" s="171" t="b">
        <f>LineærRegression_Valg[[#This Row],[Afhængig variabel ID]]&lt;=$B$5</f>
        <v>0</v>
      </c>
      <c r="F1695" t="str" cm="1">
        <f t="array" ref="F1695">IF(LineærRegression_Valg[[#This Row],[Indenfor range]],INDEX(DataTitel_liste,LineærRegression_Valg[[#This Row],[Afhængig variabel ID]]),INDEX(DataTitel_liste,1))</f>
        <v>Eksempel 1 (interval)</v>
      </c>
      <c r="G1695" s="171" t="str" cm="1">
        <f t="array" ref="G1695">IF(LineærRegression_Valg[[#This Row],[Indenfor range]],IF(LineærRegression_Valg[[#This Row],[Intet overlap]],INDEX(DataTitel_liste,LineærRegression_Valg[[#This Row],[Uafhængig variabel ID]]),INDEX(DataTitel_liste,IF(LineærRegression_Valg[[#This Row],[Afhængig variabel ID]]=1,2,1))),$B$7)</f>
        <v>Eksempel 2 (interval)</v>
      </c>
      <c r="H1695" s="171">
        <f>_xlfn.AGGREGATE(2,5,LineærRegression_Valg[[#This Row],[Tabel ID]])</f>
        <v>1</v>
      </c>
    </row>
    <row r="1696" spans="1:8" x14ac:dyDescent="0.2">
      <c r="A1696">
        <f>ROW(LineærRegression_Valg[[#This Row],[Tabel ID]])-ROW(LineærRegression_Valg[[#Headers],[Tabel ID]])</f>
        <v>1686</v>
      </c>
      <c r="B1696" s="171">
        <f>ROUNDDOWN((LineærRegression_Valg[[#This Row],[Tabel ID]]-1)/$B$5,0)+1</f>
        <v>422</v>
      </c>
      <c r="C1696" s="171">
        <f t="shared" si="26"/>
        <v>2</v>
      </c>
      <c r="D1696" s="171" t="b">
        <f>LineærRegression_Valg[[#This Row],[Afhængig variabel ID]]&lt;&gt;LineærRegression_Valg[[#This Row],[Uafhængig variabel ID]]</f>
        <v>1</v>
      </c>
      <c r="E1696" s="171" t="b">
        <f>LineærRegression_Valg[[#This Row],[Afhængig variabel ID]]&lt;=$B$5</f>
        <v>0</v>
      </c>
      <c r="F1696" t="str" cm="1">
        <f t="array" ref="F1696">IF(LineærRegression_Valg[[#This Row],[Indenfor range]],INDEX(DataTitel_liste,LineærRegression_Valg[[#This Row],[Afhængig variabel ID]]),INDEX(DataTitel_liste,1))</f>
        <v>Eksempel 1 (interval)</v>
      </c>
      <c r="G1696" s="171" t="str" cm="1">
        <f t="array" ref="G1696">IF(LineærRegression_Valg[[#This Row],[Indenfor range]],IF(LineærRegression_Valg[[#This Row],[Intet overlap]],INDEX(DataTitel_liste,LineærRegression_Valg[[#This Row],[Uafhængig variabel ID]]),INDEX(DataTitel_liste,IF(LineærRegression_Valg[[#This Row],[Afhængig variabel ID]]=1,2,1))),$B$7)</f>
        <v>Eksempel 2 (interval)</v>
      </c>
      <c r="H1696" s="171">
        <f>_xlfn.AGGREGATE(2,5,LineærRegression_Valg[[#This Row],[Tabel ID]])</f>
        <v>1</v>
      </c>
    </row>
    <row r="1697" spans="1:8" x14ac:dyDescent="0.2">
      <c r="A1697">
        <f>ROW(LineærRegression_Valg[[#This Row],[Tabel ID]])-ROW(LineærRegression_Valg[[#Headers],[Tabel ID]])</f>
        <v>1687</v>
      </c>
      <c r="B1697" s="171">
        <f>ROUNDDOWN((LineærRegression_Valg[[#This Row],[Tabel ID]]-1)/$B$5,0)+1</f>
        <v>422</v>
      </c>
      <c r="C1697" s="171">
        <f t="shared" si="26"/>
        <v>3</v>
      </c>
      <c r="D1697" s="171" t="b">
        <f>LineærRegression_Valg[[#This Row],[Afhængig variabel ID]]&lt;&gt;LineærRegression_Valg[[#This Row],[Uafhængig variabel ID]]</f>
        <v>1</v>
      </c>
      <c r="E1697" s="171" t="b">
        <f>LineærRegression_Valg[[#This Row],[Afhængig variabel ID]]&lt;=$B$5</f>
        <v>0</v>
      </c>
      <c r="F1697" t="str" cm="1">
        <f t="array" ref="F1697">IF(LineærRegression_Valg[[#This Row],[Indenfor range]],INDEX(DataTitel_liste,LineærRegression_Valg[[#This Row],[Afhængig variabel ID]]),INDEX(DataTitel_liste,1))</f>
        <v>Eksempel 1 (interval)</v>
      </c>
      <c r="G1697" s="171" t="str" cm="1">
        <f t="array" ref="G1697">IF(LineærRegression_Valg[[#This Row],[Indenfor range]],IF(LineærRegression_Valg[[#This Row],[Intet overlap]],INDEX(DataTitel_liste,LineærRegression_Valg[[#This Row],[Uafhængig variabel ID]]),INDEX(DataTitel_liste,IF(LineærRegression_Valg[[#This Row],[Afhængig variabel ID]]=1,2,1))),$B$7)</f>
        <v>Eksempel 2 (interval)</v>
      </c>
      <c r="H1697" s="171">
        <f>_xlfn.AGGREGATE(2,5,LineærRegression_Valg[[#This Row],[Tabel ID]])</f>
        <v>1</v>
      </c>
    </row>
    <row r="1698" spans="1:8" x14ac:dyDescent="0.2">
      <c r="A1698">
        <f>ROW(LineærRegression_Valg[[#This Row],[Tabel ID]])-ROW(LineærRegression_Valg[[#Headers],[Tabel ID]])</f>
        <v>1688</v>
      </c>
      <c r="B1698" s="171">
        <f>ROUNDDOWN((LineærRegression_Valg[[#This Row],[Tabel ID]]-1)/$B$5,0)+1</f>
        <v>422</v>
      </c>
      <c r="C1698" s="171">
        <f t="shared" si="26"/>
        <v>4</v>
      </c>
      <c r="D1698" s="171" t="b">
        <f>LineærRegression_Valg[[#This Row],[Afhængig variabel ID]]&lt;&gt;LineærRegression_Valg[[#This Row],[Uafhængig variabel ID]]</f>
        <v>1</v>
      </c>
      <c r="E1698" s="171" t="b">
        <f>LineærRegression_Valg[[#This Row],[Afhængig variabel ID]]&lt;=$B$5</f>
        <v>0</v>
      </c>
      <c r="F1698" t="str" cm="1">
        <f t="array" ref="F1698">IF(LineærRegression_Valg[[#This Row],[Indenfor range]],INDEX(DataTitel_liste,LineærRegression_Valg[[#This Row],[Afhængig variabel ID]]),INDEX(DataTitel_liste,1))</f>
        <v>Eksempel 1 (interval)</v>
      </c>
      <c r="G1698" s="171" t="str" cm="1">
        <f t="array" ref="G1698">IF(LineærRegression_Valg[[#This Row],[Indenfor range]],IF(LineærRegression_Valg[[#This Row],[Intet overlap]],INDEX(DataTitel_liste,LineærRegression_Valg[[#This Row],[Uafhængig variabel ID]]),INDEX(DataTitel_liste,IF(LineærRegression_Valg[[#This Row],[Afhængig variabel ID]]=1,2,1))),$B$7)</f>
        <v>Eksempel 2 (interval)</v>
      </c>
      <c r="H1698" s="171">
        <f>_xlfn.AGGREGATE(2,5,LineærRegression_Valg[[#This Row],[Tabel ID]])</f>
        <v>1</v>
      </c>
    </row>
    <row r="1699" spans="1:8" x14ac:dyDescent="0.2">
      <c r="A1699">
        <f>ROW(LineærRegression_Valg[[#This Row],[Tabel ID]])-ROW(LineærRegression_Valg[[#Headers],[Tabel ID]])</f>
        <v>1689</v>
      </c>
      <c r="B1699" s="171">
        <f>ROUNDDOWN((LineærRegression_Valg[[#This Row],[Tabel ID]]-1)/$B$5,0)+1</f>
        <v>423</v>
      </c>
      <c r="C1699" s="171">
        <f t="shared" si="26"/>
        <v>1</v>
      </c>
      <c r="D1699" s="171" t="b">
        <f>LineærRegression_Valg[[#This Row],[Afhængig variabel ID]]&lt;&gt;LineærRegression_Valg[[#This Row],[Uafhængig variabel ID]]</f>
        <v>1</v>
      </c>
      <c r="E1699" s="171" t="b">
        <f>LineærRegression_Valg[[#This Row],[Afhængig variabel ID]]&lt;=$B$5</f>
        <v>0</v>
      </c>
      <c r="F1699" t="str" cm="1">
        <f t="array" ref="F1699">IF(LineærRegression_Valg[[#This Row],[Indenfor range]],INDEX(DataTitel_liste,LineærRegression_Valg[[#This Row],[Afhængig variabel ID]]),INDEX(DataTitel_liste,1))</f>
        <v>Eksempel 1 (interval)</v>
      </c>
      <c r="G1699" s="171" t="str" cm="1">
        <f t="array" ref="G1699">IF(LineærRegression_Valg[[#This Row],[Indenfor range]],IF(LineærRegression_Valg[[#This Row],[Intet overlap]],INDEX(DataTitel_liste,LineærRegression_Valg[[#This Row],[Uafhængig variabel ID]]),INDEX(DataTitel_liste,IF(LineærRegression_Valg[[#This Row],[Afhængig variabel ID]]=1,2,1))),$B$7)</f>
        <v>Eksempel 2 (interval)</v>
      </c>
      <c r="H1699" s="171">
        <f>_xlfn.AGGREGATE(2,5,LineærRegression_Valg[[#This Row],[Tabel ID]])</f>
        <v>1</v>
      </c>
    </row>
    <row r="1700" spans="1:8" x14ac:dyDescent="0.2">
      <c r="A1700">
        <f>ROW(LineærRegression_Valg[[#This Row],[Tabel ID]])-ROW(LineærRegression_Valg[[#Headers],[Tabel ID]])</f>
        <v>1690</v>
      </c>
      <c r="B1700" s="171">
        <f>ROUNDDOWN((LineærRegression_Valg[[#This Row],[Tabel ID]]-1)/$B$5,0)+1</f>
        <v>423</v>
      </c>
      <c r="C1700" s="171">
        <f t="shared" si="26"/>
        <v>2</v>
      </c>
      <c r="D1700" s="171" t="b">
        <f>LineærRegression_Valg[[#This Row],[Afhængig variabel ID]]&lt;&gt;LineærRegression_Valg[[#This Row],[Uafhængig variabel ID]]</f>
        <v>1</v>
      </c>
      <c r="E1700" s="171" t="b">
        <f>LineærRegression_Valg[[#This Row],[Afhængig variabel ID]]&lt;=$B$5</f>
        <v>0</v>
      </c>
      <c r="F1700" t="str" cm="1">
        <f t="array" ref="F1700">IF(LineærRegression_Valg[[#This Row],[Indenfor range]],INDEX(DataTitel_liste,LineærRegression_Valg[[#This Row],[Afhængig variabel ID]]),INDEX(DataTitel_liste,1))</f>
        <v>Eksempel 1 (interval)</v>
      </c>
      <c r="G1700" s="171" t="str" cm="1">
        <f t="array" ref="G1700">IF(LineærRegression_Valg[[#This Row],[Indenfor range]],IF(LineærRegression_Valg[[#This Row],[Intet overlap]],INDEX(DataTitel_liste,LineærRegression_Valg[[#This Row],[Uafhængig variabel ID]]),INDEX(DataTitel_liste,IF(LineærRegression_Valg[[#This Row],[Afhængig variabel ID]]=1,2,1))),$B$7)</f>
        <v>Eksempel 2 (interval)</v>
      </c>
      <c r="H1700" s="171">
        <f>_xlfn.AGGREGATE(2,5,LineærRegression_Valg[[#This Row],[Tabel ID]])</f>
        <v>1</v>
      </c>
    </row>
    <row r="1701" spans="1:8" x14ac:dyDescent="0.2">
      <c r="A1701">
        <f>ROW(LineærRegression_Valg[[#This Row],[Tabel ID]])-ROW(LineærRegression_Valg[[#Headers],[Tabel ID]])</f>
        <v>1691</v>
      </c>
      <c r="B1701" s="171">
        <f>ROUNDDOWN((LineærRegression_Valg[[#This Row],[Tabel ID]]-1)/$B$5,0)+1</f>
        <v>423</v>
      </c>
      <c r="C1701" s="171">
        <f t="shared" si="26"/>
        <v>3</v>
      </c>
      <c r="D1701" s="171" t="b">
        <f>LineærRegression_Valg[[#This Row],[Afhængig variabel ID]]&lt;&gt;LineærRegression_Valg[[#This Row],[Uafhængig variabel ID]]</f>
        <v>1</v>
      </c>
      <c r="E1701" s="171" t="b">
        <f>LineærRegression_Valg[[#This Row],[Afhængig variabel ID]]&lt;=$B$5</f>
        <v>0</v>
      </c>
      <c r="F1701" t="str" cm="1">
        <f t="array" ref="F1701">IF(LineærRegression_Valg[[#This Row],[Indenfor range]],INDEX(DataTitel_liste,LineærRegression_Valg[[#This Row],[Afhængig variabel ID]]),INDEX(DataTitel_liste,1))</f>
        <v>Eksempel 1 (interval)</v>
      </c>
      <c r="G1701" s="171" t="str" cm="1">
        <f t="array" ref="G1701">IF(LineærRegression_Valg[[#This Row],[Indenfor range]],IF(LineærRegression_Valg[[#This Row],[Intet overlap]],INDEX(DataTitel_liste,LineærRegression_Valg[[#This Row],[Uafhængig variabel ID]]),INDEX(DataTitel_liste,IF(LineærRegression_Valg[[#This Row],[Afhængig variabel ID]]=1,2,1))),$B$7)</f>
        <v>Eksempel 2 (interval)</v>
      </c>
      <c r="H1701" s="171">
        <f>_xlfn.AGGREGATE(2,5,LineærRegression_Valg[[#This Row],[Tabel ID]])</f>
        <v>1</v>
      </c>
    </row>
    <row r="1702" spans="1:8" x14ac:dyDescent="0.2">
      <c r="A1702">
        <f>ROW(LineærRegression_Valg[[#This Row],[Tabel ID]])-ROW(LineærRegression_Valg[[#Headers],[Tabel ID]])</f>
        <v>1692</v>
      </c>
      <c r="B1702" s="171">
        <f>ROUNDDOWN((LineærRegression_Valg[[#This Row],[Tabel ID]]-1)/$B$5,0)+1</f>
        <v>423</v>
      </c>
      <c r="C1702" s="171">
        <f t="shared" si="26"/>
        <v>4</v>
      </c>
      <c r="D1702" s="171" t="b">
        <f>LineærRegression_Valg[[#This Row],[Afhængig variabel ID]]&lt;&gt;LineærRegression_Valg[[#This Row],[Uafhængig variabel ID]]</f>
        <v>1</v>
      </c>
      <c r="E1702" s="171" t="b">
        <f>LineærRegression_Valg[[#This Row],[Afhængig variabel ID]]&lt;=$B$5</f>
        <v>0</v>
      </c>
      <c r="F1702" t="str" cm="1">
        <f t="array" ref="F1702">IF(LineærRegression_Valg[[#This Row],[Indenfor range]],INDEX(DataTitel_liste,LineærRegression_Valg[[#This Row],[Afhængig variabel ID]]),INDEX(DataTitel_liste,1))</f>
        <v>Eksempel 1 (interval)</v>
      </c>
      <c r="G1702" s="171" t="str" cm="1">
        <f t="array" ref="G1702">IF(LineærRegression_Valg[[#This Row],[Indenfor range]],IF(LineærRegression_Valg[[#This Row],[Intet overlap]],INDEX(DataTitel_liste,LineærRegression_Valg[[#This Row],[Uafhængig variabel ID]]),INDEX(DataTitel_liste,IF(LineærRegression_Valg[[#This Row],[Afhængig variabel ID]]=1,2,1))),$B$7)</f>
        <v>Eksempel 2 (interval)</v>
      </c>
      <c r="H1702" s="171">
        <f>_xlfn.AGGREGATE(2,5,LineærRegression_Valg[[#This Row],[Tabel ID]])</f>
        <v>1</v>
      </c>
    </row>
    <row r="1703" spans="1:8" x14ac:dyDescent="0.2">
      <c r="A1703">
        <f>ROW(LineærRegression_Valg[[#This Row],[Tabel ID]])-ROW(LineærRegression_Valg[[#Headers],[Tabel ID]])</f>
        <v>1693</v>
      </c>
      <c r="B1703" s="171">
        <f>ROUNDDOWN((LineærRegression_Valg[[#This Row],[Tabel ID]]-1)/$B$5,0)+1</f>
        <v>424</v>
      </c>
      <c r="C1703" s="171">
        <f t="shared" si="26"/>
        <v>1</v>
      </c>
      <c r="D1703" s="171" t="b">
        <f>LineærRegression_Valg[[#This Row],[Afhængig variabel ID]]&lt;&gt;LineærRegression_Valg[[#This Row],[Uafhængig variabel ID]]</f>
        <v>1</v>
      </c>
      <c r="E1703" s="171" t="b">
        <f>LineærRegression_Valg[[#This Row],[Afhængig variabel ID]]&lt;=$B$5</f>
        <v>0</v>
      </c>
      <c r="F1703" t="str" cm="1">
        <f t="array" ref="F1703">IF(LineærRegression_Valg[[#This Row],[Indenfor range]],INDEX(DataTitel_liste,LineærRegression_Valg[[#This Row],[Afhængig variabel ID]]),INDEX(DataTitel_liste,1))</f>
        <v>Eksempel 1 (interval)</v>
      </c>
      <c r="G1703" s="171" t="str" cm="1">
        <f t="array" ref="G1703">IF(LineærRegression_Valg[[#This Row],[Indenfor range]],IF(LineærRegression_Valg[[#This Row],[Intet overlap]],INDEX(DataTitel_liste,LineærRegression_Valg[[#This Row],[Uafhængig variabel ID]]),INDEX(DataTitel_liste,IF(LineærRegression_Valg[[#This Row],[Afhængig variabel ID]]=1,2,1))),$B$7)</f>
        <v>Eksempel 2 (interval)</v>
      </c>
      <c r="H1703" s="171">
        <f>_xlfn.AGGREGATE(2,5,LineærRegression_Valg[[#This Row],[Tabel ID]])</f>
        <v>1</v>
      </c>
    </row>
    <row r="1704" spans="1:8" x14ac:dyDescent="0.2">
      <c r="A1704">
        <f>ROW(LineærRegression_Valg[[#This Row],[Tabel ID]])-ROW(LineærRegression_Valg[[#Headers],[Tabel ID]])</f>
        <v>1694</v>
      </c>
      <c r="B1704" s="171">
        <f>ROUNDDOWN((LineærRegression_Valg[[#This Row],[Tabel ID]]-1)/$B$5,0)+1</f>
        <v>424</v>
      </c>
      <c r="C1704" s="171">
        <f t="shared" si="26"/>
        <v>2</v>
      </c>
      <c r="D1704" s="171" t="b">
        <f>LineærRegression_Valg[[#This Row],[Afhængig variabel ID]]&lt;&gt;LineærRegression_Valg[[#This Row],[Uafhængig variabel ID]]</f>
        <v>1</v>
      </c>
      <c r="E1704" s="171" t="b">
        <f>LineærRegression_Valg[[#This Row],[Afhængig variabel ID]]&lt;=$B$5</f>
        <v>0</v>
      </c>
      <c r="F1704" t="str" cm="1">
        <f t="array" ref="F1704">IF(LineærRegression_Valg[[#This Row],[Indenfor range]],INDEX(DataTitel_liste,LineærRegression_Valg[[#This Row],[Afhængig variabel ID]]),INDEX(DataTitel_liste,1))</f>
        <v>Eksempel 1 (interval)</v>
      </c>
      <c r="G1704" s="171" t="str" cm="1">
        <f t="array" ref="G1704">IF(LineærRegression_Valg[[#This Row],[Indenfor range]],IF(LineærRegression_Valg[[#This Row],[Intet overlap]],INDEX(DataTitel_liste,LineærRegression_Valg[[#This Row],[Uafhængig variabel ID]]),INDEX(DataTitel_liste,IF(LineærRegression_Valg[[#This Row],[Afhængig variabel ID]]=1,2,1))),$B$7)</f>
        <v>Eksempel 2 (interval)</v>
      </c>
      <c r="H1704" s="171">
        <f>_xlfn.AGGREGATE(2,5,LineærRegression_Valg[[#This Row],[Tabel ID]])</f>
        <v>1</v>
      </c>
    </row>
    <row r="1705" spans="1:8" x14ac:dyDescent="0.2">
      <c r="A1705">
        <f>ROW(LineærRegression_Valg[[#This Row],[Tabel ID]])-ROW(LineærRegression_Valg[[#Headers],[Tabel ID]])</f>
        <v>1695</v>
      </c>
      <c r="B1705" s="171">
        <f>ROUNDDOWN((LineærRegression_Valg[[#This Row],[Tabel ID]]-1)/$B$5,0)+1</f>
        <v>424</v>
      </c>
      <c r="C1705" s="171">
        <f t="shared" si="26"/>
        <v>3</v>
      </c>
      <c r="D1705" s="171" t="b">
        <f>LineærRegression_Valg[[#This Row],[Afhængig variabel ID]]&lt;&gt;LineærRegression_Valg[[#This Row],[Uafhængig variabel ID]]</f>
        <v>1</v>
      </c>
      <c r="E1705" s="171" t="b">
        <f>LineærRegression_Valg[[#This Row],[Afhængig variabel ID]]&lt;=$B$5</f>
        <v>0</v>
      </c>
      <c r="F1705" t="str" cm="1">
        <f t="array" ref="F1705">IF(LineærRegression_Valg[[#This Row],[Indenfor range]],INDEX(DataTitel_liste,LineærRegression_Valg[[#This Row],[Afhængig variabel ID]]),INDEX(DataTitel_liste,1))</f>
        <v>Eksempel 1 (interval)</v>
      </c>
      <c r="G1705" s="171" t="str" cm="1">
        <f t="array" ref="G1705">IF(LineærRegression_Valg[[#This Row],[Indenfor range]],IF(LineærRegression_Valg[[#This Row],[Intet overlap]],INDEX(DataTitel_liste,LineærRegression_Valg[[#This Row],[Uafhængig variabel ID]]),INDEX(DataTitel_liste,IF(LineærRegression_Valg[[#This Row],[Afhængig variabel ID]]=1,2,1))),$B$7)</f>
        <v>Eksempel 2 (interval)</v>
      </c>
      <c r="H1705" s="171">
        <f>_xlfn.AGGREGATE(2,5,LineærRegression_Valg[[#This Row],[Tabel ID]])</f>
        <v>1</v>
      </c>
    </row>
    <row r="1706" spans="1:8" x14ac:dyDescent="0.2">
      <c r="A1706">
        <f>ROW(LineærRegression_Valg[[#This Row],[Tabel ID]])-ROW(LineærRegression_Valg[[#Headers],[Tabel ID]])</f>
        <v>1696</v>
      </c>
      <c r="B1706" s="171">
        <f>ROUNDDOWN((LineærRegression_Valg[[#This Row],[Tabel ID]]-1)/$B$5,0)+1</f>
        <v>424</v>
      </c>
      <c r="C1706" s="171">
        <f t="shared" si="26"/>
        <v>4</v>
      </c>
      <c r="D1706" s="171" t="b">
        <f>LineærRegression_Valg[[#This Row],[Afhængig variabel ID]]&lt;&gt;LineærRegression_Valg[[#This Row],[Uafhængig variabel ID]]</f>
        <v>1</v>
      </c>
      <c r="E1706" s="171" t="b">
        <f>LineærRegression_Valg[[#This Row],[Afhængig variabel ID]]&lt;=$B$5</f>
        <v>0</v>
      </c>
      <c r="F1706" t="str" cm="1">
        <f t="array" ref="F1706">IF(LineærRegression_Valg[[#This Row],[Indenfor range]],INDEX(DataTitel_liste,LineærRegression_Valg[[#This Row],[Afhængig variabel ID]]),INDEX(DataTitel_liste,1))</f>
        <v>Eksempel 1 (interval)</v>
      </c>
      <c r="G1706" s="171" t="str" cm="1">
        <f t="array" ref="G1706">IF(LineærRegression_Valg[[#This Row],[Indenfor range]],IF(LineærRegression_Valg[[#This Row],[Intet overlap]],INDEX(DataTitel_liste,LineærRegression_Valg[[#This Row],[Uafhængig variabel ID]]),INDEX(DataTitel_liste,IF(LineærRegression_Valg[[#This Row],[Afhængig variabel ID]]=1,2,1))),$B$7)</f>
        <v>Eksempel 2 (interval)</v>
      </c>
      <c r="H1706" s="171">
        <f>_xlfn.AGGREGATE(2,5,LineærRegression_Valg[[#This Row],[Tabel ID]])</f>
        <v>1</v>
      </c>
    </row>
    <row r="1707" spans="1:8" x14ac:dyDescent="0.2">
      <c r="A1707">
        <f>ROW(LineærRegression_Valg[[#This Row],[Tabel ID]])-ROW(LineærRegression_Valg[[#Headers],[Tabel ID]])</f>
        <v>1697</v>
      </c>
      <c r="B1707" s="171">
        <f>ROUNDDOWN((LineærRegression_Valg[[#This Row],[Tabel ID]]-1)/$B$5,0)+1</f>
        <v>425</v>
      </c>
      <c r="C1707" s="171">
        <f t="shared" si="26"/>
        <v>1</v>
      </c>
      <c r="D1707" s="171" t="b">
        <f>LineærRegression_Valg[[#This Row],[Afhængig variabel ID]]&lt;&gt;LineærRegression_Valg[[#This Row],[Uafhængig variabel ID]]</f>
        <v>1</v>
      </c>
      <c r="E1707" s="171" t="b">
        <f>LineærRegression_Valg[[#This Row],[Afhængig variabel ID]]&lt;=$B$5</f>
        <v>0</v>
      </c>
      <c r="F1707" t="str" cm="1">
        <f t="array" ref="F1707">IF(LineærRegression_Valg[[#This Row],[Indenfor range]],INDEX(DataTitel_liste,LineærRegression_Valg[[#This Row],[Afhængig variabel ID]]),INDEX(DataTitel_liste,1))</f>
        <v>Eksempel 1 (interval)</v>
      </c>
      <c r="G1707" s="171" t="str" cm="1">
        <f t="array" ref="G1707">IF(LineærRegression_Valg[[#This Row],[Indenfor range]],IF(LineærRegression_Valg[[#This Row],[Intet overlap]],INDEX(DataTitel_liste,LineærRegression_Valg[[#This Row],[Uafhængig variabel ID]]),INDEX(DataTitel_liste,IF(LineærRegression_Valg[[#This Row],[Afhængig variabel ID]]=1,2,1))),$B$7)</f>
        <v>Eksempel 2 (interval)</v>
      </c>
      <c r="H1707" s="171">
        <f>_xlfn.AGGREGATE(2,5,LineærRegression_Valg[[#This Row],[Tabel ID]])</f>
        <v>1</v>
      </c>
    </row>
    <row r="1708" spans="1:8" x14ac:dyDescent="0.2">
      <c r="A1708">
        <f>ROW(LineærRegression_Valg[[#This Row],[Tabel ID]])-ROW(LineærRegression_Valg[[#Headers],[Tabel ID]])</f>
        <v>1698</v>
      </c>
      <c r="B1708" s="171">
        <f>ROUNDDOWN((LineærRegression_Valg[[#This Row],[Tabel ID]]-1)/$B$5,0)+1</f>
        <v>425</v>
      </c>
      <c r="C1708" s="171">
        <f t="shared" si="26"/>
        <v>2</v>
      </c>
      <c r="D1708" s="171" t="b">
        <f>LineærRegression_Valg[[#This Row],[Afhængig variabel ID]]&lt;&gt;LineærRegression_Valg[[#This Row],[Uafhængig variabel ID]]</f>
        <v>1</v>
      </c>
      <c r="E1708" s="171" t="b">
        <f>LineærRegression_Valg[[#This Row],[Afhængig variabel ID]]&lt;=$B$5</f>
        <v>0</v>
      </c>
      <c r="F1708" t="str" cm="1">
        <f t="array" ref="F1708">IF(LineærRegression_Valg[[#This Row],[Indenfor range]],INDEX(DataTitel_liste,LineærRegression_Valg[[#This Row],[Afhængig variabel ID]]),INDEX(DataTitel_liste,1))</f>
        <v>Eksempel 1 (interval)</v>
      </c>
      <c r="G1708" s="171" t="str" cm="1">
        <f t="array" ref="G1708">IF(LineærRegression_Valg[[#This Row],[Indenfor range]],IF(LineærRegression_Valg[[#This Row],[Intet overlap]],INDEX(DataTitel_liste,LineærRegression_Valg[[#This Row],[Uafhængig variabel ID]]),INDEX(DataTitel_liste,IF(LineærRegression_Valg[[#This Row],[Afhængig variabel ID]]=1,2,1))),$B$7)</f>
        <v>Eksempel 2 (interval)</v>
      </c>
      <c r="H1708" s="171">
        <f>_xlfn.AGGREGATE(2,5,LineærRegression_Valg[[#This Row],[Tabel ID]])</f>
        <v>1</v>
      </c>
    </row>
    <row r="1709" spans="1:8" x14ac:dyDescent="0.2">
      <c r="A1709">
        <f>ROW(LineærRegression_Valg[[#This Row],[Tabel ID]])-ROW(LineærRegression_Valg[[#Headers],[Tabel ID]])</f>
        <v>1699</v>
      </c>
      <c r="B1709" s="171">
        <f>ROUNDDOWN((LineærRegression_Valg[[#This Row],[Tabel ID]]-1)/$B$5,0)+1</f>
        <v>425</v>
      </c>
      <c r="C1709" s="171">
        <f t="shared" si="26"/>
        <v>3</v>
      </c>
      <c r="D1709" s="171" t="b">
        <f>LineærRegression_Valg[[#This Row],[Afhængig variabel ID]]&lt;&gt;LineærRegression_Valg[[#This Row],[Uafhængig variabel ID]]</f>
        <v>1</v>
      </c>
      <c r="E1709" s="171" t="b">
        <f>LineærRegression_Valg[[#This Row],[Afhængig variabel ID]]&lt;=$B$5</f>
        <v>0</v>
      </c>
      <c r="F1709" t="str" cm="1">
        <f t="array" ref="F1709">IF(LineærRegression_Valg[[#This Row],[Indenfor range]],INDEX(DataTitel_liste,LineærRegression_Valg[[#This Row],[Afhængig variabel ID]]),INDEX(DataTitel_liste,1))</f>
        <v>Eksempel 1 (interval)</v>
      </c>
      <c r="G1709" s="171" t="str" cm="1">
        <f t="array" ref="G1709">IF(LineærRegression_Valg[[#This Row],[Indenfor range]],IF(LineærRegression_Valg[[#This Row],[Intet overlap]],INDEX(DataTitel_liste,LineærRegression_Valg[[#This Row],[Uafhængig variabel ID]]),INDEX(DataTitel_liste,IF(LineærRegression_Valg[[#This Row],[Afhængig variabel ID]]=1,2,1))),$B$7)</f>
        <v>Eksempel 2 (interval)</v>
      </c>
      <c r="H1709" s="171">
        <f>_xlfn.AGGREGATE(2,5,LineærRegression_Valg[[#This Row],[Tabel ID]])</f>
        <v>1</v>
      </c>
    </row>
    <row r="1710" spans="1:8" x14ac:dyDescent="0.2">
      <c r="A1710">
        <f>ROW(LineærRegression_Valg[[#This Row],[Tabel ID]])-ROW(LineærRegression_Valg[[#Headers],[Tabel ID]])</f>
        <v>1700</v>
      </c>
      <c r="B1710" s="171">
        <f>ROUNDDOWN((LineærRegression_Valg[[#This Row],[Tabel ID]]-1)/$B$5,0)+1</f>
        <v>425</v>
      </c>
      <c r="C1710" s="171">
        <f t="shared" si="26"/>
        <v>4</v>
      </c>
      <c r="D1710" s="171" t="b">
        <f>LineærRegression_Valg[[#This Row],[Afhængig variabel ID]]&lt;&gt;LineærRegression_Valg[[#This Row],[Uafhængig variabel ID]]</f>
        <v>1</v>
      </c>
      <c r="E1710" s="171" t="b">
        <f>LineærRegression_Valg[[#This Row],[Afhængig variabel ID]]&lt;=$B$5</f>
        <v>0</v>
      </c>
      <c r="F1710" t="str" cm="1">
        <f t="array" ref="F1710">IF(LineærRegression_Valg[[#This Row],[Indenfor range]],INDEX(DataTitel_liste,LineærRegression_Valg[[#This Row],[Afhængig variabel ID]]),INDEX(DataTitel_liste,1))</f>
        <v>Eksempel 1 (interval)</v>
      </c>
      <c r="G1710" s="171" t="str" cm="1">
        <f t="array" ref="G1710">IF(LineærRegression_Valg[[#This Row],[Indenfor range]],IF(LineærRegression_Valg[[#This Row],[Intet overlap]],INDEX(DataTitel_liste,LineærRegression_Valg[[#This Row],[Uafhængig variabel ID]]),INDEX(DataTitel_liste,IF(LineærRegression_Valg[[#This Row],[Afhængig variabel ID]]=1,2,1))),$B$7)</f>
        <v>Eksempel 2 (interval)</v>
      </c>
      <c r="H1710" s="171">
        <f>_xlfn.AGGREGATE(2,5,LineærRegression_Valg[[#This Row],[Tabel ID]])</f>
        <v>1</v>
      </c>
    </row>
    <row r="1711" spans="1:8" x14ac:dyDescent="0.2">
      <c r="A1711">
        <f>ROW(LineærRegression_Valg[[#This Row],[Tabel ID]])-ROW(LineærRegression_Valg[[#Headers],[Tabel ID]])</f>
        <v>1701</v>
      </c>
      <c r="B1711" s="171">
        <f>ROUNDDOWN((LineærRegression_Valg[[#This Row],[Tabel ID]]-1)/$B$5,0)+1</f>
        <v>426</v>
      </c>
      <c r="C1711" s="171">
        <f t="shared" si="26"/>
        <v>1</v>
      </c>
      <c r="D1711" s="171" t="b">
        <f>LineærRegression_Valg[[#This Row],[Afhængig variabel ID]]&lt;&gt;LineærRegression_Valg[[#This Row],[Uafhængig variabel ID]]</f>
        <v>1</v>
      </c>
      <c r="E1711" s="171" t="b">
        <f>LineærRegression_Valg[[#This Row],[Afhængig variabel ID]]&lt;=$B$5</f>
        <v>0</v>
      </c>
      <c r="F1711" t="str" cm="1">
        <f t="array" ref="F1711">IF(LineærRegression_Valg[[#This Row],[Indenfor range]],INDEX(DataTitel_liste,LineærRegression_Valg[[#This Row],[Afhængig variabel ID]]),INDEX(DataTitel_liste,1))</f>
        <v>Eksempel 1 (interval)</v>
      </c>
      <c r="G1711" s="171" t="str" cm="1">
        <f t="array" ref="G1711">IF(LineærRegression_Valg[[#This Row],[Indenfor range]],IF(LineærRegression_Valg[[#This Row],[Intet overlap]],INDEX(DataTitel_liste,LineærRegression_Valg[[#This Row],[Uafhængig variabel ID]]),INDEX(DataTitel_liste,IF(LineærRegression_Valg[[#This Row],[Afhængig variabel ID]]=1,2,1))),$B$7)</f>
        <v>Eksempel 2 (interval)</v>
      </c>
      <c r="H1711" s="171">
        <f>_xlfn.AGGREGATE(2,5,LineærRegression_Valg[[#This Row],[Tabel ID]])</f>
        <v>1</v>
      </c>
    </row>
    <row r="1712" spans="1:8" x14ac:dyDescent="0.2">
      <c r="A1712">
        <f>ROW(LineærRegression_Valg[[#This Row],[Tabel ID]])-ROW(LineærRegression_Valg[[#Headers],[Tabel ID]])</f>
        <v>1702</v>
      </c>
      <c r="B1712" s="171">
        <f>ROUNDDOWN((LineærRegression_Valg[[#This Row],[Tabel ID]]-1)/$B$5,0)+1</f>
        <v>426</v>
      </c>
      <c r="C1712" s="171">
        <f t="shared" si="26"/>
        <v>2</v>
      </c>
      <c r="D1712" s="171" t="b">
        <f>LineærRegression_Valg[[#This Row],[Afhængig variabel ID]]&lt;&gt;LineærRegression_Valg[[#This Row],[Uafhængig variabel ID]]</f>
        <v>1</v>
      </c>
      <c r="E1712" s="171" t="b">
        <f>LineærRegression_Valg[[#This Row],[Afhængig variabel ID]]&lt;=$B$5</f>
        <v>0</v>
      </c>
      <c r="F1712" t="str" cm="1">
        <f t="array" ref="F1712">IF(LineærRegression_Valg[[#This Row],[Indenfor range]],INDEX(DataTitel_liste,LineærRegression_Valg[[#This Row],[Afhængig variabel ID]]),INDEX(DataTitel_liste,1))</f>
        <v>Eksempel 1 (interval)</v>
      </c>
      <c r="G1712" s="171" t="str" cm="1">
        <f t="array" ref="G1712">IF(LineærRegression_Valg[[#This Row],[Indenfor range]],IF(LineærRegression_Valg[[#This Row],[Intet overlap]],INDEX(DataTitel_liste,LineærRegression_Valg[[#This Row],[Uafhængig variabel ID]]),INDEX(DataTitel_liste,IF(LineærRegression_Valg[[#This Row],[Afhængig variabel ID]]=1,2,1))),$B$7)</f>
        <v>Eksempel 2 (interval)</v>
      </c>
      <c r="H1712" s="171">
        <f>_xlfn.AGGREGATE(2,5,LineærRegression_Valg[[#This Row],[Tabel ID]])</f>
        <v>1</v>
      </c>
    </row>
    <row r="1713" spans="1:8" x14ac:dyDescent="0.2">
      <c r="A1713">
        <f>ROW(LineærRegression_Valg[[#This Row],[Tabel ID]])-ROW(LineærRegression_Valg[[#Headers],[Tabel ID]])</f>
        <v>1703</v>
      </c>
      <c r="B1713" s="171">
        <f>ROUNDDOWN((LineærRegression_Valg[[#This Row],[Tabel ID]]-1)/$B$5,0)+1</f>
        <v>426</v>
      </c>
      <c r="C1713" s="171">
        <f t="shared" si="26"/>
        <v>3</v>
      </c>
      <c r="D1713" s="171" t="b">
        <f>LineærRegression_Valg[[#This Row],[Afhængig variabel ID]]&lt;&gt;LineærRegression_Valg[[#This Row],[Uafhængig variabel ID]]</f>
        <v>1</v>
      </c>
      <c r="E1713" s="171" t="b">
        <f>LineærRegression_Valg[[#This Row],[Afhængig variabel ID]]&lt;=$B$5</f>
        <v>0</v>
      </c>
      <c r="F1713" t="str" cm="1">
        <f t="array" ref="F1713">IF(LineærRegression_Valg[[#This Row],[Indenfor range]],INDEX(DataTitel_liste,LineærRegression_Valg[[#This Row],[Afhængig variabel ID]]),INDEX(DataTitel_liste,1))</f>
        <v>Eksempel 1 (interval)</v>
      </c>
      <c r="G1713" s="171" t="str" cm="1">
        <f t="array" ref="G1713">IF(LineærRegression_Valg[[#This Row],[Indenfor range]],IF(LineærRegression_Valg[[#This Row],[Intet overlap]],INDEX(DataTitel_liste,LineærRegression_Valg[[#This Row],[Uafhængig variabel ID]]),INDEX(DataTitel_liste,IF(LineærRegression_Valg[[#This Row],[Afhængig variabel ID]]=1,2,1))),$B$7)</f>
        <v>Eksempel 2 (interval)</v>
      </c>
      <c r="H1713" s="171">
        <f>_xlfn.AGGREGATE(2,5,LineærRegression_Valg[[#This Row],[Tabel ID]])</f>
        <v>1</v>
      </c>
    </row>
    <row r="1714" spans="1:8" x14ac:dyDescent="0.2">
      <c r="A1714">
        <f>ROW(LineærRegression_Valg[[#This Row],[Tabel ID]])-ROW(LineærRegression_Valg[[#Headers],[Tabel ID]])</f>
        <v>1704</v>
      </c>
      <c r="B1714" s="171">
        <f>ROUNDDOWN((LineærRegression_Valg[[#This Row],[Tabel ID]]-1)/$B$5,0)+1</f>
        <v>426</v>
      </c>
      <c r="C1714" s="171">
        <f t="shared" si="26"/>
        <v>4</v>
      </c>
      <c r="D1714" s="171" t="b">
        <f>LineærRegression_Valg[[#This Row],[Afhængig variabel ID]]&lt;&gt;LineærRegression_Valg[[#This Row],[Uafhængig variabel ID]]</f>
        <v>1</v>
      </c>
      <c r="E1714" s="171" t="b">
        <f>LineærRegression_Valg[[#This Row],[Afhængig variabel ID]]&lt;=$B$5</f>
        <v>0</v>
      </c>
      <c r="F1714" t="str" cm="1">
        <f t="array" ref="F1714">IF(LineærRegression_Valg[[#This Row],[Indenfor range]],INDEX(DataTitel_liste,LineærRegression_Valg[[#This Row],[Afhængig variabel ID]]),INDEX(DataTitel_liste,1))</f>
        <v>Eksempel 1 (interval)</v>
      </c>
      <c r="G1714" s="171" t="str" cm="1">
        <f t="array" ref="G1714">IF(LineærRegression_Valg[[#This Row],[Indenfor range]],IF(LineærRegression_Valg[[#This Row],[Intet overlap]],INDEX(DataTitel_liste,LineærRegression_Valg[[#This Row],[Uafhængig variabel ID]]),INDEX(DataTitel_liste,IF(LineærRegression_Valg[[#This Row],[Afhængig variabel ID]]=1,2,1))),$B$7)</f>
        <v>Eksempel 2 (interval)</v>
      </c>
      <c r="H1714" s="171">
        <f>_xlfn.AGGREGATE(2,5,LineærRegression_Valg[[#This Row],[Tabel ID]])</f>
        <v>1</v>
      </c>
    </row>
    <row r="1715" spans="1:8" x14ac:dyDescent="0.2">
      <c r="A1715">
        <f>ROW(LineærRegression_Valg[[#This Row],[Tabel ID]])-ROW(LineærRegression_Valg[[#Headers],[Tabel ID]])</f>
        <v>1705</v>
      </c>
      <c r="B1715" s="171">
        <f>ROUNDDOWN((LineærRegression_Valg[[#This Row],[Tabel ID]]-1)/$B$5,0)+1</f>
        <v>427</v>
      </c>
      <c r="C1715" s="171">
        <f t="shared" si="26"/>
        <v>1</v>
      </c>
      <c r="D1715" s="171" t="b">
        <f>LineærRegression_Valg[[#This Row],[Afhængig variabel ID]]&lt;&gt;LineærRegression_Valg[[#This Row],[Uafhængig variabel ID]]</f>
        <v>1</v>
      </c>
      <c r="E1715" s="171" t="b">
        <f>LineærRegression_Valg[[#This Row],[Afhængig variabel ID]]&lt;=$B$5</f>
        <v>0</v>
      </c>
      <c r="F1715" t="str" cm="1">
        <f t="array" ref="F1715">IF(LineærRegression_Valg[[#This Row],[Indenfor range]],INDEX(DataTitel_liste,LineærRegression_Valg[[#This Row],[Afhængig variabel ID]]),INDEX(DataTitel_liste,1))</f>
        <v>Eksempel 1 (interval)</v>
      </c>
      <c r="G1715" s="171" t="str" cm="1">
        <f t="array" ref="G1715">IF(LineærRegression_Valg[[#This Row],[Indenfor range]],IF(LineærRegression_Valg[[#This Row],[Intet overlap]],INDEX(DataTitel_liste,LineærRegression_Valg[[#This Row],[Uafhængig variabel ID]]),INDEX(DataTitel_liste,IF(LineærRegression_Valg[[#This Row],[Afhængig variabel ID]]=1,2,1))),$B$7)</f>
        <v>Eksempel 2 (interval)</v>
      </c>
      <c r="H1715" s="171">
        <f>_xlfn.AGGREGATE(2,5,LineærRegression_Valg[[#This Row],[Tabel ID]])</f>
        <v>1</v>
      </c>
    </row>
    <row r="1716" spans="1:8" x14ac:dyDescent="0.2">
      <c r="A1716">
        <f>ROW(LineærRegression_Valg[[#This Row],[Tabel ID]])-ROW(LineærRegression_Valg[[#Headers],[Tabel ID]])</f>
        <v>1706</v>
      </c>
      <c r="B1716" s="171">
        <f>ROUNDDOWN((LineærRegression_Valg[[#This Row],[Tabel ID]]-1)/$B$5,0)+1</f>
        <v>427</v>
      </c>
      <c r="C1716" s="171">
        <f t="shared" si="26"/>
        <v>2</v>
      </c>
      <c r="D1716" s="171" t="b">
        <f>LineærRegression_Valg[[#This Row],[Afhængig variabel ID]]&lt;&gt;LineærRegression_Valg[[#This Row],[Uafhængig variabel ID]]</f>
        <v>1</v>
      </c>
      <c r="E1716" s="171" t="b">
        <f>LineærRegression_Valg[[#This Row],[Afhængig variabel ID]]&lt;=$B$5</f>
        <v>0</v>
      </c>
      <c r="F1716" t="str" cm="1">
        <f t="array" ref="F1716">IF(LineærRegression_Valg[[#This Row],[Indenfor range]],INDEX(DataTitel_liste,LineærRegression_Valg[[#This Row],[Afhængig variabel ID]]),INDEX(DataTitel_liste,1))</f>
        <v>Eksempel 1 (interval)</v>
      </c>
      <c r="G1716" s="171" t="str" cm="1">
        <f t="array" ref="G1716">IF(LineærRegression_Valg[[#This Row],[Indenfor range]],IF(LineærRegression_Valg[[#This Row],[Intet overlap]],INDEX(DataTitel_liste,LineærRegression_Valg[[#This Row],[Uafhængig variabel ID]]),INDEX(DataTitel_liste,IF(LineærRegression_Valg[[#This Row],[Afhængig variabel ID]]=1,2,1))),$B$7)</f>
        <v>Eksempel 2 (interval)</v>
      </c>
      <c r="H1716" s="171">
        <f>_xlfn.AGGREGATE(2,5,LineærRegression_Valg[[#This Row],[Tabel ID]])</f>
        <v>1</v>
      </c>
    </row>
    <row r="1717" spans="1:8" x14ac:dyDescent="0.2">
      <c r="A1717">
        <f>ROW(LineærRegression_Valg[[#This Row],[Tabel ID]])-ROW(LineærRegression_Valg[[#Headers],[Tabel ID]])</f>
        <v>1707</v>
      </c>
      <c r="B1717" s="171">
        <f>ROUNDDOWN((LineærRegression_Valg[[#This Row],[Tabel ID]]-1)/$B$5,0)+1</f>
        <v>427</v>
      </c>
      <c r="C1717" s="171">
        <f t="shared" si="26"/>
        <v>3</v>
      </c>
      <c r="D1717" s="171" t="b">
        <f>LineærRegression_Valg[[#This Row],[Afhængig variabel ID]]&lt;&gt;LineærRegression_Valg[[#This Row],[Uafhængig variabel ID]]</f>
        <v>1</v>
      </c>
      <c r="E1717" s="171" t="b">
        <f>LineærRegression_Valg[[#This Row],[Afhængig variabel ID]]&lt;=$B$5</f>
        <v>0</v>
      </c>
      <c r="F1717" t="str" cm="1">
        <f t="array" ref="F1717">IF(LineærRegression_Valg[[#This Row],[Indenfor range]],INDEX(DataTitel_liste,LineærRegression_Valg[[#This Row],[Afhængig variabel ID]]),INDEX(DataTitel_liste,1))</f>
        <v>Eksempel 1 (interval)</v>
      </c>
      <c r="G1717" s="171" t="str" cm="1">
        <f t="array" ref="G1717">IF(LineærRegression_Valg[[#This Row],[Indenfor range]],IF(LineærRegression_Valg[[#This Row],[Intet overlap]],INDEX(DataTitel_liste,LineærRegression_Valg[[#This Row],[Uafhængig variabel ID]]),INDEX(DataTitel_liste,IF(LineærRegression_Valg[[#This Row],[Afhængig variabel ID]]=1,2,1))),$B$7)</f>
        <v>Eksempel 2 (interval)</v>
      </c>
      <c r="H1717" s="171">
        <f>_xlfn.AGGREGATE(2,5,LineærRegression_Valg[[#This Row],[Tabel ID]])</f>
        <v>1</v>
      </c>
    </row>
    <row r="1718" spans="1:8" x14ac:dyDescent="0.2">
      <c r="A1718">
        <f>ROW(LineærRegression_Valg[[#This Row],[Tabel ID]])-ROW(LineærRegression_Valg[[#Headers],[Tabel ID]])</f>
        <v>1708</v>
      </c>
      <c r="B1718" s="171">
        <f>ROUNDDOWN((LineærRegression_Valg[[#This Row],[Tabel ID]]-1)/$B$5,0)+1</f>
        <v>427</v>
      </c>
      <c r="C1718" s="171">
        <f t="shared" si="26"/>
        <v>4</v>
      </c>
      <c r="D1718" s="171" t="b">
        <f>LineærRegression_Valg[[#This Row],[Afhængig variabel ID]]&lt;&gt;LineærRegression_Valg[[#This Row],[Uafhængig variabel ID]]</f>
        <v>1</v>
      </c>
      <c r="E1718" s="171" t="b">
        <f>LineærRegression_Valg[[#This Row],[Afhængig variabel ID]]&lt;=$B$5</f>
        <v>0</v>
      </c>
      <c r="F1718" t="str" cm="1">
        <f t="array" ref="F1718">IF(LineærRegression_Valg[[#This Row],[Indenfor range]],INDEX(DataTitel_liste,LineærRegression_Valg[[#This Row],[Afhængig variabel ID]]),INDEX(DataTitel_liste,1))</f>
        <v>Eksempel 1 (interval)</v>
      </c>
      <c r="G1718" s="171" t="str" cm="1">
        <f t="array" ref="G1718">IF(LineærRegression_Valg[[#This Row],[Indenfor range]],IF(LineærRegression_Valg[[#This Row],[Intet overlap]],INDEX(DataTitel_liste,LineærRegression_Valg[[#This Row],[Uafhængig variabel ID]]),INDEX(DataTitel_liste,IF(LineærRegression_Valg[[#This Row],[Afhængig variabel ID]]=1,2,1))),$B$7)</f>
        <v>Eksempel 2 (interval)</v>
      </c>
      <c r="H1718" s="171">
        <f>_xlfn.AGGREGATE(2,5,LineærRegression_Valg[[#This Row],[Tabel ID]])</f>
        <v>1</v>
      </c>
    </row>
    <row r="1719" spans="1:8" x14ac:dyDescent="0.2">
      <c r="A1719">
        <f>ROW(LineærRegression_Valg[[#This Row],[Tabel ID]])-ROW(LineærRegression_Valg[[#Headers],[Tabel ID]])</f>
        <v>1709</v>
      </c>
      <c r="B1719" s="171">
        <f>ROUNDDOWN((LineærRegression_Valg[[#This Row],[Tabel ID]]-1)/$B$5,0)+1</f>
        <v>428</v>
      </c>
      <c r="C1719" s="171">
        <f t="shared" si="26"/>
        <v>1</v>
      </c>
      <c r="D1719" s="171" t="b">
        <f>LineærRegression_Valg[[#This Row],[Afhængig variabel ID]]&lt;&gt;LineærRegression_Valg[[#This Row],[Uafhængig variabel ID]]</f>
        <v>1</v>
      </c>
      <c r="E1719" s="171" t="b">
        <f>LineærRegression_Valg[[#This Row],[Afhængig variabel ID]]&lt;=$B$5</f>
        <v>0</v>
      </c>
      <c r="F1719" t="str" cm="1">
        <f t="array" ref="F1719">IF(LineærRegression_Valg[[#This Row],[Indenfor range]],INDEX(DataTitel_liste,LineærRegression_Valg[[#This Row],[Afhængig variabel ID]]),INDEX(DataTitel_liste,1))</f>
        <v>Eksempel 1 (interval)</v>
      </c>
      <c r="G1719" s="171" t="str" cm="1">
        <f t="array" ref="G1719">IF(LineærRegression_Valg[[#This Row],[Indenfor range]],IF(LineærRegression_Valg[[#This Row],[Intet overlap]],INDEX(DataTitel_liste,LineærRegression_Valg[[#This Row],[Uafhængig variabel ID]]),INDEX(DataTitel_liste,IF(LineærRegression_Valg[[#This Row],[Afhængig variabel ID]]=1,2,1))),$B$7)</f>
        <v>Eksempel 2 (interval)</v>
      </c>
      <c r="H1719" s="171">
        <f>_xlfn.AGGREGATE(2,5,LineærRegression_Valg[[#This Row],[Tabel ID]])</f>
        <v>1</v>
      </c>
    </row>
    <row r="1720" spans="1:8" x14ac:dyDescent="0.2">
      <c r="A1720">
        <f>ROW(LineærRegression_Valg[[#This Row],[Tabel ID]])-ROW(LineærRegression_Valg[[#Headers],[Tabel ID]])</f>
        <v>1710</v>
      </c>
      <c r="B1720" s="171">
        <f>ROUNDDOWN((LineærRegression_Valg[[#This Row],[Tabel ID]]-1)/$B$5,0)+1</f>
        <v>428</v>
      </c>
      <c r="C1720" s="171">
        <f t="shared" si="26"/>
        <v>2</v>
      </c>
      <c r="D1720" s="171" t="b">
        <f>LineærRegression_Valg[[#This Row],[Afhængig variabel ID]]&lt;&gt;LineærRegression_Valg[[#This Row],[Uafhængig variabel ID]]</f>
        <v>1</v>
      </c>
      <c r="E1720" s="171" t="b">
        <f>LineærRegression_Valg[[#This Row],[Afhængig variabel ID]]&lt;=$B$5</f>
        <v>0</v>
      </c>
      <c r="F1720" t="str" cm="1">
        <f t="array" ref="F1720">IF(LineærRegression_Valg[[#This Row],[Indenfor range]],INDEX(DataTitel_liste,LineærRegression_Valg[[#This Row],[Afhængig variabel ID]]),INDEX(DataTitel_liste,1))</f>
        <v>Eksempel 1 (interval)</v>
      </c>
      <c r="G1720" s="171" t="str" cm="1">
        <f t="array" ref="G1720">IF(LineærRegression_Valg[[#This Row],[Indenfor range]],IF(LineærRegression_Valg[[#This Row],[Intet overlap]],INDEX(DataTitel_liste,LineærRegression_Valg[[#This Row],[Uafhængig variabel ID]]),INDEX(DataTitel_liste,IF(LineærRegression_Valg[[#This Row],[Afhængig variabel ID]]=1,2,1))),$B$7)</f>
        <v>Eksempel 2 (interval)</v>
      </c>
      <c r="H1720" s="171">
        <f>_xlfn.AGGREGATE(2,5,LineærRegression_Valg[[#This Row],[Tabel ID]])</f>
        <v>1</v>
      </c>
    </row>
    <row r="1721" spans="1:8" x14ac:dyDescent="0.2">
      <c r="A1721">
        <f>ROW(LineærRegression_Valg[[#This Row],[Tabel ID]])-ROW(LineærRegression_Valg[[#Headers],[Tabel ID]])</f>
        <v>1711</v>
      </c>
      <c r="B1721" s="171">
        <f>ROUNDDOWN((LineærRegression_Valg[[#This Row],[Tabel ID]]-1)/$B$5,0)+1</f>
        <v>428</v>
      </c>
      <c r="C1721" s="171">
        <f t="shared" si="26"/>
        <v>3</v>
      </c>
      <c r="D1721" s="171" t="b">
        <f>LineærRegression_Valg[[#This Row],[Afhængig variabel ID]]&lt;&gt;LineærRegression_Valg[[#This Row],[Uafhængig variabel ID]]</f>
        <v>1</v>
      </c>
      <c r="E1721" s="171" t="b">
        <f>LineærRegression_Valg[[#This Row],[Afhængig variabel ID]]&lt;=$B$5</f>
        <v>0</v>
      </c>
      <c r="F1721" t="str" cm="1">
        <f t="array" ref="F1721">IF(LineærRegression_Valg[[#This Row],[Indenfor range]],INDEX(DataTitel_liste,LineærRegression_Valg[[#This Row],[Afhængig variabel ID]]),INDEX(DataTitel_liste,1))</f>
        <v>Eksempel 1 (interval)</v>
      </c>
      <c r="G1721" s="171" t="str" cm="1">
        <f t="array" ref="G1721">IF(LineærRegression_Valg[[#This Row],[Indenfor range]],IF(LineærRegression_Valg[[#This Row],[Intet overlap]],INDEX(DataTitel_liste,LineærRegression_Valg[[#This Row],[Uafhængig variabel ID]]),INDEX(DataTitel_liste,IF(LineærRegression_Valg[[#This Row],[Afhængig variabel ID]]=1,2,1))),$B$7)</f>
        <v>Eksempel 2 (interval)</v>
      </c>
      <c r="H1721" s="171">
        <f>_xlfn.AGGREGATE(2,5,LineærRegression_Valg[[#This Row],[Tabel ID]])</f>
        <v>1</v>
      </c>
    </row>
    <row r="1722" spans="1:8" x14ac:dyDescent="0.2">
      <c r="A1722">
        <f>ROW(LineærRegression_Valg[[#This Row],[Tabel ID]])-ROW(LineærRegression_Valg[[#Headers],[Tabel ID]])</f>
        <v>1712</v>
      </c>
      <c r="B1722" s="171">
        <f>ROUNDDOWN((LineærRegression_Valg[[#This Row],[Tabel ID]]-1)/$B$5,0)+1</f>
        <v>428</v>
      </c>
      <c r="C1722" s="171">
        <f t="shared" si="26"/>
        <v>4</v>
      </c>
      <c r="D1722" s="171" t="b">
        <f>LineærRegression_Valg[[#This Row],[Afhængig variabel ID]]&lt;&gt;LineærRegression_Valg[[#This Row],[Uafhængig variabel ID]]</f>
        <v>1</v>
      </c>
      <c r="E1722" s="171" t="b">
        <f>LineærRegression_Valg[[#This Row],[Afhængig variabel ID]]&lt;=$B$5</f>
        <v>0</v>
      </c>
      <c r="F1722" t="str" cm="1">
        <f t="array" ref="F1722">IF(LineærRegression_Valg[[#This Row],[Indenfor range]],INDEX(DataTitel_liste,LineærRegression_Valg[[#This Row],[Afhængig variabel ID]]),INDEX(DataTitel_liste,1))</f>
        <v>Eksempel 1 (interval)</v>
      </c>
      <c r="G1722" s="171" t="str" cm="1">
        <f t="array" ref="G1722">IF(LineærRegression_Valg[[#This Row],[Indenfor range]],IF(LineærRegression_Valg[[#This Row],[Intet overlap]],INDEX(DataTitel_liste,LineærRegression_Valg[[#This Row],[Uafhængig variabel ID]]),INDEX(DataTitel_liste,IF(LineærRegression_Valg[[#This Row],[Afhængig variabel ID]]=1,2,1))),$B$7)</f>
        <v>Eksempel 2 (interval)</v>
      </c>
      <c r="H1722" s="171">
        <f>_xlfn.AGGREGATE(2,5,LineærRegression_Valg[[#This Row],[Tabel ID]])</f>
        <v>1</v>
      </c>
    </row>
    <row r="1723" spans="1:8" x14ac:dyDescent="0.2">
      <c r="A1723">
        <f>ROW(LineærRegression_Valg[[#This Row],[Tabel ID]])-ROW(LineærRegression_Valg[[#Headers],[Tabel ID]])</f>
        <v>1713</v>
      </c>
      <c r="B1723" s="171">
        <f>ROUNDDOWN((LineærRegression_Valg[[#This Row],[Tabel ID]]-1)/$B$5,0)+1</f>
        <v>429</v>
      </c>
      <c r="C1723" s="171">
        <f t="shared" si="26"/>
        <v>1</v>
      </c>
      <c r="D1723" s="171" t="b">
        <f>LineærRegression_Valg[[#This Row],[Afhængig variabel ID]]&lt;&gt;LineærRegression_Valg[[#This Row],[Uafhængig variabel ID]]</f>
        <v>1</v>
      </c>
      <c r="E1723" s="171" t="b">
        <f>LineærRegression_Valg[[#This Row],[Afhængig variabel ID]]&lt;=$B$5</f>
        <v>0</v>
      </c>
      <c r="F1723" t="str" cm="1">
        <f t="array" ref="F1723">IF(LineærRegression_Valg[[#This Row],[Indenfor range]],INDEX(DataTitel_liste,LineærRegression_Valg[[#This Row],[Afhængig variabel ID]]),INDEX(DataTitel_liste,1))</f>
        <v>Eksempel 1 (interval)</v>
      </c>
      <c r="G1723" s="171" t="str" cm="1">
        <f t="array" ref="G1723">IF(LineærRegression_Valg[[#This Row],[Indenfor range]],IF(LineærRegression_Valg[[#This Row],[Intet overlap]],INDEX(DataTitel_liste,LineærRegression_Valg[[#This Row],[Uafhængig variabel ID]]),INDEX(DataTitel_liste,IF(LineærRegression_Valg[[#This Row],[Afhængig variabel ID]]=1,2,1))),$B$7)</f>
        <v>Eksempel 2 (interval)</v>
      </c>
      <c r="H1723" s="171">
        <f>_xlfn.AGGREGATE(2,5,LineærRegression_Valg[[#This Row],[Tabel ID]])</f>
        <v>1</v>
      </c>
    </row>
    <row r="1724" spans="1:8" x14ac:dyDescent="0.2">
      <c r="A1724">
        <f>ROW(LineærRegression_Valg[[#This Row],[Tabel ID]])-ROW(LineærRegression_Valg[[#Headers],[Tabel ID]])</f>
        <v>1714</v>
      </c>
      <c r="B1724" s="171">
        <f>ROUNDDOWN((LineærRegression_Valg[[#This Row],[Tabel ID]]-1)/$B$5,0)+1</f>
        <v>429</v>
      </c>
      <c r="C1724" s="171">
        <f t="shared" si="26"/>
        <v>2</v>
      </c>
      <c r="D1724" s="171" t="b">
        <f>LineærRegression_Valg[[#This Row],[Afhængig variabel ID]]&lt;&gt;LineærRegression_Valg[[#This Row],[Uafhængig variabel ID]]</f>
        <v>1</v>
      </c>
      <c r="E1724" s="171" t="b">
        <f>LineærRegression_Valg[[#This Row],[Afhængig variabel ID]]&lt;=$B$5</f>
        <v>0</v>
      </c>
      <c r="F1724" t="str" cm="1">
        <f t="array" ref="F1724">IF(LineærRegression_Valg[[#This Row],[Indenfor range]],INDEX(DataTitel_liste,LineærRegression_Valg[[#This Row],[Afhængig variabel ID]]),INDEX(DataTitel_liste,1))</f>
        <v>Eksempel 1 (interval)</v>
      </c>
      <c r="G1724" s="171" t="str" cm="1">
        <f t="array" ref="G1724">IF(LineærRegression_Valg[[#This Row],[Indenfor range]],IF(LineærRegression_Valg[[#This Row],[Intet overlap]],INDEX(DataTitel_liste,LineærRegression_Valg[[#This Row],[Uafhængig variabel ID]]),INDEX(DataTitel_liste,IF(LineærRegression_Valg[[#This Row],[Afhængig variabel ID]]=1,2,1))),$B$7)</f>
        <v>Eksempel 2 (interval)</v>
      </c>
      <c r="H1724" s="171">
        <f>_xlfn.AGGREGATE(2,5,LineærRegression_Valg[[#This Row],[Tabel ID]])</f>
        <v>1</v>
      </c>
    </row>
    <row r="1725" spans="1:8" x14ac:dyDescent="0.2">
      <c r="A1725">
        <f>ROW(LineærRegression_Valg[[#This Row],[Tabel ID]])-ROW(LineærRegression_Valg[[#Headers],[Tabel ID]])</f>
        <v>1715</v>
      </c>
      <c r="B1725" s="171">
        <f>ROUNDDOWN((LineærRegression_Valg[[#This Row],[Tabel ID]]-1)/$B$5,0)+1</f>
        <v>429</v>
      </c>
      <c r="C1725" s="171">
        <f t="shared" si="26"/>
        <v>3</v>
      </c>
      <c r="D1725" s="171" t="b">
        <f>LineærRegression_Valg[[#This Row],[Afhængig variabel ID]]&lt;&gt;LineærRegression_Valg[[#This Row],[Uafhængig variabel ID]]</f>
        <v>1</v>
      </c>
      <c r="E1725" s="171" t="b">
        <f>LineærRegression_Valg[[#This Row],[Afhængig variabel ID]]&lt;=$B$5</f>
        <v>0</v>
      </c>
      <c r="F1725" t="str" cm="1">
        <f t="array" ref="F1725">IF(LineærRegression_Valg[[#This Row],[Indenfor range]],INDEX(DataTitel_liste,LineærRegression_Valg[[#This Row],[Afhængig variabel ID]]),INDEX(DataTitel_liste,1))</f>
        <v>Eksempel 1 (interval)</v>
      </c>
      <c r="G1725" s="171" t="str" cm="1">
        <f t="array" ref="G1725">IF(LineærRegression_Valg[[#This Row],[Indenfor range]],IF(LineærRegression_Valg[[#This Row],[Intet overlap]],INDEX(DataTitel_liste,LineærRegression_Valg[[#This Row],[Uafhængig variabel ID]]),INDEX(DataTitel_liste,IF(LineærRegression_Valg[[#This Row],[Afhængig variabel ID]]=1,2,1))),$B$7)</f>
        <v>Eksempel 2 (interval)</v>
      </c>
      <c r="H1725" s="171">
        <f>_xlfn.AGGREGATE(2,5,LineærRegression_Valg[[#This Row],[Tabel ID]])</f>
        <v>1</v>
      </c>
    </row>
    <row r="1726" spans="1:8" x14ac:dyDescent="0.2">
      <c r="A1726">
        <f>ROW(LineærRegression_Valg[[#This Row],[Tabel ID]])-ROW(LineærRegression_Valg[[#Headers],[Tabel ID]])</f>
        <v>1716</v>
      </c>
      <c r="B1726" s="171">
        <f>ROUNDDOWN((LineærRegression_Valg[[#This Row],[Tabel ID]]-1)/$B$5,0)+1</f>
        <v>429</v>
      </c>
      <c r="C1726" s="171">
        <f t="shared" si="26"/>
        <v>4</v>
      </c>
      <c r="D1726" s="171" t="b">
        <f>LineærRegression_Valg[[#This Row],[Afhængig variabel ID]]&lt;&gt;LineærRegression_Valg[[#This Row],[Uafhængig variabel ID]]</f>
        <v>1</v>
      </c>
      <c r="E1726" s="171" t="b">
        <f>LineærRegression_Valg[[#This Row],[Afhængig variabel ID]]&lt;=$B$5</f>
        <v>0</v>
      </c>
      <c r="F1726" t="str" cm="1">
        <f t="array" ref="F1726">IF(LineærRegression_Valg[[#This Row],[Indenfor range]],INDEX(DataTitel_liste,LineærRegression_Valg[[#This Row],[Afhængig variabel ID]]),INDEX(DataTitel_liste,1))</f>
        <v>Eksempel 1 (interval)</v>
      </c>
      <c r="G1726" s="171" t="str" cm="1">
        <f t="array" ref="G1726">IF(LineærRegression_Valg[[#This Row],[Indenfor range]],IF(LineærRegression_Valg[[#This Row],[Intet overlap]],INDEX(DataTitel_liste,LineærRegression_Valg[[#This Row],[Uafhængig variabel ID]]),INDEX(DataTitel_liste,IF(LineærRegression_Valg[[#This Row],[Afhængig variabel ID]]=1,2,1))),$B$7)</f>
        <v>Eksempel 2 (interval)</v>
      </c>
      <c r="H1726" s="171">
        <f>_xlfn.AGGREGATE(2,5,LineærRegression_Valg[[#This Row],[Tabel ID]])</f>
        <v>1</v>
      </c>
    </row>
    <row r="1727" spans="1:8" x14ac:dyDescent="0.2">
      <c r="A1727">
        <f>ROW(LineærRegression_Valg[[#This Row],[Tabel ID]])-ROW(LineærRegression_Valg[[#Headers],[Tabel ID]])</f>
        <v>1717</v>
      </c>
      <c r="B1727" s="171">
        <f>ROUNDDOWN((LineærRegression_Valg[[#This Row],[Tabel ID]]-1)/$B$5,0)+1</f>
        <v>430</v>
      </c>
      <c r="C1727" s="171">
        <f t="shared" si="26"/>
        <v>1</v>
      </c>
      <c r="D1727" s="171" t="b">
        <f>LineærRegression_Valg[[#This Row],[Afhængig variabel ID]]&lt;&gt;LineærRegression_Valg[[#This Row],[Uafhængig variabel ID]]</f>
        <v>1</v>
      </c>
      <c r="E1727" s="171" t="b">
        <f>LineærRegression_Valg[[#This Row],[Afhængig variabel ID]]&lt;=$B$5</f>
        <v>0</v>
      </c>
      <c r="F1727" t="str" cm="1">
        <f t="array" ref="F1727">IF(LineærRegression_Valg[[#This Row],[Indenfor range]],INDEX(DataTitel_liste,LineærRegression_Valg[[#This Row],[Afhængig variabel ID]]),INDEX(DataTitel_liste,1))</f>
        <v>Eksempel 1 (interval)</v>
      </c>
      <c r="G1727" s="171" t="str" cm="1">
        <f t="array" ref="G1727">IF(LineærRegression_Valg[[#This Row],[Indenfor range]],IF(LineærRegression_Valg[[#This Row],[Intet overlap]],INDEX(DataTitel_liste,LineærRegression_Valg[[#This Row],[Uafhængig variabel ID]]),INDEX(DataTitel_liste,IF(LineærRegression_Valg[[#This Row],[Afhængig variabel ID]]=1,2,1))),$B$7)</f>
        <v>Eksempel 2 (interval)</v>
      </c>
      <c r="H1727" s="171">
        <f>_xlfn.AGGREGATE(2,5,LineærRegression_Valg[[#This Row],[Tabel ID]])</f>
        <v>1</v>
      </c>
    </row>
    <row r="1728" spans="1:8" x14ac:dyDescent="0.2">
      <c r="A1728">
        <f>ROW(LineærRegression_Valg[[#This Row],[Tabel ID]])-ROW(LineærRegression_Valg[[#Headers],[Tabel ID]])</f>
        <v>1718</v>
      </c>
      <c r="B1728" s="171">
        <f>ROUNDDOWN((LineærRegression_Valg[[#This Row],[Tabel ID]]-1)/$B$5,0)+1</f>
        <v>430</v>
      </c>
      <c r="C1728" s="171">
        <f t="shared" si="26"/>
        <v>2</v>
      </c>
      <c r="D1728" s="171" t="b">
        <f>LineærRegression_Valg[[#This Row],[Afhængig variabel ID]]&lt;&gt;LineærRegression_Valg[[#This Row],[Uafhængig variabel ID]]</f>
        <v>1</v>
      </c>
      <c r="E1728" s="171" t="b">
        <f>LineærRegression_Valg[[#This Row],[Afhængig variabel ID]]&lt;=$B$5</f>
        <v>0</v>
      </c>
      <c r="F1728" t="str" cm="1">
        <f t="array" ref="F1728">IF(LineærRegression_Valg[[#This Row],[Indenfor range]],INDEX(DataTitel_liste,LineærRegression_Valg[[#This Row],[Afhængig variabel ID]]),INDEX(DataTitel_liste,1))</f>
        <v>Eksempel 1 (interval)</v>
      </c>
      <c r="G1728" s="171" t="str" cm="1">
        <f t="array" ref="G1728">IF(LineærRegression_Valg[[#This Row],[Indenfor range]],IF(LineærRegression_Valg[[#This Row],[Intet overlap]],INDEX(DataTitel_liste,LineærRegression_Valg[[#This Row],[Uafhængig variabel ID]]),INDEX(DataTitel_liste,IF(LineærRegression_Valg[[#This Row],[Afhængig variabel ID]]=1,2,1))),$B$7)</f>
        <v>Eksempel 2 (interval)</v>
      </c>
      <c r="H1728" s="171">
        <f>_xlfn.AGGREGATE(2,5,LineærRegression_Valg[[#This Row],[Tabel ID]])</f>
        <v>1</v>
      </c>
    </row>
    <row r="1729" spans="1:8" x14ac:dyDescent="0.2">
      <c r="A1729">
        <f>ROW(LineærRegression_Valg[[#This Row],[Tabel ID]])-ROW(LineærRegression_Valg[[#Headers],[Tabel ID]])</f>
        <v>1719</v>
      </c>
      <c r="B1729" s="171">
        <f>ROUNDDOWN((LineærRegression_Valg[[#This Row],[Tabel ID]]-1)/$B$5,0)+1</f>
        <v>430</v>
      </c>
      <c r="C1729" s="171">
        <f t="shared" si="26"/>
        <v>3</v>
      </c>
      <c r="D1729" s="171" t="b">
        <f>LineærRegression_Valg[[#This Row],[Afhængig variabel ID]]&lt;&gt;LineærRegression_Valg[[#This Row],[Uafhængig variabel ID]]</f>
        <v>1</v>
      </c>
      <c r="E1729" s="171" t="b">
        <f>LineærRegression_Valg[[#This Row],[Afhængig variabel ID]]&lt;=$B$5</f>
        <v>0</v>
      </c>
      <c r="F1729" t="str" cm="1">
        <f t="array" ref="F1729">IF(LineærRegression_Valg[[#This Row],[Indenfor range]],INDEX(DataTitel_liste,LineærRegression_Valg[[#This Row],[Afhængig variabel ID]]),INDEX(DataTitel_liste,1))</f>
        <v>Eksempel 1 (interval)</v>
      </c>
      <c r="G1729" s="171" t="str" cm="1">
        <f t="array" ref="G1729">IF(LineærRegression_Valg[[#This Row],[Indenfor range]],IF(LineærRegression_Valg[[#This Row],[Intet overlap]],INDEX(DataTitel_liste,LineærRegression_Valg[[#This Row],[Uafhængig variabel ID]]),INDEX(DataTitel_liste,IF(LineærRegression_Valg[[#This Row],[Afhængig variabel ID]]=1,2,1))),$B$7)</f>
        <v>Eksempel 2 (interval)</v>
      </c>
      <c r="H1729" s="171">
        <f>_xlfn.AGGREGATE(2,5,LineærRegression_Valg[[#This Row],[Tabel ID]])</f>
        <v>1</v>
      </c>
    </row>
    <row r="1730" spans="1:8" x14ac:dyDescent="0.2">
      <c r="A1730">
        <f>ROW(LineærRegression_Valg[[#This Row],[Tabel ID]])-ROW(LineærRegression_Valg[[#Headers],[Tabel ID]])</f>
        <v>1720</v>
      </c>
      <c r="B1730" s="171">
        <f>ROUNDDOWN((LineærRegression_Valg[[#This Row],[Tabel ID]]-1)/$B$5,0)+1</f>
        <v>430</v>
      </c>
      <c r="C1730" s="171">
        <f t="shared" si="26"/>
        <v>4</v>
      </c>
      <c r="D1730" s="171" t="b">
        <f>LineærRegression_Valg[[#This Row],[Afhængig variabel ID]]&lt;&gt;LineærRegression_Valg[[#This Row],[Uafhængig variabel ID]]</f>
        <v>1</v>
      </c>
      <c r="E1730" s="171" t="b">
        <f>LineærRegression_Valg[[#This Row],[Afhængig variabel ID]]&lt;=$B$5</f>
        <v>0</v>
      </c>
      <c r="F1730" t="str" cm="1">
        <f t="array" ref="F1730">IF(LineærRegression_Valg[[#This Row],[Indenfor range]],INDEX(DataTitel_liste,LineærRegression_Valg[[#This Row],[Afhængig variabel ID]]),INDEX(DataTitel_liste,1))</f>
        <v>Eksempel 1 (interval)</v>
      </c>
      <c r="G1730" s="171" t="str" cm="1">
        <f t="array" ref="G1730">IF(LineærRegression_Valg[[#This Row],[Indenfor range]],IF(LineærRegression_Valg[[#This Row],[Intet overlap]],INDEX(DataTitel_liste,LineærRegression_Valg[[#This Row],[Uafhængig variabel ID]]),INDEX(DataTitel_liste,IF(LineærRegression_Valg[[#This Row],[Afhængig variabel ID]]=1,2,1))),$B$7)</f>
        <v>Eksempel 2 (interval)</v>
      </c>
      <c r="H1730" s="171">
        <f>_xlfn.AGGREGATE(2,5,LineærRegression_Valg[[#This Row],[Tabel ID]])</f>
        <v>1</v>
      </c>
    </row>
    <row r="1731" spans="1:8" x14ac:dyDescent="0.2">
      <c r="A1731">
        <f>ROW(LineærRegression_Valg[[#This Row],[Tabel ID]])-ROW(LineærRegression_Valg[[#Headers],[Tabel ID]])</f>
        <v>1721</v>
      </c>
      <c r="B1731" s="171">
        <f>ROUNDDOWN((LineærRegression_Valg[[#This Row],[Tabel ID]]-1)/$B$5,0)+1</f>
        <v>431</v>
      </c>
      <c r="C1731" s="171">
        <f t="shared" si="26"/>
        <v>1</v>
      </c>
      <c r="D1731" s="171" t="b">
        <f>LineærRegression_Valg[[#This Row],[Afhængig variabel ID]]&lt;&gt;LineærRegression_Valg[[#This Row],[Uafhængig variabel ID]]</f>
        <v>1</v>
      </c>
      <c r="E1731" s="171" t="b">
        <f>LineærRegression_Valg[[#This Row],[Afhængig variabel ID]]&lt;=$B$5</f>
        <v>0</v>
      </c>
      <c r="F1731" t="str" cm="1">
        <f t="array" ref="F1731">IF(LineærRegression_Valg[[#This Row],[Indenfor range]],INDEX(DataTitel_liste,LineærRegression_Valg[[#This Row],[Afhængig variabel ID]]),INDEX(DataTitel_liste,1))</f>
        <v>Eksempel 1 (interval)</v>
      </c>
      <c r="G1731" s="171" t="str" cm="1">
        <f t="array" ref="G1731">IF(LineærRegression_Valg[[#This Row],[Indenfor range]],IF(LineærRegression_Valg[[#This Row],[Intet overlap]],INDEX(DataTitel_liste,LineærRegression_Valg[[#This Row],[Uafhængig variabel ID]]),INDEX(DataTitel_liste,IF(LineærRegression_Valg[[#This Row],[Afhængig variabel ID]]=1,2,1))),$B$7)</f>
        <v>Eksempel 2 (interval)</v>
      </c>
      <c r="H1731" s="171">
        <f>_xlfn.AGGREGATE(2,5,LineærRegression_Valg[[#This Row],[Tabel ID]])</f>
        <v>1</v>
      </c>
    </row>
    <row r="1732" spans="1:8" x14ac:dyDescent="0.2">
      <c r="A1732">
        <f>ROW(LineærRegression_Valg[[#This Row],[Tabel ID]])-ROW(LineærRegression_Valg[[#Headers],[Tabel ID]])</f>
        <v>1722</v>
      </c>
      <c r="B1732" s="171">
        <f>ROUNDDOWN((LineærRegression_Valg[[#This Row],[Tabel ID]]-1)/$B$5,0)+1</f>
        <v>431</v>
      </c>
      <c r="C1732" s="171">
        <f t="shared" si="26"/>
        <v>2</v>
      </c>
      <c r="D1732" s="171" t="b">
        <f>LineærRegression_Valg[[#This Row],[Afhængig variabel ID]]&lt;&gt;LineærRegression_Valg[[#This Row],[Uafhængig variabel ID]]</f>
        <v>1</v>
      </c>
      <c r="E1732" s="171" t="b">
        <f>LineærRegression_Valg[[#This Row],[Afhængig variabel ID]]&lt;=$B$5</f>
        <v>0</v>
      </c>
      <c r="F1732" t="str" cm="1">
        <f t="array" ref="F1732">IF(LineærRegression_Valg[[#This Row],[Indenfor range]],INDEX(DataTitel_liste,LineærRegression_Valg[[#This Row],[Afhængig variabel ID]]),INDEX(DataTitel_liste,1))</f>
        <v>Eksempel 1 (interval)</v>
      </c>
      <c r="G1732" s="171" t="str" cm="1">
        <f t="array" ref="G1732">IF(LineærRegression_Valg[[#This Row],[Indenfor range]],IF(LineærRegression_Valg[[#This Row],[Intet overlap]],INDEX(DataTitel_liste,LineærRegression_Valg[[#This Row],[Uafhængig variabel ID]]),INDEX(DataTitel_liste,IF(LineærRegression_Valg[[#This Row],[Afhængig variabel ID]]=1,2,1))),$B$7)</f>
        <v>Eksempel 2 (interval)</v>
      </c>
      <c r="H1732" s="171">
        <f>_xlfn.AGGREGATE(2,5,LineærRegression_Valg[[#This Row],[Tabel ID]])</f>
        <v>1</v>
      </c>
    </row>
    <row r="1733" spans="1:8" x14ac:dyDescent="0.2">
      <c r="A1733">
        <f>ROW(LineærRegression_Valg[[#This Row],[Tabel ID]])-ROW(LineærRegression_Valg[[#Headers],[Tabel ID]])</f>
        <v>1723</v>
      </c>
      <c r="B1733" s="171">
        <f>ROUNDDOWN((LineærRegression_Valg[[#This Row],[Tabel ID]]-1)/$B$5,0)+1</f>
        <v>431</v>
      </c>
      <c r="C1733" s="171">
        <f t="shared" si="26"/>
        <v>3</v>
      </c>
      <c r="D1733" s="171" t="b">
        <f>LineærRegression_Valg[[#This Row],[Afhængig variabel ID]]&lt;&gt;LineærRegression_Valg[[#This Row],[Uafhængig variabel ID]]</f>
        <v>1</v>
      </c>
      <c r="E1733" s="171" t="b">
        <f>LineærRegression_Valg[[#This Row],[Afhængig variabel ID]]&lt;=$B$5</f>
        <v>0</v>
      </c>
      <c r="F1733" t="str" cm="1">
        <f t="array" ref="F1733">IF(LineærRegression_Valg[[#This Row],[Indenfor range]],INDEX(DataTitel_liste,LineærRegression_Valg[[#This Row],[Afhængig variabel ID]]),INDEX(DataTitel_liste,1))</f>
        <v>Eksempel 1 (interval)</v>
      </c>
      <c r="G1733" s="171" t="str" cm="1">
        <f t="array" ref="G1733">IF(LineærRegression_Valg[[#This Row],[Indenfor range]],IF(LineærRegression_Valg[[#This Row],[Intet overlap]],INDEX(DataTitel_liste,LineærRegression_Valg[[#This Row],[Uafhængig variabel ID]]),INDEX(DataTitel_liste,IF(LineærRegression_Valg[[#This Row],[Afhængig variabel ID]]=1,2,1))),$B$7)</f>
        <v>Eksempel 2 (interval)</v>
      </c>
      <c r="H1733" s="171">
        <f>_xlfn.AGGREGATE(2,5,LineærRegression_Valg[[#This Row],[Tabel ID]])</f>
        <v>1</v>
      </c>
    </row>
    <row r="1734" spans="1:8" x14ac:dyDescent="0.2">
      <c r="A1734">
        <f>ROW(LineærRegression_Valg[[#This Row],[Tabel ID]])-ROW(LineærRegression_Valg[[#Headers],[Tabel ID]])</f>
        <v>1724</v>
      </c>
      <c r="B1734" s="171">
        <f>ROUNDDOWN((LineærRegression_Valg[[#This Row],[Tabel ID]]-1)/$B$5,0)+1</f>
        <v>431</v>
      </c>
      <c r="C1734" s="171">
        <f t="shared" si="26"/>
        <v>4</v>
      </c>
      <c r="D1734" s="171" t="b">
        <f>LineærRegression_Valg[[#This Row],[Afhængig variabel ID]]&lt;&gt;LineærRegression_Valg[[#This Row],[Uafhængig variabel ID]]</f>
        <v>1</v>
      </c>
      <c r="E1734" s="171" t="b">
        <f>LineærRegression_Valg[[#This Row],[Afhængig variabel ID]]&lt;=$B$5</f>
        <v>0</v>
      </c>
      <c r="F1734" t="str" cm="1">
        <f t="array" ref="F1734">IF(LineærRegression_Valg[[#This Row],[Indenfor range]],INDEX(DataTitel_liste,LineærRegression_Valg[[#This Row],[Afhængig variabel ID]]),INDEX(DataTitel_liste,1))</f>
        <v>Eksempel 1 (interval)</v>
      </c>
      <c r="G1734" s="171" t="str" cm="1">
        <f t="array" ref="G1734">IF(LineærRegression_Valg[[#This Row],[Indenfor range]],IF(LineærRegression_Valg[[#This Row],[Intet overlap]],INDEX(DataTitel_liste,LineærRegression_Valg[[#This Row],[Uafhængig variabel ID]]),INDEX(DataTitel_liste,IF(LineærRegression_Valg[[#This Row],[Afhængig variabel ID]]=1,2,1))),$B$7)</f>
        <v>Eksempel 2 (interval)</v>
      </c>
      <c r="H1734" s="171">
        <f>_xlfn.AGGREGATE(2,5,LineærRegression_Valg[[#This Row],[Tabel ID]])</f>
        <v>1</v>
      </c>
    </row>
    <row r="1735" spans="1:8" x14ac:dyDescent="0.2">
      <c r="A1735">
        <f>ROW(LineærRegression_Valg[[#This Row],[Tabel ID]])-ROW(LineærRegression_Valg[[#Headers],[Tabel ID]])</f>
        <v>1725</v>
      </c>
      <c r="B1735" s="171">
        <f>ROUNDDOWN((LineærRegression_Valg[[#This Row],[Tabel ID]]-1)/$B$5,0)+1</f>
        <v>432</v>
      </c>
      <c r="C1735" s="171">
        <f t="shared" si="26"/>
        <v>1</v>
      </c>
      <c r="D1735" s="171" t="b">
        <f>LineærRegression_Valg[[#This Row],[Afhængig variabel ID]]&lt;&gt;LineærRegression_Valg[[#This Row],[Uafhængig variabel ID]]</f>
        <v>1</v>
      </c>
      <c r="E1735" s="171" t="b">
        <f>LineærRegression_Valg[[#This Row],[Afhængig variabel ID]]&lt;=$B$5</f>
        <v>0</v>
      </c>
      <c r="F1735" t="str" cm="1">
        <f t="array" ref="F1735">IF(LineærRegression_Valg[[#This Row],[Indenfor range]],INDEX(DataTitel_liste,LineærRegression_Valg[[#This Row],[Afhængig variabel ID]]),INDEX(DataTitel_liste,1))</f>
        <v>Eksempel 1 (interval)</v>
      </c>
      <c r="G1735" s="171" t="str" cm="1">
        <f t="array" ref="G1735">IF(LineærRegression_Valg[[#This Row],[Indenfor range]],IF(LineærRegression_Valg[[#This Row],[Intet overlap]],INDEX(DataTitel_liste,LineærRegression_Valg[[#This Row],[Uafhængig variabel ID]]),INDEX(DataTitel_liste,IF(LineærRegression_Valg[[#This Row],[Afhængig variabel ID]]=1,2,1))),$B$7)</f>
        <v>Eksempel 2 (interval)</v>
      </c>
      <c r="H1735" s="171">
        <f>_xlfn.AGGREGATE(2,5,LineærRegression_Valg[[#This Row],[Tabel ID]])</f>
        <v>1</v>
      </c>
    </row>
    <row r="1736" spans="1:8" x14ac:dyDescent="0.2">
      <c r="A1736">
        <f>ROW(LineærRegression_Valg[[#This Row],[Tabel ID]])-ROW(LineærRegression_Valg[[#Headers],[Tabel ID]])</f>
        <v>1726</v>
      </c>
      <c r="B1736" s="171">
        <f>ROUNDDOWN((LineærRegression_Valg[[#This Row],[Tabel ID]]-1)/$B$5,0)+1</f>
        <v>432</v>
      </c>
      <c r="C1736" s="171">
        <f t="shared" si="26"/>
        <v>2</v>
      </c>
      <c r="D1736" s="171" t="b">
        <f>LineærRegression_Valg[[#This Row],[Afhængig variabel ID]]&lt;&gt;LineærRegression_Valg[[#This Row],[Uafhængig variabel ID]]</f>
        <v>1</v>
      </c>
      <c r="E1736" s="171" t="b">
        <f>LineærRegression_Valg[[#This Row],[Afhængig variabel ID]]&lt;=$B$5</f>
        <v>0</v>
      </c>
      <c r="F1736" t="str" cm="1">
        <f t="array" ref="F1736">IF(LineærRegression_Valg[[#This Row],[Indenfor range]],INDEX(DataTitel_liste,LineærRegression_Valg[[#This Row],[Afhængig variabel ID]]),INDEX(DataTitel_liste,1))</f>
        <v>Eksempel 1 (interval)</v>
      </c>
      <c r="G1736" s="171" t="str" cm="1">
        <f t="array" ref="G1736">IF(LineærRegression_Valg[[#This Row],[Indenfor range]],IF(LineærRegression_Valg[[#This Row],[Intet overlap]],INDEX(DataTitel_liste,LineærRegression_Valg[[#This Row],[Uafhængig variabel ID]]),INDEX(DataTitel_liste,IF(LineærRegression_Valg[[#This Row],[Afhængig variabel ID]]=1,2,1))),$B$7)</f>
        <v>Eksempel 2 (interval)</v>
      </c>
      <c r="H1736" s="171">
        <f>_xlfn.AGGREGATE(2,5,LineærRegression_Valg[[#This Row],[Tabel ID]])</f>
        <v>1</v>
      </c>
    </row>
    <row r="1737" spans="1:8" x14ac:dyDescent="0.2">
      <c r="A1737">
        <f>ROW(LineærRegression_Valg[[#This Row],[Tabel ID]])-ROW(LineærRegression_Valg[[#Headers],[Tabel ID]])</f>
        <v>1727</v>
      </c>
      <c r="B1737" s="171">
        <f>ROUNDDOWN((LineærRegression_Valg[[#This Row],[Tabel ID]]-1)/$B$5,0)+1</f>
        <v>432</v>
      </c>
      <c r="C1737" s="171">
        <f t="shared" si="26"/>
        <v>3</v>
      </c>
      <c r="D1737" s="171" t="b">
        <f>LineærRegression_Valg[[#This Row],[Afhængig variabel ID]]&lt;&gt;LineærRegression_Valg[[#This Row],[Uafhængig variabel ID]]</f>
        <v>1</v>
      </c>
      <c r="E1737" s="171" t="b">
        <f>LineærRegression_Valg[[#This Row],[Afhængig variabel ID]]&lt;=$B$5</f>
        <v>0</v>
      </c>
      <c r="F1737" t="str" cm="1">
        <f t="array" ref="F1737">IF(LineærRegression_Valg[[#This Row],[Indenfor range]],INDEX(DataTitel_liste,LineærRegression_Valg[[#This Row],[Afhængig variabel ID]]),INDEX(DataTitel_liste,1))</f>
        <v>Eksempel 1 (interval)</v>
      </c>
      <c r="G1737" s="171" t="str" cm="1">
        <f t="array" ref="G1737">IF(LineærRegression_Valg[[#This Row],[Indenfor range]],IF(LineærRegression_Valg[[#This Row],[Intet overlap]],INDEX(DataTitel_liste,LineærRegression_Valg[[#This Row],[Uafhængig variabel ID]]),INDEX(DataTitel_liste,IF(LineærRegression_Valg[[#This Row],[Afhængig variabel ID]]=1,2,1))),$B$7)</f>
        <v>Eksempel 2 (interval)</v>
      </c>
      <c r="H1737" s="171">
        <f>_xlfn.AGGREGATE(2,5,LineærRegression_Valg[[#This Row],[Tabel ID]])</f>
        <v>1</v>
      </c>
    </row>
    <row r="1738" spans="1:8" x14ac:dyDescent="0.2">
      <c r="A1738">
        <f>ROW(LineærRegression_Valg[[#This Row],[Tabel ID]])-ROW(LineærRegression_Valg[[#Headers],[Tabel ID]])</f>
        <v>1728</v>
      </c>
      <c r="B1738" s="171">
        <f>ROUNDDOWN((LineærRegression_Valg[[#This Row],[Tabel ID]]-1)/$B$5,0)+1</f>
        <v>432</v>
      </c>
      <c r="C1738" s="171">
        <f t="shared" si="26"/>
        <v>4</v>
      </c>
      <c r="D1738" s="171" t="b">
        <f>LineærRegression_Valg[[#This Row],[Afhængig variabel ID]]&lt;&gt;LineærRegression_Valg[[#This Row],[Uafhængig variabel ID]]</f>
        <v>1</v>
      </c>
      <c r="E1738" s="171" t="b">
        <f>LineærRegression_Valg[[#This Row],[Afhængig variabel ID]]&lt;=$B$5</f>
        <v>0</v>
      </c>
      <c r="F1738" t="str" cm="1">
        <f t="array" ref="F1738">IF(LineærRegression_Valg[[#This Row],[Indenfor range]],INDEX(DataTitel_liste,LineærRegression_Valg[[#This Row],[Afhængig variabel ID]]),INDEX(DataTitel_liste,1))</f>
        <v>Eksempel 1 (interval)</v>
      </c>
      <c r="G1738" s="171" t="str" cm="1">
        <f t="array" ref="G1738">IF(LineærRegression_Valg[[#This Row],[Indenfor range]],IF(LineærRegression_Valg[[#This Row],[Intet overlap]],INDEX(DataTitel_liste,LineærRegression_Valg[[#This Row],[Uafhængig variabel ID]]),INDEX(DataTitel_liste,IF(LineærRegression_Valg[[#This Row],[Afhængig variabel ID]]=1,2,1))),$B$7)</f>
        <v>Eksempel 2 (interval)</v>
      </c>
      <c r="H1738" s="171">
        <f>_xlfn.AGGREGATE(2,5,LineærRegression_Valg[[#This Row],[Tabel ID]])</f>
        <v>1</v>
      </c>
    </row>
    <row r="1739" spans="1:8" x14ac:dyDescent="0.2">
      <c r="A1739">
        <f>ROW(LineærRegression_Valg[[#This Row],[Tabel ID]])-ROW(LineærRegression_Valg[[#Headers],[Tabel ID]])</f>
        <v>1729</v>
      </c>
      <c r="B1739" s="171">
        <f>ROUNDDOWN((LineærRegression_Valg[[#This Row],[Tabel ID]]-1)/$B$5,0)+1</f>
        <v>433</v>
      </c>
      <c r="C1739" s="171">
        <f t="shared" ref="C1739:C1802" si="27">MOD(A1739-1,$B$5)+1</f>
        <v>1</v>
      </c>
      <c r="D1739" s="171" t="b">
        <f>LineærRegression_Valg[[#This Row],[Afhængig variabel ID]]&lt;&gt;LineærRegression_Valg[[#This Row],[Uafhængig variabel ID]]</f>
        <v>1</v>
      </c>
      <c r="E1739" s="171" t="b">
        <f>LineærRegression_Valg[[#This Row],[Afhængig variabel ID]]&lt;=$B$5</f>
        <v>0</v>
      </c>
      <c r="F1739" t="str" cm="1">
        <f t="array" ref="F1739">IF(LineærRegression_Valg[[#This Row],[Indenfor range]],INDEX(DataTitel_liste,LineærRegression_Valg[[#This Row],[Afhængig variabel ID]]),INDEX(DataTitel_liste,1))</f>
        <v>Eksempel 1 (interval)</v>
      </c>
      <c r="G1739" s="171" t="str" cm="1">
        <f t="array" ref="G1739">IF(LineærRegression_Valg[[#This Row],[Indenfor range]],IF(LineærRegression_Valg[[#This Row],[Intet overlap]],INDEX(DataTitel_liste,LineærRegression_Valg[[#This Row],[Uafhængig variabel ID]]),INDEX(DataTitel_liste,IF(LineærRegression_Valg[[#This Row],[Afhængig variabel ID]]=1,2,1))),$B$7)</f>
        <v>Eksempel 2 (interval)</v>
      </c>
      <c r="H1739" s="171">
        <f>_xlfn.AGGREGATE(2,5,LineærRegression_Valg[[#This Row],[Tabel ID]])</f>
        <v>1</v>
      </c>
    </row>
    <row r="1740" spans="1:8" x14ac:dyDescent="0.2">
      <c r="A1740">
        <f>ROW(LineærRegression_Valg[[#This Row],[Tabel ID]])-ROW(LineærRegression_Valg[[#Headers],[Tabel ID]])</f>
        <v>1730</v>
      </c>
      <c r="B1740" s="171">
        <f>ROUNDDOWN((LineærRegression_Valg[[#This Row],[Tabel ID]]-1)/$B$5,0)+1</f>
        <v>433</v>
      </c>
      <c r="C1740" s="171">
        <f t="shared" si="27"/>
        <v>2</v>
      </c>
      <c r="D1740" s="171" t="b">
        <f>LineærRegression_Valg[[#This Row],[Afhængig variabel ID]]&lt;&gt;LineærRegression_Valg[[#This Row],[Uafhængig variabel ID]]</f>
        <v>1</v>
      </c>
      <c r="E1740" s="171" t="b">
        <f>LineærRegression_Valg[[#This Row],[Afhængig variabel ID]]&lt;=$B$5</f>
        <v>0</v>
      </c>
      <c r="F1740" t="str" cm="1">
        <f t="array" ref="F1740">IF(LineærRegression_Valg[[#This Row],[Indenfor range]],INDEX(DataTitel_liste,LineærRegression_Valg[[#This Row],[Afhængig variabel ID]]),INDEX(DataTitel_liste,1))</f>
        <v>Eksempel 1 (interval)</v>
      </c>
      <c r="G1740" s="171" t="str" cm="1">
        <f t="array" ref="G1740">IF(LineærRegression_Valg[[#This Row],[Indenfor range]],IF(LineærRegression_Valg[[#This Row],[Intet overlap]],INDEX(DataTitel_liste,LineærRegression_Valg[[#This Row],[Uafhængig variabel ID]]),INDEX(DataTitel_liste,IF(LineærRegression_Valg[[#This Row],[Afhængig variabel ID]]=1,2,1))),$B$7)</f>
        <v>Eksempel 2 (interval)</v>
      </c>
      <c r="H1740" s="171">
        <f>_xlfn.AGGREGATE(2,5,LineærRegression_Valg[[#This Row],[Tabel ID]])</f>
        <v>1</v>
      </c>
    </row>
    <row r="1741" spans="1:8" x14ac:dyDescent="0.2">
      <c r="A1741">
        <f>ROW(LineærRegression_Valg[[#This Row],[Tabel ID]])-ROW(LineærRegression_Valg[[#Headers],[Tabel ID]])</f>
        <v>1731</v>
      </c>
      <c r="B1741" s="171">
        <f>ROUNDDOWN((LineærRegression_Valg[[#This Row],[Tabel ID]]-1)/$B$5,0)+1</f>
        <v>433</v>
      </c>
      <c r="C1741" s="171">
        <f t="shared" si="27"/>
        <v>3</v>
      </c>
      <c r="D1741" s="171" t="b">
        <f>LineærRegression_Valg[[#This Row],[Afhængig variabel ID]]&lt;&gt;LineærRegression_Valg[[#This Row],[Uafhængig variabel ID]]</f>
        <v>1</v>
      </c>
      <c r="E1741" s="171" t="b">
        <f>LineærRegression_Valg[[#This Row],[Afhængig variabel ID]]&lt;=$B$5</f>
        <v>0</v>
      </c>
      <c r="F1741" t="str" cm="1">
        <f t="array" ref="F1741">IF(LineærRegression_Valg[[#This Row],[Indenfor range]],INDEX(DataTitel_liste,LineærRegression_Valg[[#This Row],[Afhængig variabel ID]]),INDEX(DataTitel_liste,1))</f>
        <v>Eksempel 1 (interval)</v>
      </c>
      <c r="G1741" s="171" t="str" cm="1">
        <f t="array" ref="G1741">IF(LineærRegression_Valg[[#This Row],[Indenfor range]],IF(LineærRegression_Valg[[#This Row],[Intet overlap]],INDEX(DataTitel_liste,LineærRegression_Valg[[#This Row],[Uafhængig variabel ID]]),INDEX(DataTitel_liste,IF(LineærRegression_Valg[[#This Row],[Afhængig variabel ID]]=1,2,1))),$B$7)</f>
        <v>Eksempel 2 (interval)</v>
      </c>
      <c r="H1741" s="171">
        <f>_xlfn.AGGREGATE(2,5,LineærRegression_Valg[[#This Row],[Tabel ID]])</f>
        <v>1</v>
      </c>
    </row>
    <row r="1742" spans="1:8" x14ac:dyDescent="0.2">
      <c r="A1742">
        <f>ROW(LineærRegression_Valg[[#This Row],[Tabel ID]])-ROW(LineærRegression_Valg[[#Headers],[Tabel ID]])</f>
        <v>1732</v>
      </c>
      <c r="B1742" s="171">
        <f>ROUNDDOWN((LineærRegression_Valg[[#This Row],[Tabel ID]]-1)/$B$5,0)+1</f>
        <v>433</v>
      </c>
      <c r="C1742" s="171">
        <f t="shared" si="27"/>
        <v>4</v>
      </c>
      <c r="D1742" s="171" t="b">
        <f>LineærRegression_Valg[[#This Row],[Afhængig variabel ID]]&lt;&gt;LineærRegression_Valg[[#This Row],[Uafhængig variabel ID]]</f>
        <v>1</v>
      </c>
      <c r="E1742" s="171" t="b">
        <f>LineærRegression_Valg[[#This Row],[Afhængig variabel ID]]&lt;=$B$5</f>
        <v>0</v>
      </c>
      <c r="F1742" t="str" cm="1">
        <f t="array" ref="F1742">IF(LineærRegression_Valg[[#This Row],[Indenfor range]],INDEX(DataTitel_liste,LineærRegression_Valg[[#This Row],[Afhængig variabel ID]]),INDEX(DataTitel_liste,1))</f>
        <v>Eksempel 1 (interval)</v>
      </c>
      <c r="G1742" s="171" t="str" cm="1">
        <f t="array" ref="G1742">IF(LineærRegression_Valg[[#This Row],[Indenfor range]],IF(LineærRegression_Valg[[#This Row],[Intet overlap]],INDEX(DataTitel_liste,LineærRegression_Valg[[#This Row],[Uafhængig variabel ID]]),INDEX(DataTitel_liste,IF(LineærRegression_Valg[[#This Row],[Afhængig variabel ID]]=1,2,1))),$B$7)</f>
        <v>Eksempel 2 (interval)</v>
      </c>
      <c r="H1742" s="171">
        <f>_xlfn.AGGREGATE(2,5,LineærRegression_Valg[[#This Row],[Tabel ID]])</f>
        <v>1</v>
      </c>
    </row>
    <row r="1743" spans="1:8" x14ac:dyDescent="0.2">
      <c r="A1743">
        <f>ROW(LineærRegression_Valg[[#This Row],[Tabel ID]])-ROW(LineærRegression_Valg[[#Headers],[Tabel ID]])</f>
        <v>1733</v>
      </c>
      <c r="B1743" s="171">
        <f>ROUNDDOWN((LineærRegression_Valg[[#This Row],[Tabel ID]]-1)/$B$5,0)+1</f>
        <v>434</v>
      </c>
      <c r="C1743" s="171">
        <f t="shared" si="27"/>
        <v>1</v>
      </c>
      <c r="D1743" s="171" t="b">
        <f>LineærRegression_Valg[[#This Row],[Afhængig variabel ID]]&lt;&gt;LineærRegression_Valg[[#This Row],[Uafhængig variabel ID]]</f>
        <v>1</v>
      </c>
      <c r="E1743" s="171" t="b">
        <f>LineærRegression_Valg[[#This Row],[Afhængig variabel ID]]&lt;=$B$5</f>
        <v>0</v>
      </c>
      <c r="F1743" t="str" cm="1">
        <f t="array" ref="F1743">IF(LineærRegression_Valg[[#This Row],[Indenfor range]],INDEX(DataTitel_liste,LineærRegression_Valg[[#This Row],[Afhængig variabel ID]]),INDEX(DataTitel_liste,1))</f>
        <v>Eksempel 1 (interval)</v>
      </c>
      <c r="G1743" s="171" t="str" cm="1">
        <f t="array" ref="G1743">IF(LineærRegression_Valg[[#This Row],[Indenfor range]],IF(LineærRegression_Valg[[#This Row],[Intet overlap]],INDEX(DataTitel_liste,LineærRegression_Valg[[#This Row],[Uafhængig variabel ID]]),INDEX(DataTitel_liste,IF(LineærRegression_Valg[[#This Row],[Afhængig variabel ID]]=1,2,1))),$B$7)</f>
        <v>Eksempel 2 (interval)</v>
      </c>
      <c r="H1743" s="171">
        <f>_xlfn.AGGREGATE(2,5,LineærRegression_Valg[[#This Row],[Tabel ID]])</f>
        <v>1</v>
      </c>
    </row>
    <row r="1744" spans="1:8" x14ac:dyDescent="0.2">
      <c r="A1744">
        <f>ROW(LineærRegression_Valg[[#This Row],[Tabel ID]])-ROW(LineærRegression_Valg[[#Headers],[Tabel ID]])</f>
        <v>1734</v>
      </c>
      <c r="B1744" s="171">
        <f>ROUNDDOWN((LineærRegression_Valg[[#This Row],[Tabel ID]]-1)/$B$5,0)+1</f>
        <v>434</v>
      </c>
      <c r="C1744" s="171">
        <f t="shared" si="27"/>
        <v>2</v>
      </c>
      <c r="D1744" s="171" t="b">
        <f>LineærRegression_Valg[[#This Row],[Afhængig variabel ID]]&lt;&gt;LineærRegression_Valg[[#This Row],[Uafhængig variabel ID]]</f>
        <v>1</v>
      </c>
      <c r="E1744" s="171" t="b">
        <f>LineærRegression_Valg[[#This Row],[Afhængig variabel ID]]&lt;=$B$5</f>
        <v>0</v>
      </c>
      <c r="F1744" t="str" cm="1">
        <f t="array" ref="F1744">IF(LineærRegression_Valg[[#This Row],[Indenfor range]],INDEX(DataTitel_liste,LineærRegression_Valg[[#This Row],[Afhængig variabel ID]]),INDEX(DataTitel_liste,1))</f>
        <v>Eksempel 1 (interval)</v>
      </c>
      <c r="G1744" s="171" t="str" cm="1">
        <f t="array" ref="G1744">IF(LineærRegression_Valg[[#This Row],[Indenfor range]],IF(LineærRegression_Valg[[#This Row],[Intet overlap]],INDEX(DataTitel_liste,LineærRegression_Valg[[#This Row],[Uafhængig variabel ID]]),INDEX(DataTitel_liste,IF(LineærRegression_Valg[[#This Row],[Afhængig variabel ID]]=1,2,1))),$B$7)</f>
        <v>Eksempel 2 (interval)</v>
      </c>
      <c r="H1744" s="171">
        <f>_xlfn.AGGREGATE(2,5,LineærRegression_Valg[[#This Row],[Tabel ID]])</f>
        <v>1</v>
      </c>
    </row>
    <row r="1745" spans="1:8" x14ac:dyDescent="0.2">
      <c r="A1745">
        <f>ROW(LineærRegression_Valg[[#This Row],[Tabel ID]])-ROW(LineærRegression_Valg[[#Headers],[Tabel ID]])</f>
        <v>1735</v>
      </c>
      <c r="B1745" s="171">
        <f>ROUNDDOWN((LineærRegression_Valg[[#This Row],[Tabel ID]]-1)/$B$5,0)+1</f>
        <v>434</v>
      </c>
      <c r="C1745" s="171">
        <f t="shared" si="27"/>
        <v>3</v>
      </c>
      <c r="D1745" s="171" t="b">
        <f>LineærRegression_Valg[[#This Row],[Afhængig variabel ID]]&lt;&gt;LineærRegression_Valg[[#This Row],[Uafhængig variabel ID]]</f>
        <v>1</v>
      </c>
      <c r="E1745" s="171" t="b">
        <f>LineærRegression_Valg[[#This Row],[Afhængig variabel ID]]&lt;=$B$5</f>
        <v>0</v>
      </c>
      <c r="F1745" t="str" cm="1">
        <f t="array" ref="F1745">IF(LineærRegression_Valg[[#This Row],[Indenfor range]],INDEX(DataTitel_liste,LineærRegression_Valg[[#This Row],[Afhængig variabel ID]]),INDEX(DataTitel_liste,1))</f>
        <v>Eksempel 1 (interval)</v>
      </c>
      <c r="G1745" s="171" t="str" cm="1">
        <f t="array" ref="G1745">IF(LineærRegression_Valg[[#This Row],[Indenfor range]],IF(LineærRegression_Valg[[#This Row],[Intet overlap]],INDEX(DataTitel_liste,LineærRegression_Valg[[#This Row],[Uafhængig variabel ID]]),INDEX(DataTitel_liste,IF(LineærRegression_Valg[[#This Row],[Afhængig variabel ID]]=1,2,1))),$B$7)</f>
        <v>Eksempel 2 (interval)</v>
      </c>
      <c r="H1745" s="171">
        <f>_xlfn.AGGREGATE(2,5,LineærRegression_Valg[[#This Row],[Tabel ID]])</f>
        <v>1</v>
      </c>
    </row>
    <row r="1746" spans="1:8" x14ac:dyDescent="0.2">
      <c r="A1746">
        <f>ROW(LineærRegression_Valg[[#This Row],[Tabel ID]])-ROW(LineærRegression_Valg[[#Headers],[Tabel ID]])</f>
        <v>1736</v>
      </c>
      <c r="B1746" s="171">
        <f>ROUNDDOWN((LineærRegression_Valg[[#This Row],[Tabel ID]]-1)/$B$5,0)+1</f>
        <v>434</v>
      </c>
      <c r="C1746" s="171">
        <f t="shared" si="27"/>
        <v>4</v>
      </c>
      <c r="D1746" s="171" t="b">
        <f>LineærRegression_Valg[[#This Row],[Afhængig variabel ID]]&lt;&gt;LineærRegression_Valg[[#This Row],[Uafhængig variabel ID]]</f>
        <v>1</v>
      </c>
      <c r="E1746" s="171" t="b">
        <f>LineærRegression_Valg[[#This Row],[Afhængig variabel ID]]&lt;=$B$5</f>
        <v>0</v>
      </c>
      <c r="F1746" t="str" cm="1">
        <f t="array" ref="F1746">IF(LineærRegression_Valg[[#This Row],[Indenfor range]],INDEX(DataTitel_liste,LineærRegression_Valg[[#This Row],[Afhængig variabel ID]]),INDEX(DataTitel_liste,1))</f>
        <v>Eksempel 1 (interval)</v>
      </c>
      <c r="G1746" s="171" t="str" cm="1">
        <f t="array" ref="G1746">IF(LineærRegression_Valg[[#This Row],[Indenfor range]],IF(LineærRegression_Valg[[#This Row],[Intet overlap]],INDEX(DataTitel_liste,LineærRegression_Valg[[#This Row],[Uafhængig variabel ID]]),INDEX(DataTitel_liste,IF(LineærRegression_Valg[[#This Row],[Afhængig variabel ID]]=1,2,1))),$B$7)</f>
        <v>Eksempel 2 (interval)</v>
      </c>
      <c r="H1746" s="171">
        <f>_xlfn.AGGREGATE(2,5,LineærRegression_Valg[[#This Row],[Tabel ID]])</f>
        <v>1</v>
      </c>
    </row>
    <row r="1747" spans="1:8" x14ac:dyDescent="0.2">
      <c r="A1747">
        <f>ROW(LineærRegression_Valg[[#This Row],[Tabel ID]])-ROW(LineærRegression_Valg[[#Headers],[Tabel ID]])</f>
        <v>1737</v>
      </c>
      <c r="B1747" s="171">
        <f>ROUNDDOWN((LineærRegression_Valg[[#This Row],[Tabel ID]]-1)/$B$5,0)+1</f>
        <v>435</v>
      </c>
      <c r="C1747" s="171">
        <f t="shared" si="27"/>
        <v>1</v>
      </c>
      <c r="D1747" s="171" t="b">
        <f>LineærRegression_Valg[[#This Row],[Afhængig variabel ID]]&lt;&gt;LineærRegression_Valg[[#This Row],[Uafhængig variabel ID]]</f>
        <v>1</v>
      </c>
      <c r="E1747" s="171" t="b">
        <f>LineærRegression_Valg[[#This Row],[Afhængig variabel ID]]&lt;=$B$5</f>
        <v>0</v>
      </c>
      <c r="F1747" t="str" cm="1">
        <f t="array" ref="F1747">IF(LineærRegression_Valg[[#This Row],[Indenfor range]],INDEX(DataTitel_liste,LineærRegression_Valg[[#This Row],[Afhængig variabel ID]]),INDEX(DataTitel_liste,1))</f>
        <v>Eksempel 1 (interval)</v>
      </c>
      <c r="G1747" s="171" t="str" cm="1">
        <f t="array" ref="G1747">IF(LineærRegression_Valg[[#This Row],[Indenfor range]],IF(LineærRegression_Valg[[#This Row],[Intet overlap]],INDEX(DataTitel_liste,LineærRegression_Valg[[#This Row],[Uafhængig variabel ID]]),INDEX(DataTitel_liste,IF(LineærRegression_Valg[[#This Row],[Afhængig variabel ID]]=1,2,1))),$B$7)</f>
        <v>Eksempel 2 (interval)</v>
      </c>
      <c r="H1747" s="171">
        <f>_xlfn.AGGREGATE(2,5,LineærRegression_Valg[[#This Row],[Tabel ID]])</f>
        <v>1</v>
      </c>
    </row>
    <row r="1748" spans="1:8" x14ac:dyDescent="0.2">
      <c r="A1748">
        <f>ROW(LineærRegression_Valg[[#This Row],[Tabel ID]])-ROW(LineærRegression_Valg[[#Headers],[Tabel ID]])</f>
        <v>1738</v>
      </c>
      <c r="B1748" s="171">
        <f>ROUNDDOWN((LineærRegression_Valg[[#This Row],[Tabel ID]]-1)/$B$5,0)+1</f>
        <v>435</v>
      </c>
      <c r="C1748" s="171">
        <f t="shared" si="27"/>
        <v>2</v>
      </c>
      <c r="D1748" s="171" t="b">
        <f>LineærRegression_Valg[[#This Row],[Afhængig variabel ID]]&lt;&gt;LineærRegression_Valg[[#This Row],[Uafhængig variabel ID]]</f>
        <v>1</v>
      </c>
      <c r="E1748" s="171" t="b">
        <f>LineærRegression_Valg[[#This Row],[Afhængig variabel ID]]&lt;=$B$5</f>
        <v>0</v>
      </c>
      <c r="F1748" t="str" cm="1">
        <f t="array" ref="F1748">IF(LineærRegression_Valg[[#This Row],[Indenfor range]],INDEX(DataTitel_liste,LineærRegression_Valg[[#This Row],[Afhængig variabel ID]]),INDEX(DataTitel_liste,1))</f>
        <v>Eksempel 1 (interval)</v>
      </c>
      <c r="G1748" s="171" t="str" cm="1">
        <f t="array" ref="G1748">IF(LineærRegression_Valg[[#This Row],[Indenfor range]],IF(LineærRegression_Valg[[#This Row],[Intet overlap]],INDEX(DataTitel_liste,LineærRegression_Valg[[#This Row],[Uafhængig variabel ID]]),INDEX(DataTitel_liste,IF(LineærRegression_Valg[[#This Row],[Afhængig variabel ID]]=1,2,1))),$B$7)</f>
        <v>Eksempel 2 (interval)</v>
      </c>
      <c r="H1748" s="171">
        <f>_xlfn.AGGREGATE(2,5,LineærRegression_Valg[[#This Row],[Tabel ID]])</f>
        <v>1</v>
      </c>
    </row>
    <row r="1749" spans="1:8" x14ac:dyDescent="0.2">
      <c r="A1749">
        <f>ROW(LineærRegression_Valg[[#This Row],[Tabel ID]])-ROW(LineærRegression_Valg[[#Headers],[Tabel ID]])</f>
        <v>1739</v>
      </c>
      <c r="B1749" s="171">
        <f>ROUNDDOWN((LineærRegression_Valg[[#This Row],[Tabel ID]]-1)/$B$5,0)+1</f>
        <v>435</v>
      </c>
      <c r="C1749" s="171">
        <f t="shared" si="27"/>
        <v>3</v>
      </c>
      <c r="D1749" s="171" t="b">
        <f>LineærRegression_Valg[[#This Row],[Afhængig variabel ID]]&lt;&gt;LineærRegression_Valg[[#This Row],[Uafhængig variabel ID]]</f>
        <v>1</v>
      </c>
      <c r="E1749" s="171" t="b">
        <f>LineærRegression_Valg[[#This Row],[Afhængig variabel ID]]&lt;=$B$5</f>
        <v>0</v>
      </c>
      <c r="F1749" t="str" cm="1">
        <f t="array" ref="F1749">IF(LineærRegression_Valg[[#This Row],[Indenfor range]],INDEX(DataTitel_liste,LineærRegression_Valg[[#This Row],[Afhængig variabel ID]]),INDEX(DataTitel_liste,1))</f>
        <v>Eksempel 1 (interval)</v>
      </c>
      <c r="G1749" s="171" t="str" cm="1">
        <f t="array" ref="G1749">IF(LineærRegression_Valg[[#This Row],[Indenfor range]],IF(LineærRegression_Valg[[#This Row],[Intet overlap]],INDEX(DataTitel_liste,LineærRegression_Valg[[#This Row],[Uafhængig variabel ID]]),INDEX(DataTitel_liste,IF(LineærRegression_Valg[[#This Row],[Afhængig variabel ID]]=1,2,1))),$B$7)</f>
        <v>Eksempel 2 (interval)</v>
      </c>
      <c r="H1749" s="171">
        <f>_xlfn.AGGREGATE(2,5,LineærRegression_Valg[[#This Row],[Tabel ID]])</f>
        <v>1</v>
      </c>
    </row>
    <row r="1750" spans="1:8" x14ac:dyDescent="0.2">
      <c r="A1750">
        <f>ROW(LineærRegression_Valg[[#This Row],[Tabel ID]])-ROW(LineærRegression_Valg[[#Headers],[Tabel ID]])</f>
        <v>1740</v>
      </c>
      <c r="B1750" s="171">
        <f>ROUNDDOWN((LineærRegression_Valg[[#This Row],[Tabel ID]]-1)/$B$5,0)+1</f>
        <v>435</v>
      </c>
      <c r="C1750" s="171">
        <f t="shared" si="27"/>
        <v>4</v>
      </c>
      <c r="D1750" s="171" t="b">
        <f>LineærRegression_Valg[[#This Row],[Afhængig variabel ID]]&lt;&gt;LineærRegression_Valg[[#This Row],[Uafhængig variabel ID]]</f>
        <v>1</v>
      </c>
      <c r="E1750" s="171" t="b">
        <f>LineærRegression_Valg[[#This Row],[Afhængig variabel ID]]&lt;=$B$5</f>
        <v>0</v>
      </c>
      <c r="F1750" t="str" cm="1">
        <f t="array" ref="F1750">IF(LineærRegression_Valg[[#This Row],[Indenfor range]],INDEX(DataTitel_liste,LineærRegression_Valg[[#This Row],[Afhængig variabel ID]]),INDEX(DataTitel_liste,1))</f>
        <v>Eksempel 1 (interval)</v>
      </c>
      <c r="G1750" s="171" t="str" cm="1">
        <f t="array" ref="G1750">IF(LineærRegression_Valg[[#This Row],[Indenfor range]],IF(LineærRegression_Valg[[#This Row],[Intet overlap]],INDEX(DataTitel_liste,LineærRegression_Valg[[#This Row],[Uafhængig variabel ID]]),INDEX(DataTitel_liste,IF(LineærRegression_Valg[[#This Row],[Afhængig variabel ID]]=1,2,1))),$B$7)</f>
        <v>Eksempel 2 (interval)</v>
      </c>
      <c r="H1750" s="171">
        <f>_xlfn.AGGREGATE(2,5,LineærRegression_Valg[[#This Row],[Tabel ID]])</f>
        <v>1</v>
      </c>
    </row>
    <row r="1751" spans="1:8" x14ac:dyDescent="0.2">
      <c r="A1751">
        <f>ROW(LineærRegression_Valg[[#This Row],[Tabel ID]])-ROW(LineærRegression_Valg[[#Headers],[Tabel ID]])</f>
        <v>1741</v>
      </c>
      <c r="B1751" s="171">
        <f>ROUNDDOWN((LineærRegression_Valg[[#This Row],[Tabel ID]]-1)/$B$5,0)+1</f>
        <v>436</v>
      </c>
      <c r="C1751" s="171">
        <f t="shared" si="27"/>
        <v>1</v>
      </c>
      <c r="D1751" s="171" t="b">
        <f>LineærRegression_Valg[[#This Row],[Afhængig variabel ID]]&lt;&gt;LineærRegression_Valg[[#This Row],[Uafhængig variabel ID]]</f>
        <v>1</v>
      </c>
      <c r="E1751" s="171" t="b">
        <f>LineærRegression_Valg[[#This Row],[Afhængig variabel ID]]&lt;=$B$5</f>
        <v>0</v>
      </c>
      <c r="F1751" t="str" cm="1">
        <f t="array" ref="F1751">IF(LineærRegression_Valg[[#This Row],[Indenfor range]],INDEX(DataTitel_liste,LineærRegression_Valg[[#This Row],[Afhængig variabel ID]]),INDEX(DataTitel_liste,1))</f>
        <v>Eksempel 1 (interval)</v>
      </c>
      <c r="G1751" s="171" t="str" cm="1">
        <f t="array" ref="G1751">IF(LineærRegression_Valg[[#This Row],[Indenfor range]],IF(LineærRegression_Valg[[#This Row],[Intet overlap]],INDEX(DataTitel_liste,LineærRegression_Valg[[#This Row],[Uafhængig variabel ID]]),INDEX(DataTitel_liste,IF(LineærRegression_Valg[[#This Row],[Afhængig variabel ID]]=1,2,1))),$B$7)</f>
        <v>Eksempel 2 (interval)</v>
      </c>
      <c r="H1751" s="171">
        <f>_xlfn.AGGREGATE(2,5,LineærRegression_Valg[[#This Row],[Tabel ID]])</f>
        <v>1</v>
      </c>
    </row>
    <row r="1752" spans="1:8" x14ac:dyDescent="0.2">
      <c r="A1752">
        <f>ROW(LineærRegression_Valg[[#This Row],[Tabel ID]])-ROW(LineærRegression_Valg[[#Headers],[Tabel ID]])</f>
        <v>1742</v>
      </c>
      <c r="B1752" s="171">
        <f>ROUNDDOWN((LineærRegression_Valg[[#This Row],[Tabel ID]]-1)/$B$5,0)+1</f>
        <v>436</v>
      </c>
      <c r="C1752" s="171">
        <f t="shared" si="27"/>
        <v>2</v>
      </c>
      <c r="D1752" s="171" t="b">
        <f>LineærRegression_Valg[[#This Row],[Afhængig variabel ID]]&lt;&gt;LineærRegression_Valg[[#This Row],[Uafhængig variabel ID]]</f>
        <v>1</v>
      </c>
      <c r="E1752" s="171" t="b">
        <f>LineærRegression_Valg[[#This Row],[Afhængig variabel ID]]&lt;=$B$5</f>
        <v>0</v>
      </c>
      <c r="F1752" t="str" cm="1">
        <f t="array" ref="F1752">IF(LineærRegression_Valg[[#This Row],[Indenfor range]],INDEX(DataTitel_liste,LineærRegression_Valg[[#This Row],[Afhængig variabel ID]]),INDEX(DataTitel_liste,1))</f>
        <v>Eksempel 1 (interval)</v>
      </c>
      <c r="G1752" s="171" t="str" cm="1">
        <f t="array" ref="G1752">IF(LineærRegression_Valg[[#This Row],[Indenfor range]],IF(LineærRegression_Valg[[#This Row],[Intet overlap]],INDEX(DataTitel_liste,LineærRegression_Valg[[#This Row],[Uafhængig variabel ID]]),INDEX(DataTitel_liste,IF(LineærRegression_Valg[[#This Row],[Afhængig variabel ID]]=1,2,1))),$B$7)</f>
        <v>Eksempel 2 (interval)</v>
      </c>
      <c r="H1752" s="171">
        <f>_xlfn.AGGREGATE(2,5,LineærRegression_Valg[[#This Row],[Tabel ID]])</f>
        <v>1</v>
      </c>
    </row>
    <row r="1753" spans="1:8" x14ac:dyDescent="0.2">
      <c r="A1753">
        <f>ROW(LineærRegression_Valg[[#This Row],[Tabel ID]])-ROW(LineærRegression_Valg[[#Headers],[Tabel ID]])</f>
        <v>1743</v>
      </c>
      <c r="B1753" s="171">
        <f>ROUNDDOWN((LineærRegression_Valg[[#This Row],[Tabel ID]]-1)/$B$5,0)+1</f>
        <v>436</v>
      </c>
      <c r="C1753" s="171">
        <f t="shared" si="27"/>
        <v>3</v>
      </c>
      <c r="D1753" s="171" t="b">
        <f>LineærRegression_Valg[[#This Row],[Afhængig variabel ID]]&lt;&gt;LineærRegression_Valg[[#This Row],[Uafhængig variabel ID]]</f>
        <v>1</v>
      </c>
      <c r="E1753" s="171" t="b">
        <f>LineærRegression_Valg[[#This Row],[Afhængig variabel ID]]&lt;=$B$5</f>
        <v>0</v>
      </c>
      <c r="F1753" t="str" cm="1">
        <f t="array" ref="F1753">IF(LineærRegression_Valg[[#This Row],[Indenfor range]],INDEX(DataTitel_liste,LineærRegression_Valg[[#This Row],[Afhængig variabel ID]]),INDEX(DataTitel_liste,1))</f>
        <v>Eksempel 1 (interval)</v>
      </c>
      <c r="G1753" s="171" t="str" cm="1">
        <f t="array" ref="G1753">IF(LineærRegression_Valg[[#This Row],[Indenfor range]],IF(LineærRegression_Valg[[#This Row],[Intet overlap]],INDEX(DataTitel_liste,LineærRegression_Valg[[#This Row],[Uafhængig variabel ID]]),INDEX(DataTitel_liste,IF(LineærRegression_Valg[[#This Row],[Afhængig variabel ID]]=1,2,1))),$B$7)</f>
        <v>Eksempel 2 (interval)</v>
      </c>
      <c r="H1753" s="171">
        <f>_xlfn.AGGREGATE(2,5,LineærRegression_Valg[[#This Row],[Tabel ID]])</f>
        <v>1</v>
      </c>
    </row>
    <row r="1754" spans="1:8" x14ac:dyDescent="0.2">
      <c r="A1754">
        <f>ROW(LineærRegression_Valg[[#This Row],[Tabel ID]])-ROW(LineærRegression_Valg[[#Headers],[Tabel ID]])</f>
        <v>1744</v>
      </c>
      <c r="B1754" s="171">
        <f>ROUNDDOWN((LineærRegression_Valg[[#This Row],[Tabel ID]]-1)/$B$5,0)+1</f>
        <v>436</v>
      </c>
      <c r="C1754" s="171">
        <f t="shared" si="27"/>
        <v>4</v>
      </c>
      <c r="D1754" s="171" t="b">
        <f>LineærRegression_Valg[[#This Row],[Afhængig variabel ID]]&lt;&gt;LineærRegression_Valg[[#This Row],[Uafhængig variabel ID]]</f>
        <v>1</v>
      </c>
      <c r="E1754" s="171" t="b">
        <f>LineærRegression_Valg[[#This Row],[Afhængig variabel ID]]&lt;=$B$5</f>
        <v>0</v>
      </c>
      <c r="F1754" t="str" cm="1">
        <f t="array" ref="F1754">IF(LineærRegression_Valg[[#This Row],[Indenfor range]],INDEX(DataTitel_liste,LineærRegression_Valg[[#This Row],[Afhængig variabel ID]]),INDEX(DataTitel_liste,1))</f>
        <v>Eksempel 1 (interval)</v>
      </c>
      <c r="G1754" s="171" t="str" cm="1">
        <f t="array" ref="G1754">IF(LineærRegression_Valg[[#This Row],[Indenfor range]],IF(LineærRegression_Valg[[#This Row],[Intet overlap]],INDEX(DataTitel_liste,LineærRegression_Valg[[#This Row],[Uafhængig variabel ID]]),INDEX(DataTitel_liste,IF(LineærRegression_Valg[[#This Row],[Afhængig variabel ID]]=1,2,1))),$B$7)</f>
        <v>Eksempel 2 (interval)</v>
      </c>
      <c r="H1754" s="171">
        <f>_xlfn.AGGREGATE(2,5,LineærRegression_Valg[[#This Row],[Tabel ID]])</f>
        <v>1</v>
      </c>
    </row>
    <row r="1755" spans="1:8" x14ac:dyDescent="0.2">
      <c r="A1755">
        <f>ROW(LineærRegression_Valg[[#This Row],[Tabel ID]])-ROW(LineærRegression_Valg[[#Headers],[Tabel ID]])</f>
        <v>1745</v>
      </c>
      <c r="B1755" s="171">
        <f>ROUNDDOWN((LineærRegression_Valg[[#This Row],[Tabel ID]]-1)/$B$5,0)+1</f>
        <v>437</v>
      </c>
      <c r="C1755" s="171">
        <f t="shared" si="27"/>
        <v>1</v>
      </c>
      <c r="D1755" s="171" t="b">
        <f>LineærRegression_Valg[[#This Row],[Afhængig variabel ID]]&lt;&gt;LineærRegression_Valg[[#This Row],[Uafhængig variabel ID]]</f>
        <v>1</v>
      </c>
      <c r="E1755" s="171" t="b">
        <f>LineærRegression_Valg[[#This Row],[Afhængig variabel ID]]&lt;=$B$5</f>
        <v>0</v>
      </c>
      <c r="F1755" t="str" cm="1">
        <f t="array" ref="F1755">IF(LineærRegression_Valg[[#This Row],[Indenfor range]],INDEX(DataTitel_liste,LineærRegression_Valg[[#This Row],[Afhængig variabel ID]]),INDEX(DataTitel_liste,1))</f>
        <v>Eksempel 1 (interval)</v>
      </c>
      <c r="G1755" s="171" t="str" cm="1">
        <f t="array" ref="G1755">IF(LineærRegression_Valg[[#This Row],[Indenfor range]],IF(LineærRegression_Valg[[#This Row],[Intet overlap]],INDEX(DataTitel_liste,LineærRegression_Valg[[#This Row],[Uafhængig variabel ID]]),INDEX(DataTitel_liste,IF(LineærRegression_Valg[[#This Row],[Afhængig variabel ID]]=1,2,1))),$B$7)</f>
        <v>Eksempel 2 (interval)</v>
      </c>
      <c r="H1755" s="171">
        <f>_xlfn.AGGREGATE(2,5,LineærRegression_Valg[[#This Row],[Tabel ID]])</f>
        <v>1</v>
      </c>
    </row>
    <row r="1756" spans="1:8" x14ac:dyDescent="0.2">
      <c r="A1756">
        <f>ROW(LineærRegression_Valg[[#This Row],[Tabel ID]])-ROW(LineærRegression_Valg[[#Headers],[Tabel ID]])</f>
        <v>1746</v>
      </c>
      <c r="B1756" s="171">
        <f>ROUNDDOWN((LineærRegression_Valg[[#This Row],[Tabel ID]]-1)/$B$5,0)+1</f>
        <v>437</v>
      </c>
      <c r="C1756" s="171">
        <f t="shared" si="27"/>
        <v>2</v>
      </c>
      <c r="D1756" s="171" t="b">
        <f>LineærRegression_Valg[[#This Row],[Afhængig variabel ID]]&lt;&gt;LineærRegression_Valg[[#This Row],[Uafhængig variabel ID]]</f>
        <v>1</v>
      </c>
      <c r="E1756" s="171" t="b">
        <f>LineærRegression_Valg[[#This Row],[Afhængig variabel ID]]&lt;=$B$5</f>
        <v>0</v>
      </c>
      <c r="F1756" t="str" cm="1">
        <f t="array" ref="F1756">IF(LineærRegression_Valg[[#This Row],[Indenfor range]],INDEX(DataTitel_liste,LineærRegression_Valg[[#This Row],[Afhængig variabel ID]]),INDEX(DataTitel_liste,1))</f>
        <v>Eksempel 1 (interval)</v>
      </c>
      <c r="G1756" s="171" t="str" cm="1">
        <f t="array" ref="G1756">IF(LineærRegression_Valg[[#This Row],[Indenfor range]],IF(LineærRegression_Valg[[#This Row],[Intet overlap]],INDEX(DataTitel_liste,LineærRegression_Valg[[#This Row],[Uafhængig variabel ID]]),INDEX(DataTitel_liste,IF(LineærRegression_Valg[[#This Row],[Afhængig variabel ID]]=1,2,1))),$B$7)</f>
        <v>Eksempel 2 (interval)</v>
      </c>
      <c r="H1756" s="171">
        <f>_xlfn.AGGREGATE(2,5,LineærRegression_Valg[[#This Row],[Tabel ID]])</f>
        <v>1</v>
      </c>
    </row>
    <row r="1757" spans="1:8" x14ac:dyDescent="0.2">
      <c r="A1757">
        <f>ROW(LineærRegression_Valg[[#This Row],[Tabel ID]])-ROW(LineærRegression_Valg[[#Headers],[Tabel ID]])</f>
        <v>1747</v>
      </c>
      <c r="B1757" s="171">
        <f>ROUNDDOWN((LineærRegression_Valg[[#This Row],[Tabel ID]]-1)/$B$5,0)+1</f>
        <v>437</v>
      </c>
      <c r="C1757" s="171">
        <f t="shared" si="27"/>
        <v>3</v>
      </c>
      <c r="D1757" s="171" t="b">
        <f>LineærRegression_Valg[[#This Row],[Afhængig variabel ID]]&lt;&gt;LineærRegression_Valg[[#This Row],[Uafhængig variabel ID]]</f>
        <v>1</v>
      </c>
      <c r="E1757" s="171" t="b">
        <f>LineærRegression_Valg[[#This Row],[Afhængig variabel ID]]&lt;=$B$5</f>
        <v>0</v>
      </c>
      <c r="F1757" t="str" cm="1">
        <f t="array" ref="F1757">IF(LineærRegression_Valg[[#This Row],[Indenfor range]],INDEX(DataTitel_liste,LineærRegression_Valg[[#This Row],[Afhængig variabel ID]]),INDEX(DataTitel_liste,1))</f>
        <v>Eksempel 1 (interval)</v>
      </c>
      <c r="G1757" s="171" t="str" cm="1">
        <f t="array" ref="G1757">IF(LineærRegression_Valg[[#This Row],[Indenfor range]],IF(LineærRegression_Valg[[#This Row],[Intet overlap]],INDEX(DataTitel_liste,LineærRegression_Valg[[#This Row],[Uafhængig variabel ID]]),INDEX(DataTitel_liste,IF(LineærRegression_Valg[[#This Row],[Afhængig variabel ID]]=1,2,1))),$B$7)</f>
        <v>Eksempel 2 (interval)</v>
      </c>
      <c r="H1757" s="171">
        <f>_xlfn.AGGREGATE(2,5,LineærRegression_Valg[[#This Row],[Tabel ID]])</f>
        <v>1</v>
      </c>
    </row>
    <row r="1758" spans="1:8" x14ac:dyDescent="0.2">
      <c r="A1758">
        <f>ROW(LineærRegression_Valg[[#This Row],[Tabel ID]])-ROW(LineærRegression_Valg[[#Headers],[Tabel ID]])</f>
        <v>1748</v>
      </c>
      <c r="B1758" s="171">
        <f>ROUNDDOWN((LineærRegression_Valg[[#This Row],[Tabel ID]]-1)/$B$5,0)+1</f>
        <v>437</v>
      </c>
      <c r="C1758" s="171">
        <f t="shared" si="27"/>
        <v>4</v>
      </c>
      <c r="D1758" s="171" t="b">
        <f>LineærRegression_Valg[[#This Row],[Afhængig variabel ID]]&lt;&gt;LineærRegression_Valg[[#This Row],[Uafhængig variabel ID]]</f>
        <v>1</v>
      </c>
      <c r="E1758" s="171" t="b">
        <f>LineærRegression_Valg[[#This Row],[Afhængig variabel ID]]&lt;=$B$5</f>
        <v>0</v>
      </c>
      <c r="F1758" t="str" cm="1">
        <f t="array" ref="F1758">IF(LineærRegression_Valg[[#This Row],[Indenfor range]],INDEX(DataTitel_liste,LineærRegression_Valg[[#This Row],[Afhængig variabel ID]]),INDEX(DataTitel_liste,1))</f>
        <v>Eksempel 1 (interval)</v>
      </c>
      <c r="G1758" s="171" t="str" cm="1">
        <f t="array" ref="G1758">IF(LineærRegression_Valg[[#This Row],[Indenfor range]],IF(LineærRegression_Valg[[#This Row],[Intet overlap]],INDEX(DataTitel_liste,LineærRegression_Valg[[#This Row],[Uafhængig variabel ID]]),INDEX(DataTitel_liste,IF(LineærRegression_Valg[[#This Row],[Afhængig variabel ID]]=1,2,1))),$B$7)</f>
        <v>Eksempel 2 (interval)</v>
      </c>
      <c r="H1758" s="171">
        <f>_xlfn.AGGREGATE(2,5,LineærRegression_Valg[[#This Row],[Tabel ID]])</f>
        <v>1</v>
      </c>
    </row>
    <row r="1759" spans="1:8" x14ac:dyDescent="0.2">
      <c r="A1759">
        <f>ROW(LineærRegression_Valg[[#This Row],[Tabel ID]])-ROW(LineærRegression_Valg[[#Headers],[Tabel ID]])</f>
        <v>1749</v>
      </c>
      <c r="B1759" s="171">
        <f>ROUNDDOWN((LineærRegression_Valg[[#This Row],[Tabel ID]]-1)/$B$5,0)+1</f>
        <v>438</v>
      </c>
      <c r="C1759" s="171">
        <f t="shared" si="27"/>
        <v>1</v>
      </c>
      <c r="D1759" s="171" t="b">
        <f>LineærRegression_Valg[[#This Row],[Afhængig variabel ID]]&lt;&gt;LineærRegression_Valg[[#This Row],[Uafhængig variabel ID]]</f>
        <v>1</v>
      </c>
      <c r="E1759" s="171" t="b">
        <f>LineærRegression_Valg[[#This Row],[Afhængig variabel ID]]&lt;=$B$5</f>
        <v>0</v>
      </c>
      <c r="F1759" t="str" cm="1">
        <f t="array" ref="F1759">IF(LineærRegression_Valg[[#This Row],[Indenfor range]],INDEX(DataTitel_liste,LineærRegression_Valg[[#This Row],[Afhængig variabel ID]]),INDEX(DataTitel_liste,1))</f>
        <v>Eksempel 1 (interval)</v>
      </c>
      <c r="G1759" s="171" t="str" cm="1">
        <f t="array" ref="G1759">IF(LineærRegression_Valg[[#This Row],[Indenfor range]],IF(LineærRegression_Valg[[#This Row],[Intet overlap]],INDEX(DataTitel_liste,LineærRegression_Valg[[#This Row],[Uafhængig variabel ID]]),INDEX(DataTitel_liste,IF(LineærRegression_Valg[[#This Row],[Afhængig variabel ID]]=1,2,1))),$B$7)</f>
        <v>Eksempel 2 (interval)</v>
      </c>
      <c r="H1759" s="171">
        <f>_xlfn.AGGREGATE(2,5,LineærRegression_Valg[[#This Row],[Tabel ID]])</f>
        <v>1</v>
      </c>
    </row>
    <row r="1760" spans="1:8" x14ac:dyDescent="0.2">
      <c r="A1760">
        <f>ROW(LineærRegression_Valg[[#This Row],[Tabel ID]])-ROW(LineærRegression_Valg[[#Headers],[Tabel ID]])</f>
        <v>1750</v>
      </c>
      <c r="B1760" s="171">
        <f>ROUNDDOWN((LineærRegression_Valg[[#This Row],[Tabel ID]]-1)/$B$5,0)+1</f>
        <v>438</v>
      </c>
      <c r="C1760" s="171">
        <f t="shared" si="27"/>
        <v>2</v>
      </c>
      <c r="D1760" s="171" t="b">
        <f>LineærRegression_Valg[[#This Row],[Afhængig variabel ID]]&lt;&gt;LineærRegression_Valg[[#This Row],[Uafhængig variabel ID]]</f>
        <v>1</v>
      </c>
      <c r="E1760" s="171" t="b">
        <f>LineærRegression_Valg[[#This Row],[Afhængig variabel ID]]&lt;=$B$5</f>
        <v>0</v>
      </c>
      <c r="F1760" t="str" cm="1">
        <f t="array" ref="F1760">IF(LineærRegression_Valg[[#This Row],[Indenfor range]],INDEX(DataTitel_liste,LineærRegression_Valg[[#This Row],[Afhængig variabel ID]]),INDEX(DataTitel_liste,1))</f>
        <v>Eksempel 1 (interval)</v>
      </c>
      <c r="G1760" s="171" t="str" cm="1">
        <f t="array" ref="G1760">IF(LineærRegression_Valg[[#This Row],[Indenfor range]],IF(LineærRegression_Valg[[#This Row],[Intet overlap]],INDEX(DataTitel_liste,LineærRegression_Valg[[#This Row],[Uafhængig variabel ID]]),INDEX(DataTitel_liste,IF(LineærRegression_Valg[[#This Row],[Afhængig variabel ID]]=1,2,1))),$B$7)</f>
        <v>Eksempel 2 (interval)</v>
      </c>
      <c r="H1760" s="171">
        <f>_xlfn.AGGREGATE(2,5,LineærRegression_Valg[[#This Row],[Tabel ID]])</f>
        <v>1</v>
      </c>
    </row>
    <row r="1761" spans="1:8" x14ac:dyDescent="0.2">
      <c r="A1761">
        <f>ROW(LineærRegression_Valg[[#This Row],[Tabel ID]])-ROW(LineærRegression_Valg[[#Headers],[Tabel ID]])</f>
        <v>1751</v>
      </c>
      <c r="B1761" s="171">
        <f>ROUNDDOWN((LineærRegression_Valg[[#This Row],[Tabel ID]]-1)/$B$5,0)+1</f>
        <v>438</v>
      </c>
      <c r="C1761" s="171">
        <f t="shared" si="27"/>
        <v>3</v>
      </c>
      <c r="D1761" s="171" t="b">
        <f>LineærRegression_Valg[[#This Row],[Afhængig variabel ID]]&lt;&gt;LineærRegression_Valg[[#This Row],[Uafhængig variabel ID]]</f>
        <v>1</v>
      </c>
      <c r="E1761" s="171" t="b">
        <f>LineærRegression_Valg[[#This Row],[Afhængig variabel ID]]&lt;=$B$5</f>
        <v>0</v>
      </c>
      <c r="F1761" t="str" cm="1">
        <f t="array" ref="F1761">IF(LineærRegression_Valg[[#This Row],[Indenfor range]],INDEX(DataTitel_liste,LineærRegression_Valg[[#This Row],[Afhængig variabel ID]]),INDEX(DataTitel_liste,1))</f>
        <v>Eksempel 1 (interval)</v>
      </c>
      <c r="G1761" s="171" t="str" cm="1">
        <f t="array" ref="G1761">IF(LineærRegression_Valg[[#This Row],[Indenfor range]],IF(LineærRegression_Valg[[#This Row],[Intet overlap]],INDEX(DataTitel_liste,LineærRegression_Valg[[#This Row],[Uafhængig variabel ID]]),INDEX(DataTitel_liste,IF(LineærRegression_Valg[[#This Row],[Afhængig variabel ID]]=1,2,1))),$B$7)</f>
        <v>Eksempel 2 (interval)</v>
      </c>
      <c r="H1761" s="171">
        <f>_xlfn.AGGREGATE(2,5,LineærRegression_Valg[[#This Row],[Tabel ID]])</f>
        <v>1</v>
      </c>
    </row>
    <row r="1762" spans="1:8" x14ac:dyDescent="0.2">
      <c r="A1762">
        <f>ROW(LineærRegression_Valg[[#This Row],[Tabel ID]])-ROW(LineærRegression_Valg[[#Headers],[Tabel ID]])</f>
        <v>1752</v>
      </c>
      <c r="B1762" s="171">
        <f>ROUNDDOWN((LineærRegression_Valg[[#This Row],[Tabel ID]]-1)/$B$5,0)+1</f>
        <v>438</v>
      </c>
      <c r="C1762" s="171">
        <f t="shared" si="27"/>
        <v>4</v>
      </c>
      <c r="D1762" s="171" t="b">
        <f>LineærRegression_Valg[[#This Row],[Afhængig variabel ID]]&lt;&gt;LineærRegression_Valg[[#This Row],[Uafhængig variabel ID]]</f>
        <v>1</v>
      </c>
      <c r="E1762" s="171" t="b">
        <f>LineærRegression_Valg[[#This Row],[Afhængig variabel ID]]&lt;=$B$5</f>
        <v>0</v>
      </c>
      <c r="F1762" t="str" cm="1">
        <f t="array" ref="F1762">IF(LineærRegression_Valg[[#This Row],[Indenfor range]],INDEX(DataTitel_liste,LineærRegression_Valg[[#This Row],[Afhængig variabel ID]]),INDEX(DataTitel_liste,1))</f>
        <v>Eksempel 1 (interval)</v>
      </c>
      <c r="G1762" s="171" t="str" cm="1">
        <f t="array" ref="G1762">IF(LineærRegression_Valg[[#This Row],[Indenfor range]],IF(LineærRegression_Valg[[#This Row],[Intet overlap]],INDEX(DataTitel_liste,LineærRegression_Valg[[#This Row],[Uafhængig variabel ID]]),INDEX(DataTitel_liste,IF(LineærRegression_Valg[[#This Row],[Afhængig variabel ID]]=1,2,1))),$B$7)</f>
        <v>Eksempel 2 (interval)</v>
      </c>
      <c r="H1762" s="171">
        <f>_xlfn.AGGREGATE(2,5,LineærRegression_Valg[[#This Row],[Tabel ID]])</f>
        <v>1</v>
      </c>
    </row>
    <row r="1763" spans="1:8" x14ac:dyDescent="0.2">
      <c r="A1763">
        <f>ROW(LineærRegression_Valg[[#This Row],[Tabel ID]])-ROW(LineærRegression_Valg[[#Headers],[Tabel ID]])</f>
        <v>1753</v>
      </c>
      <c r="B1763" s="171">
        <f>ROUNDDOWN((LineærRegression_Valg[[#This Row],[Tabel ID]]-1)/$B$5,0)+1</f>
        <v>439</v>
      </c>
      <c r="C1763" s="171">
        <f t="shared" si="27"/>
        <v>1</v>
      </c>
      <c r="D1763" s="171" t="b">
        <f>LineærRegression_Valg[[#This Row],[Afhængig variabel ID]]&lt;&gt;LineærRegression_Valg[[#This Row],[Uafhængig variabel ID]]</f>
        <v>1</v>
      </c>
      <c r="E1763" s="171" t="b">
        <f>LineærRegression_Valg[[#This Row],[Afhængig variabel ID]]&lt;=$B$5</f>
        <v>0</v>
      </c>
      <c r="F1763" t="str" cm="1">
        <f t="array" ref="F1763">IF(LineærRegression_Valg[[#This Row],[Indenfor range]],INDEX(DataTitel_liste,LineærRegression_Valg[[#This Row],[Afhængig variabel ID]]),INDEX(DataTitel_liste,1))</f>
        <v>Eksempel 1 (interval)</v>
      </c>
      <c r="G1763" s="171" t="str" cm="1">
        <f t="array" ref="G1763">IF(LineærRegression_Valg[[#This Row],[Indenfor range]],IF(LineærRegression_Valg[[#This Row],[Intet overlap]],INDEX(DataTitel_liste,LineærRegression_Valg[[#This Row],[Uafhængig variabel ID]]),INDEX(DataTitel_liste,IF(LineærRegression_Valg[[#This Row],[Afhængig variabel ID]]=1,2,1))),$B$7)</f>
        <v>Eksempel 2 (interval)</v>
      </c>
      <c r="H1763" s="171">
        <f>_xlfn.AGGREGATE(2,5,LineærRegression_Valg[[#This Row],[Tabel ID]])</f>
        <v>1</v>
      </c>
    </row>
    <row r="1764" spans="1:8" x14ac:dyDescent="0.2">
      <c r="A1764">
        <f>ROW(LineærRegression_Valg[[#This Row],[Tabel ID]])-ROW(LineærRegression_Valg[[#Headers],[Tabel ID]])</f>
        <v>1754</v>
      </c>
      <c r="B1764" s="171">
        <f>ROUNDDOWN((LineærRegression_Valg[[#This Row],[Tabel ID]]-1)/$B$5,0)+1</f>
        <v>439</v>
      </c>
      <c r="C1764" s="171">
        <f t="shared" si="27"/>
        <v>2</v>
      </c>
      <c r="D1764" s="171" t="b">
        <f>LineærRegression_Valg[[#This Row],[Afhængig variabel ID]]&lt;&gt;LineærRegression_Valg[[#This Row],[Uafhængig variabel ID]]</f>
        <v>1</v>
      </c>
      <c r="E1764" s="171" t="b">
        <f>LineærRegression_Valg[[#This Row],[Afhængig variabel ID]]&lt;=$B$5</f>
        <v>0</v>
      </c>
      <c r="F1764" t="str" cm="1">
        <f t="array" ref="F1764">IF(LineærRegression_Valg[[#This Row],[Indenfor range]],INDEX(DataTitel_liste,LineærRegression_Valg[[#This Row],[Afhængig variabel ID]]),INDEX(DataTitel_liste,1))</f>
        <v>Eksempel 1 (interval)</v>
      </c>
      <c r="G1764" s="171" t="str" cm="1">
        <f t="array" ref="G1764">IF(LineærRegression_Valg[[#This Row],[Indenfor range]],IF(LineærRegression_Valg[[#This Row],[Intet overlap]],INDEX(DataTitel_liste,LineærRegression_Valg[[#This Row],[Uafhængig variabel ID]]),INDEX(DataTitel_liste,IF(LineærRegression_Valg[[#This Row],[Afhængig variabel ID]]=1,2,1))),$B$7)</f>
        <v>Eksempel 2 (interval)</v>
      </c>
      <c r="H1764" s="171">
        <f>_xlfn.AGGREGATE(2,5,LineærRegression_Valg[[#This Row],[Tabel ID]])</f>
        <v>1</v>
      </c>
    </row>
    <row r="1765" spans="1:8" x14ac:dyDescent="0.2">
      <c r="A1765">
        <f>ROW(LineærRegression_Valg[[#This Row],[Tabel ID]])-ROW(LineærRegression_Valg[[#Headers],[Tabel ID]])</f>
        <v>1755</v>
      </c>
      <c r="B1765" s="171">
        <f>ROUNDDOWN((LineærRegression_Valg[[#This Row],[Tabel ID]]-1)/$B$5,0)+1</f>
        <v>439</v>
      </c>
      <c r="C1765" s="171">
        <f t="shared" si="27"/>
        <v>3</v>
      </c>
      <c r="D1765" s="171" t="b">
        <f>LineærRegression_Valg[[#This Row],[Afhængig variabel ID]]&lt;&gt;LineærRegression_Valg[[#This Row],[Uafhængig variabel ID]]</f>
        <v>1</v>
      </c>
      <c r="E1765" s="171" t="b">
        <f>LineærRegression_Valg[[#This Row],[Afhængig variabel ID]]&lt;=$B$5</f>
        <v>0</v>
      </c>
      <c r="F1765" t="str" cm="1">
        <f t="array" ref="F1765">IF(LineærRegression_Valg[[#This Row],[Indenfor range]],INDEX(DataTitel_liste,LineærRegression_Valg[[#This Row],[Afhængig variabel ID]]),INDEX(DataTitel_liste,1))</f>
        <v>Eksempel 1 (interval)</v>
      </c>
      <c r="G1765" s="171" t="str" cm="1">
        <f t="array" ref="G1765">IF(LineærRegression_Valg[[#This Row],[Indenfor range]],IF(LineærRegression_Valg[[#This Row],[Intet overlap]],INDEX(DataTitel_liste,LineærRegression_Valg[[#This Row],[Uafhængig variabel ID]]),INDEX(DataTitel_liste,IF(LineærRegression_Valg[[#This Row],[Afhængig variabel ID]]=1,2,1))),$B$7)</f>
        <v>Eksempel 2 (interval)</v>
      </c>
      <c r="H1765" s="171">
        <f>_xlfn.AGGREGATE(2,5,LineærRegression_Valg[[#This Row],[Tabel ID]])</f>
        <v>1</v>
      </c>
    </row>
    <row r="1766" spans="1:8" x14ac:dyDescent="0.2">
      <c r="A1766">
        <f>ROW(LineærRegression_Valg[[#This Row],[Tabel ID]])-ROW(LineærRegression_Valg[[#Headers],[Tabel ID]])</f>
        <v>1756</v>
      </c>
      <c r="B1766" s="171">
        <f>ROUNDDOWN((LineærRegression_Valg[[#This Row],[Tabel ID]]-1)/$B$5,0)+1</f>
        <v>439</v>
      </c>
      <c r="C1766" s="171">
        <f t="shared" si="27"/>
        <v>4</v>
      </c>
      <c r="D1766" s="171" t="b">
        <f>LineærRegression_Valg[[#This Row],[Afhængig variabel ID]]&lt;&gt;LineærRegression_Valg[[#This Row],[Uafhængig variabel ID]]</f>
        <v>1</v>
      </c>
      <c r="E1766" s="171" t="b">
        <f>LineærRegression_Valg[[#This Row],[Afhængig variabel ID]]&lt;=$B$5</f>
        <v>0</v>
      </c>
      <c r="F1766" t="str" cm="1">
        <f t="array" ref="F1766">IF(LineærRegression_Valg[[#This Row],[Indenfor range]],INDEX(DataTitel_liste,LineærRegression_Valg[[#This Row],[Afhængig variabel ID]]),INDEX(DataTitel_liste,1))</f>
        <v>Eksempel 1 (interval)</v>
      </c>
      <c r="G1766" s="171" t="str" cm="1">
        <f t="array" ref="G1766">IF(LineærRegression_Valg[[#This Row],[Indenfor range]],IF(LineærRegression_Valg[[#This Row],[Intet overlap]],INDEX(DataTitel_liste,LineærRegression_Valg[[#This Row],[Uafhængig variabel ID]]),INDEX(DataTitel_liste,IF(LineærRegression_Valg[[#This Row],[Afhængig variabel ID]]=1,2,1))),$B$7)</f>
        <v>Eksempel 2 (interval)</v>
      </c>
      <c r="H1766" s="171">
        <f>_xlfn.AGGREGATE(2,5,LineærRegression_Valg[[#This Row],[Tabel ID]])</f>
        <v>1</v>
      </c>
    </row>
    <row r="1767" spans="1:8" x14ac:dyDescent="0.2">
      <c r="A1767">
        <f>ROW(LineærRegression_Valg[[#This Row],[Tabel ID]])-ROW(LineærRegression_Valg[[#Headers],[Tabel ID]])</f>
        <v>1757</v>
      </c>
      <c r="B1767" s="171">
        <f>ROUNDDOWN((LineærRegression_Valg[[#This Row],[Tabel ID]]-1)/$B$5,0)+1</f>
        <v>440</v>
      </c>
      <c r="C1767" s="171">
        <f t="shared" si="27"/>
        <v>1</v>
      </c>
      <c r="D1767" s="171" t="b">
        <f>LineærRegression_Valg[[#This Row],[Afhængig variabel ID]]&lt;&gt;LineærRegression_Valg[[#This Row],[Uafhængig variabel ID]]</f>
        <v>1</v>
      </c>
      <c r="E1767" s="171" t="b">
        <f>LineærRegression_Valg[[#This Row],[Afhængig variabel ID]]&lt;=$B$5</f>
        <v>0</v>
      </c>
      <c r="F1767" t="str" cm="1">
        <f t="array" ref="F1767">IF(LineærRegression_Valg[[#This Row],[Indenfor range]],INDEX(DataTitel_liste,LineærRegression_Valg[[#This Row],[Afhængig variabel ID]]),INDEX(DataTitel_liste,1))</f>
        <v>Eksempel 1 (interval)</v>
      </c>
      <c r="G1767" s="171" t="str" cm="1">
        <f t="array" ref="G1767">IF(LineærRegression_Valg[[#This Row],[Indenfor range]],IF(LineærRegression_Valg[[#This Row],[Intet overlap]],INDEX(DataTitel_liste,LineærRegression_Valg[[#This Row],[Uafhængig variabel ID]]),INDEX(DataTitel_liste,IF(LineærRegression_Valg[[#This Row],[Afhængig variabel ID]]=1,2,1))),$B$7)</f>
        <v>Eksempel 2 (interval)</v>
      </c>
      <c r="H1767" s="171">
        <f>_xlfn.AGGREGATE(2,5,LineærRegression_Valg[[#This Row],[Tabel ID]])</f>
        <v>1</v>
      </c>
    </row>
    <row r="1768" spans="1:8" x14ac:dyDescent="0.2">
      <c r="A1768">
        <f>ROW(LineærRegression_Valg[[#This Row],[Tabel ID]])-ROW(LineærRegression_Valg[[#Headers],[Tabel ID]])</f>
        <v>1758</v>
      </c>
      <c r="B1768" s="171">
        <f>ROUNDDOWN((LineærRegression_Valg[[#This Row],[Tabel ID]]-1)/$B$5,0)+1</f>
        <v>440</v>
      </c>
      <c r="C1768" s="171">
        <f t="shared" si="27"/>
        <v>2</v>
      </c>
      <c r="D1768" s="171" t="b">
        <f>LineærRegression_Valg[[#This Row],[Afhængig variabel ID]]&lt;&gt;LineærRegression_Valg[[#This Row],[Uafhængig variabel ID]]</f>
        <v>1</v>
      </c>
      <c r="E1768" s="171" t="b">
        <f>LineærRegression_Valg[[#This Row],[Afhængig variabel ID]]&lt;=$B$5</f>
        <v>0</v>
      </c>
      <c r="F1768" t="str" cm="1">
        <f t="array" ref="F1768">IF(LineærRegression_Valg[[#This Row],[Indenfor range]],INDEX(DataTitel_liste,LineærRegression_Valg[[#This Row],[Afhængig variabel ID]]),INDEX(DataTitel_liste,1))</f>
        <v>Eksempel 1 (interval)</v>
      </c>
      <c r="G1768" s="171" t="str" cm="1">
        <f t="array" ref="G1768">IF(LineærRegression_Valg[[#This Row],[Indenfor range]],IF(LineærRegression_Valg[[#This Row],[Intet overlap]],INDEX(DataTitel_liste,LineærRegression_Valg[[#This Row],[Uafhængig variabel ID]]),INDEX(DataTitel_liste,IF(LineærRegression_Valg[[#This Row],[Afhængig variabel ID]]=1,2,1))),$B$7)</f>
        <v>Eksempel 2 (interval)</v>
      </c>
      <c r="H1768" s="171">
        <f>_xlfn.AGGREGATE(2,5,LineærRegression_Valg[[#This Row],[Tabel ID]])</f>
        <v>1</v>
      </c>
    </row>
    <row r="1769" spans="1:8" x14ac:dyDescent="0.2">
      <c r="A1769">
        <f>ROW(LineærRegression_Valg[[#This Row],[Tabel ID]])-ROW(LineærRegression_Valg[[#Headers],[Tabel ID]])</f>
        <v>1759</v>
      </c>
      <c r="B1769" s="171">
        <f>ROUNDDOWN((LineærRegression_Valg[[#This Row],[Tabel ID]]-1)/$B$5,0)+1</f>
        <v>440</v>
      </c>
      <c r="C1769" s="171">
        <f t="shared" si="27"/>
        <v>3</v>
      </c>
      <c r="D1769" s="171" t="b">
        <f>LineærRegression_Valg[[#This Row],[Afhængig variabel ID]]&lt;&gt;LineærRegression_Valg[[#This Row],[Uafhængig variabel ID]]</f>
        <v>1</v>
      </c>
      <c r="E1769" s="171" t="b">
        <f>LineærRegression_Valg[[#This Row],[Afhængig variabel ID]]&lt;=$B$5</f>
        <v>0</v>
      </c>
      <c r="F1769" t="str" cm="1">
        <f t="array" ref="F1769">IF(LineærRegression_Valg[[#This Row],[Indenfor range]],INDEX(DataTitel_liste,LineærRegression_Valg[[#This Row],[Afhængig variabel ID]]),INDEX(DataTitel_liste,1))</f>
        <v>Eksempel 1 (interval)</v>
      </c>
      <c r="G1769" s="171" t="str" cm="1">
        <f t="array" ref="G1769">IF(LineærRegression_Valg[[#This Row],[Indenfor range]],IF(LineærRegression_Valg[[#This Row],[Intet overlap]],INDEX(DataTitel_liste,LineærRegression_Valg[[#This Row],[Uafhængig variabel ID]]),INDEX(DataTitel_liste,IF(LineærRegression_Valg[[#This Row],[Afhængig variabel ID]]=1,2,1))),$B$7)</f>
        <v>Eksempel 2 (interval)</v>
      </c>
      <c r="H1769" s="171">
        <f>_xlfn.AGGREGATE(2,5,LineærRegression_Valg[[#This Row],[Tabel ID]])</f>
        <v>1</v>
      </c>
    </row>
    <row r="1770" spans="1:8" x14ac:dyDescent="0.2">
      <c r="A1770">
        <f>ROW(LineærRegression_Valg[[#This Row],[Tabel ID]])-ROW(LineærRegression_Valg[[#Headers],[Tabel ID]])</f>
        <v>1760</v>
      </c>
      <c r="B1770" s="171">
        <f>ROUNDDOWN((LineærRegression_Valg[[#This Row],[Tabel ID]]-1)/$B$5,0)+1</f>
        <v>440</v>
      </c>
      <c r="C1770" s="171">
        <f t="shared" si="27"/>
        <v>4</v>
      </c>
      <c r="D1770" s="171" t="b">
        <f>LineærRegression_Valg[[#This Row],[Afhængig variabel ID]]&lt;&gt;LineærRegression_Valg[[#This Row],[Uafhængig variabel ID]]</f>
        <v>1</v>
      </c>
      <c r="E1770" s="171" t="b">
        <f>LineærRegression_Valg[[#This Row],[Afhængig variabel ID]]&lt;=$B$5</f>
        <v>0</v>
      </c>
      <c r="F1770" t="str" cm="1">
        <f t="array" ref="F1770">IF(LineærRegression_Valg[[#This Row],[Indenfor range]],INDEX(DataTitel_liste,LineærRegression_Valg[[#This Row],[Afhængig variabel ID]]),INDEX(DataTitel_liste,1))</f>
        <v>Eksempel 1 (interval)</v>
      </c>
      <c r="G1770" s="171" t="str" cm="1">
        <f t="array" ref="G1770">IF(LineærRegression_Valg[[#This Row],[Indenfor range]],IF(LineærRegression_Valg[[#This Row],[Intet overlap]],INDEX(DataTitel_liste,LineærRegression_Valg[[#This Row],[Uafhængig variabel ID]]),INDEX(DataTitel_liste,IF(LineærRegression_Valg[[#This Row],[Afhængig variabel ID]]=1,2,1))),$B$7)</f>
        <v>Eksempel 2 (interval)</v>
      </c>
      <c r="H1770" s="171">
        <f>_xlfn.AGGREGATE(2,5,LineærRegression_Valg[[#This Row],[Tabel ID]])</f>
        <v>1</v>
      </c>
    </row>
    <row r="1771" spans="1:8" x14ac:dyDescent="0.2">
      <c r="A1771">
        <f>ROW(LineærRegression_Valg[[#This Row],[Tabel ID]])-ROW(LineærRegression_Valg[[#Headers],[Tabel ID]])</f>
        <v>1761</v>
      </c>
      <c r="B1771" s="171">
        <f>ROUNDDOWN((LineærRegression_Valg[[#This Row],[Tabel ID]]-1)/$B$5,0)+1</f>
        <v>441</v>
      </c>
      <c r="C1771" s="171">
        <f t="shared" si="27"/>
        <v>1</v>
      </c>
      <c r="D1771" s="171" t="b">
        <f>LineærRegression_Valg[[#This Row],[Afhængig variabel ID]]&lt;&gt;LineærRegression_Valg[[#This Row],[Uafhængig variabel ID]]</f>
        <v>1</v>
      </c>
      <c r="E1771" s="171" t="b">
        <f>LineærRegression_Valg[[#This Row],[Afhængig variabel ID]]&lt;=$B$5</f>
        <v>0</v>
      </c>
      <c r="F1771" t="str" cm="1">
        <f t="array" ref="F1771">IF(LineærRegression_Valg[[#This Row],[Indenfor range]],INDEX(DataTitel_liste,LineærRegression_Valg[[#This Row],[Afhængig variabel ID]]),INDEX(DataTitel_liste,1))</f>
        <v>Eksempel 1 (interval)</v>
      </c>
      <c r="G1771" s="171" t="str" cm="1">
        <f t="array" ref="G1771">IF(LineærRegression_Valg[[#This Row],[Indenfor range]],IF(LineærRegression_Valg[[#This Row],[Intet overlap]],INDEX(DataTitel_liste,LineærRegression_Valg[[#This Row],[Uafhængig variabel ID]]),INDEX(DataTitel_liste,IF(LineærRegression_Valg[[#This Row],[Afhængig variabel ID]]=1,2,1))),$B$7)</f>
        <v>Eksempel 2 (interval)</v>
      </c>
      <c r="H1771" s="171">
        <f>_xlfn.AGGREGATE(2,5,LineærRegression_Valg[[#This Row],[Tabel ID]])</f>
        <v>1</v>
      </c>
    </row>
    <row r="1772" spans="1:8" x14ac:dyDescent="0.2">
      <c r="A1772">
        <f>ROW(LineærRegression_Valg[[#This Row],[Tabel ID]])-ROW(LineærRegression_Valg[[#Headers],[Tabel ID]])</f>
        <v>1762</v>
      </c>
      <c r="B1772" s="171">
        <f>ROUNDDOWN((LineærRegression_Valg[[#This Row],[Tabel ID]]-1)/$B$5,0)+1</f>
        <v>441</v>
      </c>
      <c r="C1772" s="171">
        <f t="shared" si="27"/>
        <v>2</v>
      </c>
      <c r="D1772" s="171" t="b">
        <f>LineærRegression_Valg[[#This Row],[Afhængig variabel ID]]&lt;&gt;LineærRegression_Valg[[#This Row],[Uafhængig variabel ID]]</f>
        <v>1</v>
      </c>
      <c r="E1772" s="171" t="b">
        <f>LineærRegression_Valg[[#This Row],[Afhængig variabel ID]]&lt;=$B$5</f>
        <v>0</v>
      </c>
      <c r="F1772" t="str" cm="1">
        <f t="array" ref="F1772">IF(LineærRegression_Valg[[#This Row],[Indenfor range]],INDEX(DataTitel_liste,LineærRegression_Valg[[#This Row],[Afhængig variabel ID]]),INDEX(DataTitel_liste,1))</f>
        <v>Eksempel 1 (interval)</v>
      </c>
      <c r="G1772" s="171" t="str" cm="1">
        <f t="array" ref="G1772">IF(LineærRegression_Valg[[#This Row],[Indenfor range]],IF(LineærRegression_Valg[[#This Row],[Intet overlap]],INDEX(DataTitel_liste,LineærRegression_Valg[[#This Row],[Uafhængig variabel ID]]),INDEX(DataTitel_liste,IF(LineærRegression_Valg[[#This Row],[Afhængig variabel ID]]=1,2,1))),$B$7)</f>
        <v>Eksempel 2 (interval)</v>
      </c>
      <c r="H1772" s="171">
        <f>_xlfn.AGGREGATE(2,5,LineærRegression_Valg[[#This Row],[Tabel ID]])</f>
        <v>1</v>
      </c>
    </row>
    <row r="1773" spans="1:8" x14ac:dyDescent="0.2">
      <c r="A1773">
        <f>ROW(LineærRegression_Valg[[#This Row],[Tabel ID]])-ROW(LineærRegression_Valg[[#Headers],[Tabel ID]])</f>
        <v>1763</v>
      </c>
      <c r="B1773" s="171">
        <f>ROUNDDOWN((LineærRegression_Valg[[#This Row],[Tabel ID]]-1)/$B$5,0)+1</f>
        <v>441</v>
      </c>
      <c r="C1773" s="171">
        <f t="shared" si="27"/>
        <v>3</v>
      </c>
      <c r="D1773" s="171" t="b">
        <f>LineærRegression_Valg[[#This Row],[Afhængig variabel ID]]&lt;&gt;LineærRegression_Valg[[#This Row],[Uafhængig variabel ID]]</f>
        <v>1</v>
      </c>
      <c r="E1773" s="171" t="b">
        <f>LineærRegression_Valg[[#This Row],[Afhængig variabel ID]]&lt;=$B$5</f>
        <v>0</v>
      </c>
      <c r="F1773" t="str" cm="1">
        <f t="array" ref="F1773">IF(LineærRegression_Valg[[#This Row],[Indenfor range]],INDEX(DataTitel_liste,LineærRegression_Valg[[#This Row],[Afhængig variabel ID]]),INDEX(DataTitel_liste,1))</f>
        <v>Eksempel 1 (interval)</v>
      </c>
      <c r="G1773" s="171" t="str" cm="1">
        <f t="array" ref="G1773">IF(LineærRegression_Valg[[#This Row],[Indenfor range]],IF(LineærRegression_Valg[[#This Row],[Intet overlap]],INDEX(DataTitel_liste,LineærRegression_Valg[[#This Row],[Uafhængig variabel ID]]),INDEX(DataTitel_liste,IF(LineærRegression_Valg[[#This Row],[Afhængig variabel ID]]=1,2,1))),$B$7)</f>
        <v>Eksempel 2 (interval)</v>
      </c>
      <c r="H1773" s="171">
        <f>_xlfn.AGGREGATE(2,5,LineærRegression_Valg[[#This Row],[Tabel ID]])</f>
        <v>1</v>
      </c>
    </row>
    <row r="1774" spans="1:8" x14ac:dyDescent="0.2">
      <c r="A1774">
        <f>ROW(LineærRegression_Valg[[#This Row],[Tabel ID]])-ROW(LineærRegression_Valg[[#Headers],[Tabel ID]])</f>
        <v>1764</v>
      </c>
      <c r="B1774" s="171">
        <f>ROUNDDOWN((LineærRegression_Valg[[#This Row],[Tabel ID]]-1)/$B$5,0)+1</f>
        <v>441</v>
      </c>
      <c r="C1774" s="171">
        <f t="shared" si="27"/>
        <v>4</v>
      </c>
      <c r="D1774" s="171" t="b">
        <f>LineærRegression_Valg[[#This Row],[Afhængig variabel ID]]&lt;&gt;LineærRegression_Valg[[#This Row],[Uafhængig variabel ID]]</f>
        <v>1</v>
      </c>
      <c r="E1774" s="171" t="b">
        <f>LineærRegression_Valg[[#This Row],[Afhængig variabel ID]]&lt;=$B$5</f>
        <v>0</v>
      </c>
      <c r="F1774" t="str" cm="1">
        <f t="array" ref="F1774">IF(LineærRegression_Valg[[#This Row],[Indenfor range]],INDEX(DataTitel_liste,LineærRegression_Valg[[#This Row],[Afhængig variabel ID]]),INDEX(DataTitel_liste,1))</f>
        <v>Eksempel 1 (interval)</v>
      </c>
      <c r="G1774" s="171" t="str" cm="1">
        <f t="array" ref="G1774">IF(LineærRegression_Valg[[#This Row],[Indenfor range]],IF(LineærRegression_Valg[[#This Row],[Intet overlap]],INDEX(DataTitel_liste,LineærRegression_Valg[[#This Row],[Uafhængig variabel ID]]),INDEX(DataTitel_liste,IF(LineærRegression_Valg[[#This Row],[Afhængig variabel ID]]=1,2,1))),$B$7)</f>
        <v>Eksempel 2 (interval)</v>
      </c>
      <c r="H1774" s="171">
        <f>_xlfn.AGGREGATE(2,5,LineærRegression_Valg[[#This Row],[Tabel ID]])</f>
        <v>1</v>
      </c>
    </row>
    <row r="1775" spans="1:8" x14ac:dyDescent="0.2">
      <c r="A1775">
        <f>ROW(LineærRegression_Valg[[#This Row],[Tabel ID]])-ROW(LineærRegression_Valg[[#Headers],[Tabel ID]])</f>
        <v>1765</v>
      </c>
      <c r="B1775" s="171">
        <f>ROUNDDOWN((LineærRegression_Valg[[#This Row],[Tabel ID]]-1)/$B$5,0)+1</f>
        <v>442</v>
      </c>
      <c r="C1775" s="171">
        <f t="shared" si="27"/>
        <v>1</v>
      </c>
      <c r="D1775" s="171" t="b">
        <f>LineærRegression_Valg[[#This Row],[Afhængig variabel ID]]&lt;&gt;LineærRegression_Valg[[#This Row],[Uafhængig variabel ID]]</f>
        <v>1</v>
      </c>
      <c r="E1775" s="171" t="b">
        <f>LineærRegression_Valg[[#This Row],[Afhængig variabel ID]]&lt;=$B$5</f>
        <v>0</v>
      </c>
      <c r="F1775" t="str" cm="1">
        <f t="array" ref="F1775">IF(LineærRegression_Valg[[#This Row],[Indenfor range]],INDEX(DataTitel_liste,LineærRegression_Valg[[#This Row],[Afhængig variabel ID]]),INDEX(DataTitel_liste,1))</f>
        <v>Eksempel 1 (interval)</v>
      </c>
      <c r="G1775" s="171" t="str" cm="1">
        <f t="array" ref="G1775">IF(LineærRegression_Valg[[#This Row],[Indenfor range]],IF(LineærRegression_Valg[[#This Row],[Intet overlap]],INDEX(DataTitel_liste,LineærRegression_Valg[[#This Row],[Uafhængig variabel ID]]),INDEX(DataTitel_liste,IF(LineærRegression_Valg[[#This Row],[Afhængig variabel ID]]=1,2,1))),$B$7)</f>
        <v>Eksempel 2 (interval)</v>
      </c>
      <c r="H1775" s="171">
        <f>_xlfn.AGGREGATE(2,5,LineærRegression_Valg[[#This Row],[Tabel ID]])</f>
        <v>1</v>
      </c>
    </row>
    <row r="1776" spans="1:8" x14ac:dyDescent="0.2">
      <c r="A1776">
        <f>ROW(LineærRegression_Valg[[#This Row],[Tabel ID]])-ROW(LineærRegression_Valg[[#Headers],[Tabel ID]])</f>
        <v>1766</v>
      </c>
      <c r="B1776" s="171">
        <f>ROUNDDOWN((LineærRegression_Valg[[#This Row],[Tabel ID]]-1)/$B$5,0)+1</f>
        <v>442</v>
      </c>
      <c r="C1776" s="171">
        <f t="shared" si="27"/>
        <v>2</v>
      </c>
      <c r="D1776" s="171" t="b">
        <f>LineærRegression_Valg[[#This Row],[Afhængig variabel ID]]&lt;&gt;LineærRegression_Valg[[#This Row],[Uafhængig variabel ID]]</f>
        <v>1</v>
      </c>
      <c r="E1776" s="171" t="b">
        <f>LineærRegression_Valg[[#This Row],[Afhængig variabel ID]]&lt;=$B$5</f>
        <v>0</v>
      </c>
      <c r="F1776" t="str" cm="1">
        <f t="array" ref="F1776">IF(LineærRegression_Valg[[#This Row],[Indenfor range]],INDEX(DataTitel_liste,LineærRegression_Valg[[#This Row],[Afhængig variabel ID]]),INDEX(DataTitel_liste,1))</f>
        <v>Eksempel 1 (interval)</v>
      </c>
      <c r="G1776" s="171" t="str" cm="1">
        <f t="array" ref="G1776">IF(LineærRegression_Valg[[#This Row],[Indenfor range]],IF(LineærRegression_Valg[[#This Row],[Intet overlap]],INDEX(DataTitel_liste,LineærRegression_Valg[[#This Row],[Uafhængig variabel ID]]),INDEX(DataTitel_liste,IF(LineærRegression_Valg[[#This Row],[Afhængig variabel ID]]=1,2,1))),$B$7)</f>
        <v>Eksempel 2 (interval)</v>
      </c>
      <c r="H1776" s="171">
        <f>_xlfn.AGGREGATE(2,5,LineærRegression_Valg[[#This Row],[Tabel ID]])</f>
        <v>1</v>
      </c>
    </row>
    <row r="1777" spans="1:8" x14ac:dyDescent="0.2">
      <c r="A1777">
        <f>ROW(LineærRegression_Valg[[#This Row],[Tabel ID]])-ROW(LineærRegression_Valg[[#Headers],[Tabel ID]])</f>
        <v>1767</v>
      </c>
      <c r="B1777" s="171">
        <f>ROUNDDOWN((LineærRegression_Valg[[#This Row],[Tabel ID]]-1)/$B$5,0)+1</f>
        <v>442</v>
      </c>
      <c r="C1777" s="171">
        <f t="shared" si="27"/>
        <v>3</v>
      </c>
      <c r="D1777" s="171" t="b">
        <f>LineærRegression_Valg[[#This Row],[Afhængig variabel ID]]&lt;&gt;LineærRegression_Valg[[#This Row],[Uafhængig variabel ID]]</f>
        <v>1</v>
      </c>
      <c r="E1777" s="171" t="b">
        <f>LineærRegression_Valg[[#This Row],[Afhængig variabel ID]]&lt;=$B$5</f>
        <v>0</v>
      </c>
      <c r="F1777" t="str" cm="1">
        <f t="array" ref="F1777">IF(LineærRegression_Valg[[#This Row],[Indenfor range]],INDEX(DataTitel_liste,LineærRegression_Valg[[#This Row],[Afhængig variabel ID]]),INDEX(DataTitel_liste,1))</f>
        <v>Eksempel 1 (interval)</v>
      </c>
      <c r="G1777" s="171" t="str" cm="1">
        <f t="array" ref="G1777">IF(LineærRegression_Valg[[#This Row],[Indenfor range]],IF(LineærRegression_Valg[[#This Row],[Intet overlap]],INDEX(DataTitel_liste,LineærRegression_Valg[[#This Row],[Uafhængig variabel ID]]),INDEX(DataTitel_liste,IF(LineærRegression_Valg[[#This Row],[Afhængig variabel ID]]=1,2,1))),$B$7)</f>
        <v>Eksempel 2 (interval)</v>
      </c>
      <c r="H1777" s="171">
        <f>_xlfn.AGGREGATE(2,5,LineærRegression_Valg[[#This Row],[Tabel ID]])</f>
        <v>1</v>
      </c>
    </row>
    <row r="1778" spans="1:8" x14ac:dyDescent="0.2">
      <c r="A1778">
        <f>ROW(LineærRegression_Valg[[#This Row],[Tabel ID]])-ROW(LineærRegression_Valg[[#Headers],[Tabel ID]])</f>
        <v>1768</v>
      </c>
      <c r="B1778" s="171">
        <f>ROUNDDOWN((LineærRegression_Valg[[#This Row],[Tabel ID]]-1)/$B$5,0)+1</f>
        <v>442</v>
      </c>
      <c r="C1778" s="171">
        <f t="shared" si="27"/>
        <v>4</v>
      </c>
      <c r="D1778" s="171" t="b">
        <f>LineærRegression_Valg[[#This Row],[Afhængig variabel ID]]&lt;&gt;LineærRegression_Valg[[#This Row],[Uafhængig variabel ID]]</f>
        <v>1</v>
      </c>
      <c r="E1778" s="171" t="b">
        <f>LineærRegression_Valg[[#This Row],[Afhængig variabel ID]]&lt;=$B$5</f>
        <v>0</v>
      </c>
      <c r="F1778" t="str" cm="1">
        <f t="array" ref="F1778">IF(LineærRegression_Valg[[#This Row],[Indenfor range]],INDEX(DataTitel_liste,LineærRegression_Valg[[#This Row],[Afhængig variabel ID]]),INDEX(DataTitel_liste,1))</f>
        <v>Eksempel 1 (interval)</v>
      </c>
      <c r="G1778" s="171" t="str" cm="1">
        <f t="array" ref="G1778">IF(LineærRegression_Valg[[#This Row],[Indenfor range]],IF(LineærRegression_Valg[[#This Row],[Intet overlap]],INDEX(DataTitel_liste,LineærRegression_Valg[[#This Row],[Uafhængig variabel ID]]),INDEX(DataTitel_liste,IF(LineærRegression_Valg[[#This Row],[Afhængig variabel ID]]=1,2,1))),$B$7)</f>
        <v>Eksempel 2 (interval)</v>
      </c>
      <c r="H1778" s="171">
        <f>_xlfn.AGGREGATE(2,5,LineærRegression_Valg[[#This Row],[Tabel ID]])</f>
        <v>1</v>
      </c>
    </row>
    <row r="1779" spans="1:8" x14ac:dyDescent="0.2">
      <c r="A1779">
        <f>ROW(LineærRegression_Valg[[#This Row],[Tabel ID]])-ROW(LineærRegression_Valg[[#Headers],[Tabel ID]])</f>
        <v>1769</v>
      </c>
      <c r="B1779" s="171">
        <f>ROUNDDOWN((LineærRegression_Valg[[#This Row],[Tabel ID]]-1)/$B$5,0)+1</f>
        <v>443</v>
      </c>
      <c r="C1779" s="171">
        <f t="shared" si="27"/>
        <v>1</v>
      </c>
      <c r="D1779" s="171" t="b">
        <f>LineærRegression_Valg[[#This Row],[Afhængig variabel ID]]&lt;&gt;LineærRegression_Valg[[#This Row],[Uafhængig variabel ID]]</f>
        <v>1</v>
      </c>
      <c r="E1779" s="171" t="b">
        <f>LineærRegression_Valg[[#This Row],[Afhængig variabel ID]]&lt;=$B$5</f>
        <v>0</v>
      </c>
      <c r="F1779" t="str" cm="1">
        <f t="array" ref="F1779">IF(LineærRegression_Valg[[#This Row],[Indenfor range]],INDEX(DataTitel_liste,LineærRegression_Valg[[#This Row],[Afhængig variabel ID]]),INDEX(DataTitel_liste,1))</f>
        <v>Eksempel 1 (interval)</v>
      </c>
      <c r="G1779" s="171" t="str" cm="1">
        <f t="array" ref="G1779">IF(LineærRegression_Valg[[#This Row],[Indenfor range]],IF(LineærRegression_Valg[[#This Row],[Intet overlap]],INDEX(DataTitel_liste,LineærRegression_Valg[[#This Row],[Uafhængig variabel ID]]),INDEX(DataTitel_liste,IF(LineærRegression_Valg[[#This Row],[Afhængig variabel ID]]=1,2,1))),$B$7)</f>
        <v>Eksempel 2 (interval)</v>
      </c>
      <c r="H1779" s="171">
        <f>_xlfn.AGGREGATE(2,5,LineærRegression_Valg[[#This Row],[Tabel ID]])</f>
        <v>1</v>
      </c>
    </row>
    <row r="1780" spans="1:8" x14ac:dyDescent="0.2">
      <c r="A1780">
        <f>ROW(LineærRegression_Valg[[#This Row],[Tabel ID]])-ROW(LineærRegression_Valg[[#Headers],[Tabel ID]])</f>
        <v>1770</v>
      </c>
      <c r="B1780" s="171">
        <f>ROUNDDOWN((LineærRegression_Valg[[#This Row],[Tabel ID]]-1)/$B$5,0)+1</f>
        <v>443</v>
      </c>
      <c r="C1780" s="171">
        <f t="shared" si="27"/>
        <v>2</v>
      </c>
      <c r="D1780" s="171" t="b">
        <f>LineærRegression_Valg[[#This Row],[Afhængig variabel ID]]&lt;&gt;LineærRegression_Valg[[#This Row],[Uafhængig variabel ID]]</f>
        <v>1</v>
      </c>
      <c r="E1780" s="171" t="b">
        <f>LineærRegression_Valg[[#This Row],[Afhængig variabel ID]]&lt;=$B$5</f>
        <v>0</v>
      </c>
      <c r="F1780" t="str" cm="1">
        <f t="array" ref="F1780">IF(LineærRegression_Valg[[#This Row],[Indenfor range]],INDEX(DataTitel_liste,LineærRegression_Valg[[#This Row],[Afhængig variabel ID]]),INDEX(DataTitel_liste,1))</f>
        <v>Eksempel 1 (interval)</v>
      </c>
      <c r="G1780" s="171" t="str" cm="1">
        <f t="array" ref="G1780">IF(LineærRegression_Valg[[#This Row],[Indenfor range]],IF(LineærRegression_Valg[[#This Row],[Intet overlap]],INDEX(DataTitel_liste,LineærRegression_Valg[[#This Row],[Uafhængig variabel ID]]),INDEX(DataTitel_liste,IF(LineærRegression_Valg[[#This Row],[Afhængig variabel ID]]=1,2,1))),$B$7)</f>
        <v>Eksempel 2 (interval)</v>
      </c>
      <c r="H1780" s="171">
        <f>_xlfn.AGGREGATE(2,5,LineærRegression_Valg[[#This Row],[Tabel ID]])</f>
        <v>1</v>
      </c>
    </row>
    <row r="1781" spans="1:8" x14ac:dyDescent="0.2">
      <c r="A1781">
        <f>ROW(LineærRegression_Valg[[#This Row],[Tabel ID]])-ROW(LineærRegression_Valg[[#Headers],[Tabel ID]])</f>
        <v>1771</v>
      </c>
      <c r="B1781" s="171">
        <f>ROUNDDOWN((LineærRegression_Valg[[#This Row],[Tabel ID]]-1)/$B$5,0)+1</f>
        <v>443</v>
      </c>
      <c r="C1781" s="171">
        <f t="shared" si="27"/>
        <v>3</v>
      </c>
      <c r="D1781" s="171" t="b">
        <f>LineærRegression_Valg[[#This Row],[Afhængig variabel ID]]&lt;&gt;LineærRegression_Valg[[#This Row],[Uafhængig variabel ID]]</f>
        <v>1</v>
      </c>
      <c r="E1781" s="171" t="b">
        <f>LineærRegression_Valg[[#This Row],[Afhængig variabel ID]]&lt;=$B$5</f>
        <v>0</v>
      </c>
      <c r="F1781" t="str" cm="1">
        <f t="array" ref="F1781">IF(LineærRegression_Valg[[#This Row],[Indenfor range]],INDEX(DataTitel_liste,LineærRegression_Valg[[#This Row],[Afhængig variabel ID]]),INDEX(DataTitel_liste,1))</f>
        <v>Eksempel 1 (interval)</v>
      </c>
      <c r="G1781" s="171" t="str" cm="1">
        <f t="array" ref="G1781">IF(LineærRegression_Valg[[#This Row],[Indenfor range]],IF(LineærRegression_Valg[[#This Row],[Intet overlap]],INDEX(DataTitel_liste,LineærRegression_Valg[[#This Row],[Uafhængig variabel ID]]),INDEX(DataTitel_liste,IF(LineærRegression_Valg[[#This Row],[Afhængig variabel ID]]=1,2,1))),$B$7)</f>
        <v>Eksempel 2 (interval)</v>
      </c>
      <c r="H1781" s="171">
        <f>_xlfn.AGGREGATE(2,5,LineærRegression_Valg[[#This Row],[Tabel ID]])</f>
        <v>1</v>
      </c>
    </row>
    <row r="1782" spans="1:8" x14ac:dyDescent="0.2">
      <c r="A1782">
        <f>ROW(LineærRegression_Valg[[#This Row],[Tabel ID]])-ROW(LineærRegression_Valg[[#Headers],[Tabel ID]])</f>
        <v>1772</v>
      </c>
      <c r="B1782" s="171">
        <f>ROUNDDOWN((LineærRegression_Valg[[#This Row],[Tabel ID]]-1)/$B$5,0)+1</f>
        <v>443</v>
      </c>
      <c r="C1782" s="171">
        <f t="shared" si="27"/>
        <v>4</v>
      </c>
      <c r="D1782" s="171" t="b">
        <f>LineærRegression_Valg[[#This Row],[Afhængig variabel ID]]&lt;&gt;LineærRegression_Valg[[#This Row],[Uafhængig variabel ID]]</f>
        <v>1</v>
      </c>
      <c r="E1782" s="171" t="b">
        <f>LineærRegression_Valg[[#This Row],[Afhængig variabel ID]]&lt;=$B$5</f>
        <v>0</v>
      </c>
      <c r="F1782" t="str" cm="1">
        <f t="array" ref="F1782">IF(LineærRegression_Valg[[#This Row],[Indenfor range]],INDEX(DataTitel_liste,LineærRegression_Valg[[#This Row],[Afhængig variabel ID]]),INDEX(DataTitel_liste,1))</f>
        <v>Eksempel 1 (interval)</v>
      </c>
      <c r="G1782" s="171" t="str" cm="1">
        <f t="array" ref="G1782">IF(LineærRegression_Valg[[#This Row],[Indenfor range]],IF(LineærRegression_Valg[[#This Row],[Intet overlap]],INDEX(DataTitel_liste,LineærRegression_Valg[[#This Row],[Uafhængig variabel ID]]),INDEX(DataTitel_liste,IF(LineærRegression_Valg[[#This Row],[Afhængig variabel ID]]=1,2,1))),$B$7)</f>
        <v>Eksempel 2 (interval)</v>
      </c>
      <c r="H1782" s="171">
        <f>_xlfn.AGGREGATE(2,5,LineærRegression_Valg[[#This Row],[Tabel ID]])</f>
        <v>1</v>
      </c>
    </row>
    <row r="1783" spans="1:8" x14ac:dyDescent="0.2">
      <c r="A1783">
        <f>ROW(LineærRegression_Valg[[#This Row],[Tabel ID]])-ROW(LineærRegression_Valg[[#Headers],[Tabel ID]])</f>
        <v>1773</v>
      </c>
      <c r="B1783" s="171">
        <f>ROUNDDOWN((LineærRegression_Valg[[#This Row],[Tabel ID]]-1)/$B$5,0)+1</f>
        <v>444</v>
      </c>
      <c r="C1783" s="171">
        <f t="shared" si="27"/>
        <v>1</v>
      </c>
      <c r="D1783" s="171" t="b">
        <f>LineærRegression_Valg[[#This Row],[Afhængig variabel ID]]&lt;&gt;LineærRegression_Valg[[#This Row],[Uafhængig variabel ID]]</f>
        <v>1</v>
      </c>
      <c r="E1783" s="171" t="b">
        <f>LineærRegression_Valg[[#This Row],[Afhængig variabel ID]]&lt;=$B$5</f>
        <v>0</v>
      </c>
      <c r="F1783" t="str" cm="1">
        <f t="array" ref="F1783">IF(LineærRegression_Valg[[#This Row],[Indenfor range]],INDEX(DataTitel_liste,LineærRegression_Valg[[#This Row],[Afhængig variabel ID]]),INDEX(DataTitel_liste,1))</f>
        <v>Eksempel 1 (interval)</v>
      </c>
      <c r="G1783" s="171" t="str" cm="1">
        <f t="array" ref="G1783">IF(LineærRegression_Valg[[#This Row],[Indenfor range]],IF(LineærRegression_Valg[[#This Row],[Intet overlap]],INDEX(DataTitel_liste,LineærRegression_Valg[[#This Row],[Uafhængig variabel ID]]),INDEX(DataTitel_liste,IF(LineærRegression_Valg[[#This Row],[Afhængig variabel ID]]=1,2,1))),$B$7)</f>
        <v>Eksempel 2 (interval)</v>
      </c>
      <c r="H1783" s="171">
        <f>_xlfn.AGGREGATE(2,5,LineærRegression_Valg[[#This Row],[Tabel ID]])</f>
        <v>1</v>
      </c>
    </row>
    <row r="1784" spans="1:8" x14ac:dyDescent="0.2">
      <c r="A1784">
        <f>ROW(LineærRegression_Valg[[#This Row],[Tabel ID]])-ROW(LineærRegression_Valg[[#Headers],[Tabel ID]])</f>
        <v>1774</v>
      </c>
      <c r="B1784" s="171">
        <f>ROUNDDOWN((LineærRegression_Valg[[#This Row],[Tabel ID]]-1)/$B$5,0)+1</f>
        <v>444</v>
      </c>
      <c r="C1784" s="171">
        <f t="shared" si="27"/>
        <v>2</v>
      </c>
      <c r="D1784" s="171" t="b">
        <f>LineærRegression_Valg[[#This Row],[Afhængig variabel ID]]&lt;&gt;LineærRegression_Valg[[#This Row],[Uafhængig variabel ID]]</f>
        <v>1</v>
      </c>
      <c r="E1784" s="171" t="b">
        <f>LineærRegression_Valg[[#This Row],[Afhængig variabel ID]]&lt;=$B$5</f>
        <v>0</v>
      </c>
      <c r="F1784" t="str" cm="1">
        <f t="array" ref="F1784">IF(LineærRegression_Valg[[#This Row],[Indenfor range]],INDEX(DataTitel_liste,LineærRegression_Valg[[#This Row],[Afhængig variabel ID]]),INDEX(DataTitel_liste,1))</f>
        <v>Eksempel 1 (interval)</v>
      </c>
      <c r="G1784" s="171" t="str" cm="1">
        <f t="array" ref="G1784">IF(LineærRegression_Valg[[#This Row],[Indenfor range]],IF(LineærRegression_Valg[[#This Row],[Intet overlap]],INDEX(DataTitel_liste,LineærRegression_Valg[[#This Row],[Uafhængig variabel ID]]),INDEX(DataTitel_liste,IF(LineærRegression_Valg[[#This Row],[Afhængig variabel ID]]=1,2,1))),$B$7)</f>
        <v>Eksempel 2 (interval)</v>
      </c>
      <c r="H1784" s="171">
        <f>_xlfn.AGGREGATE(2,5,LineærRegression_Valg[[#This Row],[Tabel ID]])</f>
        <v>1</v>
      </c>
    </row>
    <row r="1785" spans="1:8" x14ac:dyDescent="0.2">
      <c r="A1785">
        <f>ROW(LineærRegression_Valg[[#This Row],[Tabel ID]])-ROW(LineærRegression_Valg[[#Headers],[Tabel ID]])</f>
        <v>1775</v>
      </c>
      <c r="B1785" s="171">
        <f>ROUNDDOWN((LineærRegression_Valg[[#This Row],[Tabel ID]]-1)/$B$5,0)+1</f>
        <v>444</v>
      </c>
      <c r="C1785" s="171">
        <f t="shared" si="27"/>
        <v>3</v>
      </c>
      <c r="D1785" s="171" t="b">
        <f>LineærRegression_Valg[[#This Row],[Afhængig variabel ID]]&lt;&gt;LineærRegression_Valg[[#This Row],[Uafhængig variabel ID]]</f>
        <v>1</v>
      </c>
      <c r="E1785" s="171" t="b">
        <f>LineærRegression_Valg[[#This Row],[Afhængig variabel ID]]&lt;=$B$5</f>
        <v>0</v>
      </c>
      <c r="F1785" t="str" cm="1">
        <f t="array" ref="F1785">IF(LineærRegression_Valg[[#This Row],[Indenfor range]],INDEX(DataTitel_liste,LineærRegression_Valg[[#This Row],[Afhængig variabel ID]]),INDEX(DataTitel_liste,1))</f>
        <v>Eksempel 1 (interval)</v>
      </c>
      <c r="G1785" s="171" t="str" cm="1">
        <f t="array" ref="G1785">IF(LineærRegression_Valg[[#This Row],[Indenfor range]],IF(LineærRegression_Valg[[#This Row],[Intet overlap]],INDEX(DataTitel_liste,LineærRegression_Valg[[#This Row],[Uafhængig variabel ID]]),INDEX(DataTitel_liste,IF(LineærRegression_Valg[[#This Row],[Afhængig variabel ID]]=1,2,1))),$B$7)</f>
        <v>Eksempel 2 (interval)</v>
      </c>
      <c r="H1785" s="171">
        <f>_xlfn.AGGREGATE(2,5,LineærRegression_Valg[[#This Row],[Tabel ID]])</f>
        <v>1</v>
      </c>
    </row>
    <row r="1786" spans="1:8" x14ac:dyDescent="0.2">
      <c r="A1786">
        <f>ROW(LineærRegression_Valg[[#This Row],[Tabel ID]])-ROW(LineærRegression_Valg[[#Headers],[Tabel ID]])</f>
        <v>1776</v>
      </c>
      <c r="B1786" s="171">
        <f>ROUNDDOWN((LineærRegression_Valg[[#This Row],[Tabel ID]]-1)/$B$5,0)+1</f>
        <v>444</v>
      </c>
      <c r="C1786" s="171">
        <f t="shared" si="27"/>
        <v>4</v>
      </c>
      <c r="D1786" s="171" t="b">
        <f>LineærRegression_Valg[[#This Row],[Afhængig variabel ID]]&lt;&gt;LineærRegression_Valg[[#This Row],[Uafhængig variabel ID]]</f>
        <v>1</v>
      </c>
      <c r="E1786" s="171" t="b">
        <f>LineærRegression_Valg[[#This Row],[Afhængig variabel ID]]&lt;=$B$5</f>
        <v>0</v>
      </c>
      <c r="F1786" t="str" cm="1">
        <f t="array" ref="F1786">IF(LineærRegression_Valg[[#This Row],[Indenfor range]],INDEX(DataTitel_liste,LineærRegression_Valg[[#This Row],[Afhængig variabel ID]]),INDEX(DataTitel_liste,1))</f>
        <v>Eksempel 1 (interval)</v>
      </c>
      <c r="G1786" s="171" t="str" cm="1">
        <f t="array" ref="G1786">IF(LineærRegression_Valg[[#This Row],[Indenfor range]],IF(LineærRegression_Valg[[#This Row],[Intet overlap]],INDEX(DataTitel_liste,LineærRegression_Valg[[#This Row],[Uafhængig variabel ID]]),INDEX(DataTitel_liste,IF(LineærRegression_Valg[[#This Row],[Afhængig variabel ID]]=1,2,1))),$B$7)</f>
        <v>Eksempel 2 (interval)</v>
      </c>
      <c r="H1786" s="171">
        <f>_xlfn.AGGREGATE(2,5,LineærRegression_Valg[[#This Row],[Tabel ID]])</f>
        <v>1</v>
      </c>
    </row>
    <row r="1787" spans="1:8" x14ac:dyDescent="0.2">
      <c r="A1787">
        <f>ROW(LineærRegression_Valg[[#This Row],[Tabel ID]])-ROW(LineærRegression_Valg[[#Headers],[Tabel ID]])</f>
        <v>1777</v>
      </c>
      <c r="B1787" s="171">
        <f>ROUNDDOWN((LineærRegression_Valg[[#This Row],[Tabel ID]]-1)/$B$5,0)+1</f>
        <v>445</v>
      </c>
      <c r="C1787" s="171">
        <f t="shared" si="27"/>
        <v>1</v>
      </c>
      <c r="D1787" s="171" t="b">
        <f>LineærRegression_Valg[[#This Row],[Afhængig variabel ID]]&lt;&gt;LineærRegression_Valg[[#This Row],[Uafhængig variabel ID]]</f>
        <v>1</v>
      </c>
      <c r="E1787" s="171" t="b">
        <f>LineærRegression_Valg[[#This Row],[Afhængig variabel ID]]&lt;=$B$5</f>
        <v>0</v>
      </c>
      <c r="F1787" t="str" cm="1">
        <f t="array" ref="F1787">IF(LineærRegression_Valg[[#This Row],[Indenfor range]],INDEX(DataTitel_liste,LineærRegression_Valg[[#This Row],[Afhængig variabel ID]]),INDEX(DataTitel_liste,1))</f>
        <v>Eksempel 1 (interval)</v>
      </c>
      <c r="G1787" s="171" t="str" cm="1">
        <f t="array" ref="G1787">IF(LineærRegression_Valg[[#This Row],[Indenfor range]],IF(LineærRegression_Valg[[#This Row],[Intet overlap]],INDEX(DataTitel_liste,LineærRegression_Valg[[#This Row],[Uafhængig variabel ID]]),INDEX(DataTitel_liste,IF(LineærRegression_Valg[[#This Row],[Afhængig variabel ID]]=1,2,1))),$B$7)</f>
        <v>Eksempel 2 (interval)</v>
      </c>
      <c r="H1787" s="171">
        <f>_xlfn.AGGREGATE(2,5,LineærRegression_Valg[[#This Row],[Tabel ID]])</f>
        <v>1</v>
      </c>
    </row>
    <row r="1788" spans="1:8" x14ac:dyDescent="0.2">
      <c r="A1788">
        <f>ROW(LineærRegression_Valg[[#This Row],[Tabel ID]])-ROW(LineærRegression_Valg[[#Headers],[Tabel ID]])</f>
        <v>1778</v>
      </c>
      <c r="B1788" s="171">
        <f>ROUNDDOWN((LineærRegression_Valg[[#This Row],[Tabel ID]]-1)/$B$5,0)+1</f>
        <v>445</v>
      </c>
      <c r="C1788" s="171">
        <f t="shared" si="27"/>
        <v>2</v>
      </c>
      <c r="D1788" s="171" t="b">
        <f>LineærRegression_Valg[[#This Row],[Afhængig variabel ID]]&lt;&gt;LineærRegression_Valg[[#This Row],[Uafhængig variabel ID]]</f>
        <v>1</v>
      </c>
      <c r="E1788" s="171" t="b">
        <f>LineærRegression_Valg[[#This Row],[Afhængig variabel ID]]&lt;=$B$5</f>
        <v>0</v>
      </c>
      <c r="F1788" t="str" cm="1">
        <f t="array" ref="F1788">IF(LineærRegression_Valg[[#This Row],[Indenfor range]],INDEX(DataTitel_liste,LineærRegression_Valg[[#This Row],[Afhængig variabel ID]]),INDEX(DataTitel_liste,1))</f>
        <v>Eksempel 1 (interval)</v>
      </c>
      <c r="G1788" s="171" t="str" cm="1">
        <f t="array" ref="G1788">IF(LineærRegression_Valg[[#This Row],[Indenfor range]],IF(LineærRegression_Valg[[#This Row],[Intet overlap]],INDEX(DataTitel_liste,LineærRegression_Valg[[#This Row],[Uafhængig variabel ID]]),INDEX(DataTitel_liste,IF(LineærRegression_Valg[[#This Row],[Afhængig variabel ID]]=1,2,1))),$B$7)</f>
        <v>Eksempel 2 (interval)</v>
      </c>
      <c r="H1788" s="171">
        <f>_xlfn.AGGREGATE(2,5,LineærRegression_Valg[[#This Row],[Tabel ID]])</f>
        <v>1</v>
      </c>
    </row>
    <row r="1789" spans="1:8" x14ac:dyDescent="0.2">
      <c r="A1789">
        <f>ROW(LineærRegression_Valg[[#This Row],[Tabel ID]])-ROW(LineærRegression_Valg[[#Headers],[Tabel ID]])</f>
        <v>1779</v>
      </c>
      <c r="B1789" s="171">
        <f>ROUNDDOWN((LineærRegression_Valg[[#This Row],[Tabel ID]]-1)/$B$5,0)+1</f>
        <v>445</v>
      </c>
      <c r="C1789" s="171">
        <f t="shared" si="27"/>
        <v>3</v>
      </c>
      <c r="D1789" s="171" t="b">
        <f>LineærRegression_Valg[[#This Row],[Afhængig variabel ID]]&lt;&gt;LineærRegression_Valg[[#This Row],[Uafhængig variabel ID]]</f>
        <v>1</v>
      </c>
      <c r="E1789" s="171" t="b">
        <f>LineærRegression_Valg[[#This Row],[Afhængig variabel ID]]&lt;=$B$5</f>
        <v>0</v>
      </c>
      <c r="F1789" t="str" cm="1">
        <f t="array" ref="F1789">IF(LineærRegression_Valg[[#This Row],[Indenfor range]],INDEX(DataTitel_liste,LineærRegression_Valg[[#This Row],[Afhængig variabel ID]]),INDEX(DataTitel_liste,1))</f>
        <v>Eksempel 1 (interval)</v>
      </c>
      <c r="G1789" s="171" t="str" cm="1">
        <f t="array" ref="G1789">IF(LineærRegression_Valg[[#This Row],[Indenfor range]],IF(LineærRegression_Valg[[#This Row],[Intet overlap]],INDEX(DataTitel_liste,LineærRegression_Valg[[#This Row],[Uafhængig variabel ID]]),INDEX(DataTitel_liste,IF(LineærRegression_Valg[[#This Row],[Afhængig variabel ID]]=1,2,1))),$B$7)</f>
        <v>Eksempel 2 (interval)</v>
      </c>
      <c r="H1789" s="171">
        <f>_xlfn.AGGREGATE(2,5,LineærRegression_Valg[[#This Row],[Tabel ID]])</f>
        <v>1</v>
      </c>
    </row>
    <row r="1790" spans="1:8" x14ac:dyDescent="0.2">
      <c r="A1790">
        <f>ROW(LineærRegression_Valg[[#This Row],[Tabel ID]])-ROW(LineærRegression_Valg[[#Headers],[Tabel ID]])</f>
        <v>1780</v>
      </c>
      <c r="B1790" s="171">
        <f>ROUNDDOWN((LineærRegression_Valg[[#This Row],[Tabel ID]]-1)/$B$5,0)+1</f>
        <v>445</v>
      </c>
      <c r="C1790" s="171">
        <f t="shared" si="27"/>
        <v>4</v>
      </c>
      <c r="D1790" s="171" t="b">
        <f>LineærRegression_Valg[[#This Row],[Afhængig variabel ID]]&lt;&gt;LineærRegression_Valg[[#This Row],[Uafhængig variabel ID]]</f>
        <v>1</v>
      </c>
      <c r="E1790" s="171" t="b">
        <f>LineærRegression_Valg[[#This Row],[Afhængig variabel ID]]&lt;=$B$5</f>
        <v>0</v>
      </c>
      <c r="F1790" t="str" cm="1">
        <f t="array" ref="F1790">IF(LineærRegression_Valg[[#This Row],[Indenfor range]],INDEX(DataTitel_liste,LineærRegression_Valg[[#This Row],[Afhængig variabel ID]]),INDEX(DataTitel_liste,1))</f>
        <v>Eksempel 1 (interval)</v>
      </c>
      <c r="G1790" s="171" t="str" cm="1">
        <f t="array" ref="G1790">IF(LineærRegression_Valg[[#This Row],[Indenfor range]],IF(LineærRegression_Valg[[#This Row],[Intet overlap]],INDEX(DataTitel_liste,LineærRegression_Valg[[#This Row],[Uafhængig variabel ID]]),INDEX(DataTitel_liste,IF(LineærRegression_Valg[[#This Row],[Afhængig variabel ID]]=1,2,1))),$B$7)</f>
        <v>Eksempel 2 (interval)</v>
      </c>
      <c r="H1790" s="171">
        <f>_xlfn.AGGREGATE(2,5,LineærRegression_Valg[[#This Row],[Tabel ID]])</f>
        <v>1</v>
      </c>
    </row>
    <row r="1791" spans="1:8" x14ac:dyDescent="0.2">
      <c r="A1791">
        <f>ROW(LineærRegression_Valg[[#This Row],[Tabel ID]])-ROW(LineærRegression_Valg[[#Headers],[Tabel ID]])</f>
        <v>1781</v>
      </c>
      <c r="B1791" s="171">
        <f>ROUNDDOWN((LineærRegression_Valg[[#This Row],[Tabel ID]]-1)/$B$5,0)+1</f>
        <v>446</v>
      </c>
      <c r="C1791" s="171">
        <f t="shared" si="27"/>
        <v>1</v>
      </c>
      <c r="D1791" s="171" t="b">
        <f>LineærRegression_Valg[[#This Row],[Afhængig variabel ID]]&lt;&gt;LineærRegression_Valg[[#This Row],[Uafhængig variabel ID]]</f>
        <v>1</v>
      </c>
      <c r="E1791" s="171" t="b">
        <f>LineærRegression_Valg[[#This Row],[Afhængig variabel ID]]&lt;=$B$5</f>
        <v>0</v>
      </c>
      <c r="F1791" t="str" cm="1">
        <f t="array" ref="F1791">IF(LineærRegression_Valg[[#This Row],[Indenfor range]],INDEX(DataTitel_liste,LineærRegression_Valg[[#This Row],[Afhængig variabel ID]]),INDEX(DataTitel_liste,1))</f>
        <v>Eksempel 1 (interval)</v>
      </c>
      <c r="G1791" s="171" t="str" cm="1">
        <f t="array" ref="G1791">IF(LineærRegression_Valg[[#This Row],[Indenfor range]],IF(LineærRegression_Valg[[#This Row],[Intet overlap]],INDEX(DataTitel_liste,LineærRegression_Valg[[#This Row],[Uafhængig variabel ID]]),INDEX(DataTitel_liste,IF(LineærRegression_Valg[[#This Row],[Afhængig variabel ID]]=1,2,1))),$B$7)</f>
        <v>Eksempel 2 (interval)</v>
      </c>
      <c r="H1791" s="171">
        <f>_xlfn.AGGREGATE(2,5,LineærRegression_Valg[[#This Row],[Tabel ID]])</f>
        <v>1</v>
      </c>
    </row>
    <row r="1792" spans="1:8" x14ac:dyDescent="0.2">
      <c r="A1792">
        <f>ROW(LineærRegression_Valg[[#This Row],[Tabel ID]])-ROW(LineærRegression_Valg[[#Headers],[Tabel ID]])</f>
        <v>1782</v>
      </c>
      <c r="B1792" s="171">
        <f>ROUNDDOWN((LineærRegression_Valg[[#This Row],[Tabel ID]]-1)/$B$5,0)+1</f>
        <v>446</v>
      </c>
      <c r="C1792" s="171">
        <f t="shared" si="27"/>
        <v>2</v>
      </c>
      <c r="D1792" s="171" t="b">
        <f>LineærRegression_Valg[[#This Row],[Afhængig variabel ID]]&lt;&gt;LineærRegression_Valg[[#This Row],[Uafhængig variabel ID]]</f>
        <v>1</v>
      </c>
      <c r="E1792" s="171" t="b">
        <f>LineærRegression_Valg[[#This Row],[Afhængig variabel ID]]&lt;=$B$5</f>
        <v>0</v>
      </c>
      <c r="F1792" t="str" cm="1">
        <f t="array" ref="F1792">IF(LineærRegression_Valg[[#This Row],[Indenfor range]],INDEX(DataTitel_liste,LineærRegression_Valg[[#This Row],[Afhængig variabel ID]]),INDEX(DataTitel_liste,1))</f>
        <v>Eksempel 1 (interval)</v>
      </c>
      <c r="G1792" s="171" t="str" cm="1">
        <f t="array" ref="G1792">IF(LineærRegression_Valg[[#This Row],[Indenfor range]],IF(LineærRegression_Valg[[#This Row],[Intet overlap]],INDEX(DataTitel_liste,LineærRegression_Valg[[#This Row],[Uafhængig variabel ID]]),INDEX(DataTitel_liste,IF(LineærRegression_Valg[[#This Row],[Afhængig variabel ID]]=1,2,1))),$B$7)</f>
        <v>Eksempel 2 (interval)</v>
      </c>
      <c r="H1792" s="171">
        <f>_xlfn.AGGREGATE(2,5,LineærRegression_Valg[[#This Row],[Tabel ID]])</f>
        <v>1</v>
      </c>
    </row>
    <row r="1793" spans="1:8" x14ac:dyDescent="0.2">
      <c r="A1793">
        <f>ROW(LineærRegression_Valg[[#This Row],[Tabel ID]])-ROW(LineærRegression_Valg[[#Headers],[Tabel ID]])</f>
        <v>1783</v>
      </c>
      <c r="B1793" s="171">
        <f>ROUNDDOWN((LineærRegression_Valg[[#This Row],[Tabel ID]]-1)/$B$5,0)+1</f>
        <v>446</v>
      </c>
      <c r="C1793" s="171">
        <f t="shared" si="27"/>
        <v>3</v>
      </c>
      <c r="D1793" s="171" t="b">
        <f>LineærRegression_Valg[[#This Row],[Afhængig variabel ID]]&lt;&gt;LineærRegression_Valg[[#This Row],[Uafhængig variabel ID]]</f>
        <v>1</v>
      </c>
      <c r="E1793" s="171" t="b">
        <f>LineærRegression_Valg[[#This Row],[Afhængig variabel ID]]&lt;=$B$5</f>
        <v>0</v>
      </c>
      <c r="F1793" t="str" cm="1">
        <f t="array" ref="F1793">IF(LineærRegression_Valg[[#This Row],[Indenfor range]],INDEX(DataTitel_liste,LineærRegression_Valg[[#This Row],[Afhængig variabel ID]]),INDEX(DataTitel_liste,1))</f>
        <v>Eksempel 1 (interval)</v>
      </c>
      <c r="G1793" s="171" t="str" cm="1">
        <f t="array" ref="G1793">IF(LineærRegression_Valg[[#This Row],[Indenfor range]],IF(LineærRegression_Valg[[#This Row],[Intet overlap]],INDEX(DataTitel_liste,LineærRegression_Valg[[#This Row],[Uafhængig variabel ID]]),INDEX(DataTitel_liste,IF(LineærRegression_Valg[[#This Row],[Afhængig variabel ID]]=1,2,1))),$B$7)</f>
        <v>Eksempel 2 (interval)</v>
      </c>
      <c r="H1793" s="171">
        <f>_xlfn.AGGREGATE(2,5,LineærRegression_Valg[[#This Row],[Tabel ID]])</f>
        <v>1</v>
      </c>
    </row>
    <row r="1794" spans="1:8" x14ac:dyDescent="0.2">
      <c r="A1794">
        <f>ROW(LineærRegression_Valg[[#This Row],[Tabel ID]])-ROW(LineærRegression_Valg[[#Headers],[Tabel ID]])</f>
        <v>1784</v>
      </c>
      <c r="B1794" s="171">
        <f>ROUNDDOWN((LineærRegression_Valg[[#This Row],[Tabel ID]]-1)/$B$5,0)+1</f>
        <v>446</v>
      </c>
      <c r="C1794" s="171">
        <f t="shared" si="27"/>
        <v>4</v>
      </c>
      <c r="D1794" s="171" t="b">
        <f>LineærRegression_Valg[[#This Row],[Afhængig variabel ID]]&lt;&gt;LineærRegression_Valg[[#This Row],[Uafhængig variabel ID]]</f>
        <v>1</v>
      </c>
      <c r="E1794" s="171" t="b">
        <f>LineærRegression_Valg[[#This Row],[Afhængig variabel ID]]&lt;=$B$5</f>
        <v>0</v>
      </c>
      <c r="F1794" t="str" cm="1">
        <f t="array" ref="F1794">IF(LineærRegression_Valg[[#This Row],[Indenfor range]],INDEX(DataTitel_liste,LineærRegression_Valg[[#This Row],[Afhængig variabel ID]]),INDEX(DataTitel_liste,1))</f>
        <v>Eksempel 1 (interval)</v>
      </c>
      <c r="G1794" s="171" t="str" cm="1">
        <f t="array" ref="G1794">IF(LineærRegression_Valg[[#This Row],[Indenfor range]],IF(LineærRegression_Valg[[#This Row],[Intet overlap]],INDEX(DataTitel_liste,LineærRegression_Valg[[#This Row],[Uafhængig variabel ID]]),INDEX(DataTitel_liste,IF(LineærRegression_Valg[[#This Row],[Afhængig variabel ID]]=1,2,1))),$B$7)</f>
        <v>Eksempel 2 (interval)</v>
      </c>
      <c r="H1794" s="171">
        <f>_xlfn.AGGREGATE(2,5,LineærRegression_Valg[[#This Row],[Tabel ID]])</f>
        <v>1</v>
      </c>
    </row>
    <row r="1795" spans="1:8" x14ac:dyDescent="0.2">
      <c r="A1795">
        <f>ROW(LineærRegression_Valg[[#This Row],[Tabel ID]])-ROW(LineærRegression_Valg[[#Headers],[Tabel ID]])</f>
        <v>1785</v>
      </c>
      <c r="B1795" s="171">
        <f>ROUNDDOWN((LineærRegression_Valg[[#This Row],[Tabel ID]]-1)/$B$5,0)+1</f>
        <v>447</v>
      </c>
      <c r="C1795" s="171">
        <f t="shared" si="27"/>
        <v>1</v>
      </c>
      <c r="D1795" s="171" t="b">
        <f>LineærRegression_Valg[[#This Row],[Afhængig variabel ID]]&lt;&gt;LineærRegression_Valg[[#This Row],[Uafhængig variabel ID]]</f>
        <v>1</v>
      </c>
      <c r="E1795" s="171" t="b">
        <f>LineærRegression_Valg[[#This Row],[Afhængig variabel ID]]&lt;=$B$5</f>
        <v>0</v>
      </c>
      <c r="F1795" t="str" cm="1">
        <f t="array" ref="F1795">IF(LineærRegression_Valg[[#This Row],[Indenfor range]],INDEX(DataTitel_liste,LineærRegression_Valg[[#This Row],[Afhængig variabel ID]]),INDEX(DataTitel_liste,1))</f>
        <v>Eksempel 1 (interval)</v>
      </c>
      <c r="G1795" s="171" t="str" cm="1">
        <f t="array" ref="G1795">IF(LineærRegression_Valg[[#This Row],[Indenfor range]],IF(LineærRegression_Valg[[#This Row],[Intet overlap]],INDEX(DataTitel_liste,LineærRegression_Valg[[#This Row],[Uafhængig variabel ID]]),INDEX(DataTitel_liste,IF(LineærRegression_Valg[[#This Row],[Afhængig variabel ID]]=1,2,1))),$B$7)</f>
        <v>Eksempel 2 (interval)</v>
      </c>
      <c r="H1795" s="171">
        <f>_xlfn.AGGREGATE(2,5,LineærRegression_Valg[[#This Row],[Tabel ID]])</f>
        <v>1</v>
      </c>
    </row>
    <row r="1796" spans="1:8" x14ac:dyDescent="0.2">
      <c r="A1796">
        <f>ROW(LineærRegression_Valg[[#This Row],[Tabel ID]])-ROW(LineærRegression_Valg[[#Headers],[Tabel ID]])</f>
        <v>1786</v>
      </c>
      <c r="B1796" s="171">
        <f>ROUNDDOWN((LineærRegression_Valg[[#This Row],[Tabel ID]]-1)/$B$5,0)+1</f>
        <v>447</v>
      </c>
      <c r="C1796" s="171">
        <f t="shared" si="27"/>
        <v>2</v>
      </c>
      <c r="D1796" s="171" t="b">
        <f>LineærRegression_Valg[[#This Row],[Afhængig variabel ID]]&lt;&gt;LineærRegression_Valg[[#This Row],[Uafhængig variabel ID]]</f>
        <v>1</v>
      </c>
      <c r="E1796" s="171" t="b">
        <f>LineærRegression_Valg[[#This Row],[Afhængig variabel ID]]&lt;=$B$5</f>
        <v>0</v>
      </c>
      <c r="F1796" t="str" cm="1">
        <f t="array" ref="F1796">IF(LineærRegression_Valg[[#This Row],[Indenfor range]],INDEX(DataTitel_liste,LineærRegression_Valg[[#This Row],[Afhængig variabel ID]]),INDEX(DataTitel_liste,1))</f>
        <v>Eksempel 1 (interval)</v>
      </c>
      <c r="G1796" s="171" t="str" cm="1">
        <f t="array" ref="G1796">IF(LineærRegression_Valg[[#This Row],[Indenfor range]],IF(LineærRegression_Valg[[#This Row],[Intet overlap]],INDEX(DataTitel_liste,LineærRegression_Valg[[#This Row],[Uafhængig variabel ID]]),INDEX(DataTitel_liste,IF(LineærRegression_Valg[[#This Row],[Afhængig variabel ID]]=1,2,1))),$B$7)</f>
        <v>Eksempel 2 (interval)</v>
      </c>
      <c r="H1796" s="171">
        <f>_xlfn.AGGREGATE(2,5,LineærRegression_Valg[[#This Row],[Tabel ID]])</f>
        <v>1</v>
      </c>
    </row>
    <row r="1797" spans="1:8" x14ac:dyDescent="0.2">
      <c r="A1797">
        <f>ROW(LineærRegression_Valg[[#This Row],[Tabel ID]])-ROW(LineærRegression_Valg[[#Headers],[Tabel ID]])</f>
        <v>1787</v>
      </c>
      <c r="B1797" s="171">
        <f>ROUNDDOWN((LineærRegression_Valg[[#This Row],[Tabel ID]]-1)/$B$5,0)+1</f>
        <v>447</v>
      </c>
      <c r="C1797" s="171">
        <f t="shared" si="27"/>
        <v>3</v>
      </c>
      <c r="D1797" s="171" t="b">
        <f>LineærRegression_Valg[[#This Row],[Afhængig variabel ID]]&lt;&gt;LineærRegression_Valg[[#This Row],[Uafhængig variabel ID]]</f>
        <v>1</v>
      </c>
      <c r="E1797" s="171" t="b">
        <f>LineærRegression_Valg[[#This Row],[Afhængig variabel ID]]&lt;=$B$5</f>
        <v>0</v>
      </c>
      <c r="F1797" t="str" cm="1">
        <f t="array" ref="F1797">IF(LineærRegression_Valg[[#This Row],[Indenfor range]],INDEX(DataTitel_liste,LineærRegression_Valg[[#This Row],[Afhængig variabel ID]]),INDEX(DataTitel_liste,1))</f>
        <v>Eksempel 1 (interval)</v>
      </c>
      <c r="G1797" s="171" t="str" cm="1">
        <f t="array" ref="G1797">IF(LineærRegression_Valg[[#This Row],[Indenfor range]],IF(LineærRegression_Valg[[#This Row],[Intet overlap]],INDEX(DataTitel_liste,LineærRegression_Valg[[#This Row],[Uafhængig variabel ID]]),INDEX(DataTitel_liste,IF(LineærRegression_Valg[[#This Row],[Afhængig variabel ID]]=1,2,1))),$B$7)</f>
        <v>Eksempel 2 (interval)</v>
      </c>
      <c r="H1797" s="171">
        <f>_xlfn.AGGREGATE(2,5,LineærRegression_Valg[[#This Row],[Tabel ID]])</f>
        <v>1</v>
      </c>
    </row>
    <row r="1798" spans="1:8" x14ac:dyDescent="0.2">
      <c r="A1798">
        <f>ROW(LineærRegression_Valg[[#This Row],[Tabel ID]])-ROW(LineærRegression_Valg[[#Headers],[Tabel ID]])</f>
        <v>1788</v>
      </c>
      <c r="B1798" s="171">
        <f>ROUNDDOWN((LineærRegression_Valg[[#This Row],[Tabel ID]]-1)/$B$5,0)+1</f>
        <v>447</v>
      </c>
      <c r="C1798" s="171">
        <f t="shared" si="27"/>
        <v>4</v>
      </c>
      <c r="D1798" s="171" t="b">
        <f>LineærRegression_Valg[[#This Row],[Afhængig variabel ID]]&lt;&gt;LineærRegression_Valg[[#This Row],[Uafhængig variabel ID]]</f>
        <v>1</v>
      </c>
      <c r="E1798" s="171" t="b">
        <f>LineærRegression_Valg[[#This Row],[Afhængig variabel ID]]&lt;=$B$5</f>
        <v>0</v>
      </c>
      <c r="F1798" t="str" cm="1">
        <f t="array" ref="F1798">IF(LineærRegression_Valg[[#This Row],[Indenfor range]],INDEX(DataTitel_liste,LineærRegression_Valg[[#This Row],[Afhængig variabel ID]]),INDEX(DataTitel_liste,1))</f>
        <v>Eksempel 1 (interval)</v>
      </c>
      <c r="G1798" s="171" t="str" cm="1">
        <f t="array" ref="G1798">IF(LineærRegression_Valg[[#This Row],[Indenfor range]],IF(LineærRegression_Valg[[#This Row],[Intet overlap]],INDEX(DataTitel_liste,LineærRegression_Valg[[#This Row],[Uafhængig variabel ID]]),INDEX(DataTitel_liste,IF(LineærRegression_Valg[[#This Row],[Afhængig variabel ID]]=1,2,1))),$B$7)</f>
        <v>Eksempel 2 (interval)</v>
      </c>
      <c r="H1798" s="171">
        <f>_xlfn.AGGREGATE(2,5,LineærRegression_Valg[[#This Row],[Tabel ID]])</f>
        <v>1</v>
      </c>
    </row>
    <row r="1799" spans="1:8" x14ac:dyDescent="0.2">
      <c r="A1799">
        <f>ROW(LineærRegression_Valg[[#This Row],[Tabel ID]])-ROW(LineærRegression_Valg[[#Headers],[Tabel ID]])</f>
        <v>1789</v>
      </c>
      <c r="B1799" s="171">
        <f>ROUNDDOWN((LineærRegression_Valg[[#This Row],[Tabel ID]]-1)/$B$5,0)+1</f>
        <v>448</v>
      </c>
      <c r="C1799" s="171">
        <f t="shared" si="27"/>
        <v>1</v>
      </c>
      <c r="D1799" s="171" t="b">
        <f>LineærRegression_Valg[[#This Row],[Afhængig variabel ID]]&lt;&gt;LineærRegression_Valg[[#This Row],[Uafhængig variabel ID]]</f>
        <v>1</v>
      </c>
      <c r="E1799" s="171" t="b">
        <f>LineærRegression_Valg[[#This Row],[Afhængig variabel ID]]&lt;=$B$5</f>
        <v>0</v>
      </c>
      <c r="F1799" t="str" cm="1">
        <f t="array" ref="F1799">IF(LineærRegression_Valg[[#This Row],[Indenfor range]],INDEX(DataTitel_liste,LineærRegression_Valg[[#This Row],[Afhængig variabel ID]]),INDEX(DataTitel_liste,1))</f>
        <v>Eksempel 1 (interval)</v>
      </c>
      <c r="G1799" s="171" t="str" cm="1">
        <f t="array" ref="G1799">IF(LineærRegression_Valg[[#This Row],[Indenfor range]],IF(LineærRegression_Valg[[#This Row],[Intet overlap]],INDEX(DataTitel_liste,LineærRegression_Valg[[#This Row],[Uafhængig variabel ID]]),INDEX(DataTitel_liste,IF(LineærRegression_Valg[[#This Row],[Afhængig variabel ID]]=1,2,1))),$B$7)</f>
        <v>Eksempel 2 (interval)</v>
      </c>
      <c r="H1799" s="171">
        <f>_xlfn.AGGREGATE(2,5,LineærRegression_Valg[[#This Row],[Tabel ID]])</f>
        <v>1</v>
      </c>
    </row>
    <row r="1800" spans="1:8" x14ac:dyDescent="0.2">
      <c r="A1800">
        <f>ROW(LineærRegression_Valg[[#This Row],[Tabel ID]])-ROW(LineærRegression_Valg[[#Headers],[Tabel ID]])</f>
        <v>1790</v>
      </c>
      <c r="B1800" s="171">
        <f>ROUNDDOWN((LineærRegression_Valg[[#This Row],[Tabel ID]]-1)/$B$5,0)+1</f>
        <v>448</v>
      </c>
      <c r="C1800" s="171">
        <f t="shared" si="27"/>
        <v>2</v>
      </c>
      <c r="D1800" s="171" t="b">
        <f>LineærRegression_Valg[[#This Row],[Afhængig variabel ID]]&lt;&gt;LineærRegression_Valg[[#This Row],[Uafhængig variabel ID]]</f>
        <v>1</v>
      </c>
      <c r="E1800" s="171" t="b">
        <f>LineærRegression_Valg[[#This Row],[Afhængig variabel ID]]&lt;=$B$5</f>
        <v>0</v>
      </c>
      <c r="F1800" t="str" cm="1">
        <f t="array" ref="F1800">IF(LineærRegression_Valg[[#This Row],[Indenfor range]],INDEX(DataTitel_liste,LineærRegression_Valg[[#This Row],[Afhængig variabel ID]]),INDEX(DataTitel_liste,1))</f>
        <v>Eksempel 1 (interval)</v>
      </c>
      <c r="G1800" s="171" t="str" cm="1">
        <f t="array" ref="G1800">IF(LineærRegression_Valg[[#This Row],[Indenfor range]],IF(LineærRegression_Valg[[#This Row],[Intet overlap]],INDEX(DataTitel_liste,LineærRegression_Valg[[#This Row],[Uafhængig variabel ID]]),INDEX(DataTitel_liste,IF(LineærRegression_Valg[[#This Row],[Afhængig variabel ID]]=1,2,1))),$B$7)</f>
        <v>Eksempel 2 (interval)</v>
      </c>
      <c r="H1800" s="171">
        <f>_xlfn.AGGREGATE(2,5,LineærRegression_Valg[[#This Row],[Tabel ID]])</f>
        <v>1</v>
      </c>
    </row>
    <row r="1801" spans="1:8" x14ac:dyDescent="0.2">
      <c r="A1801">
        <f>ROW(LineærRegression_Valg[[#This Row],[Tabel ID]])-ROW(LineærRegression_Valg[[#Headers],[Tabel ID]])</f>
        <v>1791</v>
      </c>
      <c r="B1801" s="171">
        <f>ROUNDDOWN((LineærRegression_Valg[[#This Row],[Tabel ID]]-1)/$B$5,0)+1</f>
        <v>448</v>
      </c>
      <c r="C1801" s="171">
        <f t="shared" si="27"/>
        <v>3</v>
      </c>
      <c r="D1801" s="171" t="b">
        <f>LineærRegression_Valg[[#This Row],[Afhængig variabel ID]]&lt;&gt;LineærRegression_Valg[[#This Row],[Uafhængig variabel ID]]</f>
        <v>1</v>
      </c>
      <c r="E1801" s="171" t="b">
        <f>LineærRegression_Valg[[#This Row],[Afhængig variabel ID]]&lt;=$B$5</f>
        <v>0</v>
      </c>
      <c r="F1801" t="str" cm="1">
        <f t="array" ref="F1801">IF(LineærRegression_Valg[[#This Row],[Indenfor range]],INDEX(DataTitel_liste,LineærRegression_Valg[[#This Row],[Afhængig variabel ID]]),INDEX(DataTitel_liste,1))</f>
        <v>Eksempel 1 (interval)</v>
      </c>
      <c r="G1801" s="171" t="str" cm="1">
        <f t="array" ref="G1801">IF(LineærRegression_Valg[[#This Row],[Indenfor range]],IF(LineærRegression_Valg[[#This Row],[Intet overlap]],INDEX(DataTitel_liste,LineærRegression_Valg[[#This Row],[Uafhængig variabel ID]]),INDEX(DataTitel_liste,IF(LineærRegression_Valg[[#This Row],[Afhængig variabel ID]]=1,2,1))),$B$7)</f>
        <v>Eksempel 2 (interval)</v>
      </c>
      <c r="H1801" s="171">
        <f>_xlfn.AGGREGATE(2,5,LineærRegression_Valg[[#This Row],[Tabel ID]])</f>
        <v>1</v>
      </c>
    </row>
    <row r="1802" spans="1:8" x14ac:dyDescent="0.2">
      <c r="A1802">
        <f>ROW(LineærRegression_Valg[[#This Row],[Tabel ID]])-ROW(LineærRegression_Valg[[#Headers],[Tabel ID]])</f>
        <v>1792</v>
      </c>
      <c r="B1802" s="171">
        <f>ROUNDDOWN((LineærRegression_Valg[[#This Row],[Tabel ID]]-1)/$B$5,0)+1</f>
        <v>448</v>
      </c>
      <c r="C1802" s="171">
        <f t="shared" si="27"/>
        <v>4</v>
      </c>
      <c r="D1802" s="171" t="b">
        <f>LineærRegression_Valg[[#This Row],[Afhængig variabel ID]]&lt;&gt;LineærRegression_Valg[[#This Row],[Uafhængig variabel ID]]</f>
        <v>1</v>
      </c>
      <c r="E1802" s="171" t="b">
        <f>LineærRegression_Valg[[#This Row],[Afhængig variabel ID]]&lt;=$B$5</f>
        <v>0</v>
      </c>
      <c r="F1802" t="str" cm="1">
        <f t="array" ref="F1802">IF(LineærRegression_Valg[[#This Row],[Indenfor range]],INDEX(DataTitel_liste,LineærRegression_Valg[[#This Row],[Afhængig variabel ID]]),INDEX(DataTitel_liste,1))</f>
        <v>Eksempel 1 (interval)</v>
      </c>
      <c r="G1802" s="171" t="str" cm="1">
        <f t="array" ref="G1802">IF(LineærRegression_Valg[[#This Row],[Indenfor range]],IF(LineærRegression_Valg[[#This Row],[Intet overlap]],INDEX(DataTitel_liste,LineærRegression_Valg[[#This Row],[Uafhængig variabel ID]]),INDEX(DataTitel_liste,IF(LineærRegression_Valg[[#This Row],[Afhængig variabel ID]]=1,2,1))),$B$7)</f>
        <v>Eksempel 2 (interval)</v>
      </c>
      <c r="H1802" s="171">
        <f>_xlfn.AGGREGATE(2,5,LineærRegression_Valg[[#This Row],[Tabel ID]])</f>
        <v>1</v>
      </c>
    </row>
    <row r="1803" spans="1:8" x14ac:dyDescent="0.2">
      <c r="A1803">
        <f>ROW(LineærRegression_Valg[[#This Row],[Tabel ID]])-ROW(LineærRegression_Valg[[#Headers],[Tabel ID]])</f>
        <v>1793</v>
      </c>
      <c r="B1803" s="171">
        <f>ROUNDDOWN((LineærRegression_Valg[[#This Row],[Tabel ID]]-1)/$B$5,0)+1</f>
        <v>449</v>
      </c>
      <c r="C1803" s="171">
        <f t="shared" ref="C1803:C1866" si="28">MOD(A1803-1,$B$5)+1</f>
        <v>1</v>
      </c>
      <c r="D1803" s="171" t="b">
        <f>LineærRegression_Valg[[#This Row],[Afhængig variabel ID]]&lt;&gt;LineærRegression_Valg[[#This Row],[Uafhængig variabel ID]]</f>
        <v>1</v>
      </c>
      <c r="E1803" s="171" t="b">
        <f>LineærRegression_Valg[[#This Row],[Afhængig variabel ID]]&lt;=$B$5</f>
        <v>0</v>
      </c>
      <c r="F1803" t="str" cm="1">
        <f t="array" ref="F1803">IF(LineærRegression_Valg[[#This Row],[Indenfor range]],INDEX(DataTitel_liste,LineærRegression_Valg[[#This Row],[Afhængig variabel ID]]),INDEX(DataTitel_liste,1))</f>
        <v>Eksempel 1 (interval)</v>
      </c>
      <c r="G1803" s="171" t="str" cm="1">
        <f t="array" ref="G1803">IF(LineærRegression_Valg[[#This Row],[Indenfor range]],IF(LineærRegression_Valg[[#This Row],[Intet overlap]],INDEX(DataTitel_liste,LineærRegression_Valg[[#This Row],[Uafhængig variabel ID]]),INDEX(DataTitel_liste,IF(LineærRegression_Valg[[#This Row],[Afhængig variabel ID]]=1,2,1))),$B$7)</f>
        <v>Eksempel 2 (interval)</v>
      </c>
      <c r="H1803" s="171">
        <f>_xlfn.AGGREGATE(2,5,LineærRegression_Valg[[#This Row],[Tabel ID]])</f>
        <v>1</v>
      </c>
    </row>
    <row r="1804" spans="1:8" x14ac:dyDescent="0.2">
      <c r="A1804">
        <f>ROW(LineærRegression_Valg[[#This Row],[Tabel ID]])-ROW(LineærRegression_Valg[[#Headers],[Tabel ID]])</f>
        <v>1794</v>
      </c>
      <c r="B1804" s="171">
        <f>ROUNDDOWN((LineærRegression_Valg[[#This Row],[Tabel ID]]-1)/$B$5,0)+1</f>
        <v>449</v>
      </c>
      <c r="C1804" s="171">
        <f t="shared" si="28"/>
        <v>2</v>
      </c>
      <c r="D1804" s="171" t="b">
        <f>LineærRegression_Valg[[#This Row],[Afhængig variabel ID]]&lt;&gt;LineærRegression_Valg[[#This Row],[Uafhængig variabel ID]]</f>
        <v>1</v>
      </c>
      <c r="E1804" s="171" t="b">
        <f>LineærRegression_Valg[[#This Row],[Afhængig variabel ID]]&lt;=$B$5</f>
        <v>0</v>
      </c>
      <c r="F1804" t="str" cm="1">
        <f t="array" ref="F1804">IF(LineærRegression_Valg[[#This Row],[Indenfor range]],INDEX(DataTitel_liste,LineærRegression_Valg[[#This Row],[Afhængig variabel ID]]),INDEX(DataTitel_liste,1))</f>
        <v>Eksempel 1 (interval)</v>
      </c>
      <c r="G1804" s="171" t="str" cm="1">
        <f t="array" ref="G1804">IF(LineærRegression_Valg[[#This Row],[Indenfor range]],IF(LineærRegression_Valg[[#This Row],[Intet overlap]],INDEX(DataTitel_liste,LineærRegression_Valg[[#This Row],[Uafhængig variabel ID]]),INDEX(DataTitel_liste,IF(LineærRegression_Valg[[#This Row],[Afhængig variabel ID]]=1,2,1))),$B$7)</f>
        <v>Eksempel 2 (interval)</v>
      </c>
      <c r="H1804" s="171">
        <f>_xlfn.AGGREGATE(2,5,LineærRegression_Valg[[#This Row],[Tabel ID]])</f>
        <v>1</v>
      </c>
    </row>
    <row r="1805" spans="1:8" x14ac:dyDescent="0.2">
      <c r="A1805">
        <f>ROW(LineærRegression_Valg[[#This Row],[Tabel ID]])-ROW(LineærRegression_Valg[[#Headers],[Tabel ID]])</f>
        <v>1795</v>
      </c>
      <c r="B1805" s="171">
        <f>ROUNDDOWN((LineærRegression_Valg[[#This Row],[Tabel ID]]-1)/$B$5,0)+1</f>
        <v>449</v>
      </c>
      <c r="C1805" s="171">
        <f t="shared" si="28"/>
        <v>3</v>
      </c>
      <c r="D1805" s="171" t="b">
        <f>LineærRegression_Valg[[#This Row],[Afhængig variabel ID]]&lt;&gt;LineærRegression_Valg[[#This Row],[Uafhængig variabel ID]]</f>
        <v>1</v>
      </c>
      <c r="E1805" s="171" t="b">
        <f>LineærRegression_Valg[[#This Row],[Afhængig variabel ID]]&lt;=$B$5</f>
        <v>0</v>
      </c>
      <c r="F1805" t="str" cm="1">
        <f t="array" ref="F1805">IF(LineærRegression_Valg[[#This Row],[Indenfor range]],INDEX(DataTitel_liste,LineærRegression_Valg[[#This Row],[Afhængig variabel ID]]),INDEX(DataTitel_liste,1))</f>
        <v>Eksempel 1 (interval)</v>
      </c>
      <c r="G1805" s="171" t="str" cm="1">
        <f t="array" ref="G1805">IF(LineærRegression_Valg[[#This Row],[Indenfor range]],IF(LineærRegression_Valg[[#This Row],[Intet overlap]],INDEX(DataTitel_liste,LineærRegression_Valg[[#This Row],[Uafhængig variabel ID]]),INDEX(DataTitel_liste,IF(LineærRegression_Valg[[#This Row],[Afhængig variabel ID]]=1,2,1))),$B$7)</f>
        <v>Eksempel 2 (interval)</v>
      </c>
      <c r="H1805" s="171">
        <f>_xlfn.AGGREGATE(2,5,LineærRegression_Valg[[#This Row],[Tabel ID]])</f>
        <v>1</v>
      </c>
    </row>
    <row r="1806" spans="1:8" x14ac:dyDescent="0.2">
      <c r="A1806">
        <f>ROW(LineærRegression_Valg[[#This Row],[Tabel ID]])-ROW(LineærRegression_Valg[[#Headers],[Tabel ID]])</f>
        <v>1796</v>
      </c>
      <c r="B1806" s="171">
        <f>ROUNDDOWN((LineærRegression_Valg[[#This Row],[Tabel ID]]-1)/$B$5,0)+1</f>
        <v>449</v>
      </c>
      <c r="C1806" s="171">
        <f t="shared" si="28"/>
        <v>4</v>
      </c>
      <c r="D1806" s="171" t="b">
        <f>LineærRegression_Valg[[#This Row],[Afhængig variabel ID]]&lt;&gt;LineærRegression_Valg[[#This Row],[Uafhængig variabel ID]]</f>
        <v>1</v>
      </c>
      <c r="E1806" s="171" t="b">
        <f>LineærRegression_Valg[[#This Row],[Afhængig variabel ID]]&lt;=$B$5</f>
        <v>0</v>
      </c>
      <c r="F1806" t="str" cm="1">
        <f t="array" ref="F1806">IF(LineærRegression_Valg[[#This Row],[Indenfor range]],INDEX(DataTitel_liste,LineærRegression_Valg[[#This Row],[Afhængig variabel ID]]),INDEX(DataTitel_liste,1))</f>
        <v>Eksempel 1 (interval)</v>
      </c>
      <c r="G1806" s="171" t="str" cm="1">
        <f t="array" ref="G1806">IF(LineærRegression_Valg[[#This Row],[Indenfor range]],IF(LineærRegression_Valg[[#This Row],[Intet overlap]],INDEX(DataTitel_liste,LineærRegression_Valg[[#This Row],[Uafhængig variabel ID]]),INDEX(DataTitel_liste,IF(LineærRegression_Valg[[#This Row],[Afhængig variabel ID]]=1,2,1))),$B$7)</f>
        <v>Eksempel 2 (interval)</v>
      </c>
      <c r="H1806" s="171">
        <f>_xlfn.AGGREGATE(2,5,LineærRegression_Valg[[#This Row],[Tabel ID]])</f>
        <v>1</v>
      </c>
    </row>
    <row r="1807" spans="1:8" x14ac:dyDescent="0.2">
      <c r="A1807">
        <f>ROW(LineærRegression_Valg[[#This Row],[Tabel ID]])-ROW(LineærRegression_Valg[[#Headers],[Tabel ID]])</f>
        <v>1797</v>
      </c>
      <c r="B1807" s="171">
        <f>ROUNDDOWN((LineærRegression_Valg[[#This Row],[Tabel ID]]-1)/$B$5,0)+1</f>
        <v>450</v>
      </c>
      <c r="C1807" s="171">
        <f t="shared" si="28"/>
        <v>1</v>
      </c>
      <c r="D1807" s="171" t="b">
        <f>LineærRegression_Valg[[#This Row],[Afhængig variabel ID]]&lt;&gt;LineærRegression_Valg[[#This Row],[Uafhængig variabel ID]]</f>
        <v>1</v>
      </c>
      <c r="E1807" s="171" t="b">
        <f>LineærRegression_Valg[[#This Row],[Afhængig variabel ID]]&lt;=$B$5</f>
        <v>0</v>
      </c>
      <c r="F1807" t="str" cm="1">
        <f t="array" ref="F1807">IF(LineærRegression_Valg[[#This Row],[Indenfor range]],INDEX(DataTitel_liste,LineærRegression_Valg[[#This Row],[Afhængig variabel ID]]),INDEX(DataTitel_liste,1))</f>
        <v>Eksempel 1 (interval)</v>
      </c>
      <c r="G1807" s="171" t="str" cm="1">
        <f t="array" ref="G1807">IF(LineærRegression_Valg[[#This Row],[Indenfor range]],IF(LineærRegression_Valg[[#This Row],[Intet overlap]],INDEX(DataTitel_liste,LineærRegression_Valg[[#This Row],[Uafhængig variabel ID]]),INDEX(DataTitel_liste,IF(LineærRegression_Valg[[#This Row],[Afhængig variabel ID]]=1,2,1))),$B$7)</f>
        <v>Eksempel 2 (interval)</v>
      </c>
      <c r="H1807" s="171">
        <f>_xlfn.AGGREGATE(2,5,LineærRegression_Valg[[#This Row],[Tabel ID]])</f>
        <v>1</v>
      </c>
    </row>
    <row r="1808" spans="1:8" x14ac:dyDescent="0.2">
      <c r="A1808">
        <f>ROW(LineærRegression_Valg[[#This Row],[Tabel ID]])-ROW(LineærRegression_Valg[[#Headers],[Tabel ID]])</f>
        <v>1798</v>
      </c>
      <c r="B1808" s="171">
        <f>ROUNDDOWN((LineærRegression_Valg[[#This Row],[Tabel ID]]-1)/$B$5,0)+1</f>
        <v>450</v>
      </c>
      <c r="C1808" s="171">
        <f t="shared" si="28"/>
        <v>2</v>
      </c>
      <c r="D1808" s="171" t="b">
        <f>LineærRegression_Valg[[#This Row],[Afhængig variabel ID]]&lt;&gt;LineærRegression_Valg[[#This Row],[Uafhængig variabel ID]]</f>
        <v>1</v>
      </c>
      <c r="E1808" s="171" t="b">
        <f>LineærRegression_Valg[[#This Row],[Afhængig variabel ID]]&lt;=$B$5</f>
        <v>0</v>
      </c>
      <c r="F1808" t="str" cm="1">
        <f t="array" ref="F1808">IF(LineærRegression_Valg[[#This Row],[Indenfor range]],INDEX(DataTitel_liste,LineærRegression_Valg[[#This Row],[Afhængig variabel ID]]),INDEX(DataTitel_liste,1))</f>
        <v>Eksempel 1 (interval)</v>
      </c>
      <c r="G1808" s="171" t="str" cm="1">
        <f t="array" ref="G1808">IF(LineærRegression_Valg[[#This Row],[Indenfor range]],IF(LineærRegression_Valg[[#This Row],[Intet overlap]],INDEX(DataTitel_liste,LineærRegression_Valg[[#This Row],[Uafhængig variabel ID]]),INDEX(DataTitel_liste,IF(LineærRegression_Valg[[#This Row],[Afhængig variabel ID]]=1,2,1))),$B$7)</f>
        <v>Eksempel 2 (interval)</v>
      </c>
      <c r="H1808" s="171">
        <f>_xlfn.AGGREGATE(2,5,LineærRegression_Valg[[#This Row],[Tabel ID]])</f>
        <v>1</v>
      </c>
    </row>
    <row r="1809" spans="1:8" x14ac:dyDescent="0.2">
      <c r="A1809">
        <f>ROW(LineærRegression_Valg[[#This Row],[Tabel ID]])-ROW(LineærRegression_Valg[[#Headers],[Tabel ID]])</f>
        <v>1799</v>
      </c>
      <c r="B1809" s="171">
        <f>ROUNDDOWN((LineærRegression_Valg[[#This Row],[Tabel ID]]-1)/$B$5,0)+1</f>
        <v>450</v>
      </c>
      <c r="C1809" s="171">
        <f t="shared" si="28"/>
        <v>3</v>
      </c>
      <c r="D1809" s="171" t="b">
        <f>LineærRegression_Valg[[#This Row],[Afhængig variabel ID]]&lt;&gt;LineærRegression_Valg[[#This Row],[Uafhængig variabel ID]]</f>
        <v>1</v>
      </c>
      <c r="E1809" s="171" t="b">
        <f>LineærRegression_Valg[[#This Row],[Afhængig variabel ID]]&lt;=$B$5</f>
        <v>0</v>
      </c>
      <c r="F1809" t="str" cm="1">
        <f t="array" ref="F1809">IF(LineærRegression_Valg[[#This Row],[Indenfor range]],INDEX(DataTitel_liste,LineærRegression_Valg[[#This Row],[Afhængig variabel ID]]),INDEX(DataTitel_liste,1))</f>
        <v>Eksempel 1 (interval)</v>
      </c>
      <c r="G1809" s="171" t="str" cm="1">
        <f t="array" ref="G1809">IF(LineærRegression_Valg[[#This Row],[Indenfor range]],IF(LineærRegression_Valg[[#This Row],[Intet overlap]],INDEX(DataTitel_liste,LineærRegression_Valg[[#This Row],[Uafhængig variabel ID]]),INDEX(DataTitel_liste,IF(LineærRegression_Valg[[#This Row],[Afhængig variabel ID]]=1,2,1))),$B$7)</f>
        <v>Eksempel 2 (interval)</v>
      </c>
      <c r="H1809" s="171">
        <f>_xlfn.AGGREGATE(2,5,LineærRegression_Valg[[#This Row],[Tabel ID]])</f>
        <v>1</v>
      </c>
    </row>
    <row r="1810" spans="1:8" x14ac:dyDescent="0.2">
      <c r="A1810">
        <f>ROW(LineærRegression_Valg[[#This Row],[Tabel ID]])-ROW(LineærRegression_Valg[[#Headers],[Tabel ID]])</f>
        <v>1800</v>
      </c>
      <c r="B1810" s="171">
        <f>ROUNDDOWN((LineærRegression_Valg[[#This Row],[Tabel ID]]-1)/$B$5,0)+1</f>
        <v>450</v>
      </c>
      <c r="C1810" s="171">
        <f t="shared" si="28"/>
        <v>4</v>
      </c>
      <c r="D1810" s="171" t="b">
        <f>LineærRegression_Valg[[#This Row],[Afhængig variabel ID]]&lt;&gt;LineærRegression_Valg[[#This Row],[Uafhængig variabel ID]]</f>
        <v>1</v>
      </c>
      <c r="E1810" s="171" t="b">
        <f>LineærRegression_Valg[[#This Row],[Afhængig variabel ID]]&lt;=$B$5</f>
        <v>0</v>
      </c>
      <c r="F1810" t="str" cm="1">
        <f t="array" ref="F1810">IF(LineærRegression_Valg[[#This Row],[Indenfor range]],INDEX(DataTitel_liste,LineærRegression_Valg[[#This Row],[Afhængig variabel ID]]),INDEX(DataTitel_liste,1))</f>
        <v>Eksempel 1 (interval)</v>
      </c>
      <c r="G1810" s="171" t="str" cm="1">
        <f t="array" ref="G1810">IF(LineærRegression_Valg[[#This Row],[Indenfor range]],IF(LineærRegression_Valg[[#This Row],[Intet overlap]],INDEX(DataTitel_liste,LineærRegression_Valg[[#This Row],[Uafhængig variabel ID]]),INDEX(DataTitel_liste,IF(LineærRegression_Valg[[#This Row],[Afhængig variabel ID]]=1,2,1))),$B$7)</f>
        <v>Eksempel 2 (interval)</v>
      </c>
      <c r="H1810" s="171">
        <f>_xlfn.AGGREGATE(2,5,LineærRegression_Valg[[#This Row],[Tabel ID]])</f>
        <v>1</v>
      </c>
    </row>
    <row r="1811" spans="1:8" x14ac:dyDescent="0.2">
      <c r="A1811">
        <f>ROW(LineærRegression_Valg[[#This Row],[Tabel ID]])-ROW(LineærRegression_Valg[[#Headers],[Tabel ID]])</f>
        <v>1801</v>
      </c>
      <c r="B1811" s="171">
        <f>ROUNDDOWN((LineærRegression_Valg[[#This Row],[Tabel ID]]-1)/$B$5,0)+1</f>
        <v>451</v>
      </c>
      <c r="C1811" s="171">
        <f t="shared" si="28"/>
        <v>1</v>
      </c>
      <c r="D1811" s="171" t="b">
        <f>LineærRegression_Valg[[#This Row],[Afhængig variabel ID]]&lt;&gt;LineærRegression_Valg[[#This Row],[Uafhængig variabel ID]]</f>
        <v>1</v>
      </c>
      <c r="E1811" s="171" t="b">
        <f>LineærRegression_Valg[[#This Row],[Afhængig variabel ID]]&lt;=$B$5</f>
        <v>0</v>
      </c>
      <c r="F1811" t="str" cm="1">
        <f t="array" ref="F1811">IF(LineærRegression_Valg[[#This Row],[Indenfor range]],INDEX(DataTitel_liste,LineærRegression_Valg[[#This Row],[Afhængig variabel ID]]),INDEX(DataTitel_liste,1))</f>
        <v>Eksempel 1 (interval)</v>
      </c>
      <c r="G1811" s="171" t="str" cm="1">
        <f t="array" ref="G1811">IF(LineærRegression_Valg[[#This Row],[Indenfor range]],IF(LineærRegression_Valg[[#This Row],[Intet overlap]],INDEX(DataTitel_liste,LineærRegression_Valg[[#This Row],[Uafhængig variabel ID]]),INDEX(DataTitel_liste,IF(LineærRegression_Valg[[#This Row],[Afhængig variabel ID]]=1,2,1))),$B$7)</f>
        <v>Eksempel 2 (interval)</v>
      </c>
      <c r="H1811" s="171">
        <f>_xlfn.AGGREGATE(2,5,LineærRegression_Valg[[#This Row],[Tabel ID]])</f>
        <v>1</v>
      </c>
    </row>
    <row r="1812" spans="1:8" x14ac:dyDescent="0.2">
      <c r="A1812">
        <f>ROW(LineærRegression_Valg[[#This Row],[Tabel ID]])-ROW(LineærRegression_Valg[[#Headers],[Tabel ID]])</f>
        <v>1802</v>
      </c>
      <c r="B1812" s="171">
        <f>ROUNDDOWN((LineærRegression_Valg[[#This Row],[Tabel ID]]-1)/$B$5,0)+1</f>
        <v>451</v>
      </c>
      <c r="C1812" s="171">
        <f t="shared" si="28"/>
        <v>2</v>
      </c>
      <c r="D1812" s="171" t="b">
        <f>LineærRegression_Valg[[#This Row],[Afhængig variabel ID]]&lt;&gt;LineærRegression_Valg[[#This Row],[Uafhængig variabel ID]]</f>
        <v>1</v>
      </c>
      <c r="E1812" s="171" t="b">
        <f>LineærRegression_Valg[[#This Row],[Afhængig variabel ID]]&lt;=$B$5</f>
        <v>0</v>
      </c>
      <c r="F1812" t="str" cm="1">
        <f t="array" ref="F1812">IF(LineærRegression_Valg[[#This Row],[Indenfor range]],INDEX(DataTitel_liste,LineærRegression_Valg[[#This Row],[Afhængig variabel ID]]),INDEX(DataTitel_liste,1))</f>
        <v>Eksempel 1 (interval)</v>
      </c>
      <c r="G1812" s="171" t="str" cm="1">
        <f t="array" ref="G1812">IF(LineærRegression_Valg[[#This Row],[Indenfor range]],IF(LineærRegression_Valg[[#This Row],[Intet overlap]],INDEX(DataTitel_liste,LineærRegression_Valg[[#This Row],[Uafhængig variabel ID]]),INDEX(DataTitel_liste,IF(LineærRegression_Valg[[#This Row],[Afhængig variabel ID]]=1,2,1))),$B$7)</f>
        <v>Eksempel 2 (interval)</v>
      </c>
      <c r="H1812" s="171">
        <f>_xlfn.AGGREGATE(2,5,LineærRegression_Valg[[#This Row],[Tabel ID]])</f>
        <v>1</v>
      </c>
    </row>
    <row r="1813" spans="1:8" x14ac:dyDescent="0.2">
      <c r="A1813">
        <f>ROW(LineærRegression_Valg[[#This Row],[Tabel ID]])-ROW(LineærRegression_Valg[[#Headers],[Tabel ID]])</f>
        <v>1803</v>
      </c>
      <c r="B1813" s="171">
        <f>ROUNDDOWN((LineærRegression_Valg[[#This Row],[Tabel ID]]-1)/$B$5,0)+1</f>
        <v>451</v>
      </c>
      <c r="C1813" s="171">
        <f t="shared" si="28"/>
        <v>3</v>
      </c>
      <c r="D1813" s="171" t="b">
        <f>LineærRegression_Valg[[#This Row],[Afhængig variabel ID]]&lt;&gt;LineærRegression_Valg[[#This Row],[Uafhængig variabel ID]]</f>
        <v>1</v>
      </c>
      <c r="E1813" s="171" t="b">
        <f>LineærRegression_Valg[[#This Row],[Afhængig variabel ID]]&lt;=$B$5</f>
        <v>0</v>
      </c>
      <c r="F1813" t="str" cm="1">
        <f t="array" ref="F1813">IF(LineærRegression_Valg[[#This Row],[Indenfor range]],INDEX(DataTitel_liste,LineærRegression_Valg[[#This Row],[Afhængig variabel ID]]),INDEX(DataTitel_liste,1))</f>
        <v>Eksempel 1 (interval)</v>
      </c>
      <c r="G1813" s="171" t="str" cm="1">
        <f t="array" ref="G1813">IF(LineærRegression_Valg[[#This Row],[Indenfor range]],IF(LineærRegression_Valg[[#This Row],[Intet overlap]],INDEX(DataTitel_liste,LineærRegression_Valg[[#This Row],[Uafhængig variabel ID]]),INDEX(DataTitel_liste,IF(LineærRegression_Valg[[#This Row],[Afhængig variabel ID]]=1,2,1))),$B$7)</f>
        <v>Eksempel 2 (interval)</v>
      </c>
      <c r="H1813" s="171">
        <f>_xlfn.AGGREGATE(2,5,LineærRegression_Valg[[#This Row],[Tabel ID]])</f>
        <v>1</v>
      </c>
    </row>
    <row r="1814" spans="1:8" x14ac:dyDescent="0.2">
      <c r="A1814">
        <f>ROW(LineærRegression_Valg[[#This Row],[Tabel ID]])-ROW(LineærRegression_Valg[[#Headers],[Tabel ID]])</f>
        <v>1804</v>
      </c>
      <c r="B1814" s="171">
        <f>ROUNDDOWN((LineærRegression_Valg[[#This Row],[Tabel ID]]-1)/$B$5,0)+1</f>
        <v>451</v>
      </c>
      <c r="C1814" s="171">
        <f t="shared" si="28"/>
        <v>4</v>
      </c>
      <c r="D1814" s="171" t="b">
        <f>LineærRegression_Valg[[#This Row],[Afhængig variabel ID]]&lt;&gt;LineærRegression_Valg[[#This Row],[Uafhængig variabel ID]]</f>
        <v>1</v>
      </c>
      <c r="E1814" s="171" t="b">
        <f>LineærRegression_Valg[[#This Row],[Afhængig variabel ID]]&lt;=$B$5</f>
        <v>0</v>
      </c>
      <c r="F1814" t="str" cm="1">
        <f t="array" ref="F1814">IF(LineærRegression_Valg[[#This Row],[Indenfor range]],INDEX(DataTitel_liste,LineærRegression_Valg[[#This Row],[Afhængig variabel ID]]),INDEX(DataTitel_liste,1))</f>
        <v>Eksempel 1 (interval)</v>
      </c>
      <c r="G1814" s="171" t="str" cm="1">
        <f t="array" ref="G1814">IF(LineærRegression_Valg[[#This Row],[Indenfor range]],IF(LineærRegression_Valg[[#This Row],[Intet overlap]],INDEX(DataTitel_liste,LineærRegression_Valg[[#This Row],[Uafhængig variabel ID]]),INDEX(DataTitel_liste,IF(LineærRegression_Valg[[#This Row],[Afhængig variabel ID]]=1,2,1))),$B$7)</f>
        <v>Eksempel 2 (interval)</v>
      </c>
      <c r="H1814" s="171">
        <f>_xlfn.AGGREGATE(2,5,LineærRegression_Valg[[#This Row],[Tabel ID]])</f>
        <v>1</v>
      </c>
    </row>
    <row r="1815" spans="1:8" x14ac:dyDescent="0.2">
      <c r="A1815">
        <f>ROW(LineærRegression_Valg[[#This Row],[Tabel ID]])-ROW(LineærRegression_Valg[[#Headers],[Tabel ID]])</f>
        <v>1805</v>
      </c>
      <c r="B1815" s="171">
        <f>ROUNDDOWN((LineærRegression_Valg[[#This Row],[Tabel ID]]-1)/$B$5,0)+1</f>
        <v>452</v>
      </c>
      <c r="C1815" s="171">
        <f t="shared" si="28"/>
        <v>1</v>
      </c>
      <c r="D1815" s="171" t="b">
        <f>LineærRegression_Valg[[#This Row],[Afhængig variabel ID]]&lt;&gt;LineærRegression_Valg[[#This Row],[Uafhængig variabel ID]]</f>
        <v>1</v>
      </c>
      <c r="E1815" s="171" t="b">
        <f>LineærRegression_Valg[[#This Row],[Afhængig variabel ID]]&lt;=$B$5</f>
        <v>0</v>
      </c>
      <c r="F1815" t="str" cm="1">
        <f t="array" ref="F1815">IF(LineærRegression_Valg[[#This Row],[Indenfor range]],INDEX(DataTitel_liste,LineærRegression_Valg[[#This Row],[Afhængig variabel ID]]),INDEX(DataTitel_liste,1))</f>
        <v>Eksempel 1 (interval)</v>
      </c>
      <c r="G1815" s="171" t="str" cm="1">
        <f t="array" ref="G1815">IF(LineærRegression_Valg[[#This Row],[Indenfor range]],IF(LineærRegression_Valg[[#This Row],[Intet overlap]],INDEX(DataTitel_liste,LineærRegression_Valg[[#This Row],[Uafhængig variabel ID]]),INDEX(DataTitel_liste,IF(LineærRegression_Valg[[#This Row],[Afhængig variabel ID]]=1,2,1))),$B$7)</f>
        <v>Eksempel 2 (interval)</v>
      </c>
      <c r="H1815" s="171">
        <f>_xlfn.AGGREGATE(2,5,LineærRegression_Valg[[#This Row],[Tabel ID]])</f>
        <v>1</v>
      </c>
    </row>
    <row r="1816" spans="1:8" x14ac:dyDescent="0.2">
      <c r="A1816">
        <f>ROW(LineærRegression_Valg[[#This Row],[Tabel ID]])-ROW(LineærRegression_Valg[[#Headers],[Tabel ID]])</f>
        <v>1806</v>
      </c>
      <c r="B1816" s="171">
        <f>ROUNDDOWN((LineærRegression_Valg[[#This Row],[Tabel ID]]-1)/$B$5,0)+1</f>
        <v>452</v>
      </c>
      <c r="C1816" s="171">
        <f t="shared" si="28"/>
        <v>2</v>
      </c>
      <c r="D1816" s="171" t="b">
        <f>LineærRegression_Valg[[#This Row],[Afhængig variabel ID]]&lt;&gt;LineærRegression_Valg[[#This Row],[Uafhængig variabel ID]]</f>
        <v>1</v>
      </c>
      <c r="E1816" s="171" t="b">
        <f>LineærRegression_Valg[[#This Row],[Afhængig variabel ID]]&lt;=$B$5</f>
        <v>0</v>
      </c>
      <c r="F1816" t="str" cm="1">
        <f t="array" ref="F1816">IF(LineærRegression_Valg[[#This Row],[Indenfor range]],INDEX(DataTitel_liste,LineærRegression_Valg[[#This Row],[Afhængig variabel ID]]),INDEX(DataTitel_liste,1))</f>
        <v>Eksempel 1 (interval)</v>
      </c>
      <c r="G1816" s="171" t="str" cm="1">
        <f t="array" ref="G1816">IF(LineærRegression_Valg[[#This Row],[Indenfor range]],IF(LineærRegression_Valg[[#This Row],[Intet overlap]],INDEX(DataTitel_liste,LineærRegression_Valg[[#This Row],[Uafhængig variabel ID]]),INDEX(DataTitel_liste,IF(LineærRegression_Valg[[#This Row],[Afhængig variabel ID]]=1,2,1))),$B$7)</f>
        <v>Eksempel 2 (interval)</v>
      </c>
      <c r="H1816" s="171">
        <f>_xlfn.AGGREGATE(2,5,LineærRegression_Valg[[#This Row],[Tabel ID]])</f>
        <v>1</v>
      </c>
    </row>
    <row r="1817" spans="1:8" x14ac:dyDescent="0.2">
      <c r="A1817">
        <f>ROW(LineærRegression_Valg[[#This Row],[Tabel ID]])-ROW(LineærRegression_Valg[[#Headers],[Tabel ID]])</f>
        <v>1807</v>
      </c>
      <c r="B1817" s="171">
        <f>ROUNDDOWN((LineærRegression_Valg[[#This Row],[Tabel ID]]-1)/$B$5,0)+1</f>
        <v>452</v>
      </c>
      <c r="C1817" s="171">
        <f t="shared" si="28"/>
        <v>3</v>
      </c>
      <c r="D1817" s="171" t="b">
        <f>LineærRegression_Valg[[#This Row],[Afhængig variabel ID]]&lt;&gt;LineærRegression_Valg[[#This Row],[Uafhængig variabel ID]]</f>
        <v>1</v>
      </c>
      <c r="E1817" s="171" t="b">
        <f>LineærRegression_Valg[[#This Row],[Afhængig variabel ID]]&lt;=$B$5</f>
        <v>0</v>
      </c>
      <c r="F1817" t="str" cm="1">
        <f t="array" ref="F1817">IF(LineærRegression_Valg[[#This Row],[Indenfor range]],INDEX(DataTitel_liste,LineærRegression_Valg[[#This Row],[Afhængig variabel ID]]),INDEX(DataTitel_liste,1))</f>
        <v>Eksempel 1 (interval)</v>
      </c>
      <c r="G1817" s="171" t="str" cm="1">
        <f t="array" ref="G1817">IF(LineærRegression_Valg[[#This Row],[Indenfor range]],IF(LineærRegression_Valg[[#This Row],[Intet overlap]],INDEX(DataTitel_liste,LineærRegression_Valg[[#This Row],[Uafhængig variabel ID]]),INDEX(DataTitel_liste,IF(LineærRegression_Valg[[#This Row],[Afhængig variabel ID]]=1,2,1))),$B$7)</f>
        <v>Eksempel 2 (interval)</v>
      </c>
      <c r="H1817" s="171">
        <f>_xlfn.AGGREGATE(2,5,LineærRegression_Valg[[#This Row],[Tabel ID]])</f>
        <v>1</v>
      </c>
    </row>
    <row r="1818" spans="1:8" x14ac:dyDescent="0.2">
      <c r="A1818">
        <f>ROW(LineærRegression_Valg[[#This Row],[Tabel ID]])-ROW(LineærRegression_Valg[[#Headers],[Tabel ID]])</f>
        <v>1808</v>
      </c>
      <c r="B1818" s="171">
        <f>ROUNDDOWN((LineærRegression_Valg[[#This Row],[Tabel ID]]-1)/$B$5,0)+1</f>
        <v>452</v>
      </c>
      <c r="C1818" s="171">
        <f t="shared" si="28"/>
        <v>4</v>
      </c>
      <c r="D1818" s="171" t="b">
        <f>LineærRegression_Valg[[#This Row],[Afhængig variabel ID]]&lt;&gt;LineærRegression_Valg[[#This Row],[Uafhængig variabel ID]]</f>
        <v>1</v>
      </c>
      <c r="E1818" s="171" t="b">
        <f>LineærRegression_Valg[[#This Row],[Afhængig variabel ID]]&lt;=$B$5</f>
        <v>0</v>
      </c>
      <c r="F1818" t="str" cm="1">
        <f t="array" ref="F1818">IF(LineærRegression_Valg[[#This Row],[Indenfor range]],INDEX(DataTitel_liste,LineærRegression_Valg[[#This Row],[Afhængig variabel ID]]),INDEX(DataTitel_liste,1))</f>
        <v>Eksempel 1 (interval)</v>
      </c>
      <c r="G1818" s="171" t="str" cm="1">
        <f t="array" ref="G1818">IF(LineærRegression_Valg[[#This Row],[Indenfor range]],IF(LineærRegression_Valg[[#This Row],[Intet overlap]],INDEX(DataTitel_liste,LineærRegression_Valg[[#This Row],[Uafhængig variabel ID]]),INDEX(DataTitel_liste,IF(LineærRegression_Valg[[#This Row],[Afhængig variabel ID]]=1,2,1))),$B$7)</f>
        <v>Eksempel 2 (interval)</v>
      </c>
      <c r="H1818" s="171">
        <f>_xlfn.AGGREGATE(2,5,LineærRegression_Valg[[#This Row],[Tabel ID]])</f>
        <v>1</v>
      </c>
    </row>
    <row r="1819" spans="1:8" x14ac:dyDescent="0.2">
      <c r="A1819">
        <f>ROW(LineærRegression_Valg[[#This Row],[Tabel ID]])-ROW(LineærRegression_Valg[[#Headers],[Tabel ID]])</f>
        <v>1809</v>
      </c>
      <c r="B1819" s="171">
        <f>ROUNDDOWN((LineærRegression_Valg[[#This Row],[Tabel ID]]-1)/$B$5,0)+1</f>
        <v>453</v>
      </c>
      <c r="C1819" s="171">
        <f t="shared" si="28"/>
        <v>1</v>
      </c>
      <c r="D1819" s="171" t="b">
        <f>LineærRegression_Valg[[#This Row],[Afhængig variabel ID]]&lt;&gt;LineærRegression_Valg[[#This Row],[Uafhængig variabel ID]]</f>
        <v>1</v>
      </c>
      <c r="E1819" s="171" t="b">
        <f>LineærRegression_Valg[[#This Row],[Afhængig variabel ID]]&lt;=$B$5</f>
        <v>0</v>
      </c>
      <c r="F1819" t="str" cm="1">
        <f t="array" ref="F1819">IF(LineærRegression_Valg[[#This Row],[Indenfor range]],INDEX(DataTitel_liste,LineærRegression_Valg[[#This Row],[Afhængig variabel ID]]),INDEX(DataTitel_liste,1))</f>
        <v>Eksempel 1 (interval)</v>
      </c>
      <c r="G1819" s="171" t="str" cm="1">
        <f t="array" ref="G1819">IF(LineærRegression_Valg[[#This Row],[Indenfor range]],IF(LineærRegression_Valg[[#This Row],[Intet overlap]],INDEX(DataTitel_liste,LineærRegression_Valg[[#This Row],[Uafhængig variabel ID]]),INDEX(DataTitel_liste,IF(LineærRegression_Valg[[#This Row],[Afhængig variabel ID]]=1,2,1))),$B$7)</f>
        <v>Eksempel 2 (interval)</v>
      </c>
      <c r="H1819" s="171">
        <f>_xlfn.AGGREGATE(2,5,LineærRegression_Valg[[#This Row],[Tabel ID]])</f>
        <v>1</v>
      </c>
    </row>
    <row r="1820" spans="1:8" x14ac:dyDescent="0.2">
      <c r="A1820">
        <f>ROW(LineærRegression_Valg[[#This Row],[Tabel ID]])-ROW(LineærRegression_Valg[[#Headers],[Tabel ID]])</f>
        <v>1810</v>
      </c>
      <c r="B1820" s="171">
        <f>ROUNDDOWN((LineærRegression_Valg[[#This Row],[Tabel ID]]-1)/$B$5,0)+1</f>
        <v>453</v>
      </c>
      <c r="C1820" s="171">
        <f t="shared" si="28"/>
        <v>2</v>
      </c>
      <c r="D1820" s="171" t="b">
        <f>LineærRegression_Valg[[#This Row],[Afhængig variabel ID]]&lt;&gt;LineærRegression_Valg[[#This Row],[Uafhængig variabel ID]]</f>
        <v>1</v>
      </c>
      <c r="E1820" s="171" t="b">
        <f>LineærRegression_Valg[[#This Row],[Afhængig variabel ID]]&lt;=$B$5</f>
        <v>0</v>
      </c>
      <c r="F1820" t="str" cm="1">
        <f t="array" ref="F1820">IF(LineærRegression_Valg[[#This Row],[Indenfor range]],INDEX(DataTitel_liste,LineærRegression_Valg[[#This Row],[Afhængig variabel ID]]),INDEX(DataTitel_liste,1))</f>
        <v>Eksempel 1 (interval)</v>
      </c>
      <c r="G1820" s="171" t="str" cm="1">
        <f t="array" ref="G1820">IF(LineærRegression_Valg[[#This Row],[Indenfor range]],IF(LineærRegression_Valg[[#This Row],[Intet overlap]],INDEX(DataTitel_liste,LineærRegression_Valg[[#This Row],[Uafhængig variabel ID]]),INDEX(DataTitel_liste,IF(LineærRegression_Valg[[#This Row],[Afhængig variabel ID]]=1,2,1))),$B$7)</f>
        <v>Eksempel 2 (interval)</v>
      </c>
      <c r="H1820" s="171">
        <f>_xlfn.AGGREGATE(2,5,LineærRegression_Valg[[#This Row],[Tabel ID]])</f>
        <v>1</v>
      </c>
    </row>
    <row r="1821" spans="1:8" x14ac:dyDescent="0.2">
      <c r="A1821">
        <f>ROW(LineærRegression_Valg[[#This Row],[Tabel ID]])-ROW(LineærRegression_Valg[[#Headers],[Tabel ID]])</f>
        <v>1811</v>
      </c>
      <c r="B1821" s="171">
        <f>ROUNDDOWN((LineærRegression_Valg[[#This Row],[Tabel ID]]-1)/$B$5,0)+1</f>
        <v>453</v>
      </c>
      <c r="C1821" s="171">
        <f t="shared" si="28"/>
        <v>3</v>
      </c>
      <c r="D1821" s="171" t="b">
        <f>LineærRegression_Valg[[#This Row],[Afhængig variabel ID]]&lt;&gt;LineærRegression_Valg[[#This Row],[Uafhængig variabel ID]]</f>
        <v>1</v>
      </c>
      <c r="E1821" s="171" t="b">
        <f>LineærRegression_Valg[[#This Row],[Afhængig variabel ID]]&lt;=$B$5</f>
        <v>0</v>
      </c>
      <c r="F1821" t="str" cm="1">
        <f t="array" ref="F1821">IF(LineærRegression_Valg[[#This Row],[Indenfor range]],INDEX(DataTitel_liste,LineærRegression_Valg[[#This Row],[Afhængig variabel ID]]),INDEX(DataTitel_liste,1))</f>
        <v>Eksempel 1 (interval)</v>
      </c>
      <c r="G1821" s="171" t="str" cm="1">
        <f t="array" ref="G1821">IF(LineærRegression_Valg[[#This Row],[Indenfor range]],IF(LineærRegression_Valg[[#This Row],[Intet overlap]],INDEX(DataTitel_liste,LineærRegression_Valg[[#This Row],[Uafhængig variabel ID]]),INDEX(DataTitel_liste,IF(LineærRegression_Valg[[#This Row],[Afhængig variabel ID]]=1,2,1))),$B$7)</f>
        <v>Eksempel 2 (interval)</v>
      </c>
      <c r="H1821" s="171">
        <f>_xlfn.AGGREGATE(2,5,LineærRegression_Valg[[#This Row],[Tabel ID]])</f>
        <v>1</v>
      </c>
    </row>
    <row r="1822" spans="1:8" x14ac:dyDescent="0.2">
      <c r="A1822">
        <f>ROW(LineærRegression_Valg[[#This Row],[Tabel ID]])-ROW(LineærRegression_Valg[[#Headers],[Tabel ID]])</f>
        <v>1812</v>
      </c>
      <c r="B1822" s="171">
        <f>ROUNDDOWN((LineærRegression_Valg[[#This Row],[Tabel ID]]-1)/$B$5,0)+1</f>
        <v>453</v>
      </c>
      <c r="C1822" s="171">
        <f t="shared" si="28"/>
        <v>4</v>
      </c>
      <c r="D1822" s="171" t="b">
        <f>LineærRegression_Valg[[#This Row],[Afhængig variabel ID]]&lt;&gt;LineærRegression_Valg[[#This Row],[Uafhængig variabel ID]]</f>
        <v>1</v>
      </c>
      <c r="E1822" s="171" t="b">
        <f>LineærRegression_Valg[[#This Row],[Afhængig variabel ID]]&lt;=$B$5</f>
        <v>0</v>
      </c>
      <c r="F1822" t="str" cm="1">
        <f t="array" ref="F1822">IF(LineærRegression_Valg[[#This Row],[Indenfor range]],INDEX(DataTitel_liste,LineærRegression_Valg[[#This Row],[Afhængig variabel ID]]),INDEX(DataTitel_liste,1))</f>
        <v>Eksempel 1 (interval)</v>
      </c>
      <c r="G1822" s="171" t="str" cm="1">
        <f t="array" ref="G1822">IF(LineærRegression_Valg[[#This Row],[Indenfor range]],IF(LineærRegression_Valg[[#This Row],[Intet overlap]],INDEX(DataTitel_liste,LineærRegression_Valg[[#This Row],[Uafhængig variabel ID]]),INDEX(DataTitel_liste,IF(LineærRegression_Valg[[#This Row],[Afhængig variabel ID]]=1,2,1))),$B$7)</f>
        <v>Eksempel 2 (interval)</v>
      </c>
      <c r="H1822" s="171">
        <f>_xlfn.AGGREGATE(2,5,LineærRegression_Valg[[#This Row],[Tabel ID]])</f>
        <v>1</v>
      </c>
    </row>
    <row r="1823" spans="1:8" x14ac:dyDescent="0.2">
      <c r="A1823">
        <f>ROW(LineærRegression_Valg[[#This Row],[Tabel ID]])-ROW(LineærRegression_Valg[[#Headers],[Tabel ID]])</f>
        <v>1813</v>
      </c>
      <c r="B1823" s="171">
        <f>ROUNDDOWN((LineærRegression_Valg[[#This Row],[Tabel ID]]-1)/$B$5,0)+1</f>
        <v>454</v>
      </c>
      <c r="C1823" s="171">
        <f t="shared" si="28"/>
        <v>1</v>
      </c>
      <c r="D1823" s="171" t="b">
        <f>LineærRegression_Valg[[#This Row],[Afhængig variabel ID]]&lt;&gt;LineærRegression_Valg[[#This Row],[Uafhængig variabel ID]]</f>
        <v>1</v>
      </c>
      <c r="E1823" s="171" t="b">
        <f>LineærRegression_Valg[[#This Row],[Afhængig variabel ID]]&lt;=$B$5</f>
        <v>0</v>
      </c>
      <c r="F1823" t="str" cm="1">
        <f t="array" ref="F1823">IF(LineærRegression_Valg[[#This Row],[Indenfor range]],INDEX(DataTitel_liste,LineærRegression_Valg[[#This Row],[Afhængig variabel ID]]),INDEX(DataTitel_liste,1))</f>
        <v>Eksempel 1 (interval)</v>
      </c>
      <c r="G1823" s="171" t="str" cm="1">
        <f t="array" ref="G1823">IF(LineærRegression_Valg[[#This Row],[Indenfor range]],IF(LineærRegression_Valg[[#This Row],[Intet overlap]],INDEX(DataTitel_liste,LineærRegression_Valg[[#This Row],[Uafhængig variabel ID]]),INDEX(DataTitel_liste,IF(LineærRegression_Valg[[#This Row],[Afhængig variabel ID]]=1,2,1))),$B$7)</f>
        <v>Eksempel 2 (interval)</v>
      </c>
      <c r="H1823" s="171">
        <f>_xlfn.AGGREGATE(2,5,LineærRegression_Valg[[#This Row],[Tabel ID]])</f>
        <v>1</v>
      </c>
    </row>
    <row r="1824" spans="1:8" x14ac:dyDescent="0.2">
      <c r="A1824">
        <f>ROW(LineærRegression_Valg[[#This Row],[Tabel ID]])-ROW(LineærRegression_Valg[[#Headers],[Tabel ID]])</f>
        <v>1814</v>
      </c>
      <c r="B1824" s="171">
        <f>ROUNDDOWN((LineærRegression_Valg[[#This Row],[Tabel ID]]-1)/$B$5,0)+1</f>
        <v>454</v>
      </c>
      <c r="C1824" s="171">
        <f t="shared" si="28"/>
        <v>2</v>
      </c>
      <c r="D1824" s="171" t="b">
        <f>LineærRegression_Valg[[#This Row],[Afhængig variabel ID]]&lt;&gt;LineærRegression_Valg[[#This Row],[Uafhængig variabel ID]]</f>
        <v>1</v>
      </c>
      <c r="E1824" s="171" t="b">
        <f>LineærRegression_Valg[[#This Row],[Afhængig variabel ID]]&lt;=$B$5</f>
        <v>0</v>
      </c>
      <c r="F1824" t="str" cm="1">
        <f t="array" ref="F1824">IF(LineærRegression_Valg[[#This Row],[Indenfor range]],INDEX(DataTitel_liste,LineærRegression_Valg[[#This Row],[Afhængig variabel ID]]),INDEX(DataTitel_liste,1))</f>
        <v>Eksempel 1 (interval)</v>
      </c>
      <c r="G1824" s="171" t="str" cm="1">
        <f t="array" ref="G1824">IF(LineærRegression_Valg[[#This Row],[Indenfor range]],IF(LineærRegression_Valg[[#This Row],[Intet overlap]],INDEX(DataTitel_liste,LineærRegression_Valg[[#This Row],[Uafhængig variabel ID]]),INDEX(DataTitel_liste,IF(LineærRegression_Valg[[#This Row],[Afhængig variabel ID]]=1,2,1))),$B$7)</f>
        <v>Eksempel 2 (interval)</v>
      </c>
      <c r="H1824" s="171">
        <f>_xlfn.AGGREGATE(2,5,LineærRegression_Valg[[#This Row],[Tabel ID]])</f>
        <v>1</v>
      </c>
    </row>
    <row r="1825" spans="1:8" x14ac:dyDescent="0.2">
      <c r="A1825">
        <f>ROW(LineærRegression_Valg[[#This Row],[Tabel ID]])-ROW(LineærRegression_Valg[[#Headers],[Tabel ID]])</f>
        <v>1815</v>
      </c>
      <c r="B1825" s="171">
        <f>ROUNDDOWN((LineærRegression_Valg[[#This Row],[Tabel ID]]-1)/$B$5,0)+1</f>
        <v>454</v>
      </c>
      <c r="C1825" s="171">
        <f t="shared" si="28"/>
        <v>3</v>
      </c>
      <c r="D1825" s="171" t="b">
        <f>LineærRegression_Valg[[#This Row],[Afhængig variabel ID]]&lt;&gt;LineærRegression_Valg[[#This Row],[Uafhængig variabel ID]]</f>
        <v>1</v>
      </c>
      <c r="E1825" s="171" t="b">
        <f>LineærRegression_Valg[[#This Row],[Afhængig variabel ID]]&lt;=$B$5</f>
        <v>0</v>
      </c>
      <c r="F1825" t="str" cm="1">
        <f t="array" ref="F1825">IF(LineærRegression_Valg[[#This Row],[Indenfor range]],INDEX(DataTitel_liste,LineærRegression_Valg[[#This Row],[Afhængig variabel ID]]),INDEX(DataTitel_liste,1))</f>
        <v>Eksempel 1 (interval)</v>
      </c>
      <c r="G1825" s="171" t="str" cm="1">
        <f t="array" ref="G1825">IF(LineærRegression_Valg[[#This Row],[Indenfor range]],IF(LineærRegression_Valg[[#This Row],[Intet overlap]],INDEX(DataTitel_liste,LineærRegression_Valg[[#This Row],[Uafhængig variabel ID]]),INDEX(DataTitel_liste,IF(LineærRegression_Valg[[#This Row],[Afhængig variabel ID]]=1,2,1))),$B$7)</f>
        <v>Eksempel 2 (interval)</v>
      </c>
      <c r="H1825" s="171">
        <f>_xlfn.AGGREGATE(2,5,LineærRegression_Valg[[#This Row],[Tabel ID]])</f>
        <v>1</v>
      </c>
    </row>
    <row r="1826" spans="1:8" x14ac:dyDescent="0.2">
      <c r="A1826">
        <f>ROW(LineærRegression_Valg[[#This Row],[Tabel ID]])-ROW(LineærRegression_Valg[[#Headers],[Tabel ID]])</f>
        <v>1816</v>
      </c>
      <c r="B1826" s="171">
        <f>ROUNDDOWN((LineærRegression_Valg[[#This Row],[Tabel ID]]-1)/$B$5,0)+1</f>
        <v>454</v>
      </c>
      <c r="C1826" s="171">
        <f t="shared" si="28"/>
        <v>4</v>
      </c>
      <c r="D1826" s="171" t="b">
        <f>LineærRegression_Valg[[#This Row],[Afhængig variabel ID]]&lt;&gt;LineærRegression_Valg[[#This Row],[Uafhængig variabel ID]]</f>
        <v>1</v>
      </c>
      <c r="E1826" s="171" t="b">
        <f>LineærRegression_Valg[[#This Row],[Afhængig variabel ID]]&lt;=$B$5</f>
        <v>0</v>
      </c>
      <c r="F1826" t="str" cm="1">
        <f t="array" ref="F1826">IF(LineærRegression_Valg[[#This Row],[Indenfor range]],INDEX(DataTitel_liste,LineærRegression_Valg[[#This Row],[Afhængig variabel ID]]),INDEX(DataTitel_liste,1))</f>
        <v>Eksempel 1 (interval)</v>
      </c>
      <c r="G1826" s="171" t="str" cm="1">
        <f t="array" ref="G1826">IF(LineærRegression_Valg[[#This Row],[Indenfor range]],IF(LineærRegression_Valg[[#This Row],[Intet overlap]],INDEX(DataTitel_liste,LineærRegression_Valg[[#This Row],[Uafhængig variabel ID]]),INDEX(DataTitel_liste,IF(LineærRegression_Valg[[#This Row],[Afhængig variabel ID]]=1,2,1))),$B$7)</f>
        <v>Eksempel 2 (interval)</v>
      </c>
      <c r="H1826" s="171">
        <f>_xlfn.AGGREGATE(2,5,LineærRegression_Valg[[#This Row],[Tabel ID]])</f>
        <v>1</v>
      </c>
    </row>
    <row r="1827" spans="1:8" x14ac:dyDescent="0.2">
      <c r="A1827">
        <f>ROW(LineærRegression_Valg[[#This Row],[Tabel ID]])-ROW(LineærRegression_Valg[[#Headers],[Tabel ID]])</f>
        <v>1817</v>
      </c>
      <c r="B1827" s="171">
        <f>ROUNDDOWN((LineærRegression_Valg[[#This Row],[Tabel ID]]-1)/$B$5,0)+1</f>
        <v>455</v>
      </c>
      <c r="C1827" s="171">
        <f t="shared" si="28"/>
        <v>1</v>
      </c>
      <c r="D1827" s="171" t="b">
        <f>LineærRegression_Valg[[#This Row],[Afhængig variabel ID]]&lt;&gt;LineærRegression_Valg[[#This Row],[Uafhængig variabel ID]]</f>
        <v>1</v>
      </c>
      <c r="E1827" s="171" t="b">
        <f>LineærRegression_Valg[[#This Row],[Afhængig variabel ID]]&lt;=$B$5</f>
        <v>0</v>
      </c>
      <c r="F1827" t="str" cm="1">
        <f t="array" ref="F1827">IF(LineærRegression_Valg[[#This Row],[Indenfor range]],INDEX(DataTitel_liste,LineærRegression_Valg[[#This Row],[Afhængig variabel ID]]),INDEX(DataTitel_liste,1))</f>
        <v>Eksempel 1 (interval)</v>
      </c>
      <c r="G1827" s="171" t="str" cm="1">
        <f t="array" ref="G1827">IF(LineærRegression_Valg[[#This Row],[Indenfor range]],IF(LineærRegression_Valg[[#This Row],[Intet overlap]],INDEX(DataTitel_liste,LineærRegression_Valg[[#This Row],[Uafhængig variabel ID]]),INDEX(DataTitel_liste,IF(LineærRegression_Valg[[#This Row],[Afhængig variabel ID]]=1,2,1))),$B$7)</f>
        <v>Eksempel 2 (interval)</v>
      </c>
      <c r="H1827" s="171">
        <f>_xlfn.AGGREGATE(2,5,LineærRegression_Valg[[#This Row],[Tabel ID]])</f>
        <v>1</v>
      </c>
    </row>
    <row r="1828" spans="1:8" x14ac:dyDescent="0.2">
      <c r="A1828">
        <f>ROW(LineærRegression_Valg[[#This Row],[Tabel ID]])-ROW(LineærRegression_Valg[[#Headers],[Tabel ID]])</f>
        <v>1818</v>
      </c>
      <c r="B1828" s="171">
        <f>ROUNDDOWN((LineærRegression_Valg[[#This Row],[Tabel ID]]-1)/$B$5,0)+1</f>
        <v>455</v>
      </c>
      <c r="C1828" s="171">
        <f t="shared" si="28"/>
        <v>2</v>
      </c>
      <c r="D1828" s="171" t="b">
        <f>LineærRegression_Valg[[#This Row],[Afhængig variabel ID]]&lt;&gt;LineærRegression_Valg[[#This Row],[Uafhængig variabel ID]]</f>
        <v>1</v>
      </c>
      <c r="E1828" s="171" t="b">
        <f>LineærRegression_Valg[[#This Row],[Afhængig variabel ID]]&lt;=$B$5</f>
        <v>0</v>
      </c>
      <c r="F1828" t="str" cm="1">
        <f t="array" ref="F1828">IF(LineærRegression_Valg[[#This Row],[Indenfor range]],INDEX(DataTitel_liste,LineærRegression_Valg[[#This Row],[Afhængig variabel ID]]),INDEX(DataTitel_liste,1))</f>
        <v>Eksempel 1 (interval)</v>
      </c>
      <c r="G1828" s="171" t="str" cm="1">
        <f t="array" ref="G1828">IF(LineærRegression_Valg[[#This Row],[Indenfor range]],IF(LineærRegression_Valg[[#This Row],[Intet overlap]],INDEX(DataTitel_liste,LineærRegression_Valg[[#This Row],[Uafhængig variabel ID]]),INDEX(DataTitel_liste,IF(LineærRegression_Valg[[#This Row],[Afhængig variabel ID]]=1,2,1))),$B$7)</f>
        <v>Eksempel 2 (interval)</v>
      </c>
      <c r="H1828" s="171">
        <f>_xlfn.AGGREGATE(2,5,LineærRegression_Valg[[#This Row],[Tabel ID]])</f>
        <v>1</v>
      </c>
    </row>
    <row r="1829" spans="1:8" x14ac:dyDescent="0.2">
      <c r="A1829">
        <f>ROW(LineærRegression_Valg[[#This Row],[Tabel ID]])-ROW(LineærRegression_Valg[[#Headers],[Tabel ID]])</f>
        <v>1819</v>
      </c>
      <c r="B1829" s="171">
        <f>ROUNDDOWN((LineærRegression_Valg[[#This Row],[Tabel ID]]-1)/$B$5,0)+1</f>
        <v>455</v>
      </c>
      <c r="C1829" s="171">
        <f t="shared" si="28"/>
        <v>3</v>
      </c>
      <c r="D1829" s="171" t="b">
        <f>LineærRegression_Valg[[#This Row],[Afhængig variabel ID]]&lt;&gt;LineærRegression_Valg[[#This Row],[Uafhængig variabel ID]]</f>
        <v>1</v>
      </c>
      <c r="E1829" s="171" t="b">
        <f>LineærRegression_Valg[[#This Row],[Afhængig variabel ID]]&lt;=$B$5</f>
        <v>0</v>
      </c>
      <c r="F1829" t="str" cm="1">
        <f t="array" ref="F1829">IF(LineærRegression_Valg[[#This Row],[Indenfor range]],INDEX(DataTitel_liste,LineærRegression_Valg[[#This Row],[Afhængig variabel ID]]),INDEX(DataTitel_liste,1))</f>
        <v>Eksempel 1 (interval)</v>
      </c>
      <c r="G1829" s="171" t="str" cm="1">
        <f t="array" ref="G1829">IF(LineærRegression_Valg[[#This Row],[Indenfor range]],IF(LineærRegression_Valg[[#This Row],[Intet overlap]],INDEX(DataTitel_liste,LineærRegression_Valg[[#This Row],[Uafhængig variabel ID]]),INDEX(DataTitel_liste,IF(LineærRegression_Valg[[#This Row],[Afhængig variabel ID]]=1,2,1))),$B$7)</f>
        <v>Eksempel 2 (interval)</v>
      </c>
      <c r="H1829" s="171">
        <f>_xlfn.AGGREGATE(2,5,LineærRegression_Valg[[#This Row],[Tabel ID]])</f>
        <v>1</v>
      </c>
    </row>
    <row r="1830" spans="1:8" x14ac:dyDescent="0.2">
      <c r="A1830">
        <f>ROW(LineærRegression_Valg[[#This Row],[Tabel ID]])-ROW(LineærRegression_Valg[[#Headers],[Tabel ID]])</f>
        <v>1820</v>
      </c>
      <c r="B1830" s="171">
        <f>ROUNDDOWN((LineærRegression_Valg[[#This Row],[Tabel ID]]-1)/$B$5,0)+1</f>
        <v>455</v>
      </c>
      <c r="C1830" s="171">
        <f t="shared" si="28"/>
        <v>4</v>
      </c>
      <c r="D1830" s="171" t="b">
        <f>LineærRegression_Valg[[#This Row],[Afhængig variabel ID]]&lt;&gt;LineærRegression_Valg[[#This Row],[Uafhængig variabel ID]]</f>
        <v>1</v>
      </c>
      <c r="E1830" s="171" t="b">
        <f>LineærRegression_Valg[[#This Row],[Afhængig variabel ID]]&lt;=$B$5</f>
        <v>0</v>
      </c>
      <c r="F1830" t="str" cm="1">
        <f t="array" ref="F1830">IF(LineærRegression_Valg[[#This Row],[Indenfor range]],INDEX(DataTitel_liste,LineærRegression_Valg[[#This Row],[Afhængig variabel ID]]),INDEX(DataTitel_liste,1))</f>
        <v>Eksempel 1 (interval)</v>
      </c>
      <c r="G1830" s="171" t="str" cm="1">
        <f t="array" ref="G1830">IF(LineærRegression_Valg[[#This Row],[Indenfor range]],IF(LineærRegression_Valg[[#This Row],[Intet overlap]],INDEX(DataTitel_liste,LineærRegression_Valg[[#This Row],[Uafhængig variabel ID]]),INDEX(DataTitel_liste,IF(LineærRegression_Valg[[#This Row],[Afhængig variabel ID]]=1,2,1))),$B$7)</f>
        <v>Eksempel 2 (interval)</v>
      </c>
      <c r="H1830" s="171">
        <f>_xlfn.AGGREGATE(2,5,LineærRegression_Valg[[#This Row],[Tabel ID]])</f>
        <v>1</v>
      </c>
    </row>
    <row r="1831" spans="1:8" x14ac:dyDescent="0.2">
      <c r="A1831">
        <f>ROW(LineærRegression_Valg[[#This Row],[Tabel ID]])-ROW(LineærRegression_Valg[[#Headers],[Tabel ID]])</f>
        <v>1821</v>
      </c>
      <c r="B1831" s="171">
        <f>ROUNDDOWN((LineærRegression_Valg[[#This Row],[Tabel ID]]-1)/$B$5,0)+1</f>
        <v>456</v>
      </c>
      <c r="C1831" s="171">
        <f t="shared" si="28"/>
        <v>1</v>
      </c>
      <c r="D1831" s="171" t="b">
        <f>LineærRegression_Valg[[#This Row],[Afhængig variabel ID]]&lt;&gt;LineærRegression_Valg[[#This Row],[Uafhængig variabel ID]]</f>
        <v>1</v>
      </c>
      <c r="E1831" s="171" t="b">
        <f>LineærRegression_Valg[[#This Row],[Afhængig variabel ID]]&lt;=$B$5</f>
        <v>0</v>
      </c>
      <c r="F1831" t="str" cm="1">
        <f t="array" ref="F1831">IF(LineærRegression_Valg[[#This Row],[Indenfor range]],INDEX(DataTitel_liste,LineærRegression_Valg[[#This Row],[Afhængig variabel ID]]),INDEX(DataTitel_liste,1))</f>
        <v>Eksempel 1 (interval)</v>
      </c>
      <c r="G1831" s="171" t="str" cm="1">
        <f t="array" ref="G1831">IF(LineærRegression_Valg[[#This Row],[Indenfor range]],IF(LineærRegression_Valg[[#This Row],[Intet overlap]],INDEX(DataTitel_liste,LineærRegression_Valg[[#This Row],[Uafhængig variabel ID]]),INDEX(DataTitel_liste,IF(LineærRegression_Valg[[#This Row],[Afhængig variabel ID]]=1,2,1))),$B$7)</f>
        <v>Eksempel 2 (interval)</v>
      </c>
      <c r="H1831" s="171">
        <f>_xlfn.AGGREGATE(2,5,LineærRegression_Valg[[#This Row],[Tabel ID]])</f>
        <v>1</v>
      </c>
    </row>
    <row r="1832" spans="1:8" x14ac:dyDescent="0.2">
      <c r="A1832">
        <f>ROW(LineærRegression_Valg[[#This Row],[Tabel ID]])-ROW(LineærRegression_Valg[[#Headers],[Tabel ID]])</f>
        <v>1822</v>
      </c>
      <c r="B1832" s="171">
        <f>ROUNDDOWN((LineærRegression_Valg[[#This Row],[Tabel ID]]-1)/$B$5,0)+1</f>
        <v>456</v>
      </c>
      <c r="C1832" s="171">
        <f t="shared" si="28"/>
        <v>2</v>
      </c>
      <c r="D1832" s="171" t="b">
        <f>LineærRegression_Valg[[#This Row],[Afhængig variabel ID]]&lt;&gt;LineærRegression_Valg[[#This Row],[Uafhængig variabel ID]]</f>
        <v>1</v>
      </c>
      <c r="E1832" s="171" t="b">
        <f>LineærRegression_Valg[[#This Row],[Afhængig variabel ID]]&lt;=$B$5</f>
        <v>0</v>
      </c>
      <c r="F1832" t="str" cm="1">
        <f t="array" ref="F1832">IF(LineærRegression_Valg[[#This Row],[Indenfor range]],INDEX(DataTitel_liste,LineærRegression_Valg[[#This Row],[Afhængig variabel ID]]),INDEX(DataTitel_liste,1))</f>
        <v>Eksempel 1 (interval)</v>
      </c>
      <c r="G1832" s="171" t="str" cm="1">
        <f t="array" ref="G1832">IF(LineærRegression_Valg[[#This Row],[Indenfor range]],IF(LineærRegression_Valg[[#This Row],[Intet overlap]],INDEX(DataTitel_liste,LineærRegression_Valg[[#This Row],[Uafhængig variabel ID]]),INDEX(DataTitel_liste,IF(LineærRegression_Valg[[#This Row],[Afhængig variabel ID]]=1,2,1))),$B$7)</f>
        <v>Eksempel 2 (interval)</v>
      </c>
      <c r="H1832" s="171">
        <f>_xlfn.AGGREGATE(2,5,LineærRegression_Valg[[#This Row],[Tabel ID]])</f>
        <v>1</v>
      </c>
    </row>
    <row r="1833" spans="1:8" x14ac:dyDescent="0.2">
      <c r="A1833">
        <f>ROW(LineærRegression_Valg[[#This Row],[Tabel ID]])-ROW(LineærRegression_Valg[[#Headers],[Tabel ID]])</f>
        <v>1823</v>
      </c>
      <c r="B1833" s="171">
        <f>ROUNDDOWN((LineærRegression_Valg[[#This Row],[Tabel ID]]-1)/$B$5,0)+1</f>
        <v>456</v>
      </c>
      <c r="C1833" s="171">
        <f t="shared" si="28"/>
        <v>3</v>
      </c>
      <c r="D1833" s="171" t="b">
        <f>LineærRegression_Valg[[#This Row],[Afhængig variabel ID]]&lt;&gt;LineærRegression_Valg[[#This Row],[Uafhængig variabel ID]]</f>
        <v>1</v>
      </c>
      <c r="E1833" s="171" t="b">
        <f>LineærRegression_Valg[[#This Row],[Afhængig variabel ID]]&lt;=$B$5</f>
        <v>0</v>
      </c>
      <c r="F1833" t="str" cm="1">
        <f t="array" ref="F1833">IF(LineærRegression_Valg[[#This Row],[Indenfor range]],INDEX(DataTitel_liste,LineærRegression_Valg[[#This Row],[Afhængig variabel ID]]),INDEX(DataTitel_liste,1))</f>
        <v>Eksempel 1 (interval)</v>
      </c>
      <c r="G1833" s="171" t="str" cm="1">
        <f t="array" ref="G1833">IF(LineærRegression_Valg[[#This Row],[Indenfor range]],IF(LineærRegression_Valg[[#This Row],[Intet overlap]],INDEX(DataTitel_liste,LineærRegression_Valg[[#This Row],[Uafhængig variabel ID]]),INDEX(DataTitel_liste,IF(LineærRegression_Valg[[#This Row],[Afhængig variabel ID]]=1,2,1))),$B$7)</f>
        <v>Eksempel 2 (interval)</v>
      </c>
      <c r="H1833" s="171">
        <f>_xlfn.AGGREGATE(2,5,LineærRegression_Valg[[#This Row],[Tabel ID]])</f>
        <v>1</v>
      </c>
    </row>
    <row r="1834" spans="1:8" x14ac:dyDescent="0.2">
      <c r="A1834">
        <f>ROW(LineærRegression_Valg[[#This Row],[Tabel ID]])-ROW(LineærRegression_Valg[[#Headers],[Tabel ID]])</f>
        <v>1824</v>
      </c>
      <c r="B1834" s="171">
        <f>ROUNDDOWN((LineærRegression_Valg[[#This Row],[Tabel ID]]-1)/$B$5,0)+1</f>
        <v>456</v>
      </c>
      <c r="C1834" s="171">
        <f t="shared" si="28"/>
        <v>4</v>
      </c>
      <c r="D1834" s="171" t="b">
        <f>LineærRegression_Valg[[#This Row],[Afhængig variabel ID]]&lt;&gt;LineærRegression_Valg[[#This Row],[Uafhængig variabel ID]]</f>
        <v>1</v>
      </c>
      <c r="E1834" s="171" t="b">
        <f>LineærRegression_Valg[[#This Row],[Afhængig variabel ID]]&lt;=$B$5</f>
        <v>0</v>
      </c>
      <c r="F1834" t="str" cm="1">
        <f t="array" ref="F1834">IF(LineærRegression_Valg[[#This Row],[Indenfor range]],INDEX(DataTitel_liste,LineærRegression_Valg[[#This Row],[Afhængig variabel ID]]),INDEX(DataTitel_liste,1))</f>
        <v>Eksempel 1 (interval)</v>
      </c>
      <c r="G1834" s="171" t="str" cm="1">
        <f t="array" ref="G1834">IF(LineærRegression_Valg[[#This Row],[Indenfor range]],IF(LineærRegression_Valg[[#This Row],[Intet overlap]],INDEX(DataTitel_liste,LineærRegression_Valg[[#This Row],[Uafhængig variabel ID]]),INDEX(DataTitel_liste,IF(LineærRegression_Valg[[#This Row],[Afhængig variabel ID]]=1,2,1))),$B$7)</f>
        <v>Eksempel 2 (interval)</v>
      </c>
      <c r="H1834" s="171">
        <f>_xlfn.AGGREGATE(2,5,LineærRegression_Valg[[#This Row],[Tabel ID]])</f>
        <v>1</v>
      </c>
    </row>
    <row r="1835" spans="1:8" x14ac:dyDescent="0.2">
      <c r="A1835">
        <f>ROW(LineærRegression_Valg[[#This Row],[Tabel ID]])-ROW(LineærRegression_Valg[[#Headers],[Tabel ID]])</f>
        <v>1825</v>
      </c>
      <c r="B1835" s="171">
        <f>ROUNDDOWN((LineærRegression_Valg[[#This Row],[Tabel ID]]-1)/$B$5,0)+1</f>
        <v>457</v>
      </c>
      <c r="C1835" s="171">
        <f t="shared" si="28"/>
        <v>1</v>
      </c>
      <c r="D1835" s="171" t="b">
        <f>LineærRegression_Valg[[#This Row],[Afhængig variabel ID]]&lt;&gt;LineærRegression_Valg[[#This Row],[Uafhængig variabel ID]]</f>
        <v>1</v>
      </c>
      <c r="E1835" s="171" t="b">
        <f>LineærRegression_Valg[[#This Row],[Afhængig variabel ID]]&lt;=$B$5</f>
        <v>0</v>
      </c>
      <c r="F1835" t="str" cm="1">
        <f t="array" ref="F1835">IF(LineærRegression_Valg[[#This Row],[Indenfor range]],INDEX(DataTitel_liste,LineærRegression_Valg[[#This Row],[Afhængig variabel ID]]),INDEX(DataTitel_liste,1))</f>
        <v>Eksempel 1 (interval)</v>
      </c>
      <c r="G1835" s="171" t="str" cm="1">
        <f t="array" ref="G1835">IF(LineærRegression_Valg[[#This Row],[Indenfor range]],IF(LineærRegression_Valg[[#This Row],[Intet overlap]],INDEX(DataTitel_liste,LineærRegression_Valg[[#This Row],[Uafhængig variabel ID]]),INDEX(DataTitel_liste,IF(LineærRegression_Valg[[#This Row],[Afhængig variabel ID]]=1,2,1))),$B$7)</f>
        <v>Eksempel 2 (interval)</v>
      </c>
      <c r="H1835" s="171">
        <f>_xlfn.AGGREGATE(2,5,LineærRegression_Valg[[#This Row],[Tabel ID]])</f>
        <v>1</v>
      </c>
    </row>
    <row r="1836" spans="1:8" x14ac:dyDescent="0.2">
      <c r="A1836">
        <f>ROW(LineærRegression_Valg[[#This Row],[Tabel ID]])-ROW(LineærRegression_Valg[[#Headers],[Tabel ID]])</f>
        <v>1826</v>
      </c>
      <c r="B1836" s="171">
        <f>ROUNDDOWN((LineærRegression_Valg[[#This Row],[Tabel ID]]-1)/$B$5,0)+1</f>
        <v>457</v>
      </c>
      <c r="C1836" s="171">
        <f t="shared" si="28"/>
        <v>2</v>
      </c>
      <c r="D1836" s="171" t="b">
        <f>LineærRegression_Valg[[#This Row],[Afhængig variabel ID]]&lt;&gt;LineærRegression_Valg[[#This Row],[Uafhængig variabel ID]]</f>
        <v>1</v>
      </c>
      <c r="E1836" s="171" t="b">
        <f>LineærRegression_Valg[[#This Row],[Afhængig variabel ID]]&lt;=$B$5</f>
        <v>0</v>
      </c>
      <c r="F1836" t="str" cm="1">
        <f t="array" ref="F1836">IF(LineærRegression_Valg[[#This Row],[Indenfor range]],INDEX(DataTitel_liste,LineærRegression_Valg[[#This Row],[Afhængig variabel ID]]),INDEX(DataTitel_liste,1))</f>
        <v>Eksempel 1 (interval)</v>
      </c>
      <c r="G1836" s="171" t="str" cm="1">
        <f t="array" ref="G1836">IF(LineærRegression_Valg[[#This Row],[Indenfor range]],IF(LineærRegression_Valg[[#This Row],[Intet overlap]],INDEX(DataTitel_liste,LineærRegression_Valg[[#This Row],[Uafhængig variabel ID]]),INDEX(DataTitel_liste,IF(LineærRegression_Valg[[#This Row],[Afhængig variabel ID]]=1,2,1))),$B$7)</f>
        <v>Eksempel 2 (interval)</v>
      </c>
      <c r="H1836" s="171">
        <f>_xlfn.AGGREGATE(2,5,LineærRegression_Valg[[#This Row],[Tabel ID]])</f>
        <v>1</v>
      </c>
    </row>
    <row r="1837" spans="1:8" x14ac:dyDescent="0.2">
      <c r="A1837">
        <f>ROW(LineærRegression_Valg[[#This Row],[Tabel ID]])-ROW(LineærRegression_Valg[[#Headers],[Tabel ID]])</f>
        <v>1827</v>
      </c>
      <c r="B1837" s="171">
        <f>ROUNDDOWN((LineærRegression_Valg[[#This Row],[Tabel ID]]-1)/$B$5,0)+1</f>
        <v>457</v>
      </c>
      <c r="C1837" s="171">
        <f t="shared" si="28"/>
        <v>3</v>
      </c>
      <c r="D1837" s="171" t="b">
        <f>LineærRegression_Valg[[#This Row],[Afhængig variabel ID]]&lt;&gt;LineærRegression_Valg[[#This Row],[Uafhængig variabel ID]]</f>
        <v>1</v>
      </c>
      <c r="E1837" s="171" t="b">
        <f>LineærRegression_Valg[[#This Row],[Afhængig variabel ID]]&lt;=$B$5</f>
        <v>0</v>
      </c>
      <c r="F1837" t="str" cm="1">
        <f t="array" ref="F1837">IF(LineærRegression_Valg[[#This Row],[Indenfor range]],INDEX(DataTitel_liste,LineærRegression_Valg[[#This Row],[Afhængig variabel ID]]),INDEX(DataTitel_liste,1))</f>
        <v>Eksempel 1 (interval)</v>
      </c>
      <c r="G1837" s="171" t="str" cm="1">
        <f t="array" ref="G1837">IF(LineærRegression_Valg[[#This Row],[Indenfor range]],IF(LineærRegression_Valg[[#This Row],[Intet overlap]],INDEX(DataTitel_liste,LineærRegression_Valg[[#This Row],[Uafhængig variabel ID]]),INDEX(DataTitel_liste,IF(LineærRegression_Valg[[#This Row],[Afhængig variabel ID]]=1,2,1))),$B$7)</f>
        <v>Eksempel 2 (interval)</v>
      </c>
      <c r="H1837" s="171">
        <f>_xlfn.AGGREGATE(2,5,LineærRegression_Valg[[#This Row],[Tabel ID]])</f>
        <v>1</v>
      </c>
    </row>
    <row r="1838" spans="1:8" x14ac:dyDescent="0.2">
      <c r="A1838">
        <f>ROW(LineærRegression_Valg[[#This Row],[Tabel ID]])-ROW(LineærRegression_Valg[[#Headers],[Tabel ID]])</f>
        <v>1828</v>
      </c>
      <c r="B1838" s="171">
        <f>ROUNDDOWN((LineærRegression_Valg[[#This Row],[Tabel ID]]-1)/$B$5,0)+1</f>
        <v>457</v>
      </c>
      <c r="C1838" s="171">
        <f t="shared" si="28"/>
        <v>4</v>
      </c>
      <c r="D1838" s="171" t="b">
        <f>LineærRegression_Valg[[#This Row],[Afhængig variabel ID]]&lt;&gt;LineærRegression_Valg[[#This Row],[Uafhængig variabel ID]]</f>
        <v>1</v>
      </c>
      <c r="E1838" s="171" t="b">
        <f>LineærRegression_Valg[[#This Row],[Afhængig variabel ID]]&lt;=$B$5</f>
        <v>0</v>
      </c>
      <c r="F1838" t="str" cm="1">
        <f t="array" ref="F1838">IF(LineærRegression_Valg[[#This Row],[Indenfor range]],INDEX(DataTitel_liste,LineærRegression_Valg[[#This Row],[Afhængig variabel ID]]),INDEX(DataTitel_liste,1))</f>
        <v>Eksempel 1 (interval)</v>
      </c>
      <c r="G1838" s="171" t="str" cm="1">
        <f t="array" ref="G1838">IF(LineærRegression_Valg[[#This Row],[Indenfor range]],IF(LineærRegression_Valg[[#This Row],[Intet overlap]],INDEX(DataTitel_liste,LineærRegression_Valg[[#This Row],[Uafhængig variabel ID]]),INDEX(DataTitel_liste,IF(LineærRegression_Valg[[#This Row],[Afhængig variabel ID]]=1,2,1))),$B$7)</f>
        <v>Eksempel 2 (interval)</v>
      </c>
      <c r="H1838" s="171">
        <f>_xlfn.AGGREGATE(2,5,LineærRegression_Valg[[#This Row],[Tabel ID]])</f>
        <v>1</v>
      </c>
    </row>
    <row r="1839" spans="1:8" x14ac:dyDescent="0.2">
      <c r="A1839">
        <f>ROW(LineærRegression_Valg[[#This Row],[Tabel ID]])-ROW(LineærRegression_Valg[[#Headers],[Tabel ID]])</f>
        <v>1829</v>
      </c>
      <c r="B1839" s="171">
        <f>ROUNDDOWN((LineærRegression_Valg[[#This Row],[Tabel ID]]-1)/$B$5,0)+1</f>
        <v>458</v>
      </c>
      <c r="C1839" s="171">
        <f t="shared" si="28"/>
        <v>1</v>
      </c>
      <c r="D1839" s="171" t="b">
        <f>LineærRegression_Valg[[#This Row],[Afhængig variabel ID]]&lt;&gt;LineærRegression_Valg[[#This Row],[Uafhængig variabel ID]]</f>
        <v>1</v>
      </c>
      <c r="E1839" s="171" t="b">
        <f>LineærRegression_Valg[[#This Row],[Afhængig variabel ID]]&lt;=$B$5</f>
        <v>0</v>
      </c>
      <c r="F1839" t="str" cm="1">
        <f t="array" ref="F1839">IF(LineærRegression_Valg[[#This Row],[Indenfor range]],INDEX(DataTitel_liste,LineærRegression_Valg[[#This Row],[Afhængig variabel ID]]),INDEX(DataTitel_liste,1))</f>
        <v>Eksempel 1 (interval)</v>
      </c>
      <c r="G1839" s="171" t="str" cm="1">
        <f t="array" ref="G1839">IF(LineærRegression_Valg[[#This Row],[Indenfor range]],IF(LineærRegression_Valg[[#This Row],[Intet overlap]],INDEX(DataTitel_liste,LineærRegression_Valg[[#This Row],[Uafhængig variabel ID]]),INDEX(DataTitel_liste,IF(LineærRegression_Valg[[#This Row],[Afhængig variabel ID]]=1,2,1))),$B$7)</f>
        <v>Eksempel 2 (interval)</v>
      </c>
      <c r="H1839" s="171">
        <f>_xlfn.AGGREGATE(2,5,LineærRegression_Valg[[#This Row],[Tabel ID]])</f>
        <v>1</v>
      </c>
    </row>
    <row r="1840" spans="1:8" x14ac:dyDescent="0.2">
      <c r="A1840">
        <f>ROW(LineærRegression_Valg[[#This Row],[Tabel ID]])-ROW(LineærRegression_Valg[[#Headers],[Tabel ID]])</f>
        <v>1830</v>
      </c>
      <c r="B1840" s="171">
        <f>ROUNDDOWN((LineærRegression_Valg[[#This Row],[Tabel ID]]-1)/$B$5,0)+1</f>
        <v>458</v>
      </c>
      <c r="C1840" s="171">
        <f t="shared" si="28"/>
        <v>2</v>
      </c>
      <c r="D1840" s="171" t="b">
        <f>LineærRegression_Valg[[#This Row],[Afhængig variabel ID]]&lt;&gt;LineærRegression_Valg[[#This Row],[Uafhængig variabel ID]]</f>
        <v>1</v>
      </c>
      <c r="E1840" s="171" t="b">
        <f>LineærRegression_Valg[[#This Row],[Afhængig variabel ID]]&lt;=$B$5</f>
        <v>0</v>
      </c>
      <c r="F1840" t="str" cm="1">
        <f t="array" ref="F1840">IF(LineærRegression_Valg[[#This Row],[Indenfor range]],INDEX(DataTitel_liste,LineærRegression_Valg[[#This Row],[Afhængig variabel ID]]),INDEX(DataTitel_liste,1))</f>
        <v>Eksempel 1 (interval)</v>
      </c>
      <c r="G1840" s="171" t="str" cm="1">
        <f t="array" ref="G1840">IF(LineærRegression_Valg[[#This Row],[Indenfor range]],IF(LineærRegression_Valg[[#This Row],[Intet overlap]],INDEX(DataTitel_liste,LineærRegression_Valg[[#This Row],[Uafhængig variabel ID]]),INDEX(DataTitel_liste,IF(LineærRegression_Valg[[#This Row],[Afhængig variabel ID]]=1,2,1))),$B$7)</f>
        <v>Eksempel 2 (interval)</v>
      </c>
      <c r="H1840" s="171">
        <f>_xlfn.AGGREGATE(2,5,LineærRegression_Valg[[#This Row],[Tabel ID]])</f>
        <v>1</v>
      </c>
    </row>
    <row r="1841" spans="1:8" x14ac:dyDescent="0.2">
      <c r="A1841">
        <f>ROW(LineærRegression_Valg[[#This Row],[Tabel ID]])-ROW(LineærRegression_Valg[[#Headers],[Tabel ID]])</f>
        <v>1831</v>
      </c>
      <c r="B1841" s="171">
        <f>ROUNDDOWN((LineærRegression_Valg[[#This Row],[Tabel ID]]-1)/$B$5,0)+1</f>
        <v>458</v>
      </c>
      <c r="C1841" s="171">
        <f t="shared" si="28"/>
        <v>3</v>
      </c>
      <c r="D1841" s="171" t="b">
        <f>LineærRegression_Valg[[#This Row],[Afhængig variabel ID]]&lt;&gt;LineærRegression_Valg[[#This Row],[Uafhængig variabel ID]]</f>
        <v>1</v>
      </c>
      <c r="E1841" s="171" t="b">
        <f>LineærRegression_Valg[[#This Row],[Afhængig variabel ID]]&lt;=$B$5</f>
        <v>0</v>
      </c>
      <c r="F1841" t="str" cm="1">
        <f t="array" ref="F1841">IF(LineærRegression_Valg[[#This Row],[Indenfor range]],INDEX(DataTitel_liste,LineærRegression_Valg[[#This Row],[Afhængig variabel ID]]),INDEX(DataTitel_liste,1))</f>
        <v>Eksempel 1 (interval)</v>
      </c>
      <c r="G1841" s="171" t="str" cm="1">
        <f t="array" ref="G1841">IF(LineærRegression_Valg[[#This Row],[Indenfor range]],IF(LineærRegression_Valg[[#This Row],[Intet overlap]],INDEX(DataTitel_liste,LineærRegression_Valg[[#This Row],[Uafhængig variabel ID]]),INDEX(DataTitel_liste,IF(LineærRegression_Valg[[#This Row],[Afhængig variabel ID]]=1,2,1))),$B$7)</f>
        <v>Eksempel 2 (interval)</v>
      </c>
      <c r="H1841" s="171">
        <f>_xlfn.AGGREGATE(2,5,LineærRegression_Valg[[#This Row],[Tabel ID]])</f>
        <v>1</v>
      </c>
    </row>
    <row r="1842" spans="1:8" x14ac:dyDescent="0.2">
      <c r="A1842">
        <f>ROW(LineærRegression_Valg[[#This Row],[Tabel ID]])-ROW(LineærRegression_Valg[[#Headers],[Tabel ID]])</f>
        <v>1832</v>
      </c>
      <c r="B1842" s="171">
        <f>ROUNDDOWN((LineærRegression_Valg[[#This Row],[Tabel ID]]-1)/$B$5,0)+1</f>
        <v>458</v>
      </c>
      <c r="C1842" s="171">
        <f t="shared" si="28"/>
        <v>4</v>
      </c>
      <c r="D1842" s="171" t="b">
        <f>LineærRegression_Valg[[#This Row],[Afhængig variabel ID]]&lt;&gt;LineærRegression_Valg[[#This Row],[Uafhængig variabel ID]]</f>
        <v>1</v>
      </c>
      <c r="E1842" s="171" t="b">
        <f>LineærRegression_Valg[[#This Row],[Afhængig variabel ID]]&lt;=$B$5</f>
        <v>0</v>
      </c>
      <c r="F1842" t="str" cm="1">
        <f t="array" ref="F1842">IF(LineærRegression_Valg[[#This Row],[Indenfor range]],INDEX(DataTitel_liste,LineærRegression_Valg[[#This Row],[Afhængig variabel ID]]),INDEX(DataTitel_liste,1))</f>
        <v>Eksempel 1 (interval)</v>
      </c>
      <c r="G1842" s="171" t="str" cm="1">
        <f t="array" ref="G1842">IF(LineærRegression_Valg[[#This Row],[Indenfor range]],IF(LineærRegression_Valg[[#This Row],[Intet overlap]],INDEX(DataTitel_liste,LineærRegression_Valg[[#This Row],[Uafhængig variabel ID]]),INDEX(DataTitel_liste,IF(LineærRegression_Valg[[#This Row],[Afhængig variabel ID]]=1,2,1))),$B$7)</f>
        <v>Eksempel 2 (interval)</v>
      </c>
      <c r="H1842" s="171">
        <f>_xlfn.AGGREGATE(2,5,LineærRegression_Valg[[#This Row],[Tabel ID]])</f>
        <v>1</v>
      </c>
    </row>
    <row r="1843" spans="1:8" x14ac:dyDescent="0.2">
      <c r="A1843">
        <f>ROW(LineærRegression_Valg[[#This Row],[Tabel ID]])-ROW(LineærRegression_Valg[[#Headers],[Tabel ID]])</f>
        <v>1833</v>
      </c>
      <c r="B1843" s="171">
        <f>ROUNDDOWN((LineærRegression_Valg[[#This Row],[Tabel ID]]-1)/$B$5,0)+1</f>
        <v>459</v>
      </c>
      <c r="C1843" s="171">
        <f t="shared" si="28"/>
        <v>1</v>
      </c>
      <c r="D1843" s="171" t="b">
        <f>LineærRegression_Valg[[#This Row],[Afhængig variabel ID]]&lt;&gt;LineærRegression_Valg[[#This Row],[Uafhængig variabel ID]]</f>
        <v>1</v>
      </c>
      <c r="E1843" s="171" t="b">
        <f>LineærRegression_Valg[[#This Row],[Afhængig variabel ID]]&lt;=$B$5</f>
        <v>0</v>
      </c>
      <c r="F1843" t="str" cm="1">
        <f t="array" ref="F1843">IF(LineærRegression_Valg[[#This Row],[Indenfor range]],INDEX(DataTitel_liste,LineærRegression_Valg[[#This Row],[Afhængig variabel ID]]),INDEX(DataTitel_liste,1))</f>
        <v>Eksempel 1 (interval)</v>
      </c>
      <c r="G1843" s="171" t="str" cm="1">
        <f t="array" ref="G1843">IF(LineærRegression_Valg[[#This Row],[Indenfor range]],IF(LineærRegression_Valg[[#This Row],[Intet overlap]],INDEX(DataTitel_liste,LineærRegression_Valg[[#This Row],[Uafhængig variabel ID]]),INDEX(DataTitel_liste,IF(LineærRegression_Valg[[#This Row],[Afhængig variabel ID]]=1,2,1))),$B$7)</f>
        <v>Eksempel 2 (interval)</v>
      </c>
      <c r="H1843" s="171">
        <f>_xlfn.AGGREGATE(2,5,LineærRegression_Valg[[#This Row],[Tabel ID]])</f>
        <v>1</v>
      </c>
    </row>
    <row r="1844" spans="1:8" x14ac:dyDescent="0.2">
      <c r="A1844">
        <f>ROW(LineærRegression_Valg[[#This Row],[Tabel ID]])-ROW(LineærRegression_Valg[[#Headers],[Tabel ID]])</f>
        <v>1834</v>
      </c>
      <c r="B1844" s="171">
        <f>ROUNDDOWN((LineærRegression_Valg[[#This Row],[Tabel ID]]-1)/$B$5,0)+1</f>
        <v>459</v>
      </c>
      <c r="C1844" s="171">
        <f t="shared" si="28"/>
        <v>2</v>
      </c>
      <c r="D1844" s="171" t="b">
        <f>LineærRegression_Valg[[#This Row],[Afhængig variabel ID]]&lt;&gt;LineærRegression_Valg[[#This Row],[Uafhængig variabel ID]]</f>
        <v>1</v>
      </c>
      <c r="E1844" s="171" t="b">
        <f>LineærRegression_Valg[[#This Row],[Afhængig variabel ID]]&lt;=$B$5</f>
        <v>0</v>
      </c>
      <c r="F1844" t="str" cm="1">
        <f t="array" ref="F1844">IF(LineærRegression_Valg[[#This Row],[Indenfor range]],INDEX(DataTitel_liste,LineærRegression_Valg[[#This Row],[Afhængig variabel ID]]),INDEX(DataTitel_liste,1))</f>
        <v>Eksempel 1 (interval)</v>
      </c>
      <c r="G1844" s="171" t="str" cm="1">
        <f t="array" ref="G1844">IF(LineærRegression_Valg[[#This Row],[Indenfor range]],IF(LineærRegression_Valg[[#This Row],[Intet overlap]],INDEX(DataTitel_liste,LineærRegression_Valg[[#This Row],[Uafhængig variabel ID]]),INDEX(DataTitel_liste,IF(LineærRegression_Valg[[#This Row],[Afhængig variabel ID]]=1,2,1))),$B$7)</f>
        <v>Eksempel 2 (interval)</v>
      </c>
      <c r="H1844" s="171">
        <f>_xlfn.AGGREGATE(2,5,LineærRegression_Valg[[#This Row],[Tabel ID]])</f>
        <v>1</v>
      </c>
    </row>
    <row r="1845" spans="1:8" x14ac:dyDescent="0.2">
      <c r="A1845">
        <f>ROW(LineærRegression_Valg[[#This Row],[Tabel ID]])-ROW(LineærRegression_Valg[[#Headers],[Tabel ID]])</f>
        <v>1835</v>
      </c>
      <c r="B1845" s="171">
        <f>ROUNDDOWN((LineærRegression_Valg[[#This Row],[Tabel ID]]-1)/$B$5,0)+1</f>
        <v>459</v>
      </c>
      <c r="C1845" s="171">
        <f t="shared" si="28"/>
        <v>3</v>
      </c>
      <c r="D1845" s="171" t="b">
        <f>LineærRegression_Valg[[#This Row],[Afhængig variabel ID]]&lt;&gt;LineærRegression_Valg[[#This Row],[Uafhængig variabel ID]]</f>
        <v>1</v>
      </c>
      <c r="E1845" s="171" t="b">
        <f>LineærRegression_Valg[[#This Row],[Afhængig variabel ID]]&lt;=$B$5</f>
        <v>0</v>
      </c>
      <c r="F1845" t="str" cm="1">
        <f t="array" ref="F1845">IF(LineærRegression_Valg[[#This Row],[Indenfor range]],INDEX(DataTitel_liste,LineærRegression_Valg[[#This Row],[Afhængig variabel ID]]),INDEX(DataTitel_liste,1))</f>
        <v>Eksempel 1 (interval)</v>
      </c>
      <c r="G1845" s="171" t="str" cm="1">
        <f t="array" ref="G1845">IF(LineærRegression_Valg[[#This Row],[Indenfor range]],IF(LineærRegression_Valg[[#This Row],[Intet overlap]],INDEX(DataTitel_liste,LineærRegression_Valg[[#This Row],[Uafhængig variabel ID]]),INDEX(DataTitel_liste,IF(LineærRegression_Valg[[#This Row],[Afhængig variabel ID]]=1,2,1))),$B$7)</f>
        <v>Eksempel 2 (interval)</v>
      </c>
      <c r="H1845" s="171">
        <f>_xlfn.AGGREGATE(2,5,LineærRegression_Valg[[#This Row],[Tabel ID]])</f>
        <v>1</v>
      </c>
    </row>
    <row r="1846" spans="1:8" x14ac:dyDescent="0.2">
      <c r="A1846">
        <f>ROW(LineærRegression_Valg[[#This Row],[Tabel ID]])-ROW(LineærRegression_Valg[[#Headers],[Tabel ID]])</f>
        <v>1836</v>
      </c>
      <c r="B1846" s="171">
        <f>ROUNDDOWN((LineærRegression_Valg[[#This Row],[Tabel ID]]-1)/$B$5,0)+1</f>
        <v>459</v>
      </c>
      <c r="C1846" s="171">
        <f t="shared" si="28"/>
        <v>4</v>
      </c>
      <c r="D1846" s="171" t="b">
        <f>LineærRegression_Valg[[#This Row],[Afhængig variabel ID]]&lt;&gt;LineærRegression_Valg[[#This Row],[Uafhængig variabel ID]]</f>
        <v>1</v>
      </c>
      <c r="E1846" s="171" t="b">
        <f>LineærRegression_Valg[[#This Row],[Afhængig variabel ID]]&lt;=$B$5</f>
        <v>0</v>
      </c>
      <c r="F1846" t="str" cm="1">
        <f t="array" ref="F1846">IF(LineærRegression_Valg[[#This Row],[Indenfor range]],INDEX(DataTitel_liste,LineærRegression_Valg[[#This Row],[Afhængig variabel ID]]),INDEX(DataTitel_liste,1))</f>
        <v>Eksempel 1 (interval)</v>
      </c>
      <c r="G1846" s="171" t="str" cm="1">
        <f t="array" ref="G1846">IF(LineærRegression_Valg[[#This Row],[Indenfor range]],IF(LineærRegression_Valg[[#This Row],[Intet overlap]],INDEX(DataTitel_liste,LineærRegression_Valg[[#This Row],[Uafhængig variabel ID]]),INDEX(DataTitel_liste,IF(LineærRegression_Valg[[#This Row],[Afhængig variabel ID]]=1,2,1))),$B$7)</f>
        <v>Eksempel 2 (interval)</v>
      </c>
      <c r="H1846" s="171">
        <f>_xlfn.AGGREGATE(2,5,LineærRegression_Valg[[#This Row],[Tabel ID]])</f>
        <v>1</v>
      </c>
    </row>
    <row r="1847" spans="1:8" x14ac:dyDescent="0.2">
      <c r="A1847">
        <f>ROW(LineærRegression_Valg[[#This Row],[Tabel ID]])-ROW(LineærRegression_Valg[[#Headers],[Tabel ID]])</f>
        <v>1837</v>
      </c>
      <c r="B1847" s="171">
        <f>ROUNDDOWN((LineærRegression_Valg[[#This Row],[Tabel ID]]-1)/$B$5,0)+1</f>
        <v>460</v>
      </c>
      <c r="C1847" s="171">
        <f t="shared" si="28"/>
        <v>1</v>
      </c>
      <c r="D1847" s="171" t="b">
        <f>LineærRegression_Valg[[#This Row],[Afhængig variabel ID]]&lt;&gt;LineærRegression_Valg[[#This Row],[Uafhængig variabel ID]]</f>
        <v>1</v>
      </c>
      <c r="E1847" s="171" t="b">
        <f>LineærRegression_Valg[[#This Row],[Afhængig variabel ID]]&lt;=$B$5</f>
        <v>0</v>
      </c>
      <c r="F1847" t="str" cm="1">
        <f t="array" ref="F1847">IF(LineærRegression_Valg[[#This Row],[Indenfor range]],INDEX(DataTitel_liste,LineærRegression_Valg[[#This Row],[Afhængig variabel ID]]),INDEX(DataTitel_liste,1))</f>
        <v>Eksempel 1 (interval)</v>
      </c>
      <c r="G1847" s="171" t="str" cm="1">
        <f t="array" ref="G1847">IF(LineærRegression_Valg[[#This Row],[Indenfor range]],IF(LineærRegression_Valg[[#This Row],[Intet overlap]],INDEX(DataTitel_liste,LineærRegression_Valg[[#This Row],[Uafhængig variabel ID]]),INDEX(DataTitel_liste,IF(LineærRegression_Valg[[#This Row],[Afhængig variabel ID]]=1,2,1))),$B$7)</f>
        <v>Eksempel 2 (interval)</v>
      </c>
      <c r="H1847" s="171">
        <f>_xlfn.AGGREGATE(2,5,LineærRegression_Valg[[#This Row],[Tabel ID]])</f>
        <v>1</v>
      </c>
    </row>
    <row r="1848" spans="1:8" x14ac:dyDescent="0.2">
      <c r="A1848">
        <f>ROW(LineærRegression_Valg[[#This Row],[Tabel ID]])-ROW(LineærRegression_Valg[[#Headers],[Tabel ID]])</f>
        <v>1838</v>
      </c>
      <c r="B1848" s="171">
        <f>ROUNDDOWN((LineærRegression_Valg[[#This Row],[Tabel ID]]-1)/$B$5,0)+1</f>
        <v>460</v>
      </c>
      <c r="C1848" s="171">
        <f t="shared" si="28"/>
        <v>2</v>
      </c>
      <c r="D1848" s="171" t="b">
        <f>LineærRegression_Valg[[#This Row],[Afhængig variabel ID]]&lt;&gt;LineærRegression_Valg[[#This Row],[Uafhængig variabel ID]]</f>
        <v>1</v>
      </c>
      <c r="E1848" s="171" t="b">
        <f>LineærRegression_Valg[[#This Row],[Afhængig variabel ID]]&lt;=$B$5</f>
        <v>0</v>
      </c>
      <c r="F1848" t="str" cm="1">
        <f t="array" ref="F1848">IF(LineærRegression_Valg[[#This Row],[Indenfor range]],INDEX(DataTitel_liste,LineærRegression_Valg[[#This Row],[Afhængig variabel ID]]),INDEX(DataTitel_liste,1))</f>
        <v>Eksempel 1 (interval)</v>
      </c>
      <c r="G1848" s="171" t="str" cm="1">
        <f t="array" ref="G1848">IF(LineærRegression_Valg[[#This Row],[Indenfor range]],IF(LineærRegression_Valg[[#This Row],[Intet overlap]],INDEX(DataTitel_liste,LineærRegression_Valg[[#This Row],[Uafhængig variabel ID]]),INDEX(DataTitel_liste,IF(LineærRegression_Valg[[#This Row],[Afhængig variabel ID]]=1,2,1))),$B$7)</f>
        <v>Eksempel 2 (interval)</v>
      </c>
      <c r="H1848" s="171">
        <f>_xlfn.AGGREGATE(2,5,LineærRegression_Valg[[#This Row],[Tabel ID]])</f>
        <v>1</v>
      </c>
    </row>
    <row r="1849" spans="1:8" x14ac:dyDescent="0.2">
      <c r="A1849">
        <f>ROW(LineærRegression_Valg[[#This Row],[Tabel ID]])-ROW(LineærRegression_Valg[[#Headers],[Tabel ID]])</f>
        <v>1839</v>
      </c>
      <c r="B1849" s="171">
        <f>ROUNDDOWN((LineærRegression_Valg[[#This Row],[Tabel ID]]-1)/$B$5,0)+1</f>
        <v>460</v>
      </c>
      <c r="C1849" s="171">
        <f t="shared" si="28"/>
        <v>3</v>
      </c>
      <c r="D1849" s="171" t="b">
        <f>LineærRegression_Valg[[#This Row],[Afhængig variabel ID]]&lt;&gt;LineærRegression_Valg[[#This Row],[Uafhængig variabel ID]]</f>
        <v>1</v>
      </c>
      <c r="E1849" s="171" t="b">
        <f>LineærRegression_Valg[[#This Row],[Afhængig variabel ID]]&lt;=$B$5</f>
        <v>0</v>
      </c>
      <c r="F1849" t="str" cm="1">
        <f t="array" ref="F1849">IF(LineærRegression_Valg[[#This Row],[Indenfor range]],INDEX(DataTitel_liste,LineærRegression_Valg[[#This Row],[Afhængig variabel ID]]),INDEX(DataTitel_liste,1))</f>
        <v>Eksempel 1 (interval)</v>
      </c>
      <c r="G1849" s="171" t="str" cm="1">
        <f t="array" ref="G1849">IF(LineærRegression_Valg[[#This Row],[Indenfor range]],IF(LineærRegression_Valg[[#This Row],[Intet overlap]],INDEX(DataTitel_liste,LineærRegression_Valg[[#This Row],[Uafhængig variabel ID]]),INDEX(DataTitel_liste,IF(LineærRegression_Valg[[#This Row],[Afhængig variabel ID]]=1,2,1))),$B$7)</f>
        <v>Eksempel 2 (interval)</v>
      </c>
      <c r="H1849" s="171">
        <f>_xlfn.AGGREGATE(2,5,LineærRegression_Valg[[#This Row],[Tabel ID]])</f>
        <v>1</v>
      </c>
    </row>
    <row r="1850" spans="1:8" x14ac:dyDescent="0.2">
      <c r="A1850">
        <f>ROW(LineærRegression_Valg[[#This Row],[Tabel ID]])-ROW(LineærRegression_Valg[[#Headers],[Tabel ID]])</f>
        <v>1840</v>
      </c>
      <c r="B1850" s="171">
        <f>ROUNDDOWN((LineærRegression_Valg[[#This Row],[Tabel ID]]-1)/$B$5,0)+1</f>
        <v>460</v>
      </c>
      <c r="C1850" s="171">
        <f t="shared" si="28"/>
        <v>4</v>
      </c>
      <c r="D1850" s="171" t="b">
        <f>LineærRegression_Valg[[#This Row],[Afhængig variabel ID]]&lt;&gt;LineærRegression_Valg[[#This Row],[Uafhængig variabel ID]]</f>
        <v>1</v>
      </c>
      <c r="E1850" s="171" t="b">
        <f>LineærRegression_Valg[[#This Row],[Afhængig variabel ID]]&lt;=$B$5</f>
        <v>0</v>
      </c>
      <c r="F1850" t="str" cm="1">
        <f t="array" ref="F1850">IF(LineærRegression_Valg[[#This Row],[Indenfor range]],INDEX(DataTitel_liste,LineærRegression_Valg[[#This Row],[Afhængig variabel ID]]),INDEX(DataTitel_liste,1))</f>
        <v>Eksempel 1 (interval)</v>
      </c>
      <c r="G1850" s="171" t="str" cm="1">
        <f t="array" ref="G1850">IF(LineærRegression_Valg[[#This Row],[Indenfor range]],IF(LineærRegression_Valg[[#This Row],[Intet overlap]],INDEX(DataTitel_liste,LineærRegression_Valg[[#This Row],[Uafhængig variabel ID]]),INDEX(DataTitel_liste,IF(LineærRegression_Valg[[#This Row],[Afhængig variabel ID]]=1,2,1))),$B$7)</f>
        <v>Eksempel 2 (interval)</v>
      </c>
      <c r="H1850" s="171">
        <f>_xlfn.AGGREGATE(2,5,LineærRegression_Valg[[#This Row],[Tabel ID]])</f>
        <v>1</v>
      </c>
    </row>
    <row r="1851" spans="1:8" x14ac:dyDescent="0.2">
      <c r="A1851">
        <f>ROW(LineærRegression_Valg[[#This Row],[Tabel ID]])-ROW(LineærRegression_Valg[[#Headers],[Tabel ID]])</f>
        <v>1841</v>
      </c>
      <c r="B1851" s="171">
        <f>ROUNDDOWN((LineærRegression_Valg[[#This Row],[Tabel ID]]-1)/$B$5,0)+1</f>
        <v>461</v>
      </c>
      <c r="C1851" s="171">
        <f t="shared" si="28"/>
        <v>1</v>
      </c>
      <c r="D1851" s="171" t="b">
        <f>LineærRegression_Valg[[#This Row],[Afhængig variabel ID]]&lt;&gt;LineærRegression_Valg[[#This Row],[Uafhængig variabel ID]]</f>
        <v>1</v>
      </c>
      <c r="E1851" s="171" t="b">
        <f>LineærRegression_Valg[[#This Row],[Afhængig variabel ID]]&lt;=$B$5</f>
        <v>0</v>
      </c>
      <c r="F1851" t="str" cm="1">
        <f t="array" ref="F1851">IF(LineærRegression_Valg[[#This Row],[Indenfor range]],INDEX(DataTitel_liste,LineærRegression_Valg[[#This Row],[Afhængig variabel ID]]),INDEX(DataTitel_liste,1))</f>
        <v>Eksempel 1 (interval)</v>
      </c>
      <c r="G1851" s="171" t="str" cm="1">
        <f t="array" ref="G1851">IF(LineærRegression_Valg[[#This Row],[Indenfor range]],IF(LineærRegression_Valg[[#This Row],[Intet overlap]],INDEX(DataTitel_liste,LineærRegression_Valg[[#This Row],[Uafhængig variabel ID]]),INDEX(DataTitel_liste,IF(LineærRegression_Valg[[#This Row],[Afhængig variabel ID]]=1,2,1))),$B$7)</f>
        <v>Eksempel 2 (interval)</v>
      </c>
      <c r="H1851" s="171">
        <f>_xlfn.AGGREGATE(2,5,LineærRegression_Valg[[#This Row],[Tabel ID]])</f>
        <v>1</v>
      </c>
    </row>
    <row r="1852" spans="1:8" x14ac:dyDescent="0.2">
      <c r="A1852">
        <f>ROW(LineærRegression_Valg[[#This Row],[Tabel ID]])-ROW(LineærRegression_Valg[[#Headers],[Tabel ID]])</f>
        <v>1842</v>
      </c>
      <c r="B1852" s="171">
        <f>ROUNDDOWN((LineærRegression_Valg[[#This Row],[Tabel ID]]-1)/$B$5,0)+1</f>
        <v>461</v>
      </c>
      <c r="C1852" s="171">
        <f t="shared" si="28"/>
        <v>2</v>
      </c>
      <c r="D1852" s="171" t="b">
        <f>LineærRegression_Valg[[#This Row],[Afhængig variabel ID]]&lt;&gt;LineærRegression_Valg[[#This Row],[Uafhængig variabel ID]]</f>
        <v>1</v>
      </c>
      <c r="E1852" s="171" t="b">
        <f>LineærRegression_Valg[[#This Row],[Afhængig variabel ID]]&lt;=$B$5</f>
        <v>0</v>
      </c>
      <c r="F1852" t="str" cm="1">
        <f t="array" ref="F1852">IF(LineærRegression_Valg[[#This Row],[Indenfor range]],INDEX(DataTitel_liste,LineærRegression_Valg[[#This Row],[Afhængig variabel ID]]),INDEX(DataTitel_liste,1))</f>
        <v>Eksempel 1 (interval)</v>
      </c>
      <c r="G1852" s="171" t="str" cm="1">
        <f t="array" ref="G1852">IF(LineærRegression_Valg[[#This Row],[Indenfor range]],IF(LineærRegression_Valg[[#This Row],[Intet overlap]],INDEX(DataTitel_liste,LineærRegression_Valg[[#This Row],[Uafhængig variabel ID]]),INDEX(DataTitel_liste,IF(LineærRegression_Valg[[#This Row],[Afhængig variabel ID]]=1,2,1))),$B$7)</f>
        <v>Eksempel 2 (interval)</v>
      </c>
      <c r="H1852" s="171">
        <f>_xlfn.AGGREGATE(2,5,LineærRegression_Valg[[#This Row],[Tabel ID]])</f>
        <v>1</v>
      </c>
    </row>
    <row r="1853" spans="1:8" x14ac:dyDescent="0.2">
      <c r="A1853">
        <f>ROW(LineærRegression_Valg[[#This Row],[Tabel ID]])-ROW(LineærRegression_Valg[[#Headers],[Tabel ID]])</f>
        <v>1843</v>
      </c>
      <c r="B1853" s="171">
        <f>ROUNDDOWN((LineærRegression_Valg[[#This Row],[Tabel ID]]-1)/$B$5,0)+1</f>
        <v>461</v>
      </c>
      <c r="C1853" s="171">
        <f t="shared" si="28"/>
        <v>3</v>
      </c>
      <c r="D1853" s="171" t="b">
        <f>LineærRegression_Valg[[#This Row],[Afhængig variabel ID]]&lt;&gt;LineærRegression_Valg[[#This Row],[Uafhængig variabel ID]]</f>
        <v>1</v>
      </c>
      <c r="E1853" s="171" t="b">
        <f>LineærRegression_Valg[[#This Row],[Afhængig variabel ID]]&lt;=$B$5</f>
        <v>0</v>
      </c>
      <c r="F1853" t="str" cm="1">
        <f t="array" ref="F1853">IF(LineærRegression_Valg[[#This Row],[Indenfor range]],INDEX(DataTitel_liste,LineærRegression_Valg[[#This Row],[Afhængig variabel ID]]),INDEX(DataTitel_liste,1))</f>
        <v>Eksempel 1 (interval)</v>
      </c>
      <c r="G1853" s="171" t="str" cm="1">
        <f t="array" ref="G1853">IF(LineærRegression_Valg[[#This Row],[Indenfor range]],IF(LineærRegression_Valg[[#This Row],[Intet overlap]],INDEX(DataTitel_liste,LineærRegression_Valg[[#This Row],[Uafhængig variabel ID]]),INDEX(DataTitel_liste,IF(LineærRegression_Valg[[#This Row],[Afhængig variabel ID]]=1,2,1))),$B$7)</f>
        <v>Eksempel 2 (interval)</v>
      </c>
      <c r="H1853" s="171">
        <f>_xlfn.AGGREGATE(2,5,LineærRegression_Valg[[#This Row],[Tabel ID]])</f>
        <v>1</v>
      </c>
    </row>
    <row r="1854" spans="1:8" x14ac:dyDescent="0.2">
      <c r="A1854">
        <f>ROW(LineærRegression_Valg[[#This Row],[Tabel ID]])-ROW(LineærRegression_Valg[[#Headers],[Tabel ID]])</f>
        <v>1844</v>
      </c>
      <c r="B1854" s="171">
        <f>ROUNDDOWN((LineærRegression_Valg[[#This Row],[Tabel ID]]-1)/$B$5,0)+1</f>
        <v>461</v>
      </c>
      <c r="C1854" s="171">
        <f t="shared" si="28"/>
        <v>4</v>
      </c>
      <c r="D1854" s="171" t="b">
        <f>LineærRegression_Valg[[#This Row],[Afhængig variabel ID]]&lt;&gt;LineærRegression_Valg[[#This Row],[Uafhængig variabel ID]]</f>
        <v>1</v>
      </c>
      <c r="E1854" s="171" t="b">
        <f>LineærRegression_Valg[[#This Row],[Afhængig variabel ID]]&lt;=$B$5</f>
        <v>0</v>
      </c>
      <c r="F1854" t="str" cm="1">
        <f t="array" ref="F1854">IF(LineærRegression_Valg[[#This Row],[Indenfor range]],INDEX(DataTitel_liste,LineærRegression_Valg[[#This Row],[Afhængig variabel ID]]),INDEX(DataTitel_liste,1))</f>
        <v>Eksempel 1 (interval)</v>
      </c>
      <c r="G1854" s="171" t="str" cm="1">
        <f t="array" ref="G1854">IF(LineærRegression_Valg[[#This Row],[Indenfor range]],IF(LineærRegression_Valg[[#This Row],[Intet overlap]],INDEX(DataTitel_liste,LineærRegression_Valg[[#This Row],[Uafhængig variabel ID]]),INDEX(DataTitel_liste,IF(LineærRegression_Valg[[#This Row],[Afhængig variabel ID]]=1,2,1))),$B$7)</f>
        <v>Eksempel 2 (interval)</v>
      </c>
      <c r="H1854" s="171">
        <f>_xlfn.AGGREGATE(2,5,LineærRegression_Valg[[#This Row],[Tabel ID]])</f>
        <v>1</v>
      </c>
    </row>
    <row r="1855" spans="1:8" x14ac:dyDescent="0.2">
      <c r="A1855">
        <f>ROW(LineærRegression_Valg[[#This Row],[Tabel ID]])-ROW(LineærRegression_Valg[[#Headers],[Tabel ID]])</f>
        <v>1845</v>
      </c>
      <c r="B1855" s="171">
        <f>ROUNDDOWN((LineærRegression_Valg[[#This Row],[Tabel ID]]-1)/$B$5,0)+1</f>
        <v>462</v>
      </c>
      <c r="C1855" s="171">
        <f t="shared" si="28"/>
        <v>1</v>
      </c>
      <c r="D1855" s="171" t="b">
        <f>LineærRegression_Valg[[#This Row],[Afhængig variabel ID]]&lt;&gt;LineærRegression_Valg[[#This Row],[Uafhængig variabel ID]]</f>
        <v>1</v>
      </c>
      <c r="E1855" s="171" t="b">
        <f>LineærRegression_Valg[[#This Row],[Afhængig variabel ID]]&lt;=$B$5</f>
        <v>0</v>
      </c>
      <c r="F1855" t="str" cm="1">
        <f t="array" ref="F1855">IF(LineærRegression_Valg[[#This Row],[Indenfor range]],INDEX(DataTitel_liste,LineærRegression_Valg[[#This Row],[Afhængig variabel ID]]),INDEX(DataTitel_liste,1))</f>
        <v>Eksempel 1 (interval)</v>
      </c>
      <c r="G1855" s="171" t="str" cm="1">
        <f t="array" ref="G1855">IF(LineærRegression_Valg[[#This Row],[Indenfor range]],IF(LineærRegression_Valg[[#This Row],[Intet overlap]],INDEX(DataTitel_liste,LineærRegression_Valg[[#This Row],[Uafhængig variabel ID]]),INDEX(DataTitel_liste,IF(LineærRegression_Valg[[#This Row],[Afhængig variabel ID]]=1,2,1))),$B$7)</f>
        <v>Eksempel 2 (interval)</v>
      </c>
      <c r="H1855" s="171">
        <f>_xlfn.AGGREGATE(2,5,LineærRegression_Valg[[#This Row],[Tabel ID]])</f>
        <v>1</v>
      </c>
    </row>
    <row r="1856" spans="1:8" x14ac:dyDescent="0.2">
      <c r="A1856">
        <f>ROW(LineærRegression_Valg[[#This Row],[Tabel ID]])-ROW(LineærRegression_Valg[[#Headers],[Tabel ID]])</f>
        <v>1846</v>
      </c>
      <c r="B1856" s="171">
        <f>ROUNDDOWN((LineærRegression_Valg[[#This Row],[Tabel ID]]-1)/$B$5,0)+1</f>
        <v>462</v>
      </c>
      <c r="C1856" s="171">
        <f t="shared" si="28"/>
        <v>2</v>
      </c>
      <c r="D1856" s="171" t="b">
        <f>LineærRegression_Valg[[#This Row],[Afhængig variabel ID]]&lt;&gt;LineærRegression_Valg[[#This Row],[Uafhængig variabel ID]]</f>
        <v>1</v>
      </c>
      <c r="E1856" s="171" t="b">
        <f>LineærRegression_Valg[[#This Row],[Afhængig variabel ID]]&lt;=$B$5</f>
        <v>0</v>
      </c>
      <c r="F1856" t="str" cm="1">
        <f t="array" ref="F1856">IF(LineærRegression_Valg[[#This Row],[Indenfor range]],INDEX(DataTitel_liste,LineærRegression_Valg[[#This Row],[Afhængig variabel ID]]),INDEX(DataTitel_liste,1))</f>
        <v>Eksempel 1 (interval)</v>
      </c>
      <c r="G1856" s="171" t="str" cm="1">
        <f t="array" ref="G1856">IF(LineærRegression_Valg[[#This Row],[Indenfor range]],IF(LineærRegression_Valg[[#This Row],[Intet overlap]],INDEX(DataTitel_liste,LineærRegression_Valg[[#This Row],[Uafhængig variabel ID]]),INDEX(DataTitel_liste,IF(LineærRegression_Valg[[#This Row],[Afhængig variabel ID]]=1,2,1))),$B$7)</f>
        <v>Eksempel 2 (interval)</v>
      </c>
      <c r="H1856" s="171">
        <f>_xlfn.AGGREGATE(2,5,LineærRegression_Valg[[#This Row],[Tabel ID]])</f>
        <v>1</v>
      </c>
    </row>
    <row r="1857" spans="1:8" x14ac:dyDescent="0.2">
      <c r="A1857">
        <f>ROW(LineærRegression_Valg[[#This Row],[Tabel ID]])-ROW(LineærRegression_Valg[[#Headers],[Tabel ID]])</f>
        <v>1847</v>
      </c>
      <c r="B1857" s="171">
        <f>ROUNDDOWN((LineærRegression_Valg[[#This Row],[Tabel ID]]-1)/$B$5,0)+1</f>
        <v>462</v>
      </c>
      <c r="C1857" s="171">
        <f t="shared" si="28"/>
        <v>3</v>
      </c>
      <c r="D1857" s="171" t="b">
        <f>LineærRegression_Valg[[#This Row],[Afhængig variabel ID]]&lt;&gt;LineærRegression_Valg[[#This Row],[Uafhængig variabel ID]]</f>
        <v>1</v>
      </c>
      <c r="E1857" s="171" t="b">
        <f>LineærRegression_Valg[[#This Row],[Afhængig variabel ID]]&lt;=$B$5</f>
        <v>0</v>
      </c>
      <c r="F1857" t="str" cm="1">
        <f t="array" ref="F1857">IF(LineærRegression_Valg[[#This Row],[Indenfor range]],INDEX(DataTitel_liste,LineærRegression_Valg[[#This Row],[Afhængig variabel ID]]),INDEX(DataTitel_liste,1))</f>
        <v>Eksempel 1 (interval)</v>
      </c>
      <c r="G1857" s="171" t="str" cm="1">
        <f t="array" ref="G1857">IF(LineærRegression_Valg[[#This Row],[Indenfor range]],IF(LineærRegression_Valg[[#This Row],[Intet overlap]],INDEX(DataTitel_liste,LineærRegression_Valg[[#This Row],[Uafhængig variabel ID]]),INDEX(DataTitel_liste,IF(LineærRegression_Valg[[#This Row],[Afhængig variabel ID]]=1,2,1))),$B$7)</f>
        <v>Eksempel 2 (interval)</v>
      </c>
      <c r="H1857" s="171">
        <f>_xlfn.AGGREGATE(2,5,LineærRegression_Valg[[#This Row],[Tabel ID]])</f>
        <v>1</v>
      </c>
    </row>
    <row r="1858" spans="1:8" x14ac:dyDescent="0.2">
      <c r="A1858">
        <f>ROW(LineærRegression_Valg[[#This Row],[Tabel ID]])-ROW(LineærRegression_Valg[[#Headers],[Tabel ID]])</f>
        <v>1848</v>
      </c>
      <c r="B1858" s="171">
        <f>ROUNDDOWN((LineærRegression_Valg[[#This Row],[Tabel ID]]-1)/$B$5,0)+1</f>
        <v>462</v>
      </c>
      <c r="C1858" s="171">
        <f t="shared" si="28"/>
        <v>4</v>
      </c>
      <c r="D1858" s="171" t="b">
        <f>LineærRegression_Valg[[#This Row],[Afhængig variabel ID]]&lt;&gt;LineærRegression_Valg[[#This Row],[Uafhængig variabel ID]]</f>
        <v>1</v>
      </c>
      <c r="E1858" s="171" t="b">
        <f>LineærRegression_Valg[[#This Row],[Afhængig variabel ID]]&lt;=$B$5</f>
        <v>0</v>
      </c>
      <c r="F1858" t="str" cm="1">
        <f t="array" ref="F1858">IF(LineærRegression_Valg[[#This Row],[Indenfor range]],INDEX(DataTitel_liste,LineærRegression_Valg[[#This Row],[Afhængig variabel ID]]),INDEX(DataTitel_liste,1))</f>
        <v>Eksempel 1 (interval)</v>
      </c>
      <c r="G1858" s="171" t="str" cm="1">
        <f t="array" ref="G1858">IF(LineærRegression_Valg[[#This Row],[Indenfor range]],IF(LineærRegression_Valg[[#This Row],[Intet overlap]],INDEX(DataTitel_liste,LineærRegression_Valg[[#This Row],[Uafhængig variabel ID]]),INDEX(DataTitel_liste,IF(LineærRegression_Valg[[#This Row],[Afhængig variabel ID]]=1,2,1))),$B$7)</f>
        <v>Eksempel 2 (interval)</v>
      </c>
      <c r="H1858" s="171">
        <f>_xlfn.AGGREGATE(2,5,LineærRegression_Valg[[#This Row],[Tabel ID]])</f>
        <v>1</v>
      </c>
    </row>
    <row r="1859" spans="1:8" x14ac:dyDescent="0.2">
      <c r="A1859">
        <f>ROW(LineærRegression_Valg[[#This Row],[Tabel ID]])-ROW(LineærRegression_Valg[[#Headers],[Tabel ID]])</f>
        <v>1849</v>
      </c>
      <c r="B1859" s="171">
        <f>ROUNDDOWN((LineærRegression_Valg[[#This Row],[Tabel ID]]-1)/$B$5,0)+1</f>
        <v>463</v>
      </c>
      <c r="C1859" s="171">
        <f t="shared" si="28"/>
        <v>1</v>
      </c>
      <c r="D1859" s="171" t="b">
        <f>LineærRegression_Valg[[#This Row],[Afhængig variabel ID]]&lt;&gt;LineærRegression_Valg[[#This Row],[Uafhængig variabel ID]]</f>
        <v>1</v>
      </c>
      <c r="E1859" s="171" t="b">
        <f>LineærRegression_Valg[[#This Row],[Afhængig variabel ID]]&lt;=$B$5</f>
        <v>0</v>
      </c>
      <c r="F1859" t="str" cm="1">
        <f t="array" ref="F1859">IF(LineærRegression_Valg[[#This Row],[Indenfor range]],INDEX(DataTitel_liste,LineærRegression_Valg[[#This Row],[Afhængig variabel ID]]),INDEX(DataTitel_liste,1))</f>
        <v>Eksempel 1 (interval)</v>
      </c>
      <c r="G1859" s="171" t="str" cm="1">
        <f t="array" ref="G1859">IF(LineærRegression_Valg[[#This Row],[Indenfor range]],IF(LineærRegression_Valg[[#This Row],[Intet overlap]],INDEX(DataTitel_liste,LineærRegression_Valg[[#This Row],[Uafhængig variabel ID]]),INDEX(DataTitel_liste,IF(LineærRegression_Valg[[#This Row],[Afhængig variabel ID]]=1,2,1))),$B$7)</f>
        <v>Eksempel 2 (interval)</v>
      </c>
      <c r="H1859" s="171">
        <f>_xlfn.AGGREGATE(2,5,LineærRegression_Valg[[#This Row],[Tabel ID]])</f>
        <v>1</v>
      </c>
    </row>
    <row r="1860" spans="1:8" x14ac:dyDescent="0.2">
      <c r="A1860">
        <f>ROW(LineærRegression_Valg[[#This Row],[Tabel ID]])-ROW(LineærRegression_Valg[[#Headers],[Tabel ID]])</f>
        <v>1850</v>
      </c>
      <c r="B1860" s="171">
        <f>ROUNDDOWN((LineærRegression_Valg[[#This Row],[Tabel ID]]-1)/$B$5,0)+1</f>
        <v>463</v>
      </c>
      <c r="C1860" s="171">
        <f t="shared" si="28"/>
        <v>2</v>
      </c>
      <c r="D1860" s="171" t="b">
        <f>LineærRegression_Valg[[#This Row],[Afhængig variabel ID]]&lt;&gt;LineærRegression_Valg[[#This Row],[Uafhængig variabel ID]]</f>
        <v>1</v>
      </c>
      <c r="E1860" s="171" t="b">
        <f>LineærRegression_Valg[[#This Row],[Afhængig variabel ID]]&lt;=$B$5</f>
        <v>0</v>
      </c>
      <c r="F1860" t="str" cm="1">
        <f t="array" ref="F1860">IF(LineærRegression_Valg[[#This Row],[Indenfor range]],INDEX(DataTitel_liste,LineærRegression_Valg[[#This Row],[Afhængig variabel ID]]),INDEX(DataTitel_liste,1))</f>
        <v>Eksempel 1 (interval)</v>
      </c>
      <c r="G1860" s="171" t="str" cm="1">
        <f t="array" ref="G1860">IF(LineærRegression_Valg[[#This Row],[Indenfor range]],IF(LineærRegression_Valg[[#This Row],[Intet overlap]],INDEX(DataTitel_liste,LineærRegression_Valg[[#This Row],[Uafhængig variabel ID]]),INDEX(DataTitel_liste,IF(LineærRegression_Valg[[#This Row],[Afhængig variabel ID]]=1,2,1))),$B$7)</f>
        <v>Eksempel 2 (interval)</v>
      </c>
      <c r="H1860" s="171">
        <f>_xlfn.AGGREGATE(2,5,LineærRegression_Valg[[#This Row],[Tabel ID]])</f>
        <v>1</v>
      </c>
    </row>
    <row r="1861" spans="1:8" x14ac:dyDescent="0.2">
      <c r="A1861">
        <f>ROW(LineærRegression_Valg[[#This Row],[Tabel ID]])-ROW(LineærRegression_Valg[[#Headers],[Tabel ID]])</f>
        <v>1851</v>
      </c>
      <c r="B1861" s="171">
        <f>ROUNDDOWN((LineærRegression_Valg[[#This Row],[Tabel ID]]-1)/$B$5,0)+1</f>
        <v>463</v>
      </c>
      <c r="C1861" s="171">
        <f t="shared" si="28"/>
        <v>3</v>
      </c>
      <c r="D1861" s="171" t="b">
        <f>LineærRegression_Valg[[#This Row],[Afhængig variabel ID]]&lt;&gt;LineærRegression_Valg[[#This Row],[Uafhængig variabel ID]]</f>
        <v>1</v>
      </c>
      <c r="E1861" s="171" t="b">
        <f>LineærRegression_Valg[[#This Row],[Afhængig variabel ID]]&lt;=$B$5</f>
        <v>0</v>
      </c>
      <c r="F1861" t="str" cm="1">
        <f t="array" ref="F1861">IF(LineærRegression_Valg[[#This Row],[Indenfor range]],INDEX(DataTitel_liste,LineærRegression_Valg[[#This Row],[Afhængig variabel ID]]),INDEX(DataTitel_liste,1))</f>
        <v>Eksempel 1 (interval)</v>
      </c>
      <c r="G1861" s="171" t="str" cm="1">
        <f t="array" ref="G1861">IF(LineærRegression_Valg[[#This Row],[Indenfor range]],IF(LineærRegression_Valg[[#This Row],[Intet overlap]],INDEX(DataTitel_liste,LineærRegression_Valg[[#This Row],[Uafhængig variabel ID]]),INDEX(DataTitel_liste,IF(LineærRegression_Valg[[#This Row],[Afhængig variabel ID]]=1,2,1))),$B$7)</f>
        <v>Eksempel 2 (interval)</v>
      </c>
      <c r="H1861" s="171">
        <f>_xlfn.AGGREGATE(2,5,LineærRegression_Valg[[#This Row],[Tabel ID]])</f>
        <v>1</v>
      </c>
    </row>
    <row r="1862" spans="1:8" x14ac:dyDescent="0.2">
      <c r="A1862">
        <f>ROW(LineærRegression_Valg[[#This Row],[Tabel ID]])-ROW(LineærRegression_Valg[[#Headers],[Tabel ID]])</f>
        <v>1852</v>
      </c>
      <c r="B1862" s="171">
        <f>ROUNDDOWN((LineærRegression_Valg[[#This Row],[Tabel ID]]-1)/$B$5,0)+1</f>
        <v>463</v>
      </c>
      <c r="C1862" s="171">
        <f t="shared" si="28"/>
        <v>4</v>
      </c>
      <c r="D1862" s="171" t="b">
        <f>LineærRegression_Valg[[#This Row],[Afhængig variabel ID]]&lt;&gt;LineærRegression_Valg[[#This Row],[Uafhængig variabel ID]]</f>
        <v>1</v>
      </c>
      <c r="E1862" s="171" t="b">
        <f>LineærRegression_Valg[[#This Row],[Afhængig variabel ID]]&lt;=$B$5</f>
        <v>0</v>
      </c>
      <c r="F1862" t="str" cm="1">
        <f t="array" ref="F1862">IF(LineærRegression_Valg[[#This Row],[Indenfor range]],INDEX(DataTitel_liste,LineærRegression_Valg[[#This Row],[Afhængig variabel ID]]),INDEX(DataTitel_liste,1))</f>
        <v>Eksempel 1 (interval)</v>
      </c>
      <c r="G1862" s="171" t="str" cm="1">
        <f t="array" ref="G1862">IF(LineærRegression_Valg[[#This Row],[Indenfor range]],IF(LineærRegression_Valg[[#This Row],[Intet overlap]],INDEX(DataTitel_liste,LineærRegression_Valg[[#This Row],[Uafhængig variabel ID]]),INDEX(DataTitel_liste,IF(LineærRegression_Valg[[#This Row],[Afhængig variabel ID]]=1,2,1))),$B$7)</f>
        <v>Eksempel 2 (interval)</v>
      </c>
      <c r="H1862" s="171">
        <f>_xlfn.AGGREGATE(2,5,LineærRegression_Valg[[#This Row],[Tabel ID]])</f>
        <v>1</v>
      </c>
    </row>
    <row r="1863" spans="1:8" x14ac:dyDescent="0.2">
      <c r="A1863">
        <f>ROW(LineærRegression_Valg[[#This Row],[Tabel ID]])-ROW(LineærRegression_Valg[[#Headers],[Tabel ID]])</f>
        <v>1853</v>
      </c>
      <c r="B1863" s="171">
        <f>ROUNDDOWN((LineærRegression_Valg[[#This Row],[Tabel ID]]-1)/$B$5,0)+1</f>
        <v>464</v>
      </c>
      <c r="C1863" s="171">
        <f t="shared" si="28"/>
        <v>1</v>
      </c>
      <c r="D1863" s="171" t="b">
        <f>LineærRegression_Valg[[#This Row],[Afhængig variabel ID]]&lt;&gt;LineærRegression_Valg[[#This Row],[Uafhængig variabel ID]]</f>
        <v>1</v>
      </c>
      <c r="E1863" s="171" t="b">
        <f>LineærRegression_Valg[[#This Row],[Afhængig variabel ID]]&lt;=$B$5</f>
        <v>0</v>
      </c>
      <c r="F1863" t="str" cm="1">
        <f t="array" ref="F1863">IF(LineærRegression_Valg[[#This Row],[Indenfor range]],INDEX(DataTitel_liste,LineærRegression_Valg[[#This Row],[Afhængig variabel ID]]),INDEX(DataTitel_liste,1))</f>
        <v>Eksempel 1 (interval)</v>
      </c>
      <c r="G1863" s="171" t="str" cm="1">
        <f t="array" ref="G1863">IF(LineærRegression_Valg[[#This Row],[Indenfor range]],IF(LineærRegression_Valg[[#This Row],[Intet overlap]],INDEX(DataTitel_liste,LineærRegression_Valg[[#This Row],[Uafhængig variabel ID]]),INDEX(DataTitel_liste,IF(LineærRegression_Valg[[#This Row],[Afhængig variabel ID]]=1,2,1))),$B$7)</f>
        <v>Eksempel 2 (interval)</v>
      </c>
      <c r="H1863" s="171">
        <f>_xlfn.AGGREGATE(2,5,LineærRegression_Valg[[#This Row],[Tabel ID]])</f>
        <v>1</v>
      </c>
    </row>
    <row r="1864" spans="1:8" x14ac:dyDescent="0.2">
      <c r="A1864">
        <f>ROW(LineærRegression_Valg[[#This Row],[Tabel ID]])-ROW(LineærRegression_Valg[[#Headers],[Tabel ID]])</f>
        <v>1854</v>
      </c>
      <c r="B1864" s="171">
        <f>ROUNDDOWN((LineærRegression_Valg[[#This Row],[Tabel ID]]-1)/$B$5,0)+1</f>
        <v>464</v>
      </c>
      <c r="C1864" s="171">
        <f t="shared" si="28"/>
        <v>2</v>
      </c>
      <c r="D1864" s="171" t="b">
        <f>LineærRegression_Valg[[#This Row],[Afhængig variabel ID]]&lt;&gt;LineærRegression_Valg[[#This Row],[Uafhængig variabel ID]]</f>
        <v>1</v>
      </c>
      <c r="E1864" s="171" t="b">
        <f>LineærRegression_Valg[[#This Row],[Afhængig variabel ID]]&lt;=$B$5</f>
        <v>0</v>
      </c>
      <c r="F1864" t="str" cm="1">
        <f t="array" ref="F1864">IF(LineærRegression_Valg[[#This Row],[Indenfor range]],INDEX(DataTitel_liste,LineærRegression_Valg[[#This Row],[Afhængig variabel ID]]),INDEX(DataTitel_liste,1))</f>
        <v>Eksempel 1 (interval)</v>
      </c>
      <c r="G1864" s="171" t="str" cm="1">
        <f t="array" ref="G1864">IF(LineærRegression_Valg[[#This Row],[Indenfor range]],IF(LineærRegression_Valg[[#This Row],[Intet overlap]],INDEX(DataTitel_liste,LineærRegression_Valg[[#This Row],[Uafhængig variabel ID]]),INDEX(DataTitel_liste,IF(LineærRegression_Valg[[#This Row],[Afhængig variabel ID]]=1,2,1))),$B$7)</f>
        <v>Eksempel 2 (interval)</v>
      </c>
      <c r="H1864" s="171">
        <f>_xlfn.AGGREGATE(2,5,LineærRegression_Valg[[#This Row],[Tabel ID]])</f>
        <v>1</v>
      </c>
    </row>
    <row r="1865" spans="1:8" x14ac:dyDescent="0.2">
      <c r="A1865">
        <f>ROW(LineærRegression_Valg[[#This Row],[Tabel ID]])-ROW(LineærRegression_Valg[[#Headers],[Tabel ID]])</f>
        <v>1855</v>
      </c>
      <c r="B1865" s="171">
        <f>ROUNDDOWN((LineærRegression_Valg[[#This Row],[Tabel ID]]-1)/$B$5,0)+1</f>
        <v>464</v>
      </c>
      <c r="C1865" s="171">
        <f t="shared" si="28"/>
        <v>3</v>
      </c>
      <c r="D1865" s="171" t="b">
        <f>LineærRegression_Valg[[#This Row],[Afhængig variabel ID]]&lt;&gt;LineærRegression_Valg[[#This Row],[Uafhængig variabel ID]]</f>
        <v>1</v>
      </c>
      <c r="E1865" s="171" t="b">
        <f>LineærRegression_Valg[[#This Row],[Afhængig variabel ID]]&lt;=$B$5</f>
        <v>0</v>
      </c>
      <c r="F1865" t="str" cm="1">
        <f t="array" ref="F1865">IF(LineærRegression_Valg[[#This Row],[Indenfor range]],INDEX(DataTitel_liste,LineærRegression_Valg[[#This Row],[Afhængig variabel ID]]),INDEX(DataTitel_liste,1))</f>
        <v>Eksempel 1 (interval)</v>
      </c>
      <c r="G1865" s="171" t="str" cm="1">
        <f t="array" ref="G1865">IF(LineærRegression_Valg[[#This Row],[Indenfor range]],IF(LineærRegression_Valg[[#This Row],[Intet overlap]],INDEX(DataTitel_liste,LineærRegression_Valg[[#This Row],[Uafhængig variabel ID]]),INDEX(DataTitel_liste,IF(LineærRegression_Valg[[#This Row],[Afhængig variabel ID]]=1,2,1))),$B$7)</f>
        <v>Eksempel 2 (interval)</v>
      </c>
      <c r="H1865" s="171">
        <f>_xlfn.AGGREGATE(2,5,LineærRegression_Valg[[#This Row],[Tabel ID]])</f>
        <v>1</v>
      </c>
    </row>
    <row r="1866" spans="1:8" x14ac:dyDescent="0.2">
      <c r="A1866">
        <f>ROW(LineærRegression_Valg[[#This Row],[Tabel ID]])-ROW(LineærRegression_Valg[[#Headers],[Tabel ID]])</f>
        <v>1856</v>
      </c>
      <c r="B1866" s="171">
        <f>ROUNDDOWN((LineærRegression_Valg[[#This Row],[Tabel ID]]-1)/$B$5,0)+1</f>
        <v>464</v>
      </c>
      <c r="C1866" s="171">
        <f t="shared" si="28"/>
        <v>4</v>
      </c>
      <c r="D1866" s="171" t="b">
        <f>LineærRegression_Valg[[#This Row],[Afhængig variabel ID]]&lt;&gt;LineærRegression_Valg[[#This Row],[Uafhængig variabel ID]]</f>
        <v>1</v>
      </c>
      <c r="E1866" s="171" t="b">
        <f>LineærRegression_Valg[[#This Row],[Afhængig variabel ID]]&lt;=$B$5</f>
        <v>0</v>
      </c>
      <c r="F1866" t="str" cm="1">
        <f t="array" ref="F1866">IF(LineærRegression_Valg[[#This Row],[Indenfor range]],INDEX(DataTitel_liste,LineærRegression_Valg[[#This Row],[Afhængig variabel ID]]),INDEX(DataTitel_liste,1))</f>
        <v>Eksempel 1 (interval)</v>
      </c>
      <c r="G1866" s="171" t="str" cm="1">
        <f t="array" ref="G1866">IF(LineærRegression_Valg[[#This Row],[Indenfor range]],IF(LineærRegression_Valg[[#This Row],[Intet overlap]],INDEX(DataTitel_liste,LineærRegression_Valg[[#This Row],[Uafhængig variabel ID]]),INDEX(DataTitel_liste,IF(LineærRegression_Valg[[#This Row],[Afhængig variabel ID]]=1,2,1))),$B$7)</f>
        <v>Eksempel 2 (interval)</v>
      </c>
      <c r="H1866" s="171">
        <f>_xlfn.AGGREGATE(2,5,LineærRegression_Valg[[#This Row],[Tabel ID]])</f>
        <v>1</v>
      </c>
    </row>
    <row r="1867" spans="1:8" x14ac:dyDescent="0.2">
      <c r="A1867">
        <f>ROW(LineærRegression_Valg[[#This Row],[Tabel ID]])-ROW(LineærRegression_Valg[[#Headers],[Tabel ID]])</f>
        <v>1857</v>
      </c>
      <c r="B1867" s="171">
        <f>ROUNDDOWN((LineærRegression_Valg[[#This Row],[Tabel ID]]-1)/$B$5,0)+1</f>
        <v>465</v>
      </c>
      <c r="C1867" s="171">
        <f t="shared" ref="C1867:C1930" si="29">MOD(A1867-1,$B$5)+1</f>
        <v>1</v>
      </c>
      <c r="D1867" s="171" t="b">
        <f>LineærRegression_Valg[[#This Row],[Afhængig variabel ID]]&lt;&gt;LineærRegression_Valg[[#This Row],[Uafhængig variabel ID]]</f>
        <v>1</v>
      </c>
      <c r="E1867" s="171" t="b">
        <f>LineærRegression_Valg[[#This Row],[Afhængig variabel ID]]&lt;=$B$5</f>
        <v>0</v>
      </c>
      <c r="F1867" t="str" cm="1">
        <f t="array" ref="F1867">IF(LineærRegression_Valg[[#This Row],[Indenfor range]],INDEX(DataTitel_liste,LineærRegression_Valg[[#This Row],[Afhængig variabel ID]]),INDEX(DataTitel_liste,1))</f>
        <v>Eksempel 1 (interval)</v>
      </c>
      <c r="G1867" s="171" t="str" cm="1">
        <f t="array" ref="G1867">IF(LineærRegression_Valg[[#This Row],[Indenfor range]],IF(LineærRegression_Valg[[#This Row],[Intet overlap]],INDEX(DataTitel_liste,LineærRegression_Valg[[#This Row],[Uafhængig variabel ID]]),INDEX(DataTitel_liste,IF(LineærRegression_Valg[[#This Row],[Afhængig variabel ID]]=1,2,1))),$B$7)</f>
        <v>Eksempel 2 (interval)</v>
      </c>
      <c r="H1867" s="171">
        <f>_xlfn.AGGREGATE(2,5,LineærRegression_Valg[[#This Row],[Tabel ID]])</f>
        <v>1</v>
      </c>
    </row>
    <row r="1868" spans="1:8" x14ac:dyDescent="0.2">
      <c r="A1868">
        <f>ROW(LineærRegression_Valg[[#This Row],[Tabel ID]])-ROW(LineærRegression_Valg[[#Headers],[Tabel ID]])</f>
        <v>1858</v>
      </c>
      <c r="B1868" s="171">
        <f>ROUNDDOWN((LineærRegression_Valg[[#This Row],[Tabel ID]]-1)/$B$5,0)+1</f>
        <v>465</v>
      </c>
      <c r="C1868" s="171">
        <f t="shared" si="29"/>
        <v>2</v>
      </c>
      <c r="D1868" s="171" t="b">
        <f>LineærRegression_Valg[[#This Row],[Afhængig variabel ID]]&lt;&gt;LineærRegression_Valg[[#This Row],[Uafhængig variabel ID]]</f>
        <v>1</v>
      </c>
      <c r="E1868" s="171" t="b">
        <f>LineærRegression_Valg[[#This Row],[Afhængig variabel ID]]&lt;=$B$5</f>
        <v>0</v>
      </c>
      <c r="F1868" t="str" cm="1">
        <f t="array" ref="F1868">IF(LineærRegression_Valg[[#This Row],[Indenfor range]],INDEX(DataTitel_liste,LineærRegression_Valg[[#This Row],[Afhængig variabel ID]]),INDEX(DataTitel_liste,1))</f>
        <v>Eksempel 1 (interval)</v>
      </c>
      <c r="G1868" s="171" t="str" cm="1">
        <f t="array" ref="G1868">IF(LineærRegression_Valg[[#This Row],[Indenfor range]],IF(LineærRegression_Valg[[#This Row],[Intet overlap]],INDEX(DataTitel_liste,LineærRegression_Valg[[#This Row],[Uafhængig variabel ID]]),INDEX(DataTitel_liste,IF(LineærRegression_Valg[[#This Row],[Afhængig variabel ID]]=1,2,1))),$B$7)</f>
        <v>Eksempel 2 (interval)</v>
      </c>
      <c r="H1868" s="171">
        <f>_xlfn.AGGREGATE(2,5,LineærRegression_Valg[[#This Row],[Tabel ID]])</f>
        <v>1</v>
      </c>
    </row>
    <row r="1869" spans="1:8" x14ac:dyDescent="0.2">
      <c r="A1869">
        <f>ROW(LineærRegression_Valg[[#This Row],[Tabel ID]])-ROW(LineærRegression_Valg[[#Headers],[Tabel ID]])</f>
        <v>1859</v>
      </c>
      <c r="B1869" s="171">
        <f>ROUNDDOWN((LineærRegression_Valg[[#This Row],[Tabel ID]]-1)/$B$5,0)+1</f>
        <v>465</v>
      </c>
      <c r="C1869" s="171">
        <f t="shared" si="29"/>
        <v>3</v>
      </c>
      <c r="D1869" s="171" t="b">
        <f>LineærRegression_Valg[[#This Row],[Afhængig variabel ID]]&lt;&gt;LineærRegression_Valg[[#This Row],[Uafhængig variabel ID]]</f>
        <v>1</v>
      </c>
      <c r="E1869" s="171" t="b">
        <f>LineærRegression_Valg[[#This Row],[Afhængig variabel ID]]&lt;=$B$5</f>
        <v>0</v>
      </c>
      <c r="F1869" t="str" cm="1">
        <f t="array" ref="F1869">IF(LineærRegression_Valg[[#This Row],[Indenfor range]],INDEX(DataTitel_liste,LineærRegression_Valg[[#This Row],[Afhængig variabel ID]]),INDEX(DataTitel_liste,1))</f>
        <v>Eksempel 1 (interval)</v>
      </c>
      <c r="G1869" s="171" t="str" cm="1">
        <f t="array" ref="G1869">IF(LineærRegression_Valg[[#This Row],[Indenfor range]],IF(LineærRegression_Valg[[#This Row],[Intet overlap]],INDEX(DataTitel_liste,LineærRegression_Valg[[#This Row],[Uafhængig variabel ID]]),INDEX(DataTitel_liste,IF(LineærRegression_Valg[[#This Row],[Afhængig variabel ID]]=1,2,1))),$B$7)</f>
        <v>Eksempel 2 (interval)</v>
      </c>
      <c r="H1869" s="171">
        <f>_xlfn.AGGREGATE(2,5,LineærRegression_Valg[[#This Row],[Tabel ID]])</f>
        <v>1</v>
      </c>
    </row>
    <row r="1870" spans="1:8" x14ac:dyDescent="0.2">
      <c r="A1870">
        <f>ROW(LineærRegression_Valg[[#This Row],[Tabel ID]])-ROW(LineærRegression_Valg[[#Headers],[Tabel ID]])</f>
        <v>1860</v>
      </c>
      <c r="B1870" s="171">
        <f>ROUNDDOWN((LineærRegression_Valg[[#This Row],[Tabel ID]]-1)/$B$5,0)+1</f>
        <v>465</v>
      </c>
      <c r="C1870" s="171">
        <f t="shared" si="29"/>
        <v>4</v>
      </c>
      <c r="D1870" s="171" t="b">
        <f>LineærRegression_Valg[[#This Row],[Afhængig variabel ID]]&lt;&gt;LineærRegression_Valg[[#This Row],[Uafhængig variabel ID]]</f>
        <v>1</v>
      </c>
      <c r="E1870" s="171" t="b">
        <f>LineærRegression_Valg[[#This Row],[Afhængig variabel ID]]&lt;=$B$5</f>
        <v>0</v>
      </c>
      <c r="F1870" t="str" cm="1">
        <f t="array" ref="F1870">IF(LineærRegression_Valg[[#This Row],[Indenfor range]],INDEX(DataTitel_liste,LineærRegression_Valg[[#This Row],[Afhængig variabel ID]]),INDEX(DataTitel_liste,1))</f>
        <v>Eksempel 1 (interval)</v>
      </c>
      <c r="G1870" s="171" t="str" cm="1">
        <f t="array" ref="G1870">IF(LineærRegression_Valg[[#This Row],[Indenfor range]],IF(LineærRegression_Valg[[#This Row],[Intet overlap]],INDEX(DataTitel_liste,LineærRegression_Valg[[#This Row],[Uafhængig variabel ID]]),INDEX(DataTitel_liste,IF(LineærRegression_Valg[[#This Row],[Afhængig variabel ID]]=1,2,1))),$B$7)</f>
        <v>Eksempel 2 (interval)</v>
      </c>
      <c r="H1870" s="171">
        <f>_xlfn.AGGREGATE(2,5,LineærRegression_Valg[[#This Row],[Tabel ID]])</f>
        <v>1</v>
      </c>
    </row>
    <row r="1871" spans="1:8" x14ac:dyDescent="0.2">
      <c r="A1871">
        <f>ROW(LineærRegression_Valg[[#This Row],[Tabel ID]])-ROW(LineærRegression_Valg[[#Headers],[Tabel ID]])</f>
        <v>1861</v>
      </c>
      <c r="B1871" s="171">
        <f>ROUNDDOWN((LineærRegression_Valg[[#This Row],[Tabel ID]]-1)/$B$5,0)+1</f>
        <v>466</v>
      </c>
      <c r="C1871" s="171">
        <f t="shared" si="29"/>
        <v>1</v>
      </c>
      <c r="D1871" s="171" t="b">
        <f>LineærRegression_Valg[[#This Row],[Afhængig variabel ID]]&lt;&gt;LineærRegression_Valg[[#This Row],[Uafhængig variabel ID]]</f>
        <v>1</v>
      </c>
      <c r="E1871" s="171" t="b">
        <f>LineærRegression_Valg[[#This Row],[Afhængig variabel ID]]&lt;=$B$5</f>
        <v>0</v>
      </c>
      <c r="F1871" t="str" cm="1">
        <f t="array" ref="F1871">IF(LineærRegression_Valg[[#This Row],[Indenfor range]],INDEX(DataTitel_liste,LineærRegression_Valg[[#This Row],[Afhængig variabel ID]]),INDEX(DataTitel_liste,1))</f>
        <v>Eksempel 1 (interval)</v>
      </c>
      <c r="G1871" s="171" t="str" cm="1">
        <f t="array" ref="G1871">IF(LineærRegression_Valg[[#This Row],[Indenfor range]],IF(LineærRegression_Valg[[#This Row],[Intet overlap]],INDEX(DataTitel_liste,LineærRegression_Valg[[#This Row],[Uafhængig variabel ID]]),INDEX(DataTitel_liste,IF(LineærRegression_Valg[[#This Row],[Afhængig variabel ID]]=1,2,1))),$B$7)</f>
        <v>Eksempel 2 (interval)</v>
      </c>
      <c r="H1871" s="171">
        <f>_xlfn.AGGREGATE(2,5,LineærRegression_Valg[[#This Row],[Tabel ID]])</f>
        <v>1</v>
      </c>
    </row>
    <row r="1872" spans="1:8" x14ac:dyDescent="0.2">
      <c r="A1872">
        <f>ROW(LineærRegression_Valg[[#This Row],[Tabel ID]])-ROW(LineærRegression_Valg[[#Headers],[Tabel ID]])</f>
        <v>1862</v>
      </c>
      <c r="B1872" s="171">
        <f>ROUNDDOWN((LineærRegression_Valg[[#This Row],[Tabel ID]]-1)/$B$5,0)+1</f>
        <v>466</v>
      </c>
      <c r="C1872" s="171">
        <f t="shared" si="29"/>
        <v>2</v>
      </c>
      <c r="D1872" s="171" t="b">
        <f>LineærRegression_Valg[[#This Row],[Afhængig variabel ID]]&lt;&gt;LineærRegression_Valg[[#This Row],[Uafhængig variabel ID]]</f>
        <v>1</v>
      </c>
      <c r="E1872" s="171" t="b">
        <f>LineærRegression_Valg[[#This Row],[Afhængig variabel ID]]&lt;=$B$5</f>
        <v>0</v>
      </c>
      <c r="F1872" t="str" cm="1">
        <f t="array" ref="F1872">IF(LineærRegression_Valg[[#This Row],[Indenfor range]],INDEX(DataTitel_liste,LineærRegression_Valg[[#This Row],[Afhængig variabel ID]]),INDEX(DataTitel_liste,1))</f>
        <v>Eksempel 1 (interval)</v>
      </c>
      <c r="G1872" s="171" t="str" cm="1">
        <f t="array" ref="G1872">IF(LineærRegression_Valg[[#This Row],[Indenfor range]],IF(LineærRegression_Valg[[#This Row],[Intet overlap]],INDEX(DataTitel_liste,LineærRegression_Valg[[#This Row],[Uafhængig variabel ID]]),INDEX(DataTitel_liste,IF(LineærRegression_Valg[[#This Row],[Afhængig variabel ID]]=1,2,1))),$B$7)</f>
        <v>Eksempel 2 (interval)</v>
      </c>
      <c r="H1872" s="171">
        <f>_xlfn.AGGREGATE(2,5,LineærRegression_Valg[[#This Row],[Tabel ID]])</f>
        <v>1</v>
      </c>
    </row>
    <row r="1873" spans="1:8" x14ac:dyDescent="0.2">
      <c r="A1873">
        <f>ROW(LineærRegression_Valg[[#This Row],[Tabel ID]])-ROW(LineærRegression_Valg[[#Headers],[Tabel ID]])</f>
        <v>1863</v>
      </c>
      <c r="B1873" s="171">
        <f>ROUNDDOWN((LineærRegression_Valg[[#This Row],[Tabel ID]]-1)/$B$5,0)+1</f>
        <v>466</v>
      </c>
      <c r="C1873" s="171">
        <f t="shared" si="29"/>
        <v>3</v>
      </c>
      <c r="D1873" s="171" t="b">
        <f>LineærRegression_Valg[[#This Row],[Afhængig variabel ID]]&lt;&gt;LineærRegression_Valg[[#This Row],[Uafhængig variabel ID]]</f>
        <v>1</v>
      </c>
      <c r="E1873" s="171" t="b">
        <f>LineærRegression_Valg[[#This Row],[Afhængig variabel ID]]&lt;=$B$5</f>
        <v>0</v>
      </c>
      <c r="F1873" t="str" cm="1">
        <f t="array" ref="F1873">IF(LineærRegression_Valg[[#This Row],[Indenfor range]],INDEX(DataTitel_liste,LineærRegression_Valg[[#This Row],[Afhængig variabel ID]]),INDEX(DataTitel_liste,1))</f>
        <v>Eksempel 1 (interval)</v>
      </c>
      <c r="G1873" s="171" t="str" cm="1">
        <f t="array" ref="G1873">IF(LineærRegression_Valg[[#This Row],[Indenfor range]],IF(LineærRegression_Valg[[#This Row],[Intet overlap]],INDEX(DataTitel_liste,LineærRegression_Valg[[#This Row],[Uafhængig variabel ID]]),INDEX(DataTitel_liste,IF(LineærRegression_Valg[[#This Row],[Afhængig variabel ID]]=1,2,1))),$B$7)</f>
        <v>Eksempel 2 (interval)</v>
      </c>
      <c r="H1873" s="171">
        <f>_xlfn.AGGREGATE(2,5,LineærRegression_Valg[[#This Row],[Tabel ID]])</f>
        <v>1</v>
      </c>
    </row>
    <row r="1874" spans="1:8" x14ac:dyDescent="0.2">
      <c r="A1874">
        <f>ROW(LineærRegression_Valg[[#This Row],[Tabel ID]])-ROW(LineærRegression_Valg[[#Headers],[Tabel ID]])</f>
        <v>1864</v>
      </c>
      <c r="B1874" s="171">
        <f>ROUNDDOWN((LineærRegression_Valg[[#This Row],[Tabel ID]]-1)/$B$5,0)+1</f>
        <v>466</v>
      </c>
      <c r="C1874" s="171">
        <f t="shared" si="29"/>
        <v>4</v>
      </c>
      <c r="D1874" s="171" t="b">
        <f>LineærRegression_Valg[[#This Row],[Afhængig variabel ID]]&lt;&gt;LineærRegression_Valg[[#This Row],[Uafhængig variabel ID]]</f>
        <v>1</v>
      </c>
      <c r="E1874" s="171" t="b">
        <f>LineærRegression_Valg[[#This Row],[Afhængig variabel ID]]&lt;=$B$5</f>
        <v>0</v>
      </c>
      <c r="F1874" t="str" cm="1">
        <f t="array" ref="F1874">IF(LineærRegression_Valg[[#This Row],[Indenfor range]],INDEX(DataTitel_liste,LineærRegression_Valg[[#This Row],[Afhængig variabel ID]]),INDEX(DataTitel_liste,1))</f>
        <v>Eksempel 1 (interval)</v>
      </c>
      <c r="G1874" s="171" t="str" cm="1">
        <f t="array" ref="G1874">IF(LineærRegression_Valg[[#This Row],[Indenfor range]],IF(LineærRegression_Valg[[#This Row],[Intet overlap]],INDEX(DataTitel_liste,LineærRegression_Valg[[#This Row],[Uafhængig variabel ID]]),INDEX(DataTitel_liste,IF(LineærRegression_Valg[[#This Row],[Afhængig variabel ID]]=1,2,1))),$B$7)</f>
        <v>Eksempel 2 (interval)</v>
      </c>
      <c r="H1874" s="171">
        <f>_xlfn.AGGREGATE(2,5,LineærRegression_Valg[[#This Row],[Tabel ID]])</f>
        <v>1</v>
      </c>
    </row>
    <row r="1875" spans="1:8" x14ac:dyDescent="0.2">
      <c r="A1875">
        <f>ROW(LineærRegression_Valg[[#This Row],[Tabel ID]])-ROW(LineærRegression_Valg[[#Headers],[Tabel ID]])</f>
        <v>1865</v>
      </c>
      <c r="B1875" s="171">
        <f>ROUNDDOWN((LineærRegression_Valg[[#This Row],[Tabel ID]]-1)/$B$5,0)+1</f>
        <v>467</v>
      </c>
      <c r="C1875" s="171">
        <f t="shared" si="29"/>
        <v>1</v>
      </c>
      <c r="D1875" s="171" t="b">
        <f>LineærRegression_Valg[[#This Row],[Afhængig variabel ID]]&lt;&gt;LineærRegression_Valg[[#This Row],[Uafhængig variabel ID]]</f>
        <v>1</v>
      </c>
      <c r="E1875" s="171" t="b">
        <f>LineærRegression_Valg[[#This Row],[Afhængig variabel ID]]&lt;=$B$5</f>
        <v>0</v>
      </c>
      <c r="F1875" t="str" cm="1">
        <f t="array" ref="F1875">IF(LineærRegression_Valg[[#This Row],[Indenfor range]],INDEX(DataTitel_liste,LineærRegression_Valg[[#This Row],[Afhængig variabel ID]]),INDEX(DataTitel_liste,1))</f>
        <v>Eksempel 1 (interval)</v>
      </c>
      <c r="G1875" s="171" t="str" cm="1">
        <f t="array" ref="G1875">IF(LineærRegression_Valg[[#This Row],[Indenfor range]],IF(LineærRegression_Valg[[#This Row],[Intet overlap]],INDEX(DataTitel_liste,LineærRegression_Valg[[#This Row],[Uafhængig variabel ID]]),INDEX(DataTitel_liste,IF(LineærRegression_Valg[[#This Row],[Afhængig variabel ID]]=1,2,1))),$B$7)</f>
        <v>Eksempel 2 (interval)</v>
      </c>
      <c r="H1875" s="171">
        <f>_xlfn.AGGREGATE(2,5,LineærRegression_Valg[[#This Row],[Tabel ID]])</f>
        <v>1</v>
      </c>
    </row>
    <row r="1876" spans="1:8" x14ac:dyDescent="0.2">
      <c r="A1876">
        <f>ROW(LineærRegression_Valg[[#This Row],[Tabel ID]])-ROW(LineærRegression_Valg[[#Headers],[Tabel ID]])</f>
        <v>1866</v>
      </c>
      <c r="B1876" s="171">
        <f>ROUNDDOWN((LineærRegression_Valg[[#This Row],[Tabel ID]]-1)/$B$5,0)+1</f>
        <v>467</v>
      </c>
      <c r="C1876" s="171">
        <f t="shared" si="29"/>
        <v>2</v>
      </c>
      <c r="D1876" s="171" t="b">
        <f>LineærRegression_Valg[[#This Row],[Afhængig variabel ID]]&lt;&gt;LineærRegression_Valg[[#This Row],[Uafhængig variabel ID]]</f>
        <v>1</v>
      </c>
      <c r="E1876" s="171" t="b">
        <f>LineærRegression_Valg[[#This Row],[Afhængig variabel ID]]&lt;=$B$5</f>
        <v>0</v>
      </c>
      <c r="F1876" t="str" cm="1">
        <f t="array" ref="F1876">IF(LineærRegression_Valg[[#This Row],[Indenfor range]],INDEX(DataTitel_liste,LineærRegression_Valg[[#This Row],[Afhængig variabel ID]]),INDEX(DataTitel_liste,1))</f>
        <v>Eksempel 1 (interval)</v>
      </c>
      <c r="G1876" s="171" t="str" cm="1">
        <f t="array" ref="G1876">IF(LineærRegression_Valg[[#This Row],[Indenfor range]],IF(LineærRegression_Valg[[#This Row],[Intet overlap]],INDEX(DataTitel_liste,LineærRegression_Valg[[#This Row],[Uafhængig variabel ID]]),INDEX(DataTitel_liste,IF(LineærRegression_Valg[[#This Row],[Afhængig variabel ID]]=1,2,1))),$B$7)</f>
        <v>Eksempel 2 (interval)</v>
      </c>
      <c r="H1876" s="171">
        <f>_xlfn.AGGREGATE(2,5,LineærRegression_Valg[[#This Row],[Tabel ID]])</f>
        <v>1</v>
      </c>
    </row>
    <row r="1877" spans="1:8" x14ac:dyDescent="0.2">
      <c r="A1877">
        <f>ROW(LineærRegression_Valg[[#This Row],[Tabel ID]])-ROW(LineærRegression_Valg[[#Headers],[Tabel ID]])</f>
        <v>1867</v>
      </c>
      <c r="B1877" s="171">
        <f>ROUNDDOWN((LineærRegression_Valg[[#This Row],[Tabel ID]]-1)/$B$5,0)+1</f>
        <v>467</v>
      </c>
      <c r="C1877" s="171">
        <f t="shared" si="29"/>
        <v>3</v>
      </c>
      <c r="D1877" s="171" t="b">
        <f>LineærRegression_Valg[[#This Row],[Afhængig variabel ID]]&lt;&gt;LineærRegression_Valg[[#This Row],[Uafhængig variabel ID]]</f>
        <v>1</v>
      </c>
      <c r="E1877" s="171" t="b">
        <f>LineærRegression_Valg[[#This Row],[Afhængig variabel ID]]&lt;=$B$5</f>
        <v>0</v>
      </c>
      <c r="F1877" t="str" cm="1">
        <f t="array" ref="F1877">IF(LineærRegression_Valg[[#This Row],[Indenfor range]],INDEX(DataTitel_liste,LineærRegression_Valg[[#This Row],[Afhængig variabel ID]]),INDEX(DataTitel_liste,1))</f>
        <v>Eksempel 1 (interval)</v>
      </c>
      <c r="G1877" s="171" t="str" cm="1">
        <f t="array" ref="G1877">IF(LineærRegression_Valg[[#This Row],[Indenfor range]],IF(LineærRegression_Valg[[#This Row],[Intet overlap]],INDEX(DataTitel_liste,LineærRegression_Valg[[#This Row],[Uafhængig variabel ID]]),INDEX(DataTitel_liste,IF(LineærRegression_Valg[[#This Row],[Afhængig variabel ID]]=1,2,1))),$B$7)</f>
        <v>Eksempel 2 (interval)</v>
      </c>
      <c r="H1877" s="171">
        <f>_xlfn.AGGREGATE(2,5,LineærRegression_Valg[[#This Row],[Tabel ID]])</f>
        <v>1</v>
      </c>
    </row>
    <row r="1878" spans="1:8" x14ac:dyDescent="0.2">
      <c r="A1878">
        <f>ROW(LineærRegression_Valg[[#This Row],[Tabel ID]])-ROW(LineærRegression_Valg[[#Headers],[Tabel ID]])</f>
        <v>1868</v>
      </c>
      <c r="B1878" s="171">
        <f>ROUNDDOWN((LineærRegression_Valg[[#This Row],[Tabel ID]]-1)/$B$5,0)+1</f>
        <v>467</v>
      </c>
      <c r="C1878" s="171">
        <f t="shared" si="29"/>
        <v>4</v>
      </c>
      <c r="D1878" s="171" t="b">
        <f>LineærRegression_Valg[[#This Row],[Afhængig variabel ID]]&lt;&gt;LineærRegression_Valg[[#This Row],[Uafhængig variabel ID]]</f>
        <v>1</v>
      </c>
      <c r="E1878" s="171" t="b">
        <f>LineærRegression_Valg[[#This Row],[Afhængig variabel ID]]&lt;=$B$5</f>
        <v>0</v>
      </c>
      <c r="F1878" t="str" cm="1">
        <f t="array" ref="F1878">IF(LineærRegression_Valg[[#This Row],[Indenfor range]],INDEX(DataTitel_liste,LineærRegression_Valg[[#This Row],[Afhængig variabel ID]]),INDEX(DataTitel_liste,1))</f>
        <v>Eksempel 1 (interval)</v>
      </c>
      <c r="G1878" s="171" t="str" cm="1">
        <f t="array" ref="G1878">IF(LineærRegression_Valg[[#This Row],[Indenfor range]],IF(LineærRegression_Valg[[#This Row],[Intet overlap]],INDEX(DataTitel_liste,LineærRegression_Valg[[#This Row],[Uafhængig variabel ID]]),INDEX(DataTitel_liste,IF(LineærRegression_Valg[[#This Row],[Afhængig variabel ID]]=1,2,1))),$B$7)</f>
        <v>Eksempel 2 (interval)</v>
      </c>
      <c r="H1878" s="171">
        <f>_xlfn.AGGREGATE(2,5,LineærRegression_Valg[[#This Row],[Tabel ID]])</f>
        <v>1</v>
      </c>
    </row>
    <row r="1879" spans="1:8" x14ac:dyDescent="0.2">
      <c r="A1879">
        <f>ROW(LineærRegression_Valg[[#This Row],[Tabel ID]])-ROW(LineærRegression_Valg[[#Headers],[Tabel ID]])</f>
        <v>1869</v>
      </c>
      <c r="B1879" s="171">
        <f>ROUNDDOWN((LineærRegression_Valg[[#This Row],[Tabel ID]]-1)/$B$5,0)+1</f>
        <v>468</v>
      </c>
      <c r="C1879" s="171">
        <f t="shared" si="29"/>
        <v>1</v>
      </c>
      <c r="D1879" s="171" t="b">
        <f>LineærRegression_Valg[[#This Row],[Afhængig variabel ID]]&lt;&gt;LineærRegression_Valg[[#This Row],[Uafhængig variabel ID]]</f>
        <v>1</v>
      </c>
      <c r="E1879" s="171" t="b">
        <f>LineærRegression_Valg[[#This Row],[Afhængig variabel ID]]&lt;=$B$5</f>
        <v>0</v>
      </c>
      <c r="F1879" t="str" cm="1">
        <f t="array" ref="F1879">IF(LineærRegression_Valg[[#This Row],[Indenfor range]],INDEX(DataTitel_liste,LineærRegression_Valg[[#This Row],[Afhængig variabel ID]]),INDEX(DataTitel_liste,1))</f>
        <v>Eksempel 1 (interval)</v>
      </c>
      <c r="G1879" s="171" t="str" cm="1">
        <f t="array" ref="G1879">IF(LineærRegression_Valg[[#This Row],[Indenfor range]],IF(LineærRegression_Valg[[#This Row],[Intet overlap]],INDEX(DataTitel_liste,LineærRegression_Valg[[#This Row],[Uafhængig variabel ID]]),INDEX(DataTitel_liste,IF(LineærRegression_Valg[[#This Row],[Afhængig variabel ID]]=1,2,1))),$B$7)</f>
        <v>Eksempel 2 (interval)</v>
      </c>
      <c r="H1879" s="171">
        <f>_xlfn.AGGREGATE(2,5,LineærRegression_Valg[[#This Row],[Tabel ID]])</f>
        <v>1</v>
      </c>
    </row>
    <row r="1880" spans="1:8" x14ac:dyDescent="0.2">
      <c r="A1880">
        <f>ROW(LineærRegression_Valg[[#This Row],[Tabel ID]])-ROW(LineærRegression_Valg[[#Headers],[Tabel ID]])</f>
        <v>1870</v>
      </c>
      <c r="B1880" s="171">
        <f>ROUNDDOWN((LineærRegression_Valg[[#This Row],[Tabel ID]]-1)/$B$5,0)+1</f>
        <v>468</v>
      </c>
      <c r="C1880" s="171">
        <f t="shared" si="29"/>
        <v>2</v>
      </c>
      <c r="D1880" s="171" t="b">
        <f>LineærRegression_Valg[[#This Row],[Afhængig variabel ID]]&lt;&gt;LineærRegression_Valg[[#This Row],[Uafhængig variabel ID]]</f>
        <v>1</v>
      </c>
      <c r="E1880" s="171" t="b">
        <f>LineærRegression_Valg[[#This Row],[Afhængig variabel ID]]&lt;=$B$5</f>
        <v>0</v>
      </c>
      <c r="F1880" t="str" cm="1">
        <f t="array" ref="F1880">IF(LineærRegression_Valg[[#This Row],[Indenfor range]],INDEX(DataTitel_liste,LineærRegression_Valg[[#This Row],[Afhængig variabel ID]]),INDEX(DataTitel_liste,1))</f>
        <v>Eksempel 1 (interval)</v>
      </c>
      <c r="G1880" s="171" t="str" cm="1">
        <f t="array" ref="G1880">IF(LineærRegression_Valg[[#This Row],[Indenfor range]],IF(LineærRegression_Valg[[#This Row],[Intet overlap]],INDEX(DataTitel_liste,LineærRegression_Valg[[#This Row],[Uafhængig variabel ID]]),INDEX(DataTitel_liste,IF(LineærRegression_Valg[[#This Row],[Afhængig variabel ID]]=1,2,1))),$B$7)</f>
        <v>Eksempel 2 (interval)</v>
      </c>
      <c r="H1880" s="171">
        <f>_xlfn.AGGREGATE(2,5,LineærRegression_Valg[[#This Row],[Tabel ID]])</f>
        <v>1</v>
      </c>
    </row>
    <row r="1881" spans="1:8" x14ac:dyDescent="0.2">
      <c r="A1881">
        <f>ROW(LineærRegression_Valg[[#This Row],[Tabel ID]])-ROW(LineærRegression_Valg[[#Headers],[Tabel ID]])</f>
        <v>1871</v>
      </c>
      <c r="B1881" s="171">
        <f>ROUNDDOWN((LineærRegression_Valg[[#This Row],[Tabel ID]]-1)/$B$5,0)+1</f>
        <v>468</v>
      </c>
      <c r="C1881" s="171">
        <f t="shared" si="29"/>
        <v>3</v>
      </c>
      <c r="D1881" s="171" t="b">
        <f>LineærRegression_Valg[[#This Row],[Afhængig variabel ID]]&lt;&gt;LineærRegression_Valg[[#This Row],[Uafhængig variabel ID]]</f>
        <v>1</v>
      </c>
      <c r="E1881" s="171" t="b">
        <f>LineærRegression_Valg[[#This Row],[Afhængig variabel ID]]&lt;=$B$5</f>
        <v>0</v>
      </c>
      <c r="F1881" t="str" cm="1">
        <f t="array" ref="F1881">IF(LineærRegression_Valg[[#This Row],[Indenfor range]],INDEX(DataTitel_liste,LineærRegression_Valg[[#This Row],[Afhængig variabel ID]]),INDEX(DataTitel_liste,1))</f>
        <v>Eksempel 1 (interval)</v>
      </c>
      <c r="G1881" s="171" t="str" cm="1">
        <f t="array" ref="G1881">IF(LineærRegression_Valg[[#This Row],[Indenfor range]],IF(LineærRegression_Valg[[#This Row],[Intet overlap]],INDEX(DataTitel_liste,LineærRegression_Valg[[#This Row],[Uafhængig variabel ID]]),INDEX(DataTitel_liste,IF(LineærRegression_Valg[[#This Row],[Afhængig variabel ID]]=1,2,1))),$B$7)</f>
        <v>Eksempel 2 (interval)</v>
      </c>
      <c r="H1881" s="171">
        <f>_xlfn.AGGREGATE(2,5,LineærRegression_Valg[[#This Row],[Tabel ID]])</f>
        <v>1</v>
      </c>
    </row>
    <row r="1882" spans="1:8" x14ac:dyDescent="0.2">
      <c r="A1882">
        <f>ROW(LineærRegression_Valg[[#This Row],[Tabel ID]])-ROW(LineærRegression_Valg[[#Headers],[Tabel ID]])</f>
        <v>1872</v>
      </c>
      <c r="B1882" s="171">
        <f>ROUNDDOWN((LineærRegression_Valg[[#This Row],[Tabel ID]]-1)/$B$5,0)+1</f>
        <v>468</v>
      </c>
      <c r="C1882" s="171">
        <f t="shared" si="29"/>
        <v>4</v>
      </c>
      <c r="D1882" s="171" t="b">
        <f>LineærRegression_Valg[[#This Row],[Afhængig variabel ID]]&lt;&gt;LineærRegression_Valg[[#This Row],[Uafhængig variabel ID]]</f>
        <v>1</v>
      </c>
      <c r="E1882" s="171" t="b">
        <f>LineærRegression_Valg[[#This Row],[Afhængig variabel ID]]&lt;=$B$5</f>
        <v>0</v>
      </c>
      <c r="F1882" t="str" cm="1">
        <f t="array" ref="F1882">IF(LineærRegression_Valg[[#This Row],[Indenfor range]],INDEX(DataTitel_liste,LineærRegression_Valg[[#This Row],[Afhængig variabel ID]]),INDEX(DataTitel_liste,1))</f>
        <v>Eksempel 1 (interval)</v>
      </c>
      <c r="G1882" s="171" t="str" cm="1">
        <f t="array" ref="G1882">IF(LineærRegression_Valg[[#This Row],[Indenfor range]],IF(LineærRegression_Valg[[#This Row],[Intet overlap]],INDEX(DataTitel_liste,LineærRegression_Valg[[#This Row],[Uafhængig variabel ID]]),INDEX(DataTitel_liste,IF(LineærRegression_Valg[[#This Row],[Afhængig variabel ID]]=1,2,1))),$B$7)</f>
        <v>Eksempel 2 (interval)</v>
      </c>
      <c r="H1882" s="171">
        <f>_xlfn.AGGREGATE(2,5,LineærRegression_Valg[[#This Row],[Tabel ID]])</f>
        <v>1</v>
      </c>
    </row>
    <row r="1883" spans="1:8" x14ac:dyDescent="0.2">
      <c r="A1883">
        <f>ROW(LineærRegression_Valg[[#This Row],[Tabel ID]])-ROW(LineærRegression_Valg[[#Headers],[Tabel ID]])</f>
        <v>1873</v>
      </c>
      <c r="B1883" s="171">
        <f>ROUNDDOWN((LineærRegression_Valg[[#This Row],[Tabel ID]]-1)/$B$5,0)+1</f>
        <v>469</v>
      </c>
      <c r="C1883" s="171">
        <f t="shared" si="29"/>
        <v>1</v>
      </c>
      <c r="D1883" s="171" t="b">
        <f>LineærRegression_Valg[[#This Row],[Afhængig variabel ID]]&lt;&gt;LineærRegression_Valg[[#This Row],[Uafhængig variabel ID]]</f>
        <v>1</v>
      </c>
      <c r="E1883" s="171" t="b">
        <f>LineærRegression_Valg[[#This Row],[Afhængig variabel ID]]&lt;=$B$5</f>
        <v>0</v>
      </c>
      <c r="F1883" t="str" cm="1">
        <f t="array" ref="F1883">IF(LineærRegression_Valg[[#This Row],[Indenfor range]],INDEX(DataTitel_liste,LineærRegression_Valg[[#This Row],[Afhængig variabel ID]]),INDEX(DataTitel_liste,1))</f>
        <v>Eksempel 1 (interval)</v>
      </c>
      <c r="G1883" s="171" t="str" cm="1">
        <f t="array" ref="G1883">IF(LineærRegression_Valg[[#This Row],[Indenfor range]],IF(LineærRegression_Valg[[#This Row],[Intet overlap]],INDEX(DataTitel_liste,LineærRegression_Valg[[#This Row],[Uafhængig variabel ID]]),INDEX(DataTitel_liste,IF(LineærRegression_Valg[[#This Row],[Afhængig variabel ID]]=1,2,1))),$B$7)</f>
        <v>Eksempel 2 (interval)</v>
      </c>
      <c r="H1883" s="171">
        <f>_xlfn.AGGREGATE(2,5,LineærRegression_Valg[[#This Row],[Tabel ID]])</f>
        <v>1</v>
      </c>
    </row>
    <row r="1884" spans="1:8" x14ac:dyDescent="0.2">
      <c r="A1884">
        <f>ROW(LineærRegression_Valg[[#This Row],[Tabel ID]])-ROW(LineærRegression_Valg[[#Headers],[Tabel ID]])</f>
        <v>1874</v>
      </c>
      <c r="B1884" s="171">
        <f>ROUNDDOWN((LineærRegression_Valg[[#This Row],[Tabel ID]]-1)/$B$5,0)+1</f>
        <v>469</v>
      </c>
      <c r="C1884" s="171">
        <f t="shared" si="29"/>
        <v>2</v>
      </c>
      <c r="D1884" s="171" t="b">
        <f>LineærRegression_Valg[[#This Row],[Afhængig variabel ID]]&lt;&gt;LineærRegression_Valg[[#This Row],[Uafhængig variabel ID]]</f>
        <v>1</v>
      </c>
      <c r="E1884" s="171" t="b">
        <f>LineærRegression_Valg[[#This Row],[Afhængig variabel ID]]&lt;=$B$5</f>
        <v>0</v>
      </c>
      <c r="F1884" t="str" cm="1">
        <f t="array" ref="F1884">IF(LineærRegression_Valg[[#This Row],[Indenfor range]],INDEX(DataTitel_liste,LineærRegression_Valg[[#This Row],[Afhængig variabel ID]]),INDEX(DataTitel_liste,1))</f>
        <v>Eksempel 1 (interval)</v>
      </c>
      <c r="G1884" s="171" t="str" cm="1">
        <f t="array" ref="G1884">IF(LineærRegression_Valg[[#This Row],[Indenfor range]],IF(LineærRegression_Valg[[#This Row],[Intet overlap]],INDEX(DataTitel_liste,LineærRegression_Valg[[#This Row],[Uafhængig variabel ID]]),INDEX(DataTitel_liste,IF(LineærRegression_Valg[[#This Row],[Afhængig variabel ID]]=1,2,1))),$B$7)</f>
        <v>Eksempel 2 (interval)</v>
      </c>
      <c r="H1884" s="171">
        <f>_xlfn.AGGREGATE(2,5,LineærRegression_Valg[[#This Row],[Tabel ID]])</f>
        <v>1</v>
      </c>
    </row>
    <row r="1885" spans="1:8" x14ac:dyDescent="0.2">
      <c r="A1885">
        <f>ROW(LineærRegression_Valg[[#This Row],[Tabel ID]])-ROW(LineærRegression_Valg[[#Headers],[Tabel ID]])</f>
        <v>1875</v>
      </c>
      <c r="B1885" s="171">
        <f>ROUNDDOWN((LineærRegression_Valg[[#This Row],[Tabel ID]]-1)/$B$5,0)+1</f>
        <v>469</v>
      </c>
      <c r="C1885" s="171">
        <f t="shared" si="29"/>
        <v>3</v>
      </c>
      <c r="D1885" s="171" t="b">
        <f>LineærRegression_Valg[[#This Row],[Afhængig variabel ID]]&lt;&gt;LineærRegression_Valg[[#This Row],[Uafhængig variabel ID]]</f>
        <v>1</v>
      </c>
      <c r="E1885" s="171" t="b">
        <f>LineærRegression_Valg[[#This Row],[Afhængig variabel ID]]&lt;=$B$5</f>
        <v>0</v>
      </c>
      <c r="F1885" t="str" cm="1">
        <f t="array" ref="F1885">IF(LineærRegression_Valg[[#This Row],[Indenfor range]],INDEX(DataTitel_liste,LineærRegression_Valg[[#This Row],[Afhængig variabel ID]]),INDEX(DataTitel_liste,1))</f>
        <v>Eksempel 1 (interval)</v>
      </c>
      <c r="G1885" s="171" t="str" cm="1">
        <f t="array" ref="G1885">IF(LineærRegression_Valg[[#This Row],[Indenfor range]],IF(LineærRegression_Valg[[#This Row],[Intet overlap]],INDEX(DataTitel_liste,LineærRegression_Valg[[#This Row],[Uafhængig variabel ID]]),INDEX(DataTitel_liste,IF(LineærRegression_Valg[[#This Row],[Afhængig variabel ID]]=1,2,1))),$B$7)</f>
        <v>Eksempel 2 (interval)</v>
      </c>
      <c r="H1885" s="171">
        <f>_xlfn.AGGREGATE(2,5,LineærRegression_Valg[[#This Row],[Tabel ID]])</f>
        <v>1</v>
      </c>
    </row>
    <row r="1886" spans="1:8" x14ac:dyDescent="0.2">
      <c r="A1886">
        <f>ROW(LineærRegression_Valg[[#This Row],[Tabel ID]])-ROW(LineærRegression_Valg[[#Headers],[Tabel ID]])</f>
        <v>1876</v>
      </c>
      <c r="B1886" s="171">
        <f>ROUNDDOWN((LineærRegression_Valg[[#This Row],[Tabel ID]]-1)/$B$5,0)+1</f>
        <v>469</v>
      </c>
      <c r="C1886" s="171">
        <f t="shared" si="29"/>
        <v>4</v>
      </c>
      <c r="D1886" s="171" t="b">
        <f>LineærRegression_Valg[[#This Row],[Afhængig variabel ID]]&lt;&gt;LineærRegression_Valg[[#This Row],[Uafhængig variabel ID]]</f>
        <v>1</v>
      </c>
      <c r="E1886" s="171" t="b">
        <f>LineærRegression_Valg[[#This Row],[Afhængig variabel ID]]&lt;=$B$5</f>
        <v>0</v>
      </c>
      <c r="F1886" t="str" cm="1">
        <f t="array" ref="F1886">IF(LineærRegression_Valg[[#This Row],[Indenfor range]],INDEX(DataTitel_liste,LineærRegression_Valg[[#This Row],[Afhængig variabel ID]]),INDEX(DataTitel_liste,1))</f>
        <v>Eksempel 1 (interval)</v>
      </c>
      <c r="G1886" s="171" t="str" cm="1">
        <f t="array" ref="G1886">IF(LineærRegression_Valg[[#This Row],[Indenfor range]],IF(LineærRegression_Valg[[#This Row],[Intet overlap]],INDEX(DataTitel_liste,LineærRegression_Valg[[#This Row],[Uafhængig variabel ID]]),INDEX(DataTitel_liste,IF(LineærRegression_Valg[[#This Row],[Afhængig variabel ID]]=1,2,1))),$B$7)</f>
        <v>Eksempel 2 (interval)</v>
      </c>
      <c r="H1886" s="171">
        <f>_xlfn.AGGREGATE(2,5,LineærRegression_Valg[[#This Row],[Tabel ID]])</f>
        <v>1</v>
      </c>
    </row>
    <row r="1887" spans="1:8" x14ac:dyDescent="0.2">
      <c r="A1887">
        <f>ROW(LineærRegression_Valg[[#This Row],[Tabel ID]])-ROW(LineærRegression_Valg[[#Headers],[Tabel ID]])</f>
        <v>1877</v>
      </c>
      <c r="B1887" s="171">
        <f>ROUNDDOWN((LineærRegression_Valg[[#This Row],[Tabel ID]]-1)/$B$5,0)+1</f>
        <v>470</v>
      </c>
      <c r="C1887" s="171">
        <f t="shared" si="29"/>
        <v>1</v>
      </c>
      <c r="D1887" s="171" t="b">
        <f>LineærRegression_Valg[[#This Row],[Afhængig variabel ID]]&lt;&gt;LineærRegression_Valg[[#This Row],[Uafhængig variabel ID]]</f>
        <v>1</v>
      </c>
      <c r="E1887" s="171" t="b">
        <f>LineærRegression_Valg[[#This Row],[Afhængig variabel ID]]&lt;=$B$5</f>
        <v>0</v>
      </c>
      <c r="F1887" t="str" cm="1">
        <f t="array" ref="F1887">IF(LineærRegression_Valg[[#This Row],[Indenfor range]],INDEX(DataTitel_liste,LineærRegression_Valg[[#This Row],[Afhængig variabel ID]]),INDEX(DataTitel_liste,1))</f>
        <v>Eksempel 1 (interval)</v>
      </c>
      <c r="G1887" s="171" t="str" cm="1">
        <f t="array" ref="G1887">IF(LineærRegression_Valg[[#This Row],[Indenfor range]],IF(LineærRegression_Valg[[#This Row],[Intet overlap]],INDEX(DataTitel_liste,LineærRegression_Valg[[#This Row],[Uafhængig variabel ID]]),INDEX(DataTitel_liste,IF(LineærRegression_Valg[[#This Row],[Afhængig variabel ID]]=1,2,1))),$B$7)</f>
        <v>Eksempel 2 (interval)</v>
      </c>
      <c r="H1887" s="171">
        <f>_xlfn.AGGREGATE(2,5,LineærRegression_Valg[[#This Row],[Tabel ID]])</f>
        <v>1</v>
      </c>
    </row>
    <row r="1888" spans="1:8" x14ac:dyDescent="0.2">
      <c r="A1888">
        <f>ROW(LineærRegression_Valg[[#This Row],[Tabel ID]])-ROW(LineærRegression_Valg[[#Headers],[Tabel ID]])</f>
        <v>1878</v>
      </c>
      <c r="B1888" s="171">
        <f>ROUNDDOWN((LineærRegression_Valg[[#This Row],[Tabel ID]]-1)/$B$5,0)+1</f>
        <v>470</v>
      </c>
      <c r="C1888" s="171">
        <f t="shared" si="29"/>
        <v>2</v>
      </c>
      <c r="D1888" s="171" t="b">
        <f>LineærRegression_Valg[[#This Row],[Afhængig variabel ID]]&lt;&gt;LineærRegression_Valg[[#This Row],[Uafhængig variabel ID]]</f>
        <v>1</v>
      </c>
      <c r="E1888" s="171" t="b">
        <f>LineærRegression_Valg[[#This Row],[Afhængig variabel ID]]&lt;=$B$5</f>
        <v>0</v>
      </c>
      <c r="F1888" t="str" cm="1">
        <f t="array" ref="F1888">IF(LineærRegression_Valg[[#This Row],[Indenfor range]],INDEX(DataTitel_liste,LineærRegression_Valg[[#This Row],[Afhængig variabel ID]]),INDEX(DataTitel_liste,1))</f>
        <v>Eksempel 1 (interval)</v>
      </c>
      <c r="G1888" s="171" t="str" cm="1">
        <f t="array" ref="G1888">IF(LineærRegression_Valg[[#This Row],[Indenfor range]],IF(LineærRegression_Valg[[#This Row],[Intet overlap]],INDEX(DataTitel_liste,LineærRegression_Valg[[#This Row],[Uafhængig variabel ID]]),INDEX(DataTitel_liste,IF(LineærRegression_Valg[[#This Row],[Afhængig variabel ID]]=1,2,1))),$B$7)</f>
        <v>Eksempel 2 (interval)</v>
      </c>
      <c r="H1888" s="171">
        <f>_xlfn.AGGREGATE(2,5,LineærRegression_Valg[[#This Row],[Tabel ID]])</f>
        <v>1</v>
      </c>
    </row>
    <row r="1889" spans="1:8" x14ac:dyDescent="0.2">
      <c r="A1889">
        <f>ROW(LineærRegression_Valg[[#This Row],[Tabel ID]])-ROW(LineærRegression_Valg[[#Headers],[Tabel ID]])</f>
        <v>1879</v>
      </c>
      <c r="B1889" s="171">
        <f>ROUNDDOWN((LineærRegression_Valg[[#This Row],[Tabel ID]]-1)/$B$5,0)+1</f>
        <v>470</v>
      </c>
      <c r="C1889" s="171">
        <f t="shared" si="29"/>
        <v>3</v>
      </c>
      <c r="D1889" s="171" t="b">
        <f>LineærRegression_Valg[[#This Row],[Afhængig variabel ID]]&lt;&gt;LineærRegression_Valg[[#This Row],[Uafhængig variabel ID]]</f>
        <v>1</v>
      </c>
      <c r="E1889" s="171" t="b">
        <f>LineærRegression_Valg[[#This Row],[Afhængig variabel ID]]&lt;=$B$5</f>
        <v>0</v>
      </c>
      <c r="F1889" t="str" cm="1">
        <f t="array" ref="F1889">IF(LineærRegression_Valg[[#This Row],[Indenfor range]],INDEX(DataTitel_liste,LineærRegression_Valg[[#This Row],[Afhængig variabel ID]]),INDEX(DataTitel_liste,1))</f>
        <v>Eksempel 1 (interval)</v>
      </c>
      <c r="G1889" s="171" t="str" cm="1">
        <f t="array" ref="G1889">IF(LineærRegression_Valg[[#This Row],[Indenfor range]],IF(LineærRegression_Valg[[#This Row],[Intet overlap]],INDEX(DataTitel_liste,LineærRegression_Valg[[#This Row],[Uafhængig variabel ID]]),INDEX(DataTitel_liste,IF(LineærRegression_Valg[[#This Row],[Afhængig variabel ID]]=1,2,1))),$B$7)</f>
        <v>Eksempel 2 (interval)</v>
      </c>
      <c r="H1889" s="171">
        <f>_xlfn.AGGREGATE(2,5,LineærRegression_Valg[[#This Row],[Tabel ID]])</f>
        <v>1</v>
      </c>
    </row>
    <row r="1890" spans="1:8" x14ac:dyDescent="0.2">
      <c r="A1890">
        <f>ROW(LineærRegression_Valg[[#This Row],[Tabel ID]])-ROW(LineærRegression_Valg[[#Headers],[Tabel ID]])</f>
        <v>1880</v>
      </c>
      <c r="B1890" s="171">
        <f>ROUNDDOWN((LineærRegression_Valg[[#This Row],[Tabel ID]]-1)/$B$5,0)+1</f>
        <v>470</v>
      </c>
      <c r="C1890" s="171">
        <f t="shared" si="29"/>
        <v>4</v>
      </c>
      <c r="D1890" s="171" t="b">
        <f>LineærRegression_Valg[[#This Row],[Afhængig variabel ID]]&lt;&gt;LineærRegression_Valg[[#This Row],[Uafhængig variabel ID]]</f>
        <v>1</v>
      </c>
      <c r="E1890" s="171" t="b">
        <f>LineærRegression_Valg[[#This Row],[Afhængig variabel ID]]&lt;=$B$5</f>
        <v>0</v>
      </c>
      <c r="F1890" t="str" cm="1">
        <f t="array" ref="F1890">IF(LineærRegression_Valg[[#This Row],[Indenfor range]],INDEX(DataTitel_liste,LineærRegression_Valg[[#This Row],[Afhængig variabel ID]]),INDEX(DataTitel_liste,1))</f>
        <v>Eksempel 1 (interval)</v>
      </c>
      <c r="G1890" s="171" t="str" cm="1">
        <f t="array" ref="G1890">IF(LineærRegression_Valg[[#This Row],[Indenfor range]],IF(LineærRegression_Valg[[#This Row],[Intet overlap]],INDEX(DataTitel_liste,LineærRegression_Valg[[#This Row],[Uafhængig variabel ID]]),INDEX(DataTitel_liste,IF(LineærRegression_Valg[[#This Row],[Afhængig variabel ID]]=1,2,1))),$B$7)</f>
        <v>Eksempel 2 (interval)</v>
      </c>
      <c r="H1890" s="171">
        <f>_xlfn.AGGREGATE(2,5,LineærRegression_Valg[[#This Row],[Tabel ID]])</f>
        <v>1</v>
      </c>
    </row>
    <row r="1891" spans="1:8" x14ac:dyDescent="0.2">
      <c r="A1891">
        <f>ROW(LineærRegression_Valg[[#This Row],[Tabel ID]])-ROW(LineærRegression_Valg[[#Headers],[Tabel ID]])</f>
        <v>1881</v>
      </c>
      <c r="B1891" s="171">
        <f>ROUNDDOWN((LineærRegression_Valg[[#This Row],[Tabel ID]]-1)/$B$5,0)+1</f>
        <v>471</v>
      </c>
      <c r="C1891" s="171">
        <f t="shared" si="29"/>
        <v>1</v>
      </c>
      <c r="D1891" s="171" t="b">
        <f>LineærRegression_Valg[[#This Row],[Afhængig variabel ID]]&lt;&gt;LineærRegression_Valg[[#This Row],[Uafhængig variabel ID]]</f>
        <v>1</v>
      </c>
      <c r="E1891" s="171" t="b">
        <f>LineærRegression_Valg[[#This Row],[Afhængig variabel ID]]&lt;=$B$5</f>
        <v>0</v>
      </c>
      <c r="F1891" t="str" cm="1">
        <f t="array" ref="F1891">IF(LineærRegression_Valg[[#This Row],[Indenfor range]],INDEX(DataTitel_liste,LineærRegression_Valg[[#This Row],[Afhængig variabel ID]]),INDEX(DataTitel_liste,1))</f>
        <v>Eksempel 1 (interval)</v>
      </c>
      <c r="G1891" s="171" t="str" cm="1">
        <f t="array" ref="G1891">IF(LineærRegression_Valg[[#This Row],[Indenfor range]],IF(LineærRegression_Valg[[#This Row],[Intet overlap]],INDEX(DataTitel_liste,LineærRegression_Valg[[#This Row],[Uafhængig variabel ID]]),INDEX(DataTitel_liste,IF(LineærRegression_Valg[[#This Row],[Afhængig variabel ID]]=1,2,1))),$B$7)</f>
        <v>Eksempel 2 (interval)</v>
      </c>
      <c r="H1891" s="171">
        <f>_xlfn.AGGREGATE(2,5,LineærRegression_Valg[[#This Row],[Tabel ID]])</f>
        <v>1</v>
      </c>
    </row>
    <row r="1892" spans="1:8" x14ac:dyDescent="0.2">
      <c r="A1892">
        <f>ROW(LineærRegression_Valg[[#This Row],[Tabel ID]])-ROW(LineærRegression_Valg[[#Headers],[Tabel ID]])</f>
        <v>1882</v>
      </c>
      <c r="B1892" s="171">
        <f>ROUNDDOWN((LineærRegression_Valg[[#This Row],[Tabel ID]]-1)/$B$5,0)+1</f>
        <v>471</v>
      </c>
      <c r="C1892" s="171">
        <f t="shared" si="29"/>
        <v>2</v>
      </c>
      <c r="D1892" s="171" t="b">
        <f>LineærRegression_Valg[[#This Row],[Afhængig variabel ID]]&lt;&gt;LineærRegression_Valg[[#This Row],[Uafhængig variabel ID]]</f>
        <v>1</v>
      </c>
      <c r="E1892" s="171" t="b">
        <f>LineærRegression_Valg[[#This Row],[Afhængig variabel ID]]&lt;=$B$5</f>
        <v>0</v>
      </c>
      <c r="F1892" t="str" cm="1">
        <f t="array" ref="F1892">IF(LineærRegression_Valg[[#This Row],[Indenfor range]],INDEX(DataTitel_liste,LineærRegression_Valg[[#This Row],[Afhængig variabel ID]]),INDEX(DataTitel_liste,1))</f>
        <v>Eksempel 1 (interval)</v>
      </c>
      <c r="G1892" s="171" t="str" cm="1">
        <f t="array" ref="G1892">IF(LineærRegression_Valg[[#This Row],[Indenfor range]],IF(LineærRegression_Valg[[#This Row],[Intet overlap]],INDEX(DataTitel_liste,LineærRegression_Valg[[#This Row],[Uafhængig variabel ID]]),INDEX(DataTitel_liste,IF(LineærRegression_Valg[[#This Row],[Afhængig variabel ID]]=1,2,1))),$B$7)</f>
        <v>Eksempel 2 (interval)</v>
      </c>
      <c r="H1892" s="171">
        <f>_xlfn.AGGREGATE(2,5,LineærRegression_Valg[[#This Row],[Tabel ID]])</f>
        <v>1</v>
      </c>
    </row>
    <row r="1893" spans="1:8" x14ac:dyDescent="0.2">
      <c r="A1893">
        <f>ROW(LineærRegression_Valg[[#This Row],[Tabel ID]])-ROW(LineærRegression_Valg[[#Headers],[Tabel ID]])</f>
        <v>1883</v>
      </c>
      <c r="B1893" s="171">
        <f>ROUNDDOWN((LineærRegression_Valg[[#This Row],[Tabel ID]]-1)/$B$5,0)+1</f>
        <v>471</v>
      </c>
      <c r="C1893" s="171">
        <f t="shared" si="29"/>
        <v>3</v>
      </c>
      <c r="D1893" s="171" t="b">
        <f>LineærRegression_Valg[[#This Row],[Afhængig variabel ID]]&lt;&gt;LineærRegression_Valg[[#This Row],[Uafhængig variabel ID]]</f>
        <v>1</v>
      </c>
      <c r="E1893" s="171" t="b">
        <f>LineærRegression_Valg[[#This Row],[Afhængig variabel ID]]&lt;=$B$5</f>
        <v>0</v>
      </c>
      <c r="F1893" t="str" cm="1">
        <f t="array" ref="F1893">IF(LineærRegression_Valg[[#This Row],[Indenfor range]],INDEX(DataTitel_liste,LineærRegression_Valg[[#This Row],[Afhængig variabel ID]]),INDEX(DataTitel_liste,1))</f>
        <v>Eksempel 1 (interval)</v>
      </c>
      <c r="G1893" s="171" t="str" cm="1">
        <f t="array" ref="G1893">IF(LineærRegression_Valg[[#This Row],[Indenfor range]],IF(LineærRegression_Valg[[#This Row],[Intet overlap]],INDEX(DataTitel_liste,LineærRegression_Valg[[#This Row],[Uafhængig variabel ID]]),INDEX(DataTitel_liste,IF(LineærRegression_Valg[[#This Row],[Afhængig variabel ID]]=1,2,1))),$B$7)</f>
        <v>Eksempel 2 (interval)</v>
      </c>
      <c r="H1893" s="171">
        <f>_xlfn.AGGREGATE(2,5,LineærRegression_Valg[[#This Row],[Tabel ID]])</f>
        <v>1</v>
      </c>
    </row>
    <row r="1894" spans="1:8" x14ac:dyDescent="0.2">
      <c r="A1894">
        <f>ROW(LineærRegression_Valg[[#This Row],[Tabel ID]])-ROW(LineærRegression_Valg[[#Headers],[Tabel ID]])</f>
        <v>1884</v>
      </c>
      <c r="B1894" s="171">
        <f>ROUNDDOWN((LineærRegression_Valg[[#This Row],[Tabel ID]]-1)/$B$5,0)+1</f>
        <v>471</v>
      </c>
      <c r="C1894" s="171">
        <f t="shared" si="29"/>
        <v>4</v>
      </c>
      <c r="D1894" s="171" t="b">
        <f>LineærRegression_Valg[[#This Row],[Afhængig variabel ID]]&lt;&gt;LineærRegression_Valg[[#This Row],[Uafhængig variabel ID]]</f>
        <v>1</v>
      </c>
      <c r="E1894" s="171" t="b">
        <f>LineærRegression_Valg[[#This Row],[Afhængig variabel ID]]&lt;=$B$5</f>
        <v>0</v>
      </c>
      <c r="F1894" t="str" cm="1">
        <f t="array" ref="F1894">IF(LineærRegression_Valg[[#This Row],[Indenfor range]],INDEX(DataTitel_liste,LineærRegression_Valg[[#This Row],[Afhængig variabel ID]]),INDEX(DataTitel_liste,1))</f>
        <v>Eksempel 1 (interval)</v>
      </c>
      <c r="G1894" s="171" t="str" cm="1">
        <f t="array" ref="G1894">IF(LineærRegression_Valg[[#This Row],[Indenfor range]],IF(LineærRegression_Valg[[#This Row],[Intet overlap]],INDEX(DataTitel_liste,LineærRegression_Valg[[#This Row],[Uafhængig variabel ID]]),INDEX(DataTitel_liste,IF(LineærRegression_Valg[[#This Row],[Afhængig variabel ID]]=1,2,1))),$B$7)</f>
        <v>Eksempel 2 (interval)</v>
      </c>
      <c r="H1894" s="171">
        <f>_xlfn.AGGREGATE(2,5,LineærRegression_Valg[[#This Row],[Tabel ID]])</f>
        <v>1</v>
      </c>
    </row>
    <row r="1895" spans="1:8" x14ac:dyDescent="0.2">
      <c r="A1895">
        <f>ROW(LineærRegression_Valg[[#This Row],[Tabel ID]])-ROW(LineærRegression_Valg[[#Headers],[Tabel ID]])</f>
        <v>1885</v>
      </c>
      <c r="B1895" s="171">
        <f>ROUNDDOWN((LineærRegression_Valg[[#This Row],[Tabel ID]]-1)/$B$5,0)+1</f>
        <v>472</v>
      </c>
      <c r="C1895" s="171">
        <f t="shared" si="29"/>
        <v>1</v>
      </c>
      <c r="D1895" s="171" t="b">
        <f>LineærRegression_Valg[[#This Row],[Afhængig variabel ID]]&lt;&gt;LineærRegression_Valg[[#This Row],[Uafhængig variabel ID]]</f>
        <v>1</v>
      </c>
      <c r="E1895" s="171" t="b">
        <f>LineærRegression_Valg[[#This Row],[Afhængig variabel ID]]&lt;=$B$5</f>
        <v>0</v>
      </c>
      <c r="F1895" t="str" cm="1">
        <f t="array" ref="F1895">IF(LineærRegression_Valg[[#This Row],[Indenfor range]],INDEX(DataTitel_liste,LineærRegression_Valg[[#This Row],[Afhængig variabel ID]]),INDEX(DataTitel_liste,1))</f>
        <v>Eksempel 1 (interval)</v>
      </c>
      <c r="G1895" s="171" t="str" cm="1">
        <f t="array" ref="G1895">IF(LineærRegression_Valg[[#This Row],[Indenfor range]],IF(LineærRegression_Valg[[#This Row],[Intet overlap]],INDEX(DataTitel_liste,LineærRegression_Valg[[#This Row],[Uafhængig variabel ID]]),INDEX(DataTitel_liste,IF(LineærRegression_Valg[[#This Row],[Afhængig variabel ID]]=1,2,1))),$B$7)</f>
        <v>Eksempel 2 (interval)</v>
      </c>
      <c r="H1895" s="171">
        <f>_xlfn.AGGREGATE(2,5,LineærRegression_Valg[[#This Row],[Tabel ID]])</f>
        <v>1</v>
      </c>
    </row>
    <row r="1896" spans="1:8" x14ac:dyDescent="0.2">
      <c r="A1896">
        <f>ROW(LineærRegression_Valg[[#This Row],[Tabel ID]])-ROW(LineærRegression_Valg[[#Headers],[Tabel ID]])</f>
        <v>1886</v>
      </c>
      <c r="B1896" s="171">
        <f>ROUNDDOWN((LineærRegression_Valg[[#This Row],[Tabel ID]]-1)/$B$5,0)+1</f>
        <v>472</v>
      </c>
      <c r="C1896" s="171">
        <f t="shared" si="29"/>
        <v>2</v>
      </c>
      <c r="D1896" s="171" t="b">
        <f>LineærRegression_Valg[[#This Row],[Afhængig variabel ID]]&lt;&gt;LineærRegression_Valg[[#This Row],[Uafhængig variabel ID]]</f>
        <v>1</v>
      </c>
      <c r="E1896" s="171" t="b">
        <f>LineærRegression_Valg[[#This Row],[Afhængig variabel ID]]&lt;=$B$5</f>
        <v>0</v>
      </c>
      <c r="F1896" t="str" cm="1">
        <f t="array" ref="F1896">IF(LineærRegression_Valg[[#This Row],[Indenfor range]],INDEX(DataTitel_liste,LineærRegression_Valg[[#This Row],[Afhængig variabel ID]]),INDEX(DataTitel_liste,1))</f>
        <v>Eksempel 1 (interval)</v>
      </c>
      <c r="G1896" s="171" t="str" cm="1">
        <f t="array" ref="G1896">IF(LineærRegression_Valg[[#This Row],[Indenfor range]],IF(LineærRegression_Valg[[#This Row],[Intet overlap]],INDEX(DataTitel_liste,LineærRegression_Valg[[#This Row],[Uafhængig variabel ID]]),INDEX(DataTitel_liste,IF(LineærRegression_Valg[[#This Row],[Afhængig variabel ID]]=1,2,1))),$B$7)</f>
        <v>Eksempel 2 (interval)</v>
      </c>
      <c r="H1896" s="171">
        <f>_xlfn.AGGREGATE(2,5,LineærRegression_Valg[[#This Row],[Tabel ID]])</f>
        <v>1</v>
      </c>
    </row>
    <row r="1897" spans="1:8" x14ac:dyDescent="0.2">
      <c r="A1897">
        <f>ROW(LineærRegression_Valg[[#This Row],[Tabel ID]])-ROW(LineærRegression_Valg[[#Headers],[Tabel ID]])</f>
        <v>1887</v>
      </c>
      <c r="B1897" s="171">
        <f>ROUNDDOWN((LineærRegression_Valg[[#This Row],[Tabel ID]]-1)/$B$5,0)+1</f>
        <v>472</v>
      </c>
      <c r="C1897" s="171">
        <f t="shared" si="29"/>
        <v>3</v>
      </c>
      <c r="D1897" s="171" t="b">
        <f>LineærRegression_Valg[[#This Row],[Afhængig variabel ID]]&lt;&gt;LineærRegression_Valg[[#This Row],[Uafhængig variabel ID]]</f>
        <v>1</v>
      </c>
      <c r="E1897" s="171" t="b">
        <f>LineærRegression_Valg[[#This Row],[Afhængig variabel ID]]&lt;=$B$5</f>
        <v>0</v>
      </c>
      <c r="F1897" t="str" cm="1">
        <f t="array" ref="F1897">IF(LineærRegression_Valg[[#This Row],[Indenfor range]],INDEX(DataTitel_liste,LineærRegression_Valg[[#This Row],[Afhængig variabel ID]]),INDEX(DataTitel_liste,1))</f>
        <v>Eksempel 1 (interval)</v>
      </c>
      <c r="G1897" s="171" t="str" cm="1">
        <f t="array" ref="G1897">IF(LineærRegression_Valg[[#This Row],[Indenfor range]],IF(LineærRegression_Valg[[#This Row],[Intet overlap]],INDEX(DataTitel_liste,LineærRegression_Valg[[#This Row],[Uafhængig variabel ID]]),INDEX(DataTitel_liste,IF(LineærRegression_Valg[[#This Row],[Afhængig variabel ID]]=1,2,1))),$B$7)</f>
        <v>Eksempel 2 (interval)</v>
      </c>
      <c r="H1897" s="171">
        <f>_xlfn.AGGREGATE(2,5,LineærRegression_Valg[[#This Row],[Tabel ID]])</f>
        <v>1</v>
      </c>
    </row>
    <row r="1898" spans="1:8" x14ac:dyDescent="0.2">
      <c r="A1898">
        <f>ROW(LineærRegression_Valg[[#This Row],[Tabel ID]])-ROW(LineærRegression_Valg[[#Headers],[Tabel ID]])</f>
        <v>1888</v>
      </c>
      <c r="B1898" s="171">
        <f>ROUNDDOWN((LineærRegression_Valg[[#This Row],[Tabel ID]]-1)/$B$5,0)+1</f>
        <v>472</v>
      </c>
      <c r="C1898" s="171">
        <f t="shared" si="29"/>
        <v>4</v>
      </c>
      <c r="D1898" s="171" t="b">
        <f>LineærRegression_Valg[[#This Row],[Afhængig variabel ID]]&lt;&gt;LineærRegression_Valg[[#This Row],[Uafhængig variabel ID]]</f>
        <v>1</v>
      </c>
      <c r="E1898" s="171" t="b">
        <f>LineærRegression_Valg[[#This Row],[Afhængig variabel ID]]&lt;=$B$5</f>
        <v>0</v>
      </c>
      <c r="F1898" t="str" cm="1">
        <f t="array" ref="F1898">IF(LineærRegression_Valg[[#This Row],[Indenfor range]],INDEX(DataTitel_liste,LineærRegression_Valg[[#This Row],[Afhængig variabel ID]]),INDEX(DataTitel_liste,1))</f>
        <v>Eksempel 1 (interval)</v>
      </c>
      <c r="G1898" s="171" t="str" cm="1">
        <f t="array" ref="G1898">IF(LineærRegression_Valg[[#This Row],[Indenfor range]],IF(LineærRegression_Valg[[#This Row],[Intet overlap]],INDEX(DataTitel_liste,LineærRegression_Valg[[#This Row],[Uafhængig variabel ID]]),INDEX(DataTitel_liste,IF(LineærRegression_Valg[[#This Row],[Afhængig variabel ID]]=1,2,1))),$B$7)</f>
        <v>Eksempel 2 (interval)</v>
      </c>
      <c r="H1898" s="171">
        <f>_xlfn.AGGREGATE(2,5,LineærRegression_Valg[[#This Row],[Tabel ID]])</f>
        <v>1</v>
      </c>
    </row>
    <row r="1899" spans="1:8" x14ac:dyDescent="0.2">
      <c r="A1899">
        <f>ROW(LineærRegression_Valg[[#This Row],[Tabel ID]])-ROW(LineærRegression_Valg[[#Headers],[Tabel ID]])</f>
        <v>1889</v>
      </c>
      <c r="B1899" s="171">
        <f>ROUNDDOWN((LineærRegression_Valg[[#This Row],[Tabel ID]]-1)/$B$5,0)+1</f>
        <v>473</v>
      </c>
      <c r="C1899" s="171">
        <f t="shared" si="29"/>
        <v>1</v>
      </c>
      <c r="D1899" s="171" t="b">
        <f>LineærRegression_Valg[[#This Row],[Afhængig variabel ID]]&lt;&gt;LineærRegression_Valg[[#This Row],[Uafhængig variabel ID]]</f>
        <v>1</v>
      </c>
      <c r="E1899" s="171" t="b">
        <f>LineærRegression_Valg[[#This Row],[Afhængig variabel ID]]&lt;=$B$5</f>
        <v>0</v>
      </c>
      <c r="F1899" t="str" cm="1">
        <f t="array" ref="F1899">IF(LineærRegression_Valg[[#This Row],[Indenfor range]],INDEX(DataTitel_liste,LineærRegression_Valg[[#This Row],[Afhængig variabel ID]]),INDEX(DataTitel_liste,1))</f>
        <v>Eksempel 1 (interval)</v>
      </c>
      <c r="G1899" s="171" t="str" cm="1">
        <f t="array" ref="G1899">IF(LineærRegression_Valg[[#This Row],[Indenfor range]],IF(LineærRegression_Valg[[#This Row],[Intet overlap]],INDEX(DataTitel_liste,LineærRegression_Valg[[#This Row],[Uafhængig variabel ID]]),INDEX(DataTitel_liste,IF(LineærRegression_Valg[[#This Row],[Afhængig variabel ID]]=1,2,1))),$B$7)</f>
        <v>Eksempel 2 (interval)</v>
      </c>
      <c r="H1899" s="171">
        <f>_xlfn.AGGREGATE(2,5,LineærRegression_Valg[[#This Row],[Tabel ID]])</f>
        <v>1</v>
      </c>
    </row>
    <row r="1900" spans="1:8" x14ac:dyDescent="0.2">
      <c r="A1900">
        <f>ROW(LineærRegression_Valg[[#This Row],[Tabel ID]])-ROW(LineærRegression_Valg[[#Headers],[Tabel ID]])</f>
        <v>1890</v>
      </c>
      <c r="B1900" s="171">
        <f>ROUNDDOWN((LineærRegression_Valg[[#This Row],[Tabel ID]]-1)/$B$5,0)+1</f>
        <v>473</v>
      </c>
      <c r="C1900" s="171">
        <f t="shared" si="29"/>
        <v>2</v>
      </c>
      <c r="D1900" s="171" t="b">
        <f>LineærRegression_Valg[[#This Row],[Afhængig variabel ID]]&lt;&gt;LineærRegression_Valg[[#This Row],[Uafhængig variabel ID]]</f>
        <v>1</v>
      </c>
      <c r="E1900" s="171" t="b">
        <f>LineærRegression_Valg[[#This Row],[Afhængig variabel ID]]&lt;=$B$5</f>
        <v>0</v>
      </c>
      <c r="F1900" t="str" cm="1">
        <f t="array" ref="F1900">IF(LineærRegression_Valg[[#This Row],[Indenfor range]],INDEX(DataTitel_liste,LineærRegression_Valg[[#This Row],[Afhængig variabel ID]]),INDEX(DataTitel_liste,1))</f>
        <v>Eksempel 1 (interval)</v>
      </c>
      <c r="G1900" s="171" t="str" cm="1">
        <f t="array" ref="G1900">IF(LineærRegression_Valg[[#This Row],[Indenfor range]],IF(LineærRegression_Valg[[#This Row],[Intet overlap]],INDEX(DataTitel_liste,LineærRegression_Valg[[#This Row],[Uafhængig variabel ID]]),INDEX(DataTitel_liste,IF(LineærRegression_Valg[[#This Row],[Afhængig variabel ID]]=1,2,1))),$B$7)</f>
        <v>Eksempel 2 (interval)</v>
      </c>
      <c r="H1900" s="171">
        <f>_xlfn.AGGREGATE(2,5,LineærRegression_Valg[[#This Row],[Tabel ID]])</f>
        <v>1</v>
      </c>
    </row>
    <row r="1901" spans="1:8" x14ac:dyDescent="0.2">
      <c r="A1901">
        <f>ROW(LineærRegression_Valg[[#This Row],[Tabel ID]])-ROW(LineærRegression_Valg[[#Headers],[Tabel ID]])</f>
        <v>1891</v>
      </c>
      <c r="B1901" s="171">
        <f>ROUNDDOWN((LineærRegression_Valg[[#This Row],[Tabel ID]]-1)/$B$5,0)+1</f>
        <v>473</v>
      </c>
      <c r="C1901" s="171">
        <f t="shared" si="29"/>
        <v>3</v>
      </c>
      <c r="D1901" s="171" t="b">
        <f>LineærRegression_Valg[[#This Row],[Afhængig variabel ID]]&lt;&gt;LineærRegression_Valg[[#This Row],[Uafhængig variabel ID]]</f>
        <v>1</v>
      </c>
      <c r="E1901" s="171" t="b">
        <f>LineærRegression_Valg[[#This Row],[Afhængig variabel ID]]&lt;=$B$5</f>
        <v>0</v>
      </c>
      <c r="F1901" t="str" cm="1">
        <f t="array" ref="F1901">IF(LineærRegression_Valg[[#This Row],[Indenfor range]],INDEX(DataTitel_liste,LineærRegression_Valg[[#This Row],[Afhængig variabel ID]]),INDEX(DataTitel_liste,1))</f>
        <v>Eksempel 1 (interval)</v>
      </c>
      <c r="G1901" s="171" t="str" cm="1">
        <f t="array" ref="G1901">IF(LineærRegression_Valg[[#This Row],[Indenfor range]],IF(LineærRegression_Valg[[#This Row],[Intet overlap]],INDEX(DataTitel_liste,LineærRegression_Valg[[#This Row],[Uafhængig variabel ID]]),INDEX(DataTitel_liste,IF(LineærRegression_Valg[[#This Row],[Afhængig variabel ID]]=1,2,1))),$B$7)</f>
        <v>Eksempel 2 (interval)</v>
      </c>
      <c r="H1901" s="171">
        <f>_xlfn.AGGREGATE(2,5,LineærRegression_Valg[[#This Row],[Tabel ID]])</f>
        <v>1</v>
      </c>
    </row>
    <row r="1902" spans="1:8" x14ac:dyDescent="0.2">
      <c r="A1902">
        <f>ROW(LineærRegression_Valg[[#This Row],[Tabel ID]])-ROW(LineærRegression_Valg[[#Headers],[Tabel ID]])</f>
        <v>1892</v>
      </c>
      <c r="B1902" s="171">
        <f>ROUNDDOWN((LineærRegression_Valg[[#This Row],[Tabel ID]]-1)/$B$5,0)+1</f>
        <v>473</v>
      </c>
      <c r="C1902" s="171">
        <f t="shared" si="29"/>
        <v>4</v>
      </c>
      <c r="D1902" s="171" t="b">
        <f>LineærRegression_Valg[[#This Row],[Afhængig variabel ID]]&lt;&gt;LineærRegression_Valg[[#This Row],[Uafhængig variabel ID]]</f>
        <v>1</v>
      </c>
      <c r="E1902" s="171" t="b">
        <f>LineærRegression_Valg[[#This Row],[Afhængig variabel ID]]&lt;=$B$5</f>
        <v>0</v>
      </c>
      <c r="F1902" t="str" cm="1">
        <f t="array" ref="F1902">IF(LineærRegression_Valg[[#This Row],[Indenfor range]],INDEX(DataTitel_liste,LineærRegression_Valg[[#This Row],[Afhængig variabel ID]]),INDEX(DataTitel_liste,1))</f>
        <v>Eksempel 1 (interval)</v>
      </c>
      <c r="G1902" s="171" t="str" cm="1">
        <f t="array" ref="G1902">IF(LineærRegression_Valg[[#This Row],[Indenfor range]],IF(LineærRegression_Valg[[#This Row],[Intet overlap]],INDEX(DataTitel_liste,LineærRegression_Valg[[#This Row],[Uafhængig variabel ID]]),INDEX(DataTitel_liste,IF(LineærRegression_Valg[[#This Row],[Afhængig variabel ID]]=1,2,1))),$B$7)</f>
        <v>Eksempel 2 (interval)</v>
      </c>
      <c r="H1902" s="171">
        <f>_xlfn.AGGREGATE(2,5,LineærRegression_Valg[[#This Row],[Tabel ID]])</f>
        <v>1</v>
      </c>
    </row>
    <row r="1903" spans="1:8" x14ac:dyDescent="0.2">
      <c r="A1903">
        <f>ROW(LineærRegression_Valg[[#This Row],[Tabel ID]])-ROW(LineærRegression_Valg[[#Headers],[Tabel ID]])</f>
        <v>1893</v>
      </c>
      <c r="B1903" s="171">
        <f>ROUNDDOWN((LineærRegression_Valg[[#This Row],[Tabel ID]]-1)/$B$5,0)+1</f>
        <v>474</v>
      </c>
      <c r="C1903" s="171">
        <f t="shared" si="29"/>
        <v>1</v>
      </c>
      <c r="D1903" s="171" t="b">
        <f>LineærRegression_Valg[[#This Row],[Afhængig variabel ID]]&lt;&gt;LineærRegression_Valg[[#This Row],[Uafhængig variabel ID]]</f>
        <v>1</v>
      </c>
      <c r="E1903" s="171" t="b">
        <f>LineærRegression_Valg[[#This Row],[Afhængig variabel ID]]&lt;=$B$5</f>
        <v>0</v>
      </c>
      <c r="F1903" t="str" cm="1">
        <f t="array" ref="F1903">IF(LineærRegression_Valg[[#This Row],[Indenfor range]],INDEX(DataTitel_liste,LineærRegression_Valg[[#This Row],[Afhængig variabel ID]]),INDEX(DataTitel_liste,1))</f>
        <v>Eksempel 1 (interval)</v>
      </c>
      <c r="G1903" s="171" t="str" cm="1">
        <f t="array" ref="G1903">IF(LineærRegression_Valg[[#This Row],[Indenfor range]],IF(LineærRegression_Valg[[#This Row],[Intet overlap]],INDEX(DataTitel_liste,LineærRegression_Valg[[#This Row],[Uafhængig variabel ID]]),INDEX(DataTitel_liste,IF(LineærRegression_Valg[[#This Row],[Afhængig variabel ID]]=1,2,1))),$B$7)</f>
        <v>Eksempel 2 (interval)</v>
      </c>
      <c r="H1903" s="171">
        <f>_xlfn.AGGREGATE(2,5,LineærRegression_Valg[[#This Row],[Tabel ID]])</f>
        <v>1</v>
      </c>
    </row>
    <row r="1904" spans="1:8" x14ac:dyDescent="0.2">
      <c r="A1904">
        <f>ROW(LineærRegression_Valg[[#This Row],[Tabel ID]])-ROW(LineærRegression_Valg[[#Headers],[Tabel ID]])</f>
        <v>1894</v>
      </c>
      <c r="B1904" s="171">
        <f>ROUNDDOWN((LineærRegression_Valg[[#This Row],[Tabel ID]]-1)/$B$5,0)+1</f>
        <v>474</v>
      </c>
      <c r="C1904" s="171">
        <f t="shared" si="29"/>
        <v>2</v>
      </c>
      <c r="D1904" s="171" t="b">
        <f>LineærRegression_Valg[[#This Row],[Afhængig variabel ID]]&lt;&gt;LineærRegression_Valg[[#This Row],[Uafhængig variabel ID]]</f>
        <v>1</v>
      </c>
      <c r="E1904" s="171" t="b">
        <f>LineærRegression_Valg[[#This Row],[Afhængig variabel ID]]&lt;=$B$5</f>
        <v>0</v>
      </c>
      <c r="F1904" t="str" cm="1">
        <f t="array" ref="F1904">IF(LineærRegression_Valg[[#This Row],[Indenfor range]],INDEX(DataTitel_liste,LineærRegression_Valg[[#This Row],[Afhængig variabel ID]]),INDEX(DataTitel_liste,1))</f>
        <v>Eksempel 1 (interval)</v>
      </c>
      <c r="G1904" s="171" t="str" cm="1">
        <f t="array" ref="G1904">IF(LineærRegression_Valg[[#This Row],[Indenfor range]],IF(LineærRegression_Valg[[#This Row],[Intet overlap]],INDEX(DataTitel_liste,LineærRegression_Valg[[#This Row],[Uafhængig variabel ID]]),INDEX(DataTitel_liste,IF(LineærRegression_Valg[[#This Row],[Afhængig variabel ID]]=1,2,1))),$B$7)</f>
        <v>Eksempel 2 (interval)</v>
      </c>
      <c r="H1904" s="171">
        <f>_xlfn.AGGREGATE(2,5,LineærRegression_Valg[[#This Row],[Tabel ID]])</f>
        <v>1</v>
      </c>
    </row>
    <row r="1905" spans="1:8" x14ac:dyDescent="0.2">
      <c r="A1905">
        <f>ROW(LineærRegression_Valg[[#This Row],[Tabel ID]])-ROW(LineærRegression_Valg[[#Headers],[Tabel ID]])</f>
        <v>1895</v>
      </c>
      <c r="B1905" s="171">
        <f>ROUNDDOWN((LineærRegression_Valg[[#This Row],[Tabel ID]]-1)/$B$5,0)+1</f>
        <v>474</v>
      </c>
      <c r="C1905" s="171">
        <f t="shared" si="29"/>
        <v>3</v>
      </c>
      <c r="D1905" s="171" t="b">
        <f>LineærRegression_Valg[[#This Row],[Afhængig variabel ID]]&lt;&gt;LineærRegression_Valg[[#This Row],[Uafhængig variabel ID]]</f>
        <v>1</v>
      </c>
      <c r="E1905" s="171" t="b">
        <f>LineærRegression_Valg[[#This Row],[Afhængig variabel ID]]&lt;=$B$5</f>
        <v>0</v>
      </c>
      <c r="F1905" t="str" cm="1">
        <f t="array" ref="F1905">IF(LineærRegression_Valg[[#This Row],[Indenfor range]],INDEX(DataTitel_liste,LineærRegression_Valg[[#This Row],[Afhængig variabel ID]]),INDEX(DataTitel_liste,1))</f>
        <v>Eksempel 1 (interval)</v>
      </c>
      <c r="G1905" s="171" t="str" cm="1">
        <f t="array" ref="G1905">IF(LineærRegression_Valg[[#This Row],[Indenfor range]],IF(LineærRegression_Valg[[#This Row],[Intet overlap]],INDEX(DataTitel_liste,LineærRegression_Valg[[#This Row],[Uafhængig variabel ID]]),INDEX(DataTitel_liste,IF(LineærRegression_Valg[[#This Row],[Afhængig variabel ID]]=1,2,1))),$B$7)</f>
        <v>Eksempel 2 (interval)</v>
      </c>
      <c r="H1905" s="171">
        <f>_xlfn.AGGREGATE(2,5,LineærRegression_Valg[[#This Row],[Tabel ID]])</f>
        <v>1</v>
      </c>
    </row>
    <row r="1906" spans="1:8" x14ac:dyDescent="0.2">
      <c r="A1906">
        <f>ROW(LineærRegression_Valg[[#This Row],[Tabel ID]])-ROW(LineærRegression_Valg[[#Headers],[Tabel ID]])</f>
        <v>1896</v>
      </c>
      <c r="B1906" s="171">
        <f>ROUNDDOWN((LineærRegression_Valg[[#This Row],[Tabel ID]]-1)/$B$5,0)+1</f>
        <v>474</v>
      </c>
      <c r="C1906" s="171">
        <f t="shared" si="29"/>
        <v>4</v>
      </c>
      <c r="D1906" s="171" t="b">
        <f>LineærRegression_Valg[[#This Row],[Afhængig variabel ID]]&lt;&gt;LineærRegression_Valg[[#This Row],[Uafhængig variabel ID]]</f>
        <v>1</v>
      </c>
      <c r="E1906" s="171" t="b">
        <f>LineærRegression_Valg[[#This Row],[Afhængig variabel ID]]&lt;=$B$5</f>
        <v>0</v>
      </c>
      <c r="F1906" t="str" cm="1">
        <f t="array" ref="F1906">IF(LineærRegression_Valg[[#This Row],[Indenfor range]],INDEX(DataTitel_liste,LineærRegression_Valg[[#This Row],[Afhængig variabel ID]]),INDEX(DataTitel_liste,1))</f>
        <v>Eksempel 1 (interval)</v>
      </c>
      <c r="G1906" s="171" t="str" cm="1">
        <f t="array" ref="G1906">IF(LineærRegression_Valg[[#This Row],[Indenfor range]],IF(LineærRegression_Valg[[#This Row],[Intet overlap]],INDEX(DataTitel_liste,LineærRegression_Valg[[#This Row],[Uafhængig variabel ID]]),INDEX(DataTitel_liste,IF(LineærRegression_Valg[[#This Row],[Afhængig variabel ID]]=1,2,1))),$B$7)</f>
        <v>Eksempel 2 (interval)</v>
      </c>
      <c r="H1906" s="171">
        <f>_xlfn.AGGREGATE(2,5,LineærRegression_Valg[[#This Row],[Tabel ID]])</f>
        <v>1</v>
      </c>
    </row>
    <row r="1907" spans="1:8" x14ac:dyDescent="0.2">
      <c r="A1907">
        <f>ROW(LineærRegression_Valg[[#This Row],[Tabel ID]])-ROW(LineærRegression_Valg[[#Headers],[Tabel ID]])</f>
        <v>1897</v>
      </c>
      <c r="B1907" s="171">
        <f>ROUNDDOWN((LineærRegression_Valg[[#This Row],[Tabel ID]]-1)/$B$5,0)+1</f>
        <v>475</v>
      </c>
      <c r="C1907" s="171">
        <f t="shared" si="29"/>
        <v>1</v>
      </c>
      <c r="D1907" s="171" t="b">
        <f>LineærRegression_Valg[[#This Row],[Afhængig variabel ID]]&lt;&gt;LineærRegression_Valg[[#This Row],[Uafhængig variabel ID]]</f>
        <v>1</v>
      </c>
      <c r="E1907" s="171" t="b">
        <f>LineærRegression_Valg[[#This Row],[Afhængig variabel ID]]&lt;=$B$5</f>
        <v>0</v>
      </c>
      <c r="F1907" t="str" cm="1">
        <f t="array" ref="F1907">IF(LineærRegression_Valg[[#This Row],[Indenfor range]],INDEX(DataTitel_liste,LineærRegression_Valg[[#This Row],[Afhængig variabel ID]]),INDEX(DataTitel_liste,1))</f>
        <v>Eksempel 1 (interval)</v>
      </c>
      <c r="G1907" s="171" t="str" cm="1">
        <f t="array" ref="G1907">IF(LineærRegression_Valg[[#This Row],[Indenfor range]],IF(LineærRegression_Valg[[#This Row],[Intet overlap]],INDEX(DataTitel_liste,LineærRegression_Valg[[#This Row],[Uafhængig variabel ID]]),INDEX(DataTitel_liste,IF(LineærRegression_Valg[[#This Row],[Afhængig variabel ID]]=1,2,1))),$B$7)</f>
        <v>Eksempel 2 (interval)</v>
      </c>
      <c r="H1907" s="171">
        <f>_xlfn.AGGREGATE(2,5,LineærRegression_Valg[[#This Row],[Tabel ID]])</f>
        <v>1</v>
      </c>
    </row>
    <row r="1908" spans="1:8" x14ac:dyDescent="0.2">
      <c r="A1908">
        <f>ROW(LineærRegression_Valg[[#This Row],[Tabel ID]])-ROW(LineærRegression_Valg[[#Headers],[Tabel ID]])</f>
        <v>1898</v>
      </c>
      <c r="B1908" s="171">
        <f>ROUNDDOWN((LineærRegression_Valg[[#This Row],[Tabel ID]]-1)/$B$5,0)+1</f>
        <v>475</v>
      </c>
      <c r="C1908" s="171">
        <f t="shared" si="29"/>
        <v>2</v>
      </c>
      <c r="D1908" s="171" t="b">
        <f>LineærRegression_Valg[[#This Row],[Afhængig variabel ID]]&lt;&gt;LineærRegression_Valg[[#This Row],[Uafhængig variabel ID]]</f>
        <v>1</v>
      </c>
      <c r="E1908" s="171" t="b">
        <f>LineærRegression_Valg[[#This Row],[Afhængig variabel ID]]&lt;=$B$5</f>
        <v>0</v>
      </c>
      <c r="F1908" t="str" cm="1">
        <f t="array" ref="F1908">IF(LineærRegression_Valg[[#This Row],[Indenfor range]],INDEX(DataTitel_liste,LineærRegression_Valg[[#This Row],[Afhængig variabel ID]]),INDEX(DataTitel_liste,1))</f>
        <v>Eksempel 1 (interval)</v>
      </c>
      <c r="G1908" s="171" t="str" cm="1">
        <f t="array" ref="G1908">IF(LineærRegression_Valg[[#This Row],[Indenfor range]],IF(LineærRegression_Valg[[#This Row],[Intet overlap]],INDEX(DataTitel_liste,LineærRegression_Valg[[#This Row],[Uafhængig variabel ID]]),INDEX(DataTitel_liste,IF(LineærRegression_Valg[[#This Row],[Afhængig variabel ID]]=1,2,1))),$B$7)</f>
        <v>Eksempel 2 (interval)</v>
      </c>
      <c r="H1908" s="171">
        <f>_xlfn.AGGREGATE(2,5,LineærRegression_Valg[[#This Row],[Tabel ID]])</f>
        <v>1</v>
      </c>
    </row>
    <row r="1909" spans="1:8" x14ac:dyDescent="0.2">
      <c r="A1909">
        <f>ROW(LineærRegression_Valg[[#This Row],[Tabel ID]])-ROW(LineærRegression_Valg[[#Headers],[Tabel ID]])</f>
        <v>1899</v>
      </c>
      <c r="B1909" s="171">
        <f>ROUNDDOWN((LineærRegression_Valg[[#This Row],[Tabel ID]]-1)/$B$5,0)+1</f>
        <v>475</v>
      </c>
      <c r="C1909" s="171">
        <f t="shared" si="29"/>
        <v>3</v>
      </c>
      <c r="D1909" s="171" t="b">
        <f>LineærRegression_Valg[[#This Row],[Afhængig variabel ID]]&lt;&gt;LineærRegression_Valg[[#This Row],[Uafhængig variabel ID]]</f>
        <v>1</v>
      </c>
      <c r="E1909" s="171" t="b">
        <f>LineærRegression_Valg[[#This Row],[Afhængig variabel ID]]&lt;=$B$5</f>
        <v>0</v>
      </c>
      <c r="F1909" t="str" cm="1">
        <f t="array" ref="F1909">IF(LineærRegression_Valg[[#This Row],[Indenfor range]],INDEX(DataTitel_liste,LineærRegression_Valg[[#This Row],[Afhængig variabel ID]]),INDEX(DataTitel_liste,1))</f>
        <v>Eksempel 1 (interval)</v>
      </c>
      <c r="G1909" s="171" t="str" cm="1">
        <f t="array" ref="G1909">IF(LineærRegression_Valg[[#This Row],[Indenfor range]],IF(LineærRegression_Valg[[#This Row],[Intet overlap]],INDEX(DataTitel_liste,LineærRegression_Valg[[#This Row],[Uafhængig variabel ID]]),INDEX(DataTitel_liste,IF(LineærRegression_Valg[[#This Row],[Afhængig variabel ID]]=1,2,1))),$B$7)</f>
        <v>Eksempel 2 (interval)</v>
      </c>
      <c r="H1909" s="171">
        <f>_xlfn.AGGREGATE(2,5,LineærRegression_Valg[[#This Row],[Tabel ID]])</f>
        <v>1</v>
      </c>
    </row>
    <row r="1910" spans="1:8" x14ac:dyDescent="0.2">
      <c r="A1910">
        <f>ROW(LineærRegression_Valg[[#This Row],[Tabel ID]])-ROW(LineærRegression_Valg[[#Headers],[Tabel ID]])</f>
        <v>1900</v>
      </c>
      <c r="B1910" s="171">
        <f>ROUNDDOWN((LineærRegression_Valg[[#This Row],[Tabel ID]]-1)/$B$5,0)+1</f>
        <v>475</v>
      </c>
      <c r="C1910" s="171">
        <f t="shared" si="29"/>
        <v>4</v>
      </c>
      <c r="D1910" s="171" t="b">
        <f>LineærRegression_Valg[[#This Row],[Afhængig variabel ID]]&lt;&gt;LineærRegression_Valg[[#This Row],[Uafhængig variabel ID]]</f>
        <v>1</v>
      </c>
      <c r="E1910" s="171" t="b">
        <f>LineærRegression_Valg[[#This Row],[Afhængig variabel ID]]&lt;=$B$5</f>
        <v>0</v>
      </c>
      <c r="F1910" t="str" cm="1">
        <f t="array" ref="F1910">IF(LineærRegression_Valg[[#This Row],[Indenfor range]],INDEX(DataTitel_liste,LineærRegression_Valg[[#This Row],[Afhængig variabel ID]]),INDEX(DataTitel_liste,1))</f>
        <v>Eksempel 1 (interval)</v>
      </c>
      <c r="G1910" s="171" t="str" cm="1">
        <f t="array" ref="G1910">IF(LineærRegression_Valg[[#This Row],[Indenfor range]],IF(LineærRegression_Valg[[#This Row],[Intet overlap]],INDEX(DataTitel_liste,LineærRegression_Valg[[#This Row],[Uafhængig variabel ID]]),INDEX(DataTitel_liste,IF(LineærRegression_Valg[[#This Row],[Afhængig variabel ID]]=1,2,1))),$B$7)</f>
        <v>Eksempel 2 (interval)</v>
      </c>
      <c r="H1910" s="171">
        <f>_xlfn.AGGREGATE(2,5,LineærRegression_Valg[[#This Row],[Tabel ID]])</f>
        <v>1</v>
      </c>
    </row>
    <row r="1911" spans="1:8" x14ac:dyDescent="0.2">
      <c r="A1911">
        <f>ROW(LineærRegression_Valg[[#This Row],[Tabel ID]])-ROW(LineærRegression_Valg[[#Headers],[Tabel ID]])</f>
        <v>1901</v>
      </c>
      <c r="B1911" s="171">
        <f>ROUNDDOWN((LineærRegression_Valg[[#This Row],[Tabel ID]]-1)/$B$5,0)+1</f>
        <v>476</v>
      </c>
      <c r="C1911" s="171">
        <f t="shared" si="29"/>
        <v>1</v>
      </c>
      <c r="D1911" s="171" t="b">
        <f>LineærRegression_Valg[[#This Row],[Afhængig variabel ID]]&lt;&gt;LineærRegression_Valg[[#This Row],[Uafhængig variabel ID]]</f>
        <v>1</v>
      </c>
      <c r="E1911" s="171" t="b">
        <f>LineærRegression_Valg[[#This Row],[Afhængig variabel ID]]&lt;=$B$5</f>
        <v>0</v>
      </c>
      <c r="F1911" t="str" cm="1">
        <f t="array" ref="F1911">IF(LineærRegression_Valg[[#This Row],[Indenfor range]],INDEX(DataTitel_liste,LineærRegression_Valg[[#This Row],[Afhængig variabel ID]]),INDEX(DataTitel_liste,1))</f>
        <v>Eksempel 1 (interval)</v>
      </c>
      <c r="G1911" s="171" t="str" cm="1">
        <f t="array" ref="G1911">IF(LineærRegression_Valg[[#This Row],[Indenfor range]],IF(LineærRegression_Valg[[#This Row],[Intet overlap]],INDEX(DataTitel_liste,LineærRegression_Valg[[#This Row],[Uafhængig variabel ID]]),INDEX(DataTitel_liste,IF(LineærRegression_Valg[[#This Row],[Afhængig variabel ID]]=1,2,1))),$B$7)</f>
        <v>Eksempel 2 (interval)</v>
      </c>
      <c r="H1911" s="171">
        <f>_xlfn.AGGREGATE(2,5,LineærRegression_Valg[[#This Row],[Tabel ID]])</f>
        <v>1</v>
      </c>
    </row>
    <row r="1912" spans="1:8" x14ac:dyDescent="0.2">
      <c r="A1912">
        <f>ROW(LineærRegression_Valg[[#This Row],[Tabel ID]])-ROW(LineærRegression_Valg[[#Headers],[Tabel ID]])</f>
        <v>1902</v>
      </c>
      <c r="B1912" s="171">
        <f>ROUNDDOWN((LineærRegression_Valg[[#This Row],[Tabel ID]]-1)/$B$5,0)+1</f>
        <v>476</v>
      </c>
      <c r="C1912" s="171">
        <f t="shared" si="29"/>
        <v>2</v>
      </c>
      <c r="D1912" s="171" t="b">
        <f>LineærRegression_Valg[[#This Row],[Afhængig variabel ID]]&lt;&gt;LineærRegression_Valg[[#This Row],[Uafhængig variabel ID]]</f>
        <v>1</v>
      </c>
      <c r="E1912" s="171" t="b">
        <f>LineærRegression_Valg[[#This Row],[Afhængig variabel ID]]&lt;=$B$5</f>
        <v>0</v>
      </c>
      <c r="F1912" t="str" cm="1">
        <f t="array" ref="F1912">IF(LineærRegression_Valg[[#This Row],[Indenfor range]],INDEX(DataTitel_liste,LineærRegression_Valg[[#This Row],[Afhængig variabel ID]]),INDEX(DataTitel_liste,1))</f>
        <v>Eksempel 1 (interval)</v>
      </c>
      <c r="G1912" s="171" t="str" cm="1">
        <f t="array" ref="G1912">IF(LineærRegression_Valg[[#This Row],[Indenfor range]],IF(LineærRegression_Valg[[#This Row],[Intet overlap]],INDEX(DataTitel_liste,LineærRegression_Valg[[#This Row],[Uafhængig variabel ID]]),INDEX(DataTitel_liste,IF(LineærRegression_Valg[[#This Row],[Afhængig variabel ID]]=1,2,1))),$B$7)</f>
        <v>Eksempel 2 (interval)</v>
      </c>
      <c r="H1912" s="171">
        <f>_xlfn.AGGREGATE(2,5,LineærRegression_Valg[[#This Row],[Tabel ID]])</f>
        <v>1</v>
      </c>
    </row>
    <row r="1913" spans="1:8" x14ac:dyDescent="0.2">
      <c r="A1913">
        <f>ROW(LineærRegression_Valg[[#This Row],[Tabel ID]])-ROW(LineærRegression_Valg[[#Headers],[Tabel ID]])</f>
        <v>1903</v>
      </c>
      <c r="B1913" s="171">
        <f>ROUNDDOWN((LineærRegression_Valg[[#This Row],[Tabel ID]]-1)/$B$5,0)+1</f>
        <v>476</v>
      </c>
      <c r="C1913" s="171">
        <f t="shared" si="29"/>
        <v>3</v>
      </c>
      <c r="D1913" s="171" t="b">
        <f>LineærRegression_Valg[[#This Row],[Afhængig variabel ID]]&lt;&gt;LineærRegression_Valg[[#This Row],[Uafhængig variabel ID]]</f>
        <v>1</v>
      </c>
      <c r="E1913" s="171" t="b">
        <f>LineærRegression_Valg[[#This Row],[Afhængig variabel ID]]&lt;=$B$5</f>
        <v>0</v>
      </c>
      <c r="F1913" t="str" cm="1">
        <f t="array" ref="F1913">IF(LineærRegression_Valg[[#This Row],[Indenfor range]],INDEX(DataTitel_liste,LineærRegression_Valg[[#This Row],[Afhængig variabel ID]]),INDEX(DataTitel_liste,1))</f>
        <v>Eksempel 1 (interval)</v>
      </c>
      <c r="G1913" s="171" t="str" cm="1">
        <f t="array" ref="G1913">IF(LineærRegression_Valg[[#This Row],[Indenfor range]],IF(LineærRegression_Valg[[#This Row],[Intet overlap]],INDEX(DataTitel_liste,LineærRegression_Valg[[#This Row],[Uafhængig variabel ID]]),INDEX(DataTitel_liste,IF(LineærRegression_Valg[[#This Row],[Afhængig variabel ID]]=1,2,1))),$B$7)</f>
        <v>Eksempel 2 (interval)</v>
      </c>
      <c r="H1913" s="171">
        <f>_xlfn.AGGREGATE(2,5,LineærRegression_Valg[[#This Row],[Tabel ID]])</f>
        <v>1</v>
      </c>
    </row>
    <row r="1914" spans="1:8" x14ac:dyDescent="0.2">
      <c r="A1914">
        <f>ROW(LineærRegression_Valg[[#This Row],[Tabel ID]])-ROW(LineærRegression_Valg[[#Headers],[Tabel ID]])</f>
        <v>1904</v>
      </c>
      <c r="B1914" s="171">
        <f>ROUNDDOWN((LineærRegression_Valg[[#This Row],[Tabel ID]]-1)/$B$5,0)+1</f>
        <v>476</v>
      </c>
      <c r="C1914" s="171">
        <f t="shared" si="29"/>
        <v>4</v>
      </c>
      <c r="D1914" s="171" t="b">
        <f>LineærRegression_Valg[[#This Row],[Afhængig variabel ID]]&lt;&gt;LineærRegression_Valg[[#This Row],[Uafhængig variabel ID]]</f>
        <v>1</v>
      </c>
      <c r="E1914" s="171" t="b">
        <f>LineærRegression_Valg[[#This Row],[Afhængig variabel ID]]&lt;=$B$5</f>
        <v>0</v>
      </c>
      <c r="F1914" t="str" cm="1">
        <f t="array" ref="F1914">IF(LineærRegression_Valg[[#This Row],[Indenfor range]],INDEX(DataTitel_liste,LineærRegression_Valg[[#This Row],[Afhængig variabel ID]]),INDEX(DataTitel_liste,1))</f>
        <v>Eksempel 1 (interval)</v>
      </c>
      <c r="G1914" s="171" t="str" cm="1">
        <f t="array" ref="G1914">IF(LineærRegression_Valg[[#This Row],[Indenfor range]],IF(LineærRegression_Valg[[#This Row],[Intet overlap]],INDEX(DataTitel_liste,LineærRegression_Valg[[#This Row],[Uafhængig variabel ID]]),INDEX(DataTitel_liste,IF(LineærRegression_Valg[[#This Row],[Afhængig variabel ID]]=1,2,1))),$B$7)</f>
        <v>Eksempel 2 (interval)</v>
      </c>
      <c r="H1914" s="171">
        <f>_xlfn.AGGREGATE(2,5,LineærRegression_Valg[[#This Row],[Tabel ID]])</f>
        <v>1</v>
      </c>
    </row>
    <row r="1915" spans="1:8" x14ac:dyDescent="0.2">
      <c r="A1915">
        <f>ROW(LineærRegression_Valg[[#This Row],[Tabel ID]])-ROW(LineærRegression_Valg[[#Headers],[Tabel ID]])</f>
        <v>1905</v>
      </c>
      <c r="B1915" s="171">
        <f>ROUNDDOWN((LineærRegression_Valg[[#This Row],[Tabel ID]]-1)/$B$5,0)+1</f>
        <v>477</v>
      </c>
      <c r="C1915" s="171">
        <f t="shared" si="29"/>
        <v>1</v>
      </c>
      <c r="D1915" s="171" t="b">
        <f>LineærRegression_Valg[[#This Row],[Afhængig variabel ID]]&lt;&gt;LineærRegression_Valg[[#This Row],[Uafhængig variabel ID]]</f>
        <v>1</v>
      </c>
      <c r="E1915" s="171" t="b">
        <f>LineærRegression_Valg[[#This Row],[Afhængig variabel ID]]&lt;=$B$5</f>
        <v>0</v>
      </c>
      <c r="F1915" t="str" cm="1">
        <f t="array" ref="F1915">IF(LineærRegression_Valg[[#This Row],[Indenfor range]],INDEX(DataTitel_liste,LineærRegression_Valg[[#This Row],[Afhængig variabel ID]]),INDEX(DataTitel_liste,1))</f>
        <v>Eksempel 1 (interval)</v>
      </c>
      <c r="G1915" s="171" t="str" cm="1">
        <f t="array" ref="G1915">IF(LineærRegression_Valg[[#This Row],[Indenfor range]],IF(LineærRegression_Valg[[#This Row],[Intet overlap]],INDEX(DataTitel_liste,LineærRegression_Valg[[#This Row],[Uafhængig variabel ID]]),INDEX(DataTitel_liste,IF(LineærRegression_Valg[[#This Row],[Afhængig variabel ID]]=1,2,1))),$B$7)</f>
        <v>Eksempel 2 (interval)</v>
      </c>
      <c r="H1915" s="171">
        <f>_xlfn.AGGREGATE(2,5,LineærRegression_Valg[[#This Row],[Tabel ID]])</f>
        <v>1</v>
      </c>
    </row>
    <row r="1916" spans="1:8" x14ac:dyDescent="0.2">
      <c r="A1916">
        <f>ROW(LineærRegression_Valg[[#This Row],[Tabel ID]])-ROW(LineærRegression_Valg[[#Headers],[Tabel ID]])</f>
        <v>1906</v>
      </c>
      <c r="B1916" s="171">
        <f>ROUNDDOWN((LineærRegression_Valg[[#This Row],[Tabel ID]]-1)/$B$5,0)+1</f>
        <v>477</v>
      </c>
      <c r="C1916" s="171">
        <f t="shared" si="29"/>
        <v>2</v>
      </c>
      <c r="D1916" s="171" t="b">
        <f>LineærRegression_Valg[[#This Row],[Afhængig variabel ID]]&lt;&gt;LineærRegression_Valg[[#This Row],[Uafhængig variabel ID]]</f>
        <v>1</v>
      </c>
      <c r="E1916" s="171" t="b">
        <f>LineærRegression_Valg[[#This Row],[Afhængig variabel ID]]&lt;=$B$5</f>
        <v>0</v>
      </c>
      <c r="F1916" t="str" cm="1">
        <f t="array" ref="F1916">IF(LineærRegression_Valg[[#This Row],[Indenfor range]],INDEX(DataTitel_liste,LineærRegression_Valg[[#This Row],[Afhængig variabel ID]]),INDEX(DataTitel_liste,1))</f>
        <v>Eksempel 1 (interval)</v>
      </c>
      <c r="G1916" s="171" t="str" cm="1">
        <f t="array" ref="G1916">IF(LineærRegression_Valg[[#This Row],[Indenfor range]],IF(LineærRegression_Valg[[#This Row],[Intet overlap]],INDEX(DataTitel_liste,LineærRegression_Valg[[#This Row],[Uafhængig variabel ID]]),INDEX(DataTitel_liste,IF(LineærRegression_Valg[[#This Row],[Afhængig variabel ID]]=1,2,1))),$B$7)</f>
        <v>Eksempel 2 (interval)</v>
      </c>
      <c r="H1916" s="171">
        <f>_xlfn.AGGREGATE(2,5,LineærRegression_Valg[[#This Row],[Tabel ID]])</f>
        <v>1</v>
      </c>
    </row>
    <row r="1917" spans="1:8" x14ac:dyDescent="0.2">
      <c r="A1917">
        <f>ROW(LineærRegression_Valg[[#This Row],[Tabel ID]])-ROW(LineærRegression_Valg[[#Headers],[Tabel ID]])</f>
        <v>1907</v>
      </c>
      <c r="B1917" s="171">
        <f>ROUNDDOWN((LineærRegression_Valg[[#This Row],[Tabel ID]]-1)/$B$5,0)+1</f>
        <v>477</v>
      </c>
      <c r="C1917" s="171">
        <f t="shared" si="29"/>
        <v>3</v>
      </c>
      <c r="D1917" s="171" t="b">
        <f>LineærRegression_Valg[[#This Row],[Afhængig variabel ID]]&lt;&gt;LineærRegression_Valg[[#This Row],[Uafhængig variabel ID]]</f>
        <v>1</v>
      </c>
      <c r="E1917" s="171" t="b">
        <f>LineærRegression_Valg[[#This Row],[Afhængig variabel ID]]&lt;=$B$5</f>
        <v>0</v>
      </c>
      <c r="F1917" t="str" cm="1">
        <f t="array" ref="F1917">IF(LineærRegression_Valg[[#This Row],[Indenfor range]],INDEX(DataTitel_liste,LineærRegression_Valg[[#This Row],[Afhængig variabel ID]]),INDEX(DataTitel_liste,1))</f>
        <v>Eksempel 1 (interval)</v>
      </c>
      <c r="G1917" s="171" t="str" cm="1">
        <f t="array" ref="G1917">IF(LineærRegression_Valg[[#This Row],[Indenfor range]],IF(LineærRegression_Valg[[#This Row],[Intet overlap]],INDEX(DataTitel_liste,LineærRegression_Valg[[#This Row],[Uafhængig variabel ID]]),INDEX(DataTitel_liste,IF(LineærRegression_Valg[[#This Row],[Afhængig variabel ID]]=1,2,1))),$B$7)</f>
        <v>Eksempel 2 (interval)</v>
      </c>
      <c r="H1917" s="171">
        <f>_xlfn.AGGREGATE(2,5,LineærRegression_Valg[[#This Row],[Tabel ID]])</f>
        <v>1</v>
      </c>
    </row>
    <row r="1918" spans="1:8" x14ac:dyDescent="0.2">
      <c r="A1918">
        <f>ROW(LineærRegression_Valg[[#This Row],[Tabel ID]])-ROW(LineærRegression_Valg[[#Headers],[Tabel ID]])</f>
        <v>1908</v>
      </c>
      <c r="B1918" s="171">
        <f>ROUNDDOWN((LineærRegression_Valg[[#This Row],[Tabel ID]]-1)/$B$5,0)+1</f>
        <v>477</v>
      </c>
      <c r="C1918" s="171">
        <f t="shared" si="29"/>
        <v>4</v>
      </c>
      <c r="D1918" s="171" t="b">
        <f>LineærRegression_Valg[[#This Row],[Afhængig variabel ID]]&lt;&gt;LineærRegression_Valg[[#This Row],[Uafhængig variabel ID]]</f>
        <v>1</v>
      </c>
      <c r="E1918" s="171" t="b">
        <f>LineærRegression_Valg[[#This Row],[Afhængig variabel ID]]&lt;=$B$5</f>
        <v>0</v>
      </c>
      <c r="F1918" t="str" cm="1">
        <f t="array" ref="F1918">IF(LineærRegression_Valg[[#This Row],[Indenfor range]],INDEX(DataTitel_liste,LineærRegression_Valg[[#This Row],[Afhængig variabel ID]]),INDEX(DataTitel_liste,1))</f>
        <v>Eksempel 1 (interval)</v>
      </c>
      <c r="G1918" s="171" t="str" cm="1">
        <f t="array" ref="G1918">IF(LineærRegression_Valg[[#This Row],[Indenfor range]],IF(LineærRegression_Valg[[#This Row],[Intet overlap]],INDEX(DataTitel_liste,LineærRegression_Valg[[#This Row],[Uafhængig variabel ID]]),INDEX(DataTitel_liste,IF(LineærRegression_Valg[[#This Row],[Afhængig variabel ID]]=1,2,1))),$B$7)</f>
        <v>Eksempel 2 (interval)</v>
      </c>
      <c r="H1918" s="171">
        <f>_xlfn.AGGREGATE(2,5,LineærRegression_Valg[[#This Row],[Tabel ID]])</f>
        <v>1</v>
      </c>
    </row>
    <row r="1919" spans="1:8" x14ac:dyDescent="0.2">
      <c r="A1919">
        <f>ROW(LineærRegression_Valg[[#This Row],[Tabel ID]])-ROW(LineærRegression_Valg[[#Headers],[Tabel ID]])</f>
        <v>1909</v>
      </c>
      <c r="B1919" s="171">
        <f>ROUNDDOWN((LineærRegression_Valg[[#This Row],[Tabel ID]]-1)/$B$5,0)+1</f>
        <v>478</v>
      </c>
      <c r="C1919" s="171">
        <f t="shared" si="29"/>
        <v>1</v>
      </c>
      <c r="D1919" s="171" t="b">
        <f>LineærRegression_Valg[[#This Row],[Afhængig variabel ID]]&lt;&gt;LineærRegression_Valg[[#This Row],[Uafhængig variabel ID]]</f>
        <v>1</v>
      </c>
      <c r="E1919" s="171" t="b">
        <f>LineærRegression_Valg[[#This Row],[Afhængig variabel ID]]&lt;=$B$5</f>
        <v>0</v>
      </c>
      <c r="F1919" t="str" cm="1">
        <f t="array" ref="F1919">IF(LineærRegression_Valg[[#This Row],[Indenfor range]],INDEX(DataTitel_liste,LineærRegression_Valg[[#This Row],[Afhængig variabel ID]]),INDEX(DataTitel_liste,1))</f>
        <v>Eksempel 1 (interval)</v>
      </c>
      <c r="G1919" s="171" t="str" cm="1">
        <f t="array" ref="G1919">IF(LineærRegression_Valg[[#This Row],[Indenfor range]],IF(LineærRegression_Valg[[#This Row],[Intet overlap]],INDEX(DataTitel_liste,LineærRegression_Valg[[#This Row],[Uafhængig variabel ID]]),INDEX(DataTitel_liste,IF(LineærRegression_Valg[[#This Row],[Afhængig variabel ID]]=1,2,1))),$B$7)</f>
        <v>Eksempel 2 (interval)</v>
      </c>
      <c r="H1919" s="171">
        <f>_xlfn.AGGREGATE(2,5,LineærRegression_Valg[[#This Row],[Tabel ID]])</f>
        <v>1</v>
      </c>
    </row>
    <row r="1920" spans="1:8" x14ac:dyDescent="0.2">
      <c r="A1920">
        <f>ROW(LineærRegression_Valg[[#This Row],[Tabel ID]])-ROW(LineærRegression_Valg[[#Headers],[Tabel ID]])</f>
        <v>1910</v>
      </c>
      <c r="B1920" s="171">
        <f>ROUNDDOWN((LineærRegression_Valg[[#This Row],[Tabel ID]]-1)/$B$5,0)+1</f>
        <v>478</v>
      </c>
      <c r="C1920" s="171">
        <f t="shared" si="29"/>
        <v>2</v>
      </c>
      <c r="D1920" s="171" t="b">
        <f>LineærRegression_Valg[[#This Row],[Afhængig variabel ID]]&lt;&gt;LineærRegression_Valg[[#This Row],[Uafhængig variabel ID]]</f>
        <v>1</v>
      </c>
      <c r="E1920" s="171" t="b">
        <f>LineærRegression_Valg[[#This Row],[Afhængig variabel ID]]&lt;=$B$5</f>
        <v>0</v>
      </c>
      <c r="F1920" t="str" cm="1">
        <f t="array" ref="F1920">IF(LineærRegression_Valg[[#This Row],[Indenfor range]],INDEX(DataTitel_liste,LineærRegression_Valg[[#This Row],[Afhængig variabel ID]]),INDEX(DataTitel_liste,1))</f>
        <v>Eksempel 1 (interval)</v>
      </c>
      <c r="G1920" s="171" t="str" cm="1">
        <f t="array" ref="G1920">IF(LineærRegression_Valg[[#This Row],[Indenfor range]],IF(LineærRegression_Valg[[#This Row],[Intet overlap]],INDEX(DataTitel_liste,LineærRegression_Valg[[#This Row],[Uafhængig variabel ID]]),INDEX(DataTitel_liste,IF(LineærRegression_Valg[[#This Row],[Afhængig variabel ID]]=1,2,1))),$B$7)</f>
        <v>Eksempel 2 (interval)</v>
      </c>
      <c r="H1920" s="171">
        <f>_xlfn.AGGREGATE(2,5,LineærRegression_Valg[[#This Row],[Tabel ID]])</f>
        <v>1</v>
      </c>
    </row>
    <row r="1921" spans="1:8" x14ac:dyDescent="0.2">
      <c r="A1921">
        <f>ROW(LineærRegression_Valg[[#This Row],[Tabel ID]])-ROW(LineærRegression_Valg[[#Headers],[Tabel ID]])</f>
        <v>1911</v>
      </c>
      <c r="B1921" s="171">
        <f>ROUNDDOWN((LineærRegression_Valg[[#This Row],[Tabel ID]]-1)/$B$5,0)+1</f>
        <v>478</v>
      </c>
      <c r="C1921" s="171">
        <f t="shared" si="29"/>
        <v>3</v>
      </c>
      <c r="D1921" s="171" t="b">
        <f>LineærRegression_Valg[[#This Row],[Afhængig variabel ID]]&lt;&gt;LineærRegression_Valg[[#This Row],[Uafhængig variabel ID]]</f>
        <v>1</v>
      </c>
      <c r="E1921" s="171" t="b">
        <f>LineærRegression_Valg[[#This Row],[Afhængig variabel ID]]&lt;=$B$5</f>
        <v>0</v>
      </c>
      <c r="F1921" t="str" cm="1">
        <f t="array" ref="F1921">IF(LineærRegression_Valg[[#This Row],[Indenfor range]],INDEX(DataTitel_liste,LineærRegression_Valg[[#This Row],[Afhængig variabel ID]]),INDEX(DataTitel_liste,1))</f>
        <v>Eksempel 1 (interval)</v>
      </c>
      <c r="G1921" s="171" t="str" cm="1">
        <f t="array" ref="G1921">IF(LineærRegression_Valg[[#This Row],[Indenfor range]],IF(LineærRegression_Valg[[#This Row],[Intet overlap]],INDEX(DataTitel_liste,LineærRegression_Valg[[#This Row],[Uafhængig variabel ID]]),INDEX(DataTitel_liste,IF(LineærRegression_Valg[[#This Row],[Afhængig variabel ID]]=1,2,1))),$B$7)</f>
        <v>Eksempel 2 (interval)</v>
      </c>
      <c r="H1921" s="171">
        <f>_xlfn.AGGREGATE(2,5,LineærRegression_Valg[[#This Row],[Tabel ID]])</f>
        <v>1</v>
      </c>
    </row>
    <row r="1922" spans="1:8" x14ac:dyDescent="0.2">
      <c r="A1922">
        <f>ROW(LineærRegression_Valg[[#This Row],[Tabel ID]])-ROW(LineærRegression_Valg[[#Headers],[Tabel ID]])</f>
        <v>1912</v>
      </c>
      <c r="B1922" s="171">
        <f>ROUNDDOWN((LineærRegression_Valg[[#This Row],[Tabel ID]]-1)/$B$5,0)+1</f>
        <v>478</v>
      </c>
      <c r="C1922" s="171">
        <f t="shared" si="29"/>
        <v>4</v>
      </c>
      <c r="D1922" s="171" t="b">
        <f>LineærRegression_Valg[[#This Row],[Afhængig variabel ID]]&lt;&gt;LineærRegression_Valg[[#This Row],[Uafhængig variabel ID]]</f>
        <v>1</v>
      </c>
      <c r="E1922" s="171" t="b">
        <f>LineærRegression_Valg[[#This Row],[Afhængig variabel ID]]&lt;=$B$5</f>
        <v>0</v>
      </c>
      <c r="F1922" t="str" cm="1">
        <f t="array" ref="F1922">IF(LineærRegression_Valg[[#This Row],[Indenfor range]],INDEX(DataTitel_liste,LineærRegression_Valg[[#This Row],[Afhængig variabel ID]]),INDEX(DataTitel_liste,1))</f>
        <v>Eksempel 1 (interval)</v>
      </c>
      <c r="G1922" s="171" t="str" cm="1">
        <f t="array" ref="G1922">IF(LineærRegression_Valg[[#This Row],[Indenfor range]],IF(LineærRegression_Valg[[#This Row],[Intet overlap]],INDEX(DataTitel_liste,LineærRegression_Valg[[#This Row],[Uafhængig variabel ID]]),INDEX(DataTitel_liste,IF(LineærRegression_Valg[[#This Row],[Afhængig variabel ID]]=1,2,1))),$B$7)</f>
        <v>Eksempel 2 (interval)</v>
      </c>
      <c r="H1922" s="171">
        <f>_xlfn.AGGREGATE(2,5,LineærRegression_Valg[[#This Row],[Tabel ID]])</f>
        <v>1</v>
      </c>
    </row>
    <row r="1923" spans="1:8" x14ac:dyDescent="0.2">
      <c r="A1923">
        <f>ROW(LineærRegression_Valg[[#This Row],[Tabel ID]])-ROW(LineærRegression_Valg[[#Headers],[Tabel ID]])</f>
        <v>1913</v>
      </c>
      <c r="B1923" s="171">
        <f>ROUNDDOWN((LineærRegression_Valg[[#This Row],[Tabel ID]]-1)/$B$5,0)+1</f>
        <v>479</v>
      </c>
      <c r="C1923" s="171">
        <f t="shared" si="29"/>
        <v>1</v>
      </c>
      <c r="D1923" s="171" t="b">
        <f>LineærRegression_Valg[[#This Row],[Afhængig variabel ID]]&lt;&gt;LineærRegression_Valg[[#This Row],[Uafhængig variabel ID]]</f>
        <v>1</v>
      </c>
      <c r="E1923" s="171" t="b">
        <f>LineærRegression_Valg[[#This Row],[Afhængig variabel ID]]&lt;=$B$5</f>
        <v>0</v>
      </c>
      <c r="F1923" t="str" cm="1">
        <f t="array" ref="F1923">IF(LineærRegression_Valg[[#This Row],[Indenfor range]],INDEX(DataTitel_liste,LineærRegression_Valg[[#This Row],[Afhængig variabel ID]]),INDEX(DataTitel_liste,1))</f>
        <v>Eksempel 1 (interval)</v>
      </c>
      <c r="G1923" s="171" t="str" cm="1">
        <f t="array" ref="G1923">IF(LineærRegression_Valg[[#This Row],[Indenfor range]],IF(LineærRegression_Valg[[#This Row],[Intet overlap]],INDEX(DataTitel_liste,LineærRegression_Valg[[#This Row],[Uafhængig variabel ID]]),INDEX(DataTitel_liste,IF(LineærRegression_Valg[[#This Row],[Afhængig variabel ID]]=1,2,1))),$B$7)</f>
        <v>Eksempel 2 (interval)</v>
      </c>
      <c r="H1923" s="171">
        <f>_xlfn.AGGREGATE(2,5,LineærRegression_Valg[[#This Row],[Tabel ID]])</f>
        <v>1</v>
      </c>
    </row>
    <row r="1924" spans="1:8" x14ac:dyDescent="0.2">
      <c r="A1924">
        <f>ROW(LineærRegression_Valg[[#This Row],[Tabel ID]])-ROW(LineærRegression_Valg[[#Headers],[Tabel ID]])</f>
        <v>1914</v>
      </c>
      <c r="B1924" s="171">
        <f>ROUNDDOWN((LineærRegression_Valg[[#This Row],[Tabel ID]]-1)/$B$5,0)+1</f>
        <v>479</v>
      </c>
      <c r="C1924" s="171">
        <f t="shared" si="29"/>
        <v>2</v>
      </c>
      <c r="D1924" s="171" t="b">
        <f>LineærRegression_Valg[[#This Row],[Afhængig variabel ID]]&lt;&gt;LineærRegression_Valg[[#This Row],[Uafhængig variabel ID]]</f>
        <v>1</v>
      </c>
      <c r="E1924" s="171" t="b">
        <f>LineærRegression_Valg[[#This Row],[Afhængig variabel ID]]&lt;=$B$5</f>
        <v>0</v>
      </c>
      <c r="F1924" t="str" cm="1">
        <f t="array" ref="F1924">IF(LineærRegression_Valg[[#This Row],[Indenfor range]],INDEX(DataTitel_liste,LineærRegression_Valg[[#This Row],[Afhængig variabel ID]]),INDEX(DataTitel_liste,1))</f>
        <v>Eksempel 1 (interval)</v>
      </c>
      <c r="G1924" s="171" t="str" cm="1">
        <f t="array" ref="G1924">IF(LineærRegression_Valg[[#This Row],[Indenfor range]],IF(LineærRegression_Valg[[#This Row],[Intet overlap]],INDEX(DataTitel_liste,LineærRegression_Valg[[#This Row],[Uafhængig variabel ID]]),INDEX(DataTitel_liste,IF(LineærRegression_Valg[[#This Row],[Afhængig variabel ID]]=1,2,1))),$B$7)</f>
        <v>Eksempel 2 (interval)</v>
      </c>
      <c r="H1924" s="171">
        <f>_xlfn.AGGREGATE(2,5,LineærRegression_Valg[[#This Row],[Tabel ID]])</f>
        <v>1</v>
      </c>
    </row>
    <row r="1925" spans="1:8" x14ac:dyDescent="0.2">
      <c r="A1925">
        <f>ROW(LineærRegression_Valg[[#This Row],[Tabel ID]])-ROW(LineærRegression_Valg[[#Headers],[Tabel ID]])</f>
        <v>1915</v>
      </c>
      <c r="B1925" s="171">
        <f>ROUNDDOWN((LineærRegression_Valg[[#This Row],[Tabel ID]]-1)/$B$5,0)+1</f>
        <v>479</v>
      </c>
      <c r="C1925" s="171">
        <f t="shared" si="29"/>
        <v>3</v>
      </c>
      <c r="D1925" s="171" t="b">
        <f>LineærRegression_Valg[[#This Row],[Afhængig variabel ID]]&lt;&gt;LineærRegression_Valg[[#This Row],[Uafhængig variabel ID]]</f>
        <v>1</v>
      </c>
      <c r="E1925" s="171" t="b">
        <f>LineærRegression_Valg[[#This Row],[Afhængig variabel ID]]&lt;=$B$5</f>
        <v>0</v>
      </c>
      <c r="F1925" t="str" cm="1">
        <f t="array" ref="F1925">IF(LineærRegression_Valg[[#This Row],[Indenfor range]],INDEX(DataTitel_liste,LineærRegression_Valg[[#This Row],[Afhængig variabel ID]]),INDEX(DataTitel_liste,1))</f>
        <v>Eksempel 1 (interval)</v>
      </c>
      <c r="G1925" s="171" t="str" cm="1">
        <f t="array" ref="G1925">IF(LineærRegression_Valg[[#This Row],[Indenfor range]],IF(LineærRegression_Valg[[#This Row],[Intet overlap]],INDEX(DataTitel_liste,LineærRegression_Valg[[#This Row],[Uafhængig variabel ID]]),INDEX(DataTitel_liste,IF(LineærRegression_Valg[[#This Row],[Afhængig variabel ID]]=1,2,1))),$B$7)</f>
        <v>Eksempel 2 (interval)</v>
      </c>
      <c r="H1925" s="171">
        <f>_xlfn.AGGREGATE(2,5,LineærRegression_Valg[[#This Row],[Tabel ID]])</f>
        <v>1</v>
      </c>
    </row>
    <row r="1926" spans="1:8" x14ac:dyDescent="0.2">
      <c r="A1926">
        <f>ROW(LineærRegression_Valg[[#This Row],[Tabel ID]])-ROW(LineærRegression_Valg[[#Headers],[Tabel ID]])</f>
        <v>1916</v>
      </c>
      <c r="B1926" s="171">
        <f>ROUNDDOWN((LineærRegression_Valg[[#This Row],[Tabel ID]]-1)/$B$5,0)+1</f>
        <v>479</v>
      </c>
      <c r="C1926" s="171">
        <f t="shared" si="29"/>
        <v>4</v>
      </c>
      <c r="D1926" s="171" t="b">
        <f>LineærRegression_Valg[[#This Row],[Afhængig variabel ID]]&lt;&gt;LineærRegression_Valg[[#This Row],[Uafhængig variabel ID]]</f>
        <v>1</v>
      </c>
      <c r="E1926" s="171" t="b">
        <f>LineærRegression_Valg[[#This Row],[Afhængig variabel ID]]&lt;=$B$5</f>
        <v>0</v>
      </c>
      <c r="F1926" t="str" cm="1">
        <f t="array" ref="F1926">IF(LineærRegression_Valg[[#This Row],[Indenfor range]],INDEX(DataTitel_liste,LineærRegression_Valg[[#This Row],[Afhængig variabel ID]]),INDEX(DataTitel_liste,1))</f>
        <v>Eksempel 1 (interval)</v>
      </c>
      <c r="G1926" s="171" t="str" cm="1">
        <f t="array" ref="G1926">IF(LineærRegression_Valg[[#This Row],[Indenfor range]],IF(LineærRegression_Valg[[#This Row],[Intet overlap]],INDEX(DataTitel_liste,LineærRegression_Valg[[#This Row],[Uafhængig variabel ID]]),INDEX(DataTitel_liste,IF(LineærRegression_Valg[[#This Row],[Afhængig variabel ID]]=1,2,1))),$B$7)</f>
        <v>Eksempel 2 (interval)</v>
      </c>
      <c r="H1926" s="171">
        <f>_xlfn.AGGREGATE(2,5,LineærRegression_Valg[[#This Row],[Tabel ID]])</f>
        <v>1</v>
      </c>
    </row>
    <row r="1927" spans="1:8" x14ac:dyDescent="0.2">
      <c r="A1927">
        <f>ROW(LineærRegression_Valg[[#This Row],[Tabel ID]])-ROW(LineærRegression_Valg[[#Headers],[Tabel ID]])</f>
        <v>1917</v>
      </c>
      <c r="B1927" s="171">
        <f>ROUNDDOWN((LineærRegression_Valg[[#This Row],[Tabel ID]]-1)/$B$5,0)+1</f>
        <v>480</v>
      </c>
      <c r="C1927" s="171">
        <f t="shared" si="29"/>
        <v>1</v>
      </c>
      <c r="D1927" s="171" t="b">
        <f>LineærRegression_Valg[[#This Row],[Afhængig variabel ID]]&lt;&gt;LineærRegression_Valg[[#This Row],[Uafhængig variabel ID]]</f>
        <v>1</v>
      </c>
      <c r="E1927" s="171" t="b">
        <f>LineærRegression_Valg[[#This Row],[Afhængig variabel ID]]&lt;=$B$5</f>
        <v>0</v>
      </c>
      <c r="F1927" t="str" cm="1">
        <f t="array" ref="F1927">IF(LineærRegression_Valg[[#This Row],[Indenfor range]],INDEX(DataTitel_liste,LineærRegression_Valg[[#This Row],[Afhængig variabel ID]]),INDEX(DataTitel_liste,1))</f>
        <v>Eksempel 1 (interval)</v>
      </c>
      <c r="G1927" s="171" t="str" cm="1">
        <f t="array" ref="G1927">IF(LineærRegression_Valg[[#This Row],[Indenfor range]],IF(LineærRegression_Valg[[#This Row],[Intet overlap]],INDEX(DataTitel_liste,LineærRegression_Valg[[#This Row],[Uafhængig variabel ID]]),INDEX(DataTitel_liste,IF(LineærRegression_Valg[[#This Row],[Afhængig variabel ID]]=1,2,1))),$B$7)</f>
        <v>Eksempel 2 (interval)</v>
      </c>
      <c r="H1927" s="171">
        <f>_xlfn.AGGREGATE(2,5,LineærRegression_Valg[[#This Row],[Tabel ID]])</f>
        <v>1</v>
      </c>
    </row>
    <row r="1928" spans="1:8" x14ac:dyDescent="0.2">
      <c r="A1928">
        <f>ROW(LineærRegression_Valg[[#This Row],[Tabel ID]])-ROW(LineærRegression_Valg[[#Headers],[Tabel ID]])</f>
        <v>1918</v>
      </c>
      <c r="B1928" s="171">
        <f>ROUNDDOWN((LineærRegression_Valg[[#This Row],[Tabel ID]]-1)/$B$5,0)+1</f>
        <v>480</v>
      </c>
      <c r="C1928" s="171">
        <f t="shared" si="29"/>
        <v>2</v>
      </c>
      <c r="D1928" s="171" t="b">
        <f>LineærRegression_Valg[[#This Row],[Afhængig variabel ID]]&lt;&gt;LineærRegression_Valg[[#This Row],[Uafhængig variabel ID]]</f>
        <v>1</v>
      </c>
      <c r="E1928" s="171" t="b">
        <f>LineærRegression_Valg[[#This Row],[Afhængig variabel ID]]&lt;=$B$5</f>
        <v>0</v>
      </c>
      <c r="F1928" t="str" cm="1">
        <f t="array" ref="F1928">IF(LineærRegression_Valg[[#This Row],[Indenfor range]],INDEX(DataTitel_liste,LineærRegression_Valg[[#This Row],[Afhængig variabel ID]]),INDEX(DataTitel_liste,1))</f>
        <v>Eksempel 1 (interval)</v>
      </c>
      <c r="G1928" s="171" t="str" cm="1">
        <f t="array" ref="G1928">IF(LineærRegression_Valg[[#This Row],[Indenfor range]],IF(LineærRegression_Valg[[#This Row],[Intet overlap]],INDEX(DataTitel_liste,LineærRegression_Valg[[#This Row],[Uafhængig variabel ID]]),INDEX(DataTitel_liste,IF(LineærRegression_Valg[[#This Row],[Afhængig variabel ID]]=1,2,1))),$B$7)</f>
        <v>Eksempel 2 (interval)</v>
      </c>
      <c r="H1928" s="171">
        <f>_xlfn.AGGREGATE(2,5,LineærRegression_Valg[[#This Row],[Tabel ID]])</f>
        <v>1</v>
      </c>
    </row>
    <row r="1929" spans="1:8" x14ac:dyDescent="0.2">
      <c r="A1929">
        <f>ROW(LineærRegression_Valg[[#This Row],[Tabel ID]])-ROW(LineærRegression_Valg[[#Headers],[Tabel ID]])</f>
        <v>1919</v>
      </c>
      <c r="B1929" s="171">
        <f>ROUNDDOWN((LineærRegression_Valg[[#This Row],[Tabel ID]]-1)/$B$5,0)+1</f>
        <v>480</v>
      </c>
      <c r="C1929" s="171">
        <f t="shared" si="29"/>
        <v>3</v>
      </c>
      <c r="D1929" s="171" t="b">
        <f>LineærRegression_Valg[[#This Row],[Afhængig variabel ID]]&lt;&gt;LineærRegression_Valg[[#This Row],[Uafhængig variabel ID]]</f>
        <v>1</v>
      </c>
      <c r="E1929" s="171" t="b">
        <f>LineærRegression_Valg[[#This Row],[Afhængig variabel ID]]&lt;=$B$5</f>
        <v>0</v>
      </c>
      <c r="F1929" t="str" cm="1">
        <f t="array" ref="F1929">IF(LineærRegression_Valg[[#This Row],[Indenfor range]],INDEX(DataTitel_liste,LineærRegression_Valg[[#This Row],[Afhængig variabel ID]]),INDEX(DataTitel_liste,1))</f>
        <v>Eksempel 1 (interval)</v>
      </c>
      <c r="G1929" s="171" t="str" cm="1">
        <f t="array" ref="G1929">IF(LineærRegression_Valg[[#This Row],[Indenfor range]],IF(LineærRegression_Valg[[#This Row],[Intet overlap]],INDEX(DataTitel_liste,LineærRegression_Valg[[#This Row],[Uafhængig variabel ID]]),INDEX(DataTitel_liste,IF(LineærRegression_Valg[[#This Row],[Afhængig variabel ID]]=1,2,1))),$B$7)</f>
        <v>Eksempel 2 (interval)</v>
      </c>
      <c r="H1929" s="171">
        <f>_xlfn.AGGREGATE(2,5,LineærRegression_Valg[[#This Row],[Tabel ID]])</f>
        <v>1</v>
      </c>
    </row>
    <row r="1930" spans="1:8" x14ac:dyDescent="0.2">
      <c r="A1930">
        <f>ROW(LineærRegression_Valg[[#This Row],[Tabel ID]])-ROW(LineærRegression_Valg[[#Headers],[Tabel ID]])</f>
        <v>1920</v>
      </c>
      <c r="B1930" s="171">
        <f>ROUNDDOWN((LineærRegression_Valg[[#This Row],[Tabel ID]]-1)/$B$5,0)+1</f>
        <v>480</v>
      </c>
      <c r="C1930" s="171">
        <f t="shared" si="29"/>
        <v>4</v>
      </c>
      <c r="D1930" s="171" t="b">
        <f>LineærRegression_Valg[[#This Row],[Afhængig variabel ID]]&lt;&gt;LineærRegression_Valg[[#This Row],[Uafhængig variabel ID]]</f>
        <v>1</v>
      </c>
      <c r="E1930" s="171" t="b">
        <f>LineærRegression_Valg[[#This Row],[Afhængig variabel ID]]&lt;=$B$5</f>
        <v>0</v>
      </c>
      <c r="F1930" t="str" cm="1">
        <f t="array" ref="F1930">IF(LineærRegression_Valg[[#This Row],[Indenfor range]],INDEX(DataTitel_liste,LineærRegression_Valg[[#This Row],[Afhængig variabel ID]]),INDEX(DataTitel_liste,1))</f>
        <v>Eksempel 1 (interval)</v>
      </c>
      <c r="G1930" s="171" t="str" cm="1">
        <f t="array" ref="G1930">IF(LineærRegression_Valg[[#This Row],[Indenfor range]],IF(LineærRegression_Valg[[#This Row],[Intet overlap]],INDEX(DataTitel_liste,LineærRegression_Valg[[#This Row],[Uafhængig variabel ID]]),INDEX(DataTitel_liste,IF(LineærRegression_Valg[[#This Row],[Afhængig variabel ID]]=1,2,1))),$B$7)</f>
        <v>Eksempel 2 (interval)</v>
      </c>
      <c r="H1930" s="171">
        <f>_xlfn.AGGREGATE(2,5,LineærRegression_Valg[[#This Row],[Tabel ID]])</f>
        <v>1</v>
      </c>
    </row>
    <row r="1931" spans="1:8" x14ac:dyDescent="0.2">
      <c r="A1931">
        <f>ROW(LineærRegression_Valg[[#This Row],[Tabel ID]])-ROW(LineærRegression_Valg[[#Headers],[Tabel ID]])</f>
        <v>1921</v>
      </c>
      <c r="B1931" s="171">
        <f>ROUNDDOWN((LineærRegression_Valg[[#This Row],[Tabel ID]]-1)/$B$5,0)+1</f>
        <v>481</v>
      </c>
      <c r="C1931" s="171">
        <f t="shared" ref="C1931:C1994" si="30">MOD(A1931-1,$B$5)+1</f>
        <v>1</v>
      </c>
      <c r="D1931" s="171" t="b">
        <f>LineærRegression_Valg[[#This Row],[Afhængig variabel ID]]&lt;&gt;LineærRegression_Valg[[#This Row],[Uafhængig variabel ID]]</f>
        <v>1</v>
      </c>
      <c r="E1931" s="171" t="b">
        <f>LineærRegression_Valg[[#This Row],[Afhængig variabel ID]]&lt;=$B$5</f>
        <v>0</v>
      </c>
      <c r="F1931" t="str" cm="1">
        <f t="array" ref="F1931">IF(LineærRegression_Valg[[#This Row],[Indenfor range]],INDEX(DataTitel_liste,LineærRegression_Valg[[#This Row],[Afhængig variabel ID]]),INDEX(DataTitel_liste,1))</f>
        <v>Eksempel 1 (interval)</v>
      </c>
      <c r="G1931" s="171" t="str" cm="1">
        <f t="array" ref="G1931">IF(LineærRegression_Valg[[#This Row],[Indenfor range]],IF(LineærRegression_Valg[[#This Row],[Intet overlap]],INDEX(DataTitel_liste,LineærRegression_Valg[[#This Row],[Uafhængig variabel ID]]),INDEX(DataTitel_liste,IF(LineærRegression_Valg[[#This Row],[Afhængig variabel ID]]=1,2,1))),$B$7)</f>
        <v>Eksempel 2 (interval)</v>
      </c>
      <c r="H1931" s="171">
        <f>_xlfn.AGGREGATE(2,5,LineærRegression_Valg[[#This Row],[Tabel ID]])</f>
        <v>1</v>
      </c>
    </row>
    <row r="1932" spans="1:8" x14ac:dyDescent="0.2">
      <c r="A1932">
        <f>ROW(LineærRegression_Valg[[#This Row],[Tabel ID]])-ROW(LineærRegression_Valg[[#Headers],[Tabel ID]])</f>
        <v>1922</v>
      </c>
      <c r="B1932" s="171">
        <f>ROUNDDOWN((LineærRegression_Valg[[#This Row],[Tabel ID]]-1)/$B$5,0)+1</f>
        <v>481</v>
      </c>
      <c r="C1932" s="171">
        <f t="shared" si="30"/>
        <v>2</v>
      </c>
      <c r="D1932" s="171" t="b">
        <f>LineærRegression_Valg[[#This Row],[Afhængig variabel ID]]&lt;&gt;LineærRegression_Valg[[#This Row],[Uafhængig variabel ID]]</f>
        <v>1</v>
      </c>
      <c r="E1932" s="171" t="b">
        <f>LineærRegression_Valg[[#This Row],[Afhængig variabel ID]]&lt;=$B$5</f>
        <v>0</v>
      </c>
      <c r="F1932" t="str" cm="1">
        <f t="array" ref="F1932">IF(LineærRegression_Valg[[#This Row],[Indenfor range]],INDEX(DataTitel_liste,LineærRegression_Valg[[#This Row],[Afhængig variabel ID]]),INDEX(DataTitel_liste,1))</f>
        <v>Eksempel 1 (interval)</v>
      </c>
      <c r="G1932" s="171" t="str" cm="1">
        <f t="array" ref="G1932">IF(LineærRegression_Valg[[#This Row],[Indenfor range]],IF(LineærRegression_Valg[[#This Row],[Intet overlap]],INDEX(DataTitel_liste,LineærRegression_Valg[[#This Row],[Uafhængig variabel ID]]),INDEX(DataTitel_liste,IF(LineærRegression_Valg[[#This Row],[Afhængig variabel ID]]=1,2,1))),$B$7)</f>
        <v>Eksempel 2 (interval)</v>
      </c>
      <c r="H1932" s="171">
        <f>_xlfn.AGGREGATE(2,5,LineærRegression_Valg[[#This Row],[Tabel ID]])</f>
        <v>1</v>
      </c>
    </row>
    <row r="1933" spans="1:8" x14ac:dyDescent="0.2">
      <c r="A1933">
        <f>ROW(LineærRegression_Valg[[#This Row],[Tabel ID]])-ROW(LineærRegression_Valg[[#Headers],[Tabel ID]])</f>
        <v>1923</v>
      </c>
      <c r="B1933" s="171">
        <f>ROUNDDOWN((LineærRegression_Valg[[#This Row],[Tabel ID]]-1)/$B$5,0)+1</f>
        <v>481</v>
      </c>
      <c r="C1933" s="171">
        <f t="shared" si="30"/>
        <v>3</v>
      </c>
      <c r="D1933" s="171" t="b">
        <f>LineærRegression_Valg[[#This Row],[Afhængig variabel ID]]&lt;&gt;LineærRegression_Valg[[#This Row],[Uafhængig variabel ID]]</f>
        <v>1</v>
      </c>
      <c r="E1933" s="171" t="b">
        <f>LineærRegression_Valg[[#This Row],[Afhængig variabel ID]]&lt;=$B$5</f>
        <v>0</v>
      </c>
      <c r="F1933" t="str" cm="1">
        <f t="array" ref="F1933">IF(LineærRegression_Valg[[#This Row],[Indenfor range]],INDEX(DataTitel_liste,LineærRegression_Valg[[#This Row],[Afhængig variabel ID]]),INDEX(DataTitel_liste,1))</f>
        <v>Eksempel 1 (interval)</v>
      </c>
      <c r="G1933" s="171" t="str" cm="1">
        <f t="array" ref="G1933">IF(LineærRegression_Valg[[#This Row],[Indenfor range]],IF(LineærRegression_Valg[[#This Row],[Intet overlap]],INDEX(DataTitel_liste,LineærRegression_Valg[[#This Row],[Uafhængig variabel ID]]),INDEX(DataTitel_liste,IF(LineærRegression_Valg[[#This Row],[Afhængig variabel ID]]=1,2,1))),$B$7)</f>
        <v>Eksempel 2 (interval)</v>
      </c>
      <c r="H1933" s="171">
        <f>_xlfn.AGGREGATE(2,5,LineærRegression_Valg[[#This Row],[Tabel ID]])</f>
        <v>1</v>
      </c>
    </row>
    <row r="1934" spans="1:8" x14ac:dyDescent="0.2">
      <c r="A1934">
        <f>ROW(LineærRegression_Valg[[#This Row],[Tabel ID]])-ROW(LineærRegression_Valg[[#Headers],[Tabel ID]])</f>
        <v>1924</v>
      </c>
      <c r="B1934" s="171">
        <f>ROUNDDOWN((LineærRegression_Valg[[#This Row],[Tabel ID]]-1)/$B$5,0)+1</f>
        <v>481</v>
      </c>
      <c r="C1934" s="171">
        <f t="shared" si="30"/>
        <v>4</v>
      </c>
      <c r="D1934" s="171" t="b">
        <f>LineærRegression_Valg[[#This Row],[Afhængig variabel ID]]&lt;&gt;LineærRegression_Valg[[#This Row],[Uafhængig variabel ID]]</f>
        <v>1</v>
      </c>
      <c r="E1934" s="171" t="b">
        <f>LineærRegression_Valg[[#This Row],[Afhængig variabel ID]]&lt;=$B$5</f>
        <v>0</v>
      </c>
      <c r="F1934" t="str" cm="1">
        <f t="array" ref="F1934">IF(LineærRegression_Valg[[#This Row],[Indenfor range]],INDEX(DataTitel_liste,LineærRegression_Valg[[#This Row],[Afhængig variabel ID]]),INDEX(DataTitel_liste,1))</f>
        <v>Eksempel 1 (interval)</v>
      </c>
      <c r="G1934" s="171" t="str" cm="1">
        <f t="array" ref="G1934">IF(LineærRegression_Valg[[#This Row],[Indenfor range]],IF(LineærRegression_Valg[[#This Row],[Intet overlap]],INDEX(DataTitel_liste,LineærRegression_Valg[[#This Row],[Uafhængig variabel ID]]),INDEX(DataTitel_liste,IF(LineærRegression_Valg[[#This Row],[Afhængig variabel ID]]=1,2,1))),$B$7)</f>
        <v>Eksempel 2 (interval)</v>
      </c>
      <c r="H1934" s="171">
        <f>_xlfn.AGGREGATE(2,5,LineærRegression_Valg[[#This Row],[Tabel ID]])</f>
        <v>1</v>
      </c>
    </row>
    <row r="1935" spans="1:8" x14ac:dyDescent="0.2">
      <c r="A1935">
        <f>ROW(LineærRegression_Valg[[#This Row],[Tabel ID]])-ROW(LineærRegression_Valg[[#Headers],[Tabel ID]])</f>
        <v>1925</v>
      </c>
      <c r="B1935" s="171">
        <f>ROUNDDOWN((LineærRegression_Valg[[#This Row],[Tabel ID]]-1)/$B$5,0)+1</f>
        <v>482</v>
      </c>
      <c r="C1935" s="171">
        <f t="shared" si="30"/>
        <v>1</v>
      </c>
      <c r="D1935" s="171" t="b">
        <f>LineærRegression_Valg[[#This Row],[Afhængig variabel ID]]&lt;&gt;LineærRegression_Valg[[#This Row],[Uafhængig variabel ID]]</f>
        <v>1</v>
      </c>
      <c r="E1935" s="171" t="b">
        <f>LineærRegression_Valg[[#This Row],[Afhængig variabel ID]]&lt;=$B$5</f>
        <v>0</v>
      </c>
      <c r="F1935" t="str" cm="1">
        <f t="array" ref="F1935">IF(LineærRegression_Valg[[#This Row],[Indenfor range]],INDEX(DataTitel_liste,LineærRegression_Valg[[#This Row],[Afhængig variabel ID]]),INDEX(DataTitel_liste,1))</f>
        <v>Eksempel 1 (interval)</v>
      </c>
      <c r="G1935" s="171" t="str" cm="1">
        <f t="array" ref="G1935">IF(LineærRegression_Valg[[#This Row],[Indenfor range]],IF(LineærRegression_Valg[[#This Row],[Intet overlap]],INDEX(DataTitel_liste,LineærRegression_Valg[[#This Row],[Uafhængig variabel ID]]),INDEX(DataTitel_liste,IF(LineærRegression_Valg[[#This Row],[Afhængig variabel ID]]=1,2,1))),$B$7)</f>
        <v>Eksempel 2 (interval)</v>
      </c>
      <c r="H1935" s="171">
        <f>_xlfn.AGGREGATE(2,5,LineærRegression_Valg[[#This Row],[Tabel ID]])</f>
        <v>1</v>
      </c>
    </row>
    <row r="1936" spans="1:8" x14ac:dyDescent="0.2">
      <c r="A1936">
        <f>ROW(LineærRegression_Valg[[#This Row],[Tabel ID]])-ROW(LineærRegression_Valg[[#Headers],[Tabel ID]])</f>
        <v>1926</v>
      </c>
      <c r="B1936" s="171">
        <f>ROUNDDOWN((LineærRegression_Valg[[#This Row],[Tabel ID]]-1)/$B$5,0)+1</f>
        <v>482</v>
      </c>
      <c r="C1936" s="171">
        <f t="shared" si="30"/>
        <v>2</v>
      </c>
      <c r="D1936" s="171" t="b">
        <f>LineærRegression_Valg[[#This Row],[Afhængig variabel ID]]&lt;&gt;LineærRegression_Valg[[#This Row],[Uafhængig variabel ID]]</f>
        <v>1</v>
      </c>
      <c r="E1936" s="171" t="b">
        <f>LineærRegression_Valg[[#This Row],[Afhængig variabel ID]]&lt;=$B$5</f>
        <v>0</v>
      </c>
      <c r="F1936" t="str" cm="1">
        <f t="array" ref="F1936">IF(LineærRegression_Valg[[#This Row],[Indenfor range]],INDEX(DataTitel_liste,LineærRegression_Valg[[#This Row],[Afhængig variabel ID]]),INDEX(DataTitel_liste,1))</f>
        <v>Eksempel 1 (interval)</v>
      </c>
      <c r="G1936" s="171" t="str" cm="1">
        <f t="array" ref="G1936">IF(LineærRegression_Valg[[#This Row],[Indenfor range]],IF(LineærRegression_Valg[[#This Row],[Intet overlap]],INDEX(DataTitel_liste,LineærRegression_Valg[[#This Row],[Uafhængig variabel ID]]),INDEX(DataTitel_liste,IF(LineærRegression_Valg[[#This Row],[Afhængig variabel ID]]=1,2,1))),$B$7)</f>
        <v>Eksempel 2 (interval)</v>
      </c>
      <c r="H1936" s="171">
        <f>_xlfn.AGGREGATE(2,5,LineærRegression_Valg[[#This Row],[Tabel ID]])</f>
        <v>1</v>
      </c>
    </row>
    <row r="1937" spans="1:8" x14ac:dyDescent="0.2">
      <c r="A1937">
        <f>ROW(LineærRegression_Valg[[#This Row],[Tabel ID]])-ROW(LineærRegression_Valg[[#Headers],[Tabel ID]])</f>
        <v>1927</v>
      </c>
      <c r="B1937" s="171">
        <f>ROUNDDOWN((LineærRegression_Valg[[#This Row],[Tabel ID]]-1)/$B$5,0)+1</f>
        <v>482</v>
      </c>
      <c r="C1937" s="171">
        <f t="shared" si="30"/>
        <v>3</v>
      </c>
      <c r="D1937" s="171" t="b">
        <f>LineærRegression_Valg[[#This Row],[Afhængig variabel ID]]&lt;&gt;LineærRegression_Valg[[#This Row],[Uafhængig variabel ID]]</f>
        <v>1</v>
      </c>
      <c r="E1937" s="171" t="b">
        <f>LineærRegression_Valg[[#This Row],[Afhængig variabel ID]]&lt;=$B$5</f>
        <v>0</v>
      </c>
      <c r="F1937" t="str" cm="1">
        <f t="array" ref="F1937">IF(LineærRegression_Valg[[#This Row],[Indenfor range]],INDEX(DataTitel_liste,LineærRegression_Valg[[#This Row],[Afhængig variabel ID]]),INDEX(DataTitel_liste,1))</f>
        <v>Eksempel 1 (interval)</v>
      </c>
      <c r="G1937" s="171" t="str" cm="1">
        <f t="array" ref="G1937">IF(LineærRegression_Valg[[#This Row],[Indenfor range]],IF(LineærRegression_Valg[[#This Row],[Intet overlap]],INDEX(DataTitel_liste,LineærRegression_Valg[[#This Row],[Uafhængig variabel ID]]),INDEX(DataTitel_liste,IF(LineærRegression_Valg[[#This Row],[Afhængig variabel ID]]=1,2,1))),$B$7)</f>
        <v>Eksempel 2 (interval)</v>
      </c>
      <c r="H1937" s="171">
        <f>_xlfn.AGGREGATE(2,5,LineærRegression_Valg[[#This Row],[Tabel ID]])</f>
        <v>1</v>
      </c>
    </row>
    <row r="1938" spans="1:8" x14ac:dyDescent="0.2">
      <c r="A1938">
        <f>ROW(LineærRegression_Valg[[#This Row],[Tabel ID]])-ROW(LineærRegression_Valg[[#Headers],[Tabel ID]])</f>
        <v>1928</v>
      </c>
      <c r="B1938" s="171">
        <f>ROUNDDOWN((LineærRegression_Valg[[#This Row],[Tabel ID]]-1)/$B$5,0)+1</f>
        <v>482</v>
      </c>
      <c r="C1938" s="171">
        <f t="shared" si="30"/>
        <v>4</v>
      </c>
      <c r="D1938" s="171" t="b">
        <f>LineærRegression_Valg[[#This Row],[Afhængig variabel ID]]&lt;&gt;LineærRegression_Valg[[#This Row],[Uafhængig variabel ID]]</f>
        <v>1</v>
      </c>
      <c r="E1938" s="171" t="b">
        <f>LineærRegression_Valg[[#This Row],[Afhængig variabel ID]]&lt;=$B$5</f>
        <v>0</v>
      </c>
      <c r="F1938" t="str" cm="1">
        <f t="array" ref="F1938">IF(LineærRegression_Valg[[#This Row],[Indenfor range]],INDEX(DataTitel_liste,LineærRegression_Valg[[#This Row],[Afhængig variabel ID]]),INDEX(DataTitel_liste,1))</f>
        <v>Eksempel 1 (interval)</v>
      </c>
      <c r="G1938" s="171" t="str" cm="1">
        <f t="array" ref="G1938">IF(LineærRegression_Valg[[#This Row],[Indenfor range]],IF(LineærRegression_Valg[[#This Row],[Intet overlap]],INDEX(DataTitel_liste,LineærRegression_Valg[[#This Row],[Uafhængig variabel ID]]),INDEX(DataTitel_liste,IF(LineærRegression_Valg[[#This Row],[Afhængig variabel ID]]=1,2,1))),$B$7)</f>
        <v>Eksempel 2 (interval)</v>
      </c>
      <c r="H1938" s="171">
        <f>_xlfn.AGGREGATE(2,5,LineærRegression_Valg[[#This Row],[Tabel ID]])</f>
        <v>1</v>
      </c>
    </row>
    <row r="1939" spans="1:8" x14ac:dyDescent="0.2">
      <c r="A1939">
        <f>ROW(LineærRegression_Valg[[#This Row],[Tabel ID]])-ROW(LineærRegression_Valg[[#Headers],[Tabel ID]])</f>
        <v>1929</v>
      </c>
      <c r="B1939" s="171">
        <f>ROUNDDOWN((LineærRegression_Valg[[#This Row],[Tabel ID]]-1)/$B$5,0)+1</f>
        <v>483</v>
      </c>
      <c r="C1939" s="171">
        <f t="shared" si="30"/>
        <v>1</v>
      </c>
      <c r="D1939" s="171" t="b">
        <f>LineærRegression_Valg[[#This Row],[Afhængig variabel ID]]&lt;&gt;LineærRegression_Valg[[#This Row],[Uafhængig variabel ID]]</f>
        <v>1</v>
      </c>
      <c r="E1939" s="171" t="b">
        <f>LineærRegression_Valg[[#This Row],[Afhængig variabel ID]]&lt;=$B$5</f>
        <v>0</v>
      </c>
      <c r="F1939" t="str" cm="1">
        <f t="array" ref="F1939">IF(LineærRegression_Valg[[#This Row],[Indenfor range]],INDEX(DataTitel_liste,LineærRegression_Valg[[#This Row],[Afhængig variabel ID]]),INDEX(DataTitel_liste,1))</f>
        <v>Eksempel 1 (interval)</v>
      </c>
      <c r="G1939" s="171" t="str" cm="1">
        <f t="array" ref="G1939">IF(LineærRegression_Valg[[#This Row],[Indenfor range]],IF(LineærRegression_Valg[[#This Row],[Intet overlap]],INDEX(DataTitel_liste,LineærRegression_Valg[[#This Row],[Uafhængig variabel ID]]),INDEX(DataTitel_liste,IF(LineærRegression_Valg[[#This Row],[Afhængig variabel ID]]=1,2,1))),$B$7)</f>
        <v>Eksempel 2 (interval)</v>
      </c>
      <c r="H1939" s="171">
        <f>_xlfn.AGGREGATE(2,5,LineærRegression_Valg[[#This Row],[Tabel ID]])</f>
        <v>1</v>
      </c>
    </row>
    <row r="1940" spans="1:8" x14ac:dyDescent="0.2">
      <c r="A1940">
        <f>ROW(LineærRegression_Valg[[#This Row],[Tabel ID]])-ROW(LineærRegression_Valg[[#Headers],[Tabel ID]])</f>
        <v>1930</v>
      </c>
      <c r="B1940" s="171">
        <f>ROUNDDOWN((LineærRegression_Valg[[#This Row],[Tabel ID]]-1)/$B$5,0)+1</f>
        <v>483</v>
      </c>
      <c r="C1940" s="171">
        <f t="shared" si="30"/>
        <v>2</v>
      </c>
      <c r="D1940" s="171" t="b">
        <f>LineærRegression_Valg[[#This Row],[Afhængig variabel ID]]&lt;&gt;LineærRegression_Valg[[#This Row],[Uafhængig variabel ID]]</f>
        <v>1</v>
      </c>
      <c r="E1940" s="171" t="b">
        <f>LineærRegression_Valg[[#This Row],[Afhængig variabel ID]]&lt;=$B$5</f>
        <v>0</v>
      </c>
      <c r="F1940" t="str" cm="1">
        <f t="array" ref="F1940">IF(LineærRegression_Valg[[#This Row],[Indenfor range]],INDEX(DataTitel_liste,LineærRegression_Valg[[#This Row],[Afhængig variabel ID]]),INDEX(DataTitel_liste,1))</f>
        <v>Eksempel 1 (interval)</v>
      </c>
      <c r="G1940" s="171" t="str" cm="1">
        <f t="array" ref="G1940">IF(LineærRegression_Valg[[#This Row],[Indenfor range]],IF(LineærRegression_Valg[[#This Row],[Intet overlap]],INDEX(DataTitel_liste,LineærRegression_Valg[[#This Row],[Uafhængig variabel ID]]),INDEX(DataTitel_liste,IF(LineærRegression_Valg[[#This Row],[Afhængig variabel ID]]=1,2,1))),$B$7)</f>
        <v>Eksempel 2 (interval)</v>
      </c>
      <c r="H1940" s="171">
        <f>_xlfn.AGGREGATE(2,5,LineærRegression_Valg[[#This Row],[Tabel ID]])</f>
        <v>1</v>
      </c>
    </row>
    <row r="1941" spans="1:8" x14ac:dyDescent="0.2">
      <c r="A1941">
        <f>ROW(LineærRegression_Valg[[#This Row],[Tabel ID]])-ROW(LineærRegression_Valg[[#Headers],[Tabel ID]])</f>
        <v>1931</v>
      </c>
      <c r="B1941" s="171">
        <f>ROUNDDOWN((LineærRegression_Valg[[#This Row],[Tabel ID]]-1)/$B$5,0)+1</f>
        <v>483</v>
      </c>
      <c r="C1941" s="171">
        <f t="shared" si="30"/>
        <v>3</v>
      </c>
      <c r="D1941" s="171" t="b">
        <f>LineærRegression_Valg[[#This Row],[Afhængig variabel ID]]&lt;&gt;LineærRegression_Valg[[#This Row],[Uafhængig variabel ID]]</f>
        <v>1</v>
      </c>
      <c r="E1941" s="171" t="b">
        <f>LineærRegression_Valg[[#This Row],[Afhængig variabel ID]]&lt;=$B$5</f>
        <v>0</v>
      </c>
      <c r="F1941" t="str" cm="1">
        <f t="array" ref="F1941">IF(LineærRegression_Valg[[#This Row],[Indenfor range]],INDEX(DataTitel_liste,LineærRegression_Valg[[#This Row],[Afhængig variabel ID]]),INDEX(DataTitel_liste,1))</f>
        <v>Eksempel 1 (interval)</v>
      </c>
      <c r="G1941" s="171" t="str" cm="1">
        <f t="array" ref="G1941">IF(LineærRegression_Valg[[#This Row],[Indenfor range]],IF(LineærRegression_Valg[[#This Row],[Intet overlap]],INDEX(DataTitel_liste,LineærRegression_Valg[[#This Row],[Uafhængig variabel ID]]),INDEX(DataTitel_liste,IF(LineærRegression_Valg[[#This Row],[Afhængig variabel ID]]=1,2,1))),$B$7)</f>
        <v>Eksempel 2 (interval)</v>
      </c>
      <c r="H1941" s="171">
        <f>_xlfn.AGGREGATE(2,5,LineærRegression_Valg[[#This Row],[Tabel ID]])</f>
        <v>1</v>
      </c>
    </row>
    <row r="1942" spans="1:8" x14ac:dyDescent="0.2">
      <c r="A1942">
        <f>ROW(LineærRegression_Valg[[#This Row],[Tabel ID]])-ROW(LineærRegression_Valg[[#Headers],[Tabel ID]])</f>
        <v>1932</v>
      </c>
      <c r="B1942" s="171">
        <f>ROUNDDOWN((LineærRegression_Valg[[#This Row],[Tabel ID]]-1)/$B$5,0)+1</f>
        <v>483</v>
      </c>
      <c r="C1942" s="171">
        <f t="shared" si="30"/>
        <v>4</v>
      </c>
      <c r="D1942" s="171" t="b">
        <f>LineærRegression_Valg[[#This Row],[Afhængig variabel ID]]&lt;&gt;LineærRegression_Valg[[#This Row],[Uafhængig variabel ID]]</f>
        <v>1</v>
      </c>
      <c r="E1942" s="171" t="b">
        <f>LineærRegression_Valg[[#This Row],[Afhængig variabel ID]]&lt;=$B$5</f>
        <v>0</v>
      </c>
      <c r="F1942" t="str" cm="1">
        <f t="array" ref="F1942">IF(LineærRegression_Valg[[#This Row],[Indenfor range]],INDEX(DataTitel_liste,LineærRegression_Valg[[#This Row],[Afhængig variabel ID]]),INDEX(DataTitel_liste,1))</f>
        <v>Eksempel 1 (interval)</v>
      </c>
      <c r="G1942" s="171" t="str" cm="1">
        <f t="array" ref="G1942">IF(LineærRegression_Valg[[#This Row],[Indenfor range]],IF(LineærRegression_Valg[[#This Row],[Intet overlap]],INDEX(DataTitel_liste,LineærRegression_Valg[[#This Row],[Uafhængig variabel ID]]),INDEX(DataTitel_liste,IF(LineærRegression_Valg[[#This Row],[Afhængig variabel ID]]=1,2,1))),$B$7)</f>
        <v>Eksempel 2 (interval)</v>
      </c>
      <c r="H1942" s="171">
        <f>_xlfn.AGGREGATE(2,5,LineærRegression_Valg[[#This Row],[Tabel ID]])</f>
        <v>1</v>
      </c>
    </row>
    <row r="1943" spans="1:8" x14ac:dyDescent="0.2">
      <c r="A1943">
        <f>ROW(LineærRegression_Valg[[#This Row],[Tabel ID]])-ROW(LineærRegression_Valg[[#Headers],[Tabel ID]])</f>
        <v>1933</v>
      </c>
      <c r="B1943" s="171">
        <f>ROUNDDOWN((LineærRegression_Valg[[#This Row],[Tabel ID]]-1)/$B$5,0)+1</f>
        <v>484</v>
      </c>
      <c r="C1943" s="171">
        <f t="shared" si="30"/>
        <v>1</v>
      </c>
      <c r="D1943" s="171" t="b">
        <f>LineærRegression_Valg[[#This Row],[Afhængig variabel ID]]&lt;&gt;LineærRegression_Valg[[#This Row],[Uafhængig variabel ID]]</f>
        <v>1</v>
      </c>
      <c r="E1943" s="171" t="b">
        <f>LineærRegression_Valg[[#This Row],[Afhængig variabel ID]]&lt;=$B$5</f>
        <v>0</v>
      </c>
      <c r="F1943" t="str" cm="1">
        <f t="array" ref="F1943">IF(LineærRegression_Valg[[#This Row],[Indenfor range]],INDEX(DataTitel_liste,LineærRegression_Valg[[#This Row],[Afhængig variabel ID]]),INDEX(DataTitel_liste,1))</f>
        <v>Eksempel 1 (interval)</v>
      </c>
      <c r="G1943" s="171" t="str" cm="1">
        <f t="array" ref="G1943">IF(LineærRegression_Valg[[#This Row],[Indenfor range]],IF(LineærRegression_Valg[[#This Row],[Intet overlap]],INDEX(DataTitel_liste,LineærRegression_Valg[[#This Row],[Uafhængig variabel ID]]),INDEX(DataTitel_liste,IF(LineærRegression_Valg[[#This Row],[Afhængig variabel ID]]=1,2,1))),$B$7)</f>
        <v>Eksempel 2 (interval)</v>
      </c>
      <c r="H1943" s="171">
        <f>_xlfn.AGGREGATE(2,5,LineærRegression_Valg[[#This Row],[Tabel ID]])</f>
        <v>1</v>
      </c>
    </row>
    <row r="1944" spans="1:8" x14ac:dyDescent="0.2">
      <c r="A1944">
        <f>ROW(LineærRegression_Valg[[#This Row],[Tabel ID]])-ROW(LineærRegression_Valg[[#Headers],[Tabel ID]])</f>
        <v>1934</v>
      </c>
      <c r="B1944" s="171">
        <f>ROUNDDOWN((LineærRegression_Valg[[#This Row],[Tabel ID]]-1)/$B$5,0)+1</f>
        <v>484</v>
      </c>
      <c r="C1944" s="171">
        <f t="shared" si="30"/>
        <v>2</v>
      </c>
      <c r="D1944" s="171" t="b">
        <f>LineærRegression_Valg[[#This Row],[Afhængig variabel ID]]&lt;&gt;LineærRegression_Valg[[#This Row],[Uafhængig variabel ID]]</f>
        <v>1</v>
      </c>
      <c r="E1944" s="171" t="b">
        <f>LineærRegression_Valg[[#This Row],[Afhængig variabel ID]]&lt;=$B$5</f>
        <v>0</v>
      </c>
      <c r="F1944" t="str" cm="1">
        <f t="array" ref="F1944">IF(LineærRegression_Valg[[#This Row],[Indenfor range]],INDEX(DataTitel_liste,LineærRegression_Valg[[#This Row],[Afhængig variabel ID]]),INDEX(DataTitel_liste,1))</f>
        <v>Eksempel 1 (interval)</v>
      </c>
      <c r="G1944" s="171" t="str" cm="1">
        <f t="array" ref="G1944">IF(LineærRegression_Valg[[#This Row],[Indenfor range]],IF(LineærRegression_Valg[[#This Row],[Intet overlap]],INDEX(DataTitel_liste,LineærRegression_Valg[[#This Row],[Uafhængig variabel ID]]),INDEX(DataTitel_liste,IF(LineærRegression_Valg[[#This Row],[Afhængig variabel ID]]=1,2,1))),$B$7)</f>
        <v>Eksempel 2 (interval)</v>
      </c>
      <c r="H1944" s="171">
        <f>_xlfn.AGGREGATE(2,5,LineærRegression_Valg[[#This Row],[Tabel ID]])</f>
        <v>1</v>
      </c>
    </row>
    <row r="1945" spans="1:8" x14ac:dyDescent="0.2">
      <c r="A1945">
        <f>ROW(LineærRegression_Valg[[#This Row],[Tabel ID]])-ROW(LineærRegression_Valg[[#Headers],[Tabel ID]])</f>
        <v>1935</v>
      </c>
      <c r="B1945" s="171">
        <f>ROUNDDOWN((LineærRegression_Valg[[#This Row],[Tabel ID]]-1)/$B$5,0)+1</f>
        <v>484</v>
      </c>
      <c r="C1945" s="171">
        <f t="shared" si="30"/>
        <v>3</v>
      </c>
      <c r="D1945" s="171" t="b">
        <f>LineærRegression_Valg[[#This Row],[Afhængig variabel ID]]&lt;&gt;LineærRegression_Valg[[#This Row],[Uafhængig variabel ID]]</f>
        <v>1</v>
      </c>
      <c r="E1945" s="171" t="b">
        <f>LineærRegression_Valg[[#This Row],[Afhængig variabel ID]]&lt;=$B$5</f>
        <v>0</v>
      </c>
      <c r="F1945" t="str" cm="1">
        <f t="array" ref="F1945">IF(LineærRegression_Valg[[#This Row],[Indenfor range]],INDEX(DataTitel_liste,LineærRegression_Valg[[#This Row],[Afhængig variabel ID]]),INDEX(DataTitel_liste,1))</f>
        <v>Eksempel 1 (interval)</v>
      </c>
      <c r="G1945" s="171" t="str" cm="1">
        <f t="array" ref="G1945">IF(LineærRegression_Valg[[#This Row],[Indenfor range]],IF(LineærRegression_Valg[[#This Row],[Intet overlap]],INDEX(DataTitel_liste,LineærRegression_Valg[[#This Row],[Uafhængig variabel ID]]),INDEX(DataTitel_liste,IF(LineærRegression_Valg[[#This Row],[Afhængig variabel ID]]=1,2,1))),$B$7)</f>
        <v>Eksempel 2 (interval)</v>
      </c>
      <c r="H1945" s="171">
        <f>_xlfn.AGGREGATE(2,5,LineærRegression_Valg[[#This Row],[Tabel ID]])</f>
        <v>1</v>
      </c>
    </row>
    <row r="1946" spans="1:8" x14ac:dyDescent="0.2">
      <c r="A1946">
        <f>ROW(LineærRegression_Valg[[#This Row],[Tabel ID]])-ROW(LineærRegression_Valg[[#Headers],[Tabel ID]])</f>
        <v>1936</v>
      </c>
      <c r="B1946" s="171">
        <f>ROUNDDOWN((LineærRegression_Valg[[#This Row],[Tabel ID]]-1)/$B$5,0)+1</f>
        <v>484</v>
      </c>
      <c r="C1946" s="171">
        <f t="shared" si="30"/>
        <v>4</v>
      </c>
      <c r="D1946" s="171" t="b">
        <f>LineærRegression_Valg[[#This Row],[Afhængig variabel ID]]&lt;&gt;LineærRegression_Valg[[#This Row],[Uafhængig variabel ID]]</f>
        <v>1</v>
      </c>
      <c r="E1946" s="171" t="b">
        <f>LineærRegression_Valg[[#This Row],[Afhængig variabel ID]]&lt;=$B$5</f>
        <v>0</v>
      </c>
      <c r="F1946" t="str" cm="1">
        <f t="array" ref="F1946">IF(LineærRegression_Valg[[#This Row],[Indenfor range]],INDEX(DataTitel_liste,LineærRegression_Valg[[#This Row],[Afhængig variabel ID]]),INDEX(DataTitel_liste,1))</f>
        <v>Eksempel 1 (interval)</v>
      </c>
      <c r="G1946" s="171" t="str" cm="1">
        <f t="array" ref="G1946">IF(LineærRegression_Valg[[#This Row],[Indenfor range]],IF(LineærRegression_Valg[[#This Row],[Intet overlap]],INDEX(DataTitel_liste,LineærRegression_Valg[[#This Row],[Uafhængig variabel ID]]),INDEX(DataTitel_liste,IF(LineærRegression_Valg[[#This Row],[Afhængig variabel ID]]=1,2,1))),$B$7)</f>
        <v>Eksempel 2 (interval)</v>
      </c>
      <c r="H1946" s="171">
        <f>_xlfn.AGGREGATE(2,5,LineærRegression_Valg[[#This Row],[Tabel ID]])</f>
        <v>1</v>
      </c>
    </row>
    <row r="1947" spans="1:8" x14ac:dyDescent="0.2">
      <c r="A1947">
        <f>ROW(LineærRegression_Valg[[#This Row],[Tabel ID]])-ROW(LineærRegression_Valg[[#Headers],[Tabel ID]])</f>
        <v>1937</v>
      </c>
      <c r="B1947" s="171">
        <f>ROUNDDOWN((LineærRegression_Valg[[#This Row],[Tabel ID]]-1)/$B$5,0)+1</f>
        <v>485</v>
      </c>
      <c r="C1947" s="171">
        <f t="shared" si="30"/>
        <v>1</v>
      </c>
      <c r="D1947" s="171" t="b">
        <f>LineærRegression_Valg[[#This Row],[Afhængig variabel ID]]&lt;&gt;LineærRegression_Valg[[#This Row],[Uafhængig variabel ID]]</f>
        <v>1</v>
      </c>
      <c r="E1947" s="171" t="b">
        <f>LineærRegression_Valg[[#This Row],[Afhængig variabel ID]]&lt;=$B$5</f>
        <v>0</v>
      </c>
      <c r="F1947" t="str" cm="1">
        <f t="array" ref="F1947">IF(LineærRegression_Valg[[#This Row],[Indenfor range]],INDEX(DataTitel_liste,LineærRegression_Valg[[#This Row],[Afhængig variabel ID]]),INDEX(DataTitel_liste,1))</f>
        <v>Eksempel 1 (interval)</v>
      </c>
      <c r="G1947" s="171" t="str" cm="1">
        <f t="array" ref="G1947">IF(LineærRegression_Valg[[#This Row],[Indenfor range]],IF(LineærRegression_Valg[[#This Row],[Intet overlap]],INDEX(DataTitel_liste,LineærRegression_Valg[[#This Row],[Uafhængig variabel ID]]),INDEX(DataTitel_liste,IF(LineærRegression_Valg[[#This Row],[Afhængig variabel ID]]=1,2,1))),$B$7)</f>
        <v>Eksempel 2 (interval)</v>
      </c>
      <c r="H1947" s="171">
        <f>_xlfn.AGGREGATE(2,5,LineærRegression_Valg[[#This Row],[Tabel ID]])</f>
        <v>1</v>
      </c>
    </row>
    <row r="1948" spans="1:8" x14ac:dyDescent="0.2">
      <c r="A1948">
        <f>ROW(LineærRegression_Valg[[#This Row],[Tabel ID]])-ROW(LineærRegression_Valg[[#Headers],[Tabel ID]])</f>
        <v>1938</v>
      </c>
      <c r="B1948" s="171">
        <f>ROUNDDOWN((LineærRegression_Valg[[#This Row],[Tabel ID]]-1)/$B$5,0)+1</f>
        <v>485</v>
      </c>
      <c r="C1948" s="171">
        <f t="shared" si="30"/>
        <v>2</v>
      </c>
      <c r="D1948" s="171" t="b">
        <f>LineærRegression_Valg[[#This Row],[Afhængig variabel ID]]&lt;&gt;LineærRegression_Valg[[#This Row],[Uafhængig variabel ID]]</f>
        <v>1</v>
      </c>
      <c r="E1948" s="171" t="b">
        <f>LineærRegression_Valg[[#This Row],[Afhængig variabel ID]]&lt;=$B$5</f>
        <v>0</v>
      </c>
      <c r="F1948" t="str" cm="1">
        <f t="array" ref="F1948">IF(LineærRegression_Valg[[#This Row],[Indenfor range]],INDEX(DataTitel_liste,LineærRegression_Valg[[#This Row],[Afhængig variabel ID]]),INDEX(DataTitel_liste,1))</f>
        <v>Eksempel 1 (interval)</v>
      </c>
      <c r="G1948" s="171" t="str" cm="1">
        <f t="array" ref="G1948">IF(LineærRegression_Valg[[#This Row],[Indenfor range]],IF(LineærRegression_Valg[[#This Row],[Intet overlap]],INDEX(DataTitel_liste,LineærRegression_Valg[[#This Row],[Uafhængig variabel ID]]),INDEX(DataTitel_liste,IF(LineærRegression_Valg[[#This Row],[Afhængig variabel ID]]=1,2,1))),$B$7)</f>
        <v>Eksempel 2 (interval)</v>
      </c>
      <c r="H1948" s="171">
        <f>_xlfn.AGGREGATE(2,5,LineærRegression_Valg[[#This Row],[Tabel ID]])</f>
        <v>1</v>
      </c>
    </row>
    <row r="1949" spans="1:8" x14ac:dyDescent="0.2">
      <c r="A1949">
        <f>ROW(LineærRegression_Valg[[#This Row],[Tabel ID]])-ROW(LineærRegression_Valg[[#Headers],[Tabel ID]])</f>
        <v>1939</v>
      </c>
      <c r="B1949" s="171">
        <f>ROUNDDOWN((LineærRegression_Valg[[#This Row],[Tabel ID]]-1)/$B$5,0)+1</f>
        <v>485</v>
      </c>
      <c r="C1949" s="171">
        <f t="shared" si="30"/>
        <v>3</v>
      </c>
      <c r="D1949" s="171" t="b">
        <f>LineærRegression_Valg[[#This Row],[Afhængig variabel ID]]&lt;&gt;LineærRegression_Valg[[#This Row],[Uafhængig variabel ID]]</f>
        <v>1</v>
      </c>
      <c r="E1949" s="171" t="b">
        <f>LineærRegression_Valg[[#This Row],[Afhængig variabel ID]]&lt;=$B$5</f>
        <v>0</v>
      </c>
      <c r="F1949" t="str" cm="1">
        <f t="array" ref="F1949">IF(LineærRegression_Valg[[#This Row],[Indenfor range]],INDEX(DataTitel_liste,LineærRegression_Valg[[#This Row],[Afhængig variabel ID]]),INDEX(DataTitel_liste,1))</f>
        <v>Eksempel 1 (interval)</v>
      </c>
      <c r="G1949" s="171" t="str" cm="1">
        <f t="array" ref="G1949">IF(LineærRegression_Valg[[#This Row],[Indenfor range]],IF(LineærRegression_Valg[[#This Row],[Intet overlap]],INDEX(DataTitel_liste,LineærRegression_Valg[[#This Row],[Uafhængig variabel ID]]),INDEX(DataTitel_liste,IF(LineærRegression_Valg[[#This Row],[Afhængig variabel ID]]=1,2,1))),$B$7)</f>
        <v>Eksempel 2 (interval)</v>
      </c>
      <c r="H1949" s="171">
        <f>_xlfn.AGGREGATE(2,5,LineærRegression_Valg[[#This Row],[Tabel ID]])</f>
        <v>1</v>
      </c>
    </row>
    <row r="1950" spans="1:8" x14ac:dyDescent="0.2">
      <c r="A1950">
        <f>ROW(LineærRegression_Valg[[#This Row],[Tabel ID]])-ROW(LineærRegression_Valg[[#Headers],[Tabel ID]])</f>
        <v>1940</v>
      </c>
      <c r="B1950" s="171">
        <f>ROUNDDOWN((LineærRegression_Valg[[#This Row],[Tabel ID]]-1)/$B$5,0)+1</f>
        <v>485</v>
      </c>
      <c r="C1950" s="171">
        <f t="shared" si="30"/>
        <v>4</v>
      </c>
      <c r="D1950" s="171" t="b">
        <f>LineærRegression_Valg[[#This Row],[Afhængig variabel ID]]&lt;&gt;LineærRegression_Valg[[#This Row],[Uafhængig variabel ID]]</f>
        <v>1</v>
      </c>
      <c r="E1950" s="171" t="b">
        <f>LineærRegression_Valg[[#This Row],[Afhængig variabel ID]]&lt;=$B$5</f>
        <v>0</v>
      </c>
      <c r="F1950" t="str" cm="1">
        <f t="array" ref="F1950">IF(LineærRegression_Valg[[#This Row],[Indenfor range]],INDEX(DataTitel_liste,LineærRegression_Valg[[#This Row],[Afhængig variabel ID]]),INDEX(DataTitel_liste,1))</f>
        <v>Eksempel 1 (interval)</v>
      </c>
      <c r="G1950" s="171" t="str" cm="1">
        <f t="array" ref="G1950">IF(LineærRegression_Valg[[#This Row],[Indenfor range]],IF(LineærRegression_Valg[[#This Row],[Intet overlap]],INDEX(DataTitel_liste,LineærRegression_Valg[[#This Row],[Uafhængig variabel ID]]),INDEX(DataTitel_liste,IF(LineærRegression_Valg[[#This Row],[Afhængig variabel ID]]=1,2,1))),$B$7)</f>
        <v>Eksempel 2 (interval)</v>
      </c>
      <c r="H1950" s="171">
        <f>_xlfn.AGGREGATE(2,5,LineærRegression_Valg[[#This Row],[Tabel ID]])</f>
        <v>1</v>
      </c>
    </row>
    <row r="1951" spans="1:8" x14ac:dyDescent="0.2">
      <c r="A1951">
        <f>ROW(LineærRegression_Valg[[#This Row],[Tabel ID]])-ROW(LineærRegression_Valg[[#Headers],[Tabel ID]])</f>
        <v>1941</v>
      </c>
      <c r="B1951" s="171">
        <f>ROUNDDOWN((LineærRegression_Valg[[#This Row],[Tabel ID]]-1)/$B$5,0)+1</f>
        <v>486</v>
      </c>
      <c r="C1951" s="171">
        <f t="shared" si="30"/>
        <v>1</v>
      </c>
      <c r="D1951" s="171" t="b">
        <f>LineærRegression_Valg[[#This Row],[Afhængig variabel ID]]&lt;&gt;LineærRegression_Valg[[#This Row],[Uafhængig variabel ID]]</f>
        <v>1</v>
      </c>
      <c r="E1951" s="171" t="b">
        <f>LineærRegression_Valg[[#This Row],[Afhængig variabel ID]]&lt;=$B$5</f>
        <v>0</v>
      </c>
      <c r="F1951" t="str" cm="1">
        <f t="array" ref="F1951">IF(LineærRegression_Valg[[#This Row],[Indenfor range]],INDEX(DataTitel_liste,LineærRegression_Valg[[#This Row],[Afhængig variabel ID]]),INDEX(DataTitel_liste,1))</f>
        <v>Eksempel 1 (interval)</v>
      </c>
      <c r="G1951" s="171" t="str" cm="1">
        <f t="array" ref="G1951">IF(LineærRegression_Valg[[#This Row],[Indenfor range]],IF(LineærRegression_Valg[[#This Row],[Intet overlap]],INDEX(DataTitel_liste,LineærRegression_Valg[[#This Row],[Uafhængig variabel ID]]),INDEX(DataTitel_liste,IF(LineærRegression_Valg[[#This Row],[Afhængig variabel ID]]=1,2,1))),$B$7)</f>
        <v>Eksempel 2 (interval)</v>
      </c>
      <c r="H1951" s="171">
        <f>_xlfn.AGGREGATE(2,5,LineærRegression_Valg[[#This Row],[Tabel ID]])</f>
        <v>1</v>
      </c>
    </row>
    <row r="1952" spans="1:8" x14ac:dyDescent="0.2">
      <c r="A1952">
        <f>ROW(LineærRegression_Valg[[#This Row],[Tabel ID]])-ROW(LineærRegression_Valg[[#Headers],[Tabel ID]])</f>
        <v>1942</v>
      </c>
      <c r="B1952" s="171">
        <f>ROUNDDOWN((LineærRegression_Valg[[#This Row],[Tabel ID]]-1)/$B$5,0)+1</f>
        <v>486</v>
      </c>
      <c r="C1952" s="171">
        <f t="shared" si="30"/>
        <v>2</v>
      </c>
      <c r="D1952" s="171" t="b">
        <f>LineærRegression_Valg[[#This Row],[Afhængig variabel ID]]&lt;&gt;LineærRegression_Valg[[#This Row],[Uafhængig variabel ID]]</f>
        <v>1</v>
      </c>
      <c r="E1952" s="171" t="b">
        <f>LineærRegression_Valg[[#This Row],[Afhængig variabel ID]]&lt;=$B$5</f>
        <v>0</v>
      </c>
      <c r="F1952" t="str" cm="1">
        <f t="array" ref="F1952">IF(LineærRegression_Valg[[#This Row],[Indenfor range]],INDEX(DataTitel_liste,LineærRegression_Valg[[#This Row],[Afhængig variabel ID]]),INDEX(DataTitel_liste,1))</f>
        <v>Eksempel 1 (interval)</v>
      </c>
      <c r="G1952" s="171" t="str" cm="1">
        <f t="array" ref="G1952">IF(LineærRegression_Valg[[#This Row],[Indenfor range]],IF(LineærRegression_Valg[[#This Row],[Intet overlap]],INDEX(DataTitel_liste,LineærRegression_Valg[[#This Row],[Uafhængig variabel ID]]),INDEX(DataTitel_liste,IF(LineærRegression_Valg[[#This Row],[Afhængig variabel ID]]=1,2,1))),$B$7)</f>
        <v>Eksempel 2 (interval)</v>
      </c>
      <c r="H1952" s="171">
        <f>_xlfn.AGGREGATE(2,5,LineærRegression_Valg[[#This Row],[Tabel ID]])</f>
        <v>1</v>
      </c>
    </row>
    <row r="1953" spans="1:8" x14ac:dyDescent="0.2">
      <c r="A1953">
        <f>ROW(LineærRegression_Valg[[#This Row],[Tabel ID]])-ROW(LineærRegression_Valg[[#Headers],[Tabel ID]])</f>
        <v>1943</v>
      </c>
      <c r="B1953" s="171">
        <f>ROUNDDOWN((LineærRegression_Valg[[#This Row],[Tabel ID]]-1)/$B$5,0)+1</f>
        <v>486</v>
      </c>
      <c r="C1953" s="171">
        <f t="shared" si="30"/>
        <v>3</v>
      </c>
      <c r="D1953" s="171" t="b">
        <f>LineærRegression_Valg[[#This Row],[Afhængig variabel ID]]&lt;&gt;LineærRegression_Valg[[#This Row],[Uafhængig variabel ID]]</f>
        <v>1</v>
      </c>
      <c r="E1953" s="171" t="b">
        <f>LineærRegression_Valg[[#This Row],[Afhængig variabel ID]]&lt;=$B$5</f>
        <v>0</v>
      </c>
      <c r="F1953" t="str" cm="1">
        <f t="array" ref="F1953">IF(LineærRegression_Valg[[#This Row],[Indenfor range]],INDEX(DataTitel_liste,LineærRegression_Valg[[#This Row],[Afhængig variabel ID]]),INDEX(DataTitel_liste,1))</f>
        <v>Eksempel 1 (interval)</v>
      </c>
      <c r="G1953" s="171" t="str" cm="1">
        <f t="array" ref="G1953">IF(LineærRegression_Valg[[#This Row],[Indenfor range]],IF(LineærRegression_Valg[[#This Row],[Intet overlap]],INDEX(DataTitel_liste,LineærRegression_Valg[[#This Row],[Uafhængig variabel ID]]),INDEX(DataTitel_liste,IF(LineærRegression_Valg[[#This Row],[Afhængig variabel ID]]=1,2,1))),$B$7)</f>
        <v>Eksempel 2 (interval)</v>
      </c>
      <c r="H1953" s="171">
        <f>_xlfn.AGGREGATE(2,5,LineærRegression_Valg[[#This Row],[Tabel ID]])</f>
        <v>1</v>
      </c>
    </row>
    <row r="1954" spans="1:8" x14ac:dyDescent="0.2">
      <c r="A1954">
        <f>ROW(LineærRegression_Valg[[#This Row],[Tabel ID]])-ROW(LineærRegression_Valg[[#Headers],[Tabel ID]])</f>
        <v>1944</v>
      </c>
      <c r="B1954" s="171">
        <f>ROUNDDOWN((LineærRegression_Valg[[#This Row],[Tabel ID]]-1)/$B$5,0)+1</f>
        <v>486</v>
      </c>
      <c r="C1954" s="171">
        <f t="shared" si="30"/>
        <v>4</v>
      </c>
      <c r="D1954" s="171" t="b">
        <f>LineærRegression_Valg[[#This Row],[Afhængig variabel ID]]&lt;&gt;LineærRegression_Valg[[#This Row],[Uafhængig variabel ID]]</f>
        <v>1</v>
      </c>
      <c r="E1954" s="171" t="b">
        <f>LineærRegression_Valg[[#This Row],[Afhængig variabel ID]]&lt;=$B$5</f>
        <v>0</v>
      </c>
      <c r="F1954" t="str" cm="1">
        <f t="array" ref="F1954">IF(LineærRegression_Valg[[#This Row],[Indenfor range]],INDEX(DataTitel_liste,LineærRegression_Valg[[#This Row],[Afhængig variabel ID]]),INDEX(DataTitel_liste,1))</f>
        <v>Eksempel 1 (interval)</v>
      </c>
      <c r="G1954" s="171" t="str" cm="1">
        <f t="array" ref="G1954">IF(LineærRegression_Valg[[#This Row],[Indenfor range]],IF(LineærRegression_Valg[[#This Row],[Intet overlap]],INDEX(DataTitel_liste,LineærRegression_Valg[[#This Row],[Uafhængig variabel ID]]),INDEX(DataTitel_liste,IF(LineærRegression_Valg[[#This Row],[Afhængig variabel ID]]=1,2,1))),$B$7)</f>
        <v>Eksempel 2 (interval)</v>
      </c>
      <c r="H1954" s="171">
        <f>_xlfn.AGGREGATE(2,5,LineærRegression_Valg[[#This Row],[Tabel ID]])</f>
        <v>1</v>
      </c>
    </row>
    <row r="1955" spans="1:8" x14ac:dyDescent="0.2">
      <c r="A1955">
        <f>ROW(LineærRegression_Valg[[#This Row],[Tabel ID]])-ROW(LineærRegression_Valg[[#Headers],[Tabel ID]])</f>
        <v>1945</v>
      </c>
      <c r="B1955" s="171">
        <f>ROUNDDOWN((LineærRegression_Valg[[#This Row],[Tabel ID]]-1)/$B$5,0)+1</f>
        <v>487</v>
      </c>
      <c r="C1955" s="171">
        <f t="shared" si="30"/>
        <v>1</v>
      </c>
      <c r="D1955" s="171" t="b">
        <f>LineærRegression_Valg[[#This Row],[Afhængig variabel ID]]&lt;&gt;LineærRegression_Valg[[#This Row],[Uafhængig variabel ID]]</f>
        <v>1</v>
      </c>
      <c r="E1955" s="171" t="b">
        <f>LineærRegression_Valg[[#This Row],[Afhængig variabel ID]]&lt;=$B$5</f>
        <v>0</v>
      </c>
      <c r="F1955" t="str" cm="1">
        <f t="array" ref="F1955">IF(LineærRegression_Valg[[#This Row],[Indenfor range]],INDEX(DataTitel_liste,LineærRegression_Valg[[#This Row],[Afhængig variabel ID]]),INDEX(DataTitel_liste,1))</f>
        <v>Eksempel 1 (interval)</v>
      </c>
      <c r="G1955" s="171" t="str" cm="1">
        <f t="array" ref="G1955">IF(LineærRegression_Valg[[#This Row],[Indenfor range]],IF(LineærRegression_Valg[[#This Row],[Intet overlap]],INDEX(DataTitel_liste,LineærRegression_Valg[[#This Row],[Uafhængig variabel ID]]),INDEX(DataTitel_liste,IF(LineærRegression_Valg[[#This Row],[Afhængig variabel ID]]=1,2,1))),$B$7)</f>
        <v>Eksempel 2 (interval)</v>
      </c>
      <c r="H1955" s="171">
        <f>_xlfn.AGGREGATE(2,5,LineærRegression_Valg[[#This Row],[Tabel ID]])</f>
        <v>1</v>
      </c>
    </row>
    <row r="1956" spans="1:8" x14ac:dyDescent="0.2">
      <c r="A1956">
        <f>ROW(LineærRegression_Valg[[#This Row],[Tabel ID]])-ROW(LineærRegression_Valg[[#Headers],[Tabel ID]])</f>
        <v>1946</v>
      </c>
      <c r="B1956" s="171">
        <f>ROUNDDOWN((LineærRegression_Valg[[#This Row],[Tabel ID]]-1)/$B$5,0)+1</f>
        <v>487</v>
      </c>
      <c r="C1956" s="171">
        <f t="shared" si="30"/>
        <v>2</v>
      </c>
      <c r="D1956" s="171" t="b">
        <f>LineærRegression_Valg[[#This Row],[Afhængig variabel ID]]&lt;&gt;LineærRegression_Valg[[#This Row],[Uafhængig variabel ID]]</f>
        <v>1</v>
      </c>
      <c r="E1956" s="171" t="b">
        <f>LineærRegression_Valg[[#This Row],[Afhængig variabel ID]]&lt;=$B$5</f>
        <v>0</v>
      </c>
      <c r="F1956" t="str" cm="1">
        <f t="array" ref="F1956">IF(LineærRegression_Valg[[#This Row],[Indenfor range]],INDEX(DataTitel_liste,LineærRegression_Valg[[#This Row],[Afhængig variabel ID]]),INDEX(DataTitel_liste,1))</f>
        <v>Eksempel 1 (interval)</v>
      </c>
      <c r="G1956" s="171" t="str" cm="1">
        <f t="array" ref="G1956">IF(LineærRegression_Valg[[#This Row],[Indenfor range]],IF(LineærRegression_Valg[[#This Row],[Intet overlap]],INDEX(DataTitel_liste,LineærRegression_Valg[[#This Row],[Uafhængig variabel ID]]),INDEX(DataTitel_liste,IF(LineærRegression_Valg[[#This Row],[Afhængig variabel ID]]=1,2,1))),$B$7)</f>
        <v>Eksempel 2 (interval)</v>
      </c>
      <c r="H1956" s="171">
        <f>_xlfn.AGGREGATE(2,5,LineærRegression_Valg[[#This Row],[Tabel ID]])</f>
        <v>1</v>
      </c>
    </row>
    <row r="1957" spans="1:8" x14ac:dyDescent="0.2">
      <c r="A1957">
        <f>ROW(LineærRegression_Valg[[#This Row],[Tabel ID]])-ROW(LineærRegression_Valg[[#Headers],[Tabel ID]])</f>
        <v>1947</v>
      </c>
      <c r="B1957" s="171">
        <f>ROUNDDOWN((LineærRegression_Valg[[#This Row],[Tabel ID]]-1)/$B$5,0)+1</f>
        <v>487</v>
      </c>
      <c r="C1957" s="171">
        <f t="shared" si="30"/>
        <v>3</v>
      </c>
      <c r="D1957" s="171" t="b">
        <f>LineærRegression_Valg[[#This Row],[Afhængig variabel ID]]&lt;&gt;LineærRegression_Valg[[#This Row],[Uafhængig variabel ID]]</f>
        <v>1</v>
      </c>
      <c r="E1957" s="171" t="b">
        <f>LineærRegression_Valg[[#This Row],[Afhængig variabel ID]]&lt;=$B$5</f>
        <v>0</v>
      </c>
      <c r="F1957" t="str" cm="1">
        <f t="array" ref="F1957">IF(LineærRegression_Valg[[#This Row],[Indenfor range]],INDEX(DataTitel_liste,LineærRegression_Valg[[#This Row],[Afhængig variabel ID]]),INDEX(DataTitel_liste,1))</f>
        <v>Eksempel 1 (interval)</v>
      </c>
      <c r="G1957" s="171" t="str" cm="1">
        <f t="array" ref="G1957">IF(LineærRegression_Valg[[#This Row],[Indenfor range]],IF(LineærRegression_Valg[[#This Row],[Intet overlap]],INDEX(DataTitel_liste,LineærRegression_Valg[[#This Row],[Uafhængig variabel ID]]),INDEX(DataTitel_liste,IF(LineærRegression_Valg[[#This Row],[Afhængig variabel ID]]=1,2,1))),$B$7)</f>
        <v>Eksempel 2 (interval)</v>
      </c>
      <c r="H1957" s="171">
        <f>_xlfn.AGGREGATE(2,5,LineærRegression_Valg[[#This Row],[Tabel ID]])</f>
        <v>1</v>
      </c>
    </row>
    <row r="1958" spans="1:8" x14ac:dyDescent="0.2">
      <c r="A1958">
        <f>ROW(LineærRegression_Valg[[#This Row],[Tabel ID]])-ROW(LineærRegression_Valg[[#Headers],[Tabel ID]])</f>
        <v>1948</v>
      </c>
      <c r="B1958" s="171">
        <f>ROUNDDOWN((LineærRegression_Valg[[#This Row],[Tabel ID]]-1)/$B$5,0)+1</f>
        <v>487</v>
      </c>
      <c r="C1958" s="171">
        <f t="shared" si="30"/>
        <v>4</v>
      </c>
      <c r="D1958" s="171" t="b">
        <f>LineærRegression_Valg[[#This Row],[Afhængig variabel ID]]&lt;&gt;LineærRegression_Valg[[#This Row],[Uafhængig variabel ID]]</f>
        <v>1</v>
      </c>
      <c r="E1958" s="171" t="b">
        <f>LineærRegression_Valg[[#This Row],[Afhængig variabel ID]]&lt;=$B$5</f>
        <v>0</v>
      </c>
      <c r="F1958" t="str" cm="1">
        <f t="array" ref="F1958">IF(LineærRegression_Valg[[#This Row],[Indenfor range]],INDEX(DataTitel_liste,LineærRegression_Valg[[#This Row],[Afhængig variabel ID]]),INDEX(DataTitel_liste,1))</f>
        <v>Eksempel 1 (interval)</v>
      </c>
      <c r="G1958" s="171" t="str" cm="1">
        <f t="array" ref="G1958">IF(LineærRegression_Valg[[#This Row],[Indenfor range]],IF(LineærRegression_Valg[[#This Row],[Intet overlap]],INDEX(DataTitel_liste,LineærRegression_Valg[[#This Row],[Uafhængig variabel ID]]),INDEX(DataTitel_liste,IF(LineærRegression_Valg[[#This Row],[Afhængig variabel ID]]=1,2,1))),$B$7)</f>
        <v>Eksempel 2 (interval)</v>
      </c>
      <c r="H1958" s="171">
        <f>_xlfn.AGGREGATE(2,5,LineærRegression_Valg[[#This Row],[Tabel ID]])</f>
        <v>1</v>
      </c>
    </row>
    <row r="1959" spans="1:8" x14ac:dyDescent="0.2">
      <c r="A1959">
        <f>ROW(LineærRegression_Valg[[#This Row],[Tabel ID]])-ROW(LineærRegression_Valg[[#Headers],[Tabel ID]])</f>
        <v>1949</v>
      </c>
      <c r="B1959" s="171">
        <f>ROUNDDOWN((LineærRegression_Valg[[#This Row],[Tabel ID]]-1)/$B$5,0)+1</f>
        <v>488</v>
      </c>
      <c r="C1959" s="171">
        <f t="shared" si="30"/>
        <v>1</v>
      </c>
      <c r="D1959" s="171" t="b">
        <f>LineærRegression_Valg[[#This Row],[Afhængig variabel ID]]&lt;&gt;LineærRegression_Valg[[#This Row],[Uafhængig variabel ID]]</f>
        <v>1</v>
      </c>
      <c r="E1959" s="171" t="b">
        <f>LineærRegression_Valg[[#This Row],[Afhængig variabel ID]]&lt;=$B$5</f>
        <v>0</v>
      </c>
      <c r="F1959" t="str" cm="1">
        <f t="array" ref="F1959">IF(LineærRegression_Valg[[#This Row],[Indenfor range]],INDEX(DataTitel_liste,LineærRegression_Valg[[#This Row],[Afhængig variabel ID]]),INDEX(DataTitel_liste,1))</f>
        <v>Eksempel 1 (interval)</v>
      </c>
      <c r="G1959" s="171" t="str" cm="1">
        <f t="array" ref="G1959">IF(LineærRegression_Valg[[#This Row],[Indenfor range]],IF(LineærRegression_Valg[[#This Row],[Intet overlap]],INDEX(DataTitel_liste,LineærRegression_Valg[[#This Row],[Uafhængig variabel ID]]),INDEX(DataTitel_liste,IF(LineærRegression_Valg[[#This Row],[Afhængig variabel ID]]=1,2,1))),$B$7)</f>
        <v>Eksempel 2 (interval)</v>
      </c>
      <c r="H1959" s="171">
        <f>_xlfn.AGGREGATE(2,5,LineærRegression_Valg[[#This Row],[Tabel ID]])</f>
        <v>1</v>
      </c>
    </row>
    <row r="1960" spans="1:8" x14ac:dyDescent="0.2">
      <c r="A1960">
        <f>ROW(LineærRegression_Valg[[#This Row],[Tabel ID]])-ROW(LineærRegression_Valg[[#Headers],[Tabel ID]])</f>
        <v>1950</v>
      </c>
      <c r="B1960" s="171">
        <f>ROUNDDOWN((LineærRegression_Valg[[#This Row],[Tabel ID]]-1)/$B$5,0)+1</f>
        <v>488</v>
      </c>
      <c r="C1960" s="171">
        <f t="shared" si="30"/>
        <v>2</v>
      </c>
      <c r="D1960" s="171" t="b">
        <f>LineærRegression_Valg[[#This Row],[Afhængig variabel ID]]&lt;&gt;LineærRegression_Valg[[#This Row],[Uafhængig variabel ID]]</f>
        <v>1</v>
      </c>
      <c r="E1960" s="171" t="b">
        <f>LineærRegression_Valg[[#This Row],[Afhængig variabel ID]]&lt;=$B$5</f>
        <v>0</v>
      </c>
      <c r="F1960" t="str" cm="1">
        <f t="array" ref="F1960">IF(LineærRegression_Valg[[#This Row],[Indenfor range]],INDEX(DataTitel_liste,LineærRegression_Valg[[#This Row],[Afhængig variabel ID]]),INDEX(DataTitel_liste,1))</f>
        <v>Eksempel 1 (interval)</v>
      </c>
      <c r="G1960" s="171" t="str" cm="1">
        <f t="array" ref="G1960">IF(LineærRegression_Valg[[#This Row],[Indenfor range]],IF(LineærRegression_Valg[[#This Row],[Intet overlap]],INDEX(DataTitel_liste,LineærRegression_Valg[[#This Row],[Uafhængig variabel ID]]),INDEX(DataTitel_liste,IF(LineærRegression_Valg[[#This Row],[Afhængig variabel ID]]=1,2,1))),$B$7)</f>
        <v>Eksempel 2 (interval)</v>
      </c>
      <c r="H1960" s="171">
        <f>_xlfn.AGGREGATE(2,5,LineærRegression_Valg[[#This Row],[Tabel ID]])</f>
        <v>1</v>
      </c>
    </row>
    <row r="1961" spans="1:8" x14ac:dyDescent="0.2">
      <c r="A1961">
        <f>ROW(LineærRegression_Valg[[#This Row],[Tabel ID]])-ROW(LineærRegression_Valg[[#Headers],[Tabel ID]])</f>
        <v>1951</v>
      </c>
      <c r="B1961" s="171">
        <f>ROUNDDOWN((LineærRegression_Valg[[#This Row],[Tabel ID]]-1)/$B$5,0)+1</f>
        <v>488</v>
      </c>
      <c r="C1961" s="171">
        <f t="shared" si="30"/>
        <v>3</v>
      </c>
      <c r="D1961" s="171" t="b">
        <f>LineærRegression_Valg[[#This Row],[Afhængig variabel ID]]&lt;&gt;LineærRegression_Valg[[#This Row],[Uafhængig variabel ID]]</f>
        <v>1</v>
      </c>
      <c r="E1961" s="171" t="b">
        <f>LineærRegression_Valg[[#This Row],[Afhængig variabel ID]]&lt;=$B$5</f>
        <v>0</v>
      </c>
      <c r="F1961" t="str" cm="1">
        <f t="array" ref="F1961">IF(LineærRegression_Valg[[#This Row],[Indenfor range]],INDEX(DataTitel_liste,LineærRegression_Valg[[#This Row],[Afhængig variabel ID]]),INDEX(DataTitel_liste,1))</f>
        <v>Eksempel 1 (interval)</v>
      </c>
      <c r="G1961" s="171" t="str" cm="1">
        <f t="array" ref="G1961">IF(LineærRegression_Valg[[#This Row],[Indenfor range]],IF(LineærRegression_Valg[[#This Row],[Intet overlap]],INDEX(DataTitel_liste,LineærRegression_Valg[[#This Row],[Uafhængig variabel ID]]),INDEX(DataTitel_liste,IF(LineærRegression_Valg[[#This Row],[Afhængig variabel ID]]=1,2,1))),$B$7)</f>
        <v>Eksempel 2 (interval)</v>
      </c>
      <c r="H1961" s="171">
        <f>_xlfn.AGGREGATE(2,5,LineærRegression_Valg[[#This Row],[Tabel ID]])</f>
        <v>1</v>
      </c>
    </row>
    <row r="1962" spans="1:8" x14ac:dyDescent="0.2">
      <c r="A1962">
        <f>ROW(LineærRegression_Valg[[#This Row],[Tabel ID]])-ROW(LineærRegression_Valg[[#Headers],[Tabel ID]])</f>
        <v>1952</v>
      </c>
      <c r="B1962" s="171">
        <f>ROUNDDOWN((LineærRegression_Valg[[#This Row],[Tabel ID]]-1)/$B$5,0)+1</f>
        <v>488</v>
      </c>
      <c r="C1962" s="171">
        <f t="shared" si="30"/>
        <v>4</v>
      </c>
      <c r="D1962" s="171" t="b">
        <f>LineærRegression_Valg[[#This Row],[Afhængig variabel ID]]&lt;&gt;LineærRegression_Valg[[#This Row],[Uafhængig variabel ID]]</f>
        <v>1</v>
      </c>
      <c r="E1962" s="171" t="b">
        <f>LineærRegression_Valg[[#This Row],[Afhængig variabel ID]]&lt;=$B$5</f>
        <v>0</v>
      </c>
      <c r="F1962" t="str" cm="1">
        <f t="array" ref="F1962">IF(LineærRegression_Valg[[#This Row],[Indenfor range]],INDEX(DataTitel_liste,LineærRegression_Valg[[#This Row],[Afhængig variabel ID]]),INDEX(DataTitel_liste,1))</f>
        <v>Eksempel 1 (interval)</v>
      </c>
      <c r="G1962" s="171" t="str" cm="1">
        <f t="array" ref="G1962">IF(LineærRegression_Valg[[#This Row],[Indenfor range]],IF(LineærRegression_Valg[[#This Row],[Intet overlap]],INDEX(DataTitel_liste,LineærRegression_Valg[[#This Row],[Uafhængig variabel ID]]),INDEX(DataTitel_liste,IF(LineærRegression_Valg[[#This Row],[Afhængig variabel ID]]=1,2,1))),$B$7)</f>
        <v>Eksempel 2 (interval)</v>
      </c>
      <c r="H1962" s="171">
        <f>_xlfn.AGGREGATE(2,5,LineærRegression_Valg[[#This Row],[Tabel ID]])</f>
        <v>1</v>
      </c>
    </row>
    <row r="1963" spans="1:8" x14ac:dyDescent="0.2">
      <c r="A1963">
        <f>ROW(LineærRegression_Valg[[#This Row],[Tabel ID]])-ROW(LineærRegression_Valg[[#Headers],[Tabel ID]])</f>
        <v>1953</v>
      </c>
      <c r="B1963" s="171">
        <f>ROUNDDOWN((LineærRegression_Valg[[#This Row],[Tabel ID]]-1)/$B$5,0)+1</f>
        <v>489</v>
      </c>
      <c r="C1963" s="171">
        <f t="shared" si="30"/>
        <v>1</v>
      </c>
      <c r="D1963" s="171" t="b">
        <f>LineærRegression_Valg[[#This Row],[Afhængig variabel ID]]&lt;&gt;LineærRegression_Valg[[#This Row],[Uafhængig variabel ID]]</f>
        <v>1</v>
      </c>
      <c r="E1963" s="171" t="b">
        <f>LineærRegression_Valg[[#This Row],[Afhængig variabel ID]]&lt;=$B$5</f>
        <v>0</v>
      </c>
      <c r="F1963" t="str" cm="1">
        <f t="array" ref="F1963">IF(LineærRegression_Valg[[#This Row],[Indenfor range]],INDEX(DataTitel_liste,LineærRegression_Valg[[#This Row],[Afhængig variabel ID]]),INDEX(DataTitel_liste,1))</f>
        <v>Eksempel 1 (interval)</v>
      </c>
      <c r="G1963" s="171" t="str" cm="1">
        <f t="array" ref="G1963">IF(LineærRegression_Valg[[#This Row],[Indenfor range]],IF(LineærRegression_Valg[[#This Row],[Intet overlap]],INDEX(DataTitel_liste,LineærRegression_Valg[[#This Row],[Uafhængig variabel ID]]),INDEX(DataTitel_liste,IF(LineærRegression_Valg[[#This Row],[Afhængig variabel ID]]=1,2,1))),$B$7)</f>
        <v>Eksempel 2 (interval)</v>
      </c>
      <c r="H1963" s="171">
        <f>_xlfn.AGGREGATE(2,5,LineærRegression_Valg[[#This Row],[Tabel ID]])</f>
        <v>1</v>
      </c>
    </row>
    <row r="1964" spans="1:8" x14ac:dyDescent="0.2">
      <c r="A1964">
        <f>ROW(LineærRegression_Valg[[#This Row],[Tabel ID]])-ROW(LineærRegression_Valg[[#Headers],[Tabel ID]])</f>
        <v>1954</v>
      </c>
      <c r="B1964" s="171">
        <f>ROUNDDOWN((LineærRegression_Valg[[#This Row],[Tabel ID]]-1)/$B$5,0)+1</f>
        <v>489</v>
      </c>
      <c r="C1964" s="171">
        <f t="shared" si="30"/>
        <v>2</v>
      </c>
      <c r="D1964" s="171" t="b">
        <f>LineærRegression_Valg[[#This Row],[Afhængig variabel ID]]&lt;&gt;LineærRegression_Valg[[#This Row],[Uafhængig variabel ID]]</f>
        <v>1</v>
      </c>
      <c r="E1964" s="171" t="b">
        <f>LineærRegression_Valg[[#This Row],[Afhængig variabel ID]]&lt;=$B$5</f>
        <v>0</v>
      </c>
      <c r="F1964" t="str" cm="1">
        <f t="array" ref="F1964">IF(LineærRegression_Valg[[#This Row],[Indenfor range]],INDEX(DataTitel_liste,LineærRegression_Valg[[#This Row],[Afhængig variabel ID]]),INDEX(DataTitel_liste,1))</f>
        <v>Eksempel 1 (interval)</v>
      </c>
      <c r="G1964" s="171" t="str" cm="1">
        <f t="array" ref="G1964">IF(LineærRegression_Valg[[#This Row],[Indenfor range]],IF(LineærRegression_Valg[[#This Row],[Intet overlap]],INDEX(DataTitel_liste,LineærRegression_Valg[[#This Row],[Uafhængig variabel ID]]),INDEX(DataTitel_liste,IF(LineærRegression_Valg[[#This Row],[Afhængig variabel ID]]=1,2,1))),$B$7)</f>
        <v>Eksempel 2 (interval)</v>
      </c>
      <c r="H1964" s="171">
        <f>_xlfn.AGGREGATE(2,5,LineærRegression_Valg[[#This Row],[Tabel ID]])</f>
        <v>1</v>
      </c>
    </row>
    <row r="1965" spans="1:8" x14ac:dyDescent="0.2">
      <c r="A1965">
        <f>ROW(LineærRegression_Valg[[#This Row],[Tabel ID]])-ROW(LineærRegression_Valg[[#Headers],[Tabel ID]])</f>
        <v>1955</v>
      </c>
      <c r="B1965" s="171">
        <f>ROUNDDOWN((LineærRegression_Valg[[#This Row],[Tabel ID]]-1)/$B$5,0)+1</f>
        <v>489</v>
      </c>
      <c r="C1965" s="171">
        <f t="shared" si="30"/>
        <v>3</v>
      </c>
      <c r="D1965" s="171" t="b">
        <f>LineærRegression_Valg[[#This Row],[Afhængig variabel ID]]&lt;&gt;LineærRegression_Valg[[#This Row],[Uafhængig variabel ID]]</f>
        <v>1</v>
      </c>
      <c r="E1965" s="171" t="b">
        <f>LineærRegression_Valg[[#This Row],[Afhængig variabel ID]]&lt;=$B$5</f>
        <v>0</v>
      </c>
      <c r="F1965" t="str" cm="1">
        <f t="array" ref="F1965">IF(LineærRegression_Valg[[#This Row],[Indenfor range]],INDEX(DataTitel_liste,LineærRegression_Valg[[#This Row],[Afhængig variabel ID]]),INDEX(DataTitel_liste,1))</f>
        <v>Eksempel 1 (interval)</v>
      </c>
      <c r="G1965" s="171" t="str" cm="1">
        <f t="array" ref="G1965">IF(LineærRegression_Valg[[#This Row],[Indenfor range]],IF(LineærRegression_Valg[[#This Row],[Intet overlap]],INDEX(DataTitel_liste,LineærRegression_Valg[[#This Row],[Uafhængig variabel ID]]),INDEX(DataTitel_liste,IF(LineærRegression_Valg[[#This Row],[Afhængig variabel ID]]=1,2,1))),$B$7)</f>
        <v>Eksempel 2 (interval)</v>
      </c>
      <c r="H1965" s="171">
        <f>_xlfn.AGGREGATE(2,5,LineærRegression_Valg[[#This Row],[Tabel ID]])</f>
        <v>1</v>
      </c>
    </row>
    <row r="1966" spans="1:8" x14ac:dyDescent="0.2">
      <c r="A1966">
        <f>ROW(LineærRegression_Valg[[#This Row],[Tabel ID]])-ROW(LineærRegression_Valg[[#Headers],[Tabel ID]])</f>
        <v>1956</v>
      </c>
      <c r="B1966" s="171">
        <f>ROUNDDOWN((LineærRegression_Valg[[#This Row],[Tabel ID]]-1)/$B$5,0)+1</f>
        <v>489</v>
      </c>
      <c r="C1966" s="171">
        <f t="shared" si="30"/>
        <v>4</v>
      </c>
      <c r="D1966" s="171" t="b">
        <f>LineærRegression_Valg[[#This Row],[Afhængig variabel ID]]&lt;&gt;LineærRegression_Valg[[#This Row],[Uafhængig variabel ID]]</f>
        <v>1</v>
      </c>
      <c r="E1966" s="171" t="b">
        <f>LineærRegression_Valg[[#This Row],[Afhængig variabel ID]]&lt;=$B$5</f>
        <v>0</v>
      </c>
      <c r="F1966" t="str" cm="1">
        <f t="array" ref="F1966">IF(LineærRegression_Valg[[#This Row],[Indenfor range]],INDEX(DataTitel_liste,LineærRegression_Valg[[#This Row],[Afhængig variabel ID]]),INDEX(DataTitel_liste,1))</f>
        <v>Eksempel 1 (interval)</v>
      </c>
      <c r="G1966" s="171" t="str" cm="1">
        <f t="array" ref="G1966">IF(LineærRegression_Valg[[#This Row],[Indenfor range]],IF(LineærRegression_Valg[[#This Row],[Intet overlap]],INDEX(DataTitel_liste,LineærRegression_Valg[[#This Row],[Uafhængig variabel ID]]),INDEX(DataTitel_liste,IF(LineærRegression_Valg[[#This Row],[Afhængig variabel ID]]=1,2,1))),$B$7)</f>
        <v>Eksempel 2 (interval)</v>
      </c>
      <c r="H1966" s="171">
        <f>_xlfn.AGGREGATE(2,5,LineærRegression_Valg[[#This Row],[Tabel ID]])</f>
        <v>1</v>
      </c>
    </row>
    <row r="1967" spans="1:8" x14ac:dyDescent="0.2">
      <c r="A1967">
        <f>ROW(LineærRegression_Valg[[#This Row],[Tabel ID]])-ROW(LineærRegression_Valg[[#Headers],[Tabel ID]])</f>
        <v>1957</v>
      </c>
      <c r="B1967" s="171">
        <f>ROUNDDOWN((LineærRegression_Valg[[#This Row],[Tabel ID]]-1)/$B$5,0)+1</f>
        <v>490</v>
      </c>
      <c r="C1967" s="171">
        <f t="shared" si="30"/>
        <v>1</v>
      </c>
      <c r="D1967" s="171" t="b">
        <f>LineærRegression_Valg[[#This Row],[Afhængig variabel ID]]&lt;&gt;LineærRegression_Valg[[#This Row],[Uafhængig variabel ID]]</f>
        <v>1</v>
      </c>
      <c r="E1967" s="171" t="b">
        <f>LineærRegression_Valg[[#This Row],[Afhængig variabel ID]]&lt;=$B$5</f>
        <v>0</v>
      </c>
      <c r="F1967" t="str" cm="1">
        <f t="array" ref="F1967">IF(LineærRegression_Valg[[#This Row],[Indenfor range]],INDEX(DataTitel_liste,LineærRegression_Valg[[#This Row],[Afhængig variabel ID]]),INDEX(DataTitel_liste,1))</f>
        <v>Eksempel 1 (interval)</v>
      </c>
      <c r="G1967" s="171" t="str" cm="1">
        <f t="array" ref="G1967">IF(LineærRegression_Valg[[#This Row],[Indenfor range]],IF(LineærRegression_Valg[[#This Row],[Intet overlap]],INDEX(DataTitel_liste,LineærRegression_Valg[[#This Row],[Uafhængig variabel ID]]),INDEX(DataTitel_liste,IF(LineærRegression_Valg[[#This Row],[Afhængig variabel ID]]=1,2,1))),$B$7)</f>
        <v>Eksempel 2 (interval)</v>
      </c>
      <c r="H1967" s="171">
        <f>_xlfn.AGGREGATE(2,5,LineærRegression_Valg[[#This Row],[Tabel ID]])</f>
        <v>1</v>
      </c>
    </row>
    <row r="1968" spans="1:8" x14ac:dyDescent="0.2">
      <c r="A1968">
        <f>ROW(LineærRegression_Valg[[#This Row],[Tabel ID]])-ROW(LineærRegression_Valg[[#Headers],[Tabel ID]])</f>
        <v>1958</v>
      </c>
      <c r="B1968" s="171">
        <f>ROUNDDOWN((LineærRegression_Valg[[#This Row],[Tabel ID]]-1)/$B$5,0)+1</f>
        <v>490</v>
      </c>
      <c r="C1968" s="171">
        <f t="shared" si="30"/>
        <v>2</v>
      </c>
      <c r="D1968" s="171" t="b">
        <f>LineærRegression_Valg[[#This Row],[Afhængig variabel ID]]&lt;&gt;LineærRegression_Valg[[#This Row],[Uafhængig variabel ID]]</f>
        <v>1</v>
      </c>
      <c r="E1968" s="171" t="b">
        <f>LineærRegression_Valg[[#This Row],[Afhængig variabel ID]]&lt;=$B$5</f>
        <v>0</v>
      </c>
      <c r="F1968" t="str" cm="1">
        <f t="array" ref="F1968">IF(LineærRegression_Valg[[#This Row],[Indenfor range]],INDEX(DataTitel_liste,LineærRegression_Valg[[#This Row],[Afhængig variabel ID]]),INDEX(DataTitel_liste,1))</f>
        <v>Eksempel 1 (interval)</v>
      </c>
      <c r="G1968" s="171" t="str" cm="1">
        <f t="array" ref="G1968">IF(LineærRegression_Valg[[#This Row],[Indenfor range]],IF(LineærRegression_Valg[[#This Row],[Intet overlap]],INDEX(DataTitel_liste,LineærRegression_Valg[[#This Row],[Uafhængig variabel ID]]),INDEX(DataTitel_liste,IF(LineærRegression_Valg[[#This Row],[Afhængig variabel ID]]=1,2,1))),$B$7)</f>
        <v>Eksempel 2 (interval)</v>
      </c>
      <c r="H1968" s="171">
        <f>_xlfn.AGGREGATE(2,5,LineærRegression_Valg[[#This Row],[Tabel ID]])</f>
        <v>1</v>
      </c>
    </row>
    <row r="1969" spans="1:8" x14ac:dyDescent="0.2">
      <c r="A1969">
        <f>ROW(LineærRegression_Valg[[#This Row],[Tabel ID]])-ROW(LineærRegression_Valg[[#Headers],[Tabel ID]])</f>
        <v>1959</v>
      </c>
      <c r="B1969" s="171">
        <f>ROUNDDOWN((LineærRegression_Valg[[#This Row],[Tabel ID]]-1)/$B$5,0)+1</f>
        <v>490</v>
      </c>
      <c r="C1969" s="171">
        <f t="shared" si="30"/>
        <v>3</v>
      </c>
      <c r="D1969" s="171" t="b">
        <f>LineærRegression_Valg[[#This Row],[Afhængig variabel ID]]&lt;&gt;LineærRegression_Valg[[#This Row],[Uafhængig variabel ID]]</f>
        <v>1</v>
      </c>
      <c r="E1969" s="171" t="b">
        <f>LineærRegression_Valg[[#This Row],[Afhængig variabel ID]]&lt;=$B$5</f>
        <v>0</v>
      </c>
      <c r="F1969" t="str" cm="1">
        <f t="array" ref="F1969">IF(LineærRegression_Valg[[#This Row],[Indenfor range]],INDEX(DataTitel_liste,LineærRegression_Valg[[#This Row],[Afhængig variabel ID]]),INDEX(DataTitel_liste,1))</f>
        <v>Eksempel 1 (interval)</v>
      </c>
      <c r="G1969" s="171" t="str" cm="1">
        <f t="array" ref="G1969">IF(LineærRegression_Valg[[#This Row],[Indenfor range]],IF(LineærRegression_Valg[[#This Row],[Intet overlap]],INDEX(DataTitel_liste,LineærRegression_Valg[[#This Row],[Uafhængig variabel ID]]),INDEX(DataTitel_liste,IF(LineærRegression_Valg[[#This Row],[Afhængig variabel ID]]=1,2,1))),$B$7)</f>
        <v>Eksempel 2 (interval)</v>
      </c>
      <c r="H1969" s="171">
        <f>_xlfn.AGGREGATE(2,5,LineærRegression_Valg[[#This Row],[Tabel ID]])</f>
        <v>1</v>
      </c>
    </row>
    <row r="1970" spans="1:8" x14ac:dyDescent="0.2">
      <c r="A1970">
        <f>ROW(LineærRegression_Valg[[#This Row],[Tabel ID]])-ROW(LineærRegression_Valg[[#Headers],[Tabel ID]])</f>
        <v>1960</v>
      </c>
      <c r="B1970" s="171">
        <f>ROUNDDOWN((LineærRegression_Valg[[#This Row],[Tabel ID]]-1)/$B$5,0)+1</f>
        <v>490</v>
      </c>
      <c r="C1970" s="171">
        <f t="shared" si="30"/>
        <v>4</v>
      </c>
      <c r="D1970" s="171" t="b">
        <f>LineærRegression_Valg[[#This Row],[Afhængig variabel ID]]&lt;&gt;LineærRegression_Valg[[#This Row],[Uafhængig variabel ID]]</f>
        <v>1</v>
      </c>
      <c r="E1970" s="171" t="b">
        <f>LineærRegression_Valg[[#This Row],[Afhængig variabel ID]]&lt;=$B$5</f>
        <v>0</v>
      </c>
      <c r="F1970" t="str" cm="1">
        <f t="array" ref="F1970">IF(LineærRegression_Valg[[#This Row],[Indenfor range]],INDEX(DataTitel_liste,LineærRegression_Valg[[#This Row],[Afhængig variabel ID]]),INDEX(DataTitel_liste,1))</f>
        <v>Eksempel 1 (interval)</v>
      </c>
      <c r="G1970" s="171" t="str" cm="1">
        <f t="array" ref="G1970">IF(LineærRegression_Valg[[#This Row],[Indenfor range]],IF(LineærRegression_Valg[[#This Row],[Intet overlap]],INDEX(DataTitel_liste,LineærRegression_Valg[[#This Row],[Uafhængig variabel ID]]),INDEX(DataTitel_liste,IF(LineærRegression_Valg[[#This Row],[Afhængig variabel ID]]=1,2,1))),$B$7)</f>
        <v>Eksempel 2 (interval)</v>
      </c>
      <c r="H1970" s="171">
        <f>_xlfn.AGGREGATE(2,5,LineærRegression_Valg[[#This Row],[Tabel ID]])</f>
        <v>1</v>
      </c>
    </row>
    <row r="1971" spans="1:8" x14ac:dyDescent="0.2">
      <c r="A1971">
        <f>ROW(LineærRegression_Valg[[#This Row],[Tabel ID]])-ROW(LineærRegression_Valg[[#Headers],[Tabel ID]])</f>
        <v>1961</v>
      </c>
      <c r="B1971" s="171">
        <f>ROUNDDOWN((LineærRegression_Valg[[#This Row],[Tabel ID]]-1)/$B$5,0)+1</f>
        <v>491</v>
      </c>
      <c r="C1971" s="171">
        <f t="shared" si="30"/>
        <v>1</v>
      </c>
      <c r="D1971" s="171" t="b">
        <f>LineærRegression_Valg[[#This Row],[Afhængig variabel ID]]&lt;&gt;LineærRegression_Valg[[#This Row],[Uafhængig variabel ID]]</f>
        <v>1</v>
      </c>
      <c r="E1971" s="171" t="b">
        <f>LineærRegression_Valg[[#This Row],[Afhængig variabel ID]]&lt;=$B$5</f>
        <v>0</v>
      </c>
      <c r="F1971" t="str" cm="1">
        <f t="array" ref="F1971">IF(LineærRegression_Valg[[#This Row],[Indenfor range]],INDEX(DataTitel_liste,LineærRegression_Valg[[#This Row],[Afhængig variabel ID]]),INDEX(DataTitel_liste,1))</f>
        <v>Eksempel 1 (interval)</v>
      </c>
      <c r="G1971" s="171" t="str" cm="1">
        <f t="array" ref="G1971">IF(LineærRegression_Valg[[#This Row],[Indenfor range]],IF(LineærRegression_Valg[[#This Row],[Intet overlap]],INDEX(DataTitel_liste,LineærRegression_Valg[[#This Row],[Uafhængig variabel ID]]),INDEX(DataTitel_liste,IF(LineærRegression_Valg[[#This Row],[Afhængig variabel ID]]=1,2,1))),$B$7)</f>
        <v>Eksempel 2 (interval)</v>
      </c>
      <c r="H1971" s="171">
        <f>_xlfn.AGGREGATE(2,5,LineærRegression_Valg[[#This Row],[Tabel ID]])</f>
        <v>1</v>
      </c>
    </row>
    <row r="1972" spans="1:8" x14ac:dyDescent="0.2">
      <c r="A1972">
        <f>ROW(LineærRegression_Valg[[#This Row],[Tabel ID]])-ROW(LineærRegression_Valg[[#Headers],[Tabel ID]])</f>
        <v>1962</v>
      </c>
      <c r="B1972" s="171">
        <f>ROUNDDOWN((LineærRegression_Valg[[#This Row],[Tabel ID]]-1)/$B$5,0)+1</f>
        <v>491</v>
      </c>
      <c r="C1972" s="171">
        <f t="shared" si="30"/>
        <v>2</v>
      </c>
      <c r="D1972" s="171" t="b">
        <f>LineærRegression_Valg[[#This Row],[Afhængig variabel ID]]&lt;&gt;LineærRegression_Valg[[#This Row],[Uafhængig variabel ID]]</f>
        <v>1</v>
      </c>
      <c r="E1972" s="171" t="b">
        <f>LineærRegression_Valg[[#This Row],[Afhængig variabel ID]]&lt;=$B$5</f>
        <v>0</v>
      </c>
      <c r="F1972" t="str" cm="1">
        <f t="array" ref="F1972">IF(LineærRegression_Valg[[#This Row],[Indenfor range]],INDEX(DataTitel_liste,LineærRegression_Valg[[#This Row],[Afhængig variabel ID]]),INDEX(DataTitel_liste,1))</f>
        <v>Eksempel 1 (interval)</v>
      </c>
      <c r="G1972" s="171" t="str" cm="1">
        <f t="array" ref="G1972">IF(LineærRegression_Valg[[#This Row],[Indenfor range]],IF(LineærRegression_Valg[[#This Row],[Intet overlap]],INDEX(DataTitel_liste,LineærRegression_Valg[[#This Row],[Uafhængig variabel ID]]),INDEX(DataTitel_liste,IF(LineærRegression_Valg[[#This Row],[Afhængig variabel ID]]=1,2,1))),$B$7)</f>
        <v>Eksempel 2 (interval)</v>
      </c>
      <c r="H1972" s="171">
        <f>_xlfn.AGGREGATE(2,5,LineærRegression_Valg[[#This Row],[Tabel ID]])</f>
        <v>1</v>
      </c>
    </row>
    <row r="1973" spans="1:8" x14ac:dyDescent="0.2">
      <c r="A1973">
        <f>ROW(LineærRegression_Valg[[#This Row],[Tabel ID]])-ROW(LineærRegression_Valg[[#Headers],[Tabel ID]])</f>
        <v>1963</v>
      </c>
      <c r="B1973" s="171">
        <f>ROUNDDOWN((LineærRegression_Valg[[#This Row],[Tabel ID]]-1)/$B$5,0)+1</f>
        <v>491</v>
      </c>
      <c r="C1973" s="171">
        <f t="shared" si="30"/>
        <v>3</v>
      </c>
      <c r="D1973" s="171" t="b">
        <f>LineærRegression_Valg[[#This Row],[Afhængig variabel ID]]&lt;&gt;LineærRegression_Valg[[#This Row],[Uafhængig variabel ID]]</f>
        <v>1</v>
      </c>
      <c r="E1973" s="171" t="b">
        <f>LineærRegression_Valg[[#This Row],[Afhængig variabel ID]]&lt;=$B$5</f>
        <v>0</v>
      </c>
      <c r="F1973" t="str" cm="1">
        <f t="array" ref="F1973">IF(LineærRegression_Valg[[#This Row],[Indenfor range]],INDEX(DataTitel_liste,LineærRegression_Valg[[#This Row],[Afhængig variabel ID]]),INDEX(DataTitel_liste,1))</f>
        <v>Eksempel 1 (interval)</v>
      </c>
      <c r="G1973" s="171" t="str" cm="1">
        <f t="array" ref="G1973">IF(LineærRegression_Valg[[#This Row],[Indenfor range]],IF(LineærRegression_Valg[[#This Row],[Intet overlap]],INDEX(DataTitel_liste,LineærRegression_Valg[[#This Row],[Uafhængig variabel ID]]),INDEX(DataTitel_liste,IF(LineærRegression_Valg[[#This Row],[Afhængig variabel ID]]=1,2,1))),$B$7)</f>
        <v>Eksempel 2 (interval)</v>
      </c>
      <c r="H1973" s="171">
        <f>_xlfn.AGGREGATE(2,5,LineærRegression_Valg[[#This Row],[Tabel ID]])</f>
        <v>1</v>
      </c>
    </row>
    <row r="1974" spans="1:8" x14ac:dyDescent="0.2">
      <c r="A1974">
        <f>ROW(LineærRegression_Valg[[#This Row],[Tabel ID]])-ROW(LineærRegression_Valg[[#Headers],[Tabel ID]])</f>
        <v>1964</v>
      </c>
      <c r="B1974" s="171">
        <f>ROUNDDOWN((LineærRegression_Valg[[#This Row],[Tabel ID]]-1)/$B$5,0)+1</f>
        <v>491</v>
      </c>
      <c r="C1974" s="171">
        <f t="shared" si="30"/>
        <v>4</v>
      </c>
      <c r="D1974" s="171" t="b">
        <f>LineærRegression_Valg[[#This Row],[Afhængig variabel ID]]&lt;&gt;LineærRegression_Valg[[#This Row],[Uafhængig variabel ID]]</f>
        <v>1</v>
      </c>
      <c r="E1974" s="171" t="b">
        <f>LineærRegression_Valg[[#This Row],[Afhængig variabel ID]]&lt;=$B$5</f>
        <v>0</v>
      </c>
      <c r="F1974" t="str" cm="1">
        <f t="array" ref="F1974">IF(LineærRegression_Valg[[#This Row],[Indenfor range]],INDEX(DataTitel_liste,LineærRegression_Valg[[#This Row],[Afhængig variabel ID]]),INDEX(DataTitel_liste,1))</f>
        <v>Eksempel 1 (interval)</v>
      </c>
      <c r="G1974" s="171" t="str" cm="1">
        <f t="array" ref="G1974">IF(LineærRegression_Valg[[#This Row],[Indenfor range]],IF(LineærRegression_Valg[[#This Row],[Intet overlap]],INDEX(DataTitel_liste,LineærRegression_Valg[[#This Row],[Uafhængig variabel ID]]),INDEX(DataTitel_liste,IF(LineærRegression_Valg[[#This Row],[Afhængig variabel ID]]=1,2,1))),$B$7)</f>
        <v>Eksempel 2 (interval)</v>
      </c>
      <c r="H1974" s="171">
        <f>_xlfn.AGGREGATE(2,5,LineærRegression_Valg[[#This Row],[Tabel ID]])</f>
        <v>1</v>
      </c>
    </row>
    <row r="1975" spans="1:8" x14ac:dyDescent="0.2">
      <c r="A1975">
        <f>ROW(LineærRegression_Valg[[#This Row],[Tabel ID]])-ROW(LineærRegression_Valg[[#Headers],[Tabel ID]])</f>
        <v>1965</v>
      </c>
      <c r="B1975" s="171">
        <f>ROUNDDOWN((LineærRegression_Valg[[#This Row],[Tabel ID]]-1)/$B$5,0)+1</f>
        <v>492</v>
      </c>
      <c r="C1975" s="171">
        <f t="shared" si="30"/>
        <v>1</v>
      </c>
      <c r="D1975" s="171" t="b">
        <f>LineærRegression_Valg[[#This Row],[Afhængig variabel ID]]&lt;&gt;LineærRegression_Valg[[#This Row],[Uafhængig variabel ID]]</f>
        <v>1</v>
      </c>
      <c r="E1975" s="171" t="b">
        <f>LineærRegression_Valg[[#This Row],[Afhængig variabel ID]]&lt;=$B$5</f>
        <v>0</v>
      </c>
      <c r="F1975" t="str" cm="1">
        <f t="array" ref="F1975">IF(LineærRegression_Valg[[#This Row],[Indenfor range]],INDEX(DataTitel_liste,LineærRegression_Valg[[#This Row],[Afhængig variabel ID]]),INDEX(DataTitel_liste,1))</f>
        <v>Eksempel 1 (interval)</v>
      </c>
      <c r="G1975" s="171" t="str" cm="1">
        <f t="array" ref="G1975">IF(LineærRegression_Valg[[#This Row],[Indenfor range]],IF(LineærRegression_Valg[[#This Row],[Intet overlap]],INDEX(DataTitel_liste,LineærRegression_Valg[[#This Row],[Uafhængig variabel ID]]),INDEX(DataTitel_liste,IF(LineærRegression_Valg[[#This Row],[Afhængig variabel ID]]=1,2,1))),$B$7)</f>
        <v>Eksempel 2 (interval)</v>
      </c>
      <c r="H1975" s="171">
        <f>_xlfn.AGGREGATE(2,5,LineærRegression_Valg[[#This Row],[Tabel ID]])</f>
        <v>1</v>
      </c>
    </row>
    <row r="1976" spans="1:8" x14ac:dyDescent="0.2">
      <c r="A1976">
        <f>ROW(LineærRegression_Valg[[#This Row],[Tabel ID]])-ROW(LineærRegression_Valg[[#Headers],[Tabel ID]])</f>
        <v>1966</v>
      </c>
      <c r="B1976" s="171">
        <f>ROUNDDOWN((LineærRegression_Valg[[#This Row],[Tabel ID]]-1)/$B$5,0)+1</f>
        <v>492</v>
      </c>
      <c r="C1976" s="171">
        <f t="shared" si="30"/>
        <v>2</v>
      </c>
      <c r="D1976" s="171" t="b">
        <f>LineærRegression_Valg[[#This Row],[Afhængig variabel ID]]&lt;&gt;LineærRegression_Valg[[#This Row],[Uafhængig variabel ID]]</f>
        <v>1</v>
      </c>
      <c r="E1976" s="171" t="b">
        <f>LineærRegression_Valg[[#This Row],[Afhængig variabel ID]]&lt;=$B$5</f>
        <v>0</v>
      </c>
      <c r="F1976" t="str" cm="1">
        <f t="array" ref="F1976">IF(LineærRegression_Valg[[#This Row],[Indenfor range]],INDEX(DataTitel_liste,LineærRegression_Valg[[#This Row],[Afhængig variabel ID]]),INDEX(DataTitel_liste,1))</f>
        <v>Eksempel 1 (interval)</v>
      </c>
      <c r="G1976" s="171" t="str" cm="1">
        <f t="array" ref="G1976">IF(LineærRegression_Valg[[#This Row],[Indenfor range]],IF(LineærRegression_Valg[[#This Row],[Intet overlap]],INDEX(DataTitel_liste,LineærRegression_Valg[[#This Row],[Uafhængig variabel ID]]),INDEX(DataTitel_liste,IF(LineærRegression_Valg[[#This Row],[Afhængig variabel ID]]=1,2,1))),$B$7)</f>
        <v>Eksempel 2 (interval)</v>
      </c>
      <c r="H1976" s="171">
        <f>_xlfn.AGGREGATE(2,5,LineærRegression_Valg[[#This Row],[Tabel ID]])</f>
        <v>1</v>
      </c>
    </row>
    <row r="1977" spans="1:8" x14ac:dyDescent="0.2">
      <c r="A1977">
        <f>ROW(LineærRegression_Valg[[#This Row],[Tabel ID]])-ROW(LineærRegression_Valg[[#Headers],[Tabel ID]])</f>
        <v>1967</v>
      </c>
      <c r="B1977" s="171">
        <f>ROUNDDOWN((LineærRegression_Valg[[#This Row],[Tabel ID]]-1)/$B$5,0)+1</f>
        <v>492</v>
      </c>
      <c r="C1977" s="171">
        <f t="shared" si="30"/>
        <v>3</v>
      </c>
      <c r="D1977" s="171" t="b">
        <f>LineærRegression_Valg[[#This Row],[Afhængig variabel ID]]&lt;&gt;LineærRegression_Valg[[#This Row],[Uafhængig variabel ID]]</f>
        <v>1</v>
      </c>
      <c r="E1977" s="171" t="b">
        <f>LineærRegression_Valg[[#This Row],[Afhængig variabel ID]]&lt;=$B$5</f>
        <v>0</v>
      </c>
      <c r="F1977" t="str" cm="1">
        <f t="array" ref="F1977">IF(LineærRegression_Valg[[#This Row],[Indenfor range]],INDEX(DataTitel_liste,LineærRegression_Valg[[#This Row],[Afhængig variabel ID]]),INDEX(DataTitel_liste,1))</f>
        <v>Eksempel 1 (interval)</v>
      </c>
      <c r="G1977" s="171" t="str" cm="1">
        <f t="array" ref="G1977">IF(LineærRegression_Valg[[#This Row],[Indenfor range]],IF(LineærRegression_Valg[[#This Row],[Intet overlap]],INDEX(DataTitel_liste,LineærRegression_Valg[[#This Row],[Uafhængig variabel ID]]),INDEX(DataTitel_liste,IF(LineærRegression_Valg[[#This Row],[Afhængig variabel ID]]=1,2,1))),$B$7)</f>
        <v>Eksempel 2 (interval)</v>
      </c>
      <c r="H1977" s="171">
        <f>_xlfn.AGGREGATE(2,5,LineærRegression_Valg[[#This Row],[Tabel ID]])</f>
        <v>1</v>
      </c>
    </row>
    <row r="1978" spans="1:8" x14ac:dyDescent="0.2">
      <c r="A1978">
        <f>ROW(LineærRegression_Valg[[#This Row],[Tabel ID]])-ROW(LineærRegression_Valg[[#Headers],[Tabel ID]])</f>
        <v>1968</v>
      </c>
      <c r="B1978" s="171">
        <f>ROUNDDOWN((LineærRegression_Valg[[#This Row],[Tabel ID]]-1)/$B$5,0)+1</f>
        <v>492</v>
      </c>
      <c r="C1978" s="171">
        <f t="shared" si="30"/>
        <v>4</v>
      </c>
      <c r="D1978" s="171" t="b">
        <f>LineærRegression_Valg[[#This Row],[Afhængig variabel ID]]&lt;&gt;LineærRegression_Valg[[#This Row],[Uafhængig variabel ID]]</f>
        <v>1</v>
      </c>
      <c r="E1978" s="171" t="b">
        <f>LineærRegression_Valg[[#This Row],[Afhængig variabel ID]]&lt;=$B$5</f>
        <v>0</v>
      </c>
      <c r="F1978" t="str" cm="1">
        <f t="array" ref="F1978">IF(LineærRegression_Valg[[#This Row],[Indenfor range]],INDEX(DataTitel_liste,LineærRegression_Valg[[#This Row],[Afhængig variabel ID]]),INDEX(DataTitel_liste,1))</f>
        <v>Eksempel 1 (interval)</v>
      </c>
      <c r="G1978" s="171" t="str" cm="1">
        <f t="array" ref="G1978">IF(LineærRegression_Valg[[#This Row],[Indenfor range]],IF(LineærRegression_Valg[[#This Row],[Intet overlap]],INDEX(DataTitel_liste,LineærRegression_Valg[[#This Row],[Uafhængig variabel ID]]),INDEX(DataTitel_liste,IF(LineærRegression_Valg[[#This Row],[Afhængig variabel ID]]=1,2,1))),$B$7)</f>
        <v>Eksempel 2 (interval)</v>
      </c>
      <c r="H1978" s="171">
        <f>_xlfn.AGGREGATE(2,5,LineærRegression_Valg[[#This Row],[Tabel ID]])</f>
        <v>1</v>
      </c>
    </row>
    <row r="1979" spans="1:8" x14ac:dyDescent="0.2">
      <c r="A1979">
        <f>ROW(LineærRegression_Valg[[#This Row],[Tabel ID]])-ROW(LineærRegression_Valg[[#Headers],[Tabel ID]])</f>
        <v>1969</v>
      </c>
      <c r="B1979" s="171">
        <f>ROUNDDOWN((LineærRegression_Valg[[#This Row],[Tabel ID]]-1)/$B$5,0)+1</f>
        <v>493</v>
      </c>
      <c r="C1979" s="171">
        <f t="shared" si="30"/>
        <v>1</v>
      </c>
      <c r="D1979" s="171" t="b">
        <f>LineærRegression_Valg[[#This Row],[Afhængig variabel ID]]&lt;&gt;LineærRegression_Valg[[#This Row],[Uafhængig variabel ID]]</f>
        <v>1</v>
      </c>
      <c r="E1979" s="171" t="b">
        <f>LineærRegression_Valg[[#This Row],[Afhængig variabel ID]]&lt;=$B$5</f>
        <v>0</v>
      </c>
      <c r="F1979" t="str" cm="1">
        <f t="array" ref="F1979">IF(LineærRegression_Valg[[#This Row],[Indenfor range]],INDEX(DataTitel_liste,LineærRegression_Valg[[#This Row],[Afhængig variabel ID]]),INDEX(DataTitel_liste,1))</f>
        <v>Eksempel 1 (interval)</v>
      </c>
      <c r="G1979" s="171" t="str" cm="1">
        <f t="array" ref="G1979">IF(LineærRegression_Valg[[#This Row],[Indenfor range]],IF(LineærRegression_Valg[[#This Row],[Intet overlap]],INDEX(DataTitel_liste,LineærRegression_Valg[[#This Row],[Uafhængig variabel ID]]),INDEX(DataTitel_liste,IF(LineærRegression_Valg[[#This Row],[Afhængig variabel ID]]=1,2,1))),$B$7)</f>
        <v>Eksempel 2 (interval)</v>
      </c>
      <c r="H1979" s="171">
        <f>_xlfn.AGGREGATE(2,5,LineærRegression_Valg[[#This Row],[Tabel ID]])</f>
        <v>1</v>
      </c>
    </row>
    <row r="1980" spans="1:8" x14ac:dyDescent="0.2">
      <c r="A1980">
        <f>ROW(LineærRegression_Valg[[#This Row],[Tabel ID]])-ROW(LineærRegression_Valg[[#Headers],[Tabel ID]])</f>
        <v>1970</v>
      </c>
      <c r="B1980" s="171">
        <f>ROUNDDOWN((LineærRegression_Valg[[#This Row],[Tabel ID]]-1)/$B$5,0)+1</f>
        <v>493</v>
      </c>
      <c r="C1980" s="171">
        <f t="shared" si="30"/>
        <v>2</v>
      </c>
      <c r="D1980" s="171" t="b">
        <f>LineærRegression_Valg[[#This Row],[Afhængig variabel ID]]&lt;&gt;LineærRegression_Valg[[#This Row],[Uafhængig variabel ID]]</f>
        <v>1</v>
      </c>
      <c r="E1980" s="171" t="b">
        <f>LineærRegression_Valg[[#This Row],[Afhængig variabel ID]]&lt;=$B$5</f>
        <v>0</v>
      </c>
      <c r="F1980" t="str" cm="1">
        <f t="array" ref="F1980">IF(LineærRegression_Valg[[#This Row],[Indenfor range]],INDEX(DataTitel_liste,LineærRegression_Valg[[#This Row],[Afhængig variabel ID]]),INDEX(DataTitel_liste,1))</f>
        <v>Eksempel 1 (interval)</v>
      </c>
      <c r="G1980" s="171" t="str" cm="1">
        <f t="array" ref="G1980">IF(LineærRegression_Valg[[#This Row],[Indenfor range]],IF(LineærRegression_Valg[[#This Row],[Intet overlap]],INDEX(DataTitel_liste,LineærRegression_Valg[[#This Row],[Uafhængig variabel ID]]),INDEX(DataTitel_liste,IF(LineærRegression_Valg[[#This Row],[Afhængig variabel ID]]=1,2,1))),$B$7)</f>
        <v>Eksempel 2 (interval)</v>
      </c>
      <c r="H1980" s="171">
        <f>_xlfn.AGGREGATE(2,5,LineærRegression_Valg[[#This Row],[Tabel ID]])</f>
        <v>1</v>
      </c>
    </row>
    <row r="1981" spans="1:8" x14ac:dyDescent="0.2">
      <c r="A1981">
        <f>ROW(LineærRegression_Valg[[#This Row],[Tabel ID]])-ROW(LineærRegression_Valg[[#Headers],[Tabel ID]])</f>
        <v>1971</v>
      </c>
      <c r="B1981" s="171">
        <f>ROUNDDOWN((LineærRegression_Valg[[#This Row],[Tabel ID]]-1)/$B$5,0)+1</f>
        <v>493</v>
      </c>
      <c r="C1981" s="171">
        <f t="shared" si="30"/>
        <v>3</v>
      </c>
      <c r="D1981" s="171" t="b">
        <f>LineærRegression_Valg[[#This Row],[Afhængig variabel ID]]&lt;&gt;LineærRegression_Valg[[#This Row],[Uafhængig variabel ID]]</f>
        <v>1</v>
      </c>
      <c r="E1981" s="171" t="b">
        <f>LineærRegression_Valg[[#This Row],[Afhængig variabel ID]]&lt;=$B$5</f>
        <v>0</v>
      </c>
      <c r="F1981" t="str" cm="1">
        <f t="array" ref="F1981">IF(LineærRegression_Valg[[#This Row],[Indenfor range]],INDEX(DataTitel_liste,LineærRegression_Valg[[#This Row],[Afhængig variabel ID]]),INDEX(DataTitel_liste,1))</f>
        <v>Eksempel 1 (interval)</v>
      </c>
      <c r="G1981" s="171" t="str" cm="1">
        <f t="array" ref="G1981">IF(LineærRegression_Valg[[#This Row],[Indenfor range]],IF(LineærRegression_Valg[[#This Row],[Intet overlap]],INDEX(DataTitel_liste,LineærRegression_Valg[[#This Row],[Uafhængig variabel ID]]),INDEX(DataTitel_liste,IF(LineærRegression_Valg[[#This Row],[Afhængig variabel ID]]=1,2,1))),$B$7)</f>
        <v>Eksempel 2 (interval)</v>
      </c>
      <c r="H1981" s="171">
        <f>_xlfn.AGGREGATE(2,5,LineærRegression_Valg[[#This Row],[Tabel ID]])</f>
        <v>1</v>
      </c>
    </row>
    <row r="1982" spans="1:8" x14ac:dyDescent="0.2">
      <c r="A1982">
        <f>ROW(LineærRegression_Valg[[#This Row],[Tabel ID]])-ROW(LineærRegression_Valg[[#Headers],[Tabel ID]])</f>
        <v>1972</v>
      </c>
      <c r="B1982" s="171">
        <f>ROUNDDOWN((LineærRegression_Valg[[#This Row],[Tabel ID]]-1)/$B$5,0)+1</f>
        <v>493</v>
      </c>
      <c r="C1982" s="171">
        <f t="shared" si="30"/>
        <v>4</v>
      </c>
      <c r="D1982" s="171" t="b">
        <f>LineærRegression_Valg[[#This Row],[Afhængig variabel ID]]&lt;&gt;LineærRegression_Valg[[#This Row],[Uafhængig variabel ID]]</f>
        <v>1</v>
      </c>
      <c r="E1982" s="171" t="b">
        <f>LineærRegression_Valg[[#This Row],[Afhængig variabel ID]]&lt;=$B$5</f>
        <v>0</v>
      </c>
      <c r="F1982" t="str" cm="1">
        <f t="array" ref="F1982">IF(LineærRegression_Valg[[#This Row],[Indenfor range]],INDEX(DataTitel_liste,LineærRegression_Valg[[#This Row],[Afhængig variabel ID]]),INDEX(DataTitel_liste,1))</f>
        <v>Eksempel 1 (interval)</v>
      </c>
      <c r="G1982" s="171" t="str" cm="1">
        <f t="array" ref="G1982">IF(LineærRegression_Valg[[#This Row],[Indenfor range]],IF(LineærRegression_Valg[[#This Row],[Intet overlap]],INDEX(DataTitel_liste,LineærRegression_Valg[[#This Row],[Uafhængig variabel ID]]),INDEX(DataTitel_liste,IF(LineærRegression_Valg[[#This Row],[Afhængig variabel ID]]=1,2,1))),$B$7)</f>
        <v>Eksempel 2 (interval)</v>
      </c>
      <c r="H1982" s="171">
        <f>_xlfn.AGGREGATE(2,5,LineærRegression_Valg[[#This Row],[Tabel ID]])</f>
        <v>1</v>
      </c>
    </row>
    <row r="1983" spans="1:8" x14ac:dyDescent="0.2">
      <c r="A1983">
        <f>ROW(LineærRegression_Valg[[#This Row],[Tabel ID]])-ROW(LineærRegression_Valg[[#Headers],[Tabel ID]])</f>
        <v>1973</v>
      </c>
      <c r="B1983" s="171">
        <f>ROUNDDOWN((LineærRegression_Valg[[#This Row],[Tabel ID]]-1)/$B$5,0)+1</f>
        <v>494</v>
      </c>
      <c r="C1983" s="171">
        <f t="shared" si="30"/>
        <v>1</v>
      </c>
      <c r="D1983" s="171" t="b">
        <f>LineærRegression_Valg[[#This Row],[Afhængig variabel ID]]&lt;&gt;LineærRegression_Valg[[#This Row],[Uafhængig variabel ID]]</f>
        <v>1</v>
      </c>
      <c r="E1983" s="171" t="b">
        <f>LineærRegression_Valg[[#This Row],[Afhængig variabel ID]]&lt;=$B$5</f>
        <v>0</v>
      </c>
      <c r="F1983" t="str" cm="1">
        <f t="array" ref="F1983">IF(LineærRegression_Valg[[#This Row],[Indenfor range]],INDEX(DataTitel_liste,LineærRegression_Valg[[#This Row],[Afhængig variabel ID]]),INDEX(DataTitel_liste,1))</f>
        <v>Eksempel 1 (interval)</v>
      </c>
      <c r="G1983" s="171" t="str" cm="1">
        <f t="array" ref="G1983">IF(LineærRegression_Valg[[#This Row],[Indenfor range]],IF(LineærRegression_Valg[[#This Row],[Intet overlap]],INDEX(DataTitel_liste,LineærRegression_Valg[[#This Row],[Uafhængig variabel ID]]),INDEX(DataTitel_liste,IF(LineærRegression_Valg[[#This Row],[Afhængig variabel ID]]=1,2,1))),$B$7)</f>
        <v>Eksempel 2 (interval)</v>
      </c>
      <c r="H1983" s="171">
        <f>_xlfn.AGGREGATE(2,5,LineærRegression_Valg[[#This Row],[Tabel ID]])</f>
        <v>1</v>
      </c>
    </row>
    <row r="1984" spans="1:8" x14ac:dyDescent="0.2">
      <c r="A1984">
        <f>ROW(LineærRegression_Valg[[#This Row],[Tabel ID]])-ROW(LineærRegression_Valg[[#Headers],[Tabel ID]])</f>
        <v>1974</v>
      </c>
      <c r="B1984" s="171">
        <f>ROUNDDOWN((LineærRegression_Valg[[#This Row],[Tabel ID]]-1)/$B$5,0)+1</f>
        <v>494</v>
      </c>
      <c r="C1984" s="171">
        <f t="shared" si="30"/>
        <v>2</v>
      </c>
      <c r="D1984" s="171" t="b">
        <f>LineærRegression_Valg[[#This Row],[Afhængig variabel ID]]&lt;&gt;LineærRegression_Valg[[#This Row],[Uafhængig variabel ID]]</f>
        <v>1</v>
      </c>
      <c r="E1984" s="171" t="b">
        <f>LineærRegression_Valg[[#This Row],[Afhængig variabel ID]]&lt;=$B$5</f>
        <v>0</v>
      </c>
      <c r="F1984" t="str" cm="1">
        <f t="array" ref="F1984">IF(LineærRegression_Valg[[#This Row],[Indenfor range]],INDEX(DataTitel_liste,LineærRegression_Valg[[#This Row],[Afhængig variabel ID]]),INDEX(DataTitel_liste,1))</f>
        <v>Eksempel 1 (interval)</v>
      </c>
      <c r="G1984" s="171" t="str" cm="1">
        <f t="array" ref="G1984">IF(LineærRegression_Valg[[#This Row],[Indenfor range]],IF(LineærRegression_Valg[[#This Row],[Intet overlap]],INDEX(DataTitel_liste,LineærRegression_Valg[[#This Row],[Uafhængig variabel ID]]),INDEX(DataTitel_liste,IF(LineærRegression_Valg[[#This Row],[Afhængig variabel ID]]=1,2,1))),$B$7)</f>
        <v>Eksempel 2 (interval)</v>
      </c>
      <c r="H1984" s="171">
        <f>_xlfn.AGGREGATE(2,5,LineærRegression_Valg[[#This Row],[Tabel ID]])</f>
        <v>1</v>
      </c>
    </row>
    <row r="1985" spans="1:8" x14ac:dyDescent="0.2">
      <c r="A1985">
        <f>ROW(LineærRegression_Valg[[#This Row],[Tabel ID]])-ROW(LineærRegression_Valg[[#Headers],[Tabel ID]])</f>
        <v>1975</v>
      </c>
      <c r="B1985" s="171">
        <f>ROUNDDOWN((LineærRegression_Valg[[#This Row],[Tabel ID]]-1)/$B$5,0)+1</f>
        <v>494</v>
      </c>
      <c r="C1985" s="171">
        <f t="shared" si="30"/>
        <v>3</v>
      </c>
      <c r="D1985" s="171" t="b">
        <f>LineærRegression_Valg[[#This Row],[Afhængig variabel ID]]&lt;&gt;LineærRegression_Valg[[#This Row],[Uafhængig variabel ID]]</f>
        <v>1</v>
      </c>
      <c r="E1985" s="171" t="b">
        <f>LineærRegression_Valg[[#This Row],[Afhængig variabel ID]]&lt;=$B$5</f>
        <v>0</v>
      </c>
      <c r="F1985" t="str" cm="1">
        <f t="array" ref="F1985">IF(LineærRegression_Valg[[#This Row],[Indenfor range]],INDEX(DataTitel_liste,LineærRegression_Valg[[#This Row],[Afhængig variabel ID]]),INDEX(DataTitel_liste,1))</f>
        <v>Eksempel 1 (interval)</v>
      </c>
      <c r="G1985" s="171" t="str" cm="1">
        <f t="array" ref="G1985">IF(LineærRegression_Valg[[#This Row],[Indenfor range]],IF(LineærRegression_Valg[[#This Row],[Intet overlap]],INDEX(DataTitel_liste,LineærRegression_Valg[[#This Row],[Uafhængig variabel ID]]),INDEX(DataTitel_liste,IF(LineærRegression_Valg[[#This Row],[Afhængig variabel ID]]=1,2,1))),$B$7)</f>
        <v>Eksempel 2 (interval)</v>
      </c>
      <c r="H1985" s="171">
        <f>_xlfn.AGGREGATE(2,5,LineærRegression_Valg[[#This Row],[Tabel ID]])</f>
        <v>1</v>
      </c>
    </row>
    <row r="1986" spans="1:8" x14ac:dyDescent="0.2">
      <c r="A1986">
        <f>ROW(LineærRegression_Valg[[#This Row],[Tabel ID]])-ROW(LineærRegression_Valg[[#Headers],[Tabel ID]])</f>
        <v>1976</v>
      </c>
      <c r="B1986" s="171">
        <f>ROUNDDOWN((LineærRegression_Valg[[#This Row],[Tabel ID]]-1)/$B$5,0)+1</f>
        <v>494</v>
      </c>
      <c r="C1986" s="171">
        <f t="shared" si="30"/>
        <v>4</v>
      </c>
      <c r="D1986" s="171" t="b">
        <f>LineærRegression_Valg[[#This Row],[Afhængig variabel ID]]&lt;&gt;LineærRegression_Valg[[#This Row],[Uafhængig variabel ID]]</f>
        <v>1</v>
      </c>
      <c r="E1986" s="171" t="b">
        <f>LineærRegression_Valg[[#This Row],[Afhængig variabel ID]]&lt;=$B$5</f>
        <v>0</v>
      </c>
      <c r="F1986" t="str" cm="1">
        <f t="array" ref="F1986">IF(LineærRegression_Valg[[#This Row],[Indenfor range]],INDEX(DataTitel_liste,LineærRegression_Valg[[#This Row],[Afhængig variabel ID]]),INDEX(DataTitel_liste,1))</f>
        <v>Eksempel 1 (interval)</v>
      </c>
      <c r="G1986" s="171" t="str" cm="1">
        <f t="array" ref="G1986">IF(LineærRegression_Valg[[#This Row],[Indenfor range]],IF(LineærRegression_Valg[[#This Row],[Intet overlap]],INDEX(DataTitel_liste,LineærRegression_Valg[[#This Row],[Uafhængig variabel ID]]),INDEX(DataTitel_liste,IF(LineærRegression_Valg[[#This Row],[Afhængig variabel ID]]=1,2,1))),$B$7)</f>
        <v>Eksempel 2 (interval)</v>
      </c>
      <c r="H1986" s="171">
        <f>_xlfn.AGGREGATE(2,5,LineærRegression_Valg[[#This Row],[Tabel ID]])</f>
        <v>1</v>
      </c>
    </row>
    <row r="1987" spans="1:8" x14ac:dyDescent="0.2">
      <c r="A1987">
        <f>ROW(LineærRegression_Valg[[#This Row],[Tabel ID]])-ROW(LineærRegression_Valg[[#Headers],[Tabel ID]])</f>
        <v>1977</v>
      </c>
      <c r="B1987" s="171">
        <f>ROUNDDOWN((LineærRegression_Valg[[#This Row],[Tabel ID]]-1)/$B$5,0)+1</f>
        <v>495</v>
      </c>
      <c r="C1987" s="171">
        <f t="shared" si="30"/>
        <v>1</v>
      </c>
      <c r="D1987" s="171" t="b">
        <f>LineærRegression_Valg[[#This Row],[Afhængig variabel ID]]&lt;&gt;LineærRegression_Valg[[#This Row],[Uafhængig variabel ID]]</f>
        <v>1</v>
      </c>
      <c r="E1987" s="171" t="b">
        <f>LineærRegression_Valg[[#This Row],[Afhængig variabel ID]]&lt;=$B$5</f>
        <v>0</v>
      </c>
      <c r="F1987" t="str" cm="1">
        <f t="array" ref="F1987">IF(LineærRegression_Valg[[#This Row],[Indenfor range]],INDEX(DataTitel_liste,LineærRegression_Valg[[#This Row],[Afhængig variabel ID]]),INDEX(DataTitel_liste,1))</f>
        <v>Eksempel 1 (interval)</v>
      </c>
      <c r="G1987" s="171" t="str" cm="1">
        <f t="array" ref="G1987">IF(LineærRegression_Valg[[#This Row],[Indenfor range]],IF(LineærRegression_Valg[[#This Row],[Intet overlap]],INDEX(DataTitel_liste,LineærRegression_Valg[[#This Row],[Uafhængig variabel ID]]),INDEX(DataTitel_liste,IF(LineærRegression_Valg[[#This Row],[Afhængig variabel ID]]=1,2,1))),$B$7)</f>
        <v>Eksempel 2 (interval)</v>
      </c>
      <c r="H1987" s="171">
        <f>_xlfn.AGGREGATE(2,5,LineærRegression_Valg[[#This Row],[Tabel ID]])</f>
        <v>1</v>
      </c>
    </row>
    <row r="1988" spans="1:8" x14ac:dyDescent="0.2">
      <c r="A1988">
        <f>ROW(LineærRegression_Valg[[#This Row],[Tabel ID]])-ROW(LineærRegression_Valg[[#Headers],[Tabel ID]])</f>
        <v>1978</v>
      </c>
      <c r="B1988" s="171">
        <f>ROUNDDOWN((LineærRegression_Valg[[#This Row],[Tabel ID]]-1)/$B$5,0)+1</f>
        <v>495</v>
      </c>
      <c r="C1988" s="171">
        <f t="shared" si="30"/>
        <v>2</v>
      </c>
      <c r="D1988" s="171" t="b">
        <f>LineærRegression_Valg[[#This Row],[Afhængig variabel ID]]&lt;&gt;LineærRegression_Valg[[#This Row],[Uafhængig variabel ID]]</f>
        <v>1</v>
      </c>
      <c r="E1988" s="171" t="b">
        <f>LineærRegression_Valg[[#This Row],[Afhængig variabel ID]]&lt;=$B$5</f>
        <v>0</v>
      </c>
      <c r="F1988" t="str" cm="1">
        <f t="array" ref="F1988">IF(LineærRegression_Valg[[#This Row],[Indenfor range]],INDEX(DataTitel_liste,LineærRegression_Valg[[#This Row],[Afhængig variabel ID]]),INDEX(DataTitel_liste,1))</f>
        <v>Eksempel 1 (interval)</v>
      </c>
      <c r="G1988" s="171" t="str" cm="1">
        <f t="array" ref="G1988">IF(LineærRegression_Valg[[#This Row],[Indenfor range]],IF(LineærRegression_Valg[[#This Row],[Intet overlap]],INDEX(DataTitel_liste,LineærRegression_Valg[[#This Row],[Uafhængig variabel ID]]),INDEX(DataTitel_liste,IF(LineærRegression_Valg[[#This Row],[Afhængig variabel ID]]=1,2,1))),$B$7)</f>
        <v>Eksempel 2 (interval)</v>
      </c>
      <c r="H1988" s="171">
        <f>_xlfn.AGGREGATE(2,5,LineærRegression_Valg[[#This Row],[Tabel ID]])</f>
        <v>1</v>
      </c>
    </row>
    <row r="1989" spans="1:8" x14ac:dyDescent="0.2">
      <c r="A1989">
        <f>ROW(LineærRegression_Valg[[#This Row],[Tabel ID]])-ROW(LineærRegression_Valg[[#Headers],[Tabel ID]])</f>
        <v>1979</v>
      </c>
      <c r="B1989" s="171">
        <f>ROUNDDOWN((LineærRegression_Valg[[#This Row],[Tabel ID]]-1)/$B$5,0)+1</f>
        <v>495</v>
      </c>
      <c r="C1989" s="171">
        <f t="shared" si="30"/>
        <v>3</v>
      </c>
      <c r="D1989" s="171" t="b">
        <f>LineærRegression_Valg[[#This Row],[Afhængig variabel ID]]&lt;&gt;LineærRegression_Valg[[#This Row],[Uafhængig variabel ID]]</f>
        <v>1</v>
      </c>
      <c r="E1989" s="171" t="b">
        <f>LineærRegression_Valg[[#This Row],[Afhængig variabel ID]]&lt;=$B$5</f>
        <v>0</v>
      </c>
      <c r="F1989" t="str" cm="1">
        <f t="array" ref="F1989">IF(LineærRegression_Valg[[#This Row],[Indenfor range]],INDEX(DataTitel_liste,LineærRegression_Valg[[#This Row],[Afhængig variabel ID]]),INDEX(DataTitel_liste,1))</f>
        <v>Eksempel 1 (interval)</v>
      </c>
      <c r="G1989" s="171" t="str" cm="1">
        <f t="array" ref="G1989">IF(LineærRegression_Valg[[#This Row],[Indenfor range]],IF(LineærRegression_Valg[[#This Row],[Intet overlap]],INDEX(DataTitel_liste,LineærRegression_Valg[[#This Row],[Uafhængig variabel ID]]),INDEX(DataTitel_liste,IF(LineærRegression_Valg[[#This Row],[Afhængig variabel ID]]=1,2,1))),$B$7)</f>
        <v>Eksempel 2 (interval)</v>
      </c>
      <c r="H1989" s="171">
        <f>_xlfn.AGGREGATE(2,5,LineærRegression_Valg[[#This Row],[Tabel ID]])</f>
        <v>1</v>
      </c>
    </row>
    <row r="1990" spans="1:8" x14ac:dyDescent="0.2">
      <c r="A1990">
        <f>ROW(LineærRegression_Valg[[#This Row],[Tabel ID]])-ROW(LineærRegression_Valg[[#Headers],[Tabel ID]])</f>
        <v>1980</v>
      </c>
      <c r="B1990" s="171">
        <f>ROUNDDOWN((LineærRegression_Valg[[#This Row],[Tabel ID]]-1)/$B$5,0)+1</f>
        <v>495</v>
      </c>
      <c r="C1990" s="171">
        <f t="shared" si="30"/>
        <v>4</v>
      </c>
      <c r="D1990" s="171" t="b">
        <f>LineærRegression_Valg[[#This Row],[Afhængig variabel ID]]&lt;&gt;LineærRegression_Valg[[#This Row],[Uafhængig variabel ID]]</f>
        <v>1</v>
      </c>
      <c r="E1990" s="171" t="b">
        <f>LineærRegression_Valg[[#This Row],[Afhængig variabel ID]]&lt;=$B$5</f>
        <v>0</v>
      </c>
      <c r="F1990" t="str" cm="1">
        <f t="array" ref="F1990">IF(LineærRegression_Valg[[#This Row],[Indenfor range]],INDEX(DataTitel_liste,LineærRegression_Valg[[#This Row],[Afhængig variabel ID]]),INDEX(DataTitel_liste,1))</f>
        <v>Eksempel 1 (interval)</v>
      </c>
      <c r="G1990" s="171" t="str" cm="1">
        <f t="array" ref="G1990">IF(LineærRegression_Valg[[#This Row],[Indenfor range]],IF(LineærRegression_Valg[[#This Row],[Intet overlap]],INDEX(DataTitel_liste,LineærRegression_Valg[[#This Row],[Uafhængig variabel ID]]),INDEX(DataTitel_liste,IF(LineærRegression_Valg[[#This Row],[Afhængig variabel ID]]=1,2,1))),$B$7)</f>
        <v>Eksempel 2 (interval)</v>
      </c>
      <c r="H1990" s="171">
        <f>_xlfn.AGGREGATE(2,5,LineærRegression_Valg[[#This Row],[Tabel ID]])</f>
        <v>1</v>
      </c>
    </row>
    <row r="1991" spans="1:8" x14ac:dyDescent="0.2">
      <c r="A1991">
        <f>ROW(LineærRegression_Valg[[#This Row],[Tabel ID]])-ROW(LineærRegression_Valg[[#Headers],[Tabel ID]])</f>
        <v>1981</v>
      </c>
      <c r="B1991" s="171">
        <f>ROUNDDOWN((LineærRegression_Valg[[#This Row],[Tabel ID]]-1)/$B$5,0)+1</f>
        <v>496</v>
      </c>
      <c r="C1991" s="171">
        <f t="shared" si="30"/>
        <v>1</v>
      </c>
      <c r="D1991" s="171" t="b">
        <f>LineærRegression_Valg[[#This Row],[Afhængig variabel ID]]&lt;&gt;LineærRegression_Valg[[#This Row],[Uafhængig variabel ID]]</f>
        <v>1</v>
      </c>
      <c r="E1991" s="171" t="b">
        <f>LineærRegression_Valg[[#This Row],[Afhængig variabel ID]]&lt;=$B$5</f>
        <v>0</v>
      </c>
      <c r="F1991" t="str" cm="1">
        <f t="array" ref="F1991">IF(LineærRegression_Valg[[#This Row],[Indenfor range]],INDEX(DataTitel_liste,LineærRegression_Valg[[#This Row],[Afhængig variabel ID]]),INDEX(DataTitel_liste,1))</f>
        <v>Eksempel 1 (interval)</v>
      </c>
      <c r="G1991" s="171" t="str" cm="1">
        <f t="array" ref="G1991">IF(LineærRegression_Valg[[#This Row],[Indenfor range]],IF(LineærRegression_Valg[[#This Row],[Intet overlap]],INDEX(DataTitel_liste,LineærRegression_Valg[[#This Row],[Uafhængig variabel ID]]),INDEX(DataTitel_liste,IF(LineærRegression_Valg[[#This Row],[Afhængig variabel ID]]=1,2,1))),$B$7)</f>
        <v>Eksempel 2 (interval)</v>
      </c>
      <c r="H1991" s="171">
        <f>_xlfn.AGGREGATE(2,5,LineærRegression_Valg[[#This Row],[Tabel ID]])</f>
        <v>1</v>
      </c>
    </row>
    <row r="1992" spans="1:8" x14ac:dyDescent="0.2">
      <c r="A1992">
        <f>ROW(LineærRegression_Valg[[#This Row],[Tabel ID]])-ROW(LineærRegression_Valg[[#Headers],[Tabel ID]])</f>
        <v>1982</v>
      </c>
      <c r="B1992" s="171">
        <f>ROUNDDOWN((LineærRegression_Valg[[#This Row],[Tabel ID]]-1)/$B$5,0)+1</f>
        <v>496</v>
      </c>
      <c r="C1992" s="171">
        <f t="shared" si="30"/>
        <v>2</v>
      </c>
      <c r="D1992" s="171" t="b">
        <f>LineærRegression_Valg[[#This Row],[Afhængig variabel ID]]&lt;&gt;LineærRegression_Valg[[#This Row],[Uafhængig variabel ID]]</f>
        <v>1</v>
      </c>
      <c r="E1992" s="171" t="b">
        <f>LineærRegression_Valg[[#This Row],[Afhængig variabel ID]]&lt;=$B$5</f>
        <v>0</v>
      </c>
      <c r="F1992" t="str" cm="1">
        <f t="array" ref="F1992">IF(LineærRegression_Valg[[#This Row],[Indenfor range]],INDEX(DataTitel_liste,LineærRegression_Valg[[#This Row],[Afhængig variabel ID]]),INDEX(DataTitel_liste,1))</f>
        <v>Eksempel 1 (interval)</v>
      </c>
      <c r="G1992" s="171" t="str" cm="1">
        <f t="array" ref="G1992">IF(LineærRegression_Valg[[#This Row],[Indenfor range]],IF(LineærRegression_Valg[[#This Row],[Intet overlap]],INDEX(DataTitel_liste,LineærRegression_Valg[[#This Row],[Uafhængig variabel ID]]),INDEX(DataTitel_liste,IF(LineærRegression_Valg[[#This Row],[Afhængig variabel ID]]=1,2,1))),$B$7)</f>
        <v>Eksempel 2 (interval)</v>
      </c>
      <c r="H1992" s="171">
        <f>_xlfn.AGGREGATE(2,5,LineærRegression_Valg[[#This Row],[Tabel ID]])</f>
        <v>1</v>
      </c>
    </row>
    <row r="1993" spans="1:8" x14ac:dyDescent="0.2">
      <c r="A1993">
        <f>ROW(LineærRegression_Valg[[#This Row],[Tabel ID]])-ROW(LineærRegression_Valg[[#Headers],[Tabel ID]])</f>
        <v>1983</v>
      </c>
      <c r="B1993" s="171">
        <f>ROUNDDOWN((LineærRegression_Valg[[#This Row],[Tabel ID]]-1)/$B$5,0)+1</f>
        <v>496</v>
      </c>
      <c r="C1993" s="171">
        <f t="shared" si="30"/>
        <v>3</v>
      </c>
      <c r="D1993" s="171" t="b">
        <f>LineærRegression_Valg[[#This Row],[Afhængig variabel ID]]&lt;&gt;LineærRegression_Valg[[#This Row],[Uafhængig variabel ID]]</f>
        <v>1</v>
      </c>
      <c r="E1993" s="171" t="b">
        <f>LineærRegression_Valg[[#This Row],[Afhængig variabel ID]]&lt;=$B$5</f>
        <v>0</v>
      </c>
      <c r="F1993" t="str" cm="1">
        <f t="array" ref="F1993">IF(LineærRegression_Valg[[#This Row],[Indenfor range]],INDEX(DataTitel_liste,LineærRegression_Valg[[#This Row],[Afhængig variabel ID]]),INDEX(DataTitel_liste,1))</f>
        <v>Eksempel 1 (interval)</v>
      </c>
      <c r="G1993" s="171" t="str" cm="1">
        <f t="array" ref="G1993">IF(LineærRegression_Valg[[#This Row],[Indenfor range]],IF(LineærRegression_Valg[[#This Row],[Intet overlap]],INDEX(DataTitel_liste,LineærRegression_Valg[[#This Row],[Uafhængig variabel ID]]),INDEX(DataTitel_liste,IF(LineærRegression_Valg[[#This Row],[Afhængig variabel ID]]=1,2,1))),$B$7)</f>
        <v>Eksempel 2 (interval)</v>
      </c>
      <c r="H1993" s="171">
        <f>_xlfn.AGGREGATE(2,5,LineærRegression_Valg[[#This Row],[Tabel ID]])</f>
        <v>1</v>
      </c>
    </row>
    <row r="1994" spans="1:8" x14ac:dyDescent="0.2">
      <c r="A1994">
        <f>ROW(LineærRegression_Valg[[#This Row],[Tabel ID]])-ROW(LineærRegression_Valg[[#Headers],[Tabel ID]])</f>
        <v>1984</v>
      </c>
      <c r="B1994" s="171">
        <f>ROUNDDOWN((LineærRegression_Valg[[#This Row],[Tabel ID]]-1)/$B$5,0)+1</f>
        <v>496</v>
      </c>
      <c r="C1994" s="171">
        <f t="shared" si="30"/>
        <v>4</v>
      </c>
      <c r="D1994" s="171" t="b">
        <f>LineærRegression_Valg[[#This Row],[Afhængig variabel ID]]&lt;&gt;LineærRegression_Valg[[#This Row],[Uafhængig variabel ID]]</f>
        <v>1</v>
      </c>
      <c r="E1994" s="171" t="b">
        <f>LineærRegression_Valg[[#This Row],[Afhængig variabel ID]]&lt;=$B$5</f>
        <v>0</v>
      </c>
      <c r="F1994" t="str" cm="1">
        <f t="array" ref="F1994">IF(LineærRegression_Valg[[#This Row],[Indenfor range]],INDEX(DataTitel_liste,LineærRegression_Valg[[#This Row],[Afhængig variabel ID]]),INDEX(DataTitel_liste,1))</f>
        <v>Eksempel 1 (interval)</v>
      </c>
      <c r="G1994" s="171" t="str" cm="1">
        <f t="array" ref="G1994">IF(LineærRegression_Valg[[#This Row],[Indenfor range]],IF(LineærRegression_Valg[[#This Row],[Intet overlap]],INDEX(DataTitel_liste,LineærRegression_Valg[[#This Row],[Uafhængig variabel ID]]),INDEX(DataTitel_liste,IF(LineærRegression_Valg[[#This Row],[Afhængig variabel ID]]=1,2,1))),$B$7)</f>
        <v>Eksempel 2 (interval)</v>
      </c>
      <c r="H1994" s="171">
        <f>_xlfn.AGGREGATE(2,5,LineærRegression_Valg[[#This Row],[Tabel ID]])</f>
        <v>1</v>
      </c>
    </row>
    <row r="1995" spans="1:8" x14ac:dyDescent="0.2">
      <c r="A1995">
        <f>ROW(LineærRegression_Valg[[#This Row],[Tabel ID]])-ROW(LineærRegression_Valg[[#Headers],[Tabel ID]])</f>
        <v>1985</v>
      </c>
      <c r="B1995" s="171">
        <f>ROUNDDOWN((LineærRegression_Valg[[#This Row],[Tabel ID]]-1)/$B$5,0)+1</f>
        <v>497</v>
      </c>
      <c r="C1995" s="171">
        <f t="shared" ref="C1995:C2058" si="31">MOD(A1995-1,$B$5)+1</f>
        <v>1</v>
      </c>
      <c r="D1995" s="171" t="b">
        <f>LineærRegression_Valg[[#This Row],[Afhængig variabel ID]]&lt;&gt;LineærRegression_Valg[[#This Row],[Uafhængig variabel ID]]</f>
        <v>1</v>
      </c>
      <c r="E1995" s="171" t="b">
        <f>LineærRegression_Valg[[#This Row],[Afhængig variabel ID]]&lt;=$B$5</f>
        <v>0</v>
      </c>
      <c r="F1995" t="str" cm="1">
        <f t="array" ref="F1995">IF(LineærRegression_Valg[[#This Row],[Indenfor range]],INDEX(DataTitel_liste,LineærRegression_Valg[[#This Row],[Afhængig variabel ID]]),INDEX(DataTitel_liste,1))</f>
        <v>Eksempel 1 (interval)</v>
      </c>
      <c r="G1995" s="171" t="str" cm="1">
        <f t="array" ref="G1995">IF(LineærRegression_Valg[[#This Row],[Indenfor range]],IF(LineærRegression_Valg[[#This Row],[Intet overlap]],INDEX(DataTitel_liste,LineærRegression_Valg[[#This Row],[Uafhængig variabel ID]]),INDEX(DataTitel_liste,IF(LineærRegression_Valg[[#This Row],[Afhængig variabel ID]]=1,2,1))),$B$7)</f>
        <v>Eksempel 2 (interval)</v>
      </c>
      <c r="H1995" s="171">
        <f>_xlfn.AGGREGATE(2,5,LineærRegression_Valg[[#This Row],[Tabel ID]])</f>
        <v>1</v>
      </c>
    </row>
    <row r="1996" spans="1:8" x14ac:dyDescent="0.2">
      <c r="A1996">
        <f>ROW(LineærRegression_Valg[[#This Row],[Tabel ID]])-ROW(LineærRegression_Valg[[#Headers],[Tabel ID]])</f>
        <v>1986</v>
      </c>
      <c r="B1996" s="171">
        <f>ROUNDDOWN((LineærRegression_Valg[[#This Row],[Tabel ID]]-1)/$B$5,0)+1</f>
        <v>497</v>
      </c>
      <c r="C1996" s="171">
        <f t="shared" si="31"/>
        <v>2</v>
      </c>
      <c r="D1996" s="171" t="b">
        <f>LineærRegression_Valg[[#This Row],[Afhængig variabel ID]]&lt;&gt;LineærRegression_Valg[[#This Row],[Uafhængig variabel ID]]</f>
        <v>1</v>
      </c>
      <c r="E1996" s="171" t="b">
        <f>LineærRegression_Valg[[#This Row],[Afhængig variabel ID]]&lt;=$B$5</f>
        <v>0</v>
      </c>
      <c r="F1996" t="str" cm="1">
        <f t="array" ref="F1996">IF(LineærRegression_Valg[[#This Row],[Indenfor range]],INDEX(DataTitel_liste,LineærRegression_Valg[[#This Row],[Afhængig variabel ID]]),INDEX(DataTitel_liste,1))</f>
        <v>Eksempel 1 (interval)</v>
      </c>
      <c r="G1996" s="171" t="str" cm="1">
        <f t="array" ref="G1996">IF(LineærRegression_Valg[[#This Row],[Indenfor range]],IF(LineærRegression_Valg[[#This Row],[Intet overlap]],INDEX(DataTitel_liste,LineærRegression_Valg[[#This Row],[Uafhængig variabel ID]]),INDEX(DataTitel_liste,IF(LineærRegression_Valg[[#This Row],[Afhængig variabel ID]]=1,2,1))),$B$7)</f>
        <v>Eksempel 2 (interval)</v>
      </c>
      <c r="H1996" s="171">
        <f>_xlfn.AGGREGATE(2,5,LineærRegression_Valg[[#This Row],[Tabel ID]])</f>
        <v>1</v>
      </c>
    </row>
    <row r="1997" spans="1:8" x14ac:dyDescent="0.2">
      <c r="A1997">
        <f>ROW(LineærRegression_Valg[[#This Row],[Tabel ID]])-ROW(LineærRegression_Valg[[#Headers],[Tabel ID]])</f>
        <v>1987</v>
      </c>
      <c r="B1997" s="171">
        <f>ROUNDDOWN((LineærRegression_Valg[[#This Row],[Tabel ID]]-1)/$B$5,0)+1</f>
        <v>497</v>
      </c>
      <c r="C1997" s="171">
        <f t="shared" si="31"/>
        <v>3</v>
      </c>
      <c r="D1997" s="171" t="b">
        <f>LineærRegression_Valg[[#This Row],[Afhængig variabel ID]]&lt;&gt;LineærRegression_Valg[[#This Row],[Uafhængig variabel ID]]</f>
        <v>1</v>
      </c>
      <c r="E1997" s="171" t="b">
        <f>LineærRegression_Valg[[#This Row],[Afhængig variabel ID]]&lt;=$B$5</f>
        <v>0</v>
      </c>
      <c r="F1997" t="str" cm="1">
        <f t="array" ref="F1997">IF(LineærRegression_Valg[[#This Row],[Indenfor range]],INDEX(DataTitel_liste,LineærRegression_Valg[[#This Row],[Afhængig variabel ID]]),INDEX(DataTitel_liste,1))</f>
        <v>Eksempel 1 (interval)</v>
      </c>
      <c r="G1997" s="171" t="str" cm="1">
        <f t="array" ref="G1997">IF(LineærRegression_Valg[[#This Row],[Indenfor range]],IF(LineærRegression_Valg[[#This Row],[Intet overlap]],INDEX(DataTitel_liste,LineærRegression_Valg[[#This Row],[Uafhængig variabel ID]]),INDEX(DataTitel_liste,IF(LineærRegression_Valg[[#This Row],[Afhængig variabel ID]]=1,2,1))),$B$7)</f>
        <v>Eksempel 2 (interval)</v>
      </c>
      <c r="H1997" s="171">
        <f>_xlfn.AGGREGATE(2,5,LineærRegression_Valg[[#This Row],[Tabel ID]])</f>
        <v>1</v>
      </c>
    </row>
    <row r="1998" spans="1:8" x14ac:dyDescent="0.2">
      <c r="A1998">
        <f>ROW(LineærRegression_Valg[[#This Row],[Tabel ID]])-ROW(LineærRegression_Valg[[#Headers],[Tabel ID]])</f>
        <v>1988</v>
      </c>
      <c r="B1998" s="171">
        <f>ROUNDDOWN((LineærRegression_Valg[[#This Row],[Tabel ID]]-1)/$B$5,0)+1</f>
        <v>497</v>
      </c>
      <c r="C1998" s="171">
        <f t="shared" si="31"/>
        <v>4</v>
      </c>
      <c r="D1998" s="171" t="b">
        <f>LineærRegression_Valg[[#This Row],[Afhængig variabel ID]]&lt;&gt;LineærRegression_Valg[[#This Row],[Uafhængig variabel ID]]</f>
        <v>1</v>
      </c>
      <c r="E1998" s="171" t="b">
        <f>LineærRegression_Valg[[#This Row],[Afhængig variabel ID]]&lt;=$B$5</f>
        <v>0</v>
      </c>
      <c r="F1998" t="str" cm="1">
        <f t="array" ref="F1998">IF(LineærRegression_Valg[[#This Row],[Indenfor range]],INDEX(DataTitel_liste,LineærRegression_Valg[[#This Row],[Afhængig variabel ID]]),INDEX(DataTitel_liste,1))</f>
        <v>Eksempel 1 (interval)</v>
      </c>
      <c r="G1998" s="171" t="str" cm="1">
        <f t="array" ref="G1998">IF(LineærRegression_Valg[[#This Row],[Indenfor range]],IF(LineærRegression_Valg[[#This Row],[Intet overlap]],INDEX(DataTitel_liste,LineærRegression_Valg[[#This Row],[Uafhængig variabel ID]]),INDEX(DataTitel_liste,IF(LineærRegression_Valg[[#This Row],[Afhængig variabel ID]]=1,2,1))),$B$7)</f>
        <v>Eksempel 2 (interval)</v>
      </c>
      <c r="H1998" s="171">
        <f>_xlfn.AGGREGATE(2,5,LineærRegression_Valg[[#This Row],[Tabel ID]])</f>
        <v>1</v>
      </c>
    </row>
    <row r="1999" spans="1:8" x14ac:dyDescent="0.2">
      <c r="A1999">
        <f>ROW(LineærRegression_Valg[[#This Row],[Tabel ID]])-ROW(LineærRegression_Valg[[#Headers],[Tabel ID]])</f>
        <v>1989</v>
      </c>
      <c r="B1999" s="171">
        <f>ROUNDDOWN((LineærRegression_Valg[[#This Row],[Tabel ID]]-1)/$B$5,0)+1</f>
        <v>498</v>
      </c>
      <c r="C1999" s="171">
        <f t="shared" si="31"/>
        <v>1</v>
      </c>
      <c r="D1999" s="171" t="b">
        <f>LineærRegression_Valg[[#This Row],[Afhængig variabel ID]]&lt;&gt;LineærRegression_Valg[[#This Row],[Uafhængig variabel ID]]</f>
        <v>1</v>
      </c>
      <c r="E1999" s="171" t="b">
        <f>LineærRegression_Valg[[#This Row],[Afhængig variabel ID]]&lt;=$B$5</f>
        <v>0</v>
      </c>
      <c r="F1999" t="str" cm="1">
        <f t="array" ref="F1999">IF(LineærRegression_Valg[[#This Row],[Indenfor range]],INDEX(DataTitel_liste,LineærRegression_Valg[[#This Row],[Afhængig variabel ID]]),INDEX(DataTitel_liste,1))</f>
        <v>Eksempel 1 (interval)</v>
      </c>
      <c r="G1999" s="171" t="str" cm="1">
        <f t="array" ref="G1999">IF(LineærRegression_Valg[[#This Row],[Indenfor range]],IF(LineærRegression_Valg[[#This Row],[Intet overlap]],INDEX(DataTitel_liste,LineærRegression_Valg[[#This Row],[Uafhængig variabel ID]]),INDEX(DataTitel_liste,IF(LineærRegression_Valg[[#This Row],[Afhængig variabel ID]]=1,2,1))),$B$7)</f>
        <v>Eksempel 2 (interval)</v>
      </c>
      <c r="H1999" s="171">
        <f>_xlfn.AGGREGATE(2,5,LineærRegression_Valg[[#This Row],[Tabel ID]])</f>
        <v>1</v>
      </c>
    </row>
    <row r="2000" spans="1:8" x14ac:dyDescent="0.2">
      <c r="A2000">
        <f>ROW(LineærRegression_Valg[[#This Row],[Tabel ID]])-ROW(LineærRegression_Valg[[#Headers],[Tabel ID]])</f>
        <v>1990</v>
      </c>
      <c r="B2000" s="171">
        <f>ROUNDDOWN((LineærRegression_Valg[[#This Row],[Tabel ID]]-1)/$B$5,0)+1</f>
        <v>498</v>
      </c>
      <c r="C2000" s="171">
        <f t="shared" si="31"/>
        <v>2</v>
      </c>
      <c r="D2000" s="171" t="b">
        <f>LineærRegression_Valg[[#This Row],[Afhængig variabel ID]]&lt;&gt;LineærRegression_Valg[[#This Row],[Uafhængig variabel ID]]</f>
        <v>1</v>
      </c>
      <c r="E2000" s="171" t="b">
        <f>LineærRegression_Valg[[#This Row],[Afhængig variabel ID]]&lt;=$B$5</f>
        <v>0</v>
      </c>
      <c r="F2000" t="str" cm="1">
        <f t="array" ref="F2000">IF(LineærRegression_Valg[[#This Row],[Indenfor range]],INDEX(DataTitel_liste,LineærRegression_Valg[[#This Row],[Afhængig variabel ID]]),INDEX(DataTitel_liste,1))</f>
        <v>Eksempel 1 (interval)</v>
      </c>
      <c r="G2000" s="171" t="str" cm="1">
        <f t="array" ref="G2000">IF(LineærRegression_Valg[[#This Row],[Indenfor range]],IF(LineærRegression_Valg[[#This Row],[Intet overlap]],INDEX(DataTitel_liste,LineærRegression_Valg[[#This Row],[Uafhængig variabel ID]]),INDEX(DataTitel_liste,IF(LineærRegression_Valg[[#This Row],[Afhængig variabel ID]]=1,2,1))),$B$7)</f>
        <v>Eksempel 2 (interval)</v>
      </c>
      <c r="H2000" s="171">
        <f>_xlfn.AGGREGATE(2,5,LineærRegression_Valg[[#This Row],[Tabel ID]])</f>
        <v>1</v>
      </c>
    </row>
    <row r="2001" spans="1:8" x14ac:dyDescent="0.2">
      <c r="A2001">
        <f>ROW(LineærRegression_Valg[[#This Row],[Tabel ID]])-ROW(LineærRegression_Valg[[#Headers],[Tabel ID]])</f>
        <v>1991</v>
      </c>
      <c r="B2001" s="171">
        <f>ROUNDDOWN((LineærRegression_Valg[[#This Row],[Tabel ID]]-1)/$B$5,0)+1</f>
        <v>498</v>
      </c>
      <c r="C2001" s="171">
        <f t="shared" si="31"/>
        <v>3</v>
      </c>
      <c r="D2001" s="171" t="b">
        <f>LineærRegression_Valg[[#This Row],[Afhængig variabel ID]]&lt;&gt;LineærRegression_Valg[[#This Row],[Uafhængig variabel ID]]</f>
        <v>1</v>
      </c>
      <c r="E2001" s="171" t="b">
        <f>LineærRegression_Valg[[#This Row],[Afhængig variabel ID]]&lt;=$B$5</f>
        <v>0</v>
      </c>
      <c r="F2001" t="str" cm="1">
        <f t="array" ref="F2001">IF(LineærRegression_Valg[[#This Row],[Indenfor range]],INDEX(DataTitel_liste,LineærRegression_Valg[[#This Row],[Afhængig variabel ID]]),INDEX(DataTitel_liste,1))</f>
        <v>Eksempel 1 (interval)</v>
      </c>
      <c r="G2001" s="171" t="str" cm="1">
        <f t="array" ref="G2001">IF(LineærRegression_Valg[[#This Row],[Indenfor range]],IF(LineærRegression_Valg[[#This Row],[Intet overlap]],INDEX(DataTitel_liste,LineærRegression_Valg[[#This Row],[Uafhængig variabel ID]]),INDEX(DataTitel_liste,IF(LineærRegression_Valg[[#This Row],[Afhængig variabel ID]]=1,2,1))),$B$7)</f>
        <v>Eksempel 2 (interval)</v>
      </c>
      <c r="H2001" s="171">
        <f>_xlfn.AGGREGATE(2,5,LineærRegression_Valg[[#This Row],[Tabel ID]])</f>
        <v>1</v>
      </c>
    </row>
    <row r="2002" spans="1:8" x14ac:dyDescent="0.2">
      <c r="A2002">
        <f>ROW(LineærRegression_Valg[[#This Row],[Tabel ID]])-ROW(LineærRegression_Valg[[#Headers],[Tabel ID]])</f>
        <v>1992</v>
      </c>
      <c r="B2002" s="171">
        <f>ROUNDDOWN((LineærRegression_Valg[[#This Row],[Tabel ID]]-1)/$B$5,0)+1</f>
        <v>498</v>
      </c>
      <c r="C2002" s="171">
        <f t="shared" si="31"/>
        <v>4</v>
      </c>
      <c r="D2002" s="171" t="b">
        <f>LineærRegression_Valg[[#This Row],[Afhængig variabel ID]]&lt;&gt;LineærRegression_Valg[[#This Row],[Uafhængig variabel ID]]</f>
        <v>1</v>
      </c>
      <c r="E2002" s="171" t="b">
        <f>LineærRegression_Valg[[#This Row],[Afhængig variabel ID]]&lt;=$B$5</f>
        <v>0</v>
      </c>
      <c r="F2002" t="str" cm="1">
        <f t="array" ref="F2002">IF(LineærRegression_Valg[[#This Row],[Indenfor range]],INDEX(DataTitel_liste,LineærRegression_Valg[[#This Row],[Afhængig variabel ID]]),INDEX(DataTitel_liste,1))</f>
        <v>Eksempel 1 (interval)</v>
      </c>
      <c r="G2002" s="171" t="str" cm="1">
        <f t="array" ref="G2002">IF(LineærRegression_Valg[[#This Row],[Indenfor range]],IF(LineærRegression_Valg[[#This Row],[Intet overlap]],INDEX(DataTitel_liste,LineærRegression_Valg[[#This Row],[Uafhængig variabel ID]]),INDEX(DataTitel_liste,IF(LineærRegression_Valg[[#This Row],[Afhængig variabel ID]]=1,2,1))),$B$7)</f>
        <v>Eksempel 2 (interval)</v>
      </c>
      <c r="H2002" s="171">
        <f>_xlfn.AGGREGATE(2,5,LineærRegression_Valg[[#This Row],[Tabel ID]])</f>
        <v>1</v>
      </c>
    </row>
    <row r="2003" spans="1:8" x14ac:dyDescent="0.2">
      <c r="A2003">
        <f>ROW(LineærRegression_Valg[[#This Row],[Tabel ID]])-ROW(LineærRegression_Valg[[#Headers],[Tabel ID]])</f>
        <v>1993</v>
      </c>
      <c r="B2003" s="171">
        <f>ROUNDDOWN((LineærRegression_Valg[[#This Row],[Tabel ID]]-1)/$B$5,0)+1</f>
        <v>499</v>
      </c>
      <c r="C2003" s="171">
        <f t="shared" si="31"/>
        <v>1</v>
      </c>
      <c r="D2003" s="171" t="b">
        <f>LineærRegression_Valg[[#This Row],[Afhængig variabel ID]]&lt;&gt;LineærRegression_Valg[[#This Row],[Uafhængig variabel ID]]</f>
        <v>1</v>
      </c>
      <c r="E2003" s="171" t="b">
        <f>LineærRegression_Valg[[#This Row],[Afhængig variabel ID]]&lt;=$B$5</f>
        <v>0</v>
      </c>
      <c r="F2003" t="str" cm="1">
        <f t="array" ref="F2003">IF(LineærRegression_Valg[[#This Row],[Indenfor range]],INDEX(DataTitel_liste,LineærRegression_Valg[[#This Row],[Afhængig variabel ID]]),INDEX(DataTitel_liste,1))</f>
        <v>Eksempel 1 (interval)</v>
      </c>
      <c r="G2003" s="171" t="str" cm="1">
        <f t="array" ref="G2003">IF(LineærRegression_Valg[[#This Row],[Indenfor range]],IF(LineærRegression_Valg[[#This Row],[Intet overlap]],INDEX(DataTitel_liste,LineærRegression_Valg[[#This Row],[Uafhængig variabel ID]]),INDEX(DataTitel_liste,IF(LineærRegression_Valg[[#This Row],[Afhængig variabel ID]]=1,2,1))),$B$7)</f>
        <v>Eksempel 2 (interval)</v>
      </c>
      <c r="H2003" s="171">
        <f>_xlfn.AGGREGATE(2,5,LineærRegression_Valg[[#This Row],[Tabel ID]])</f>
        <v>1</v>
      </c>
    </row>
    <row r="2004" spans="1:8" x14ac:dyDescent="0.2">
      <c r="A2004">
        <f>ROW(LineærRegression_Valg[[#This Row],[Tabel ID]])-ROW(LineærRegression_Valg[[#Headers],[Tabel ID]])</f>
        <v>1994</v>
      </c>
      <c r="B2004" s="171">
        <f>ROUNDDOWN((LineærRegression_Valg[[#This Row],[Tabel ID]]-1)/$B$5,0)+1</f>
        <v>499</v>
      </c>
      <c r="C2004" s="171">
        <f t="shared" si="31"/>
        <v>2</v>
      </c>
      <c r="D2004" s="171" t="b">
        <f>LineærRegression_Valg[[#This Row],[Afhængig variabel ID]]&lt;&gt;LineærRegression_Valg[[#This Row],[Uafhængig variabel ID]]</f>
        <v>1</v>
      </c>
      <c r="E2004" s="171" t="b">
        <f>LineærRegression_Valg[[#This Row],[Afhængig variabel ID]]&lt;=$B$5</f>
        <v>0</v>
      </c>
      <c r="F2004" t="str" cm="1">
        <f t="array" ref="F2004">IF(LineærRegression_Valg[[#This Row],[Indenfor range]],INDEX(DataTitel_liste,LineærRegression_Valg[[#This Row],[Afhængig variabel ID]]),INDEX(DataTitel_liste,1))</f>
        <v>Eksempel 1 (interval)</v>
      </c>
      <c r="G2004" s="171" t="str" cm="1">
        <f t="array" ref="G2004">IF(LineærRegression_Valg[[#This Row],[Indenfor range]],IF(LineærRegression_Valg[[#This Row],[Intet overlap]],INDEX(DataTitel_liste,LineærRegression_Valg[[#This Row],[Uafhængig variabel ID]]),INDEX(DataTitel_liste,IF(LineærRegression_Valg[[#This Row],[Afhængig variabel ID]]=1,2,1))),$B$7)</f>
        <v>Eksempel 2 (interval)</v>
      </c>
      <c r="H2004" s="171">
        <f>_xlfn.AGGREGATE(2,5,LineærRegression_Valg[[#This Row],[Tabel ID]])</f>
        <v>1</v>
      </c>
    </row>
    <row r="2005" spans="1:8" x14ac:dyDescent="0.2">
      <c r="A2005">
        <f>ROW(LineærRegression_Valg[[#This Row],[Tabel ID]])-ROW(LineærRegression_Valg[[#Headers],[Tabel ID]])</f>
        <v>1995</v>
      </c>
      <c r="B2005" s="171">
        <f>ROUNDDOWN((LineærRegression_Valg[[#This Row],[Tabel ID]]-1)/$B$5,0)+1</f>
        <v>499</v>
      </c>
      <c r="C2005" s="171">
        <f t="shared" si="31"/>
        <v>3</v>
      </c>
      <c r="D2005" s="171" t="b">
        <f>LineærRegression_Valg[[#This Row],[Afhængig variabel ID]]&lt;&gt;LineærRegression_Valg[[#This Row],[Uafhængig variabel ID]]</f>
        <v>1</v>
      </c>
      <c r="E2005" s="171" t="b">
        <f>LineærRegression_Valg[[#This Row],[Afhængig variabel ID]]&lt;=$B$5</f>
        <v>0</v>
      </c>
      <c r="F2005" t="str" cm="1">
        <f t="array" ref="F2005">IF(LineærRegression_Valg[[#This Row],[Indenfor range]],INDEX(DataTitel_liste,LineærRegression_Valg[[#This Row],[Afhængig variabel ID]]),INDEX(DataTitel_liste,1))</f>
        <v>Eksempel 1 (interval)</v>
      </c>
      <c r="G2005" s="171" t="str" cm="1">
        <f t="array" ref="G2005">IF(LineærRegression_Valg[[#This Row],[Indenfor range]],IF(LineærRegression_Valg[[#This Row],[Intet overlap]],INDEX(DataTitel_liste,LineærRegression_Valg[[#This Row],[Uafhængig variabel ID]]),INDEX(DataTitel_liste,IF(LineærRegression_Valg[[#This Row],[Afhængig variabel ID]]=1,2,1))),$B$7)</f>
        <v>Eksempel 2 (interval)</v>
      </c>
      <c r="H2005" s="171">
        <f>_xlfn.AGGREGATE(2,5,LineærRegression_Valg[[#This Row],[Tabel ID]])</f>
        <v>1</v>
      </c>
    </row>
    <row r="2006" spans="1:8" x14ac:dyDescent="0.2">
      <c r="A2006">
        <f>ROW(LineærRegression_Valg[[#This Row],[Tabel ID]])-ROW(LineærRegression_Valg[[#Headers],[Tabel ID]])</f>
        <v>1996</v>
      </c>
      <c r="B2006" s="171">
        <f>ROUNDDOWN((LineærRegression_Valg[[#This Row],[Tabel ID]]-1)/$B$5,0)+1</f>
        <v>499</v>
      </c>
      <c r="C2006" s="171">
        <f t="shared" si="31"/>
        <v>4</v>
      </c>
      <c r="D2006" s="171" t="b">
        <f>LineærRegression_Valg[[#This Row],[Afhængig variabel ID]]&lt;&gt;LineærRegression_Valg[[#This Row],[Uafhængig variabel ID]]</f>
        <v>1</v>
      </c>
      <c r="E2006" s="171" t="b">
        <f>LineærRegression_Valg[[#This Row],[Afhængig variabel ID]]&lt;=$B$5</f>
        <v>0</v>
      </c>
      <c r="F2006" t="str" cm="1">
        <f t="array" ref="F2006">IF(LineærRegression_Valg[[#This Row],[Indenfor range]],INDEX(DataTitel_liste,LineærRegression_Valg[[#This Row],[Afhængig variabel ID]]),INDEX(DataTitel_liste,1))</f>
        <v>Eksempel 1 (interval)</v>
      </c>
      <c r="G2006" s="171" t="str" cm="1">
        <f t="array" ref="G2006">IF(LineærRegression_Valg[[#This Row],[Indenfor range]],IF(LineærRegression_Valg[[#This Row],[Intet overlap]],INDEX(DataTitel_liste,LineærRegression_Valg[[#This Row],[Uafhængig variabel ID]]),INDEX(DataTitel_liste,IF(LineærRegression_Valg[[#This Row],[Afhængig variabel ID]]=1,2,1))),$B$7)</f>
        <v>Eksempel 2 (interval)</v>
      </c>
      <c r="H2006" s="171">
        <f>_xlfn.AGGREGATE(2,5,LineærRegression_Valg[[#This Row],[Tabel ID]])</f>
        <v>1</v>
      </c>
    </row>
    <row r="2007" spans="1:8" x14ac:dyDescent="0.2">
      <c r="A2007">
        <f>ROW(LineærRegression_Valg[[#This Row],[Tabel ID]])-ROW(LineærRegression_Valg[[#Headers],[Tabel ID]])</f>
        <v>1997</v>
      </c>
      <c r="B2007" s="171">
        <f>ROUNDDOWN((LineærRegression_Valg[[#This Row],[Tabel ID]]-1)/$B$5,0)+1</f>
        <v>500</v>
      </c>
      <c r="C2007" s="171">
        <f t="shared" si="31"/>
        <v>1</v>
      </c>
      <c r="D2007" s="171" t="b">
        <f>LineærRegression_Valg[[#This Row],[Afhængig variabel ID]]&lt;&gt;LineærRegression_Valg[[#This Row],[Uafhængig variabel ID]]</f>
        <v>1</v>
      </c>
      <c r="E2007" s="171" t="b">
        <f>LineærRegression_Valg[[#This Row],[Afhængig variabel ID]]&lt;=$B$5</f>
        <v>0</v>
      </c>
      <c r="F2007" t="str" cm="1">
        <f t="array" ref="F2007">IF(LineærRegression_Valg[[#This Row],[Indenfor range]],INDEX(DataTitel_liste,LineærRegression_Valg[[#This Row],[Afhængig variabel ID]]),INDEX(DataTitel_liste,1))</f>
        <v>Eksempel 1 (interval)</v>
      </c>
      <c r="G2007" s="171" t="str" cm="1">
        <f t="array" ref="G2007">IF(LineærRegression_Valg[[#This Row],[Indenfor range]],IF(LineærRegression_Valg[[#This Row],[Intet overlap]],INDEX(DataTitel_liste,LineærRegression_Valg[[#This Row],[Uafhængig variabel ID]]),INDEX(DataTitel_liste,IF(LineærRegression_Valg[[#This Row],[Afhængig variabel ID]]=1,2,1))),$B$7)</f>
        <v>Eksempel 2 (interval)</v>
      </c>
      <c r="H2007" s="171">
        <f>_xlfn.AGGREGATE(2,5,LineærRegression_Valg[[#This Row],[Tabel ID]])</f>
        <v>1</v>
      </c>
    </row>
    <row r="2008" spans="1:8" x14ac:dyDescent="0.2">
      <c r="A2008">
        <f>ROW(LineærRegression_Valg[[#This Row],[Tabel ID]])-ROW(LineærRegression_Valg[[#Headers],[Tabel ID]])</f>
        <v>1998</v>
      </c>
      <c r="B2008" s="171">
        <f>ROUNDDOWN((LineærRegression_Valg[[#This Row],[Tabel ID]]-1)/$B$5,0)+1</f>
        <v>500</v>
      </c>
      <c r="C2008" s="171">
        <f t="shared" si="31"/>
        <v>2</v>
      </c>
      <c r="D2008" s="171" t="b">
        <f>LineærRegression_Valg[[#This Row],[Afhængig variabel ID]]&lt;&gt;LineærRegression_Valg[[#This Row],[Uafhængig variabel ID]]</f>
        <v>1</v>
      </c>
      <c r="E2008" s="171" t="b">
        <f>LineærRegression_Valg[[#This Row],[Afhængig variabel ID]]&lt;=$B$5</f>
        <v>0</v>
      </c>
      <c r="F2008" t="str" cm="1">
        <f t="array" ref="F2008">IF(LineærRegression_Valg[[#This Row],[Indenfor range]],INDEX(DataTitel_liste,LineærRegression_Valg[[#This Row],[Afhængig variabel ID]]),INDEX(DataTitel_liste,1))</f>
        <v>Eksempel 1 (interval)</v>
      </c>
      <c r="G2008" s="171" t="str" cm="1">
        <f t="array" ref="G2008">IF(LineærRegression_Valg[[#This Row],[Indenfor range]],IF(LineærRegression_Valg[[#This Row],[Intet overlap]],INDEX(DataTitel_liste,LineærRegression_Valg[[#This Row],[Uafhængig variabel ID]]),INDEX(DataTitel_liste,IF(LineærRegression_Valg[[#This Row],[Afhængig variabel ID]]=1,2,1))),$B$7)</f>
        <v>Eksempel 2 (interval)</v>
      </c>
      <c r="H2008" s="171">
        <f>_xlfn.AGGREGATE(2,5,LineærRegression_Valg[[#This Row],[Tabel ID]])</f>
        <v>1</v>
      </c>
    </row>
    <row r="2009" spans="1:8" x14ac:dyDescent="0.2">
      <c r="A2009">
        <f>ROW(LineærRegression_Valg[[#This Row],[Tabel ID]])-ROW(LineærRegression_Valg[[#Headers],[Tabel ID]])</f>
        <v>1999</v>
      </c>
      <c r="B2009" s="171">
        <f>ROUNDDOWN((LineærRegression_Valg[[#This Row],[Tabel ID]]-1)/$B$5,0)+1</f>
        <v>500</v>
      </c>
      <c r="C2009" s="171">
        <f t="shared" si="31"/>
        <v>3</v>
      </c>
      <c r="D2009" s="171" t="b">
        <f>LineærRegression_Valg[[#This Row],[Afhængig variabel ID]]&lt;&gt;LineærRegression_Valg[[#This Row],[Uafhængig variabel ID]]</f>
        <v>1</v>
      </c>
      <c r="E2009" s="171" t="b">
        <f>LineærRegression_Valg[[#This Row],[Afhængig variabel ID]]&lt;=$B$5</f>
        <v>0</v>
      </c>
      <c r="F2009" t="str" cm="1">
        <f t="array" ref="F2009">IF(LineærRegression_Valg[[#This Row],[Indenfor range]],INDEX(DataTitel_liste,LineærRegression_Valg[[#This Row],[Afhængig variabel ID]]),INDEX(DataTitel_liste,1))</f>
        <v>Eksempel 1 (interval)</v>
      </c>
      <c r="G2009" s="171" t="str" cm="1">
        <f t="array" ref="G2009">IF(LineærRegression_Valg[[#This Row],[Indenfor range]],IF(LineærRegression_Valg[[#This Row],[Intet overlap]],INDEX(DataTitel_liste,LineærRegression_Valg[[#This Row],[Uafhængig variabel ID]]),INDEX(DataTitel_liste,IF(LineærRegression_Valg[[#This Row],[Afhængig variabel ID]]=1,2,1))),$B$7)</f>
        <v>Eksempel 2 (interval)</v>
      </c>
      <c r="H2009" s="171">
        <f>_xlfn.AGGREGATE(2,5,LineærRegression_Valg[[#This Row],[Tabel ID]])</f>
        <v>1</v>
      </c>
    </row>
    <row r="2010" spans="1:8" x14ac:dyDescent="0.2">
      <c r="A2010">
        <f>ROW(LineærRegression_Valg[[#This Row],[Tabel ID]])-ROW(LineærRegression_Valg[[#Headers],[Tabel ID]])</f>
        <v>2000</v>
      </c>
      <c r="B2010" s="171">
        <f>ROUNDDOWN((LineærRegression_Valg[[#This Row],[Tabel ID]]-1)/$B$5,0)+1</f>
        <v>500</v>
      </c>
      <c r="C2010" s="171">
        <f t="shared" si="31"/>
        <v>4</v>
      </c>
      <c r="D2010" s="171" t="b">
        <f>LineærRegression_Valg[[#This Row],[Afhængig variabel ID]]&lt;&gt;LineærRegression_Valg[[#This Row],[Uafhængig variabel ID]]</f>
        <v>1</v>
      </c>
      <c r="E2010" s="171" t="b">
        <f>LineærRegression_Valg[[#This Row],[Afhængig variabel ID]]&lt;=$B$5</f>
        <v>0</v>
      </c>
      <c r="F2010" t="str" cm="1">
        <f t="array" ref="F2010">IF(LineærRegression_Valg[[#This Row],[Indenfor range]],INDEX(DataTitel_liste,LineærRegression_Valg[[#This Row],[Afhængig variabel ID]]),INDEX(DataTitel_liste,1))</f>
        <v>Eksempel 1 (interval)</v>
      </c>
      <c r="G2010" s="171" t="str" cm="1">
        <f t="array" ref="G2010">IF(LineærRegression_Valg[[#This Row],[Indenfor range]],IF(LineærRegression_Valg[[#This Row],[Intet overlap]],INDEX(DataTitel_liste,LineærRegression_Valg[[#This Row],[Uafhængig variabel ID]]),INDEX(DataTitel_liste,IF(LineærRegression_Valg[[#This Row],[Afhængig variabel ID]]=1,2,1))),$B$7)</f>
        <v>Eksempel 2 (interval)</v>
      </c>
      <c r="H2010" s="171">
        <f>_xlfn.AGGREGATE(2,5,LineærRegression_Valg[[#This Row],[Tabel ID]])</f>
        <v>1</v>
      </c>
    </row>
    <row r="2011" spans="1:8" x14ac:dyDescent="0.2">
      <c r="A2011">
        <f>ROW(LineærRegression_Valg[[#This Row],[Tabel ID]])-ROW(LineærRegression_Valg[[#Headers],[Tabel ID]])</f>
        <v>2001</v>
      </c>
      <c r="B2011" s="171">
        <f>ROUNDDOWN((LineærRegression_Valg[[#This Row],[Tabel ID]]-1)/$B$5,0)+1</f>
        <v>501</v>
      </c>
      <c r="C2011" s="171">
        <f t="shared" si="31"/>
        <v>1</v>
      </c>
      <c r="D2011" s="171" t="b">
        <f>LineærRegression_Valg[[#This Row],[Afhængig variabel ID]]&lt;&gt;LineærRegression_Valg[[#This Row],[Uafhængig variabel ID]]</f>
        <v>1</v>
      </c>
      <c r="E2011" s="171" t="b">
        <f>LineærRegression_Valg[[#This Row],[Afhængig variabel ID]]&lt;=$B$5</f>
        <v>0</v>
      </c>
      <c r="F2011" t="str" cm="1">
        <f t="array" ref="F2011">IF(LineærRegression_Valg[[#This Row],[Indenfor range]],INDEX(DataTitel_liste,LineærRegression_Valg[[#This Row],[Afhængig variabel ID]]),INDEX(DataTitel_liste,1))</f>
        <v>Eksempel 1 (interval)</v>
      </c>
      <c r="G2011" s="171" t="str" cm="1">
        <f t="array" ref="G2011">IF(LineærRegression_Valg[[#This Row],[Indenfor range]],IF(LineærRegression_Valg[[#This Row],[Intet overlap]],INDEX(DataTitel_liste,LineærRegression_Valg[[#This Row],[Uafhængig variabel ID]]),INDEX(DataTitel_liste,IF(LineærRegression_Valg[[#This Row],[Afhængig variabel ID]]=1,2,1))),$B$7)</f>
        <v>Eksempel 2 (interval)</v>
      </c>
      <c r="H2011" s="171">
        <f>_xlfn.AGGREGATE(2,5,LineærRegression_Valg[[#This Row],[Tabel ID]])</f>
        <v>1</v>
      </c>
    </row>
    <row r="2012" spans="1:8" x14ac:dyDescent="0.2">
      <c r="A2012">
        <f>ROW(LineærRegression_Valg[[#This Row],[Tabel ID]])-ROW(LineærRegression_Valg[[#Headers],[Tabel ID]])</f>
        <v>2002</v>
      </c>
      <c r="B2012" s="171">
        <f>ROUNDDOWN((LineærRegression_Valg[[#This Row],[Tabel ID]]-1)/$B$5,0)+1</f>
        <v>501</v>
      </c>
      <c r="C2012" s="171">
        <f t="shared" si="31"/>
        <v>2</v>
      </c>
      <c r="D2012" s="171" t="b">
        <f>LineærRegression_Valg[[#This Row],[Afhængig variabel ID]]&lt;&gt;LineærRegression_Valg[[#This Row],[Uafhængig variabel ID]]</f>
        <v>1</v>
      </c>
      <c r="E2012" s="171" t="b">
        <f>LineærRegression_Valg[[#This Row],[Afhængig variabel ID]]&lt;=$B$5</f>
        <v>0</v>
      </c>
      <c r="F2012" t="str" cm="1">
        <f t="array" ref="F2012">IF(LineærRegression_Valg[[#This Row],[Indenfor range]],INDEX(DataTitel_liste,LineærRegression_Valg[[#This Row],[Afhængig variabel ID]]),INDEX(DataTitel_liste,1))</f>
        <v>Eksempel 1 (interval)</v>
      </c>
      <c r="G2012" s="171" t="str" cm="1">
        <f t="array" ref="G2012">IF(LineærRegression_Valg[[#This Row],[Indenfor range]],IF(LineærRegression_Valg[[#This Row],[Intet overlap]],INDEX(DataTitel_liste,LineærRegression_Valg[[#This Row],[Uafhængig variabel ID]]),INDEX(DataTitel_liste,IF(LineærRegression_Valg[[#This Row],[Afhængig variabel ID]]=1,2,1))),$B$7)</f>
        <v>Eksempel 2 (interval)</v>
      </c>
      <c r="H2012" s="171">
        <f>_xlfn.AGGREGATE(2,5,LineærRegression_Valg[[#This Row],[Tabel ID]])</f>
        <v>1</v>
      </c>
    </row>
    <row r="2013" spans="1:8" x14ac:dyDescent="0.2">
      <c r="A2013">
        <f>ROW(LineærRegression_Valg[[#This Row],[Tabel ID]])-ROW(LineærRegression_Valg[[#Headers],[Tabel ID]])</f>
        <v>2003</v>
      </c>
      <c r="B2013" s="171">
        <f>ROUNDDOWN((LineærRegression_Valg[[#This Row],[Tabel ID]]-1)/$B$5,0)+1</f>
        <v>501</v>
      </c>
      <c r="C2013" s="171">
        <f t="shared" si="31"/>
        <v>3</v>
      </c>
      <c r="D2013" s="171" t="b">
        <f>LineærRegression_Valg[[#This Row],[Afhængig variabel ID]]&lt;&gt;LineærRegression_Valg[[#This Row],[Uafhængig variabel ID]]</f>
        <v>1</v>
      </c>
      <c r="E2013" s="171" t="b">
        <f>LineærRegression_Valg[[#This Row],[Afhængig variabel ID]]&lt;=$B$5</f>
        <v>0</v>
      </c>
      <c r="F2013" t="str" cm="1">
        <f t="array" ref="F2013">IF(LineærRegression_Valg[[#This Row],[Indenfor range]],INDEX(DataTitel_liste,LineærRegression_Valg[[#This Row],[Afhængig variabel ID]]),INDEX(DataTitel_liste,1))</f>
        <v>Eksempel 1 (interval)</v>
      </c>
      <c r="G2013" s="171" t="str" cm="1">
        <f t="array" ref="G2013">IF(LineærRegression_Valg[[#This Row],[Indenfor range]],IF(LineærRegression_Valg[[#This Row],[Intet overlap]],INDEX(DataTitel_liste,LineærRegression_Valg[[#This Row],[Uafhængig variabel ID]]),INDEX(DataTitel_liste,IF(LineærRegression_Valg[[#This Row],[Afhængig variabel ID]]=1,2,1))),$B$7)</f>
        <v>Eksempel 2 (interval)</v>
      </c>
      <c r="H2013" s="171">
        <f>_xlfn.AGGREGATE(2,5,LineærRegression_Valg[[#This Row],[Tabel ID]])</f>
        <v>1</v>
      </c>
    </row>
    <row r="2014" spans="1:8" x14ac:dyDescent="0.2">
      <c r="A2014">
        <f>ROW(LineærRegression_Valg[[#This Row],[Tabel ID]])-ROW(LineærRegression_Valg[[#Headers],[Tabel ID]])</f>
        <v>2004</v>
      </c>
      <c r="B2014" s="171">
        <f>ROUNDDOWN((LineærRegression_Valg[[#This Row],[Tabel ID]]-1)/$B$5,0)+1</f>
        <v>501</v>
      </c>
      <c r="C2014" s="171">
        <f t="shared" si="31"/>
        <v>4</v>
      </c>
      <c r="D2014" s="171" t="b">
        <f>LineærRegression_Valg[[#This Row],[Afhængig variabel ID]]&lt;&gt;LineærRegression_Valg[[#This Row],[Uafhængig variabel ID]]</f>
        <v>1</v>
      </c>
      <c r="E2014" s="171" t="b">
        <f>LineærRegression_Valg[[#This Row],[Afhængig variabel ID]]&lt;=$B$5</f>
        <v>0</v>
      </c>
      <c r="F2014" t="str" cm="1">
        <f t="array" ref="F2014">IF(LineærRegression_Valg[[#This Row],[Indenfor range]],INDEX(DataTitel_liste,LineærRegression_Valg[[#This Row],[Afhængig variabel ID]]),INDEX(DataTitel_liste,1))</f>
        <v>Eksempel 1 (interval)</v>
      </c>
      <c r="G2014" s="171" t="str" cm="1">
        <f t="array" ref="G2014">IF(LineærRegression_Valg[[#This Row],[Indenfor range]],IF(LineærRegression_Valg[[#This Row],[Intet overlap]],INDEX(DataTitel_liste,LineærRegression_Valg[[#This Row],[Uafhængig variabel ID]]),INDEX(DataTitel_liste,IF(LineærRegression_Valg[[#This Row],[Afhængig variabel ID]]=1,2,1))),$B$7)</f>
        <v>Eksempel 2 (interval)</v>
      </c>
      <c r="H2014" s="171">
        <f>_xlfn.AGGREGATE(2,5,LineærRegression_Valg[[#This Row],[Tabel ID]])</f>
        <v>1</v>
      </c>
    </row>
    <row r="2015" spans="1:8" x14ac:dyDescent="0.2">
      <c r="A2015">
        <f>ROW(LineærRegression_Valg[[#This Row],[Tabel ID]])-ROW(LineærRegression_Valg[[#Headers],[Tabel ID]])</f>
        <v>2005</v>
      </c>
      <c r="B2015" s="171">
        <f>ROUNDDOWN((LineærRegression_Valg[[#This Row],[Tabel ID]]-1)/$B$5,0)+1</f>
        <v>502</v>
      </c>
      <c r="C2015" s="171">
        <f t="shared" si="31"/>
        <v>1</v>
      </c>
      <c r="D2015" s="171" t="b">
        <f>LineærRegression_Valg[[#This Row],[Afhængig variabel ID]]&lt;&gt;LineærRegression_Valg[[#This Row],[Uafhængig variabel ID]]</f>
        <v>1</v>
      </c>
      <c r="E2015" s="171" t="b">
        <f>LineærRegression_Valg[[#This Row],[Afhængig variabel ID]]&lt;=$B$5</f>
        <v>0</v>
      </c>
      <c r="F2015" t="str" cm="1">
        <f t="array" ref="F2015">IF(LineærRegression_Valg[[#This Row],[Indenfor range]],INDEX(DataTitel_liste,LineærRegression_Valg[[#This Row],[Afhængig variabel ID]]),INDEX(DataTitel_liste,1))</f>
        <v>Eksempel 1 (interval)</v>
      </c>
      <c r="G2015" s="171" t="str" cm="1">
        <f t="array" ref="G2015">IF(LineærRegression_Valg[[#This Row],[Indenfor range]],IF(LineærRegression_Valg[[#This Row],[Intet overlap]],INDEX(DataTitel_liste,LineærRegression_Valg[[#This Row],[Uafhængig variabel ID]]),INDEX(DataTitel_liste,IF(LineærRegression_Valg[[#This Row],[Afhængig variabel ID]]=1,2,1))),$B$7)</f>
        <v>Eksempel 2 (interval)</v>
      </c>
      <c r="H2015" s="171">
        <f>_xlfn.AGGREGATE(2,5,LineærRegression_Valg[[#This Row],[Tabel ID]])</f>
        <v>1</v>
      </c>
    </row>
    <row r="2016" spans="1:8" x14ac:dyDescent="0.2">
      <c r="A2016">
        <f>ROW(LineærRegression_Valg[[#This Row],[Tabel ID]])-ROW(LineærRegression_Valg[[#Headers],[Tabel ID]])</f>
        <v>2006</v>
      </c>
      <c r="B2016" s="171">
        <f>ROUNDDOWN((LineærRegression_Valg[[#This Row],[Tabel ID]]-1)/$B$5,0)+1</f>
        <v>502</v>
      </c>
      <c r="C2016" s="171">
        <f t="shared" si="31"/>
        <v>2</v>
      </c>
      <c r="D2016" s="171" t="b">
        <f>LineærRegression_Valg[[#This Row],[Afhængig variabel ID]]&lt;&gt;LineærRegression_Valg[[#This Row],[Uafhængig variabel ID]]</f>
        <v>1</v>
      </c>
      <c r="E2016" s="171" t="b">
        <f>LineærRegression_Valg[[#This Row],[Afhængig variabel ID]]&lt;=$B$5</f>
        <v>0</v>
      </c>
      <c r="F2016" t="str" cm="1">
        <f t="array" ref="F2016">IF(LineærRegression_Valg[[#This Row],[Indenfor range]],INDEX(DataTitel_liste,LineærRegression_Valg[[#This Row],[Afhængig variabel ID]]),INDEX(DataTitel_liste,1))</f>
        <v>Eksempel 1 (interval)</v>
      </c>
      <c r="G2016" s="171" t="str" cm="1">
        <f t="array" ref="G2016">IF(LineærRegression_Valg[[#This Row],[Indenfor range]],IF(LineærRegression_Valg[[#This Row],[Intet overlap]],INDEX(DataTitel_liste,LineærRegression_Valg[[#This Row],[Uafhængig variabel ID]]),INDEX(DataTitel_liste,IF(LineærRegression_Valg[[#This Row],[Afhængig variabel ID]]=1,2,1))),$B$7)</f>
        <v>Eksempel 2 (interval)</v>
      </c>
      <c r="H2016" s="171">
        <f>_xlfn.AGGREGATE(2,5,LineærRegression_Valg[[#This Row],[Tabel ID]])</f>
        <v>1</v>
      </c>
    </row>
    <row r="2017" spans="1:8" x14ac:dyDescent="0.2">
      <c r="A2017">
        <f>ROW(LineærRegression_Valg[[#This Row],[Tabel ID]])-ROW(LineærRegression_Valg[[#Headers],[Tabel ID]])</f>
        <v>2007</v>
      </c>
      <c r="B2017" s="171">
        <f>ROUNDDOWN((LineærRegression_Valg[[#This Row],[Tabel ID]]-1)/$B$5,0)+1</f>
        <v>502</v>
      </c>
      <c r="C2017" s="171">
        <f t="shared" si="31"/>
        <v>3</v>
      </c>
      <c r="D2017" s="171" t="b">
        <f>LineærRegression_Valg[[#This Row],[Afhængig variabel ID]]&lt;&gt;LineærRegression_Valg[[#This Row],[Uafhængig variabel ID]]</f>
        <v>1</v>
      </c>
      <c r="E2017" s="171" t="b">
        <f>LineærRegression_Valg[[#This Row],[Afhængig variabel ID]]&lt;=$B$5</f>
        <v>0</v>
      </c>
      <c r="F2017" t="str" cm="1">
        <f t="array" ref="F2017">IF(LineærRegression_Valg[[#This Row],[Indenfor range]],INDEX(DataTitel_liste,LineærRegression_Valg[[#This Row],[Afhængig variabel ID]]),INDEX(DataTitel_liste,1))</f>
        <v>Eksempel 1 (interval)</v>
      </c>
      <c r="G2017" s="171" t="str" cm="1">
        <f t="array" ref="G2017">IF(LineærRegression_Valg[[#This Row],[Indenfor range]],IF(LineærRegression_Valg[[#This Row],[Intet overlap]],INDEX(DataTitel_liste,LineærRegression_Valg[[#This Row],[Uafhængig variabel ID]]),INDEX(DataTitel_liste,IF(LineærRegression_Valg[[#This Row],[Afhængig variabel ID]]=1,2,1))),$B$7)</f>
        <v>Eksempel 2 (interval)</v>
      </c>
      <c r="H2017" s="171">
        <f>_xlfn.AGGREGATE(2,5,LineærRegression_Valg[[#This Row],[Tabel ID]])</f>
        <v>1</v>
      </c>
    </row>
    <row r="2018" spans="1:8" x14ac:dyDescent="0.2">
      <c r="A2018">
        <f>ROW(LineærRegression_Valg[[#This Row],[Tabel ID]])-ROW(LineærRegression_Valg[[#Headers],[Tabel ID]])</f>
        <v>2008</v>
      </c>
      <c r="B2018" s="171">
        <f>ROUNDDOWN((LineærRegression_Valg[[#This Row],[Tabel ID]]-1)/$B$5,0)+1</f>
        <v>502</v>
      </c>
      <c r="C2018" s="171">
        <f t="shared" si="31"/>
        <v>4</v>
      </c>
      <c r="D2018" s="171" t="b">
        <f>LineærRegression_Valg[[#This Row],[Afhængig variabel ID]]&lt;&gt;LineærRegression_Valg[[#This Row],[Uafhængig variabel ID]]</f>
        <v>1</v>
      </c>
      <c r="E2018" s="171" t="b">
        <f>LineærRegression_Valg[[#This Row],[Afhængig variabel ID]]&lt;=$B$5</f>
        <v>0</v>
      </c>
      <c r="F2018" t="str" cm="1">
        <f t="array" ref="F2018">IF(LineærRegression_Valg[[#This Row],[Indenfor range]],INDEX(DataTitel_liste,LineærRegression_Valg[[#This Row],[Afhængig variabel ID]]),INDEX(DataTitel_liste,1))</f>
        <v>Eksempel 1 (interval)</v>
      </c>
      <c r="G2018" s="171" t="str" cm="1">
        <f t="array" ref="G2018">IF(LineærRegression_Valg[[#This Row],[Indenfor range]],IF(LineærRegression_Valg[[#This Row],[Intet overlap]],INDEX(DataTitel_liste,LineærRegression_Valg[[#This Row],[Uafhængig variabel ID]]),INDEX(DataTitel_liste,IF(LineærRegression_Valg[[#This Row],[Afhængig variabel ID]]=1,2,1))),$B$7)</f>
        <v>Eksempel 2 (interval)</v>
      </c>
      <c r="H2018" s="171">
        <f>_xlfn.AGGREGATE(2,5,LineærRegression_Valg[[#This Row],[Tabel ID]])</f>
        <v>1</v>
      </c>
    </row>
    <row r="2019" spans="1:8" x14ac:dyDescent="0.2">
      <c r="A2019">
        <f>ROW(LineærRegression_Valg[[#This Row],[Tabel ID]])-ROW(LineærRegression_Valg[[#Headers],[Tabel ID]])</f>
        <v>2009</v>
      </c>
      <c r="B2019" s="171">
        <f>ROUNDDOWN((LineærRegression_Valg[[#This Row],[Tabel ID]]-1)/$B$5,0)+1</f>
        <v>503</v>
      </c>
      <c r="C2019" s="171">
        <f t="shared" si="31"/>
        <v>1</v>
      </c>
      <c r="D2019" s="171" t="b">
        <f>LineærRegression_Valg[[#This Row],[Afhængig variabel ID]]&lt;&gt;LineærRegression_Valg[[#This Row],[Uafhængig variabel ID]]</f>
        <v>1</v>
      </c>
      <c r="E2019" s="171" t="b">
        <f>LineærRegression_Valg[[#This Row],[Afhængig variabel ID]]&lt;=$B$5</f>
        <v>0</v>
      </c>
      <c r="F2019" t="str" cm="1">
        <f t="array" ref="F2019">IF(LineærRegression_Valg[[#This Row],[Indenfor range]],INDEX(DataTitel_liste,LineærRegression_Valg[[#This Row],[Afhængig variabel ID]]),INDEX(DataTitel_liste,1))</f>
        <v>Eksempel 1 (interval)</v>
      </c>
      <c r="G2019" s="171" t="str" cm="1">
        <f t="array" ref="G2019">IF(LineærRegression_Valg[[#This Row],[Indenfor range]],IF(LineærRegression_Valg[[#This Row],[Intet overlap]],INDEX(DataTitel_liste,LineærRegression_Valg[[#This Row],[Uafhængig variabel ID]]),INDEX(DataTitel_liste,IF(LineærRegression_Valg[[#This Row],[Afhængig variabel ID]]=1,2,1))),$B$7)</f>
        <v>Eksempel 2 (interval)</v>
      </c>
      <c r="H2019" s="171">
        <f>_xlfn.AGGREGATE(2,5,LineærRegression_Valg[[#This Row],[Tabel ID]])</f>
        <v>1</v>
      </c>
    </row>
    <row r="2020" spans="1:8" x14ac:dyDescent="0.2">
      <c r="A2020">
        <f>ROW(LineærRegression_Valg[[#This Row],[Tabel ID]])-ROW(LineærRegression_Valg[[#Headers],[Tabel ID]])</f>
        <v>2010</v>
      </c>
      <c r="B2020" s="171">
        <f>ROUNDDOWN((LineærRegression_Valg[[#This Row],[Tabel ID]]-1)/$B$5,0)+1</f>
        <v>503</v>
      </c>
      <c r="C2020" s="171">
        <f t="shared" si="31"/>
        <v>2</v>
      </c>
      <c r="D2020" s="171" t="b">
        <f>LineærRegression_Valg[[#This Row],[Afhængig variabel ID]]&lt;&gt;LineærRegression_Valg[[#This Row],[Uafhængig variabel ID]]</f>
        <v>1</v>
      </c>
      <c r="E2020" s="171" t="b">
        <f>LineærRegression_Valg[[#This Row],[Afhængig variabel ID]]&lt;=$B$5</f>
        <v>0</v>
      </c>
      <c r="F2020" t="str" cm="1">
        <f t="array" ref="F2020">IF(LineærRegression_Valg[[#This Row],[Indenfor range]],INDEX(DataTitel_liste,LineærRegression_Valg[[#This Row],[Afhængig variabel ID]]),INDEX(DataTitel_liste,1))</f>
        <v>Eksempel 1 (interval)</v>
      </c>
      <c r="G2020" s="171" t="str" cm="1">
        <f t="array" ref="G2020">IF(LineærRegression_Valg[[#This Row],[Indenfor range]],IF(LineærRegression_Valg[[#This Row],[Intet overlap]],INDEX(DataTitel_liste,LineærRegression_Valg[[#This Row],[Uafhængig variabel ID]]),INDEX(DataTitel_liste,IF(LineærRegression_Valg[[#This Row],[Afhængig variabel ID]]=1,2,1))),$B$7)</f>
        <v>Eksempel 2 (interval)</v>
      </c>
      <c r="H2020" s="171">
        <f>_xlfn.AGGREGATE(2,5,LineærRegression_Valg[[#This Row],[Tabel ID]])</f>
        <v>1</v>
      </c>
    </row>
    <row r="2021" spans="1:8" x14ac:dyDescent="0.2">
      <c r="A2021">
        <f>ROW(LineærRegression_Valg[[#This Row],[Tabel ID]])-ROW(LineærRegression_Valg[[#Headers],[Tabel ID]])</f>
        <v>2011</v>
      </c>
      <c r="B2021" s="171">
        <f>ROUNDDOWN((LineærRegression_Valg[[#This Row],[Tabel ID]]-1)/$B$5,0)+1</f>
        <v>503</v>
      </c>
      <c r="C2021" s="171">
        <f t="shared" si="31"/>
        <v>3</v>
      </c>
      <c r="D2021" s="171" t="b">
        <f>LineærRegression_Valg[[#This Row],[Afhængig variabel ID]]&lt;&gt;LineærRegression_Valg[[#This Row],[Uafhængig variabel ID]]</f>
        <v>1</v>
      </c>
      <c r="E2021" s="171" t="b">
        <f>LineærRegression_Valg[[#This Row],[Afhængig variabel ID]]&lt;=$B$5</f>
        <v>0</v>
      </c>
      <c r="F2021" t="str" cm="1">
        <f t="array" ref="F2021">IF(LineærRegression_Valg[[#This Row],[Indenfor range]],INDEX(DataTitel_liste,LineærRegression_Valg[[#This Row],[Afhængig variabel ID]]),INDEX(DataTitel_liste,1))</f>
        <v>Eksempel 1 (interval)</v>
      </c>
      <c r="G2021" s="171" t="str" cm="1">
        <f t="array" ref="G2021">IF(LineærRegression_Valg[[#This Row],[Indenfor range]],IF(LineærRegression_Valg[[#This Row],[Intet overlap]],INDEX(DataTitel_liste,LineærRegression_Valg[[#This Row],[Uafhængig variabel ID]]),INDEX(DataTitel_liste,IF(LineærRegression_Valg[[#This Row],[Afhængig variabel ID]]=1,2,1))),$B$7)</f>
        <v>Eksempel 2 (interval)</v>
      </c>
      <c r="H2021" s="171">
        <f>_xlfn.AGGREGATE(2,5,LineærRegression_Valg[[#This Row],[Tabel ID]])</f>
        <v>1</v>
      </c>
    </row>
    <row r="2022" spans="1:8" x14ac:dyDescent="0.2">
      <c r="A2022">
        <f>ROW(LineærRegression_Valg[[#This Row],[Tabel ID]])-ROW(LineærRegression_Valg[[#Headers],[Tabel ID]])</f>
        <v>2012</v>
      </c>
      <c r="B2022" s="171">
        <f>ROUNDDOWN((LineærRegression_Valg[[#This Row],[Tabel ID]]-1)/$B$5,0)+1</f>
        <v>503</v>
      </c>
      <c r="C2022" s="171">
        <f t="shared" si="31"/>
        <v>4</v>
      </c>
      <c r="D2022" s="171" t="b">
        <f>LineærRegression_Valg[[#This Row],[Afhængig variabel ID]]&lt;&gt;LineærRegression_Valg[[#This Row],[Uafhængig variabel ID]]</f>
        <v>1</v>
      </c>
      <c r="E2022" s="171" t="b">
        <f>LineærRegression_Valg[[#This Row],[Afhængig variabel ID]]&lt;=$B$5</f>
        <v>0</v>
      </c>
      <c r="F2022" t="str" cm="1">
        <f t="array" ref="F2022">IF(LineærRegression_Valg[[#This Row],[Indenfor range]],INDEX(DataTitel_liste,LineærRegression_Valg[[#This Row],[Afhængig variabel ID]]),INDEX(DataTitel_liste,1))</f>
        <v>Eksempel 1 (interval)</v>
      </c>
      <c r="G2022" s="171" t="str" cm="1">
        <f t="array" ref="G2022">IF(LineærRegression_Valg[[#This Row],[Indenfor range]],IF(LineærRegression_Valg[[#This Row],[Intet overlap]],INDEX(DataTitel_liste,LineærRegression_Valg[[#This Row],[Uafhængig variabel ID]]),INDEX(DataTitel_liste,IF(LineærRegression_Valg[[#This Row],[Afhængig variabel ID]]=1,2,1))),$B$7)</f>
        <v>Eksempel 2 (interval)</v>
      </c>
      <c r="H2022" s="171">
        <f>_xlfn.AGGREGATE(2,5,LineærRegression_Valg[[#This Row],[Tabel ID]])</f>
        <v>1</v>
      </c>
    </row>
    <row r="2023" spans="1:8" x14ac:dyDescent="0.2">
      <c r="A2023">
        <f>ROW(LineærRegression_Valg[[#This Row],[Tabel ID]])-ROW(LineærRegression_Valg[[#Headers],[Tabel ID]])</f>
        <v>2013</v>
      </c>
      <c r="B2023" s="171">
        <f>ROUNDDOWN((LineærRegression_Valg[[#This Row],[Tabel ID]]-1)/$B$5,0)+1</f>
        <v>504</v>
      </c>
      <c r="C2023" s="171">
        <f t="shared" si="31"/>
        <v>1</v>
      </c>
      <c r="D2023" s="171" t="b">
        <f>LineærRegression_Valg[[#This Row],[Afhængig variabel ID]]&lt;&gt;LineærRegression_Valg[[#This Row],[Uafhængig variabel ID]]</f>
        <v>1</v>
      </c>
      <c r="E2023" s="171" t="b">
        <f>LineærRegression_Valg[[#This Row],[Afhængig variabel ID]]&lt;=$B$5</f>
        <v>0</v>
      </c>
      <c r="F2023" t="str" cm="1">
        <f t="array" ref="F2023">IF(LineærRegression_Valg[[#This Row],[Indenfor range]],INDEX(DataTitel_liste,LineærRegression_Valg[[#This Row],[Afhængig variabel ID]]),INDEX(DataTitel_liste,1))</f>
        <v>Eksempel 1 (interval)</v>
      </c>
      <c r="G2023" s="171" t="str" cm="1">
        <f t="array" ref="G2023">IF(LineærRegression_Valg[[#This Row],[Indenfor range]],IF(LineærRegression_Valg[[#This Row],[Intet overlap]],INDEX(DataTitel_liste,LineærRegression_Valg[[#This Row],[Uafhængig variabel ID]]),INDEX(DataTitel_liste,IF(LineærRegression_Valg[[#This Row],[Afhængig variabel ID]]=1,2,1))),$B$7)</f>
        <v>Eksempel 2 (interval)</v>
      </c>
      <c r="H2023" s="171">
        <f>_xlfn.AGGREGATE(2,5,LineærRegression_Valg[[#This Row],[Tabel ID]])</f>
        <v>1</v>
      </c>
    </row>
    <row r="2024" spans="1:8" x14ac:dyDescent="0.2">
      <c r="A2024">
        <f>ROW(LineærRegression_Valg[[#This Row],[Tabel ID]])-ROW(LineærRegression_Valg[[#Headers],[Tabel ID]])</f>
        <v>2014</v>
      </c>
      <c r="B2024" s="171">
        <f>ROUNDDOWN((LineærRegression_Valg[[#This Row],[Tabel ID]]-1)/$B$5,0)+1</f>
        <v>504</v>
      </c>
      <c r="C2024" s="171">
        <f t="shared" si="31"/>
        <v>2</v>
      </c>
      <c r="D2024" s="171" t="b">
        <f>LineærRegression_Valg[[#This Row],[Afhængig variabel ID]]&lt;&gt;LineærRegression_Valg[[#This Row],[Uafhængig variabel ID]]</f>
        <v>1</v>
      </c>
      <c r="E2024" s="171" t="b">
        <f>LineærRegression_Valg[[#This Row],[Afhængig variabel ID]]&lt;=$B$5</f>
        <v>0</v>
      </c>
      <c r="F2024" t="str" cm="1">
        <f t="array" ref="F2024">IF(LineærRegression_Valg[[#This Row],[Indenfor range]],INDEX(DataTitel_liste,LineærRegression_Valg[[#This Row],[Afhængig variabel ID]]),INDEX(DataTitel_liste,1))</f>
        <v>Eksempel 1 (interval)</v>
      </c>
      <c r="G2024" s="171" t="str" cm="1">
        <f t="array" ref="G2024">IF(LineærRegression_Valg[[#This Row],[Indenfor range]],IF(LineærRegression_Valg[[#This Row],[Intet overlap]],INDEX(DataTitel_liste,LineærRegression_Valg[[#This Row],[Uafhængig variabel ID]]),INDEX(DataTitel_liste,IF(LineærRegression_Valg[[#This Row],[Afhængig variabel ID]]=1,2,1))),$B$7)</f>
        <v>Eksempel 2 (interval)</v>
      </c>
      <c r="H2024" s="171">
        <f>_xlfn.AGGREGATE(2,5,LineærRegression_Valg[[#This Row],[Tabel ID]])</f>
        <v>1</v>
      </c>
    </row>
    <row r="2025" spans="1:8" x14ac:dyDescent="0.2">
      <c r="A2025">
        <f>ROW(LineærRegression_Valg[[#This Row],[Tabel ID]])-ROW(LineærRegression_Valg[[#Headers],[Tabel ID]])</f>
        <v>2015</v>
      </c>
      <c r="B2025" s="171">
        <f>ROUNDDOWN((LineærRegression_Valg[[#This Row],[Tabel ID]]-1)/$B$5,0)+1</f>
        <v>504</v>
      </c>
      <c r="C2025" s="171">
        <f t="shared" si="31"/>
        <v>3</v>
      </c>
      <c r="D2025" s="171" t="b">
        <f>LineærRegression_Valg[[#This Row],[Afhængig variabel ID]]&lt;&gt;LineærRegression_Valg[[#This Row],[Uafhængig variabel ID]]</f>
        <v>1</v>
      </c>
      <c r="E2025" s="171" t="b">
        <f>LineærRegression_Valg[[#This Row],[Afhængig variabel ID]]&lt;=$B$5</f>
        <v>0</v>
      </c>
      <c r="F2025" t="str" cm="1">
        <f t="array" ref="F2025">IF(LineærRegression_Valg[[#This Row],[Indenfor range]],INDEX(DataTitel_liste,LineærRegression_Valg[[#This Row],[Afhængig variabel ID]]),INDEX(DataTitel_liste,1))</f>
        <v>Eksempel 1 (interval)</v>
      </c>
      <c r="G2025" s="171" t="str" cm="1">
        <f t="array" ref="G2025">IF(LineærRegression_Valg[[#This Row],[Indenfor range]],IF(LineærRegression_Valg[[#This Row],[Intet overlap]],INDEX(DataTitel_liste,LineærRegression_Valg[[#This Row],[Uafhængig variabel ID]]),INDEX(DataTitel_liste,IF(LineærRegression_Valg[[#This Row],[Afhængig variabel ID]]=1,2,1))),$B$7)</f>
        <v>Eksempel 2 (interval)</v>
      </c>
      <c r="H2025" s="171">
        <f>_xlfn.AGGREGATE(2,5,LineærRegression_Valg[[#This Row],[Tabel ID]])</f>
        <v>1</v>
      </c>
    </row>
    <row r="2026" spans="1:8" x14ac:dyDescent="0.2">
      <c r="A2026">
        <f>ROW(LineærRegression_Valg[[#This Row],[Tabel ID]])-ROW(LineærRegression_Valg[[#Headers],[Tabel ID]])</f>
        <v>2016</v>
      </c>
      <c r="B2026" s="171">
        <f>ROUNDDOWN((LineærRegression_Valg[[#This Row],[Tabel ID]]-1)/$B$5,0)+1</f>
        <v>504</v>
      </c>
      <c r="C2026" s="171">
        <f t="shared" si="31"/>
        <v>4</v>
      </c>
      <c r="D2026" s="171" t="b">
        <f>LineærRegression_Valg[[#This Row],[Afhængig variabel ID]]&lt;&gt;LineærRegression_Valg[[#This Row],[Uafhængig variabel ID]]</f>
        <v>1</v>
      </c>
      <c r="E2026" s="171" t="b">
        <f>LineærRegression_Valg[[#This Row],[Afhængig variabel ID]]&lt;=$B$5</f>
        <v>0</v>
      </c>
      <c r="F2026" t="str" cm="1">
        <f t="array" ref="F2026">IF(LineærRegression_Valg[[#This Row],[Indenfor range]],INDEX(DataTitel_liste,LineærRegression_Valg[[#This Row],[Afhængig variabel ID]]),INDEX(DataTitel_liste,1))</f>
        <v>Eksempel 1 (interval)</v>
      </c>
      <c r="G2026" s="171" t="str" cm="1">
        <f t="array" ref="G2026">IF(LineærRegression_Valg[[#This Row],[Indenfor range]],IF(LineærRegression_Valg[[#This Row],[Intet overlap]],INDEX(DataTitel_liste,LineærRegression_Valg[[#This Row],[Uafhængig variabel ID]]),INDEX(DataTitel_liste,IF(LineærRegression_Valg[[#This Row],[Afhængig variabel ID]]=1,2,1))),$B$7)</f>
        <v>Eksempel 2 (interval)</v>
      </c>
      <c r="H2026" s="171">
        <f>_xlfn.AGGREGATE(2,5,LineærRegression_Valg[[#This Row],[Tabel ID]])</f>
        <v>1</v>
      </c>
    </row>
    <row r="2027" spans="1:8" x14ac:dyDescent="0.2">
      <c r="A2027">
        <f>ROW(LineærRegression_Valg[[#This Row],[Tabel ID]])-ROW(LineærRegression_Valg[[#Headers],[Tabel ID]])</f>
        <v>2017</v>
      </c>
      <c r="B2027" s="171">
        <f>ROUNDDOWN((LineærRegression_Valg[[#This Row],[Tabel ID]]-1)/$B$5,0)+1</f>
        <v>505</v>
      </c>
      <c r="C2027" s="171">
        <f t="shared" si="31"/>
        <v>1</v>
      </c>
      <c r="D2027" s="171" t="b">
        <f>LineærRegression_Valg[[#This Row],[Afhængig variabel ID]]&lt;&gt;LineærRegression_Valg[[#This Row],[Uafhængig variabel ID]]</f>
        <v>1</v>
      </c>
      <c r="E2027" s="171" t="b">
        <f>LineærRegression_Valg[[#This Row],[Afhængig variabel ID]]&lt;=$B$5</f>
        <v>0</v>
      </c>
      <c r="F2027" t="str" cm="1">
        <f t="array" ref="F2027">IF(LineærRegression_Valg[[#This Row],[Indenfor range]],INDEX(DataTitel_liste,LineærRegression_Valg[[#This Row],[Afhængig variabel ID]]),INDEX(DataTitel_liste,1))</f>
        <v>Eksempel 1 (interval)</v>
      </c>
      <c r="G2027" s="171" t="str" cm="1">
        <f t="array" ref="G2027">IF(LineærRegression_Valg[[#This Row],[Indenfor range]],IF(LineærRegression_Valg[[#This Row],[Intet overlap]],INDEX(DataTitel_liste,LineærRegression_Valg[[#This Row],[Uafhængig variabel ID]]),INDEX(DataTitel_liste,IF(LineærRegression_Valg[[#This Row],[Afhængig variabel ID]]=1,2,1))),$B$7)</f>
        <v>Eksempel 2 (interval)</v>
      </c>
      <c r="H2027" s="171">
        <f>_xlfn.AGGREGATE(2,5,LineærRegression_Valg[[#This Row],[Tabel ID]])</f>
        <v>1</v>
      </c>
    </row>
    <row r="2028" spans="1:8" x14ac:dyDescent="0.2">
      <c r="A2028">
        <f>ROW(LineærRegression_Valg[[#This Row],[Tabel ID]])-ROW(LineærRegression_Valg[[#Headers],[Tabel ID]])</f>
        <v>2018</v>
      </c>
      <c r="B2028" s="171">
        <f>ROUNDDOWN((LineærRegression_Valg[[#This Row],[Tabel ID]]-1)/$B$5,0)+1</f>
        <v>505</v>
      </c>
      <c r="C2028" s="171">
        <f t="shared" si="31"/>
        <v>2</v>
      </c>
      <c r="D2028" s="171" t="b">
        <f>LineærRegression_Valg[[#This Row],[Afhængig variabel ID]]&lt;&gt;LineærRegression_Valg[[#This Row],[Uafhængig variabel ID]]</f>
        <v>1</v>
      </c>
      <c r="E2028" s="171" t="b">
        <f>LineærRegression_Valg[[#This Row],[Afhængig variabel ID]]&lt;=$B$5</f>
        <v>0</v>
      </c>
      <c r="F2028" t="str" cm="1">
        <f t="array" ref="F2028">IF(LineærRegression_Valg[[#This Row],[Indenfor range]],INDEX(DataTitel_liste,LineærRegression_Valg[[#This Row],[Afhængig variabel ID]]),INDEX(DataTitel_liste,1))</f>
        <v>Eksempel 1 (interval)</v>
      </c>
      <c r="G2028" s="171" t="str" cm="1">
        <f t="array" ref="G2028">IF(LineærRegression_Valg[[#This Row],[Indenfor range]],IF(LineærRegression_Valg[[#This Row],[Intet overlap]],INDEX(DataTitel_liste,LineærRegression_Valg[[#This Row],[Uafhængig variabel ID]]),INDEX(DataTitel_liste,IF(LineærRegression_Valg[[#This Row],[Afhængig variabel ID]]=1,2,1))),$B$7)</f>
        <v>Eksempel 2 (interval)</v>
      </c>
      <c r="H2028" s="171">
        <f>_xlfn.AGGREGATE(2,5,LineærRegression_Valg[[#This Row],[Tabel ID]])</f>
        <v>1</v>
      </c>
    </row>
    <row r="2029" spans="1:8" x14ac:dyDescent="0.2">
      <c r="A2029">
        <f>ROW(LineærRegression_Valg[[#This Row],[Tabel ID]])-ROW(LineærRegression_Valg[[#Headers],[Tabel ID]])</f>
        <v>2019</v>
      </c>
      <c r="B2029" s="171">
        <f>ROUNDDOWN((LineærRegression_Valg[[#This Row],[Tabel ID]]-1)/$B$5,0)+1</f>
        <v>505</v>
      </c>
      <c r="C2029" s="171">
        <f t="shared" si="31"/>
        <v>3</v>
      </c>
      <c r="D2029" s="171" t="b">
        <f>LineærRegression_Valg[[#This Row],[Afhængig variabel ID]]&lt;&gt;LineærRegression_Valg[[#This Row],[Uafhængig variabel ID]]</f>
        <v>1</v>
      </c>
      <c r="E2029" s="171" t="b">
        <f>LineærRegression_Valg[[#This Row],[Afhængig variabel ID]]&lt;=$B$5</f>
        <v>0</v>
      </c>
      <c r="F2029" t="str" cm="1">
        <f t="array" ref="F2029">IF(LineærRegression_Valg[[#This Row],[Indenfor range]],INDEX(DataTitel_liste,LineærRegression_Valg[[#This Row],[Afhængig variabel ID]]),INDEX(DataTitel_liste,1))</f>
        <v>Eksempel 1 (interval)</v>
      </c>
      <c r="G2029" s="171" t="str" cm="1">
        <f t="array" ref="G2029">IF(LineærRegression_Valg[[#This Row],[Indenfor range]],IF(LineærRegression_Valg[[#This Row],[Intet overlap]],INDEX(DataTitel_liste,LineærRegression_Valg[[#This Row],[Uafhængig variabel ID]]),INDEX(DataTitel_liste,IF(LineærRegression_Valg[[#This Row],[Afhængig variabel ID]]=1,2,1))),$B$7)</f>
        <v>Eksempel 2 (interval)</v>
      </c>
      <c r="H2029" s="171">
        <f>_xlfn.AGGREGATE(2,5,LineærRegression_Valg[[#This Row],[Tabel ID]])</f>
        <v>1</v>
      </c>
    </row>
    <row r="2030" spans="1:8" x14ac:dyDescent="0.2">
      <c r="A2030">
        <f>ROW(LineærRegression_Valg[[#This Row],[Tabel ID]])-ROW(LineærRegression_Valg[[#Headers],[Tabel ID]])</f>
        <v>2020</v>
      </c>
      <c r="B2030" s="171">
        <f>ROUNDDOWN((LineærRegression_Valg[[#This Row],[Tabel ID]]-1)/$B$5,0)+1</f>
        <v>505</v>
      </c>
      <c r="C2030" s="171">
        <f t="shared" si="31"/>
        <v>4</v>
      </c>
      <c r="D2030" s="171" t="b">
        <f>LineærRegression_Valg[[#This Row],[Afhængig variabel ID]]&lt;&gt;LineærRegression_Valg[[#This Row],[Uafhængig variabel ID]]</f>
        <v>1</v>
      </c>
      <c r="E2030" s="171" t="b">
        <f>LineærRegression_Valg[[#This Row],[Afhængig variabel ID]]&lt;=$B$5</f>
        <v>0</v>
      </c>
      <c r="F2030" t="str" cm="1">
        <f t="array" ref="F2030">IF(LineærRegression_Valg[[#This Row],[Indenfor range]],INDEX(DataTitel_liste,LineærRegression_Valg[[#This Row],[Afhængig variabel ID]]),INDEX(DataTitel_liste,1))</f>
        <v>Eksempel 1 (interval)</v>
      </c>
      <c r="G2030" s="171" t="str" cm="1">
        <f t="array" ref="G2030">IF(LineærRegression_Valg[[#This Row],[Indenfor range]],IF(LineærRegression_Valg[[#This Row],[Intet overlap]],INDEX(DataTitel_liste,LineærRegression_Valg[[#This Row],[Uafhængig variabel ID]]),INDEX(DataTitel_liste,IF(LineærRegression_Valg[[#This Row],[Afhængig variabel ID]]=1,2,1))),$B$7)</f>
        <v>Eksempel 2 (interval)</v>
      </c>
      <c r="H2030" s="171">
        <f>_xlfn.AGGREGATE(2,5,LineærRegression_Valg[[#This Row],[Tabel ID]])</f>
        <v>1</v>
      </c>
    </row>
    <row r="2031" spans="1:8" x14ac:dyDescent="0.2">
      <c r="A2031">
        <f>ROW(LineærRegression_Valg[[#This Row],[Tabel ID]])-ROW(LineærRegression_Valg[[#Headers],[Tabel ID]])</f>
        <v>2021</v>
      </c>
      <c r="B2031" s="171">
        <f>ROUNDDOWN((LineærRegression_Valg[[#This Row],[Tabel ID]]-1)/$B$5,0)+1</f>
        <v>506</v>
      </c>
      <c r="C2031" s="171">
        <f t="shared" si="31"/>
        <v>1</v>
      </c>
      <c r="D2031" s="171" t="b">
        <f>LineærRegression_Valg[[#This Row],[Afhængig variabel ID]]&lt;&gt;LineærRegression_Valg[[#This Row],[Uafhængig variabel ID]]</f>
        <v>1</v>
      </c>
      <c r="E2031" s="171" t="b">
        <f>LineærRegression_Valg[[#This Row],[Afhængig variabel ID]]&lt;=$B$5</f>
        <v>0</v>
      </c>
      <c r="F2031" t="str" cm="1">
        <f t="array" ref="F2031">IF(LineærRegression_Valg[[#This Row],[Indenfor range]],INDEX(DataTitel_liste,LineærRegression_Valg[[#This Row],[Afhængig variabel ID]]),INDEX(DataTitel_liste,1))</f>
        <v>Eksempel 1 (interval)</v>
      </c>
      <c r="G2031" s="171" t="str" cm="1">
        <f t="array" ref="G2031">IF(LineærRegression_Valg[[#This Row],[Indenfor range]],IF(LineærRegression_Valg[[#This Row],[Intet overlap]],INDEX(DataTitel_liste,LineærRegression_Valg[[#This Row],[Uafhængig variabel ID]]),INDEX(DataTitel_liste,IF(LineærRegression_Valg[[#This Row],[Afhængig variabel ID]]=1,2,1))),$B$7)</f>
        <v>Eksempel 2 (interval)</v>
      </c>
      <c r="H2031" s="171">
        <f>_xlfn.AGGREGATE(2,5,LineærRegression_Valg[[#This Row],[Tabel ID]])</f>
        <v>1</v>
      </c>
    </row>
    <row r="2032" spans="1:8" x14ac:dyDescent="0.2">
      <c r="A2032">
        <f>ROW(LineærRegression_Valg[[#This Row],[Tabel ID]])-ROW(LineærRegression_Valg[[#Headers],[Tabel ID]])</f>
        <v>2022</v>
      </c>
      <c r="B2032" s="171">
        <f>ROUNDDOWN((LineærRegression_Valg[[#This Row],[Tabel ID]]-1)/$B$5,0)+1</f>
        <v>506</v>
      </c>
      <c r="C2032" s="171">
        <f t="shared" si="31"/>
        <v>2</v>
      </c>
      <c r="D2032" s="171" t="b">
        <f>LineærRegression_Valg[[#This Row],[Afhængig variabel ID]]&lt;&gt;LineærRegression_Valg[[#This Row],[Uafhængig variabel ID]]</f>
        <v>1</v>
      </c>
      <c r="E2032" s="171" t="b">
        <f>LineærRegression_Valg[[#This Row],[Afhængig variabel ID]]&lt;=$B$5</f>
        <v>0</v>
      </c>
      <c r="F2032" t="str" cm="1">
        <f t="array" ref="F2032">IF(LineærRegression_Valg[[#This Row],[Indenfor range]],INDEX(DataTitel_liste,LineærRegression_Valg[[#This Row],[Afhængig variabel ID]]),INDEX(DataTitel_liste,1))</f>
        <v>Eksempel 1 (interval)</v>
      </c>
      <c r="G2032" s="171" t="str" cm="1">
        <f t="array" ref="G2032">IF(LineærRegression_Valg[[#This Row],[Indenfor range]],IF(LineærRegression_Valg[[#This Row],[Intet overlap]],INDEX(DataTitel_liste,LineærRegression_Valg[[#This Row],[Uafhængig variabel ID]]),INDEX(DataTitel_liste,IF(LineærRegression_Valg[[#This Row],[Afhængig variabel ID]]=1,2,1))),$B$7)</f>
        <v>Eksempel 2 (interval)</v>
      </c>
      <c r="H2032" s="171">
        <f>_xlfn.AGGREGATE(2,5,LineærRegression_Valg[[#This Row],[Tabel ID]])</f>
        <v>1</v>
      </c>
    </row>
    <row r="2033" spans="1:8" x14ac:dyDescent="0.2">
      <c r="A2033">
        <f>ROW(LineærRegression_Valg[[#This Row],[Tabel ID]])-ROW(LineærRegression_Valg[[#Headers],[Tabel ID]])</f>
        <v>2023</v>
      </c>
      <c r="B2033" s="171">
        <f>ROUNDDOWN((LineærRegression_Valg[[#This Row],[Tabel ID]]-1)/$B$5,0)+1</f>
        <v>506</v>
      </c>
      <c r="C2033" s="171">
        <f t="shared" si="31"/>
        <v>3</v>
      </c>
      <c r="D2033" s="171" t="b">
        <f>LineærRegression_Valg[[#This Row],[Afhængig variabel ID]]&lt;&gt;LineærRegression_Valg[[#This Row],[Uafhængig variabel ID]]</f>
        <v>1</v>
      </c>
      <c r="E2033" s="171" t="b">
        <f>LineærRegression_Valg[[#This Row],[Afhængig variabel ID]]&lt;=$B$5</f>
        <v>0</v>
      </c>
      <c r="F2033" t="str" cm="1">
        <f t="array" ref="F2033">IF(LineærRegression_Valg[[#This Row],[Indenfor range]],INDEX(DataTitel_liste,LineærRegression_Valg[[#This Row],[Afhængig variabel ID]]),INDEX(DataTitel_liste,1))</f>
        <v>Eksempel 1 (interval)</v>
      </c>
      <c r="G2033" s="171" t="str" cm="1">
        <f t="array" ref="G2033">IF(LineærRegression_Valg[[#This Row],[Indenfor range]],IF(LineærRegression_Valg[[#This Row],[Intet overlap]],INDEX(DataTitel_liste,LineærRegression_Valg[[#This Row],[Uafhængig variabel ID]]),INDEX(DataTitel_liste,IF(LineærRegression_Valg[[#This Row],[Afhængig variabel ID]]=1,2,1))),$B$7)</f>
        <v>Eksempel 2 (interval)</v>
      </c>
      <c r="H2033" s="171">
        <f>_xlfn.AGGREGATE(2,5,LineærRegression_Valg[[#This Row],[Tabel ID]])</f>
        <v>1</v>
      </c>
    </row>
    <row r="2034" spans="1:8" x14ac:dyDescent="0.2">
      <c r="A2034">
        <f>ROW(LineærRegression_Valg[[#This Row],[Tabel ID]])-ROW(LineærRegression_Valg[[#Headers],[Tabel ID]])</f>
        <v>2024</v>
      </c>
      <c r="B2034" s="171">
        <f>ROUNDDOWN((LineærRegression_Valg[[#This Row],[Tabel ID]]-1)/$B$5,0)+1</f>
        <v>506</v>
      </c>
      <c r="C2034" s="171">
        <f t="shared" si="31"/>
        <v>4</v>
      </c>
      <c r="D2034" s="171" t="b">
        <f>LineærRegression_Valg[[#This Row],[Afhængig variabel ID]]&lt;&gt;LineærRegression_Valg[[#This Row],[Uafhængig variabel ID]]</f>
        <v>1</v>
      </c>
      <c r="E2034" s="171" t="b">
        <f>LineærRegression_Valg[[#This Row],[Afhængig variabel ID]]&lt;=$B$5</f>
        <v>0</v>
      </c>
      <c r="F2034" t="str" cm="1">
        <f t="array" ref="F2034">IF(LineærRegression_Valg[[#This Row],[Indenfor range]],INDEX(DataTitel_liste,LineærRegression_Valg[[#This Row],[Afhængig variabel ID]]),INDEX(DataTitel_liste,1))</f>
        <v>Eksempel 1 (interval)</v>
      </c>
      <c r="G2034" s="171" t="str" cm="1">
        <f t="array" ref="G2034">IF(LineærRegression_Valg[[#This Row],[Indenfor range]],IF(LineærRegression_Valg[[#This Row],[Intet overlap]],INDEX(DataTitel_liste,LineærRegression_Valg[[#This Row],[Uafhængig variabel ID]]),INDEX(DataTitel_liste,IF(LineærRegression_Valg[[#This Row],[Afhængig variabel ID]]=1,2,1))),$B$7)</f>
        <v>Eksempel 2 (interval)</v>
      </c>
      <c r="H2034" s="171">
        <f>_xlfn.AGGREGATE(2,5,LineærRegression_Valg[[#This Row],[Tabel ID]])</f>
        <v>1</v>
      </c>
    </row>
    <row r="2035" spans="1:8" x14ac:dyDescent="0.2">
      <c r="A2035">
        <f>ROW(LineærRegression_Valg[[#This Row],[Tabel ID]])-ROW(LineærRegression_Valg[[#Headers],[Tabel ID]])</f>
        <v>2025</v>
      </c>
      <c r="B2035" s="171">
        <f>ROUNDDOWN((LineærRegression_Valg[[#This Row],[Tabel ID]]-1)/$B$5,0)+1</f>
        <v>507</v>
      </c>
      <c r="C2035" s="171">
        <f t="shared" si="31"/>
        <v>1</v>
      </c>
      <c r="D2035" s="171" t="b">
        <f>LineærRegression_Valg[[#This Row],[Afhængig variabel ID]]&lt;&gt;LineærRegression_Valg[[#This Row],[Uafhængig variabel ID]]</f>
        <v>1</v>
      </c>
      <c r="E2035" s="171" t="b">
        <f>LineærRegression_Valg[[#This Row],[Afhængig variabel ID]]&lt;=$B$5</f>
        <v>0</v>
      </c>
      <c r="F2035" t="str" cm="1">
        <f t="array" ref="F2035">IF(LineærRegression_Valg[[#This Row],[Indenfor range]],INDEX(DataTitel_liste,LineærRegression_Valg[[#This Row],[Afhængig variabel ID]]),INDEX(DataTitel_liste,1))</f>
        <v>Eksempel 1 (interval)</v>
      </c>
      <c r="G2035" s="171" t="str" cm="1">
        <f t="array" ref="G2035">IF(LineærRegression_Valg[[#This Row],[Indenfor range]],IF(LineærRegression_Valg[[#This Row],[Intet overlap]],INDEX(DataTitel_liste,LineærRegression_Valg[[#This Row],[Uafhængig variabel ID]]),INDEX(DataTitel_liste,IF(LineærRegression_Valg[[#This Row],[Afhængig variabel ID]]=1,2,1))),$B$7)</f>
        <v>Eksempel 2 (interval)</v>
      </c>
      <c r="H2035" s="171">
        <f>_xlfn.AGGREGATE(2,5,LineærRegression_Valg[[#This Row],[Tabel ID]])</f>
        <v>1</v>
      </c>
    </row>
    <row r="2036" spans="1:8" x14ac:dyDescent="0.2">
      <c r="A2036">
        <f>ROW(LineærRegression_Valg[[#This Row],[Tabel ID]])-ROW(LineærRegression_Valg[[#Headers],[Tabel ID]])</f>
        <v>2026</v>
      </c>
      <c r="B2036" s="171">
        <f>ROUNDDOWN((LineærRegression_Valg[[#This Row],[Tabel ID]]-1)/$B$5,0)+1</f>
        <v>507</v>
      </c>
      <c r="C2036" s="171">
        <f t="shared" si="31"/>
        <v>2</v>
      </c>
      <c r="D2036" s="171" t="b">
        <f>LineærRegression_Valg[[#This Row],[Afhængig variabel ID]]&lt;&gt;LineærRegression_Valg[[#This Row],[Uafhængig variabel ID]]</f>
        <v>1</v>
      </c>
      <c r="E2036" s="171" t="b">
        <f>LineærRegression_Valg[[#This Row],[Afhængig variabel ID]]&lt;=$B$5</f>
        <v>0</v>
      </c>
      <c r="F2036" t="str" cm="1">
        <f t="array" ref="F2036">IF(LineærRegression_Valg[[#This Row],[Indenfor range]],INDEX(DataTitel_liste,LineærRegression_Valg[[#This Row],[Afhængig variabel ID]]),INDEX(DataTitel_liste,1))</f>
        <v>Eksempel 1 (interval)</v>
      </c>
      <c r="G2036" s="171" t="str" cm="1">
        <f t="array" ref="G2036">IF(LineærRegression_Valg[[#This Row],[Indenfor range]],IF(LineærRegression_Valg[[#This Row],[Intet overlap]],INDEX(DataTitel_liste,LineærRegression_Valg[[#This Row],[Uafhængig variabel ID]]),INDEX(DataTitel_liste,IF(LineærRegression_Valg[[#This Row],[Afhængig variabel ID]]=1,2,1))),$B$7)</f>
        <v>Eksempel 2 (interval)</v>
      </c>
      <c r="H2036" s="171">
        <f>_xlfn.AGGREGATE(2,5,LineærRegression_Valg[[#This Row],[Tabel ID]])</f>
        <v>1</v>
      </c>
    </row>
    <row r="2037" spans="1:8" x14ac:dyDescent="0.2">
      <c r="A2037">
        <f>ROW(LineærRegression_Valg[[#This Row],[Tabel ID]])-ROW(LineærRegression_Valg[[#Headers],[Tabel ID]])</f>
        <v>2027</v>
      </c>
      <c r="B2037" s="171">
        <f>ROUNDDOWN((LineærRegression_Valg[[#This Row],[Tabel ID]]-1)/$B$5,0)+1</f>
        <v>507</v>
      </c>
      <c r="C2037" s="171">
        <f t="shared" si="31"/>
        <v>3</v>
      </c>
      <c r="D2037" s="171" t="b">
        <f>LineærRegression_Valg[[#This Row],[Afhængig variabel ID]]&lt;&gt;LineærRegression_Valg[[#This Row],[Uafhængig variabel ID]]</f>
        <v>1</v>
      </c>
      <c r="E2037" s="171" t="b">
        <f>LineærRegression_Valg[[#This Row],[Afhængig variabel ID]]&lt;=$B$5</f>
        <v>0</v>
      </c>
      <c r="F2037" t="str" cm="1">
        <f t="array" ref="F2037">IF(LineærRegression_Valg[[#This Row],[Indenfor range]],INDEX(DataTitel_liste,LineærRegression_Valg[[#This Row],[Afhængig variabel ID]]),INDEX(DataTitel_liste,1))</f>
        <v>Eksempel 1 (interval)</v>
      </c>
      <c r="G2037" s="171" t="str" cm="1">
        <f t="array" ref="G2037">IF(LineærRegression_Valg[[#This Row],[Indenfor range]],IF(LineærRegression_Valg[[#This Row],[Intet overlap]],INDEX(DataTitel_liste,LineærRegression_Valg[[#This Row],[Uafhængig variabel ID]]),INDEX(DataTitel_liste,IF(LineærRegression_Valg[[#This Row],[Afhængig variabel ID]]=1,2,1))),$B$7)</f>
        <v>Eksempel 2 (interval)</v>
      </c>
      <c r="H2037" s="171">
        <f>_xlfn.AGGREGATE(2,5,LineærRegression_Valg[[#This Row],[Tabel ID]])</f>
        <v>1</v>
      </c>
    </row>
    <row r="2038" spans="1:8" x14ac:dyDescent="0.2">
      <c r="A2038">
        <f>ROW(LineærRegression_Valg[[#This Row],[Tabel ID]])-ROW(LineærRegression_Valg[[#Headers],[Tabel ID]])</f>
        <v>2028</v>
      </c>
      <c r="B2038" s="171">
        <f>ROUNDDOWN((LineærRegression_Valg[[#This Row],[Tabel ID]]-1)/$B$5,0)+1</f>
        <v>507</v>
      </c>
      <c r="C2038" s="171">
        <f t="shared" si="31"/>
        <v>4</v>
      </c>
      <c r="D2038" s="171" t="b">
        <f>LineærRegression_Valg[[#This Row],[Afhængig variabel ID]]&lt;&gt;LineærRegression_Valg[[#This Row],[Uafhængig variabel ID]]</f>
        <v>1</v>
      </c>
      <c r="E2038" s="171" t="b">
        <f>LineærRegression_Valg[[#This Row],[Afhængig variabel ID]]&lt;=$B$5</f>
        <v>0</v>
      </c>
      <c r="F2038" t="str" cm="1">
        <f t="array" ref="F2038">IF(LineærRegression_Valg[[#This Row],[Indenfor range]],INDEX(DataTitel_liste,LineærRegression_Valg[[#This Row],[Afhængig variabel ID]]),INDEX(DataTitel_liste,1))</f>
        <v>Eksempel 1 (interval)</v>
      </c>
      <c r="G2038" s="171" t="str" cm="1">
        <f t="array" ref="G2038">IF(LineærRegression_Valg[[#This Row],[Indenfor range]],IF(LineærRegression_Valg[[#This Row],[Intet overlap]],INDEX(DataTitel_liste,LineærRegression_Valg[[#This Row],[Uafhængig variabel ID]]),INDEX(DataTitel_liste,IF(LineærRegression_Valg[[#This Row],[Afhængig variabel ID]]=1,2,1))),$B$7)</f>
        <v>Eksempel 2 (interval)</v>
      </c>
      <c r="H2038" s="171">
        <f>_xlfn.AGGREGATE(2,5,LineærRegression_Valg[[#This Row],[Tabel ID]])</f>
        <v>1</v>
      </c>
    </row>
    <row r="2039" spans="1:8" x14ac:dyDescent="0.2">
      <c r="A2039">
        <f>ROW(LineærRegression_Valg[[#This Row],[Tabel ID]])-ROW(LineærRegression_Valg[[#Headers],[Tabel ID]])</f>
        <v>2029</v>
      </c>
      <c r="B2039" s="171">
        <f>ROUNDDOWN((LineærRegression_Valg[[#This Row],[Tabel ID]]-1)/$B$5,0)+1</f>
        <v>508</v>
      </c>
      <c r="C2039" s="171">
        <f t="shared" si="31"/>
        <v>1</v>
      </c>
      <c r="D2039" s="171" t="b">
        <f>LineærRegression_Valg[[#This Row],[Afhængig variabel ID]]&lt;&gt;LineærRegression_Valg[[#This Row],[Uafhængig variabel ID]]</f>
        <v>1</v>
      </c>
      <c r="E2039" s="171" t="b">
        <f>LineærRegression_Valg[[#This Row],[Afhængig variabel ID]]&lt;=$B$5</f>
        <v>0</v>
      </c>
      <c r="F2039" t="str" cm="1">
        <f t="array" ref="F2039">IF(LineærRegression_Valg[[#This Row],[Indenfor range]],INDEX(DataTitel_liste,LineærRegression_Valg[[#This Row],[Afhængig variabel ID]]),INDEX(DataTitel_liste,1))</f>
        <v>Eksempel 1 (interval)</v>
      </c>
      <c r="G2039" s="171" t="str" cm="1">
        <f t="array" ref="G2039">IF(LineærRegression_Valg[[#This Row],[Indenfor range]],IF(LineærRegression_Valg[[#This Row],[Intet overlap]],INDEX(DataTitel_liste,LineærRegression_Valg[[#This Row],[Uafhængig variabel ID]]),INDEX(DataTitel_liste,IF(LineærRegression_Valg[[#This Row],[Afhængig variabel ID]]=1,2,1))),$B$7)</f>
        <v>Eksempel 2 (interval)</v>
      </c>
      <c r="H2039" s="171">
        <f>_xlfn.AGGREGATE(2,5,LineærRegression_Valg[[#This Row],[Tabel ID]])</f>
        <v>1</v>
      </c>
    </row>
    <row r="2040" spans="1:8" x14ac:dyDescent="0.2">
      <c r="A2040">
        <f>ROW(LineærRegression_Valg[[#This Row],[Tabel ID]])-ROW(LineærRegression_Valg[[#Headers],[Tabel ID]])</f>
        <v>2030</v>
      </c>
      <c r="B2040" s="171">
        <f>ROUNDDOWN((LineærRegression_Valg[[#This Row],[Tabel ID]]-1)/$B$5,0)+1</f>
        <v>508</v>
      </c>
      <c r="C2040" s="171">
        <f t="shared" si="31"/>
        <v>2</v>
      </c>
      <c r="D2040" s="171" t="b">
        <f>LineærRegression_Valg[[#This Row],[Afhængig variabel ID]]&lt;&gt;LineærRegression_Valg[[#This Row],[Uafhængig variabel ID]]</f>
        <v>1</v>
      </c>
      <c r="E2040" s="171" t="b">
        <f>LineærRegression_Valg[[#This Row],[Afhængig variabel ID]]&lt;=$B$5</f>
        <v>0</v>
      </c>
      <c r="F2040" t="str" cm="1">
        <f t="array" ref="F2040">IF(LineærRegression_Valg[[#This Row],[Indenfor range]],INDEX(DataTitel_liste,LineærRegression_Valg[[#This Row],[Afhængig variabel ID]]),INDEX(DataTitel_liste,1))</f>
        <v>Eksempel 1 (interval)</v>
      </c>
      <c r="G2040" s="171" t="str" cm="1">
        <f t="array" ref="G2040">IF(LineærRegression_Valg[[#This Row],[Indenfor range]],IF(LineærRegression_Valg[[#This Row],[Intet overlap]],INDEX(DataTitel_liste,LineærRegression_Valg[[#This Row],[Uafhængig variabel ID]]),INDEX(DataTitel_liste,IF(LineærRegression_Valg[[#This Row],[Afhængig variabel ID]]=1,2,1))),$B$7)</f>
        <v>Eksempel 2 (interval)</v>
      </c>
      <c r="H2040" s="171">
        <f>_xlfn.AGGREGATE(2,5,LineærRegression_Valg[[#This Row],[Tabel ID]])</f>
        <v>1</v>
      </c>
    </row>
    <row r="2041" spans="1:8" x14ac:dyDescent="0.2">
      <c r="A2041">
        <f>ROW(LineærRegression_Valg[[#This Row],[Tabel ID]])-ROW(LineærRegression_Valg[[#Headers],[Tabel ID]])</f>
        <v>2031</v>
      </c>
      <c r="B2041" s="171">
        <f>ROUNDDOWN((LineærRegression_Valg[[#This Row],[Tabel ID]]-1)/$B$5,0)+1</f>
        <v>508</v>
      </c>
      <c r="C2041" s="171">
        <f t="shared" si="31"/>
        <v>3</v>
      </c>
      <c r="D2041" s="171" t="b">
        <f>LineærRegression_Valg[[#This Row],[Afhængig variabel ID]]&lt;&gt;LineærRegression_Valg[[#This Row],[Uafhængig variabel ID]]</f>
        <v>1</v>
      </c>
      <c r="E2041" s="171" t="b">
        <f>LineærRegression_Valg[[#This Row],[Afhængig variabel ID]]&lt;=$B$5</f>
        <v>0</v>
      </c>
      <c r="F2041" t="str" cm="1">
        <f t="array" ref="F2041">IF(LineærRegression_Valg[[#This Row],[Indenfor range]],INDEX(DataTitel_liste,LineærRegression_Valg[[#This Row],[Afhængig variabel ID]]),INDEX(DataTitel_liste,1))</f>
        <v>Eksempel 1 (interval)</v>
      </c>
      <c r="G2041" s="171" t="str" cm="1">
        <f t="array" ref="G2041">IF(LineærRegression_Valg[[#This Row],[Indenfor range]],IF(LineærRegression_Valg[[#This Row],[Intet overlap]],INDEX(DataTitel_liste,LineærRegression_Valg[[#This Row],[Uafhængig variabel ID]]),INDEX(DataTitel_liste,IF(LineærRegression_Valg[[#This Row],[Afhængig variabel ID]]=1,2,1))),$B$7)</f>
        <v>Eksempel 2 (interval)</v>
      </c>
      <c r="H2041" s="171">
        <f>_xlfn.AGGREGATE(2,5,LineærRegression_Valg[[#This Row],[Tabel ID]])</f>
        <v>1</v>
      </c>
    </row>
    <row r="2042" spans="1:8" x14ac:dyDescent="0.2">
      <c r="A2042">
        <f>ROW(LineærRegression_Valg[[#This Row],[Tabel ID]])-ROW(LineærRegression_Valg[[#Headers],[Tabel ID]])</f>
        <v>2032</v>
      </c>
      <c r="B2042" s="171">
        <f>ROUNDDOWN((LineærRegression_Valg[[#This Row],[Tabel ID]]-1)/$B$5,0)+1</f>
        <v>508</v>
      </c>
      <c r="C2042" s="171">
        <f t="shared" si="31"/>
        <v>4</v>
      </c>
      <c r="D2042" s="171" t="b">
        <f>LineærRegression_Valg[[#This Row],[Afhængig variabel ID]]&lt;&gt;LineærRegression_Valg[[#This Row],[Uafhængig variabel ID]]</f>
        <v>1</v>
      </c>
      <c r="E2042" s="171" t="b">
        <f>LineærRegression_Valg[[#This Row],[Afhængig variabel ID]]&lt;=$B$5</f>
        <v>0</v>
      </c>
      <c r="F2042" t="str" cm="1">
        <f t="array" ref="F2042">IF(LineærRegression_Valg[[#This Row],[Indenfor range]],INDEX(DataTitel_liste,LineærRegression_Valg[[#This Row],[Afhængig variabel ID]]),INDEX(DataTitel_liste,1))</f>
        <v>Eksempel 1 (interval)</v>
      </c>
      <c r="G2042" s="171" t="str" cm="1">
        <f t="array" ref="G2042">IF(LineærRegression_Valg[[#This Row],[Indenfor range]],IF(LineærRegression_Valg[[#This Row],[Intet overlap]],INDEX(DataTitel_liste,LineærRegression_Valg[[#This Row],[Uafhængig variabel ID]]),INDEX(DataTitel_liste,IF(LineærRegression_Valg[[#This Row],[Afhængig variabel ID]]=1,2,1))),$B$7)</f>
        <v>Eksempel 2 (interval)</v>
      </c>
      <c r="H2042" s="171">
        <f>_xlfn.AGGREGATE(2,5,LineærRegression_Valg[[#This Row],[Tabel ID]])</f>
        <v>1</v>
      </c>
    </row>
    <row r="2043" spans="1:8" x14ac:dyDescent="0.2">
      <c r="A2043">
        <f>ROW(LineærRegression_Valg[[#This Row],[Tabel ID]])-ROW(LineærRegression_Valg[[#Headers],[Tabel ID]])</f>
        <v>2033</v>
      </c>
      <c r="B2043" s="171">
        <f>ROUNDDOWN((LineærRegression_Valg[[#This Row],[Tabel ID]]-1)/$B$5,0)+1</f>
        <v>509</v>
      </c>
      <c r="C2043" s="171">
        <f t="shared" si="31"/>
        <v>1</v>
      </c>
      <c r="D2043" s="171" t="b">
        <f>LineærRegression_Valg[[#This Row],[Afhængig variabel ID]]&lt;&gt;LineærRegression_Valg[[#This Row],[Uafhængig variabel ID]]</f>
        <v>1</v>
      </c>
      <c r="E2043" s="171" t="b">
        <f>LineærRegression_Valg[[#This Row],[Afhængig variabel ID]]&lt;=$B$5</f>
        <v>0</v>
      </c>
      <c r="F2043" t="str" cm="1">
        <f t="array" ref="F2043">IF(LineærRegression_Valg[[#This Row],[Indenfor range]],INDEX(DataTitel_liste,LineærRegression_Valg[[#This Row],[Afhængig variabel ID]]),INDEX(DataTitel_liste,1))</f>
        <v>Eksempel 1 (interval)</v>
      </c>
      <c r="G2043" s="171" t="str" cm="1">
        <f t="array" ref="G2043">IF(LineærRegression_Valg[[#This Row],[Indenfor range]],IF(LineærRegression_Valg[[#This Row],[Intet overlap]],INDEX(DataTitel_liste,LineærRegression_Valg[[#This Row],[Uafhængig variabel ID]]),INDEX(DataTitel_liste,IF(LineærRegression_Valg[[#This Row],[Afhængig variabel ID]]=1,2,1))),$B$7)</f>
        <v>Eksempel 2 (interval)</v>
      </c>
      <c r="H2043" s="171">
        <f>_xlfn.AGGREGATE(2,5,LineærRegression_Valg[[#This Row],[Tabel ID]])</f>
        <v>1</v>
      </c>
    </row>
    <row r="2044" spans="1:8" x14ac:dyDescent="0.2">
      <c r="A2044">
        <f>ROW(LineærRegression_Valg[[#This Row],[Tabel ID]])-ROW(LineærRegression_Valg[[#Headers],[Tabel ID]])</f>
        <v>2034</v>
      </c>
      <c r="B2044" s="171">
        <f>ROUNDDOWN((LineærRegression_Valg[[#This Row],[Tabel ID]]-1)/$B$5,0)+1</f>
        <v>509</v>
      </c>
      <c r="C2044" s="171">
        <f t="shared" si="31"/>
        <v>2</v>
      </c>
      <c r="D2044" s="171" t="b">
        <f>LineærRegression_Valg[[#This Row],[Afhængig variabel ID]]&lt;&gt;LineærRegression_Valg[[#This Row],[Uafhængig variabel ID]]</f>
        <v>1</v>
      </c>
      <c r="E2044" s="171" t="b">
        <f>LineærRegression_Valg[[#This Row],[Afhængig variabel ID]]&lt;=$B$5</f>
        <v>0</v>
      </c>
      <c r="F2044" t="str" cm="1">
        <f t="array" ref="F2044">IF(LineærRegression_Valg[[#This Row],[Indenfor range]],INDEX(DataTitel_liste,LineærRegression_Valg[[#This Row],[Afhængig variabel ID]]),INDEX(DataTitel_liste,1))</f>
        <v>Eksempel 1 (interval)</v>
      </c>
      <c r="G2044" s="171" t="str" cm="1">
        <f t="array" ref="G2044">IF(LineærRegression_Valg[[#This Row],[Indenfor range]],IF(LineærRegression_Valg[[#This Row],[Intet overlap]],INDEX(DataTitel_liste,LineærRegression_Valg[[#This Row],[Uafhængig variabel ID]]),INDEX(DataTitel_liste,IF(LineærRegression_Valg[[#This Row],[Afhængig variabel ID]]=1,2,1))),$B$7)</f>
        <v>Eksempel 2 (interval)</v>
      </c>
      <c r="H2044" s="171">
        <f>_xlfn.AGGREGATE(2,5,LineærRegression_Valg[[#This Row],[Tabel ID]])</f>
        <v>1</v>
      </c>
    </row>
    <row r="2045" spans="1:8" x14ac:dyDescent="0.2">
      <c r="A2045">
        <f>ROW(LineærRegression_Valg[[#This Row],[Tabel ID]])-ROW(LineærRegression_Valg[[#Headers],[Tabel ID]])</f>
        <v>2035</v>
      </c>
      <c r="B2045" s="171">
        <f>ROUNDDOWN((LineærRegression_Valg[[#This Row],[Tabel ID]]-1)/$B$5,0)+1</f>
        <v>509</v>
      </c>
      <c r="C2045" s="171">
        <f t="shared" si="31"/>
        <v>3</v>
      </c>
      <c r="D2045" s="171" t="b">
        <f>LineærRegression_Valg[[#This Row],[Afhængig variabel ID]]&lt;&gt;LineærRegression_Valg[[#This Row],[Uafhængig variabel ID]]</f>
        <v>1</v>
      </c>
      <c r="E2045" s="171" t="b">
        <f>LineærRegression_Valg[[#This Row],[Afhængig variabel ID]]&lt;=$B$5</f>
        <v>0</v>
      </c>
      <c r="F2045" t="str" cm="1">
        <f t="array" ref="F2045">IF(LineærRegression_Valg[[#This Row],[Indenfor range]],INDEX(DataTitel_liste,LineærRegression_Valg[[#This Row],[Afhængig variabel ID]]),INDEX(DataTitel_liste,1))</f>
        <v>Eksempel 1 (interval)</v>
      </c>
      <c r="G2045" s="171" t="str" cm="1">
        <f t="array" ref="G2045">IF(LineærRegression_Valg[[#This Row],[Indenfor range]],IF(LineærRegression_Valg[[#This Row],[Intet overlap]],INDEX(DataTitel_liste,LineærRegression_Valg[[#This Row],[Uafhængig variabel ID]]),INDEX(DataTitel_liste,IF(LineærRegression_Valg[[#This Row],[Afhængig variabel ID]]=1,2,1))),$B$7)</f>
        <v>Eksempel 2 (interval)</v>
      </c>
      <c r="H2045" s="171">
        <f>_xlfn.AGGREGATE(2,5,LineærRegression_Valg[[#This Row],[Tabel ID]])</f>
        <v>1</v>
      </c>
    </row>
    <row r="2046" spans="1:8" x14ac:dyDescent="0.2">
      <c r="A2046">
        <f>ROW(LineærRegression_Valg[[#This Row],[Tabel ID]])-ROW(LineærRegression_Valg[[#Headers],[Tabel ID]])</f>
        <v>2036</v>
      </c>
      <c r="B2046" s="171">
        <f>ROUNDDOWN((LineærRegression_Valg[[#This Row],[Tabel ID]]-1)/$B$5,0)+1</f>
        <v>509</v>
      </c>
      <c r="C2046" s="171">
        <f t="shared" si="31"/>
        <v>4</v>
      </c>
      <c r="D2046" s="171" t="b">
        <f>LineærRegression_Valg[[#This Row],[Afhængig variabel ID]]&lt;&gt;LineærRegression_Valg[[#This Row],[Uafhængig variabel ID]]</f>
        <v>1</v>
      </c>
      <c r="E2046" s="171" t="b">
        <f>LineærRegression_Valg[[#This Row],[Afhængig variabel ID]]&lt;=$B$5</f>
        <v>0</v>
      </c>
      <c r="F2046" t="str" cm="1">
        <f t="array" ref="F2046">IF(LineærRegression_Valg[[#This Row],[Indenfor range]],INDEX(DataTitel_liste,LineærRegression_Valg[[#This Row],[Afhængig variabel ID]]),INDEX(DataTitel_liste,1))</f>
        <v>Eksempel 1 (interval)</v>
      </c>
      <c r="G2046" s="171" t="str" cm="1">
        <f t="array" ref="G2046">IF(LineærRegression_Valg[[#This Row],[Indenfor range]],IF(LineærRegression_Valg[[#This Row],[Intet overlap]],INDEX(DataTitel_liste,LineærRegression_Valg[[#This Row],[Uafhængig variabel ID]]),INDEX(DataTitel_liste,IF(LineærRegression_Valg[[#This Row],[Afhængig variabel ID]]=1,2,1))),$B$7)</f>
        <v>Eksempel 2 (interval)</v>
      </c>
      <c r="H2046" s="171">
        <f>_xlfn.AGGREGATE(2,5,LineærRegression_Valg[[#This Row],[Tabel ID]])</f>
        <v>1</v>
      </c>
    </row>
    <row r="2047" spans="1:8" x14ac:dyDescent="0.2">
      <c r="A2047">
        <f>ROW(LineærRegression_Valg[[#This Row],[Tabel ID]])-ROW(LineærRegression_Valg[[#Headers],[Tabel ID]])</f>
        <v>2037</v>
      </c>
      <c r="B2047" s="171">
        <f>ROUNDDOWN((LineærRegression_Valg[[#This Row],[Tabel ID]]-1)/$B$5,0)+1</f>
        <v>510</v>
      </c>
      <c r="C2047" s="171">
        <f t="shared" si="31"/>
        <v>1</v>
      </c>
      <c r="D2047" s="171" t="b">
        <f>LineærRegression_Valg[[#This Row],[Afhængig variabel ID]]&lt;&gt;LineærRegression_Valg[[#This Row],[Uafhængig variabel ID]]</f>
        <v>1</v>
      </c>
      <c r="E2047" s="171" t="b">
        <f>LineærRegression_Valg[[#This Row],[Afhængig variabel ID]]&lt;=$B$5</f>
        <v>0</v>
      </c>
      <c r="F2047" t="str" cm="1">
        <f t="array" ref="F2047">IF(LineærRegression_Valg[[#This Row],[Indenfor range]],INDEX(DataTitel_liste,LineærRegression_Valg[[#This Row],[Afhængig variabel ID]]),INDEX(DataTitel_liste,1))</f>
        <v>Eksempel 1 (interval)</v>
      </c>
      <c r="G2047" s="171" t="str" cm="1">
        <f t="array" ref="G2047">IF(LineærRegression_Valg[[#This Row],[Indenfor range]],IF(LineærRegression_Valg[[#This Row],[Intet overlap]],INDEX(DataTitel_liste,LineærRegression_Valg[[#This Row],[Uafhængig variabel ID]]),INDEX(DataTitel_liste,IF(LineærRegression_Valg[[#This Row],[Afhængig variabel ID]]=1,2,1))),$B$7)</f>
        <v>Eksempel 2 (interval)</v>
      </c>
      <c r="H2047" s="171">
        <f>_xlfn.AGGREGATE(2,5,LineærRegression_Valg[[#This Row],[Tabel ID]])</f>
        <v>1</v>
      </c>
    </row>
    <row r="2048" spans="1:8" x14ac:dyDescent="0.2">
      <c r="A2048">
        <f>ROW(LineærRegression_Valg[[#This Row],[Tabel ID]])-ROW(LineærRegression_Valg[[#Headers],[Tabel ID]])</f>
        <v>2038</v>
      </c>
      <c r="B2048" s="171">
        <f>ROUNDDOWN((LineærRegression_Valg[[#This Row],[Tabel ID]]-1)/$B$5,0)+1</f>
        <v>510</v>
      </c>
      <c r="C2048" s="171">
        <f t="shared" si="31"/>
        <v>2</v>
      </c>
      <c r="D2048" s="171" t="b">
        <f>LineærRegression_Valg[[#This Row],[Afhængig variabel ID]]&lt;&gt;LineærRegression_Valg[[#This Row],[Uafhængig variabel ID]]</f>
        <v>1</v>
      </c>
      <c r="E2048" s="171" t="b">
        <f>LineærRegression_Valg[[#This Row],[Afhængig variabel ID]]&lt;=$B$5</f>
        <v>0</v>
      </c>
      <c r="F2048" t="str" cm="1">
        <f t="array" ref="F2048">IF(LineærRegression_Valg[[#This Row],[Indenfor range]],INDEX(DataTitel_liste,LineærRegression_Valg[[#This Row],[Afhængig variabel ID]]),INDEX(DataTitel_liste,1))</f>
        <v>Eksempel 1 (interval)</v>
      </c>
      <c r="G2048" s="171" t="str" cm="1">
        <f t="array" ref="G2048">IF(LineærRegression_Valg[[#This Row],[Indenfor range]],IF(LineærRegression_Valg[[#This Row],[Intet overlap]],INDEX(DataTitel_liste,LineærRegression_Valg[[#This Row],[Uafhængig variabel ID]]),INDEX(DataTitel_liste,IF(LineærRegression_Valg[[#This Row],[Afhængig variabel ID]]=1,2,1))),$B$7)</f>
        <v>Eksempel 2 (interval)</v>
      </c>
      <c r="H2048" s="171">
        <f>_xlfn.AGGREGATE(2,5,LineærRegression_Valg[[#This Row],[Tabel ID]])</f>
        <v>1</v>
      </c>
    </row>
    <row r="2049" spans="1:8" x14ac:dyDescent="0.2">
      <c r="A2049">
        <f>ROW(LineærRegression_Valg[[#This Row],[Tabel ID]])-ROW(LineærRegression_Valg[[#Headers],[Tabel ID]])</f>
        <v>2039</v>
      </c>
      <c r="B2049" s="171">
        <f>ROUNDDOWN((LineærRegression_Valg[[#This Row],[Tabel ID]]-1)/$B$5,0)+1</f>
        <v>510</v>
      </c>
      <c r="C2049" s="171">
        <f t="shared" si="31"/>
        <v>3</v>
      </c>
      <c r="D2049" s="171" t="b">
        <f>LineærRegression_Valg[[#This Row],[Afhængig variabel ID]]&lt;&gt;LineærRegression_Valg[[#This Row],[Uafhængig variabel ID]]</f>
        <v>1</v>
      </c>
      <c r="E2049" s="171" t="b">
        <f>LineærRegression_Valg[[#This Row],[Afhængig variabel ID]]&lt;=$B$5</f>
        <v>0</v>
      </c>
      <c r="F2049" t="str" cm="1">
        <f t="array" ref="F2049">IF(LineærRegression_Valg[[#This Row],[Indenfor range]],INDEX(DataTitel_liste,LineærRegression_Valg[[#This Row],[Afhængig variabel ID]]),INDEX(DataTitel_liste,1))</f>
        <v>Eksempel 1 (interval)</v>
      </c>
      <c r="G2049" s="171" t="str" cm="1">
        <f t="array" ref="G2049">IF(LineærRegression_Valg[[#This Row],[Indenfor range]],IF(LineærRegression_Valg[[#This Row],[Intet overlap]],INDEX(DataTitel_liste,LineærRegression_Valg[[#This Row],[Uafhængig variabel ID]]),INDEX(DataTitel_liste,IF(LineærRegression_Valg[[#This Row],[Afhængig variabel ID]]=1,2,1))),$B$7)</f>
        <v>Eksempel 2 (interval)</v>
      </c>
      <c r="H2049" s="171">
        <f>_xlfn.AGGREGATE(2,5,LineærRegression_Valg[[#This Row],[Tabel ID]])</f>
        <v>1</v>
      </c>
    </row>
    <row r="2050" spans="1:8" x14ac:dyDescent="0.2">
      <c r="A2050">
        <f>ROW(LineærRegression_Valg[[#This Row],[Tabel ID]])-ROW(LineærRegression_Valg[[#Headers],[Tabel ID]])</f>
        <v>2040</v>
      </c>
      <c r="B2050" s="171">
        <f>ROUNDDOWN((LineærRegression_Valg[[#This Row],[Tabel ID]]-1)/$B$5,0)+1</f>
        <v>510</v>
      </c>
      <c r="C2050" s="171">
        <f t="shared" si="31"/>
        <v>4</v>
      </c>
      <c r="D2050" s="171" t="b">
        <f>LineærRegression_Valg[[#This Row],[Afhængig variabel ID]]&lt;&gt;LineærRegression_Valg[[#This Row],[Uafhængig variabel ID]]</f>
        <v>1</v>
      </c>
      <c r="E2050" s="171" t="b">
        <f>LineærRegression_Valg[[#This Row],[Afhængig variabel ID]]&lt;=$B$5</f>
        <v>0</v>
      </c>
      <c r="F2050" t="str" cm="1">
        <f t="array" ref="F2050">IF(LineærRegression_Valg[[#This Row],[Indenfor range]],INDEX(DataTitel_liste,LineærRegression_Valg[[#This Row],[Afhængig variabel ID]]),INDEX(DataTitel_liste,1))</f>
        <v>Eksempel 1 (interval)</v>
      </c>
      <c r="G2050" s="171" t="str" cm="1">
        <f t="array" ref="G2050">IF(LineærRegression_Valg[[#This Row],[Indenfor range]],IF(LineærRegression_Valg[[#This Row],[Intet overlap]],INDEX(DataTitel_liste,LineærRegression_Valg[[#This Row],[Uafhængig variabel ID]]),INDEX(DataTitel_liste,IF(LineærRegression_Valg[[#This Row],[Afhængig variabel ID]]=1,2,1))),$B$7)</f>
        <v>Eksempel 2 (interval)</v>
      </c>
      <c r="H2050" s="171">
        <f>_xlfn.AGGREGATE(2,5,LineærRegression_Valg[[#This Row],[Tabel ID]])</f>
        <v>1</v>
      </c>
    </row>
    <row r="2051" spans="1:8" x14ac:dyDescent="0.2">
      <c r="A2051">
        <f>ROW(LineærRegression_Valg[[#This Row],[Tabel ID]])-ROW(LineærRegression_Valg[[#Headers],[Tabel ID]])</f>
        <v>2041</v>
      </c>
      <c r="B2051" s="171">
        <f>ROUNDDOWN((LineærRegression_Valg[[#This Row],[Tabel ID]]-1)/$B$5,0)+1</f>
        <v>511</v>
      </c>
      <c r="C2051" s="171">
        <f t="shared" si="31"/>
        <v>1</v>
      </c>
      <c r="D2051" s="171" t="b">
        <f>LineærRegression_Valg[[#This Row],[Afhængig variabel ID]]&lt;&gt;LineærRegression_Valg[[#This Row],[Uafhængig variabel ID]]</f>
        <v>1</v>
      </c>
      <c r="E2051" s="171" t="b">
        <f>LineærRegression_Valg[[#This Row],[Afhængig variabel ID]]&lt;=$B$5</f>
        <v>0</v>
      </c>
      <c r="F2051" t="str" cm="1">
        <f t="array" ref="F2051">IF(LineærRegression_Valg[[#This Row],[Indenfor range]],INDEX(DataTitel_liste,LineærRegression_Valg[[#This Row],[Afhængig variabel ID]]),INDEX(DataTitel_liste,1))</f>
        <v>Eksempel 1 (interval)</v>
      </c>
      <c r="G2051" s="171" t="str" cm="1">
        <f t="array" ref="G2051">IF(LineærRegression_Valg[[#This Row],[Indenfor range]],IF(LineærRegression_Valg[[#This Row],[Intet overlap]],INDEX(DataTitel_liste,LineærRegression_Valg[[#This Row],[Uafhængig variabel ID]]),INDEX(DataTitel_liste,IF(LineærRegression_Valg[[#This Row],[Afhængig variabel ID]]=1,2,1))),$B$7)</f>
        <v>Eksempel 2 (interval)</v>
      </c>
      <c r="H2051" s="171">
        <f>_xlfn.AGGREGATE(2,5,LineærRegression_Valg[[#This Row],[Tabel ID]])</f>
        <v>1</v>
      </c>
    </row>
    <row r="2052" spans="1:8" x14ac:dyDescent="0.2">
      <c r="A2052">
        <f>ROW(LineærRegression_Valg[[#This Row],[Tabel ID]])-ROW(LineærRegression_Valg[[#Headers],[Tabel ID]])</f>
        <v>2042</v>
      </c>
      <c r="B2052" s="171">
        <f>ROUNDDOWN((LineærRegression_Valg[[#This Row],[Tabel ID]]-1)/$B$5,0)+1</f>
        <v>511</v>
      </c>
      <c r="C2052" s="171">
        <f t="shared" si="31"/>
        <v>2</v>
      </c>
      <c r="D2052" s="171" t="b">
        <f>LineærRegression_Valg[[#This Row],[Afhængig variabel ID]]&lt;&gt;LineærRegression_Valg[[#This Row],[Uafhængig variabel ID]]</f>
        <v>1</v>
      </c>
      <c r="E2052" s="171" t="b">
        <f>LineærRegression_Valg[[#This Row],[Afhængig variabel ID]]&lt;=$B$5</f>
        <v>0</v>
      </c>
      <c r="F2052" t="str" cm="1">
        <f t="array" ref="F2052">IF(LineærRegression_Valg[[#This Row],[Indenfor range]],INDEX(DataTitel_liste,LineærRegression_Valg[[#This Row],[Afhængig variabel ID]]),INDEX(DataTitel_liste,1))</f>
        <v>Eksempel 1 (interval)</v>
      </c>
      <c r="G2052" s="171" t="str" cm="1">
        <f t="array" ref="G2052">IF(LineærRegression_Valg[[#This Row],[Indenfor range]],IF(LineærRegression_Valg[[#This Row],[Intet overlap]],INDEX(DataTitel_liste,LineærRegression_Valg[[#This Row],[Uafhængig variabel ID]]),INDEX(DataTitel_liste,IF(LineærRegression_Valg[[#This Row],[Afhængig variabel ID]]=1,2,1))),$B$7)</f>
        <v>Eksempel 2 (interval)</v>
      </c>
      <c r="H2052" s="171">
        <f>_xlfn.AGGREGATE(2,5,LineærRegression_Valg[[#This Row],[Tabel ID]])</f>
        <v>1</v>
      </c>
    </row>
    <row r="2053" spans="1:8" x14ac:dyDescent="0.2">
      <c r="A2053">
        <f>ROW(LineærRegression_Valg[[#This Row],[Tabel ID]])-ROW(LineærRegression_Valg[[#Headers],[Tabel ID]])</f>
        <v>2043</v>
      </c>
      <c r="B2053" s="171">
        <f>ROUNDDOWN((LineærRegression_Valg[[#This Row],[Tabel ID]]-1)/$B$5,0)+1</f>
        <v>511</v>
      </c>
      <c r="C2053" s="171">
        <f t="shared" si="31"/>
        <v>3</v>
      </c>
      <c r="D2053" s="171" t="b">
        <f>LineærRegression_Valg[[#This Row],[Afhængig variabel ID]]&lt;&gt;LineærRegression_Valg[[#This Row],[Uafhængig variabel ID]]</f>
        <v>1</v>
      </c>
      <c r="E2053" s="171" t="b">
        <f>LineærRegression_Valg[[#This Row],[Afhængig variabel ID]]&lt;=$B$5</f>
        <v>0</v>
      </c>
      <c r="F2053" t="str" cm="1">
        <f t="array" ref="F2053">IF(LineærRegression_Valg[[#This Row],[Indenfor range]],INDEX(DataTitel_liste,LineærRegression_Valg[[#This Row],[Afhængig variabel ID]]),INDEX(DataTitel_liste,1))</f>
        <v>Eksempel 1 (interval)</v>
      </c>
      <c r="G2053" s="171" t="str" cm="1">
        <f t="array" ref="G2053">IF(LineærRegression_Valg[[#This Row],[Indenfor range]],IF(LineærRegression_Valg[[#This Row],[Intet overlap]],INDEX(DataTitel_liste,LineærRegression_Valg[[#This Row],[Uafhængig variabel ID]]),INDEX(DataTitel_liste,IF(LineærRegression_Valg[[#This Row],[Afhængig variabel ID]]=1,2,1))),$B$7)</f>
        <v>Eksempel 2 (interval)</v>
      </c>
      <c r="H2053" s="171">
        <f>_xlfn.AGGREGATE(2,5,LineærRegression_Valg[[#This Row],[Tabel ID]])</f>
        <v>1</v>
      </c>
    </row>
    <row r="2054" spans="1:8" x14ac:dyDescent="0.2">
      <c r="A2054">
        <f>ROW(LineærRegression_Valg[[#This Row],[Tabel ID]])-ROW(LineærRegression_Valg[[#Headers],[Tabel ID]])</f>
        <v>2044</v>
      </c>
      <c r="B2054" s="171">
        <f>ROUNDDOWN((LineærRegression_Valg[[#This Row],[Tabel ID]]-1)/$B$5,0)+1</f>
        <v>511</v>
      </c>
      <c r="C2054" s="171">
        <f t="shared" si="31"/>
        <v>4</v>
      </c>
      <c r="D2054" s="171" t="b">
        <f>LineærRegression_Valg[[#This Row],[Afhængig variabel ID]]&lt;&gt;LineærRegression_Valg[[#This Row],[Uafhængig variabel ID]]</f>
        <v>1</v>
      </c>
      <c r="E2054" s="171" t="b">
        <f>LineærRegression_Valg[[#This Row],[Afhængig variabel ID]]&lt;=$B$5</f>
        <v>0</v>
      </c>
      <c r="F2054" t="str" cm="1">
        <f t="array" ref="F2054">IF(LineærRegression_Valg[[#This Row],[Indenfor range]],INDEX(DataTitel_liste,LineærRegression_Valg[[#This Row],[Afhængig variabel ID]]),INDEX(DataTitel_liste,1))</f>
        <v>Eksempel 1 (interval)</v>
      </c>
      <c r="G2054" s="171" t="str" cm="1">
        <f t="array" ref="G2054">IF(LineærRegression_Valg[[#This Row],[Indenfor range]],IF(LineærRegression_Valg[[#This Row],[Intet overlap]],INDEX(DataTitel_liste,LineærRegression_Valg[[#This Row],[Uafhængig variabel ID]]),INDEX(DataTitel_liste,IF(LineærRegression_Valg[[#This Row],[Afhængig variabel ID]]=1,2,1))),$B$7)</f>
        <v>Eksempel 2 (interval)</v>
      </c>
      <c r="H2054" s="171">
        <f>_xlfn.AGGREGATE(2,5,LineærRegression_Valg[[#This Row],[Tabel ID]])</f>
        <v>1</v>
      </c>
    </row>
    <row r="2055" spans="1:8" x14ac:dyDescent="0.2">
      <c r="A2055">
        <f>ROW(LineærRegression_Valg[[#This Row],[Tabel ID]])-ROW(LineærRegression_Valg[[#Headers],[Tabel ID]])</f>
        <v>2045</v>
      </c>
      <c r="B2055" s="171">
        <f>ROUNDDOWN((LineærRegression_Valg[[#This Row],[Tabel ID]]-1)/$B$5,0)+1</f>
        <v>512</v>
      </c>
      <c r="C2055" s="171">
        <f t="shared" si="31"/>
        <v>1</v>
      </c>
      <c r="D2055" s="171" t="b">
        <f>LineærRegression_Valg[[#This Row],[Afhængig variabel ID]]&lt;&gt;LineærRegression_Valg[[#This Row],[Uafhængig variabel ID]]</f>
        <v>1</v>
      </c>
      <c r="E2055" s="171" t="b">
        <f>LineærRegression_Valg[[#This Row],[Afhængig variabel ID]]&lt;=$B$5</f>
        <v>0</v>
      </c>
      <c r="F2055" t="str" cm="1">
        <f t="array" ref="F2055">IF(LineærRegression_Valg[[#This Row],[Indenfor range]],INDEX(DataTitel_liste,LineærRegression_Valg[[#This Row],[Afhængig variabel ID]]),INDEX(DataTitel_liste,1))</f>
        <v>Eksempel 1 (interval)</v>
      </c>
      <c r="G2055" s="171" t="str" cm="1">
        <f t="array" ref="G2055">IF(LineærRegression_Valg[[#This Row],[Indenfor range]],IF(LineærRegression_Valg[[#This Row],[Intet overlap]],INDEX(DataTitel_liste,LineærRegression_Valg[[#This Row],[Uafhængig variabel ID]]),INDEX(DataTitel_liste,IF(LineærRegression_Valg[[#This Row],[Afhængig variabel ID]]=1,2,1))),$B$7)</f>
        <v>Eksempel 2 (interval)</v>
      </c>
      <c r="H2055" s="171">
        <f>_xlfn.AGGREGATE(2,5,LineærRegression_Valg[[#This Row],[Tabel ID]])</f>
        <v>1</v>
      </c>
    </row>
    <row r="2056" spans="1:8" x14ac:dyDescent="0.2">
      <c r="A2056">
        <f>ROW(LineærRegression_Valg[[#This Row],[Tabel ID]])-ROW(LineærRegression_Valg[[#Headers],[Tabel ID]])</f>
        <v>2046</v>
      </c>
      <c r="B2056" s="171">
        <f>ROUNDDOWN((LineærRegression_Valg[[#This Row],[Tabel ID]]-1)/$B$5,0)+1</f>
        <v>512</v>
      </c>
      <c r="C2056" s="171">
        <f t="shared" si="31"/>
        <v>2</v>
      </c>
      <c r="D2056" s="171" t="b">
        <f>LineærRegression_Valg[[#This Row],[Afhængig variabel ID]]&lt;&gt;LineærRegression_Valg[[#This Row],[Uafhængig variabel ID]]</f>
        <v>1</v>
      </c>
      <c r="E2056" s="171" t="b">
        <f>LineærRegression_Valg[[#This Row],[Afhængig variabel ID]]&lt;=$B$5</f>
        <v>0</v>
      </c>
      <c r="F2056" t="str" cm="1">
        <f t="array" ref="F2056">IF(LineærRegression_Valg[[#This Row],[Indenfor range]],INDEX(DataTitel_liste,LineærRegression_Valg[[#This Row],[Afhængig variabel ID]]),INDEX(DataTitel_liste,1))</f>
        <v>Eksempel 1 (interval)</v>
      </c>
      <c r="G2056" s="171" t="str" cm="1">
        <f t="array" ref="G2056">IF(LineærRegression_Valg[[#This Row],[Indenfor range]],IF(LineærRegression_Valg[[#This Row],[Intet overlap]],INDEX(DataTitel_liste,LineærRegression_Valg[[#This Row],[Uafhængig variabel ID]]),INDEX(DataTitel_liste,IF(LineærRegression_Valg[[#This Row],[Afhængig variabel ID]]=1,2,1))),$B$7)</f>
        <v>Eksempel 2 (interval)</v>
      </c>
      <c r="H2056" s="171">
        <f>_xlfn.AGGREGATE(2,5,LineærRegression_Valg[[#This Row],[Tabel ID]])</f>
        <v>1</v>
      </c>
    </row>
    <row r="2057" spans="1:8" x14ac:dyDescent="0.2">
      <c r="A2057">
        <f>ROW(LineærRegression_Valg[[#This Row],[Tabel ID]])-ROW(LineærRegression_Valg[[#Headers],[Tabel ID]])</f>
        <v>2047</v>
      </c>
      <c r="B2057" s="171">
        <f>ROUNDDOWN((LineærRegression_Valg[[#This Row],[Tabel ID]]-1)/$B$5,0)+1</f>
        <v>512</v>
      </c>
      <c r="C2057" s="171">
        <f t="shared" si="31"/>
        <v>3</v>
      </c>
      <c r="D2057" s="171" t="b">
        <f>LineærRegression_Valg[[#This Row],[Afhængig variabel ID]]&lt;&gt;LineærRegression_Valg[[#This Row],[Uafhængig variabel ID]]</f>
        <v>1</v>
      </c>
      <c r="E2057" s="171" t="b">
        <f>LineærRegression_Valg[[#This Row],[Afhængig variabel ID]]&lt;=$B$5</f>
        <v>0</v>
      </c>
      <c r="F2057" t="str" cm="1">
        <f t="array" ref="F2057">IF(LineærRegression_Valg[[#This Row],[Indenfor range]],INDEX(DataTitel_liste,LineærRegression_Valg[[#This Row],[Afhængig variabel ID]]),INDEX(DataTitel_liste,1))</f>
        <v>Eksempel 1 (interval)</v>
      </c>
      <c r="G2057" s="171" t="str" cm="1">
        <f t="array" ref="G2057">IF(LineærRegression_Valg[[#This Row],[Indenfor range]],IF(LineærRegression_Valg[[#This Row],[Intet overlap]],INDEX(DataTitel_liste,LineærRegression_Valg[[#This Row],[Uafhængig variabel ID]]),INDEX(DataTitel_liste,IF(LineærRegression_Valg[[#This Row],[Afhængig variabel ID]]=1,2,1))),$B$7)</f>
        <v>Eksempel 2 (interval)</v>
      </c>
      <c r="H2057" s="171">
        <f>_xlfn.AGGREGATE(2,5,LineærRegression_Valg[[#This Row],[Tabel ID]])</f>
        <v>1</v>
      </c>
    </row>
    <row r="2058" spans="1:8" x14ac:dyDescent="0.2">
      <c r="A2058">
        <f>ROW(LineærRegression_Valg[[#This Row],[Tabel ID]])-ROW(LineærRegression_Valg[[#Headers],[Tabel ID]])</f>
        <v>2048</v>
      </c>
      <c r="B2058" s="171">
        <f>ROUNDDOWN((LineærRegression_Valg[[#This Row],[Tabel ID]]-1)/$B$5,0)+1</f>
        <v>512</v>
      </c>
      <c r="C2058" s="171">
        <f t="shared" si="31"/>
        <v>4</v>
      </c>
      <c r="D2058" s="171" t="b">
        <f>LineærRegression_Valg[[#This Row],[Afhængig variabel ID]]&lt;&gt;LineærRegression_Valg[[#This Row],[Uafhængig variabel ID]]</f>
        <v>1</v>
      </c>
      <c r="E2058" s="171" t="b">
        <f>LineærRegression_Valg[[#This Row],[Afhængig variabel ID]]&lt;=$B$5</f>
        <v>0</v>
      </c>
      <c r="F2058" t="str" cm="1">
        <f t="array" ref="F2058">IF(LineærRegression_Valg[[#This Row],[Indenfor range]],INDEX(DataTitel_liste,LineærRegression_Valg[[#This Row],[Afhængig variabel ID]]),INDEX(DataTitel_liste,1))</f>
        <v>Eksempel 1 (interval)</v>
      </c>
      <c r="G2058" s="171" t="str" cm="1">
        <f t="array" ref="G2058">IF(LineærRegression_Valg[[#This Row],[Indenfor range]],IF(LineærRegression_Valg[[#This Row],[Intet overlap]],INDEX(DataTitel_liste,LineærRegression_Valg[[#This Row],[Uafhængig variabel ID]]),INDEX(DataTitel_liste,IF(LineærRegression_Valg[[#This Row],[Afhængig variabel ID]]=1,2,1))),$B$7)</f>
        <v>Eksempel 2 (interval)</v>
      </c>
      <c r="H2058" s="171">
        <f>_xlfn.AGGREGATE(2,5,LineærRegression_Valg[[#This Row],[Tabel ID]])</f>
        <v>1</v>
      </c>
    </row>
    <row r="2059" spans="1:8" x14ac:dyDescent="0.2">
      <c r="A2059">
        <f>ROW(LineærRegression_Valg[[#This Row],[Tabel ID]])-ROW(LineærRegression_Valg[[#Headers],[Tabel ID]])</f>
        <v>2049</v>
      </c>
      <c r="B2059" s="171">
        <f>ROUNDDOWN((LineærRegression_Valg[[#This Row],[Tabel ID]]-1)/$B$5,0)+1</f>
        <v>513</v>
      </c>
      <c r="C2059" s="171">
        <f t="shared" ref="C2059:C2122" si="32">MOD(A2059-1,$B$5)+1</f>
        <v>1</v>
      </c>
      <c r="D2059" s="171" t="b">
        <f>LineærRegression_Valg[[#This Row],[Afhængig variabel ID]]&lt;&gt;LineærRegression_Valg[[#This Row],[Uafhængig variabel ID]]</f>
        <v>1</v>
      </c>
      <c r="E2059" s="171" t="b">
        <f>LineærRegression_Valg[[#This Row],[Afhængig variabel ID]]&lt;=$B$5</f>
        <v>0</v>
      </c>
      <c r="F2059" t="str" cm="1">
        <f t="array" ref="F2059">IF(LineærRegression_Valg[[#This Row],[Indenfor range]],INDEX(DataTitel_liste,LineærRegression_Valg[[#This Row],[Afhængig variabel ID]]),INDEX(DataTitel_liste,1))</f>
        <v>Eksempel 1 (interval)</v>
      </c>
      <c r="G2059" s="171" t="str" cm="1">
        <f t="array" ref="G2059">IF(LineærRegression_Valg[[#This Row],[Indenfor range]],IF(LineærRegression_Valg[[#This Row],[Intet overlap]],INDEX(DataTitel_liste,LineærRegression_Valg[[#This Row],[Uafhængig variabel ID]]),INDEX(DataTitel_liste,IF(LineærRegression_Valg[[#This Row],[Afhængig variabel ID]]=1,2,1))),$B$7)</f>
        <v>Eksempel 2 (interval)</v>
      </c>
      <c r="H2059" s="171">
        <f>_xlfn.AGGREGATE(2,5,LineærRegression_Valg[[#This Row],[Tabel ID]])</f>
        <v>1</v>
      </c>
    </row>
    <row r="2060" spans="1:8" x14ac:dyDescent="0.2">
      <c r="A2060">
        <f>ROW(LineærRegression_Valg[[#This Row],[Tabel ID]])-ROW(LineærRegression_Valg[[#Headers],[Tabel ID]])</f>
        <v>2050</v>
      </c>
      <c r="B2060" s="171">
        <f>ROUNDDOWN((LineærRegression_Valg[[#This Row],[Tabel ID]]-1)/$B$5,0)+1</f>
        <v>513</v>
      </c>
      <c r="C2060" s="171">
        <f t="shared" si="32"/>
        <v>2</v>
      </c>
      <c r="D2060" s="171" t="b">
        <f>LineærRegression_Valg[[#This Row],[Afhængig variabel ID]]&lt;&gt;LineærRegression_Valg[[#This Row],[Uafhængig variabel ID]]</f>
        <v>1</v>
      </c>
      <c r="E2060" s="171" t="b">
        <f>LineærRegression_Valg[[#This Row],[Afhængig variabel ID]]&lt;=$B$5</f>
        <v>0</v>
      </c>
      <c r="F2060" t="str" cm="1">
        <f t="array" ref="F2060">IF(LineærRegression_Valg[[#This Row],[Indenfor range]],INDEX(DataTitel_liste,LineærRegression_Valg[[#This Row],[Afhængig variabel ID]]),INDEX(DataTitel_liste,1))</f>
        <v>Eksempel 1 (interval)</v>
      </c>
      <c r="G2060" s="171" t="str" cm="1">
        <f t="array" ref="G2060">IF(LineærRegression_Valg[[#This Row],[Indenfor range]],IF(LineærRegression_Valg[[#This Row],[Intet overlap]],INDEX(DataTitel_liste,LineærRegression_Valg[[#This Row],[Uafhængig variabel ID]]),INDEX(DataTitel_liste,IF(LineærRegression_Valg[[#This Row],[Afhængig variabel ID]]=1,2,1))),$B$7)</f>
        <v>Eksempel 2 (interval)</v>
      </c>
      <c r="H2060" s="171">
        <f>_xlfn.AGGREGATE(2,5,LineærRegression_Valg[[#This Row],[Tabel ID]])</f>
        <v>1</v>
      </c>
    </row>
    <row r="2061" spans="1:8" x14ac:dyDescent="0.2">
      <c r="A2061">
        <f>ROW(LineærRegression_Valg[[#This Row],[Tabel ID]])-ROW(LineærRegression_Valg[[#Headers],[Tabel ID]])</f>
        <v>2051</v>
      </c>
      <c r="B2061" s="171">
        <f>ROUNDDOWN((LineærRegression_Valg[[#This Row],[Tabel ID]]-1)/$B$5,0)+1</f>
        <v>513</v>
      </c>
      <c r="C2061" s="171">
        <f t="shared" si="32"/>
        <v>3</v>
      </c>
      <c r="D2061" s="171" t="b">
        <f>LineærRegression_Valg[[#This Row],[Afhængig variabel ID]]&lt;&gt;LineærRegression_Valg[[#This Row],[Uafhængig variabel ID]]</f>
        <v>1</v>
      </c>
      <c r="E2061" s="171" t="b">
        <f>LineærRegression_Valg[[#This Row],[Afhængig variabel ID]]&lt;=$B$5</f>
        <v>0</v>
      </c>
      <c r="F2061" t="str" cm="1">
        <f t="array" ref="F2061">IF(LineærRegression_Valg[[#This Row],[Indenfor range]],INDEX(DataTitel_liste,LineærRegression_Valg[[#This Row],[Afhængig variabel ID]]),INDEX(DataTitel_liste,1))</f>
        <v>Eksempel 1 (interval)</v>
      </c>
      <c r="G2061" s="171" t="str" cm="1">
        <f t="array" ref="G2061">IF(LineærRegression_Valg[[#This Row],[Indenfor range]],IF(LineærRegression_Valg[[#This Row],[Intet overlap]],INDEX(DataTitel_liste,LineærRegression_Valg[[#This Row],[Uafhængig variabel ID]]),INDEX(DataTitel_liste,IF(LineærRegression_Valg[[#This Row],[Afhængig variabel ID]]=1,2,1))),$B$7)</f>
        <v>Eksempel 2 (interval)</v>
      </c>
      <c r="H2061" s="171">
        <f>_xlfn.AGGREGATE(2,5,LineærRegression_Valg[[#This Row],[Tabel ID]])</f>
        <v>1</v>
      </c>
    </row>
    <row r="2062" spans="1:8" x14ac:dyDescent="0.2">
      <c r="A2062">
        <f>ROW(LineærRegression_Valg[[#This Row],[Tabel ID]])-ROW(LineærRegression_Valg[[#Headers],[Tabel ID]])</f>
        <v>2052</v>
      </c>
      <c r="B2062" s="171">
        <f>ROUNDDOWN((LineærRegression_Valg[[#This Row],[Tabel ID]]-1)/$B$5,0)+1</f>
        <v>513</v>
      </c>
      <c r="C2062" s="171">
        <f t="shared" si="32"/>
        <v>4</v>
      </c>
      <c r="D2062" s="171" t="b">
        <f>LineærRegression_Valg[[#This Row],[Afhængig variabel ID]]&lt;&gt;LineærRegression_Valg[[#This Row],[Uafhængig variabel ID]]</f>
        <v>1</v>
      </c>
      <c r="E2062" s="171" t="b">
        <f>LineærRegression_Valg[[#This Row],[Afhængig variabel ID]]&lt;=$B$5</f>
        <v>0</v>
      </c>
      <c r="F2062" t="str" cm="1">
        <f t="array" ref="F2062">IF(LineærRegression_Valg[[#This Row],[Indenfor range]],INDEX(DataTitel_liste,LineærRegression_Valg[[#This Row],[Afhængig variabel ID]]),INDEX(DataTitel_liste,1))</f>
        <v>Eksempel 1 (interval)</v>
      </c>
      <c r="G2062" s="171" t="str" cm="1">
        <f t="array" ref="G2062">IF(LineærRegression_Valg[[#This Row],[Indenfor range]],IF(LineærRegression_Valg[[#This Row],[Intet overlap]],INDEX(DataTitel_liste,LineærRegression_Valg[[#This Row],[Uafhængig variabel ID]]),INDEX(DataTitel_liste,IF(LineærRegression_Valg[[#This Row],[Afhængig variabel ID]]=1,2,1))),$B$7)</f>
        <v>Eksempel 2 (interval)</v>
      </c>
      <c r="H2062" s="171">
        <f>_xlfn.AGGREGATE(2,5,LineærRegression_Valg[[#This Row],[Tabel ID]])</f>
        <v>1</v>
      </c>
    </row>
    <row r="2063" spans="1:8" x14ac:dyDescent="0.2">
      <c r="A2063">
        <f>ROW(LineærRegression_Valg[[#This Row],[Tabel ID]])-ROW(LineærRegression_Valg[[#Headers],[Tabel ID]])</f>
        <v>2053</v>
      </c>
      <c r="B2063" s="171">
        <f>ROUNDDOWN((LineærRegression_Valg[[#This Row],[Tabel ID]]-1)/$B$5,0)+1</f>
        <v>514</v>
      </c>
      <c r="C2063" s="171">
        <f t="shared" si="32"/>
        <v>1</v>
      </c>
      <c r="D2063" s="171" t="b">
        <f>LineærRegression_Valg[[#This Row],[Afhængig variabel ID]]&lt;&gt;LineærRegression_Valg[[#This Row],[Uafhængig variabel ID]]</f>
        <v>1</v>
      </c>
      <c r="E2063" s="171" t="b">
        <f>LineærRegression_Valg[[#This Row],[Afhængig variabel ID]]&lt;=$B$5</f>
        <v>0</v>
      </c>
      <c r="F2063" t="str" cm="1">
        <f t="array" ref="F2063">IF(LineærRegression_Valg[[#This Row],[Indenfor range]],INDEX(DataTitel_liste,LineærRegression_Valg[[#This Row],[Afhængig variabel ID]]),INDEX(DataTitel_liste,1))</f>
        <v>Eksempel 1 (interval)</v>
      </c>
      <c r="G2063" s="171" t="str" cm="1">
        <f t="array" ref="G2063">IF(LineærRegression_Valg[[#This Row],[Indenfor range]],IF(LineærRegression_Valg[[#This Row],[Intet overlap]],INDEX(DataTitel_liste,LineærRegression_Valg[[#This Row],[Uafhængig variabel ID]]),INDEX(DataTitel_liste,IF(LineærRegression_Valg[[#This Row],[Afhængig variabel ID]]=1,2,1))),$B$7)</f>
        <v>Eksempel 2 (interval)</v>
      </c>
      <c r="H2063" s="171">
        <f>_xlfn.AGGREGATE(2,5,LineærRegression_Valg[[#This Row],[Tabel ID]])</f>
        <v>1</v>
      </c>
    </row>
    <row r="2064" spans="1:8" x14ac:dyDescent="0.2">
      <c r="A2064">
        <f>ROW(LineærRegression_Valg[[#This Row],[Tabel ID]])-ROW(LineærRegression_Valg[[#Headers],[Tabel ID]])</f>
        <v>2054</v>
      </c>
      <c r="B2064" s="171">
        <f>ROUNDDOWN((LineærRegression_Valg[[#This Row],[Tabel ID]]-1)/$B$5,0)+1</f>
        <v>514</v>
      </c>
      <c r="C2064" s="171">
        <f t="shared" si="32"/>
        <v>2</v>
      </c>
      <c r="D2064" s="171" t="b">
        <f>LineærRegression_Valg[[#This Row],[Afhængig variabel ID]]&lt;&gt;LineærRegression_Valg[[#This Row],[Uafhængig variabel ID]]</f>
        <v>1</v>
      </c>
      <c r="E2064" s="171" t="b">
        <f>LineærRegression_Valg[[#This Row],[Afhængig variabel ID]]&lt;=$B$5</f>
        <v>0</v>
      </c>
      <c r="F2064" t="str" cm="1">
        <f t="array" ref="F2064">IF(LineærRegression_Valg[[#This Row],[Indenfor range]],INDEX(DataTitel_liste,LineærRegression_Valg[[#This Row],[Afhængig variabel ID]]),INDEX(DataTitel_liste,1))</f>
        <v>Eksempel 1 (interval)</v>
      </c>
      <c r="G2064" s="171" t="str" cm="1">
        <f t="array" ref="G2064">IF(LineærRegression_Valg[[#This Row],[Indenfor range]],IF(LineærRegression_Valg[[#This Row],[Intet overlap]],INDEX(DataTitel_liste,LineærRegression_Valg[[#This Row],[Uafhængig variabel ID]]),INDEX(DataTitel_liste,IF(LineærRegression_Valg[[#This Row],[Afhængig variabel ID]]=1,2,1))),$B$7)</f>
        <v>Eksempel 2 (interval)</v>
      </c>
      <c r="H2064" s="171">
        <f>_xlfn.AGGREGATE(2,5,LineærRegression_Valg[[#This Row],[Tabel ID]])</f>
        <v>1</v>
      </c>
    </row>
    <row r="2065" spans="1:8" x14ac:dyDescent="0.2">
      <c r="A2065">
        <f>ROW(LineærRegression_Valg[[#This Row],[Tabel ID]])-ROW(LineærRegression_Valg[[#Headers],[Tabel ID]])</f>
        <v>2055</v>
      </c>
      <c r="B2065" s="171">
        <f>ROUNDDOWN((LineærRegression_Valg[[#This Row],[Tabel ID]]-1)/$B$5,0)+1</f>
        <v>514</v>
      </c>
      <c r="C2065" s="171">
        <f t="shared" si="32"/>
        <v>3</v>
      </c>
      <c r="D2065" s="171" t="b">
        <f>LineærRegression_Valg[[#This Row],[Afhængig variabel ID]]&lt;&gt;LineærRegression_Valg[[#This Row],[Uafhængig variabel ID]]</f>
        <v>1</v>
      </c>
      <c r="E2065" s="171" t="b">
        <f>LineærRegression_Valg[[#This Row],[Afhængig variabel ID]]&lt;=$B$5</f>
        <v>0</v>
      </c>
      <c r="F2065" t="str" cm="1">
        <f t="array" ref="F2065">IF(LineærRegression_Valg[[#This Row],[Indenfor range]],INDEX(DataTitel_liste,LineærRegression_Valg[[#This Row],[Afhængig variabel ID]]),INDEX(DataTitel_liste,1))</f>
        <v>Eksempel 1 (interval)</v>
      </c>
      <c r="G2065" s="171" t="str" cm="1">
        <f t="array" ref="G2065">IF(LineærRegression_Valg[[#This Row],[Indenfor range]],IF(LineærRegression_Valg[[#This Row],[Intet overlap]],INDEX(DataTitel_liste,LineærRegression_Valg[[#This Row],[Uafhængig variabel ID]]),INDEX(DataTitel_liste,IF(LineærRegression_Valg[[#This Row],[Afhængig variabel ID]]=1,2,1))),$B$7)</f>
        <v>Eksempel 2 (interval)</v>
      </c>
      <c r="H2065" s="171">
        <f>_xlfn.AGGREGATE(2,5,LineærRegression_Valg[[#This Row],[Tabel ID]])</f>
        <v>1</v>
      </c>
    </row>
    <row r="2066" spans="1:8" x14ac:dyDescent="0.2">
      <c r="A2066">
        <f>ROW(LineærRegression_Valg[[#This Row],[Tabel ID]])-ROW(LineærRegression_Valg[[#Headers],[Tabel ID]])</f>
        <v>2056</v>
      </c>
      <c r="B2066" s="171">
        <f>ROUNDDOWN((LineærRegression_Valg[[#This Row],[Tabel ID]]-1)/$B$5,0)+1</f>
        <v>514</v>
      </c>
      <c r="C2066" s="171">
        <f t="shared" si="32"/>
        <v>4</v>
      </c>
      <c r="D2066" s="171" t="b">
        <f>LineærRegression_Valg[[#This Row],[Afhængig variabel ID]]&lt;&gt;LineærRegression_Valg[[#This Row],[Uafhængig variabel ID]]</f>
        <v>1</v>
      </c>
      <c r="E2066" s="171" t="b">
        <f>LineærRegression_Valg[[#This Row],[Afhængig variabel ID]]&lt;=$B$5</f>
        <v>0</v>
      </c>
      <c r="F2066" t="str" cm="1">
        <f t="array" ref="F2066">IF(LineærRegression_Valg[[#This Row],[Indenfor range]],INDEX(DataTitel_liste,LineærRegression_Valg[[#This Row],[Afhængig variabel ID]]),INDEX(DataTitel_liste,1))</f>
        <v>Eksempel 1 (interval)</v>
      </c>
      <c r="G2066" s="171" t="str" cm="1">
        <f t="array" ref="G2066">IF(LineærRegression_Valg[[#This Row],[Indenfor range]],IF(LineærRegression_Valg[[#This Row],[Intet overlap]],INDEX(DataTitel_liste,LineærRegression_Valg[[#This Row],[Uafhængig variabel ID]]),INDEX(DataTitel_liste,IF(LineærRegression_Valg[[#This Row],[Afhængig variabel ID]]=1,2,1))),$B$7)</f>
        <v>Eksempel 2 (interval)</v>
      </c>
      <c r="H2066" s="171">
        <f>_xlfn.AGGREGATE(2,5,LineærRegression_Valg[[#This Row],[Tabel ID]])</f>
        <v>1</v>
      </c>
    </row>
    <row r="2067" spans="1:8" x14ac:dyDescent="0.2">
      <c r="A2067">
        <f>ROW(LineærRegression_Valg[[#This Row],[Tabel ID]])-ROW(LineærRegression_Valg[[#Headers],[Tabel ID]])</f>
        <v>2057</v>
      </c>
      <c r="B2067" s="171">
        <f>ROUNDDOWN((LineærRegression_Valg[[#This Row],[Tabel ID]]-1)/$B$5,0)+1</f>
        <v>515</v>
      </c>
      <c r="C2067" s="171">
        <f t="shared" si="32"/>
        <v>1</v>
      </c>
      <c r="D2067" s="171" t="b">
        <f>LineærRegression_Valg[[#This Row],[Afhængig variabel ID]]&lt;&gt;LineærRegression_Valg[[#This Row],[Uafhængig variabel ID]]</f>
        <v>1</v>
      </c>
      <c r="E2067" s="171" t="b">
        <f>LineærRegression_Valg[[#This Row],[Afhængig variabel ID]]&lt;=$B$5</f>
        <v>0</v>
      </c>
      <c r="F2067" t="str" cm="1">
        <f t="array" ref="F2067">IF(LineærRegression_Valg[[#This Row],[Indenfor range]],INDEX(DataTitel_liste,LineærRegression_Valg[[#This Row],[Afhængig variabel ID]]),INDEX(DataTitel_liste,1))</f>
        <v>Eksempel 1 (interval)</v>
      </c>
      <c r="G2067" s="171" t="str" cm="1">
        <f t="array" ref="G2067">IF(LineærRegression_Valg[[#This Row],[Indenfor range]],IF(LineærRegression_Valg[[#This Row],[Intet overlap]],INDEX(DataTitel_liste,LineærRegression_Valg[[#This Row],[Uafhængig variabel ID]]),INDEX(DataTitel_liste,IF(LineærRegression_Valg[[#This Row],[Afhængig variabel ID]]=1,2,1))),$B$7)</f>
        <v>Eksempel 2 (interval)</v>
      </c>
      <c r="H2067" s="171">
        <f>_xlfn.AGGREGATE(2,5,LineærRegression_Valg[[#This Row],[Tabel ID]])</f>
        <v>1</v>
      </c>
    </row>
    <row r="2068" spans="1:8" x14ac:dyDescent="0.2">
      <c r="A2068">
        <f>ROW(LineærRegression_Valg[[#This Row],[Tabel ID]])-ROW(LineærRegression_Valg[[#Headers],[Tabel ID]])</f>
        <v>2058</v>
      </c>
      <c r="B2068" s="171">
        <f>ROUNDDOWN((LineærRegression_Valg[[#This Row],[Tabel ID]]-1)/$B$5,0)+1</f>
        <v>515</v>
      </c>
      <c r="C2068" s="171">
        <f t="shared" si="32"/>
        <v>2</v>
      </c>
      <c r="D2068" s="171" t="b">
        <f>LineærRegression_Valg[[#This Row],[Afhængig variabel ID]]&lt;&gt;LineærRegression_Valg[[#This Row],[Uafhængig variabel ID]]</f>
        <v>1</v>
      </c>
      <c r="E2068" s="171" t="b">
        <f>LineærRegression_Valg[[#This Row],[Afhængig variabel ID]]&lt;=$B$5</f>
        <v>0</v>
      </c>
      <c r="F2068" t="str" cm="1">
        <f t="array" ref="F2068">IF(LineærRegression_Valg[[#This Row],[Indenfor range]],INDEX(DataTitel_liste,LineærRegression_Valg[[#This Row],[Afhængig variabel ID]]),INDEX(DataTitel_liste,1))</f>
        <v>Eksempel 1 (interval)</v>
      </c>
      <c r="G2068" s="171" t="str" cm="1">
        <f t="array" ref="G2068">IF(LineærRegression_Valg[[#This Row],[Indenfor range]],IF(LineærRegression_Valg[[#This Row],[Intet overlap]],INDEX(DataTitel_liste,LineærRegression_Valg[[#This Row],[Uafhængig variabel ID]]),INDEX(DataTitel_liste,IF(LineærRegression_Valg[[#This Row],[Afhængig variabel ID]]=1,2,1))),$B$7)</f>
        <v>Eksempel 2 (interval)</v>
      </c>
      <c r="H2068" s="171">
        <f>_xlfn.AGGREGATE(2,5,LineærRegression_Valg[[#This Row],[Tabel ID]])</f>
        <v>1</v>
      </c>
    </row>
    <row r="2069" spans="1:8" x14ac:dyDescent="0.2">
      <c r="A2069">
        <f>ROW(LineærRegression_Valg[[#This Row],[Tabel ID]])-ROW(LineærRegression_Valg[[#Headers],[Tabel ID]])</f>
        <v>2059</v>
      </c>
      <c r="B2069" s="171">
        <f>ROUNDDOWN((LineærRegression_Valg[[#This Row],[Tabel ID]]-1)/$B$5,0)+1</f>
        <v>515</v>
      </c>
      <c r="C2069" s="171">
        <f t="shared" si="32"/>
        <v>3</v>
      </c>
      <c r="D2069" s="171" t="b">
        <f>LineærRegression_Valg[[#This Row],[Afhængig variabel ID]]&lt;&gt;LineærRegression_Valg[[#This Row],[Uafhængig variabel ID]]</f>
        <v>1</v>
      </c>
      <c r="E2069" s="171" t="b">
        <f>LineærRegression_Valg[[#This Row],[Afhængig variabel ID]]&lt;=$B$5</f>
        <v>0</v>
      </c>
      <c r="F2069" t="str" cm="1">
        <f t="array" ref="F2069">IF(LineærRegression_Valg[[#This Row],[Indenfor range]],INDEX(DataTitel_liste,LineærRegression_Valg[[#This Row],[Afhængig variabel ID]]),INDEX(DataTitel_liste,1))</f>
        <v>Eksempel 1 (interval)</v>
      </c>
      <c r="G2069" s="171" t="str" cm="1">
        <f t="array" ref="G2069">IF(LineærRegression_Valg[[#This Row],[Indenfor range]],IF(LineærRegression_Valg[[#This Row],[Intet overlap]],INDEX(DataTitel_liste,LineærRegression_Valg[[#This Row],[Uafhængig variabel ID]]),INDEX(DataTitel_liste,IF(LineærRegression_Valg[[#This Row],[Afhængig variabel ID]]=1,2,1))),$B$7)</f>
        <v>Eksempel 2 (interval)</v>
      </c>
      <c r="H2069" s="171">
        <f>_xlfn.AGGREGATE(2,5,LineærRegression_Valg[[#This Row],[Tabel ID]])</f>
        <v>1</v>
      </c>
    </row>
    <row r="2070" spans="1:8" x14ac:dyDescent="0.2">
      <c r="A2070">
        <f>ROW(LineærRegression_Valg[[#This Row],[Tabel ID]])-ROW(LineærRegression_Valg[[#Headers],[Tabel ID]])</f>
        <v>2060</v>
      </c>
      <c r="B2070" s="171">
        <f>ROUNDDOWN((LineærRegression_Valg[[#This Row],[Tabel ID]]-1)/$B$5,0)+1</f>
        <v>515</v>
      </c>
      <c r="C2070" s="171">
        <f t="shared" si="32"/>
        <v>4</v>
      </c>
      <c r="D2070" s="171" t="b">
        <f>LineærRegression_Valg[[#This Row],[Afhængig variabel ID]]&lt;&gt;LineærRegression_Valg[[#This Row],[Uafhængig variabel ID]]</f>
        <v>1</v>
      </c>
      <c r="E2070" s="171" t="b">
        <f>LineærRegression_Valg[[#This Row],[Afhængig variabel ID]]&lt;=$B$5</f>
        <v>0</v>
      </c>
      <c r="F2070" t="str" cm="1">
        <f t="array" ref="F2070">IF(LineærRegression_Valg[[#This Row],[Indenfor range]],INDEX(DataTitel_liste,LineærRegression_Valg[[#This Row],[Afhængig variabel ID]]),INDEX(DataTitel_liste,1))</f>
        <v>Eksempel 1 (interval)</v>
      </c>
      <c r="G2070" s="171" t="str" cm="1">
        <f t="array" ref="G2070">IF(LineærRegression_Valg[[#This Row],[Indenfor range]],IF(LineærRegression_Valg[[#This Row],[Intet overlap]],INDEX(DataTitel_liste,LineærRegression_Valg[[#This Row],[Uafhængig variabel ID]]),INDEX(DataTitel_liste,IF(LineærRegression_Valg[[#This Row],[Afhængig variabel ID]]=1,2,1))),$B$7)</f>
        <v>Eksempel 2 (interval)</v>
      </c>
      <c r="H2070" s="171">
        <f>_xlfn.AGGREGATE(2,5,LineærRegression_Valg[[#This Row],[Tabel ID]])</f>
        <v>1</v>
      </c>
    </row>
    <row r="2071" spans="1:8" x14ac:dyDescent="0.2">
      <c r="A2071">
        <f>ROW(LineærRegression_Valg[[#This Row],[Tabel ID]])-ROW(LineærRegression_Valg[[#Headers],[Tabel ID]])</f>
        <v>2061</v>
      </c>
      <c r="B2071" s="171">
        <f>ROUNDDOWN((LineærRegression_Valg[[#This Row],[Tabel ID]]-1)/$B$5,0)+1</f>
        <v>516</v>
      </c>
      <c r="C2071" s="171">
        <f t="shared" si="32"/>
        <v>1</v>
      </c>
      <c r="D2071" s="171" t="b">
        <f>LineærRegression_Valg[[#This Row],[Afhængig variabel ID]]&lt;&gt;LineærRegression_Valg[[#This Row],[Uafhængig variabel ID]]</f>
        <v>1</v>
      </c>
      <c r="E2071" s="171" t="b">
        <f>LineærRegression_Valg[[#This Row],[Afhængig variabel ID]]&lt;=$B$5</f>
        <v>0</v>
      </c>
      <c r="F2071" t="str" cm="1">
        <f t="array" ref="F2071">IF(LineærRegression_Valg[[#This Row],[Indenfor range]],INDEX(DataTitel_liste,LineærRegression_Valg[[#This Row],[Afhængig variabel ID]]),INDEX(DataTitel_liste,1))</f>
        <v>Eksempel 1 (interval)</v>
      </c>
      <c r="G2071" s="171" t="str" cm="1">
        <f t="array" ref="G2071">IF(LineærRegression_Valg[[#This Row],[Indenfor range]],IF(LineærRegression_Valg[[#This Row],[Intet overlap]],INDEX(DataTitel_liste,LineærRegression_Valg[[#This Row],[Uafhængig variabel ID]]),INDEX(DataTitel_liste,IF(LineærRegression_Valg[[#This Row],[Afhængig variabel ID]]=1,2,1))),$B$7)</f>
        <v>Eksempel 2 (interval)</v>
      </c>
      <c r="H2071" s="171">
        <f>_xlfn.AGGREGATE(2,5,LineærRegression_Valg[[#This Row],[Tabel ID]])</f>
        <v>1</v>
      </c>
    </row>
    <row r="2072" spans="1:8" x14ac:dyDescent="0.2">
      <c r="A2072">
        <f>ROW(LineærRegression_Valg[[#This Row],[Tabel ID]])-ROW(LineærRegression_Valg[[#Headers],[Tabel ID]])</f>
        <v>2062</v>
      </c>
      <c r="B2072" s="171">
        <f>ROUNDDOWN((LineærRegression_Valg[[#This Row],[Tabel ID]]-1)/$B$5,0)+1</f>
        <v>516</v>
      </c>
      <c r="C2072" s="171">
        <f t="shared" si="32"/>
        <v>2</v>
      </c>
      <c r="D2072" s="171" t="b">
        <f>LineærRegression_Valg[[#This Row],[Afhængig variabel ID]]&lt;&gt;LineærRegression_Valg[[#This Row],[Uafhængig variabel ID]]</f>
        <v>1</v>
      </c>
      <c r="E2072" s="171" t="b">
        <f>LineærRegression_Valg[[#This Row],[Afhængig variabel ID]]&lt;=$B$5</f>
        <v>0</v>
      </c>
      <c r="F2072" t="str" cm="1">
        <f t="array" ref="F2072">IF(LineærRegression_Valg[[#This Row],[Indenfor range]],INDEX(DataTitel_liste,LineærRegression_Valg[[#This Row],[Afhængig variabel ID]]),INDEX(DataTitel_liste,1))</f>
        <v>Eksempel 1 (interval)</v>
      </c>
      <c r="G2072" s="171" t="str" cm="1">
        <f t="array" ref="G2072">IF(LineærRegression_Valg[[#This Row],[Indenfor range]],IF(LineærRegression_Valg[[#This Row],[Intet overlap]],INDEX(DataTitel_liste,LineærRegression_Valg[[#This Row],[Uafhængig variabel ID]]),INDEX(DataTitel_liste,IF(LineærRegression_Valg[[#This Row],[Afhængig variabel ID]]=1,2,1))),$B$7)</f>
        <v>Eksempel 2 (interval)</v>
      </c>
      <c r="H2072" s="171">
        <f>_xlfn.AGGREGATE(2,5,LineærRegression_Valg[[#This Row],[Tabel ID]])</f>
        <v>1</v>
      </c>
    </row>
    <row r="2073" spans="1:8" x14ac:dyDescent="0.2">
      <c r="A2073">
        <f>ROW(LineærRegression_Valg[[#This Row],[Tabel ID]])-ROW(LineærRegression_Valg[[#Headers],[Tabel ID]])</f>
        <v>2063</v>
      </c>
      <c r="B2073" s="171">
        <f>ROUNDDOWN((LineærRegression_Valg[[#This Row],[Tabel ID]]-1)/$B$5,0)+1</f>
        <v>516</v>
      </c>
      <c r="C2073" s="171">
        <f t="shared" si="32"/>
        <v>3</v>
      </c>
      <c r="D2073" s="171" t="b">
        <f>LineærRegression_Valg[[#This Row],[Afhængig variabel ID]]&lt;&gt;LineærRegression_Valg[[#This Row],[Uafhængig variabel ID]]</f>
        <v>1</v>
      </c>
      <c r="E2073" s="171" t="b">
        <f>LineærRegression_Valg[[#This Row],[Afhængig variabel ID]]&lt;=$B$5</f>
        <v>0</v>
      </c>
      <c r="F2073" t="str" cm="1">
        <f t="array" ref="F2073">IF(LineærRegression_Valg[[#This Row],[Indenfor range]],INDEX(DataTitel_liste,LineærRegression_Valg[[#This Row],[Afhængig variabel ID]]),INDEX(DataTitel_liste,1))</f>
        <v>Eksempel 1 (interval)</v>
      </c>
      <c r="G2073" s="171" t="str" cm="1">
        <f t="array" ref="G2073">IF(LineærRegression_Valg[[#This Row],[Indenfor range]],IF(LineærRegression_Valg[[#This Row],[Intet overlap]],INDEX(DataTitel_liste,LineærRegression_Valg[[#This Row],[Uafhængig variabel ID]]),INDEX(DataTitel_liste,IF(LineærRegression_Valg[[#This Row],[Afhængig variabel ID]]=1,2,1))),$B$7)</f>
        <v>Eksempel 2 (interval)</v>
      </c>
      <c r="H2073" s="171">
        <f>_xlfn.AGGREGATE(2,5,LineærRegression_Valg[[#This Row],[Tabel ID]])</f>
        <v>1</v>
      </c>
    </row>
    <row r="2074" spans="1:8" x14ac:dyDescent="0.2">
      <c r="A2074">
        <f>ROW(LineærRegression_Valg[[#This Row],[Tabel ID]])-ROW(LineærRegression_Valg[[#Headers],[Tabel ID]])</f>
        <v>2064</v>
      </c>
      <c r="B2074" s="171">
        <f>ROUNDDOWN((LineærRegression_Valg[[#This Row],[Tabel ID]]-1)/$B$5,0)+1</f>
        <v>516</v>
      </c>
      <c r="C2074" s="171">
        <f t="shared" si="32"/>
        <v>4</v>
      </c>
      <c r="D2074" s="171" t="b">
        <f>LineærRegression_Valg[[#This Row],[Afhængig variabel ID]]&lt;&gt;LineærRegression_Valg[[#This Row],[Uafhængig variabel ID]]</f>
        <v>1</v>
      </c>
      <c r="E2074" s="171" t="b">
        <f>LineærRegression_Valg[[#This Row],[Afhængig variabel ID]]&lt;=$B$5</f>
        <v>0</v>
      </c>
      <c r="F2074" t="str" cm="1">
        <f t="array" ref="F2074">IF(LineærRegression_Valg[[#This Row],[Indenfor range]],INDEX(DataTitel_liste,LineærRegression_Valg[[#This Row],[Afhængig variabel ID]]),INDEX(DataTitel_liste,1))</f>
        <v>Eksempel 1 (interval)</v>
      </c>
      <c r="G2074" s="171" t="str" cm="1">
        <f t="array" ref="G2074">IF(LineærRegression_Valg[[#This Row],[Indenfor range]],IF(LineærRegression_Valg[[#This Row],[Intet overlap]],INDEX(DataTitel_liste,LineærRegression_Valg[[#This Row],[Uafhængig variabel ID]]),INDEX(DataTitel_liste,IF(LineærRegression_Valg[[#This Row],[Afhængig variabel ID]]=1,2,1))),$B$7)</f>
        <v>Eksempel 2 (interval)</v>
      </c>
      <c r="H2074" s="171">
        <f>_xlfn.AGGREGATE(2,5,LineærRegression_Valg[[#This Row],[Tabel ID]])</f>
        <v>1</v>
      </c>
    </row>
    <row r="2075" spans="1:8" x14ac:dyDescent="0.2">
      <c r="A2075">
        <f>ROW(LineærRegression_Valg[[#This Row],[Tabel ID]])-ROW(LineærRegression_Valg[[#Headers],[Tabel ID]])</f>
        <v>2065</v>
      </c>
      <c r="B2075" s="171">
        <f>ROUNDDOWN((LineærRegression_Valg[[#This Row],[Tabel ID]]-1)/$B$5,0)+1</f>
        <v>517</v>
      </c>
      <c r="C2075" s="171">
        <f t="shared" si="32"/>
        <v>1</v>
      </c>
      <c r="D2075" s="171" t="b">
        <f>LineærRegression_Valg[[#This Row],[Afhængig variabel ID]]&lt;&gt;LineærRegression_Valg[[#This Row],[Uafhængig variabel ID]]</f>
        <v>1</v>
      </c>
      <c r="E2075" s="171" t="b">
        <f>LineærRegression_Valg[[#This Row],[Afhængig variabel ID]]&lt;=$B$5</f>
        <v>0</v>
      </c>
      <c r="F2075" t="str" cm="1">
        <f t="array" ref="F2075">IF(LineærRegression_Valg[[#This Row],[Indenfor range]],INDEX(DataTitel_liste,LineærRegression_Valg[[#This Row],[Afhængig variabel ID]]),INDEX(DataTitel_liste,1))</f>
        <v>Eksempel 1 (interval)</v>
      </c>
      <c r="G2075" s="171" t="str" cm="1">
        <f t="array" ref="G2075">IF(LineærRegression_Valg[[#This Row],[Indenfor range]],IF(LineærRegression_Valg[[#This Row],[Intet overlap]],INDEX(DataTitel_liste,LineærRegression_Valg[[#This Row],[Uafhængig variabel ID]]),INDEX(DataTitel_liste,IF(LineærRegression_Valg[[#This Row],[Afhængig variabel ID]]=1,2,1))),$B$7)</f>
        <v>Eksempel 2 (interval)</v>
      </c>
      <c r="H2075" s="171">
        <f>_xlfn.AGGREGATE(2,5,LineærRegression_Valg[[#This Row],[Tabel ID]])</f>
        <v>1</v>
      </c>
    </row>
    <row r="2076" spans="1:8" x14ac:dyDescent="0.2">
      <c r="A2076">
        <f>ROW(LineærRegression_Valg[[#This Row],[Tabel ID]])-ROW(LineærRegression_Valg[[#Headers],[Tabel ID]])</f>
        <v>2066</v>
      </c>
      <c r="B2076" s="171">
        <f>ROUNDDOWN((LineærRegression_Valg[[#This Row],[Tabel ID]]-1)/$B$5,0)+1</f>
        <v>517</v>
      </c>
      <c r="C2076" s="171">
        <f t="shared" si="32"/>
        <v>2</v>
      </c>
      <c r="D2076" s="171" t="b">
        <f>LineærRegression_Valg[[#This Row],[Afhængig variabel ID]]&lt;&gt;LineærRegression_Valg[[#This Row],[Uafhængig variabel ID]]</f>
        <v>1</v>
      </c>
      <c r="E2076" s="171" t="b">
        <f>LineærRegression_Valg[[#This Row],[Afhængig variabel ID]]&lt;=$B$5</f>
        <v>0</v>
      </c>
      <c r="F2076" t="str" cm="1">
        <f t="array" ref="F2076">IF(LineærRegression_Valg[[#This Row],[Indenfor range]],INDEX(DataTitel_liste,LineærRegression_Valg[[#This Row],[Afhængig variabel ID]]),INDEX(DataTitel_liste,1))</f>
        <v>Eksempel 1 (interval)</v>
      </c>
      <c r="G2076" s="171" t="str" cm="1">
        <f t="array" ref="G2076">IF(LineærRegression_Valg[[#This Row],[Indenfor range]],IF(LineærRegression_Valg[[#This Row],[Intet overlap]],INDEX(DataTitel_liste,LineærRegression_Valg[[#This Row],[Uafhængig variabel ID]]),INDEX(DataTitel_liste,IF(LineærRegression_Valg[[#This Row],[Afhængig variabel ID]]=1,2,1))),$B$7)</f>
        <v>Eksempel 2 (interval)</v>
      </c>
      <c r="H2076" s="171">
        <f>_xlfn.AGGREGATE(2,5,LineærRegression_Valg[[#This Row],[Tabel ID]])</f>
        <v>1</v>
      </c>
    </row>
    <row r="2077" spans="1:8" x14ac:dyDescent="0.2">
      <c r="A2077">
        <f>ROW(LineærRegression_Valg[[#This Row],[Tabel ID]])-ROW(LineærRegression_Valg[[#Headers],[Tabel ID]])</f>
        <v>2067</v>
      </c>
      <c r="B2077" s="171">
        <f>ROUNDDOWN((LineærRegression_Valg[[#This Row],[Tabel ID]]-1)/$B$5,0)+1</f>
        <v>517</v>
      </c>
      <c r="C2077" s="171">
        <f t="shared" si="32"/>
        <v>3</v>
      </c>
      <c r="D2077" s="171" t="b">
        <f>LineærRegression_Valg[[#This Row],[Afhængig variabel ID]]&lt;&gt;LineærRegression_Valg[[#This Row],[Uafhængig variabel ID]]</f>
        <v>1</v>
      </c>
      <c r="E2077" s="171" t="b">
        <f>LineærRegression_Valg[[#This Row],[Afhængig variabel ID]]&lt;=$B$5</f>
        <v>0</v>
      </c>
      <c r="F2077" t="str" cm="1">
        <f t="array" ref="F2077">IF(LineærRegression_Valg[[#This Row],[Indenfor range]],INDEX(DataTitel_liste,LineærRegression_Valg[[#This Row],[Afhængig variabel ID]]),INDEX(DataTitel_liste,1))</f>
        <v>Eksempel 1 (interval)</v>
      </c>
      <c r="G2077" s="171" t="str" cm="1">
        <f t="array" ref="G2077">IF(LineærRegression_Valg[[#This Row],[Indenfor range]],IF(LineærRegression_Valg[[#This Row],[Intet overlap]],INDEX(DataTitel_liste,LineærRegression_Valg[[#This Row],[Uafhængig variabel ID]]),INDEX(DataTitel_liste,IF(LineærRegression_Valg[[#This Row],[Afhængig variabel ID]]=1,2,1))),$B$7)</f>
        <v>Eksempel 2 (interval)</v>
      </c>
      <c r="H2077" s="171">
        <f>_xlfn.AGGREGATE(2,5,LineærRegression_Valg[[#This Row],[Tabel ID]])</f>
        <v>1</v>
      </c>
    </row>
    <row r="2078" spans="1:8" x14ac:dyDescent="0.2">
      <c r="A2078">
        <f>ROW(LineærRegression_Valg[[#This Row],[Tabel ID]])-ROW(LineærRegression_Valg[[#Headers],[Tabel ID]])</f>
        <v>2068</v>
      </c>
      <c r="B2078" s="171">
        <f>ROUNDDOWN((LineærRegression_Valg[[#This Row],[Tabel ID]]-1)/$B$5,0)+1</f>
        <v>517</v>
      </c>
      <c r="C2078" s="171">
        <f t="shared" si="32"/>
        <v>4</v>
      </c>
      <c r="D2078" s="171" t="b">
        <f>LineærRegression_Valg[[#This Row],[Afhængig variabel ID]]&lt;&gt;LineærRegression_Valg[[#This Row],[Uafhængig variabel ID]]</f>
        <v>1</v>
      </c>
      <c r="E2078" s="171" t="b">
        <f>LineærRegression_Valg[[#This Row],[Afhængig variabel ID]]&lt;=$B$5</f>
        <v>0</v>
      </c>
      <c r="F2078" t="str" cm="1">
        <f t="array" ref="F2078">IF(LineærRegression_Valg[[#This Row],[Indenfor range]],INDEX(DataTitel_liste,LineærRegression_Valg[[#This Row],[Afhængig variabel ID]]),INDEX(DataTitel_liste,1))</f>
        <v>Eksempel 1 (interval)</v>
      </c>
      <c r="G2078" s="171" t="str" cm="1">
        <f t="array" ref="G2078">IF(LineærRegression_Valg[[#This Row],[Indenfor range]],IF(LineærRegression_Valg[[#This Row],[Intet overlap]],INDEX(DataTitel_liste,LineærRegression_Valg[[#This Row],[Uafhængig variabel ID]]),INDEX(DataTitel_liste,IF(LineærRegression_Valg[[#This Row],[Afhængig variabel ID]]=1,2,1))),$B$7)</f>
        <v>Eksempel 2 (interval)</v>
      </c>
      <c r="H2078" s="171">
        <f>_xlfn.AGGREGATE(2,5,LineærRegression_Valg[[#This Row],[Tabel ID]])</f>
        <v>1</v>
      </c>
    </row>
    <row r="2079" spans="1:8" x14ac:dyDescent="0.2">
      <c r="A2079">
        <f>ROW(LineærRegression_Valg[[#This Row],[Tabel ID]])-ROW(LineærRegression_Valg[[#Headers],[Tabel ID]])</f>
        <v>2069</v>
      </c>
      <c r="B2079" s="171">
        <f>ROUNDDOWN((LineærRegression_Valg[[#This Row],[Tabel ID]]-1)/$B$5,0)+1</f>
        <v>518</v>
      </c>
      <c r="C2079" s="171">
        <f t="shared" si="32"/>
        <v>1</v>
      </c>
      <c r="D2079" s="171" t="b">
        <f>LineærRegression_Valg[[#This Row],[Afhængig variabel ID]]&lt;&gt;LineærRegression_Valg[[#This Row],[Uafhængig variabel ID]]</f>
        <v>1</v>
      </c>
      <c r="E2079" s="171" t="b">
        <f>LineærRegression_Valg[[#This Row],[Afhængig variabel ID]]&lt;=$B$5</f>
        <v>0</v>
      </c>
      <c r="F2079" t="str" cm="1">
        <f t="array" ref="F2079">IF(LineærRegression_Valg[[#This Row],[Indenfor range]],INDEX(DataTitel_liste,LineærRegression_Valg[[#This Row],[Afhængig variabel ID]]),INDEX(DataTitel_liste,1))</f>
        <v>Eksempel 1 (interval)</v>
      </c>
      <c r="G2079" s="171" t="str" cm="1">
        <f t="array" ref="G2079">IF(LineærRegression_Valg[[#This Row],[Indenfor range]],IF(LineærRegression_Valg[[#This Row],[Intet overlap]],INDEX(DataTitel_liste,LineærRegression_Valg[[#This Row],[Uafhængig variabel ID]]),INDEX(DataTitel_liste,IF(LineærRegression_Valg[[#This Row],[Afhængig variabel ID]]=1,2,1))),$B$7)</f>
        <v>Eksempel 2 (interval)</v>
      </c>
      <c r="H2079" s="171">
        <f>_xlfn.AGGREGATE(2,5,LineærRegression_Valg[[#This Row],[Tabel ID]])</f>
        <v>1</v>
      </c>
    </row>
    <row r="2080" spans="1:8" x14ac:dyDescent="0.2">
      <c r="A2080">
        <f>ROW(LineærRegression_Valg[[#This Row],[Tabel ID]])-ROW(LineærRegression_Valg[[#Headers],[Tabel ID]])</f>
        <v>2070</v>
      </c>
      <c r="B2080" s="171">
        <f>ROUNDDOWN((LineærRegression_Valg[[#This Row],[Tabel ID]]-1)/$B$5,0)+1</f>
        <v>518</v>
      </c>
      <c r="C2080" s="171">
        <f t="shared" si="32"/>
        <v>2</v>
      </c>
      <c r="D2080" s="171" t="b">
        <f>LineærRegression_Valg[[#This Row],[Afhængig variabel ID]]&lt;&gt;LineærRegression_Valg[[#This Row],[Uafhængig variabel ID]]</f>
        <v>1</v>
      </c>
      <c r="E2080" s="171" t="b">
        <f>LineærRegression_Valg[[#This Row],[Afhængig variabel ID]]&lt;=$B$5</f>
        <v>0</v>
      </c>
      <c r="F2080" t="str" cm="1">
        <f t="array" ref="F2080">IF(LineærRegression_Valg[[#This Row],[Indenfor range]],INDEX(DataTitel_liste,LineærRegression_Valg[[#This Row],[Afhængig variabel ID]]),INDEX(DataTitel_liste,1))</f>
        <v>Eksempel 1 (interval)</v>
      </c>
      <c r="G2080" s="171" t="str" cm="1">
        <f t="array" ref="G2080">IF(LineærRegression_Valg[[#This Row],[Indenfor range]],IF(LineærRegression_Valg[[#This Row],[Intet overlap]],INDEX(DataTitel_liste,LineærRegression_Valg[[#This Row],[Uafhængig variabel ID]]),INDEX(DataTitel_liste,IF(LineærRegression_Valg[[#This Row],[Afhængig variabel ID]]=1,2,1))),$B$7)</f>
        <v>Eksempel 2 (interval)</v>
      </c>
      <c r="H2080" s="171">
        <f>_xlfn.AGGREGATE(2,5,LineærRegression_Valg[[#This Row],[Tabel ID]])</f>
        <v>1</v>
      </c>
    </row>
    <row r="2081" spans="1:8" x14ac:dyDescent="0.2">
      <c r="A2081">
        <f>ROW(LineærRegression_Valg[[#This Row],[Tabel ID]])-ROW(LineærRegression_Valg[[#Headers],[Tabel ID]])</f>
        <v>2071</v>
      </c>
      <c r="B2081" s="171">
        <f>ROUNDDOWN((LineærRegression_Valg[[#This Row],[Tabel ID]]-1)/$B$5,0)+1</f>
        <v>518</v>
      </c>
      <c r="C2081" s="171">
        <f t="shared" si="32"/>
        <v>3</v>
      </c>
      <c r="D2081" s="171" t="b">
        <f>LineærRegression_Valg[[#This Row],[Afhængig variabel ID]]&lt;&gt;LineærRegression_Valg[[#This Row],[Uafhængig variabel ID]]</f>
        <v>1</v>
      </c>
      <c r="E2081" s="171" t="b">
        <f>LineærRegression_Valg[[#This Row],[Afhængig variabel ID]]&lt;=$B$5</f>
        <v>0</v>
      </c>
      <c r="F2081" t="str" cm="1">
        <f t="array" ref="F2081">IF(LineærRegression_Valg[[#This Row],[Indenfor range]],INDEX(DataTitel_liste,LineærRegression_Valg[[#This Row],[Afhængig variabel ID]]),INDEX(DataTitel_liste,1))</f>
        <v>Eksempel 1 (interval)</v>
      </c>
      <c r="G2081" s="171" t="str" cm="1">
        <f t="array" ref="G2081">IF(LineærRegression_Valg[[#This Row],[Indenfor range]],IF(LineærRegression_Valg[[#This Row],[Intet overlap]],INDEX(DataTitel_liste,LineærRegression_Valg[[#This Row],[Uafhængig variabel ID]]),INDEX(DataTitel_liste,IF(LineærRegression_Valg[[#This Row],[Afhængig variabel ID]]=1,2,1))),$B$7)</f>
        <v>Eksempel 2 (interval)</v>
      </c>
      <c r="H2081" s="171">
        <f>_xlfn.AGGREGATE(2,5,LineærRegression_Valg[[#This Row],[Tabel ID]])</f>
        <v>1</v>
      </c>
    </row>
    <row r="2082" spans="1:8" x14ac:dyDescent="0.2">
      <c r="A2082">
        <f>ROW(LineærRegression_Valg[[#This Row],[Tabel ID]])-ROW(LineærRegression_Valg[[#Headers],[Tabel ID]])</f>
        <v>2072</v>
      </c>
      <c r="B2082" s="171">
        <f>ROUNDDOWN((LineærRegression_Valg[[#This Row],[Tabel ID]]-1)/$B$5,0)+1</f>
        <v>518</v>
      </c>
      <c r="C2082" s="171">
        <f t="shared" si="32"/>
        <v>4</v>
      </c>
      <c r="D2082" s="171" t="b">
        <f>LineærRegression_Valg[[#This Row],[Afhængig variabel ID]]&lt;&gt;LineærRegression_Valg[[#This Row],[Uafhængig variabel ID]]</f>
        <v>1</v>
      </c>
      <c r="E2082" s="171" t="b">
        <f>LineærRegression_Valg[[#This Row],[Afhængig variabel ID]]&lt;=$B$5</f>
        <v>0</v>
      </c>
      <c r="F2082" t="str" cm="1">
        <f t="array" ref="F2082">IF(LineærRegression_Valg[[#This Row],[Indenfor range]],INDEX(DataTitel_liste,LineærRegression_Valg[[#This Row],[Afhængig variabel ID]]),INDEX(DataTitel_liste,1))</f>
        <v>Eksempel 1 (interval)</v>
      </c>
      <c r="G2082" s="171" t="str" cm="1">
        <f t="array" ref="G2082">IF(LineærRegression_Valg[[#This Row],[Indenfor range]],IF(LineærRegression_Valg[[#This Row],[Intet overlap]],INDEX(DataTitel_liste,LineærRegression_Valg[[#This Row],[Uafhængig variabel ID]]),INDEX(DataTitel_liste,IF(LineærRegression_Valg[[#This Row],[Afhængig variabel ID]]=1,2,1))),$B$7)</f>
        <v>Eksempel 2 (interval)</v>
      </c>
      <c r="H2082" s="171">
        <f>_xlfn.AGGREGATE(2,5,LineærRegression_Valg[[#This Row],[Tabel ID]])</f>
        <v>1</v>
      </c>
    </row>
    <row r="2083" spans="1:8" x14ac:dyDescent="0.2">
      <c r="A2083">
        <f>ROW(LineærRegression_Valg[[#This Row],[Tabel ID]])-ROW(LineærRegression_Valg[[#Headers],[Tabel ID]])</f>
        <v>2073</v>
      </c>
      <c r="B2083" s="171">
        <f>ROUNDDOWN((LineærRegression_Valg[[#This Row],[Tabel ID]]-1)/$B$5,0)+1</f>
        <v>519</v>
      </c>
      <c r="C2083" s="171">
        <f t="shared" si="32"/>
        <v>1</v>
      </c>
      <c r="D2083" s="171" t="b">
        <f>LineærRegression_Valg[[#This Row],[Afhængig variabel ID]]&lt;&gt;LineærRegression_Valg[[#This Row],[Uafhængig variabel ID]]</f>
        <v>1</v>
      </c>
      <c r="E2083" s="171" t="b">
        <f>LineærRegression_Valg[[#This Row],[Afhængig variabel ID]]&lt;=$B$5</f>
        <v>0</v>
      </c>
      <c r="F2083" t="str" cm="1">
        <f t="array" ref="F2083">IF(LineærRegression_Valg[[#This Row],[Indenfor range]],INDEX(DataTitel_liste,LineærRegression_Valg[[#This Row],[Afhængig variabel ID]]),INDEX(DataTitel_liste,1))</f>
        <v>Eksempel 1 (interval)</v>
      </c>
      <c r="G2083" s="171" t="str" cm="1">
        <f t="array" ref="G2083">IF(LineærRegression_Valg[[#This Row],[Indenfor range]],IF(LineærRegression_Valg[[#This Row],[Intet overlap]],INDEX(DataTitel_liste,LineærRegression_Valg[[#This Row],[Uafhængig variabel ID]]),INDEX(DataTitel_liste,IF(LineærRegression_Valg[[#This Row],[Afhængig variabel ID]]=1,2,1))),$B$7)</f>
        <v>Eksempel 2 (interval)</v>
      </c>
      <c r="H2083" s="171">
        <f>_xlfn.AGGREGATE(2,5,LineærRegression_Valg[[#This Row],[Tabel ID]])</f>
        <v>1</v>
      </c>
    </row>
    <row r="2084" spans="1:8" x14ac:dyDescent="0.2">
      <c r="A2084">
        <f>ROW(LineærRegression_Valg[[#This Row],[Tabel ID]])-ROW(LineærRegression_Valg[[#Headers],[Tabel ID]])</f>
        <v>2074</v>
      </c>
      <c r="B2084" s="171">
        <f>ROUNDDOWN((LineærRegression_Valg[[#This Row],[Tabel ID]]-1)/$B$5,0)+1</f>
        <v>519</v>
      </c>
      <c r="C2084" s="171">
        <f t="shared" si="32"/>
        <v>2</v>
      </c>
      <c r="D2084" s="171" t="b">
        <f>LineærRegression_Valg[[#This Row],[Afhængig variabel ID]]&lt;&gt;LineærRegression_Valg[[#This Row],[Uafhængig variabel ID]]</f>
        <v>1</v>
      </c>
      <c r="E2084" s="171" t="b">
        <f>LineærRegression_Valg[[#This Row],[Afhængig variabel ID]]&lt;=$B$5</f>
        <v>0</v>
      </c>
      <c r="F2084" t="str" cm="1">
        <f t="array" ref="F2084">IF(LineærRegression_Valg[[#This Row],[Indenfor range]],INDEX(DataTitel_liste,LineærRegression_Valg[[#This Row],[Afhængig variabel ID]]),INDEX(DataTitel_liste,1))</f>
        <v>Eksempel 1 (interval)</v>
      </c>
      <c r="G2084" s="171" t="str" cm="1">
        <f t="array" ref="G2084">IF(LineærRegression_Valg[[#This Row],[Indenfor range]],IF(LineærRegression_Valg[[#This Row],[Intet overlap]],INDEX(DataTitel_liste,LineærRegression_Valg[[#This Row],[Uafhængig variabel ID]]),INDEX(DataTitel_liste,IF(LineærRegression_Valg[[#This Row],[Afhængig variabel ID]]=1,2,1))),$B$7)</f>
        <v>Eksempel 2 (interval)</v>
      </c>
      <c r="H2084" s="171">
        <f>_xlfn.AGGREGATE(2,5,LineærRegression_Valg[[#This Row],[Tabel ID]])</f>
        <v>1</v>
      </c>
    </row>
    <row r="2085" spans="1:8" x14ac:dyDescent="0.2">
      <c r="A2085">
        <f>ROW(LineærRegression_Valg[[#This Row],[Tabel ID]])-ROW(LineærRegression_Valg[[#Headers],[Tabel ID]])</f>
        <v>2075</v>
      </c>
      <c r="B2085" s="171">
        <f>ROUNDDOWN((LineærRegression_Valg[[#This Row],[Tabel ID]]-1)/$B$5,0)+1</f>
        <v>519</v>
      </c>
      <c r="C2085" s="171">
        <f t="shared" si="32"/>
        <v>3</v>
      </c>
      <c r="D2085" s="171" t="b">
        <f>LineærRegression_Valg[[#This Row],[Afhængig variabel ID]]&lt;&gt;LineærRegression_Valg[[#This Row],[Uafhængig variabel ID]]</f>
        <v>1</v>
      </c>
      <c r="E2085" s="171" t="b">
        <f>LineærRegression_Valg[[#This Row],[Afhængig variabel ID]]&lt;=$B$5</f>
        <v>0</v>
      </c>
      <c r="F2085" t="str" cm="1">
        <f t="array" ref="F2085">IF(LineærRegression_Valg[[#This Row],[Indenfor range]],INDEX(DataTitel_liste,LineærRegression_Valg[[#This Row],[Afhængig variabel ID]]),INDEX(DataTitel_liste,1))</f>
        <v>Eksempel 1 (interval)</v>
      </c>
      <c r="G2085" s="171" t="str" cm="1">
        <f t="array" ref="G2085">IF(LineærRegression_Valg[[#This Row],[Indenfor range]],IF(LineærRegression_Valg[[#This Row],[Intet overlap]],INDEX(DataTitel_liste,LineærRegression_Valg[[#This Row],[Uafhængig variabel ID]]),INDEX(DataTitel_liste,IF(LineærRegression_Valg[[#This Row],[Afhængig variabel ID]]=1,2,1))),$B$7)</f>
        <v>Eksempel 2 (interval)</v>
      </c>
      <c r="H2085" s="171">
        <f>_xlfn.AGGREGATE(2,5,LineærRegression_Valg[[#This Row],[Tabel ID]])</f>
        <v>1</v>
      </c>
    </row>
    <row r="2086" spans="1:8" x14ac:dyDescent="0.2">
      <c r="A2086">
        <f>ROW(LineærRegression_Valg[[#This Row],[Tabel ID]])-ROW(LineærRegression_Valg[[#Headers],[Tabel ID]])</f>
        <v>2076</v>
      </c>
      <c r="B2086" s="171">
        <f>ROUNDDOWN((LineærRegression_Valg[[#This Row],[Tabel ID]]-1)/$B$5,0)+1</f>
        <v>519</v>
      </c>
      <c r="C2086" s="171">
        <f t="shared" si="32"/>
        <v>4</v>
      </c>
      <c r="D2086" s="171" t="b">
        <f>LineærRegression_Valg[[#This Row],[Afhængig variabel ID]]&lt;&gt;LineærRegression_Valg[[#This Row],[Uafhængig variabel ID]]</f>
        <v>1</v>
      </c>
      <c r="E2086" s="171" t="b">
        <f>LineærRegression_Valg[[#This Row],[Afhængig variabel ID]]&lt;=$B$5</f>
        <v>0</v>
      </c>
      <c r="F2086" t="str" cm="1">
        <f t="array" ref="F2086">IF(LineærRegression_Valg[[#This Row],[Indenfor range]],INDEX(DataTitel_liste,LineærRegression_Valg[[#This Row],[Afhængig variabel ID]]),INDEX(DataTitel_liste,1))</f>
        <v>Eksempel 1 (interval)</v>
      </c>
      <c r="G2086" s="171" t="str" cm="1">
        <f t="array" ref="G2086">IF(LineærRegression_Valg[[#This Row],[Indenfor range]],IF(LineærRegression_Valg[[#This Row],[Intet overlap]],INDEX(DataTitel_liste,LineærRegression_Valg[[#This Row],[Uafhængig variabel ID]]),INDEX(DataTitel_liste,IF(LineærRegression_Valg[[#This Row],[Afhængig variabel ID]]=1,2,1))),$B$7)</f>
        <v>Eksempel 2 (interval)</v>
      </c>
      <c r="H2086" s="171">
        <f>_xlfn.AGGREGATE(2,5,LineærRegression_Valg[[#This Row],[Tabel ID]])</f>
        <v>1</v>
      </c>
    </row>
    <row r="2087" spans="1:8" x14ac:dyDescent="0.2">
      <c r="A2087">
        <f>ROW(LineærRegression_Valg[[#This Row],[Tabel ID]])-ROW(LineærRegression_Valg[[#Headers],[Tabel ID]])</f>
        <v>2077</v>
      </c>
      <c r="B2087" s="171">
        <f>ROUNDDOWN((LineærRegression_Valg[[#This Row],[Tabel ID]]-1)/$B$5,0)+1</f>
        <v>520</v>
      </c>
      <c r="C2087" s="171">
        <f t="shared" si="32"/>
        <v>1</v>
      </c>
      <c r="D2087" s="171" t="b">
        <f>LineærRegression_Valg[[#This Row],[Afhængig variabel ID]]&lt;&gt;LineærRegression_Valg[[#This Row],[Uafhængig variabel ID]]</f>
        <v>1</v>
      </c>
      <c r="E2087" s="171" t="b">
        <f>LineærRegression_Valg[[#This Row],[Afhængig variabel ID]]&lt;=$B$5</f>
        <v>0</v>
      </c>
      <c r="F2087" t="str" cm="1">
        <f t="array" ref="F2087">IF(LineærRegression_Valg[[#This Row],[Indenfor range]],INDEX(DataTitel_liste,LineærRegression_Valg[[#This Row],[Afhængig variabel ID]]),INDEX(DataTitel_liste,1))</f>
        <v>Eksempel 1 (interval)</v>
      </c>
      <c r="G2087" s="171" t="str" cm="1">
        <f t="array" ref="G2087">IF(LineærRegression_Valg[[#This Row],[Indenfor range]],IF(LineærRegression_Valg[[#This Row],[Intet overlap]],INDEX(DataTitel_liste,LineærRegression_Valg[[#This Row],[Uafhængig variabel ID]]),INDEX(DataTitel_liste,IF(LineærRegression_Valg[[#This Row],[Afhængig variabel ID]]=1,2,1))),$B$7)</f>
        <v>Eksempel 2 (interval)</v>
      </c>
      <c r="H2087" s="171">
        <f>_xlfn.AGGREGATE(2,5,LineærRegression_Valg[[#This Row],[Tabel ID]])</f>
        <v>1</v>
      </c>
    </row>
    <row r="2088" spans="1:8" x14ac:dyDescent="0.2">
      <c r="A2088">
        <f>ROW(LineærRegression_Valg[[#This Row],[Tabel ID]])-ROW(LineærRegression_Valg[[#Headers],[Tabel ID]])</f>
        <v>2078</v>
      </c>
      <c r="B2088" s="171">
        <f>ROUNDDOWN((LineærRegression_Valg[[#This Row],[Tabel ID]]-1)/$B$5,0)+1</f>
        <v>520</v>
      </c>
      <c r="C2088" s="171">
        <f t="shared" si="32"/>
        <v>2</v>
      </c>
      <c r="D2088" s="171" t="b">
        <f>LineærRegression_Valg[[#This Row],[Afhængig variabel ID]]&lt;&gt;LineærRegression_Valg[[#This Row],[Uafhængig variabel ID]]</f>
        <v>1</v>
      </c>
      <c r="E2088" s="171" t="b">
        <f>LineærRegression_Valg[[#This Row],[Afhængig variabel ID]]&lt;=$B$5</f>
        <v>0</v>
      </c>
      <c r="F2088" t="str" cm="1">
        <f t="array" ref="F2088">IF(LineærRegression_Valg[[#This Row],[Indenfor range]],INDEX(DataTitel_liste,LineærRegression_Valg[[#This Row],[Afhængig variabel ID]]),INDEX(DataTitel_liste,1))</f>
        <v>Eksempel 1 (interval)</v>
      </c>
      <c r="G2088" s="171" t="str" cm="1">
        <f t="array" ref="G2088">IF(LineærRegression_Valg[[#This Row],[Indenfor range]],IF(LineærRegression_Valg[[#This Row],[Intet overlap]],INDEX(DataTitel_liste,LineærRegression_Valg[[#This Row],[Uafhængig variabel ID]]),INDEX(DataTitel_liste,IF(LineærRegression_Valg[[#This Row],[Afhængig variabel ID]]=1,2,1))),$B$7)</f>
        <v>Eksempel 2 (interval)</v>
      </c>
      <c r="H2088" s="171">
        <f>_xlfn.AGGREGATE(2,5,LineærRegression_Valg[[#This Row],[Tabel ID]])</f>
        <v>1</v>
      </c>
    </row>
    <row r="2089" spans="1:8" x14ac:dyDescent="0.2">
      <c r="A2089">
        <f>ROW(LineærRegression_Valg[[#This Row],[Tabel ID]])-ROW(LineærRegression_Valg[[#Headers],[Tabel ID]])</f>
        <v>2079</v>
      </c>
      <c r="B2089" s="171">
        <f>ROUNDDOWN((LineærRegression_Valg[[#This Row],[Tabel ID]]-1)/$B$5,0)+1</f>
        <v>520</v>
      </c>
      <c r="C2089" s="171">
        <f t="shared" si="32"/>
        <v>3</v>
      </c>
      <c r="D2089" s="171" t="b">
        <f>LineærRegression_Valg[[#This Row],[Afhængig variabel ID]]&lt;&gt;LineærRegression_Valg[[#This Row],[Uafhængig variabel ID]]</f>
        <v>1</v>
      </c>
      <c r="E2089" s="171" t="b">
        <f>LineærRegression_Valg[[#This Row],[Afhængig variabel ID]]&lt;=$B$5</f>
        <v>0</v>
      </c>
      <c r="F2089" t="str" cm="1">
        <f t="array" ref="F2089">IF(LineærRegression_Valg[[#This Row],[Indenfor range]],INDEX(DataTitel_liste,LineærRegression_Valg[[#This Row],[Afhængig variabel ID]]),INDEX(DataTitel_liste,1))</f>
        <v>Eksempel 1 (interval)</v>
      </c>
      <c r="G2089" s="171" t="str" cm="1">
        <f t="array" ref="G2089">IF(LineærRegression_Valg[[#This Row],[Indenfor range]],IF(LineærRegression_Valg[[#This Row],[Intet overlap]],INDEX(DataTitel_liste,LineærRegression_Valg[[#This Row],[Uafhængig variabel ID]]),INDEX(DataTitel_liste,IF(LineærRegression_Valg[[#This Row],[Afhængig variabel ID]]=1,2,1))),$B$7)</f>
        <v>Eksempel 2 (interval)</v>
      </c>
      <c r="H2089" s="171">
        <f>_xlfn.AGGREGATE(2,5,LineærRegression_Valg[[#This Row],[Tabel ID]])</f>
        <v>1</v>
      </c>
    </row>
    <row r="2090" spans="1:8" x14ac:dyDescent="0.2">
      <c r="A2090">
        <f>ROW(LineærRegression_Valg[[#This Row],[Tabel ID]])-ROW(LineærRegression_Valg[[#Headers],[Tabel ID]])</f>
        <v>2080</v>
      </c>
      <c r="B2090" s="171">
        <f>ROUNDDOWN((LineærRegression_Valg[[#This Row],[Tabel ID]]-1)/$B$5,0)+1</f>
        <v>520</v>
      </c>
      <c r="C2090" s="171">
        <f t="shared" si="32"/>
        <v>4</v>
      </c>
      <c r="D2090" s="171" t="b">
        <f>LineærRegression_Valg[[#This Row],[Afhængig variabel ID]]&lt;&gt;LineærRegression_Valg[[#This Row],[Uafhængig variabel ID]]</f>
        <v>1</v>
      </c>
      <c r="E2090" s="171" t="b">
        <f>LineærRegression_Valg[[#This Row],[Afhængig variabel ID]]&lt;=$B$5</f>
        <v>0</v>
      </c>
      <c r="F2090" t="str" cm="1">
        <f t="array" ref="F2090">IF(LineærRegression_Valg[[#This Row],[Indenfor range]],INDEX(DataTitel_liste,LineærRegression_Valg[[#This Row],[Afhængig variabel ID]]),INDEX(DataTitel_liste,1))</f>
        <v>Eksempel 1 (interval)</v>
      </c>
      <c r="G2090" s="171" t="str" cm="1">
        <f t="array" ref="G2090">IF(LineærRegression_Valg[[#This Row],[Indenfor range]],IF(LineærRegression_Valg[[#This Row],[Intet overlap]],INDEX(DataTitel_liste,LineærRegression_Valg[[#This Row],[Uafhængig variabel ID]]),INDEX(DataTitel_liste,IF(LineærRegression_Valg[[#This Row],[Afhængig variabel ID]]=1,2,1))),$B$7)</f>
        <v>Eksempel 2 (interval)</v>
      </c>
      <c r="H2090" s="171">
        <f>_xlfn.AGGREGATE(2,5,LineærRegression_Valg[[#This Row],[Tabel ID]])</f>
        <v>1</v>
      </c>
    </row>
    <row r="2091" spans="1:8" x14ac:dyDescent="0.2">
      <c r="A2091">
        <f>ROW(LineærRegression_Valg[[#This Row],[Tabel ID]])-ROW(LineærRegression_Valg[[#Headers],[Tabel ID]])</f>
        <v>2081</v>
      </c>
      <c r="B2091" s="171">
        <f>ROUNDDOWN((LineærRegression_Valg[[#This Row],[Tabel ID]]-1)/$B$5,0)+1</f>
        <v>521</v>
      </c>
      <c r="C2091" s="171">
        <f t="shared" si="32"/>
        <v>1</v>
      </c>
      <c r="D2091" s="171" t="b">
        <f>LineærRegression_Valg[[#This Row],[Afhængig variabel ID]]&lt;&gt;LineærRegression_Valg[[#This Row],[Uafhængig variabel ID]]</f>
        <v>1</v>
      </c>
      <c r="E2091" s="171" t="b">
        <f>LineærRegression_Valg[[#This Row],[Afhængig variabel ID]]&lt;=$B$5</f>
        <v>0</v>
      </c>
      <c r="F2091" t="str" cm="1">
        <f t="array" ref="F2091">IF(LineærRegression_Valg[[#This Row],[Indenfor range]],INDEX(DataTitel_liste,LineærRegression_Valg[[#This Row],[Afhængig variabel ID]]),INDEX(DataTitel_liste,1))</f>
        <v>Eksempel 1 (interval)</v>
      </c>
      <c r="G2091" s="171" t="str" cm="1">
        <f t="array" ref="G2091">IF(LineærRegression_Valg[[#This Row],[Indenfor range]],IF(LineærRegression_Valg[[#This Row],[Intet overlap]],INDEX(DataTitel_liste,LineærRegression_Valg[[#This Row],[Uafhængig variabel ID]]),INDEX(DataTitel_liste,IF(LineærRegression_Valg[[#This Row],[Afhængig variabel ID]]=1,2,1))),$B$7)</f>
        <v>Eksempel 2 (interval)</v>
      </c>
      <c r="H2091" s="171">
        <f>_xlfn.AGGREGATE(2,5,LineærRegression_Valg[[#This Row],[Tabel ID]])</f>
        <v>1</v>
      </c>
    </row>
    <row r="2092" spans="1:8" x14ac:dyDescent="0.2">
      <c r="A2092">
        <f>ROW(LineærRegression_Valg[[#This Row],[Tabel ID]])-ROW(LineærRegression_Valg[[#Headers],[Tabel ID]])</f>
        <v>2082</v>
      </c>
      <c r="B2092" s="171">
        <f>ROUNDDOWN((LineærRegression_Valg[[#This Row],[Tabel ID]]-1)/$B$5,0)+1</f>
        <v>521</v>
      </c>
      <c r="C2092" s="171">
        <f t="shared" si="32"/>
        <v>2</v>
      </c>
      <c r="D2092" s="171" t="b">
        <f>LineærRegression_Valg[[#This Row],[Afhængig variabel ID]]&lt;&gt;LineærRegression_Valg[[#This Row],[Uafhængig variabel ID]]</f>
        <v>1</v>
      </c>
      <c r="E2092" s="171" t="b">
        <f>LineærRegression_Valg[[#This Row],[Afhængig variabel ID]]&lt;=$B$5</f>
        <v>0</v>
      </c>
      <c r="F2092" t="str" cm="1">
        <f t="array" ref="F2092">IF(LineærRegression_Valg[[#This Row],[Indenfor range]],INDEX(DataTitel_liste,LineærRegression_Valg[[#This Row],[Afhængig variabel ID]]),INDEX(DataTitel_liste,1))</f>
        <v>Eksempel 1 (interval)</v>
      </c>
      <c r="G2092" s="171" t="str" cm="1">
        <f t="array" ref="G2092">IF(LineærRegression_Valg[[#This Row],[Indenfor range]],IF(LineærRegression_Valg[[#This Row],[Intet overlap]],INDEX(DataTitel_liste,LineærRegression_Valg[[#This Row],[Uafhængig variabel ID]]),INDEX(DataTitel_liste,IF(LineærRegression_Valg[[#This Row],[Afhængig variabel ID]]=1,2,1))),$B$7)</f>
        <v>Eksempel 2 (interval)</v>
      </c>
      <c r="H2092" s="171">
        <f>_xlfn.AGGREGATE(2,5,LineærRegression_Valg[[#This Row],[Tabel ID]])</f>
        <v>1</v>
      </c>
    </row>
    <row r="2093" spans="1:8" x14ac:dyDescent="0.2">
      <c r="A2093">
        <f>ROW(LineærRegression_Valg[[#This Row],[Tabel ID]])-ROW(LineærRegression_Valg[[#Headers],[Tabel ID]])</f>
        <v>2083</v>
      </c>
      <c r="B2093" s="171">
        <f>ROUNDDOWN((LineærRegression_Valg[[#This Row],[Tabel ID]]-1)/$B$5,0)+1</f>
        <v>521</v>
      </c>
      <c r="C2093" s="171">
        <f t="shared" si="32"/>
        <v>3</v>
      </c>
      <c r="D2093" s="171" t="b">
        <f>LineærRegression_Valg[[#This Row],[Afhængig variabel ID]]&lt;&gt;LineærRegression_Valg[[#This Row],[Uafhængig variabel ID]]</f>
        <v>1</v>
      </c>
      <c r="E2093" s="171" t="b">
        <f>LineærRegression_Valg[[#This Row],[Afhængig variabel ID]]&lt;=$B$5</f>
        <v>0</v>
      </c>
      <c r="F2093" t="str" cm="1">
        <f t="array" ref="F2093">IF(LineærRegression_Valg[[#This Row],[Indenfor range]],INDEX(DataTitel_liste,LineærRegression_Valg[[#This Row],[Afhængig variabel ID]]),INDEX(DataTitel_liste,1))</f>
        <v>Eksempel 1 (interval)</v>
      </c>
      <c r="G2093" s="171" t="str" cm="1">
        <f t="array" ref="G2093">IF(LineærRegression_Valg[[#This Row],[Indenfor range]],IF(LineærRegression_Valg[[#This Row],[Intet overlap]],INDEX(DataTitel_liste,LineærRegression_Valg[[#This Row],[Uafhængig variabel ID]]),INDEX(DataTitel_liste,IF(LineærRegression_Valg[[#This Row],[Afhængig variabel ID]]=1,2,1))),$B$7)</f>
        <v>Eksempel 2 (interval)</v>
      </c>
      <c r="H2093" s="171">
        <f>_xlfn.AGGREGATE(2,5,LineærRegression_Valg[[#This Row],[Tabel ID]])</f>
        <v>1</v>
      </c>
    </row>
    <row r="2094" spans="1:8" x14ac:dyDescent="0.2">
      <c r="A2094">
        <f>ROW(LineærRegression_Valg[[#This Row],[Tabel ID]])-ROW(LineærRegression_Valg[[#Headers],[Tabel ID]])</f>
        <v>2084</v>
      </c>
      <c r="B2094" s="171">
        <f>ROUNDDOWN((LineærRegression_Valg[[#This Row],[Tabel ID]]-1)/$B$5,0)+1</f>
        <v>521</v>
      </c>
      <c r="C2094" s="171">
        <f t="shared" si="32"/>
        <v>4</v>
      </c>
      <c r="D2094" s="171" t="b">
        <f>LineærRegression_Valg[[#This Row],[Afhængig variabel ID]]&lt;&gt;LineærRegression_Valg[[#This Row],[Uafhængig variabel ID]]</f>
        <v>1</v>
      </c>
      <c r="E2094" s="171" t="b">
        <f>LineærRegression_Valg[[#This Row],[Afhængig variabel ID]]&lt;=$B$5</f>
        <v>0</v>
      </c>
      <c r="F2094" t="str" cm="1">
        <f t="array" ref="F2094">IF(LineærRegression_Valg[[#This Row],[Indenfor range]],INDEX(DataTitel_liste,LineærRegression_Valg[[#This Row],[Afhængig variabel ID]]),INDEX(DataTitel_liste,1))</f>
        <v>Eksempel 1 (interval)</v>
      </c>
      <c r="G2094" s="171" t="str" cm="1">
        <f t="array" ref="G2094">IF(LineærRegression_Valg[[#This Row],[Indenfor range]],IF(LineærRegression_Valg[[#This Row],[Intet overlap]],INDEX(DataTitel_liste,LineærRegression_Valg[[#This Row],[Uafhængig variabel ID]]),INDEX(DataTitel_liste,IF(LineærRegression_Valg[[#This Row],[Afhængig variabel ID]]=1,2,1))),$B$7)</f>
        <v>Eksempel 2 (interval)</v>
      </c>
      <c r="H2094" s="171">
        <f>_xlfn.AGGREGATE(2,5,LineærRegression_Valg[[#This Row],[Tabel ID]])</f>
        <v>1</v>
      </c>
    </row>
    <row r="2095" spans="1:8" x14ac:dyDescent="0.2">
      <c r="A2095">
        <f>ROW(LineærRegression_Valg[[#This Row],[Tabel ID]])-ROW(LineærRegression_Valg[[#Headers],[Tabel ID]])</f>
        <v>2085</v>
      </c>
      <c r="B2095" s="171">
        <f>ROUNDDOWN((LineærRegression_Valg[[#This Row],[Tabel ID]]-1)/$B$5,0)+1</f>
        <v>522</v>
      </c>
      <c r="C2095" s="171">
        <f t="shared" si="32"/>
        <v>1</v>
      </c>
      <c r="D2095" s="171" t="b">
        <f>LineærRegression_Valg[[#This Row],[Afhængig variabel ID]]&lt;&gt;LineærRegression_Valg[[#This Row],[Uafhængig variabel ID]]</f>
        <v>1</v>
      </c>
      <c r="E2095" s="171" t="b">
        <f>LineærRegression_Valg[[#This Row],[Afhængig variabel ID]]&lt;=$B$5</f>
        <v>0</v>
      </c>
      <c r="F2095" t="str" cm="1">
        <f t="array" ref="F2095">IF(LineærRegression_Valg[[#This Row],[Indenfor range]],INDEX(DataTitel_liste,LineærRegression_Valg[[#This Row],[Afhængig variabel ID]]),INDEX(DataTitel_liste,1))</f>
        <v>Eksempel 1 (interval)</v>
      </c>
      <c r="G2095" s="171" t="str" cm="1">
        <f t="array" ref="G2095">IF(LineærRegression_Valg[[#This Row],[Indenfor range]],IF(LineærRegression_Valg[[#This Row],[Intet overlap]],INDEX(DataTitel_liste,LineærRegression_Valg[[#This Row],[Uafhængig variabel ID]]),INDEX(DataTitel_liste,IF(LineærRegression_Valg[[#This Row],[Afhængig variabel ID]]=1,2,1))),$B$7)</f>
        <v>Eksempel 2 (interval)</v>
      </c>
      <c r="H2095" s="171">
        <f>_xlfn.AGGREGATE(2,5,LineærRegression_Valg[[#This Row],[Tabel ID]])</f>
        <v>1</v>
      </c>
    </row>
    <row r="2096" spans="1:8" x14ac:dyDescent="0.2">
      <c r="A2096">
        <f>ROW(LineærRegression_Valg[[#This Row],[Tabel ID]])-ROW(LineærRegression_Valg[[#Headers],[Tabel ID]])</f>
        <v>2086</v>
      </c>
      <c r="B2096" s="171">
        <f>ROUNDDOWN((LineærRegression_Valg[[#This Row],[Tabel ID]]-1)/$B$5,0)+1</f>
        <v>522</v>
      </c>
      <c r="C2096" s="171">
        <f t="shared" si="32"/>
        <v>2</v>
      </c>
      <c r="D2096" s="171" t="b">
        <f>LineærRegression_Valg[[#This Row],[Afhængig variabel ID]]&lt;&gt;LineærRegression_Valg[[#This Row],[Uafhængig variabel ID]]</f>
        <v>1</v>
      </c>
      <c r="E2096" s="171" t="b">
        <f>LineærRegression_Valg[[#This Row],[Afhængig variabel ID]]&lt;=$B$5</f>
        <v>0</v>
      </c>
      <c r="F2096" t="str" cm="1">
        <f t="array" ref="F2096">IF(LineærRegression_Valg[[#This Row],[Indenfor range]],INDEX(DataTitel_liste,LineærRegression_Valg[[#This Row],[Afhængig variabel ID]]),INDEX(DataTitel_liste,1))</f>
        <v>Eksempel 1 (interval)</v>
      </c>
      <c r="G2096" s="171" t="str" cm="1">
        <f t="array" ref="G2096">IF(LineærRegression_Valg[[#This Row],[Indenfor range]],IF(LineærRegression_Valg[[#This Row],[Intet overlap]],INDEX(DataTitel_liste,LineærRegression_Valg[[#This Row],[Uafhængig variabel ID]]),INDEX(DataTitel_liste,IF(LineærRegression_Valg[[#This Row],[Afhængig variabel ID]]=1,2,1))),$B$7)</f>
        <v>Eksempel 2 (interval)</v>
      </c>
      <c r="H2096" s="171">
        <f>_xlfn.AGGREGATE(2,5,LineærRegression_Valg[[#This Row],[Tabel ID]])</f>
        <v>1</v>
      </c>
    </row>
    <row r="2097" spans="1:8" x14ac:dyDescent="0.2">
      <c r="A2097">
        <f>ROW(LineærRegression_Valg[[#This Row],[Tabel ID]])-ROW(LineærRegression_Valg[[#Headers],[Tabel ID]])</f>
        <v>2087</v>
      </c>
      <c r="B2097" s="171">
        <f>ROUNDDOWN((LineærRegression_Valg[[#This Row],[Tabel ID]]-1)/$B$5,0)+1</f>
        <v>522</v>
      </c>
      <c r="C2097" s="171">
        <f t="shared" si="32"/>
        <v>3</v>
      </c>
      <c r="D2097" s="171" t="b">
        <f>LineærRegression_Valg[[#This Row],[Afhængig variabel ID]]&lt;&gt;LineærRegression_Valg[[#This Row],[Uafhængig variabel ID]]</f>
        <v>1</v>
      </c>
      <c r="E2097" s="171" t="b">
        <f>LineærRegression_Valg[[#This Row],[Afhængig variabel ID]]&lt;=$B$5</f>
        <v>0</v>
      </c>
      <c r="F2097" t="str" cm="1">
        <f t="array" ref="F2097">IF(LineærRegression_Valg[[#This Row],[Indenfor range]],INDEX(DataTitel_liste,LineærRegression_Valg[[#This Row],[Afhængig variabel ID]]),INDEX(DataTitel_liste,1))</f>
        <v>Eksempel 1 (interval)</v>
      </c>
      <c r="G2097" s="171" t="str" cm="1">
        <f t="array" ref="G2097">IF(LineærRegression_Valg[[#This Row],[Indenfor range]],IF(LineærRegression_Valg[[#This Row],[Intet overlap]],INDEX(DataTitel_liste,LineærRegression_Valg[[#This Row],[Uafhængig variabel ID]]),INDEX(DataTitel_liste,IF(LineærRegression_Valg[[#This Row],[Afhængig variabel ID]]=1,2,1))),$B$7)</f>
        <v>Eksempel 2 (interval)</v>
      </c>
      <c r="H2097" s="171">
        <f>_xlfn.AGGREGATE(2,5,LineærRegression_Valg[[#This Row],[Tabel ID]])</f>
        <v>1</v>
      </c>
    </row>
    <row r="2098" spans="1:8" x14ac:dyDescent="0.2">
      <c r="A2098">
        <f>ROW(LineærRegression_Valg[[#This Row],[Tabel ID]])-ROW(LineærRegression_Valg[[#Headers],[Tabel ID]])</f>
        <v>2088</v>
      </c>
      <c r="B2098" s="171">
        <f>ROUNDDOWN((LineærRegression_Valg[[#This Row],[Tabel ID]]-1)/$B$5,0)+1</f>
        <v>522</v>
      </c>
      <c r="C2098" s="171">
        <f t="shared" si="32"/>
        <v>4</v>
      </c>
      <c r="D2098" s="171" t="b">
        <f>LineærRegression_Valg[[#This Row],[Afhængig variabel ID]]&lt;&gt;LineærRegression_Valg[[#This Row],[Uafhængig variabel ID]]</f>
        <v>1</v>
      </c>
      <c r="E2098" s="171" t="b">
        <f>LineærRegression_Valg[[#This Row],[Afhængig variabel ID]]&lt;=$B$5</f>
        <v>0</v>
      </c>
      <c r="F2098" t="str" cm="1">
        <f t="array" ref="F2098">IF(LineærRegression_Valg[[#This Row],[Indenfor range]],INDEX(DataTitel_liste,LineærRegression_Valg[[#This Row],[Afhængig variabel ID]]),INDEX(DataTitel_liste,1))</f>
        <v>Eksempel 1 (interval)</v>
      </c>
      <c r="G2098" s="171" t="str" cm="1">
        <f t="array" ref="G2098">IF(LineærRegression_Valg[[#This Row],[Indenfor range]],IF(LineærRegression_Valg[[#This Row],[Intet overlap]],INDEX(DataTitel_liste,LineærRegression_Valg[[#This Row],[Uafhængig variabel ID]]),INDEX(DataTitel_liste,IF(LineærRegression_Valg[[#This Row],[Afhængig variabel ID]]=1,2,1))),$B$7)</f>
        <v>Eksempel 2 (interval)</v>
      </c>
      <c r="H2098" s="171">
        <f>_xlfn.AGGREGATE(2,5,LineærRegression_Valg[[#This Row],[Tabel ID]])</f>
        <v>1</v>
      </c>
    </row>
    <row r="2099" spans="1:8" x14ac:dyDescent="0.2">
      <c r="A2099">
        <f>ROW(LineærRegression_Valg[[#This Row],[Tabel ID]])-ROW(LineærRegression_Valg[[#Headers],[Tabel ID]])</f>
        <v>2089</v>
      </c>
      <c r="B2099" s="171">
        <f>ROUNDDOWN((LineærRegression_Valg[[#This Row],[Tabel ID]]-1)/$B$5,0)+1</f>
        <v>523</v>
      </c>
      <c r="C2099" s="171">
        <f t="shared" si="32"/>
        <v>1</v>
      </c>
      <c r="D2099" s="171" t="b">
        <f>LineærRegression_Valg[[#This Row],[Afhængig variabel ID]]&lt;&gt;LineærRegression_Valg[[#This Row],[Uafhængig variabel ID]]</f>
        <v>1</v>
      </c>
      <c r="E2099" s="171" t="b">
        <f>LineærRegression_Valg[[#This Row],[Afhængig variabel ID]]&lt;=$B$5</f>
        <v>0</v>
      </c>
      <c r="F2099" t="str" cm="1">
        <f t="array" ref="F2099">IF(LineærRegression_Valg[[#This Row],[Indenfor range]],INDEX(DataTitel_liste,LineærRegression_Valg[[#This Row],[Afhængig variabel ID]]),INDEX(DataTitel_liste,1))</f>
        <v>Eksempel 1 (interval)</v>
      </c>
      <c r="G2099" s="171" t="str" cm="1">
        <f t="array" ref="G2099">IF(LineærRegression_Valg[[#This Row],[Indenfor range]],IF(LineærRegression_Valg[[#This Row],[Intet overlap]],INDEX(DataTitel_liste,LineærRegression_Valg[[#This Row],[Uafhængig variabel ID]]),INDEX(DataTitel_liste,IF(LineærRegression_Valg[[#This Row],[Afhængig variabel ID]]=1,2,1))),$B$7)</f>
        <v>Eksempel 2 (interval)</v>
      </c>
      <c r="H2099" s="171">
        <f>_xlfn.AGGREGATE(2,5,LineærRegression_Valg[[#This Row],[Tabel ID]])</f>
        <v>1</v>
      </c>
    </row>
    <row r="2100" spans="1:8" x14ac:dyDescent="0.2">
      <c r="A2100">
        <f>ROW(LineærRegression_Valg[[#This Row],[Tabel ID]])-ROW(LineærRegression_Valg[[#Headers],[Tabel ID]])</f>
        <v>2090</v>
      </c>
      <c r="B2100" s="171">
        <f>ROUNDDOWN((LineærRegression_Valg[[#This Row],[Tabel ID]]-1)/$B$5,0)+1</f>
        <v>523</v>
      </c>
      <c r="C2100" s="171">
        <f t="shared" si="32"/>
        <v>2</v>
      </c>
      <c r="D2100" s="171" t="b">
        <f>LineærRegression_Valg[[#This Row],[Afhængig variabel ID]]&lt;&gt;LineærRegression_Valg[[#This Row],[Uafhængig variabel ID]]</f>
        <v>1</v>
      </c>
      <c r="E2100" s="171" t="b">
        <f>LineærRegression_Valg[[#This Row],[Afhængig variabel ID]]&lt;=$B$5</f>
        <v>0</v>
      </c>
      <c r="F2100" t="str" cm="1">
        <f t="array" ref="F2100">IF(LineærRegression_Valg[[#This Row],[Indenfor range]],INDEX(DataTitel_liste,LineærRegression_Valg[[#This Row],[Afhængig variabel ID]]),INDEX(DataTitel_liste,1))</f>
        <v>Eksempel 1 (interval)</v>
      </c>
      <c r="G2100" s="171" t="str" cm="1">
        <f t="array" ref="G2100">IF(LineærRegression_Valg[[#This Row],[Indenfor range]],IF(LineærRegression_Valg[[#This Row],[Intet overlap]],INDEX(DataTitel_liste,LineærRegression_Valg[[#This Row],[Uafhængig variabel ID]]),INDEX(DataTitel_liste,IF(LineærRegression_Valg[[#This Row],[Afhængig variabel ID]]=1,2,1))),$B$7)</f>
        <v>Eksempel 2 (interval)</v>
      </c>
      <c r="H2100" s="171">
        <f>_xlfn.AGGREGATE(2,5,LineærRegression_Valg[[#This Row],[Tabel ID]])</f>
        <v>1</v>
      </c>
    </row>
    <row r="2101" spans="1:8" x14ac:dyDescent="0.2">
      <c r="A2101">
        <f>ROW(LineærRegression_Valg[[#This Row],[Tabel ID]])-ROW(LineærRegression_Valg[[#Headers],[Tabel ID]])</f>
        <v>2091</v>
      </c>
      <c r="B2101" s="171">
        <f>ROUNDDOWN((LineærRegression_Valg[[#This Row],[Tabel ID]]-1)/$B$5,0)+1</f>
        <v>523</v>
      </c>
      <c r="C2101" s="171">
        <f t="shared" si="32"/>
        <v>3</v>
      </c>
      <c r="D2101" s="171" t="b">
        <f>LineærRegression_Valg[[#This Row],[Afhængig variabel ID]]&lt;&gt;LineærRegression_Valg[[#This Row],[Uafhængig variabel ID]]</f>
        <v>1</v>
      </c>
      <c r="E2101" s="171" t="b">
        <f>LineærRegression_Valg[[#This Row],[Afhængig variabel ID]]&lt;=$B$5</f>
        <v>0</v>
      </c>
      <c r="F2101" t="str" cm="1">
        <f t="array" ref="F2101">IF(LineærRegression_Valg[[#This Row],[Indenfor range]],INDEX(DataTitel_liste,LineærRegression_Valg[[#This Row],[Afhængig variabel ID]]),INDEX(DataTitel_liste,1))</f>
        <v>Eksempel 1 (interval)</v>
      </c>
      <c r="G2101" s="171" t="str" cm="1">
        <f t="array" ref="G2101">IF(LineærRegression_Valg[[#This Row],[Indenfor range]],IF(LineærRegression_Valg[[#This Row],[Intet overlap]],INDEX(DataTitel_liste,LineærRegression_Valg[[#This Row],[Uafhængig variabel ID]]),INDEX(DataTitel_liste,IF(LineærRegression_Valg[[#This Row],[Afhængig variabel ID]]=1,2,1))),$B$7)</f>
        <v>Eksempel 2 (interval)</v>
      </c>
      <c r="H2101" s="171">
        <f>_xlfn.AGGREGATE(2,5,LineærRegression_Valg[[#This Row],[Tabel ID]])</f>
        <v>1</v>
      </c>
    </row>
    <row r="2102" spans="1:8" x14ac:dyDescent="0.2">
      <c r="A2102">
        <f>ROW(LineærRegression_Valg[[#This Row],[Tabel ID]])-ROW(LineærRegression_Valg[[#Headers],[Tabel ID]])</f>
        <v>2092</v>
      </c>
      <c r="B2102" s="171">
        <f>ROUNDDOWN((LineærRegression_Valg[[#This Row],[Tabel ID]]-1)/$B$5,0)+1</f>
        <v>523</v>
      </c>
      <c r="C2102" s="171">
        <f t="shared" si="32"/>
        <v>4</v>
      </c>
      <c r="D2102" s="171" t="b">
        <f>LineærRegression_Valg[[#This Row],[Afhængig variabel ID]]&lt;&gt;LineærRegression_Valg[[#This Row],[Uafhængig variabel ID]]</f>
        <v>1</v>
      </c>
      <c r="E2102" s="171" t="b">
        <f>LineærRegression_Valg[[#This Row],[Afhængig variabel ID]]&lt;=$B$5</f>
        <v>0</v>
      </c>
      <c r="F2102" t="str" cm="1">
        <f t="array" ref="F2102">IF(LineærRegression_Valg[[#This Row],[Indenfor range]],INDEX(DataTitel_liste,LineærRegression_Valg[[#This Row],[Afhængig variabel ID]]),INDEX(DataTitel_liste,1))</f>
        <v>Eksempel 1 (interval)</v>
      </c>
      <c r="G2102" s="171" t="str" cm="1">
        <f t="array" ref="G2102">IF(LineærRegression_Valg[[#This Row],[Indenfor range]],IF(LineærRegression_Valg[[#This Row],[Intet overlap]],INDEX(DataTitel_liste,LineærRegression_Valg[[#This Row],[Uafhængig variabel ID]]),INDEX(DataTitel_liste,IF(LineærRegression_Valg[[#This Row],[Afhængig variabel ID]]=1,2,1))),$B$7)</f>
        <v>Eksempel 2 (interval)</v>
      </c>
      <c r="H2102" s="171">
        <f>_xlfn.AGGREGATE(2,5,LineærRegression_Valg[[#This Row],[Tabel ID]])</f>
        <v>1</v>
      </c>
    </row>
    <row r="2103" spans="1:8" x14ac:dyDescent="0.2">
      <c r="A2103">
        <f>ROW(LineærRegression_Valg[[#This Row],[Tabel ID]])-ROW(LineærRegression_Valg[[#Headers],[Tabel ID]])</f>
        <v>2093</v>
      </c>
      <c r="B2103" s="171">
        <f>ROUNDDOWN((LineærRegression_Valg[[#This Row],[Tabel ID]]-1)/$B$5,0)+1</f>
        <v>524</v>
      </c>
      <c r="C2103" s="171">
        <f t="shared" si="32"/>
        <v>1</v>
      </c>
      <c r="D2103" s="171" t="b">
        <f>LineærRegression_Valg[[#This Row],[Afhængig variabel ID]]&lt;&gt;LineærRegression_Valg[[#This Row],[Uafhængig variabel ID]]</f>
        <v>1</v>
      </c>
      <c r="E2103" s="171" t="b">
        <f>LineærRegression_Valg[[#This Row],[Afhængig variabel ID]]&lt;=$B$5</f>
        <v>0</v>
      </c>
      <c r="F2103" t="str" cm="1">
        <f t="array" ref="F2103">IF(LineærRegression_Valg[[#This Row],[Indenfor range]],INDEX(DataTitel_liste,LineærRegression_Valg[[#This Row],[Afhængig variabel ID]]),INDEX(DataTitel_liste,1))</f>
        <v>Eksempel 1 (interval)</v>
      </c>
      <c r="G2103" s="171" t="str" cm="1">
        <f t="array" ref="G2103">IF(LineærRegression_Valg[[#This Row],[Indenfor range]],IF(LineærRegression_Valg[[#This Row],[Intet overlap]],INDEX(DataTitel_liste,LineærRegression_Valg[[#This Row],[Uafhængig variabel ID]]),INDEX(DataTitel_liste,IF(LineærRegression_Valg[[#This Row],[Afhængig variabel ID]]=1,2,1))),$B$7)</f>
        <v>Eksempel 2 (interval)</v>
      </c>
      <c r="H2103" s="171">
        <f>_xlfn.AGGREGATE(2,5,LineærRegression_Valg[[#This Row],[Tabel ID]])</f>
        <v>1</v>
      </c>
    </row>
    <row r="2104" spans="1:8" x14ac:dyDescent="0.2">
      <c r="A2104">
        <f>ROW(LineærRegression_Valg[[#This Row],[Tabel ID]])-ROW(LineærRegression_Valg[[#Headers],[Tabel ID]])</f>
        <v>2094</v>
      </c>
      <c r="B2104" s="171">
        <f>ROUNDDOWN((LineærRegression_Valg[[#This Row],[Tabel ID]]-1)/$B$5,0)+1</f>
        <v>524</v>
      </c>
      <c r="C2104" s="171">
        <f t="shared" si="32"/>
        <v>2</v>
      </c>
      <c r="D2104" s="171" t="b">
        <f>LineærRegression_Valg[[#This Row],[Afhængig variabel ID]]&lt;&gt;LineærRegression_Valg[[#This Row],[Uafhængig variabel ID]]</f>
        <v>1</v>
      </c>
      <c r="E2104" s="171" t="b">
        <f>LineærRegression_Valg[[#This Row],[Afhængig variabel ID]]&lt;=$B$5</f>
        <v>0</v>
      </c>
      <c r="F2104" t="str" cm="1">
        <f t="array" ref="F2104">IF(LineærRegression_Valg[[#This Row],[Indenfor range]],INDEX(DataTitel_liste,LineærRegression_Valg[[#This Row],[Afhængig variabel ID]]),INDEX(DataTitel_liste,1))</f>
        <v>Eksempel 1 (interval)</v>
      </c>
      <c r="G2104" s="171" t="str" cm="1">
        <f t="array" ref="G2104">IF(LineærRegression_Valg[[#This Row],[Indenfor range]],IF(LineærRegression_Valg[[#This Row],[Intet overlap]],INDEX(DataTitel_liste,LineærRegression_Valg[[#This Row],[Uafhængig variabel ID]]),INDEX(DataTitel_liste,IF(LineærRegression_Valg[[#This Row],[Afhængig variabel ID]]=1,2,1))),$B$7)</f>
        <v>Eksempel 2 (interval)</v>
      </c>
      <c r="H2104" s="171">
        <f>_xlfn.AGGREGATE(2,5,LineærRegression_Valg[[#This Row],[Tabel ID]])</f>
        <v>1</v>
      </c>
    </row>
    <row r="2105" spans="1:8" x14ac:dyDescent="0.2">
      <c r="A2105">
        <f>ROW(LineærRegression_Valg[[#This Row],[Tabel ID]])-ROW(LineærRegression_Valg[[#Headers],[Tabel ID]])</f>
        <v>2095</v>
      </c>
      <c r="B2105" s="171">
        <f>ROUNDDOWN((LineærRegression_Valg[[#This Row],[Tabel ID]]-1)/$B$5,0)+1</f>
        <v>524</v>
      </c>
      <c r="C2105" s="171">
        <f t="shared" si="32"/>
        <v>3</v>
      </c>
      <c r="D2105" s="171" t="b">
        <f>LineærRegression_Valg[[#This Row],[Afhængig variabel ID]]&lt;&gt;LineærRegression_Valg[[#This Row],[Uafhængig variabel ID]]</f>
        <v>1</v>
      </c>
      <c r="E2105" s="171" t="b">
        <f>LineærRegression_Valg[[#This Row],[Afhængig variabel ID]]&lt;=$B$5</f>
        <v>0</v>
      </c>
      <c r="F2105" t="str" cm="1">
        <f t="array" ref="F2105">IF(LineærRegression_Valg[[#This Row],[Indenfor range]],INDEX(DataTitel_liste,LineærRegression_Valg[[#This Row],[Afhængig variabel ID]]),INDEX(DataTitel_liste,1))</f>
        <v>Eksempel 1 (interval)</v>
      </c>
      <c r="G2105" s="171" t="str" cm="1">
        <f t="array" ref="G2105">IF(LineærRegression_Valg[[#This Row],[Indenfor range]],IF(LineærRegression_Valg[[#This Row],[Intet overlap]],INDEX(DataTitel_liste,LineærRegression_Valg[[#This Row],[Uafhængig variabel ID]]),INDEX(DataTitel_liste,IF(LineærRegression_Valg[[#This Row],[Afhængig variabel ID]]=1,2,1))),$B$7)</f>
        <v>Eksempel 2 (interval)</v>
      </c>
      <c r="H2105" s="171">
        <f>_xlfn.AGGREGATE(2,5,LineærRegression_Valg[[#This Row],[Tabel ID]])</f>
        <v>1</v>
      </c>
    </row>
    <row r="2106" spans="1:8" x14ac:dyDescent="0.2">
      <c r="A2106">
        <f>ROW(LineærRegression_Valg[[#This Row],[Tabel ID]])-ROW(LineærRegression_Valg[[#Headers],[Tabel ID]])</f>
        <v>2096</v>
      </c>
      <c r="B2106" s="171">
        <f>ROUNDDOWN((LineærRegression_Valg[[#This Row],[Tabel ID]]-1)/$B$5,0)+1</f>
        <v>524</v>
      </c>
      <c r="C2106" s="171">
        <f t="shared" si="32"/>
        <v>4</v>
      </c>
      <c r="D2106" s="171" t="b">
        <f>LineærRegression_Valg[[#This Row],[Afhængig variabel ID]]&lt;&gt;LineærRegression_Valg[[#This Row],[Uafhængig variabel ID]]</f>
        <v>1</v>
      </c>
      <c r="E2106" s="171" t="b">
        <f>LineærRegression_Valg[[#This Row],[Afhængig variabel ID]]&lt;=$B$5</f>
        <v>0</v>
      </c>
      <c r="F2106" t="str" cm="1">
        <f t="array" ref="F2106">IF(LineærRegression_Valg[[#This Row],[Indenfor range]],INDEX(DataTitel_liste,LineærRegression_Valg[[#This Row],[Afhængig variabel ID]]),INDEX(DataTitel_liste,1))</f>
        <v>Eksempel 1 (interval)</v>
      </c>
      <c r="G2106" s="171" t="str" cm="1">
        <f t="array" ref="G2106">IF(LineærRegression_Valg[[#This Row],[Indenfor range]],IF(LineærRegression_Valg[[#This Row],[Intet overlap]],INDEX(DataTitel_liste,LineærRegression_Valg[[#This Row],[Uafhængig variabel ID]]),INDEX(DataTitel_liste,IF(LineærRegression_Valg[[#This Row],[Afhængig variabel ID]]=1,2,1))),$B$7)</f>
        <v>Eksempel 2 (interval)</v>
      </c>
      <c r="H2106" s="171">
        <f>_xlfn.AGGREGATE(2,5,LineærRegression_Valg[[#This Row],[Tabel ID]])</f>
        <v>1</v>
      </c>
    </row>
    <row r="2107" spans="1:8" x14ac:dyDescent="0.2">
      <c r="A2107">
        <f>ROW(LineærRegression_Valg[[#This Row],[Tabel ID]])-ROW(LineærRegression_Valg[[#Headers],[Tabel ID]])</f>
        <v>2097</v>
      </c>
      <c r="B2107" s="171">
        <f>ROUNDDOWN((LineærRegression_Valg[[#This Row],[Tabel ID]]-1)/$B$5,0)+1</f>
        <v>525</v>
      </c>
      <c r="C2107" s="171">
        <f t="shared" si="32"/>
        <v>1</v>
      </c>
      <c r="D2107" s="171" t="b">
        <f>LineærRegression_Valg[[#This Row],[Afhængig variabel ID]]&lt;&gt;LineærRegression_Valg[[#This Row],[Uafhængig variabel ID]]</f>
        <v>1</v>
      </c>
      <c r="E2107" s="171" t="b">
        <f>LineærRegression_Valg[[#This Row],[Afhængig variabel ID]]&lt;=$B$5</f>
        <v>0</v>
      </c>
      <c r="F2107" t="str" cm="1">
        <f t="array" ref="F2107">IF(LineærRegression_Valg[[#This Row],[Indenfor range]],INDEX(DataTitel_liste,LineærRegression_Valg[[#This Row],[Afhængig variabel ID]]),INDEX(DataTitel_liste,1))</f>
        <v>Eksempel 1 (interval)</v>
      </c>
      <c r="G2107" s="171" t="str" cm="1">
        <f t="array" ref="G2107">IF(LineærRegression_Valg[[#This Row],[Indenfor range]],IF(LineærRegression_Valg[[#This Row],[Intet overlap]],INDEX(DataTitel_liste,LineærRegression_Valg[[#This Row],[Uafhængig variabel ID]]),INDEX(DataTitel_liste,IF(LineærRegression_Valg[[#This Row],[Afhængig variabel ID]]=1,2,1))),$B$7)</f>
        <v>Eksempel 2 (interval)</v>
      </c>
      <c r="H2107" s="171">
        <f>_xlfn.AGGREGATE(2,5,LineærRegression_Valg[[#This Row],[Tabel ID]])</f>
        <v>1</v>
      </c>
    </row>
    <row r="2108" spans="1:8" x14ac:dyDescent="0.2">
      <c r="A2108">
        <f>ROW(LineærRegression_Valg[[#This Row],[Tabel ID]])-ROW(LineærRegression_Valg[[#Headers],[Tabel ID]])</f>
        <v>2098</v>
      </c>
      <c r="B2108" s="171">
        <f>ROUNDDOWN((LineærRegression_Valg[[#This Row],[Tabel ID]]-1)/$B$5,0)+1</f>
        <v>525</v>
      </c>
      <c r="C2108" s="171">
        <f t="shared" si="32"/>
        <v>2</v>
      </c>
      <c r="D2108" s="171" t="b">
        <f>LineærRegression_Valg[[#This Row],[Afhængig variabel ID]]&lt;&gt;LineærRegression_Valg[[#This Row],[Uafhængig variabel ID]]</f>
        <v>1</v>
      </c>
      <c r="E2108" s="171" t="b">
        <f>LineærRegression_Valg[[#This Row],[Afhængig variabel ID]]&lt;=$B$5</f>
        <v>0</v>
      </c>
      <c r="F2108" t="str" cm="1">
        <f t="array" ref="F2108">IF(LineærRegression_Valg[[#This Row],[Indenfor range]],INDEX(DataTitel_liste,LineærRegression_Valg[[#This Row],[Afhængig variabel ID]]),INDEX(DataTitel_liste,1))</f>
        <v>Eksempel 1 (interval)</v>
      </c>
      <c r="G2108" s="171" t="str" cm="1">
        <f t="array" ref="G2108">IF(LineærRegression_Valg[[#This Row],[Indenfor range]],IF(LineærRegression_Valg[[#This Row],[Intet overlap]],INDEX(DataTitel_liste,LineærRegression_Valg[[#This Row],[Uafhængig variabel ID]]),INDEX(DataTitel_liste,IF(LineærRegression_Valg[[#This Row],[Afhængig variabel ID]]=1,2,1))),$B$7)</f>
        <v>Eksempel 2 (interval)</v>
      </c>
      <c r="H2108" s="171">
        <f>_xlfn.AGGREGATE(2,5,LineærRegression_Valg[[#This Row],[Tabel ID]])</f>
        <v>1</v>
      </c>
    </row>
    <row r="2109" spans="1:8" x14ac:dyDescent="0.2">
      <c r="A2109">
        <f>ROW(LineærRegression_Valg[[#This Row],[Tabel ID]])-ROW(LineærRegression_Valg[[#Headers],[Tabel ID]])</f>
        <v>2099</v>
      </c>
      <c r="B2109" s="171">
        <f>ROUNDDOWN((LineærRegression_Valg[[#This Row],[Tabel ID]]-1)/$B$5,0)+1</f>
        <v>525</v>
      </c>
      <c r="C2109" s="171">
        <f t="shared" si="32"/>
        <v>3</v>
      </c>
      <c r="D2109" s="171" t="b">
        <f>LineærRegression_Valg[[#This Row],[Afhængig variabel ID]]&lt;&gt;LineærRegression_Valg[[#This Row],[Uafhængig variabel ID]]</f>
        <v>1</v>
      </c>
      <c r="E2109" s="171" t="b">
        <f>LineærRegression_Valg[[#This Row],[Afhængig variabel ID]]&lt;=$B$5</f>
        <v>0</v>
      </c>
      <c r="F2109" t="str" cm="1">
        <f t="array" ref="F2109">IF(LineærRegression_Valg[[#This Row],[Indenfor range]],INDEX(DataTitel_liste,LineærRegression_Valg[[#This Row],[Afhængig variabel ID]]),INDEX(DataTitel_liste,1))</f>
        <v>Eksempel 1 (interval)</v>
      </c>
      <c r="G2109" s="171" t="str" cm="1">
        <f t="array" ref="G2109">IF(LineærRegression_Valg[[#This Row],[Indenfor range]],IF(LineærRegression_Valg[[#This Row],[Intet overlap]],INDEX(DataTitel_liste,LineærRegression_Valg[[#This Row],[Uafhængig variabel ID]]),INDEX(DataTitel_liste,IF(LineærRegression_Valg[[#This Row],[Afhængig variabel ID]]=1,2,1))),$B$7)</f>
        <v>Eksempel 2 (interval)</v>
      </c>
      <c r="H2109" s="171">
        <f>_xlfn.AGGREGATE(2,5,LineærRegression_Valg[[#This Row],[Tabel ID]])</f>
        <v>1</v>
      </c>
    </row>
    <row r="2110" spans="1:8" x14ac:dyDescent="0.2">
      <c r="A2110">
        <f>ROW(LineærRegression_Valg[[#This Row],[Tabel ID]])-ROW(LineærRegression_Valg[[#Headers],[Tabel ID]])</f>
        <v>2100</v>
      </c>
      <c r="B2110" s="171">
        <f>ROUNDDOWN((LineærRegression_Valg[[#This Row],[Tabel ID]]-1)/$B$5,0)+1</f>
        <v>525</v>
      </c>
      <c r="C2110" s="171">
        <f t="shared" si="32"/>
        <v>4</v>
      </c>
      <c r="D2110" s="171" t="b">
        <f>LineærRegression_Valg[[#This Row],[Afhængig variabel ID]]&lt;&gt;LineærRegression_Valg[[#This Row],[Uafhængig variabel ID]]</f>
        <v>1</v>
      </c>
      <c r="E2110" s="171" t="b">
        <f>LineærRegression_Valg[[#This Row],[Afhængig variabel ID]]&lt;=$B$5</f>
        <v>0</v>
      </c>
      <c r="F2110" t="str" cm="1">
        <f t="array" ref="F2110">IF(LineærRegression_Valg[[#This Row],[Indenfor range]],INDEX(DataTitel_liste,LineærRegression_Valg[[#This Row],[Afhængig variabel ID]]),INDEX(DataTitel_liste,1))</f>
        <v>Eksempel 1 (interval)</v>
      </c>
      <c r="G2110" s="171" t="str" cm="1">
        <f t="array" ref="G2110">IF(LineærRegression_Valg[[#This Row],[Indenfor range]],IF(LineærRegression_Valg[[#This Row],[Intet overlap]],INDEX(DataTitel_liste,LineærRegression_Valg[[#This Row],[Uafhængig variabel ID]]),INDEX(DataTitel_liste,IF(LineærRegression_Valg[[#This Row],[Afhængig variabel ID]]=1,2,1))),$B$7)</f>
        <v>Eksempel 2 (interval)</v>
      </c>
      <c r="H2110" s="171">
        <f>_xlfn.AGGREGATE(2,5,LineærRegression_Valg[[#This Row],[Tabel ID]])</f>
        <v>1</v>
      </c>
    </row>
    <row r="2111" spans="1:8" x14ac:dyDescent="0.2">
      <c r="A2111">
        <f>ROW(LineærRegression_Valg[[#This Row],[Tabel ID]])-ROW(LineærRegression_Valg[[#Headers],[Tabel ID]])</f>
        <v>2101</v>
      </c>
      <c r="B2111" s="171">
        <f>ROUNDDOWN((LineærRegression_Valg[[#This Row],[Tabel ID]]-1)/$B$5,0)+1</f>
        <v>526</v>
      </c>
      <c r="C2111" s="171">
        <f t="shared" si="32"/>
        <v>1</v>
      </c>
      <c r="D2111" s="171" t="b">
        <f>LineærRegression_Valg[[#This Row],[Afhængig variabel ID]]&lt;&gt;LineærRegression_Valg[[#This Row],[Uafhængig variabel ID]]</f>
        <v>1</v>
      </c>
      <c r="E2111" s="171" t="b">
        <f>LineærRegression_Valg[[#This Row],[Afhængig variabel ID]]&lt;=$B$5</f>
        <v>0</v>
      </c>
      <c r="F2111" t="str" cm="1">
        <f t="array" ref="F2111">IF(LineærRegression_Valg[[#This Row],[Indenfor range]],INDEX(DataTitel_liste,LineærRegression_Valg[[#This Row],[Afhængig variabel ID]]),INDEX(DataTitel_liste,1))</f>
        <v>Eksempel 1 (interval)</v>
      </c>
      <c r="G2111" s="171" t="str" cm="1">
        <f t="array" ref="G2111">IF(LineærRegression_Valg[[#This Row],[Indenfor range]],IF(LineærRegression_Valg[[#This Row],[Intet overlap]],INDEX(DataTitel_liste,LineærRegression_Valg[[#This Row],[Uafhængig variabel ID]]),INDEX(DataTitel_liste,IF(LineærRegression_Valg[[#This Row],[Afhængig variabel ID]]=1,2,1))),$B$7)</f>
        <v>Eksempel 2 (interval)</v>
      </c>
      <c r="H2111" s="171">
        <f>_xlfn.AGGREGATE(2,5,LineærRegression_Valg[[#This Row],[Tabel ID]])</f>
        <v>1</v>
      </c>
    </row>
    <row r="2112" spans="1:8" x14ac:dyDescent="0.2">
      <c r="A2112">
        <f>ROW(LineærRegression_Valg[[#This Row],[Tabel ID]])-ROW(LineærRegression_Valg[[#Headers],[Tabel ID]])</f>
        <v>2102</v>
      </c>
      <c r="B2112" s="171">
        <f>ROUNDDOWN((LineærRegression_Valg[[#This Row],[Tabel ID]]-1)/$B$5,0)+1</f>
        <v>526</v>
      </c>
      <c r="C2112" s="171">
        <f t="shared" si="32"/>
        <v>2</v>
      </c>
      <c r="D2112" s="171" t="b">
        <f>LineærRegression_Valg[[#This Row],[Afhængig variabel ID]]&lt;&gt;LineærRegression_Valg[[#This Row],[Uafhængig variabel ID]]</f>
        <v>1</v>
      </c>
      <c r="E2112" s="171" t="b">
        <f>LineærRegression_Valg[[#This Row],[Afhængig variabel ID]]&lt;=$B$5</f>
        <v>0</v>
      </c>
      <c r="F2112" t="str" cm="1">
        <f t="array" ref="F2112">IF(LineærRegression_Valg[[#This Row],[Indenfor range]],INDEX(DataTitel_liste,LineærRegression_Valg[[#This Row],[Afhængig variabel ID]]),INDEX(DataTitel_liste,1))</f>
        <v>Eksempel 1 (interval)</v>
      </c>
      <c r="G2112" s="171" t="str" cm="1">
        <f t="array" ref="G2112">IF(LineærRegression_Valg[[#This Row],[Indenfor range]],IF(LineærRegression_Valg[[#This Row],[Intet overlap]],INDEX(DataTitel_liste,LineærRegression_Valg[[#This Row],[Uafhængig variabel ID]]),INDEX(DataTitel_liste,IF(LineærRegression_Valg[[#This Row],[Afhængig variabel ID]]=1,2,1))),$B$7)</f>
        <v>Eksempel 2 (interval)</v>
      </c>
      <c r="H2112" s="171">
        <f>_xlfn.AGGREGATE(2,5,LineærRegression_Valg[[#This Row],[Tabel ID]])</f>
        <v>1</v>
      </c>
    </row>
    <row r="2113" spans="1:8" x14ac:dyDescent="0.2">
      <c r="A2113">
        <f>ROW(LineærRegression_Valg[[#This Row],[Tabel ID]])-ROW(LineærRegression_Valg[[#Headers],[Tabel ID]])</f>
        <v>2103</v>
      </c>
      <c r="B2113" s="171">
        <f>ROUNDDOWN((LineærRegression_Valg[[#This Row],[Tabel ID]]-1)/$B$5,0)+1</f>
        <v>526</v>
      </c>
      <c r="C2113" s="171">
        <f t="shared" si="32"/>
        <v>3</v>
      </c>
      <c r="D2113" s="171" t="b">
        <f>LineærRegression_Valg[[#This Row],[Afhængig variabel ID]]&lt;&gt;LineærRegression_Valg[[#This Row],[Uafhængig variabel ID]]</f>
        <v>1</v>
      </c>
      <c r="E2113" s="171" t="b">
        <f>LineærRegression_Valg[[#This Row],[Afhængig variabel ID]]&lt;=$B$5</f>
        <v>0</v>
      </c>
      <c r="F2113" t="str" cm="1">
        <f t="array" ref="F2113">IF(LineærRegression_Valg[[#This Row],[Indenfor range]],INDEX(DataTitel_liste,LineærRegression_Valg[[#This Row],[Afhængig variabel ID]]),INDEX(DataTitel_liste,1))</f>
        <v>Eksempel 1 (interval)</v>
      </c>
      <c r="G2113" s="171" t="str" cm="1">
        <f t="array" ref="G2113">IF(LineærRegression_Valg[[#This Row],[Indenfor range]],IF(LineærRegression_Valg[[#This Row],[Intet overlap]],INDEX(DataTitel_liste,LineærRegression_Valg[[#This Row],[Uafhængig variabel ID]]),INDEX(DataTitel_liste,IF(LineærRegression_Valg[[#This Row],[Afhængig variabel ID]]=1,2,1))),$B$7)</f>
        <v>Eksempel 2 (interval)</v>
      </c>
      <c r="H2113" s="171">
        <f>_xlfn.AGGREGATE(2,5,LineærRegression_Valg[[#This Row],[Tabel ID]])</f>
        <v>1</v>
      </c>
    </row>
    <row r="2114" spans="1:8" x14ac:dyDescent="0.2">
      <c r="A2114">
        <f>ROW(LineærRegression_Valg[[#This Row],[Tabel ID]])-ROW(LineærRegression_Valg[[#Headers],[Tabel ID]])</f>
        <v>2104</v>
      </c>
      <c r="B2114" s="171">
        <f>ROUNDDOWN((LineærRegression_Valg[[#This Row],[Tabel ID]]-1)/$B$5,0)+1</f>
        <v>526</v>
      </c>
      <c r="C2114" s="171">
        <f t="shared" si="32"/>
        <v>4</v>
      </c>
      <c r="D2114" s="171" t="b">
        <f>LineærRegression_Valg[[#This Row],[Afhængig variabel ID]]&lt;&gt;LineærRegression_Valg[[#This Row],[Uafhængig variabel ID]]</f>
        <v>1</v>
      </c>
      <c r="E2114" s="171" t="b">
        <f>LineærRegression_Valg[[#This Row],[Afhængig variabel ID]]&lt;=$B$5</f>
        <v>0</v>
      </c>
      <c r="F2114" t="str" cm="1">
        <f t="array" ref="F2114">IF(LineærRegression_Valg[[#This Row],[Indenfor range]],INDEX(DataTitel_liste,LineærRegression_Valg[[#This Row],[Afhængig variabel ID]]),INDEX(DataTitel_liste,1))</f>
        <v>Eksempel 1 (interval)</v>
      </c>
      <c r="G2114" s="171" t="str" cm="1">
        <f t="array" ref="G2114">IF(LineærRegression_Valg[[#This Row],[Indenfor range]],IF(LineærRegression_Valg[[#This Row],[Intet overlap]],INDEX(DataTitel_liste,LineærRegression_Valg[[#This Row],[Uafhængig variabel ID]]),INDEX(DataTitel_liste,IF(LineærRegression_Valg[[#This Row],[Afhængig variabel ID]]=1,2,1))),$B$7)</f>
        <v>Eksempel 2 (interval)</v>
      </c>
      <c r="H2114" s="171">
        <f>_xlfn.AGGREGATE(2,5,LineærRegression_Valg[[#This Row],[Tabel ID]])</f>
        <v>1</v>
      </c>
    </row>
    <row r="2115" spans="1:8" x14ac:dyDescent="0.2">
      <c r="A2115">
        <f>ROW(LineærRegression_Valg[[#This Row],[Tabel ID]])-ROW(LineærRegression_Valg[[#Headers],[Tabel ID]])</f>
        <v>2105</v>
      </c>
      <c r="B2115" s="171">
        <f>ROUNDDOWN((LineærRegression_Valg[[#This Row],[Tabel ID]]-1)/$B$5,0)+1</f>
        <v>527</v>
      </c>
      <c r="C2115" s="171">
        <f t="shared" si="32"/>
        <v>1</v>
      </c>
      <c r="D2115" s="171" t="b">
        <f>LineærRegression_Valg[[#This Row],[Afhængig variabel ID]]&lt;&gt;LineærRegression_Valg[[#This Row],[Uafhængig variabel ID]]</f>
        <v>1</v>
      </c>
      <c r="E2115" s="171" t="b">
        <f>LineærRegression_Valg[[#This Row],[Afhængig variabel ID]]&lt;=$B$5</f>
        <v>0</v>
      </c>
      <c r="F2115" t="str" cm="1">
        <f t="array" ref="F2115">IF(LineærRegression_Valg[[#This Row],[Indenfor range]],INDEX(DataTitel_liste,LineærRegression_Valg[[#This Row],[Afhængig variabel ID]]),INDEX(DataTitel_liste,1))</f>
        <v>Eksempel 1 (interval)</v>
      </c>
      <c r="G2115" s="171" t="str" cm="1">
        <f t="array" ref="G2115">IF(LineærRegression_Valg[[#This Row],[Indenfor range]],IF(LineærRegression_Valg[[#This Row],[Intet overlap]],INDEX(DataTitel_liste,LineærRegression_Valg[[#This Row],[Uafhængig variabel ID]]),INDEX(DataTitel_liste,IF(LineærRegression_Valg[[#This Row],[Afhængig variabel ID]]=1,2,1))),$B$7)</f>
        <v>Eksempel 2 (interval)</v>
      </c>
      <c r="H2115" s="171">
        <f>_xlfn.AGGREGATE(2,5,LineærRegression_Valg[[#This Row],[Tabel ID]])</f>
        <v>1</v>
      </c>
    </row>
    <row r="2116" spans="1:8" x14ac:dyDescent="0.2">
      <c r="A2116">
        <f>ROW(LineærRegression_Valg[[#This Row],[Tabel ID]])-ROW(LineærRegression_Valg[[#Headers],[Tabel ID]])</f>
        <v>2106</v>
      </c>
      <c r="B2116" s="171">
        <f>ROUNDDOWN((LineærRegression_Valg[[#This Row],[Tabel ID]]-1)/$B$5,0)+1</f>
        <v>527</v>
      </c>
      <c r="C2116" s="171">
        <f t="shared" si="32"/>
        <v>2</v>
      </c>
      <c r="D2116" s="171" t="b">
        <f>LineærRegression_Valg[[#This Row],[Afhængig variabel ID]]&lt;&gt;LineærRegression_Valg[[#This Row],[Uafhængig variabel ID]]</f>
        <v>1</v>
      </c>
      <c r="E2116" s="171" t="b">
        <f>LineærRegression_Valg[[#This Row],[Afhængig variabel ID]]&lt;=$B$5</f>
        <v>0</v>
      </c>
      <c r="F2116" t="str" cm="1">
        <f t="array" ref="F2116">IF(LineærRegression_Valg[[#This Row],[Indenfor range]],INDEX(DataTitel_liste,LineærRegression_Valg[[#This Row],[Afhængig variabel ID]]),INDEX(DataTitel_liste,1))</f>
        <v>Eksempel 1 (interval)</v>
      </c>
      <c r="G2116" s="171" t="str" cm="1">
        <f t="array" ref="G2116">IF(LineærRegression_Valg[[#This Row],[Indenfor range]],IF(LineærRegression_Valg[[#This Row],[Intet overlap]],INDEX(DataTitel_liste,LineærRegression_Valg[[#This Row],[Uafhængig variabel ID]]),INDEX(DataTitel_liste,IF(LineærRegression_Valg[[#This Row],[Afhængig variabel ID]]=1,2,1))),$B$7)</f>
        <v>Eksempel 2 (interval)</v>
      </c>
      <c r="H2116" s="171">
        <f>_xlfn.AGGREGATE(2,5,LineærRegression_Valg[[#This Row],[Tabel ID]])</f>
        <v>1</v>
      </c>
    </row>
    <row r="2117" spans="1:8" x14ac:dyDescent="0.2">
      <c r="A2117">
        <f>ROW(LineærRegression_Valg[[#This Row],[Tabel ID]])-ROW(LineærRegression_Valg[[#Headers],[Tabel ID]])</f>
        <v>2107</v>
      </c>
      <c r="B2117" s="171">
        <f>ROUNDDOWN((LineærRegression_Valg[[#This Row],[Tabel ID]]-1)/$B$5,0)+1</f>
        <v>527</v>
      </c>
      <c r="C2117" s="171">
        <f t="shared" si="32"/>
        <v>3</v>
      </c>
      <c r="D2117" s="171" t="b">
        <f>LineærRegression_Valg[[#This Row],[Afhængig variabel ID]]&lt;&gt;LineærRegression_Valg[[#This Row],[Uafhængig variabel ID]]</f>
        <v>1</v>
      </c>
      <c r="E2117" s="171" t="b">
        <f>LineærRegression_Valg[[#This Row],[Afhængig variabel ID]]&lt;=$B$5</f>
        <v>0</v>
      </c>
      <c r="F2117" t="str" cm="1">
        <f t="array" ref="F2117">IF(LineærRegression_Valg[[#This Row],[Indenfor range]],INDEX(DataTitel_liste,LineærRegression_Valg[[#This Row],[Afhængig variabel ID]]),INDEX(DataTitel_liste,1))</f>
        <v>Eksempel 1 (interval)</v>
      </c>
      <c r="G2117" s="171" t="str" cm="1">
        <f t="array" ref="G2117">IF(LineærRegression_Valg[[#This Row],[Indenfor range]],IF(LineærRegression_Valg[[#This Row],[Intet overlap]],INDEX(DataTitel_liste,LineærRegression_Valg[[#This Row],[Uafhængig variabel ID]]),INDEX(DataTitel_liste,IF(LineærRegression_Valg[[#This Row],[Afhængig variabel ID]]=1,2,1))),$B$7)</f>
        <v>Eksempel 2 (interval)</v>
      </c>
      <c r="H2117" s="171">
        <f>_xlfn.AGGREGATE(2,5,LineærRegression_Valg[[#This Row],[Tabel ID]])</f>
        <v>1</v>
      </c>
    </row>
    <row r="2118" spans="1:8" x14ac:dyDescent="0.2">
      <c r="A2118">
        <f>ROW(LineærRegression_Valg[[#This Row],[Tabel ID]])-ROW(LineærRegression_Valg[[#Headers],[Tabel ID]])</f>
        <v>2108</v>
      </c>
      <c r="B2118" s="171">
        <f>ROUNDDOWN((LineærRegression_Valg[[#This Row],[Tabel ID]]-1)/$B$5,0)+1</f>
        <v>527</v>
      </c>
      <c r="C2118" s="171">
        <f t="shared" si="32"/>
        <v>4</v>
      </c>
      <c r="D2118" s="171" t="b">
        <f>LineærRegression_Valg[[#This Row],[Afhængig variabel ID]]&lt;&gt;LineærRegression_Valg[[#This Row],[Uafhængig variabel ID]]</f>
        <v>1</v>
      </c>
      <c r="E2118" s="171" t="b">
        <f>LineærRegression_Valg[[#This Row],[Afhængig variabel ID]]&lt;=$B$5</f>
        <v>0</v>
      </c>
      <c r="F2118" t="str" cm="1">
        <f t="array" ref="F2118">IF(LineærRegression_Valg[[#This Row],[Indenfor range]],INDEX(DataTitel_liste,LineærRegression_Valg[[#This Row],[Afhængig variabel ID]]),INDEX(DataTitel_liste,1))</f>
        <v>Eksempel 1 (interval)</v>
      </c>
      <c r="G2118" s="171" t="str" cm="1">
        <f t="array" ref="G2118">IF(LineærRegression_Valg[[#This Row],[Indenfor range]],IF(LineærRegression_Valg[[#This Row],[Intet overlap]],INDEX(DataTitel_liste,LineærRegression_Valg[[#This Row],[Uafhængig variabel ID]]),INDEX(DataTitel_liste,IF(LineærRegression_Valg[[#This Row],[Afhængig variabel ID]]=1,2,1))),$B$7)</f>
        <v>Eksempel 2 (interval)</v>
      </c>
      <c r="H2118" s="171">
        <f>_xlfn.AGGREGATE(2,5,LineærRegression_Valg[[#This Row],[Tabel ID]])</f>
        <v>1</v>
      </c>
    </row>
    <row r="2119" spans="1:8" x14ac:dyDescent="0.2">
      <c r="A2119">
        <f>ROW(LineærRegression_Valg[[#This Row],[Tabel ID]])-ROW(LineærRegression_Valg[[#Headers],[Tabel ID]])</f>
        <v>2109</v>
      </c>
      <c r="B2119" s="171">
        <f>ROUNDDOWN((LineærRegression_Valg[[#This Row],[Tabel ID]]-1)/$B$5,0)+1</f>
        <v>528</v>
      </c>
      <c r="C2119" s="171">
        <f t="shared" si="32"/>
        <v>1</v>
      </c>
      <c r="D2119" s="171" t="b">
        <f>LineærRegression_Valg[[#This Row],[Afhængig variabel ID]]&lt;&gt;LineærRegression_Valg[[#This Row],[Uafhængig variabel ID]]</f>
        <v>1</v>
      </c>
      <c r="E2119" s="171" t="b">
        <f>LineærRegression_Valg[[#This Row],[Afhængig variabel ID]]&lt;=$B$5</f>
        <v>0</v>
      </c>
      <c r="F2119" t="str" cm="1">
        <f t="array" ref="F2119">IF(LineærRegression_Valg[[#This Row],[Indenfor range]],INDEX(DataTitel_liste,LineærRegression_Valg[[#This Row],[Afhængig variabel ID]]),INDEX(DataTitel_liste,1))</f>
        <v>Eksempel 1 (interval)</v>
      </c>
      <c r="G2119" s="171" t="str" cm="1">
        <f t="array" ref="G2119">IF(LineærRegression_Valg[[#This Row],[Indenfor range]],IF(LineærRegression_Valg[[#This Row],[Intet overlap]],INDEX(DataTitel_liste,LineærRegression_Valg[[#This Row],[Uafhængig variabel ID]]),INDEX(DataTitel_liste,IF(LineærRegression_Valg[[#This Row],[Afhængig variabel ID]]=1,2,1))),$B$7)</f>
        <v>Eksempel 2 (interval)</v>
      </c>
      <c r="H2119" s="171">
        <f>_xlfn.AGGREGATE(2,5,LineærRegression_Valg[[#This Row],[Tabel ID]])</f>
        <v>1</v>
      </c>
    </row>
    <row r="2120" spans="1:8" x14ac:dyDescent="0.2">
      <c r="A2120">
        <f>ROW(LineærRegression_Valg[[#This Row],[Tabel ID]])-ROW(LineærRegression_Valg[[#Headers],[Tabel ID]])</f>
        <v>2110</v>
      </c>
      <c r="B2120" s="171">
        <f>ROUNDDOWN((LineærRegression_Valg[[#This Row],[Tabel ID]]-1)/$B$5,0)+1</f>
        <v>528</v>
      </c>
      <c r="C2120" s="171">
        <f t="shared" si="32"/>
        <v>2</v>
      </c>
      <c r="D2120" s="171" t="b">
        <f>LineærRegression_Valg[[#This Row],[Afhængig variabel ID]]&lt;&gt;LineærRegression_Valg[[#This Row],[Uafhængig variabel ID]]</f>
        <v>1</v>
      </c>
      <c r="E2120" s="171" t="b">
        <f>LineærRegression_Valg[[#This Row],[Afhængig variabel ID]]&lt;=$B$5</f>
        <v>0</v>
      </c>
      <c r="F2120" t="str" cm="1">
        <f t="array" ref="F2120">IF(LineærRegression_Valg[[#This Row],[Indenfor range]],INDEX(DataTitel_liste,LineærRegression_Valg[[#This Row],[Afhængig variabel ID]]),INDEX(DataTitel_liste,1))</f>
        <v>Eksempel 1 (interval)</v>
      </c>
      <c r="G2120" s="171" t="str" cm="1">
        <f t="array" ref="G2120">IF(LineærRegression_Valg[[#This Row],[Indenfor range]],IF(LineærRegression_Valg[[#This Row],[Intet overlap]],INDEX(DataTitel_liste,LineærRegression_Valg[[#This Row],[Uafhængig variabel ID]]),INDEX(DataTitel_liste,IF(LineærRegression_Valg[[#This Row],[Afhængig variabel ID]]=1,2,1))),$B$7)</f>
        <v>Eksempel 2 (interval)</v>
      </c>
      <c r="H2120" s="171">
        <f>_xlfn.AGGREGATE(2,5,LineærRegression_Valg[[#This Row],[Tabel ID]])</f>
        <v>1</v>
      </c>
    </row>
    <row r="2121" spans="1:8" x14ac:dyDescent="0.2">
      <c r="A2121">
        <f>ROW(LineærRegression_Valg[[#This Row],[Tabel ID]])-ROW(LineærRegression_Valg[[#Headers],[Tabel ID]])</f>
        <v>2111</v>
      </c>
      <c r="B2121" s="171">
        <f>ROUNDDOWN((LineærRegression_Valg[[#This Row],[Tabel ID]]-1)/$B$5,0)+1</f>
        <v>528</v>
      </c>
      <c r="C2121" s="171">
        <f t="shared" si="32"/>
        <v>3</v>
      </c>
      <c r="D2121" s="171" t="b">
        <f>LineærRegression_Valg[[#This Row],[Afhængig variabel ID]]&lt;&gt;LineærRegression_Valg[[#This Row],[Uafhængig variabel ID]]</f>
        <v>1</v>
      </c>
      <c r="E2121" s="171" t="b">
        <f>LineærRegression_Valg[[#This Row],[Afhængig variabel ID]]&lt;=$B$5</f>
        <v>0</v>
      </c>
      <c r="F2121" t="str" cm="1">
        <f t="array" ref="F2121">IF(LineærRegression_Valg[[#This Row],[Indenfor range]],INDEX(DataTitel_liste,LineærRegression_Valg[[#This Row],[Afhængig variabel ID]]),INDEX(DataTitel_liste,1))</f>
        <v>Eksempel 1 (interval)</v>
      </c>
      <c r="G2121" s="171" t="str" cm="1">
        <f t="array" ref="G2121">IF(LineærRegression_Valg[[#This Row],[Indenfor range]],IF(LineærRegression_Valg[[#This Row],[Intet overlap]],INDEX(DataTitel_liste,LineærRegression_Valg[[#This Row],[Uafhængig variabel ID]]),INDEX(DataTitel_liste,IF(LineærRegression_Valg[[#This Row],[Afhængig variabel ID]]=1,2,1))),$B$7)</f>
        <v>Eksempel 2 (interval)</v>
      </c>
      <c r="H2121" s="171">
        <f>_xlfn.AGGREGATE(2,5,LineærRegression_Valg[[#This Row],[Tabel ID]])</f>
        <v>1</v>
      </c>
    </row>
    <row r="2122" spans="1:8" x14ac:dyDescent="0.2">
      <c r="A2122">
        <f>ROW(LineærRegression_Valg[[#This Row],[Tabel ID]])-ROW(LineærRegression_Valg[[#Headers],[Tabel ID]])</f>
        <v>2112</v>
      </c>
      <c r="B2122" s="171">
        <f>ROUNDDOWN((LineærRegression_Valg[[#This Row],[Tabel ID]]-1)/$B$5,0)+1</f>
        <v>528</v>
      </c>
      <c r="C2122" s="171">
        <f t="shared" si="32"/>
        <v>4</v>
      </c>
      <c r="D2122" s="171" t="b">
        <f>LineærRegression_Valg[[#This Row],[Afhængig variabel ID]]&lt;&gt;LineærRegression_Valg[[#This Row],[Uafhængig variabel ID]]</f>
        <v>1</v>
      </c>
      <c r="E2122" s="171" t="b">
        <f>LineærRegression_Valg[[#This Row],[Afhængig variabel ID]]&lt;=$B$5</f>
        <v>0</v>
      </c>
      <c r="F2122" t="str" cm="1">
        <f t="array" ref="F2122">IF(LineærRegression_Valg[[#This Row],[Indenfor range]],INDEX(DataTitel_liste,LineærRegression_Valg[[#This Row],[Afhængig variabel ID]]),INDEX(DataTitel_liste,1))</f>
        <v>Eksempel 1 (interval)</v>
      </c>
      <c r="G2122" s="171" t="str" cm="1">
        <f t="array" ref="G2122">IF(LineærRegression_Valg[[#This Row],[Indenfor range]],IF(LineærRegression_Valg[[#This Row],[Intet overlap]],INDEX(DataTitel_liste,LineærRegression_Valg[[#This Row],[Uafhængig variabel ID]]),INDEX(DataTitel_liste,IF(LineærRegression_Valg[[#This Row],[Afhængig variabel ID]]=1,2,1))),$B$7)</f>
        <v>Eksempel 2 (interval)</v>
      </c>
      <c r="H2122" s="171">
        <f>_xlfn.AGGREGATE(2,5,LineærRegression_Valg[[#This Row],[Tabel ID]])</f>
        <v>1</v>
      </c>
    </row>
    <row r="2123" spans="1:8" x14ac:dyDescent="0.2">
      <c r="A2123">
        <f>ROW(LineærRegression_Valg[[#This Row],[Tabel ID]])-ROW(LineærRegression_Valg[[#Headers],[Tabel ID]])</f>
        <v>2113</v>
      </c>
      <c r="B2123" s="171">
        <f>ROUNDDOWN((LineærRegression_Valg[[#This Row],[Tabel ID]]-1)/$B$5,0)+1</f>
        <v>529</v>
      </c>
      <c r="C2123" s="171">
        <f t="shared" ref="C2123:C2186" si="33">MOD(A2123-1,$B$5)+1</f>
        <v>1</v>
      </c>
      <c r="D2123" s="171" t="b">
        <f>LineærRegression_Valg[[#This Row],[Afhængig variabel ID]]&lt;&gt;LineærRegression_Valg[[#This Row],[Uafhængig variabel ID]]</f>
        <v>1</v>
      </c>
      <c r="E2123" s="171" t="b">
        <f>LineærRegression_Valg[[#This Row],[Afhængig variabel ID]]&lt;=$B$5</f>
        <v>0</v>
      </c>
      <c r="F2123" t="str" cm="1">
        <f t="array" ref="F2123">IF(LineærRegression_Valg[[#This Row],[Indenfor range]],INDEX(DataTitel_liste,LineærRegression_Valg[[#This Row],[Afhængig variabel ID]]),INDEX(DataTitel_liste,1))</f>
        <v>Eksempel 1 (interval)</v>
      </c>
      <c r="G2123" s="171" t="str" cm="1">
        <f t="array" ref="G2123">IF(LineærRegression_Valg[[#This Row],[Indenfor range]],IF(LineærRegression_Valg[[#This Row],[Intet overlap]],INDEX(DataTitel_liste,LineærRegression_Valg[[#This Row],[Uafhængig variabel ID]]),INDEX(DataTitel_liste,IF(LineærRegression_Valg[[#This Row],[Afhængig variabel ID]]=1,2,1))),$B$7)</f>
        <v>Eksempel 2 (interval)</v>
      </c>
      <c r="H2123" s="171">
        <f>_xlfn.AGGREGATE(2,5,LineærRegression_Valg[[#This Row],[Tabel ID]])</f>
        <v>1</v>
      </c>
    </row>
    <row r="2124" spans="1:8" x14ac:dyDescent="0.2">
      <c r="A2124">
        <f>ROW(LineærRegression_Valg[[#This Row],[Tabel ID]])-ROW(LineærRegression_Valg[[#Headers],[Tabel ID]])</f>
        <v>2114</v>
      </c>
      <c r="B2124" s="171">
        <f>ROUNDDOWN((LineærRegression_Valg[[#This Row],[Tabel ID]]-1)/$B$5,0)+1</f>
        <v>529</v>
      </c>
      <c r="C2124" s="171">
        <f t="shared" si="33"/>
        <v>2</v>
      </c>
      <c r="D2124" s="171" t="b">
        <f>LineærRegression_Valg[[#This Row],[Afhængig variabel ID]]&lt;&gt;LineærRegression_Valg[[#This Row],[Uafhængig variabel ID]]</f>
        <v>1</v>
      </c>
      <c r="E2124" s="171" t="b">
        <f>LineærRegression_Valg[[#This Row],[Afhængig variabel ID]]&lt;=$B$5</f>
        <v>0</v>
      </c>
      <c r="F2124" t="str" cm="1">
        <f t="array" ref="F2124">IF(LineærRegression_Valg[[#This Row],[Indenfor range]],INDEX(DataTitel_liste,LineærRegression_Valg[[#This Row],[Afhængig variabel ID]]),INDEX(DataTitel_liste,1))</f>
        <v>Eksempel 1 (interval)</v>
      </c>
      <c r="G2124" s="171" t="str" cm="1">
        <f t="array" ref="G2124">IF(LineærRegression_Valg[[#This Row],[Indenfor range]],IF(LineærRegression_Valg[[#This Row],[Intet overlap]],INDEX(DataTitel_liste,LineærRegression_Valg[[#This Row],[Uafhængig variabel ID]]),INDEX(DataTitel_liste,IF(LineærRegression_Valg[[#This Row],[Afhængig variabel ID]]=1,2,1))),$B$7)</f>
        <v>Eksempel 2 (interval)</v>
      </c>
      <c r="H2124" s="171">
        <f>_xlfn.AGGREGATE(2,5,LineærRegression_Valg[[#This Row],[Tabel ID]])</f>
        <v>1</v>
      </c>
    </row>
    <row r="2125" spans="1:8" x14ac:dyDescent="0.2">
      <c r="A2125">
        <f>ROW(LineærRegression_Valg[[#This Row],[Tabel ID]])-ROW(LineærRegression_Valg[[#Headers],[Tabel ID]])</f>
        <v>2115</v>
      </c>
      <c r="B2125" s="171">
        <f>ROUNDDOWN((LineærRegression_Valg[[#This Row],[Tabel ID]]-1)/$B$5,0)+1</f>
        <v>529</v>
      </c>
      <c r="C2125" s="171">
        <f t="shared" si="33"/>
        <v>3</v>
      </c>
      <c r="D2125" s="171" t="b">
        <f>LineærRegression_Valg[[#This Row],[Afhængig variabel ID]]&lt;&gt;LineærRegression_Valg[[#This Row],[Uafhængig variabel ID]]</f>
        <v>1</v>
      </c>
      <c r="E2125" s="171" t="b">
        <f>LineærRegression_Valg[[#This Row],[Afhængig variabel ID]]&lt;=$B$5</f>
        <v>0</v>
      </c>
      <c r="F2125" t="str" cm="1">
        <f t="array" ref="F2125">IF(LineærRegression_Valg[[#This Row],[Indenfor range]],INDEX(DataTitel_liste,LineærRegression_Valg[[#This Row],[Afhængig variabel ID]]),INDEX(DataTitel_liste,1))</f>
        <v>Eksempel 1 (interval)</v>
      </c>
      <c r="G2125" s="171" t="str" cm="1">
        <f t="array" ref="G2125">IF(LineærRegression_Valg[[#This Row],[Indenfor range]],IF(LineærRegression_Valg[[#This Row],[Intet overlap]],INDEX(DataTitel_liste,LineærRegression_Valg[[#This Row],[Uafhængig variabel ID]]),INDEX(DataTitel_liste,IF(LineærRegression_Valg[[#This Row],[Afhængig variabel ID]]=1,2,1))),$B$7)</f>
        <v>Eksempel 2 (interval)</v>
      </c>
      <c r="H2125" s="171">
        <f>_xlfn.AGGREGATE(2,5,LineærRegression_Valg[[#This Row],[Tabel ID]])</f>
        <v>1</v>
      </c>
    </row>
    <row r="2126" spans="1:8" x14ac:dyDescent="0.2">
      <c r="A2126">
        <f>ROW(LineærRegression_Valg[[#This Row],[Tabel ID]])-ROW(LineærRegression_Valg[[#Headers],[Tabel ID]])</f>
        <v>2116</v>
      </c>
      <c r="B2126" s="171">
        <f>ROUNDDOWN((LineærRegression_Valg[[#This Row],[Tabel ID]]-1)/$B$5,0)+1</f>
        <v>529</v>
      </c>
      <c r="C2126" s="171">
        <f t="shared" si="33"/>
        <v>4</v>
      </c>
      <c r="D2126" s="171" t="b">
        <f>LineærRegression_Valg[[#This Row],[Afhængig variabel ID]]&lt;&gt;LineærRegression_Valg[[#This Row],[Uafhængig variabel ID]]</f>
        <v>1</v>
      </c>
      <c r="E2126" s="171" t="b">
        <f>LineærRegression_Valg[[#This Row],[Afhængig variabel ID]]&lt;=$B$5</f>
        <v>0</v>
      </c>
      <c r="F2126" t="str" cm="1">
        <f t="array" ref="F2126">IF(LineærRegression_Valg[[#This Row],[Indenfor range]],INDEX(DataTitel_liste,LineærRegression_Valg[[#This Row],[Afhængig variabel ID]]),INDEX(DataTitel_liste,1))</f>
        <v>Eksempel 1 (interval)</v>
      </c>
      <c r="G2126" s="171" t="str" cm="1">
        <f t="array" ref="G2126">IF(LineærRegression_Valg[[#This Row],[Indenfor range]],IF(LineærRegression_Valg[[#This Row],[Intet overlap]],INDEX(DataTitel_liste,LineærRegression_Valg[[#This Row],[Uafhængig variabel ID]]),INDEX(DataTitel_liste,IF(LineærRegression_Valg[[#This Row],[Afhængig variabel ID]]=1,2,1))),$B$7)</f>
        <v>Eksempel 2 (interval)</v>
      </c>
      <c r="H2126" s="171">
        <f>_xlfn.AGGREGATE(2,5,LineærRegression_Valg[[#This Row],[Tabel ID]])</f>
        <v>1</v>
      </c>
    </row>
    <row r="2127" spans="1:8" x14ac:dyDescent="0.2">
      <c r="A2127">
        <f>ROW(LineærRegression_Valg[[#This Row],[Tabel ID]])-ROW(LineærRegression_Valg[[#Headers],[Tabel ID]])</f>
        <v>2117</v>
      </c>
      <c r="B2127" s="171">
        <f>ROUNDDOWN((LineærRegression_Valg[[#This Row],[Tabel ID]]-1)/$B$5,0)+1</f>
        <v>530</v>
      </c>
      <c r="C2127" s="171">
        <f t="shared" si="33"/>
        <v>1</v>
      </c>
      <c r="D2127" s="171" t="b">
        <f>LineærRegression_Valg[[#This Row],[Afhængig variabel ID]]&lt;&gt;LineærRegression_Valg[[#This Row],[Uafhængig variabel ID]]</f>
        <v>1</v>
      </c>
      <c r="E2127" s="171" t="b">
        <f>LineærRegression_Valg[[#This Row],[Afhængig variabel ID]]&lt;=$B$5</f>
        <v>0</v>
      </c>
      <c r="F2127" t="str" cm="1">
        <f t="array" ref="F2127">IF(LineærRegression_Valg[[#This Row],[Indenfor range]],INDEX(DataTitel_liste,LineærRegression_Valg[[#This Row],[Afhængig variabel ID]]),INDEX(DataTitel_liste,1))</f>
        <v>Eksempel 1 (interval)</v>
      </c>
      <c r="G2127" s="171" t="str" cm="1">
        <f t="array" ref="G2127">IF(LineærRegression_Valg[[#This Row],[Indenfor range]],IF(LineærRegression_Valg[[#This Row],[Intet overlap]],INDEX(DataTitel_liste,LineærRegression_Valg[[#This Row],[Uafhængig variabel ID]]),INDEX(DataTitel_liste,IF(LineærRegression_Valg[[#This Row],[Afhængig variabel ID]]=1,2,1))),$B$7)</f>
        <v>Eksempel 2 (interval)</v>
      </c>
      <c r="H2127" s="171">
        <f>_xlfn.AGGREGATE(2,5,LineærRegression_Valg[[#This Row],[Tabel ID]])</f>
        <v>1</v>
      </c>
    </row>
    <row r="2128" spans="1:8" x14ac:dyDescent="0.2">
      <c r="A2128">
        <f>ROW(LineærRegression_Valg[[#This Row],[Tabel ID]])-ROW(LineærRegression_Valg[[#Headers],[Tabel ID]])</f>
        <v>2118</v>
      </c>
      <c r="B2128" s="171">
        <f>ROUNDDOWN((LineærRegression_Valg[[#This Row],[Tabel ID]]-1)/$B$5,0)+1</f>
        <v>530</v>
      </c>
      <c r="C2128" s="171">
        <f t="shared" si="33"/>
        <v>2</v>
      </c>
      <c r="D2128" s="171" t="b">
        <f>LineærRegression_Valg[[#This Row],[Afhængig variabel ID]]&lt;&gt;LineærRegression_Valg[[#This Row],[Uafhængig variabel ID]]</f>
        <v>1</v>
      </c>
      <c r="E2128" s="171" t="b">
        <f>LineærRegression_Valg[[#This Row],[Afhængig variabel ID]]&lt;=$B$5</f>
        <v>0</v>
      </c>
      <c r="F2128" t="str" cm="1">
        <f t="array" ref="F2128">IF(LineærRegression_Valg[[#This Row],[Indenfor range]],INDEX(DataTitel_liste,LineærRegression_Valg[[#This Row],[Afhængig variabel ID]]),INDEX(DataTitel_liste,1))</f>
        <v>Eksempel 1 (interval)</v>
      </c>
      <c r="G2128" s="171" t="str" cm="1">
        <f t="array" ref="G2128">IF(LineærRegression_Valg[[#This Row],[Indenfor range]],IF(LineærRegression_Valg[[#This Row],[Intet overlap]],INDEX(DataTitel_liste,LineærRegression_Valg[[#This Row],[Uafhængig variabel ID]]),INDEX(DataTitel_liste,IF(LineærRegression_Valg[[#This Row],[Afhængig variabel ID]]=1,2,1))),$B$7)</f>
        <v>Eksempel 2 (interval)</v>
      </c>
      <c r="H2128" s="171">
        <f>_xlfn.AGGREGATE(2,5,LineærRegression_Valg[[#This Row],[Tabel ID]])</f>
        <v>1</v>
      </c>
    </row>
    <row r="2129" spans="1:8" x14ac:dyDescent="0.2">
      <c r="A2129">
        <f>ROW(LineærRegression_Valg[[#This Row],[Tabel ID]])-ROW(LineærRegression_Valg[[#Headers],[Tabel ID]])</f>
        <v>2119</v>
      </c>
      <c r="B2129" s="171">
        <f>ROUNDDOWN((LineærRegression_Valg[[#This Row],[Tabel ID]]-1)/$B$5,0)+1</f>
        <v>530</v>
      </c>
      <c r="C2129" s="171">
        <f t="shared" si="33"/>
        <v>3</v>
      </c>
      <c r="D2129" s="171" t="b">
        <f>LineærRegression_Valg[[#This Row],[Afhængig variabel ID]]&lt;&gt;LineærRegression_Valg[[#This Row],[Uafhængig variabel ID]]</f>
        <v>1</v>
      </c>
      <c r="E2129" s="171" t="b">
        <f>LineærRegression_Valg[[#This Row],[Afhængig variabel ID]]&lt;=$B$5</f>
        <v>0</v>
      </c>
      <c r="F2129" t="str" cm="1">
        <f t="array" ref="F2129">IF(LineærRegression_Valg[[#This Row],[Indenfor range]],INDEX(DataTitel_liste,LineærRegression_Valg[[#This Row],[Afhængig variabel ID]]),INDEX(DataTitel_liste,1))</f>
        <v>Eksempel 1 (interval)</v>
      </c>
      <c r="G2129" s="171" t="str" cm="1">
        <f t="array" ref="G2129">IF(LineærRegression_Valg[[#This Row],[Indenfor range]],IF(LineærRegression_Valg[[#This Row],[Intet overlap]],INDEX(DataTitel_liste,LineærRegression_Valg[[#This Row],[Uafhængig variabel ID]]),INDEX(DataTitel_liste,IF(LineærRegression_Valg[[#This Row],[Afhængig variabel ID]]=1,2,1))),$B$7)</f>
        <v>Eksempel 2 (interval)</v>
      </c>
      <c r="H2129" s="171">
        <f>_xlfn.AGGREGATE(2,5,LineærRegression_Valg[[#This Row],[Tabel ID]])</f>
        <v>1</v>
      </c>
    </row>
    <row r="2130" spans="1:8" x14ac:dyDescent="0.2">
      <c r="A2130">
        <f>ROW(LineærRegression_Valg[[#This Row],[Tabel ID]])-ROW(LineærRegression_Valg[[#Headers],[Tabel ID]])</f>
        <v>2120</v>
      </c>
      <c r="B2130" s="171">
        <f>ROUNDDOWN((LineærRegression_Valg[[#This Row],[Tabel ID]]-1)/$B$5,0)+1</f>
        <v>530</v>
      </c>
      <c r="C2130" s="171">
        <f t="shared" si="33"/>
        <v>4</v>
      </c>
      <c r="D2130" s="171" t="b">
        <f>LineærRegression_Valg[[#This Row],[Afhængig variabel ID]]&lt;&gt;LineærRegression_Valg[[#This Row],[Uafhængig variabel ID]]</f>
        <v>1</v>
      </c>
      <c r="E2130" s="171" t="b">
        <f>LineærRegression_Valg[[#This Row],[Afhængig variabel ID]]&lt;=$B$5</f>
        <v>0</v>
      </c>
      <c r="F2130" t="str" cm="1">
        <f t="array" ref="F2130">IF(LineærRegression_Valg[[#This Row],[Indenfor range]],INDEX(DataTitel_liste,LineærRegression_Valg[[#This Row],[Afhængig variabel ID]]),INDEX(DataTitel_liste,1))</f>
        <v>Eksempel 1 (interval)</v>
      </c>
      <c r="G2130" s="171" t="str" cm="1">
        <f t="array" ref="G2130">IF(LineærRegression_Valg[[#This Row],[Indenfor range]],IF(LineærRegression_Valg[[#This Row],[Intet overlap]],INDEX(DataTitel_liste,LineærRegression_Valg[[#This Row],[Uafhængig variabel ID]]),INDEX(DataTitel_liste,IF(LineærRegression_Valg[[#This Row],[Afhængig variabel ID]]=1,2,1))),$B$7)</f>
        <v>Eksempel 2 (interval)</v>
      </c>
      <c r="H2130" s="171">
        <f>_xlfn.AGGREGATE(2,5,LineærRegression_Valg[[#This Row],[Tabel ID]])</f>
        <v>1</v>
      </c>
    </row>
    <row r="2131" spans="1:8" x14ac:dyDescent="0.2">
      <c r="A2131">
        <f>ROW(LineærRegression_Valg[[#This Row],[Tabel ID]])-ROW(LineærRegression_Valg[[#Headers],[Tabel ID]])</f>
        <v>2121</v>
      </c>
      <c r="B2131" s="171">
        <f>ROUNDDOWN((LineærRegression_Valg[[#This Row],[Tabel ID]]-1)/$B$5,0)+1</f>
        <v>531</v>
      </c>
      <c r="C2131" s="171">
        <f t="shared" si="33"/>
        <v>1</v>
      </c>
      <c r="D2131" s="171" t="b">
        <f>LineærRegression_Valg[[#This Row],[Afhængig variabel ID]]&lt;&gt;LineærRegression_Valg[[#This Row],[Uafhængig variabel ID]]</f>
        <v>1</v>
      </c>
      <c r="E2131" s="171" t="b">
        <f>LineærRegression_Valg[[#This Row],[Afhængig variabel ID]]&lt;=$B$5</f>
        <v>0</v>
      </c>
      <c r="F2131" t="str" cm="1">
        <f t="array" ref="F2131">IF(LineærRegression_Valg[[#This Row],[Indenfor range]],INDEX(DataTitel_liste,LineærRegression_Valg[[#This Row],[Afhængig variabel ID]]),INDEX(DataTitel_liste,1))</f>
        <v>Eksempel 1 (interval)</v>
      </c>
      <c r="G2131" s="171" t="str" cm="1">
        <f t="array" ref="G2131">IF(LineærRegression_Valg[[#This Row],[Indenfor range]],IF(LineærRegression_Valg[[#This Row],[Intet overlap]],INDEX(DataTitel_liste,LineærRegression_Valg[[#This Row],[Uafhængig variabel ID]]),INDEX(DataTitel_liste,IF(LineærRegression_Valg[[#This Row],[Afhængig variabel ID]]=1,2,1))),$B$7)</f>
        <v>Eksempel 2 (interval)</v>
      </c>
      <c r="H2131" s="171">
        <f>_xlfn.AGGREGATE(2,5,LineærRegression_Valg[[#This Row],[Tabel ID]])</f>
        <v>1</v>
      </c>
    </row>
    <row r="2132" spans="1:8" x14ac:dyDescent="0.2">
      <c r="A2132">
        <f>ROW(LineærRegression_Valg[[#This Row],[Tabel ID]])-ROW(LineærRegression_Valg[[#Headers],[Tabel ID]])</f>
        <v>2122</v>
      </c>
      <c r="B2132" s="171">
        <f>ROUNDDOWN((LineærRegression_Valg[[#This Row],[Tabel ID]]-1)/$B$5,0)+1</f>
        <v>531</v>
      </c>
      <c r="C2132" s="171">
        <f t="shared" si="33"/>
        <v>2</v>
      </c>
      <c r="D2132" s="171" t="b">
        <f>LineærRegression_Valg[[#This Row],[Afhængig variabel ID]]&lt;&gt;LineærRegression_Valg[[#This Row],[Uafhængig variabel ID]]</f>
        <v>1</v>
      </c>
      <c r="E2132" s="171" t="b">
        <f>LineærRegression_Valg[[#This Row],[Afhængig variabel ID]]&lt;=$B$5</f>
        <v>0</v>
      </c>
      <c r="F2132" t="str" cm="1">
        <f t="array" ref="F2132">IF(LineærRegression_Valg[[#This Row],[Indenfor range]],INDEX(DataTitel_liste,LineærRegression_Valg[[#This Row],[Afhængig variabel ID]]),INDEX(DataTitel_liste,1))</f>
        <v>Eksempel 1 (interval)</v>
      </c>
      <c r="G2132" s="171" t="str" cm="1">
        <f t="array" ref="G2132">IF(LineærRegression_Valg[[#This Row],[Indenfor range]],IF(LineærRegression_Valg[[#This Row],[Intet overlap]],INDEX(DataTitel_liste,LineærRegression_Valg[[#This Row],[Uafhængig variabel ID]]),INDEX(DataTitel_liste,IF(LineærRegression_Valg[[#This Row],[Afhængig variabel ID]]=1,2,1))),$B$7)</f>
        <v>Eksempel 2 (interval)</v>
      </c>
      <c r="H2132" s="171">
        <f>_xlfn.AGGREGATE(2,5,LineærRegression_Valg[[#This Row],[Tabel ID]])</f>
        <v>1</v>
      </c>
    </row>
    <row r="2133" spans="1:8" x14ac:dyDescent="0.2">
      <c r="A2133">
        <f>ROW(LineærRegression_Valg[[#This Row],[Tabel ID]])-ROW(LineærRegression_Valg[[#Headers],[Tabel ID]])</f>
        <v>2123</v>
      </c>
      <c r="B2133" s="171">
        <f>ROUNDDOWN((LineærRegression_Valg[[#This Row],[Tabel ID]]-1)/$B$5,0)+1</f>
        <v>531</v>
      </c>
      <c r="C2133" s="171">
        <f t="shared" si="33"/>
        <v>3</v>
      </c>
      <c r="D2133" s="171" t="b">
        <f>LineærRegression_Valg[[#This Row],[Afhængig variabel ID]]&lt;&gt;LineærRegression_Valg[[#This Row],[Uafhængig variabel ID]]</f>
        <v>1</v>
      </c>
      <c r="E2133" s="171" t="b">
        <f>LineærRegression_Valg[[#This Row],[Afhængig variabel ID]]&lt;=$B$5</f>
        <v>0</v>
      </c>
      <c r="F2133" t="str" cm="1">
        <f t="array" ref="F2133">IF(LineærRegression_Valg[[#This Row],[Indenfor range]],INDEX(DataTitel_liste,LineærRegression_Valg[[#This Row],[Afhængig variabel ID]]),INDEX(DataTitel_liste,1))</f>
        <v>Eksempel 1 (interval)</v>
      </c>
      <c r="G2133" s="171" t="str" cm="1">
        <f t="array" ref="G2133">IF(LineærRegression_Valg[[#This Row],[Indenfor range]],IF(LineærRegression_Valg[[#This Row],[Intet overlap]],INDEX(DataTitel_liste,LineærRegression_Valg[[#This Row],[Uafhængig variabel ID]]),INDEX(DataTitel_liste,IF(LineærRegression_Valg[[#This Row],[Afhængig variabel ID]]=1,2,1))),$B$7)</f>
        <v>Eksempel 2 (interval)</v>
      </c>
      <c r="H2133" s="171">
        <f>_xlfn.AGGREGATE(2,5,LineærRegression_Valg[[#This Row],[Tabel ID]])</f>
        <v>1</v>
      </c>
    </row>
    <row r="2134" spans="1:8" x14ac:dyDescent="0.2">
      <c r="A2134">
        <f>ROW(LineærRegression_Valg[[#This Row],[Tabel ID]])-ROW(LineærRegression_Valg[[#Headers],[Tabel ID]])</f>
        <v>2124</v>
      </c>
      <c r="B2134" s="171">
        <f>ROUNDDOWN((LineærRegression_Valg[[#This Row],[Tabel ID]]-1)/$B$5,0)+1</f>
        <v>531</v>
      </c>
      <c r="C2134" s="171">
        <f t="shared" si="33"/>
        <v>4</v>
      </c>
      <c r="D2134" s="171" t="b">
        <f>LineærRegression_Valg[[#This Row],[Afhængig variabel ID]]&lt;&gt;LineærRegression_Valg[[#This Row],[Uafhængig variabel ID]]</f>
        <v>1</v>
      </c>
      <c r="E2134" s="171" t="b">
        <f>LineærRegression_Valg[[#This Row],[Afhængig variabel ID]]&lt;=$B$5</f>
        <v>0</v>
      </c>
      <c r="F2134" t="str" cm="1">
        <f t="array" ref="F2134">IF(LineærRegression_Valg[[#This Row],[Indenfor range]],INDEX(DataTitel_liste,LineærRegression_Valg[[#This Row],[Afhængig variabel ID]]),INDEX(DataTitel_liste,1))</f>
        <v>Eksempel 1 (interval)</v>
      </c>
      <c r="G2134" s="171" t="str" cm="1">
        <f t="array" ref="G2134">IF(LineærRegression_Valg[[#This Row],[Indenfor range]],IF(LineærRegression_Valg[[#This Row],[Intet overlap]],INDEX(DataTitel_liste,LineærRegression_Valg[[#This Row],[Uafhængig variabel ID]]),INDEX(DataTitel_liste,IF(LineærRegression_Valg[[#This Row],[Afhængig variabel ID]]=1,2,1))),$B$7)</f>
        <v>Eksempel 2 (interval)</v>
      </c>
      <c r="H2134" s="171">
        <f>_xlfn.AGGREGATE(2,5,LineærRegression_Valg[[#This Row],[Tabel ID]])</f>
        <v>1</v>
      </c>
    </row>
    <row r="2135" spans="1:8" x14ac:dyDescent="0.2">
      <c r="A2135">
        <f>ROW(LineærRegression_Valg[[#This Row],[Tabel ID]])-ROW(LineærRegression_Valg[[#Headers],[Tabel ID]])</f>
        <v>2125</v>
      </c>
      <c r="B2135" s="171">
        <f>ROUNDDOWN((LineærRegression_Valg[[#This Row],[Tabel ID]]-1)/$B$5,0)+1</f>
        <v>532</v>
      </c>
      <c r="C2135" s="171">
        <f t="shared" si="33"/>
        <v>1</v>
      </c>
      <c r="D2135" s="171" t="b">
        <f>LineærRegression_Valg[[#This Row],[Afhængig variabel ID]]&lt;&gt;LineærRegression_Valg[[#This Row],[Uafhængig variabel ID]]</f>
        <v>1</v>
      </c>
      <c r="E2135" s="171" t="b">
        <f>LineærRegression_Valg[[#This Row],[Afhængig variabel ID]]&lt;=$B$5</f>
        <v>0</v>
      </c>
      <c r="F2135" t="str" cm="1">
        <f t="array" ref="F2135">IF(LineærRegression_Valg[[#This Row],[Indenfor range]],INDEX(DataTitel_liste,LineærRegression_Valg[[#This Row],[Afhængig variabel ID]]),INDEX(DataTitel_liste,1))</f>
        <v>Eksempel 1 (interval)</v>
      </c>
      <c r="G2135" s="171" t="str" cm="1">
        <f t="array" ref="G2135">IF(LineærRegression_Valg[[#This Row],[Indenfor range]],IF(LineærRegression_Valg[[#This Row],[Intet overlap]],INDEX(DataTitel_liste,LineærRegression_Valg[[#This Row],[Uafhængig variabel ID]]),INDEX(DataTitel_liste,IF(LineærRegression_Valg[[#This Row],[Afhængig variabel ID]]=1,2,1))),$B$7)</f>
        <v>Eksempel 2 (interval)</v>
      </c>
      <c r="H2135" s="171">
        <f>_xlfn.AGGREGATE(2,5,LineærRegression_Valg[[#This Row],[Tabel ID]])</f>
        <v>1</v>
      </c>
    </row>
    <row r="2136" spans="1:8" x14ac:dyDescent="0.2">
      <c r="A2136">
        <f>ROW(LineærRegression_Valg[[#This Row],[Tabel ID]])-ROW(LineærRegression_Valg[[#Headers],[Tabel ID]])</f>
        <v>2126</v>
      </c>
      <c r="B2136" s="171">
        <f>ROUNDDOWN((LineærRegression_Valg[[#This Row],[Tabel ID]]-1)/$B$5,0)+1</f>
        <v>532</v>
      </c>
      <c r="C2136" s="171">
        <f t="shared" si="33"/>
        <v>2</v>
      </c>
      <c r="D2136" s="171" t="b">
        <f>LineærRegression_Valg[[#This Row],[Afhængig variabel ID]]&lt;&gt;LineærRegression_Valg[[#This Row],[Uafhængig variabel ID]]</f>
        <v>1</v>
      </c>
      <c r="E2136" s="171" t="b">
        <f>LineærRegression_Valg[[#This Row],[Afhængig variabel ID]]&lt;=$B$5</f>
        <v>0</v>
      </c>
      <c r="F2136" t="str" cm="1">
        <f t="array" ref="F2136">IF(LineærRegression_Valg[[#This Row],[Indenfor range]],INDEX(DataTitel_liste,LineærRegression_Valg[[#This Row],[Afhængig variabel ID]]),INDEX(DataTitel_liste,1))</f>
        <v>Eksempel 1 (interval)</v>
      </c>
      <c r="G2136" s="171" t="str" cm="1">
        <f t="array" ref="G2136">IF(LineærRegression_Valg[[#This Row],[Indenfor range]],IF(LineærRegression_Valg[[#This Row],[Intet overlap]],INDEX(DataTitel_liste,LineærRegression_Valg[[#This Row],[Uafhængig variabel ID]]),INDEX(DataTitel_liste,IF(LineærRegression_Valg[[#This Row],[Afhængig variabel ID]]=1,2,1))),$B$7)</f>
        <v>Eksempel 2 (interval)</v>
      </c>
      <c r="H2136" s="171">
        <f>_xlfn.AGGREGATE(2,5,LineærRegression_Valg[[#This Row],[Tabel ID]])</f>
        <v>1</v>
      </c>
    </row>
    <row r="2137" spans="1:8" x14ac:dyDescent="0.2">
      <c r="A2137">
        <f>ROW(LineærRegression_Valg[[#This Row],[Tabel ID]])-ROW(LineærRegression_Valg[[#Headers],[Tabel ID]])</f>
        <v>2127</v>
      </c>
      <c r="B2137" s="171">
        <f>ROUNDDOWN((LineærRegression_Valg[[#This Row],[Tabel ID]]-1)/$B$5,0)+1</f>
        <v>532</v>
      </c>
      <c r="C2137" s="171">
        <f t="shared" si="33"/>
        <v>3</v>
      </c>
      <c r="D2137" s="171" t="b">
        <f>LineærRegression_Valg[[#This Row],[Afhængig variabel ID]]&lt;&gt;LineærRegression_Valg[[#This Row],[Uafhængig variabel ID]]</f>
        <v>1</v>
      </c>
      <c r="E2137" s="171" t="b">
        <f>LineærRegression_Valg[[#This Row],[Afhængig variabel ID]]&lt;=$B$5</f>
        <v>0</v>
      </c>
      <c r="F2137" t="str" cm="1">
        <f t="array" ref="F2137">IF(LineærRegression_Valg[[#This Row],[Indenfor range]],INDEX(DataTitel_liste,LineærRegression_Valg[[#This Row],[Afhængig variabel ID]]),INDEX(DataTitel_liste,1))</f>
        <v>Eksempel 1 (interval)</v>
      </c>
      <c r="G2137" s="171" t="str" cm="1">
        <f t="array" ref="G2137">IF(LineærRegression_Valg[[#This Row],[Indenfor range]],IF(LineærRegression_Valg[[#This Row],[Intet overlap]],INDEX(DataTitel_liste,LineærRegression_Valg[[#This Row],[Uafhængig variabel ID]]),INDEX(DataTitel_liste,IF(LineærRegression_Valg[[#This Row],[Afhængig variabel ID]]=1,2,1))),$B$7)</f>
        <v>Eksempel 2 (interval)</v>
      </c>
      <c r="H2137" s="171">
        <f>_xlfn.AGGREGATE(2,5,LineærRegression_Valg[[#This Row],[Tabel ID]])</f>
        <v>1</v>
      </c>
    </row>
    <row r="2138" spans="1:8" x14ac:dyDescent="0.2">
      <c r="A2138">
        <f>ROW(LineærRegression_Valg[[#This Row],[Tabel ID]])-ROW(LineærRegression_Valg[[#Headers],[Tabel ID]])</f>
        <v>2128</v>
      </c>
      <c r="B2138" s="171">
        <f>ROUNDDOWN((LineærRegression_Valg[[#This Row],[Tabel ID]]-1)/$B$5,0)+1</f>
        <v>532</v>
      </c>
      <c r="C2138" s="171">
        <f t="shared" si="33"/>
        <v>4</v>
      </c>
      <c r="D2138" s="171" t="b">
        <f>LineærRegression_Valg[[#This Row],[Afhængig variabel ID]]&lt;&gt;LineærRegression_Valg[[#This Row],[Uafhængig variabel ID]]</f>
        <v>1</v>
      </c>
      <c r="E2138" s="171" t="b">
        <f>LineærRegression_Valg[[#This Row],[Afhængig variabel ID]]&lt;=$B$5</f>
        <v>0</v>
      </c>
      <c r="F2138" t="str" cm="1">
        <f t="array" ref="F2138">IF(LineærRegression_Valg[[#This Row],[Indenfor range]],INDEX(DataTitel_liste,LineærRegression_Valg[[#This Row],[Afhængig variabel ID]]),INDEX(DataTitel_liste,1))</f>
        <v>Eksempel 1 (interval)</v>
      </c>
      <c r="G2138" s="171" t="str" cm="1">
        <f t="array" ref="G2138">IF(LineærRegression_Valg[[#This Row],[Indenfor range]],IF(LineærRegression_Valg[[#This Row],[Intet overlap]],INDEX(DataTitel_liste,LineærRegression_Valg[[#This Row],[Uafhængig variabel ID]]),INDEX(DataTitel_liste,IF(LineærRegression_Valg[[#This Row],[Afhængig variabel ID]]=1,2,1))),$B$7)</f>
        <v>Eksempel 2 (interval)</v>
      </c>
      <c r="H2138" s="171">
        <f>_xlfn.AGGREGATE(2,5,LineærRegression_Valg[[#This Row],[Tabel ID]])</f>
        <v>1</v>
      </c>
    </row>
    <row r="2139" spans="1:8" x14ac:dyDescent="0.2">
      <c r="A2139">
        <f>ROW(LineærRegression_Valg[[#This Row],[Tabel ID]])-ROW(LineærRegression_Valg[[#Headers],[Tabel ID]])</f>
        <v>2129</v>
      </c>
      <c r="B2139" s="171">
        <f>ROUNDDOWN((LineærRegression_Valg[[#This Row],[Tabel ID]]-1)/$B$5,0)+1</f>
        <v>533</v>
      </c>
      <c r="C2139" s="171">
        <f t="shared" si="33"/>
        <v>1</v>
      </c>
      <c r="D2139" s="171" t="b">
        <f>LineærRegression_Valg[[#This Row],[Afhængig variabel ID]]&lt;&gt;LineærRegression_Valg[[#This Row],[Uafhængig variabel ID]]</f>
        <v>1</v>
      </c>
      <c r="E2139" s="171" t="b">
        <f>LineærRegression_Valg[[#This Row],[Afhængig variabel ID]]&lt;=$B$5</f>
        <v>0</v>
      </c>
      <c r="F2139" t="str" cm="1">
        <f t="array" ref="F2139">IF(LineærRegression_Valg[[#This Row],[Indenfor range]],INDEX(DataTitel_liste,LineærRegression_Valg[[#This Row],[Afhængig variabel ID]]),INDEX(DataTitel_liste,1))</f>
        <v>Eksempel 1 (interval)</v>
      </c>
      <c r="G2139" s="171" t="str" cm="1">
        <f t="array" ref="G2139">IF(LineærRegression_Valg[[#This Row],[Indenfor range]],IF(LineærRegression_Valg[[#This Row],[Intet overlap]],INDEX(DataTitel_liste,LineærRegression_Valg[[#This Row],[Uafhængig variabel ID]]),INDEX(DataTitel_liste,IF(LineærRegression_Valg[[#This Row],[Afhængig variabel ID]]=1,2,1))),$B$7)</f>
        <v>Eksempel 2 (interval)</v>
      </c>
      <c r="H2139" s="171">
        <f>_xlfn.AGGREGATE(2,5,LineærRegression_Valg[[#This Row],[Tabel ID]])</f>
        <v>1</v>
      </c>
    </row>
    <row r="2140" spans="1:8" x14ac:dyDescent="0.2">
      <c r="A2140">
        <f>ROW(LineærRegression_Valg[[#This Row],[Tabel ID]])-ROW(LineærRegression_Valg[[#Headers],[Tabel ID]])</f>
        <v>2130</v>
      </c>
      <c r="B2140" s="171">
        <f>ROUNDDOWN((LineærRegression_Valg[[#This Row],[Tabel ID]]-1)/$B$5,0)+1</f>
        <v>533</v>
      </c>
      <c r="C2140" s="171">
        <f t="shared" si="33"/>
        <v>2</v>
      </c>
      <c r="D2140" s="171" t="b">
        <f>LineærRegression_Valg[[#This Row],[Afhængig variabel ID]]&lt;&gt;LineærRegression_Valg[[#This Row],[Uafhængig variabel ID]]</f>
        <v>1</v>
      </c>
      <c r="E2140" s="171" t="b">
        <f>LineærRegression_Valg[[#This Row],[Afhængig variabel ID]]&lt;=$B$5</f>
        <v>0</v>
      </c>
      <c r="F2140" t="str" cm="1">
        <f t="array" ref="F2140">IF(LineærRegression_Valg[[#This Row],[Indenfor range]],INDEX(DataTitel_liste,LineærRegression_Valg[[#This Row],[Afhængig variabel ID]]),INDEX(DataTitel_liste,1))</f>
        <v>Eksempel 1 (interval)</v>
      </c>
      <c r="G2140" s="171" t="str" cm="1">
        <f t="array" ref="G2140">IF(LineærRegression_Valg[[#This Row],[Indenfor range]],IF(LineærRegression_Valg[[#This Row],[Intet overlap]],INDEX(DataTitel_liste,LineærRegression_Valg[[#This Row],[Uafhængig variabel ID]]),INDEX(DataTitel_liste,IF(LineærRegression_Valg[[#This Row],[Afhængig variabel ID]]=1,2,1))),$B$7)</f>
        <v>Eksempel 2 (interval)</v>
      </c>
      <c r="H2140" s="171">
        <f>_xlfn.AGGREGATE(2,5,LineærRegression_Valg[[#This Row],[Tabel ID]])</f>
        <v>1</v>
      </c>
    </row>
    <row r="2141" spans="1:8" x14ac:dyDescent="0.2">
      <c r="A2141">
        <f>ROW(LineærRegression_Valg[[#This Row],[Tabel ID]])-ROW(LineærRegression_Valg[[#Headers],[Tabel ID]])</f>
        <v>2131</v>
      </c>
      <c r="B2141" s="171">
        <f>ROUNDDOWN((LineærRegression_Valg[[#This Row],[Tabel ID]]-1)/$B$5,0)+1</f>
        <v>533</v>
      </c>
      <c r="C2141" s="171">
        <f t="shared" si="33"/>
        <v>3</v>
      </c>
      <c r="D2141" s="171" t="b">
        <f>LineærRegression_Valg[[#This Row],[Afhængig variabel ID]]&lt;&gt;LineærRegression_Valg[[#This Row],[Uafhængig variabel ID]]</f>
        <v>1</v>
      </c>
      <c r="E2141" s="171" t="b">
        <f>LineærRegression_Valg[[#This Row],[Afhængig variabel ID]]&lt;=$B$5</f>
        <v>0</v>
      </c>
      <c r="F2141" t="str" cm="1">
        <f t="array" ref="F2141">IF(LineærRegression_Valg[[#This Row],[Indenfor range]],INDEX(DataTitel_liste,LineærRegression_Valg[[#This Row],[Afhængig variabel ID]]),INDEX(DataTitel_liste,1))</f>
        <v>Eksempel 1 (interval)</v>
      </c>
      <c r="G2141" s="171" t="str" cm="1">
        <f t="array" ref="G2141">IF(LineærRegression_Valg[[#This Row],[Indenfor range]],IF(LineærRegression_Valg[[#This Row],[Intet overlap]],INDEX(DataTitel_liste,LineærRegression_Valg[[#This Row],[Uafhængig variabel ID]]),INDEX(DataTitel_liste,IF(LineærRegression_Valg[[#This Row],[Afhængig variabel ID]]=1,2,1))),$B$7)</f>
        <v>Eksempel 2 (interval)</v>
      </c>
      <c r="H2141" s="171">
        <f>_xlfn.AGGREGATE(2,5,LineærRegression_Valg[[#This Row],[Tabel ID]])</f>
        <v>1</v>
      </c>
    </row>
    <row r="2142" spans="1:8" x14ac:dyDescent="0.2">
      <c r="A2142">
        <f>ROW(LineærRegression_Valg[[#This Row],[Tabel ID]])-ROW(LineærRegression_Valg[[#Headers],[Tabel ID]])</f>
        <v>2132</v>
      </c>
      <c r="B2142" s="171">
        <f>ROUNDDOWN((LineærRegression_Valg[[#This Row],[Tabel ID]]-1)/$B$5,0)+1</f>
        <v>533</v>
      </c>
      <c r="C2142" s="171">
        <f t="shared" si="33"/>
        <v>4</v>
      </c>
      <c r="D2142" s="171" t="b">
        <f>LineærRegression_Valg[[#This Row],[Afhængig variabel ID]]&lt;&gt;LineærRegression_Valg[[#This Row],[Uafhængig variabel ID]]</f>
        <v>1</v>
      </c>
      <c r="E2142" s="171" t="b">
        <f>LineærRegression_Valg[[#This Row],[Afhængig variabel ID]]&lt;=$B$5</f>
        <v>0</v>
      </c>
      <c r="F2142" t="str" cm="1">
        <f t="array" ref="F2142">IF(LineærRegression_Valg[[#This Row],[Indenfor range]],INDEX(DataTitel_liste,LineærRegression_Valg[[#This Row],[Afhængig variabel ID]]),INDEX(DataTitel_liste,1))</f>
        <v>Eksempel 1 (interval)</v>
      </c>
      <c r="G2142" s="171" t="str" cm="1">
        <f t="array" ref="G2142">IF(LineærRegression_Valg[[#This Row],[Indenfor range]],IF(LineærRegression_Valg[[#This Row],[Intet overlap]],INDEX(DataTitel_liste,LineærRegression_Valg[[#This Row],[Uafhængig variabel ID]]),INDEX(DataTitel_liste,IF(LineærRegression_Valg[[#This Row],[Afhængig variabel ID]]=1,2,1))),$B$7)</f>
        <v>Eksempel 2 (interval)</v>
      </c>
      <c r="H2142" s="171">
        <f>_xlfn.AGGREGATE(2,5,LineærRegression_Valg[[#This Row],[Tabel ID]])</f>
        <v>1</v>
      </c>
    </row>
    <row r="2143" spans="1:8" x14ac:dyDescent="0.2">
      <c r="A2143">
        <f>ROW(LineærRegression_Valg[[#This Row],[Tabel ID]])-ROW(LineærRegression_Valg[[#Headers],[Tabel ID]])</f>
        <v>2133</v>
      </c>
      <c r="B2143" s="171">
        <f>ROUNDDOWN((LineærRegression_Valg[[#This Row],[Tabel ID]]-1)/$B$5,0)+1</f>
        <v>534</v>
      </c>
      <c r="C2143" s="171">
        <f t="shared" si="33"/>
        <v>1</v>
      </c>
      <c r="D2143" s="171" t="b">
        <f>LineærRegression_Valg[[#This Row],[Afhængig variabel ID]]&lt;&gt;LineærRegression_Valg[[#This Row],[Uafhængig variabel ID]]</f>
        <v>1</v>
      </c>
      <c r="E2143" s="171" t="b">
        <f>LineærRegression_Valg[[#This Row],[Afhængig variabel ID]]&lt;=$B$5</f>
        <v>0</v>
      </c>
      <c r="F2143" t="str" cm="1">
        <f t="array" ref="F2143">IF(LineærRegression_Valg[[#This Row],[Indenfor range]],INDEX(DataTitel_liste,LineærRegression_Valg[[#This Row],[Afhængig variabel ID]]),INDEX(DataTitel_liste,1))</f>
        <v>Eksempel 1 (interval)</v>
      </c>
      <c r="G2143" s="171" t="str" cm="1">
        <f t="array" ref="G2143">IF(LineærRegression_Valg[[#This Row],[Indenfor range]],IF(LineærRegression_Valg[[#This Row],[Intet overlap]],INDEX(DataTitel_liste,LineærRegression_Valg[[#This Row],[Uafhængig variabel ID]]),INDEX(DataTitel_liste,IF(LineærRegression_Valg[[#This Row],[Afhængig variabel ID]]=1,2,1))),$B$7)</f>
        <v>Eksempel 2 (interval)</v>
      </c>
      <c r="H2143" s="171">
        <f>_xlfn.AGGREGATE(2,5,LineærRegression_Valg[[#This Row],[Tabel ID]])</f>
        <v>1</v>
      </c>
    </row>
    <row r="2144" spans="1:8" x14ac:dyDescent="0.2">
      <c r="A2144">
        <f>ROW(LineærRegression_Valg[[#This Row],[Tabel ID]])-ROW(LineærRegression_Valg[[#Headers],[Tabel ID]])</f>
        <v>2134</v>
      </c>
      <c r="B2144" s="171">
        <f>ROUNDDOWN((LineærRegression_Valg[[#This Row],[Tabel ID]]-1)/$B$5,0)+1</f>
        <v>534</v>
      </c>
      <c r="C2144" s="171">
        <f t="shared" si="33"/>
        <v>2</v>
      </c>
      <c r="D2144" s="171" t="b">
        <f>LineærRegression_Valg[[#This Row],[Afhængig variabel ID]]&lt;&gt;LineærRegression_Valg[[#This Row],[Uafhængig variabel ID]]</f>
        <v>1</v>
      </c>
      <c r="E2144" s="171" t="b">
        <f>LineærRegression_Valg[[#This Row],[Afhængig variabel ID]]&lt;=$B$5</f>
        <v>0</v>
      </c>
      <c r="F2144" t="str" cm="1">
        <f t="array" ref="F2144">IF(LineærRegression_Valg[[#This Row],[Indenfor range]],INDEX(DataTitel_liste,LineærRegression_Valg[[#This Row],[Afhængig variabel ID]]),INDEX(DataTitel_liste,1))</f>
        <v>Eksempel 1 (interval)</v>
      </c>
      <c r="G2144" s="171" t="str" cm="1">
        <f t="array" ref="G2144">IF(LineærRegression_Valg[[#This Row],[Indenfor range]],IF(LineærRegression_Valg[[#This Row],[Intet overlap]],INDEX(DataTitel_liste,LineærRegression_Valg[[#This Row],[Uafhængig variabel ID]]),INDEX(DataTitel_liste,IF(LineærRegression_Valg[[#This Row],[Afhængig variabel ID]]=1,2,1))),$B$7)</f>
        <v>Eksempel 2 (interval)</v>
      </c>
      <c r="H2144" s="171">
        <f>_xlfn.AGGREGATE(2,5,LineærRegression_Valg[[#This Row],[Tabel ID]])</f>
        <v>1</v>
      </c>
    </row>
    <row r="2145" spans="1:8" x14ac:dyDescent="0.2">
      <c r="A2145">
        <f>ROW(LineærRegression_Valg[[#This Row],[Tabel ID]])-ROW(LineærRegression_Valg[[#Headers],[Tabel ID]])</f>
        <v>2135</v>
      </c>
      <c r="B2145" s="171">
        <f>ROUNDDOWN((LineærRegression_Valg[[#This Row],[Tabel ID]]-1)/$B$5,0)+1</f>
        <v>534</v>
      </c>
      <c r="C2145" s="171">
        <f t="shared" si="33"/>
        <v>3</v>
      </c>
      <c r="D2145" s="171" t="b">
        <f>LineærRegression_Valg[[#This Row],[Afhængig variabel ID]]&lt;&gt;LineærRegression_Valg[[#This Row],[Uafhængig variabel ID]]</f>
        <v>1</v>
      </c>
      <c r="E2145" s="171" t="b">
        <f>LineærRegression_Valg[[#This Row],[Afhængig variabel ID]]&lt;=$B$5</f>
        <v>0</v>
      </c>
      <c r="F2145" t="str" cm="1">
        <f t="array" ref="F2145">IF(LineærRegression_Valg[[#This Row],[Indenfor range]],INDEX(DataTitel_liste,LineærRegression_Valg[[#This Row],[Afhængig variabel ID]]),INDEX(DataTitel_liste,1))</f>
        <v>Eksempel 1 (interval)</v>
      </c>
      <c r="G2145" s="171" t="str" cm="1">
        <f t="array" ref="G2145">IF(LineærRegression_Valg[[#This Row],[Indenfor range]],IF(LineærRegression_Valg[[#This Row],[Intet overlap]],INDEX(DataTitel_liste,LineærRegression_Valg[[#This Row],[Uafhængig variabel ID]]),INDEX(DataTitel_liste,IF(LineærRegression_Valg[[#This Row],[Afhængig variabel ID]]=1,2,1))),$B$7)</f>
        <v>Eksempel 2 (interval)</v>
      </c>
      <c r="H2145" s="171">
        <f>_xlfn.AGGREGATE(2,5,LineærRegression_Valg[[#This Row],[Tabel ID]])</f>
        <v>1</v>
      </c>
    </row>
    <row r="2146" spans="1:8" x14ac:dyDescent="0.2">
      <c r="A2146">
        <f>ROW(LineærRegression_Valg[[#This Row],[Tabel ID]])-ROW(LineærRegression_Valg[[#Headers],[Tabel ID]])</f>
        <v>2136</v>
      </c>
      <c r="B2146" s="171">
        <f>ROUNDDOWN((LineærRegression_Valg[[#This Row],[Tabel ID]]-1)/$B$5,0)+1</f>
        <v>534</v>
      </c>
      <c r="C2146" s="171">
        <f t="shared" si="33"/>
        <v>4</v>
      </c>
      <c r="D2146" s="171" t="b">
        <f>LineærRegression_Valg[[#This Row],[Afhængig variabel ID]]&lt;&gt;LineærRegression_Valg[[#This Row],[Uafhængig variabel ID]]</f>
        <v>1</v>
      </c>
      <c r="E2146" s="171" t="b">
        <f>LineærRegression_Valg[[#This Row],[Afhængig variabel ID]]&lt;=$B$5</f>
        <v>0</v>
      </c>
      <c r="F2146" t="str" cm="1">
        <f t="array" ref="F2146">IF(LineærRegression_Valg[[#This Row],[Indenfor range]],INDEX(DataTitel_liste,LineærRegression_Valg[[#This Row],[Afhængig variabel ID]]),INDEX(DataTitel_liste,1))</f>
        <v>Eksempel 1 (interval)</v>
      </c>
      <c r="G2146" s="171" t="str" cm="1">
        <f t="array" ref="G2146">IF(LineærRegression_Valg[[#This Row],[Indenfor range]],IF(LineærRegression_Valg[[#This Row],[Intet overlap]],INDEX(DataTitel_liste,LineærRegression_Valg[[#This Row],[Uafhængig variabel ID]]),INDEX(DataTitel_liste,IF(LineærRegression_Valg[[#This Row],[Afhængig variabel ID]]=1,2,1))),$B$7)</f>
        <v>Eksempel 2 (interval)</v>
      </c>
      <c r="H2146" s="171">
        <f>_xlfn.AGGREGATE(2,5,LineærRegression_Valg[[#This Row],[Tabel ID]])</f>
        <v>1</v>
      </c>
    </row>
    <row r="2147" spans="1:8" x14ac:dyDescent="0.2">
      <c r="A2147">
        <f>ROW(LineærRegression_Valg[[#This Row],[Tabel ID]])-ROW(LineærRegression_Valg[[#Headers],[Tabel ID]])</f>
        <v>2137</v>
      </c>
      <c r="B2147" s="171">
        <f>ROUNDDOWN((LineærRegression_Valg[[#This Row],[Tabel ID]]-1)/$B$5,0)+1</f>
        <v>535</v>
      </c>
      <c r="C2147" s="171">
        <f t="shared" si="33"/>
        <v>1</v>
      </c>
      <c r="D2147" s="171" t="b">
        <f>LineærRegression_Valg[[#This Row],[Afhængig variabel ID]]&lt;&gt;LineærRegression_Valg[[#This Row],[Uafhængig variabel ID]]</f>
        <v>1</v>
      </c>
      <c r="E2147" s="171" t="b">
        <f>LineærRegression_Valg[[#This Row],[Afhængig variabel ID]]&lt;=$B$5</f>
        <v>0</v>
      </c>
      <c r="F2147" t="str" cm="1">
        <f t="array" ref="F2147">IF(LineærRegression_Valg[[#This Row],[Indenfor range]],INDEX(DataTitel_liste,LineærRegression_Valg[[#This Row],[Afhængig variabel ID]]),INDEX(DataTitel_liste,1))</f>
        <v>Eksempel 1 (interval)</v>
      </c>
      <c r="G2147" s="171" t="str" cm="1">
        <f t="array" ref="G2147">IF(LineærRegression_Valg[[#This Row],[Indenfor range]],IF(LineærRegression_Valg[[#This Row],[Intet overlap]],INDEX(DataTitel_liste,LineærRegression_Valg[[#This Row],[Uafhængig variabel ID]]),INDEX(DataTitel_liste,IF(LineærRegression_Valg[[#This Row],[Afhængig variabel ID]]=1,2,1))),$B$7)</f>
        <v>Eksempel 2 (interval)</v>
      </c>
      <c r="H2147" s="171">
        <f>_xlfn.AGGREGATE(2,5,LineærRegression_Valg[[#This Row],[Tabel ID]])</f>
        <v>1</v>
      </c>
    </row>
    <row r="2148" spans="1:8" x14ac:dyDescent="0.2">
      <c r="A2148">
        <f>ROW(LineærRegression_Valg[[#This Row],[Tabel ID]])-ROW(LineærRegression_Valg[[#Headers],[Tabel ID]])</f>
        <v>2138</v>
      </c>
      <c r="B2148" s="171">
        <f>ROUNDDOWN((LineærRegression_Valg[[#This Row],[Tabel ID]]-1)/$B$5,0)+1</f>
        <v>535</v>
      </c>
      <c r="C2148" s="171">
        <f t="shared" si="33"/>
        <v>2</v>
      </c>
      <c r="D2148" s="171" t="b">
        <f>LineærRegression_Valg[[#This Row],[Afhængig variabel ID]]&lt;&gt;LineærRegression_Valg[[#This Row],[Uafhængig variabel ID]]</f>
        <v>1</v>
      </c>
      <c r="E2148" s="171" t="b">
        <f>LineærRegression_Valg[[#This Row],[Afhængig variabel ID]]&lt;=$B$5</f>
        <v>0</v>
      </c>
      <c r="F2148" t="str" cm="1">
        <f t="array" ref="F2148">IF(LineærRegression_Valg[[#This Row],[Indenfor range]],INDEX(DataTitel_liste,LineærRegression_Valg[[#This Row],[Afhængig variabel ID]]),INDEX(DataTitel_liste,1))</f>
        <v>Eksempel 1 (interval)</v>
      </c>
      <c r="G2148" s="171" t="str" cm="1">
        <f t="array" ref="G2148">IF(LineærRegression_Valg[[#This Row],[Indenfor range]],IF(LineærRegression_Valg[[#This Row],[Intet overlap]],INDEX(DataTitel_liste,LineærRegression_Valg[[#This Row],[Uafhængig variabel ID]]),INDEX(DataTitel_liste,IF(LineærRegression_Valg[[#This Row],[Afhængig variabel ID]]=1,2,1))),$B$7)</f>
        <v>Eksempel 2 (interval)</v>
      </c>
      <c r="H2148" s="171">
        <f>_xlfn.AGGREGATE(2,5,LineærRegression_Valg[[#This Row],[Tabel ID]])</f>
        <v>1</v>
      </c>
    </row>
    <row r="2149" spans="1:8" x14ac:dyDescent="0.2">
      <c r="A2149">
        <f>ROW(LineærRegression_Valg[[#This Row],[Tabel ID]])-ROW(LineærRegression_Valg[[#Headers],[Tabel ID]])</f>
        <v>2139</v>
      </c>
      <c r="B2149" s="171">
        <f>ROUNDDOWN((LineærRegression_Valg[[#This Row],[Tabel ID]]-1)/$B$5,0)+1</f>
        <v>535</v>
      </c>
      <c r="C2149" s="171">
        <f t="shared" si="33"/>
        <v>3</v>
      </c>
      <c r="D2149" s="171" t="b">
        <f>LineærRegression_Valg[[#This Row],[Afhængig variabel ID]]&lt;&gt;LineærRegression_Valg[[#This Row],[Uafhængig variabel ID]]</f>
        <v>1</v>
      </c>
      <c r="E2149" s="171" t="b">
        <f>LineærRegression_Valg[[#This Row],[Afhængig variabel ID]]&lt;=$B$5</f>
        <v>0</v>
      </c>
      <c r="F2149" t="str" cm="1">
        <f t="array" ref="F2149">IF(LineærRegression_Valg[[#This Row],[Indenfor range]],INDEX(DataTitel_liste,LineærRegression_Valg[[#This Row],[Afhængig variabel ID]]),INDEX(DataTitel_liste,1))</f>
        <v>Eksempel 1 (interval)</v>
      </c>
      <c r="G2149" s="171" t="str" cm="1">
        <f t="array" ref="G2149">IF(LineærRegression_Valg[[#This Row],[Indenfor range]],IF(LineærRegression_Valg[[#This Row],[Intet overlap]],INDEX(DataTitel_liste,LineærRegression_Valg[[#This Row],[Uafhængig variabel ID]]),INDEX(DataTitel_liste,IF(LineærRegression_Valg[[#This Row],[Afhængig variabel ID]]=1,2,1))),$B$7)</f>
        <v>Eksempel 2 (interval)</v>
      </c>
      <c r="H2149" s="171">
        <f>_xlfn.AGGREGATE(2,5,LineærRegression_Valg[[#This Row],[Tabel ID]])</f>
        <v>1</v>
      </c>
    </row>
    <row r="2150" spans="1:8" x14ac:dyDescent="0.2">
      <c r="A2150">
        <f>ROW(LineærRegression_Valg[[#This Row],[Tabel ID]])-ROW(LineærRegression_Valg[[#Headers],[Tabel ID]])</f>
        <v>2140</v>
      </c>
      <c r="B2150" s="171">
        <f>ROUNDDOWN((LineærRegression_Valg[[#This Row],[Tabel ID]]-1)/$B$5,0)+1</f>
        <v>535</v>
      </c>
      <c r="C2150" s="171">
        <f t="shared" si="33"/>
        <v>4</v>
      </c>
      <c r="D2150" s="171" t="b">
        <f>LineærRegression_Valg[[#This Row],[Afhængig variabel ID]]&lt;&gt;LineærRegression_Valg[[#This Row],[Uafhængig variabel ID]]</f>
        <v>1</v>
      </c>
      <c r="E2150" s="171" t="b">
        <f>LineærRegression_Valg[[#This Row],[Afhængig variabel ID]]&lt;=$B$5</f>
        <v>0</v>
      </c>
      <c r="F2150" t="str" cm="1">
        <f t="array" ref="F2150">IF(LineærRegression_Valg[[#This Row],[Indenfor range]],INDEX(DataTitel_liste,LineærRegression_Valg[[#This Row],[Afhængig variabel ID]]),INDEX(DataTitel_liste,1))</f>
        <v>Eksempel 1 (interval)</v>
      </c>
      <c r="G2150" s="171" t="str" cm="1">
        <f t="array" ref="G2150">IF(LineærRegression_Valg[[#This Row],[Indenfor range]],IF(LineærRegression_Valg[[#This Row],[Intet overlap]],INDEX(DataTitel_liste,LineærRegression_Valg[[#This Row],[Uafhængig variabel ID]]),INDEX(DataTitel_liste,IF(LineærRegression_Valg[[#This Row],[Afhængig variabel ID]]=1,2,1))),$B$7)</f>
        <v>Eksempel 2 (interval)</v>
      </c>
      <c r="H2150" s="171">
        <f>_xlfn.AGGREGATE(2,5,LineærRegression_Valg[[#This Row],[Tabel ID]])</f>
        <v>1</v>
      </c>
    </row>
    <row r="2151" spans="1:8" x14ac:dyDescent="0.2">
      <c r="A2151">
        <f>ROW(LineærRegression_Valg[[#This Row],[Tabel ID]])-ROW(LineærRegression_Valg[[#Headers],[Tabel ID]])</f>
        <v>2141</v>
      </c>
      <c r="B2151" s="171">
        <f>ROUNDDOWN((LineærRegression_Valg[[#This Row],[Tabel ID]]-1)/$B$5,0)+1</f>
        <v>536</v>
      </c>
      <c r="C2151" s="171">
        <f t="shared" si="33"/>
        <v>1</v>
      </c>
      <c r="D2151" s="171" t="b">
        <f>LineærRegression_Valg[[#This Row],[Afhængig variabel ID]]&lt;&gt;LineærRegression_Valg[[#This Row],[Uafhængig variabel ID]]</f>
        <v>1</v>
      </c>
      <c r="E2151" s="171" t="b">
        <f>LineærRegression_Valg[[#This Row],[Afhængig variabel ID]]&lt;=$B$5</f>
        <v>0</v>
      </c>
      <c r="F2151" t="str" cm="1">
        <f t="array" ref="F2151">IF(LineærRegression_Valg[[#This Row],[Indenfor range]],INDEX(DataTitel_liste,LineærRegression_Valg[[#This Row],[Afhængig variabel ID]]),INDEX(DataTitel_liste,1))</f>
        <v>Eksempel 1 (interval)</v>
      </c>
      <c r="G2151" s="171" t="str" cm="1">
        <f t="array" ref="G2151">IF(LineærRegression_Valg[[#This Row],[Indenfor range]],IF(LineærRegression_Valg[[#This Row],[Intet overlap]],INDEX(DataTitel_liste,LineærRegression_Valg[[#This Row],[Uafhængig variabel ID]]),INDEX(DataTitel_liste,IF(LineærRegression_Valg[[#This Row],[Afhængig variabel ID]]=1,2,1))),$B$7)</f>
        <v>Eksempel 2 (interval)</v>
      </c>
      <c r="H2151" s="171">
        <f>_xlfn.AGGREGATE(2,5,LineærRegression_Valg[[#This Row],[Tabel ID]])</f>
        <v>1</v>
      </c>
    </row>
    <row r="2152" spans="1:8" x14ac:dyDescent="0.2">
      <c r="A2152">
        <f>ROW(LineærRegression_Valg[[#This Row],[Tabel ID]])-ROW(LineærRegression_Valg[[#Headers],[Tabel ID]])</f>
        <v>2142</v>
      </c>
      <c r="B2152" s="171">
        <f>ROUNDDOWN((LineærRegression_Valg[[#This Row],[Tabel ID]]-1)/$B$5,0)+1</f>
        <v>536</v>
      </c>
      <c r="C2152" s="171">
        <f t="shared" si="33"/>
        <v>2</v>
      </c>
      <c r="D2152" s="171" t="b">
        <f>LineærRegression_Valg[[#This Row],[Afhængig variabel ID]]&lt;&gt;LineærRegression_Valg[[#This Row],[Uafhængig variabel ID]]</f>
        <v>1</v>
      </c>
      <c r="E2152" s="171" t="b">
        <f>LineærRegression_Valg[[#This Row],[Afhængig variabel ID]]&lt;=$B$5</f>
        <v>0</v>
      </c>
      <c r="F2152" t="str" cm="1">
        <f t="array" ref="F2152">IF(LineærRegression_Valg[[#This Row],[Indenfor range]],INDEX(DataTitel_liste,LineærRegression_Valg[[#This Row],[Afhængig variabel ID]]),INDEX(DataTitel_liste,1))</f>
        <v>Eksempel 1 (interval)</v>
      </c>
      <c r="G2152" s="171" t="str" cm="1">
        <f t="array" ref="G2152">IF(LineærRegression_Valg[[#This Row],[Indenfor range]],IF(LineærRegression_Valg[[#This Row],[Intet overlap]],INDEX(DataTitel_liste,LineærRegression_Valg[[#This Row],[Uafhængig variabel ID]]),INDEX(DataTitel_liste,IF(LineærRegression_Valg[[#This Row],[Afhængig variabel ID]]=1,2,1))),$B$7)</f>
        <v>Eksempel 2 (interval)</v>
      </c>
      <c r="H2152" s="171">
        <f>_xlfn.AGGREGATE(2,5,LineærRegression_Valg[[#This Row],[Tabel ID]])</f>
        <v>1</v>
      </c>
    </row>
    <row r="2153" spans="1:8" x14ac:dyDescent="0.2">
      <c r="A2153">
        <f>ROW(LineærRegression_Valg[[#This Row],[Tabel ID]])-ROW(LineærRegression_Valg[[#Headers],[Tabel ID]])</f>
        <v>2143</v>
      </c>
      <c r="B2153" s="171">
        <f>ROUNDDOWN((LineærRegression_Valg[[#This Row],[Tabel ID]]-1)/$B$5,0)+1</f>
        <v>536</v>
      </c>
      <c r="C2153" s="171">
        <f t="shared" si="33"/>
        <v>3</v>
      </c>
      <c r="D2153" s="171" t="b">
        <f>LineærRegression_Valg[[#This Row],[Afhængig variabel ID]]&lt;&gt;LineærRegression_Valg[[#This Row],[Uafhængig variabel ID]]</f>
        <v>1</v>
      </c>
      <c r="E2153" s="171" t="b">
        <f>LineærRegression_Valg[[#This Row],[Afhængig variabel ID]]&lt;=$B$5</f>
        <v>0</v>
      </c>
      <c r="F2153" t="str" cm="1">
        <f t="array" ref="F2153">IF(LineærRegression_Valg[[#This Row],[Indenfor range]],INDEX(DataTitel_liste,LineærRegression_Valg[[#This Row],[Afhængig variabel ID]]),INDEX(DataTitel_liste,1))</f>
        <v>Eksempel 1 (interval)</v>
      </c>
      <c r="G2153" s="171" t="str" cm="1">
        <f t="array" ref="G2153">IF(LineærRegression_Valg[[#This Row],[Indenfor range]],IF(LineærRegression_Valg[[#This Row],[Intet overlap]],INDEX(DataTitel_liste,LineærRegression_Valg[[#This Row],[Uafhængig variabel ID]]),INDEX(DataTitel_liste,IF(LineærRegression_Valg[[#This Row],[Afhængig variabel ID]]=1,2,1))),$B$7)</f>
        <v>Eksempel 2 (interval)</v>
      </c>
      <c r="H2153" s="171">
        <f>_xlfn.AGGREGATE(2,5,LineærRegression_Valg[[#This Row],[Tabel ID]])</f>
        <v>1</v>
      </c>
    </row>
    <row r="2154" spans="1:8" x14ac:dyDescent="0.2">
      <c r="A2154">
        <f>ROW(LineærRegression_Valg[[#This Row],[Tabel ID]])-ROW(LineærRegression_Valg[[#Headers],[Tabel ID]])</f>
        <v>2144</v>
      </c>
      <c r="B2154" s="171">
        <f>ROUNDDOWN((LineærRegression_Valg[[#This Row],[Tabel ID]]-1)/$B$5,0)+1</f>
        <v>536</v>
      </c>
      <c r="C2154" s="171">
        <f t="shared" si="33"/>
        <v>4</v>
      </c>
      <c r="D2154" s="171" t="b">
        <f>LineærRegression_Valg[[#This Row],[Afhængig variabel ID]]&lt;&gt;LineærRegression_Valg[[#This Row],[Uafhængig variabel ID]]</f>
        <v>1</v>
      </c>
      <c r="E2154" s="171" t="b">
        <f>LineærRegression_Valg[[#This Row],[Afhængig variabel ID]]&lt;=$B$5</f>
        <v>0</v>
      </c>
      <c r="F2154" t="str" cm="1">
        <f t="array" ref="F2154">IF(LineærRegression_Valg[[#This Row],[Indenfor range]],INDEX(DataTitel_liste,LineærRegression_Valg[[#This Row],[Afhængig variabel ID]]),INDEX(DataTitel_liste,1))</f>
        <v>Eksempel 1 (interval)</v>
      </c>
      <c r="G2154" s="171" t="str" cm="1">
        <f t="array" ref="G2154">IF(LineærRegression_Valg[[#This Row],[Indenfor range]],IF(LineærRegression_Valg[[#This Row],[Intet overlap]],INDEX(DataTitel_liste,LineærRegression_Valg[[#This Row],[Uafhængig variabel ID]]),INDEX(DataTitel_liste,IF(LineærRegression_Valg[[#This Row],[Afhængig variabel ID]]=1,2,1))),$B$7)</f>
        <v>Eksempel 2 (interval)</v>
      </c>
      <c r="H2154" s="171">
        <f>_xlfn.AGGREGATE(2,5,LineærRegression_Valg[[#This Row],[Tabel ID]])</f>
        <v>1</v>
      </c>
    </row>
    <row r="2155" spans="1:8" x14ac:dyDescent="0.2">
      <c r="A2155">
        <f>ROW(LineærRegression_Valg[[#This Row],[Tabel ID]])-ROW(LineærRegression_Valg[[#Headers],[Tabel ID]])</f>
        <v>2145</v>
      </c>
      <c r="B2155" s="171">
        <f>ROUNDDOWN((LineærRegression_Valg[[#This Row],[Tabel ID]]-1)/$B$5,0)+1</f>
        <v>537</v>
      </c>
      <c r="C2155" s="171">
        <f t="shared" si="33"/>
        <v>1</v>
      </c>
      <c r="D2155" s="171" t="b">
        <f>LineærRegression_Valg[[#This Row],[Afhængig variabel ID]]&lt;&gt;LineærRegression_Valg[[#This Row],[Uafhængig variabel ID]]</f>
        <v>1</v>
      </c>
      <c r="E2155" s="171" t="b">
        <f>LineærRegression_Valg[[#This Row],[Afhængig variabel ID]]&lt;=$B$5</f>
        <v>0</v>
      </c>
      <c r="F2155" t="str" cm="1">
        <f t="array" ref="F2155">IF(LineærRegression_Valg[[#This Row],[Indenfor range]],INDEX(DataTitel_liste,LineærRegression_Valg[[#This Row],[Afhængig variabel ID]]),INDEX(DataTitel_liste,1))</f>
        <v>Eksempel 1 (interval)</v>
      </c>
      <c r="G2155" s="171" t="str" cm="1">
        <f t="array" ref="G2155">IF(LineærRegression_Valg[[#This Row],[Indenfor range]],IF(LineærRegression_Valg[[#This Row],[Intet overlap]],INDEX(DataTitel_liste,LineærRegression_Valg[[#This Row],[Uafhængig variabel ID]]),INDEX(DataTitel_liste,IF(LineærRegression_Valg[[#This Row],[Afhængig variabel ID]]=1,2,1))),$B$7)</f>
        <v>Eksempel 2 (interval)</v>
      </c>
      <c r="H2155" s="171">
        <f>_xlfn.AGGREGATE(2,5,LineærRegression_Valg[[#This Row],[Tabel ID]])</f>
        <v>1</v>
      </c>
    </row>
    <row r="2156" spans="1:8" x14ac:dyDescent="0.2">
      <c r="A2156">
        <f>ROW(LineærRegression_Valg[[#This Row],[Tabel ID]])-ROW(LineærRegression_Valg[[#Headers],[Tabel ID]])</f>
        <v>2146</v>
      </c>
      <c r="B2156" s="171">
        <f>ROUNDDOWN((LineærRegression_Valg[[#This Row],[Tabel ID]]-1)/$B$5,0)+1</f>
        <v>537</v>
      </c>
      <c r="C2156" s="171">
        <f t="shared" si="33"/>
        <v>2</v>
      </c>
      <c r="D2156" s="171" t="b">
        <f>LineærRegression_Valg[[#This Row],[Afhængig variabel ID]]&lt;&gt;LineærRegression_Valg[[#This Row],[Uafhængig variabel ID]]</f>
        <v>1</v>
      </c>
      <c r="E2156" s="171" t="b">
        <f>LineærRegression_Valg[[#This Row],[Afhængig variabel ID]]&lt;=$B$5</f>
        <v>0</v>
      </c>
      <c r="F2156" t="str" cm="1">
        <f t="array" ref="F2156">IF(LineærRegression_Valg[[#This Row],[Indenfor range]],INDEX(DataTitel_liste,LineærRegression_Valg[[#This Row],[Afhængig variabel ID]]),INDEX(DataTitel_liste,1))</f>
        <v>Eksempel 1 (interval)</v>
      </c>
      <c r="G2156" s="171" t="str" cm="1">
        <f t="array" ref="G2156">IF(LineærRegression_Valg[[#This Row],[Indenfor range]],IF(LineærRegression_Valg[[#This Row],[Intet overlap]],INDEX(DataTitel_liste,LineærRegression_Valg[[#This Row],[Uafhængig variabel ID]]),INDEX(DataTitel_liste,IF(LineærRegression_Valg[[#This Row],[Afhængig variabel ID]]=1,2,1))),$B$7)</f>
        <v>Eksempel 2 (interval)</v>
      </c>
      <c r="H2156" s="171">
        <f>_xlfn.AGGREGATE(2,5,LineærRegression_Valg[[#This Row],[Tabel ID]])</f>
        <v>1</v>
      </c>
    </row>
    <row r="2157" spans="1:8" x14ac:dyDescent="0.2">
      <c r="A2157">
        <f>ROW(LineærRegression_Valg[[#This Row],[Tabel ID]])-ROW(LineærRegression_Valg[[#Headers],[Tabel ID]])</f>
        <v>2147</v>
      </c>
      <c r="B2157" s="171">
        <f>ROUNDDOWN((LineærRegression_Valg[[#This Row],[Tabel ID]]-1)/$B$5,0)+1</f>
        <v>537</v>
      </c>
      <c r="C2157" s="171">
        <f t="shared" si="33"/>
        <v>3</v>
      </c>
      <c r="D2157" s="171" t="b">
        <f>LineærRegression_Valg[[#This Row],[Afhængig variabel ID]]&lt;&gt;LineærRegression_Valg[[#This Row],[Uafhængig variabel ID]]</f>
        <v>1</v>
      </c>
      <c r="E2157" s="171" t="b">
        <f>LineærRegression_Valg[[#This Row],[Afhængig variabel ID]]&lt;=$B$5</f>
        <v>0</v>
      </c>
      <c r="F2157" t="str" cm="1">
        <f t="array" ref="F2157">IF(LineærRegression_Valg[[#This Row],[Indenfor range]],INDEX(DataTitel_liste,LineærRegression_Valg[[#This Row],[Afhængig variabel ID]]),INDEX(DataTitel_liste,1))</f>
        <v>Eksempel 1 (interval)</v>
      </c>
      <c r="G2157" s="171" t="str" cm="1">
        <f t="array" ref="G2157">IF(LineærRegression_Valg[[#This Row],[Indenfor range]],IF(LineærRegression_Valg[[#This Row],[Intet overlap]],INDEX(DataTitel_liste,LineærRegression_Valg[[#This Row],[Uafhængig variabel ID]]),INDEX(DataTitel_liste,IF(LineærRegression_Valg[[#This Row],[Afhængig variabel ID]]=1,2,1))),$B$7)</f>
        <v>Eksempel 2 (interval)</v>
      </c>
      <c r="H2157" s="171">
        <f>_xlfn.AGGREGATE(2,5,LineærRegression_Valg[[#This Row],[Tabel ID]])</f>
        <v>1</v>
      </c>
    </row>
    <row r="2158" spans="1:8" x14ac:dyDescent="0.2">
      <c r="A2158">
        <f>ROW(LineærRegression_Valg[[#This Row],[Tabel ID]])-ROW(LineærRegression_Valg[[#Headers],[Tabel ID]])</f>
        <v>2148</v>
      </c>
      <c r="B2158" s="171">
        <f>ROUNDDOWN((LineærRegression_Valg[[#This Row],[Tabel ID]]-1)/$B$5,0)+1</f>
        <v>537</v>
      </c>
      <c r="C2158" s="171">
        <f t="shared" si="33"/>
        <v>4</v>
      </c>
      <c r="D2158" s="171" t="b">
        <f>LineærRegression_Valg[[#This Row],[Afhængig variabel ID]]&lt;&gt;LineærRegression_Valg[[#This Row],[Uafhængig variabel ID]]</f>
        <v>1</v>
      </c>
      <c r="E2158" s="171" t="b">
        <f>LineærRegression_Valg[[#This Row],[Afhængig variabel ID]]&lt;=$B$5</f>
        <v>0</v>
      </c>
      <c r="F2158" t="str" cm="1">
        <f t="array" ref="F2158">IF(LineærRegression_Valg[[#This Row],[Indenfor range]],INDEX(DataTitel_liste,LineærRegression_Valg[[#This Row],[Afhængig variabel ID]]),INDEX(DataTitel_liste,1))</f>
        <v>Eksempel 1 (interval)</v>
      </c>
      <c r="G2158" s="171" t="str" cm="1">
        <f t="array" ref="G2158">IF(LineærRegression_Valg[[#This Row],[Indenfor range]],IF(LineærRegression_Valg[[#This Row],[Intet overlap]],INDEX(DataTitel_liste,LineærRegression_Valg[[#This Row],[Uafhængig variabel ID]]),INDEX(DataTitel_liste,IF(LineærRegression_Valg[[#This Row],[Afhængig variabel ID]]=1,2,1))),$B$7)</f>
        <v>Eksempel 2 (interval)</v>
      </c>
      <c r="H2158" s="171">
        <f>_xlfn.AGGREGATE(2,5,LineærRegression_Valg[[#This Row],[Tabel ID]])</f>
        <v>1</v>
      </c>
    </row>
    <row r="2159" spans="1:8" x14ac:dyDescent="0.2">
      <c r="A2159">
        <f>ROW(LineærRegression_Valg[[#This Row],[Tabel ID]])-ROW(LineærRegression_Valg[[#Headers],[Tabel ID]])</f>
        <v>2149</v>
      </c>
      <c r="B2159" s="171">
        <f>ROUNDDOWN((LineærRegression_Valg[[#This Row],[Tabel ID]]-1)/$B$5,0)+1</f>
        <v>538</v>
      </c>
      <c r="C2159" s="171">
        <f t="shared" si="33"/>
        <v>1</v>
      </c>
      <c r="D2159" s="171" t="b">
        <f>LineærRegression_Valg[[#This Row],[Afhængig variabel ID]]&lt;&gt;LineærRegression_Valg[[#This Row],[Uafhængig variabel ID]]</f>
        <v>1</v>
      </c>
      <c r="E2159" s="171" t="b">
        <f>LineærRegression_Valg[[#This Row],[Afhængig variabel ID]]&lt;=$B$5</f>
        <v>0</v>
      </c>
      <c r="F2159" t="str" cm="1">
        <f t="array" ref="F2159">IF(LineærRegression_Valg[[#This Row],[Indenfor range]],INDEX(DataTitel_liste,LineærRegression_Valg[[#This Row],[Afhængig variabel ID]]),INDEX(DataTitel_liste,1))</f>
        <v>Eksempel 1 (interval)</v>
      </c>
      <c r="G2159" s="171" t="str" cm="1">
        <f t="array" ref="G2159">IF(LineærRegression_Valg[[#This Row],[Indenfor range]],IF(LineærRegression_Valg[[#This Row],[Intet overlap]],INDEX(DataTitel_liste,LineærRegression_Valg[[#This Row],[Uafhængig variabel ID]]),INDEX(DataTitel_liste,IF(LineærRegression_Valg[[#This Row],[Afhængig variabel ID]]=1,2,1))),$B$7)</f>
        <v>Eksempel 2 (interval)</v>
      </c>
      <c r="H2159" s="171">
        <f>_xlfn.AGGREGATE(2,5,LineærRegression_Valg[[#This Row],[Tabel ID]])</f>
        <v>1</v>
      </c>
    </row>
    <row r="2160" spans="1:8" x14ac:dyDescent="0.2">
      <c r="A2160">
        <f>ROW(LineærRegression_Valg[[#This Row],[Tabel ID]])-ROW(LineærRegression_Valg[[#Headers],[Tabel ID]])</f>
        <v>2150</v>
      </c>
      <c r="B2160" s="171">
        <f>ROUNDDOWN((LineærRegression_Valg[[#This Row],[Tabel ID]]-1)/$B$5,0)+1</f>
        <v>538</v>
      </c>
      <c r="C2160" s="171">
        <f t="shared" si="33"/>
        <v>2</v>
      </c>
      <c r="D2160" s="171" t="b">
        <f>LineærRegression_Valg[[#This Row],[Afhængig variabel ID]]&lt;&gt;LineærRegression_Valg[[#This Row],[Uafhængig variabel ID]]</f>
        <v>1</v>
      </c>
      <c r="E2160" s="171" t="b">
        <f>LineærRegression_Valg[[#This Row],[Afhængig variabel ID]]&lt;=$B$5</f>
        <v>0</v>
      </c>
      <c r="F2160" t="str" cm="1">
        <f t="array" ref="F2160">IF(LineærRegression_Valg[[#This Row],[Indenfor range]],INDEX(DataTitel_liste,LineærRegression_Valg[[#This Row],[Afhængig variabel ID]]),INDEX(DataTitel_liste,1))</f>
        <v>Eksempel 1 (interval)</v>
      </c>
      <c r="G2160" s="171" t="str" cm="1">
        <f t="array" ref="G2160">IF(LineærRegression_Valg[[#This Row],[Indenfor range]],IF(LineærRegression_Valg[[#This Row],[Intet overlap]],INDEX(DataTitel_liste,LineærRegression_Valg[[#This Row],[Uafhængig variabel ID]]),INDEX(DataTitel_liste,IF(LineærRegression_Valg[[#This Row],[Afhængig variabel ID]]=1,2,1))),$B$7)</f>
        <v>Eksempel 2 (interval)</v>
      </c>
      <c r="H2160" s="171">
        <f>_xlfn.AGGREGATE(2,5,LineærRegression_Valg[[#This Row],[Tabel ID]])</f>
        <v>1</v>
      </c>
    </row>
    <row r="2161" spans="1:8" x14ac:dyDescent="0.2">
      <c r="A2161">
        <f>ROW(LineærRegression_Valg[[#This Row],[Tabel ID]])-ROW(LineærRegression_Valg[[#Headers],[Tabel ID]])</f>
        <v>2151</v>
      </c>
      <c r="B2161" s="171">
        <f>ROUNDDOWN((LineærRegression_Valg[[#This Row],[Tabel ID]]-1)/$B$5,0)+1</f>
        <v>538</v>
      </c>
      <c r="C2161" s="171">
        <f t="shared" si="33"/>
        <v>3</v>
      </c>
      <c r="D2161" s="171" t="b">
        <f>LineærRegression_Valg[[#This Row],[Afhængig variabel ID]]&lt;&gt;LineærRegression_Valg[[#This Row],[Uafhængig variabel ID]]</f>
        <v>1</v>
      </c>
      <c r="E2161" s="171" t="b">
        <f>LineærRegression_Valg[[#This Row],[Afhængig variabel ID]]&lt;=$B$5</f>
        <v>0</v>
      </c>
      <c r="F2161" t="str" cm="1">
        <f t="array" ref="F2161">IF(LineærRegression_Valg[[#This Row],[Indenfor range]],INDEX(DataTitel_liste,LineærRegression_Valg[[#This Row],[Afhængig variabel ID]]),INDEX(DataTitel_liste,1))</f>
        <v>Eksempel 1 (interval)</v>
      </c>
      <c r="G2161" s="171" t="str" cm="1">
        <f t="array" ref="G2161">IF(LineærRegression_Valg[[#This Row],[Indenfor range]],IF(LineærRegression_Valg[[#This Row],[Intet overlap]],INDEX(DataTitel_liste,LineærRegression_Valg[[#This Row],[Uafhængig variabel ID]]),INDEX(DataTitel_liste,IF(LineærRegression_Valg[[#This Row],[Afhængig variabel ID]]=1,2,1))),$B$7)</f>
        <v>Eksempel 2 (interval)</v>
      </c>
      <c r="H2161" s="171">
        <f>_xlfn.AGGREGATE(2,5,LineærRegression_Valg[[#This Row],[Tabel ID]])</f>
        <v>1</v>
      </c>
    </row>
    <row r="2162" spans="1:8" x14ac:dyDescent="0.2">
      <c r="A2162">
        <f>ROW(LineærRegression_Valg[[#This Row],[Tabel ID]])-ROW(LineærRegression_Valg[[#Headers],[Tabel ID]])</f>
        <v>2152</v>
      </c>
      <c r="B2162" s="171">
        <f>ROUNDDOWN((LineærRegression_Valg[[#This Row],[Tabel ID]]-1)/$B$5,0)+1</f>
        <v>538</v>
      </c>
      <c r="C2162" s="171">
        <f t="shared" si="33"/>
        <v>4</v>
      </c>
      <c r="D2162" s="171" t="b">
        <f>LineærRegression_Valg[[#This Row],[Afhængig variabel ID]]&lt;&gt;LineærRegression_Valg[[#This Row],[Uafhængig variabel ID]]</f>
        <v>1</v>
      </c>
      <c r="E2162" s="171" t="b">
        <f>LineærRegression_Valg[[#This Row],[Afhængig variabel ID]]&lt;=$B$5</f>
        <v>0</v>
      </c>
      <c r="F2162" t="str" cm="1">
        <f t="array" ref="F2162">IF(LineærRegression_Valg[[#This Row],[Indenfor range]],INDEX(DataTitel_liste,LineærRegression_Valg[[#This Row],[Afhængig variabel ID]]),INDEX(DataTitel_liste,1))</f>
        <v>Eksempel 1 (interval)</v>
      </c>
      <c r="G2162" s="171" t="str" cm="1">
        <f t="array" ref="G2162">IF(LineærRegression_Valg[[#This Row],[Indenfor range]],IF(LineærRegression_Valg[[#This Row],[Intet overlap]],INDEX(DataTitel_liste,LineærRegression_Valg[[#This Row],[Uafhængig variabel ID]]),INDEX(DataTitel_liste,IF(LineærRegression_Valg[[#This Row],[Afhængig variabel ID]]=1,2,1))),$B$7)</f>
        <v>Eksempel 2 (interval)</v>
      </c>
      <c r="H2162" s="171">
        <f>_xlfn.AGGREGATE(2,5,LineærRegression_Valg[[#This Row],[Tabel ID]])</f>
        <v>1</v>
      </c>
    </row>
    <row r="2163" spans="1:8" x14ac:dyDescent="0.2">
      <c r="A2163">
        <f>ROW(LineærRegression_Valg[[#This Row],[Tabel ID]])-ROW(LineærRegression_Valg[[#Headers],[Tabel ID]])</f>
        <v>2153</v>
      </c>
      <c r="B2163" s="171">
        <f>ROUNDDOWN((LineærRegression_Valg[[#This Row],[Tabel ID]]-1)/$B$5,0)+1</f>
        <v>539</v>
      </c>
      <c r="C2163" s="171">
        <f t="shared" si="33"/>
        <v>1</v>
      </c>
      <c r="D2163" s="171" t="b">
        <f>LineærRegression_Valg[[#This Row],[Afhængig variabel ID]]&lt;&gt;LineærRegression_Valg[[#This Row],[Uafhængig variabel ID]]</f>
        <v>1</v>
      </c>
      <c r="E2163" s="171" t="b">
        <f>LineærRegression_Valg[[#This Row],[Afhængig variabel ID]]&lt;=$B$5</f>
        <v>0</v>
      </c>
      <c r="F2163" t="str" cm="1">
        <f t="array" ref="F2163">IF(LineærRegression_Valg[[#This Row],[Indenfor range]],INDEX(DataTitel_liste,LineærRegression_Valg[[#This Row],[Afhængig variabel ID]]),INDEX(DataTitel_liste,1))</f>
        <v>Eksempel 1 (interval)</v>
      </c>
      <c r="G2163" s="171" t="str" cm="1">
        <f t="array" ref="G2163">IF(LineærRegression_Valg[[#This Row],[Indenfor range]],IF(LineærRegression_Valg[[#This Row],[Intet overlap]],INDEX(DataTitel_liste,LineærRegression_Valg[[#This Row],[Uafhængig variabel ID]]),INDEX(DataTitel_liste,IF(LineærRegression_Valg[[#This Row],[Afhængig variabel ID]]=1,2,1))),$B$7)</f>
        <v>Eksempel 2 (interval)</v>
      </c>
      <c r="H2163" s="171">
        <f>_xlfn.AGGREGATE(2,5,LineærRegression_Valg[[#This Row],[Tabel ID]])</f>
        <v>1</v>
      </c>
    </row>
    <row r="2164" spans="1:8" x14ac:dyDescent="0.2">
      <c r="A2164">
        <f>ROW(LineærRegression_Valg[[#This Row],[Tabel ID]])-ROW(LineærRegression_Valg[[#Headers],[Tabel ID]])</f>
        <v>2154</v>
      </c>
      <c r="B2164" s="171">
        <f>ROUNDDOWN((LineærRegression_Valg[[#This Row],[Tabel ID]]-1)/$B$5,0)+1</f>
        <v>539</v>
      </c>
      <c r="C2164" s="171">
        <f t="shared" si="33"/>
        <v>2</v>
      </c>
      <c r="D2164" s="171" t="b">
        <f>LineærRegression_Valg[[#This Row],[Afhængig variabel ID]]&lt;&gt;LineærRegression_Valg[[#This Row],[Uafhængig variabel ID]]</f>
        <v>1</v>
      </c>
      <c r="E2164" s="171" t="b">
        <f>LineærRegression_Valg[[#This Row],[Afhængig variabel ID]]&lt;=$B$5</f>
        <v>0</v>
      </c>
      <c r="F2164" t="str" cm="1">
        <f t="array" ref="F2164">IF(LineærRegression_Valg[[#This Row],[Indenfor range]],INDEX(DataTitel_liste,LineærRegression_Valg[[#This Row],[Afhængig variabel ID]]),INDEX(DataTitel_liste,1))</f>
        <v>Eksempel 1 (interval)</v>
      </c>
      <c r="G2164" s="171" t="str" cm="1">
        <f t="array" ref="G2164">IF(LineærRegression_Valg[[#This Row],[Indenfor range]],IF(LineærRegression_Valg[[#This Row],[Intet overlap]],INDEX(DataTitel_liste,LineærRegression_Valg[[#This Row],[Uafhængig variabel ID]]),INDEX(DataTitel_liste,IF(LineærRegression_Valg[[#This Row],[Afhængig variabel ID]]=1,2,1))),$B$7)</f>
        <v>Eksempel 2 (interval)</v>
      </c>
      <c r="H2164" s="171">
        <f>_xlfn.AGGREGATE(2,5,LineærRegression_Valg[[#This Row],[Tabel ID]])</f>
        <v>1</v>
      </c>
    </row>
    <row r="2165" spans="1:8" x14ac:dyDescent="0.2">
      <c r="A2165">
        <f>ROW(LineærRegression_Valg[[#This Row],[Tabel ID]])-ROW(LineærRegression_Valg[[#Headers],[Tabel ID]])</f>
        <v>2155</v>
      </c>
      <c r="B2165" s="171">
        <f>ROUNDDOWN((LineærRegression_Valg[[#This Row],[Tabel ID]]-1)/$B$5,0)+1</f>
        <v>539</v>
      </c>
      <c r="C2165" s="171">
        <f t="shared" si="33"/>
        <v>3</v>
      </c>
      <c r="D2165" s="171" t="b">
        <f>LineærRegression_Valg[[#This Row],[Afhængig variabel ID]]&lt;&gt;LineærRegression_Valg[[#This Row],[Uafhængig variabel ID]]</f>
        <v>1</v>
      </c>
      <c r="E2165" s="171" t="b">
        <f>LineærRegression_Valg[[#This Row],[Afhængig variabel ID]]&lt;=$B$5</f>
        <v>0</v>
      </c>
      <c r="F2165" t="str" cm="1">
        <f t="array" ref="F2165">IF(LineærRegression_Valg[[#This Row],[Indenfor range]],INDEX(DataTitel_liste,LineærRegression_Valg[[#This Row],[Afhængig variabel ID]]),INDEX(DataTitel_liste,1))</f>
        <v>Eksempel 1 (interval)</v>
      </c>
      <c r="G2165" s="171" t="str" cm="1">
        <f t="array" ref="G2165">IF(LineærRegression_Valg[[#This Row],[Indenfor range]],IF(LineærRegression_Valg[[#This Row],[Intet overlap]],INDEX(DataTitel_liste,LineærRegression_Valg[[#This Row],[Uafhængig variabel ID]]),INDEX(DataTitel_liste,IF(LineærRegression_Valg[[#This Row],[Afhængig variabel ID]]=1,2,1))),$B$7)</f>
        <v>Eksempel 2 (interval)</v>
      </c>
      <c r="H2165" s="171">
        <f>_xlfn.AGGREGATE(2,5,LineærRegression_Valg[[#This Row],[Tabel ID]])</f>
        <v>1</v>
      </c>
    </row>
    <row r="2166" spans="1:8" x14ac:dyDescent="0.2">
      <c r="A2166">
        <f>ROW(LineærRegression_Valg[[#This Row],[Tabel ID]])-ROW(LineærRegression_Valg[[#Headers],[Tabel ID]])</f>
        <v>2156</v>
      </c>
      <c r="B2166" s="171">
        <f>ROUNDDOWN((LineærRegression_Valg[[#This Row],[Tabel ID]]-1)/$B$5,0)+1</f>
        <v>539</v>
      </c>
      <c r="C2166" s="171">
        <f t="shared" si="33"/>
        <v>4</v>
      </c>
      <c r="D2166" s="171" t="b">
        <f>LineærRegression_Valg[[#This Row],[Afhængig variabel ID]]&lt;&gt;LineærRegression_Valg[[#This Row],[Uafhængig variabel ID]]</f>
        <v>1</v>
      </c>
      <c r="E2166" s="171" t="b">
        <f>LineærRegression_Valg[[#This Row],[Afhængig variabel ID]]&lt;=$B$5</f>
        <v>0</v>
      </c>
      <c r="F2166" t="str" cm="1">
        <f t="array" ref="F2166">IF(LineærRegression_Valg[[#This Row],[Indenfor range]],INDEX(DataTitel_liste,LineærRegression_Valg[[#This Row],[Afhængig variabel ID]]),INDEX(DataTitel_liste,1))</f>
        <v>Eksempel 1 (interval)</v>
      </c>
      <c r="G2166" s="171" t="str" cm="1">
        <f t="array" ref="G2166">IF(LineærRegression_Valg[[#This Row],[Indenfor range]],IF(LineærRegression_Valg[[#This Row],[Intet overlap]],INDEX(DataTitel_liste,LineærRegression_Valg[[#This Row],[Uafhængig variabel ID]]),INDEX(DataTitel_liste,IF(LineærRegression_Valg[[#This Row],[Afhængig variabel ID]]=1,2,1))),$B$7)</f>
        <v>Eksempel 2 (interval)</v>
      </c>
      <c r="H2166" s="171">
        <f>_xlfn.AGGREGATE(2,5,LineærRegression_Valg[[#This Row],[Tabel ID]])</f>
        <v>1</v>
      </c>
    </row>
    <row r="2167" spans="1:8" x14ac:dyDescent="0.2">
      <c r="A2167">
        <f>ROW(LineærRegression_Valg[[#This Row],[Tabel ID]])-ROW(LineærRegression_Valg[[#Headers],[Tabel ID]])</f>
        <v>2157</v>
      </c>
      <c r="B2167" s="171">
        <f>ROUNDDOWN((LineærRegression_Valg[[#This Row],[Tabel ID]]-1)/$B$5,0)+1</f>
        <v>540</v>
      </c>
      <c r="C2167" s="171">
        <f t="shared" si="33"/>
        <v>1</v>
      </c>
      <c r="D2167" s="171" t="b">
        <f>LineærRegression_Valg[[#This Row],[Afhængig variabel ID]]&lt;&gt;LineærRegression_Valg[[#This Row],[Uafhængig variabel ID]]</f>
        <v>1</v>
      </c>
      <c r="E2167" s="171" t="b">
        <f>LineærRegression_Valg[[#This Row],[Afhængig variabel ID]]&lt;=$B$5</f>
        <v>0</v>
      </c>
      <c r="F2167" t="str" cm="1">
        <f t="array" ref="F2167">IF(LineærRegression_Valg[[#This Row],[Indenfor range]],INDEX(DataTitel_liste,LineærRegression_Valg[[#This Row],[Afhængig variabel ID]]),INDEX(DataTitel_liste,1))</f>
        <v>Eksempel 1 (interval)</v>
      </c>
      <c r="G2167" s="171" t="str" cm="1">
        <f t="array" ref="G2167">IF(LineærRegression_Valg[[#This Row],[Indenfor range]],IF(LineærRegression_Valg[[#This Row],[Intet overlap]],INDEX(DataTitel_liste,LineærRegression_Valg[[#This Row],[Uafhængig variabel ID]]),INDEX(DataTitel_liste,IF(LineærRegression_Valg[[#This Row],[Afhængig variabel ID]]=1,2,1))),$B$7)</f>
        <v>Eksempel 2 (interval)</v>
      </c>
      <c r="H2167" s="171">
        <f>_xlfn.AGGREGATE(2,5,LineærRegression_Valg[[#This Row],[Tabel ID]])</f>
        <v>1</v>
      </c>
    </row>
    <row r="2168" spans="1:8" x14ac:dyDescent="0.2">
      <c r="A2168">
        <f>ROW(LineærRegression_Valg[[#This Row],[Tabel ID]])-ROW(LineærRegression_Valg[[#Headers],[Tabel ID]])</f>
        <v>2158</v>
      </c>
      <c r="B2168" s="171">
        <f>ROUNDDOWN((LineærRegression_Valg[[#This Row],[Tabel ID]]-1)/$B$5,0)+1</f>
        <v>540</v>
      </c>
      <c r="C2168" s="171">
        <f t="shared" si="33"/>
        <v>2</v>
      </c>
      <c r="D2168" s="171" t="b">
        <f>LineærRegression_Valg[[#This Row],[Afhængig variabel ID]]&lt;&gt;LineærRegression_Valg[[#This Row],[Uafhængig variabel ID]]</f>
        <v>1</v>
      </c>
      <c r="E2168" s="171" t="b">
        <f>LineærRegression_Valg[[#This Row],[Afhængig variabel ID]]&lt;=$B$5</f>
        <v>0</v>
      </c>
      <c r="F2168" t="str" cm="1">
        <f t="array" ref="F2168">IF(LineærRegression_Valg[[#This Row],[Indenfor range]],INDEX(DataTitel_liste,LineærRegression_Valg[[#This Row],[Afhængig variabel ID]]),INDEX(DataTitel_liste,1))</f>
        <v>Eksempel 1 (interval)</v>
      </c>
      <c r="G2168" s="171" t="str" cm="1">
        <f t="array" ref="G2168">IF(LineærRegression_Valg[[#This Row],[Indenfor range]],IF(LineærRegression_Valg[[#This Row],[Intet overlap]],INDEX(DataTitel_liste,LineærRegression_Valg[[#This Row],[Uafhængig variabel ID]]),INDEX(DataTitel_liste,IF(LineærRegression_Valg[[#This Row],[Afhængig variabel ID]]=1,2,1))),$B$7)</f>
        <v>Eksempel 2 (interval)</v>
      </c>
      <c r="H2168" s="171">
        <f>_xlfn.AGGREGATE(2,5,LineærRegression_Valg[[#This Row],[Tabel ID]])</f>
        <v>1</v>
      </c>
    </row>
    <row r="2169" spans="1:8" x14ac:dyDescent="0.2">
      <c r="A2169">
        <f>ROW(LineærRegression_Valg[[#This Row],[Tabel ID]])-ROW(LineærRegression_Valg[[#Headers],[Tabel ID]])</f>
        <v>2159</v>
      </c>
      <c r="B2169" s="171">
        <f>ROUNDDOWN((LineærRegression_Valg[[#This Row],[Tabel ID]]-1)/$B$5,0)+1</f>
        <v>540</v>
      </c>
      <c r="C2169" s="171">
        <f t="shared" si="33"/>
        <v>3</v>
      </c>
      <c r="D2169" s="171" t="b">
        <f>LineærRegression_Valg[[#This Row],[Afhængig variabel ID]]&lt;&gt;LineærRegression_Valg[[#This Row],[Uafhængig variabel ID]]</f>
        <v>1</v>
      </c>
      <c r="E2169" s="171" t="b">
        <f>LineærRegression_Valg[[#This Row],[Afhængig variabel ID]]&lt;=$B$5</f>
        <v>0</v>
      </c>
      <c r="F2169" t="str" cm="1">
        <f t="array" ref="F2169">IF(LineærRegression_Valg[[#This Row],[Indenfor range]],INDEX(DataTitel_liste,LineærRegression_Valg[[#This Row],[Afhængig variabel ID]]),INDEX(DataTitel_liste,1))</f>
        <v>Eksempel 1 (interval)</v>
      </c>
      <c r="G2169" s="171" t="str" cm="1">
        <f t="array" ref="G2169">IF(LineærRegression_Valg[[#This Row],[Indenfor range]],IF(LineærRegression_Valg[[#This Row],[Intet overlap]],INDEX(DataTitel_liste,LineærRegression_Valg[[#This Row],[Uafhængig variabel ID]]),INDEX(DataTitel_liste,IF(LineærRegression_Valg[[#This Row],[Afhængig variabel ID]]=1,2,1))),$B$7)</f>
        <v>Eksempel 2 (interval)</v>
      </c>
      <c r="H2169" s="171">
        <f>_xlfn.AGGREGATE(2,5,LineærRegression_Valg[[#This Row],[Tabel ID]])</f>
        <v>1</v>
      </c>
    </row>
    <row r="2170" spans="1:8" x14ac:dyDescent="0.2">
      <c r="A2170">
        <f>ROW(LineærRegression_Valg[[#This Row],[Tabel ID]])-ROW(LineærRegression_Valg[[#Headers],[Tabel ID]])</f>
        <v>2160</v>
      </c>
      <c r="B2170" s="171">
        <f>ROUNDDOWN((LineærRegression_Valg[[#This Row],[Tabel ID]]-1)/$B$5,0)+1</f>
        <v>540</v>
      </c>
      <c r="C2170" s="171">
        <f t="shared" si="33"/>
        <v>4</v>
      </c>
      <c r="D2170" s="171" t="b">
        <f>LineærRegression_Valg[[#This Row],[Afhængig variabel ID]]&lt;&gt;LineærRegression_Valg[[#This Row],[Uafhængig variabel ID]]</f>
        <v>1</v>
      </c>
      <c r="E2170" s="171" t="b">
        <f>LineærRegression_Valg[[#This Row],[Afhængig variabel ID]]&lt;=$B$5</f>
        <v>0</v>
      </c>
      <c r="F2170" t="str" cm="1">
        <f t="array" ref="F2170">IF(LineærRegression_Valg[[#This Row],[Indenfor range]],INDEX(DataTitel_liste,LineærRegression_Valg[[#This Row],[Afhængig variabel ID]]),INDEX(DataTitel_liste,1))</f>
        <v>Eksempel 1 (interval)</v>
      </c>
      <c r="G2170" s="171" t="str" cm="1">
        <f t="array" ref="G2170">IF(LineærRegression_Valg[[#This Row],[Indenfor range]],IF(LineærRegression_Valg[[#This Row],[Intet overlap]],INDEX(DataTitel_liste,LineærRegression_Valg[[#This Row],[Uafhængig variabel ID]]),INDEX(DataTitel_liste,IF(LineærRegression_Valg[[#This Row],[Afhængig variabel ID]]=1,2,1))),$B$7)</f>
        <v>Eksempel 2 (interval)</v>
      </c>
      <c r="H2170" s="171">
        <f>_xlfn.AGGREGATE(2,5,LineærRegression_Valg[[#This Row],[Tabel ID]])</f>
        <v>1</v>
      </c>
    </row>
    <row r="2171" spans="1:8" x14ac:dyDescent="0.2">
      <c r="A2171">
        <f>ROW(LineærRegression_Valg[[#This Row],[Tabel ID]])-ROW(LineærRegression_Valg[[#Headers],[Tabel ID]])</f>
        <v>2161</v>
      </c>
      <c r="B2171" s="171">
        <f>ROUNDDOWN((LineærRegression_Valg[[#This Row],[Tabel ID]]-1)/$B$5,0)+1</f>
        <v>541</v>
      </c>
      <c r="C2171" s="171">
        <f t="shared" si="33"/>
        <v>1</v>
      </c>
      <c r="D2171" s="171" t="b">
        <f>LineærRegression_Valg[[#This Row],[Afhængig variabel ID]]&lt;&gt;LineærRegression_Valg[[#This Row],[Uafhængig variabel ID]]</f>
        <v>1</v>
      </c>
      <c r="E2171" s="171" t="b">
        <f>LineærRegression_Valg[[#This Row],[Afhængig variabel ID]]&lt;=$B$5</f>
        <v>0</v>
      </c>
      <c r="F2171" t="str" cm="1">
        <f t="array" ref="F2171">IF(LineærRegression_Valg[[#This Row],[Indenfor range]],INDEX(DataTitel_liste,LineærRegression_Valg[[#This Row],[Afhængig variabel ID]]),INDEX(DataTitel_liste,1))</f>
        <v>Eksempel 1 (interval)</v>
      </c>
      <c r="G2171" s="171" t="str" cm="1">
        <f t="array" ref="G2171">IF(LineærRegression_Valg[[#This Row],[Indenfor range]],IF(LineærRegression_Valg[[#This Row],[Intet overlap]],INDEX(DataTitel_liste,LineærRegression_Valg[[#This Row],[Uafhængig variabel ID]]),INDEX(DataTitel_liste,IF(LineærRegression_Valg[[#This Row],[Afhængig variabel ID]]=1,2,1))),$B$7)</f>
        <v>Eksempel 2 (interval)</v>
      </c>
      <c r="H2171" s="171">
        <f>_xlfn.AGGREGATE(2,5,LineærRegression_Valg[[#This Row],[Tabel ID]])</f>
        <v>1</v>
      </c>
    </row>
    <row r="2172" spans="1:8" x14ac:dyDescent="0.2">
      <c r="A2172">
        <f>ROW(LineærRegression_Valg[[#This Row],[Tabel ID]])-ROW(LineærRegression_Valg[[#Headers],[Tabel ID]])</f>
        <v>2162</v>
      </c>
      <c r="B2172" s="171">
        <f>ROUNDDOWN((LineærRegression_Valg[[#This Row],[Tabel ID]]-1)/$B$5,0)+1</f>
        <v>541</v>
      </c>
      <c r="C2172" s="171">
        <f t="shared" si="33"/>
        <v>2</v>
      </c>
      <c r="D2172" s="171" t="b">
        <f>LineærRegression_Valg[[#This Row],[Afhængig variabel ID]]&lt;&gt;LineærRegression_Valg[[#This Row],[Uafhængig variabel ID]]</f>
        <v>1</v>
      </c>
      <c r="E2172" s="171" t="b">
        <f>LineærRegression_Valg[[#This Row],[Afhængig variabel ID]]&lt;=$B$5</f>
        <v>0</v>
      </c>
      <c r="F2172" t="str" cm="1">
        <f t="array" ref="F2172">IF(LineærRegression_Valg[[#This Row],[Indenfor range]],INDEX(DataTitel_liste,LineærRegression_Valg[[#This Row],[Afhængig variabel ID]]),INDEX(DataTitel_liste,1))</f>
        <v>Eksempel 1 (interval)</v>
      </c>
      <c r="G2172" s="171" t="str" cm="1">
        <f t="array" ref="G2172">IF(LineærRegression_Valg[[#This Row],[Indenfor range]],IF(LineærRegression_Valg[[#This Row],[Intet overlap]],INDEX(DataTitel_liste,LineærRegression_Valg[[#This Row],[Uafhængig variabel ID]]),INDEX(DataTitel_liste,IF(LineærRegression_Valg[[#This Row],[Afhængig variabel ID]]=1,2,1))),$B$7)</f>
        <v>Eksempel 2 (interval)</v>
      </c>
      <c r="H2172" s="171">
        <f>_xlfn.AGGREGATE(2,5,LineærRegression_Valg[[#This Row],[Tabel ID]])</f>
        <v>1</v>
      </c>
    </row>
    <row r="2173" spans="1:8" x14ac:dyDescent="0.2">
      <c r="A2173">
        <f>ROW(LineærRegression_Valg[[#This Row],[Tabel ID]])-ROW(LineærRegression_Valg[[#Headers],[Tabel ID]])</f>
        <v>2163</v>
      </c>
      <c r="B2173" s="171">
        <f>ROUNDDOWN((LineærRegression_Valg[[#This Row],[Tabel ID]]-1)/$B$5,0)+1</f>
        <v>541</v>
      </c>
      <c r="C2173" s="171">
        <f t="shared" si="33"/>
        <v>3</v>
      </c>
      <c r="D2173" s="171" t="b">
        <f>LineærRegression_Valg[[#This Row],[Afhængig variabel ID]]&lt;&gt;LineærRegression_Valg[[#This Row],[Uafhængig variabel ID]]</f>
        <v>1</v>
      </c>
      <c r="E2173" s="171" t="b">
        <f>LineærRegression_Valg[[#This Row],[Afhængig variabel ID]]&lt;=$B$5</f>
        <v>0</v>
      </c>
      <c r="F2173" t="str" cm="1">
        <f t="array" ref="F2173">IF(LineærRegression_Valg[[#This Row],[Indenfor range]],INDEX(DataTitel_liste,LineærRegression_Valg[[#This Row],[Afhængig variabel ID]]),INDEX(DataTitel_liste,1))</f>
        <v>Eksempel 1 (interval)</v>
      </c>
      <c r="G2173" s="171" t="str" cm="1">
        <f t="array" ref="G2173">IF(LineærRegression_Valg[[#This Row],[Indenfor range]],IF(LineærRegression_Valg[[#This Row],[Intet overlap]],INDEX(DataTitel_liste,LineærRegression_Valg[[#This Row],[Uafhængig variabel ID]]),INDEX(DataTitel_liste,IF(LineærRegression_Valg[[#This Row],[Afhængig variabel ID]]=1,2,1))),$B$7)</f>
        <v>Eksempel 2 (interval)</v>
      </c>
      <c r="H2173" s="171">
        <f>_xlfn.AGGREGATE(2,5,LineærRegression_Valg[[#This Row],[Tabel ID]])</f>
        <v>1</v>
      </c>
    </row>
    <row r="2174" spans="1:8" x14ac:dyDescent="0.2">
      <c r="A2174">
        <f>ROW(LineærRegression_Valg[[#This Row],[Tabel ID]])-ROW(LineærRegression_Valg[[#Headers],[Tabel ID]])</f>
        <v>2164</v>
      </c>
      <c r="B2174" s="171">
        <f>ROUNDDOWN((LineærRegression_Valg[[#This Row],[Tabel ID]]-1)/$B$5,0)+1</f>
        <v>541</v>
      </c>
      <c r="C2174" s="171">
        <f t="shared" si="33"/>
        <v>4</v>
      </c>
      <c r="D2174" s="171" t="b">
        <f>LineærRegression_Valg[[#This Row],[Afhængig variabel ID]]&lt;&gt;LineærRegression_Valg[[#This Row],[Uafhængig variabel ID]]</f>
        <v>1</v>
      </c>
      <c r="E2174" s="171" t="b">
        <f>LineærRegression_Valg[[#This Row],[Afhængig variabel ID]]&lt;=$B$5</f>
        <v>0</v>
      </c>
      <c r="F2174" t="str" cm="1">
        <f t="array" ref="F2174">IF(LineærRegression_Valg[[#This Row],[Indenfor range]],INDEX(DataTitel_liste,LineærRegression_Valg[[#This Row],[Afhængig variabel ID]]),INDEX(DataTitel_liste,1))</f>
        <v>Eksempel 1 (interval)</v>
      </c>
      <c r="G2174" s="171" t="str" cm="1">
        <f t="array" ref="G2174">IF(LineærRegression_Valg[[#This Row],[Indenfor range]],IF(LineærRegression_Valg[[#This Row],[Intet overlap]],INDEX(DataTitel_liste,LineærRegression_Valg[[#This Row],[Uafhængig variabel ID]]),INDEX(DataTitel_liste,IF(LineærRegression_Valg[[#This Row],[Afhængig variabel ID]]=1,2,1))),$B$7)</f>
        <v>Eksempel 2 (interval)</v>
      </c>
      <c r="H2174" s="171">
        <f>_xlfn.AGGREGATE(2,5,LineærRegression_Valg[[#This Row],[Tabel ID]])</f>
        <v>1</v>
      </c>
    </row>
    <row r="2175" spans="1:8" x14ac:dyDescent="0.2">
      <c r="A2175">
        <f>ROW(LineærRegression_Valg[[#This Row],[Tabel ID]])-ROW(LineærRegression_Valg[[#Headers],[Tabel ID]])</f>
        <v>2165</v>
      </c>
      <c r="B2175" s="171">
        <f>ROUNDDOWN((LineærRegression_Valg[[#This Row],[Tabel ID]]-1)/$B$5,0)+1</f>
        <v>542</v>
      </c>
      <c r="C2175" s="171">
        <f t="shared" si="33"/>
        <v>1</v>
      </c>
      <c r="D2175" s="171" t="b">
        <f>LineærRegression_Valg[[#This Row],[Afhængig variabel ID]]&lt;&gt;LineærRegression_Valg[[#This Row],[Uafhængig variabel ID]]</f>
        <v>1</v>
      </c>
      <c r="E2175" s="171" t="b">
        <f>LineærRegression_Valg[[#This Row],[Afhængig variabel ID]]&lt;=$B$5</f>
        <v>0</v>
      </c>
      <c r="F2175" t="str" cm="1">
        <f t="array" ref="F2175">IF(LineærRegression_Valg[[#This Row],[Indenfor range]],INDEX(DataTitel_liste,LineærRegression_Valg[[#This Row],[Afhængig variabel ID]]),INDEX(DataTitel_liste,1))</f>
        <v>Eksempel 1 (interval)</v>
      </c>
      <c r="G2175" s="171" t="str" cm="1">
        <f t="array" ref="G2175">IF(LineærRegression_Valg[[#This Row],[Indenfor range]],IF(LineærRegression_Valg[[#This Row],[Intet overlap]],INDEX(DataTitel_liste,LineærRegression_Valg[[#This Row],[Uafhængig variabel ID]]),INDEX(DataTitel_liste,IF(LineærRegression_Valg[[#This Row],[Afhængig variabel ID]]=1,2,1))),$B$7)</f>
        <v>Eksempel 2 (interval)</v>
      </c>
      <c r="H2175" s="171">
        <f>_xlfn.AGGREGATE(2,5,LineærRegression_Valg[[#This Row],[Tabel ID]])</f>
        <v>1</v>
      </c>
    </row>
    <row r="2176" spans="1:8" x14ac:dyDescent="0.2">
      <c r="A2176">
        <f>ROW(LineærRegression_Valg[[#This Row],[Tabel ID]])-ROW(LineærRegression_Valg[[#Headers],[Tabel ID]])</f>
        <v>2166</v>
      </c>
      <c r="B2176" s="171">
        <f>ROUNDDOWN((LineærRegression_Valg[[#This Row],[Tabel ID]]-1)/$B$5,0)+1</f>
        <v>542</v>
      </c>
      <c r="C2176" s="171">
        <f t="shared" si="33"/>
        <v>2</v>
      </c>
      <c r="D2176" s="171" t="b">
        <f>LineærRegression_Valg[[#This Row],[Afhængig variabel ID]]&lt;&gt;LineærRegression_Valg[[#This Row],[Uafhængig variabel ID]]</f>
        <v>1</v>
      </c>
      <c r="E2176" s="171" t="b">
        <f>LineærRegression_Valg[[#This Row],[Afhængig variabel ID]]&lt;=$B$5</f>
        <v>0</v>
      </c>
      <c r="F2176" t="str" cm="1">
        <f t="array" ref="F2176">IF(LineærRegression_Valg[[#This Row],[Indenfor range]],INDEX(DataTitel_liste,LineærRegression_Valg[[#This Row],[Afhængig variabel ID]]),INDEX(DataTitel_liste,1))</f>
        <v>Eksempel 1 (interval)</v>
      </c>
      <c r="G2176" s="171" t="str" cm="1">
        <f t="array" ref="G2176">IF(LineærRegression_Valg[[#This Row],[Indenfor range]],IF(LineærRegression_Valg[[#This Row],[Intet overlap]],INDEX(DataTitel_liste,LineærRegression_Valg[[#This Row],[Uafhængig variabel ID]]),INDEX(DataTitel_liste,IF(LineærRegression_Valg[[#This Row],[Afhængig variabel ID]]=1,2,1))),$B$7)</f>
        <v>Eksempel 2 (interval)</v>
      </c>
      <c r="H2176" s="171">
        <f>_xlfn.AGGREGATE(2,5,LineærRegression_Valg[[#This Row],[Tabel ID]])</f>
        <v>1</v>
      </c>
    </row>
    <row r="2177" spans="1:8" x14ac:dyDescent="0.2">
      <c r="A2177">
        <f>ROW(LineærRegression_Valg[[#This Row],[Tabel ID]])-ROW(LineærRegression_Valg[[#Headers],[Tabel ID]])</f>
        <v>2167</v>
      </c>
      <c r="B2177" s="171">
        <f>ROUNDDOWN((LineærRegression_Valg[[#This Row],[Tabel ID]]-1)/$B$5,0)+1</f>
        <v>542</v>
      </c>
      <c r="C2177" s="171">
        <f t="shared" si="33"/>
        <v>3</v>
      </c>
      <c r="D2177" s="171" t="b">
        <f>LineærRegression_Valg[[#This Row],[Afhængig variabel ID]]&lt;&gt;LineærRegression_Valg[[#This Row],[Uafhængig variabel ID]]</f>
        <v>1</v>
      </c>
      <c r="E2177" s="171" t="b">
        <f>LineærRegression_Valg[[#This Row],[Afhængig variabel ID]]&lt;=$B$5</f>
        <v>0</v>
      </c>
      <c r="F2177" t="str" cm="1">
        <f t="array" ref="F2177">IF(LineærRegression_Valg[[#This Row],[Indenfor range]],INDEX(DataTitel_liste,LineærRegression_Valg[[#This Row],[Afhængig variabel ID]]),INDEX(DataTitel_liste,1))</f>
        <v>Eksempel 1 (interval)</v>
      </c>
      <c r="G2177" s="171" t="str" cm="1">
        <f t="array" ref="G2177">IF(LineærRegression_Valg[[#This Row],[Indenfor range]],IF(LineærRegression_Valg[[#This Row],[Intet overlap]],INDEX(DataTitel_liste,LineærRegression_Valg[[#This Row],[Uafhængig variabel ID]]),INDEX(DataTitel_liste,IF(LineærRegression_Valg[[#This Row],[Afhængig variabel ID]]=1,2,1))),$B$7)</f>
        <v>Eksempel 2 (interval)</v>
      </c>
      <c r="H2177" s="171">
        <f>_xlfn.AGGREGATE(2,5,LineærRegression_Valg[[#This Row],[Tabel ID]])</f>
        <v>1</v>
      </c>
    </row>
    <row r="2178" spans="1:8" x14ac:dyDescent="0.2">
      <c r="A2178">
        <f>ROW(LineærRegression_Valg[[#This Row],[Tabel ID]])-ROW(LineærRegression_Valg[[#Headers],[Tabel ID]])</f>
        <v>2168</v>
      </c>
      <c r="B2178" s="171">
        <f>ROUNDDOWN((LineærRegression_Valg[[#This Row],[Tabel ID]]-1)/$B$5,0)+1</f>
        <v>542</v>
      </c>
      <c r="C2178" s="171">
        <f t="shared" si="33"/>
        <v>4</v>
      </c>
      <c r="D2178" s="171" t="b">
        <f>LineærRegression_Valg[[#This Row],[Afhængig variabel ID]]&lt;&gt;LineærRegression_Valg[[#This Row],[Uafhængig variabel ID]]</f>
        <v>1</v>
      </c>
      <c r="E2178" s="171" t="b">
        <f>LineærRegression_Valg[[#This Row],[Afhængig variabel ID]]&lt;=$B$5</f>
        <v>0</v>
      </c>
      <c r="F2178" t="str" cm="1">
        <f t="array" ref="F2178">IF(LineærRegression_Valg[[#This Row],[Indenfor range]],INDEX(DataTitel_liste,LineærRegression_Valg[[#This Row],[Afhængig variabel ID]]),INDEX(DataTitel_liste,1))</f>
        <v>Eksempel 1 (interval)</v>
      </c>
      <c r="G2178" s="171" t="str" cm="1">
        <f t="array" ref="G2178">IF(LineærRegression_Valg[[#This Row],[Indenfor range]],IF(LineærRegression_Valg[[#This Row],[Intet overlap]],INDEX(DataTitel_liste,LineærRegression_Valg[[#This Row],[Uafhængig variabel ID]]),INDEX(DataTitel_liste,IF(LineærRegression_Valg[[#This Row],[Afhængig variabel ID]]=1,2,1))),$B$7)</f>
        <v>Eksempel 2 (interval)</v>
      </c>
      <c r="H2178" s="171">
        <f>_xlfn.AGGREGATE(2,5,LineærRegression_Valg[[#This Row],[Tabel ID]])</f>
        <v>1</v>
      </c>
    </row>
    <row r="2179" spans="1:8" x14ac:dyDescent="0.2">
      <c r="A2179">
        <f>ROW(LineærRegression_Valg[[#This Row],[Tabel ID]])-ROW(LineærRegression_Valg[[#Headers],[Tabel ID]])</f>
        <v>2169</v>
      </c>
      <c r="B2179" s="171">
        <f>ROUNDDOWN((LineærRegression_Valg[[#This Row],[Tabel ID]]-1)/$B$5,0)+1</f>
        <v>543</v>
      </c>
      <c r="C2179" s="171">
        <f t="shared" si="33"/>
        <v>1</v>
      </c>
      <c r="D2179" s="171" t="b">
        <f>LineærRegression_Valg[[#This Row],[Afhængig variabel ID]]&lt;&gt;LineærRegression_Valg[[#This Row],[Uafhængig variabel ID]]</f>
        <v>1</v>
      </c>
      <c r="E2179" s="171" t="b">
        <f>LineærRegression_Valg[[#This Row],[Afhængig variabel ID]]&lt;=$B$5</f>
        <v>0</v>
      </c>
      <c r="F2179" t="str" cm="1">
        <f t="array" ref="F2179">IF(LineærRegression_Valg[[#This Row],[Indenfor range]],INDEX(DataTitel_liste,LineærRegression_Valg[[#This Row],[Afhængig variabel ID]]),INDEX(DataTitel_liste,1))</f>
        <v>Eksempel 1 (interval)</v>
      </c>
      <c r="G2179" s="171" t="str" cm="1">
        <f t="array" ref="G2179">IF(LineærRegression_Valg[[#This Row],[Indenfor range]],IF(LineærRegression_Valg[[#This Row],[Intet overlap]],INDEX(DataTitel_liste,LineærRegression_Valg[[#This Row],[Uafhængig variabel ID]]),INDEX(DataTitel_liste,IF(LineærRegression_Valg[[#This Row],[Afhængig variabel ID]]=1,2,1))),$B$7)</f>
        <v>Eksempel 2 (interval)</v>
      </c>
      <c r="H2179" s="171">
        <f>_xlfn.AGGREGATE(2,5,LineærRegression_Valg[[#This Row],[Tabel ID]])</f>
        <v>1</v>
      </c>
    </row>
    <row r="2180" spans="1:8" x14ac:dyDescent="0.2">
      <c r="A2180">
        <f>ROW(LineærRegression_Valg[[#This Row],[Tabel ID]])-ROW(LineærRegression_Valg[[#Headers],[Tabel ID]])</f>
        <v>2170</v>
      </c>
      <c r="B2180" s="171">
        <f>ROUNDDOWN((LineærRegression_Valg[[#This Row],[Tabel ID]]-1)/$B$5,0)+1</f>
        <v>543</v>
      </c>
      <c r="C2180" s="171">
        <f t="shared" si="33"/>
        <v>2</v>
      </c>
      <c r="D2180" s="171" t="b">
        <f>LineærRegression_Valg[[#This Row],[Afhængig variabel ID]]&lt;&gt;LineærRegression_Valg[[#This Row],[Uafhængig variabel ID]]</f>
        <v>1</v>
      </c>
      <c r="E2180" s="171" t="b">
        <f>LineærRegression_Valg[[#This Row],[Afhængig variabel ID]]&lt;=$B$5</f>
        <v>0</v>
      </c>
      <c r="F2180" t="str" cm="1">
        <f t="array" ref="F2180">IF(LineærRegression_Valg[[#This Row],[Indenfor range]],INDEX(DataTitel_liste,LineærRegression_Valg[[#This Row],[Afhængig variabel ID]]),INDEX(DataTitel_liste,1))</f>
        <v>Eksempel 1 (interval)</v>
      </c>
      <c r="G2180" s="171" t="str" cm="1">
        <f t="array" ref="G2180">IF(LineærRegression_Valg[[#This Row],[Indenfor range]],IF(LineærRegression_Valg[[#This Row],[Intet overlap]],INDEX(DataTitel_liste,LineærRegression_Valg[[#This Row],[Uafhængig variabel ID]]),INDEX(DataTitel_liste,IF(LineærRegression_Valg[[#This Row],[Afhængig variabel ID]]=1,2,1))),$B$7)</f>
        <v>Eksempel 2 (interval)</v>
      </c>
      <c r="H2180" s="171">
        <f>_xlfn.AGGREGATE(2,5,LineærRegression_Valg[[#This Row],[Tabel ID]])</f>
        <v>1</v>
      </c>
    </row>
    <row r="2181" spans="1:8" x14ac:dyDescent="0.2">
      <c r="A2181">
        <f>ROW(LineærRegression_Valg[[#This Row],[Tabel ID]])-ROW(LineærRegression_Valg[[#Headers],[Tabel ID]])</f>
        <v>2171</v>
      </c>
      <c r="B2181" s="171">
        <f>ROUNDDOWN((LineærRegression_Valg[[#This Row],[Tabel ID]]-1)/$B$5,0)+1</f>
        <v>543</v>
      </c>
      <c r="C2181" s="171">
        <f t="shared" si="33"/>
        <v>3</v>
      </c>
      <c r="D2181" s="171" t="b">
        <f>LineærRegression_Valg[[#This Row],[Afhængig variabel ID]]&lt;&gt;LineærRegression_Valg[[#This Row],[Uafhængig variabel ID]]</f>
        <v>1</v>
      </c>
      <c r="E2181" s="171" t="b">
        <f>LineærRegression_Valg[[#This Row],[Afhængig variabel ID]]&lt;=$B$5</f>
        <v>0</v>
      </c>
      <c r="F2181" t="str" cm="1">
        <f t="array" ref="F2181">IF(LineærRegression_Valg[[#This Row],[Indenfor range]],INDEX(DataTitel_liste,LineærRegression_Valg[[#This Row],[Afhængig variabel ID]]),INDEX(DataTitel_liste,1))</f>
        <v>Eksempel 1 (interval)</v>
      </c>
      <c r="G2181" s="171" t="str" cm="1">
        <f t="array" ref="G2181">IF(LineærRegression_Valg[[#This Row],[Indenfor range]],IF(LineærRegression_Valg[[#This Row],[Intet overlap]],INDEX(DataTitel_liste,LineærRegression_Valg[[#This Row],[Uafhængig variabel ID]]),INDEX(DataTitel_liste,IF(LineærRegression_Valg[[#This Row],[Afhængig variabel ID]]=1,2,1))),$B$7)</f>
        <v>Eksempel 2 (interval)</v>
      </c>
      <c r="H2181" s="171">
        <f>_xlfn.AGGREGATE(2,5,LineærRegression_Valg[[#This Row],[Tabel ID]])</f>
        <v>1</v>
      </c>
    </row>
    <row r="2182" spans="1:8" x14ac:dyDescent="0.2">
      <c r="A2182">
        <f>ROW(LineærRegression_Valg[[#This Row],[Tabel ID]])-ROW(LineærRegression_Valg[[#Headers],[Tabel ID]])</f>
        <v>2172</v>
      </c>
      <c r="B2182" s="171">
        <f>ROUNDDOWN((LineærRegression_Valg[[#This Row],[Tabel ID]]-1)/$B$5,0)+1</f>
        <v>543</v>
      </c>
      <c r="C2182" s="171">
        <f t="shared" si="33"/>
        <v>4</v>
      </c>
      <c r="D2182" s="171" t="b">
        <f>LineærRegression_Valg[[#This Row],[Afhængig variabel ID]]&lt;&gt;LineærRegression_Valg[[#This Row],[Uafhængig variabel ID]]</f>
        <v>1</v>
      </c>
      <c r="E2182" s="171" t="b">
        <f>LineærRegression_Valg[[#This Row],[Afhængig variabel ID]]&lt;=$B$5</f>
        <v>0</v>
      </c>
      <c r="F2182" t="str" cm="1">
        <f t="array" ref="F2182">IF(LineærRegression_Valg[[#This Row],[Indenfor range]],INDEX(DataTitel_liste,LineærRegression_Valg[[#This Row],[Afhængig variabel ID]]),INDEX(DataTitel_liste,1))</f>
        <v>Eksempel 1 (interval)</v>
      </c>
      <c r="G2182" s="171" t="str" cm="1">
        <f t="array" ref="G2182">IF(LineærRegression_Valg[[#This Row],[Indenfor range]],IF(LineærRegression_Valg[[#This Row],[Intet overlap]],INDEX(DataTitel_liste,LineærRegression_Valg[[#This Row],[Uafhængig variabel ID]]),INDEX(DataTitel_liste,IF(LineærRegression_Valg[[#This Row],[Afhængig variabel ID]]=1,2,1))),$B$7)</f>
        <v>Eksempel 2 (interval)</v>
      </c>
      <c r="H2182" s="171">
        <f>_xlfn.AGGREGATE(2,5,LineærRegression_Valg[[#This Row],[Tabel ID]])</f>
        <v>1</v>
      </c>
    </row>
    <row r="2183" spans="1:8" x14ac:dyDescent="0.2">
      <c r="A2183">
        <f>ROW(LineærRegression_Valg[[#This Row],[Tabel ID]])-ROW(LineærRegression_Valg[[#Headers],[Tabel ID]])</f>
        <v>2173</v>
      </c>
      <c r="B2183" s="171">
        <f>ROUNDDOWN((LineærRegression_Valg[[#This Row],[Tabel ID]]-1)/$B$5,0)+1</f>
        <v>544</v>
      </c>
      <c r="C2183" s="171">
        <f t="shared" si="33"/>
        <v>1</v>
      </c>
      <c r="D2183" s="171" t="b">
        <f>LineærRegression_Valg[[#This Row],[Afhængig variabel ID]]&lt;&gt;LineærRegression_Valg[[#This Row],[Uafhængig variabel ID]]</f>
        <v>1</v>
      </c>
      <c r="E2183" s="171" t="b">
        <f>LineærRegression_Valg[[#This Row],[Afhængig variabel ID]]&lt;=$B$5</f>
        <v>0</v>
      </c>
      <c r="F2183" t="str" cm="1">
        <f t="array" ref="F2183">IF(LineærRegression_Valg[[#This Row],[Indenfor range]],INDEX(DataTitel_liste,LineærRegression_Valg[[#This Row],[Afhængig variabel ID]]),INDEX(DataTitel_liste,1))</f>
        <v>Eksempel 1 (interval)</v>
      </c>
      <c r="G2183" s="171" t="str" cm="1">
        <f t="array" ref="G2183">IF(LineærRegression_Valg[[#This Row],[Indenfor range]],IF(LineærRegression_Valg[[#This Row],[Intet overlap]],INDEX(DataTitel_liste,LineærRegression_Valg[[#This Row],[Uafhængig variabel ID]]),INDEX(DataTitel_liste,IF(LineærRegression_Valg[[#This Row],[Afhængig variabel ID]]=1,2,1))),$B$7)</f>
        <v>Eksempel 2 (interval)</v>
      </c>
      <c r="H2183" s="171">
        <f>_xlfn.AGGREGATE(2,5,LineærRegression_Valg[[#This Row],[Tabel ID]])</f>
        <v>1</v>
      </c>
    </row>
    <row r="2184" spans="1:8" x14ac:dyDescent="0.2">
      <c r="A2184">
        <f>ROW(LineærRegression_Valg[[#This Row],[Tabel ID]])-ROW(LineærRegression_Valg[[#Headers],[Tabel ID]])</f>
        <v>2174</v>
      </c>
      <c r="B2184" s="171">
        <f>ROUNDDOWN((LineærRegression_Valg[[#This Row],[Tabel ID]]-1)/$B$5,0)+1</f>
        <v>544</v>
      </c>
      <c r="C2184" s="171">
        <f t="shared" si="33"/>
        <v>2</v>
      </c>
      <c r="D2184" s="171" t="b">
        <f>LineærRegression_Valg[[#This Row],[Afhængig variabel ID]]&lt;&gt;LineærRegression_Valg[[#This Row],[Uafhængig variabel ID]]</f>
        <v>1</v>
      </c>
      <c r="E2184" s="171" t="b">
        <f>LineærRegression_Valg[[#This Row],[Afhængig variabel ID]]&lt;=$B$5</f>
        <v>0</v>
      </c>
      <c r="F2184" t="str" cm="1">
        <f t="array" ref="F2184">IF(LineærRegression_Valg[[#This Row],[Indenfor range]],INDEX(DataTitel_liste,LineærRegression_Valg[[#This Row],[Afhængig variabel ID]]),INDEX(DataTitel_liste,1))</f>
        <v>Eksempel 1 (interval)</v>
      </c>
      <c r="G2184" s="171" t="str" cm="1">
        <f t="array" ref="G2184">IF(LineærRegression_Valg[[#This Row],[Indenfor range]],IF(LineærRegression_Valg[[#This Row],[Intet overlap]],INDEX(DataTitel_liste,LineærRegression_Valg[[#This Row],[Uafhængig variabel ID]]),INDEX(DataTitel_liste,IF(LineærRegression_Valg[[#This Row],[Afhængig variabel ID]]=1,2,1))),$B$7)</f>
        <v>Eksempel 2 (interval)</v>
      </c>
      <c r="H2184" s="171">
        <f>_xlfn.AGGREGATE(2,5,LineærRegression_Valg[[#This Row],[Tabel ID]])</f>
        <v>1</v>
      </c>
    </row>
    <row r="2185" spans="1:8" x14ac:dyDescent="0.2">
      <c r="A2185">
        <f>ROW(LineærRegression_Valg[[#This Row],[Tabel ID]])-ROW(LineærRegression_Valg[[#Headers],[Tabel ID]])</f>
        <v>2175</v>
      </c>
      <c r="B2185" s="171">
        <f>ROUNDDOWN((LineærRegression_Valg[[#This Row],[Tabel ID]]-1)/$B$5,0)+1</f>
        <v>544</v>
      </c>
      <c r="C2185" s="171">
        <f t="shared" si="33"/>
        <v>3</v>
      </c>
      <c r="D2185" s="171" t="b">
        <f>LineærRegression_Valg[[#This Row],[Afhængig variabel ID]]&lt;&gt;LineærRegression_Valg[[#This Row],[Uafhængig variabel ID]]</f>
        <v>1</v>
      </c>
      <c r="E2185" s="171" t="b">
        <f>LineærRegression_Valg[[#This Row],[Afhængig variabel ID]]&lt;=$B$5</f>
        <v>0</v>
      </c>
      <c r="F2185" t="str" cm="1">
        <f t="array" ref="F2185">IF(LineærRegression_Valg[[#This Row],[Indenfor range]],INDEX(DataTitel_liste,LineærRegression_Valg[[#This Row],[Afhængig variabel ID]]),INDEX(DataTitel_liste,1))</f>
        <v>Eksempel 1 (interval)</v>
      </c>
      <c r="G2185" s="171" t="str" cm="1">
        <f t="array" ref="G2185">IF(LineærRegression_Valg[[#This Row],[Indenfor range]],IF(LineærRegression_Valg[[#This Row],[Intet overlap]],INDEX(DataTitel_liste,LineærRegression_Valg[[#This Row],[Uafhængig variabel ID]]),INDEX(DataTitel_liste,IF(LineærRegression_Valg[[#This Row],[Afhængig variabel ID]]=1,2,1))),$B$7)</f>
        <v>Eksempel 2 (interval)</v>
      </c>
      <c r="H2185" s="171">
        <f>_xlfn.AGGREGATE(2,5,LineærRegression_Valg[[#This Row],[Tabel ID]])</f>
        <v>1</v>
      </c>
    </row>
    <row r="2186" spans="1:8" x14ac:dyDescent="0.2">
      <c r="A2186">
        <f>ROW(LineærRegression_Valg[[#This Row],[Tabel ID]])-ROW(LineærRegression_Valg[[#Headers],[Tabel ID]])</f>
        <v>2176</v>
      </c>
      <c r="B2186" s="171">
        <f>ROUNDDOWN((LineærRegression_Valg[[#This Row],[Tabel ID]]-1)/$B$5,0)+1</f>
        <v>544</v>
      </c>
      <c r="C2186" s="171">
        <f t="shared" si="33"/>
        <v>4</v>
      </c>
      <c r="D2186" s="171" t="b">
        <f>LineærRegression_Valg[[#This Row],[Afhængig variabel ID]]&lt;&gt;LineærRegression_Valg[[#This Row],[Uafhængig variabel ID]]</f>
        <v>1</v>
      </c>
      <c r="E2186" s="171" t="b">
        <f>LineærRegression_Valg[[#This Row],[Afhængig variabel ID]]&lt;=$B$5</f>
        <v>0</v>
      </c>
      <c r="F2186" t="str" cm="1">
        <f t="array" ref="F2186">IF(LineærRegression_Valg[[#This Row],[Indenfor range]],INDEX(DataTitel_liste,LineærRegression_Valg[[#This Row],[Afhængig variabel ID]]),INDEX(DataTitel_liste,1))</f>
        <v>Eksempel 1 (interval)</v>
      </c>
      <c r="G2186" s="171" t="str" cm="1">
        <f t="array" ref="G2186">IF(LineærRegression_Valg[[#This Row],[Indenfor range]],IF(LineærRegression_Valg[[#This Row],[Intet overlap]],INDEX(DataTitel_liste,LineærRegression_Valg[[#This Row],[Uafhængig variabel ID]]),INDEX(DataTitel_liste,IF(LineærRegression_Valg[[#This Row],[Afhængig variabel ID]]=1,2,1))),$B$7)</f>
        <v>Eksempel 2 (interval)</v>
      </c>
      <c r="H2186" s="171">
        <f>_xlfn.AGGREGATE(2,5,LineærRegression_Valg[[#This Row],[Tabel ID]])</f>
        <v>1</v>
      </c>
    </row>
    <row r="2187" spans="1:8" x14ac:dyDescent="0.2">
      <c r="A2187">
        <f>ROW(LineærRegression_Valg[[#This Row],[Tabel ID]])-ROW(LineærRegression_Valg[[#Headers],[Tabel ID]])</f>
        <v>2177</v>
      </c>
      <c r="B2187" s="171">
        <f>ROUNDDOWN((LineærRegression_Valg[[#This Row],[Tabel ID]]-1)/$B$5,0)+1</f>
        <v>545</v>
      </c>
      <c r="C2187" s="171">
        <f t="shared" ref="C2187:C2250" si="34">MOD(A2187-1,$B$5)+1</f>
        <v>1</v>
      </c>
      <c r="D2187" s="171" t="b">
        <f>LineærRegression_Valg[[#This Row],[Afhængig variabel ID]]&lt;&gt;LineærRegression_Valg[[#This Row],[Uafhængig variabel ID]]</f>
        <v>1</v>
      </c>
      <c r="E2187" s="171" t="b">
        <f>LineærRegression_Valg[[#This Row],[Afhængig variabel ID]]&lt;=$B$5</f>
        <v>0</v>
      </c>
      <c r="F2187" t="str" cm="1">
        <f t="array" ref="F2187">IF(LineærRegression_Valg[[#This Row],[Indenfor range]],INDEX(DataTitel_liste,LineærRegression_Valg[[#This Row],[Afhængig variabel ID]]),INDEX(DataTitel_liste,1))</f>
        <v>Eksempel 1 (interval)</v>
      </c>
      <c r="G2187" s="171" t="str" cm="1">
        <f t="array" ref="G2187">IF(LineærRegression_Valg[[#This Row],[Indenfor range]],IF(LineærRegression_Valg[[#This Row],[Intet overlap]],INDEX(DataTitel_liste,LineærRegression_Valg[[#This Row],[Uafhængig variabel ID]]),INDEX(DataTitel_liste,IF(LineærRegression_Valg[[#This Row],[Afhængig variabel ID]]=1,2,1))),$B$7)</f>
        <v>Eksempel 2 (interval)</v>
      </c>
      <c r="H2187" s="171">
        <f>_xlfn.AGGREGATE(2,5,LineærRegression_Valg[[#This Row],[Tabel ID]])</f>
        <v>1</v>
      </c>
    </row>
    <row r="2188" spans="1:8" x14ac:dyDescent="0.2">
      <c r="A2188">
        <f>ROW(LineærRegression_Valg[[#This Row],[Tabel ID]])-ROW(LineærRegression_Valg[[#Headers],[Tabel ID]])</f>
        <v>2178</v>
      </c>
      <c r="B2188" s="171">
        <f>ROUNDDOWN((LineærRegression_Valg[[#This Row],[Tabel ID]]-1)/$B$5,0)+1</f>
        <v>545</v>
      </c>
      <c r="C2188" s="171">
        <f t="shared" si="34"/>
        <v>2</v>
      </c>
      <c r="D2188" s="171" t="b">
        <f>LineærRegression_Valg[[#This Row],[Afhængig variabel ID]]&lt;&gt;LineærRegression_Valg[[#This Row],[Uafhængig variabel ID]]</f>
        <v>1</v>
      </c>
      <c r="E2188" s="171" t="b">
        <f>LineærRegression_Valg[[#This Row],[Afhængig variabel ID]]&lt;=$B$5</f>
        <v>0</v>
      </c>
      <c r="F2188" t="str" cm="1">
        <f t="array" ref="F2188">IF(LineærRegression_Valg[[#This Row],[Indenfor range]],INDEX(DataTitel_liste,LineærRegression_Valg[[#This Row],[Afhængig variabel ID]]),INDEX(DataTitel_liste,1))</f>
        <v>Eksempel 1 (interval)</v>
      </c>
      <c r="G2188" s="171" t="str" cm="1">
        <f t="array" ref="G2188">IF(LineærRegression_Valg[[#This Row],[Indenfor range]],IF(LineærRegression_Valg[[#This Row],[Intet overlap]],INDEX(DataTitel_liste,LineærRegression_Valg[[#This Row],[Uafhængig variabel ID]]),INDEX(DataTitel_liste,IF(LineærRegression_Valg[[#This Row],[Afhængig variabel ID]]=1,2,1))),$B$7)</f>
        <v>Eksempel 2 (interval)</v>
      </c>
      <c r="H2188" s="171">
        <f>_xlfn.AGGREGATE(2,5,LineærRegression_Valg[[#This Row],[Tabel ID]])</f>
        <v>1</v>
      </c>
    </row>
    <row r="2189" spans="1:8" x14ac:dyDescent="0.2">
      <c r="A2189">
        <f>ROW(LineærRegression_Valg[[#This Row],[Tabel ID]])-ROW(LineærRegression_Valg[[#Headers],[Tabel ID]])</f>
        <v>2179</v>
      </c>
      <c r="B2189" s="171">
        <f>ROUNDDOWN((LineærRegression_Valg[[#This Row],[Tabel ID]]-1)/$B$5,0)+1</f>
        <v>545</v>
      </c>
      <c r="C2189" s="171">
        <f t="shared" si="34"/>
        <v>3</v>
      </c>
      <c r="D2189" s="171" t="b">
        <f>LineærRegression_Valg[[#This Row],[Afhængig variabel ID]]&lt;&gt;LineærRegression_Valg[[#This Row],[Uafhængig variabel ID]]</f>
        <v>1</v>
      </c>
      <c r="E2189" s="171" t="b">
        <f>LineærRegression_Valg[[#This Row],[Afhængig variabel ID]]&lt;=$B$5</f>
        <v>0</v>
      </c>
      <c r="F2189" t="str" cm="1">
        <f t="array" ref="F2189">IF(LineærRegression_Valg[[#This Row],[Indenfor range]],INDEX(DataTitel_liste,LineærRegression_Valg[[#This Row],[Afhængig variabel ID]]),INDEX(DataTitel_liste,1))</f>
        <v>Eksempel 1 (interval)</v>
      </c>
      <c r="G2189" s="171" t="str" cm="1">
        <f t="array" ref="G2189">IF(LineærRegression_Valg[[#This Row],[Indenfor range]],IF(LineærRegression_Valg[[#This Row],[Intet overlap]],INDEX(DataTitel_liste,LineærRegression_Valg[[#This Row],[Uafhængig variabel ID]]),INDEX(DataTitel_liste,IF(LineærRegression_Valg[[#This Row],[Afhængig variabel ID]]=1,2,1))),$B$7)</f>
        <v>Eksempel 2 (interval)</v>
      </c>
      <c r="H2189" s="171">
        <f>_xlfn.AGGREGATE(2,5,LineærRegression_Valg[[#This Row],[Tabel ID]])</f>
        <v>1</v>
      </c>
    </row>
    <row r="2190" spans="1:8" x14ac:dyDescent="0.2">
      <c r="A2190">
        <f>ROW(LineærRegression_Valg[[#This Row],[Tabel ID]])-ROW(LineærRegression_Valg[[#Headers],[Tabel ID]])</f>
        <v>2180</v>
      </c>
      <c r="B2190" s="171">
        <f>ROUNDDOWN((LineærRegression_Valg[[#This Row],[Tabel ID]]-1)/$B$5,0)+1</f>
        <v>545</v>
      </c>
      <c r="C2190" s="171">
        <f t="shared" si="34"/>
        <v>4</v>
      </c>
      <c r="D2190" s="171" t="b">
        <f>LineærRegression_Valg[[#This Row],[Afhængig variabel ID]]&lt;&gt;LineærRegression_Valg[[#This Row],[Uafhængig variabel ID]]</f>
        <v>1</v>
      </c>
      <c r="E2190" s="171" t="b">
        <f>LineærRegression_Valg[[#This Row],[Afhængig variabel ID]]&lt;=$B$5</f>
        <v>0</v>
      </c>
      <c r="F2190" t="str" cm="1">
        <f t="array" ref="F2190">IF(LineærRegression_Valg[[#This Row],[Indenfor range]],INDEX(DataTitel_liste,LineærRegression_Valg[[#This Row],[Afhængig variabel ID]]),INDEX(DataTitel_liste,1))</f>
        <v>Eksempel 1 (interval)</v>
      </c>
      <c r="G2190" s="171" t="str" cm="1">
        <f t="array" ref="G2190">IF(LineærRegression_Valg[[#This Row],[Indenfor range]],IF(LineærRegression_Valg[[#This Row],[Intet overlap]],INDEX(DataTitel_liste,LineærRegression_Valg[[#This Row],[Uafhængig variabel ID]]),INDEX(DataTitel_liste,IF(LineærRegression_Valg[[#This Row],[Afhængig variabel ID]]=1,2,1))),$B$7)</f>
        <v>Eksempel 2 (interval)</v>
      </c>
      <c r="H2190" s="171">
        <f>_xlfn.AGGREGATE(2,5,LineærRegression_Valg[[#This Row],[Tabel ID]])</f>
        <v>1</v>
      </c>
    </row>
    <row r="2191" spans="1:8" x14ac:dyDescent="0.2">
      <c r="A2191">
        <f>ROW(LineærRegression_Valg[[#This Row],[Tabel ID]])-ROW(LineærRegression_Valg[[#Headers],[Tabel ID]])</f>
        <v>2181</v>
      </c>
      <c r="B2191" s="171">
        <f>ROUNDDOWN((LineærRegression_Valg[[#This Row],[Tabel ID]]-1)/$B$5,0)+1</f>
        <v>546</v>
      </c>
      <c r="C2191" s="171">
        <f t="shared" si="34"/>
        <v>1</v>
      </c>
      <c r="D2191" s="171" t="b">
        <f>LineærRegression_Valg[[#This Row],[Afhængig variabel ID]]&lt;&gt;LineærRegression_Valg[[#This Row],[Uafhængig variabel ID]]</f>
        <v>1</v>
      </c>
      <c r="E2191" s="171" t="b">
        <f>LineærRegression_Valg[[#This Row],[Afhængig variabel ID]]&lt;=$B$5</f>
        <v>0</v>
      </c>
      <c r="F2191" t="str" cm="1">
        <f t="array" ref="F2191">IF(LineærRegression_Valg[[#This Row],[Indenfor range]],INDEX(DataTitel_liste,LineærRegression_Valg[[#This Row],[Afhængig variabel ID]]),INDEX(DataTitel_liste,1))</f>
        <v>Eksempel 1 (interval)</v>
      </c>
      <c r="G2191" s="171" t="str" cm="1">
        <f t="array" ref="G2191">IF(LineærRegression_Valg[[#This Row],[Indenfor range]],IF(LineærRegression_Valg[[#This Row],[Intet overlap]],INDEX(DataTitel_liste,LineærRegression_Valg[[#This Row],[Uafhængig variabel ID]]),INDEX(DataTitel_liste,IF(LineærRegression_Valg[[#This Row],[Afhængig variabel ID]]=1,2,1))),$B$7)</f>
        <v>Eksempel 2 (interval)</v>
      </c>
      <c r="H2191" s="171">
        <f>_xlfn.AGGREGATE(2,5,LineærRegression_Valg[[#This Row],[Tabel ID]])</f>
        <v>1</v>
      </c>
    </row>
    <row r="2192" spans="1:8" x14ac:dyDescent="0.2">
      <c r="A2192">
        <f>ROW(LineærRegression_Valg[[#This Row],[Tabel ID]])-ROW(LineærRegression_Valg[[#Headers],[Tabel ID]])</f>
        <v>2182</v>
      </c>
      <c r="B2192" s="171">
        <f>ROUNDDOWN((LineærRegression_Valg[[#This Row],[Tabel ID]]-1)/$B$5,0)+1</f>
        <v>546</v>
      </c>
      <c r="C2192" s="171">
        <f t="shared" si="34"/>
        <v>2</v>
      </c>
      <c r="D2192" s="171" t="b">
        <f>LineærRegression_Valg[[#This Row],[Afhængig variabel ID]]&lt;&gt;LineærRegression_Valg[[#This Row],[Uafhængig variabel ID]]</f>
        <v>1</v>
      </c>
      <c r="E2192" s="171" t="b">
        <f>LineærRegression_Valg[[#This Row],[Afhængig variabel ID]]&lt;=$B$5</f>
        <v>0</v>
      </c>
      <c r="F2192" t="str" cm="1">
        <f t="array" ref="F2192">IF(LineærRegression_Valg[[#This Row],[Indenfor range]],INDEX(DataTitel_liste,LineærRegression_Valg[[#This Row],[Afhængig variabel ID]]),INDEX(DataTitel_liste,1))</f>
        <v>Eksempel 1 (interval)</v>
      </c>
      <c r="G2192" s="171" t="str" cm="1">
        <f t="array" ref="G2192">IF(LineærRegression_Valg[[#This Row],[Indenfor range]],IF(LineærRegression_Valg[[#This Row],[Intet overlap]],INDEX(DataTitel_liste,LineærRegression_Valg[[#This Row],[Uafhængig variabel ID]]),INDEX(DataTitel_liste,IF(LineærRegression_Valg[[#This Row],[Afhængig variabel ID]]=1,2,1))),$B$7)</f>
        <v>Eksempel 2 (interval)</v>
      </c>
      <c r="H2192" s="171">
        <f>_xlfn.AGGREGATE(2,5,LineærRegression_Valg[[#This Row],[Tabel ID]])</f>
        <v>1</v>
      </c>
    </row>
    <row r="2193" spans="1:8" x14ac:dyDescent="0.2">
      <c r="A2193">
        <f>ROW(LineærRegression_Valg[[#This Row],[Tabel ID]])-ROW(LineærRegression_Valg[[#Headers],[Tabel ID]])</f>
        <v>2183</v>
      </c>
      <c r="B2193" s="171">
        <f>ROUNDDOWN((LineærRegression_Valg[[#This Row],[Tabel ID]]-1)/$B$5,0)+1</f>
        <v>546</v>
      </c>
      <c r="C2193" s="171">
        <f t="shared" si="34"/>
        <v>3</v>
      </c>
      <c r="D2193" s="171" t="b">
        <f>LineærRegression_Valg[[#This Row],[Afhængig variabel ID]]&lt;&gt;LineærRegression_Valg[[#This Row],[Uafhængig variabel ID]]</f>
        <v>1</v>
      </c>
      <c r="E2193" s="171" t="b">
        <f>LineærRegression_Valg[[#This Row],[Afhængig variabel ID]]&lt;=$B$5</f>
        <v>0</v>
      </c>
      <c r="F2193" t="str" cm="1">
        <f t="array" ref="F2193">IF(LineærRegression_Valg[[#This Row],[Indenfor range]],INDEX(DataTitel_liste,LineærRegression_Valg[[#This Row],[Afhængig variabel ID]]),INDEX(DataTitel_liste,1))</f>
        <v>Eksempel 1 (interval)</v>
      </c>
      <c r="G2193" s="171" t="str" cm="1">
        <f t="array" ref="G2193">IF(LineærRegression_Valg[[#This Row],[Indenfor range]],IF(LineærRegression_Valg[[#This Row],[Intet overlap]],INDEX(DataTitel_liste,LineærRegression_Valg[[#This Row],[Uafhængig variabel ID]]),INDEX(DataTitel_liste,IF(LineærRegression_Valg[[#This Row],[Afhængig variabel ID]]=1,2,1))),$B$7)</f>
        <v>Eksempel 2 (interval)</v>
      </c>
      <c r="H2193" s="171">
        <f>_xlfn.AGGREGATE(2,5,LineærRegression_Valg[[#This Row],[Tabel ID]])</f>
        <v>1</v>
      </c>
    </row>
    <row r="2194" spans="1:8" x14ac:dyDescent="0.2">
      <c r="A2194">
        <f>ROW(LineærRegression_Valg[[#This Row],[Tabel ID]])-ROW(LineærRegression_Valg[[#Headers],[Tabel ID]])</f>
        <v>2184</v>
      </c>
      <c r="B2194" s="171">
        <f>ROUNDDOWN((LineærRegression_Valg[[#This Row],[Tabel ID]]-1)/$B$5,0)+1</f>
        <v>546</v>
      </c>
      <c r="C2194" s="171">
        <f t="shared" si="34"/>
        <v>4</v>
      </c>
      <c r="D2194" s="171" t="b">
        <f>LineærRegression_Valg[[#This Row],[Afhængig variabel ID]]&lt;&gt;LineærRegression_Valg[[#This Row],[Uafhængig variabel ID]]</f>
        <v>1</v>
      </c>
      <c r="E2194" s="171" t="b">
        <f>LineærRegression_Valg[[#This Row],[Afhængig variabel ID]]&lt;=$B$5</f>
        <v>0</v>
      </c>
      <c r="F2194" t="str" cm="1">
        <f t="array" ref="F2194">IF(LineærRegression_Valg[[#This Row],[Indenfor range]],INDEX(DataTitel_liste,LineærRegression_Valg[[#This Row],[Afhængig variabel ID]]),INDEX(DataTitel_liste,1))</f>
        <v>Eksempel 1 (interval)</v>
      </c>
      <c r="G2194" s="171" t="str" cm="1">
        <f t="array" ref="G2194">IF(LineærRegression_Valg[[#This Row],[Indenfor range]],IF(LineærRegression_Valg[[#This Row],[Intet overlap]],INDEX(DataTitel_liste,LineærRegression_Valg[[#This Row],[Uafhængig variabel ID]]),INDEX(DataTitel_liste,IF(LineærRegression_Valg[[#This Row],[Afhængig variabel ID]]=1,2,1))),$B$7)</f>
        <v>Eksempel 2 (interval)</v>
      </c>
      <c r="H2194" s="171">
        <f>_xlfn.AGGREGATE(2,5,LineærRegression_Valg[[#This Row],[Tabel ID]])</f>
        <v>1</v>
      </c>
    </row>
    <row r="2195" spans="1:8" x14ac:dyDescent="0.2">
      <c r="A2195">
        <f>ROW(LineærRegression_Valg[[#This Row],[Tabel ID]])-ROW(LineærRegression_Valg[[#Headers],[Tabel ID]])</f>
        <v>2185</v>
      </c>
      <c r="B2195" s="171">
        <f>ROUNDDOWN((LineærRegression_Valg[[#This Row],[Tabel ID]]-1)/$B$5,0)+1</f>
        <v>547</v>
      </c>
      <c r="C2195" s="171">
        <f t="shared" si="34"/>
        <v>1</v>
      </c>
      <c r="D2195" s="171" t="b">
        <f>LineærRegression_Valg[[#This Row],[Afhængig variabel ID]]&lt;&gt;LineærRegression_Valg[[#This Row],[Uafhængig variabel ID]]</f>
        <v>1</v>
      </c>
      <c r="E2195" s="171" t="b">
        <f>LineærRegression_Valg[[#This Row],[Afhængig variabel ID]]&lt;=$B$5</f>
        <v>0</v>
      </c>
      <c r="F2195" t="str" cm="1">
        <f t="array" ref="F2195">IF(LineærRegression_Valg[[#This Row],[Indenfor range]],INDEX(DataTitel_liste,LineærRegression_Valg[[#This Row],[Afhængig variabel ID]]),INDEX(DataTitel_liste,1))</f>
        <v>Eksempel 1 (interval)</v>
      </c>
      <c r="G2195" s="171" t="str" cm="1">
        <f t="array" ref="G2195">IF(LineærRegression_Valg[[#This Row],[Indenfor range]],IF(LineærRegression_Valg[[#This Row],[Intet overlap]],INDEX(DataTitel_liste,LineærRegression_Valg[[#This Row],[Uafhængig variabel ID]]),INDEX(DataTitel_liste,IF(LineærRegression_Valg[[#This Row],[Afhængig variabel ID]]=1,2,1))),$B$7)</f>
        <v>Eksempel 2 (interval)</v>
      </c>
      <c r="H2195" s="171">
        <f>_xlfn.AGGREGATE(2,5,LineærRegression_Valg[[#This Row],[Tabel ID]])</f>
        <v>1</v>
      </c>
    </row>
    <row r="2196" spans="1:8" x14ac:dyDescent="0.2">
      <c r="A2196">
        <f>ROW(LineærRegression_Valg[[#This Row],[Tabel ID]])-ROW(LineærRegression_Valg[[#Headers],[Tabel ID]])</f>
        <v>2186</v>
      </c>
      <c r="B2196" s="171">
        <f>ROUNDDOWN((LineærRegression_Valg[[#This Row],[Tabel ID]]-1)/$B$5,0)+1</f>
        <v>547</v>
      </c>
      <c r="C2196" s="171">
        <f t="shared" si="34"/>
        <v>2</v>
      </c>
      <c r="D2196" s="171" t="b">
        <f>LineærRegression_Valg[[#This Row],[Afhængig variabel ID]]&lt;&gt;LineærRegression_Valg[[#This Row],[Uafhængig variabel ID]]</f>
        <v>1</v>
      </c>
      <c r="E2196" s="171" t="b">
        <f>LineærRegression_Valg[[#This Row],[Afhængig variabel ID]]&lt;=$B$5</f>
        <v>0</v>
      </c>
      <c r="F2196" t="str" cm="1">
        <f t="array" ref="F2196">IF(LineærRegression_Valg[[#This Row],[Indenfor range]],INDEX(DataTitel_liste,LineærRegression_Valg[[#This Row],[Afhængig variabel ID]]),INDEX(DataTitel_liste,1))</f>
        <v>Eksempel 1 (interval)</v>
      </c>
      <c r="G2196" s="171" t="str" cm="1">
        <f t="array" ref="G2196">IF(LineærRegression_Valg[[#This Row],[Indenfor range]],IF(LineærRegression_Valg[[#This Row],[Intet overlap]],INDEX(DataTitel_liste,LineærRegression_Valg[[#This Row],[Uafhængig variabel ID]]),INDEX(DataTitel_liste,IF(LineærRegression_Valg[[#This Row],[Afhængig variabel ID]]=1,2,1))),$B$7)</f>
        <v>Eksempel 2 (interval)</v>
      </c>
      <c r="H2196" s="171">
        <f>_xlfn.AGGREGATE(2,5,LineærRegression_Valg[[#This Row],[Tabel ID]])</f>
        <v>1</v>
      </c>
    </row>
    <row r="2197" spans="1:8" x14ac:dyDescent="0.2">
      <c r="A2197">
        <f>ROW(LineærRegression_Valg[[#This Row],[Tabel ID]])-ROW(LineærRegression_Valg[[#Headers],[Tabel ID]])</f>
        <v>2187</v>
      </c>
      <c r="B2197" s="171">
        <f>ROUNDDOWN((LineærRegression_Valg[[#This Row],[Tabel ID]]-1)/$B$5,0)+1</f>
        <v>547</v>
      </c>
      <c r="C2197" s="171">
        <f t="shared" si="34"/>
        <v>3</v>
      </c>
      <c r="D2197" s="171" t="b">
        <f>LineærRegression_Valg[[#This Row],[Afhængig variabel ID]]&lt;&gt;LineærRegression_Valg[[#This Row],[Uafhængig variabel ID]]</f>
        <v>1</v>
      </c>
      <c r="E2197" s="171" t="b">
        <f>LineærRegression_Valg[[#This Row],[Afhængig variabel ID]]&lt;=$B$5</f>
        <v>0</v>
      </c>
      <c r="F2197" t="str" cm="1">
        <f t="array" ref="F2197">IF(LineærRegression_Valg[[#This Row],[Indenfor range]],INDEX(DataTitel_liste,LineærRegression_Valg[[#This Row],[Afhængig variabel ID]]),INDEX(DataTitel_liste,1))</f>
        <v>Eksempel 1 (interval)</v>
      </c>
      <c r="G2197" s="171" t="str" cm="1">
        <f t="array" ref="G2197">IF(LineærRegression_Valg[[#This Row],[Indenfor range]],IF(LineærRegression_Valg[[#This Row],[Intet overlap]],INDEX(DataTitel_liste,LineærRegression_Valg[[#This Row],[Uafhængig variabel ID]]),INDEX(DataTitel_liste,IF(LineærRegression_Valg[[#This Row],[Afhængig variabel ID]]=1,2,1))),$B$7)</f>
        <v>Eksempel 2 (interval)</v>
      </c>
      <c r="H2197" s="171">
        <f>_xlfn.AGGREGATE(2,5,LineærRegression_Valg[[#This Row],[Tabel ID]])</f>
        <v>1</v>
      </c>
    </row>
    <row r="2198" spans="1:8" x14ac:dyDescent="0.2">
      <c r="A2198">
        <f>ROW(LineærRegression_Valg[[#This Row],[Tabel ID]])-ROW(LineærRegression_Valg[[#Headers],[Tabel ID]])</f>
        <v>2188</v>
      </c>
      <c r="B2198" s="171">
        <f>ROUNDDOWN((LineærRegression_Valg[[#This Row],[Tabel ID]]-1)/$B$5,0)+1</f>
        <v>547</v>
      </c>
      <c r="C2198" s="171">
        <f t="shared" si="34"/>
        <v>4</v>
      </c>
      <c r="D2198" s="171" t="b">
        <f>LineærRegression_Valg[[#This Row],[Afhængig variabel ID]]&lt;&gt;LineærRegression_Valg[[#This Row],[Uafhængig variabel ID]]</f>
        <v>1</v>
      </c>
      <c r="E2198" s="171" t="b">
        <f>LineærRegression_Valg[[#This Row],[Afhængig variabel ID]]&lt;=$B$5</f>
        <v>0</v>
      </c>
      <c r="F2198" t="str" cm="1">
        <f t="array" ref="F2198">IF(LineærRegression_Valg[[#This Row],[Indenfor range]],INDEX(DataTitel_liste,LineærRegression_Valg[[#This Row],[Afhængig variabel ID]]),INDEX(DataTitel_liste,1))</f>
        <v>Eksempel 1 (interval)</v>
      </c>
      <c r="G2198" s="171" t="str" cm="1">
        <f t="array" ref="G2198">IF(LineærRegression_Valg[[#This Row],[Indenfor range]],IF(LineærRegression_Valg[[#This Row],[Intet overlap]],INDEX(DataTitel_liste,LineærRegression_Valg[[#This Row],[Uafhængig variabel ID]]),INDEX(DataTitel_liste,IF(LineærRegression_Valg[[#This Row],[Afhængig variabel ID]]=1,2,1))),$B$7)</f>
        <v>Eksempel 2 (interval)</v>
      </c>
      <c r="H2198" s="171">
        <f>_xlfn.AGGREGATE(2,5,LineærRegression_Valg[[#This Row],[Tabel ID]])</f>
        <v>1</v>
      </c>
    </row>
    <row r="2199" spans="1:8" x14ac:dyDescent="0.2">
      <c r="A2199">
        <f>ROW(LineærRegression_Valg[[#This Row],[Tabel ID]])-ROW(LineærRegression_Valg[[#Headers],[Tabel ID]])</f>
        <v>2189</v>
      </c>
      <c r="B2199" s="171">
        <f>ROUNDDOWN((LineærRegression_Valg[[#This Row],[Tabel ID]]-1)/$B$5,0)+1</f>
        <v>548</v>
      </c>
      <c r="C2199" s="171">
        <f t="shared" si="34"/>
        <v>1</v>
      </c>
      <c r="D2199" s="171" t="b">
        <f>LineærRegression_Valg[[#This Row],[Afhængig variabel ID]]&lt;&gt;LineærRegression_Valg[[#This Row],[Uafhængig variabel ID]]</f>
        <v>1</v>
      </c>
      <c r="E2199" s="171" t="b">
        <f>LineærRegression_Valg[[#This Row],[Afhængig variabel ID]]&lt;=$B$5</f>
        <v>0</v>
      </c>
      <c r="F2199" t="str" cm="1">
        <f t="array" ref="F2199">IF(LineærRegression_Valg[[#This Row],[Indenfor range]],INDEX(DataTitel_liste,LineærRegression_Valg[[#This Row],[Afhængig variabel ID]]),INDEX(DataTitel_liste,1))</f>
        <v>Eksempel 1 (interval)</v>
      </c>
      <c r="G2199" s="171" t="str" cm="1">
        <f t="array" ref="G2199">IF(LineærRegression_Valg[[#This Row],[Indenfor range]],IF(LineærRegression_Valg[[#This Row],[Intet overlap]],INDEX(DataTitel_liste,LineærRegression_Valg[[#This Row],[Uafhængig variabel ID]]),INDEX(DataTitel_liste,IF(LineærRegression_Valg[[#This Row],[Afhængig variabel ID]]=1,2,1))),$B$7)</f>
        <v>Eksempel 2 (interval)</v>
      </c>
      <c r="H2199" s="171">
        <f>_xlfn.AGGREGATE(2,5,LineærRegression_Valg[[#This Row],[Tabel ID]])</f>
        <v>1</v>
      </c>
    </row>
    <row r="2200" spans="1:8" x14ac:dyDescent="0.2">
      <c r="A2200">
        <f>ROW(LineærRegression_Valg[[#This Row],[Tabel ID]])-ROW(LineærRegression_Valg[[#Headers],[Tabel ID]])</f>
        <v>2190</v>
      </c>
      <c r="B2200" s="171">
        <f>ROUNDDOWN((LineærRegression_Valg[[#This Row],[Tabel ID]]-1)/$B$5,0)+1</f>
        <v>548</v>
      </c>
      <c r="C2200" s="171">
        <f t="shared" si="34"/>
        <v>2</v>
      </c>
      <c r="D2200" s="171" t="b">
        <f>LineærRegression_Valg[[#This Row],[Afhængig variabel ID]]&lt;&gt;LineærRegression_Valg[[#This Row],[Uafhængig variabel ID]]</f>
        <v>1</v>
      </c>
      <c r="E2200" s="171" t="b">
        <f>LineærRegression_Valg[[#This Row],[Afhængig variabel ID]]&lt;=$B$5</f>
        <v>0</v>
      </c>
      <c r="F2200" t="str" cm="1">
        <f t="array" ref="F2200">IF(LineærRegression_Valg[[#This Row],[Indenfor range]],INDEX(DataTitel_liste,LineærRegression_Valg[[#This Row],[Afhængig variabel ID]]),INDEX(DataTitel_liste,1))</f>
        <v>Eksempel 1 (interval)</v>
      </c>
      <c r="G2200" s="171" t="str" cm="1">
        <f t="array" ref="G2200">IF(LineærRegression_Valg[[#This Row],[Indenfor range]],IF(LineærRegression_Valg[[#This Row],[Intet overlap]],INDEX(DataTitel_liste,LineærRegression_Valg[[#This Row],[Uafhængig variabel ID]]),INDEX(DataTitel_liste,IF(LineærRegression_Valg[[#This Row],[Afhængig variabel ID]]=1,2,1))),$B$7)</f>
        <v>Eksempel 2 (interval)</v>
      </c>
      <c r="H2200" s="171">
        <f>_xlfn.AGGREGATE(2,5,LineærRegression_Valg[[#This Row],[Tabel ID]])</f>
        <v>1</v>
      </c>
    </row>
    <row r="2201" spans="1:8" x14ac:dyDescent="0.2">
      <c r="A2201">
        <f>ROW(LineærRegression_Valg[[#This Row],[Tabel ID]])-ROW(LineærRegression_Valg[[#Headers],[Tabel ID]])</f>
        <v>2191</v>
      </c>
      <c r="B2201" s="171">
        <f>ROUNDDOWN((LineærRegression_Valg[[#This Row],[Tabel ID]]-1)/$B$5,0)+1</f>
        <v>548</v>
      </c>
      <c r="C2201" s="171">
        <f t="shared" si="34"/>
        <v>3</v>
      </c>
      <c r="D2201" s="171" t="b">
        <f>LineærRegression_Valg[[#This Row],[Afhængig variabel ID]]&lt;&gt;LineærRegression_Valg[[#This Row],[Uafhængig variabel ID]]</f>
        <v>1</v>
      </c>
      <c r="E2201" s="171" t="b">
        <f>LineærRegression_Valg[[#This Row],[Afhængig variabel ID]]&lt;=$B$5</f>
        <v>0</v>
      </c>
      <c r="F2201" t="str" cm="1">
        <f t="array" ref="F2201">IF(LineærRegression_Valg[[#This Row],[Indenfor range]],INDEX(DataTitel_liste,LineærRegression_Valg[[#This Row],[Afhængig variabel ID]]),INDEX(DataTitel_liste,1))</f>
        <v>Eksempel 1 (interval)</v>
      </c>
      <c r="G2201" s="171" t="str" cm="1">
        <f t="array" ref="G2201">IF(LineærRegression_Valg[[#This Row],[Indenfor range]],IF(LineærRegression_Valg[[#This Row],[Intet overlap]],INDEX(DataTitel_liste,LineærRegression_Valg[[#This Row],[Uafhængig variabel ID]]),INDEX(DataTitel_liste,IF(LineærRegression_Valg[[#This Row],[Afhængig variabel ID]]=1,2,1))),$B$7)</f>
        <v>Eksempel 2 (interval)</v>
      </c>
      <c r="H2201" s="171">
        <f>_xlfn.AGGREGATE(2,5,LineærRegression_Valg[[#This Row],[Tabel ID]])</f>
        <v>1</v>
      </c>
    </row>
    <row r="2202" spans="1:8" x14ac:dyDescent="0.2">
      <c r="A2202">
        <f>ROW(LineærRegression_Valg[[#This Row],[Tabel ID]])-ROW(LineærRegression_Valg[[#Headers],[Tabel ID]])</f>
        <v>2192</v>
      </c>
      <c r="B2202" s="171">
        <f>ROUNDDOWN((LineærRegression_Valg[[#This Row],[Tabel ID]]-1)/$B$5,0)+1</f>
        <v>548</v>
      </c>
      <c r="C2202" s="171">
        <f t="shared" si="34"/>
        <v>4</v>
      </c>
      <c r="D2202" s="171" t="b">
        <f>LineærRegression_Valg[[#This Row],[Afhængig variabel ID]]&lt;&gt;LineærRegression_Valg[[#This Row],[Uafhængig variabel ID]]</f>
        <v>1</v>
      </c>
      <c r="E2202" s="171" t="b">
        <f>LineærRegression_Valg[[#This Row],[Afhængig variabel ID]]&lt;=$B$5</f>
        <v>0</v>
      </c>
      <c r="F2202" t="str" cm="1">
        <f t="array" ref="F2202">IF(LineærRegression_Valg[[#This Row],[Indenfor range]],INDEX(DataTitel_liste,LineærRegression_Valg[[#This Row],[Afhængig variabel ID]]),INDEX(DataTitel_liste,1))</f>
        <v>Eksempel 1 (interval)</v>
      </c>
      <c r="G2202" s="171" t="str" cm="1">
        <f t="array" ref="G2202">IF(LineærRegression_Valg[[#This Row],[Indenfor range]],IF(LineærRegression_Valg[[#This Row],[Intet overlap]],INDEX(DataTitel_liste,LineærRegression_Valg[[#This Row],[Uafhængig variabel ID]]),INDEX(DataTitel_liste,IF(LineærRegression_Valg[[#This Row],[Afhængig variabel ID]]=1,2,1))),$B$7)</f>
        <v>Eksempel 2 (interval)</v>
      </c>
      <c r="H2202" s="171">
        <f>_xlfn.AGGREGATE(2,5,LineærRegression_Valg[[#This Row],[Tabel ID]])</f>
        <v>1</v>
      </c>
    </row>
    <row r="2203" spans="1:8" x14ac:dyDescent="0.2">
      <c r="A2203">
        <f>ROW(LineærRegression_Valg[[#This Row],[Tabel ID]])-ROW(LineærRegression_Valg[[#Headers],[Tabel ID]])</f>
        <v>2193</v>
      </c>
      <c r="B2203" s="171">
        <f>ROUNDDOWN((LineærRegression_Valg[[#This Row],[Tabel ID]]-1)/$B$5,0)+1</f>
        <v>549</v>
      </c>
      <c r="C2203" s="171">
        <f t="shared" si="34"/>
        <v>1</v>
      </c>
      <c r="D2203" s="171" t="b">
        <f>LineærRegression_Valg[[#This Row],[Afhængig variabel ID]]&lt;&gt;LineærRegression_Valg[[#This Row],[Uafhængig variabel ID]]</f>
        <v>1</v>
      </c>
      <c r="E2203" s="171" t="b">
        <f>LineærRegression_Valg[[#This Row],[Afhængig variabel ID]]&lt;=$B$5</f>
        <v>0</v>
      </c>
      <c r="F2203" t="str" cm="1">
        <f t="array" ref="F2203">IF(LineærRegression_Valg[[#This Row],[Indenfor range]],INDEX(DataTitel_liste,LineærRegression_Valg[[#This Row],[Afhængig variabel ID]]),INDEX(DataTitel_liste,1))</f>
        <v>Eksempel 1 (interval)</v>
      </c>
      <c r="G2203" s="171" t="str" cm="1">
        <f t="array" ref="G2203">IF(LineærRegression_Valg[[#This Row],[Indenfor range]],IF(LineærRegression_Valg[[#This Row],[Intet overlap]],INDEX(DataTitel_liste,LineærRegression_Valg[[#This Row],[Uafhængig variabel ID]]),INDEX(DataTitel_liste,IF(LineærRegression_Valg[[#This Row],[Afhængig variabel ID]]=1,2,1))),$B$7)</f>
        <v>Eksempel 2 (interval)</v>
      </c>
      <c r="H2203" s="171">
        <f>_xlfn.AGGREGATE(2,5,LineærRegression_Valg[[#This Row],[Tabel ID]])</f>
        <v>1</v>
      </c>
    </row>
    <row r="2204" spans="1:8" x14ac:dyDescent="0.2">
      <c r="A2204">
        <f>ROW(LineærRegression_Valg[[#This Row],[Tabel ID]])-ROW(LineærRegression_Valg[[#Headers],[Tabel ID]])</f>
        <v>2194</v>
      </c>
      <c r="B2204" s="171">
        <f>ROUNDDOWN((LineærRegression_Valg[[#This Row],[Tabel ID]]-1)/$B$5,0)+1</f>
        <v>549</v>
      </c>
      <c r="C2204" s="171">
        <f t="shared" si="34"/>
        <v>2</v>
      </c>
      <c r="D2204" s="171" t="b">
        <f>LineærRegression_Valg[[#This Row],[Afhængig variabel ID]]&lt;&gt;LineærRegression_Valg[[#This Row],[Uafhængig variabel ID]]</f>
        <v>1</v>
      </c>
      <c r="E2204" s="171" t="b">
        <f>LineærRegression_Valg[[#This Row],[Afhængig variabel ID]]&lt;=$B$5</f>
        <v>0</v>
      </c>
      <c r="F2204" t="str" cm="1">
        <f t="array" ref="F2204">IF(LineærRegression_Valg[[#This Row],[Indenfor range]],INDEX(DataTitel_liste,LineærRegression_Valg[[#This Row],[Afhængig variabel ID]]),INDEX(DataTitel_liste,1))</f>
        <v>Eksempel 1 (interval)</v>
      </c>
      <c r="G2204" s="171" t="str" cm="1">
        <f t="array" ref="G2204">IF(LineærRegression_Valg[[#This Row],[Indenfor range]],IF(LineærRegression_Valg[[#This Row],[Intet overlap]],INDEX(DataTitel_liste,LineærRegression_Valg[[#This Row],[Uafhængig variabel ID]]),INDEX(DataTitel_liste,IF(LineærRegression_Valg[[#This Row],[Afhængig variabel ID]]=1,2,1))),$B$7)</f>
        <v>Eksempel 2 (interval)</v>
      </c>
      <c r="H2204" s="171">
        <f>_xlfn.AGGREGATE(2,5,LineærRegression_Valg[[#This Row],[Tabel ID]])</f>
        <v>1</v>
      </c>
    </row>
    <row r="2205" spans="1:8" x14ac:dyDescent="0.2">
      <c r="A2205">
        <f>ROW(LineærRegression_Valg[[#This Row],[Tabel ID]])-ROW(LineærRegression_Valg[[#Headers],[Tabel ID]])</f>
        <v>2195</v>
      </c>
      <c r="B2205" s="171">
        <f>ROUNDDOWN((LineærRegression_Valg[[#This Row],[Tabel ID]]-1)/$B$5,0)+1</f>
        <v>549</v>
      </c>
      <c r="C2205" s="171">
        <f t="shared" si="34"/>
        <v>3</v>
      </c>
      <c r="D2205" s="171" t="b">
        <f>LineærRegression_Valg[[#This Row],[Afhængig variabel ID]]&lt;&gt;LineærRegression_Valg[[#This Row],[Uafhængig variabel ID]]</f>
        <v>1</v>
      </c>
      <c r="E2205" s="171" t="b">
        <f>LineærRegression_Valg[[#This Row],[Afhængig variabel ID]]&lt;=$B$5</f>
        <v>0</v>
      </c>
      <c r="F2205" t="str" cm="1">
        <f t="array" ref="F2205">IF(LineærRegression_Valg[[#This Row],[Indenfor range]],INDEX(DataTitel_liste,LineærRegression_Valg[[#This Row],[Afhængig variabel ID]]),INDEX(DataTitel_liste,1))</f>
        <v>Eksempel 1 (interval)</v>
      </c>
      <c r="G2205" s="171" t="str" cm="1">
        <f t="array" ref="G2205">IF(LineærRegression_Valg[[#This Row],[Indenfor range]],IF(LineærRegression_Valg[[#This Row],[Intet overlap]],INDEX(DataTitel_liste,LineærRegression_Valg[[#This Row],[Uafhængig variabel ID]]),INDEX(DataTitel_liste,IF(LineærRegression_Valg[[#This Row],[Afhængig variabel ID]]=1,2,1))),$B$7)</f>
        <v>Eksempel 2 (interval)</v>
      </c>
      <c r="H2205" s="171">
        <f>_xlfn.AGGREGATE(2,5,LineærRegression_Valg[[#This Row],[Tabel ID]])</f>
        <v>1</v>
      </c>
    </row>
    <row r="2206" spans="1:8" x14ac:dyDescent="0.2">
      <c r="A2206">
        <f>ROW(LineærRegression_Valg[[#This Row],[Tabel ID]])-ROW(LineærRegression_Valg[[#Headers],[Tabel ID]])</f>
        <v>2196</v>
      </c>
      <c r="B2206" s="171">
        <f>ROUNDDOWN((LineærRegression_Valg[[#This Row],[Tabel ID]]-1)/$B$5,0)+1</f>
        <v>549</v>
      </c>
      <c r="C2206" s="171">
        <f t="shared" si="34"/>
        <v>4</v>
      </c>
      <c r="D2206" s="171" t="b">
        <f>LineærRegression_Valg[[#This Row],[Afhængig variabel ID]]&lt;&gt;LineærRegression_Valg[[#This Row],[Uafhængig variabel ID]]</f>
        <v>1</v>
      </c>
      <c r="E2206" s="171" t="b">
        <f>LineærRegression_Valg[[#This Row],[Afhængig variabel ID]]&lt;=$B$5</f>
        <v>0</v>
      </c>
      <c r="F2206" t="str" cm="1">
        <f t="array" ref="F2206">IF(LineærRegression_Valg[[#This Row],[Indenfor range]],INDEX(DataTitel_liste,LineærRegression_Valg[[#This Row],[Afhængig variabel ID]]),INDEX(DataTitel_liste,1))</f>
        <v>Eksempel 1 (interval)</v>
      </c>
      <c r="G2206" s="171" t="str" cm="1">
        <f t="array" ref="G2206">IF(LineærRegression_Valg[[#This Row],[Indenfor range]],IF(LineærRegression_Valg[[#This Row],[Intet overlap]],INDEX(DataTitel_liste,LineærRegression_Valg[[#This Row],[Uafhængig variabel ID]]),INDEX(DataTitel_liste,IF(LineærRegression_Valg[[#This Row],[Afhængig variabel ID]]=1,2,1))),$B$7)</f>
        <v>Eksempel 2 (interval)</v>
      </c>
      <c r="H2206" s="171">
        <f>_xlfn.AGGREGATE(2,5,LineærRegression_Valg[[#This Row],[Tabel ID]])</f>
        <v>1</v>
      </c>
    </row>
    <row r="2207" spans="1:8" x14ac:dyDescent="0.2">
      <c r="A2207">
        <f>ROW(LineærRegression_Valg[[#This Row],[Tabel ID]])-ROW(LineærRegression_Valg[[#Headers],[Tabel ID]])</f>
        <v>2197</v>
      </c>
      <c r="B2207" s="171">
        <f>ROUNDDOWN((LineærRegression_Valg[[#This Row],[Tabel ID]]-1)/$B$5,0)+1</f>
        <v>550</v>
      </c>
      <c r="C2207" s="171">
        <f t="shared" si="34"/>
        <v>1</v>
      </c>
      <c r="D2207" s="171" t="b">
        <f>LineærRegression_Valg[[#This Row],[Afhængig variabel ID]]&lt;&gt;LineærRegression_Valg[[#This Row],[Uafhængig variabel ID]]</f>
        <v>1</v>
      </c>
      <c r="E2207" s="171" t="b">
        <f>LineærRegression_Valg[[#This Row],[Afhængig variabel ID]]&lt;=$B$5</f>
        <v>0</v>
      </c>
      <c r="F2207" t="str" cm="1">
        <f t="array" ref="F2207">IF(LineærRegression_Valg[[#This Row],[Indenfor range]],INDEX(DataTitel_liste,LineærRegression_Valg[[#This Row],[Afhængig variabel ID]]),INDEX(DataTitel_liste,1))</f>
        <v>Eksempel 1 (interval)</v>
      </c>
      <c r="G2207" s="171" t="str" cm="1">
        <f t="array" ref="G2207">IF(LineærRegression_Valg[[#This Row],[Indenfor range]],IF(LineærRegression_Valg[[#This Row],[Intet overlap]],INDEX(DataTitel_liste,LineærRegression_Valg[[#This Row],[Uafhængig variabel ID]]),INDEX(DataTitel_liste,IF(LineærRegression_Valg[[#This Row],[Afhængig variabel ID]]=1,2,1))),$B$7)</f>
        <v>Eksempel 2 (interval)</v>
      </c>
      <c r="H2207" s="171">
        <f>_xlfn.AGGREGATE(2,5,LineærRegression_Valg[[#This Row],[Tabel ID]])</f>
        <v>1</v>
      </c>
    </row>
    <row r="2208" spans="1:8" x14ac:dyDescent="0.2">
      <c r="A2208">
        <f>ROW(LineærRegression_Valg[[#This Row],[Tabel ID]])-ROW(LineærRegression_Valg[[#Headers],[Tabel ID]])</f>
        <v>2198</v>
      </c>
      <c r="B2208" s="171">
        <f>ROUNDDOWN((LineærRegression_Valg[[#This Row],[Tabel ID]]-1)/$B$5,0)+1</f>
        <v>550</v>
      </c>
      <c r="C2208" s="171">
        <f t="shared" si="34"/>
        <v>2</v>
      </c>
      <c r="D2208" s="171" t="b">
        <f>LineærRegression_Valg[[#This Row],[Afhængig variabel ID]]&lt;&gt;LineærRegression_Valg[[#This Row],[Uafhængig variabel ID]]</f>
        <v>1</v>
      </c>
      <c r="E2208" s="171" t="b">
        <f>LineærRegression_Valg[[#This Row],[Afhængig variabel ID]]&lt;=$B$5</f>
        <v>0</v>
      </c>
      <c r="F2208" t="str" cm="1">
        <f t="array" ref="F2208">IF(LineærRegression_Valg[[#This Row],[Indenfor range]],INDEX(DataTitel_liste,LineærRegression_Valg[[#This Row],[Afhængig variabel ID]]),INDEX(DataTitel_liste,1))</f>
        <v>Eksempel 1 (interval)</v>
      </c>
      <c r="G2208" s="171" t="str" cm="1">
        <f t="array" ref="G2208">IF(LineærRegression_Valg[[#This Row],[Indenfor range]],IF(LineærRegression_Valg[[#This Row],[Intet overlap]],INDEX(DataTitel_liste,LineærRegression_Valg[[#This Row],[Uafhængig variabel ID]]),INDEX(DataTitel_liste,IF(LineærRegression_Valg[[#This Row],[Afhængig variabel ID]]=1,2,1))),$B$7)</f>
        <v>Eksempel 2 (interval)</v>
      </c>
      <c r="H2208" s="171">
        <f>_xlfn.AGGREGATE(2,5,LineærRegression_Valg[[#This Row],[Tabel ID]])</f>
        <v>1</v>
      </c>
    </row>
    <row r="2209" spans="1:8" x14ac:dyDescent="0.2">
      <c r="A2209">
        <f>ROW(LineærRegression_Valg[[#This Row],[Tabel ID]])-ROW(LineærRegression_Valg[[#Headers],[Tabel ID]])</f>
        <v>2199</v>
      </c>
      <c r="B2209" s="171">
        <f>ROUNDDOWN((LineærRegression_Valg[[#This Row],[Tabel ID]]-1)/$B$5,0)+1</f>
        <v>550</v>
      </c>
      <c r="C2209" s="171">
        <f t="shared" si="34"/>
        <v>3</v>
      </c>
      <c r="D2209" s="171" t="b">
        <f>LineærRegression_Valg[[#This Row],[Afhængig variabel ID]]&lt;&gt;LineærRegression_Valg[[#This Row],[Uafhængig variabel ID]]</f>
        <v>1</v>
      </c>
      <c r="E2209" s="171" t="b">
        <f>LineærRegression_Valg[[#This Row],[Afhængig variabel ID]]&lt;=$B$5</f>
        <v>0</v>
      </c>
      <c r="F2209" t="str" cm="1">
        <f t="array" ref="F2209">IF(LineærRegression_Valg[[#This Row],[Indenfor range]],INDEX(DataTitel_liste,LineærRegression_Valg[[#This Row],[Afhængig variabel ID]]),INDEX(DataTitel_liste,1))</f>
        <v>Eksempel 1 (interval)</v>
      </c>
      <c r="G2209" s="171" t="str" cm="1">
        <f t="array" ref="G2209">IF(LineærRegression_Valg[[#This Row],[Indenfor range]],IF(LineærRegression_Valg[[#This Row],[Intet overlap]],INDEX(DataTitel_liste,LineærRegression_Valg[[#This Row],[Uafhængig variabel ID]]),INDEX(DataTitel_liste,IF(LineærRegression_Valg[[#This Row],[Afhængig variabel ID]]=1,2,1))),$B$7)</f>
        <v>Eksempel 2 (interval)</v>
      </c>
      <c r="H2209" s="171">
        <f>_xlfn.AGGREGATE(2,5,LineærRegression_Valg[[#This Row],[Tabel ID]])</f>
        <v>1</v>
      </c>
    </row>
    <row r="2210" spans="1:8" x14ac:dyDescent="0.2">
      <c r="A2210">
        <f>ROW(LineærRegression_Valg[[#This Row],[Tabel ID]])-ROW(LineærRegression_Valg[[#Headers],[Tabel ID]])</f>
        <v>2200</v>
      </c>
      <c r="B2210" s="171">
        <f>ROUNDDOWN((LineærRegression_Valg[[#This Row],[Tabel ID]]-1)/$B$5,0)+1</f>
        <v>550</v>
      </c>
      <c r="C2210" s="171">
        <f t="shared" si="34"/>
        <v>4</v>
      </c>
      <c r="D2210" s="171" t="b">
        <f>LineærRegression_Valg[[#This Row],[Afhængig variabel ID]]&lt;&gt;LineærRegression_Valg[[#This Row],[Uafhængig variabel ID]]</f>
        <v>1</v>
      </c>
      <c r="E2210" s="171" t="b">
        <f>LineærRegression_Valg[[#This Row],[Afhængig variabel ID]]&lt;=$B$5</f>
        <v>0</v>
      </c>
      <c r="F2210" t="str" cm="1">
        <f t="array" ref="F2210">IF(LineærRegression_Valg[[#This Row],[Indenfor range]],INDEX(DataTitel_liste,LineærRegression_Valg[[#This Row],[Afhængig variabel ID]]),INDEX(DataTitel_liste,1))</f>
        <v>Eksempel 1 (interval)</v>
      </c>
      <c r="G2210" s="171" t="str" cm="1">
        <f t="array" ref="G2210">IF(LineærRegression_Valg[[#This Row],[Indenfor range]],IF(LineærRegression_Valg[[#This Row],[Intet overlap]],INDEX(DataTitel_liste,LineærRegression_Valg[[#This Row],[Uafhængig variabel ID]]),INDEX(DataTitel_liste,IF(LineærRegression_Valg[[#This Row],[Afhængig variabel ID]]=1,2,1))),$B$7)</f>
        <v>Eksempel 2 (interval)</v>
      </c>
      <c r="H2210" s="171">
        <f>_xlfn.AGGREGATE(2,5,LineærRegression_Valg[[#This Row],[Tabel ID]])</f>
        <v>1</v>
      </c>
    </row>
    <row r="2211" spans="1:8" x14ac:dyDescent="0.2">
      <c r="A2211">
        <f>ROW(LineærRegression_Valg[[#This Row],[Tabel ID]])-ROW(LineærRegression_Valg[[#Headers],[Tabel ID]])</f>
        <v>2201</v>
      </c>
      <c r="B2211" s="171">
        <f>ROUNDDOWN((LineærRegression_Valg[[#This Row],[Tabel ID]]-1)/$B$5,0)+1</f>
        <v>551</v>
      </c>
      <c r="C2211" s="171">
        <f t="shared" si="34"/>
        <v>1</v>
      </c>
      <c r="D2211" s="171" t="b">
        <f>LineærRegression_Valg[[#This Row],[Afhængig variabel ID]]&lt;&gt;LineærRegression_Valg[[#This Row],[Uafhængig variabel ID]]</f>
        <v>1</v>
      </c>
      <c r="E2211" s="171" t="b">
        <f>LineærRegression_Valg[[#This Row],[Afhængig variabel ID]]&lt;=$B$5</f>
        <v>0</v>
      </c>
      <c r="F2211" t="str" cm="1">
        <f t="array" ref="F2211">IF(LineærRegression_Valg[[#This Row],[Indenfor range]],INDEX(DataTitel_liste,LineærRegression_Valg[[#This Row],[Afhængig variabel ID]]),INDEX(DataTitel_liste,1))</f>
        <v>Eksempel 1 (interval)</v>
      </c>
      <c r="G2211" s="171" t="str" cm="1">
        <f t="array" ref="G2211">IF(LineærRegression_Valg[[#This Row],[Indenfor range]],IF(LineærRegression_Valg[[#This Row],[Intet overlap]],INDEX(DataTitel_liste,LineærRegression_Valg[[#This Row],[Uafhængig variabel ID]]),INDEX(DataTitel_liste,IF(LineærRegression_Valg[[#This Row],[Afhængig variabel ID]]=1,2,1))),$B$7)</f>
        <v>Eksempel 2 (interval)</v>
      </c>
      <c r="H2211" s="171">
        <f>_xlfn.AGGREGATE(2,5,LineærRegression_Valg[[#This Row],[Tabel ID]])</f>
        <v>1</v>
      </c>
    </row>
    <row r="2212" spans="1:8" x14ac:dyDescent="0.2">
      <c r="A2212">
        <f>ROW(LineærRegression_Valg[[#This Row],[Tabel ID]])-ROW(LineærRegression_Valg[[#Headers],[Tabel ID]])</f>
        <v>2202</v>
      </c>
      <c r="B2212" s="171">
        <f>ROUNDDOWN((LineærRegression_Valg[[#This Row],[Tabel ID]]-1)/$B$5,0)+1</f>
        <v>551</v>
      </c>
      <c r="C2212" s="171">
        <f t="shared" si="34"/>
        <v>2</v>
      </c>
      <c r="D2212" s="171" t="b">
        <f>LineærRegression_Valg[[#This Row],[Afhængig variabel ID]]&lt;&gt;LineærRegression_Valg[[#This Row],[Uafhængig variabel ID]]</f>
        <v>1</v>
      </c>
      <c r="E2212" s="171" t="b">
        <f>LineærRegression_Valg[[#This Row],[Afhængig variabel ID]]&lt;=$B$5</f>
        <v>0</v>
      </c>
      <c r="F2212" t="str" cm="1">
        <f t="array" ref="F2212">IF(LineærRegression_Valg[[#This Row],[Indenfor range]],INDEX(DataTitel_liste,LineærRegression_Valg[[#This Row],[Afhængig variabel ID]]),INDEX(DataTitel_liste,1))</f>
        <v>Eksempel 1 (interval)</v>
      </c>
      <c r="G2212" s="171" t="str" cm="1">
        <f t="array" ref="G2212">IF(LineærRegression_Valg[[#This Row],[Indenfor range]],IF(LineærRegression_Valg[[#This Row],[Intet overlap]],INDEX(DataTitel_liste,LineærRegression_Valg[[#This Row],[Uafhængig variabel ID]]),INDEX(DataTitel_liste,IF(LineærRegression_Valg[[#This Row],[Afhængig variabel ID]]=1,2,1))),$B$7)</f>
        <v>Eksempel 2 (interval)</v>
      </c>
      <c r="H2212" s="171">
        <f>_xlfn.AGGREGATE(2,5,LineærRegression_Valg[[#This Row],[Tabel ID]])</f>
        <v>1</v>
      </c>
    </row>
    <row r="2213" spans="1:8" x14ac:dyDescent="0.2">
      <c r="A2213">
        <f>ROW(LineærRegression_Valg[[#This Row],[Tabel ID]])-ROW(LineærRegression_Valg[[#Headers],[Tabel ID]])</f>
        <v>2203</v>
      </c>
      <c r="B2213" s="171">
        <f>ROUNDDOWN((LineærRegression_Valg[[#This Row],[Tabel ID]]-1)/$B$5,0)+1</f>
        <v>551</v>
      </c>
      <c r="C2213" s="171">
        <f t="shared" si="34"/>
        <v>3</v>
      </c>
      <c r="D2213" s="171" t="b">
        <f>LineærRegression_Valg[[#This Row],[Afhængig variabel ID]]&lt;&gt;LineærRegression_Valg[[#This Row],[Uafhængig variabel ID]]</f>
        <v>1</v>
      </c>
      <c r="E2213" s="171" t="b">
        <f>LineærRegression_Valg[[#This Row],[Afhængig variabel ID]]&lt;=$B$5</f>
        <v>0</v>
      </c>
      <c r="F2213" t="str" cm="1">
        <f t="array" ref="F2213">IF(LineærRegression_Valg[[#This Row],[Indenfor range]],INDEX(DataTitel_liste,LineærRegression_Valg[[#This Row],[Afhængig variabel ID]]),INDEX(DataTitel_liste,1))</f>
        <v>Eksempel 1 (interval)</v>
      </c>
      <c r="G2213" s="171" t="str" cm="1">
        <f t="array" ref="G2213">IF(LineærRegression_Valg[[#This Row],[Indenfor range]],IF(LineærRegression_Valg[[#This Row],[Intet overlap]],INDEX(DataTitel_liste,LineærRegression_Valg[[#This Row],[Uafhængig variabel ID]]),INDEX(DataTitel_liste,IF(LineærRegression_Valg[[#This Row],[Afhængig variabel ID]]=1,2,1))),$B$7)</f>
        <v>Eksempel 2 (interval)</v>
      </c>
      <c r="H2213" s="171">
        <f>_xlfn.AGGREGATE(2,5,LineærRegression_Valg[[#This Row],[Tabel ID]])</f>
        <v>1</v>
      </c>
    </row>
    <row r="2214" spans="1:8" x14ac:dyDescent="0.2">
      <c r="A2214">
        <f>ROW(LineærRegression_Valg[[#This Row],[Tabel ID]])-ROW(LineærRegression_Valg[[#Headers],[Tabel ID]])</f>
        <v>2204</v>
      </c>
      <c r="B2214" s="171">
        <f>ROUNDDOWN((LineærRegression_Valg[[#This Row],[Tabel ID]]-1)/$B$5,0)+1</f>
        <v>551</v>
      </c>
      <c r="C2214" s="171">
        <f t="shared" si="34"/>
        <v>4</v>
      </c>
      <c r="D2214" s="171" t="b">
        <f>LineærRegression_Valg[[#This Row],[Afhængig variabel ID]]&lt;&gt;LineærRegression_Valg[[#This Row],[Uafhængig variabel ID]]</f>
        <v>1</v>
      </c>
      <c r="E2214" s="171" t="b">
        <f>LineærRegression_Valg[[#This Row],[Afhængig variabel ID]]&lt;=$B$5</f>
        <v>0</v>
      </c>
      <c r="F2214" t="str" cm="1">
        <f t="array" ref="F2214">IF(LineærRegression_Valg[[#This Row],[Indenfor range]],INDEX(DataTitel_liste,LineærRegression_Valg[[#This Row],[Afhængig variabel ID]]),INDEX(DataTitel_liste,1))</f>
        <v>Eksempel 1 (interval)</v>
      </c>
      <c r="G2214" s="171" t="str" cm="1">
        <f t="array" ref="G2214">IF(LineærRegression_Valg[[#This Row],[Indenfor range]],IF(LineærRegression_Valg[[#This Row],[Intet overlap]],INDEX(DataTitel_liste,LineærRegression_Valg[[#This Row],[Uafhængig variabel ID]]),INDEX(DataTitel_liste,IF(LineærRegression_Valg[[#This Row],[Afhængig variabel ID]]=1,2,1))),$B$7)</f>
        <v>Eksempel 2 (interval)</v>
      </c>
      <c r="H2214" s="171">
        <f>_xlfn.AGGREGATE(2,5,LineærRegression_Valg[[#This Row],[Tabel ID]])</f>
        <v>1</v>
      </c>
    </row>
    <row r="2215" spans="1:8" x14ac:dyDescent="0.2">
      <c r="A2215">
        <f>ROW(LineærRegression_Valg[[#This Row],[Tabel ID]])-ROW(LineærRegression_Valg[[#Headers],[Tabel ID]])</f>
        <v>2205</v>
      </c>
      <c r="B2215" s="171">
        <f>ROUNDDOWN((LineærRegression_Valg[[#This Row],[Tabel ID]]-1)/$B$5,0)+1</f>
        <v>552</v>
      </c>
      <c r="C2215" s="171">
        <f t="shared" si="34"/>
        <v>1</v>
      </c>
      <c r="D2215" s="171" t="b">
        <f>LineærRegression_Valg[[#This Row],[Afhængig variabel ID]]&lt;&gt;LineærRegression_Valg[[#This Row],[Uafhængig variabel ID]]</f>
        <v>1</v>
      </c>
      <c r="E2215" s="171" t="b">
        <f>LineærRegression_Valg[[#This Row],[Afhængig variabel ID]]&lt;=$B$5</f>
        <v>0</v>
      </c>
      <c r="F2215" t="str" cm="1">
        <f t="array" ref="F2215">IF(LineærRegression_Valg[[#This Row],[Indenfor range]],INDEX(DataTitel_liste,LineærRegression_Valg[[#This Row],[Afhængig variabel ID]]),INDEX(DataTitel_liste,1))</f>
        <v>Eksempel 1 (interval)</v>
      </c>
      <c r="G2215" s="171" t="str" cm="1">
        <f t="array" ref="G2215">IF(LineærRegression_Valg[[#This Row],[Indenfor range]],IF(LineærRegression_Valg[[#This Row],[Intet overlap]],INDEX(DataTitel_liste,LineærRegression_Valg[[#This Row],[Uafhængig variabel ID]]),INDEX(DataTitel_liste,IF(LineærRegression_Valg[[#This Row],[Afhængig variabel ID]]=1,2,1))),$B$7)</f>
        <v>Eksempel 2 (interval)</v>
      </c>
      <c r="H2215" s="171">
        <f>_xlfn.AGGREGATE(2,5,LineærRegression_Valg[[#This Row],[Tabel ID]])</f>
        <v>1</v>
      </c>
    </row>
    <row r="2216" spans="1:8" x14ac:dyDescent="0.2">
      <c r="A2216">
        <f>ROW(LineærRegression_Valg[[#This Row],[Tabel ID]])-ROW(LineærRegression_Valg[[#Headers],[Tabel ID]])</f>
        <v>2206</v>
      </c>
      <c r="B2216" s="171">
        <f>ROUNDDOWN((LineærRegression_Valg[[#This Row],[Tabel ID]]-1)/$B$5,0)+1</f>
        <v>552</v>
      </c>
      <c r="C2216" s="171">
        <f t="shared" si="34"/>
        <v>2</v>
      </c>
      <c r="D2216" s="171" t="b">
        <f>LineærRegression_Valg[[#This Row],[Afhængig variabel ID]]&lt;&gt;LineærRegression_Valg[[#This Row],[Uafhængig variabel ID]]</f>
        <v>1</v>
      </c>
      <c r="E2216" s="171" t="b">
        <f>LineærRegression_Valg[[#This Row],[Afhængig variabel ID]]&lt;=$B$5</f>
        <v>0</v>
      </c>
      <c r="F2216" t="str" cm="1">
        <f t="array" ref="F2216">IF(LineærRegression_Valg[[#This Row],[Indenfor range]],INDEX(DataTitel_liste,LineærRegression_Valg[[#This Row],[Afhængig variabel ID]]),INDEX(DataTitel_liste,1))</f>
        <v>Eksempel 1 (interval)</v>
      </c>
      <c r="G2216" s="171" t="str" cm="1">
        <f t="array" ref="G2216">IF(LineærRegression_Valg[[#This Row],[Indenfor range]],IF(LineærRegression_Valg[[#This Row],[Intet overlap]],INDEX(DataTitel_liste,LineærRegression_Valg[[#This Row],[Uafhængig variabel ID]]),INDEX(DataTitel_liste,IF(LineærRegression_Valg[[#This Row],[Afhængig variabel ID]]=1,2,1))),$B$7)</f>
        <v>Eksempel 2 (interval)</v>
      </c>
      <c r="H2216" s="171">
        <f>_xlfn.AGGREGATE(2,5,LineærRegression_Valg[[#This Row],[Tabel ID]])</f>
        <v>1</v>
      </c>
    </row>
    <row r="2217" spans="1:8" x14ac:dyDescent="0.2">
      <c r="A2217">
        <f>ROW(LineærRegression_Valg[[#This Row],[Tabel ID]])-ROW(LineærRegression_Valg[[#Headers],[Tabel ID]])</f>
        <v>2207</v>
      </c>
      <c r="B2217" s="171">
        <f>ROUNDDOWN((LineærRegression_Valg[[#This Row],[Tabel ID]]-1)/$B$5,0)+1</f>
        <v>552</v>
      </c>
      <c r="C2217" s="171">
        <f t="shared" si="34"/>
        <v>3</v>
      </c>
      <c r="D2217" s="171" t="b">
        <f>LineærRegression_Valg[[#This Row],[Afhængig variabel ID]]&lt;&gt;LineærRegression_Valg[[#This Row],[Uafhængig variabel ID]]</f>
        <v>1</v>
      </c>
      <c r="E2217" s="171" t="b">
        <f>LineærRegression_Valg[[#This Row],[Afhængig variabel ID]]&lt;=$B$5</f>
        <v>0</v>
      </c>
      <c r="F2217" t="str" cm="1">
        <f t="array" ref="F2217">IF(LineærRegression_Valg[[#This Row],[Indenfor range]],INDEX(DataTitel_liste,LineærRegression_Valg[[#This Row],[Afhængig variabel ID]]),INDEX(DataTitel_liste,1))</f>
        <v>Eksempel 1 (interval)</v>
      </c>
      <c r="G2217" s="171" t="str" cm="1">
        <f t="array" ref="G2217">IF(LineærRegression_Valg[[#This Row],[Indenfor range]],IF(LineærRegression_Valg[[#This Row],[Intet overlap]],INDEX(DataTitel_liste,LineærRegression_Valg[[#This Row],[Uafhængig variabel ID]]),INDEX(DataTitel_liste,IF(LineærRegression_Valg[[#This Row],[Afhængig variabel ID]]=1,2,1))),$B$7)</f>
        <v>Eksempel 2 (interval)</v>
      </c>
      <c r="H2217" s="171">
        <f>_xlfn.AGGREGATE(2,5,LineærRegression_Valg[[#This Row],[Tabel ID]])</f>
        <v>1</v>
      </c>
    </row>
    <row r="2218" spans="1:8" x14ac:dyDescent="0.2">
      <c r="A2218">
        <f>ROW(LineærRegression_Valg[[#This Row],[Tabel ID]])-ROW(LineærRegression_Valg[[#Headers],[Tabel ID]])</f>
        <v>2208</v>
      </c>
      <c r="B2218" s="171">
        <f>ROUNDDOWN((LineærRegression_Valg[[#This Row],[Tabel ID]]-1)/$B$5,0)+1</f>
        <v>552</v>
      </c>
      <c r="C2218" s="171">
        <f t="shared" si="34"/>
        <v>4</v>
      </c>
      <c r="D2218" s="171" t="b">
        <f>LineærRegression_Valg[[#This Row],[Afhængig variabel ID]]&lt;&gt;LineærRegression_Valg[[#This Row],[Uafhængig variabel ID]]</f>
        <v>1</v>
      </c>
      <c r="E2218" s="171" t="b">
        <f>LineærRegression_Valg[[#This Row],[Afhængig variabel ID]]&lt;=$B$5</f>
        <v>0</v>
      </c>
      <c r="F2218" t="str" cm="1">
        <f t="array" ref="F2218">IF(LineærRegression_Valg[[#This Row],[Indenfor range]],INDEX(DataTitel_liste,LineærRegression_Valg[[#This Row],[Afhængig variabel ID]]),INDEX(DataTitel_liste,1))</f>
        <v>Eksempel 1 (interval)</v>
      </c>
      <c r="G2218" s="171" t="str" cm="1">
        <f t="array" ref="G2218">IF(LineærRegression_Valg[[#This Row],[Indenfor range]],IF(LineærRegression_Valg[[#This Row],[Intet overlap]],INDEX(DataTitel_liste,LineærRegression_Valg[[#This Row],[Uafhængig variabel ID]]),INDEX(DataTitel_liste,IF(LineærRegression_Valg[[#This Row],[Afhængig variabel ID]]=1,2,1))),$B$7)</f>
        <v>Eksempel 2 (interval)</v>
      </c>
      <c r="H2218" s="171">
        <f>_xlfn.AGGREGATE(2,5,LineærRegression_Valg[[#This Row],[Tabel ID]])</f>
        <v>1</v>
      </c>
    </row>
    <row r="2219" spans="1:8" x14ac:dyDescent="0.2">
      <c r="A2219">
        <f>ROW(LineærRegression_Valg[[#This Row],[Tabel ID]])-ROW(LineærRegression_Valg[[#Headers],[Tabel ID]])</f>
        <v>2209</v>
      </c>
      <c r="B2219" s="171">
        <f>ROUNDDOWN((LineærRegression_Valg[[#This Row],[Tabel ID]]-1)/$B$5,0)+1</f>
        <v>553</v>
      </c>
      <c r="C2219" s="171">
        <f t="shared" si="34"/>
        <v>1</v>
      </c>
      <c r="D2219" s="171" t="b">
        <f>LineærRegression_Valg[[#This Row],[Afhængig variabel ID]]&lt;&gt;LineærRegression_Valg[[#This Row],[Uafhængig variabel ID]]</f>
        <v>1</v>
      </c>
      <c r="E2219" s="171" t="b">
        <f>LineærRegression_Valg[[#This Row],[Afhængig variabel ID]]&lt;=$B$5</f>
        <v>0</v>
      </c>
      <c r="F2219" t="str" cm="1">
        <f t="array" ref="F2219">IF(LineærRegression_Valg[[#This Row],[Indenfor range]],INDEX(DataTitel_liste,LineærRegression_Valg[[#This Row],[Afhængig variabel ID]]),INDEX(DataTitel_liste,1))</f>
        <v>Eksempel 1 (interval)</v>
      </c>
      <c r="G2219" s="171" t="str" cm="1">
        <f t="array" ref="G2219">IF(LineærRegression_Valg[[#This Row],[Indenfor range]],IF(LineærRegression_Valg[[#This Row],[Intet overlap]],INDEX(DataTitel_liste,LineærRegression_Valg[[#This Row],[Uafhængig variabel ID]]),INDEX(DataTitel_liste,IF(LineærRegression_Valg[[#This Row],[Afhængig variabel ID]]=1,2,1))),$B$7)</f>
        <v>Eksempel 2 (interval)</v>
      </c>
      <c r="H2219" s="171">
        <f>_xlfn.AGGREGATE(2,5,LineærRegression_Valg[[#This Row],[Tabel ID]])</f>
        <v>1</v>
      </c>
    </row>
    <row r="2220" spans="1:8" x14ac:dyDescent="0.2">
      <c r="A2220">
        <f>ROW(LineærRegression_Valg[[#This Row],[Tabel ID]])-ROW(LineærRegression_Valg[[#Headers],[Tabel ID]])</f>
        <v>2210</v>
      </c>
      <c r="B2220" s="171">
        <f>ROUNDDOWN((LineærRegression_Valg[[#This Row],[Tabel ID]]-1)/$B$5,0)+1</f>
        <v>553</v>
      </c>
      <c r="C2220" s="171">
        <f t="shared" si="34"/>
        <v>2</v>
      </c>
      <c r="D2220" s="171" t="b">
        <f>LineærRegression_Valg[[#This Row],[Afhængig variabel ID]]&lt;&gt;LineærRegression_Valg[[#This Row],[Uafhængig variabel ID]]</f>
        <v>1</v>
      </c>
      <c r="E2220" s="171" t="b">
        <f>LineærRegression_Valg[[#This Row],[Afhængig variabel ID]]&lt;=$B$5</f>
        <v>0</v>
      </c>
      <c r="F2220" t="str" cm="1">
        <f t="array" ref="F2220">IF(LineærRegression_Valg[[#This Row],[Indenfor range]],INDEX(DataTitel_liste,LineærRegression_Valg[[#This Row],[Afhængig variabel ID]]),INDEX(DataTitel_liste,1))</f>
        <v>Eksempel 1 (interval)</v>
      </c>
      <c r="G2220" s="171" t="str" cm="1">
        <f t="array" ref="G2220">IF(LineærRegression_Valg[[#This Row],[Indenfor range]],IF(LineærRegression_Valg[[#This Row],[Intet overlap]],INDEX(DataTitel_liste,LineærRegression_Valg[[#This Row],[Uafhængig variabel ID]]),INDEX(DataTitel_liste,IF(LineærRegression_Valg[[#This Row],[Afhængig variabel ID]]=1,2,1))),$B$7)</f>
        <v>Eksempel 2 (interval)</v>
      </c>
      <c r="H2220" s="171">
        <f>_xlfn.AGGREGATE(2,5,LineærRegression_Valg[[#This Row],[Tabel ID]])</f>
        <v>1</v>
      </c>
    </row>
    <row r="2221" spans="1:8" x14ac:dyDescent="0.2">
      <c r="A2221">
        <f>ROW(LineærRegression_Valg[[#This Row],[Tabel ID]])-ROW(LineærRegression_Valg[[#Headers],[Tabel ID]])</f>
        <v>2211</v>
      </c>
      <c r="B2221" s="171">
        <f>ROUNDDOWN((LineærRegression_Valg[[#This Row],[Tabel ID]]-1)/$B$5,0)+1</f>
        <v>553</v>
      </c>
      <c r="C2221" s="171">
        <f t="shared" si="34"/>
        <v>3</v>
      </c>
      <c r="D2221" s="171" t="b">
        <f>LineærRegression_Valg[[#This Row],[Afhængig variabel ID]]&lt;&gt;LineærRegression_Valg[[#This Row],[Uafhængig variabel ID]]</f>
        <v>1</v>
      </c>
      <c r="E2221" s="171" t="b">
        <f>LineærRegression_Valg[[#This Row],[Afhængig variabel ID]]&lt;=$B$5</f>
        <v>0</v>
      </c>
      <c r="F2221" t="str" cm="1">
        <f t="array" ref="F2221">IF(LineærRegression_Valg[[#This Row],[Indenfor range]],INDEX(DataTitel_liste,LineærRegression_Valg[[#This Row],[Afhængig variabel ID]]),INDEX(DataTitel_liste,1))</f>
        <v>Eksempel 1 (interval)</v>
      </c>
      <c r="G2221" s="171" t="str" cm="1">
        <f t="array" ref="G2221">IF(LineærRegression_Valg[[#This Row],[Indenfor range]],IF(LineærRegression_Valg[[#This Row],[Intet overlap]],INDEX(DataTitel_liste,LineærRegression_Valg[[#This Row],[Uafhængig variabel ID]]),INDEX(DataTitel_liste,IF(LineærRegression_Valg[[#This Row],[Afhængig variabel ID]]=1,2,1))),$B$7)</f>
        <v>Eksempel 2 (interval)</v>
      </c>
      <c r="H2221" s="171">
        <f>_xlfn.AGGREGATE(2,5,LineærRegression_Valg[[#This Row],[Tabel ID]])</f>
        <v>1</v>
      </c>
    </row>
    <row r="2222" spans="1:8" x14ac:dyDescent="0.2">
      <c r="A2222">
        <f>ROW(LineærRegression_Valg[[#This Row],[Tabel ID]])-ROW(LineærRegression_Valg[[#Headers],[Tabel ID]])</f>
        <v>2212</v>
      </c>
      <c r="B2222" s="171">
        <f>ROUNDDOWN((LineærRegression_Valg[[#This Row],[Tabel ID]]-1)/$B$5,0)+1</f>
        <v>553</v>
      </c>
      <c r="C2222" s="171">
        <f t="shared" si="34"/>
        <v>4</v>
      </c>
      <c r="D2222" s="171" t="b">
        <f>LineærRegression_Valg[[#This Row],[Afhængig variabel ID]]&lt;&gt;LineærRegression_Valg[[#This Row],[Uafhængig variabel ID]]</f>
        <v>1</v>
      </c>
      <c r="E2222" s="171" t="b">
        <f>LineærRegression_Valg[[#This Row],[Afhængig variabel ID]]&lt;=$B$5</f>
        <v>0</v>
      </c>
      <c r="F2222" t="str" cm="1">
        <f t="array" ref="F2222">IF(LineærRegression_Valg[[#This Row],[Indenfor range]],INDEX(DataTitel_liste,LineærRegression_Valg[[#This Row],[Afhængig variabel ID]]),INDEX(DataTitel_liste,1))</f>
        <v>Eksempel 1 (interval)</v>
      </c>
      <c r="G2222" s="171" t="str" cm="1">
        <f t="array" ref="G2222">IF(LineærRegression_Valg[[#This Row],[Indenfor range]],IF(LineærRegression_Valg[[#This Row],[Intet overlap]],INDEX(DataTitel_liste,LineærRegression_Valg[[#This Row],[Uafhængig variabel ID]]),INDEX(DataTitel_liste,IF(LineærRegression_Valg[[#This Row],[Afhængig variabel ID]]=1,2,1))),$B$7)</f>
        <v>Eksempel 2 (interval)</v>
      </c>
      <c r="H2222" s="171">
        <f>_xlfn.AGGREGATE(2,5,LineærRegression_Valg[[#This Row],[Tabel ID]])</f>
        <v>1</v>
      </c>
    </row>
    <row r="2223" spans="1:8" x14ac:dyDescent="0.2">
      <c r="A2223">
        <f>ROW(LineærRegression_Valg[[#This Row],[Tabel ID]])-ROW(LineærRegression_Valg[[#Headers],[Tabel ID]])</f>
        <v>2213</v>
      </c>
      <c r="B2223" s="171">
        <f>ROUNDDOWN((LineærRegression_Valg[[#This Row],[Tabel ID]]-1)/$B$5,0)+1</f>
        <v>554</v>
      </c>
      <c r="C2223" s="171">
        <f t="shared" si="34"/>
        <v>1</v>
      </c>
      <c r="D2223" s="171" t="b">
        <f>LineærRegression_Valg[[#This Row],[Afhængig variabel ID]]&lt;&gt;LineærRegression_Valg[[#This Row],[Uafhængig variabel ID]]</f>
        <v>1</v>
      </c>
      <c r="E2223" s="171" t="b">
        <f>LineærRegression_Valg[[#This Row],[Afhængig variabel ID]]&lt;=$B$5</f>
        <v>0</v>
      </c>
      <c r="F2223" t="str" cm="1">
        <f t="array" ref="F2223">IF(LineærRegression_Valg[[#This Row],[Indenfor range]],INDEX(DataTitel_liste,LineærRegression_Valg[[#This Row],[Afhængig variabel ID]]),INDEX(DataTitel_liste,1))</f>
        <v>Eksempel 1 (interval)</v>
      </c>
      <c r="G2223" s="171" t="str" cm="1">
        <f t="array" ref="G2223">IF(LineærRegression_Valg[[#This Row],[Indenfor range]],IF(LineærRegression_Valg[[#This Row],[Intet overlap]],INDEX(DataTitel_liste,LineærRegression_Valg[[#This Row],[Uafhængig variabel ID]]),INDEX(DataTitel_liste,IF(LineærRegression_Valg[[#This Row],[Afhængig variabel ID]]=1,2,1))),$B$7)</f>
        <v>Eksempel 2 (interval)</v>
      </c>
      <c r="H2223" s="171">
        <f>_xlfn.AGGREGATE(2,5,LineærRegression_Valg[[#This Row],[Tabel ID]])</f>
        <v>1</v>
      </c>
    </row>
    <row r="2224" spans="1:8" x14ac:dyDescent="0.2">
      <c r="A2224">
        <f>ROW(LineærRegression_Valg[[#This Row],[Tabel ID]])-ROW(LineærRegression_Valg[[#Headers],[Tabel ID]])</f>
        <v>2214</v>
      </c>
      <c r="B2224" s="171">
        <f>ROUNDDOWN((LineærRegression_Valg[[#This Row],[Tabel ID]]-1)/$B$5,0)+1</f>
        <v>554</v>
      </c>
      <c r="C2224" s="171">
        <f t="shared" si="34"/>
        <v>2</v>
      </c>
      <c r="D2224" s="171" t="b">
        <f>LineærRegression_Valg[[#This Row],[Afhængig variabel ID]]&lt;&gt;LineærRegression_Valg[[#This Row],[Uafhængig variabel ID]]</f>
        <v>1</v>
      </c>
      <c r="E2224" s="171" t="b">
        <f>LineærRegression_Valg[[#This Row],[Afhængig variabel ID]]&lt;=$B$5</f>
        <v>0</v>
      </c>
      <c r="F2224" t="str" cm="1">
        <f t="array" ref="F2224">IF(LineærRegression_Valg[[#This Row],[Indenfor range]],INDEX(DataTitel_liste,LineærRegression_Valg[[#This Row],[Afhængig variabel ID]]),INDEX(DataTitel_liste,1))</f>
        <v>Eksempel 1 (interval)</v>
      </c>
      <c r="G2224" s="171" t="str" cm="1">
        <f t="array" ref="G2224">IF(LineærRegression_Valg[[#This Row],[Indenfor range]],IF(LineærRegression_Valg[[#This Row],[Intet overlap]],INDEX(DataTitel_liste,LineærRegression_Valg[[#This Row],[Uafhængig variabel ID]]),INDEX(DataTitel_liste,IF(LineærRegression_Valg[[#This Row],[Afhængig variabel ID]]=1,2,1))),$B$7)</f>
        <v>Eksempel 2 (interval)</v>
      </c>
      <c r="H2224" s="171">
        <f>_xlfn.AGGREGATE(2,5,LineærRegression_Valg[[#This Row],[Tabel ID]])</f>
        <v>1</v>
      </c>
    </row>
    <row r="2225" spans="1:8" x14ac:dyDescent="0.2">
      <c r="A2225">
        <f>ROW(LineærRegression_Valg[[#This Row],[Tabel ID]])-ROW(LineærRegression_Valg[[#Headers],[Tabel ID]])</f>
        <v>2215</v>
      </c>
      <c r="B2225" s="171">
        <f>ROUNDDOWN((LineærRegression_Valg[[#This Row],[Tabel ID]]-1)/$B$5,0)+1</f>
        <v>554</v>
      </c>
      <c r="C2225" s="171">
        <f t="shared" si="34"/>
        <v>3</v>
      </c>
      <c r="D2225" s="171" t="b">
        <f>LineærRegression_Valg[[#This Row],[Afhængig variabel ID]]&lt;&gt;LineærRegression_Valg[[#This Row],[Uafhængig variabel ID]]</f>
        <v>1</v>
      </c>
      <c r="E2225" s="171" t="b">
        <f>LineærRegression_Valg[[#This Row],[Afhængig variabel ID]]&lt;=$B$5</f>
        <v>0</v>
      </c>
      <c r="F2225" t="str" cm="1">
        <f t="array" ref="F2225">IF(LineærRegression_Valg[[#This Row],[Indenfor range]],INDEX(DataTitel_liste,LineærRegression_Valg[[#This Row],[Afhængig variabel ID]]),INDEX(DataTitel_liste,1))</f>
        <v>Eksempel 1 (interval)</v>
      </c>
      <c r="G2225" s="171" t="str" cm="1">
        <f t="array" ref="G2225">IF(LineærRegression_Valg[[#This Row],[Indenfor range]],IF(LineærRegression_Valg[[#This Row],[Intet overlap]],INDEX(DataTitel_liste,LineærRegression_Valg[[#This Row],[Uafhængig variabel ID]]),INDEX(DataTitel_liste,IF(LineærRegression_Valg[[#This Row],[Afhængig variabel ID]]=1,2,1))),$B$7)</f>
        <v>Eksempel 2 (interval)</v>
      </c>
      <c r="H2225" s="171">
        <f>_xlfn.AGGREGATE(2,5,LineærRegression_Valg[[#This Row],[Tabel ID]])</f>
        <v>1</v>
      </c>
    </row>
    <row r="2226" spans="1:8" x14ac:dyDescent="0.2">
      <c r="A2226">
        <f>ROW(LineærRegression_Valg[[#This Row],[Tabel ID]])-ROW(LineærRegression_Valg[[#Headers],[Tabel ID]])</f>
        <v>2216</v>
      </c>
      <c r="B2226" s="171">
        <f>ROUNDDOWN((LineærRegression_Valg[[#This Row],[Tabel ID]]-1)/$B$5,0)+1</f>
        <v>554</v>
      </c>
      <c r="C2226" s="171">
        <f t="shared" si="34"/>
        <v>4</v>
      </c>
      <c r="D2226" s="171" t="b">
        <f>LineærRegression_Valg[[#This Row],[Afhængig variabel ID]]&lt;&gt;LineærRegression_Valg[[#This Row],[Uafhængig variabel ID]]</f>
        <v>1</v>
      </c>
      <c r="E2226" s="171" t="b">
        <f>LineærRegression_Valg[[#This Row],[Afhængig variabel ID]]&lt;=$B$5</f>
        <v>0</v>
      </c>
      <c r="F2226" t="str" cm="1">
        <f t="array" ref="F2226">IF(LineærRegression_Valg[[#This Row],[Indenfor range]],INDEX(DataTitel_liste,LineærRegression_Valg[[#This Row],[Afhængig variabel ID]]),INDEX(DataTitel_liste,1))</f>
        <v>Eksempel 1 (interval)</v>
      </c>
      <c r="G2226" s="171" t="str" cm="1">
        <f t="array" ref="G2226">IF(LineærRegression_Valg[[#This Row],[Indenfor range]],IF(LineærRegression_Valg[[#This Row],[Intet overlap]],INDEX(DataTitel_liste,LineærRegression_Valg[[#This Row],[Uafhængig variabel ID]]),INDEX(DataTitel_liste,IF(LineærRegression_Valg[[#This Row],[Afhængig variabel ID]]=1,2,1))),$B$7)</f>
        <v>Eksempel 2 (interval)</v>
      </c>
      <c r="H2226" s="171">
        <f>_xlfn.AGGREGATE(2,5,LineærRegression_Valg[[#This Row],[Tabel ID]])</f>
        <v>1</v>
      </c>
    </row>
    <row r="2227" spans="1:8" x14ac:dyDescent="0.2">
      <c r="A2227">
        <f>ROW(LineærRegression_Valg[[#This Row],[Tabel ID]])-ROW(LineærRegression_Valg[[#Headers],[Tabel ID]])</f>
        <v>2217</v>
      </c>
      <c r="B2227" s="171">
        <f>ROUNDDOWN((LineærRegression_Valg[[#This Row],[Tabel ID]]-1)/$B$5,0)+1</f>
        <v>555</v>
      </c>
      <c r="C2227" s="171">
        <f t="shared" si="34"/>
        <v>1</v>
      </c>
      <c r="D2227" s="171" t="b">
        <f>LineærRegression_Valg[[#This Row],[Afhængig variabel ID]]&lt;&gt;LineærRegression_Valg[[#This Row],[Uafhængig variabel ID]]</f>
        <v>1</v>
      </c>
      <c r="E2227" s="171" t="b">
        <f>LineærRegression_Valg[[#This Row],[Afhængig variabel ID]]&lt;=$B$5</f>
        <v>0</v>
      </c>
      <c r="F2227" t="str" cm="1">
        <f t="array" ref="F2227">IF(LineærRegression_Valg[[#This Row],[Indenfor range]],INDEX(DataTitel_liste,LineærRegression_Valg[[#This Row],[Afhængig variabel ID]]),INDEX(DataTitel_liste,1))</f>
        <v>Eksempel 1 (interval)</v>
      </c>
      <c r="G2227" s="171" t="str" cm="1">
        <f t="array" ref="G2227">IF(LineærRegression_Valg[[#This Row],[Indenfor range]],IF(LineærRegression_Valg[[#This Row],[Intet overlap]],INDEX(DataTitel_liste,LineærRegression_Valg[[#This Row],[Uafhængig variabel ID]]),INDEX(DataTitel_liste,IF(LineærRegression_Valg[[#This Row],[Afhængig variabel ID]]=1,2,1))),$B$7)</f>
        <v>Eksempel 2 (interval)</v>
      </c>
      <c r="H2227" s="171">
        <f>_xlfn.AGGREGATE(2,5,LineærRegression_Valg[[#This Row],[Tabel ID]])</f>
        <v>1</v>
      </c>
    </row>
    <row r="2228" spans="1:8" x14ac:dyDescent="0.2">
      <c r="A2228">
        <f>ROW(LineærRegression_Valg[[#This Row],[Tabel ID]])-ROW(LineærRegression_Valg[[#Headers],[Tabel ID]])</f>
        <v>2218</v>
      </c>
      <c r="B2228" s="171">
        <f>ROUNDDOWN((LineærRegression_Valg[[#This Row],[Tabel ID]]-1)/$B$5,0)+1</f>
        <v>555</v>
      </c>
      <c r="C2228" s="171">
        <f t="shared" si="34"/>
        <v>2</v>
      </c>
      <c r="D2228" s="171" t="b">
        <f>LineærRegression_Valg[[#This Row],[Afhængig variabel ID]]&lt;&gt;LineærRegression_Valg[[#This Row],[Uafhængig variabel ID]]</f>
        <v>1</v>
      </c>
      <c r="E2228" s="171" t="b">
        <f>LineærRegression_Valg[[#This Row],[Afhængig variabel ID]]&lt;=$B$5</f>
        <v>0</v>
      </c>
      <c r="F2228" t="str" cm="1">
        <f t="array" ref="F2228">IF(LineærRegression_Valg[[#This Row],[Indenfor range]],INDEX(DataTitel_liste,LineærRegression_Valg[[#This Row],[Afhængig variabel ID]]),INDEX(DataTitel_liste,1))</f>
        <v>Eksempel 1 (interval)</v>
      </c>
      <c r="G2228" s="171" t="str" cm="1">
        <f t="array" ref="G2228">IF(LineærRegression_Valg[[#This Row],[Indenfor range]],IF(LineærRegression_Valg[[#This Row],[Intet overlap]],INDEX(DataTitel_liste,LineærRegression_Valg[[#This Row],[Uafhængig variabel ID]]),INDEX(DataTitel_liste,IF(LineærRegression_Valg[[#This Row],[Afhængig variabel ID]]=1,2,1))),$B$7)</f>
        <v>Eksempel 2 (interval)</v>
      </c>
      <c r="H2228" s="171">
        <f>_xlfn.AGGREGATE(2,5,LineærRegression_Valg[[#This Row],[Tabel ID]])</f>
        <v>1</v>
      </c>
    </row>
    <row r="2229" spans="1:8" x14ac:dyDescent="0.2">
      <c r="A2229">
        <f>ROW(LineærRegression_Valg[[#This Row],[Tabel ID]])-ROW(LineærRegression_Valg[[#Headers],[Tabel ID]])</f>
        <v>2219</v>
      </c>
      <c r="B2229" s="171">
        <f>ROUNDDOWN((LineærRegression_Valg[[#This Row],[Tabel ID]]-1)/$B$5,0)+1</f>
        <v>555</v>
      </c>
      <c r="C2229" s="171">
        <f t="shared" si="34"/>
        <v>3</v>
      </c>
      <c r="D2229" s="171" t="b">
        <f>LineærRegression_Valg[[#This Row],[Afhængig variabel ID]]&lt;&gt;LineærRegression_Valg[[#This Row],[Uafhængig variabel ID]]</f>
        <v>1</v>
      </c>
      <c r="E2229" s="171" t="b">
        <f>LineærRegression_Valg[[#This Row],[Afhængig variabel ID]]&lt;=$B$5</f>
        <v>0</v>
      </c>
      <c r="F2229" t="str" cm="1">
        <f t="array" ref="F2229">IF(LineærRegression_Valg[[#This Row],[Indenfor range]],INDEX(DataTitel_liste,LineærRegression_Valg[[#This Row],[Afhængig variabel ID]]),INDEX(DataTitel_liste,1))</f>
        <v>Eksempel 1 (interval)</v>
      </c>
      <c r="G2229" s="171" t="str" cm="1">
        <f t="array" ref="G2229">IF(LineærRegression_Valg[[#This Row],[Indenfor range]],IF(LineærRegression_Valg[[#This Row],[Intet overlap]],INDEX(DataTitel_liste,LineærRegression_Valg[[#This Row],[Uafhængig variabel ID]]),INDEX(DataTitel_liste,IF(LineærRegression_Valg[[#This Row],[Afhængig variabel ID]]=1,2,1))),$B$7)</f>
        <v>Eksempel 2 (interval)</v>
      </c>
      <c r="H2229" s="171">
        <f>_xlfn.AGGREGATE(2,5,LineærRegression_Valg[[#This Row],[Tabel ID]])</f>
        <v>1</v>
      </c>
    </row>
    <row r="2230" spans="1:8" x14ac:dyDescent="0.2">
      <c r="A2230">
        <f>ROW(LineærRegression_Valg[[#This Row],[Tabel ID]])-ROW(LineærRegression_Valg[[#Headers],[Tabel ID]])</f>
        <v>2220</v>
      </c>
      <c r="B2230" s="171">
        <f>ROUNDDOWN((LineærRegression_Valg[[#This Row],[Tabel ID]]-1)/$B$5,0)+1</f>
        <v>555</v>
      </c>
      <c r="C2230" s="171">
        <f t="shared" si="34"/>
        <v>4</v>
      </c>
      <c r="D2230" s="171" t="b">
        <f>LineærRegression_Valg[[#This Row],[Afhængig variabel ID]]&lt;&gt;LineærRegression_Valg[[#This Row],[Uafhængig variabel ID]]</f>
        <v>1</v>
      </c>
      <c r="E2230" s="171" t="b">
        <f>LineærRegression_Valg[[#This Row],[Afhængig variabel ID]]&lt;=$B$5</f>
        <v>0</v>
      </c>
      <c r="F2230" t="str" cm="1">
        <f t="array" ref="F2230">IF(LineærRegression_Valg[[#This Row],[Indenfor range]],INDEX(DataTitel_liste,LineærRegression_Valg[[#This Row],[Afhængig variabel ID]]),INDEX(DataTitel_liste,1))</f>
        <v>Eksempel 1 (interval)</v>
      </c>
      <c r="G2230" s="171" t="str" cm="1">
        <f t="array" ref="G2230">IF(LineærRegression_Valg[[#This Row],[Indenfor range]],IF(LineærRegression_Valg[[#This Row],[Intet overlap]],INDEX(DataTitel_liste,LineærRegression_Valg[[#This Row],[Uafhængig variabel ID]]),INDEX(DataTitel_liste,IF(LineærRegression_Valg[[#This Row],[Afhængig variabel ID]]=1,2,1))),$B$7)</f>
        <v>Eksempel 2 (interval)</v>
      </c>
      <c r="H2230" s="171">
        <f>_xlfn.AGGREGATE(2,5,LineærRegression_Valg[[#This Row],[Tabel ID]])</f>
        <v>1</v>
      </c>
    </row>
    <row r="2231" spans="1:8" x14ac:dyDescent="0.2">
      <c r="A2231">
        <f>ROW(LineærRegression_Valg[[#This Row],[Tabel ID]])-ROW(LineærRegression_Valg[[#Headers],[Tabel ID]])</f>
        <v>2221</v>
      </c>
      <c r="B2231" s="171">
        <f>ROUNDDOWN((LineærRegression_Valg[[#This Row],[Tabel ID]]-1)/$B$5,0)+1</f>
        <v>556</v>
      </c>
      <c r="C2231" s="171">
        <f t="shared" si="34"/>
        <v>1</v>
      </c>
      <c r="D2231" s="171" t="b">
        <f>LineærRegression_Valg[[#This Row],[Afhængig variabel ID]]&lt;&gt;LineærRegression_Valg[[#This Row],[Uafhængig variabel ID]]</f>
        <v>1</v>
      </c>
      <c r="E2231" s="171" t="b">
        <f>LineærRegression_Valg[[#This Row],[Afhængig variabel ID]]&lt;=$B$5</f>
        <v>0</v>
      </c>
      <c r="F2231" t="str" cm="1">
        <f t="array" ref="F2231">IF(LineærRegression_Valg[[#This Row],[Indenfor range]],INDEX(DataTitel_liste,LineærRegression_Valg[[#This Row],[Afhængig variabel ID]]),INDEX(DataTitel_liste,1))</f>
        <v>Eksempel 1 (interval)</v>
      </c>
      <c r="G2231" s="171" t="str" cm="1">
        <f t="array" ref="G2231">IF(LineærRegression_Valg[[#This Row],[Indenfor range]],IF(LineærRegression_Valg[[#This Row],[Intet overlap]],INDEX(DataTitel_liste,LineærRegression_Valg[[#This Row],[Uafhængig variabel ID]]),INDEX(DataTitel_liste,IF(LineærRegression_Valg[[#This Row],[Afhængig variabel ID]]=1,2,1))),$B$7)</f>
        <v>Eksempel 2 (interval)</v>
      </c>
      <c r="H2231" s="171">
        <f>_xlfn.AGGREGATE(2,5,LineærRegression_Valg[[#This Row],[Tabel ID]])</f>
        <v>1</v>
      </c>
    </row>
    <row r="2232" spans="1:8" x14ac:dyDescent="0.2">
      <c r="A2232">
        <f>ROW(LineærRegression_Valg[[#This Row],[Tabel ID]])-ROW(LineærRegression_Valg[[#Headers],[Tabel ID]])</f>
        <v>2222</v>
      </c>
      <c r="B2232" s="171">
        <f>ROUNDDOWN((LineærRegression_Valg[[#This Row],[Tabel ID]]-1)/$B$5,0)+1</f>
        <v>556</v>
      </c>
      <c r="C2232" s="171">
        <f t="shared" si="34"/>
        <v>2</v>
      </c>
      <c r="D2232" s="171" t="b">
        <f>LineærRegression_Valg[[#This Row],[Afhængig variabel ID]]&lt;&gt;LineærRegression_Valg[[#This Row],[Uafhængig variabel ID]]</f>
        <v>1</v>
      </c>
      <c r="E2232" s="171" t="b">
        <f>LineærRegression_Valg[[#This Row],[Afhængig variabel ID]]&lt;=$B$5</f>
        <v>0</v>
      </c>
      <c r="F2232" t="str" cm="1">
        <f t="array" ref="F2232">IF(LineærRegression_Valg[[#This Row],[Indenfor range]],INDEX(DataTitel_liste,LineærRegression_Valg[[#This Row],[Afhængig variabel ID]]),INDEX(DataTitel_liste,1))</f>
        <v>Eksempel 1 (interval)</v>
      </c>
      <c r="G2232" s="171" t="str" cm="1">
        <f t="array" ref="G2232">IF(LineærRegression_Valg[[#This Row],[Indenfor range]],IF(LineærRegression_Valg[[#This Row],[Intet overlap]],INDEX(DataTitel_liste,LineærRegression_Valg[[#This Row],[Uafhængig variabel ID]]),INDEX(DataTitel_liste,IF(LineærRegression_Valg[[#This Row],[Afhængig variabel ID]]=1,2,1))),$B$7)</f>
        <v>Eksempel 2 (interval)</v>
      </c>
      <c r="H2232" s="171">
        <f>_xlfn.AGGREGATE(2,5,LineærRegression_Valg[[#This Row],[Tabel ID]])</f>
        <v>1</v>
      </c>
    </row>
    <row r="2233" spans="1:8" x14ac:dyDescent="0.2">
      <c r="A2233">
        <f>ROW(LineærRegression_Valg[[#This Row],[Tabel ID]])-ROW(LineærRegression_Valg[[#Headers],[Tabel ID]])</f>
        <v>2223</v>
      </c>
      <c r="B2233" s="171">
        <f>ROUNDDOWN((LineærRegression_Valg[[#This Row],[Tabel ID]]-1)/$B$5,0)+1</f>
        <v>556</v>
      </c>
      <c r="C2233" s="171">
        <f t="shared" si="34"/>
        <v>3</v>
      </c>
      <c r="D2233" s="171" t="b">
        <f>LineærRegression_Valg[[#This Row],[Afhængig variabel ID]]&lt;&gt;LineærRegression_Valg[[#This Row],[Uafhængig variabel ID]]</f>
        <v>1</v>
      </c>
      <c r="E2233" s="171" t="b">
        <f>LineærRegression_Valg[[#This Row],[Afhængig variabel ID]]&lt;=$B$5</f>
        <v>0</v>
      </c>
      <c r="F2233" t="str" cm="1">
        <f t="array" ref="F2233">IF(LineærRegression_Valg[[#This Row],[Indenfor range]],INDEX(DataTitel_liste,LineærRegression_Valg[[#This Row],[Afhængig variabel ID]]),INDEX(DataTitel_liste,1))</f>
        <v>Eksempel 1 (interval)</v>
      </c>
      <c r="G2233" s="171" t="str" cm="1">
        <f t="array" ref="G2233">IF(LineærRegression_Valg[[#This Row],[Indenfor range]],IF(LineærRegression_Valg[[#This Row],[Intet overlap]],INDEX(DataTitel_liste,LineærRegression_Valg[[#This Row],[Uafhængig variabel ID]]),INDEX(DataTitel_liste,IF(LineærRegression_Valg[[#This Row],[Afhængig variabel ID]]=1,2,1))),$B$7)</f>
        <v>Eksempel 2 (interval)</v>
      </c>
      <c r="H2233" s="171">
        <f>_xlfn.AGGREGATE(2,5,LineærRegression_Valg[[#This Row],[Tabel ID]])</f>
        <v>1</v>
      </c>
    </row>
    <row r="2234" spans="1:8" x14ac:dyDescent="0.2">
      <c r="A2234">
        <f>ROW(LineærRegression_Valg[[#This Row],[Tabel ID]])-ROW(LineærRegression_Valg[[#Headers],[Tabel ID]])</f>
        <v>2224</v>
      </c>
      <c r="B2234" s="171">
        <f>ROUNDDOWN((LineærRegression_Valg[[#This Row],[Tabel ID]]-1)/$B$5,0)+1</f>
        <v>556</v>
      </c>
      <c r="C2234" s="171">
        <f t="shared" si="34"/>
        <v>4</v>
      </c>
      <c r="D2234" s="171" t="b">
        <f>LineærRegression_Valg[[#This Row],[Afhængig variabel ID]]&lt;&gt;LineærRegression_Valg[[#This Row],[Uafhængig variabel ID]]</f>
        <v>1</v>
      </c>
      <c r="E2234" s="171" t="b">
        <f>LineærRegression_Valg[[#This Row],[Afhængig variabel ID]]&lt;=$B$5</f>
        <v>0</v>
      </c>
      <c r="F2234" t="str" cm="1">
        <f t="array" ref="F2234">IF(LineærRegression_Valg[[#This Row],[Indenfor range]],INDEX(DataTitel_liste,LineærRegression_Valg[[#This Row],[Afhængig variabel ID]]),INDEX(DataTitel_liste,1))</f>
        <v>Eksempel 1 (interval)</v>
      </c>
      <c r="G2234" s="171" t="str" cm="1">
        <f t="array" ref="G2234">IF(LineærRegression_Valg[[#This Row],[Indenfor range]],IF(LineærRegression_Valg[[#This Row],[Intet overlap]],INDEX(DataTitel_liste,LineærRegression_Valg[[#This Row],[Uafhængig variabel ID]]),INDEX(DataTitel_liste,IF(LineærRegression_Valg[[#This Row],[Afhængig variabel ID]]=1,2,1))),$B$7)</f>
        <v>Eksempel 2 (interval)</v>
      </c>
      <c r="H2234" s="171">
        <f>_xlfn.AGGREGATE(2,5,LineærRegression_Valg[[#This Row],[Tabel ID]])</f>
        <v>1</v>
      </c>
    </row>
    <row r="2235" spans="1:8" x14ac:dyDescent="0.2">
      <c r="A2235">
        <f>ROW(LineærRegression_Valg[[#This Row],[Tabel ID]])-ROW(LineærRegression_Valg[[#Headers],[Tabel ID]])</f>
        <v>2225</v>
      </c>
      <c r="B2235" s="171">
        <f>ROUNDDOWN((LineærRegression_Valg[[#This Row],[Tabel ID]]-1)/$B$5,0)+1</f>
        <v>557</v>
      </c>
      <c r="C2235" s="171">
        <f t="shared" si="34"/>
        <v>1</v>
      </c>
      <c r="D2235" s="171" t="b">
        <f>LineærRegression_Valg[[#This Row],[Afhængig variabel ID]]&lt;&gt;LineærRegression_Valg[[#This Row],[Uafhængig variabel ID]]</f>
        <v>1</v>
      </c>
      <c r="E2235" s="171" t="b">
        <f>LineærRegression_Valg[[#This Row],[Afhængig variabel ID]]&lt;=$B$5</f>
        <v>0</v>
      </c>
      <c r="F2235" t="str" cm="1">
        <f t="array" ref="F2235">IF(LineærRegression_Valg[[#This Row],[Indenfor range]],INDEX(DataTitel_liste,LineærRegression_Valg[[#This Row],[Afhængig variabel ID]]),INDEX(DataTitel_liste,1))</f>
        <v>Eksempel 1 (interval)</v>
      </c>
      <c r="G2235" s="171" t="str" cm="1">
        <f t="array" ref="G2235">IF(LineærRegression_Valg[[#This Row],[Indenfor range]],IF(LineærRegression_Valg[[#This Row],[Intet overlap]],INDEX(DataTitel_liste,LineærRegression_Valg[[#This Row],[Uafhængig variabel ID]]),INDEX(DataTitel_liste,IF(LineærRegression_Valg[[#This Row],[Afhængig variabel ID]]=1,2,1))),$B$7)</f>
        <v>Eksempel 2 (interval)</v>
      </c>
      <c r="H2235" s="171">
        <f>_xlfn.AGGREGATE(2,5,LineærRegression_Valg[[#This Row],[Tabel ID]])</f>
        <v>1</v>
      </c>
    </row>
    <row r="2236" spans="1:8" x14ac:dyDescent="0.2">
      <c r="A2236">
        <f>ROW(LineærRegression_Valg[[#This Row],[Tabel ID]])-ROW(LineærRegression_Valg[[#Headers],[Tabel ID]])</f>
        <v>2226</v>
      </c>
      <c r="B2236" s="171">
        <f>ROUNDDOWN((LineærRegression_Valg[[#This Row],[Tabel ID]]-1)/$B$5,0)+1</f>
        <v>557</v>
      </c>
      <c r="C2236" s="171">
        <f t="shared" si="34"/>
        <v>2</v>
      </c>
      <c r="D2236" s="171" t="b">
        <f>LineærRegression_Valg[[#This Row],[Afhængig variabel ID]]&lt;&gt;LineærRegression_Valg[[#This Row],[Uafhængig variabel ID]]</f>
        <v>1</v>
      </c>
      <c r="E2236" s="171" t="b">
        <f>LineærRegression_Valg[[#This Row],[Afhængig variabel ID]]&lt;=$B$5</f>
        <v>0</v>
      </c>
      <c r="F2236" t="str" cm="1">
        <f t="array" ref="F2236">IF(LineærRegression_Valg[[#This Row],[Indenfor range]],INDEX(DataTitel_liste,LineærRegression_Valg[[#This Row],[Afhængig variabel ID]]),INDEX(DataTitel_liste,1))</f>
        <v>Eksempel 1 (interval)</v>
      </c>
      <c r="G2236" s="171" t="str" cm="1">
        <f t="array" ref="G2236">IF(LineærRegression_Valg[[#This Row],[Indenfor range]],IF(LineærRegression_Valg[[#This Row],[Intet overlap]],INDEX(DataTitel_liste,LineærRegression_Valg[[#This Row],[Uafhængig variabel ID]]),INDEX(DataTitel_liste,IF(LineærRegression_Valg[[#This Row],[Afhængig variabel ID]]=1,2,1))),$B$7)</f>
        <v>Eksempel 2 (interval)</v>
      </c>
      <c r="H2236" s="171">
        <f>_xlfn.AGGREGATE(2,5,LineærRegression_Valg[[#This Row],[Tabel ID]])</f>
        <v>1</v>
      </c>
    </row>
    <row r="2237" spans="1:8" x14ac:dyDescent="0.2">
      <c r="A2237">
        <f>ROW(LineærRegression_Valg[[#This Row],[Tabel ID]])-ROW(LineærRegression_Valg[[#Headers],[Tabel ID]])</f>
        <v>2227</v>
      </c>
      <c r="B2237" s="171">
        <f>ROUNDDOWN((LineærRegression_Valg[[#This Row],[Tabel ID]]-1)/$B$5,0)+1</f>
        <v>557</v>
      </c>
      <c r="C2237" s="171">
        <f t="shared" si="34"/>
        <v>3</v>
      </c>
      <c r="D2237" s="171" t="b">
        <f>LineærRegression_Valg[[#This Row],[Afhængig variabel ID]]&lt;&gt;LineærRegression_Valg[[#This Row],[Uafhængig variabel ID]]</f>
        <v>1</v>
      </c>
      <c r="E2237" s="171" t="b">
        <f>LineærRegression_Valg[[#This Row],[Afhængig variabel ID]]&lt;=$B$5</f>
        <v>0</v>
      </c>
      <c r="F2237" t="str" cm="1">
        <f t="array" ref="F2237">IF(LineærRegression_Valg[[#This Row],[Indenfor range]],INDEX(DataTitel_liste,LineærRegression_Valg[[#This Row],[Afhængig variabel ID]]),INDEX(DataTitel_liste,1))</f>
        <v>Eksempel 1 (interval)</v>
      </c>
      <c r="G2237" s="171" t="str" cm="1">
        <f t="array" ref="G2237">IF(LineærRegression_Valg[[#This Row],[Indenfor range]],IF(LineærRegression_Valg[[#This Row],[Intet overlap]],INDEX(DataTitel_liste,LineærRegression_Valg[[#This Row],[Uafhængig variabel ID]]),INDEX(DataTitel_liste,IF(LineærRegression_Valg[[#This Row],[Afhængig variabel ID]]=1,2,1))),$B$7)</f>
        <v>Eksempel 2 (interval)</v>
      </c>
      <c r="H2237" s="171">
        <f>_xlfn.AGGREGATE(2,5,LineærRegression_Valg[[#This Row],[Tabel ID]])</f>
        <v>1</v>
      </c>
    </row>
    <row r="2238" spans="1:8" x14ac:dyDescent="0.2">
      <c r="A2238">
        <f>ROW(LineærRegression_Valg[[#This Row],[Tabel ID]])-ROW(LineærRegression_Valg[[#Headers],[Tabel ID]])</f>
        <v>2228</v>
      </c>
      <c r="B2238" s="171">
        <f>ROUNDDOWN((LineærRegression_Valg[[#This Row],[Tabel ID]]-1)/$B$5,0)+1</f>
        <v>557</v>
      </c>
      <c r="C2238" s="171">
        <f t="shared" si="34"/>
        <v>4</v>
      </c>
      <c r="D2238" s="171" t="b">
        <f>LineærRegression_Valg[[#This Row],[Afhængig variabel ID]]&lt;&gt;LineærRegression_Valg[[#This Row],[Uafhængig variabel ID]]</f>
        <v>1</v>
      </c>
      <c r="E2238" s="171" t="b">
        <f>LineærRegression_Valg[[#This Row],[Afhængig variabel ID]]&lt;=$B$5</f>
        <v>0</v>
      </c>
      <c r="F2238" t="str" cm="1">
        <f t="array" ref="F2238">IF(LineærRegression_Valg[[#This Row],[Indenfor range]],INDEX(DataTitel_liste,LineærRegression_Valg[[#This Row],[Afhængig variabel ID]]),INDEX(DataTitel_liste,1))</f>
        <v>Eksempel 1 (interval)</v>
      </c>
      <c r="G2238" s="171" t="str" cm="1">
        <f t="array" ref="G2238">IF(LineærRegression_Valg[[#This Row],[Indenfor range]],IF(LineærRegression_Valg[[#This Row],[Intet overlap]],INDEX(DataTitel_liste,LineærRegression_Valg[[#This Row],[Uafhængig variabel ID]]),INDEX(DataTitel_liste,IF(LineærRegression_Valg[[#This Row],[Afhængig variabel ID]]=1,2,1))),$B$7)</f>
        <v>Eksempel 2 (interval)</v>
      </c>
      <c r="H2238" s="171">
        <f>_xlfn.AGGREGATE(2,5,LineærRegression_Valg[[#This Row],[Tabel ID]])</f>
        <v>1</v>
      </c>
    </row>
    <row r="2239" spans="1:8" x14ac:dyDescent="0.2">
      <c r="A2239">
        <f>ROW(LineærRegression_Valg[[#This Row],[Tabel ID]])-ROW(LineærRegression_Valg[[#Headers],[Tabel ID]])</f>
        <v>2229</v>
      </c>
      <c r="B2239" s="171">
        <f>ROUNDDOWN((LineærRegression_Valg[[#This Row],[Tabel ID]]-1)/$B$5,0)+1</f>
        <v>558</v>
      </c>
      <c r="C2239" s="171">
        <f t="shared" si="34"/>
        <v>1</v>
      </c>
      <c r="D2239" s="171" t="b">
        <f>LineærRegression_Valg[[#This Row],[Afhængig variabel ID]]&lt;&gt;LineærRegression_Valg[[#This Row],[Uafhængig variabel ID]]</f>
        <v>1</v>
      </c>
      <c r="E2239" s="171" t="b">
        <f>LineærRegression_Valg[[#This Row],[Afhængig variabel ID]]&lt;=$B$5</f>
        <v>0</v>
      </c>
      <c r="F2239" t="str" cm="1">
        <f t="array" ref="F2239">IF(LineærRegression_Valg[[#This Row],[Indenfor range]],INDEX(DataTitel_liste,LineærRegression_Valg[[#This Row],[Afhængig variabel ID]]),INDEX(DataTitel_liste,1))</f>
        <v>Eksempel 1 (interval)</v>
      </c>
      <c r="G2239" s="171" t="str" cm="1">
        <f t="array" ref="G2239">IF(LineærRegression_Valg[[#This Row],[Indenfor range]],IF(LineærRegression_Valg[[#This Row],[Intet overlap]],INDEX(DataTitel_liste,LineærRegression_Valg[[#This Row],[Uafhængig variabel ID]]),INDEX(DataTitel_liste,IF(LineærRegression_Valg[[#This Row],[Afhængig variabel ID]]=1,2,1))),$B$7)</f>
        <v>Eksempel 2 (interval)</v>
      </c>
      <c r="H2239" s="171">
        <f>_xlfn.AGGREGATE(2,5,LineærRegression_Valg[[#This Row],[Tabel ID]])</f>
        <v>1</v>
      </c>
    </row>
    <row r="2240" spans="1:8" x14ac:dyDescent="0.2">
      <c r="A2240">
        <f>ROW(LineærRegression_Valg[[#This Row],[Tabel ID]])-ROW(LineærRegression_Valg[[#Headers],[Tabel ID]])</f>
        <v>2230</v>
      </c>
      <c r="B2240" s="171">
        <f>ROUNDDOWN((LineærRegression_Valg[[#This Row],[Tabel ID]]-1)/$B$5,0)+1</f>
        <v>558</v>
      </c>
      <c r="C2240" s="171">
        <f t="shared" si="34"/>
        <v>2</v>
      </c>
      <c r="D2240" s="171" t="b">
        <f>LineærRegression_Valg[[#This Row],[Afhængig variabel ID]]&lt;&gt;LineærRegression_Valg[[#This Row],[Uafhængig variabel ID]]</f>
        <v>1</v>
      </c>
      <c r="E2240" s="171" t="b">
        <f>LineærRegression_Valg[[#This Row],[Afhængig variabel ID]]&lt;=$B$5</f>
        <v>0</v>
      </c>
      <c r="F2240" t="str" cm="1">
        <f t="array" ref="F2240">IF(LineærRegression_Valg[[#This Row],[Indenfor range]],INDEX(DataTitel_liste,LineærRegression_Valg[[#This Row],[Afhængig variabel ID]]),INDEX(DataTitel_liste,1))</f>
        <v>Eksempel 1 (interval)</v>
      </c>
      <c r="G2240" s="171" t="str" cm="1">
        <f t="array" ref="G2240">IF(LineærRegression_Valg[[#This Row],[Indenfor range]],IF(LineærRegression_Valg[[#This Row],[Intet overlap]],INDEX(DataTitel_liste,LineærRegression_Valg[[#This Row],[Uafhængig variabel ID]]),INDEX(DataTitel_liste,IF(LineærRegression_Valg[[#This Row],[Afhængig variabel ID]]=1,2,1))),$B$7)</f>
        <v>Eksempel 2 (interval)</v>
      </c>
      <c r="H2240" s="171">
        <f>_xlfn.AGGREGATE(2,5,LineærRegression_Valg[[#This Row],[Tabel ID]])</f>
        <v>1</v>
      </c>
    </row>
    <row r="2241" spans="1:8" x14ac:dyDescent="0.2">
      <c r="A2241">
        <f>ROW(LineærRegression_Valg[[#This Row],[Tabel ID]])-ROW(LineærRegression_Valg[[#Headers],[Tabel ID]])</f>
        <v>2231</v>
      </c>
      <c r="B2241" s="171">
        <f>ROUNDDOWN((LineærRegression_Valg[[#This Row],[Tabel ID]]-1)/$B$5,0)+1</f>
        <v>558</v>
      </c>
      <c r="C2241" s="171">
        <f t="shared" si="34"/>
        <v>3</v>
      </c>
      <c r="D2241" s="171" t="b">
        <f>LineærRegression_Valg[[#This Row],[Afhængig variabel ID]]&lt;&gt;LineærRegression_Valg[[#This Row],[Uafhængig variabel ID]]</f>
        <v>1</v>
      </c>
      <c r="E2241" s="171" t="b">
        <f>LineærRegression_Valg[[#This Row],[Afhængig variabel ID]]&lt;=$B$5</f>
        <v>0</v>
      </c>
      <c r="F2241" t="str" cm="1">
        <f t="array" ref="F2241">IF(LineærRegression_Valg[[#This Row],[Indenfor range]],INDEX(DataTitel_liste,LineærRegression_Valg[[#This Row],[Afhængig variabel ID]]),INDEX(DataTitel_liste,1))</f>
        <v>Eksempel 1 (interval)</v>
      </c>
      <c r="G2241" s="171" t="str" cm="1">
        <f t="array" ref="G2241">IF(LineærRegression_Valg[[#This Row],[Indenfor range]],IF(LineærRegression_Valg[[#This Row],[Intet overlap]],INDEX(DataTitel_liste,LineærRegression_Valg[[#This Row],[Uafhængig variabel ID]]),INDEX(DataTitel_liste,IF(LineærRegression_Valg[[#This Row],[Afhængig variabel ID]]=1,2,1))),$B$7)</f>
        <v>Eksempel 2 (interval)</v>
      </c>
      <c r="H2241" s="171">
        <f>_xlfn.AGGREGATE(2,5,LineærRegression_Valg[[#This Row],[Tabel ID]])</f>
        <v>1</v>
      </c>
    </row>
    <row r="2242" spans="1:8" x14ac:dyDescent="0.2">
      <c r="A2242">
        <f>ROW(LineærRegression_Valg[[#This Row],[Tabel ID]])-ROW(LineærRegression_Valg[[#Headers],[Tabel ID]])</f>
        <v>2232</v>
      </c>
      <c r="B2242" s="171">
        <f>ROUNDDOWN((LineærRegression_Valg[[#This Row],[Tabel ID]]-1)/$B$5,0)+1</f>
        <v>558</v>
      </c>
      <c r="C2242" s="171">
        <f t="shared" si="34"/>
        <v>4</v>
      </c>
      <c r="D2242" s="171" t="b">
        <f>LineærRegression_Valg[[#This Row],[Afhængig variabel ID]]&lt;&gt;LineærRegression_Valg[[#This Row],[Uafhængig variabel ID]]</f>
        <v>1</v>
      </c>
      <c r="E2242" s="171" t="b">
        <f>LineærRegression_Valg[[#This Row],[Afhængig variabel ID]]&lt;=$B$5</f>
        <v>0</v>
      </c>
      <c r="F2242" t="str" cm="1">
        <f t="array" ref="F2242">IF(LineærRegression_Valg[[#This Row],[Indenfor range]],INDEX(DataTitel_liste,LineærRegression_Valg[[#This Row],[Afhængig variabel ID]]),INDEX(DataTitel_liste,1))</f>
        <v>Eksempel 1 (interval)</v>
      </c>
      <c r="G2242" s="171" t="str" cm="1">
        <f t="array" ref="G2242">IF(LineærRegression_Valg[[#This Row],[Indenfor range]],IF(LineærRegression_Valg[[#This Row],[Intet overlap]],INDEX(DataTitel_liste,LineærRegression_Valg[[#This Row],[Uafhængig variabel ID]]),INDEX(DataTitel_liste,IF(LineærRegression_Valg[[#This Row],[Afhængig variabel ID]]=1,2,1))),$B$7)</f>
        <v>Eksempel 2 (interval)</v>
      </c>
      <c r="H2242" s="171">
        <f>_xlfn.AGGREGATE(2,5,LineærRegression_Valg[[#This Row],[Tabel ID]])</f>
        <v>1</v>
      </c>
    </row>
    <row r="2243" spans="1:8" x14ac:dyDescent="0.2">
      <c r="A2243">
        <f>ROW(LineærRegression_Valg[[#This Row],[Tabel ID]])-ROW(LineærRegression_Valg[[#Headers],[Tabel ID]])</f>
        <v>2233</v>
      </c>
      <c r="B2243" s="171">
        <f>ROUNDDOWN((LineærRegression_Valg[[#This Row],[Tabel ID]]-1)/$B$5,0)+1</f>
        <v>559</v>
      </c>
      <c r="C2243" s="171">
        <f t="shared" si="34"/>
        <v>1</v>
      </c>
      <c r="D2243" s="171" t="b">
        <f>LineærRegression_Valg[[#This Row],[Afhængig variabel ID]]&lt;&gt;LineærRegression_Valg[[#This Row],[Uafhængig variabel ID]]</f>
        <v>1</v>
      </c>
      <c r="E2243" s="171" t="b">
        <f>LineærRegression_Valg[[#This Row],[Afhængig variabel ID]]&lt;=$B$5</f>
        <v>0</v>
      </c>
      <c r="F2243" t="str" cm="1">
        <f t="array" ref="F2243">IF(LineærRegression_Valg[[#This Row],[Indenfor range]],INDEX(DataTitel_liste,LineærRegression_Valg[[#This Row],[Afhængig variabel ID]]),INDEX(DataTitel_liste,1))</f>
        <v>Eksempel 1 (interval)</v>
      </c>
      <c r="G2243" s="171" t="str" cm="1">
        <f t="array" ref="G2243">IF(LineærRegression_Valg[[#This Row],[Indenfor range]],IF(LineærRegression_Valg[[#This Row],[Intet overlap]],INDEX(DataTitel_liste,LineærRegression_Valg[[#This Row],[Uafhængig variabel ID]]),INDEX(DataTitel_liste,IF(LineærRegression_Valg[[#This Row],[Afhængig variabel ID]]=1,2,1))),$B$7)</f>
        <v>Eksempel 2 (interval)</v>
      </c>
      <c r="H2243" s="171">
        <f>_xlfn.AGGREGATE(2,5,LineærRegression_Valg[[#This Row],[Tabel ID]])</f>
        <v>1</v>
      </c>
    </row>
    <row r="2244" spans="1:8" x14ac:dyDescent="0.2">
      <c r="A2244">
        <f>ROW(LineærRegression_Valg[[#This Row],[Tabel ID]])-ROW(LineærRegression_Valg[[#Headers],[Tabel ID]])</f>
        <v>2234</v>
      </c>
      <c r="B2244" s="171">
        <f>ROUNDDOWN((LineærRegression_Valg[[#This Row],[Tabel ID]]-1)/$B$5,0)+1</f>
        <v>559</v>
      </c>
      <c r="C2244" s="171">
        <f t="shared" si="34"/>
        <v>2</v>
      </c>
      <c r="D2244" s="171" t="b">
        <f>LineærRegression_Valg[[#This Row],[Afhængig variabel ID]]&lt;&gt;LineærRegression_Valg[[#This Row],[Uafhængig variabel ID]]</f>
        <v>1</v>
      </c>
      <c r="E2244" s="171" t="b">
        <f>LineærRegression_Valg[[#This Row],[Afhængig variabel ID]]&lt;=$B$5</f>
        <v>0</v>
      </c>
      <c r="F2244" t="str" cm="1">
        <f t="array" ref="F2244">IF(LineærRegression_Valg[[#This Row],[Indenfor range]],INDEX(DataTitel_liste,LineærRegression_Valg[[#This Row],[Afhængig variabel ID]]),INDEX(DataTitel_liste,1))</f>
        <v>Eksempel 1 (interval)</v>
      </c>
      <c r="G2244" s="171" t="str" cm="1">
        <f t="array" ref="G2244">IF(LineærRegression_Valg[[#This Row],[Indenfor range]],IF(LineærRegression_Valg[[#This Row],[Intet overlap]],INDEX(DataTitel_liste,LineærRegression_Valg[[#This Row],[Uafhængig variabel ID]]),INDEX(DataTitel_liste,IF(LineærRegression_Valg[[#This Row],[Afhængig variabel ID]]=1,2,1))),$B$7)</f>
        <v>Eksempel 2 (interval)</v>
      </c>
      <c r="H2244" s="171">
        <f>_xlfn.AGGREGATE(2,5,LineærRegression_Valg[[#This Row],[Tabel ID]])</f>
        <v>1</v>
      </c>
    </row>
    <row r="2245" spans="1:8" x14ac:dyDescent="0.2">
      <c r="A2245">
        <f>ROW(LineærRegression_Valg[[#This Row],[Tabel ID]])-ROW(LineærRegression_Valg[[#Headers],[Tabel ID]])</f>
        <v>2235</v>
      </c>
      <c r="B2245" s="171">
        <f>ROUNDDOWN((LineærRegression_Valg[[#This Row],[Tabel ID]]-1)/$B$5,0)+1</f>
        <v>559</v>
      </c>
      <c r="C2245" s="171">
        <f t="shared" si="34"/>
        <v>3</v>
      </c>
      <c r="D2245" s="171" t="b">
        <f>LineærRegression_Valg[[#This Row],[Afhængig variabel ID]]&lt;&gt;LineærRegression_Valg[[#This Row],[Uafhængig variabel ID]]</f>
        <v>1</v>
      </c>
      <c r="E2245" s="171" t="b">
        <f>LineærRegression_Valg[[#This Row],[Afhængig variabel ID]]&lt;=$B$5</f>
        <v>0</v>
      </c>
      <c r="F2245" t="str" cm="1">
        <f t="array" ref="F2245">IF(LineærRegression_Valg[[#This Row],[Indenfor range]],INDEX(DataTitel_liste,LineærRegression_Valg[[#This Row],[Afhængig variabel ID]]),INDEX(DataTitel_liste,1))</f>
        <v>Eksempel 1 (interval)</v>
      </c>
      <c r="G2245" s="171" t="str" cm="1">
        <f t="array" ref="G2245">IF(LineærRegression_Valg[[#This Row],[Indenfor range]],IF(LineærRegression_Valg[[#This Row],[Intet overlap]],INDEX(DataTitel_liste,LineærRegression_Valg[[#This Row],[Uafhængig variabel ID]]),INDEX(DataTitel_liste,IF(LineærRegression_Valg[[#This Row],[Afhængig variabel ID]]=1,2,1))),$B$7)</f>
        <v>Eksempel 2 (interval)</v>
      </c>
      <c r="H2245" s="171">
        <f>_xlfn.AGGREGATE(2,5,LineærRegression_Valg[[#This Row],[Tabel ID]])</f>
        <v>1</v>
      </c>
    </row>
    <row r="2246" spans="1:8" x14ac:dyDescent="0.2">
      <c r="A2246">
        <f>ROW(LineærRegression_Valg[[#This Row],[Tabel ID]])-ROW(LineærRegression_Valg[[#Headers],[Tabel ID]])</f>
        <v>2236</v>
      </c>
      <c r="B2246" s="171">
        <f>ROUNDDOWN((LineærRegression_Valg[[#This Row],[Tabel ID]]-1)/$B$5,0)+1</f>
        <v>559</v>
      </c>
      <c r="C2246" s="171">
        <f t="shared" si="34"/>
        <v>4</v>
      </c>
      <c r="D2246" s="171" t="b">
        <f>LineærRegression_Valg[[#This Row],[Afhængig variabel ID]]&lt;&gt;LineærRegression_Valg[[#This Row],[Uafhængig variabel ID]]</f>
        <v>1</v>
      </c>
      <c r="E2246" s="171" t="b">
        <f>LineærRegression_Valg[[#This Row],[Afhængig variabel ID]]&lt;=$B$5</f>
        <v>0</v>
      </c>
      <c r="F2246" t="str" cm="1">
        <f t="array" ref="F2246">IF(LineærRegression_Valg[[#This Row],[Indenfor range]],INDEX(DataTitel_liste,LineærRegression_Valg[[#This Row],[Afhængig variabel ID]]),INDEX(DataTitel_liste,1))</f>
        <v>Eksempel 1 (interval)</v>
      </c>
      <c r="G2246" s="171" t="str" cm="1">
        <f t="array" ref="G2246">IF(LineærRegression_Valg[[#This Row],[Indenfor range]],IF(LineærRegression_Valg[[#This Row],[Intet overlap]],INDEX(DataTitel_liste,LineærRegression_Valg[[#This Row],[Uafhængig variabel ID]]),INDEX(DataTitel_liste,IF(LineærRegression_Valg[[#This Row],[Afhængig variabel ID]]=1,2,1))),$B$7)</f>
        <v>Eksempel 2 (interval)</v>
      </c>
      <c r="H2246" s="171">
        <f>_xlfn.AGGREGATE(2,5,LineærRegression_Valg[[#This Row],[Tabel ID]])</f>
        <v>1</v>
      </c>
    </row>
    <row r="2247" spans="1:8" x14ac:dyDescent="0.2">
      <c r="A2247">
        <f>ROW(LineærRegression_Valg[[#This Row],[Tabel ID]])-ROW(LineærRegression_Valg[[#Headers],[Tabel ID]])</f>
        <v>2237</v>
      </c>
      <c r="B2247" s="171">
        <f>ROUNDDOWN((LineærRegression_Valg[[#This Row],[Tabel ID]]-1)/$B$5,0)+1</f>
        <v>560</v>
      </c>
      <c r="C2247" s="171">
        <f t="shared" si="34"/>
        <v>1</v>
      </c>
      <c r="D2247" s="171" t="b">
        <f>LineærRegression_Valg[[#This Row],[Afhængig variabel ID]]&lt;&gt;LineærRegression_Valg[[#This Row],[Uafhængig variabel ID]]</f>
        <v>1</v>
      </c>
      <c r="E2247" s="171" t="b">
        <f>LineærRegression_Valg[[#This Row],[Afhængig variabel ID]]&lt;=$B$5</f>
        <v>0</v>
      </c>
      <c r="F2247" t="str" cm="1">
        <f t="array" ref="F2247">IF(LineærRegression_Valg[[#This Row],[Indenfor range]],INDEX(DataTitel_liste,LineærRegression_Valg[[#This Row],[Afhængig variabel ID]]),INDEX(DataTitel_liste,1))</f>
        <v>Eksempel 1 (interval)</v>
      </c>
      <c r="G2247" s="171" t="str" cm="1">
        <f t="array" ref="G2247">IF(LineærRegression_Valg[[#This Row],[Indenfor range]],IF(LineærRegression_Valg[[#This Row],[Intet overlap]],INDEX(DataTitel_liste,LineærRegression_Valg[[#This Row],[Uafhængig variabel ID]]),INDEX(DataTitel_liste,IF(LineærRegression_Valg[[#This Row],[Afhængig variabel ID]]=1,2,1))),$B$7)</f>
        <v>Eksempel 2 (interval)</v>
      </c>
      <c r="H2247" s="171">
        <f>_xlfn.AGGREGATE(2,5,LineærRegression_Valg[[#This Row],[Tabel ID]])</f>
        <v>1</v>
      </c>
    </row>
    <row r="2248" spans="1:8" x14ac:dyDescent="0.2">
      <c r="A2248">
        <f>ROW(LineærRegression_Valg[[#This Row],[Tabel ID]])-ROW(LineærRegression_Valg[[#Headers],[Tabel ID]])</f>
        <v>2238</v>
      </c>
      <c r="B2248" s="171">
        <f>ROUNDDOWN((LineærRegression_Valg[[#This Row],[Tabel ID]]-1)/$B$5,0)+1</f>
        <v>560</v>
      </c>
      <c r="C2248" s="171">
        <f t="shared" si="34"/>
        <v>2</v>
      </c>
      <c r="D2248" s="171" t="b">
        <f>LineærRegression_Valg[[#This Row],[Afhængig variabel ID]]&lt;&gt;LineærRegression_Valg[[#This Row],[Uafhængig variabel ID]]</f>
        <v>1</v>
      </c>
      <c r="E2248" s="171" t="b">
        <f>LineærRegression_Valg[[#This Row],[Afhængig variabel ID]]&lt;=$B$5</f>
        <v>0</v>
      </c>
      <c r="F2248" t="str" cm="1">
        <f t="array" ref="F2248">IF(LineærRegression_Valg[[#This Row],[Indenfor range]],INDEX(DataTitel_liste,LineærRegression_Valg[[#This Row],[Afhængig variabel ID]]),INDEX(DataTitel_liste,1))</f>
        <v>Eksempel 1 (interval)</v>
      </c>
      <c r="G2248" s="171" t="str" cm="1">
        <f t="array" ref="G2248">IF(LineærRegression_Valg[[#This Row],[Indenfor range]],IF(LineærRegression_Valg[[#This Row],[Intet overlap]],INDEX(DataTitel_liste,LineærRegression_Valg[[#This Row],[Uafhængig variabel ID]]),INDEX(DataTitel_liste,IF(LineærRegression_Valg[[#This Row],[Afhængig variabel ID]]=1,2,1))),$B$7)</f>
        <v>Eksempel 2 (interval)</v>
      </c>
      <c r="H2248" s="171">
        <f>_xlfn.AGGREGATE(2,5,LineærRegression_Valg[[#This Row],[Tabel ID]])</f>
        <v>1</v>
      </c>
    </row>
    <row r="2249" spans="1:8" x14ac:dyDescent="0.2">
      <c r="A2249">
        <f>ROW(LineærRegression_Valg[[#This Row],[Tabel ID]])-ROW(LineærRegression_Valg[[#Headers],[Tabel ID]])</f>
        <v>2239</v>
      </c>
      <c r="B2249" s="171">
        <f>ROUNDDOWN((LineærRegression_Valg[[#This Row],[Tabel ID]]-1)/$B$5,0)+1</f>
        <v>560</v>
      </c>
      <c r="C2249" s="171">
        <f t="shared" si="34"/>
        <v>3</v>
      </c>
      <c r="D2249" s="171" t="b">
        <f>LineærRegression_Valg[[#This Row],[Afhængig variabel ID]]&lt;&gt;LineærRegression_Valg[[#This Row],[Uafhængig variabel ID]]</f>
        <v>1</v>
      </c>
      <c r="E2249" s="171" t="b">
        <f>LineærRegression_Valg[[#This Row],[Afhængig variabel ID]]&lt;=$B$5</f>
        <v>0</v>
      </c>
      <c r="F2249" t="str" cm="1">
        <f t="array" ref="F2249">IF(LineærRegression_Valg[[#This Row],[Indenfor range]],INDEX(DataTitel_liste,LineærRegression_Valg[[#This Row],[Afhængig variabel ID]]),INDEX(DataTitel_liste,1))</f>
        <v>Eksempel 1 (interval)</v>
      </c>
      <c r="G2249" s="171" t="str" cm="1">
        <f t="array" ref="G2249">IF(LineærRegression_Valg[[#This Row],[Indenfor range]],IF(LineærRegression_Valg[[#This Row],[Intet overlap]],INDEX(DataTitel_liste,LineærRegression_Valg[[#This Row],[Uafhængig variabel ID]]),INDEX(DataTitel_liste,IF(LineærRegression_Valg[[#This Row],[Afhængig variabel ID]]=1,2,1))),$B$7)</f>
        <v>Eksempel 2 (interval)</v>
      </c>
      <c r="H2249" s="171">
        <f>_xlfn.AGGREGATE(2,5,LineærRegression_Valg[[#This Row],[Tabel ID]])</f>
        <v>1</v>
      </c>
    </row>
    <row r="2250" spans="1:8" x14ac:dyDescent="0.2">
      <c r="A2250">
        <f>ROW(LineærRegression_Valg[[#This Row],[Tabel ID]])-ROW(LineærRegression_Valg[[#Headers],[Tabel ID]])</f>
        <v>2240</v>
      </c>
      <c r="B2250" s="171">
        <f>ROUNDDOWN((LineærRegression_Valg[[#This Row],[Tabel ID]]-1)/$B$5,0)+1</f>
        <v>560</v>
      </c>
      <c r="C2250" s="171">
        <f t="shared" si="34"/>
        <v>4</v>
      </c>
      <c r="D2250" s="171" t="b">
        <f>LineærRegression_Valg[[#This Row],[Afhængig variabel ID]]&lt;&gt;LineærRegression_Valg[[#This Row],[Uafhængig variabel ID]]</f>
        <v>1</v>
      </c>
      <c r="E2250" s="171" t="b">
        <f>LineærRegression_Valg[[#This Row],[Afhængig variabel ID]]&lt;=$B$5</f>
        <v>0</v>
      </c>
      <c r="F2250" t="str" cm="1">
        <f t="array" ref="F2250">IF(LineærRegression_Valg[[#This Row],[Indenfor range]],INDEX(DataTitel_liste,LineærRegression_Valg[[#This Row],[Afhængig variabel ID]]),INDEX(DataTitel_liste,1))</f>
        <v>Eksempel 1 (interval)</v>
      </c>
      <c r="G2250" s="171" t="str" cm="1">
        <f t="array" ref="G2250">IF(LineærRegression_Valg[[#This Row],[Indenfor range]],IF(LineærRegression_Valg[[#This Row],[Intet overlap]],INDEX(DataTitel_liste,LineærRegression_Valg[[#This Row],[Uafhængig variabel ID]]),INDEX(DataTitel_liste,IF(LineærRegression_Valg[[#This Row],[Afhængig variabel ID]]=1,2,1))),$B$7)</f>
        <v>Eksempel 2 (interval)</v>
      </c>
      <c r="H2250" s="171">
        <f>_xlfn.AGGREGATE(2,5,LineærRegression_Valg[[#This Row],[Tabel ID]])</f>
        <v>1</v>
      </c>
    </row>
    <row r="2251" spans="1:8" x14ac:dyDescent="0.2">
      <c r="A2251">
        <f>ROW(LineærRegression_Valg[[#This Row],[Tabel ID]])-ROW(LineærRegression_Valg[[#Headers],[Tabel ID]])</f>
        <v>2241</v>
      </c>
      <c r="B2251" s="171">
        <f>ROUNDDOWN((LineærRegression_Valg[[#This Row],[Tabel ID]]-1)/$B$5,0)+1</f>
        <v>561</v>
      </c>
      <c r="C2251" s="171">
        <f t="shared" ref="C2251:C2314" si="35">MOD(A2251-1,$B$5)+1</f>
        <v>1</v>
      </c>
      <c r="D2251" s="171" t="b">
        <f>LineærRegression_Valg[[#This Row],[Afhængig variabel ID]]&lt;&gt;LineærRegression_Valg[[#This Row],[Uafhængig variabel ID]]</f>
        <v>1</v>
      </c>
      <c r="E2251" s="171" t="b">
        <f>LineærRegression_Valg[[#This Row],[Afhængig variabel ID]]&lt;=$B$5</f>
        <v>0</v>
      </c>
      <c r="F2251" t="str" cm="1">
        <f t="array" ref="F2251">IF(LineærRegression_Valg[[#This Row],[Indenfor range]],INDEX(DataTitel_liste,LineærRegression_Valg[[#This Row],[Afhængig variabel ID]]),INDEX(DataTitel_liste,1))</f>
        <v>Eksempel 1 (interval)</v>
      </c>
      <c r="G2251" s="171" t="str" cm="1">
        <f t="array" ref="G2251">IF(LineærRegression_Valg[[#This Row],[Indenfor range]],IF(LineærRegression_Valg[[#This Row],[Intet overlap]],INDEX(DataTitel_liste,LineærRegression_Valg[[#This Row],[Uafhængig variabel ID]]),INDEX(DataTitel_liste,IF(LineærRegression_Valg[[#This Row],[Afhængig variabel ID]]=1,2,1))),$B$7)</f>
        <v>Eksempel 2 (interval)</v>
      </c>
      <c r="H2251" s="171">
        <f>_xlfn.AGGREGATE(2,5,LineærRegression_Valg[[#This Row],[Tabel ID]])</f>
        <v>1</v>
      </c>
    </row>
    <row r="2252" spans="1:8" x14ac:dyDescent="0.2">
      <c r="A2252">
        <f>ROW(LineærRegression_Valg[[#This Row],[Tabel ID]])-ROW(LineærRegression_Valg[[#Headers],[Tabel ID]])</f>
        <v>2242</v>
      </c>
      <c r="B2252" s="171">
        <f>ROUNDDOWN((LineærRegression_Valg[[#This Row],[Tabel ID]]-1)/$B$5,0)+1</f>
        <v>561</v>
      </c>
      <c r="C2252" s="171">
        <f t="shared" si="35"/>
        <v>2</v>
      </c>
      <c r="D2252" s="171" t="b">
        <f>LineærRegression_Valg[[#This Row],[Afhængig variabel ID]]&lt;&gt;LineærRegression_Valg[[#This Row],[Uafhængig variabel ID]]</f>
        <v>1</v>
      </c>
      <c r="E2252" s="171" t="b">
        <f>LineærRegression_Valg[[#This Row],[Afhængig variabel ID]]&lt;=$B$5</f>
        <v>0</v>
      </c>
      <c r="F2252" t="str" cm="1">
        <f t="array" ref="F2252">IF(LineærRegression_Valg[[#This Row],[Indenfor range]],INDEX(DataTitel_liste,LineærRegression_Valg[[#This Row],[Afhængig variabel ID]]),INDEX(DataTitel_liste,1))</f>
        <v>Eksempel 1 (interval)</v>
      </c>
      <c r="G2252" s="171" t="str" cm="1">
        <f t="array" ref="G2252">IF(LineærRegression_Valg[[#This Row],[Indenfor range]],IF(LineærRegression_Valg[[#This Row],[Intet overlap]],INDEX(DataTitel_liste,LineærRegression_Valg[[#This Row],[Uafhængig variabel ID]]),INDEX(DataTitel_liste,IF(LineærRegression_Valg[[#This Row],[Afhængig variabel ID]]=1,2,1))),$B$7)</f>
        <v>Eksempel 2 (interval)</v>
      </c>
      <c r="H2252" s="171">
        <f>_xlfn.AGGREGATE(2,5,LineærRegression_Valg[[#This Row],[Tabel ID]])</f>
        <v>1</v>
      </c>
    </row>
    <row r="2253" spans="1:8" x14ac:dyDescent="0.2">
      <c r="A2253">
        <f>ROW(LineærRegression_Valg[[#This Row],[Tabel ID]])-ROW(LineærRegression_Valg[[#Headers],[Tabel ID]])</f>
        <v>2243</v>
      </c>
      <c r="B2253" s="171">
        <f>ROUNDDOWN((LineærRegression_Valg[[#This Row],[Tabel ID]]-1)/$B$5,0)+1</f>
        <v>561</v>
      </c>
      <c r="C2253" s="171">
        <f t="shared" si="35"/>
        <v>3</v>
      </c>
      <c r="D2253" s="171" t="b">
        <f>LineærRegression_Valg[[#This Row],[Afhængig variabel ID]]&lt;&gt;LineærRegression_Valg[[#This Row],[Uafhængig variabel ID]]</f>
        <v>1</v>
      </c>
      <c r="E2253" s="171" t="b">
        <f>LineærRegression_Valg[[#This Row],[Afhængig variabel ID]]&lt;=$B$5</f>
        <v>0</v>
      </c>
      <c r="F2253" t="str" cm="1">
        <f t="array" ref="F2253">IF(LineærRegression_Valg[[#This Row],[Indenfor range]],INDEX(DataTitel_liste,LineærRegression_Valg[[#This Row],[Afhængig variabel ID]]),INDEX(DataTitel_liste,1))</f>
        <v>Eksempel 1 (interval)</v>
      </c>
      <c r="G2253" s="171" t="str" cm="1">
        <f t="array" ref="G2253">IF(LineærRegression_Valg[[#This Row],[Indenfor range]],IF(LineærRegression_Valg[[#This Row],[Intet overlap]],INDEX(DataTitel_liste,LineærRegression_Valg[[#This Row],[Uafhængig variabel ID]]),INDEX(DataTitel_liste,IF(LineærRegression_Valg[[#This Row],[Afhængig variabel ID]]=1,2,1))),$B$7)</f>
        <v>Eksempel 2 (interval)</v>
      </c>
      <c r="H2253" s="171">
        <f>_xlfn.AGGREGATE(2,5,LineærRegression_Valg[[#This Row],[Tabel ID]])</f>
        <v>1</v>
      </c>
    </row>
    <row r="2254" spans="1:8" x14ac:dyDescent="0.2">
      <c r="A2254">
        <f>ROW(LineærRegression_Valg[[#This Row],[Tabel ID]])-ROW(LineærRegression_Valg[[#Headers],[Tabel ID]])</f>
        <v>2244</v>
      </c>
      <c r="B2254" s="171">
        <f>ROUNDDOWN((LineærRegression_Valg[[#This Row],[Tabel ID]]-1)/$B$5,0)+1</f>
        <v>561</v>
      </c>
      <c r="C2254" s="171">
        <f t="shared" si="35"/>
        <v>4</v>
      </c>
      <c r="D2254" s="171" t="b">
        <f>LineærRegression_Valg[[#This Row],[Afhængig variabel ID]]&lt;&gt;LineærRegression_Valg[[#This Row],[Uafhængig variabel ID]]</f>
        <v>1</v>
      </c>
      <c r="E2254" s="171" t="b">
        <f>LineærRegression_Valg[[#This Row],[Afhængig variabel ID]]&lt;=$B$5</f>
        <v>0</v>
      </c>
      <c r="F2254" t="str" cm="1">
        <f t="array" ref="F2254">IF(LineærRegression_Valg[[#This Row],[Indenfor range]],INDEX(DataTitel_liste,LineærRegression_Valg[[#This Row],[Afhængig variabel ID]]),INDEX(DataTitel_liste,1))</f>
        <v>Eksempel 1 (interval)</v>
      </c>
      <c r="G2254" s="171" t="str" cm="1">
        <f t="array" ref="G2254">IF(LineærRegression_Valg[[#This Row],[Indenfor range]],IF(LineærRegression_Valg[[#This Row],[Intet overlap]],INDEX(DataTitel_liste,LineærRegression_Valg[[#This Row],[Uafhængig variabel ID]]),INDEX(DataTitel_liste,IF(LineærRegression_Valg[[#This Row],[Afhængig variabel ID]]=1,2,1))),$B$7)</f>
        <v>Eksempel 2 (interval)</v>
      </c>
      <c r="H2254" s="171">
        <f>_xlfn.AGGREGATE(2,5,LineærRegression_Valg[[#This Row],[Tabel ID]])</f>
        <v>1</v>
      </c>
    </row>
    <row r="2255" spans="1:8" x14ac:dyDescent="0.2">
      <c r="A2255">
        <f>ROW(LineærRegression_Valg[[#This Row],[Tabel ID]])-ROW(LineærRegression_Valg[[#Headers],[Tabel ID]])</f>
        <v>2245</v>
      </c>
      <c r="B2255" s="171">
        <f>ROUNDDOWN((LineærRegression_Valg[[#This Row],[Tabel ID]]-1)/$B$5,0)+1</f>
        <v>562</v>
      </c>
      <c r="C2255" s="171">
        <f t="shared" si="35"/>
        <v>1</v>
      </c>
      <c r="D2255" s="171" t="b">
        <f>LineærRegression_Valg[[#This Row],[Afhængig variabel ID]]&lt;&gt;LineærRegression_Valg[[#This Row],[Uafhængig variabel ID]]</f>
        <v>1</v>
      </c>
      <c r="E2255" s="171" t="b">
        <f>LineærRegression_Valg[[#This Row],[Afhængig variabel ID]]&lt;=$B$5</f>
        <v>0</v>
      </c>
      <c r="F2255" t="str" cm="1">
        <f t="array" ref="F2255">IF(LineærRegression_Valg[[#This Row],[Indenfor range]],INDEX(DataTitel_liste,LineærRegression_Valg[[#This Row],[Afhængig variabel ID]]),INDEX(DataTitel_liste,1))</f>
        <v>Eksempel 1 (interval)</v>
      </c>
      <c r="G2255" s="171" t="str" cm="1">
        <f t="array" ref="G2255">IF(LineærRegression_Valg[[#This Row],[Indenfor range]],IF(LineærRegression_Valg[[#This Row],[Intet overlap]],INDEX(DataTitel_liste,LineærRegression_Valg[[#This Row],[Uafhængig variabel ID]]),INDEX(DataTitel_liste,IF(LineærRegression_Valg[[#This Row],[Afhængig variabel ID]]=1,2,1))),$B$7)</f>
        <v>Eksempel 2 (interval)</v>
      </c>
      <c r="H2255" s="171">
        <f>_xlfn.AGGREGATE(2,5,LineærRegression_Valg[[#This Row],[Tabel ID]])</f>
        <v>1</v>
      </c>
    </row>
    <row r="2256" spans="1:8" x14ac:dyDescent="0.2">
      <c r="A2256">
        <f>ROW(LineærRegression_Valg[[#This Row],[Tabel ID]])-ROW(LineærRegression_Valg[[#Headers],[Tabel ID]])</f>
        <v>2246</v>
      </c>
      <c r="B2256" s="171">
        <f>ROUNDDOWN((LineærRegression_Valg[[#This Row],[Tabel ID]]-1)/$B$5,0)+1</f>
        <v>562</v>
      </c>
      <c r="C2256" s="171">
        <f t="shared" si="35"/>
        <v>2</v>
      </c>
      <c r="D2256" s="171" t="b">
        <f>LineærRegression_Valg[[#This Row],[Afhængig variabel ID]]&lt;&gt;LineærRegression_Valg[[#This Row],[Uafhængig variabel ID]]</f>
        <v>1</v>
      </c>
      <c r="E2256" s="171" t="b">
        <f>LineærRegression_Valg[[#This Row],[Afhængig variabel ID]]&lt;=$B$5</f>
        <v>0</v>
      </c>
      <c r="F2256" t="str" cm="1">
        <f t="array" ref="F2256">IF(LineærRegression_Valg[[#This Row],[Indenfor range]],INDEX(DataTitel_liste,LineærRegression_Valg[[#This Row],[Afhængig variabel ID]]),INDEX(DataTitel_liste,1))</f>
        <v>Eksempel 1 (interval)</v>
      </c>
      <c r="G2256" s="171" t="str" cm="1">
        <f t="array" ref="G2256">IF(LineærRegression_Valg[[#This Row],[Indenfor range]],IF(LineærRegression_Valg[[#This Row],[Intet overlap]],INDEX(DataTitel_liste,LineærRegression_Valg[[#This Row],[Uafhængig variabel ID]]),INDEX(DataTitel_liste,IF(LineærRegression_Valg[[#This Row],[Afhængig variabel ID]]=1,2,1))),$B$7)</f>
        <v>Eksempel 2 (interval)</v>
      </c>
      <c r="H2256" s="171">
        <f>_xlfn.AGGREGATE(2,5,LineærRegression_Valg[[#This Row],[Tabel ID]])</f>
        <v>1</v>
      </c>
    </row>
    <row r="2257" spans="1:8" x14ac:dyDescent="0.2">
      <c r="A2257">
        <f>ROW(LineærRegression_Valg[[#This Row],[Tabel ID]])-ROW(LineærRegression_Valg[[#Headers],[Tabel ID]])</f>
        <v>2247</v>
      </c>
      <c r="B2257" s="171">
        <f>ROUNDDOWN((LineærRegression_Valg[[#This Row],[Tabel ID]]-1)/$B$5,0)+1</f>
        <v>562</v>
      </c>
      <c r="C2257" s="171">
        <f t="shared" si="35"/>
        <v>3</v>
      </c>
      <c r="D2257" s="171" t="b">
        <f>LineærRegression_Valg[[#This Row],[Afhængig variabel ID]]&lt;&gt;LineærRegression_Valg[[#This Row],[Uafhængig variabel ID]]</f>
        <v>1</v>
      </c>
      <c r="E2257" s="171" t="b">
        <f>LineærRegression_Valg[[#This Row],[Afhængig variabel ID]]&lt;=$B$5</f>
        <v>0</v>
      </c>
      <c r="F2257" t="str" cm="1">
        <f t="array" ref="F2257">IF(LineærRegression_Valg[[#This Row],[Indenfor range]],INDEX(DataTitel_liste,LineærRegression_Valg[[#This Row],[Afhængig variabel ID]]),INDEX(DataTitel_liste,1))</f>
        <v>Eksempel 1 (interval)</v>
      </c>
      <c r="G2257" s="171" t="str" cm="1">
        <f t="array" ref="G2257">IF(LineærRegression_Valg[[#This Row],[Indenfor range]],IF(LineærRegression_Valg[[#This Row],[Intet overlap]],INDEX(DataTitel_liste,LineærRegression_Valg[[#This Row],[Uafhængig variabel ID]]),INDEX(DataTitel_liste,IF(LineærRegression_Valg[[#This Row],[Afhængig variabel ID]]=1,2,1))),$B$7)</f>
        <v>Eksempel 2 (interval)</v>
      </c>
      <c r="H2257" s="171">
        <f>_xlfn.AGGREGATE(2,5,LineærRegression_Valg[[#This Row],[Tabel ID]])</f>
        <v>1</v>
      </c>
    </row>
    <row r="2258" spans="1:8" x14ac:dyDescent="0.2">
      <c r="A2258">
        <f>ROW(LineærRegression_Valg[[#This Row],[Tabel ID]])-ROW(LineærRegression_Valg[[#Headers],[Tabel ID]])</f>
        <v>2248</v>
      </c>
      <c r="B2258" s="171">
        <f>ROUNDDOWN((LineærRegression_Valg[[#This Row],[Tabel ID]]-1)/$B$5,0)+1</f>
        <v>562</v>
      </c>
      <c r="C2258" s="171">
        <f t="shared" si="35"/>
        <v>4</v>
      </c>
      <c r="D2258" s="171" t="b">
        <f>LineærRegression_Valg[[#This Row],[Afhængig variabel ID]]&lt;&gt;LineærRegression_Valg[[#This Row],[Uafhængig variabel ID]]</f>
        <v>1</v>
      </c>
      <c r="E2258" s="171" t="b">
        <f>LineærRegression_Valg[[#This Row],[Afhængig variabel ID]]&lt;=$B$5</f>
        <v>0</v>
      </c>
      <c r="F2258" t="str" cm="1">
        <f t="array" ref="F2258">IF(LineærRegression_Valg[[#This Row],[Indenfor range]],INDEX(DataTitel_liste,LineærRegression_Valg[[#This Row],[Afhængig variabel ID]]),INDEX(DataTitel_liste,1))</f>
        <v>Eksempel 1 (interval)</v>
      </c>
      <c r="G2258" s="171" t="str" cm="1">
        <f t="array" ref="G2258">IF(LineærRegression_Valg[[#This Row],[Indenfor range]],IF(LineærRegression_Valg[[#This Row],[Intet overlap]],INDEX(DataTitel_liste,LineærRegression_Valg[[#This Row],[Uafhængig variabel ID]]),INDEX(DataTitel_liste,IF(LineærRegression_Valg[[#This Row],[Afhængig variabel ID]]=1,2,1))),$B$7)</f>
        <v>Eksempel 2 (interval)</v>
      </c>
      <c r="H2258" s="171">
        <f>_xlfn.AGGREGATE(2,5,LineærRegression_Valg[[#This Row],[Tabel ID]])</f>
        <v>1</v>
      </c>
    </row>
    <row r="2259" spans="1:8" x14ac:dyDescent="0.2">
      <c r="A2259">
        <f>ROW(LineærRegression_Valg[[#This Row],[Tabel ID]])-ROW(LineærRegression_Valg[[#Headers],[Tabel ID]])</f>
        <v>2249</v>
      </c>
      <c r="B2259" s="171">
        <f>ROUNDDOWN((LineærRegression_Valg[[#This Row],[Tabel ID]]-1)/$B$5,0)+1</f>
        <v>563</v>
      </c>
      <c r="C2259" s="171">
        <f t="shared" si="35"/>
        <v>1</v>
      </c>
      <c r="D2259" s="171" t="b">
        <f>LineærRegression_Valg[[#This Row],[Afhængig variabel ID]]&lt;&gt;LineærRegression_Valg[[#This Row],[Uafhængig variabel ID]]</f>
        <v>1</v>
      </c>
      <c r="E2259" s="171" t="b">
        <f>LineærRegression_Valg[[#This Row],[Afhængig variabel ID]]&lt;=$B$5</f>
        <v>0</v>
      </c>
      <c r="F2259" t="str" cm="1">
        <f t="array" ref="F2259">IF(LineærRegression_Valg[[#This Row],[Indenfor range]],INDEX(DataTitel_liste,LineærRegression_Valg[[#This Row],[Afhængig variabel ID]]),INDEX(DataTitel_liste,1))</f>
        <v>Eksempel 1 (interval)</v>
      </c>
      <c r="G2259" s="171" t="str" cm="1">
        <f t="array" ref="G2259">IF(LineærRegression_Valg[[#This Row],[Indenfor range]],IF(LineærRegression_Valg[[#This Row],[Intet overlap]],INDEX(DataTitel_liste,LineærRegression_Valg[[#This Row],[Uafhængig variabel ID]]),INDEX(DataTitel_liste,IF(LineærRegression_Valg[[#This Row],[Afhængig variabel ID]]=1,2,1))),$B$7)</f>
        <v>Eksempel 2 (interval)</v>
      </c>
      <c r="H2259" s="171">
        <f>_xlfn.AGGREGATE(2,5,LineærRegression_Valg[[#This Row],[Tabel ID]])</f>
        <v>1</v>
      </c>
    </row>
    <row r="2260" spans="1:8" x14ac:dyDescent="0.2">
      <c r="A2260">
        <f>ROW(LineærRegression_Valg[[#This Row],[Tabel ID]])-ROW(LineærRegression_Valg[[#Headers],[Tabel ID]])</f>
        <v>2250</v>
      </c>
      <c r="B2260" s="171">
        <f>ROUNDDOWN((LineærRegression_Valg[[#This Row],[Tabel ID]]-1)/$B$5,0)+1</f>
        <v>563</v>
      </c>
      <c r="C2260" s="171">
        <f t="shared" si="35"/>
        <v>2</v>
      </c>
      <c r="D2260" s="171" t="b">
        <f>LineærRegression_Valg[[#This Row],[Afhængig variabel ID]]&lt;&gt;LineærRegression_Valg[[#This Row],[Uafhængig variabel ID]]</f>
        <v>1</v>
      </c>
      <c r="E2260" s="171" t="b">
        <f>LineærRegression_Valg[[#This Row],[Afhængig variabel ID]]&lt;=$B$5</f>
        <v>0</v>
      </c>
      <c r="F2260" t="str" cm="1">
        <f t="array" ref="F2260">IF(LineærRegression_Valg[[#This Row],[Indenfor range]],INDEX(DataTitel_liste,LineærRegression_Valg[[#This Row],[Afhængig variabel ID]]),INDEX(DataTitel_liste,1))</f>
        <v>Eksempel 1 (interval)</v>
      </c>
      <c r="G2260" s="171" t="str" cm="1">
        <f t="array" ref="G2260">IF(LineærRegression_Valg[[#This Row],[Indenfor range]],IF(LineærRegression_Valg[[#This Row],[Intet overlap]],INDEX(DataTitel_liste,LineærRegression_Valg[[#This Row],[Uafhængig variabel ID]]),INDEX(DataTitel_liste,IF(LineærRegression_Valg[[#This Row],[Afhængig variabel ID]]=1,2,1))),$B$7)</f>
        <v>Eksempel 2 (interval)</v>
      </c>
      <c r="H2260" s="171">
        <f>_xlfn.AGGREGATE(2,5,LineærRegression_Valg[[#This Row],[Tabel ID]])</f>
        <v>1</v>
      </c>
    </row>
    <row r="2261" spans="1:8" x14ac:dyDescent="0.2">
      <c r="A2261">
        <f>ROW(LineærRegression_Valg[[#This Row],[Tabel ID]])-ROW(LineærRegression_Valg[[#Headers],[Tabel ID]])</f>
        <v>2251</v>
      </c>
      <c r="B2261" s="171">
        <f>ROUNDDOWN((LineærRegression_Valg[[#This Row],[Tabel ID]]-1)/$B$5,0)+1</f>
        <v>563</v>
      </c>
      <c r="C2261" s="171">
        <f t="shared" si="35"/>
        <v>3</v>
      </c>
      <c r="D2261" s="171" t="b">
        <f>LineærRegression_Valg[[#This Row],[Afhængig variabel ID]]&lt;&gt;LineærRegression_Valg[[#This Row],[Uafhængig variabel ID]]</f>
        <v>1</v>
      </c>
      <c r="E2261" s="171" t="b">
        <f>LineærRegression_Valg[[#This Row],[Afhængig variabel ID]]&lt;=$B$5</f>
        <v>0</v>
      </c>
      <c r="F2261" t="str" cm="1">
        <f t="array" ref="F2261">IF(LineærRegression_Valg[[#This Row],[Indenfor range]],INDEX(DataTitel_liste,LineærRegression_Valg[[#This Row],[Afhængig variabel ID]]),INDEX(DataTitel_liste,1))</f>
        <v>Eksempel 1 (interval)</v>
      </c>
      <c r="G2261" s="171" t="str" cm="1">
        <f t="array" ref="G2261">IF(LineærRegression_Valg[[#This Row],[Indenfor range]],IF(LineærRegression_Valg[[#This Row],[Intet overlap]],INDEX(DataTitel_liste,LineærRegression_Valg[[#This Row],[Uafhængig variabel ID]]),INDEX(DataTitel_liste,IF(LineærRegression_Valg[[#This Row],[Afhængig variabel ID]]=1,2,1))),$B$7)</f>
        <v>Eksempel 2 (interval)</v>
      </c>
      <c r="H2261" s="171">
        <f>_xlfn.AGGREGATE(2,5,LineærRegression_Valg[[#This Row],[Tabel ID]])</f>
        <v>1</v>
      </c>
    </row>
    <row r="2262" spans="1:8" x14ac:dyDescent="0.2">
      <c r="A2262">
        <f>ROW(LineærRegression_Valg[[#This Row],[Tabel ID]])-ROW(LineærRegression_Valg[[#Headers],[Tabel ID]])</f>
        <v>2252</v>
      </c>
      <c r="B2262" s="171">
        <f>ROUNDDOWN((LineærRegression_Valg[[#This Row],[Tabel ID]]-1)/$B$5,0)+1</f>
        <v>563</v>
      </c>
      <c r="C2262" s="171">
        <f t="shared" si="35"/>
        <v>4</v>
      </c>
      <c r="D2262" s="171" t="b">
        <f>LineærRegression_Valg[[#This Row],[Afhængig variabel ID]]&lt;&gt;LineærRegression_Valg[[#This Row],[Uafhængig variabel ID]]</f>
        <v>1</v>
      </c>
      <c r="E2262" s="171" t="b">
        <f>LineærRegression_Valg[[#This Row],[Afhængig variabel ID]]&lt;=$B$5</f>
        <v>0</v>
      </c>
      <c r="F2262" t="str" cm="1">
        <f t="array" ref="F2262">IF(LineærRegression_Valg[[#This Row],[Indenfor range]],INDEX(DataTitel_liste,LineærRegression_Valg[[#This Row],[Afhængig variabel ID]]),INDEX(DataTitel_liste,1))</f>
        <v>Eksempel 1 (interval)</v>
      </c>
      <c r="G2262" s="171" t="str" cm="1">
        <f t="array" ref="G2262">IF(LineærRegression_Valg[[#This Row],[Indenfor range]],IF(LineærRegression_Valg[[#This Row],[Intet overlap]],INDEX(DataTitel_liste,LineærRegression_Valg[[#This Row],[Uafhængig variabel ID]]),INDEX(DataTitel_liste,IF(LineærRegression_Valg[[#This Row],[Afhængig variabel ID]]=1,2,1))),$B$7)</f>
        <v>Eksempel 2 (interval)</v>
      </c>
      <c r="H2262" s="171">
        <f>_xlfn.AGGREGATE(2,5,LineærRegression_Valg[[#This Row],[Tabel ID]])</f>
        <v>1</v>
      </c>
    </row>
    <row r="2263" spans="1:8" x14ac:dyDescent="0.2">
      <c r="A2263">
        <f>ROW(LineærRegression_Valg[[#This Row],[Tabel ID]])-ROW(LineærRegression_Valg[[#Headers],[Tabel ID]])</f>
        <v>2253</v>
      </c>
      <c r="B2263" s="171">
        <f>ROUNDDOWN((LineærRegression_Valg[[#This Row],[Tabel ID]]-1)/$B$5,0)+1</f>
        <v>564</v>
      </c>
      <c r="C2263" s="171">
        <f t="shared" si="35"/>
        <v>1</v>
      </c>
      <c r="D2263" s="171" t="b">
        <f>LineærRegression_Valg[[#This Row],[Afhængig variabel ID]]&lt;&gt;LineærRegression_Valg[[#This Row],[Uafhængig variabel ID]]</f>
        <v>1</v>
      </c>
      <c r="E2263" s="171" t="b">
        <f>LineærRegression_Valg[[#This Row],[Afhængig variabel ID]]&lt;=$B$5</f>
        <v>0</v>
      </c>
      <c r="F2263" t="str" cm="1">
        <f t="array" ref="F2263">IF(LineærRegression_Valg[[#This Row],[Indenfor range]],INDEX(DataTitel_liste,LineærRegression_Valg[[#This Row],[Afhængig variabel ID]]),INDEX(DataTitel_liste,1))</f>
        <v>Eksempel 1 (interval)</v>
      </c>
      <c r="G2263" s="171" t="str" cm="1">
        <f t="array" ref="G2263">IF(LineærRegression_Valg[[#This Row],[Indenfor range]],IF(LineærRegression_Valg[[#This Row],[Intet overlap]],INDEX(DataTitel_liste,LineærRegression_Valg[[#This Row],[Uafhængig variabel ID]]),INDEX(DataTitel_liste,IF(LineærRegression_Valg[[#This Row],[Afhængig variabel ID]]=1,2,1))),$B$7)</f>
        <v>Eksempel 2 (interval)</v>
      </c>
      <c r="H2263" s="171">
        <f>_xlfn.AGGREGATE(2,5,LineærRegression_Valg[[#This Row],[Tabel ID]])</f>
        <v>1</v>
      </c>
    </row>
    <row r="2264" spans="1:8" x14ac:dyDescent="0.2">
      <c r="A2264">
        <f>ROW(LineærRegression_Valg[[#This Row],[Tabel ID]])-ROW(LineærRegression_Valg[[#Headers],[Tabel ID]])</f>
        <v>2254</v>
      </c>
      <c r="B2264" s="171">
        <f>ROUNDDOWN((LineærRegression_Valg[[#This Row],[Tabel ID]]-1)/$B$5,0)+1</f>
        <v>564</v>
      </c>
      <c r="C2264" s="171">
        <f t="shared" si="35"/>
        <v>2</v>
      </c>
      <c r="D2264" s="171" t="b">
        <f>LineærRegression_Valg[[#This Row],[Afhængig variabel ID]]&lt;&gt;LineærRegression_Valg[[#This Row],[Uafhængig variabel ID]]</f>
        <v>1</v>
      </c>
      <c r="E2264" s="171" t="b">
        <f>LineærRegression_Valg[[#This Row],[Afhængig variabel ID]]&lt;=$B$5</f>
        <v>0</v>
      </c>
      <c r="F2264" t="str" cm="1">
        <f t="array" ref="F2264">IF(LineærRegression_Valg[[#This Row],[Indenfor range]],INDEX(DataTitel_liste,LineærRegression_Valg[[#This Row],[Afhængig variabel ID]]),INDEX(DataTitel_liste,1))</f>
        <v>Eksempel 1 (interval)</v>
      </c>
      <c r="G2264" s="171" t="str" cm="1">
        <f t="array" ref="G2264">IF(LineærRegression_Valg[[#This Row],[Indenfor range]],IF(LineærRegression_Valg[[#This Row],[Intet overlap]],INDEX(DataTitel_liste,LineærRegression_Valg[[#This Row],[Uafhængig variabel ID]]),INDEX(DataTitel_liste,IF(LineærRegression_Valg[[#This Row],[Afhængig variabel ID]]=1,2,1))),$B$7)</f>
        <v>Eksempel 2 (interval)</v>
      </c>
      <c r="H2264" s="171">
        <f>_xlfn.AGGREGATE(2,5,LineærRegression_Valg[[#This Row],[Tabel ID]])</f>
        <v>1</v>
      </c>
    </row>
    <row r="2265" spans="1:8" x14ac:dyDescent="0.2">
      <c r="A2265">
        <f>ROW(LineærRegression_Valg[[#This Row],[Tabel ID]])-ROW(LineærRegression_Valg[[#Headers],[Tabel ID]])</f>
        <v>2255</v>
      </c>
      <c r="B2265" s="171">
        <f>ROUNDDOWN((LineærRegression_Valg[[#This Row],[Tabel ID]]-1)/$B$5,0)+1</f>
        <v>564</v>
      </c>
      <c r="C2265" s="171">
        <f t="shared" si="35"/>
        <v>3</v>
      </c>
      <c r="D2265" s="171" t="b">
        <f>LineærRegression_Valg[[#This Row],[Afhængig variabel ID]]&lt;&gt;LineærRegression_Valg[[#This Row],[Uafhængig variabel ID]]</f>
        <v>1</v>
      </c>
      <c r="E2265" s="171" t="b">
        <f>LineærRegression_Valg[[#This Row],[Afhængig variabel ID]]&lt;=$B$5</f>
        <v>0</v>
      </c>
      <c r="F2265" t="str" cm="1">
        <f t="array" ref="F2265">IF(LineærRegression_Valg[[#This Row],[Indenfor range]],INDEX(DataTitel_liste,LineærRegression_Valg[[#This Row],[Afhængig variabel ID]]),INDEX(DataTitel_liste,1))</f>
        <v>Eksempel 1 (interval)</v>
      </c>
      <c r="G2265" s="171" t="str" cm="1">
        <f t="array" ref="G2265">IF(LineærRegression_Valg[[#This Row],[Indenfor range]],IF(LineærRegression_Valg[[#This Row],[Intet overlap]],INDEX(DataTitel_liste,LineærRegression_Valg[[#This Row],[Uafhængig variabel ID]]),INDEX(DataTitel_liste,IF(LineærRegression_Valg[[#This Row],[Afhængig variabel ID]]=1,2,1))),$B$7)</f>
        <v>Eksempel 2 (interval)</v>
      </c>
      <c r="H2265" s="171">
        <f>_xlfn.AGGREGATE(2,5,LineærRegression_Valg[[#This Row],[Tabel ID]])</f>
        <v>1</v>
      </c>
    </row>
    <row r="2266" spans="1:8" x14ac:dyDescent="0.2">
      <c r="A2266">
        <f>ROW(LineærRegression_Valg[[#This Row],[Tabel ID]])-ROW(LineærRegression_Valg[[#Headers],[Tabel ID]])</f>
        <v>2256</v>
      </c>
      <c r="B2266" s="171">
        <f>ROUNDDOWN((LineærRegression_Valg[[#This Row],[Tabel ID]]-1)/$B$5,0)+1</f>
        <v>564</v>
      </c>
      <c r="C2266" s="171">
        <f t="shared" si="35"/>
        <v>4</v>
      </c>
      <c r="D2266" s="171" t="b">
        <f>LineærRegression_Valg[[#This Row],[Afhængig variabel ID]]&lt;&gt;LineærRegression_Valg[[#This Row],[Uafhængig variabel ID]]</f>
        <v>1</v>
      </c>
      <c r="E2266" s="171" t="b">
        <f>LineærRegression_Valg[[#This Row],[Afhængig variabel ID]]&lt;=$B$5</f>
        <v>0</v>
      </c>
      <c r="F2266" t="str" cm="1">
        <f t="array" ref="F2266">IF(LineærRegression_Valg[[#This Row],[Indenfor range]],INDEX(DataTitel_liste,LineærRegression_Valg[[#This Row],[Afhængig variabel ID]]),INDEX(DataTitel_liste,1))</f>
        <v>Eksempel 1 (interval)</v>
      </c>
      <c r="G2266" s="171" t="str" cm="1">
        <f t="array" ref="G2266">IF(LineærRegression_Valg[[#This Row],[Indenfor range]],IF(LineærRegression_Valg[[#This Row],[Intet overlap]],INDEX(DataTitel_liste,LineærRegression_Valg[[#This Row],[Uafhængig variabel ID]]),INDEX(DataTitel_liste,IF(LineærRegression_Valg[[#This Row],[Afhængig variabel ID]]=1,2,1))),$B$7)</f>
        <v>Eksempel 2 (interval)</v>
      </c>
      <c r="H2266" s="171">
        <f>_xlfn.AGGREGATE(2,5,LineærRegression_Valg[[#This Row],[Tabel ID]])</f>
        <v>1</v>
      </c>
    </row>
    <row r="2267" spans="1:8" x14ac:dyDescent="0.2">
      <c r="A2267">
        <f>ROW(LineærRegression_Valg[[#This Row],[Tabel ID]])-ROW(LineærRegression_Valg[[#Headers],[Tabel ID]])</f>
        <v>2257</v>
      </c>
      <c r="B2267" s="171">
        <f>ROUNDDOWN((LineærRegression_Valg[[#This Row],[Tabel ID]]-1)/$B$5,0)+1</f>
        <v>565</v>
      </c>
      <c r="C2267" s="171">
        <f t="shared" si="35"/>
        <v>1</v>
      </c>
      <c r="D2267" s="171" t="b">
        <f>LineærRegression_Valg[[#This Row],[Afhængig variabel ID]]&lt;&gt;LineærRegression_Valg[[#This Row],[Uafhængig variabel ID]]</f>
        <v>1</v>
      </c>
      <c r="E2267" s="171" t="b">
        <f>LineærRegression_Valg[[#This Row],[Afhængig variabel ID]]&lt;=$B$5</f>
        <v>0</v>
      </c>
      <c r="F2267" t="str" cm="1">
        <f t="array" ref="F2267">IF(LineærRegression_Valg[[#This Row],[Indenfor range]],INDEX(DataTitel_liste,LineærRegression_Valg[[#This Row],[Afhængig variabel ID]]),INDEX(DataTitel_liste,1))</f>
        <v>Eksempel 1 (interval)</v>
      </c>
      <c r="G2267" s="171" t="str" cm="1">
        <f t="array" ref="G2267">IF(LineærRegression_Valg[[#This Row],[Indenfor range]],IF(LineærRegression_Valg[[#This Row],[Intet overlap]],INDEX(DataTitel_liste,LineærRegression_Valg[[#This Row],[Uafhængig variabel ID]]),INDEX(DataTitel_liste,IF(LineærRegression_Valg[[#This Row],[Afhængig variabel ID]]=1,2,1))),$B$7)</f>
        <v>Eksempel 2 (interval)</v>
      </c>
      <c r="H2267" s="171">
        <f>_xlfn.AGGREGATE(2,5,LineærRegression_Valg[[#This Row],[Tabel ID]])</f>
        <v>1</v>
      </c>
    </row>
    <row r="2268" spans="1:8" x14ac:dyDescent="0.2">
      <c r="A2268">
        <f>ROW(LineærRegression_Valg[[#This Row],[Tabel ID]])-ROW(LineærRegression_Valg[[#Headers],[Tabel ID]])</f>
        <v>2258</v>
      </c>
      <c r="B2268" s="171">
        <f>ROUNDDOWN((LineærRegression_Valg[[#This Row],[Tabel ID]]-1)/$B$5,0)+1</f>
        <v>565</v>
      </c>
      <c r="C2268" s="171">
        <f t="shared" si="35"/>
        <v>2</v>
      </c>
      <c r="D2268" s="171" t="b">
        <f>LineærRegression_Valg[[#This Row],[Afhængig variabel ID]]&lt;&gt;LineærRegression_Valg[[#This Row],[Uafhængig variabel ID]]</f>
        <v>1</v>
      </c>
      <c r="E2268" s="171" t="b">
        <f>LineærRegression_Valg[[#This Row],[Afhængig variabel ID]]&lt;=$B$5</f>
        <v>0</v>
      </c>
      <c r="F2268" t="str" cm="1">
        <f t="array" ref="F2268">IF(LineærRegression_Valg[[#This Row],[Indenfor range]],INDEX(DataTitel_liste,LineærRegression_Valg[[#This Row],[Afhængig variabel ID]]),INDEX(DataTitel_liste,1))</f>
        <v>Eksempel 1 (interval)</v>
      </c>
      <c r="G2268" s="171" t="str" cm="1">
        <f t="array" ref="G2268">IF(LineærRegression_Valg[[#This Row],[Indenfor range]],IF(LineærRegression_Valg[[#This Row],[Intet overlap]],INDEX(DataTitel_liste,LineærRegression_Valg[[#This Row],[Uafhængig variabel ID]]),INDEX(DataTitel_liste,IF(LineærRegression_Valg[[#This Row],[Afhængig variabel ID]]=1,2,1))),$B$7)</f>
        <v>Eksempel 2 (interval)</v>
      </c>
      <c r="H2268" s="171">
        <f>_xlfn.AGGREGATE(2,5,LineærRegression_Valg[[#This Row],[Tabel ID]])</f>
        <v>1</v>
      </c>
    </row>
    <row r="2269" spans="1:8" x14ac:dyDescent="0.2">
      <c r="A2269">
        <f>ROW(LineærRegression_Valg[[#This Row],[Tabel ID]])-ROW(LineærRegression_Valg[[#Headers],[Tabel ID]])</f>
        <v>2259</v>
      </c>
      <c r="B2269" s="171">
        <f>ROUNDDOWN((LineærRegression_Valg[[#This Row],[Tabel ID]]-1)/$B$5,0)+1</f>
        <v>565</v>
      </c>
      <c r="C2269" s="171">
        <f t="shared" si="35"/>
        <v>3</v>
      </c>
      <c r="D2269" s="171" t="b">
        <f>LineærRegression_Valg[[#This Row],[Afhængig variabel ID]]&lt;&gt;LineærRegression_Valg[[#This Row],[Uafhængig variabel ID]]</f>
        <v>1</v>
      </c>
      <c r="E2269" s="171" t="b">
        <f>LineærRegression_Valg[[#This Row],[Afhængig variabel ID]]&lt;=$B$5</f>
        <v>0</v>
      </c>
      <c r="F2269" t="str" cm="1">
        <f t="array" ref="F2269">IF(LineærRegression_Valg[[#This Row],[Indenfor range]],INDEX(DataTitel_liste,LineærRegression_Valg[[#This Row],[Afhængig variabel ID]]),INDEX(DataTitel_liste,1))</f>
        <v>Eksempel 1 (interval)</v>
      </c>
      <c r="G2269" s="171" t="str" cm="1">
        <f t="array" ref="G2269">IF(LineærRegression_Valg[[#This Row],[Indenfor range]],IF(LineærRegression_Valg[[#This Row],[Intet overlap]],INDEX(DataTitel_liste,LineærRegression_Valg[[#This Row],[Uafhængig variabel ID]]),INDEX(DataTitel_liste,IF(LineærRegression_Valg[[#This Row],[Afhængig variabel ID]]=1,2,1))),$B$7)</f>
        <v>Eksempel 2 (interval)</v>
      </c>
      <c r="H2269" s="171">
        <f>_xlfn.AGGREGATE(2,5,LineærRegression_Valg[[#This Row],[Tabel ID]])</f>
        <v>1</v>
      </c>
    </row>
    <row r="2270" spans="1:8" x14ac:dyDescent="0.2">
      <c r="A2270">
        <f>ROW(LineærRegression_Valg[[#This Row],[Tabel ID]])-ROW(LineærRegression_Valg[[#Headers],[Tabel ID]])</f>
        <v>2260</v>
      </c>
      <c r="B2270" s="171">
        <f>ROUNDDOWN((LineærRegression_Valg[[#This Row],[Tabel ID]]-1)/$B$5,0)+1</f>
        <v>565</v>
      </c>
      <c r="C2270" s="171">
        <f t="shared" si="35"/>
        <v>4</v>
      </c>
      <c r="D2270" s="171" t="b">
        <f>LineærRegression_Valg[[#This Row],[Afhængig variabel ID]]&lt;&gt;LineærRegression_Valg[[#This Row],[Uafhængig variabel ID]]</f>
        <v>1</v>
      </c>
      <c r="E2270" s="171" t="b">
        <f>LineærRegression_Valg[[#This Row],[Afhængig variabel ID]]&lt;=$B$5</f>
        <v>0</v>
      </c>
      <c r="F2270" t="str" cm="1">
        <f t="array" ref="F2270">IF(LineærRegression_Valg[[#This Row],[Indenfor range]],INDEX(DataTitel_liste,LineærRegression_Valg[[#This Row],[Afhængig variabel ID]]),INDEX(DataTitel_liste,1))</f>
        <v>Eksempel 1 (interval)</v>
      </c>
      <c r="G2270" s="171" t="str" cm="1">
        <f t="array" ref="G2270">IF(LineærRegression_Valg[[#This Row],[Indenfor range]],IF(LineærRegression_Valg[[#This Row],[Intet overlap]],INDEX(DataTitel_liste,LineærRegression_Valg[[#This Row],[Uafhængig variabel ID]]),INDEX(DataTitel_liste,IF(LineærRegression_Valg[[#This Row],[Afhængig variabel ID]]=1,2,1))),$B$7)</f>
        <v>Eksempel 2 (interval)</v>
      </c>
      <c r="H2270" s="171">
        <f>_xlfn.AGGREGATE(2,5,LineærRegression_Valg[[#This Row],[Tabel ID]])</f>
        <v>1</v>
      </c>
    </row>
    <row r="2271" spans="1:8" x14ac:dyDescent="0.2">
      <c r="A2271">
        <f>ROW(LineærRegression_Valg[[#This Row],[Tabel ID]])-ROW(LineærRegression_Valg[[#Headers],[Tabel ID]])</f>
        <v>2261</v>
      </c>
      <c r="B2271" s="171">
        <f>ROUNDDOWN((LineærRegression_Valg[[#This Row],[Tabel ID]]-1)/$B$5,0)+1</f>
        <v>566</v>
      </c>
      <c r="C2271" s="171">
        <f t="shared" si="35"/>
        <v>1</v>
      </c>
      <c r="D2271" s="171" t="b">
        <f>LineærRegression_Valg[[#This Row],[Afhængig variabel ID]]&lt;&gt;LineærRegression_Valg[[#This Row],[Uafhængig variabel ID]]</f>
        <v>1</v>
      </c>
      <c r="E2271" s="171" t="b">
        <f>LineærRegression_Valg[[#This Row],[Afhængig variabel ID]]&lt;=$B$5</f>
        <v>0</v>
      </c>
      <c r="F2271" t="str" cm="1">
        <f t="array" ref="F2271">IF(LineærRegression_Valg[[#This Row],[Indenfor range]],INDEX(DataTitel_liste,LineærRegression_Valg[[#This Row],[Afhængig variabel ID]]),INDEX(DataTitel_liste,1))</f>
        <v>Eksempel 1 (interval)</v>
      </c>
      <c r="G2271" s="171" t="str" cm="1">
        <f t="array" ref="G2271">IF(LineærRegression_Valg[[#This Row],[Indenfor range]],IF(LineærRegression_Valg[[#This Row],[Intet overlap]],INDEX(DataTitel_liste,LineærRegression_Valg[[#This Row],[Uafhængig variabel ID]]),INDEX(DataTitel_liste,IF(LineærRegression_Valg[[#This Row],[Afhængig variabel ID]]=1,2,1))),$B$7)</f>
        <v>Eksempel 2 (interval)</v>
      </c>
      <c r="H2271" s="171">
        <f>_xlfn.AGGREGATE(2,5,LineærRegression_Valg[[#This Row],[Tabel ID]])</f>
        <v>1</v>
      </c>
    </row>
    <row r="2272" spans="1:8" x14ac:dyDescent="0.2">
      <c r="A2272">
        <f>ROW(LineærRegression_Valg[[#This Row],[Tabel ID]])-ROW(LineærRegression_Valg[[#Headers],[Tabel ID]])</f>
        <v>2262</v>
      </c>
      <c r="B2272" s="171">
        <f>ROUNDDOWN((LineærRegression_Valg[[#This Row],[Tabel ID]]-1)/$B$5,0)+1</f>
        <v>566</v>
      </c>
      <c r="C2272" s="171">
        <f t="shared" si="35"/>
        <v>2</v>
      </c>
      <c r="D2272" s="171" t="b">
        <f>LineærRegression_Valg[[#This Row],[Afhængig variabel ID]]&lt;&gt;LineærRegression_Valg[[#This Row],[Uafhængig variabel ID]]</f>
        <v>1</v>
      </c>
      <c r="E2272" s="171" t="b">
        <f>LineærRegression_Valg[[#This Row],[Afhængig variabel ID]]&lt;=$B$5</f>
        <v>0</v>
      </c>
      <c r="F2272" t="str" cm="1">
        <f t="array" ref="F2272">IF(LineærRegression_Valg[[#This Row],[Indenfor range]],INDEX(DataTitel_liste,LineærRegression_Valg[[#This Row],[Afhængig variabel ID]]),INDEX(DataTitel_liste,1))</f>
        <v>Eksempel 1 (interval)</v>
      </c>
      <c r="G2272" s="171" t="str" cm="1">
        <f t="array" ref="G2272">IF(LineærRegression_Valg[[#This Row],[Indenfor range]],IF(LineærRegression_Valg[[#This Row],[Intet overlap]],INDEX(DataTitel_liste,LineærRegression_Valg[[#This Row],[Uafhængig variabel ID]]),INDEX(DataTitel_liste,IF(LineærRegression_Valg[[#This Row],[Afhængig variabel ID]]=1,2,1))),$B$7)</f>
        <v>Eksempel 2 (interval)</v>
      </c>
      <c r="H2272" s="171">
        <f>_xlfn.AGGREGATE(2,5,LineærRegression_Valg[[#This Row],[Tabel ID]])</f>
        <v>1</v>
      </c>
    </row>
    <row r="2273" spans="1:8" x14ac:dyDescent="0.2">
      <c r="A2273">
        <f>ROW(LineærRegression_Valg[[#This Row],[Tabel ID]])-ROW(LineærRegression_Valg[[#Headers],[Tabel ID]])</f>
        <v>2263</v>
      </c>
      <c r="B2273" s="171">
        <f>ROUNDDOWN((LineærRegression_Valg[[#This Row],[Tabel ID]]-1)/$B$5,0)+1</f>
        <v>566</v>
      </c>
      <c r="C2273" s="171">
        <f t="shared" si="35"/>
        <v>3</v>
      </c>
      <c r="D2273" s="171" t="b">
        <f>LineærRegression_Valg[[#This Row],[Afhængig variabel ID]]&lt;&gt;LineærRegression_Valg[[#This Row],[Uafhængig variabel ID]]</f>
        <v>1</v>
      </c>
      <c r="E2273" s="171" t="b">
        <f>LineærRegression_Valg[[#This Row],[Afhængig variabel ID]]&lt;=$B$5</f>
        <v>0</v>
      </c>
      <c r="F2273" t="str" cm="1">
        <f t="array" ref="F2273">IF(LineærRegression_Valg[[#This Row],[Indenfor range]],INDEX(DataTitel_liste,LineærRegression_Valg[[#This Row],[Afhængig variabel ID]]),INDEX(DataTitel_liste,1))</f>
        <v>Eksempel 1 (interval)</v>
      </c>
      <c r="G2273" s="171" t="str" cm="1">
        <f t="array" ref="G2273">IF(LineærRegression_Valg[[#This Row],[Indenfor range]],IF(LineærRegression_Valg[[#This Row],[Intet overlap]],INDEX(DataTitel_liste,LineærRegression_Valg[[#This Row],[Uafhængig variabel ID]]),INDEX(DataTitel_liste,IF(LineærRegression_Valg[[#This Row],[Afhængig variabel ID]]=1,2,1))),$B$7)</f>
        <v>Eksempel 2 (interval)</v>
      </c>
      <c r="H2273" s="171">
        <f>_xlfn.AGGREGATE(2,5,LineærRegression_Valg[[#This Row],[Tabel ID]])</f>
        <v>1</v>
      </c>
    </row>
    <row r="2274" spans="1:8" x14ac:dyDescent="0.2">
      <c r="A2274">
        <f>ROW(LineærRegression_Valg[[#This Row],[Tabel ID]])-ROW(LineærRegression_Valg[[#Headers],[Tabel ID]])</f>
        <v>2264</v>
      </c>
      <c r="B2274" s="171">
        <f>ROUNDDOWN((LineærRegression_Valg[[#This Row],[Tabel ID]]-1)/$B$5,0)+1</f>
        <v>566</v>
      </c>
      <c r="C2274" s="171">
        <f t="shared" si="35"/>
        <v>4</v>
      </c>
      <c r="D2274" s="171" t="b">
        <f>LineærRegression_Valg[[#This Row],[Afhængig variabel ID]]&lt;&gt;LineærRegression_Valg[[#This Row],[Uafhængig variabel ID]]</f>
        <v>1</v>
      </c>
      <c r="E2274" s="171" t="b">
        <f>LineærRegression_Valg[[#This Row],[Afhængig variabel ID]]&lt;=$B$5</f>
        <v>0</v>
      </c>
      <c r="F2274" t="str" cm="1">
        <f t="array" ref="F2274">IF(LineærRegression_Valg[[#This Row],[Indenfor range]],INDEX(DataTitel_liste,LineærRegression_Valg[[#This Row],[Afhængig variabel ID]]),INDEX(DataTitel_liste,1))</f>
        <v>Eksempel 1 (interval)</v>
      </c>
      <c r="G2274" s="171" t="str" cm="1">
        <f t="array" ref="G2274">IF(LineærRegression_Valg[[#This Row],[Indenfor range]],IF(LineærRegression_Valg[[#This Row],[Intet overlap]],INDEX(DataTitel_liste,LineærRegression_Valg[[#This Row],[Uafhængig variabel ID]]),INDEX(DataTitel_liste,IF(LineærRegression_Valg[[#This Row],[Afhængig variabel ID]]=1,2,1))),$B$7)</f>
        <v>Eksempel 2 (interval)</v>
      </c>
      <c r="H2274" s="171">
        <f>_xlfn.AGGREGATE(2,5,LineærRegression_Valg[[#This Row],[Tabel ID]])</f>
        <v>1</v>
      </c>
    </row>
    <row r="2275" spans="1:8" x14ac:dyDescent="0.2">
      <c r="A2275">
        <f>ROW(LineærRegression_Valg[[#This Row],[Tabel ID]])-ROW(LineærRegression_Valg[[#Headers],[Tabel ID]])</f>
        <v>2265</v>
      </c>
      <c r="B2275" s="171">
        <f>ROUNDDOWN((LineærRegression_Valg[[#This Row],[Tabel ID]]-1)/$B$5,0)+1</f>
        <v>567</v>
      </c>
      <c r="C2275" s="171">
        <f t="shared" si="35"/>
        <v>1</v>
      </c>
      <c r="D2275" s="171" t="b">
        <f>LineærRegression_Valg[[#This Row],[Afhængig variabel ID]]&lt;&gt;LineærRegression_Valg[[#This Row],[Uafhængig variabel ID]]</f>
        <v>1</v>
      </c>
      <c r="E2275" s="171" t="b">
        <f>LineærRegression_Valg[[#This Row],[Afhængig variabel ID]]&lt;=$B$5</f>
        <v>0</v>
      </c>
      <c r="F2275" t="str" cm="1">
        <f t="array" ref="F2275">IF(LineærRegression_Valg[[#This Row],[Indenfor range]],INDEX(DataTitel_liste,LineærRegression_Valg[[#This Row],[Afhængig variabel ID]]),INDEX(DataTitel_liste,1))</f>
        <v>Eksempel 1 (interval)</v>
      </c>
      <c r="G2275" s="171" t="str" cm="1">
        <f t="array" ref="G2275">IF(LineærRegression_Valg[[#This Row],[Indenfor range]],IF(LineærRegression_Valg[[#This Row],[Intet overlap]],INDEX(DataTitel_liste,LineærRegression_Valg[[#This Row],[Uafhængig variabel ID]]),INDEX(DataTitel_liste,IF(LineærRegression_Valg[[#This Row],[Afhængig variabel ID]]=1,2,1))),$B$7)</f>
        <v>Eksempel 2 (interval)</v>
      </c>
      <c r="H2275" s="171">
        <f>_xlfn.AGGREGATE(2,5,LineærRegression_Valg[[#This Row],[Tabel ID]])</f>
        <v>1</v>
      </c>
    </row>
    <row r="2276" spans="1:8" x14ac:dyDescent="0.2">
      <c r="A2276">
        <f>ROW(LineærRegression_Valg[[#This Row],[Tabel ID]])-ROW(LineærRegression_Valg[[#Headers],[Tabel ID]])</f>
        <v>2266</v>
      </c>
      <c r="B2276" s="171">
        <f>ROUNDDOWN((LineærRegression_Valg[[#This Row],[Tabel ID]]-1)/$B$5,0)+1</f>
        <v>567</v>
      </c>
      <c r="C2276" s="171">
        <f t="shared" si="35"/>
        <v>2</v>
      </c>
      <c r="D2276" s="171" t="b">
        <f>LineærRegression_Valg[[#This Row],[Afhængig variabel ID]]&lt;&gt;LineærRegression_Valg[[#This Row],[Uafhængig variabel ID]]</f>
        <v>1</v>
      </c>
      <c r="E2276" s="171" t="b">
        <f>LineærRegression_Valg[[#This Row],[Afhængig variabel ID]]&lt;=$B$5</f>
        <v>0</v>
      </c>
      <c r="F2276" t="str" cm="1">
        <f t="array" ref="F2276">IF(LineærRegression_Valg[[#This Row],[Indenfor range]],INDEX(DataTitel_liste,LineærRegression_Valg[[#This Row],[Afhængig variabel ID]]),INDEX(DataTitel_liste,1))</f>
        <v>Eksempel 1 (interval)</v>
      </c>
      <c r="G2276" s="171" t="str" cm="1">
        <f t="array" ref="G2276">IF(LineærRegression_Valg[[#This Row],[Indenfor range]],IF(LineærRegression_Valg[[#This Row],[Intet overlap]],INDEX(DataTitel_liste,LineærRegression_Valg[[#This Row],[Uafhængig variabel ID]]),INDEX(DataTitel_liste,IF(LineærRegression_Valg[[#This Row],[Afhængig variabel ID]]=1,2,1))),$B$7)</f>
        <v>Eksempel 2 (interval)</v>
      </c>
      <c r="H2276" s="171">
        <f>_xlfn.AGGREGATE(2,5,LineærRegression_Valg[[#This Row],[Tabel ID]])</f>
        <v>1</v>
      </c>
    </row>
    <row r="2277" spans="1:8" x14ac:dyDescent="0.2">
      <c r="A2277">
        <f>ROW(LineærRegression_Valg[[#This Row],[Tabel ID]])-ROW(LineærRegression_Valg[[#Headers],[Tabel ID]])</f>
        <v>2267</v>
      </c>
      <c r="B2277" s="171">
        <f>ROUNDDOWN((LineærRegression_Valg[[#This Row],[Tabel ID]]-1)/$B$5,0)+1</f>
        <v>567</v>
      </c>
      <c r="C2277" s="171">
        <f t="shared" si="35"/>
        <v>3</v>
      </c>
      <c r="D2277" s="171" t="b">
        <f>LineærRegression_Valg[[#This Row],[Afhængig variabel ID]]&lt;&gt;LineærRegression_Valg[[#This Row],[Uafhængig variabel ID]]</f>
        <v>1</v>
      </c>
      <c r="E2277" s="171" t="b">
        <f>LineærRegression_Valg[[#This Row],[Afhængig variabel ID]]&lt;=$B$5</f>
        <v>0</v>
      </c>
      <c r="F2277" t="str" cm="1">
        <f t="array" ref="F2277">IF(LineærRegression_Valg[[#This Row],[Indenfor range]],INDEX(DataTitel_liste,LineærRegression_Valg[[#This Row],[Afhængig variabel ID]]),INDEX(DataTitel_liste,1))</f>
        <v>Eksempel 1 (interval)</v>
      </c>
      <c r="G2277" s="171" t="str" cm="1">
        <f t="array" ref="G2277">IF(LineærRegression_Valg[[#This Row],[Indenfor range]],IF(LineærRegression_Valg[[#This Row],[Intet overlap]],INDEX(DataTitel_liste,LineærRegression_Valg[[#This Row],[Uafhængig variabel ID]]),INDEX(DataTitel_liste,IF(LineærRegression_Valg[[#This Row],[Afhængig variabel ID]]=1,2,1))),$B$7)</f>
        <v>Eksempel 2 (interval)</v>
      </c>
      <c r="H2277" s="171">
        <f>_xlfn.AGGREGATE(2,5,LineærRegression_Valg[[#This Row],[Tabel ID]])</f>
        <v>1</v>
      </c>
    </row>
    <row r="2278" spans="1:8" x14ac:dyDescent="0.2">
      <c r="A2278">
        <f>ROW(LineærRegression_Valg[[#This Row],[Tabel ID]])-ROW(LineærRegression_Valg[[#Headers],[Tabel ID]])</f>
        <v>2268</v>
      </c>
      <c r="B2278" s="171">
        <f>ROUNDDOWN((LineærRegression_Valg[[#This Row],[Tabel ID]]-1)/$B$5,0)+1</f>
        <v>567</v>
      </c>
      <c r="C2278" s="171">
        <f t="shared" si="35"/>
        <v>4</v>
      </c>
      <c r="D2278" s="171" t="b">
        <f>LineærRegression_Valg[[#This Row],[Afhængig variabel ID]]&lt;&gt;LineærRegression_Valg[[#This Row],[Uafhængig variabel ID]]</f>
        <v>1</v>
      </c>
      <c r="E2278" s="171" t="b">
        <f>LineærRegression_Valg[[#This Row],[Afhængig variabel ID]]&lt;=$B$5</f>
        <v>0</v>
      </c>
      <c r="F2278" t="str" cm="1">
        <f t="array" ref="F2278">IF(LineærRegression_Valg[[#This Row],[Indenfor range]],INDEX(DataTitel_liste,LineærRegression_Valg[[#This Row],[Afhængig variabel ID]]),INDEX(DataTitel_liste,1))</f>
        <v>Eksempel 1 (interval)</v>
      </c>
      <c r="G2278" s="171" t="str" cm="1">
        <f t="array" ref="G2278">IF(LineærRegression_Valg[[#This Row],[Indenfor range]],IF(LineærRegression_Valg[[#This Row],[Intet overlap]],INDEX(DataTitel_liste,LineærRegression_Valg[[#This Row],[Uafhængig variabel ID]]),INDEX(DataTitel_liste,IF(LineærRegression_Valg[[#This Row],[Afhængig variabel ID]]=1,2,1))),$B$7)</f>
        <v>Eksempel 2 (interval)</v>
      </c>
      <c r="H2278" s="171">
        <f>_xlfn.AGGREGATE(2,5,LineærRegression_Valg[[#This Row],[Tabel ID]])</f>
        <v>1</v>
      </c>
    </row>
    <row r="2279" spans="1:8" x14ac:dyDescent="0.2">
      <c r="A2279">
        <f>ROW(LineærRegression_Valg[[#This Row],[Tabel ID]])-ROW(LineærRegression_Valg[[#Headers],[Tabel ID]])</f>
        <v>2269</v>
      </c>
      <c r="B2279" s="171">
        <f>ROUNDDOWN((LineærRegression_Valg[[#This Row],[Tabel ID]]-1)/$B$5,0)+1</f>
        <v>568</v>
      </c>
      <c r="C2279" s="171">
        <f t="shared" si="35"/>
        <v>1</v>
      </c>
      <c r="D2279" s="171" t="b">
        <f>LineærRegression_Valg[[#This Row],[Afhængig variabel ID]]&lt;&gt;LineærRegression_Valg[[#This Row],[Uafhængig variabel ID]]</f>
        <v>1</v>
      </c>
      <c r="E2279" s="171" t="b">
        <f>LineærRegression_Valg[[#This Row],[Afhængig variabel ID]]&lt;=$B$5</f>
        <v>0</v>
      </c>
      <c r="F2279" t="str" cm="1">
        <f t="array" ref="F2279">IF(LineærRegression_Valg[[#This Row],[Indenfor range]],INDEX(DataTitel_liste,LineærRegression_Valg[[#This Row],[Afhængig variabel ID]]),INDEX(DataTitel_liste,1))</f>
        <v>Eksempel 1 (interval)</v>
      </c>
      <c r="G2279" s="171" t="str" cm="1">
        <f t="array" ref="G2279">IF(LineærRegression_Valg[[#This Row],[Indenfor range]],IF(LineærRegression_Valg[[#This Row],[Intet overlap]],INDEX(DataTitel_liste,LineærRegression_Valg[[#This Row],[Uafhængig variabel ID]]),INDEX(DataTitel_liste,IF(LineærRegression_Valg[[#This Row],[Afhængig variabel ID]]=1,2,1))),$B$7)</f>
        <v>Eksempel 2 (interval)</v>
      </c>
      <c r="H2279" s="171">
        <f>_xlfn.AGGREGATE(2,5,LineærRegression_Valg[[#This Row],[Tabel ID]])</f>
        <v>1</v>
      </c>
    </row>
    <row r="2280" spans="1:8" x14ac:dyDescent="0.2">
      <c r="A2280">
        <f>ROW(LineærRegression_Valg[[#This Row],[Tabel ID]])-ROW(LineærRegression_Valg[[#Headers],[Tabel ID]])</f>
        <v>2270</v>
      </c>
      <c r="B2280" s="171">
        <f>ROUNDDOWN((LineærRegression_Valg[[#This Row],[Tabel ID]]-1)/$B$5,0)+1</f>
        <v>568</v>
      </c>
      <c r="C2280" s="171">
        <f t="shared" si="35"/>
        <v>2</v>
      </c>
      <c r="D2280" s="171" t="b">
        <f>LineærRegression_Valg[[#This Row],[Afhængig variabel ID]]&lt;&gt;LineærRegression_Valg[[#This Row],[Uafhængig variabel ID]]</f>
        <v>1</v>
      </c>
      <c r="E2280" s="171" t="b">
        <f>LineærRegression_Valg[[#This Row],[Afhængig variabel ID]]&lt;=$B$5</f>
        <v>0</v>
      </c>
      <c r="F2280" t="str" cm="1">
        <f t="array" ref="F2280">IF(LineærRegression_Valg[[#This Row],[Indenfor range]],INDEX(DataTitel_liste,LineærRegression_Valg[[#This Row],[Afhængig variabel ID]]),INDEX(DataTitel_liste,1))</f>
        <v>Eksempel 1 (interval)</v>
      </c>
      <c r="G2280" s="171" t="str" cm="1">
        <f t="array" ref="G2280">IF(LineærRegression_Valg[[#This Row],[Indenfor range]],IF(LineærRegression_Valg[[#This Row],[Intet overlap]],INDEX(DataTitel_liste,LineærRegression_Valg[[#This Row],[Uafhængig variabel ID]]),INDEX(DataTitel_liste,IF(LineærRegression_Valg[[#This Row],[Afhængig variabel ID]]=1,2,1))),$B$7)</f>
        <v>Eksempel 2 (interval)</v>
      </c>
      <c r="H2280" s="171">
        <f>_xlfn.AGGREGATE(2,5,LineærRegression_Valg[[#This Row],[Tabel ID]])</f>
        <v>1</v>
      </c>
    </row>
    <row r="2281" spans="1:8" x14ac:dyDescent="0.2">
      <c r="A2281">
        <f>ROW(LineærRegression_Valg[[#This Row],[Tabel ID]])-ROW(LineærRegression_Valg[[#Headers],[Tabel ID]])</f>
        <v>2271</v>
      </c>
      <c r="B2281" s="171">
        <f>ROUNDDOWN((LineærRegression_Valg[[#This Row],[Tabel ID]]-1)/$B$5,0)+1</f>
        <v>568</v>
      </c>
      <c r="C2281" s="171">
        <f t="shared" si="35"/>
        <v>3</v>
      </c>
      <c r="D2281" s="171" t="b">
        <f>LineærRegression_Valg[[#This Row],[Afhængig variabel ID]]&lt;&gt;LineærRegression_Valg[[#This Row],[Uafhængig variabel ID]]</f>
        <v>1</v>
      </c>
      <c r="E2281" s="171" t="b">
        <f>LineærRegression_Valg[[#This Row],[Afhængig variabel ID]]&lt;=$B$5</f>
        <v>0</v>
      </c>
      <c r="F2281" t="str" cm="1">
        <f t="array" ref="F2281">IF(LineærRegression_Valg[[#This Row],[Indenfor range]],INDEX(DataTitel_liste,LineærRegression_Valg[[#This Row],[Afhængig variabel ID]]),INDEX(DataTitel_liste,1))</f>
        <v>Eksempel 1 (interval)</v>
      </c>
      <c r="G2281" s="171" t="str" cm="1">
        <f t="array" ref="G2281">IF(LineærRegression_Valg[[#This Row],[Indenfor range]],IF(LineærRegression_Valg[[#This Row],[Intet overlap]],INDEX(DataTitel_liste,LineærRegression_Valg[[#This Row],[Uafhængig variabel ID]]),INDEX(DataTitel_liste,IF(LineærRegression_Valg[[#This Row],[Afhængig variabel ID]]=1,2,1))),$B$7)</f>
        <v>Eksempel 2 (interval)</v>
      </c>
      <c r="H2281" s="171">
        <f>_xlfn.AGGREGATE(2,5,LineærRegression_Valg[[#This Row],[Tabel ID]])</f>
        <v>1</v>
      </c>
    </row>
    <row r="2282" spans="1:8" x14ac:dyDescent="0.2">
      <c r="A2282">
        <f>ROW(LineærRegression_Valg[[#This Row],[Tabel ID]])-ROW(LineærRegression_Valg[[#Headers],[Tabel ID]])</f>
        <v>2272</v>
      </c>
      <c r="B2282" s="171">
        <f>ROUNDDOWN((LineærRegression_Valg[[#This Row],[Tabel ID]]-1)/$B$5,0)+1</f>
        <v>568</v>
      </c>
      <c r="C2282" s="171">
        <f t="shared" si="35"/>
        <v>4</v>
      </c>
      <c r="D2282" s="171" t="b">
        <f>LineærRegression_Valg[[#This Row],[Afhængig variabel ID]]&lt;&gt;LineærRegression_Valg[[#This Row],[Uafhængig variabel ID]]</f>
        <v>1</v>
      </c>
      <c r="E2282" s="171" t="b">
        <f>LineærRegression_Valg[[#This Row],[Afhængig variabel ID]]&lt;=$B$5</f>
        <v>0</v>
      </c>
      <c r="F2282" t="str" cm="1">
        <f t="array" ref="F2282">IF(LineærRegression_Valg[[#This Row],[Indenfor range]],INDEX(DataTitel_liste,LineærRegression_Valg[[#This Row],[Afhængig variabel ID]]),INDEX(DataTitel_liste,1))</f>
        <v>Eksempel 1 (interval)</v>
      </c>
      <c r="G2282" s="171" t="str" cm="1">
        <f t="array" ref="G2282">IF(LineærRegression_Valg[[#This Row],[Indenfor range]],IF(LineærRegression_Valg[[#This Row],[Intet overlap]],INDEX(DataTitel_liste,LineærRegression_Valg[[#This Row],[Uafhængig variabel ID]]),INDEX(DataTitel_liste,IF(LineærRegression_Valg[[#This Row],[Afhængig variabel ID]]=1,2,1))),$B$7)</f>
        <v>Eksempel 2 (interval)</v>
      </c>
      <c r="H2282" s="171">
        <f>_xlfn.AGGREGATE(2,5,LineærRegression_Valg[[#This Row],[Tabel ID]])</f>
        <v>1</v>
      </c>
    </row>
    <row r="2283" spans="1:8" x14ac:dyDescent="0.2">
      <c r="A2283">
        <f>ROW(LineærRegression_Valg[[#This Row],[Tabel ID]])-ROW(LineærRegression_Valg[[#Headers],[Tabel ID]])</f>
        <v>2273</v>
      </c>
      <c r="B2283" s="171">
        <f>ROUNDDOWN((LineærRegression_Valg[[#This Row],[Tabel ID]]-1)/$B$5,0)+1</f>
        <v>569</v>
      </c>
      <c r="C2283" s="171">
        <f t="shared" si="35"/>
        <v>1</v>
      </c>
      <c r="D2283" s="171" t="b">
        <f>LineærRegression_Valg[[#This Row],[Afhængig variabel ID]]&lt;&gt;LineærRegression_Valg[[#This Row],[Uafhængig variabel ID]]</f>
        <v>1</v>
      </c>
      <c r="E2283" s="171" t="b">
        <f>LineærRegression_Valg[[#This Row],[Afhængig variabel ID]]&lt;=$B$5</f>
        <v>0</v>
      </c>
      <c r="F2283" t="str" cm="1">
        <f t="array" ref="F2283">IF(LineærRegression_Valg[[#This Row],[Indenfor range]],INDEX(DataTitel_liste,LineærRegression_Valg[[#This Row],[Afhængig variabel ID]]),INDEX(DataTitel_liste,1))</f>
        <v>Eksempel 1 (interval)</v>
      </c>
      <c r="G2283" s="171" t="str" cm="1">
        <f t="array" ref="G2283">IF(LineærRegression_Valg[[#This Row],[Indenfor range]],IF(LineærRegression_Valg[[#This Row],[Intet overlap]],INDEX(DataTitel_liste,LineærRegression_Valg[[#This Row],[Uafhængig variabel ID]]),INDEX(DataTitel_liste,IF(LineærRegression_Valg[[#This Row],[Afhængig variabel ID]]=1,2,1))),$B$7)</f>
        <v>Eksempel 2 (interval)</v>
      </c>
      <c r="H2283" s="171">
        <f>_xlfn.AGGREGATE(2,5,LineærRegression_Valg[[#This Row],[Tabel ID]])</f>
        <v>1</v>
      </c>
    </row>
    <row r="2284" spans="1:8" x14ac:dyDescent="0.2">
      <c r="A2284">
        <f>ROW(LineærRegression_Valg[[#This Row],[Tabel ID]])-ROW(LineærRegression_Valg[[#Headers],[Tabel ID]])</f>
        <v>2274</v>
      </c>
      <c r="B2284" s="171">
        <f>ROUNDDOWN((LineærRegression_Valg[[#This Row],[Tabel ID]]-1)/$B$5,0)+1</f>
        <v>569</v>
      </c>
      <c r="C2284" s="171">
        <f t="shared" si="35"/>
        <v>2</v>
      </c>
      <c r="D2284" s="171" t="b">
        <f>LineærRegression_Valg[[#This Row],[Afhængig variabel ID]]&lt;&gt;LineærRegression_Valg[[#This Row],[Uafhængig variabel ID]]</f>
        <v>1</v>
      </c>
      <c r="E2284" s="171" t="b">
        <f>LineærRegression_Valg[[#This Row],[Afhængig variabel ID]]&lt;=$B$5</f>
        <v>0</v>
      </c>
      <c r="F2284" t="str" cm="1">
        <f t="array" ref="F2284">IF(LineærRegression_Valg[[#This Row],[Indenfor range]],INDEX(DataTitel_liste,LineærRegression_Valg[[#This Row],[Afhængig variabel ID]]),INDEX(DataTitel_liste,1))</f>
        <v>Eksempel 1 (interval)</v>
      </c>
      <c r="G2284" s="171" t="str" cm="1">
        <f t="array" ref="G2284">IF(LineærRegression_Valg[[#This Row],[Indenfor range]],IF(LineærRegression_Valg[[#This Row],[Intet overlap]],INDEX(DataTitel_liste,LineærRegression_Valg[[#This Row],[Uafhængig variabel ID]]),INDEX(DataTitel_liste,IF(LineærRegression_Valg[[#This Row],[Afhængig variabel ID]]=1,2,1))),$B$7)</f>
        <v>Eksempel 2 (interval)</v>
      </c>
      <c r="H2284" s="171">
        <f>_xlfn.AGGREGATE(2,5,LineærRegression_Valg[[#This Row],[Tabel ID]])</f>
        <v>1</v>
      </c>
    </row>
    <row r="2285" spans="1:8" x14ac:dyDescent="0.2">
      <c r="A2285">
        <f>ROW(LineærRegression_Valg[[#This Row],[Tabel ID]])-ROW(LineærRegression_Valg[[#Headers],[Tabel ID]])</f>
        <v>2275</v>
      </c>
      <c r="B2285" s="171">
        <f>ROUNDDOWN((LineærRegression_Valg[[#This Row],[Tabel ID]]-1)/$B$5,0)+1</f>
        <v>569</v>
      </c>
      <c r="C2285" s="171">
        <f t="shared" si="35"/>
        <v>3</v>
      </c>
      <c r="D2285" s="171" t="b">
        <f>LineærRegression_Valg[[#This Row],[Afhængig variabel ID]]&lt;&gt;LineærRegression_Valg[[#This Row],[Uafhængig variabel ID]]</f>
        <v>1</v>
      </c>
      <c r="E2285" s="171" t="b">
        <f>LineærRegression_Valg[[#This Row],[Afhængig variabel ID]]&lt;=$B$5</f>
        <v>0</v>
      </c>
      <c r="F2285" t="str" cm="1">
        <f t="array" ref="F2285">IF(LineærRegression_Valg[[#This Row],[Indenfor range]],INDEX(DataTitel_liste,LineærRegression_Valg[[#This Row],[Afhængig variabel ID]]),INDEX(DataTitel_liste,1))</f>
        <v>Eksempel 1 (interval)</v>
      </c>
      <c r="G2285" s="171" t="str" cm="1">
        <f t="array" ref="G2285">IF(LineærRegression_Valg[[#This Row],[Indenfor range]],IF(LineærRegression_Valg[[#This Row],[Intet overlap]],INDEX(DataTitel_liste,LineærRegression_Valg[[#This Row],[Uafhængig variabel ID]]),INDEX(DataTitel_liste,IF(LineærRegression_Valg[[#This Row],[Afhængig variabel ID]]=1,2,1))),$B$7)</f>
        <v>Eksempel 2 (interval)</v>
      </c>
      <c r="H2285" s="171">
        <f>_xlfn.AGGREGATE(2,5,LineærRegression_Valg[[#This Row],[Tabel ID]])</f>
        <v>1</v>
      </c>
    </row>
    <row r="2286" spans="1:8" x14ac:dyDescent="0.2">
      <c r="A2286">
        <f>ROW(LineærRegression_Valg[[#This Row],[Tabel ID]])-ROW(LineærRegression_Valg[[#Headers],[Tabel ID]])</f>
        <v>2276</v>
      </c>
      <c r="B2286" s="171">
        <f>ROUNDDOWN((LineærRegression_Valg[[#This Row],[Tabel ID]]-1)/$B$5,0)+1</f>
        <v>569</v>
      </c>
      <c r="C2286" s="171">
        <f t="shared" si="35"/>
        <v>4</v>
      </c>
      <c r="D2286" s="171" t="b">
        <f>LineærRegression_Valg[[#This Row],[Afhængig variabel ID]]&lt;&gt;LineærRegression_Valg[[#This Row],[Uafhængig variabel ID]]</f>
        <v>1</v>
      </c>
      <c r="E2286" s="171" t="b">
        <f>LineærRegression_Valg[[#This Row],[Afhængig variabel ID]]&lt;=$B$5</f>
        <v>0</v>
      </c>
      <c r="F2286" t="str" cm="1">
        <f t="array" ref="F2286">IF(LineærRegression_Valg[[#This Row],[Indenfor range]],INDEX(DataTitel_liste,LineærRegression_Valg[[#This Row],[Afhængig variabel ID]]),INDEX(DataTitel_liste,1))</f>
        <v>Eksempel 1 (interval)</v>
      </c>
      <c r="G2286" s="171" t="str" cm="1">
        <f t="array" ref="G2286">IF(LineærRegression_Valg[[#This Row],[Indenfor range]],IF(LineærRegression_Valg[[#This Row],[Intet overlap]],INDEX(DataTitel_liste,LineærRegression_Valg[[#This Row],[Uafhængig variabel ID]]),INDEX(DataTitel_liste,IF(LineærRegression_Valg[[#This Row],[Afhængig variabel ID]]=1,2,1))),$B$7)</f>
        <v>Eksempel 2 (interval)</v>
      </c>
      <c r="H2286" s="171">
        <f>_xlfn.AGGREGATE(2,5,LineærRegression_Valg[[#This Row],[Tabel ID]])</f>
        <v>1</v>
      </c>
    </row>
    <row r="2287" spans="1:8" x14ac:dyDescent="0.2">
      <c r="A2287">
        <f>ROW(LineærRegression_Valg[[#This Row],[Tabel ID]])-ROW(LineærRegression_Valg[[#Headers],[Tabel ID]])</f>
        <v>2277</v>
      </c>
      <c r="B2287" s="171">
        <f>ROUNDDOWN((LineærRegression_Valg[[#This Row],[Tabel ID]]-1)/$B$5,0)+1</f>
        <v>570</v>
      </c>
      <c r="C2287" s="171">
        <f t="shared" si="35"/>
        <v>1</v>
      </c>
      <c r="D2287" s="171" t="b">
        <f>LineærRegression_Valg[[#This Row],[Afhængig variabel ID]]&lt;&gt;LineærRegression_Valg[[#This Row],[Uafhængig variabel ID]]</f>
        <v>1</v>
      </c>
      <c r="E2287" s="171" t="b">
        <f>LineærRegression_Valg[[#This Row],[Afhængig variabel ID]]&lt;=$B$5</f>
        <v>0</v>
      </c>
      <c r="F2287" t="str" cm="1">
        <f t="array" ref="F2287">IF(LineærRegression_Valg[[#This Row],[Indenfor range]],INDEX(DataTitel_liste,LineærRegression_Valg[[#This Row],[Afhængig variabel ID]]),INDEX(DataTitel_liste,1))</f>
        <v>Eksempel 1 (interval)</v>
      </c>
      <c r="G2287" s="171" t="str" cm="1">
        <f t="array" ref="G2287">IF(LineærRegression_Valg[[#This Row],[Indenfor range]],IF(LineærRegression_Valg[[#This Row],[Intet overlap]],INDEX(DataTitel_liste,LineærRegression_Valg[[#This Row],[Uafhængig variabel ID]]),INDEX(DataTitel_liste,IF(LineærRegression_Valg[[#This Row],[Afhængig variabel ID]]=1,2,1))),$B$7)</f>
        <v>Eksempel 2 (interval)</v>
      </c>
      <c r="H2287" s="171">
        <f>_xlfn.AGGREGATE(2,5,LineærRegression_Valg[[#This Row],[Tabel ID]])</f>
        <v>1</v>
      </c>
    </row>
    <row r="2288" spans="1:8" x14ac:dyDescent="0.2">
      <c r="A2288">
        <f>ROW(LineærRegression_Valg[[#This Row],[Tabel ID]])-ROW(LineærRegression_Valg[[#Headers],[Tabel ID]])</f>
        <v>2278</v>
      </c>
      <c r="B2288" s="171">
        <f>ROUNDDOWN((LineærRegression_Valg[[#This Row],[Tabel ID]]-1)/$B$5,0)+1</f>
        <v>570</v>
      </c>
      <c r="C2288" s="171">
        <f t="shared" si="35"/>
        <v>2</v>
      </c>
      <c r="D2288" s="171" t="b">
        <f>LineærRegression_Valg[[#This Row],[Afhængig variabel ID]]&lt;&gt;LineærRegression_Valg[[#This Row],[Uafhængig variabel ID]]</f>
        <v>1</v>
      </c>
      <c r="E2288" s="171" t="b">
        <f>LineærRegression_Valg[[#This Row],[Afhængig variabel ID]]&lt;=$B$5</f>
        <v>0</v>
      </c>
      <c r="F2288" t="str" cm="1">
        <f t="array" ref="F2288">IF(LineærRegression_Valg[[#This Row],[Indenfor range]],INDEX(DataTitel_liste,LineærRegression_Valg[[#This Row],[Afhængig variabel ID]]),INDEX(DataTitel_liste,1))</f>
        <v>Eksempel 1 (interval)</v>
      </c>
      <c r="G2288" s="171" t="str" cm="1">
        <f t="array" ref="G2288">IF(LineærRegression_Valg[[#This Row],[Indenfor range]],IF(LineærRegression_Valg[[#This Row],[Intet overlap]],INDEX(DataTitel_liste,LineærRegression_Valg[[#This Row],[Uafhængig variabel ID]]),INDEX(DataTitel_liste,IF(LineærRegression_Valg[[#This Row],[Afhængig variabel ID]]=1,2,1))),$B$7)</f>
        <v>Eksempel 2 (interval)</v>
      </c>
      <c r="H2288" s="171">
        <f>_xlfn.AGGREGATE(2,5,LineærRegression_Valg[[#This Row],[Tabel ID]])</f>
        <v>1</v>
      </c>
    </row>
    <row r="2289" spans="1:8" x14ac:dyDescent="0.2">
      <c r="A2289">
        <f>ROW(LineærRegression_Valg[[#This Row],[Tabel ID]])-ROW(LineærRegression_Valg[[#Headers],[Tabel ID]])</f>
        <v>2279</v>
      </c>
      <c r="B2289" s="171">
        <f>ROUNDDOWN((LineærRegression_Valg[[#This Row],[Tabel ID]]-1)/$B$5,0)+1</f>
        <v>570</v>
      </c>
      <c r="C2289" s="171">
        <f t="shared" si="35"/>
        <v>3</v>
      </c>
      <c r="D2289" s="171" t="b">
        <f>LineærRegression_Valg[[#This Row],[Afhængig variabel ID]]&lt;&gt;LineærRegression_Valg[[#This Row],[Uafhængig variabel ID]]</f>
        <v>1</v>
      </c>
      <c r="E2289" s="171" t="b">
        <f>LineærRegression_Valg[[#This Row],[Afhængig variabel ID]]&lt;=$B$5</f>
        <v>0</v>
      </c>
      <c r="F2289" t="str" cm="1">
        <f t="array" ref="F2289">IF(LineærRegression_Valg[[#This Row],[Indenfor range]],INDEX(DataTitel_liste,LineærRegression_Valg[[#This Row],[Afhængig variabel ID]]),INDEX(DataTitel_liste,1))</f>
        <v>Eksempel 1 (interval)</v>
      </c>
      <c r="G2289" s="171" t="str" cm="1">
        <f t="array" ref="G2289">IF(LineærRegression_Valg[[#This Row],[Indenfor range]],IF(LineærRegression_Valg[[#This Row],[Intet overlap]],INDEX(DataTitel_liste,LineærRegression_Valg[[#This Row],[Uafhængig variabel ID]]),INDEX(DataTitel_liste,IF(LineærRegression_Valg[[#This Row],[Afhængig variabel ID]]=1,2,1))),$B$7)</f>
        <v>Eksempel 2 (interval)</v>
      </c>
      <c r="H2289" s="171">
        <f>_xlfn.AGGREGATE(2,5,LineærRegression_Valg[[#This Row],[Tabel ID]])</f>
        <v>1</v>
      </c>
    </row>
    <row r="2290" spans="1:8" x14ac:dyDescent="0.2">
      <c r="A2290">
        <f>ROW(LineærRegression_Valg[[#This Row],[Tabel ID]])-ROW(LineærRegression_Valg[[#Headers],[Tabel ID]])</f>
        <v>2280</v>
      </c>
      <c r="B2290" s="171">
        <f>ROUNDDOWN((LineærRegression_Valg[[#This Row],[Tabel ID]]-1)/$B$5,0)+1</f>
        <v>570</v>
      </c>
      <c r="C2290" s="171">
        <f t="shared" si="35"/>
        <v>4</v>
      </c>
      <c r="D2290" s="171" t="b">
        <f>LineærRegression_Valg[[#This Row],[Afhængig variabel ID]]&lt;&gt;LineærRegression_Valg[[#This Row],[Uafhængig variabel ID]]</f>
        <v>1</v>
      </c>
      <c r="E2290" s="171" t="b">
        <f>LineærRegression_Valg[[#This Row],[Afhængig variabel ID]]&lt;=$B$5</f>
        <v>0</v>
      </c>
      <c r="F2290" t="str" cm="1">
        <f t="array" ref="F2290">IF(LineærRegression_Valg[[#This Row],[Indenfor range]],INDEX(DataTitel_liste,LineærRegression_Valg[[#This Row],[Afhængig variabel ID]]),INDEX(DataTitel_liste,1))</f>
        <v>Eksempel 1 (interval)</v>
      </c>
      <c r="G2290" s="171" t="str" cm="1">
        <f t="array" ref="G2290">IF(LineærRegression_Valg[[#This Row],[Indenfor range]],IF(LineærRegression_Valg[[#This Row],[Intet overlap]],INDEX(DataTitel_liste,LineærRegression_Valg[[#This Row],[Uafhængig variabel ID]]),INDEX(DataTitel_liste,IF(LineærRegression_Valg[[#This Row],[Afhængig variabel ID]]=1,2,1))),$B$7)</f>
        <v>Eksempel 2 (interval)</v>
      </c>
      <c r="H2290" s="171">
        <f>_xlfn.AGGREGATE(2,5,LineærRegression_Valg[[#This Row],[Tabel ID]])</f>
        <v>1</v>
      </c>
    </row>
    <row r="2291" spans="1:8" x14ac:dyDescent="0.2">
      <c r="A2291">
        <f>ROW(LineærRegression_Valg[[#This Row],[Tabel ID]])-ROW(LineærRegression_Valg[[#Headers],[Tabel ID]])</f>
        <v>2281</v>
      </c>
      <c r="B2291" s="171">
        <f>ROUNDDOWN((LineærRegression_Valg[[#This Row],[Tabel ID]]-1)/$B$5,0)+1</f>
        <v>571</v>
      </c>
      <c r="C2291" s="171">
        <f t="shared" si="35"/>
        <v>1</v>
      </c>
      <c r="D2291" s="171" t="b">
        <f>LineærRegression_Valg[[#This Row],[Afhængig variabel ID]]&lt;&gt;LineærRegression_Valg[[#This Row],[Uafhængig variabel ID]]</f>
        <v>1</v>
      </c>
      <c r="E2291" s="171" t="b">
        <f>LineærRegression_Valg[[#This Row],[Afhængig variabel ID]]&lt;=$B$5</f>
        <v>0</v>
      </c>
      <c r="F2291" t="str" cm="1">
        <f t="array" ref="F2291">IF(LineærRegression_Valg[[#This Row],[Indenfor range]],INDEX(DataTitel_liste,LineærRegression_Valg[[#This Row],[Afhængig variabel ID]]),INDEX(DataTitel_liste,1))</f>
        <v>Eksempel 1 (interval)</v>
      </c>
      <c r="G2291" s="171" t="str" cm="1">
        <f t="array" ref="G2291">IF(LineærRegression_Valg[[#This Row],[Indenfor range]],IF(LineærRegression_Valg[[#This Row],[Intet overlap]],INDEX(DataTitel_liste,LineærRegression_Valg[[#This Row],[Uafhængig variabel ID]]),INDEX(DataTitel_liste,IF(LineærRegression_Valg[[#This Row],[Afhængig variabel ID]]=1,2,1))),$B$7)</f>
        <v>Eksempel 2 (interval)</v>
      </c>
      <c r="H2291" s="171">
        <f>_xlfn.AGGREGATE(2,5,LineærRegression_Valg[[#This Row],[Tabel ID]])</f>
        <v>1</v>
      </c>
    </row>
    <row r="2292" spans="1:8" x14ac:dyDescent="0.2">
      <c r="A2292">
        <f>ROW(LineærRegression_Valg[[#This Row],[Tabel ID]])-ROW(LineærRegression_Valg[[#Headers],[Tabel ID]])</f>
        <v>2282</v>
      </c>
      <c r="B2292" s="171">
        <f>ROUNDDOWN((LineærRegression_Valg[[#This Row],[Tabel ID]]-1)/$B$5,0)+1</f>
        <v>571</v>
      </c>
      <c r="C2292" s="171">
        <f t="shared" si="35"/>
        <v>2</v>
      </c>
      <c r="D2292" s="171" t="b">
        <f>LineærRegression_Valg[[#This Row],[Afhængig variabel ID]]&lt;&gt;LineærRegression_Valg[[#This Row],[Uafhængig variabel ID]]</f>
        <v>1</v>
      </c>
      <c r="E2292" s="171" t="b">
        <f>LineærRegression_Valg[[#This Row],[Afhængig variabel ID]]&lt;=$B$5</f>
        <v>0</v>
      </c>
      <c r="F2292" t="str" cm="1">
        <f t="array" ref="F2292">IF(LineærRegression_Valg[[#This Row],[Indenfor range]],INDEX(DataTitel_liste,LineærRegression_Valg[[#This Row],[Afhængig variabel ID]]),INDEX(DataTitel_liste,1))</f>
        <v>Eksempel 1 (interval)</v>
      </c>
      <c r="G2292" s="171" t="str" cm="1">
        <f t="array" ref="G2292">IF(LineærRegression_Valg[[#This Row],[Indenfor range]],IF(LineærRegression_Valg[[#This Row],[Intet overlap]],INDEX(DataTitel_liste,LineærRegression_Valg[[#This Row],[Uafhængig variabel ID]]),INDEX(DataTitel_liste,IF(LineærRegression_Valg[[#This Row],[Afhængig variabel ID]]=1,2,1))),$B$7)</f>
        <v>Eksempel 2 (interval)</v>
      </c>
      <c r="H2292" s="171">
        <f>_xlfn.AGGREGATE(2,5,LineærRegression_Valg[[#This Row],[Tabel ID]])</f>
        <v>1</v>
      </c>
    </row>
    <row r="2293" spans="1:8" x14ac:dyDescent="0.2">
      <c r="A2293">
        <f>ROW(LineærRegression_Valg[[#This Row],[Tabel ID]])-ROW(LineærRegression_Valg[[#Headers],[Tabel ID]])</f>
        <v>2283</v>
      </c>
      <c r="B2293" s="171">
        <f>ROUNDDOWN((LineærRegression_Valg[[#This Row],[Tabel ID]]-1)/$B$5,0)+1</f>
        <v>571</v>
      </c>
      <c r="C2293" s="171">
        <f t="shared" si="35"/>
        <v>3</v>
      </c>
      <c r="D2293" s="171" t="b">
        <f>LineærRegression_Valg[[#This Row],[Afhængig variabel ID]]&lt;&gt;LineærRegression_Valg[[#This Row],[Uafhængig variabel ID]]</f>
        <v>1</v>
      </c>
      <c r="E2293" s="171" t="b">
        <f>LineærRegression_Valg[[#This Row],[Afhængig variabel ID]]&lt;=$B$5</f>
        <v>0</v>
      </c>
      <c r="F2293" t="str" cm="1">
        <f t="array" ref="F2293">IF(LineærRegression_Valg[[#This Row],[Indenfor range]],INDEX(DataTitel_liste,LineærRegression_Valg[[#This Row],[Afhængig variabel ID]]),INDEX(DataTitel_liste,1))</f>
        <v>Eksempel 1 (interval)</v>
      </c>
      <c r="G2293" s="171" t="str" cm="1">
        <f t="array" ref="G2293">IF(LineærRegression_Valg[[#This Row],[Indenfor range]],IF(LineærRegression_Valg[[#This Row],[Intet overlap]],INDEX(DataTitel_liste,LineærRegression_Valg[[#This Row],[Uafhængig variabel ID]]),INDEX(DataTitel_liste,IF(LineærRegression_Valg[[#This Row],[Afhængig variabel ID]]=1,2,1))),$B$7)</f>
        <v>Eksempel 2 (interval)</v>
      </c>
      <c r="H2293" s="171">
        <f>_xlfn.AGGREGATE(2,5,LineærRegression_Valg[[#This Row],[Tabel ID]])</f>
        <v>1</v>
      </c>
    </row>
    <row r="2294" spans="1:8" x14ac:dyDescent="0.2">
      <c r="A2294">
        <f>ROW(LineærRegression_Valg[[#This Row],[Tabel ID]])-ROW(LineærRegression_Valg[[#Headers],[Tabel ID]])</f>
        <v>2284</v>
      </c>
      <c r="B2294" s="171">
        <f>ROUNDDOWN((LineærRegression_Valg[[#This Row],[Tabel ID]]-1)/$B$5,0)+1</f>
        <v>571</v>
      </c>
      <c r="C2294" s="171">
        <f t="shared" si="35"/>
        <v>4</v>
      </c>
      <c r="D2294" s="171" t="b">
        <f>LineærRegression_Valg[[#This Row],[Afhængig variabel ID]]&lt;&gt;LineærRegression_Valg[[#This Row],[Uafhængig variabel ID]]</f>
        <v>1</v>
      </c>
      <c r="E2294" s="171" t="b">
        <f>LineærRegression_Valg[[#This Row],[Afhængig variabel ID]]&lt;=$B$5</f>
        <v>0</v>
      </c>
      <c r="F2294" t="str" cm="1">
        <f t="array" ref="F2294">IF(LineærRegression_Valg[[#This Row],[Indenfor range]],INDEX(DataTitel_liste,LineærRegression_Valg[[#This Row],[Afhængig variabel ID]]),INDEX(DataTitel_liste,1))</f>
        <v>Eksempel 1 (interval)</v>
      </c>
      <c r="G2294" s="171" t="str" cm="1">
        <f t="array" ref="G2294">IF(LineærRegression_Valg[[#This Row],[Indenfor range]],IF(LineærRegression_Valg[[#This Row],[Intet overlap]],INDEX(DataTitel_liste,LineærRegression_Valg[[#This Row],[Uafhængig variabel ID]]),INDEX(DataTitel_liste,IF(LineærRegression_Valg[[#This Row],[Afhængig variabel ID]]=1,2,1))),$B$7)</f>
        <v>Eksempel 2 (interval)</v>
      </c>
      <c r="H2294" s="171">
        <f>_xlfn.AGGREGATE(2,5,LineærRegression_Valg[[#This Row],[Tabel ID]])</f>
        <v>1</v>
      </c>
    </row>
    <row r="2295" spans="1:8" x14ac:dyDescent="0.2">
      <c r="A2295">
        <f>ROW(LineærRegression_Valg[[#This Row],[Tabel ID]])-ROW(LineærRegression_Valg[[#Headers],[Tabel ID]])</f>
        <v>2285</v>
      </c>
      <c r="B2295" s="171">
        <f>ROUNDDOWN((LineærRegression_Valg[[#This Row],[Tabel ID]]-1)/$B$5,0)+1</f>
        <v>572</v>
      </c>
      <c r="C2295" s="171">
        <f t="shared" si="35"/>
        <v>1</v>
      </c>
      <c r="D2295" s="171" t="b">
        <f>LineærRegression_Valg[[#This Row],[Afhængig variabel ID]]&lt;&gt;LineærRegression_Valg[[#This Row],[Uafhængig variabel ID]]</f>
        <v>1</v>
      </c>
      <c r="E2295" s="171" t="b">
        <f>LineærRegression_Valg[[#This Row],[Afhængig variabel ID]]&lt;=$B$5</f>
        <v>0</v>
      </c>
      <c r="F2295" t="str" cm="1">
        <f t="array" ref="F2295">IF(LineærRegression_Valg[[#This Row],[Indenfor range]],INDEX(DataTitel_liste,LineærRegression_Valg[[#This Row],[Afhængig variabel ID]]),INDEX(DataTitel_liste,1))</f>
        <v>Eksempel 1 (interval)</v>
      </c>
      <c r="G2295" s="171" t="str" cm="1">
        <f t="array" ref="G2295">IF(LineærRegression_Valg[[#This Row],[Indenfor range]],IF(LineærRegression_Valg[[#This Row],[Intet overlap]],INDEX(DataTitel_liste,LineærRegression_Valg[[#This Row],[Uafhængig variabel ID]]),INDEX(DataTitel_liste,IF(LineærRegression_Valg[[#This Row],[Afhængig variabel ID]]=1,2,1))),$B$7)</f>
        <v>Eksempel 2 (interval)</v>
      </c>
      <c r="H2295" s="171">
        <f>_xlfn.AGGREGATE(2,5,LineærRegression_Valg[[#This Row],[Tabel ID]])</f>
        <v>1</v>
      </c>
    </row>
    <row r="2296" spans="1:8" x14ac:dyDescent="0.2">
      <c r="A2296">
        <f>ROW(LineærRegression_Valg[[#This Row],[Tabel ID]])-ROW(LineærRegression_Valg[[#Headers],[Tabel ID]])</f>
        <v>2286</v>
      </c>
      <c r="B2296" s="171">
        <f>ROUNDDOWN((LineærRegression_Valg[[#This Row],[Tabel ID]]-1)/$B$5,0)+1</f>
        <v>572</v>
      </c>
      <c r="C2296" s="171">
        <f t="shared" si="35"/>
        <v>2</v>
      </c>
      <c r="D2296" s="171" t="b">
        <f>LineærRegression_Valg[[#This Row],[Afhængig variabel ID]]&lt;&gt;LineærRegression_Valg[[#This Row],[Uafhængig variabel ID]]</f>
        <v>1</v>
      </c>
      <c r="E2296" s="171" t="b">
        <f>LineærRegression_Valg[[#This Row],[Afhængig variabel ID]]&lt;=$B$5</f>
        <v>0</v>
      </c>
      <c r="F2296" t="str" cm="1">
        <f t="array" ref="F2296">IF(LineærRegression_Valg[[#This Row],[Indenfor range]],INDEX(DataTitel_liste,LineærRegression_Valg[[#This Row],[Afhængig variabel ID]]),INDEX(DataTitel_liste,1))</f>
        <v>Eksempel 1 (interval)</v>
      </c>
      <c r="G2296" s="171" t="str" cm="1">
        <f t="array" ref="G2296">IF(LineærRegression_Valg[[#This Row],[Indenfor range]],IF(LineærRegression_Valg[[#This Row],[Intet overlap]],INDEX(DataTitel_liste,LineærRegression_Valg[[#This Row],[Uafhængig variabel ID]]),INDEX(DataTitel_liste,IF(LineærRegression_Valg[[#This Row],[Afhængig variabel ID]]=1,2,1))),$B$7)</f>
        <v>Eksempel 2 (interval)</v>
      </c>
      <c r="H2296" s="171">
        <f>_xlfn.AGGREGATE(2,5,LineærRegression_Valg[[#This Row],[Tabel ID]])</f>
        <v>1</v>
      </c>
    </row>
    <row r="2297" spans="1:8" x14ac:dyDescent="0.2">
      <c r="A2297">
        <f>ROW(LineærRegression_Valg[[#This Row],[Tabel ID]])-ROW(LineærRegression_Valg[[#Headers],[Tabel ID]])</f>
        <v>2287</v>
      </c>
      <c r="B2297" s="171">
        <f>ROUNDDOWN((LineærRegression_Valg[[#This Row],[Tabel ID]]-1)/$B$5,0)+1</f>
        <v>572</v>
      </c>
      <c r="C2297" s="171">
        <f t="shared" si="35"/>
        <v>3</v>
      </c>
      <c r="D2297" s="171" t="b">
        <f>LineærRegression_Valg[[#This Row],[Afhængig variabel ID]]&lt;&gt;LineærRegression_Valg[[#This Row],[Uafhængig variabel ID]]</f>
        <v>1</v>
      </c>
      <c r="E2297" s="171" t="b">
        <f>LineærRegression_Valg[[#This Row],[Afhængig variabel ID]]&lt;=$B$5</f>
        <v>0</v>
      </c>
      <c r="F2297" t="str" cm="1">
        <f t="array" ref="F2297">IF(LineærRegression_Valg[[#This Row],[Indenfor range]],INDEX(DataTitel_liste,LineærRegression_Valg[[#This Row],[Afhængig variabel ID]]),INDEX(DataTitel_liste,1))</f>
        <v>Eksempel 1 (interval)</v>
      </c>
      <c r="G2297" s="171" t="str" cm="1">
        <f t="array" ref="G2297">IF(LineærRegression_Valg[[#This Row],[Indenfor range]],IF(LineærRegression_Valg[[#This Row],[Intet overlap]],INDEX(DataTitel_liste,LineærRegression_Valg[[#This Row],[Uafhængig variabel ID]]),INDEX(DataTitel_liste,IF(LineærRegression_Valg[[#This Row],[Afhængig variabel ID]]=1,2,1))),$B$7)</f>
        <v>Eksempel 2 (interval)</v>
      </c>
      <c r="H2297" s="171">
        <f>_xlfn.AGGREGATE(2,5,LineærRegression_Valg[[#This Row],[Tabel ID]])</f>
        <v>1</v>
      </c>
    </row>
    <row r="2298" spans="1:8" x14ac:dyDescent="0.2">
      <c r="A2298">
        <f>ROW(LineærRegression_Valg[[#This Row],[Tabel ID]])-ROW(LineærRegression_Valg[[#Headers],[Tabel ID]])</f>
        <v>2288</v>
      </c>
      <c r="B2298" s="171">
        <f>ROUNDDOWN((LineærRegression_Valg[[#This Row],[Tabel ID]]-1)/$B$5,0)+1</f>
        <v>572</v>
      </c>
      <c r="C2298" s="171">
        <f t="shared" si="35"/>
        <v>4</v>
      </c>
      <c r="D2298" s="171" t="b">
        <f>LineærRegression_Valg[[#This Row],[Afhængig variabel ID]]&lt;&gt;LineærRegression_Valg[[#This Row],[Uafhængig variabel ID]]</f>
        <v>1</v>
      </c>
      <c r="E2298" s="171" t="b">
        <f>LineærRegression_Valg[[#This Row],[Afhængig variabel ID]]&lt;=$B$5</f>
        <v>0</v>
      </c>
      <c r="F2298" t="str" cm="1">
        <f t="array" ref="F2298">IF(LineærRegression_Valg[[#This Row],[Indenfor range]],INDEX(DataTitel_liste,LineærRegression_Valg[[#This Row],[Afhængig variabel ID]]),INDEX(DataTitel_liste,1))</f>
        <v>Eksempel 1 (interval)</v>
      </c>
      <c r="G2298" s="171" t="str" cm="1">
        <f t="array" ref="G2298">IF(LineærRegression_Valg[[#This Row],[Indenfor range]],IF(LineærRegression_Valg[[#This Row],[Intet overlap]],INDEX(DataTitel_liste,LineærRegression_Valg[[#This Row],[Uafhængig variabel ID]]),INDEX(DataTitel_liste,IF(LineærRegression_Valg[[#This Row],[Afhængig variabel ID]]=1,2,1))),$B$7)</f>
        <v>Eksempel 2 (interval)</v>
      </c>
      <c r="H2298" s="171">
        <f>_xlfn.AGGREGATE(2,5,LineærRegression_Valg[[#This Row],[Tabel ID]])</f>
        <v>1</v>
      </c>
    </row>
    <row r="2299" spans="1:8" x14ac:dyDescent="0.2">
      <c r="A2299">
        <f>ROW(LineærRegression_Valg[[#This Row],[Tabel ID]])-ROW(LineærRegression_Valg[[#Headers],[Tabel ID]])</f>
        <v>2289</v>
      </c>
      <c r="B2299" s="171">
        <f>ROUNDDOWN((LineærRegression_Valg[[#This Row],[Tabel ID]]-1)/$B$5,0)+1</f>
        <v>573</v>
      </c>
      <c r="C2299" s="171">
        <f t="shared" si="35"/>
        <v>1</v>
      </c>
      <c r="D2299" s="171" t="b">
        <f>LineærRegression_Valg[[#This Row],[Afhængig variabel ID]]&lt;&gt;LineærRegression_Valg[[#This Row],[Uafhængig variabel ID]]</f>
        <v>1</v>
      </c>
      <c r="E2299" s="171" t="b">
        <f>LineærRegression_Valg[[#This Row],[Afhængig variabel ID]]&lt;=$B$5</f>
        <v>0</v>
      </c>
      <c r="F2299" t="str" cm="1">
        <f t="array" ref="F2299">IF(LineærRegression_Valg[[#This Row],[Indenfor range]],INDEX(DataTitel_liste,LineærRegression_Valg[[#This Row],[Afhængig variabel ID]]),INDEX(DataTitel_liste,1))</f>
        <v>Eksempel 1 (interval)</v>
      </c>
      <c r="G2299" s="171" t="str" cm="1">
        <f t="array" ref="G2299">IF(LineærRegression_Valg[[#This Row],[Indenfor range]],IF(LineærRegression_Valg[[#This Row],[Intet overlap]],INDEX(DataTitel_liste,LineærRegression_Valg[[#This Row],[Uafhængig variabel ID]]),INDEX(DataTitel_liste,IF(LineærRegression_Valg[[#This Row],[Afhængig variabel ID]]=1,2,1))),$B$7)</f>
        <v>Eksempel 2 (interval)</v>
      </c>
      <c r="H2299" s="171">
        <f>_xlfn.AGGREGATE(2,5,LineærRegression_Valg[[#This Row],[Tabel ID]])</f>
        <v>1</v>
      </c>
    </row>
    <row r="2300" spans="1:8" x14ac:dyDescent="0.2">
      <c r="A2300">
        <f>ROW(LineærRegression_Valg[[#This Row],[Tabel ID]])-ROW(LineærRegression_Valg[[#Headers],[Tabel ID]])</f>
        <v>2290</v>
      </c>
      <c r="B2300" s="171">
        <f>ROUNDDOWN((LineærRegression_Valg[[#This Row],[Tabel ID]]-1)/$B$5,0)+1</f>
        <v>573</v>
      </c>
      <c r="C2300" s="171">
        <f t="shared" si="35"/>
        <v>2</v>
      </c>
      <c r="D2300" s="171" t="b">
        <f>LineærRegression_Valg[[#This Row],[Afhængig variabel ID]]&lt;&gt;LineærRegression_Valg[[#This Row],[Uafhængig variabel ID]]</f>
        <v>1</v>
      </c>
      <c r="E2300" s="171" t="b">
        <f>LineærRegression_Valg[[#This Row],[Afhængig variabel ID]]&lt;=$B$5</f>
        <v>0</v>
      </c>
      <c r="F2300" t="str" cm="1">
        <f t="array" ref="F2300">IF(LineærRegression_Valg[[#This Row],[Indenfor range]],INDEX(DataTitel_liste,LineærRegression_Valg[[#This Row],[Afhængig variabel ID]]),INDEX(DataTitel_liste,1))</f>
        <v>Eksempel 1 (interval)</v>
      </c>
      <c r="G2300" s="171" t="str" cm="1">
        <f t="array" ref="G2300">IF(LineærRegression_Valg[[#This Row],[Indenfor range]],IF(LineærRegression_Valg[[#This Row],[Intet overlap]],INDEX(DataTitel_liste,LineærRegression_Valg[[#This Row],[Uafhængig variabel ID]]),INDEX(DataTitel_liste,IF(LineærRegression_Valg[[#This Row],[Afhængig variabel ID]]=1,2,1))),$B$7)</f>
        <v>Eksempel 2 (interval)</v>
      </c>
      <c r="H2300" s="171">
        <f>_xlfn.AGGREGATE(2,5,LineærRegression_Valg[[#This Row],[Tabel ID]])</f>
        <v>1</v>
      </c>
    </row>
    <row r="2301" spans="1:8" x14ac:dyDescent="0.2">
      <c r="A2301">
        <f>ROW(LineærRegression_Valg[[#This Row],[Tabel ID]])-ROW(LineærRegression_Valg[[#Headers],[Tabel ID]])</f>
        <v>2291</v>
      </c>
      <c r="B2301" s="171">
        <f>ROUNDDOWN((LineærRegression_Valg[[#This Row],[Tabel ID]]-1)/$B$5,0)+1</f>
        <v>573</v>
      </c>
      <c r="C2301" s="171">
        <f t="shared" si="35"/>
        <v>3</v>
      </c>
      <c r="D2301" s="171" t="b">
        <f>LineærRegression_Valg[[#This Row],[Afhængig variabel ID]]&lt;&gt;LineærRegression_Valg[[#This Row],[Uafhængig variabel ID]]</f>
        <v>1</v>
      </c>
      <c r="E2301" s="171" t="b">
        <f>LineærRegression_Valg[[#This Row],[Afhængig variabel ID]]&lt;=$B$5</f>
        <v>0</v>
      </c>
      <c r="F2301" t="str" cm="1">
        <f t="array" ref="F2301">IF(LineærRegression_Valg[[#This Row],[Indenfor range]],INDEX(DataTitel_liste,LineærRegression_Valg[[#This Row],[Afhængig variabel ID]]),INDEX(DataTitel_liste,1))</f>
        <v>Eksempel 1 (interval)</v>
      </c>
      <c r="G2301" s="171" t="str" cm="1">
        <f t="array" ref="G2301">IF(LineærRegression_Valg[[#This Row],[Indenfor range]],IF(LineærRegression_Valg[[#This Row],[Intet overlap]],INDEX(DataTitel_liste,LineærRegression_Valg[[#This Row],[Uafhængig variabel ID]]),INDEX(DataTitel_liste,IF(LineærRegression_Valg[[#This Row],[Afhængig variabel ID]]=1,2,1))),$B$7)</f>
        <v>Eksempel 2 (interval)</v>
      </c>
      <c r="H2301" s="171">
        <f>_xlfn.AGGREGATE(2,5,LineærRegression_Valg[[#This Row],[Tabel ID]])</f>
        <v>1</v>
      </c>
    </row>
    <row r="2302" spans="1:8" x14ac:dyDescent="0.2">
      <c r="A2302">
        <f>ROW(LineærRegression_Valg[[#This Row],[Tabel ID]])-ROW(LineærRegression_Valg[[#Headers],[Tabel ID]])</f>
        <v>2292</v>
      </c>
      <c r="B2302" s="171">
        <f>ROUNDDOWN((LineærRegression_Valg[[#This Row],[Tabel ID]]-1)/$B$5,0)+1</f>
        <v>573</v>
      </c>
      <c r="C2302" s="171">
        <f t="shared" si="35"/>
        <v>4</v>
      </c>
      <c r="D2302" s="171" t="b">
        <f>LineærRegression_Valg[[#This Row],[Afhængig variabel ID]]&lt;&gt;LineærRegression_Valg[[#This Row],[Uafhængig variabel ID]]</f>
        <v>1</v>
      </c>
      <c r="E2302" s="171" t="b">
        <f>LineærRegression_Valg[[#This Row],[Afhængig variabel ID]]&lt;=$B$5</f>
        <v>0</v>
      </c>
      <c r="F2302" t="str" cm="1">
        <f t="array" ref="F2302">IF(LineærRegression_Valg[[#This Row],[Indenfor range]],INDEX(DataTitel_liste,LineærRegression_Valg[[#This Row],[Afhængig variabel ID]]),INDEX(DataTitel_liste,1))</f>
        <v>Eksempel 1 (interval)</v>
      </c>
      <c r="G2302" s="171" t="str" cm="1">
        <f t="array" ref="G2302">IF(LineærRegression_Valg[[#This Row],[Indenfor range]],IF(LineærRegression_Valg[[#This Row],[Intet overlap]],INDEX(DataTitel_liste,LineærRegression_Valg[[#This Row],[Uafhængig variabel ID]]),INDEX(DataTitel_liste,IF(LineærRegression_Valg[[#This Row],[Afhængig variabel ID]]=1,2,1))),$B$7)</f>
        <v>Eksempel 2 (interval)</v>
      </c>
      <c r="H2302" s="171">
        <f>_xlfn.AGGREGATE(2,5,LineærRegression_Valg[[#This Row],[Tabel ID]])</f>
        <v>1</v>
      </c>
    </row>
    <row r="2303" spans="1:8" x14ac:dyDescent="0.2">
      <c r="A2303">
        <f>ROW(LineærRegression_Valg[[#This Row],[Tabel ID]])-ROW(LineærRegression_Valg[[#Headers],[Tabel ID]])</f>
        <v>2293</v>
      </c>
      <c r="B2303" s="171">
        <f>ROUNDDOWN((LineærRegression_Valg[[#This Row],[Tabel ID]]-1)/$B$5,0)+1</f>
        <v>574</v>
      </c>
      <c r="C2303" s="171">
        <f t="shared" si="35"/>
        <v>1</v>
      </c>
      <c r="D2303" s="171" t="b">
        <f>LineærRegression_Valg[[#This Row],[Afhængig variabel ID]]&lt;&gt;LineærRegression_Valg[[#This Row],[Uafhængig variabel ID]]</f>
        <v>1</v>
      </c>
      <c r="E2303" s="171" t="b">
        <f>LineærRegression_Valg[[#This Row],[Afhængig variabel ID]]&lt;=$B$5</f>
        <v>0</v>
      </c>
      <c r="F2303" t="str" cm="1">
        <f t="array" ref="F2303">IF(LineærRegression_Valg[[#This Row],[Indenfor range]],INDEX(DataTitel_liste,LineærRegression_Valg[[#This Row],[Afhængig variabel ID]]),INDEX(DataTitel_liste,1))</f>
        <v>Eksempel 1 (interval)</v>
      </c>
      <c r="G2303" s="171" t="str" cm="1">
        <f t="array" ref="G2303">IF(LineærRegression_Valg[[#This Row],[Indenfor range]],IF(LineærRegression_Valg[[#This Row],[Intet overlap]],INDEX(DataTitel_liste,LineærRegression_Valg[[#This Row],[Uafhængig variabel ID]]),INDEX(DataTitel_liste,IF(LineærRegression_Valg[[#This Row],[Afhængig variabel ID]]=1,2,1))),$B$7)</f>
        <v>Eksempel 2 (interval)</v>
      </c>
      <c r="H2303" s="171">
        <f>_xlfn.AGGREGATE(2,5,LineærRegression_Valg[[#This Row],[Tabel ID]])</f>
        <v>1</v>
      </c>
    </row>
    <row r="2304" spans="1:8" x14ac:dyDescent="0.2">
      <c r="A2304">
        <f>ROW(LineærRegression_Valg[[#This Row],[Tabel ID]])-ROW(LineærRegression_Valg[[#Headers],[Tabel ID]])</f>
        <v>2294</v>
      </c>
      <c r="B2304" s="171">
        <f>ROUNDDOWN((LineærRegression_Valg[[#This Row],[Tabel ID]]-1)/$B$5,0)+1</f>
        <v>574</v>
      </c>
      <c r="C2304" s="171">
        <f t="shared" si="35"/>
        <v>2</v>
      </c>
      <c r="D2304" s="171" t="b">
        <f>LineærRegression_Valg[[#This Row],[Afhængig variabel ID]]&lt;&gt;LineærRegression_Valg[[#This Row],[Uafhængig variabel ID]]</f>
        <v>1</v>
      </c>
      <c r="E2304" s="171" t="b">
        <f>LineærRegression_Valg[[#This Row],[Afhængig variabel ID]]&lt;=$B$5</f>
        <v>0</v>
      </c>
      <c r="F2304" t="str" cm="1">
        <f t="array" ref="F2304">IF(LineærRegression_Valg[[#This Row],[Indenfor range]],INDEX(DataTitel_liste,LineærRegression_Valg[[#This Row],[Afhængig variabel ID]]),INDEX(DataTitel_liste,1))</f>
        <v>Eksempel 1 (interval)</v>
      </c>
      <c r="G2304" s="171" t="str" cm="1">
        <f t="array" ref="G2304">IF(LineærRegression_Valg[[#This Row],[Indenfor range]],IF(LineærRegression_Valg[[#This Row],[Intet overlap]],INDEX(DataTitel_liste,LineærRegression_Valg[[#This Row],[Uafhængig variabel ID]]),INDEX(DataTitel_liste,IF(LineærRegression_Valg[[#This Row],[Afhængig variabel ID]]=1,2,1))),$B$7)</f>
        <v>Eksempel 2 (interval)</v>
      </c>
      <c r="H2304" s="171">
        <f>_xlfn.AGGREGATE(2,5,LineærRegression_Valg[[#This Row],[Tabel ID]])</f>
        <v>1</v>
      </c>
    </row>
    <row r="2305" spans="1:8" x14ac:dyDescent="0.2">
      <c r="A2305">
        <f>ROW(LineærRegression_Valg[[#This Row],[Tabel ID]])-ROW(LineærRegression_Valg[[#Headers],[Tabel ID]])</f>
        <v>2295</v>
      </c>
      <c r="B2305" s="171">
        <f>ROUNDDOWN((LineærRegression_Valg[[#This Row],[Tabel ID]]-1)/$B$5,0)+1</f>
        <v>574</v>
      </c>
      <c r="C2305" s="171">
        <f t="shared" si="35"/>
        <v>3</v>
      </c>
      <c r="D2305" s="171" t="b">
        <f>LineærRegression_Valg[[#This Row],[Afhængig variabel ID]]&lt;&gt;LineærRegression_Valg[[#This Row],[Uafhængig variabel ID]]</f>
        <v>1</v>
      </c>
      <c r="E2305" s="171" t="b">
        <f>LineærRegression_Valg[[#This Row],[Afhængig variabel ID]]&lt;=$B$5</f>
        <v>0</v>
      </c>
      <c r="F2305" t="str" cm="1">
        <f t="array" ref="F2305">IF(LineærRegression_Valg[[#This Row],[Indenfor range]],INDEX(DataTitel_liste,LineærRegression_Valg[[#This Row],[Afhængig variabel ID]]),INDEX(DataTitel_liste,1))</f>
        <v>Eksempel 1 (interval)</v>
      </c>
      <c r="G2305" s="171" t="str" cm="1">
        <f t="array" ref="G2305">IF(LineærRegression_Valg[[#This Row],[Indenfor range]],IF(LineærRegression_Valg[[#This Row],[Intet overlap]],INDEX(DataTitel_liste,LineærRegression_Valg[[#This Row],[Uafhængig variabel ID]]),INDEX(DataTitel_liste,IF(LineærRegression_Valg[[#This Row],[Afhængig variabel ID]]=1,2,1))),$B$7)</f>
        <v>Eksempel 2 (interval)</v>
      </c>
      <c r="H2305" s="171">
        <f>_xlfn.AGGREGATE(2,5,LineærRegression_Valg[[#This Row],[Tabel ID]])</f>
        <v>1</v>
      </c>
    </row>
    <row r="2306" spans="1:8" x14ac:dyDescent="0.2">
      <c r="A2306">
        <f>ROW(LineærRegression_Valg[[#This Row],[Tabel ID]])-ROW(LineærRegression_Valg[[#Headers],[Tabel ID]])</f>
        <v>2296</v>
      </c>
      <c r="B2306" s="171">
        <f>ROUNDDOWN((LineærRegression_Valg[[#This Row],[Tabel ID]]-1)/$B$5,0)+1</f>
        <v>574</v>
      </c>
      <c r="C2306" s="171">
        <f t="shared" si="35"/>
        <v>4</v>
      </c>
      <c r="D2306" s="171" t="b">
        <f>LineærRegression_Valg[[#This Row],[Afhængig variabel ID]]&lt;&gt;LineærRegression_Valg[[#This Row],[Uafhængig variabel ID]]</f>
        <v>1</v>
      </c>
      <c r="E2306" s="171" t="b">
        <f>LineærRegression_Valg[[#This Row],[Afhængig variabel ID]]&lt;=$B$5</f>
        <v>0</v>
      </c>
      <c r="F2306" t="str" cm="1">
        <f t="array" ref="F2306">IF(LineærRegression_Valg[[#This Row],[Indenfor range]],INDEX(DataTitel_liste,LineærRegression_Valg[[#This Row],[Afhængig variabel ID]]),INDEX(DataTitel_liste,1))</f>
        <v>Eksempel 1 (interval)</v>
      </c>
      <c r="G2306" s="171" t="str" cm="1">
        <f t="array" ref="G2306">IF(LineærRegression_Valg[[#This Row],[Indenfor range]],IF(LineærRegression_Valg[[#This Row],[Intet overlap]],INDEX(DataTitel_liste,LineærRegression_Valg[[#This Row],[Uafhængig variabel ID]]),INDEX(DataTitel_liste,IF(LineærRegression_Valg[[#This Row],[Afhængig variabel ID]]=1,2,1))),$B$7)</f>
        <v>Eksempel 2 (interval)</v>
      </c>
      <c r="H2306" s="171">
        <f>_xlfn.AGGREGATE(2,5,LineærRegression_Valg[[#This Row],[Tabel ID]])</f>
        <v>1</v>
      </c>
    </row>
    <row r="2307" spans="1:8" x14ac:dyDescent="0.2">
      <c r="A2307">
        <f>ROW(LineærRegression_Valg[[#This Row],[Tabel ID]])-ROW(LineærRegression_Valg[[#Headers],[Tabel ID]])</f>
        <v>2297</v>
      </c>
      <c r="B2307" s="171">
        <f>ROUNDDOWN((LineærRegression_Valg[[#This Row],[Tabel ID]]-1)/$B$5,0)+1</f>
        <v>575</v>
      </c>
      <c r="C2307" s="171">
        <f t="shared" si="35"/>
        <v>1</v>
      </c>
      <c r="D2307" s="171" t="b">
        <f>LineærRegression_Valg[[#This Row],[Afhængig variabel ID]]&lt;&gt;LineærRegression_Valg[[#This Row],[Uafhængig variabel ID]]</f>
        <v>1</v>
      </c>
      <c r="E2307" s="171" t="b">
        <f>LineærRegression_Valg[[#This Row],[Afhængig variabel ID]]&lt;=$B$5</f>
        <v>0</v>
      </c>
      <c r="F2307" t="str" cm="1">
        <f t="array" ref="F2307">IF(LineærRegression_Valg[[#This Row],[Indenfor range]],INDEX(DataTitel_liste,LineærRegression_Valg[[#This Row],[Afhængig variabel ID]]),INDEX(DataTitel_liste,1))</f>
        <v>Eksempel 1 (interval)</v>
      </c>
      <c r="G2307" s="171" t="str" cm="1">
        <f t="array" ref="G2307">IF(LineærRegression_Valg[[#This Row],[Indenfor range]],IF(LineærRegression_Valg[[#This Row],[Intet overlap]],INDEX(DataTitel_liste,LineærRegression_Valg[[#This Row],[Uafhængig variabel ID]]),INDEX(DataTitel_liste,IF(LineærRegression_Valg[[#This Row],[Afhængig variabel ID]]=1,2,1))),$B$7)</f>
        <v>Eksempel 2 (interval)</v>
      </c>
      <c r="H2307" s="171">
        <f>_xlfn.AGGREGATE(2,5,LineærRegression_Valg[[#This Row],[Tabel ID]])</f>
        <v>1</v>
      </c>
    </row>
    <row r="2308" spans="1:8" x14ac:dyDescent="0.2">
      <c r="A2308">
        <f>ROW(LineærRegression_Valg[[#This Row],[Tabel ID]])-ROW(LineærRegression_Valg[[#Headers],[Tabel ID]])</f>
        <v>2298</v>
      </c>
      <c r="B2308" s="171">
        <f>ROUNDDOWN((LineærRegression_Valg[[#This Row],[Tabel ID]]-1)/$B$5,0)+1</f>
        <v>575</v>
      </c>
      <c r="C2308" s="171">
        <f t="shared" si="35"/>
        <v>2</v>
      </c>
      <c r="D2308" s="171" t="b">
        <f>LineærRegression_Valg[[#This Row],[Afhængig variabel ID]]&lt;&gt;LineærRegression_Valg[[#This Row],[Uafhængig variabel ID]]</f>
        <v>1</v>
      </c>
      <c r="E2308" s="171" t="b">
        <f>LineærRegression_Valg[[#This Row],[Afhængig variabel ID]]&lt;=$B$5</f>
        <v>0</v>
      </c>
      <c r="F2308" t="str" cm="1">
        <f t="array" ref="F2308">IF(LineærRegression_Valg[[#This Row],[Indenfor range]],INDEX(DataTitel_liste,LineærRegression_Valg[[#This Row],[Afhængig variabel ID]]),INDEX(DataTitel_liste,1))</f>
        <v>Eksempel 1 (interval)</v>
      </c>
      <c r="G2308" s="171" t="str" cm="1">
        <f t="array" ref="G2308">IF(LineærRegression_Valg[[#This Row],[Indenfor range]],IF(LineærRegression_Valg[[#This Row],[Intet overlap]],INDEX(DataTitel_liste,LineærRegression_Valg[[#This Row],[Uafhængig variabel ID]]),INDEX(DataTitel_liste,IF(LineærRegression_Valg[[#This Row],[Afhængig variabel ID]]=1,2,1))),$B$7)</f>
        <v>Eksempel 2 (interval)</v>
      </c>
      <c r="H2308" s="171">
        <f>_xlfn.AGGREGATE(2,5,LineærRegression_Valg[[#This Row],[Tabel ID]])</f>
        <v>1</v>
      </c>
    </row>
    <row r="2309" spans="1:8" x14ac:dyDescent="0.2">
      <c r="A2309">
        <f>ROW(LineærRegression_Valg[[#This Row],[Tabel ID]])-ROW(LineærRegression_Valg[[#Headers],[Tabel ID]])</f>
        <v>2299</v>
      </c>
      <c r="B2309" s="171">
        <f>ROUNDDOWN((LineærRegression_Valg[[#This Row],[Tabel ID]]-1)/$B$5,0)+1</f>
        <v>575</v>
      </c>
      <c r="C2309" s="171">
        <f t="shared" si="35"/>
        <v>3</v>
      </c>
      <c r="D2309" s="171" t="b">
        <f>LineærRegression_Valg[[#This Row],[Afhængig variabel ID]]&lt;&gt;LineærRegression_Valg[[#This Row],[Uafhængig variabel ID]]</f>
        <v>1</v>
      </c>
      <c r="E2309" s="171" t="b">
        <f>LineærRegression_Valg[[#This Row],[Afhængig variabel ID]]&lt;=$B$5</f>
        <v>0</v>
      </c>
      <c r="F2309" t="str" cm="1">
        <f t="array" ref="F2309">IF(LineærRegression_Valg[[#This Row],[Indenfor range]],INDEX(DataTitel_liste,LineærRegression_Valg[[#This Row],[Afhængig variabel ID]]),INDEX(DataTitel_liste,1))</f>
        <v>Eksempel 1 (interval)</v>
      </c>
      <c r="G2309" s="171" t="str" cm="1">
        <f t="array" ref="G2309">IF(LineærRegression_Valg[[#This Row],[Indenfor range]],IF(LineærRegression_Valg[[#This Row],[Intet overlap]],INDEX(DataTitel_liste,LineærRegression_Valg[[#This Row],[Uafhængig variabel ID]]),INDEX(DataTitel_liste,IF(LineærRegression_Valg[[#This Row],[Afhængig variabel ID]]=1,2,1))),$B$7)</f>
        <v>Eksempel 2 (interval)</v>
      </c>
      <c r="H2309" s="171">
        <f>_xlfn.AGGREGATE(2,5,LineærRegression_Valg[[#This Row],[Tabel ID]])</f>
        <v>1</v>
      </c>
    </row>
    <row r="2310" spans="1:8" x14ac:dyDescent="0.2">
      <c r="A2310">
        <f>ROW(LineærRegression_Valg[[#This Row],[Tabel ID]])-ROW(LineærRegression_Valg[[#Headers],[Tabel ID]])</f>
        <v>2300</v>
      </c>
      <c r="B2310" s="171">
        <f>ROUNDDOWN((LineærRegression_Valg[[#This Row],[Tabel ID]]-1)/$B$5,0)+1</f>
        <v>575</v>
      </c>
      <c r="C2310" s="171">
        <f t="shared" si="35"/>
        <v>4</v>
      </c>
      <c r="D2310" s="171" t="b">
        <f>LineærRegression_Valg[[#This Row],[Afhængig variabel ID]]&lt;&gt;LineærRegression_Valg[[#This Row],[Uafhængig variabel ID]]</f>
        <v>1</v>
      </c>
      <c r="E2310" s="171" t="b">
        <f>LineærRegression_Valg[[#This Row],[Afhængig variabel ID]]&lt;=$B$5</f>
        <v>0</v>
      </c>
      <c r="F2310" t="str" cm="1">
        <f t="array" ref="F2310">IF(LineærRegression_Valg[[#This Row],[Indenfor range]],INDEX(DataTitel_liste,LineærRegression_Valg[[#This Row],[Afhængig variabel ID]]),INDEX(DataTitel_liste,1))</f>
        <v>Eksempel 1 (interval)</v>
      </c>
      <c r="G2310" s="171" t="str" cm="1">
        <f t="array" ref="G2310">IF(LineærRegression_Valg[[#This Row],[Indenfor range]],IF(LineærRegression_Valg[[#This Row],[Intet overlap]],INDEX(DataTitel_liste,LineærRegression_Valg[[#This Row],[Uafhængig variabel ID]]),INDEX(DataTitel_liste,IF(LineærRegression_Valg[[#This Row],[Afhængig variabel ID]]=1,2,1))),$B$7)</f>
        <v>Eksempel 2 (interval)</v>
      </c>
      <c r="H2310" s="171">
        <f>_xlfn.AGGREGATE(2,5,LineærRegression_Valg[[#This Row],[Tabel ID]])</f>
        <v>1</v>
      </c>
    </row>
    <row r="2311" spans="1:8" x14ac:dyDescent="0.2">
      <c r="A2311">
        <f>ROW(LineærRegression_Valg[[#This Row],[Tabel ID]])-ROW(LineærRegression_Valg[[#Headers],[Tabel ID]])</f>
        <v>2301</v>
      </c>
      <c r="B2311" s="171">
        <f>ROUNDDOWN((LineærRegression_Valg[[#This Row],[Tabel ID]]-1)/$B$5,0)+1</f>
        <v>576</v>
      </c>
      <c r="C2311" s="171">
        <f t="shared" si="35"/>
        <v>1</v>
      </c>
      <c r="D2311" s="171" t="b">
        <f>LineærRegression_Valg[[#This Row],[Afhængig variabel ID]]&lt;&gt;LineærRegression_Valg[[#This Row],[Uafhængig variabel ID]]</f>
        <v>1</v>
      </c>
      <c r="E2311" s="171" t="b">
        <f>LineærRegression_Valg[[#This Row],[Afhængig variabel ID]]&lt;=$B$5</f>
        <v>0</v>
      </c>
      <c r="F2311" t="str" cm="1">
        <f t="array" ref="F2311">IF(LineærRegression_Valg[[#This Row],[Indenfor range]],INDEX(DataTitel_liste,LineærRegression_Valg[[#This Row],[Afhængig variabel ID]]),INDEX(DataTitel_liste,1))</f>
        <v>Eksempel 1 (interval)</v>
      </c>
      <c r="G2311" s="171" t="str" cm="1">
        <f t="array" ref="G2311">IF(LineærRegression_Valg[[#This Row],[Indenfor range]],IF(LineærRegression_Valg[[#This Row],[Intet overlap]],INDEX(DataTitel_liste,LineærRegression_Valg[[#This Row],[Uafhængig variabel ID]]),INDEX(DataTitel_liste,IF(LineærRegression_Valg[[#This Row],[Afhængig variabel ID]]=1,2,1))),$B$7)</f>
        <v>Eksempel 2 (interval)</v>
      </c>
      <c r="H2311" s="171">
        <f>_xlfn.AGGREGATE(2,5,LineærRegression_Valg[[#This Row],[Tabel ID]])</f>
        <v>1</v>
      </c>
    </row>
    <row r="2312" spans="1:8" x14ac:dyDescent="0.2">
      <c r="A2312">
        <f>ROW(LineærRegression_Valg[[#This Row],[Tabel ID]])-ROW(LineærRegression_Valg[[#Headers],[Tabel ID]])</f>
        <v>2302</v>
      </c>
      <c r="B2312" s="171">
        <f>ROUNDDOWN((LineærRegression_Valg[[#This Row],[Tabel ID]]-1)/$B$5,0)+1</f>
        <v>576</v>
      </c>
      <c r="C2312" s="171">
        <f t="shared" si="35"/>
        <v>2</v>
      </c>
      <c r="D2312" s="171" t="b">
        <f>LineærRegression_Valg[[#This Row],[Afhængig variabel ID]]&lt;&gt;LineærRegression_Valg[[#This Row],[Uafhængig variabel ID]]</f>
        <v>1</v>
      </c>
      <c r="E2312" s="171" t="b">
        <f>LineærRegression_Valg[[#This Row],[Afhængig variabel ID]]&lt;=$B$5</f>
        <v>0</v>
      </c>
      <c r="F2312" t="str" cm="1">
        <f t="array" ref="F2312">IF(LineærRegression_Valg[[#This Row],[Indenfor range]],INDEX(DataTitel_liste,LineærRegression_Valg[[#This Row],[Afhængig variabel ID]]),INDEX(DataTitel_liste,1))</f>
        <v>Eksempel 1 (interval)</v>
      </c>
      <c r="G2312" s="171" t="str" cm="1">
        <f t="array" ref="G2312">IF(LineærRegression_Valg[[#This Row],[Indenfor range]],IF(LineærRegression_Valg[[#This Row],[Intet overlap]],INDEX(DataTitel_liste,LineærRegression_Valg[[#This Row],[Uafhængig variabel ID]]),INDEX(DataTitel_liste,IF(LineærRegression_Valg[[#This Row],[Afhængig variabel ID]]=1,2,1))),$B$7)</f>
        <v>Eksempel 2 (interval)</v>
      </c>
      <c r="H2312" s="171">
        <f>_xlfn.AGGREGATE(2,5,LineærRegression_Valg[[#This Row],[Tabel ID]])</f>
        <v>1</v>
      </c>
    </row>
    <row r="2313" spans="1:8" x14ac:dyDescent="0.2">
      <c r="A2313">
        <f>ROW(LineærRegression_Valg[[#This Row],[Tabel ID]])-ROW(LineærRegression_Valg[[#Headers],[Tabel ID]])</f>
        <v>2303</v>
      </c>
      <c r="B2313" s="171">
        <f>ROUNDDOWN((LineærRegression_Valg[[#This Row],[Tabel ID]]-1)/$B$5,0)+1</f>
        <v>576</v>
      </c>
      <c r="C2313" s="171">
        <f t="shared" si="35"/>
        <v>3</v>
      </c>
      <c r="D2313" s="171" t="b">
        <f>LineærRegression_Valg[[#This Row],[Afhængig variabel ID]]&lt;&gt;LineærRegression_Valg[[#This Row],[Uafhængig variabel ID]]</f>
        <v>1</v>
      </c>
      <c r="E2313" s="171" t="b">
        <f>LineærRegression_Valg[[#This Row],[Afhængig variabel ID]]&lt;=$B$5</f>
        <v>0</v>
      </c>
      <c r="F2313" t="str" cm="1">
        <f t="array" ref="F2313">IF(LineærRegression_Valg[[#This Row],[Indenfor range]],INDEX(DataTitel_liste,LineærRegression_Valg[[#This Row],[Afhængig variabel ID]]),INDEX(DataTitel_liste,1))</f>
        <v>Eksempel 1 (interval)</v>
      </c>
      <c r="G2313" s="171" t="str" cm="1">
        <f t="array" ref="G2313">IF(LineærRegression_Valg[[#This Row],[Indenfor range]],IF(LineærRegression_Valg[[#This Row],[Intet overlap]],INDEX(DataTitel_liste,LineærRegression_Valg[[#This Row],[Uafhængig variabel ID]]),INDEX(DataTitel_liste,IF(LineærRegression_Valg[[#This Row],[Afhængig variabel ID]]=1,2,1))),$B$7)</f>
        <v>Eksempel 2 (interval)</v>
      </c>
      <c r="H2313" s="171">
        <f>_xlfn.AGGREGATE(2,5,LineærRegression_Valg[[#This Row],[Tabel ID]])</f>
        <v>1</v>
      </c>
    </row>
    <row r="2314" spans="1:8" x14ac:dyDescent="0.2">
      <c r="A2314">
        <f>ROW(LineærRegression_Valg[[#This Row],[Tabel ID]])-ROW(LineærRegression_Valg[[#Headers],[Tabel ID]])</f>
        <v>2304</v>
      </c>
      <c r="B2314" s="171">
        <f>ROUNDDOWN((LineærRegression_Valg[[#This Row],[Tabel ID]]-1)/$B$5,0)+1</f>
        <v>576</v>
      </c>
      <c r="C2314" s="171">
        <f t="shared" si="35"/>
        <v>4</v>
      </c>
      <c r="D2314" s="171" t="b">
        <f>LineærRegression_Valg[[#This Row],[Afhængig variabel ID]]&lt;&gt;LineærRegression_Valg[[#This Row],[Uafhængig variabel ID]]</f>
        <v>1</v>
      </c>
      <c r="E2314" s="171" t="b">
        <f>LineærRegression_Valg[[#This Row],[Afhængig variabel ID]]&lt;=$B$5</f>
        <v>0</v>
      </c>
      <c r="F2314" t="str" cm="1">
        <f t="array" ref="F2314">IF(LineærRegression_Valg[[#This Row],[Indenfor range]],INDEX(DataTitel_liste,LineærRegression_Valg[[#This Row],[Afhængig variabel ID]]),INDEX(DataTitel_liste,1))</f>
        <v>Eksempel 1 (interval)</v>
      </c>
      <c r="G2314" s="171" t="str" cm="1">
        <f t="array" ref="G2314">IF(LineærRegression_Valg[[#This Row],[Indenfor range]],IF(LineærRegression_Valg[[#This Row],[Intet overlap]],INDEX(DataTitel_liste,LineærRegression_Valg[[#This Row],[Uafhængig variabel ID]]),INDEX(DataTitel_liste,IF(LineærRegression_Valg[[#This Row],[Afhængig variabel ID]]=1,2,1))),$B$7)</f>
        <v>Eksempel 2 (interval)</v>
      </c>
      <c r="H2314" s="171">
        <f>_xlfn.AGGREGATE(2,5,LineærRegression_Valg[[#This Row],[Tabel ID]])</f>
        <v>1</v>
      </c>
    </row>
    <row r="2315" spans="1:8" x14ac:dyDescent="0.2">
      <c r="A2315">
        <f>ROW(LineærRegression_Valg[[#This Row],[Tabel ID]])-ROW(LineærRegression_Valg[[#Headers],[Tabel ID]])</f>
        <v>2305</v>
      </c>
      <c r="B2315" s="171">
        <f>ROUNDDOWN((LineærRegression_Valg[[#This Row],[Tabel ID]]-1)/$B$5,0)+1</f>
        <v>577</v>
      </c>
      <c r="C2315" s="171">
        <f t="shared" ref="C2315:C2378" si="36">MOD(A2315-1,$B$5)+1</f>
        <v>1</v>
      </c>
      <c r="D2315" s="171" t="b">
        <f>LineærRegression_Valg[[#This Row],[Afhængig variabel ID]]&lt;&gt;LineærRegression_Valg[[#This Row],[Uafhængig variabel ID]]</f>
        <v>1</v>
      </c>
      <c r="E2315" s="171" t="b">
        <f>LineærRegression_Valg[[#This Row],[Afhængig variabel ID]]&lt;=$B$5</f>
        <v>0</v>
      </c>
      <c r="F2315" t="str" cm="1">
        <f t="array" ref="F2315">IF(LineærRegression_Valg[[#This Row],[Indenfor range]],INDEX(DataTitel_liste,LineærRegression_Valg[[#This Row],[Afhængig variabel ID]]),INDEX(DataTitel_liste,1))</f>
        <v>Eksempel 1 (interval)</v>
      </c>
      <c r="G2315" s="171" t="str" cm="1">
        <f t="array" ref="G2315">IF(LineærRegression_Valg[[#This Row],[Indenfor range]],IF(LineærRegression_Valg[[#This Row],[Intet overlap]],INDEX(DataTitel_liste,LineærRegression_Valg[[#This Row],[Uafhængig variabel ID]]),INDEX(DataTitel_liste,IF(LineærRegression_Valg[[#This Row],[Afhængig variabel ID]]=1,2,1))),$B$7)</f>
        <v>Eksempel 2 (interval)</v>
      </c>
      <c r="H2315" s="171">
        <f>_xlfn.AGGREGATE(2,5,LineærRegression_Valg[[#This Row],[Tabel ID]])</f>
        <v>1</v>
      </c>
    </row>
    <row r="2316" spans="1:8" x14ac:dyDescent="0.2">
      <c r="A2316">
        <f>ROW(LineærRegression_Valg[[#This Row],[Tabel ID]])-ROW(LineærRegression_Valg[[#Headers],[Tabel ID]])</f>
        <v>2306</v>
      </c>
      <c r="B2316" s="171">
        <f>ROUNDDOWN((LineærRegression_Valg[[#This Row],[Tabel ID]]-1)/$B$5,0)+1</f>
        <v>577</v>
      </c>
      <c r="C2316" s="171">
        <f t="shared" si="36"/>
        <v>2</v>
      </c>
      <c r="D2316" s="171" t="b">
        <f>LineærRegression_Valg[[#This Row],[Afhængig variabel ID]]&lt;&gt;LineærRegression_Valg[[#This Row],[Uafhængig variabel ID]]</f>
        <v>1</v>
      </c>
      <c r="E2316" s="171" t="b">
        <f>LineærRegression_Valg[[#This Row],[Afhængig variabel ID]]&lt;=$B$5</f>
        <v>0</v>
      </c>
      <c r="F2316" t="str" cm="1">
        <f t="array" ref="F2316">IF(LineærRegression_Valg[[#This Row],[Indenfor range]],INDEX(DataTitel_liste,LineærRegression_Valg[[#This Row],[Afhængig variabel ID]]),INDEX(DataTitel_liste,1))</f>
        <v>Eksempel 1 (interval)</v>
      </c>
      <c r="G2316" s="171" t="str" cm="1">
        <f t="array" ref="G2316">IF(LineærRegression_Valg[[#This Row],[Indenfor range]],IF(LineærRegression_Valg[[#This Row],[Intet overlap]],INDEX(DataTitel_liste,LineærRegression_Valg[[#This Row],[Uafhængig variabel ID]]),INDEX(DataTitel_liste,IF(LineærRegression_Valg[[#This Row],[Afhængig variabel ID]]=1,2,1))),$B$7)</f>
        <v>Eksempel 2 (interval)</v>
      </c>
      <c r="H2316" s="171">
        <f>_xlfn.AGGREGATE(2,5,LineærRegression_Valg[[#This Row],[Tabel ID]])</f>
        <v>1</v>
      </c>
    </row>
    <row r="2317" spans="1:8" x14ac:dyDescent="0.2">
      <c r="A2317">
        <f>ROW(LineærRegression_Valg[[#This Row],[Tabel ID]])-ROW(LineærRegression_Valg[[#Headers],[Tabel ID]])</f>
        <v>2307</v>
      </c>
      <c r="B2317" s="171">
        <f>ROUNDDOWN((LineærRegression_Valg[[#This Row],[Tabel ID]]-1)/$B$5,0)+1</f>
        <v>577</v>
      </c>
      <c r="C2317" s="171">
        <f t="shared" si="36"/>
        <v>3</v>
      </c>
      <c r="D2317" s="171" t="b">
        <f>LineærRegression_Valg[[#This Row],[Afhængig variabel ID]]&lt;&gt;LineærRegression_Valg[[#This Row],[Uafhængig variabel ID]]</f>
        <v>1</v>
      </c>
      <c r="E2317" s="171" t="b">
        <f>LineærRegression_Valg[[#This Row],[Afhængig variabel ID]]&lt;=$B$5</f>
        <v>0</v>
      </c>
      <c r="F2317" t="str" cm="1">
        <f t="array" ref="F2317">IF(LineærRegression_Valg[[#This Row],[Indenfor range]],INDEX(DataTitel_liste,LineærRegression_Valg[[#This Row],[Afhængig variabel ID]]),INDEX(DataTitel_liste,1))</f>
        <v>Eksempel 1 (interval)</v>
      </c>
      <c r="G2317" s="171" t="str" cm="1">
        <f t="array" ref="G2317">IF(LineærRegression_Valg[[#This Row],[Indenfor range]],IF(LineærRegression_Valg[[#This Row],[Intet overlap]],INDEX(DataTitel_liste,LineærRegression_Valg[[#This Row],[Uafhængig variabel ID]]),INDEX(DataTitel_liste,IF(LineærRegression_Valg[[#This Row],[Afhængig variabel ID]]=1,2,1))),$B$7)</f>
        <v>Eksempel 2 (interval)</v>
      </c>
      <c r="H2317" s="171">
        <f>_xlfn.AGGREGATE(2,5,LineærRegression_Valg[[#This Row],[Tabel ID]])</f>
        <v>1</v>
      </c>
    </row>
    <row r="2318" spans="1:8" x14ac:dyDescent="0.2">
      <c r="A2318">
        <f>ROW(LineærRegression_Valg[[#This Row],[Tabel ID]])-ROW(LineærRegression_Valg[[#Headers],[Tabel ID]])</f>
        <v>2308</v>
      </c>
      <c r="B2318" s="171">
        <f>ROUNDDOWN((LineærRegression_Valg[[#This Row],[Tabel ID]]-1)/$B$5,0)+1</f>
        <v>577</v>
      </c>
      <c r="C2318" s="171">
        <f t="shared" si="36"/>
        <v>4</v>
      </c>
      <c r="D2318" s="171" t="b">
        <f>LineærRegression_Valg[[#This Row],[Afhængig variabel ID]]&lt;&gt;LineærRegression_Valg[[#This Row],[Uafhængig variabel ID]]</f>
        <v>1</v>
      </c>
      <c r="E2318" s="171" t="b">
        <f>LineærRegression_Valg[[#This Row],[Afhængig variabel ID]]&lt;=$B$5</f>
        <v>0</v>
      </c>
      <c r="F2318" t="str" cm="1">
        <f t="array" ref="F2318">IF(LineærRegression_Valg[[#This Row],[Indenfor range]],INDEX(DataTitel_liste,LineærRegression_Valg[[#This Row],[Afhængig variabel ID]]),INDEX(DataTitel_liste,1))</f>
        <v>Eksempel 1 (interval)</v>
      </c>
      <c r="G2318" s="171" t="str" cm="1">
        <f t="array" ref="G2318">IF(LineærRegression_Valg[[#This Row],[Indenfor range]],IF(LineærRegression_Valg[[#This Row],[Intet overlap]],INDEX(DataTitel_liste,LineærRegression_Valg[[#This Row],[Uafhængig variabel ID]]),INDEX(DataTitel_liste,IF(LineærRegression_Valg[[#This Row],[Afhængig variabel ID]]=1,2,1))),$B$7)</f>
        <v>Eksempel 2 (interval)</v>
      </c>
      <c r="H2318" s="171">
        <f>_xlfn.AGGREGATE(2,5,LineærRegression_Valg[[#This Row],[Tabel ID]])</f>
        <v>1</v>
      </c>
    </row>
    <row r="2319" spans="1:8" x14ac:dyDescent="0.2">
      <c r="A2319">
        <f>ROW(LineærRegression_Valg[[#This Row],[Tabel ID]])-ROW(LineærRegression_Valg[[#Headers],[Tabel ID]])</f>
        <v>2309</v>
      </c>
      <c r="B2319" s="171">
        <f>ROUNDDOWN((LineærRegression_Valg[[#This Row],[Tabel ID]]-1)/$B$5,0)+1</f>
        <v>578</v>
      </c>
      <c r="C2319" s="171">
        <f t="shared" si="36"/>
        <v>1</v>
      </c>
      <c r="D2319" s="171" t="b">
        <f>LineærRegression_Valg[[#This Row],[Afhængig variabel ID]]&lt;&gt;LineærRegression_Valg[[#This Row],[Uafhængig variabel ID]]</f>
        <v>1</v>
      </c>
      <c r="E2319" s="171" t="b">
        <f>LineærRegression_Valg[[#This Row],[Afhængig variabel ID]]&lt;=$B$5</f>
        <v>0</v>
      </c>
      <c r="F2319" t="str" cm="1">
        <f t="array" ref="F2319">IF(LineærRegression_Valg[[#This Row],[Indenfor range]],INDEX(DataTitel_liste,LineærRegression_Valg[[#This Row],[Afhængig variabel ID]]),INDEX(DataTitel_liste,1))</f>
        <v>Eksempel 1 (interval)</v>
      </c>
      <c r="G2319" s="171" t="str" cm="1">
        <f t="array" ref="G2319">IF(LineærRegression_Valg[[#This Row],[Indenfor range]],IF(LineærRegression_Valg[[#This Row],[Intet overlap]],INDEX(DataTitel_liste,LineærRegression_Valg[[#This Row],[Uafhængig variabel ID]]),INDEX(DataTitel_liste,IF(LineærRegression_Valg[[#This Row],[Afhængig variabel ID]]=1,2,1))),$B$7)</f>
        <v>Eksempel 2 (interval)</v>
      </c>
      <c r="H2319" s="171">
        <f>_xlfn.AGGREGATE(2,5,LineærRegression_Valg[[#This Row],[Tabel ID]])</f>
        <v>1</v>
      </c>
    </row>
    <row r="2320" spans="1:8" x14ac:dyDescent="0.2">
      <c r="A2320">
        <f>ROW(LineærRegression_Valg[[#This Row],[Tabel ID]])-ROW(LineærRegression_Valg[[#Headers],[Tabel ID]])</f>
        <v>2310</v>
      </c>
      <c r="B2320" s="171">
        <f>ROUNDDOWN((LineærRegression_Valg[[#This Row],[Tabel ID]]-1)/$B$5,0)+1</f>
        <v>578</v>
      </c>
      <c r="C2320" s="171">
        <f t="shared" si="36"/>
        <v>2</v>
      </c>
      <c r="D2320" s="171" t="b">
        <f>LineærRegression_Valg[[#This Row],[Afhængig variabel ID]]&lt;&gt;LineærRegression_Valg[[#This Row],[Uafhængig variabel ID]]</f>
        <v>1</v>
      </c>
      <c r="E2320" s="171" t="b">
        <f>LineærRegression_Valg[[#This Row],[Afhængig variabel ID]]&lt;=$B$5</f>
        <v>0</v>
      </c>
      <c r="F2320" t="str" cm="1">
        <f t="array" ref="F2320">IF(LineærRegression_Valg[[#This Row],[Indenfor range]],INDEX(DataTitel_liste,LineærRegression_Valg[[#This Row],[Afhængig variabel ID]]),INDEX(DataTitel_liste,1))</f>
        <v>Eksempel 1 (interval)</v>
      </c>
      <c r="G2320" s="171" t="str" cm="1">
        <f t="array" ref="G2320">IF(LineærRegression_Valg[[#This Row],[Indenfor range]],IF(LineærRegression_Valg[[#This Row],[Intet overlap]],INDEX(DataTitel_liste,LineærRegression_Valg[[#This Row],[Uafhængig variabel ID]]),INDEX(DataTitel_liste,IF(LineærRegression_Valg[[#This Row],[Afhængig variabel ID]]=1,2,1))),$B$7)</f>
        <v>Eksempel 2 (interval)</v>
      </c>
      <c r="H2320" s="171">
        <f>_xlfn.AGGREGATE(2,5,LineærRegression_Valg[[#This Row],[Tabel ID]])</f>
        <v>1</v>
      </c>
    </row>
    <row r="2321" spans="1:8" x14ac:dyDescent="0.2">
      <c r="A2321">
        <f>ROW(LineærRegression_Valg[[#This Row],[Tabel ID]])-ROW(LineærRegression_Valg[[#Headers],[Tabel ID]])</f>
        <v>2311</v>
      </c>
      <c r="B2321" s="171">
        <f>ROUNDDOWN((LineærRegression_Valg[[#This Row],[Tabel ID]]-1)/$B$5,0)+1</f>
        <v>578</v>
      </c>
      <c r="C2321" s="171">
        <f t="shared" si="36"/>
        <v>3</v>
      </c>
      <c r="D2321" s="171" t="b">
        <f>LineærRegression_Valg[[#This Row],[Afhængig variabel ID]]&lt;&gt;LineærRegression_Valg[[#This Row],[Uafhængig variabel ID]]</f>
        <v>1</v>
      </c>
      <c r="E2321" s="171" t="b">
        <f>LineærRegression_Valg[[#This Row],[Afhængig variabel ID]]&lt;=$B$5</f>
        <v>0</v>
      </c>
      <c r="F2321" t="str" cm="1">
        <f t="array" ref="F2321">IF(LineærRegression_Valg[[#This Row],[Indenfor range]],INDEX(DataTitel_liste,LineærRegression_Valg[[#This Row],[Afhængig variabel ID]]),INDEX(DataTitel_liste,1))</f>
        <v>Eksempel 1 (interval)</v>
      </c>
      <c r="G2321" s="171" t="str" cm="1">
        <f t="array" ref="G2321">IF(LineærRegression_Valg[[#This Row],[Indenfor range]],IF(LineærRegression_Valg[[#This Row],[Intet overlap]],INDEX(DataTitel_liste,LineærRegression_Valg[[#This Row],[Uafhængig variabel ID]]),INDEX(DataTitel_liste,IF(LineærRegression_Valg[[#This Row],[Afhængig variabel ID]]=1,2,1))),$B$7)</f>
        <v>Eksempel 2 (interval)</v>
      </c>
      <c r="H2321" s="171">
        <f>_xlfn.AGGREGATE(2,5,LineærRegression_Valg[[#This Row],[Tabel ID]])</f>
        <v>1</v>
      </c>
    </row>
    <row r="2322" spans="1:8" x14ac:dyDescent="0.2">
      <c r="A2322">
        <f>ROW(LineærRegression_Valg[[#This Row],[Tabel ID]])-ROW(LineærRegression_Valg[[#Headers],[Tabel ID]])</f>
        <v>2312</v>
      </c>
      <c r="B2322" s="171">
        <f>ROUNDDOWN((LineærRegression_Valg[[#This Row],[Tabel ID]]-1)/$B$5,0)+1</f>
        <v>578</v>
      </c>
      <c r="C2322" s="171">
        <f t="shared" si="36"/>
        <v>4</v>
      </c>
      <c r="D2322" s="171" t="b">
        <f>LineærRegression_Valg[[#This Row],[Afhængig variabel ID]]&lt;&gt;LineærRegression_Valg[[#This Row],[Uafhængig variabel ID]]</f>
        <v>1</v>
      </c>
      <c r="E2322" s="171" t="b">
        <f>LineærRegression_Valg[[#This Row],[Afhængig variabel ID]]&lt;=$B$5</f>
        <v>0</v>
      </c>
      <c r="F2322" t="str" cm="1">
        <f t="array" ref="F2322">IF(LineærRegression_Valg[[#This Row],[Indenfor range]],INDEX(DataTitel_liste,LineærRegression_Valg[[#This Row],[Afhængig variabel ID]]),INDEX(DataTitel_liste,1))</f>
        <v>Eksempel 1 (interval)</v>
      </c>
      <c r="G2322" s="171" t="str" cm="1">
        <f t="array" ref="G2322">IF(LineærRegression_Valg[[#This Row],[Indenfor range]],IF(LineærRegression_Valg[[#This Row],[Intet overlap]],INDEX(DataTitel_liste,LineærRegression_Valg[[#This Row],[Uafhængig variabel ID]]),INDEX(DataTitel_liste,IF(LineærRegression_Valg[[#This Row],[Afhængig variabel ID]]=1,2,1))),$B$7)</f>
        <v>Eksempel 2 (interval)</v>
      </c>
      <c r="H2322" s="171">
        <f>_xlfn.AGGREGATE(2,5,LineærRegression_Valg[[#This Row],[Tabel ID]])</f>
        <v>1</v>
      </c>
    </row>
    <row r="2323" spans="1:8" x14ac:dyDescent="0.2">
      <c r="A2323">
        <f>ROW(LineærRegression_Valg[[#This Row],[Tabel ID]])-ROW(LineærRegression_Valg[[#Headers],[Tabel ID]])</f>
        <v>2313</v>
      </c>
      <c r="B2323" s="171">
        <f>ROUNDDOWN((LineærRegression_Valg[[#This Row],[Tabel ID]]-1)/$B$5,0)+1</f>
        <v>579</v>
      </c>
      <c r="C2323" s="171">
        <f t="shared" si="36"/>
        <v>1</v>
      </c>
      <c r="D2323" s="171" t="b">
        <f>LineærRegression_Valg[[#This Row],[Afhængig variabel ID]]&lt;&gt;LineærRegression_Valg[[#This Row],[Uafhængig variabel ID]]</f>
        <v>1</v>
      </c>
      <c r="E2323" s="171" t="b">
        <f>LineærRegression_Valg[[#This Row],[Afhængig variabel ID]]&lt;=$B$5</f>
        <v>0</v>
      </c>
      <c r="F2323" t="str" cm="1">
        <f t="array" ref="F2323">IF(LineærRegression_Valg[[#This Row],[Indenfor range]],INDEX(DataTitel_liste,LineærRegression_Valg[[#This Row],[Afhængig variabel ID]]),INDEX(DataTitel_liste,1))</f>
        <v>Eksempel 1 (interval)</v>
      </c>
      <c r="G2323" s="171" t="str" cm="1">
        <f t="array" ref="G2323">IF(LineærRegression_Valg[[#This Row],[Indenfor range]],IF(LineærRegression_Valg[[#This Row],[Intet overlap]],INDEX(DataTitel_liste,LineærRegression_Valg[[#This Row],[Uafhængig variabel ID]]),INDEX(DataTitel_liste,IF(LineærRegression_Valg[[#This Row],[Afhængig variabel ID]]=1,2,1))),$B$7)</f>
        <v>Eksempel 2 (interval)</v>
      </c>
      <c r="H2323" s="171">
        <f>_xlfn.AGGREGATE(2,5,LineærRegression_Valg[[#This Row],[Tabel ID]])</f>
        <v>1</v>
      </c>
    </row>
    <row r="2324" spans="1:8" x14ac:dyDescent="0.2">
      <c r="A2324">
        <f>ROW(LineærRegression_Valg[[#This Row],[Tabel ID]])-ROW(LineærRegression_Valg[[#Headers],[Tabel ID]])</f>
        <v>2314</v>
      </c>
      <c r="B2324" s="171">
        <f>ROUNDDOWN((LineærRegression_Valg[[#This Row],[Tabel ID]]-1)/$B$5,0)+1</f>
        <v>579</v>
      </c>
      <c r="C2324" s="171">
        <f t="shared" si="36"/>
        <v>2</v>
      </c>
      <c r="D2324" s="171" t="b">
        <f>LineærRegression_Valg[[#This Row],[Afhængig variabel ID]]&lt;&gt;LineærRegression_Valg[[#This Row],[Uafhængig variabel ID]]</f>
        <v>1</v>
      </c>
      <c r="E2324" s="171" t="b">
        <f>LineærRegression_Valg[[#This Row],[Afhængig variabel ID]]&lt;=$B$5</f>
        <v>0</v>
      </c>
      <c r="F2324" t="str" cm="1">
        <f t="array" ref="F2324">IF(LineærRegression_Valg[[#This Row],[Indenfor range]],INDEX(DataTitel_liste,LineærRegression_Valg[[#This Row],[Afhængig variabel ID]]),INDEX(DataTitel_liste,1))</f>
        <v>Eksempel 1 (interval)</v>
      </c>
      <c r="G2324" s="171" t="str" cm="1">
        <f t="array" ref="G2324">IF(LineærRegression_Valg[[#This Row],[Indenfor range]],IF(LineærRegression_Valg[[#This Row],[Intet overlap]],INDEX(DataTitel_liste,LineærRegression_Valg[[#This Row],[Uafhængig variabel ID]]),INDEX(DataTitel_liste,IF(LineærRegression_Valg[[#This Row],[Afhængig variabel ID]]=1,2,1))),$B$7)</f>
        <v>Eksempel 2 (interval)</v>
      </c>
      <c r="H2324" s="171">
        <f>_xlfn.AGGREGATE(2,5,LineærRegression_Valg[[#This Row],[Tabel ID]])</f>
        <v>1</v>
      </c>
    </row>
    <row r="2325" spans="1:8" x14ac:dyDescent="0.2">
      <c r="A2325">
        <f>ROW(LineærRegression_Valg[[#This Row],[Tabel ID]])-ROW(LineærRegression_Valg[[#Headers],[Tabel ID]])</f>
        <v>2315</v>
      </c>
      <c r="B2325" s="171">
        <f>ROUNDDOWN((LineærRegression_Valg[[#This Row],[Tabel ID]]-1)/$B$5,0)+1</f>
        <v>579</v>
      </c>
      <c r="C2325" s="171">
        <f t="shared" si="36"/>
        <v>3</v>
      </c>
      <c r="D2325" s="171" t="b">
        <f>LineærRegression_Valg[[#This Row],[Afhængig variabel ID]]&lt;&gt;LineærRegression_Valg[[#This Row],[Uafhængig variabel ID]]</f>
        <v>1</v>
      </c>
      <c r="E2325" s="171" t="b">
        <f>LineærRegression_Valg[[#This Row],[Afhængig variabel ID]]&lt;=$B$5</f>
        <v>0</v>
      </c>
      <c r="F2325" t="str" cm="1">
        <f t="array" ref="F2325">IF(LineærRegression_Valg[[#This Row],[Indenfor range]],INDEX(DataTitel_liste,LineærRegression_Valg[[#This Row],[Afhængig variabel ID]]),INDEX(DataTitel_liste,1))</f>
        <v>Eksempel 1 (interval)</v>
      </c>
      <c r="G2325" s="171" t="str" cm="1">
        <f t="array" ref="G2325">IF(LineærRegression_Valg[[#This Row],[Indenfor range]],IF(LineærRegression_Valg[[#This Row],[Intet overlap]],INDEX(DataTitel_liste,LineærRegression_Valg[[#This Row],[Uafhængig variabel ID]]),INDEX(DataTitel_liste,IF(LineærRegression_Valg[[#This Row],[Afhængig variabel ID]]=1,2,1))),$B$7)</f>
        <v>Eksempel 2 (interval)</v>
      </c>
      <c r="H2325" s="171">
        <f>_xlfn.AGGREGATE(2,5,LineærRegression_Valg[[#This Row],[Tabel ID]])</f>
        <v>1</v>
      </c>
    </row>
    <row r="2326" spans="1:8" x14ac:dyDescent="0.2">
      <c r="A2326">
        <f>ROW(LineærRegression_Valg[[#This Row],[Tabel ID]])-ROW(LineærRegression_Valg[[#Headers],[Tabel ID]])</f>
        <v>2316</v>
      </c>
      <c r="B2326" s="171">
        <f>ROUNDDOWN((LineærRegression_Valg[[#This Row],[Tabel ID]]-1)/$B$5,0)+1</f>
        <v>579</v>
      </c>
      <c r="C2326" s="171">
        <f t="shared" si="36"/>
        <v>4</v>
      </c>
      <c r="D2326" s="171" t="b">
        <f>LineærRegression_Valg[[#This Row],[Afhængig variabel ID]]&lt;&gt;LineærRegression_Valg[[#This Row],[Uafhængig variabel ID]]</f>
        <v>1</v>
      </c>
      <c r="E2326" s="171" t="b">
        <f>LineærRegression_Valg[[#This Row],[Afhængig variabel ID]]&lt;=$B$5</f>
        <v>0</v>
      </c>
      <c r="F2326" t="str" cm="1">
        <f t="array" ref="F2326">IF(LineærRegression_Valg[[#This Row],[Indenfor range]],INDEX(DataTitel_liste,LineærRegression_Valg[[#This Row],[Afhængig variabel ID]]),INDEX(DataTitel_liste,1))</f>
        <v>Eksempel 1 (interval)</v>
      </c>
      <c r="G2326" s="171" t="str" cm="1">
        <f t="array" ref="G2326">IF(LineærRegression_Valg[[#This Row],[Indenfor range]],IF(LineærRegression_Valg[[#This Row],[Intet overlap]],INDEX(DataTitel_liste,LineærRegression_Valg[[#This Row],[Uafhængig variabel ID]]),INDEX(DataTitel_liste,IF(LineærRegression_Valg[[#This Row],[Afhængig variabel ID]]=1,2,1))),$B$7)</f>
        <v>Eksempel 2 (interval)</v>
      </c>
      <c r="H2326" s="171">
        <f>_xlfn.AGGREGATE(2,5,LineærRegression_Valg[[#This Row],[Tabel ID]])</f>
        <v>1</v>
      </c>
    </row>
    <row r="2327" spans="1:8" x14ac:dyDescent="0.2">
      <c r="A2327">
        <f>ROW(LineærRegression_Valg[[#This Row],[Tabel ID]])-ROW(LineærRegression_Valg[[#Headers],[Tabel ID]])</f>
        <v>2317</v>
      </c>
      <c r="B2327" s="171">
        <f>ROUNDDOWN((LineærRegression_Valg[[#This Row],[Tabel ID]]-1)/$B$5,0)+1</f>
        <v>580</v>
      </c>
      <c r="C2327" s="171">
        <f t="shared" si="36"/>
        <v>1</v>
      </c>
      <c r="D2327" s="171" t="b">
        <f>LineærRegression_Valg[[#This Row],[Afhængig variabel ID]]&lt;&gt;LineærRegression_Valg[[#This Row],[Uafhængig variabel ID]]</f>
        <v>1</v>
      </c>
      <c r="E2327" s="171" t="b">
        <f>LineærRegression_Valg[[#This Row],[Afhængig variabel ID]]&lt;=$B$5</f>
        <v>0</v>
      </c>
      <c r="F2327" t="str" cm="1">
        <f t="array" ref="F2327">IF(LineærRegression_Valg[[#This Row],[Indenfor range]],INDEX(DataTitel_liste,LineærRegression_Valg[[#This Row],[Afhængig variabel ID]]),INDEX(DataTitel_liste,1))</f>
        <v>Eksempel 1 (interval)</v>
      </c>
      <c r="G2327" s="171" t="str" cm="1">
        <f t="array" ref="G2327">IF(LineærRegression_Valg[[#This Row],[Indenfor range]],IF(LineærRegression_Valg[[#This Row],[Intet overlap]],INDEX(DataTitel_liste,LineærRegression_Valg[[#This Row],[Uafhængig variabel ID]]),INDEX(DataTitel_liste,IF(LineærRegression_Valg[[#This Row],[Afhængig variabel ID]]=1,2,1))),$B$7)</f>
        <v>Eksempel 2 (interval)</v>
      </c>
      <c r="H2327" s="171">
        <f>_xlfn.AGGREGATE(2,5,LineærRegression_Valg[[#This Row],[Tabel ID]])</f>
        <v>1</v>
      </c>
    </row>
    <row r="2328" spans="1:8" x14ac:dyDescent="0.2">
      <c r="A2328">
        <f>ROW(LineærRegression_Valg[[#This Row],[Tabel ID]])-ROW(LineærRegression_Valg[[#Headers],[Tabel ID]])</f>
        <v>2318</v>
      </c>
      <c r="B2328" s="171">
        <f>ROUNDDOWN((LineærRegression_Valg[[#This Row],[Tabel ID]]-1)/$B$5,0)+1</f>
        <v>580</v>
      </c>
      <c r="C2328" s="171">
        <f t="shared" si="36"/>
        <v>2</v>
      </c>
      <c r="D2328" s="171" t="b">
        <f>LineærRegression_Valg[[#This Row],[Afhængig variabel ID]]&lt;&gt;LineærRegression_Valg[[#This Row],[Uafhængig variabel ID]]</f>
        <v>1</v>
      </c>
      <c r="E2328" s="171" t="b">
        <f>LineærRegression_Valg[[#This Row],[Afhængig variabel ID]]&lt;=$B$5</f>
        <v>0</v>
      </c>
      <c r="F2328" t="str" cm="1">
        <f t="array" ref="F2328">IF(LineærRegression_Valg[[#This Row],[Indenfor range]],INDEX(DataTitel_liste,LineærRegression_Valg[[#This Row],[Afhængig variabel ID]]),INDEX(DataTitel_liste,1))</f>
        <v>Eksempel 1 (interval)</v>
      </c>
      <c r="G2328" s="171" t="str" cm="1">
        <f t="array" ref="G2328">IF(LineærRegression_Valg[[#This Row],[Indenfor range]],IF(LineærRegression_Valg[[#This Row],[Intet overlap]],INDEX(DataTitel_liste,LineærRegression_Valg[[#This Row],[Uafhængig variabel ID]]),INDEX(DataTitel_liste,IF(LineærRegression_Valg[[#This Row],[Afhængig variabel ID]]=1,2,1))),$B$7)</f>
        <v>Eksempel 2 (interval)</v>
      </c>
      <c r="H2328" s="171">
        <f>_xlfn.AGGREGATE(2,5,LineærRegression_Valg[[#This Row],[Tabel ID]])</f>
        <v>1</v>
      </c>
    </row>
    <row r="2329" spans="1:8" x14ac:dyDescent="0.2">
      <c r="A2329">
        <f>ROW(LineærRegression_Valg[[#This Row],[Tabel ID]])-ROW(LineærRegression_Valg[[#Headers],[Tabel ID]])</f>
        <v>2319</v>
      </c>
      <c r="B2329" s="171">
        <f>ROUNDDOWN((LineærRegression_Valg[[#This Row],[Tabel ID]]-1)/$B$5,0)+1</f>
        <v>580</v>
      </c>
      <c r="C2329" s="171">
        <f t="shared" si="36"/>
        <v>3</v>
      </c>
      <c r="D2329" s="171" t="b">
        <f>LineærRegression_Valg[[#This Row],[Afhængig variabel ID]]&lt;&gt;LineærRegression_Valg[[#This Row],[Uafhængig variabel ID]]</f>
        <v>1</v>
      </c>
      <c r="E2329" s="171" t="b">
        <f>LineærRegression_Valg[[#This Row],[Afhængig variabel ID]]&lt;=$B$5</f>
        <v>0</v>
      </c>
      <c r="F2329" t="str" cm="1">
        <f t="array" ref="F2329">IF(LineærRegression_Valg[[#This Row],[Indenfor range]],INDEX(DataTitel_liste,LineærRegression_Valg[[#This Row],[Afhængig variabel ID]]),INDEX(DataTitel_liste,1))</f>
        <v>Eksempel 1 (interval)</v>
      </c>
      <c r="G2329" s="171" t="str" cm="1">
        <f t="array" ref="G2329">IF(LineærRegression_Valg[[#This Row],[Indenfor range]],IF(LineærRegression_Valg[[#This Row],[Intet overlap]],INDEX(DataTitel_liste,LineærRegression_Valg[[#This Row],[Uafhængig variabel ID]]),INDEX(DataTitel_liste,IF(LineærRegression_Valg[[#This Row],[Afhængig variabel ID]]=1,2,1))),$B$7)</f>
        <v>Eksempel 2 (interval)</v>
      </c>
      <c r="H2329" s="171">
        <f>_xlfn.AGGREGATE(2,5,LineærRegression_Valg[[#This Row],[Tabel ID]])</f>
        <v>1</v>
      </c>
    </row>
    <row r="2330" spans="1:8" x14ac:dyDescent="0.2">
      <c r="A2330">
        <f>ROW(LineærRegression_Valg[[#This Row],[Tabel ID]])-ROW(LineærRegression_Valg[[#Headers],[Tabel ID]])</f>
        <v>2320</v>
      </c>
      <c r="B2330" s="171">
        <f>ROUNDDOWN((LineærRegression_Valg[[#This Row],[Tabel ID]]-1)/$B$5,0)+1</f>
        <v>580</v>
      </c>
      <c r="C2330" s="171">
        <f t="shared" si="36"/>
        <v>4</v>
      </c>
      <c r="D2330" s="171" t="b">
        <f>LineærRegression_Valg[[#This Row],[Afhængig variabel ID]]&lt;&gt;LineærRegression_Valg[[#This Row],[Uafhængig variabel ID]]</f>
        <v>1</v>
      </c>
      <c r="E2330" s="171" t="b">
        <f>LineærRegression_Valg[[#This Row],[Afhængig variabel ID]]&lt;=$B$5</f>
        <v>0</v>
      </c>
      <c r="F2330" t="str" cm="1">
        <f t="array" ref="F2330">IF(LineærRegression_Valg[[#This Row],[Indenfor range]],INDEX(DataTitel_liste,LineærRegression_Valg[[#This Row],[Afhængig variabel ID]]),INDEX(DataTitel_liste,1))</f>
        <v>Eksempel 1 (interval)</v>
      </c>
      <c r="G2330" s="171" t="str" cm="1">
        <f t="array" ref="G2330">IF(LineærRegression_Valg[[#This Row],[Indenfor range]],IF(LineærRegression_Valg[[#This Row],[Intet overlap]],INDEX(DataTitel_liste,LineærRegression_Valg[[#This Row],[Uafhængig variabel ID]]),INDEX(DataTitel_liste,IF(LineærRegression_Valg[[#This Row],[Afhængig variabel ID]]=1,2,1))),$B$7)</f>
        <v>Eksempel 2 (interval)</v>
      </c>
      <c r="H2330" s="171">
        <f>_xlfn.AGGREGATE(2,5,LineærRegression_Valg[[#This Row],[Tabel ID]])</f>
        <v>1</v>
      </c>
    </row>
    <row r="2331" spans="1:8" x14ac:dyDescent="0.2">
      <c r="A2331">
        <f>ROW(LineærRegression_Valg[[#This Row],[Tabel ID]])-ROW(LineærRegression_Valg[[#Headers],[Tabel ID]])</f>
        <v>2321</v>
      </c>
      <c r="B2331" s="171">
        <f>ROUNDDOWN((LineærRegression_Valg[[#This Row],[Tabel ID]]-1)/$B$5,0)+1</f>
        <v>581</v>
      </c>
      <c r="C2331" s="171">
        <f t="shared" si="36"/>
        <v>1</v>
      </c>
      <c r="D2331" s="171" t="b">
        <f>LineærRegression_Valg[[#This Row],[Afhængig variabel ID]]&lt;&gt;LineærRegression_Valg[[#This Row],[Uafhængig variabel ID]]</f>
        <v>1</v>
      </c>
      <c r="E2331" s="171" t="b">
        <f>LineærRegression_Valg[[#This Row],[Afhængig variabel ID]]&lt;=$B$5</f>
        <v>0</v>
      </c>
      <c r="F2331" t="str" cm="1">
        <f t="array" ref="F2331">IF(LineærRegression_Valg[[#This Row],[Indenfor range]],INDEX(DataTitel_liste,LineærRegression_Valg[[#This Row],[Afhængig variabel ID]]),INDEX(DataTitel_liste,1))</f>
        <v>Eksempel 1 (interval)</v>
      </c>
      <c r="G2331" s="171" t="str" cm="1">
        <f t="array" ref="G2331">IF(LineærRegression_Valg[[#This Row],[Indenfor range]],IF(LineærRegression_Valg[[#This Row],[Intet overlap]],INDEX(DataTitel_liste,LineærRegression_Valg[[#This Row],[Uafhængig variabel ID]]),INDEX(DataTitel_liste,IF(LineærRegression_Valg[[#This Row],[Afhængig variabel ID]]=1,2,1))),$B$7)</f>
        <v>Eksempel 2 (interval)</v>
      </c>
      <c r="H2331" s="171">
        <f>_xlfn.AGGREGATE(2,5,LineærRegression_Valg[[#This Row],[Tabel ID]])</f>
        <v>1</v>
      </c>
    </row>
    <row r="2332" spans="1:8" x14ac:dyDescent="0.2">
      <c r="A2332">
        <f>ROW(LineærRegression_Valg[[#This Row],[Tabel ID]])-ROW(LineærRegression_Valg[[#Headers],[Tabel ID]])</f>
        <v>2322</v>
      </c>
      <c r="B2332" s="171">
        <f>ROUNDDOWN((LineærRegression_Valg[[#This Row],[Tabel ID]]-1)/$B$5,0)+1</f>
        <v>581</v>
      </c>
      <c r="C2332" s="171">
        <f t="shared" si="36"/>
        <v>2</v>
      </c>
      <c r="D2332" s="171" t="b">
        <f>LineærRegression_Valg[[#This Row],[Afhængig variabel ID]]&lt;&gt;LineærRegression_Valg[[#This Row],[Uafhængig variabel ID]]</f>
        <v>1</v>
      </c>
      <c r="E2332" s="171" t="b">
        <f>LineærRegression_Valg[[#This Row],[Afhængig variabel ID]]&lt;=$B$5</f>
        <v>0</v>
      </c>
      <c r="F2332" t="str" cm="1">
        <f t="array" ref="F2332">IF(LineærRegression_Valg[[#This Row],[Indenfor range]],INDEX(DataTitel_liste,LineærRegression_Valg[[#This Row],[Afhængig variabel ID]]),INDEX(DataTitel_liste,1))</f>
        <v>Eksempel 1 (interval)</v>
      </c>
      <c r="G2332" s="171" t="str" cm="1">
        <f t="array" ref="G2332">IF(LineærRegression_Valg[[#This Row],[Indenfor range]],IF(LineærRegression_Valg[[#This Row],[Intet overlap]],INDEX(DataTitel_liste,LineærRegression_Valg[[#This Row],[Uafhængig variabel ID]]),INDEX(DataTitel_liste,IF(LineærRegression_Valg[[#This Row],[Afhængig variabel ID]]=1,2,1))),$B$7)</f>
        <v>Eksempel 2 (interval)</v>
      </c>
      <c r="H2332" s="171">
        <f>_xlfn.AGGREGATE(2,5,LineærRegression_Valg[[#This Row],[Tabel ID]])</f>
        <v>1</v>
      </c>
    </row>
    <row r="2333" spans="1:8" x14ac:dyDescent="0.2">
      <c r="A2333">
        <f>ROW(LineærRegression_Valg[[#This Row],[Tabel ID]])-ROW(LineærRegression_Valg[[#Headers],[Tabel ID]])</f>
        <v>2323</v>
      </c>
      <c r="B2333" s="171">
        <f>ROUNDDOWN((LineærRegression_Valg[[#This Row],[Tabel ID]]-1)/$B$5,0)+1</f>
        <v>581</v>
      </c>
      <c r="C2333" s="171">
        <f t="shared" si="36"/>
        <v>3</v>
      </c>
      <c r="D2333" s="171" t="b">
        <f>LineærRegression_Valg[[#This Row],[Afhængig variabel ID]]&lt;&gt;LineærRegression_Valg[[#This Row],[Uafhængig variabel ID]]</f>
        <v>1</v>
      </c>
      <c r="E2333" s="171" t="b">
        <f>LineærRegression_Valg[[#This Row],[Afhængig variabel ID]]&lt;=$B$5</f>
        <v>0</v>
      </c>
      <c r="F2333" t="str" cm="1">
        <f t="array" ref="F2333">IF(LineærRegression_Valg[[#This Row],[Indenfor range]],INDEX(DataTitel_liste,LineærRegression_Valg[[#This Row],[Afhængig variabel ID]]),INDEX(DataTitel_liste,1))</f>
        <v>Eksempel 1 (interval)</v>
      </c>
      <c r="G2333" s="171" t="str" cm="1">
        <f t="array" ref="G2333">IF(LineærRegression_Valg[[#This Row],[Indenfor range]],IF(LineærRegression_Valg[[#This Row],[Intet overlap]],INDEX(DataTitel_liste,LineærRegression_Valg[[#This Row],[Uafhængig variabel ID]]),INDEX(DataTitel_liste,IF(LineærRegression_Valg[[#This Row],[Afhængig variabel ID]]=1,2,1))),$B$7)</f>
        <v>Eksempel 2 (interval)</v>
      </c>
      <c r="H2333" s="171">
        <f>_xlfn.AGGREGATE(2,5,LineærRegression_Valg[[#This Row],[Tabel ID]])</f>
        <v>1</v>
      </c>
    </row>
    <row r="2334" spans="1:8" x14ac:dyDescent="0.2">
      <c r="A2334">
        <f>ROW(LineærRegression_Valg[[#This Row],[Tabel ID]])-ROW(LineærRegression_Valg[[#Headers],[Tabel ID]])</f>
        <v>2324</v>
      </c>
      <c r="B2334" s="171">
        <f>ROUNDDOWN((LineærRegression_Valg[[#This Row],[Tabel ID]]-1)/$B$5,0)+1</f>
        <v>581</v>
      </c>
      <c r="C2334" s="171">
        <f t="shared" si="36"/>
        <v>4</v>
      </c>
      <c r="D2334" s="171" t="b">
        <f>LineærRegression_Valg[[#This Row],[Afhængig variabel ID]]&lt;&gt;LineærRegression_Valg[[#This Row],[Uafhængig variabel ID]]</f>
        <v>1</v>
      </c>
      <c r="E2334" s="171" t="b">
        <f>LineærRegression_Valg[[#This Row],[Afhængig variabel ID]]&lt;=$B$5</f>
        <v>0</v>
      </c>
      <c r="F2334" t="str" cm="1">
        <f t="array" ref="F2334">IF(LineærRegression_Valg[[#This Row],[Indenfor range]],INDEX(DataTitel_liste,LineærRegression_Valg[[#This Row],[Afhængig variabel ID]]),INDEX(DataTitel_liste,1))</f>
        <v>Eksempel 1 (interval)</v>
      </c>
      <c r="G2334" s="171" t="str" cm="1">
        <f t="array" ref="G2334">IF(LineærRegression_Valg[[#This Row],[Indenfor range]],IF(LineærRegression_Valg[[#This Row],[Intet overlap]],INDEX(DataTitel_liste,LineærRegression_Valg[[#This Row],[Uafhængig variabel ID]]),INDEX(DataTitel_liste,IF(LineærRegression_Valg[[#This Row],[Afhængig variabel ID]]=1,2,1))),$B$7)</f>
        <v>Eksempel 2 (interval)</v>
      </c>
      <c r="H2334" s="171">
        <f>_xlfn.AGGREGATE(2,5,LineærRegression_Valg[[#This Row],[Tabel ID]])</f>
        <v>1</v>
      </c>
    </row>
    <row r="2335" spans="1:8" x14ac:dyDescent="0.2">
      <c r="A2335">
        <f>ROW(LineærRegression_Valg[[#This Row],[Tabel ID]])-ROW(LineærRegression_Valg[[#Headers],[Tabel ID]])</f>
        <v>2325</v>
      </c>
      <c r="B2335" s="171">
        <f>ROUNDDOWN((LineærRegression_Valg[[#This Row],[Tabel ID]]-1)/$B$5,0)+1</f>
        <v>582</v>
      </c>
      <c r="C2335" s="171">
        <f t="shared" si="36"/>
        <v>1</v>
      </c>
      <c r="D2335" s="171" t="b">
        <f>LineærRegression_Valg[[#This Row],[Afhængig variabel ID]]&lt;&gt;LineærRegression_Valg[[#This Row],[Uafhængig variabel ID]]</f>
        <v>1</v>
      </c>
      <c r="E2335" s="171" t="b">
        <f>LineærRegression_Valg[[#This Row],[Afhængig variabel ID]]&lt;=$B$5</f>
        <v>0</v>
      </c>
      <c r="F2335" t="str" cm="1">
        <f t="array" ref="F2335">IF(LineærRegression_Valg[[#This Row],[Indenfor range]],INDEX(DataTitel_liste,LineærRegression_Valg[[#This Row],[Afhængig variabel ID]]),INDEX(DataTitel_liste,1))</f>
        <v>Eksempel 1 (interval)</v>
      </c>
      <c r="G2335" s="171" t="str" cm="1">
        <f t="array" ref="G2335">IF(LineærRegression_Valg[[#This Row],[Indenfor range]],IF(LineærRegression_Valg[[#This Row],[Intet overlap]],INDEX(DataTitel_liste,LineærRegression_Valg[[#This Row],[Uafhængig variabel ID]]),INDEX(DataTitel_liste,IF(LineærRegression_Valg[[#This Row],[Afhængig variabel ID]]=1,2,1))),$B$7)</f>
        <v>Eksempel 2 (interval)</v>
      </c>
      <c r="H2335" s="171">
        <f>_xlfn.AGGREGATE(2,5,LineærRegression_Valg[[#This Row],[Tabel ID]])</f>
        <v>1</v>
      </c>
    </row>
    <row r="2336" spans="1:8" x14ac:dyDescent="0.2">
      <c r="A2336">
        <f>ROW(LineærRegression_Valg[[#This Row],[Tabel ID]])-ROW(LineærRegression_Valg[[#Headers],[Tabel ID]])</f>
        <v>2326</v>
      </c>
      <c r="B2336" s="171">
        <f>ROUNDDOWN((LineærRegression_Valg[[#This Row],[Tabel ID]]-1)/$B$5,0)+1</f>
        <v>582</v>
      </c>
      <c r="C2336" s="171">
        <f t="shared" si="36"/>
        <v>2</v>
      </c>
      <c r="D2336" s="171" t="b">
        <f>LineærRegression_Valg[[#This Row],[Afhængig variabel ID]]&lt;&gt;LineærRegression_Valg[[#This Row],[Uafhængig variabel ID]]</f>
        <v>1</v>
      </c>
      <c r="E2336" s="171" t="b">
        <f>LineærRegression_Valg[[#This Row],[Afhængig variabel ID]]&lt;=$B$5</f>
        <v>0</v>
      </c>
      <c r="F2336" t="str" cm="1">
        <f t="array" ref="F2336">IF(LineærRegression_Valg[[#This Row],[Indenfor range]],INDEX(DataTitel_liste,LineærRegression_Valg[[#This Row],[Afhængig variabel ID]]),INDEX(DataTitel_liste,1))</f>
        <v>Eksempel 1 (interval)</v>
      </c>
      <c r="G2336" s="171" t="str" cm="1">
        <f t="array" ref="G2336">IF(LineærRegression_Valg[[#This Row],[Indenfor range]],IF(LineærRegression_Valg[[#This Row],[Intet overlap]],INDEX(DataTitel_liste,LineærRegression_Valg[[#This Row],[Uafhængig variabel ID]]),INDEX(DataTitel_liste,IF(LineærRegression_Valg[[#This Row],[Afhængig variabel ID]]=1,2,1))),$B$7)</f>
        <v>Eksempel 2 (interval)</v>
      </c>
      <c r="H2336" s="171">
        <f>_xlfn.AGGREGATE(2,5,LineærRegression_Valg[[#This Row],[Tabel ID]])</f>
        <v>1</v>
      </c>
    </row>
    <row r="2337" spans="1:8" x14ac:dyDescent="0.2">
      <c r="A2337">
        <f>ROW(LineærRegression_Valg[[#This Row],[Tabel ID]])-ROW(LineærRegression_Valg[[#Headers],[Tabel ID]])</f>
        <v>2327</v>
      </c>
      <c r="B2337" s="171">
        <f>ROUNDDOWN((LineærRegression_Valg[[#This Row],[Tabel ID]]-1)/$B$5,0)+1</f>
        <v>582</v>
      </c>
      <c r="C2337" s="171">
        <f t="shared" si="36"/>
        <v>3</v>
      </c>
      <c r="D2337" s="171" t="b">
        <f>LineærRegression_Valg[[#This Row],[Afhængig variabel ID]]&lt;&gt;LineærRegression_Valg[[#This Row],[Uafhængig variabel ID]]</f>
        <v>1</v>
      </c>
      <c r="E2337" s="171" t="b">
        <f>LineærRegression_Valg[[#This Row],[Afhængig variabel ID]]&lt;=$B$5</f>
        <v>0</v>
      </c>
      <c r="F2337" t="str" cm="1">
        <f t="array" ref="F2337">IF(LineærRegression_Valg[[#This Row],[Indenfor range]],INDEX(DataTitel_liste,LineærRegression_Valg[[#This Row],[Afhængig variabel ID]]),INDEX(DataTitel_liste,1))</f>
        <v>Eksempel 1 (interval)</v>
      </c>
      <c r="G2337" s="171" t="str" cm="1">
        <f t="array" ref="G2337">IF(LineærRegression_Valg[[#This Row],[Indenfor range]],IF(LineærRegression_Valg[[#This Row],[Intet overlap]],INDEX(DataTitel_liste,LineærRegression_Valg[[#This Row],[Uafhængig variabel ID]]),INDEX(DataTitel_liste,IF(LineærRegression_Valg[[#This Row],[Afhængig variabel ID]]=1,2,1))),$B$7)</f>
        <v>Eksempel 2 (interval)</v>
      </c>
      <c r="H2337" s="171">
        <f>_xlfn.AGGREGATE(2,5,LineærRegression_Valg[[#This Row],[Tabel ID]])</f>
        <v>1</v>
      </c>
    </row>
    <row r="2338" spans="1:8" x14ac:dyDescent="0.2">
      <c r="A2338">
        <f>ROW(LineærRegression_Valg[[#This Row],[Tabel ID]])-ROW(LineærRegression_Valg[[#Headers],[Tabel ID]])</f>
        <v>2328</v>
      </c>
      <c r="B2338" s="171">
        <f>ROUNDDOWN((LineærRegression_Valg[[#This Row],[Tabel ID]]-1)/$B$5,0)+1</f>
        <v>582</v>
      </c>
      <c r="C2338" s="171">
        <f t="shared" si="36"/>
        <v>4</v>
      </c>
      <c r="D2338" s="171" t="b">
        <f>LineærRegression_Valg[[#This Row],[Afhængig variabel ID]]&lt;&gt;LineærRegression_Valg[[#This Row],[Uafhængig variabel ID]]</f>
        <v>1</v>
      </c>
      <c r="E2338" s="171" t="b">
        <f>LineærRegression_Valg[[#This Row],[Afhængig variabel ID]]&lt;=$B$5</f>
        <v>0</v>
      </c>
      <c r="F2338" t="str" cm="1">
        <f t="array" ref="F2338">IF(LineærRegression_Valg[[#This Row],[Indenfor range]],INDEX(DataTitel_liste,LineærRegression_Valg[[#This Row],[Afhængig variabel ID]]),INDEX(DataTitel_liste,1))</f>
        <v>Eksempel 1 (interval)</v>
      </c>
      <c r="G2338" s="171" t="str" cm="1">
        <f t="array" ref="G2338">IF(LineærRegression_Valg[[#This Row],[Indenfor range]],IF(LineærRegression_Valg[[#This Row],[Intet overlap]],INDEX(DataTitel_liste,LineærRegression_Valg[[#This Row],[Uafhængig variabel ID]]),INDEX(DataTitel_liste,IF(LineærRegression_Valg[[#This Row],[Afhængig variabel ID]]=1,2,1))),$B$7)</f>
        <v>Eksempel 2 (interval)</v>
      </c>
      <c r="H2338" s="171">
        <f>_xlfn.AGGREGATE(2,5,LineærRegression_Valg[[#This Row],[Tabel ID]])</f>
        <v>1</v>
      </c>
    </row>
    <row r="2339" spans="1:8" x14ac:dyDescent="0.2">
      <c r="A2339">
        <f>ROW(LineærRegression_Valg[[#This Row],[Tabel ID]])-ROW(LineærRegression_Valg[[#Headers],[Tabel ID]])</f>
        <v>2329</v>
      </c>
      <c r="B2339" s="171">
        <f>ROUNDDOWN((LineærRegression_Valg[[#This Row],[Tabel ID]]-1)/$B$5,0)+1</f>
        <v>583</v>
      </c>
      <c r="C2339" s="171">
        <f t="shared" si="36"/>
        <v>1</v>
      </c>
      <c r="D2339" s="171" t="b">
        <f>LineærRegression_Valg[[#This Row],[Afhængig variabel ID]]&lt;&gt;LineærRegression_Valg[[#This Row],[Uafhængig variabel ID]]</f>
        <v>1</v>
      </c>
      <c r="E2339" s="171" t="b">
        <f>LineærRegression_Valg[[#This Row],[Afhængig variabel ID]]&lt;=$B$5</f>
        <v>0</v>
      </c>
      <c r="F2339" t="str" cm="1">
        <f t="array" ref="F2339">IF(LineærRegression_Valg[[#This Row],[Indenfor range]],INDEX(DataTitel_liste,LineærRegression_Valg[[#This Row],[Afhængig variabel ID]]),INDEX(DataTitel_liste,1))</f>
        <v>Eksempel 1 (interval)</v>
      </c>
      <c r="G2339" s="171" t="str" cm="1">
        <f t="array" ref="G2339">IF(LineærRegression_Valg[[#This Row],[Indenfor range]],IF(LineærRegression_Valg[[#This Row],[Intet overlap]],INDEX(DataTitel_liste,LineærRegression_Valg[[#This Row],[Uafhængig variabel ID]]),INDEX(DataTitel_liste,IF(LineærRegression_Valg[[#This Row],[Afhængig variabel ID]]=1,2,1))),$B$7)</f>
        <v>Eksempel 2 (interval)</v>
      </c>
      <c r="H2339" s="171">
        <f>_xlfn.AGGREGATE(2,5,LineærRegression_Valg[[#This Row],[Tabel ID]])</f>
        <v>1</v>
      </c>
    </row>
    <row r="2340" spans="1:8" x14ac:dyDescent="0.2">
      <c r="A2340">
        <f>ROW(LineærRegression_Valg[[#This Row],[Tabel ID]])-ROW(LineærRegression_Valg[[#Headers],[Tabel ID]])</f>
        <v>2330</v>
      </c>
      <c r="B2340" s="171">
        <f>ROUNDDOWN((LineærRegression_Valg[[#This Row],[Tabel ID]]-1)/$B$5,0)+1</f>
        <v>583</v>
      </c>
      <c r="C2340" s="171">
        <f t="shared" si="36"/>
        <v>2</v>
      </c>
      <c r="D2340" s="171" t="b">
        <f>LineærRegression_Valg[[#This Row],[Afhængig variabel ID]]&lt;&gt;LineærRegression_Valg[[#This Row],[Uafhængig variabel ID]]</f>
        <v>1</v>
      </c>
      <c r="E2340" s="171" t="b">
        <f>LineærRegression_Valg[[#This Row],[Afhængig variabel ID]]&lt;=$B$5</f>
        <v>0</v>
      </c>
      <c r="F2340" t="str" cm="1">
        <f t="array" ref="F2340">IF(LineærRegression_Valg[[#This Row],[Indenfor range]],INDEX(DataTitel_liste,LineærRegression_Valg[[#This Row],[Afhængig variabel ID]]),INDEX(DataTitel_liste,1))</f>
        <v>Eksempel 1 (interval)</v>
      </c>
      <c r="G2340" s="171" t="str" cm="1">
        <f t="array" ref="G2340">IF(LineærRegression_Valg[[#This Row],[Indenfor range]],IF(LineærRegression_Valg[[#This Row],[Intet overlap]],INDEX(DataTitel_liste,LineærRegression_Valg[[#This Row],[Uafhængig variabel ID]]),INDEX(DataTitel_liste,IF(LineærRegression_Valg[[#This Row],[Afhængig variabel ID]]=1,2,1))),$B$7)</f>
        <v>Eksempel 2 (interval)</v>
      </c>
      <c r="H2340" s="171">
        <f>_xlfn.AGGREGATE(2,5,LineærRegression_Valg[[#This Row],[Tabel ID]])</f>
        <v>1</v>
      </c>
    </row>
    <row r="2341" spans="1:8" x14ac:dyDescent="0.2">
      <c r="A2341">
        <f>ROW(LineærRegression_Valg[[#This Row],[Tabel ID]])-ROW(LineærRegression_Valg[[#Headers],[Tabel ID]])</f>
        <v>2331</v>
      </c>
      <c r="B2341" s="171">
        <f>ROUNDDOWN((LineærRegression_Valg[[#This Row],[Tabel ID]]-1)/$B$5,0)+1</f>
        <v>583</v>
      </c>
      <c r="C2341" s="171">
        <f t="shared" si="36"/>
        <v>3</v>
      </c>
      <c r="D2341" s="171" t="b">
        <f>LineærRegression_Valg[[#This Row],[Afhængig variabel ID]]&lt;&gt;LineærRegression_Valg[[#This Row],[Uafhængig variabel ID]]</f>
        <v>1</v>
      </c>
      <c r="E2341" s="171" t="b">
        <f>LineærRegression_Valg[[#This Row],[Afhængig variabel ID]]&lt;=$B$5</f>
        <v>0</v>
      </c>
      <c r="F2341" t="str" cm="1">
        <f t="array" ref="F2341">IF(LineærRegression_Valg[[#This Row],[Indenfor range]],INDEX(DataTitel_liste,LineærRegression_Valg[[#This Row],[Afhængig variabel ID]]),INDEX(DataTitel_liste,1))</f>
        <v>Eksempel 1 (interval)</v>
      </c>
      <c r="G2341" s="171" t="str" cm="1">
        <f t="array" ref="G2341">IF(LineærRegression_Valg[[#This Row],[Indenfor range]],IF(LineærRegression_Valg[[#This Row],[Intet overlap]],INDEX(DataTitel_liste,LineærRegression_Valg[[#This Row],[Uafhængig variabel ID]]),INDEX(DataTitel_liste,IF(LineærRegression_Valg[[#This Row],[Afhængig variabel ID]]=1,2,1))),$B$7)</f>
        <v>Eksempel 2 (interval)</v>
      </c>
      <c r="H2341" s="171">
        <f>_xlfn.AGGREGATE(2,5,LineærRegression_Valg[[#This Row],[Tabel ID]])</f>
        <v>1</v>
      </c>
    </row>
    <row r="2342" spans="1:8" x14ac:dyDescent="0.2">
      <c r="A2342">
        <f>ROW(LineærRegression_Valg[[#This Row],[Tabel ID]])-ROW(LineærRegression_Valg[[#Headers],[Tabel ID]])</f>
        <v>2332</v>
      </c>
      <c r="B2342" s="171">
        <f>ROUNDDOWN((LineærRegression_Valg[[#This Row],[Tabel ID]]-1)/$B$5,0)+1</f>
        <v>583</v>
      </c>
      <c r="C2342" s="171">
        <f t="shared" si="36"/>
        <v>4</v>
      </c>
      <c r="D2342" s="171" t="b">
        <f>LineærRegression_Valg[[#This Row],[Afhængig variabel ID]]&lt;&gt;LineærRegression_Valg[[#This Row],[Uafhængig variabel ID]]</f>
        <v>1</v>
      </c>
      <c r="E2342" s="171" t="b">
        <f>LineærRegression_Valg[[#This Row],[Afhængig variabel ID]]&lt;=$B$5</f>
        <v>0</v>
      </c>
      <c r="F2342" t="str" cm="1">
        <f t="array" ref="F2342">IF(LineærRegression_Valg[[#This Row],[Indenfor range]],INDEX(DataTitel_liste,LineærRegression_Valg[[#This Row],[Afhængig variabel ID]]),INDEX(DataTitel_liste,1))</f>
        <v>Eksempel 1 (interval)</v>
      </c>
      <c r="G2342" s="171" t="str" cm="1">
        <f t="array" ref="G2342">IF(LineærRegression_Valg[[#This Row],[Indenfor range]],IF(LineærRegression_Valg[[#This Row],[Intet overlap]],INDEX(DataTitel_liste,LineærRegression_Valg[[#This Row],[Uafhængig variabel ID]]),INDEX(DataTitel_liste,IF(LineærRegression_Valg[[#This Row],[Afhængig variabel ID]]=1,2,1))),$B$7)</f>
        <v>Eksempel 2 (interval)</v>
      </c>
      <c r="H2342" s="171">
        <f>_xlfn.AGGREGATE(2,5,LineærRegression_Valg[[#This Row],[Tabel ID]])</f>
        <v>1</v>
      </c>
    </row>
    <row r="2343" spans="1:8" x14ac:dyDescent="0.2">
      <c r="A2343">
        <f>ROW(LineærRegression_Valg[[#This Row],[Tabel ID]])-ROW(LineærRegression_Valg[[#Headers],[Tabel ID]])</f>
        <v>2333</v>
      </c>
      <c r="B2343" s="171">
        <f>ROUNDDOWN((LineærRegression_Valg[[#This Row],[Tabel ID]]-1)/$B$5,0)+1</f>
        <v>584</v>
      </c>
      <c r="C2343" s="171">
        <f t="shared" si="36"/>
        <v>1</v>
      </c>
      <c r="D2343" s="171" t="b">
        <f>LineærRegression_Valg[[#This Row],[Afhængig variabel ID]]&lt;&gt;LineærRegression_Valg[[#This Row],[Uafhængig variabel ID]]</f>
        <v>1</v>
      </c>
      <c r="E2343" s="171" t="b">
        <f>LineærRegression_Valg[[#This Row],[Afhængig variabel ID]]&lt;=$B$5</f>
        <v>0</v>
      </c>
      <c r="F2343" t="str" cm="1">
        <f t="array" ref="F2343">IF(LineærRegression_Valg[[#This Row],[Indenfor range]],INDEX(DataTitel_liste,LineærRegression_Valg[[#This Row],[Afhængig variabel ID]]),INDEX(DataTitel_liste,1))</f>
        <v>Eksempel 1 (interval)</v>
      </c>
      <c r="G2343" s="171" t="str" cm="1">
        <f t="array" ref="G2343">IF(LineærRegression_Valg[[#This Row],[Indenfor range]],IF(LineærRegression_Valg[[#This Row],[Intet overlap]],INDEX(DataTitel_liste,LineærRegression_Valg[[#This Row],[Uafhængig variabel ID]]),INDEX(DataTitel_liste,IF(LineærRegression_Valg[[#This Row],[Afhængig variabel ID]]=1,2,1))),$B$7)</f>
        <v>Eksempel 2 (interval)</v>
      </c>
      <c r="H2343" s="171">
        <f>_xlfn.AGGREGATE(2,5,LineærRegression_Valg[[#This Row],[Tabel ID]])</f>
        <v>1</v>
      </c>
    </row>
    <row r="2344" spans="1:8" x14ac:dyDescent="0.2">
      <c r="A2344">
        <f>ROW(LineærRegression_Valg[[#This Row],[Tabel ID]])-ROW(LineærRegression_Valg[[#Headers],[Tabel ID]])</f>
        <v>2334</v>
      </c>
      <c r="B2344" s="171">
        <f>ROUNDDOWN((LineærRegression_Valg[[#This Row],[Tabel ID]]-1)/$B$5,0)+1</f>
        <v>584</v>
      </c>
      <c r="C2344" s="171">
        <f t="shared" si="36"/>
        <v>2</v>
      </c>
      <c r="D2344" s="171" t="b">
        <f>LineærRegression_Valg[[#This Row],[Afhængig variabel ID]]&lt;&gt;LineærRegression_Valg[[#This Row],[Uafhængig variabel ID]]</f>
        <v>1</v>
      </c>
      <c r="E2344" s="171" t="b">
        <f>LineærRegression_Valg[[#This Row],[Afhængig variabel ID]]&lt;=$B$5</f>
        <v>0</v>
      </c>
      <c r="F2344" t="str" cm="1">
        <f t="array" ref="F2344">IF(LineærRegression_Valg[[#This Row],[Indenfor range]],INDEX(DataTitel_liste,LineærRegression_Valg[[#This Row],[Afhængig variabel ID]]),INDEX(DataTitel_liste,1))</f>
        <v>Eksempel 1 (interval)</v>
      </c>
      <c r="G2344" s="171" t="str" cm="1">
        <f t="array" ref="G2344">IF(LineærRegression_Valg[[#This Row],[Indenfor range]],IF(LineærRegression_Valg[[#This Row],[Intet overlap]],INDEX(DataTitel_liste,LineærRegression_Valg[[#This Row],[Uafhængig variabel ID]]),INDEX(DataTitel_liste,IF(LineærRegression_Valg[[#This Row],[Afhængig variabel ID]]=1,2,1))),$B$7)</f>
        <v>Eksempel 2 (interval)</v>
      </c>
      <c r="H2344" s="171">
        <f>_xlfn.AGGREGATE(2,5,LineærRegression_Valg[[#This Row],[Tabel ID]])</f>
        <v>1</v>
      </c>
    </row>
    <row r="2345" spans="1:8" x14ac:dyDescent="0.2">
      <c r="A2345">
        <f>ROW(LineærRegression_Valg[[#This Row],[Tabel ID]])-ROW(LineærRegression_Valg[[#Headers],[Tabel ID]])</f>
        <v>2335</v>
      </c>
      <c r="B2345" s="171">
        <f>ROUNDDOWN((LineærRegression_Valg[[#This Row],[Tabel ID]]-1)/$B$5,0)+1</f>
        <v>584</v>
      </c>
      <c r="C2345" s="171">
        <f t="shared" si="36"/>
        <v>3</v>
      </c>
      <c r="D2345" s="171" t="b">
        <f>LineærRegression_Valg[[#This Row],[Afhængig variabel ID]]&lt;&gt;LineærRegression_Valg[[#This Row],[Uafhængig variabel ID]]</f>
        <v>1</v>
      </c>
      <c r="E2345" s="171" t="b">
        <f>LineærRegression_Valg[[#This Row],[Afhængig variabel ID]]&lt;=$B$5</f>
        <v>0</v>
      </c>
      <c r="F2345" t="str" cm="1">
        <f t="array" ref="F2345">IF(LineærRegression_Valg[[#This Row],[Indenfor range]],INDEX(DataTitel_liste,LineærRegression_Valg[[#This Row],[Afhængig variabel ID]]),INDEX(DataTitel_liste,1))</f>
        <v>Eksempel 1 (interval)</v>
      </c>
      <c r="G2345" s="171" t="str" cm="1">
        <f t="array" ref="G2345">IF(LineærRegression_Valg[[#This Row],[Indenfor range]],IF(LineærRegression_Valg[[#This Row],[Intet overlap]],INDEX(DataTitel_liste,LineærRegression_Valg[[#This Row],[Uafhængig variabel ID]]),INDEX(DataTitel_liste,IF(LineærRegression_Valg[[#This Row],[Afhængig variabel ID]]=1,2,1))),$B$7)</f>
        <v>Eksempel 2 (interval)</v>
      </c>
      <c r="H2345" s="171">
        <f>_xlfn.AGGREGATE(2,5,LineærRegression_Valg[[#This Row],[Tabel ID]])</f>
        <v>1</v>
      </c>
    </row>
    <row r="2346" spans="1:8" x14ac:dyDescent="0.2">
      <c r="A2346">
        <f>ROW(LineærRegression_Valg[[#This Row],[Tabel ID]])-ROW(LineærRegression_Valg[[#Headers],[Tabel ID]])</f>
        <v>2336</v>
      </c>
      <c r="B2346" s="171">
        <f>ROUNDDOWN((LineærRegression_Valg[[#This Row],[Tabel ID]]-1)/$B$5,0)+1</f>
        <v>584</v>
      </c>
      <c r="C2346" s="171">
        <f t="shared" si="36"/>
        <v>4</v>
      </c>
      <c r="D2346" s="171" t="b">
        <f>LineærRegression_Valg[[#This Row],[Afhængig variabel ID]]&lt;&gt;LineærRegression_Valg[[#This Row],[Uafhængig variabel ID]]</f>
        <v>1</v>
      </c>
      <c r="E2346" s="171" t="b">
        <f>LineærRegression_Valg[[#This Row],[Afhængig variabel ID]]&lt;=$B$5</f>
        <v>0</v>
      </c>
      <c r="F2346" t="str" cm="1">
        <f t="array" ref="F2346">IF(LineærRegression_Valg[[#This Row],[Indenfor range]],INDEX(DataTitel_liste,LineærRegression_Valg[[#This Row],[Afhængig variabel ID]]),INDEX(DataTitel_liste,1))</f>
        <v>Eksempel 1 (interval)</v>
      </c>
      <c r="G2346" s="171" t="str" cm="1">
        <f t="array" ref="G2346">IF(LineærRegression_Valg[[#This Row],[Indenfor range]],IF(LineærRegression_Valg[[#This Row],[Intet overlap]],INDEX(DataTitel_liste,LineærRegression_Valg[[#This Row],[Uafhængig variabel ID]]),INDEX(DataTitel_liste,IF(LineærRegression_Valg[[#This Row],[Afhængig variabel ID]]=1,2,1))),$B$7)</f>
        <v>Eksempel 2 (interval)</v>
      </c>
      <c r="H2346" s="171">
        <f>_xlfn.AGGREGATE(2,5,LineærRegression_Valg[[#This Row],[Tabel ID]])</f>
        <v>1</v>
      </c>
    </row>
    <row r="2347" spans="1:8" x14ac:dyDescent="0.2">
      <c r="A2347">
        <f>ROW(LineærRegression_Valg[[#This Row],[Tabel ID]])-ROW(LineærRegression_Valg[[#Headers],[Tabel ID]])</f>
        <v>2337</v>
      </c>
      <c r="B2347" s="171">
        <f>ROUNDDOWN((LineærRegression_Valg[[#This Row],[Tabel ID]]-1)/$B$5,0)+1</f>
        <v>585</v>
      </c>
      <c r="C2347" s="171">
        <f t="shared" si="36"/>
        <v>1</v>
      </c>
      <c r="D2347" s="171" t="b">
        <f>LineærRegression_Valg[[#This Row],[Afhængig variabel ID]]&lt;&gt;LineærRegression_Valg[[#This Row],[Uafhængig variabel ID]]</f>
        <v>1</v>
      </c>
      <c r="E2347" s="171" t="b">
        <f>LineærRegression_Valg[[#This Row],[Afhængig variabel ID]]&lt;=$B$5</f>
        <v>0</v>
      </c>
      <c r="F2347" t="str" cm="1">
        <f t="array" ref="F2347">IF(LineærRegression_Valg[[#This Row],[Indenfor range]],INDEX(DataTitel_liste,LineærRegression_Valg[[#This Row],[Afhængig variabel ID]]),INDEX(DataTitel_liste,1))</f>
        <v>Eksempel 1 (interval)</v>
      </c>
      <c r="G2347" s="171" t="str" cm="1">
        <f t="array" ref="G2347">IF(LineærRegression_Valg[[#This Row],[Indenfor range]],IF(LineærRegression_Valg[[#This Row],[Intet overlap]],INDEX(DataTitel_liste,LineærRegression_Valg[[#This Row],[Uafhængig variabel ID]]),INDEX(DataTitel_liste,IF(LineærRegression_Valg[[#This Row],[Afhængig variabel ID]]=1,2,1))),$B$7)</f>
        <v>Eksempel 2 (interval)</v>
      </c>
      <c r="H2347" s="171">
        <f>_xlfn.AGGREGATE(2,5,LineærRegression_Valg[[#This Row],[Tabel ID]])</f>
        <v>1</v>
      </c>
    </row>
    <row r="2348" spans="1:8" x14ac:dyDescent="0.2">
      <c r="A2348">
        <f>ROW(LineærRegression_Valg[[#This Row],[Tabel ID]])-ROW(LineærRegression_Valg[[#Headers],[Tabel ID]])</f>
        <v>2338</v>
      </c>
      <c r="B2348" s="171">
        <f>ROUNDDOWN((LineærRegression_Valg[[#This Row],[Tabel ID]]-1)/$B$5,0)+1</f>
        <v>585</v>
      </c>
      <c r="C2348" s="171">
        <f t="shared" si="36"/>
        <v>2</v>
      </c>
      <c r="D2348" s="171" t="b">
        <f>LineærRegression_Valg[[#This Row],[Afhængig variabel ID]]&lt;&gt;LineærRegression_Valg[[#This Row],[Uafhængig variabel ID]]</f>
        <v>1</v>
      </c>
      <c r="E2348" s="171" t="b">
        <f>LineærRegression_Valg[[#This Row],[Afhængig variabel ID]]&lt;=$B$5</f>
        <v>0</v>
      </c>
      <c r="F2348" t="str" cm="1">
        <f t="array" ref="F2348">IF(LineærRegression_Valg[[#This Row],[Indenfor range]],INDEX(DataTitel_liste,LineærRegression_Valg[[#This Row],[Afhængig variabel ID]]),INDEX(DataTitel_liste,1))</f>
        <v>Eksempel 1 (interval)</v>
      </c>
      <c r="G2348" s="171" t="str" cm="1">
        <f t="array" ref="G2348">IF(LineærRegression_Valg[[#This Row],[Indenfor range]],IF(LineærRegression_Valg[[#This Row],[Intet overlap]],INDEX(DataTitel_liste,LineærRegression_Valg[[#This Row],[Uafhængig variabel ID]]),INDEX(DataTitel_liste,IF(LineærRegression_Valg[[#This Row],[Afhængig variabel ID]]=1,2,1))),$B$7)</f>
        <v>Eksempel 2 (interval)</v>
      </c>
      <c r="H2348" s="171">
        <f>_xlfn.AGGREGATE(2,5,LineærRegression_Valg[[#This Row],[Tabel ID]])</f>
        <v>1</v>
      </c>
    </row>
    <row r="2349" spans="1:8" x14ac:dyDescent="0.2">
      <c r="A2349">
        <f>ROW(LineærRegression_Valg[[#This Row],[Tabel ID]])-ROW(LineærRegression_Valg[[#Headers],[Tabel ID]])</f>
        <v>2339</v>
      </c>
      <c r="B2349" s="171">
        <f>ROUNDDOWN((LineærRegression_Valg[[#This Row],[Tabel ID]]-1)/$B$5,0)+1</f>
        <v>585</v>
      </c>
      <c r="C2349" s="171">
        <f t="shared" si="36"/>
        <v>3</v>
      </c>
      <c r="D2349" s="171" t="b">
        <f>LineærRegression_Valg[[#This Row],[Afhængig variabel ID]]&lt;&gt;LineærRegression_Valg[[#This Row],[Uafhængig variabel ID]]</f>
        <v>1</v>
      </c>
      <c r="E2349" s="171" t="b">
        <f>LineærRegression_Valg[[#This Row],[Afhængig variabel ID]]&lt;=$B$5</f>
        <v>0</v>
      </c>
      <c r="F2349" t="str" cm="1">
        <f t="array" ref="F2349">IF(LineærRegression_Valg[[#This Row],[Indenfor range]],INDEX(DataTitel_liste,LineærRegression_Valg[[#This Row],[Afhængig variabel ID]]),INDEX(DataTitel_liste,1))</f>
        <v>Eksempel 1 (interval)</v>
      </c>
      <c r="G2349" s="171" t="str" cm="1">
        <f t="array" ref="G2349">IF(LineærRegression_Valg[[#This Row],[Indenfor range]],IF(LineærRegression_Valg[[#This Row],[Intet overlap]],INDEX(DataTitel_liste,LineærRegression_Valg[[#This Row],[Uafhængig variabel ID]]),INDEX(DataTitel_liste,IF(LineærRegression_Valg[[#This Row],[Afhængig variabel ID]]=1,2,1))),$B$7)</f>
        <v>Eksempel 2 (interval)</v>
      </c>
      <c r="H2349" s="171">
        <f>_xlfn.AGGREGATE(2,5,LineærRegression_Valg[[#This Row],[Tabel ID]])</f>
        <v>1</v>
      </c>
    </row>
    <row r="2350" spans="1:8" x14ac:dyDescent="0.2">
      <c r="A2350">
        <f>ROW(LineærRegression_Valg[[#This Row],[Tabel ID]])-ROW(LineærRegression_Valg[[#Headers],[Tabel ID]])</f>
        <v>2340</v>
      </c>
      <c r="B2350" s="171">
        <f>ROUNDDOWN((LineærRegression_Valg[[#This Row],[Tabel ID]]-1)/$B$5,0)+1</f>
        <v>585</v>
      </c>
      <c r="C2350" s="171">
        <f t="shared" si="36"/>
        <v>4</v>
      </c>
      <c r="D2350" s="171" t="b">
        <f>LineærRegression_Valg[[#This Row],[Afhængig variabel ID]]&lt;&gt;LineærRegression_Valg[[#This Row],[Uafhængig variabel ID]]</f>
        <v>1</v>
      </c>
      <c r="E2350" s="171" t="b">
        <f>LineærRegression_Valg[[#This Row],[Afhængig variabel ID]]&lt;=$B$5</f>
        <v>0</v>
      </c>
      <c r="F2350" t="str" cm="1">
        <f t="array" ref="F2350">IF(LineærRegression_Valg[[#This Row],[Indenfor range]],INDEX(DataTitel_liste,LineærRegression_Valg[[#This Row],[Afhængig variabel ID]]),INDEX(DataTitel_liste,1))</f>
        <v>Eksempel 1 (interval)</v>
      </c>
      <c r="G2350" s="171" t="str" cm="1">
        <f t="array" ref="G2350">IF(LineærRegression_Valg[[#This Row],[Indenfor range]],IF(LineærRegression_Valg[[#This Row],[Intet overlap]],INDEX(DataTitel_liste,LineærRegression_Valg[[#This Row],[Uafhængig variabel ID]]),INDEX(DataTitel_liste,IF(LineærRegression_Valg[[#This Row],[Afhængig variabel ID]]=1,2,1))),$B$7)</f>
        <v>Eksempel 2 (interval)</v>
      </c>
      <c r="H2350" s="171">
        <f>_xlfn.AGGREGATE(2,5,LineærRegression_Valg[[#This Row],[Tabel ID]])</f>
        <v>1</v>
      </c>
    </row>
    <row r="2351" spans="1:8" x14ac:dyDescent="0.2">
      <c r="A2351">
        <f>ROW(LineærRegression_Valg[[#This Row],[Tabel ID]])-ROW(LineærRegression_Valg[[#Headers],[Tabel ID]])</f>
        <v>2341</v>
      </c>
      <c r="B2351" s="171">
        <f>ROUNDDOWN((LineærRegression_Valg[[#This Row],[Tabel ID]]-1)/$B$5,0)+1</f>
        <v>586</v>
      </c>
      <c r="C2351" s="171">
        <f t="shared" si="36"/>
        <v>1</v>
      </c>
      <c r="D2351" s="171" t="b">
        <f>LineærRegression_Valg[[#This Row],[Afhængig variabel ID]]&lt;&gt;LineærRegression_Valg[[#This Row],[Uafhængig variabel ID]]</f>
        <v>1</v>
      </c>
      <c r="E2351" s="171" t="b">
        <f>LineærRegression_Valg[[#This Row],[Afhængig variabel ID]]&lt;=$B$5</f>
        <v>0</v>
      </c>
      <c r="F2351" t="str" cm="1">
        <f t="array" ref="F2351">IF(LineærRegression_Valg[[#This Row],[Indenfor range]],INDEX(DataTitel_liste,LineærRegression_Valg[[#This Row],[Afhængig variabel ID]]),INDEX(DataTitel_liste,1))</f>
        <v>Eksempel 1 (interval)</v>
      </c>
      <c r="G2351" s="171" t="str" cm="1">
        <f t="array" ref="G2351">IF(LineærRegression_Valg[[#This Row],[Indenfor range]],IF(LineærRegression_Valg[[#This Row],[Intet overlap]],INDEX(DataTitel_liste,LineærRegression_Valg[[#This Row],[Uafhængig variabel ID]]),INDEX(DataTitel_liste,IF(LineærRegression_Valg[[#This Row],[Afhængig variabel ID]]=1,2,1))),$B$7)</f>
        <v>Eksempel 2 (interval)</v>
      </c>
      <c r="H2351" s="171">
        <f>_xlfn.AGGREGATE(2,5,LineærRegression_Valg[[#This Row],[Tabel ID]])</f>
        <v>1</v>
      </c>
    </row>
    <row r="2352" spans="1:8" x14ac:dyDescent="0.2">
      <c r="A2352">
        <f>ROW(LineærRegression_Valg[[#This Row],[Tabel ID]])-ROW(LineærRegression_Valg[[#Headers],[Tabel ID]])</f>
        <v>2342</v>
      </c>
      <c r="B2352" s="171">
        <f>ROUNDDOWN((LineærRegression_Valg[[#This Row],[Tabel ID]]-1)/$B$5,0)+1</f>
        <v>586</v>
      </c>
      <c r="C2352" s="171">
        <f t="shared" si="36"/>
        <v>2</v>
      </c>
      <c r="D2352" s="171" t="b">
        <f>LineærRegression_Valg[[#This Row],[Afhængig variabel ID]]&lt;&gt;LineærRegression_Valg[[#This Row],[Uafhængig variabel ID]]</f>
        <v>1</v>
      </c>
      <c r="E2352" s="171" t="b">
        <f>LineærRegression_Valg[[#This Row],[Afhængig variabel ID]]&lt;=$B$5</f>
        <v>0</v>
      </c>
      <c r="F2352" t="str" cm="1">
        <f t="array" ref="F2352">IF(LineærRegression_Valg[[#This Row],[Indenfor range]],INDEX(DataTitel_liste,LineærRegression_Valg[[#This Row],[Afhængig variabel ID]]),INDEX(DataTitel_liste,1))</f>
        <v>Eksempel 1 (interval)</v>
      </c>
      <c r="G2352" s="171" t="str" cm="1">
        <f t="array" ref="G2352">IF(LineærRegression_Valg[[#This Row],[Indenfor range]],IF(LineærRegression_Valg[[#This Row],[Intet overlap]],INDEX(DataTitel_liste,LineærRegression_Valg[[#This Row],[Uafhængig variabel ID]]),INDEX(DataTitel_liste,IF(LineærRegression_Valg[[#This Row],[Afhængig variabel ID]]=1,2,1))),$B$7)</f>
        <v>Eksempel 2 (interval)</v>
      </c>
      <c r="H2352" s="171">
        <f>_xlfn.AGGREGATE(2,5,LineærRegression_Valg[[#This Row],[Tabel ID]])</f>
        <v>1</v>
      </c>
    </row>
    <row r="2353" spans="1:8" x14ac:dyDescent="0.2">
      <c r="A2353">
        <f>ROW(LineærRegression_Valg[[#This Row],[Tabel ID]])-ROW(LineærRegression_Valg[[#Headers],[Tabel ID]])</f>
        <v>2343</v>
      </c>
      <c r="B2353" s="171">
        <f>ROUNDDOWN((LineærRegression_Valg[[#This Row],[Tabel ID]]-1)/$B$5,0)+1</f>
        <v>586</v>
      </c>
      <c r="C2353" s="171">
        <f t="shared" si="36"/>
        <v>3</v>
      </c>
      <c r="D2353" s="171" t="b">
        <f>LineærRegression_Valg[[#This Row],[Afhængig variabel ID]]&lt;&gt;LineærRegression_Valg[[#This Row],[Uafhængig variabel ID]]</f>
        <v>1</v>
      </c>
      <c r="E2353" s="171" t="b">
        <f>LineærRegression_Valg[[#This Row],[Afhængig variabel ID]]&lt;=$B$5</f>
        <v>0</v>
      </c>
      <c r="F2353" t="str" cm="1">
        <f t="array" ref="F2353">IF(LineærRegression_Valg[[#This Row],[Indenfor range]],INDEX(DataTitel_liste,LineærRegression_Valg[[#This Row],[Afhængig variabel ID]]),INDEX(DataTitel_liste,1))</f>
        <v>Eksempel 1 (interval)</v>
      </c>
      <c r="G2353" s="171" t="str" cm="1">
        <f t="array" ref="G2353">IF(LineærRegression_Valg[[#This Row],[Indenfor range]],IF(LineærRegression_Valg[[#This Row],[Intet overlap]],INDEX(DataTitel_liste,LineærRegression_Valg[[#This Row],[Uafhængig variabel ID]]),INDEX(DataTitel_liste,IF(LineærRegression_Valg[[#This Row],[Afhængig variabel ID]]=1,2,1))),$B$7)</f>
        <v>Eksempel 2 (interval)</v>
      </c>
      <c r="H2353" s="171">
        <f>_xlfn.AGGREGATE(2,5,LineærRegression_Valg[[#This Row],[Tabel ID]])</f>
        <v>1</v>
      </c>
    </row>
    <row r="2354" spans="1:8" x14ac:dyDescent="0.2">
      <c r="A2354">
        <f>ROW(LineærRegression_Valg[[#This Row],[Tabel ID]])-ROW(LineærRegression_Valg[[#Headers],[Tabel ID]])</f>
        <v>2344</v>
      </c>
      <c r="B2354" s="171">
        <f>ROUNDDOWN((LineærRegression_Valg[[#This Row],[Tabel ID]]-1)/$B$5,0)+1</f>
        <v>586</v>
      </c>
      <c r="C2354" s="171">
        <f t="shared" si="36"/>
        <v>4</v>
      </c>
      <c r="D2354" s="171" t="b">
        <f>LineærRegression_Valg[[#This Row],[Afhængig variabel ID]]&lt;&gt;LineærRegression_Valg[[#This Row],[Uafhængig variabel ID]]</f>
        <v>1</v>
      </c>
      <c r="E2354" s="171" t="b">
        <f>LineærRegression_Valg[[#This Row],[Afhængig variabel ID]]&lt;=$B$5</f>
        <v>0</v>
      </c>
      <c r="F2354" t="str" cm="1">
        <f t="array" ref="F2354">IF(LineærRegression_Valg[[#This Row],[Indenfor range]],INDEX(DataTitel_liste,LineærRegression_Valg[[#This Row],[Afhængig variabel ID]]),INDEX(DataTitel_liste,1))</f>
        <v>Eksempel 1 (interval)</v>
      </c>
      <c r="G2354" s="171" t="str" cm="1">
        <f t="array" ref="G2354">IF(LineærRegression_Valg[[#This Row],[Indenfor range]],IF(LineærRegression_Valg[[#This Row],[Intet overlap]],INDEX(DataTitel_liste,LineærRegression_Valg[[#This Row],[Uafhængig variabel ID]]),INDEX(DataTitel_liste,IF(LineærRegression_Valg[[#This Row],[Afhængig variabel ID]]=1,2,1))),$B$7)</f>
        <v>Eksempel 2 (interval)</v>
      </c>
      <c r="H2354" s="171">
        <f>_xlfn.AGGREGATE(2,5,LineærRegression_Valg[[#This Row],[Tabel ID]])</f>
        <v>1</v>
      </c>
    </row>
    <row r="2355" spans="1:8" x14ac:dyDescent="0.2">
      <c r="A2355">
        <f>ROW(LineærRegression_Valg[[#This Row],[Tabel ID]])-ROW(LineærRegression_Valg[[#Headers],[Tabel ID]])</f>
        <v>2345</v>
      </c>
      <c r="B2355" s="171">
        <f>ROUNDDOWN((LineærRegression_Valg[[#This Row],[Tabel ID]]-1)/$B$5,0)+1</f>
        <v>587</v>
      </c>
      <c r="C2355" s="171">
        <f t="shared" si="36"/>
        <v>1</v>
      </c>
      <c r="D2355" s="171" t="b">
        <f>LineærRegression_Valg[[#This Row],[Afhængig variabel ID]]&lt;&gt;LineærRegression_Valg[[#This Row],[Uafhængig variabel ID]]</f>
        <v>1</v>
      </c>
      <c r="E2355" s="171" t="b">
        <f>LineærRegression_Valg[[#This Row],[Afhængig variabel ID]]&lt;=$B$5</f>
        <v>0</v>
      </c>
      <c r="F2355" t="str" cm="1">
        <f t="array" ref="F2355">IF(LineærRegression_Valg[[#This Row],[Indenfor range]],INDEX(DataTitel_liste,LineærRegression_Valg[[#This Row],[Afhængig variabel ID]]),INDEX(DataTitel_liste,1))</f>
        <v>Eksempel 1 (interval)</v>
      </c>
      <c r="G2355" s="171" t="str" cm="1">
        <f t="array" ref="G2355">IF(LineærRegression_Valg[[#This Row],[Indenfor range]],IF(LineærRegression_Valg[[#This Row],[Intet overlap]],INDEX(DataTitel_liste,LineærRegression_Valg[[#This Row],[Uafhængig variabel ID]]),INDEX(DataTitel_liste,IF(LineærRegression_Valg[[#This Row],[Afhængig variabel ID]]=1,2,1))),$B$7)</f>
        <v>Eksempel 2 (interval)</v>
      </c>
      <c r="H2355" s="171">
        <f>_xlfn.AGGREGATE(2,5,LineærRegression_Valg[[#This Row],[Tabel ID]])</f>
        <v>1</v>
      </c>
    </row>
    <row r="2356" spans="1:8" x14ac:dyDescent="0.2">
      <c r="A2356">
        <f>ROW(LineærRegression_Valg[[#This Row],[Tabel ID]])-ROW(LineærRegression_Valg[[#Headers],[Tabel ID]])</f>
        <v>2346</v>
      </c>
      <c r="B2356" s="171">
        <f>ROUNDDOWN((LineærRegression_Valg[[#This Row],[Tabel ID]]-1)/$B$5,0)+1</f>
        <v>587</v>
      </c>
      <c r="C2356" s="171">
        <f t="shared" si="36"/>
        <v>2</v>
      </c>
      <c r="D2356" s="171" t="b">
        <f>LineærRegression_Valg[[#This Row],[Afhængig variabel ID]]&lt;&gt;LineærRegression_Valg[[#This Row],[Uafhængig variabel ID]]</f>
        <v>1</v>
      </c>
      <c r="E2356" s="171" t="b">
        <f>LineærRegression_Valg[[#This Row],[Afhængig variabel ID]]&lt;=$B$5</f>
        <v>0</v>
      </c>
      <c r="F2356" t="str" cm="1">
        <f t="array" ref="F2356">IF(LineærRegression_Valg[[#This Row],[Indenfor range]],INDEX(DataTitel_liste,LineærRegression_Valg[[#This Row],[Afhængig variabel ID]]),INDEX(DataTitel_liste,1))</f>
        <v>Eksempel 1 (interval)</v>
      </c>
      <c r="G2356" s="171" t="str" cm="1">
        <f t="array" ref="G2356">IF(LineærRegression_Valg[[#This Row],[Indenfor range]],IF(LineærRegression_Valg[[#This Row],[Intet overlap]],INDEX(DataTitel_liste,LineærRegression_Valg[[#This Row],[Uafhængig variabel ID]]),INDEX(DataTitel_liste,IF(LineærRegression_Valg[[#This Row],[Afhængig variabel ID]]=1,2,1))),$B$7)</f>
        <v>Eksempel 2 (interval)</v>
      </c>
      <c r="H2356" s="171">
        <f>_xlfn.AGGREGATE(2,5,LineærRegression_Valg[[#This Row],[Tabel ID]])</f>
        <v>1</v>
      </c>
    </row>
    <row r="2357" spans="1:8" x14ac:dyDescent="0.2">
      <c r="A2357">
        <f>ROW(LineærRegression_Valg[[#This Row],[Tabel ID]])-ROW(LineærRegression_Valg[[#Headers],[Tabel ID]])</f>
        <v>2347</v>
      </c>
      <c r="B2357" s="171">
        <f>ROUNDDOWN((LineærRegression_Valg[[#This Row],[Tabel ID]]-1)/$B$5,0)+1</f>
        <v>587</v>
      </c>
      <c r="C2357" s="171">
        <f t="shared" si="36"/>
        <v>3</v>
      </c>
      <c r="D2357" s="171" t="b">
        <f>LineærRegression_Valg[[#This Row],[Afhængig variabel ID]]&lt;&gt;LineærRegression_Valg[[#This Row],[Uafhængig variabel ID]]</f>
        <v>1</v>
      </c>
      <c r="E2357" s="171" t="b">
        <f>LineærRegression_Valg[[#This Row],[Afhængig variabel ID]]&lt;=$B$5</f>
        <v>0</v>
      </c>
      <c r="F2357" t="str" cm="1">
        <f t="array" ref="F2357">IF(LineærRegression_Valg[[#This Row],[Indenfor range]],INDEX(DataTitel_liste,LineærRegression_Valg[[#This Row],[Afhængig variabel ID]]),INDEX(DataTitel_liste,1))</f>
        <v>Eksempel 1 (interval)</v>
      </c>
      <c r="G2357" s="171" t="str" cm="1">
        <f t="array" ref="G2357">IF(LineærRegression_Valg[[#This Row],[Indenfor range]],IF(LineærRegression_Valg[[#This Row],[Intet overlap]],INDEX(DataTitel_liste,LineærRegression_Valg[[#This Row],[Uafhængig variabel ID]]),INDEX(DataTitel_liste,IF(LineærRegression_Valg[[#This Row],[Afhængig variabel ID]]=1,2,1))),$B$7)</f>
        <v>Eksempel 2 (interval)</v>
      </c>
      <c r="H2357" s="171">
        <f>_xlfn.AGGREGATE(2,5,LineærRegression_Valg[[#This Row],[Tabel ID]])</f>
        <v>1</v>
      </c>
    </row>
    <row r="2358" spans="1:8" x14ac:dyDescent="0.2">
      <c r="A2358">
        <f>ROW(LineærRegression_Valg[[#This Row],[Tabel ID]])-ROW(LineærRegression_Valg[[#Headers],[Tabel ID]])</f>
        <v>2348</v>
      </c>
      <c r="B2358" s="171">
        <f>ROUNDDOWN((LineærRegression_Valg[[#This Row],[Tabel ID]]-1)/$B$5,0)+1</f>
        <v>587</v>
      </c>
      <c r="C2358" s="171">
        <f t="shared" si="36"/>
        <v>4</v>
      </c>
      <c r="D2358" s="171" t="b">
        <f>LineærRegression_Valg[[#This Row],[Afhængig variabel ID]]&lt;&gt;LineærRegression_Valg[[#This Row],[Uafhængig variabel ID]]</f>
        <v>1</v>
      </c>
      <c r="E2358" s="171" t="b">
        <f>LineærRegression_Valg[[#This Row],[Afhængig variabel ID]]&lt;=$B$5</f>
        <v>0</v>
      </c>
      <c r="F2358" t="str" cm="1">
        <f t="array" ref="F2358">IF(LineærRegression_Valg[[#This Row],[Indenfor range]],INDEX(DataTitel_liste,LineærRegression_Valg[[#This Row],[Afhængig variabel ID]]),INDEX(DataTitel_liste,1))</f>
        <v>Eksempel 1 (interval)</v>
      </c>
      <c r="G2358" s="171" t="str" cm="1">
        <f t="array" ref="G2358">IF(LineærRegression_Valg[[#This Row],[Indenfor range]],IF(LineærRegression_Valg[[#This Row],[Intet overlap]],INDEX(DataTitel_liste,LineærRegression_Valg[[#This Row],[Uafhængig variabel ID]]),INDEX(DataTitel_liste,IF(LineærRegression_Valg[[#This Row],[Afhængig variabel ID]]=1,2,1))),$B$7)</f>
        <v>Eksempel 2 (interval)</v>
      </c>
      <c r="H2358" s="171">
        <f>_xlfn.AGGREGATE(2,5,LineærRegression_Valg[[#This Row],[Tabel ID]])</f>
        <v>1</v>
      </c>
    </row>
    <row r="2359" spans="1:8" x14ac:dyDescent="0.2">
      <c r="A2359">
        <f>ROW(LineærRegression_Valg[[#This Row],[Tabel ID]])-ROW(LineærRegression_Valg[[#Headers],[Tabel ID]])</f>
        <v>2349</v>
      </c>
      <c r="B2359" s="171">
        <f>ROUNDDOWN((LineærRegression_Valg[[#This Row],[Tabel ID]]-1)/$B$5,0)+1</f>
        <v>588</v>
      </c>
      <c r="C2359" s="171">
        <f t="shared" si="36"/>
        <v>1</v>
      </c>
      <c r="D2359" s="171" t="b">
        <f>LineærRegression_Valg[[#This Row],[Afhængig variabel ID]]&lt;&gt;LineærRegression_Valg[[#This Row],[Uafhængig variabel ID]]</f>
        <v>1</v>
      </c>
      <c r="E2359" s="171" t="b">
        <f>LineærRegression_Valg[[#This Row],[Afhængig variabel ID]]&lt;=$B$5</f>
        <v>0</v>
      </c>
      <c r="F2359" t="str" cm="1">
        <f t="array" ref="F2359">IF(LineærRegression_Valg[[#This Row],[Indenfor range]],INDEX(DataTitel_liste,LineærRegression_Valg[[#This Row],[Afhængig variabel ID]]),INDEX(DataTitel_liste,1))</f>
        <v>Eksempel 1 (interval)</v>
      </c>
      <c r="G2359" s="171" t="str" cm="1">
        <f t="array" ref="G2359">IF(LineærRegression_Valg[[#This Row],[Indenfor range]],IF(LineærRegression_Valg[[#This Row],[Intet overlap]],INDEX(DataTitel_liste,LineærRegression_Valg[[#This Row],[Uafhængig variabel ID]]),INDEX(DataTitel_liste,IF(LineærRegression_Valg[[#This Row],[Afhængig variabel ID]]=1,2,1))),$B$7)</f>
        <v>Eksempel 2 (interval)</v>
      </c>
      <c r="H2359" s="171">
        <f>_xlfn.AGGREGATE(2,5,LineærRegression_Valg[[#This Row],[Tabel ID]])</f>
        <v>1</v>
      </c>
    </row>
    <row r="2360" spans="1:8" x14ac:dyDescent="0.2">
      <c r="A2360">
        <f>ROW(LineærRegression_Valg[[#This Row],[Tabel ID]])-ROW(LineærRegression_Valg[[#Headers],[Tabel ID]])</f>
        <v>2350</v>
      </c>
      <c r="B2360" s="171">
        <f>ROUNDDOWN((LineærRegression_Valg[[#This Row],[Tabel ID]]-1)/$B$5,0)+1</f>
        <v>588</v>
      </c>
      <c r="C2360" s="171">
        <f t="shared" si="36"/>
        <v>2</v>
      </c>
      <c r="D2360" s="171" t="b">
        <f>LineærRegression_Valg[[#This Row],[Afhængig variabel ID]]&lt;&gt;LineærRegression_Valg[[#This Row],[Uafhængig variabel ID]]</f>
        <v>1</v>
      </c>
      <c r="E2360" s="171" t="b">
        <f>LineærRegression_Valg[[#This Row],[Afhængig variabel ID]]&lt;=$B$5</f>
        <v>0</v>
      </c>
      <c r="F2360" t="str" cm="1">
        <f t="array" ref="F2360">IF(LineærRegression_Valg[[#This Row],[Indenfor range]],INDEX(DataTitel_liste,LineærRegression_Valg[[#This Row],[Afhængig variabel ID]]),INDEX(DataTitel_liste,1))</f>
        <v>Eksempel 1 (interval)</v>
      </c>
      <c r="G2360" s="171" t="str" cm="1">
        <f t="array" ref="G2360">IF(LineærRegression_Valg[[#This Row],[Indenfor range]],IF(LineærRegression_Valg[[#This Row],[Intet overlap]],INDEX(DataTitel_liste,LineærRegression_Valg[[#This Row],[Uafhængig variabel ID]]),INDEX(DataTitel_liste,IF(LineærRegression_Valg[[#This Row],[Afhængig variabel ID]]=1,2,1))),$B$7)</f>
        <v>Eksempel 2 (interval)</v>
      </c>
      <c r="H2360" s="171">
        <f>_xlfn.AGGREGATE(2,5,LineærRegression_Valg[[#This Row],[Tabel ID]])</f>
        <v>1</v>
      </c>
    </row>
    <row r="2361" spans="1:8" x14ac:dyDescent="0.2">
      <c r="A2361">
        <f>ROW(LineærRegression_Valg[[#This Row],[Tabel ID]])-ROW(LineærRegression_Valg[[#Headers],[Tabel ID]])</f>
        <v>2351</v>
      </c>
      <c r="B2361" s="171">
        <f>ROUNDDOWN((LineærRegression_Valg[[#This Row],[Tabel ID]]-1)/$B$5,0)+1</f>
        <v>588</v>
      </c>
      <c r="C2361" s="171">
        <f t="shared" si="36"/>
        <v>3</v>
      </c>
      <c r="D2361" s="171" t="b">
        <f>LineærRegression_Valg[[#This Row],[Afhængig variabel ID]]&lt;&gt;LineærRegression_Valg[[#This Row],[Uafhængig variabel ID]]</f>
        <v>1</v>
      </c>
      <c r="E2361" s="171" t="b">
        <f>LineærRegression_Valg[[#This Row],[Afhængig variabel ID]]&lt;=$B$5</f>
        <v>0</v>
      </c>
      <c r="F2361" t="str" cm="1">
        <f t="array" ref="F2361">IF(LineærRegression_Valg[[#This Row],[Indenfor range]],INDEX(DataTitel_liste,LineærRegression_Valg[[#This Row],[Afhængig variabel ID]]),INDEX(DataTitel_liste,1))</f>
        <v>Eksempel 1 (interval)</v>
      </c>
      <c r="G2361" s="171" t="str" cm="1">
        <f t="array" ref="G2361">IF(LineærRegression_Valg[[#This Row],[Indenfor range]],IF(LineærRegression_Valg[[#This Row],[Intet overlap]],INDEX(DataTitel_liste,LineærRegression_Valg[[#This Row],[Uafhængig variabel ID]]),INDEX(DataTitel_liste,IF(LineærRegression_Valg[[#This Row],[Afhængig variabel ID]]=1,2,1))),$B$7)</f>
        <v>Eksempel 2 (interval)</v>
      </c>
      <c r="H2361" s="171">
        <f>_xlfn.AGGREGATE(2,5,LineærRegression_Valg[[#This Row],[Tabel ID]])</f>
        <v>1</v>
      </c>
    </row>
    <row r="2362" spans="1:8" x14ac:dyDescent="0.2">
      <c r="A2362">
        <f>ROW(LineærRegression_Valg[[#This Row],[Tabel ID]])-ROW(LineærRegression_Valg[[#Headers],[Tabel ID]])</f>
        <v>2352</v>
      </c>
      <c r="B2362" s="171">
        <f>ROUNDDOWN((LineærRegression_Valg[[#This Row],[Tabel ID]]-1)/$B$5,0)+1</f>
        <v>588</v>
      </c>
      <c r="C2362" s="171">
        <f t="shared" si="36"/>
        <v>4</v>
      </c>
      <c r="D2362" s="171" t="b">
        <f>LineærRegression_Valg[[#This Row],[Afhængig variabel ID]]&lt;&gt;LineærRegression_Valg[[#This Row],[Uafhængig variabel ID]]</f>
        <v>1</v>
      </c>
      <c r="E2362" s="171" t="b">
        <f>LineærRegression_Valg[[#This Row],[Afhængig variabel ID]]&lt;=$B$5</f>
        <v>0</v>
      </c>
      <c r="F2362" t="str" cm="1">
        <f t="array" ref="F2362">IF(LineærRegression_Valg[[#This Row],[Indenfor range]],INDEX(DataTitel_liste,LineærRegression_Valg[[#This Row],[Afhængig variabel ID]]),INDEX(DataTitel_liste,1))</f>
        <v>Eksempel 1 (interval)</v>
      </c>
      <c r="G2362" s="171" t="str" cm="1">
        <f t="array" ref="G2362">IF(LineærRegression_Valg[[#This Row],[Indenfor range]],IF(LineærRegression_Valg[[#This Row],[Intet overlap]],INDEX(DataTitel_liste,LineærRegression_Valg[[#This Row],[Uafhængig variabel ID]]),INDEX(DataTitel_liste,IF(LineærRegression_Valg[[#This Row],[Afhængig variabel ID]]=1,2,1))),$B$7)</f>
        <v>Eksempel 2 (interval)</v>
      </c>
      <c r="H2362" s="171">
        <f>_xlfn.AGGREGATE(2,5,LineærRegression_Valg[[#This Row],[Tabel ID]])</f>
        <v>1</v>
      </c>
    </row>
    <row r="2363" spans="1:8" x14ac:dyDescent="0.2">
      <c r="A2363">
        <f>ROW(LineærRegression_Valg[[#This Row],[Tabel ID]])-ROW(LineærRegression_Valg[[#Headers],[Tabel ID]])</f>
        <v>2353</v>
      </c>
      <c r="B2363" s="171">
        <f>ROUNDDOWN((LineærRegression_Valg[[#This Row],[Tabel ID]]-1)/$B$5,0)+1</f>
        <v>589</v>
      </c>
      <c r="C2363" s="171">
        <f t="shared" si="36"/>
        <v>1</v>
      </c>
      <c r="D2363" s="171" t="b">
        <f>LineærRegression_Valg[[#This Row],[Afhængig variabel ID]]&lt;&gt;LineærRegression_Valg[[#This Row],[Uafhængig variabel ID]]</f>
        <v>1</v>
      </c>
      <c r="E2363" s="171" t="b">
        <f>LineærRegression_Valg[[#This Row],[Afhængig variabel ID]]&lt;=$B$5</f>
        <v>0</v>
      </c>
      <c r="F2363" t="str" cm="1">
        <f t="array" ref="F2363">IF(LineærRegression_Valg[[#This Row],[Indenfor range]],INDEX(DataTitel_liste,LineærRegression_Valg[[#This Row],[Afhængig variabel ID]]),INDEX(DataTitel_liste,1))</f>
        <v>Eksempel 1 (interval)</v>
      </c>
      <c r="G2363" s="171" t="str" cm="1">
        <f t="array" ref="G2363">IF(LineærRegression_Valg[[#This Row],[Indenfor range]],IF(LineærRegression_Valg[[#This Row],[Intet overlap]],INDEX(DataTitel_liste,LineærRegression_Valg[[#This Row],[Uafhængig variabel ID]]),INDEX(DataTitel_liste,IF(LineærRegression_Valg[[#This Row],[Afhængig variabel ID]]=1,2,1))),$B$7)</f>
        <v>Eksempel 2 (interval)</v>
      </c>
      <c r="H2363" s="171">
        <f>_xlfn.AGGREGATE(2,5,LineærRegression_Valg[[#This Row],[Tabel ID]])</f>
        <v>1</v>
      </c>
    </row>
    <row r="2364" spans="1:8" x14ac:dyDescent="0.2">
      <c r="A2364">
        <f>ROW(LineærRegression_Valg[[#This Row],[Tabel ID]])-ROW(LineærRegression_Valg[[#Headers],[Tabel ID]])</f>
        <v>2354</v>
      </c>
      <c r="B2364" s="171">
        <f>ROUNDDOWN((LineærRegression_Valg[[#This Row],[Tabel ID]]-1)/$B$5,0)+1</f>
        <v>589</v>
      </c>
      <c r="C2364" s="171">
        <f t="shared" si="36"/>
        <v>2</v>
      </c>
      <c r="D2364" s="171" t="b">
        <f>LineærRegression_Valg[[#This Row],[Afhængig variabel ID]]&lt;&gt;LineærRegression_Valg[[#This Row],[Uafhængig variabel ID]]</f>
        <v>1</v>
      </c>
      <c r="E2364" s="171" t="b">
        <f>LineærRegression_Valg[[#This Row],[Afhængig variabel ID]]&lt;=$B$5</f>
        <v>0</v>
      </c>
      <c r="F2364" t="str" cm="1">
        <f t="array" ref="F2364">IF(LineærRegression_Valg[[#This Row],[Indenfor range]],INDEX(DataTitel_liste,LineærRegression_Valg[[#This Row],[Afhængig variabel ID]]),INDEX(DataTitel_liste,1))</f>
        <v>Eksempel 1 (interval)</v>
      </c>
      <c r="G2364" s="171" t="str" cm="1">
        <f t="array" ref="G2364">IF(LineærRegression_Valg[[#This Row],[Indenfor range]],IF(LineærRegression_Valg[[#This Row],[Intet overlap]],INDEX(DataTitel_liste,LineærRegression_Valg[[#This Row],[Uafhængig variabel ID]]),INDEX(DataTitel_liste,IF(LineærRegression_Valg[[#This Row],[Afhængig variabel ID]]=1,2,1))),$B$7)</f>
        <v>Eksempel 2 (interval)</v>
      </c>
      <c r="H2364" s="171">
        <f>_xlfn.AGGREGATE(2,5,LineærRegression_Valg[[#This Row],[Tabel ID]])</f>
        <v>1</v>
      </c>
    </row>
    <row r="2365" spans="1:8" x14ac:dyDescent="0.2">
      <c r="A2365">
        <f>ROW(LineærRegression_Valg[[#This Row],[Tabel ID]])-ROW(LineærRegression_Valg[[#Headers],[Tabel ID]])</f>
        <v>2355</v>
      </c>
      <c r="B2365" s="171">
        <f>ROUNDDOWN((LineærRegression_Valg[[#This Row],[Tabel ID]]-1)/$B$5,0)+1</f>
        <v>589</v>
      </c>
      <c r="C2365" s="171">
        <f t="shared" si="36"/>
        <v>3</v>
      </c>
      <c r="D2365" s="171" t="b">
        <f>LineærRegression_Valg[[#This Row],[Afhængig variabel ID]]&lt;&gt;LineærRegression_Valg[[#This Row],[Uafhængig variabel ID]]</f>
        <v>1</v>
      </c>
      <c r="E2365" s="171" t="b">
        <f>LineærRegression_Valg[[#This Row],[Afhængig variabel ID]]&lt;=$B$5</f>
        <v>0</v>
      </c>
      <c r="F2365" t="str" cm="1">
        <f t="array" ref="F2365">IF(LineærRegression_Valg[[#This Row],[Indenfor range]],INDEX(DataTitel_liste,LineærRegression_Valg[[#This Row],[Afhængig variabel ID]]),INDEX(DataTitel_liste,1))</f>
        <v>Eksempel 1 (interval)</v>
      </c>
      <c r="G2365" s="171" t="str" cm="1">
        <f t="array" ref="G2365">IF(LineærRegression_Valg[[#This Row],[Indenfor range]],IF(LineærRegression_Valg[[#This Row],[Intet overlap]],INDEX(DataTitel_liste,LineærRegression_Valg[[#This Row],[Uafhængig variabel ID]]),INDEX(DataTitel_liste,IF(LineærRegression_Valg[[#This Row],[Afhængig variabel ID]]=1,2,1))),$B$7)</f>
        <v>Eksempel 2 (interval)</v>
      </c>
      <c r="H2365" s="171">
        <f>_xlfn.AGGREGATE(2,5,LineærRegression_Valg[[#This Row],[Tabel ID]])</f>
        <v>1</v>
      </c>
    </row>
    <row r="2366" spans="1:8" x14ac:dyDescent="0.2">
      <c r="A2366">
        <f>ROW(LineærRegression_Valg[[#This Row],[Tabel ID]])-ROW(LineærRegression_Valg[[#Headers],[Tabel ID]])</f>
        <v>2356</v>
      </c>
      <c r="B2366" s="171">
        <f>ROUNDDOWN((LineærRegression_Valg[[#This Row],[Tabel ID]]-1)/$B$5,0)+1</f>
        <v>589</v>
      </c>
      <c r="C2366" s="171">
        <f t="shared" si="36"/>
        <v>4</v>
      </c>
      <c r="D2366" s="171" t="b">
        <f>LineærRegression_Valg[[#This Row],[Afhængig variabel ID]]&lt;&gt;LineærRegression_Valg[[#This Row],[Uafhængig variabel ID]]</f>
        <v>1</v>
      </c>
      <c r="E2366" s="171" t="b">
        <f>LineærRegression_Valg[[#This Row],[Afhængig variabel ID]]&lt;=$B$5</f>
        <v>0</v>
      </c>
      <c r="F2366" t="str" cm="1">
        <f t="array" ref="F2366">IF(LineærRegression_Valg[[#This Row],[Indenfor range]],INDEX(DataTitel_liste,LineærRegression_Valg[[#This Row],[Afhængig variabel ID]]),INDEX(DataTitel_liste,1))</f>
        <v>Eksempel 1 (interval)</v>
      </c>
      <c r="G2366" s="171" t="str" cm="1">
        <f t="array" ref="G2366">IF(LineærRegression_Valg[[#This Row],[Indenfor range]],IF(LineærRegression_Valg[[#This Row],[Intet overlap]],INDEX(DataTitel_liste,LineærRegression_Valg[[#This Row],[Uafhængig variabel ID]]),INDEX(DataTitel_liste,IF(LineærRegression_Valg[[#This Row],[Afhængig variabel ID]]=1,2,1))),$B$7)</f>
        <v>Eksempel 2 (interval)</v>
      </c>
      <c r="H2366" s="171">
        <f>_xlfn.AGGREGATE(2,5,LineærRegression_Valg[[#This Row],[Tabel ID]])</f>
        <v>1</v>
      </c>
    </row>
    <row r="2367" spans="1:8" x14ac:dyDescent="0.2">
      <c r="A2367">
        <f>ROW(LineærRegression_Valg[[#This Row],[Tabel ID]])-ROW(LineærRegression_Valg[[#Headers],[Tabel ID]])</f>
        <v>2357</v>
      </c>
      <c r="B2367" s="171">
        <f>ROUNDDOWN((LineærRegression_Valg[[#This Row],[Tabel ID]]-1)/$B$5,0)+1</f>
        <v>590</v>
      </c>
      <c r="C2367" s="171">
        <f t="shared" si="36"/>
        <v>1</v>
      </c>
      <c r="D2367" s="171" t="b">
        <f>LineærRegression_Valg[[#This Row],[Afhængig variabel ID]]&lt;&gt;LineærRegression_Valg[[#This Row],[Uafhængig variabel ID]]</f>
        <v>1</v>
      </c>
      <c r="E2367" s="171" t="b">
        <f>LineærRegression_Valg[[#This Row],[Afhængig variabel ID]]&lt;=$B$5</f>
        <v>0</v>
      </c>
      <c r="F2367" t="str" cm="1">
        <f t="array" ref="F2367">IF(LineærRegression_Valg[[#This Row],[Indenfor range]],INDEX(DataTitel_liste,LineærRegression_Valg[[#This Row],[Afhængig variabel ID]]),INDEX(DataTitel_liste,1))</f>
        <v>Eksempel 1 (interval)</v>
      </c>
      <c r="G2367" s="171" t="str" cm="1">
        <f t="array" ref="G2367">IF(LineærRegression_Valg[[#This Row],[Indenfor range]],IF(LineærRegression_Valg[[#This Row],[Intet overlap]],INDEX(DataTitel_liste,LineærRegression_Valg[[#This Row],[Uafhængig variabel ID]]),INDEX(DataTitel_liste,IF(LineærRegression_Valg[[#This Row],[Afhængig variabel ID]]=1,2,1))),$B$7)</f>
        <v>Eksempel 2 (interval)</v>
      </c>
      <c r="H2367" s="171">
        <f>_xlfn.AGGREGATE(2,5,LineærRegression_Valg[[#This Row],[Tabel ID]])</f>
        <v>1</v>
      </c>
    </row>
    <row r="2368" spans="1:8" x14ac:dyDescent="0.2">
      <c r="A2368">
        <f>ROW(LineærRegression_Valg[[#This Row],[Tabel ID]])-ROW(LineærRegression_Valg[[#Headers],[Tabel ID]])</f>
        <v>2358</v>
      </c>
      <c r="B2368" s="171">
        <f>ROUNDDOWN((LineærRegression_Valg[[#This Row],[Tabel ID]]-1)/$B$5,0)+1</f>
        <v>590</v>
      </c>
      <c r="C2368" s="171">
        <f t="shared" si="36"/>
        <v>2</v>
      </c>
      <c r="D2368" s="171" t="b">
        <f>LineærRegression_Valg[[#This Row],[Afhængig variabel ID]]&lt;&gt;LineærRegression_Valg[[#This Row],[Uafhængig variabel ID]]</f>
        <v>1</v>
      </c>
      <c r="E2368" s="171" t="b">
        <f>LineærRegression_Valg[[#This Row],[Afhængig variabel ID]]&lt;=$B$5</f>
        <v>0</v>
      </c>
      <c r="F2368" t="str" cm="1">
        <f t="array" ref="F2368">IF(LineærRegression_Valg[[#This Row],[Indenfor range]],INDEX(DataTitel_liste,LineærRegression_Valg[[#This Row],[Afhængig variabel ID]]),INDEX(DataTitel_liste,1))</f>
        <v>Eksempel 1 (interval)</v>
      </c>
      <c r="G2368" s="171" t="str" cm="1">
        <f t="array" ref="G2368">IF(LineærRegression_Valg[[#This Row],[Indenfor range]],IF(LineærRegression_Valg[[#This Row],[Intet overlap]],INDEX(DataTitel_liste,LineærRegression_Valg[[#This Row],[Uafhængig variabel ID]]),INDEX(DataTitel_liste,IF(LineærRegression_Valg[[#This Row],[Afhængig variabel ID]]=1,2,1))),$B$7)</f>
        <v>Eksempel 2 (interval)</v>
      </c>
      <c r="H2368" s="171">
        <f>_xlfn.AGGREGATE(2,5,LineærRegression_Valg[[#This Row],[Tabel ID]])</f>
        <v>1</v>
      </c>
    </row>
    <row r="2369" spans="1:8" x14ac:dyDescent="0.2">
      <c r="A2369">
        <f>ROW(LineærRegression_Valg[[#This Row],[Tabel ID]])-ROW(LineærRegression_Valg[[#Headers],[Tabel ID]])</f>
        <v>2359</v>
      </c>
      <c r="B2369" s="171">
        <f>ROUNDDOWN((LineærRegression_Valg[[#This Row],[Tabel ID]]-1)/$B$5,0)+1</f>
        <v>590</v>
      </c>
      <c r="C2369" s="171">
        <f t="shared" si="36"/>
        <v>3</v>
      </c>
      <c r="D2369" s="171" t="b">
        <f>LineærRegression_Valg[[#This Row],[Afhængig variabel ID]]&lt;&gt;LineærRegression_Valg[[#This Row],[Uafhængig variabel ID]]</f>
        <v>1</v>
      </c>
      <c r="E2369" s="171" t="b">
        <f>LineærRegression_Valg[[#This Row],[Afhængig variabel ID]]&lt;=$B$5</f>
        <v>0</v>
      </c>
      <c r="F2369" t="str" cm="1">
        <f t="array" ref="F2369">IF(LineærRegression_Valg[[#This Row],[Indenfor range]],INDEX(DataTitel_liste,LineærRegression_Valg[[#This Row],[Afhængig variabel ID]]),INDEX(DataTitel_liste,1))</f>
        <v>Eksempel 1 (interval)</v>
      </c>
      <c r="G2369" s="171" t="str" cm="1">
        <f t="array" ref="G2369">IF(LineærRegression_Valg[[#This Row],[Indenfor range]],IF(LineærRegression_Valg[[#This Row],[Intet overlap]],INDEX(DataTitel_liste,LineærRegression_Valg[[#This Row],[Uafhængig variabel ID]]),INDEX(DataTitel_liste,IF(LineærRegression_Valg[[#This Row],[Afhængig variabel ID]]=1,2,1))),$B$7)</f>
        <v>Eksempel 2 (interval)</v>
      </c>
      <c r="H2369" s="171">
        <f>_xlfn.AGGREGATE(2,5,LineærRegression_Valg[[#This Row],[Tabel ID]])</f>
        <v>1</v>
      </c>
    </row>
    <row r="2370" spans="1:8" x14ac:dyDescent="0.2">
      <c r="A2370">
        <f>ROW(LineærRegression_Valg[[#This Row],[Tabel ID]])-ROW(LineærRegression_Valg[[#Headers],[Tabel ID]])</f>
        <v>2360</v>
      </c>
      <c r="B2370" s="171">
        <f>ROUNDDOWN((LineærRegression_Valg[[#This Row],[Tabel ID]]-1)/$B$5,0)+1</f>
        <v>590</v>
      </c>
      <c r="C2370" s="171">
        <f t="shared" si="36"/>
        <v>4</v>
      </c>
      <c r="D2370" s="171" t="b">
        <f>LineærRegression_Valg[[#This Row],[Afhængig variabel ID]]&lt;&gt;LineærRegression_Valg[[#This Row],[Uafhængig variabel ID]]</f>
        <v>1</v>
      </c>
      <c r="E2370" s="171" t="b">
        <f>LineærRegression_Valg[[#This Row],[Afhængig variabel ID]]&lt;=$B$5</f>
        <v>0</v>
      </c>
      <c r="F2370" t="str" cm="1">
        <f t="array" ref="F2370">IF(LineærRegression_Valg[[#This Row],[Indenfor range]],INDEX(DataTitel_liste,LineærRegression_Valg[[#This Row],[Afhængig variabel ID]]),INDEX(DataTitel_liste,1))</f>
        <v>Eksempel 1 (interval)</v>
      </c>
      <c r="G2370" s="171" t="str" cm="1">
        <f t="array" ref="G2370">IF(LineærRegression_Valg[[#This Row],[Indenfor range]],IF(LineærRegression_Valg[[#This Row],[Intet overlap]],INDEX(DataTitel_liste,LineærRegression_Valg[[#This Row],[Uafhængig variabel ID]]),INDEX(DataTitel_liste,IF(LineærRegression_Valg[[#This Row],[Afhængig variabel ID]]=1,2,1))),$B$7)</f>
        <v>Eksempel 2 (interval)</v>
      </c>
      <c r="H2370" s="171">
        <f>_xlfn.AGGREGATE(2,5,LineærRegression_Valg[[#This Row],[Tabel ID]])</f>
        <v>1</v>
      </c>
    </row>
    <row r="2371" spans="1:8" x14ac:dyDescent="0.2">
      <c r="A2371">
        <f>ROW(LineærRegression_Valg[[#This Row],[Tabel ID]])-ROW(LineærRegression_Valg[[#Headers],[Tabel ID]])</f>
        <v>2361</v>
      </c>
      <c r="B2371" s="171">
        <f>ROUNDDOWN((LineærRegression_Valg[[#This Row],[Tabel ID]]-1)/$B$5,0)+1</f>
        <v>591</v>
      </c>
      <c r="C2371" s="171">
        <f t="shared" si="36"/>
        <v>1</v>
      </c>
      <c r="D2371" s="171" t="b">
        <f>LineærRegression_Valg[[#This Row],[Afhængig variabel ID]]&lt;&gt;LineærRegression_Valg[[#This Row],[Uafhængig variabel ID]]</f>
        <v>1</v>
      </c>
      <c r="E2371" s="171" t="b">
        <f>LineærRegression_Valg[[#This Row],[Afhængig variabel ID]]&lt;=$B$5</f>
        <v>0</v>
      </c>
      <c r="F2371" t="str" cm="1">
        <f t="array" ref="F2371">IF(LineærRegression_Valg[[#This Row],[Indenfor range]],INDEX(DataTitel_liste,LineærRegression_Valg[[#This Row],[Afhængig variabel ID]]),INDEX(DataTitel_liste,1))</f>
        <v>Eksempel 1 (interval)</v>
      </c>
      <c r="G2371" s="171" t="str" cm="1">
        <f t="array" ref="G2371">IF(LineærRegression_Valg[[#This Row],[Indenfor range]],IF(LineærRegression_Valg[[#This Row],[Intet overlap]],INDEX(DataTitel_liste,LineærRegression_Valg[[#This Row],[Uafhængig variabel ID]]),INDEX(DataTitel_liste,IF(LineærRegression_Valg[[#This Row],[Afhængig variabel ID]]=1,2,1))),$B$7)</f>
        <v>Eksempel 2 (interval)</v>
      </c>
      <c r="H2371" s="171">
        <f>_xlfn.AGGREGATE(2,5,LineærRegression_Valg[[#This Row],[Tabel ID]])</f>
        <v>1</v>
      </c>
    </row>
    <row r="2372" spans="1:8" x14ac:dyDescent="0.2">
      <c r="A2372">
        <f>ROW(LineærRegression_Valg[[#This Row],[Tabel ID]])-ROW(LineærRegression_Valg[[#Headers],[Tabel ID]])</f>
        <v>2362</v>
      </c>
      <c r="B2372" s="171">
        <f>ROUNDDOWN((LineærRegression_Valg[[#This Row],[Tabel ID]]-1)/$B$5,0)+1</f>
        <v>591</v>
      </c>
      <c r="C2372" s="171">
        <f t="shared" si="36"/>
        <v>2</v>
      </c>
      <c r="D2372" s="171" t="b">
        <f>LineærRegression_Valg[[#This Row],[Afhængig variabel ID]]&lt;&gt;LineærRegression_Valg[[#This Row],[Uafhængig variabel ID]]</f>
        <v>1</v>
      </c>
      <c r="E2372" s="171" t="b">
        <f>LineærRegression_Valg[[#This Row],[Afhængig variabel ID]]&lt;=$B$5</f>
        <v>0</v>
      </c>
      <c r="F2372" t="str" cm="1">
        <f t="array" ref="F2372">IF(LineærRegression_Valg[[#This Row],[Indenfor range]],INDEX(DataTitel_liste,LineærRegression_Valg[[#This Row],[Afhængig variabel ID]]),INDEX(DataTitel_liste,1))</f>
        <v>Eksempel 1 (interval)</v>
      </c>
      <c r="G2372" s="171" t="str" cm="1">
        <f t="array" ref="G2372">IF(LineærRegression_Valg[[#This Row],[Indenfor range]],IF(LineærRegression_Valg[[#This Row],[Intet overlap]],INDEX(DataTitel_liste,LineærRegression_Valg[[#This Row],[Uafhængig variabel ID]]),INDEX(DataTitel_liste,IF(LineærRegression_Valg[[#This Row],[Afhængig variabel ID]]=1,2,1))),$B$7)</f>
        <v>Eksempel 2 (interval)</v>
      </c>
      <c r="H2372" s="171">
        <f>_xlfn.AGGREGATE(2,5,LineærRegression_Valg[[#This Row],[Tabel ID]])</f>
        <v>1</v>
      </c>
    </row>
    <row r="2373" spans="1:8" x14ac:dyDescent="0.2">
      <c r="A2373">
        <f>ROW(LineærRegression_Valg[[#This Row],[Tabel ID]])-ROW(LineærRegression_Valg[[#Headers],[Tabel ID]])</f>
        <v>2363</v>
      </c>
      <c r="B2373" s="171">
        <f>ROUNDDOWN((LineærRegression_Valg[[#This Row],[Tabel ID]]-1)/$B$5,0)+1</f>
        <v>591</v>
      </c>
      <c r="C2373" s="171">
        <f t="shared" si="36"/>
        <v>3</v>
      </c>
      <c r="D2373" s="171" t="b">
        <f>LineærRegression_Valg[[#This Row],[Afhængig variabel ID]]&lt;&gt;LineærRegression_Valg[[#This Row],[Uafhængig variabel ID]]</f>
        <v>1</v>
      </c>
      <c r="E2373" s="171" t="b">
        <f>LineærRegression_Valg[[#This Row],[Afhængig variabel ID]]&lt;=$B$5</f>
        <v>0</v>
      </c>
      <c r="F2373" t="str" cm="1">
        <f t="array" ref="F2373">IF(LineærRegression_Valg[[#This Row],[Indenfor range]],INDEX(DataTitel_liste,LineærRegression_Valg[[#This Row],[Afhængig variabel ID]]),INDEX(DataTitel_liste,1))</f>
        <v>Eksempel 1 (interval)</v>
      </c>
      <c r="G2373" s="171" t="str" cm="1">
        <f t="array" ref="G2373">IF(LineærRegression_Valg[[#This Row],[Indenfor range]],IF(LineærRegression_Valg[[#This Row],[Intet overlap]],INDEX(DataTitel_liste,LineærRegression_Valg[[#This Row],[Uafhængig variabel ID]]),INDEX(DataTitel_liste,IF(LineærRegression_Valg[[#This Row],[Afhængig variabel ID]]=1,2,1))),$B$7)</f>
        <v>Eksempel 2 (interval)</v>
      </c>
      <c r="H2373" s="171">
        <f>_xlfn.AGGREGATE(2,5,LineærRegression_Valg[[#This Row],[Tabel ID]])</f>
        <v>1</v>
      </c>
    </row>
    <row r="2374" spans="1:8" x14ac:dyDescent="0.2">
      <c r="A2374">
        <f>ROW(LineærRegression_Valg[[#This Row],[Tabel ID]])-ROW(LineærRegression_Valg[[#Headers],[Tabel ID]])</f>
        <v>2364</v>
      </c>
      <c r="B2374" s="171">
        <f>ROUNDDOWN((LineærRegression_Valg[[#This Row],[Tabel ID]]-1)/$B$5,0)+1</f>
        <v>591</v>
      </c>
      <c r="C2374" s="171">
        <f t="shared" si="36"/>
        <v>4</v>
      </c>
      <c r="D2374" s="171" t="b">
        <f>LineærRegression_Valg[[#This Row],[Afhængig variabel ID]]&lt;&gt;LineærRegression_Valg[[#This Row],[Uafhængig variabel ID]]</f>
        <v>1</v>
      </c>
      <c r="E2374" s="171" t="b">
        <f>LineærRegression_Valg[[#This Row],[Afhængig variabel ID]]&lt;=$B$5</f>
        <v>0</v>
      </c>
      <c r="F2374" t="str" cm="1">
        <f t="array" ref="F2374">IF(LineærRegression_Valg[[#This Row],[Indenfor range]],INDEX(DataTitel_liste,LineærRegression_Valg[[#This Row],[Afhængig variabel ID]]),INDEX(DataTitel_liste,1))</f>
        <v>Eksempel 1 (interval)</v>
      </c>
      <c r="G2374" s="171" t="str" cm="1">
        <f t="array" ref="G2374">IF(LineærRegression_Valg[[#This Row],[Indenfor range]],IF(LineærRegression_Valg[[#This Row],[Intet overlap]],INDEX(DataTitel_liste,LineærRegression_Valg[[#This Row],[Uafhængig variabel ID]]),INDEX(DataTitel_liste,IF(LineærRegression_Valg[[#This Row],[Afhængig variabel ID]]=1,2,1))),$B$7)</f>
        <v>Eksempel 2 (interval)</v>
      </c>
      <c r="H2374" s="171">
        <f>_xlfn.AGGREGATE(2,5,LineærRegression_Valg[[#This Row],[Tabel ID]])</f>
        <v>1</v>
      </c>
    </row>
    <row r="2375" spans="1:8" x14ac:dyDescent="0.2">
      <c r="A2375">
        <f>ROW(LineærRegression_Valg[[#This Row],[Tabel ID]])-ROW(LineærRegression_Valg[[#Headers],[Tabel ID]])</f>
        <v>2365</v>
      </c>
      <c r="B2375" s="171">
        <f>ROUNDDOWN((LineærRegression_Valg[[#This Row],[Tabel ID]]-1)/$B$5,0)+1</f>
        <v>592</v>
      </c>
      <c r="C2375" s="171">
        <f t="shared" si="36"/>
        <v>1</v>
      </c>
      <c r="D2375" s="171" t="b">
        <f>LineærRegression_Valg[[#This Row],[Afhængig variabel ID]]&lt;&gt;LineærRegression_Valg[[#This Row],[Uafhængig variabel ID]]</f>
        <v>1</v>
      </c>
      <c r="E2375" s="171" t="b">
        <f>LineærRegression_Valg[[#This Row],[Afhængig variabel ID]]&lt;=$B$5</f>
        <v>0</v>
      </c>
      <c r="F2375" t="str" cm="1">
        <f t="array" ref="F2375">IF(LineærRegression_Valg[[#This Row],[Indenfor range]],INDEX(DataTitel_liste,LineærRegression_Valg[[#This Row],[Afhængig variabel ID]]),INDEX(DataTitel_liste,1))</f>
        <v>Eksempel 1 (interval)</v>
      </c>
      <c r="G2375" s="171" t="str" cm="1">
        <f t="array" ref="G2375">IF(LineærRegression_Valg[[#This Row],[Indenfor range]],IF(LineærRegression_Valg[[#This Row],[Intet overlap]],INDEX(DataTitel_liste,LineærRegression_Valg[[#This Row],[Uafhængig variabel ID]]),INDEX(DataTitel_liste,IF(LineærRegression_Valg[[#This Row],[Afhængig variabel ID]]=1,2,1))),$B$7)</f>
        <v>Eksempel 2 (interval)</v>
      </c>
      <c r="H2375" s="171">
        <f>_xlfn.AGGREGATE(2,5,LineærRegression_Valg[[#This Row],[Tabel ID]])</f>
        <v>1</v>
      </c>
    </row>
    <row r="2376" spans="1:8" x14ac:dyDescent="0.2">
      <c r="A2376">
        <f>ROW(LineærRegression_Valg[[#This Row],[Tabel ID]])-ROW(LineærRegression_Valg[[#Headers],[Tabel ID]])</f>
        <v>2366</v>
      </c>
      <c r="B2376" s="171">
        <f>ROUNDDOWN((LineærRegression_Valg[[#This Row],[Tabel ID]]-1)/$B$5,0)+1</f>
        <v>592</v>
      </c>
      <c r="C2376" s="171">
        <f t="shared" si="36"/>
        <v>2</v>
      </c>
      <c r="D2376" s="171" t="b">
        <f>LineærRegression_Valg[[#This Row],[Afhængig variabel ID]]&lt;&gt;LineærRegression_Valg[[#This Row],[Uafhængig variabel ID]]</f>
        <v>1</v>
      </c>
      <c r="E2376" s="171" t="b">
        <f>LineærRegression_Valg[[#This Row],[Afhængig variabel ID]]&lt;=$B$5</f>
        <v>0</v>
      </c>
      <c r="F2376" t="str" cm="1">
        <f t="array" ref="F2376">IF(LineærRegression_Valg[[#This Row],[Indenfor range]],INDEX(DataTitel_liste,LineærRegression_Valg[[#This Row],[Afhængig variabel ID]]),INDEX(DataTitel_liste,1))</f>
        <v>Eksempel 1 (interval)</v>
      </c>
      <c r="G2376" s="171" t="str" cm="1">
        <f t="array" ref="G2376">IF(LineærRegression_Valg[[#This Row],[Indenfor range]],IF(LineærRegression_Valg[[#This Row],[Intet overlap]],INDEX(DataTitel_liste,LineærRegression_Valg[[#This Row],[Uafhængig variabel ID]]),INDEX(DataTitel_liste,IF(LineærRegression_Valg[[#This Row],[Afhængig variabel ID]]=1,2,1))),$B$7)</f>
        <v>Eksempel 2 (interval)</v>
      </c>
      <c r="H2376" s="171">
        <f>_xlfn.AGGREGATE(2,5,LineærRegression_Valg[[#This Row],[Tabel ID]])</f>
        <v>1</v>
      </c>
    </row>
    <row r="2377" spans="1:8" x14ac:dyDescent="0.2">
      <c r="A2377">
        <f>ROW(LineærRegression_Valg[[#This Row],[Tabel ID]])-ROW(LineærRegression_Valg[[#Headers],[Tabel ID]])</f>
        <v>2367</v>
      </c>
      <c r="B2377" s="171">
        <f>ROUNDDOWN((LineærRegression_Valg[[#This Row],[Tabel ID]]-1)/$B$5,0)+1</f>
        <v>592</v>
      </c>
      <c r="C2377" s="171">
        <f t="shared" si="36"/>
        <v>3</v>
      </c>
      <c r="D2377" s="171" t="b">
        <f>LineærRegression_Valg[[#This Row],[Afhængig variabel ID]]&lt;&gt;LineærRegression_Valg[[#This Row],[Uafhængig variabel ID]]</f>
        <v>1</v>
      </c>
      <c r="E2377" s="171" t="b">
        <f>LineærRegression_Valg[[#This Row],[Afhængig variabel ID]]&lt;=$B$5</f>
        <v>0</v>
      </c>
      <c r="F2377" t="str" cm="1">
        <f t="array" ref="F2377">IF(LineærRegression_Valg[[#This Row],[Indenfor range]],INDEX(DataTitel_liste,LineærRegression_Valg[[#This Row],[Afhængig variabel ID]]),INDEX(DataTitel_liste,1))</f>
        <v>Eksempel 1 (interval)</v>
      </c>
      <c r="G2377" s="171" t="str" cm="1">
        <f t="array" ref="G2377">IF(LineærRegression_Valg[[#This Row],[Indenfor range]],IF(LineærRegression_Valg[[#This Row],[Intet overlap]],INDEX(DataTitel_liste,LineærRegression_Valg[[#This Row],[Uafhængig variabel ID]]),INDEX(DataTitel_liste,IF(LineærRegression_Valg[[#This Row],[Afhængig variabel ID]]=1,2,1))),$B$7)</f>
        <v>Eksempel 2 (interval)</v>
      </c>
      <c r="H2377" s="171">
        <f>_xlfn.AGGREGATE(2,5,LineærRegression_Valg[[#This Row],[Tabel ID]])</f>
        <v>1</v>
      </c>
    </row>
    <row r="2378" spans="1:8" x14ac:dyDescent="0.2">
      <c r="A2378">
        <f>ROW(LineærRegression_Valg[[#This Row],[Tabel ID]])-ROW(LineærRegression_Valg[[#Headers],[Tabel ID]])</f>
        <v>2368</v>
      </c>
      <c r="B2378" s="171">
        <f>ROUNDDOWN((LineærRegression_Valg[[#This Row],[Tabel ID]]-1)/$B$5,0)+1</f>
        <v>592</v>
      </c>
      <c r="C2378" s="171">
        <f t="shared" si="36"/>
        <v>4</v>
      </c>
      <c r="D2378" s="171" t="b">
        <f>LineærRegression_Valg[[#This Row],[Afhængig variabel ID]]&lt;&gt;LineærRegression_Valg[[#This Row],[Uafhængig variabel ID]]</f>
        <v>1</v>
      </c>
      <c r="E2378" s="171" t="b">
        <f>LineærRegression_Valg[[#This Row],[Afhængig variabel ID]]&lt;=$B$5</f>
        <v>0</v>
      </c>
      <c r="F2378" t="str" cm="1">
        <f t="array" ref="F2378">IF(LineærRegression_Valg[[#This Row],[Indenfor range]],INDEX(DataTitel_liste,LineærRegression_Valg[[#This Row],[Afhængig variabel ID]]),INDEX(DataTitel_liste,1))</f>
        <v>Eksempel 1 (interval)</v>
      </c>
      <c r="G2378" s="171" t="str" cm="1">
        <f t="array" ref="G2378">IF(LineærRegression_Valg[[#This Row],[Indenfor range]],IF(LineærRegression_Valg[[#This Row],[Intet overlap]],INDEX(DataTitel_liste,LineærRegression_Valg[[#This Row],[Uafhængig variabel ID]]),INDEX(DataTitel_liste,IF(LineærRegression_Valg[[#This Row],[Afhængig variabel ID]]=1,2,1))),$B$7)</f>
        <v>Eksempel 2 (interval)</v>
      </c>
      <c r="H2378" s="171">
        <f>_xlfn.AGGREGATE(2,5,LineærRegression_Valg[[#This Row],[Tabel ID]])</f>
        <v>1</v>
      </c>
    </row>
    <row r="2379" spans="1:8" x14ac:dyDescent="0.2">
      <c r="A2379">
        <f>ROW(LineærRegression_Valg[[#This Row],[Tabel ID]])-ROW(LineærRegression_Valg[[#Headers],[Tabel ID]])</f>
        <v>2369</v>
      </c>
      <c r="B2379" s="171">
        <f>ROUNDDOWN((LineærRegression_Valg[[#This Row],[Tabel ID]]-1)/$B$5,0)+1</f>
        <v>593</v>
      </c>
      <c r="C2379" s="171">
        <f t="shared" ref="C2379:C2442" si="37">MOD(A2379-1,$B$5)+1</f>
        <v>1</v>
      </c>
      <c r="D2379" s="171" t="b">
        <f>LineærRegression_Valg[[#This Row],[Afhængig variabel ID]]&lt;&gt;LineærRegression_Valg[[#This Row],[Uafhængig variabel ID]]</f>
        <v>1</v>
      </c>
      <c r="E2379" s="171" t="b">
        <f>LineærRegression_Valg[[#This Row],[Afhængig variabel ID]]&lt;=$B$5</f>
        <v>0</v>
      </c>
      <c r="F2379" t="str" cm="1">
        <f t="array" ref="F2379">IF(LineærRegression_Valg[[#This Row],[Indenfor range]],INDEX(DataTitel_liste,LineærRegression_Valg[[#This Row],[Afhængig variabel ID]]),INDEX(DataTitel_liste,1))</f>
        <v>Eksempel 1 (interval)</v>
      </c>
      <c r="G2379" s="171" t="str" cm="1">
        <f t="array" ref="G2379">IF(LineærRegression_Valg[[#This Row],[Indenfor range]],IF(LineærRegression_Valg[[#This Row],[Intet overlap]],INDEX(DataTitel_liste,LineærRegression_Valg[[#This Row],[Uafhængig variabel ID]]),INDEX(DataTitel_liste,IF(LineærRegression_Valg[[#This Row],[Afhængig variabel ID]]=1,2,1))),$B$7)</f>
        <v>Eksempel 2 (interval)</v>
      </c>
      <c r="H2379" s="171">
        <f>_xlfn.AGGREGATE(2,5,LineærRegression_Valg[[#This Row],[Tabel ID]])</f>
        <v>1</v>
      </c>
    </row>
    <row r="2380" spans="1:8" x14ac:dyDescent="0.2">
      <c r="A2380">
        <f>ROW(LineærRegression_Valg[[#This Row],[Tabel ID]])-ROW(LineærRegression_Valg[[#Headers],[Tabel ID]])</f>
        <v>2370</v>
      </c>
      <c r="B2380" s="171">
        <f>ROUNDDOWN((LineærRegression_Valg[[#This Row],[Tabel ID]]-1)/$B$5,0)+1</f>
        <v>593</v>
      </c>
      <c r="C2380" s="171">
        <f t="shared" si="37"/>
        <v>2</v>
      </c>
      <c r="D2380" s="171" t="b">
        <f>LineærRegression_Valg[[#This Row],[Afhængig variabel ID]]&lt;&gt;LineærRegression_Valg[[#This Row],[Uafhængig variabel ID]]</f>
        <v>1</v>
      </c>
      <c r="E2380" s="171" t="b">
        <f>LineærRegression_Valg[[#This Row],[Afhængig variabel ID]]&lt;=$B$5</f>
        <v>0</v>
      </c>
      <c r="F2380" t="str" cm="1">
        <f t="array" ref="F2380">IF(LineærRegression_Valg[[#This Row],[Indenfor range]],INDEX(DataTitel_liste,LineærRegression_Valg[[#This Row],[Afhængig variabel ID]]),INDEX(DataTitel_liste,1))</f>
        <v>Eksempel 1 (interval)</v>
      </c>
      <c r="G2380" s="171" t="str" cm="1">
        <f t="array" ref="G2380">IF(LineærRegression_Valg[[#This Row],[Indenfor range]],IF(LineærRegression_Valg[[#This Row],[Intet overlap]],INDEX(DataTitel_liste,LineærRegression_Valg[[#This Row],[Uafhængig variabel ID]]),INDEX(DataTitel_liste,IF(LineærRegression_Valg[[#This Row],[Afhængig variabel ID]]=1,2,1))),$B$7)</f>
        <v>Eksempel 2 (interval)</v>
      </c>
      <c r="H2380" s="171">
        <f>_xlfn.AGGREGATE(2,5,LineærRegression_Valg[[#This Row],[Tabel ID]])</f>
        <v>1</v>
      </c>
    </row>
    <row r="2381" spans="1:8" x14ac:dyDescent="0.2">
      <c r="A2381">
        <f>ROW(LineærRegression_Valg[[#This Row],[Tabel ID]])-ROW(LineærRegression_Valg[[#Headers],[Tabel ID]])</f>
        <v>2371</v>
      </c>
      <c r="B2381" s="171">
        <f>ROUNDDOWN((LineærRegression_Valg[[#This Row],[Tabel ID]]-1)/$B$5,0)+1</f>
        <v>593</v>
      </c>
      <c r="C2381" s="171">
        <f t="shared" si="37"/>
        <v>3</v>
      </c>
      <c r="D2381" s="171" t="b">
        <f>LineærRegression_Valg[[#This Row],[Afhængig variabel ID]]&lt;&gt;LineærRegression_Valg[[#This Row],[Uafhængig variabel ID]]</f>
        <v>1</v>
      </c>
      <c r="E2381" s="171" t="b">
        <f>LineærRegression_Valg[[#This Row],[Afhængig variabel ID]]&lt;=$B$5</f>
        <v>0</v>
      </c>
      <c r="F2381" t="str" cm="1">
        <f t="array" ref="F2381">IF(LineærRegression_Valg[[#This Row],[Indenfor range]],INDEX(DataTitel_liste,LineærRegression_Valg[[#This Row],[Afhængig variabel ID]]),INDEX(DataTitel_liste,1))</f>
        <v>Eksempel 1 (interval)</v>
      </c>
      <c r="G2381" s="171" t="str" cm="1">
        <f t="array" ref="G2381">IF(LineærRegression_Valg[[#This Row],[Indenfor range]],IF(LineærRegression_Valg[[#This Row],[Intet overlap]],INDEX(DataTitel_liste,LineærRegression_Valg[[#This Row],[Uafhængig variabel ID]]),INDEX(DataTitel_liste,IF(LineærRegression_Valg[[#This Row],[Afhængig variabel ID]]=1,2,1))),$B$7)</f>
        <v>Eksempel 2 (interval)</v>
      </c>
      <c r="H2381" s="171">
        <f>_xlfn.AGGREGATE(2,5,LineærRegression_Valg[[#This Row],[Tabel ID]])</f>
        <v>1</v>
      </c>
    </row>
    <row r="2382" spans="1:8" x14ac:dyDescent="0.2">
      <c r="A2382">
        <f>ROW(LineærRegression_Valg[[#This Row],[Tabel ID]])-ROW(LineærRegression_Valg[[#Headers],[Tabel ID]])</f>
        <v>2372</v>
      </c>
      <c r="B2382" s="171">
        <f>ROUNDDOWN((LineærRegression_Valg[[#This Row],[Tabel ID]]-1)/$B$5,0)+1</f>
        <v>593</v>
      </c>
      <c r="C2382" s="171">
        <f t="shared" si="37"/>
        <v>4</v>
      </c>
      <c r="D2382" s="171" t="b">
        <f>LineærRegression_Valg[[#This Row],[Afhængig variabel ID]]&lt;&gt;LineærRegression_Valg[[#This Row],[Uafhængig variabel ID]]</f>
        <v>1</v>
      </c>
      <c r="E2382" s="171" t="b">
        <f>LineærRegression_Valg[[#This Row],[Afhængig variabel ID]]&lt;=$B$5</f>
        <v>0</v>
      </c>
      <c r="F2382" t="str" cm="1">
        <f t="array" ref="F2382">IF(LineærRegression_Valg[[#This Row],[Indenfor range]],INDEX(DataTitel_liste,LineærRegression_Valg[[#This Row],[Afhængig variabel ID]]),INDEX(DataTitel_liste,1))</f>
        <v>Eksempel 1 (interval)</v>
      </c>
      <c r="G2382" s="171" t="str" cm="1">
        <f t="array" ref="G2382">IF(LineærRegression_Valg[[#This Row],[Indenfor range]],IF(LineærRegression_Valg[[#This Row],[Intet overlap]],INDEX(DataTitel_liste,LineærRegression_Valg[[#This Row],[Uafhængig variabel ID]]),INDEX(DataTitel_liste,IF(LineærRegression_Valg[[#This Row],[Afhængig variabel ID]]=1,2,1))),$B$7)</f>
        <v>Eksempel 2 (interval)</v>
      </c>
      <c r="H2382" s="171">
        <f>_xlfn.AGGREGATE(2,5,LineærRegression_Valg[[#This Row],[Tabel ID]])</f>
        <v>1</v>
      </c>
    </row>
    <row r="2383" spans="1:8" x14ac:dyDescent="0.2">
      <c r="A2383">
        <f>ROW(LineærRegression_Valg[[#This Row],[Tabel ID]])-ROW(LineærRegression_Valg[[#Headers],[Tabel ID]])</f>
        <v>2373</v>
      </c>
      <c r="B2383" s="171">
        <f>ROUNDDOWN((LineærRegression_Valg[[#This Row],[Tabel ID]]-1)/$B$5,0)+1</f>
        <v>594</v>
      </c>
      <c r="C2383" s="171">
        <f t="shared" si="37"/>
        <v>1</v>
      </c>
      <c r="D2383" s="171" t="b">
        <f>LineærRegression_Valg[[#This Row],[Afhængig variabel ID]]&lt;&gt;LineærRegression_Valg[[#This Row],[Uafhængig variabel ID]]</f>
        <v>1</v>
      </c>
      <c r="E2383" s="171" t="b">
        <f>LineærRegression_Valg[[#This Row],[Afhængig variabel ID]]&lt;=$B$5</f>
        <v>0</v>
      </c>
      <c r="F2383" t="str" cm="1">
        <f t="array" ref="F2383">IF(LineærRegression_Valg[[#This Row],[Indenfor range]],INDEX(DataTitel_liste,LineærRegression_Valg[[#This Row],[Afhængig variabel ID]]),INDEX(DataTitel_liste,1))</f>
        <v>Eksempel 1 (interval)</v>
      </c>
      <c r="G2383" s="171" t="str" cm="1">
        <f t="array" ref="G2383">IF(LineærRegression_Valg[[#This Row],[Indenfor range]],IF(LineærRegression_Valg[[#This Row],[Intet overlap]],INDEX(DataTitel_liste,LineærRegression_Valg[[#This Row],[Uafhængig variabel ID]]),INDEX(DataTitel_liste,IF(LineærRegression_Valg[[#This Row],[Afhængig variabel ID]]=1,2,1))),$B$7)</f>
        <v>Eksempel 2 (interval)</v>
      </c>
      <c r="H2383" s="171">
        <f>_xlfn.AGGREGATE(2,5,LineærRegression_Valg[[#This Row],[Tabel ID]])</f>
        <v>1</v>
      </c>
    </row>
    <row r="2384" spans="1:8" x14ac:dyDescent="0.2">
      <c r="A2384">
        <f>ROW(LineærRegression_Valg[[#This Row],[Tabel ID]])-ROW(LineærRegression_Valg[[#Headers],[Tabel ID]])</f>
        <v>2374</v>
      </c>
      <c r="B2384" s="171">
        <f>ROUNDDOWN((LineærRegression_Valg[[#This Row],[Tabel ID]]-1)/$B$5,0)+1</f>
        <v>594</v>
      </c>
      <c r="C2384" s="171">
        <f t="shared" si="37"/>
        <v>2</v>
      </c>
      <c r="D2384" s="171" t="b">
        <f>LineærRegression_Valg[[#This Row],[Afhængig variabel ID]]&lt;&gt;LineærRegression_Valg[[#This Row],[Uafhængig variabel ID]]</f>
        <v>1</v>
      </c>
      <c r="E2384" s="171" t="b">
        <f>LineærRegression_Valg[[#This Row],[Afhængig variabel ID]]&lt;=$B$5</f>
        <v>0</v>
      </c>
      <c r="F2384" t="str" cm="1">
        <f t="array" ref="F2384">IF(LineærRegression_Valg[[#This Row],[Indenfor range]],INDEX(DataTitel_liste,LineærRegression_Valg[[#This Row],[Afhængig variabel ID]]),INDEX(DataTitel_liste,1))</f>
        <v>Eksempel 1 (interval)</v>
      </c>
      <c r="G2384" s="171" t="str" cm="1">
        <f t="array" ref="G2384">IF(LineærRegression_Valg[[#This Row],[Indenfor range]],IF(LineærRegression_Valg[[#This Row],[Intet overlap]],INDEX(DataTitel_liste,LineærRegression_Valg[[#This Row],[Uafhængig variabel ID]]),INDEX(DataTitel_liste,IF(LineærRegression_Valg[[#This Row],[Afhængig variabel ID]]=1,2,1))),$B$7)</f>
        <v>Eksempel 2 (interval)</v>
      </c>
      <c r="H2384" s="171">
        <f>_xlfn.AGGREGATE(2,5,LineærRegression_Valg[[#This Row],[Tabel ID]])</f>
        <v>1</v>
      </c>
    </row>
    <row r="2385" spans="1:8" x14ac:dyDescent="0.2">
      <c r="A2385">
        <f>ROW(LineærRegression_Valg[[#This Row],[Tabel ID]])-ROW(LineærRegression_Valg[[#Headers],[Tabel ID]])</f>
        <v>2375</v>
      </c>
      <c r="B2385" s="171">
        <f>ROUNDDOWN((LineærRegression_Valg[[#This Row],[Tabel ID]]-1)/$B$5,0)+1</f>
        <v>594</v>
      </c>
      <c r="C2385" s="171">
        <f t="shared" si="37"/>
        <v>3</v>
      </c>
      <c r="D2385" s="171" t="b">
        <f>LineærRegression_Valg[[#This Row],[Afhængig variabel ID]]&lt;&gt;LineærRegression_Valg[[#This Row],[Uafhængig variabel ID]]</f>
        <v>1</v>
      </c>
      <c r="E2385" s="171" t="b">
        <f>LineærRegression_Valg[[#This Row],[Afhængig variabel ID]]&lt;=$B$5</f>
        <v>0</v>
      </c>
      <c r="F2385" t="str" cm="1">
        <f t="array" ref="F2385">IF(LineærRegression_Valg[[#This Row],[Indenfor range]],INDEX(DataTitel_liste,LineærRegression_Valg[[#This Row],[Afhængig variabel ID]]),INDEX(DataTitel_liste,1))</f>
        <v>Eksempel 1 (interval)</v>
      </c>
      <c r="G2385" s="171" t="str" cm="1">
        <f t="array" ref="G2385">IF(LineærRegression_Valg[[#This Row],[Indenfor range]],IF(LineærRegression_Valg[[#This Row],[Intet overlap]],INDEX(DataTitel_liste,LineærRegression_Valg[[#This Row],[Uafhængig variabel ID]]),INDEX(DataTitel_liste,IF(LineærRegression_Valg[[#This Row],[Afhængig variabel ID]]=1,2,1))),$B$7)</f>
        <v>Eksempel 2 (interval)</v>
      </c>
      <c r="H2385" s="171">
        <f>_xlfn.AGGREGATE(2,5,LineærRegression_Valg[[#This Row],[Tabel ID]])</f>
        <v>1</v>
      </c>
    </row>
    <row r="2386" spans="1:8" x14ac:dyDescent="0.2">
      <c r="A2386">
        <f>ROW(LineærRegression_Valg[[#This Row],[Tabel ID]])-ROW(LineærRegression_Valg[[#Headers],[Tabel ID]])</f>
        <v>2376</v>
      </c>
      <c r="B2386" s="171">
        <f>ROUNDDOWN((LineærRegression_Valg[[#This Row],[Tabel ID]]-1)/$B$5,0)+1</f>
        <v>594</v>
      </c>
      <c r="C2386" s="171">
        <f t="shared" si="37"/>
        <v>4</v>
      </c>
      <c r="D2386" s="171" t="b">
        <f>LineærRegression_Valg[[#This Row],[Afhængig variabel ID]]&lt;&gt;LineærRegression_Valg[[#This Row],[Uafhængig variabel ID]]</f>
        <v>1</v>
      </c>
      <c r="E2386" s="171" t="b">
        <f>LineærRegression_Valg[[#This Row],[Afhængig variabel ID]]&lt;=$B$5</f>
        <v>0</v>
      </c>
      <c r="F2386" t="str" cm="1">
        <f t="array" ref="F2386">IF(LineærRegression_Valg[[#This Row],[Indenfor range]],INDEX(DataTitel_liste,LineærRegression_Valg[[#This Row],[Afhængig variabel ID]]),INDEX(DataTitel_liste,1))</f>
        <v>Eksempel 1 (interval)</v>
      </c>
      <c r="G2386" s="171" t="str" cm="1">
        <f t="array" ref="G2386">IF(LineærRegression_Valg[[#This Row],[Indenfor range]],IF(LineærRegression_Valg[[#This Row],[Intet overlap]],INDEX(DataTitel_liste,LineærRegression_Valg[[#This Row],[Uafhængig variabel ID]]),INDEX(DataTitel_liste,IF(LineærRegression_Valg[[#This Row],[Afhængig variabel ID]]=1,2,1))),$B$7)</f>
        <v>Eksempel 2 (interval)</v>
      </c>
      <c r="H2386" s="171">
        <f>_xlfn.AGGREGATE(2,5,LineærRegression_Valg[[#This Row],[Tabel ID]])</f>
        <v>1</v>
      </c>
    </row>
    <row r="2387" spans="1:8" x14ac:dyDescent="0.2">
      <c r="A2387">
        <f>ROW(LineærRegression_Valg[[#This Row],[Tabel ID]])-ROW(LineærRegression_Valg[[#Headers],[Tabel ID]])</f>
        <v>2377</v>
      </c>
      <c r="B2387" s="171">
        <f>ROUNDDOWN((LineærRegression_Valg[[#This Row],[Tabel ID]]-1)/$B$5,0)+1</f>
        <v>595</v>
      </c>
      <c r="C2387" s="171">
        <f t="shared" si="37"/>
        <v>1</v>
      </c>
      <c r="D2387" s="171" t="b">
        <f>LineærRegression_Valg[[#This Row],[Afhængig variabel ID]]&lt;&gt;LineærRegression_Valg[[#This Row],[Uafhængig variabel ID]]</f>
        <v>1</v>
      </c>
      <c r="E2387" s="171" t="b">
        <f>LineærRegression_Valg[[#This Row],[Afhængig variabel ID]]&lt;=$B$5</f>
        <v>0</v>
      </c>
      <c r="F2387" t="str" cm="1">
        <f t="array" ref="F2387">IF(LineærRegression_Valg[[#This Row],[Indenfor range]],INDEX(DataTitel_liste,LineærRegression_Valg[[#This Row],[Afhængig variabel ID]]),INDEX(DataTitel_liste,1))</f>
        <v>Eksempel 1 (interval)</v>
      </c>
      <c r="G2387" s="171" t="str" cm="1">
        <f t="array" ref="G2387">IF(LineærRegression_Valg[[#This Row],[Indenfor range]],IF(LineærRegression_Valg[[#This Row],[Intet overlap]],INDEX(DataTitel_liste,LineærRegression_Valg[[#This Row],[Uafhængig variabel ID]]),INDEX(DataTitel_liste,IF(LineærRegression_Valg[[#This Row],[Afhængig variabel ID]]=1,2,1))),$B$7)</f>
        <v>Eksempel 2 (interval)</v>
      </c>
      <c r="H2387" s="171">
        <f>_xlfn.AGGREGATE(2,5,LineærRegression_Valg[[#This Row],[Tabel ID]])</f>
        <v>1</v>
      </c>
    </row>
    <row r="2388" spans="1:8" x14ac:dyDescent="0.2">
      <c r="A2388">
        <f>ROW(LineærRegression_Valg[[#This Row],[Tabel ID]])-ROW(LineærRegression_Valg[[#Headers],[Tabel ID]])</f>
        <v>2378</v>
      </c>
      <c r="B2388" s="171">
        <f>ROUNDDOWN((LineærRegression_Valg[[#This Row],[Tabel ID]]-1)/$B$5,0)+1</f>
        <v>595</v>
      </c>
      <c r="C2388" s="171">
        <f t="shared" si="37"/>
        <v>2</v>
      </c>
      <c r="D2388" s="171" t="b">
        <f>LineærRegression_Valg[[#This Row],[Afhængig variabel ID]]&lt;&gt;LineærRegression_Valg[[#This Row],[Uafhængig variabel ID]]</f>
        <v>1</v>
      </c>
      <c r="E2388" s="171" t="b">
        <f>LineærRegression_Valg[[#This Row],[Afhængig variabel ID]]&lt;=$B$5</f>
        <v>0</v>
      </c>
      <c r="F2388" t="str" cm="1">
        <f t="array" ref="F2388">IF(LineærRegression_Valg[[#This Row],[Indenfor range]],INDEX(DataTitel_liste,LineærRegression_Valg[[#This Row],[Afhængig variabel ID]]),INDEX(DataTitel_liste,1))</f>
        <v>Eksempel 1 (interval)</v>
      </c>
      <c r="G2388" s="171" t="str" cm="1">
        <f t="array" ref="G2388">IF(LineærRegression_Valg[[#This Row],[Indenfor range]],IF(LineærRegression_Valg[[#This Row],[Intet overlap]],INDEX(DataTitel_liste,LineærRegression_Valg[[#This Row],[Uafhængig variabel ID]]),INDEX(DataTitel_liste,IF(LineærRegression_Valg[[#This Row],[Afhængig variabel ID]]=1,2,1))),$B$7)</f>
        <v>Eksempel 2 (interval)</v>
      </c>
      <c r="H2388" s="171">
        <f>_xlfn.AGGREGATE(2,5,LineærRegression_Valg[[#This Row],[Tabel ID]])</f>
        <v>1</v>
      </c>
    </row>
    <row r="2389" spans="1:8" x14ac:dyDescent="0.2">
      <c r="A2389">
        <f>ROW(LineærRegression_Valg[[#This Row],[Tabel ID]])-ROW(LineærRegression_Valg[[#Headers],[Tabel ID]])</f>
        <v>2379</v>
      </c>
      <c r="B2389" s="171">
        <f>ROUNDDOWN((LineærRegression_Valg[[#This Row],[Tabel ID]]-1)/$B$5,0)+1</f>
        <v>595</v>
      </c>
      <c r="C2389" s="171">
        <f t="shared" si="37"/>
        <v>3</v>
      </c>
      <c r="D2389" s="171" t="b">
        <f>LineærRegression_Valg[[#This Row],[Afhængig variabel ID]]&lt;&gt;LineærRegression_Valg[[#This Row],[Uafhængig variabel ID]]</f>
        <v>1</v>
      </c>
      <c r="E2389" s="171" t="b">
        <f>LineærRegression_Valg[[#This Row],[Afhængig variabel ID]]&lt;=$B$5</f>
        <v>0</v>
      </c>
      <c r="F2389" t="str" cm="1">
        <f t="array" ref="F2389">IF(LineærRegression_Valg[[#This Row],[Indenfor range]],INDEX(DataTitel_liste,LineærRegression_Valg[[#This Row],[Afhængig variabel ID]]),INDEX(DataTitel_liste,1))</f>
        <v>Eksempel 1 (interval)</v>
      </c>
      <c r="G2389" s="171" t="str" cm="1">
        <f t="array" ref="G2389">IF(LineærRegression_Valg[[#This Row],[Indenfor range]],IF(LineærRegression_Valg[[#This Row],[Intet overlap]],INDEX(DataTitel_liste,LineærRegression_Valg[[#This Row],[Uafhængig variabel ID]]),INDEX(DataTitel_liste,IF(LineærRegression_Valg[[#This Row],[Afhængig variabel ID]]=1,2,1))),$B$7)</f>
        <v>Eksempel 2 (interval)</v>
      </c>
      <c r="H2389" s="171">
        <f>_xlfn.AGGREGATE(2,5,LineærRegression_Valg[[#This Row],[Tabel ID]])</f>
        <v>1</v>
      </c>
    </row>
    <row r="2390" spans="1:8" x14ac:dyDescent="0.2">
      <c r="A2390">
        <f>ROW(LineærRegression_Valg[[#This Row],[Tabel ID]])-ROW(LineærRegression_Valg[[#Headers],[Tabel ID]])</f>
        <v>2380</v>
      </c>
      <c r="B2390" s="171">
        <f>ROUNDDOWN((LineærRegression_Valg[[#This Row],[Tabel ID]]-1)/$B$5,0)+1</f>
        <v>595</v>
      </c>
      <c r="C2390" s="171">
        <f t="shared" si="37"/>
        <v>4</v>
      </c>
      <c r="D2390" s="171" t="b">
        <f>LineærRegression_Valg[[#This Row],[Afhængig variabel ID]]&lt;&gt;LineærRegression_Valg[[#This Row],[Uafhængig variabel ID]]</f>
        <v>1</v>
      </c>
      <c r="E2390" s="171" t="b">
        <f>LineærRegression_Valg[[#This Row],[Afhængig variabel ID]]&lt;=$B$5</f>
        <v>0</v>
      </c>
      <c r="F2390" t="str" cm="1">
        <f t="array" ref="F2390">IF(LineærRegression_Valg[[#This Row],[Indenfor range]],INDEX(DataTitel_liste,LineærRegression_Valg[[#This Row],[Afhængig variabel ID]]),INDEX(DataTitel_liste,1))</f>
        <v>Eksempel 1 (interval)</v>
      </c>
      <c r="G2390" s="171" t="str" cm="1">
        <f t="array" ref="G2390">IF(LineærRegression_Valg[[#This Row],[Indenfor range]],IF(LineærRegression_Valg[[#This Row],[Intet overlap]],INDEX(DataTitel_liste,LineærRegression_Valg[[#This Row],[Uafhængig variabel ID]]),INDEX(DataTitel_liste,IF(LineærRegression_Valg[[#This Row],[Afhængig variabel ID]]=1,2,1))),$B$7)</f>
        <v>Eksempel 2 (interval)</v>
      </c>
      <c r="H2390" s="171">
        <f>_xlfn.AGGREGATE(2,5,LineærRegression_Valg[[#This Row],[Tabel ID]])</f>
        <v>1</v>
      </c>
    </row>
    <row r="2391" spans="1:8" x14ac:dyDescent="0.2">
      <c r="A2391">
        <f>ROW(LineærRegression_Valg[[#This Row],[Tabel ID]])-ROW(LineærRegression_Valg[[#Headers],[Tabel ID]])</f>
        <v>2381</v>
      </c>
      <c r="B2391" s="171">
        <f>ROUNDDOWN((LineærRegression_Valg[[#This Row],[Tabel ID]]-1)/$B$5,0)+1</f>
        <v>596</v>
      </c>
      <c r="C2391" s="171">
        <f t="shared" si="37"/>
        <v>1</v>
      </c>
      <c r="D2391" s="171" t="b">
        <f>LineærRegression_Valg[[#This Row],[Afhængig variabel ID]]&lt;&gt;LineærRegression_Valg[[#This Row],[Uafhængig variabel ID]]</f>
        <v>1</v>
      </c>
      <c r="E2391" s="171" t="b">
        <f>LineærRegression_Valg[[#This Row],[Afhængig variabel ID]]&lt;=$B$5</f>
        <v>0</v>
      </c>
      <c r="F2391" t="str" cm="1">
        <f t="array" ref="F2391">IF(LineærRegression_Valg[[#This Row],[Indenfor range]],INDEX(DataTitel_liste,LineærRegression_Valg[[#This Row],[Afhængig variabel ID]]),INDEX(DataTitel_liste,1))</f>
        <v>Eksempel 1 (interval)</v>
      </c>
      <c r="G2391" s="171" t="str" cm="1">
        <f t="array" ref="G2391">IF(LineærRegression_Valg[[#This Row],[Indenfor range]],IF(LineærRegression_Valg[[#This Row],[Intet overlap]],INDEX(DataTitel_liste,LineærRegression_Valg[[#This Row],[Uafhængig variabel ID]]),INDEX(DataTitel_liste,IF(LineærRegression_Valg[[#This Row],[Afhængig variabel ID]]=1,2,1))),$B$7)</f>
        <v>Eksempel 2 (interval)</v>
      </c>
      <c r="H2391" s="171">
        <f>_xlfn.AGGREGATE(2,5,LineærRegression_Valg[[#This Row],[Tabel ID]])</f>
        <v>1</v>
      </c>
    </row>
    <row r="2392" spans="1:8" x14ac:dyDescent="0.2">
      <c r="A2392">
        <f>ROW(LineærRegression_Valg[[#This Row],[Tabel ID]])-ROW(LineærRegression_Valg[[#Headers],[Tabel ID]])</f>
        <v>2382</v>
      </c>
      <c r="B2392" s="171">
        <f>ROUNDDOWN((LineærRegression_Valg[[#This Row],[Tabel ID]]-1)/$B$5,0)+1</f>
        <v>596</v>
      </c>
      <c r="C2392" s="171">
        <f t="shared" si="37"/>
        <v>2</v>
      </c>
      <c r="D2392" s="171" t="b">
        <f>LineærRegression_Valg[[#This Row],[Afhængig variabel ID]]&lt;&gt;LineærRegression_Valg[[#This Row],[Uafhængig variabel ID]]</f>
        <v>1</v>
      </c>
      <c r="E2392" s="171" t="b">
        <f>LineærRegression_Valg[[#This Row],[Afhængig variabel ID]]&lt;=$B$5</f>
        <v>0</v>
      </c>
      <c r="F2392" t="str" cm="1">
        <f t="array" ref="F2392">IF(LineærRegression_Valg[[#This Row],[Indenfor range]],INDEX(DataTitel_liste,LineærRegression_Valg[[#This Row],[Afhængig variabel ID]]),INDEX(DataTitel_liste,1))</f>
        <v>Eksempel 1 (interval)</v>
      </c>
      <c r="G2392" s="171" t="str" cm="1">
        <f t="array" ref="G2392">IF(LineærRegression_Valg[[#This Row],[Indenfor range]],IF(LineærRegression_Valg[[#This Row],[Intet overlap]],INDEX(DataTitel_liste,LineærRegression_Valg[[#This Row],[Uafhængig variabel ID]]),INDEX(DataTitel_liste,IF(LineærRegression_Valg[[#This Row],[Afhængig variabel ID]]=1,2,1))),$B$7)</f>
        <v>Eksempel 2 (interval)</v>
      </c>
      <c r="H2392" s="171">
        <f>_xlfn.AGGREGATE(2,5,LineærRegression_Valg[[#This Row],[Tabel ID]])</f>
        <v>1</v>
      </c>
    </row>
    <row r="2393" spans="1:8" x14ac:dyDescent="0.2">
      <c r="A2393">
        <f>ROW(LineærRegression_Valg[[#This Row],[Tabel ID]])-ROW(LineærRegression_Valg[[#Headers],[Tabel ID]])</f>
        <v>2383</v>
      </c>
      <c r="B2393" s="171">
        <f>ROUNDDOWN((LineærRegression_Valg[[#This Row],[Tabel ID]]-1)/$B$5,0)+1</f>
        <v>596</v>
      </c>
      <c r="C2393" s="171">
        <f t="shared" si="37"/>
        <v>3</v>
      </c>
      <c r="D2393" s="171" t="b">
        <f>LineærRegression_Valg[[#This Row],[Afhængig variabel ID]]&lt;&gt;LineærRegression_Valg[[#This Row],[Uafhængig variabel ID]]</f>
        <v>1</v>
      </c>
      <c r="E2393" s="171" t="b">
        <f>LineærRegression_Valg[[#This Row],[Afhængig variabel ID]]&lt;=$B$5</f>
        <v>0</v>
      </c>
      <c r="F2393" t="str" cm="1">
        <f t="array" ref="F2393">IF(LineærRegression_Valg[[#This Row],[Indenfor range]],INDEX(DataTitel_liste,LineærRegression_Valg[[#This Row],[Afhængig variabel ID]]),INDEX(DataTitel_liste,1))</f>
        <v>Eksempel 1 (interval)</v>
      </c>
      <c r="G2393" s="171" t="str" cm="1">
        <f t="array" ref="G2393">IF(LineærRegression_Valg[[#This Row],[Indenfor range]],IF(LineærRegression_Valg[[#This Row],[Intet overlap]],INDEX(DataTitel_liste,LineærRegression_Valg[[#This Row],[Uafhængig variabel ID]]),INDEX(DataTitel_liste,IF(LineærRegression_Valg[[#This Row],[Afhængig variabel ID]]=1,2,1))),$B$7)</f>
        <v>Eksempel 2 (interval)</v>
      </c>
      <c r="H2393" s="171">
        <f>_xlfn.AGGREGATE(2,5,LineærRegression_Valg[[#This Row],[Tabel ID]])</f>
        <v>1</v>
      </c>
    </row>
    <row r="2394" spans="1:8" x14ac:dyDescent="0.2">
      <c r="A2394">
        <f>ROW(LineærRegression_Valg[[#This Row],[Tabel ID]])-ROW(LineærRegression_Valg[[#Headers],[Tabel ID]])</f>
        <v>2384</v>
      </c>
      <c r="B2394" s="171">
        <f>ROUNDDOWN((LineærRegression_Valg[[#This Row],[Tabel ID]]-1)/$B$5,0)+1</f>
        <v>596</v>
      </c>
      <c r="C2394" s="171">
        <f t="shared" si="37"/>
        <v>4</v>
      </c>
      <c r="D2394" s="171" t="b">
        <f>LineærRegression_Valg[[#This Row],[Afhængig variabel ID]]&lt;&gt;LineærRegression_Valg[[#This Row],[Uafhængig variabel ID]]</f>
        <v>1</v>
      </c>
      <c r="E2394" s="171" t="b">
        <f>LineærRegression_Valg[[#This Row],[Afhængig variabel ID]]&lt;=$B$5</f>
        <v>0</v>
      </c>
      <c r="F2394" t="str" cm="1">
        <f t="array" ref="F2394">IF(LineærRegression_Valg[[#This Row],[Indenfor range]],INDEX(DataTitel_liste,LineærRegression_Valg[[#This Row],[Afhængig variabel ID]]),INDEX(DataTitel_liste,1))</f>
        <v>Eksempel 1 (interval)</v>
      </c>
      <c r="G2394" s="171" t="str" cm="1">
        <f t="array" ref="G2394">IF(LineærRegression_Valg[[#This Row],[Indenfor range]],IF(LineærRegression_Valg[[#This Row],[Intet overlap]],INDEX(DataTitel_liste,LineærRegression_Valg[[#This Row],[Uafhængig variabel ID]]),INDEX(DataTitel_liste,IF(LineærRegression_Valg[[#This Row],[Afhængig variabel ID]]=1,2,1))),$B$7)</f>
        <v>Eksempel 2 (interval)</v>
      </c>
      <c r="H2394" s="171">
        <f>_xlfn.AGGREGATE(2,5,LineærRegression_Valg[[#This Row],[Tabel ID]])</f>
        <v>1</v>
      </c>
    </row>
    <row r="2395" spans="1:8" x14ac:dyDescent="0.2">
      <c r="A2395">
        <f>ROW(LineærRegression_Valg[[#This Row],[Tabel ID]])-ROW(LineærRegression_Valg[[#Headers],[Tabel ID]])</f>
        <v>2385</v>
      </c>
      <c r="B2395" s="171">
        <f>ROUNDDOWN((LineærRegression_Valg[[#This Row],[Tabel ID]]-1)/$B$5,0)+1</f>
        <v>597</v>
      </c>
      <c r="C2395" s="171">
        <f t="shared" si="37"/>
        <v>1</v>
      </c>
      <c r="D2395" s="171" t="b">
        <f>LineærRegression_Valg[[#This Row],[Afhængig variabel ID]]&lt;&gt;LineærRegression_Valg[[#This Row],[Uafhængig variabel ID]]</f>
        <v>1</v>
      </c>
      <c r="E2395" s="171" t="b">
        <f>LineærRegression_Valg[[#This Row],[Afhængig variabel ID]]&lt;=$B$5</f>
        <v>0</v>
      </c>
      <c r="F2395" t="str" cm="1">
        <f t="array" ref="F2395">IF(LineærRegression_Valg[[#This Row],[Indenfor range]],INDEX(DataTitel_liste,LineærRegression_Valg[[#This Row],[Afhængig variabel ID]]),INDEX(DataTitel_liste,1))</f>
        <v>Eksempel 1 (interval)</v>
      </c>
      <c r="G2395" s="171" t="str" cm="1">
        <f t="array" ref="G2395">IF(LineærRegression_Valg[[#This Row],[Indenfor range]],IF(LineærRegression_Valg[[#This Row],[Intet overlap]],INDEX(DataTitel_liste,LineærRegression_Valg[[#This Row],[Uafhængig variabel ID]]),INDEX(DataTitel_liste,IF(LineærRegression_Valg[[#This Row],[Afhængig variabel ID]]=1,2,1))),$B$7)</f>
        <v>Eksempel 2 (interval)</v>
      </c>
      <c r="H2395" s="171">
        <f>_xlfn.AGGREGATE(2,5,LineærRegression_Valg[[#This Row],[Tabel ID]])</f>
        <v>1</v>
      </c>
    </row>
    <row r="2396" spans="1:8" x14ac:dyDescent="0.2">
      <c r="A2396">
        <f>ROW(LineærRegression_Valg[[#This Row],[Tabel ID]])-ROW(LineærRegression_Valg[[#Headers],[Tabel ID]])</f>
        <v>2386</v>
      </c>
      <c r="B2396" s="171">
        <f>ROUNDDOWN((LineærRegression_Valg[[#This Row],[Tabel ID]]-1)/$B$5,0)+1</f>
        <v>597</v>
      </c>
      <c r="C2396" s="171">
        <f t="shared" si="37"/>
        <v>2</v>
      </c>
      <c r="D2396" s="171" t="b">
        <f>LineærRegression_Valg[[#This Row],[Afhængig variabel ID]]&lt;&gt;LineærRegression_Valg[[#This Row],[Uafhængig variabel ID]]</f>
        <v>1</v>
      </c>
      <c r="E2396" s="171" t="b">
        <f>LineærRegression_Valg[[#This Row],[Afhængig variabel ID]]&lt;=$B$5</f>
        <v>0</v>
      </c>
      <c r="F2396" t="str" cm="1">
        <f t="array" ref="F2396">IF(LineærRegression_Valg[[#This Row],[Indenfor range]],INDEX(DataTitel_liste,LineærRegression_Valg[[#This Row],[Afhængig variabel ID]]),INDEX(DataTitel_liste,1))</f>
        <v>Eksempel 1 (interval)</v>
      </c>
      <c r="G2396" s="171" t="str" cm="1">
        <f t="array" ref="G2396">IF(LineærRegression_Valg[[#This Row],[Indenfor range]],IF(LineærRegression_Valg[[#This Row],[Intet overlap]],INDEX(DataTitel_liste,LineærRegression_Valg[[#This Row],[Uafhængig variabel ID]]),INDEX(DataTitel_liste,IF(LineærRegression_Valg[[#This Row],[Afhængig variabel ID]]=1,2,1))),$B$7)</f>
        <v>Eksempel 2 (interval)</v>
      </c>
      <c r="H2396" s="171">
        <f>_xlfn.AGGREGATE(2,5,LineærRegression_Valg[[#This Row],[Tabel ID]])</f>
        <v>1</v>
      </c>
    </row>
    <row r="2397" spans="1:8" x14ac:dyDescent="0.2">
      <c r="A2397">
        <f>ROW(LineærRegression_Valg[[#This Row],[Tabel ID]])-ROW(LineærRegression_Valg[[#Headers],[Tabel ID]])</f>
        <v>2387</v>
      </c>
      <c r="B2397" s="171">
        <f>ROUNDDOWN((LineærRegression_Valg[[#This Row],[Tabel ID]]-1)/$B$5,0)+1</f>
        <v>597</v>
      </c>
      <c r="C2397" s="171">
        <f t="shared" si="37"/>
        <v>3</v>
      </c>
      <c r="D2397" s="171" t="b">
        <f>LineærRegression_Valg[[#This Row],[Afhængig variabel ID]]&lt;&gt;LineærRegression_Valg[[#This Row],[Uafhængig variabel ID]]</f>
        <v>1</v>
      </c>
      <c r="E2397" s="171" t="b">
        <f>LineærRegression_Valg[[#This Row],[Afhængig variabel ID]]&lt;=$B$5</f>
        <v>0</v>
      </c>
      <c r="F2397" t="str" cm="1">
        <f t="array" ref="F2397">IF(LineærRegression_Valg[[#This Row],[Indenfor range]],INDEX(DataTitel_liste,LineærRegression_Valg[[#This Row],[Afhængig variabel ID]]),INDEX(DataTitel_liste,1))</f>
        <v>Eksempel 1 (interval)</v>
      </c>
      <c r="G2397" s="171" t="str" cm="1">
        <f t="array" ref="G2397">IF(LineærRegression_Valg[[#This Row],[Indenfor range]],IF(LineærRegression_Valg[[#This Row],[Intet overlap]],INDEX(DataTitel_liste,LineærRegression_Valg[[#This Row],[Uafhængig variabel ID]]),INDEX(DataTitel_liste,IF(LineærRegression_Valg[[#This Row],[Afhængig variabel ID]]=1,2,1))),$B$7)</f>
        <v>Eksempel 2 (interval)</v>
      </c>
      <c r="H2397" s="171">
        <f>_xlfn.AGGREGATE(2,5,LineærRegression_Valg[[#This Row],[Tabel ID]])</f>
        <v>1</v>
      </c>
    </row>
    <row r="2398" spans="1:8" x14ac:dyDescent="0.2">
      <c r="A2398">
        <f>ROW(LineærRegression_Valg[[#This Row],[Tabel ID]])-ROW(LineærRegression_Valg[[#Headers],[Tabel ID]])</f>
        <v>2388</v>
      </c>
      <c r="B2398" s="171">
        <f>ROUNDDOWN((LineærRegression_Valg[[#This Row],[Tabel ID]]-1)/$B$5,0)+1</f>
        <v>597</v>
      </c>
      <c r="C2398" s="171">
        <f t="shared" si="37"/>
        <v>4</v>
      </c>
      <c r="D2398" s="171" t="b">
        <f>LineærRegression_Valg[[#This Row],[Afhængig variabel ID]]&lt;&gt;LineærRegression_Valg[[#This Row],[Uafhængig variabel ID]]</f>
        <v>1</v>
      </c>
      <c r="E2398" s="171" t="b">
        <f>LineærRegression_Valg[[#This Row],[Afhængig variabel ID]]&lt;=$B$5</f>
        <v>0</v>
      </c>
      <c r="F2398" t="str" cm="1">
        <f t="array" ref="F2398">IF(LineærRegression_Valg[[#This Row],[Indenfor range]],INDEX(DataTitel_liste,LineærRegression_Valg[[#This Row],[Afhængig variabel ID]]),INDEX(DataTitel_liste,1))</f>
        <v>Eksempel 1 (interval)</v>
      </c>
      <c r="G2398" s="171" t="str" cm="1">
        <f t="array" ref="G2398">IF(LineærRegression_Valg[[#This Row],[Indenfor range]],IF(LineærRegression_Valg[[#This Row],[Intet overlap]],INDEX(DataTitel_liste,LineærRegression_Valg[[#This Row],[Uafhængig variabel ID]]),INDEX(DataTitel_liste,IF(LineærRegression_Valg[[#This Row],[Afhængig variabel ID]]=1,2,1))),$B$7)</f>
        <v>Eksempel 2 (interval)</v>
      </c>
      <c r="H2398" s="171">
        <f>_xlfn.AGGREGATE(2,5,LineærRegression_Valg[[#This Row],[Tabel ID]])</f>
        <v>1</v>
      </c>
    </row>
    <row r="2399" spans="1:8" x14ac:dyDescent="0.2">
      <c r="A2399">
        <f>ROW(LineærRegression_Valg[[#This Row],[Tabel ID]])-ROW(LineærRegression_Valg[[#Headers],[Tabel ID]])</f>
        <v>2389</v>
      </c>
      <c r="B2399" s="171">
        <f>ROUNDDOWN((LineærRegression_Valg[[#This Row],[Tabel ID]]-1)/$B$5,0)+1</f>
        <v>598</v>
      </c>
      <c r="C2399" s="171">
        <f t="shared" si="37"/>
        <v>1</v>
      </c>
      <c r="D2399" s="171" t="b">
        <f>LineærRegression_Valg[[#This Row],[Afhængig variabel ID]]&lt;&gt;LineærRegression_Valg[[#This Row],[Uafhængig variabel ID]]</f>
        <v>1</v>
      </c>
      <c r="E2399" s="171" t="b">
        <f>LineærRegression_Valg[[#This Row],[Afhængig variabel ID]]&lt;=$B$5</f>
        <v>0</v>
      </c>
      <c r="F2399" t="str" cm="1">
        <f t="array" ref="F2399">IF(LineærRegression_Valg[[#This Row],[Indenfor range]],INDEX(DataTitel_liste,LineærRegression_Valg[[#This Row],[Afhængig variabel ID]]),INDEX(DataTitel_liste,1))</f>
        <v>Eksempel 1 (interval)</v>
      </c>
      <c r="G2399" s="171" t="str" cm="1">
        <f t="array" ref="G2399">IF(LineærRegression_Valg[[#This Row],[Indenfor range]],IF(LineærRegression_Valg[[#This Row],[Intet overlap]],INDEX(DataTitel_liste,LineærRegression_Valg[[#This Row],[Uafhængig variabel ID]]),INDEX(DataTitel_liste,IF(LineærRegression_Valg[[#This Row],[Afhængig variabel ID]]=1,2,1))),$B$7)</f>
        <v>Eksempel 2 (interval)</v>
      </c>
      <c r="H2399" s="171">
        <f>_xlfn.AGGREGATE(2,5,LineærRegression_Valg[[#This Row],[Tabel ID]])</f>
        <v>1</v>
      </c>
    </row>
    <row r="2400" spans="1:8" x14ac:dyDescent="0.2">
      <c r="A2400">
        <f>ROW(LineærRegression_Valg[[#This Row],[Tabel ID]])-ROW(LineærRegression_Valg[[#Headers],[Tabel ID]])</f>
        <v>2390</v>
      </c>
      <c r="B2400" s="171">
        <f>ROUNDDOWN((LineærRegression_Valg[[#This Row],[Tabel ID]]-1)/$B$5,0)+1</f>
        <v>598</v>
      </c>
      <c r="C2400" s="171">
        <f t="shared" si="37"/>
        <v>2</v>
      </c>
      <c r="D2400" s="171" t="b">
        <f>LineærRegression_Valg[[#This Row],[Afhængig variabel ID]]&lt;&gt;LineærRegression_Valg[[#This Row],[Uafhængig variabel ID]]</f>
        <v>1</v>
      </c>
      <c r="E2400" s="171" t="b">
        <f>LineærRegression_Valg[[#This Row],[Afhængig variabel ID]]&lt;=$B$5</f>
        <v>0</v>
      </c>
      <c r="F2400" t="str" cm="1">
        <f t="array" ref="F2400">IF(LineærRegression_Valg[[#This Row],[Indenfor range]],INDEX(DataTitel_liste,LineærRegression_Valg[[#This Row],[Afhængig variabel ID]]),INDEX(DataTitel_liste,1))</f>
        <v>Eksempel 1 (interval)</v>
      </c>
      <c r="G2400" s="171" t="str" cm="1">
        <f t="array" ref="G2400">IF(LineærRegression_Valg[[#This Row],[Indenfor range]],IF(LineærRegression_Valg[[#This Row],[Intet overlap]],INDEX(DataTitel_liste,LineærRegression_Valg[[#This Row],[Uafhængig variabel ID]]),INDEX(DataTitel_liste,IF(LineærRegression_Valg[[#This Row],[Afhængig variabel ID]]=1,2,1))),$B$7)</f>
        <v>Eksempel 2 (interval)</v>
      </c>
      <c r="H2400" s="171">
        <f>_xlfn.AGGREGATE(2,5,LineærRegression_Valg[[#This Row],[Tabel ID]])</f>
        <v>1</v>
      </c>
    </row>
    <row r="2401" spans="1:8" x14ac:dyDescent="0.2">
      <c r="A2401">
        <f>ROW(LineærRegression_Valg[[#This Row],[Tabel ID]])-ROW(LineærRegression_Valg[[#Headers],[Tabel ID]])</f>
        <v>2391</v>
      </c>
      <c r="B2401" s="171">
        <f>ROUNDDOWN((LineærRegression_Valg[[#This Row],[Tabel ID]]-1)/$B$5,0)+1</f>
        <v>598</v>
      </c>
      <c r="C2401" s="171">
        <f t="shared" si="37"/>
        <v>3</v>
      </c>
      <c r="D2401" s="171" t="b">
        <f>LineærRegression_Valg[[#This Row],[Afhængig variabel ID]]&lt;&gt;LineærRegression_Valg[[#This Row],[Uafhængig variabel ID]]</f>
        <v>1</v>
      </c>
      <c r="E2401" s="171" t="b">
        <f>LineærRegression_Valg[[#This Row],[Afhængig variabel ID]]&lt;=$B$5</f>
        <v>0</v>
      </c>
      <c r="F2401" t="str" cm="1">
        <f t="array" ref="F2401">IF(LineærRegression_Valg[[#This Row],[Indenfor range]],INDEX(DataTitel_liste,LineærRegression_Valg[[#This Row],[Afhængig variabel ID]]),INDEX(DataTitel_liste,1))</f>
        <v>Eksempel 1 (interval)</v>
      </c>
      <c r="G2401" s="171" t="str" cm="1">
        <f t="array" ref="G2401">IF(LineærRegression_Valg[[#This Row],[Indenfor range]],IF(LineærRegression_Valg[[#This Row],[Intet overlap]],INDEX(DataTitel_liste,LineærRegression_Valg[[#This Row],[Uafhængig variabel ID]]),INDEX(DataTitel_liste,IF(LineærRegression_Valg[[#This Row],[Afhængig variabel ID]]=1,2,1))),$B$7)</f>
        <v>Eksempel 2 (interval)</v>
      </c>
      <c r="H2401" s="171">
        <f>_xlfn.AGGREGATE(2,5,LineærRegression_Valg[[#This Row],[Tabel ID]])</f>
        <v>1</v>
      </c>
    </row>
    <row r="2402" spans="1:8" x14ac:dyDescent="0.2">
      <c r="A2402">
        <f>ROW(LineærRegression_Valg[[#This Row],[Tabel ID]])-ROW(LineærRegression_Valg[[#Headers],[Tabel ID]])</f>
        <v>2392</v>
      </c>
      <c r="B2402" s="171">
        <f>ROUNDDOWN((LineærRegression_Valg[[#This Row],[Tabel ID]]-1)/$B$5,0)+1</f>
        <v>598</v>
      </c>
      <c r="C2402" s="171">
        <f t="shared" si="37"/>
        <v>4</v>
      </c>
      <c r="D2402" s="171" t="b">
        <f>LineærRegression_Valg[[#This Row],[Afhængig variabel ID]]&lt;&gt;LineærRegression_Valg[[#This Row],[Uafhængig variabel ID]]</f>
        <v>1</v>
      </c>
      <c r="E2402" s="171" t="b">
        <f>LineærRegression_Valg[[#This Row],[Afhængig variabel ID]]&lt;=$B$5</f>
        <v>0</v>
      </c>
      <c r="F2402" t="str" cm="1">
        <f t="array" ref="F2402">IF(LineærRegression_Valg[[#This Row],[Indenfor range]],INDEX(DataTitel_liste,LineærRegression_Valg[[#This Row],[Afhængig variabel ID]]),INDEX(DataTitel_liste,1))</f>
        <v>Eksempel 1 (interval)</v>
      </c>
      <c r="G2402" s="171" t="str" cm="1">
        <f t="array" ref="G2402">IF(LineærRegression_Valg[[#This Row],[Indenfor range]],IF(LineærRegression_Valg[[#This Row],[Intet overlap]],INDEX(DataTitel_liste,LineærRegression_Valg[[#This Row],[Uafhængig variabel ID]]),INDEX(DataTitel_liste,IF(LineærRegression_Valg[[#This Row],[Afhængig variabel ID]]=1,2,1))),$B$7)</f>
        <v>Eksempel 2 (interval)</v>
      </c>
      <c r="H2402" s="171">
        <f>_xlfn.AGGREGATE(2,5,LineærRegression_Valg[[#This Row],[Tabel ID]])</f>
        <v>1</v>
      </c>
    </row>
    <row r="2403" spans="1:8" x14ac:dyDescent="0.2">
      <c r="A2403">
        <f>ROW(LineærRegression_Valg[[#This Row],[Tabel ID]])-ROW(LineærRegression_Valg[[#Headers],[Tabel ID]])</f>
        <v>2393</v>
      </c>
      <c r="B2403" s="171">
        <f>ROUNDDOWN((LineærRegression_Valg[[#This Row],[Tabel ID]]-1)/$B$5,0)+1</f>
        <v>599</v>
      </c>
      <c r="C2403" s="171">
        <f t="shared" si="37"/>
        <v>1</v>
      </c>
      <c r="D2403" s="171" t="b">
        <f>LineærRegression_Valg[[#This Row],[Afhængig variabel ID]]&lt;&gt;LineærRegression_Valg[[#This Row],[Uafhængig variabel ID]]</f>
        <v>1</v>
      </c>
      <c r="E2403" s="171" t="b">
        <f>LineærRegression_Valg[[#This Row],[Afhængig variabel ID]]&lt;=$B$5</f>
        <v>0</v>
      </c>
      <c r="F2403" t="str" cm="1">
        <f t="array" ref="F2403">IF(LineærRegression_Valg[[#This Row],[Indenfor range]],INDEX(DataTitel_liste,LineærRegression_Valg[[#This Row],[Afhængig variabel ID]]),INDEX(DataTitel_liste,1))</f>
        <v>Eksempel 1 (interval)</v>
      </c>
      <c r="G2403" s="171" t="str" cm="1">
        <f t="array" ref="G2403">IF(LineærRegression_Valg[[#This Row],[Indenfor range]],IF(LineærRegression_Valg[[#This Row],[Intet overlap]],INDEX(DataTitel_liste,LineærRegression_Valg[[#This Row],[Uafhængig variabel ID]]),INDEX(DataTitel_liste,IF(LineærRegression_Valg[[#This Row],[Afhængig variabel ID]]=1,2,1))),$B$7)</f>
        <v>Eksempel 2 (interval)</v>
      </c>
      <c r="H2403" s="171">
        <f>_xlfn.AGGREGATE(2,5,LineærRegression_Valg[[#This Row],[Tabel ID]])</f>
        <v>1</v>
      </c>
    </row>
    <row r="2404" spans="1:8" x14ac:dyDescent="0.2">
      <c r="A2404">
        <f>ROW(LineærRegression_Valg[[#This Row],[Tabel ID]])-ROW(LineærRegression_Valg[[#Headers],[Tabel ID]])</f>
        <v>2394</v>
      </c>
      <c r="B2404" s="171">
        <f>ROUNDDOWN((LineærRegression_Valg[[#This Row],[Tabel ID]]-1)/$B$5,0)+1</f>
        <v>599</v>
      </c>
      <c r="C2404" s="171">
        <f t="shared" si="37"/>
        <v>2</v>
      </c>
      <c r="D2404" s="171" t="b">
        <f>LineærRegression_Valg[[#This Row],[Afhængig variabel ID]]&lt;&gt;LineærRegression_Valg[[#This Row],[Uafhængig variabel ID]]</f>
        <v>1</v>
      </c>
      <c r="E2404" s="171" t="b">
        <f>LineærRegression_Valg[[#This Row],[Afhængig variabel ID]]&lt;=$B$5</f>
        <v>0</v>
      </c>
      <c r="F2404" t="str" cm="1">
        <f t="array" ref="F2404">IF(LineærRegression_Valg[[#This Row],[Indenfor range]],INDEX(DataTitel_liste,LineærRegression_Valg[[#This Row],[Afhængig variabel ID]]),INDEX(DataTitel_liste,1))</f>
        <v>Eksempel 1 (interval)</v>
      </c>
      <c r="G2404" s="171" t="str" cm="1">
        <f t="array" ref="G2404">IF(LineærRegression_Valg[[#This Row],[Indenfor range]],IF(LineærRegression_Valg[[#This Row],[Intet overlap]],INDEX(DataTitel_liste,LineærRegression_Valg[[#This Row],[Uafhængig variabel ID]]),INDEX(DataTitel_liste,IF(LineærRegression_Valg[[#This Row],[Afhængig variabel ID]]=1,2,1))),$B$7)</f>
        <v>Eksempel 2 (interval)</v>
      </c>
      <c r="H2404" s="171">
        <f>_xlfn.AGGREGATE(2,5,LineærRegression_Valg[[#This Row],[Tabel ID]])</f>
        <v>1</v>
      </c>
    </row>
    <row r="2405" spans="1:8" x14ac:dyDescent="0.2">
      <c r="A2405">
        <f>ROW(LineærRegression_Valg[[#This Row],[Tabel ID]])-ROW(LineærRegression_Valg[[#Headers],[Tabel ID]])</f>
        <v>2395</v>
      </c>
      <c r="B2405" s="171">
        <f>ROUNDDOWN((LineærRegression_Valg[[#This Row],[Tabel ID]]-1)/$B$5,0)+1</f>
        <v>599</v>
      </c>
      <c r="C2405" s="171">
        <f t="shared" si="37"/>
        <v>3</v>
      </c>
      <c r="D2405" s="171" t="b">
        <f>LineærRegression_Valg[[#This Row],[Afhængig variabel ID]]&lt;&gt;LineærRegression_Valg[[#This Row],[Uafhængig variabel ID]]</f>
        <v>1</v>
      </c>
      <c r="E2405" s="171" t="b">
        <f>LineærRegression_Valg[[#This Row],[Afhængig variabel ID]]&lt;=$B$5</f>
        <v>0</v>
      </c>
      <c r="F2405" t="str" cm="1">
        <f t="array" ref="F2405">IF(LineærRegression_Valg[[#This Row],[Indenfor range]],INDEX(DataTitel_liste,LineærRegression_Valg[[#This Row],[Afhængig variabel ID]]),INDEX(DataTitel_liste,1))</f>
        <v>Eksempel 1 (interval)</v>
      </c>
      <c r="G2405" s="171" t="str" cm="1">
        <f t="array" ref="G2405">IF(LineærRegression_Valg[[#This Row],[Indenfor range]],IF(LineærRegression_Valg[[#This Row],[Intet overlap]],INDEX(DataTitel_liste,LineærRegression_Valg[[#This Row],[Uafhængig variabel ID]]),INDEX(DataTitel_liste,IF(LineærRegression_Valg[[#This Row],[Afhængig variabel ID]]=1,2,1))),$B$7)</f>
        <v>Eksempel 2 (interval)</v>
      </c>
      <c r="H2405" s="171">
        <f>_xlfn.AGGREGATE(2,5,LineærRegression_Valg[[#This Row],[Tabel ID]])</f>
        <v>1</v>
      </c>
    </row>
    <row r="2406" spans="1:8" x14ac:dyDescent="0.2">
      <c r="A2406">
        <f>ROW(LineærRegression_Valg[[#This Row],[Tabel ID]])-ROW(LineærRegression_Valg[[#Headers],[Tabel ID]])</f>
        <v>2396</v>
      </c>
      <c r="B2406" s="171">
        <f>ROUNDDOWN((LineærRegression_Valg[[#This Row],[Tabel ID]]-1)/$B$5,0)+1</f>
        <v>599</v>
      </c>
      <c r="C2406" s="171">
        <f t="shared" si="37"/>
        <v>4</v>
      </c>
      <c r="D2406" s="171" t="b">
        <f>LineærRegression_Valg[[#This Row],[Afhængig variabel ID]]&lt;&gt;LineærRegression_Valg[[#This Row],[Uafhængig variabel ID]]</f>
        <v>1</v>
      </c>
      <c r="E2406" s="171" t="b">
        <f>LineærRegression_Valg[[#This Row],[Afhængig variabel ID]]&lt;=$B$5</f>
        <v>0</v>
      </c>
      <c r="F2406" t="str" cm="1">
        <f t="array" ref="F2406">IF(LineærRegression_Valg[[#This Row],[Indenfor range]],INDEX(DataTitel_liste,LineærRegression_Valg[[#This Row],[Afhængig variabel ID]]),INDEX(DataTitel_liste,1))</f>
        <v>Eksempel 1 (interval)</v>
      </c>
      <c r="G2406" s="171" t="str" cm="1">
        <f t="array" ref="G2406">IF(LineærRegression_Valg[[#This Row],[Indenfor range]],IF(LineærRegression_Valg[[#This Row],[Intet overlap]],INDEX(DataTitel_liste,LineærRegression_Valg[[#This Row],[Uafhængig variabel ID]]),INDEX(DataTitel_liste,IF(LineærRegression_Valg[[#This Row],[Afhængig variabel ID]]=1,2,1))),$B$7)</f>
        <v>Eksempel 2 (interval)</v>
      </c>
      <c r="H2406" s="171">
        <f>_xlfn.AGGREGATE(2,5,LineærRegression_Valg[[#This Row],[Tabel ID]])</f>
        <v>1</v>
      </c>
    </row>
    <row r="2407" spans="1:8" x14ac:dyDescent="0.2">
      <c r="A2407">
        <f>ROW(LineærRegression_Valg[[#This Row],[Tabel ID]])-ROW(LineærRegression_Valg[[#Headers],[Tabel ID]])</f>
        <v>2397</v>
      </c>
      <c r="B2407" s="171">
        <f>ROUNDDOWN((LineærRegression_Valg[[#This Row],[Tabel ID]]-1)/$B$5,0)+1</f>
        <v>600</v>
      </c>
      <c r="C2407" s="171">
        <f t="shared" si="37"/>
        <v>1</v>
      </c>
      <c r="D2407" s="171" t="b">
        <f>LineærRegression_Valg[[#This Row],[Afhængig variabel ID]]&lt;&gt;LineærRegression_Valg[[#This Row],[Uafhængig variabel ID]]</f>
        <v>1</v>
      </c>
      <c r="E2407" s="171" t="b">
        <f>LineærRegression_Valg[[#This Row],[Afhængig variabel ID]]&lt;=$B$5</f>
        <v>0</v>
      </c>
      <c r="F2407" t="str" cm="1">
        <f t="array" ref="F2407">IF(LineærRegression_Valg[[#This Row],[Indenfor range]],INDEX(DataTitel_liste,LineærRegression_Valg[[#This Row],[Afhængig variabel ID]]),INDEX(DataTitel_liste,1))</f>
        <v>Eksempel 1 (interval)</v>
      </c>
      <c r="G2407" s="171" t="str" cm="1">
        <f t="array" ref="G2407">IF(LineærRegression_Valg[[#This Row],[Indenfor range]],IF(LineærRegression_Valg[[#This Row],[Intet overlap]],INDEX(DataTitel_liste,LineærRegression_Valg[[#This Row],[Uafhængig variabel ID]]),INDEX(DataTitel_liste,IF(LineærRegression_Valg[[#This Row],[Afhængig variabel ID]]=1,2,1))),$B$7)</f>
        <v>Eksempel 2 (interval)</v>
      </c>
      <c r="H2407" s="171">
        <f>_xlfn.AGGREGATE(2,5,LineærRegression_Valg[[#This Row],[Tabel ID]])</f>
        <v>1</v>
      </c>
    </row>
    <row r="2408" spans="1:8" x14ac:dyDescent="0.2">
      <c r="A2408">
        <f>ROW(LineærRegression_Valg[[#This Row],[Tabel ID]])-ROW(LineærRegression_Valg[[#Headers],[Tabel ID]])</f>
        <v>2398</v>
      </c>
      <c r="B2408" s="171">
        <f>ROUNDDOWN((LineærRegression_Valg[[#This Row],[Tabel ID]]-1)/$B$5,0)+1</f>
        <v>600</v>
      </c>
      <c r="C2408" s="171">
        <f t="shared" si="37"/>
        <v>2</v>
      </c>
      <c r="D2408" s="171" t="b">
        <f>LineærRegression_Valg[[#This Row],[Afhængig variabel ID]]&lt;&gt;LineærRegression_Valg[[#This Row],[Uafhængig variabel ID]]</f>
        <v>1</v>
      </c>
      <c r="E2408" s="171" t="b">
        <f>LineærRegression_Valg[[#This Row],[Afhængig variabel ID]]&lt;=$B$5</f>
        <v>0</v>
      </c>
      <c r="F2408" t="str" cm="1">
        <f t="array" ref="F2408">IF(LineærRegression_Valg[[#This Row],[Indenfor range]],INDEX(DataTitel_liste,LineærRegression_Valg[[#This Row],[Afhængig variabel ID]]),INDEX(DataTitel_liste,1))</f>
        <v>Eksempel 1 (interval)</v>
      </c>
      <c r="G2408" s="171" t="str" cm="1">
        <f t="array" ref="G2408">IF(LineærRegression_Valg[[#This Row],[Indenfor range]],IF(LineærRegression_Valg[[#This Row],[Intet overlap]],INDEX(DataTitel_liste,LineærRegression_Valg[[#This Row],[Uafhængig variabel ID]]),INDEX(DataTitel_liste,IF(LineærRegression_Valg[[#This Row],[Afhængig variabel ID]]=1,2,1))),$B$7)</f>
        <v>Eksempel 2 (interval)</v>
      </c>
      <c r="H2408" s="171">
        <f>_xlfn.AGGREGATE(2,5,LineærRegression_Valg[[#This Row],[Tabel ID]])</f>
        <v>1</v>
      </c>
    </row>
    <row r="2409" spans="1:8" x14ac:dyDescent="0.2">
      <c r="A2409">
        <f>ROW(LineærRegression_Valg[[#This Row],[Tabel ID]])-ROW(LineærRegression_Valg[[#Headers],[Tabel ID]])</f>
        <v>2399</v>
      </c>
      <c r="B2409" s="171">
        <f>ROUNDDOWN((LineærRegression_Valg[[#This Row],[Tabel ID]]-1)/$B$5,0)+1</f>
        <v>600</v>
      </c>
      <c r="C2409" s="171">
        <f t="shared" si="37"/>
        <v>3</v>
      </c>
      <c r="D2409" s="171" t="b">
        <f>LineærRegression_Valg[[#This Row],[Afhængig variabel ID]]&lt;&gt;LineærRegression_Valg[[#This Row],[Uafhængig variabel ID]]</f>
        <v>1</v>
      </c>
      <c r="E2409" s="171" t="b">
        <f>LineærRegression_Valg[[#This Row],[Afhængig variabel ID]]&lt;=$B$5</f>
        <v>0</v>
      </c>
      <c r="F2409" t="str" cm="1">
        <f t="array" ref="F2409">IF(LineærRegression_Valg[[#This Row],[Indenfor range]],INDEX(DataTitel_liste,LineærRegression_Valg[[#This Row],[Afhængig variabel ID]]),INDEX(DataTitel_liste,1))</f>
        <v>Eksempel 1 (interval)</v>
      </c>
      <c r="G2409" s="171" t="str" cm="1">
        <f t="array" ref="G2409">IF(LineærRegression_Valg[[#This Row],[Indenfor range]],IF(LineærRegression_Valg[[#This Row],[Intet overlap]],INDEX(DataTitel_liste,LineærRegression_Valg[[#This Row],[Uafhængig variabel ID]]),INDEX(DataTitel_liste,IF(LineærRegression_Valg[[#This Row],[Afhængig variabel ID]]=1,2,1))),$B$7)</f>
        <v>Eksempel 2 (interval)</v>
      </c>
      <c r="H2409" s="171">
        <f>_xlfn.AGGREGATE(2,5,LineærRegression_Valg[[#This Row],[Tabel ID]])</f>
        <v>1</v>
      </c>
    </row>
    <row r="2410" spans="1:8" x14ac:dyDescent="0.2">
      <c r="A2410">
        <f>ROW(LineærRegression_Valg[[#This Row],[Tabel ID]])-ROW(LineærRegression_Valg[[#Headers],[Tabel ID]])</f>
        <v>2400</v>
      </c>
      <c r="B2410" s="171">
        <f>ROUNDDOWN((LineærRegression_Valg[[#This Row],[Tabel ID]]-1)/$B$5,0)+1</f>
        <v>600</v>
      </c>
      <c r="C2410" s="171">
        <f t="shared" si="37"/>
        <v>4</v>
      </c>
      <c r="D2410" s="171" t="b">
        <f>LineærRegression_Valg[[#This Row],[Afhængig variabel ID]]&lt;&gt;LineærRegression_Valg[[#This Row],[Uafhængig variabel ID]]</f>
        <v>1</v>
      </c>
      <c r="E2410" s="171" t="b">
        <f>LineærRegression_Valg[[#This Row],[Afhængig variabel ID]]&lt;=$B$5</f>
        <v>0</v>
      </c>
      <c r="F2410" t="str" cm="1">
        <f t="array" ref="F2410">IF(LineærRegression_Valg[[#This Row],[Indenfor range]],INDEX(DataTitel_liste,LineærRegression_Valg[[#This Row],[Afhængig variabel ID]]),INDEX(DataTitel_liste,1))</f>
        <v>Eksempel 1 (interval)</v>
      </c>
      <c r="G2410" s="171" t="str" cm="1">
        <f t="array" ref="G2410">IF(LineærRegression_Valg[[#This Row],[Indenfor range]],IF(LineærRegression_Valg[[#This Row],[Intet overlap]],INDEX(DataTitel_liste,LineærRegression_Valg[[#This Row],[Uafhængig variabel ID]]),INDEX(DataTitel_liste,IF(LineærRegression_Valg[[#This Row],[Afhængig variabel ID]]=1,2,1))),$B$7)</f>
        <v>Eksempel 2 (interval)</v>
      </c>
      <c r="H2410" s="171">
        <f>_xlfn.AGGREGATE(2,5,LineærRegression_Valg[[#This Row],[Tabel ID]])</f>
        <v>1</v>
      </c>
    </row>
    <row r="2411" spans="1:8" x14ac:dyDescent="0.2">
      <c r="A2411">
        <f>ROW(LineærRegression_Valg[[#This Row],[Tabel ID]])-ROW(LineærRegression_Valg[[#Headers],[Tabel ID]])</f>
        <v>2401</v>
      </c>
      <c r="B2411" s="171">
        <f>ROUNDDOWN((LineærRegression_Valg[[#This Row],[Tabel ID]]-1)/$B$5,0)+1</f>
        <v>601</v>
      </c>
      <c r="C2411" s="171">
        <f t="shared" si="37"/>
        <v>1</v>
      </c>
      <c r="D2411" s="171" t="b">
        <f>LineærRegression_Valg[[#This Row],[Afhængig variabel ID]]&lt;&gt;LineærRegression_Valg[[#This Row],[Uafhængig variabel ID]]</f>
        <v>1</v>
      </c>
      <c r="E2411" s="171" t="b">
        <f>LineærRegression_Valg[[#This Row],[Afhængig variabel ID]]&lt;=$B$5</f>
        <v>0</v>
      </c>
      <c r="F2411" t="str" cm="1">
        <f t="array" ref="F2411">IF(LineærRegression_Valg[[#This Row],[Indenfor range]],INDEX(DataTitel_liste,LineærRegression_Valg[[#This Row],[Afhængig variabel ID]]),INDEX(DataTitel_liste,1))</f>
        <v>Eksempel 1 (interval)</v>
      </c>
      <c r="G2411" s="171" t="str" cm="1">
        <f t="array" ref="G2411">IF(LineærRegression_Valg[[#This Row],[Indenfor range]],IF(LineærRegression_Valg[[#This Row],[Intet overlap]],INDEX(DataTitel_liste,LineærRegression_Valg[[#This Row],[Uafhængig variabel ID]]),INDEX(DataTitel_liste,IF(LineærRegression_Valg[[#This Row],[Afhængig variabel ID]]=1,2,1))),$B$7)</f>
        <v>Eksempel 2 (interval)</v>
      </c>
      <c r="H2411" s="171">
        <f>_xlfn.AGGREGATE(2,5,LineærRegression_Valg[[#This Row],[Tabel ID]])</f>
        <v>1</v>
      </c>
    </row>
    <row r="2412" spans="1:8" x14ac:dyDescent="0.2">
      <c r="A2412">
        <f>ROW(LineærRegression_Valg[[#This Row],[Tabel ID]])-ROW(LineærRegression_Valg[[#Headers],[Tabel ID]])</f>
        <v>2402</v>
      </c>
      <c r="B2412" s="171">
        <f>ROUNDDOWN((LineærRegression_Valg[[#This Row],[Tabel ID]]-1)/$B$5,0)+1</f>
        <v>601</v>
      </c>
      <c r="C2412" s="171">
        <f t="shared" si="37"/>
        <v>2</v>
      </c>
      <c r="D2412" s="171" t="b">
        <f>LineærRegression_Valg[[#This Row],[Afhængig variabel ID]]&lt;&gt;LineærRegression_Valg[[#This Row],[Uafhængig variabel ID]]</f>
        <v>1</v>
      </c>
      <c r="E2412" s="171" t="b">
        <f>LineærRegression_Valg[[#This Row],[Afhængig variabel ID]]&lt;=$B$5</f>
        <v>0</v>
      </c>
      <c r="F2412" t="str" cm="1">
        <f t="array" ref="F2412">IF(LineærRegression_Valg[[#This Row],[Indenfor range]],INDEX(DataTitel_liste,LineærRegression_Valg[[#This Row],[Afhængig variabel ID]]),INDEX(DataTitel_liste,1))</f>
        <v>Eksempel 1 (interval)</v>
      </c>
      <c r="G2412" s="171" t="str" cm="1">
        <f t="array" ref="G2412">IF(LineærRegression_Valg[[#This Row],[Indenfor range]],IF(LineærRegression_Valg[[#This Row],[Intet overlap]],INDEX(DataTitel_liste,LineærRegression_Valg[[#This Row],[Uafhængig variabel ID]]),INDEX(DataTitel_liste,IF(LineærRegression_Valg[[#This Row],[Afhængig variabel ID]]=1,2,1))),$B$7)</f>
        <v>Eksempel 2 (interval)</v>
      </c>
      <c r="H2412" s="171">
        <f>_xlfn.AGGREGATE(2,5,LineærRegression_Valg[[#This Row],[Tabel ID]])</f>
        <v>1</v>
      </c>
    </row>
    <row r="2413" spans="1:8" x14ac:dyDescent="0.2">
      <c r="A2413">
        <f>ROW(LineærRegression_Valg[[#This Row],[Tabel ID]])-ROW(LineærRegression_Valg[[#Headers],[Tabel ID]])</f>
        <v>2403</v>
      </c>
      <c r="B2413" s="171">
        <f>ROUNDDOWN((LineærRegression_Valg[[#This Row],[Tabel ID]]-1)/$B$5,0)+1</f>
        <v>601</v>
      </c>
      <c r="C2413" s="171">
        <f t="shared" si="37"/>
        <v>3</v>
      </c>
      <c r="D2413" s="171" t="b">
        <f>LineærRegression_Valg[[#This Row],[Afhængig variabel ID]]&lt;&gt;LineærRegression_Valg[[#This Row],[Uafhængig variabel ID]]</f>
        <v>1</v>
      </c>
      <c r="E2413" s="171" t="b">
        <f>LineærRegression_Valg[[#This Row],[Afhængig variabel ID]]&lt;=$B$5</f>
        <v>0</v>
      </c>
      <c r="F2413" t="str" cm="1">
        <f t="array" ref="F2413">IF(LineærRegression_Valg[[#This Row],[Indenfor range]],INDEX(DataTitel_liste,LineærRegression_Valg[[#This Row],[Afhængig variabel ID]]),INDEX(DataTitel_liste,1))</f>
        <v>Eksempel 1 (interval)</v>
      </c>
      <c r="G2413" s="171" t="str" cm="1">
        <f t="array" ref="G2413">IF(LineærRegression_Valg[[#This Row],[Indenfor range]],IF(LineærRegression_Valg[[#This Row],[Intet overlap]],INDEX(DataTitel_liste,LineærRegression_Valg[[#This Row],[Uafhængig variabel ID]]),INDEX(DataTitel_liste,IF(LineærRegression_Valg[[#This Row],[Afhængig variabel ID]]=1,2,1))),$B$7)</f>
        <v>Eksempel 2 (interval)</v>
      </c>
      <c r="H2413" s="171">
        <f>_xlfn.AGGREGATE(2,5,LineærRegression_Valg[[#This Row],[Tabel ID]])</f>
        <v>1</v>
      </c>
    </row>
    <row r="2414" spans="1:8" x14ac:dyDescent="0.2">
      <c r="A2414">
        <f>ROW(LineærRegression_Valg[[#This Row],[Tabel ID]])-ROW(LineærRegression_Valg[[#Headers],[Tabel ID]])</f>
        <v>2404</v>
      </c>
      <c r="B2414" s="171">
        <f>ROUNDDOWN((LineærRegression_Valg[[#This Row],[Tabel ID]]-1)/$B$5,0)+1</f>
        <v>601</v>
      </c>
      <c r="C2414" s="171">
        <f t="shared" si="37"/>
        <v>4</v>
      </c>
      <c r="D2414" s="171" t="b">
        <f>LineærRegression_Valg[[#This Row],[Afhængig variabel ID]]&lt;&gt;LineærRegression_Valg[[#This Row],[Uafhængig variabel ID]]</f>
        <v>1</v>
      </c>
      <c r="E2414" s="171" t="b">
        <f>LineærRegression_Valg[[#This Row],[Afhængig variabel ID]]&lt;=$B$5</f>
        <v>0</v>
      </c>
      <c r="F2414" t="str" cm="1">
        <f t="array" ref="F2414">IF(LineærRegression_Valg[[#This Row],[Indenfor range]],INDEX(DataTitel_liste,LineærRegression_Valg[[#This Row],[Afhængig variabel ID]]),INDEX(DataTitel_liste,1))</f>
        <v>Eksempel 1 (interval)</v>
      </c>
      <c r="G2414" s="171" t="str" cm="1">
        <f t="array" ref="G2414">IF(LineærRegression_Valg[[#This Row],[Indenfor range]],IF(LineærRegression_Valg[[#This Row],[Intet overlap]],INDEX(DataTitel_liste,LineærRegression_Valg[[#This Row],[Uafhængig variabel ID]]),INDEX(DataTitel_liste,IF(LineærRegression_Valg[[#This Row],[Afhængig variabel ID]]=1,2,1))),$B$7)</f>
        <v>Eksempel 2 (interval)</v>
      </c>
      <c r="H2414" s="171">
        <f>_xlfn.AGGREGATE(2,5,LineærRegression_Valg[[#This Row],[Tabel ID]])</f>
        <v>1</v>
      </c>
    </row>
    <row r="2415" spans="1:8" x14ac:dyDescent="0.2">
      <c r="A2415">
        <f>ROW(LineærRegression_Valg[[#This Row],[Tabel ID]])-ROW(LineærRegression_Valg[[#Headers],[Tabel ID]])</f>
        <v>2405</v>
      </c>
      <c r="B2415" s="171">
        <f>ROUNDDOWN((LineærRegression_Valg[[#This Row],[Tabel ID]]-1)/$B$5,0)+1</f>
        <v>602</v>
      </c>
      <c r="C2415" s="171">
        <f t="shared" si="37"/>
        <v>1</v>
      </c>
      <c r="D2415" s="171" t="b">
        <f>LineærRegression_Valg[[#This Row],[Afhængig variabel ID]]&lt;&gt;LineærRegression_Valg[[#This Row],[Uafhængig variabel ID]]</f>
        <v>1</v>
      </c>
      <c r="E2415" s="171" t="b">
        <f>LineærRegression_Valg[[#This Row],[Afhængig variabel ID]]&lt;=$B$5</f>
        <v>0</v>
      </c>
      <c r="F2415" t="str" cm="1">
        <f t="array" ref="F2415">IF(LineærRegression_Valg[[#This Row],[Indenfor range]],INDEX(DataTitel_liste,LineærRegression_Valg[[#This Row],[Afhængig variabel ID]]),INDEX(DataTitel_liste,1))</f>
        <v>Eksempel 1 (interval)</v>
      </c>
      <c r="G2415" s="171" t="str" cm="1">
        <f t="array" ref="G2415">IF(LineærRegression_Valg[[#This Row],[Indenfor range]],IF(LineærRegression_Valg[[#This Row],[Intet overlap]],INDEX(DataTitel_liste,LineærRegression_Valg[[#This Row],[Uafhængig variabel ID]]),INDEX(DataTitel_liste,IF(LineærRegression_Valg[[#This Row],[Afhængig variabel ID]]=1,2,1))),$B$7)</f>
        <v>Eksempel 2 (interval)</v>
      </c>
      <c r="H2415" s="171">
        <f>_xlfn.AGGREGATE(2,5,LineærRegression_Valg[[#This Row],[Tabel ID]])</f>
        <v>1</v>
      </c>
    </row>
    <row r="2416" spans="1:8" x14ac:dyDescent="0.2">
      <c r="A2416">
        <f>ROW(LineærRegression_Valg[[#This Row],[Tabel ID]])-ROW(LineærRegression_Valg[[#Headers],[Tabel ID]])</f>
        <v>2406</v>
      </c>
      <c r="B2416" s="171">
        <f>ROUNDDOWN((LineærRegression_Valg[[#This Row],[Tabel ID]]-1)/$B$5,0)+1</f>
        <v>602</v>
      </c>
      <c r="C2416" s="171">
        <f t="shared" si="37"/>
        <v>2</v>
      </c>
      <c r="D2416" s="171" t="b">
        <f>LineærRegression_Valg[[#This Row],[Afhængig variabel ID]]&lt;&gt;LineærRegression_Valg[[#This Row],[Uafhængig variabel ID]]</f>
        <v>1</v>
      </c>
      <c r="E2416" s="171" t="b">
        <f>LineærRegression_Valg[[#This Row],[Afhængig variabel ID]]&lt;=$B$5</f>
        <v>0</v>
      </c>
      <c r="F2416" t="str" cm="1">
        <f t="array" ref="F2416">IF(LineærRegression_Valg[[#This Row],[Indenfor range]],INDEX(DataTitel_liste,LineærRegression_Valg[[#This Row],[Afhængig variabel ID]]),INDEX(DataTitel_liste,1))</f>
        <v>Eksempel 1 (interval)</v>
      </c>
      <c r="G2416" s="171" t="str" cm="1">
        <f t="array" ref="G2416">IF(LineærRegression_Valg[[#This Row],[Indenfor range]],IF(LineærRegression_Valg[[#This Row],[Intet overlap]],INDEX(DataTitel_liste,LineærRegression_Valg[[#This Row],[Uafhængig variabel ID]]),INDEX(DataTitel_liste,IF(LineærRegression_Valg[[#This Row],[Afhængig variabel ID]]=1,2,1))),$B$7)</f>
        <v>Eksempel 2 (interval)</v>
      </c>
      <c r="H2416" s="171">
        <f>_xlfn.AGGREGATE(2,5,LineærRegression_Valg[[#This Row],[Tabel ID]])</f>
        <v>1</v>
      </c>
    </row>
    <row r="2417" spans="1:8" x14ac:dyDescent="0.2">
      <c r="A2417">
        <f>ROW(LineærRegression_Valg[[#This Row],[Tabel ID]])-ROW(LineærRegression_Valg[[#Headers],[Tabel ID]])</f>
        <v>2407</v>
      </c>
      <c r="B2417" s="171">
        <f>ROUNDDOWN((LineærRegression_Valg[[#This Row],[Tabel ID]]-1)/$B$5,0)+1</f>
        <v>602</v>
      </c>
      <c r="C2417" s="171">
        <f t="shared" si="37"/>
        <v>3</v>
      </c>
      <c r="D2417" s="171" t="b">
        <f>LineærRegression_Valg[[#This Row],[Afhængig variabel ID]]&lt;&gt;LineærRegression_Valg[[#This Row],[Uafhængig variabel ID]]</f>
        <v>1</v>
      </c>
      <c r="E2417" s="171" t="b">
        <f>LineærRegression_Valg[[#This Row],[Afhængig variabel ID]]&lt;=$B$5</f>
        <v>0</v>
      </c>
      <c r="F2417" t="str" cm="1">
        <f t="array" ref="F2417">IF(LineærRegression_Valg[[#This Row],[Indenfor range]],INDEX(DataTitel_liste,LineærRegression_Valg[[#This Row],[Afhængig variabel ID]]),INDEX(DataTitel_liste,1))</f>
        <v>Eksempel 1 (interval)</v>
      </c>
      <c r="G2417" s="171" t="str" cm="1">
        <f t="array" ref="G2417">IF(LineærRegression_Valg[[#This Row],[Indenfor range]],IF(LineærRegression_Valg[[#This Row],[Intet overlap]],INDEX(DataTitel_liste,LineærRegression_Valg[[#This Row],[Uafhængig variabel ID]]),INDEX(DataTitel_liste,IF(LineærRegression_Valg[[#This Row],[Afhængig variabel ID]]=1,2,1))),$B$7)</f>
        <v>Eksempel 2 (interval)</v>
      </c>
      <c r="H2417" s="171">
        <f>_xlfn.AGGREGATE(2,5,LineærRegression_Valg[[#This Row],[Tabel ID]])</f>
        <v>1</v>
      </c>
    </row>
    <row r="2418" spans="1:8" x14ac:dyDescent="0.2">
      <c r="A2418">
        <f>ROW(LineærRegression_Valg[[#This Row],[Tabel ID]])-ROW(LineærRegression_Valg[[#Headers],[Tabel ID]])</f>
        <v>2408</v>
      </c>
      <c r="B2418" s="171">
        <f>ROUNDDOWN((LineærRegression_Valg[[#This Row],[Tabel ID]]-1)/$B$5,0)+1</f>
        <v>602</v>
      </c>
      <c r="C2418" s="171">
        <f t="shared" si="37"/>
        <v>4</v>
      </c>
      <c r="D2418" s="171" t="b">
        <f>LineærRegression_Valg[[#This Row],[Afhængig variabel ID]]&lt;&gt;LineærRegression_Valg[[#This Row],[Uafhængig variabel ID]]</f>
        <v>1</v>
      </c>
      <c r="E2418" s="171" t="b">
        <f>LineærRegression_Valg[[#This Row],[Afhængig variabel ID]]&lt;=$B$5</f>
        <v>0</v>
      </c>
      <c r="F2418" t="str" cm="1">
        <f t="array" ref="F2418">IF(LineærRegression_Valg[[#This Row],[Indenfor range]],INDEX(DataTitel_liste,LineærRegression_Valg[[#This Row],[Afhængig variabel ID]]),INDEX(DataTitel_liste,1))</f>
        <v>Eksempel 1 (interval)</v>
      </c>
      <c r="G2418" s="171" t="str" cm="1">
        <f t="array" ref="G2418">IF(LineærRegression_Valg[[#This Row],[Indenfor range]],IF(LineærRegression_Valg[[#This Row],[Intet overlap]],INDEX(DataTitel_liste,LineærRegression_Valg[[#This Row],[Uafhængig variabel ID]]),INDEX(DataTitel_liste,IF(LineærRegression_Valg[[#This Row],[Afhængig variabel ID]]=1,2,1))),$B$7)</f>
        <v>Eksempel 2 (interval)</v>
      </c>
      <c r="H2418" s="171">
        <f>_xlfn.AGGREGATE(2,5,LineærRegression_Valg[[#This Row],[Tabel ID]])</f>
        <v>1</v>
      </c>
    </row>
    <row r="2419" spans="1:8" x14ac:dyDescent="0.2">
      <c r="A2419">
        <f>ROW(LineærRegression_Valg[[#This Row],[Tabel ID]])-ROW(LineærRegression_Valg[[#Headers],[Tabel ID]])</f>
        <v>2409</v>
      </c>
      <c r="B2419" s="171">
        <f>ROUNDDOWN((LineærRegression_Valg[[#This Row],[Tabel ID]]-1)/$B$5,0)+1</f>
        <v>603</v>
      </c>
      <c r="C2419" s="171">
        <f t="shared" si="37"/>
        <v>1</v>
      </c>
      <c r="D2419" s="171" t="b">
        <f>LineærRegression_Valg[[#This Row],[Afhængig variabel ID]]&lt;&gt;LineærRegression_Valg[[#This Row],[Uafhængig variabel ID]]</f>
        <v>1</v>
      </c>
      <c r="E2419" s="171" t="b">
        <f>LineærRegression_Valg[[#This Row],[Afhængig variabel ID]]&lt;=$B$5</f>
        <v>0</v>
      </c>
      <c r="F2419" t="str" cm="1">
        <f t="array" ref="F2419">IF(LineærRegression_Valg[[#This Row],[Indenfor range]],INDEX(DataTitel_liste,LineærRegression_Valg[[#This Row],[Afhængig variabel ID]]),INDEX(DataTitel_liste,1))</f>
        <v>Eksempel 1 (interval)</v>
      </c>
      <c r="G2419" s="171" t="str" cm="1">
        <f t="array" ref="G2419">IF(LineærRegression_Valg[[#This Row],[Indenfor range]],IF(LineærRegression_Valg[[#This Row],[Intet overlap]],INDEX(DataTitel_liste,LineærRegression_Valg[[#This Row],[Uafhængig variabel ID]]),INDEX(DataTitel_liste,IF(LineærRegression_Valg[[#This Row],[Afhængig variabel ID]]=1,2,1))),$B$7)</f>
        <v>Eksempel 2 (interval)</v>
      </c>
      <c r="H2419" s="171">
        <f>_xlfn.AGGREGATE(2,5,LineærRegression_Valg[[#This Row],[Tabel ID]])</f>
        <v>1</v>
      </c>
    </row>
    <row r="2420" spans="1:8" x14ac:dyDescent="0.2">
      <c r="A2420">
        <f>ROW(LineærRegression_Valg[[#This Row],[Tabel ID]])-ROW(LineærRegression_Valg[[#Headers],[Tabel ID]])</f>
        <v>2410</v>
      </c>
      <c r="B2420" s="171">
        <f>ROUNDDOWN((LineærRegression_Valg[[#This Row],[Tabel ID]]-1)/$B$5,0)+1</f>
        <v>603</v>
      </c>
      <c r="C2420" s="171">
        <f t="shared" si="37"/>
        <v>2</v>
      </c>
      <c r="D2420" s="171" t="b">
        <f>LineærRegression_Valg[[#This Row],[Afhængig variabel ID]]&lt;&gt;LineærRegression_Valg[[#This Row],[Uafhængig variabel ID]]</f>
        <v>1</v>
      </c>
      <c r="E2420" s="171" t="b">
        <f>LineærRegression_Valg[[#This Row],[Afhængig variabel ID]]&lt;=$B$5</f>
        <v>0</v>
      </c>
      <c r="F2420" t="str" cm="1">
        <f t="array" ref="F2420">IF(LineærRegression_Valg[[#This Row],[Indenfor range]],INDEX(DataTitel_liste,LineærRegression_Valg[[#This Row],[Afhængig variabel ID]]),INDEX(DataTitel_liste,1))</f>
        <v>Eksempel 1 (interval)</v>
      </c>
      <c r="G2420" s="171" t="str" cm="1">
        <f t="array" ref="G2420">IF(LineærRegression_Valg[[#This Row],[Indenfor range]],IF(LineærRegression_Valg[[#This Row],[Intet overlap]],INDEX(DataTitel_liste,LineærRegression_Valg[[#This Row],[Uafhængig variabel ID]]),INDEX(DataTitel_liste,IF(LineærRegression_Valg[[#This Row],[Afhængig variabel ID]]=1,2,1))),$B$7)</f>
        <v>Eksempel 2 (interval)</v>
      </c>
      <c r="H2420" s="171">
        <f>_xlfn.AGGREGATE(2,5,LineærRegression_Valg[[#This Row],[Tabel ID]])</f>
        <v>1</v>
      </c>
    </row>
    <row r="2421" spans="1:8" x14ac:dyDescent="0.2">
      <c r="A2421">
        <f>ROW(LineærRegression_Valg[[#This Row],[Tabel ID]])-ROW(LineærRegression_Valg[[#Headers],[Tabel ID]])</f>
        <v>2411</v>
      </c>
      <c r="B2421" s="171">
        <f>ROUNDDOWN((LineærRegression_Valg[[#This Row],[Tabel ID]]-1)/$B$5,0)+1</f>
        <v>603</v>
      </c>
      <c r="C2421" s="171">
        <f t="shared" si="37"/>
        <v>3</v>
      </c>
      <c r="D2421" s="171" t="b">
        <f>LineærRegression_Valg[[#This Row],[Afhængig variabel ID]]&lt;&gt;LineærRegression_Valg[[#This Row],[Uafhængig variabel ID]]</f>
        <v>1</v>
      </c>
      <c r="E2421" s="171" t="b">
        <f>LineærRegression_Valg[[#This Row],[Afhængig variabel ID]]&lt;=$B$5</f>
        <v>0</v>
      </c>
      <c r="F2421" t="str" cm="1">
        <f t="array" ref="F2421">IF(LineærRegression_Valg[[#This Row],[Indenfor range]],INDEX(DataTitel_liste,LineærRegression_Valg[[#This Row],[Afhængig variabel ID]]),INDEX(DataTitel_liste,1))</f>
        <v>Eksempel 1 (interval)</v>
      </c>
      <c r="G2421" s="171" t="str" cm="1">
        <f t="array" ref="G2421">IF(LineærRegression_Valg[[#This Row],[Indenfor range]],IF(LineærRegression_Valg[[#This Row],[Intet overlap]],INDEX(DataTitel_liste,LineærRegression_Valg[[#This Row],[Uafhængig variabel ID]]),INDEX(DataTitel_liste,IF(LineærRegression_Valg[[#This Row],[Afhængig variabel ID]]=1,2,1))),$B$7)</f>
        <v>Eksempel 2 (interval)</v>
      </c>
      <c r="H2421" s="171">
        <f>_xlfn.AGGREGATE(2,5,LineærRegression_Valg[[#This Row],[Tabel ID]])</f>
        <v>1</v>
      </c>
    </row>
    <row r="2422" spans="1:8" x14ac:dyDescent="0.2">
      <c r="A2422">
        <f>ROW(LineærRegression_Valg[[#This Row],[Tabel ID]])-ROW(LineærRegression_Valg[[#Headers],[Tabel ID]])</f>
        <v>2412</v>
      </c>
      <c r="B2422" s="171">
        <f>ROUNDDOWN((LineærRegression_Valg[[#This Row],[Tabel ID]]-1)/$B$5,0)+1</f>
        <v>603</v>
      </c>
      <c r="C2422" s="171">
        <f t="shared" si="37"/>
        <v>4</v>
      </c>
      <c r="D2422" s="171" t="b">
        <f>LineærRegression_Valg[[#This Row],[Afhængig variabel ID]]&lt;&gt;LineærRegression_Valg[[#This Row],[Uafhængig variabel ID]]</f>
        <v>1</v>
      </c>
      <c r="E2422" s="171" t="b">
        <f>LineærRegression_Valg[[#This Row],[Afhængig variabel ID]]&lt;=$B$5</f>
        <v>0</v>
      </c>
      <c r="F2422" t="str" cm="1">
        <f t="array" ref="F2422">IF(LineærRegression_Valg[[#This Row],[Indenfor range]],INDEX(DataTitel_liste,LineærRegression_Valg[[#This Row],[Afhængig variabel ID]]),INDEX(DataTitel_liste,1))</f>
        <v>Eksempel 1 (interval)</v>
      </c>
      <c r="G2422" s="171" t="str" cm="1">
        <f t="array" ref="G2422">IF(LineærRegression_Valg[[#This Row],[Indenfor range]],IF(LineærRegression_Valg[[#This Row],[Intet overlap]],INDEX(DataTitel_liste,LineærRegression_Valg[[#This Row],[Uafhængig variabel ID]]),INDEX(DataTitel_liste,IF(LineærRegression_Valg[[#This Row],[Afhængig variabel ID]]=1,2,1))),$B$7)</f>
        <v>Eksempel 2 (interval)</v>
      </c>
      <c r="H2422" s="171">
        <f>_xlfn.AGGREGATE(2,5,LineærRegression_Valg[[#This Row],[Tabel ID]])</f>
        <v>1</v>
      </c>
    </row>
    <row r="2423" spans="1:8" x14ac:dyDescent="0.2">
      <c r="A2423">
        <f>ROW(LineærRegression_Valg[[#This Row],[Tabel ID]])-ROW(LineærRegression_Valg[[#Headers],[Tabel ID]])</f>
        <v>2413</v>
      </c>
      <c r="B2423" s="171">
        <f>ROUNDDOWN((LineærRegression_Valg[[#This Row],[Tabel ID]]-1)/$B$5,0)+1</f>
        <v>604</v>
      </c>
      <c r="C2423" s="171">
        <f t="shared" si="37"/>
        <v>1</v>
      </c>
      <c r="D2423" s="171" t="b">
        <f>LineærRegression_Valg[[#This Row],[Afhængig variabel ID]]&lt;&gt;LineærRegression_Valg[[#This Row],[Uafhængig variabel ID]]</f>
        <v>1</v>
      </c>
      <c r="E2423" s="171" t="b">
        <f>LineærRegression_Valg[[#This Row],[Afhængig variabel ID]]&lt;=$B$5</f>
        <v>0</v>
      </c>
      <c r="F2423" t="str" cm="1">
        <f t="array" ref="F2423">IF(LineærRegression_Valg[[#This Row],[Indenfor range]],INDEX(DataTitel_liste,LineærRegression_Valg[[#This Row],[Afhængig variabel ID]]),INDEX(DataTitel_liste,1))</f>
        <v>Eksempel 1 (interval)</v>
      </c>
      <c r="G2423" s="171" t="str" cm="1">
        <f t="array" ref="G2423">IF(LineærRegression_Valg[[#This Row],[Indenfor range]],IF(LineærRegression_Valg[[#This Row],[Intet overlap]],INDEX(DataTitel_liste,LineærRegression_Valg[[#This Row],[Uafhængig variabel ID]]),INDEX(DataTitel_liste,IF(LineærRegression_Valg[[#This Row],[Afhængig variabel ID]]=1,2,1))),$B$7)</f>
        <v>Eksempel 2 (interval)</v>
      </c>
      <c r="H2423" s="171">
        <f>_xlfn.AGGREGATE(2,5,LineærRegression_Valg[[#This Row],[Tabel ID]])</f>
        <v>1</v>
      </c>
    </row>
    <row r="2424" spans="1:8" x14ac:dyDescent="0.2">
      <c r="A2424">
        <f>ROW(LineærRegression_Valg[[#This Row],[Tabel ID]])-ROW(LineærRegression_Valg[[#Headers],[Tabel ID]])</f>
        <v>2414</v>
      </c>
      <c r="B2424" s="171">
        <f>ROUNDDOWN((LineærRegression_Valg[[#This Row],[Tabel ID]]-1)/$B$5,0)+1</f>
        <v>604</v>
      </c>
      <c r="C2424" s="171">
        <f t="shared" si="37"/>
        <v>2</v>
      </c>
      <c r="D2424" s="171" t="b">
        <f>LineærRegression_Valg[[#This Row],[Afhængig variabel ID]]&lt;&gt;LineærRegression_Valg[[#This Row],[Uafhængig variabel ID]]</f>
        <v>1</v>
      </c>
      <c r="E2424" s="171" t="b">
        <f>LineærRegression_Valg[[#This Row],[Afhængig variabel ID]]&lt;=$B$5</f>
        <v>0</v>
      </c>
      <c r="F2424" t="str" cm="1">
        <f t="array" ref="F2424">IF(LineærRegression_Valg[[#This Row],[Indenfor range]],INDEX(DataTitel_liste,LineærRegression_Valg[[#This Row],[Afhængig variabel ID]]),INDEX(DataTitel_liste,1))</f>
        <v>Eksempel 1 (interval)</v>
      </c>
      <c r="G2424" s="171" t="str" cm="1">
        <f t="array" ref="G2424">IF(LineærRegression_Valg[[#This Row],[Indenfor range]],IF(LineærRegression_Valg[[#This Row],[Intet overlap]],INDEX(DataTitel_liste,LineærRegression_Valg[[#This Row],[Uafhængig variabel ID]]),INDEX(DataTitel_liste,IF(LineærRegression_Valg[[#This Row],[Afhængig variabel ID]]=1,2,1))),$B$7)</f>
        <v>Eksempel 2 (interval)</v>
      </c>
      <c r="H2424" s="171">
        <f>_xlfn.AGGREGATE(2,5,LineærRegression_Valg[[#This Row],[Tabel ID]])</f>
        <v>1</v>
      </c>
    </row>
    <row r="2425" spans="1:8" x14ac:dyDescent="0.2">
      <c r="A2425">
        <f>ROW(LineærRegression_Valg[[#This Row],[Tabel ID]])-ROW(LineærRegression_Valg[[#Headers],[Tabel ID]])</f>
        <v>2415</v>
      </c>
      <c r="B2425" s="171">
        <f>ROUNDDOWN((LineærRegression_Valg[[#This Row],[Tabel ID]]-1)/$B$5,0)+1</f>
        <v>604</v>
      </c>
      <c r="C2425" s="171">
        <f t="shared" si="37"/>
        <v>3</v>
      </c>
      <c r="D2425" s="171" t="b">
        <f>LineærRegression_Valg[[#This Row],[Afhængig variabel ID]]&lt;&gt;LineærRegression_Valg[[#This Row],[Uafhængig variabel ID]]</f>
        <v>1</v>
      </c>
      <c r="E2425" s="171" t="b">
        <f>LineærRegression_Valg[[#This Row],[Afhængig variabel ID]]&lt;=$B$5</f>
        <v>0</v>
      </c>
      <c r="F2425" t="str" cm="1">
        <f t="array" ref="F2425">IF(LineærRegression_Valg[[#This Row],[Indenfor range]],INDEX(DataTitel_liste,LineærRegression_Valg[[#This Row],[Afhængig variabel ID]]),INDEX(DataTitel_liste,1))</f>
        <v>Eksempel 1 (interval)</v>
      </c>
      <c r="G2425" s="171" t="str" cm="1">
        <f t="array" ref="G2425">IF(LineærRegression_Valg[[#This Row],[Indenfor range]],IF(LineærRegression_Valg[[#This Row],[Intet overlap]],INDEX(DataTitel_liste,LineærRegression_Valg[[#This Row],[Uafhængig variabel ID]]),INDEX(DataTitel_liste,IF(LineærRegression_Valg[[#This Row],[Afhængig variabel ID]]=1,2,1))),$B$7)</f>
        <v>Eksempel 2 (interval)</v>
      </c>
      <c r="H2425" s="171">
        <f>_xlfn.AGGREGATE(2,5,LineærRegression_Valg[[#This Row],[Tabel ID]])</f>
        <v>1</v>
      </c>
    </row>
    <row r="2426" spans="1:8" x14ac:dyDescent="0.2">
      <c r="A2426">
        <f>ROW(LineærRegression_Valg[[#This Row],[Tabel ID]])-ROW(LineærRegression_Valg[[#Headers],[Tabel ID]])</f>
        <v>2416</v>
      </c>
      <c r="B2426" s="171">
        <f>ROUNDDOWN((LineærRegression_Valg[[#This Row],[Tabel ID]]-1)/$B$5,0)+1</f>
        <v>604</v>
      </c>
      <c r="C2426" s="171">
        <f t="shared" si="37"/>
        <v>4</v>
      </c>
      <c r="D2426" s="171" t="b">
        <f>LineærRegression_Valg[[#This Row],[Afhængig variabel ID]]&lt;&gt;LineærRegression_Valg[[#This Row],[Uafhængig variabel ID]]</f>
        <v>1</v>
      </c>
      <c r="E2426" s="171" t="b">
        <f>LineærRegression_Valg[[#This Row],[Afhængig variabel ID]]&lt;=$B$5</f>
        <v>0</v>
      </c>
      <c r="F2426" t="str" cm="1">
        <f t="array" ref="F2426">IF(LineærRegression_Valg[[#This Row],[Indenfor range]],INDEX(DataTitel_liste,LineærRegression_Valg[[#This Row],[Afhængig variabel ID]]),INDEX(DataTitel_liste,1))</f>
        <v>Eksempel 1 (interval)</v>
      </c>
      <c r="G2426" s="171" t="str" cm="1">
        <f t="array" ref="G2426">IF(LineærRegression_Valg[[#This Row],[Indenfor range]],IF(LineærRegression_Valg[[#This Row],[Intet overlap]],INDEX(DataTitel_liste,LineærRegression_Valg[[#This Row],[Uafhængig variabel ID]]),INDEX(DataTitel_liste,IF(LineærRegression_Valg[[#This Row],[Afhængig variabel ID]]=1,2,1))),$B$7)</f>
        <v>Eksempel 2 (interval)</v>
      </c>
      <c r="H2426" s="171">
        <f>_xlfn.AGGREGATE(2,5,LineærRegression_Valg[[#This Row],[Tabel ID]])</f>
        <v>1</v>
      </c>
    </row>
    <row r="2427" spans="1:8" x14ac:dyDescent="0.2">
      <c r="A2427">
        <f>ROW(LineærRegression_Valg[[#This Row],[Tabel ID]])-ROW(LineærRegression_Valg[[#Headers],[Tabel ID]])</f>
        <v>2417</v>
      </c>
      <c r="B2427" s="171">
        <f>ROUNDDOWN((LineærRegression_Valg[[#This Row],[Tabel ID]]-1)/$B$5,0)+1</f>
        <v>605</v>
      </c>
      <c r="C2427" s="171">
        <f t="shared" si="37"/>
        <v>1</v>
      </c>
      <c r="D2427" s="171" t="b">
        <f>LineærRegression_Valg[[#This Row],[Afhængig variabel ID]]&lt;&gt;LineærRegression_Valg[[#This Row],[Uafhængig variabel ID]]</f>
        <v>1</v>
      </c>
      <c r="E2427" s="171" t="b">
        <f>LineærRegression_Valg[[#This Row],[Afhængig variabel ID]]&lt;=$B$5</f>
        <v>0</v>
      </c>
      <c r="F2427" t="str" cm="1">
        <f t="array" ref="F2427">IF(LineærRegression_Valg[[#This Row],[Indenfor range]],INDEX(DataTitel_liste,LineærRegression_Valg[[#This Row],[Afhængig variabel ID]]),INDEX(DataTitel_liste,1))</f>
        <v>Eksempel 1 (interval)</v>
      </c>
      <c r="G2427" s="171" t="str" cm="1">
        <f t="array" ref="G2427">IF(LineærRegression_Valg[[#This Row],[Indenfor range]],IF(LineærRegression_Valg[[#This Row],[Intet overlap]],INDEX(DataTitel_liste,LineærRegression_Valg[[#This Row],[Uafhængig variabel ID]]),INDEX(DataTitel_liste,IF(LineærRegression_Valg[[#This Row],[Afhængig variabel ID]]=1,2,1))),$B$7)</f>
        <v>Eksempel 2 (interval)</v>
      </c>
      <c r="H2427" s="171">
        <f>_xlfn.AGGREGATE(2,5,LineærRegression_Valg[[#This Row],[Tabel ID]])</f>
        <v>1</v>
      </c>
    </row>
    <row r="2428" spans="1:8" x14ac:dyDescent="0.2">
      <c r="A2428">
        <f>ROW(LineærRegression_Valg[[#This Row],[Tabel ID]])-ROW(LineærRegression_Valg[[#Headers],[Tabel ID]])</f>
        <v>2418</v>
      </c>
      <c r="B2428" s="171">
        <f>ROUNDDOWN((LineærRegression_Valg[[#This Row],[Tabel ID]]-1)/$B$5,0)+1</f>
        <v>605</v>
      </c>
      <c r="C2428" s="171">
        <f t="shared" si="37"/>
        <v>2</v>
      </c>
      <c r="D2428" s="171" t="b">
        <f>LineærRegression_Valg[[#This Row],[Afhængig variabel ID]]&lt;&gt;LineærRegression_Valg[[#This Row],[Uafhængig variabel ID]]</f>
        <v>1</v>
      </c>
      <c r="E2428" s="171" t="b">
        <f>LineærRegression_Valg[[#This Row],[Afhængig variabel ID]]&lt;=$B$5</f>
        <v>0</v>
      </c>
      <c r="F2428" t="str" cm="1">
        <f t="array" ref="F2428">IF(LineærRegression_Valg[[#This Row],[Indenfor range]],INDEX(DataTitel_liste,LineærRegression_Valg[[#This Row],[Afhængig variabel ID]]),INDEX(DataTitel_liste,1))</f>
        <v>Eksempel 1 (interval)</v>
      </c>
      <c r="G2428" s="171" t="str" cm="1">
        <f t="array" ref="G2428">IF(LineærRegression_Valg[[#This Row],[Indenfor range]],IF(LineærRegression_Valg[[#This Row],[Intet overlap]],INDEX(DataTitel_liste,LineærRegression_Valg[[#This Row],[Uafhængig variabel ID]]),INDEX(DataTitel_liste,IF(LineærRegression_Valg[[#This Row],[Afhængig variabel ID]]=1,2,1))),$B$7)</f>
        <v>Eksempel 2 (interval)</v>
      </c>
      <c r="H2428" s="171">
        <f>_xlfn.AGGREGATE(2,5,LineærRegression_Valg[[#This Row],[Tabel ID]])</f>
        <v>1</v>
      </c>
    </row>
    <row r="2429" spans="1:8" x14ac:dyDescent="0.2">
      <c r="A2429">
        <f>ROW(LineærRegression_Valg[[#This Row],[Tabel ID]])-ROW(LineærRegression_Valg[[#Headers],[Tabel ID]])</f>
        <v>2419</v>
      </c>
      <c r="B2429" s="171">
        <f>ROUNDDOWN((LineærRegression_Valg[[#This Row],[Tabel ID]]-1)/$B$5,0)+1</f>
        <v>605</v>
      </c>
      <c r="C2429" s="171">
        <f t="shared" si="37"/>
        <v>3</v>
      </c>
      <c r="D2429" s="171" t="b">
        <f>LineærRegression_Valg[[#This Row],[Afhængig variabel ID]]&lt;&gt;LineærRegression_Valg[[#This Row],[Uafhængig variabel ID]]</f>
        <v>1</v>
      </c>
      <c r="E2429" s="171" t="b">
        <f>LineærRegression_Valg[[#This Row],[Afhængig variabel ID]]&lt;=$B$5</f>
        <v>0</v>
      </c>
      <c r="F2429" t="str" cm="1">
        <f t="array" ref="F2429">IF(LineærRegression_Valg[[#This Row],[Indenfor range]],INDEX(DataTitel_liste,LineærRegression_Valg[[#This Row],[Afhængig variabel ID]]),INDEX(DataTitel_liste,1))</f>
        <v>Eksempel 1 (interval)</v>
      </c>
      <c r="G2429" s="171" t="str" cm="1">
        <f t="array" ref="G2429">IF(LineærRegression_Valg[[#This Row],[Indenfor range]],IF(LineærRegression_Valg[[#This Row],[Intet overlap]],INDEX(DataTitel_liste,LineærRegression_Valg[[#This Row],[Uafhængig variabel ID]]),INDEX(DataTitel_liste,IF(LineærRegression_Valg[[#This Row],[Afhængig variabel ID]]=1,2,1))),$B$7)</f>
        <v>Eksempel 2 (interval)</v>
      </c>
      <c r="H2429" s="171">
        <f>_xlfn.AGGREGATE(2,5,LineærRegression_Valg[[#This Row],[Tabel ID]])</f>
        <v>1</v>
      </c>
    </row>
    <row r="2430" spans="1:8" x14ac:dyDescent="0.2">
      <c r="A2430">
        <f>ROW(LineærRegression_Valg[[#This Row],[Tabel ID]])-ROW(LineærRegression_Valg[[#Headers],[Tabel ID]])</f>
        <v>2420</v>
      </c>
      <c r="B2430" s="171">
        <f>ROUNDDOWN((LineærRegression_Valg[[#This Row],[Tabel ID]]-1)/$B$5,0)+1</f>
        <v>605</v>
      </c>
      <c r="C2430" s="171">
        <f t="shared" si="37"/>
        <v>4</v>
      </c>
      <c r="D2430" s="171" t="b">
        <f>LineærRegression_Valg[[#This Row],[Afhængig variabel ID]]&lt;&gt;LineærRegression_Valg[[#This Row],[Uafhængig variabel ID]]</f>
        <v>1</v>
      </c>
      <c r="E2430" s="171" t="b">
        <f>LineærRegression_Valg[[#This Row],[Afhængig variabel ID]]&lt;=$B$5</f>
        <v>0</v>
      </c>
      <c r="F2430" t="str" cm="1">
        <f t="array" ref="F2430">IF(LineærRegression_Valg[[#This Row],[Indenfor range]],INDEX(DataTitel_liste,LineærRegression_Valg[[#This Row],[Afhængig variabel ID]]),INDEX(DataTitel_liste,1))</f>
        <v>Eksempel 1 (interval)</v>
      </c>
      <c r="G2430" s="171" t="str" cm="1">
        <f t="array" ref="G2430">IF(LineærRegression_Valg[[#This Row],[Indenfor range]],IF(LineærRegression_Valg[[#This Row],[Intet overlap]],INDEX(DataTitel_liste,LineærRegression_Valg[[#This Row],[Uafhængig variabel ID]]),INDEX(DataTitel_liste,IF(LineærRegression_Valg[[#This Row],[Afhængig variabel ID]]=1,2,1))),$B$7)</f>
        <v>Eksempel 2 (interval)</v>
      </c>
      <c r="H2430" s="171">
        <f>_xlfn.AGGREGATE(2,5,LineærRegression_Valg[[#This Row],[Tabel ID]])</f>
        <v>1</v>
      </c>
    </row>
    <row r="2431" spans="1:8" x14ac:dyDescent="0.2">
      <c r="A2431">
        <f>ROW(LineærRegression_Valg[[#This Row],[Tabel ID]])-ROW(LineærRegression_Valg[[#Headers],[Tabel ID]])</f>
        <v>2421</v>
      </c>
      <c r="B2431" s="171">
        <f>ROUNDDOWN((LineærRegression_Valg[[#This Row],[Tabel ID]]-1)/$B$5,0)+1</f>
        <v>606</v>
      </c>
      <c r="C2431" s="171">
        <f t="shared" si="37"/>
        <v>1</v>
      </c>
      <c r="D2431" s="171" t="b">
        <f>LineærRegression_Valg[[#This Row],[Afhængig variabel ID]]&lt;&gt;LineærRegression_Valg[[#This Row],[Uafhængig variabel ID]]</f>
        <v>1</v>
      </c>
      <c r="E2431" s="171" t="b">
        <f>LineærRegression_Valg[[#This Row],[Afhængig variabel ID]]&lt;=$B$5</f>
        <v>0</v>
      </c>
      <c r="F2431" t="str" cm="1">
        <f t="array" ref="F2431">IF(LineærRegression_Valg[[#This Row],[Indenfor range]],INDEX(DataTitel_liste,LineærRegression_Valg[[#This Row],[Afhængig variabel ID]]),INDEX(DataTitel_liste,1))</f>
        <v>Eksempel 1 (interval)</v>
      </c>
      <c r="G2431" s="171" t="str" cm="1">
        <f t="array" ref="G2431">IF(LineærRegression_Valg[[#This Row],[Indenfor range]],IF(LineærRegression_Valg[[#This Row],[Intet overlap]],INDEX(DataTitel_liste,LineærRegression_Valg[[#This Row],[Uafhængig variabel ID]]),INDEX(DataTitel_liste,IF(LineærRegression_Valg[[#This Row],[Afhængig variabel ID]]=1,2,1))),$B$7)</f>
        <v>Eksempel 2 (interval)</v>
      </c>
      <c r="H2431" s="171">
        <f>_xlfn.AGGREGATE(2,5,LineærRegression_Valg[[#This Row],[Tabel ID]])</f>
        <v>1</v>
      </c>
    </row>
    <row r="2432" spans="1:8" x14ac:dyDescent="0.2">
      <c r="A2432">
        <f>ROW(LineærRegression_Valg[[#This Row],[Tabel ID]])-ROW(LineærRegression_Valg[[#Headers],[Tabel ID]])</f>
        <v>2422</v>
      </c>
      <c r="B2432" s="171">
        <f>ROUNDDOWN((LineærRegression_Valg[[#This Row],[Tabel ID]]-1)/$B$5,0)+1</f>
        <v>606</v>
      </c>
      <c r="C2432" s="171">
        <f t="shared" si="37"/>
        <v>2</v>
      </c>
      <c r="D2432" s="171" t="b">
        <f>LineærRegression_Valg[[#This Row],[Afhængig variabel ID]]&lt;&gt;LineærRegression_Valg[[#This Row],[Uafhængig variabel ID]]</f>
        <v>1</v>
      </c>
      <c r="E2432" s="171" t="b">
        <f>LineærRegression_Valg[[#This Row],[Afhængig variabel ID]]&lt;=$B$5</f>
        <v>0</v>
      </c>
      <c r="F2432" t="str" cm="1">
        <f t="array" ref="F2432">IF(LineærRegression_Valg[[#This Row],[Indenfor range]],INDEX(DataTitel_liste,LineærRegression_Valg[[#This Row],[Afhængig variabel ID]]),INDEX(DataTitel_liste,1))</f>
        <v>Eksempel 1 (interval)</v>
      </c>
      <c r="G2432" s="171" t="str" cm="1">
        <f t="array" ref="G2432">IF(LineærRegression_Valg[[#This Row],[Indenfor range]],IF(LineærRegression_Valg[[#This Row],[Intet overlap]],INDEX(DataTitel_liste,LineærRegression_Valg[[#This Row],[Uafhængig variabel ID]]),INDEX(DataTitel_liste,IF(LineærRegression_Valg[[#This Row],[Afhængig variabel ID]]=1,2,1))),$B$7)</f>
        <v>Eksempel 2 (interval)</v>
      </c>
      <c r="H2432" s="171">
        <f>_xlfn.AGGREGATE(2,5,LineærRegression_Valg[[#This Row],[Tabel ID]])</f>
        <v>1</v>
      </c>
    </row>
    <row r="2433" spans="1:8" x14ac:dyDescent="0.2">
      <c r="A2433">
        <f>ROW(LineærRegression_Valg[[#This Row],[Tabel ID]])-ROW(LineærRegression_Valg[[#Headers],[Tabel ID]])</f>
        <v>2423</v>
      </c>
      <c r="B2433" s="171">
        <f>ROUNDDOWN((LineærRegression_Valg[[#This Row],[Tabel ID]]-1)/$B$5,0)+1</f>
        <v>606</v>
      </c>
      <c r="C2433" s="171">
        <f t="shared" si="37"/>
        <v>3</v>
      </c>
      <c r="D2433" s="171" t="b">
        <f>LineærRegression_Valg[[#This Row],[Afhængig variabel ID]]&lt;&gt;LineærRegression_Valg[[#This Row],[Uafhængig variabel ID]]</f>
        <v>1</v>
      </c>
      <c r="E2433" s="171" t="b">
        <f>LineærRegression_Valg[[#This Row],[Afhængig variabel ID]]&lt;=$B$5</f>
        <v>0</v>
      </c>
      <c r="F2433" t="str" cm="1">
        <f t="array" ref="F2433">IF(LineærRegression_Valg[[#This Row],[Indenfor range]],INDEX(DataTitel_liste,LineærRegression_Valg[[#This Row],[Afhængig variabel ID]]),INDEX(DataTitel_liste,1))</f>
        <v>Eksempel 1 (interval)</v>
      </c>
      <c r="G2433" s="171" t="str" cm="1">
        <f t="array" ref="G2433">IF(LineærRegression_Valg[[#This Row],[Indenfor range]],IF(LineærRegression_Valg[[#This Row],[Intet overlap]],INDEX(DataTitel_liste,LineærRegression_Valg[[#This Row],[Uafhængig variabel ID]]),INDEX(DataTitel_liste,IF(LineærRegression_Valg[[#This Row],[Afhængig variabel ID]]=1,2,1))),$B$7)</f>
        <v>Eksempel 2 (interval)</v>
      </c>
      <c r="H2433" s="171">
        <f>_xlfn.AGGREGATE(2,5,LineærRegression_Valg[[#This Row],[Tabel ID]])</f>
        <v>1</v>
      </c>
    </row>
    <row r="2434" spans="1:8" x14ac:dyDescent="0.2">
      <c r="A2434">
        <f>ROW(LineærRegression_Valg[[#This Row],[Tabel ID]])-ROW(LineærRegression_Valg[[#Headers],[Tabel ID]])</f>
        <v>2424</v>
      </c>
      <c r="B2434" s="171">
        <f>ROUNDDOWN((LineærRegression_Valg[[#This Row],[Tabel ID]]-1)/$B$5,0)+1</f>
        <v>606</v>
      </c>
      <c r="C2434" s="171">
        <f t="shared" si="37"/>
        <v>4</v>
      </c>
      <c r="D2434" s="171" t="b">
        <f>LineærRegression_Valg[[#This Row],[Afhængig variabel ID]]&lt;&gt;LineærRegression_Valg[[#This Row],[Uafhængig variabel ID]]</f>
        <v>1</v>
      </c>
      <c r="E2434" s="171" t="b">
        <f>LineærRegression_Valg[[#This Row],[Afhængig variabel ID]]&lt;=$B$5</f>
        <v>0</v>
      </c>
      <c r="F2434" t="str" cm="1">
        <f t="array" ref="F2434">IF(LineærRegression_Valg[[#This Row],[Indenfor range]],INDEX(DataTitel_liste,LineærRegression_Valg[[#This Row],[Afhængig variabel ID]]),INDEX(DataTitel_liste,1))</f>
        <v>Eksempel 1 (interval)</v>
      </c>
      <c r="G2434" s="171" t="str" cm="1">
        <f t="array" ref="G2434">IF(LineærRegression_Valg[[#This Row],[Indenfor range]],IF(LineærRegression_Valg[[#This Row],[Intet overlap]],INDEX(DataTitel_liste,LineærRegression_Valg[[#This Row],[Uafhængig variabel ID]]),INDEX(DataTitel_liste,IF(LineærRegression_Valg[[#This Row],[Afhængig variabel ID]]=1,2,1))),$B$7)</f>
        <v>Eksempel 2 (interval)</v>
      </c>
      <c r="H2434" s="171">
        <f>_xlfn.AGGREGATE(2,5,LineærRegression_Valg[[#This Row],[Tabel ID]])</f>
        <v>1</v>
      </c>
    </row>
    <row r="2435" spans="1:8" x14ac:dyDescent="0.2">
      <c r="A2435">
        <f>ROW(LineærRegression_Valg[[#This Row],[Tabel ID]])-ROW(LineærRegression_Valg[[#Headers],[Tabel ID]])</f>
        <v>2425</v>
      </c>
      <c r="B2435" s="171">
        <f>ROUNDDOWN((LineærRegression_Valg[[#This Row],[Tabel ID]]-1)/$B$5,0)+1</f>
        <v>607</v>
      </c>
      <c r="C2435" s="171">
        <f t="shared" si="37"/>
        <v>1</v>
      </c>
      <c r="D2435" s="171" t="b">
        <f>LineærRegression_Valg[[#This Row],[Afhængig variabel ID]]&lt;&gt;LineærRegression_Valg[[#This Row],[Uafhængig variabel ID]]</f>
        <v>1</v>
      </c>
      <c r="E2435" s="171" t="b">
        <f>LineærRegression_Valg[[#This Row],[Afhængig variabel ID]]&lt;=$B$5</f>
        <v>0</v>
      </c>
      <c r="F2435" t="str" cm="1">
        <f t="array" ref="F2435">IF(LineærRegression_Valg[[#This Row],[Indenfor range]],INDEX(DataTitel_liste,LineærRegression_Valg[[#This Row],[Afhængig variabel ID]]),INDEX(DataTitel_liste,1))</f>
        <v>Eksempel 1 (interval)</v>
      </c>
      <c r="G2435" s="171" t="str" cm="1">
        <f t="array" ref="G2435">IF(LineærRegression_Valg[[#This Row],[Indenfor range]],IF(LineærRegression_Valg[[#This Row],[Intet overlap]],INDEX(DataTitel_liste,LineærRegression_Valg[[#This Row],[Uafhængig variabel ID]]),INDEX(DataTitel_liste,IF(LineærRegression_Valg[[#This Row],[Afhængig variabel ID]]=1,2,1))),$B$7)</f>
        <v>Eksempel 2 (interval)</v>
      </c>
      <c r="H2435" s="171">
        <f>_xlfn.AGGREGATE(2,5,LineærRegression_Valg[[#This Row],[Tabel ID]])</f>
        <v>1</v>
      </c>
    </row>
    <row r="2436" spans="1:8" x14ac:dyDescent="0.2">
      <c r="A2436">
        <f>ROW(LineærRegression_Valg[[#This Row],[Tabel ID]])-ROW(LineærRegression_Valg[[#Headers],[Tabel ID]])</f>
        <v>2426</v>
      </c>
      <c r="B2436" s="171">
        <f>ROUNDDOWN((LineærRegression_Valg[[#This Row],[Tabel ID]]-1)/$B$5,0)+1</f>
        <v>607</v>
      </c>
      <c r="C2436" s="171">
        <f t="shared" si="37"/>
        <v>2</v>
      </c>
      <c r="D2436" s="171" t="b">
        <f>LineærRegression_Valg[[#This Row],[Afhængig variabel ID]]&lt;&gt;LineærRegression_Valg[[#This Row],[Uafhængig variabel ID]]</f>
        <v>1</v>
      </c>
      <c r="E2436" s="171" t="b">
        <f>LineærRegression_Valg[[#This Row],[Afhængig variabel ID]]&lt;=$B$5</f>
        <v>0</v>
      </c>
      <c r="F2436" t="str" cm="1">
        <f t="array" ref="F2436">IF(LineærRegression_Valg[[#This Row],[Indenfor range]],INDEX(DataTitel_liste,LineærRegression_Valg[[#This Row],[Afhængig variabel ID]]),INDEX(DataTitel_liste,1))</f>
        <v>Eksempel 1 (interval)</v>
      </c>
      <c r="G2436" s="171" t="str" cm="1">
        <f t="array" ref="G2436">IF(LineærRegression_Valg[[#This Row],[Indenfor range]],IF(LineærRegression_Valg[[#This Row],[Intet overlap]],INDEX(DataTitel_liste,LineærRegression_Valg[[#This Row],[Uafhængig variabel ID]]),INDEX(DataTitel_liste,IF(LineærRegression_Valg[[#This Row],[Afhængig variabel ID]]=1,2,1))),$B$7)</f>
        <v>Eksempel 2 (interval)</v>
      </c>
      <c r="H2436" s="171">
        <f>_xlfn.AGGREGATE(2,5,LineærRegression_Valg[[#This Row],[Tabel ID]])</f>
        <v>1</v>
      </c>
    </row>
    <row r="2437" spans="1:8" x14ac:dyDescent="0.2">
      <c r="A2437">
        <f>ROW(LineærRegression_Valg[[#This Row],[Tabel ID]])-ROW(LineærRegression_Valg[[#Headers],[Tabel ID]])</f>
        <v>2427</v>
      </c>
      <c r="B2437" s="171">
        <f>ROUNDDOWN((LineærRegression_Valg[[#This Row],[Tabel ID]]-1)/$B$5,0)+1</f>
        <v>607</v>
      </c>
      <c r="C2437" s="171">
        <f t="shared" si="37"/>
        <v>3</v>
      </c>
      <c r="D2437" s="171" t="b">
        <f>LineærRegression_Valg[[#This Row],[Afhængig variabel ID]]&lt;&gt;LineærRegression_Valg[[#This Row],[Uafhængig variabel ID]]</f>
        <v>1</v>
      </c>
      <c r="E2437" s="171" t="b">
        <f>LineærRegression_Valg[[#This Row],[Afhængig variabel ID]]&lt;=$B$5</f>
        <v>0</v>
      </c>
      <c r="F2437" t="str" cm="1">
        <f t="array" ref="F2437">IF(LineærRegression_Valg[[#This Row],[Indenfor range]],INDEX(DataTitel_liste,LineærRegression_Valg[[#This Row],[Afhængig variabel ID]]),INDEX(DataTitel_liste,1))</f>
        <v>Eksempel 1 (interval)</v>
      </c>
      <c r="G2437" s="171" t="str" cm="1">
        <f t="array" ref="G2437">IF(LineærRegression_Valg[[#This Row],[Indenfor range]],IF(LineærRegression_Valg[[#This Row],[Intet overlap]],INDEX(DataTitel_liste,LineærRegression_Valg[[#This Row],[Uafhængig variabel ID]]),INDEX(DataTitel_liste,IF(LineærRegression_Valg[[#This Row],[Afhængig variabel ID]]=1,2,1))),$B$7)</f>
        <v>Eksempel 2 (interval)</v>
      </c>
      <c r="H2437" s="171">
        <f>_xlfn.AGGREGATE(2,5,LineærRegression_Valg[[#This Row],[Tabel ID]])</f>
        <v>1</v>
      </c>
    </row>
    <row r="2438" spans="1:8" x14ac:dyDescent="0.2">
      <c r="A2438">
        <f>ROW(LineærRegression_Valg[[#This Row],[Tabel ID]])-ROW(LineærRegression_Valg[[#Headers],[Tabel ID]])</f>
        <v>2428</v>
      </c>
      <c r="B2438" s="171">
        <f>ROUNDDOWN((LineærRegression_Valg[[#This Row],[Tabel ID]]-1)/$B$5,0)+1</f>
        <v>607</v>
      </c>
      <c r="C2438" s="171">
        <f t="shared" si="37"/>
        <v>4</v>
      </c>
      <c r="D2438" s="171" t="b">
        <f>LineærRegression_Valg[[#This Row],[Afhængig variabel ID]]&lt;&gt;LineærRegression_Valg[[#This Row],[Uafhængig variabel ID]]</f>
        <v>1</v>
      </c>
      <c r="E2438" s="171" t="b">
        <f>LineærRegression_Valg[[#This Row],[Afhængig variabel ID]]&lt;=$B$5</f>
        <v>0</v>
      </c>
      <c r="F2438" t="str" cm="1">
        <f t="array" ref="F2438">IF(LineærRegression_Valg[[#This Row],[Indenfor range]],INDEX(DataTitel_liste,LineærRegression_Valg[[#This Row],[Afhængig variabel ID]]),INDEX(DataTitel_liste,1))</f>
        <v>Eksempel 1 (interval)</v>
      </c>
      <c r="G2438" s="171" t="str" cm="1">
        <f t="array" ref="G2438">IF(LineærRegression_Valg[[#This Row],[Indenfor range]],IF(LineærRegression_Valg[[#This Row],[Intet overlap]],INDEX(DataTitel_liste,LineærRegression_Valg[[#This Row],[Uafhængig variabel ID]]),INDEX(DataTitel_liste,IF(LineærRegression_Valg[[#This Row],[Afhængig variabel ID]]=1,2,1))),$B$7)</f>
        <v>Eksempel 2 (interval)</v>
      </c>
      <c r="H2438" s="171">
        <f>_xlfn.AGGREGATE(2,5,LineærRegression_Valg[[#This Row],[Tabel ID]])</f>
        <v>1</v>
      </c>
    </row>
    <row r="2439" spans="1:8" x14ac:dyDescent="0.2">
      <c r="A2439">
        <f>ROW(LineærRegression_Valg[[#This Row],[Tabel ID]])-ROW(LineærRegression_Valg[[#Headers],[Tabel ID]])</f>
        <v>2429</v>
      </c>
      <c r="B2439" s="171">
        <f>ROUNDDOWN((LineærRegression_Valg[[#This Row],[Tabel ID]]-1)/$B$5,0)+1</f>
        <v>608</v>
      </c>
      <c r="C2439" s="171">
        <f t="shared" si="37"/>
        <v>1</v>
      </c>
      <c r="D2439" s="171" t="b">
        <f>LineærRegression_Valg[[#This Row],[Afhængig variabel ID]]&lt;&gt;LineærRegression_Valg[[#This Row],[Uafhængig variabel ID]]</f>
        <v>1</v>
      </c>
      <c r="E2439" s="171" t="b">
        <f>LineærRegression_Valg[[#This Row],[Afhængig variabel ID]]&lt;=$B$5</f>
        <v>0</v>
      </c>
      <c r="F2439" t="str" cm="1">
        <f t="array" ref="F2439">IF(LineærRegression_Valg[[#This Row],[Indenfor range]],INDEX(DataTitel_liste,LineærRegression_Valg[[#This Row],[Afhængig variabel ID]]),INDEX(DataTitel_liste,1))</f>
        <v>Eksempel 1 (interval)</v>
      </c>
      <c r="G2439" s="171" t="str" cm="1">
        <f t="array" ref="G2439">IF(LineærRegression_Valg[[#This Row],[Indenfor range]],IF(LineærRegression_Valg[[#This Row],[Intet overlap]],INDEX(DataTitel_liste,LineærRegression_Valg[[#This Row],[Uafhængig variabel ID]]),INDEX(DataTitel_liste,IF(LineærRegression_Valg[[#This Row],[Afhængig variabel ID]]=1,2,1))),$B$7)</f>
        <v>Eksempel 2 (interval)</v>
      </c>
      <c r="H2439" s="171">
        <f>_xlfn.AGGREGATE(2,5,LineærRegression_Valg[[#This Row],[Tabel ID]])</f>
        <v>1</v>
      </c>
    </row>
    <row r="2440" spans="1:8" x14ac:dyDescent="0.2">
      <c r="A2440">
        <f>ROW(LineærRegression_Valg[[#This Row],[Tabel ID]])-ROW(LineærRegression_Valg[[#Headers],[Tabel ID]])</f>
        <v>2430</v>
      </c>
      <c r="B2440" s="171">
        <f>ROUNDDOWN((LineærRegression_Valg[[#This Row],[Tabel ID]]-1)/$B$5,0)+1</f>
        <v>608</v>
      </c>
      <c r="C2440" s="171">
        <f t="shared" si="37"/>
        <v>2</v>
      </c>
      <c r="D2440" s="171" t="b">
        <f>LineærRegression_Valg[[#This Row],[Afhængig variabel ID]]&lt;&gt;LineærRegression_Valg[[#This Row],[Uafhængig variabel ID]]</f>
        <v>1</v>
      </c>
      <c r="E2440" s="171" t="b">
        <f>LineærRegression_Valg[[#This Row],[Afhængig variabel ID]]&lt;=$B$5</f>
        <v>0</v>
      </c>
      <c r="F2440" t="str" cm="1">
        <f t="array" ref="F2440">IF(LineærRegression_Valg[[#This Row],[Indenfor range]],INDEX(DataTitel_liste,LineærRegression_Valg[[#This Row],[Afhængig variabel ID]]),INDEX(DataTitel_liste,1))</f>
        <v>Eksempel 1 (interval)</v>
      </c>
      <c r="G2440" s="171" t="str" cm="1">
        <f t="array" ref="G2440">IF(LineærRegression_Valg[[#This Row],[Indenfor range]],IF(LineærRegression_Valg[[#This Row],[Intet overlap]],INDEX(DataTitel_liste,LineærRegression_Valg[[#This Row],[Uafhængig variabel ID]]),INDEX(DataTitel_liste,IF(LineærRegression_Valg[[#This Row],[Afhængig variabel ID]]=1,2,1))),$B$7)</f>
        <v>Eksempel 2 (interval)</v>
      </c>
      <c r="H2440" s="171">
        <f>_xlfn.AGGREGATE(2,5,LineærRegression_Valg[[#This Row],[Tabel ID]])</f>
        <v>1</v>
      </c>
    </row>
    <row r="2441" spans="1:8" x14ac:dyDescent="0.2">
      <c r="A2441">
        <f>ROW(LineærRegression_Valg[[#This Row],[Tabel ID]])-ROW(LineærRegression_Valg[[#Headers],[Tabel ID]])</f>
        <v>2431</v>
      </c>
      <c r="B2441" s="171">
        <f>ROUNDDOWN((LineærRegression_Valg[[#This Row],[Tabel ID]]-1)/$B$5,0)+1</f>
        <v>608</v>
      </c>
      <c r="C2441" s="171">
        <f t="shared" si="37"/>
        <v>3</v>
      </c>
      <c r="D2441" s="171" t="b">
        <f>LineærRegression_Valg[[#This Row],[Afhængig variabel ID]]&lt;&gt;LineærRegression_Valg[[#This Row],[Uafhængig variabel ID]]</f>
        <v>1</v>
      </c>
      <c r="E2441" s="171" t="b">
        <f>LineærRegression_Valg[[#This Row],[Afhængig variabel ID]]&lt;=$B$5</f>
        <v>0</v>
      </c>
      <c r="F2441" t="str" cm="1">
        <f t="array" ref="F2441">IF(LineærRegression_Valg[[#This Row],[Indenfor range]],INDEX(DataTitel_liste,LineærRegression_Valg[[#This Row],[Afhængig variabel ID]]),INDEX(DataTitel_liste,1))</f>
        <v>Eksempel 1 (interval)</v>
      </c>
      <c r="G2441" s="171" t="str" cm="1">
        <f t="array" ref="G2441">IF(LineærRegression_Valg[[#This Row],[Indenfor range]],IF(LineærRegression_Valg[[#This Row],[Intet overlap]],INDEX(DataTitel_liste,LineærRegression_Valg[[#This Row],[Uafhængig variabel ID]]),INDEX(DataTitel_liste,IF(LineærRegression_Valg[[#This Row],[Afhængig variabel ID]]=1,2,1))),$B$7)</f>
        <v>Eksempel 2 (interval)</v>
      </c>
      <c r="H2441" s="171">
        <f>_xlfn.AGGREGATE(2,5,LineærRegression_Valg[[#This Row],[Tabel ID]])</f>
        <v>1</v>
      </c>
    </row>
    <row r="2442" spans="1:8" x14ac:dyDescent="0.2">
      <c r="A2442">
        <f>ROW(LineærRegression_Valg[[#This Row],[Tabel ID]])-ROW(LineærRegression_Valg[[#Headers],[Tabel ID]])</f>
        <v>2432</v>
      </c>
      <c r="B2442" s="171">
        <f>ROUNDDOWN((LineærRegression_Valg[[#This Row],[Tabel ID]]-1)/$B$5,0)+1</f>
        <v>608</v>
      </c>
      <c r="C2442" s="171">
        <f t="shared" si="37"/>
        <v>4</v>
      </c>
      <c r="D2442" s="171" t="b">
        <f>LineærRegression_Valg[[#This Row],[Afhængig variabel ID]]&lt;&gt;LineærRegression_Valg[[#This Row],[Uafhængig variabel ID]]</f>
        <v>1</v>
      </c>
      <c r="E2442" s="171" t="b">
        <f>LineærRegression_Valg[[#This Row],[Afhængig variabel ID]]&lt;=$B$5</f>
        <v>0</v>
      </c>
      <c r="F2442" t="str" cm="1">
        <f t="array" ref="F2442">IF(LineærRegression_Valg[[#This Row],[Indenfor range]],INDEX(DataTitel_liste,LineærRegression_Valg[[#This Row],[Afhængig variabel ID]]),INDEX(DataTitel_liste,1))</f>
        <v>Eksempel 1 (interval)</v>
      </c>
      <c r="G2442" s="171" t="str" cm="1">
        <f t="array" ref="G2442">IF(LineærRegression_Valg[[#This Row],[Indenfor range]],IF(LineærRegression_Valg[[#This Row],[Intet overlap]],INDEX(DataTitel_liste,LineærRegression_Valg[[#This Row],[Uafhængig variabel ID]]),INDEX(DataTitel_liste,IF(LineærRegression_Valg[[#This Row],[Afhængig variabel ID]]=1,2,1))),$B$7)</f>
        <v>Eksempel 2 (interval)</v>
      </c>
      <c r="H2442" s="171">
        <f>_xlfn.AGGREGATE(2,5,LineærRegression_Valg[[#This Row],[Tabel ID]])</f>
        <v>1</v>
      </c>
    </row>
    <row r="2443" spans="1:8" x14ac:dyDescent="0.2">
      <c r="A2443">
        <f>ROW(LineærRegression_Valg[[#This Row],[Tabel ID]])-ROW(LineærRegression_Valg[[#Headers],[Tabel ID]])</f>
        <v>2433</v>
      </c>
      <c r="B2443" s="171">
        <f>ROUNDDOWN((LineærRegression_Valg[[#This Row],[Tabel ID]]-1)/$B$5,0)+1</f>
        <v>609</v>
      </c>
      <c r="C2443" s="171">
        <f t="shared" ref="C2443:C2510" si="38">MOD(A2443-1,$B$5)+1</f>
        <v>1</v>
      </c>
      <c r="D2443" s="171" t="b">
        <f>LineærRegression_Valg[[#This Row],[Afhængig variabel ID]]&lt;&gt;LineærRegression_Valg[[#This Row],[Uafhængig variabel ID]]</f>
        <v>1</v>
      </c>
      <c r="E2443" s="171" t="b">
        <f>LineærRegression_Valg[[#This Row],[Afhængig variabel ID]]&lt;=$B$5</f>
        <v>0</v>
      </c>
      <c r="F2443" t="str" cm="1">
        <f t="array" ref="F2443">IF(LineærRegression_Valg[[#This Row],[Indenfor range]],INDEX(DataTitel_liste,LineærRegression_Valg[[#This Row],[Afhængig variabel ID]]),INDEX(DataTitel_liste,1))</f>
        <v>Eksempel 1 (interval)</v>
      </c>
      <c r="G2443" s="171" t="str" cm="1">
        <f t="array" ref="G2443">IF(LineærRegression_Valg[[#This Row],[Indenfor range]],IF(LineærRegression_Valg[[#This Row],[Intet overlap]],INDEX(DataTitel_liste,LineærRegression_Valg[[#This Row],[Uafhængig variabel ID]]),INDEX(DataTitel_liste,IF(LineærRegression_Valg[[#This Row],[Afhængig variabel ID]]=1,2,1))),$B$7)</f>
        <v>Eksempel 2 (interval)</v>
      </c>
      <c r="H2443" s="171">
        <f>_xlfn.AGGREGATE(2,5,LineærRegression_Valg[[#This Row],[Tabel ID]])</f>
        <v>1</v>
      </c>
    </row>
    <row r="2444" spans="1:8" x14ac:dyDescent="0.2">
      <c r="A2444">
        <f>ROW(LineærRegression_Valg[[#This Row],[Tabel ID]])-ROW(LineærRegression_Valg[[#Headers],[Tabel ID]])</f>
        <v>2434</v>
      </c>
      <c r="B2444" s="171">
        <f>ROUNDDOWN((LineærRegression_Valg[[#This Row],[Tabel ID]]-1)/$B$5,0)+1</f>
        <v>609</v>
      </c>
      <c r="C2444" s="171">
        <f t="shared" si="38"/>
        <v>2</v>
      </c>
      <c r="D2444" s="171" t="b">
        <f>LineærRegression_Valg[[#This Row],[Afhængig variabel ID]]&lt;&gt;LineærRegression_Valg[[#This Row],[Uafhængig variabel ID]]</f>
        <v>1</v>
      </c>
      <c r="E2444" s="171" t="b">
        <f>LineærRegression_Valg[[#This Row],[Afhængig variabel ID]]&lt;=$B$5</f>
        <v>0</v>
      </c>
      <c r="F2444" t="str" cm="1">
        <f t="array" ref="F2444">IF(LineærRegression_Valg[[#This Row],[Indenfor range]],INDEX(DataTitel_liste,LineærRegression_Valg[[#This Row],[Afhængig variabel ID]]),INDEX(DataTitel_liste,1))</f>
        <v>Eksempel 1 (interval)</v>
      </c>
      <c r="G2444" s="171" t="str" cm="1">
        <f t="array" ref="G2444">IF(LineærRegression_Valg[[#This Row],[Indenfor range]],IF(LineærRegression_Valg[[#This Row],[Intet overlap]],INDEX(DataTitel_liste,LineærRegression_Valg[[#This Row],[Uafhængig variabel ID]]),INDEX(DataTitel_liste,IF(LineærRegression_Valg[[#This Row],[Afhængig variabel ID]]=1,2,1))),$B$7)</f>
        <v>Eksempel 2 (interval)</v>
      </c>
      <c r="H2444" s="171">
        <f>_xlfn.AGGREGATE(2,5,LineærRegression_Valg[[#This Row],[Tabel ID]])</f>
        <v>1</v>
      </c>
    </row>
    <row r="2445" spans="1:8" x14ac:dyDescent="0.2">
      <c r="A2445">
        <f>ROW(LineærRegression_Valg[[#This Row],[Tabel ID]])-ROW(LineærRegression_Valg[[#Headers],[Tabel ID]])</f>
        <v>2435</v>
      </c>
      <c r="B2445" s="171">
        <f>ROUNDDOWN((LineærRegression_Valg[[#This Row],[Tabel ID]]-1)/$B$5,0)+1</f>
        <v>609</v>
      </c>
      <c r="C2445" s="171">
        <f t="shared" si="38"/>
        <v>3</v>
      </c>
      <c r="D2445" s="171" t="b">
        <f>LineærRegression_Valg[[#This Row],[Afhængig variabel ID]]&lt;&gt;LineærRegression_Valg[[#This Row],[Uafhængig variabel ID]]</f>
        <v>1</v>
      </c>
      <c r="E2445" s="171" t="b">
        <f>LineærRegression_Valg[[#This Row],[Afhængig variabel ID]]&lt;=$B$5</f>
        <v>0</v>
      </c>
      <c r="F2445" t="str" cm="1">
        <f t="array" ref="F2445">IF(LineærRegression_Valg[[#This Row],[Indenfor range]],INDEX(DataTitel_liste,LineærRegression_Valg[[#This Row],[Afhængig variabel ID]]),INDEX(DataTitel_liste,1))</f>
        <v>Eksempel 1 (interval)</v>
      </c>
      <c r="G2445" s="171" t="str" cm="1">
        <f t="array" ref="G2445">IF(LineærRegression_Valg[[#This Row],[Indenfor range]],IF(LineærRegression_Valg[[#This Row],[Intet overlap]],INDEX(DataTitel_liste,LineærRegression_Valg[[#This Row],[Uafhængig variabel ID]]),INDEX(DataTitel_liste,IF(LineærRegression_Valg[[#This Row],[Afhængig variabel ID]]=1,2,1))),$B$7)</f>
        <v>Eksempel 2 (interval)</v>
      </c>
      <c r="H2445" s="171">
        <f>_xlfn.AGGREGATE(2,5,LineærRegression_Valg[[#This Row],[Tabel ID]])</f>
        <v>1</v>
      </c>
    </row>
    <row r="2446" spans="1:8" x14ac:dyDescent="0.2">
      <c r="A2446">
        <f>ROW(LineærRegression_Valg[[#This Row],[Tabel ID]])-ROW(LineærRegression_Valg[[#Headers],[Tabel ID]])</f>
        <v>2436</v>
      </c>
      <c r="B2446" s="171">
        <f>ROUNDDOWN((LineærRegression_Valg[[#This Row],[Tabel ID]]-1)/$B$5,0)+1</f>
        <v>609</v>
      </c>
      <c r="C2446" s="171">
        <f t="shared" si="38"/>
        <v>4</v>
      </c>
      <c r="D2446" s="171" t="b">
        <f>LineærRegression_Valg[[#This Row],[Afhængig variabel ID]]&lt;&gt;LineærRegression_Valg[[#This Row],[Uafhængig variabel ID]]</f>
        <v>1</v>
      </c>
      <c r="E2446" s="171" t="b">
        <f>LineærRegression_Valg[[#This Row],[Afhængig variabel ID]]&lt;=$B$5</f>
        <v>0</v>
      </c>
      <c r="F2446" t="str" cm="1">
        <f t="array" ref="F2446">IF(LineærRegression_Valg[[#This Row],[Indenfor range]],INDEX(DataTitel_liste,LineærRegression_Valg[[#This Row],[Afhængig variabel ID]]),INDEX(DataTitel_liste,1))</f>
        <v>Eksempel 1 (interval)</v>
      </c>
      <c r="G2446" s="171" t="str" cm="1">
        <f t="array" ref="G2446">IF(LineærRegression_Valg[[#This Row],[Indenfor range]],IF(LineærRegression_Valg[[#This Row],[Intet overlap]],INDEX(DataTitel_liste,LineærRegression_Valg[[#This Row],[Uafhængig variabel ID]]),INDEX(DataTitel_liste,IF(LineærRegression_Valg[[#This Row],[Afhængig variabel ID]]=1,2,1))),$B$7)</f>
        <v>Eksempel 2 (interval)</v>
      </c>
      <c r="H2446" s="171">
        <f>_xlfn.AGGREGATE(2,5,LineærRegression_Valg[[#This Row],[Tabel ID]])</f>
        <v>1</v>
      </c>
    </row>
    <row r="2447" spans="1:8" x14ac:dyDescent="0.2">
      <c r="A2447">
        <f>ROW(LineærRegression_Valg[[#This Row],[Tabel ID]])-ROW(LineærRegression_Valg[[#Headers],[Tabel ID]])</f>
        <v>2437</v>
      </c>
      <c r="B2447" s="171">
        <f>ROUNDDOWN((LineærRegression_Valg[[#This Row],[Tabel ID]]-1)/$B$5,0)+1</f>
        <v>610</v>
      </c>
      <c r="C2447" s="171">
        <f t="shared" si="38"/>
        <v>1</v>
      </c>
      <c r="D2447" s="171" t="b">
        <f>LineærRegression_Valg[[#This Row],[Afhængig variabel ID]]&lt;&gt;LineærRegression_Valg[[#This Row],[Uafhængig variabel ID]]</f>
        <v>1</v>
      </c>
      <c r="E2447" s="171" t="b">
        <f>LineærRegression_Valg[[#This Row],[Afhængig variabel ID]]&lt;=$B$5</f>
        <v>0</v>
      </c>
      <c r="F2447" t="str" cm="1">
        <f t="array" ref="F2447">IF(LineærRegression_Valg[[#This Row],[Indenfor range]],INDEX(DataTitel_liste,LineærRegression_Valg[[#This Row],[Afhængig variabel ID]]),INDEX(DataTitel_liste,1))</f>
        <v>Eksempel 1 (interval)</v>
      </c>
      <c r="G2447" s="171" t="str" cm="1">
        <f t="array" ref="G2447">IF(LineærRegression_Valg[[#This Row],[Indenfor range]],IF(LineærRegression_Valg[[#This Row],[Intet overlap]],INDEX(DataTitel_liste,LineærRegression_Valg[[#This Row],[Uafhængig variabel ID]]),INDEX(DataTitel_liste,IF(LineærRegression_Valg[[#This Row],[Afhængig variabel ID]]=1,2,1))),$B$7)</f>
        <v>Eksempel 2 (interval)</v>
      </c>
      <c r="H2447" s="171">
        <f>_xlfn.AGGREGATE(2,5,LineærRegression_Valg[[#This Row],[Tabel ID]])</f>
        <v>1</v>
      </c>
    </row>
    <row r="2448" spans="1:8" x14ac:dyDescent="0.2">
      <c r="A2448">
        <f>ROW(LineærRegression_Valg[[#This Row],[Tabel ID]])-ROW(LineærRegression_Valg[[#Headers],[Tabel ID]])</f>
        <v>2438</v>
      </c>
      <c r="B2448" s="171">
        <f>ROUNDDOWN((LineærRegression_Valg[[#This Row],[Tabel ID]]-1)/$B$5,0)+1</f>
        <v>610</v>
      </c>
      <c r="C2448" s="171">
        <f t="shared" si="38"/>
        <v>2</v>
      </c>
      <c r="D2448" s="171" t="b">
        <f>LineærRegression_Valg[[#This Row],[Afhængig variabel ID]]&lt;&gt;LineærRegression_Valg[[#This Row],[Uafhængig variabel ID]]</f>
        <v>1</v>
      </c>
      <c r="E2448" s="171" t="b">
        <f>LineærRegression_Valg[[#This Row],[Afhængig variabel ID]]&lt;=$B$5</f>
        <v>0</v>
      </c>
      <c r="F2448" t="str" cm="1">
        <f t="array" ref="F2448">IF(LineærRegression_Valg[[#This Row],[Indenfor range]],INDEX(DataTitel_liste,LineærRegression_Valg[[#This Row],[Afhængig variabel ID]]),INDEX(DataTitel_liste,1))</f>
        <v>Eksempel 1 (interval)</v>
      </c>
      <c r="G2448" s="171" t="str" cm="1">
        <f t="array" ref="G2448">IF(LineærRegression_Valg[[#This Row],[Indenfor range]],IF(LineærRegression_Valg[[#This Row],[Intet overlap]],INDEX(DataTitel_liste,LineærRegression_Valg[[#This Row],[Uafhængig variabel ID]]),INDEX(DataTitel_liste,IF(LineærRegression_Valg[[#This Row],[Afhængig variabel ID]]=1,2,1))),$B$7)</f>
        <v>Eksempel 2 (interval)</v>
      </c>
      <c r="H2448" s="171">
        <f>_xlfn.AGGREGATE(2,5,LineærRegression_Valg[[#This Row],[Tabel ID]])</f>
        <v>1</v>
      </c>
    </row>
    <row r="2449" spans="1:8" x14ac:dyDescent="0.2">
      <c r="A2449">
        <f>ROW(LineærRegression_Valg[[#This Row],[Tabel ID]])-ROW(LineærRegression_Valg[[#Headers],[Tabel ID]])</f>
        <v>2439</v>
      </c>
      <c r="B2449" s="171">
        <f>ROUNDDOWN((LineærRegression_Valg[[#This Row],[Tabel ID]]-1)/$B$5,0)+1</f>
        <v>610</v>
      </c>
      <c r="C2449" s="171">
        <f t="shared" si="38"/>
        <v>3</v>
      </c>
      <c r="D2449" s="171" t="b">
        <f>LineærRegression_Valg[[#This Row],[Afhængig variabel ID]]&lt;&gt;LineærRegression_Valg[[#This Row],[Uafhængig variabel ID]]</f>
        <v>1</v>
      </c>
      <c r="E2449" s="171" t="b">
        <f>LineærRegression_Valg[[#This Row],[Afhængig variabel ID]]&lt;=$B$5</f>
        <v>0</v>
      </c>
      <c r="F2449" t="str" cm="1">
        <f t="array" ref="F2449">IF(LineærRegression_Valg[[#This Row],[Indenfor range]],INDEX(DataTitel_liste,LineærRegression_Valg[[#This Row],[Afhængig variabel ID]]),INDEX(DataTitel_liste,1))</f>
        <v>Eksempel 1 (interval)</v>
      </c>
      <c r="G2449" s="171" t="str" cm="1">
        <f t="array" ref="G2449">IF(LineærRegression_Valg[[#This Row],[Indenfor range]],IF(LineærRegression_Valg[[#This Row],[Intet overlap]],INDEX(DataTitel_liste,LineærRegression_Valg[[#This Row],[Uafhængig variabel ID]]),INDEX(DataTitel_liste,IF(LineærRegression_Valg[[#This Row],[Afhængig variabel ID]]=1,2,1))),$B$7)</f>
        <v>Eksempel 2 (interval)</v>
      </c>
      <c r="H2449" s="171">
        <f>_xlfn.AGGREGATE(2,5,LineærRegression_Valg[[#This Row],[Tabel ID]])</f>
        <v>1</v>
      </c>
    </row>
    <row r="2450" spans="1:8" x14ac:dyDescent="0.2">
      <c r="A2450">
        <f>ROW(LineærRegression_Valg[[#This Row],[Tabel ID]])-ROW(LineærRegression_Valg[[#Headers],[Tabel ID]])</f>
        <v>2440</v>
      </c>
      <c r="B2450" s="171">
        <f>ROUNDDOWN((LineærRegression_Valg[[#This Row],[Tabel ID]]-1)/$B$5,0)+1</f>
        <v>610</v>
      </c>
      <c r="C2450" s="171">
        <f t="shared" si="38"/>
        <v>4</v>
      </c>
      <c r="D2450" s="171" t="b">
        <f>LineærRegression_Valg[[#This Row],[Afhængig variabel ID]]&lt;&gt;LineærRegression_Valg[[#This Row],[Uafhængig variabel ID]]</f>
        <v>1</v>
      </c>
      <c r="E2450" s="171" t="b">
        <f>LineærRegression_Valg[[#This Row],[Afhængig variabel ID]]&lt;=$B$5</f>
        <v>0</v>
      </c>
      <c r="F2450" t="str" cm="1">
        <f t="array" ref="F2450">IF(LineærRegression_Valg[[#This Row],[Indenfor range]],INDEX(DataTitel_liste,LineærRegression_Valg[[#This Row],[Afhængig variabel ID]]),INDEX(DataTitel_liste,1))</f>
        <v>Eksempel 1 (interval)</v>
      </c>
      <c r="G2450" s="171" t="str" cm="1">
        <f t="array" ref="G2450">IF(LineærRegression_Valg[[#This Row],[Indenfor range]],IF(LineærRegression_Valg[[#This Row],[Intet overlap]],INDEX(DataTitel_liste,LineærRegression_Valg[[#This Row],[Uafhængig variabel ID]]),INDEX(DataTitel_liste,IF(LineærRegression_Valg[[#This Row],[Afhængig variabel ID]]=1,2,1))),$B$7)</f>
        <v>Eksempel 2 (interval)</v>
      </c>
      <c r="H2450" s="171">
        <f>_xlfn.AGGREGATE(2,5,LineærRegression_Valg[[#This Row],[Tabel ID]])</f>
        <v>1</v>
      </c>
    </row>
    <row r="2451" spans="1:8" x14ac:dyDescent="0.2">
      <c r="A2451">
        <f>ROW(LineærRegression_Valg[[#This Row],[Tabel ID]])-ROW(LineærRegression_Valg[[#Headers],[Tabel ID]])</f>
        <v>2441</v>
      </c>
      <c r="B2451" s="171">
        <f>ROUNDDOWN((LineærRegression_Valg[[#This Row],[Tabel ID]]-1)/$B$5,0)+1</f>
        <v>611</v>
      </c>
      <c r="C2451" s="171">
        <f t="shared" si="38"/>
        <v>1</v>
      </c>
      <c r="D2451" s="171" t="b">
        <f>LineærRegression_Valg[[#This Row],[Afhængig variabel ID]]&lt;&gt;LineærRegression_Valg[[#This Row],[Uafhængig variabel ID]]</f>
        <v>1</v>
      </c>
      <c r="E2451" s="171" t="b">
        <f>LineærRegression_Valg[[#This Row],[Afhængig variabel ID]]&lt;=$B$5</f>
        <v>0</v>
      </c>
      <c r="F2451" t="str" cm="1">
        <f t="array" ref="F2451">IF(LineærRegression_Valg[[#This Row],[Indenfor range]],INDEX(DataTitel_liste,LineærRegression_Valg[[#This Row],[Afhængig variabel ID]]),INDEX(DataTitel_liste,1))</f>
        <v>Eksempel 1 (interval)</v>
      </c>
      <c r="G2451" s="171" t="str" cm="1">
        <f t="array" ref="G2451">IF(LineærRegression_Valg[[#This Row],[Indenfor range]],IF(LineærRegression_Valg[[#This Row],[Intet overlap]],INDEX(DataTitel_liste,LineærRegression_Valg[[#This Row],[Uafhængig variabel ID]]),INDEX(DataTitel_liste,IF(LineærRegression_Valg[[#This Row],[Afhængig variabel ID]]=1,2,1))),$B$7)</f>
        <v>Eksempel 2 (interval)</v>
      </c>
      <c r="H2451" s="171">
        <f>_xlfn.AGGREGATE(2,5,LineærRegression_Valg[[#This Row],[Tabel ID]])</f>
        <v>1</v>
      </c>
    </row>
    <row r="2452" spans="1:8" x14ac:dyDescent="0.2">
      <c r="A2452">
        <f>ROW(LineærRegression_Valg[[#This Row],[Tabel ID]])-ROW(LineærRegression_Valg[[#Headers],[Tabel ID]])</f>
        <v>2442</v>
      </c>
      <c r="B2452" s="171">
        <f>ROUNDDOWN((LineærRegression_Valg[[#This Row],[Tabel ID]]-1)/$B$5,0)+1</f>
        <v>611</v>
      </c>
      <c r="C2452" s="171">
        <f t="shared" si="38"/>
        <v>2</v>
      </c>
      <c r="D2452" s="171" t="b">
        <f>LineærRegression_Valg[[#This Row],[Afhængig variabel ID]]&lt;&gt;LineærRegression_Valg[[#This Row],[Uafhængig variabel ID]]</f>
        <v>1</v>
      </c>
      <c r="E2452" s="171" t="b">
        <f>LineærRegression_Valg[[#This Row],[Afhængig variabel ID]]&lt;=$B$5</f>
        <v>0</v>
      </c>
      <c r="F2452" t="str" cm="1">
        <f t="array" ref="F2452">IF(LineærRegression_Valg[[#This Row],[Indenfor range]],INDEX(DataTitel_liste,LineærRegression_Valg[[#This Row],[Afhængig variabel ID]]),INDEX(DataTitel_liste,1))</f>
        <v>Eksempel 1 (interval)</v>
      </c>
      <c r="G2452" s="171" t="str" cm="1">
        <f t="array" ref="G2452">IF(LineærRegression_Valg[[#This Row],[Indenfor range]],IF(LineærRegression_Valg[[#This Row],[Intet overlap]],INDEX(DataTitel_liste,LineærRegression_Valg[[#This Row],[Uafhængig variabel ID]]),INDEX(DataTitel_liste,IF(LineærRegression_Valg[[#This Row],[Afhængig variabel ID]]=1,2,1))),$B$7)</f>
        <v>Eksempel 2 (interval)</v>
      </c>
      <c r="H2452" s="171">
        <f>_xlfn.AGGREGATE(2,5,LineærRegression_Valg[[#This Row],[Tabel ID]])</f>
        <v>1</v>
      </c>
    </row>
    <row r="2453" spans="1:8" x14ac:dyDescent="0.2">
      <c r="A2453">
        <f>ROW(LineærRegression_Valg[[#This Row],[Tabel ID]])-ROW(LineærRegression_Valg[[#Headers],[Tabel ID]])</f>
        <v>2443</v>
      </c>
      <c r="B2453" s="171">
        <f>ROUNDDOWN((LineærRegression_Valg[[#This Row],[Tabel ID]]-1)/$B$5,0)+1</f>
        <v>611</v>
      </c>
      <c r="C2453" s="171">
        <f t="shared" si="38"/>
        <v>3</v>
      </c>
      <c r="D2453" s="171" t="b">
        <f>LineærRegression_Valg[[#This Row],[Afhængig variabel ID]]&lt;&gt;LineærRegression_Valg[[#This Row],[Uafhængig variabel ID]]</f>
        <v>1</v>
      </c>
      <c r="E2453" s="171" t="b">
        <f>LineærRegression_Valg[[#This Row],[Afhængig variabel ID]]&lt;=$B$5</f>
        <v>0</v>
      </c>
      <c r="F2453" t="str" cm="1">
        <f t="array" ref="F2453">IF(LineærRegression_Valg[[#This Row],[Indenfor range]],INDEX(DataTitel_liste,LineærRegression_Valg[[#This Row],[Afhængig variabel ID]]),INDEX(DataTitel_liste,1))</f>
        <v>Eksempel 1 (interval)</v>
      </c>
      <c r="G2453" s="171" t="str" cm="1">
        <f t="array" ref="G2453">IF(LineærRegression_Valg[[#This Row],[Indenfor range]],IF(LineærRegression_Valg[[#This Row],[Intet overlap]],INDEX(DataTitel_liste,LineærRegression_Valg[[#This Row],[Uafhængig variabel ID]]),INDEX(DataTitel_liste,IF(LineærRegression_Valg[[#This Row],[Afhængig variabel ID]]=1,2,1))),$B$7)</f>
        <v>Eksempel 2 (interval)</v>
      </c>
      <c r="H2453" s="171">
        <f>_xlfn.AGGREGATE(2,5,LineærRegression_Valg[[#This Row],[Tabel ID]])</f>
        <v>1</v>
      </c>
    </row>
    <row r="2454" spans="1:8" x14ac:dyDescent="0.2">
      <c r="A2454">
        <f>ROW(LineærRegression_Valg[[#This Row],[Tabel ID]])-ROW(LineærRegression_Valg[[#Headers],[Tabel ID]])</f>
        <v>2444</v>
      </c>
      <c r="B2454" s="171">
        <f>ROUNDDOWN((LineærRegression_Valg[[#This Row],[Tabel ID]]-1)/$B$5,0)+1</f>
        <v>611</v>
      </c>
      <c r="C2454" s="171">
        <f t="shared" si="38"/>
        <v>4</v>
      </c>
      <c r="D2454" s="171" t="b">
        <f>LineærRegression_Valg[[#This Row],[Afhængig variabel ID]]&lt;&gt;LineærRegression_Valg[[#This Row],[Uafhængig variabel ID]]</f>
        <v>1</v>
      </c>
      <c r="E2454" s="171" t="b">
        <f>LineærRegression_Valg[[#This Row],[Afhængig variabel ID]]&lt;=$B$5</f>
        <v>0</v>
      </c>
      <c r="F2454" t="str" cm="1">
        <f t="array" ref="F2454">IF(LineærRegression_Valg[[#This Row],[Indenfor range]],INDEX(DataTitel_liste,LineærRegression_Valg[[#This Row],[Afhængig variabel ID]]),INDEX(DataTitel_liste,1))</f>
        <v>Eksempel 1 (interval)</v>
      </c>
      <c r="G2454" s="171" t="str" cm="1">
        <f t="array" ref="G2454">IF(LineærRegression_Valg[[#This Row],[Indenfor range]],IF(LineærRegression_Valg[[#This Row],[Intet overlap]],INDEX(DataTitel_liste,LineærRegression_Valg[[#This Row],[Uafhængig variabel ID]]),INDEX(DataTitel_liste,IF(LineærRegression_Valg[[#This Row],[Afhængig variabel ID]]=1,2,1))),$B$7)</f>
        <v>Eksempel 2 (interval)</v>
      </c>
      <c r="H2454" s="171">
        <f>_xlfn.AGGREGATE(2,5,LineærRegression_Valg[[#This Row],[Tabel ID]])</f>
        <v>1</v>
      </c>
    </row>
    <row r="2455" spans="1:8" x14ac:dyDescent="0.2">
      <c r="A2455">
        <f>ROW(LineærRegression_Valg[[#This Row],[Tabel ID]])-ROW(LineærRegression_Valg[[#Headers],[Tabel ID]])</f>
        <v>2445</v>
      </c>
      <c r="B2455" s="171">
        <f>ROUNDDOWN((LineærRegression_Valg[[#This Row],[Tabel ID]]-1)/$B$5,0)+1</f>
        <v>612</v>
      </c>
      <c r="C2455" s="171">
        <f t="shared" si="38"/>
        <v>1</v>
      </c>
      <c r="D2455" s="171" t="b">
        <f>LineærRegression_Valg[[#This Row],[Afhængig variabel ID]]&lt;&gt;LineærRegression_Valg[[#This Row],[Uafhængig variabel ID]]</f>
        <v>1</v>
      </c>
      <c r="E2455" s="171" t="b">
        <f>LineærRegression_Valg[[#This Row],[Afhængig variabel ID]]&lt;=$B$5</f>
        <v>0</v>
      </c>
      <c r="F2455" t="str" cm="1">
        <f t="array" ref="F2455">IF(LineærRegression_Valg[[#This Row],[Indenfor range]],INDEX(DataTitel_liste,LineærRegression_Valg[[#This Row],[Afhængig variabel ID]]),INDEX(DataTitel_liste,1))</f>
        <v>Eksempel 1 (interval)</v>
      </c>
      <c r="G2455" s="171" t="str" cm="1">
        <f t="array" ref="G2455">IF(LineærRegression_Valg[[#This Row],[Indenfor range]],IF(LineærRegression_Valg[[#This Row],[Intet overlap]],INDEX(DataTitel_liste,LineærRegression_Valg[[#This Row],[Uafhængig variabel ID]]),INDEX(DataTitel_liste,IF(LineærRegression_Valg[[#This Row],[Afhængig variabel ID]]=1,2,1))),$B$7)</f>
        <v>Eksempel 2 (interval)</v>
      </c>
      <c r="H2455" s="171">
        <f>_xlfn.AGGREGATE(2,5,LineærRegression_Valg[[#This Row],[Tabel ID]])</f>
        <v>1</v>
      </c>
    </row>
    <row r="2456" spans="1:8" x14ac:dyDescent="0.2">
      <c r="A2456">
        <f>ROW(LineærRegression_Valg[[#This Row],[Tabel ID]])-ROW(LineærRegression_Valg[[#Headers],[Tabel ID]])</f>
        <v>2446</v>
      </c>
      <c r="B2456" s="171">
        <f>ROUNDDOWN((LineærRegression_Valg[[#This Row],[Tabel ID]]-1)/$B$5,0)+1</f>
        <v>612</v>
      </c>
      <c r="C2456" s="171">
        <f t="shared" si="38"/>
        <v>2</v>
      </c>
      <c r="D2456" s="171" t="b">
        <f>LineærRegression_Valg[[#This Row],[Afhængig variabel ID]]&lt;&gt;LineærRegression_Valg[[#This Row],[Uafhængig variabel ID]]</f>
        <v>1</v>
      </c>
      <c r="E2456" s="171" t="b">
        <f>LineærRegression_Valg[[#This Row],[Afhængig variabel ID]]&lt;=$B$5</f>
        <v>0</v>
      </c>
      <c r="F2456" t="str" cm="1">
        <f t="array" ref="F2456">IF(LineærRegression_Valg[[#This Row],[Indenfor range]],INDEX(DataTitel_liste,LineærRegression_Valg[[#This Row],[Afhængig variabel ID]]),INDEX(DataTitel_liste,1))</f>
        <v>Eksempel 1 (interval)</v>
      </c>
      <c r="G2456" s="171" t="str" cm="1">
        <f t="array" ref="G2456">IF(LineærRegression_Valg[[#This Row],[Indenfor range]],IF(LineærRegression_Valg[[#This Row],[Intet overlap]],INDEX(DataTitel_liste,LineærRegression_Valg[[#This Row],[Uafhængig variabel ID]]),INDEX(DataTitel_liste,IF(LineærRegression_Valg[[#This Row],[Afhængig variabel ID]]=1,2,1))),$B$7)</f>
        <v>Eksempel 2 (interval)</v>
      </c>
      <c r="H2456" s="171">
        <f>_xlfn.AGGREGATE(2,5,LineærRegression_Valg[[#This Row],[Tabel ID]])</f>
        <v>1</v>
      </c>
    </row>
    <row r="2457" spans="1:8" x14ac:dyDescent="0.2">
      <c r="A2457">
        <f>ROW(LineærRegression_Valg[[#This Row],[Tabel ID]])-ROW(LineærRegression_Valg[[#Headers],[Tabel ID]])</f>
        <v>2447</v>
      </c>
      <c r="B2457" s="171">
        <f>ROUNDDOWN((LineærRegression_Valg[[#This Row],[Tabel ID]]-1)/$B$5,0)+1</f>
        <v>612</v>
      </c>
      <c r="C2457" s="171">
        <f t="shared" si="38"/>
        <v>3</v>
      </c>
      <c r="D2457" s="171" t="b">
        <f>LineærRegression_Valg[[#This Row],[Afhængig variabel ID]]&lt;&gt;LineærRegression_Valg[[#This Row],[Uafhængig variabel ID]]</f>
        <v>1</v>
      </c>
      <c r="E2457" s="171" t="b">
        <f>LineærRegression_Valg[[#This Row],[Afhængig variabel ID]]&lt;=$B$5</f>
        <v>0</v>
      </c>
      <c r="F2457" t="str" cm="1">
        <f t="array" ref="F2457">IF(LineærRegression_Valg[[#This Row],[Indenfor range]],INDEX(DataTitel_liste,LineærRegression_Valg[[#This Row],[Afhængig variabel ID]]),INDEX(DataTitel_liste,1))</f>
        <v>Eksempel 1 (interval)</v>
      </c>
      <c r="G2457" s="171" t="str" cm="1">
        <f t="array" ref="G2457">IF(LineærRegression_Valg[[#This Row],[Indenfor range]],IF(LineærRegression_Valg[[#This Row],[Intet overlap]],INDEX(DataTitel_liste,LineærRegression_Valg[[#This Row],[Uafhængig variabel ID]]),INDEX(DataTitel_liste,IF(LineærRegression_Valg[[#This Row],[Afhængig variabel ID]]=1,2,1))),$B$7)</f>
        <v>Eksempel 2 (interval)</v>
      </c>
      <c r="H2457" s="171">
        <f>_xlfn.AGGREGATE(2,5,LineærRegression_Valg[[#This Row],[Tabel ID]])</f>
        <v>1</v>
      </c>
    </row>
    <row r="2458" spans="1:8" x14ac:dyDescent="0.2">
      <c r="A2458">
        <f>ROW(LineærRegression_Valg[[#This Row],[Tabel ID]])-ROW(LineærRegression_Valg[[#Headers],[Tabel ID]])</f>
        <v>2448</v>
      </c>
      <c r="B2458" s="171">
        <f>ROUNDDOWN((LineærRegression_Valg[[#This Row],[Tabel ID]]-1)/$B$5,0)+1</f>
        <v>612</v>
      </c>
      <c r="C2458" s="171">
        <f t="shared" si="38"/>
        <v>4</v>
      </c>
      <c r="D2458" s="171" t="b">
        <f>LineærRegression_Valg[[#This Row],[Afhængig variabel ID]]&lt;&gt;LineærRegression_Valg[[#This Row],[Uafhængig variabel ID]]</f>
        <v>1</v>
      </c>
      <c r="E2458" s="171" t="b">
        <f>LineærRegression_Valg[[#This Row],[Afhængig variabel ID]]&lt;=$B$5</f>
        <v>0</v>
      </c>
      <c r="F2458" t="str" cm="1">
        <f t="array" ref="F2458">IF(LineærRegression_Valg[[#This Row],[Indenfor range]],INDEX(DataTitel_liste,LineærRegression_Valg[[#This Row],[Afhængig variabel ID]]),INDEX(DataTitel_liste,1))</f>
        <v>Eksempel 1 (interval)</v>
      </c>
      <c r="G2458" s="171" t="str" cm="1">
        <f t="array" ref="G2458">IF(LineærRegression_Valg[[#This Row],[Indenfor range]],IF(LineærRegression_Valg[[#This Row],[Intet overlap]],INDEX(DataTitel_liste,LineærRegression_Valg[[#This Row],[Uafhængig variabel ID]]),INDEX(DataTitel_liste,IF(LineærRegression_Valg[[#This Row],[Afhængig variabel ID]]=1,2,1))),$B$7)</f>
        <v>Eksempel 2 (interval)</v>
      </c>
      <c r="H2458" s="171">
        <f>_xlfn.AGGREGATE(2,5,LineærRegression_Valg[[#This Row],[Tabel ID]])</f>
        <v>1</v>
      </c>
    </row>
    <row r="2459" spans="1:8" x14ac:dyDescent="0.2">
      <c r="A2459">
        <f>ROW(LineærRegression_Valg[[#This Row],[Tabel ID]])-ROW(LineærRegression_Valg[[#Headers],[Tabel ID]])</f>
        <v>2449</v>
      </c>
      <c r="B2459" s="171">
        <f>ROUNDDOWN((LineærRegression_Valg[[#This Row],[Tabel ID]]-1)/$B$5,0)+1</f>
        <v>613</v>
      </c>
      <c r="C2459" s="171">
        <f t="shared" si="38"/>
        <v>1</v>
      </c>
      <c r="D2459" s="171" t="b">
        <f>LineærRegression_Valg[[#This Row],[Afhængig variabel ID]]&lt;&gt;LineærRegression_Valg[[#This Row],[Uafhængig variabel ID]]</f>
        <v>1</v>
      </c>
      <c r="E2459" s="171" t="b">
        <f>LineærRegression_Valg[[#This Row],[Afhængig variabel ID]]&lt;=$B$5</f>
        <v>0</v>
      </c>
      <c r="F2459" t="str" cm="1">
        <f t="array" ref="F2459">IF(LineærRegression_Valg[[#This Row],[Indenfor range]],INDEX(DataTitel_liste,LineærRegression_Valg[[#This Row],[Afhængig variabel ID]]),INDEX(DataTitel_liste,1))</f>
        <v>Eksempel 1 (interval)</v>
      </c>
      <c r="G2459" s="171" t="str" cm="1">
        <f t="array" ref="G2459">IF(LineærRegression_Valg[[#This Row],[Indenfor range]],IF(LineærRegression_Valg[[#This Row],[Intet overlap]],INDEX(DataTitel_liste,LineærRegression_Valg[[#This Row],[Uafhængig variabel ID]]),INDEX(DataTitel_liste,IF(LineærRegression_Valg[[#This Row],[Afhængig variabel ID]]=1,2,1))),$B$7)</f>
        <v>Eksempel 2 (interval)</v>
      </c>
      <c r="H2459" s="171">
        <f>_xlfn.AGGREGATE(2,5,LineærRegression_Valg[[#This Row],[Tabel ID]])</f>
        <v>1</v>
      </c>
    </row>
    <row r="2460" spans="1:8" x14ac:dyDescent="0.2">
      <c r="A2460">
        <f>ROW(LineærRegression_Valg[[#This Row],[Tabel ID]])-ROW(LineærRegression_Valg[[#Headers],[Tabel ID]])</f>
        <v>2450</v>
      </c>
      <c r="B2460" s="171">
        <f>ROUNDDOWN((LineærRegression_Valg[[#This Row],[Tabel ID]]-1)/$B$5,0)+1</f>
        <v>613</v>
      </c>
      <c r="C2460" s="171">
        <f t="shared" si="38"/>
        <v>2</v>
      </c>
      <c r="D2460" s="171" t="b">
        <f>LineærRegression_Valg[[#This Row],[Afhængig variabel ID]]&lt;&gt;LineærRegression_Valg[[#This Row],[Uafhængig variabel ID]]</f>
        <v>1</v>
      </c>
      <c r="E2460" s="171" t="b">
        <f>LineærRegression_Valg[[#This Row],[Afhængig variabel ID]]&lt;=$B$5</f>
        <v>0</v>
      </c>
      <c r="F2460" t="str" cm="1">
        <f t="array" ref="F2460">IF(LineærRegression_Valg[[#This Row],[Indenfor range]],INDEX(DataTitel_liste,LineærRegression_Valg[[#This Row],[Afhængig variabel ID]]),INDEX(DataTitel_liste,1))</f>
        <v>Eksempel 1 (interval)</v>
      </c>
      <c r="G2460" s="171" t="str" cm="1">
        <f t="array" ref="G2460">IF(LineærRegression_Valg[[#This Row],[Indenfor range]],IF(LineærRegression_Valg[[#This Row],[Intet overlap]],INDEX(DataTitel_liste,LineærRegression_Valg[[#This Row],[Uafhængig variabel ID]]),INDEX(DataTitel_liste,IF(LineærRegression_Valg[[#This Row],[Afhængig variabel ID]]=1,2,1))),$B$7)</f>
        <v>Eksempel 2 (interval)</v>
      </c>
      <c r="H2460" s="171">
        <f>_xlfn.AGGREGATE(2,5,LineærRegression_Valg[[#This Row],[Tabel ID]])</f>
        <v>1</v>
      </c>
    </row>
    <row r="2461" spans="1:8" x14ac:dyDescent="0.2">
      <c r="A2461">
        <f>ROW(LineærRegression_Valg[[#This Row],[Tabel ID]])-ROW(LineærRegression_Valg[[#Headers],[Tabel ID]])</f>
        <v>2451</v>
      </c>
      <c r="B2461" s="171">
        <f>ROUNDDOWN((LineærRegression_Valg[[#This Row],[Tabel ID]]-1)/$B$5,0)+1</f>
        <v>613</v>
      </c>
      <c r="C2461" s="171">
        <f t="shared" si="38"/>
        <v>3</v>
      </c>
      <c r="D2461" s="171" t="b">
        <f>LineærRegression_Valg[[#This Row],[Afhængig variabel ID]]&lt;&gt;LineærRegression_Valg[[#This Row],[Uafhængig variabel ID]]</f>
        <v>1</v>
      </c>
      <c r="E2461" s="171" t="b">
        <f>LineærRegression_Valg[[#This Row],[Afhængig variabel ID]]&lt;=$B$5</f>
        <v>0</v>
      </c>
      <c r="F2461" t="str" cm="1">
        <f t="array" ref="F2461">IF(LineærRegression_Valg[[#This Row],[Indenfor range]],INDEX(DataTitel_liste,LineærRegression_Valg[[#This Row],[Afhængig variabel ID]]),INDEX(DataTitel_liste,1))</f>
        <v>Eksempel 1 (interval)</v>
      </c>
      <c r="G2461" s="171" t="str" cm="1">
        <f t="array" ref="G2461">IF(LineærRegression_Valg[[#This Row],[Indenfor range]],IF(LineærRegression_Valg[[#This Row],[Intet overlap]],INDEX(DataTitel_liste,LineærRegression_Valg[[#This Row],[Uafhængig variabel ID]]),INDEX(DataTitel_liste,IF(LineærRegression_Valg[[#This Row],[Afhængig variabel ID]]=1,2,1))),$B$7)</f>
        <v>Eksempel 2 (interval)</v>
      </c>
      <c r="H2461" s="171">
        <f>_xlfn.AGGREGATE(2,5,LineærRegression_Valg[[#This Row],[Tabel ID]])</f>
        <v>1</v>
      </c>
    </row>
    <row r="2462" spans="1:8" x14ac:dyDescent="0.2">
      <c r="A2462">
        <f>ROW(LineærRegression_Valg[[#This Row],[Tabel ID]])-ROW(LineærRegression_Valg[[#Headers],[Tabel ID]])</f>
        <v>2452</v>
      </c>
      <c r="B2462" s="171">
        <f>ROUNDDOWN((LineærRegression_Valg[[#This Row],[Tabel ID]]-1)/$B$5,0)+1</f>
        <v>613</v>
      </c>
      <c r="C2462" s="171">
        <f t="shared" si="38"/>
        <v>4</v>
      </c>
      <c r="D2462" s="171" t="b">
        <f>LineærRegression_Valg[[#This Row],[Afhængig variabel ID]]&lt;&gt;LineærRegression_Valg[[#This Row],[Uafhængig variabel ID]]</f>
        <v>1</v>
      </c>
      <c r="E2462" s="171" t="b">
        <f>LineærRegression_Valg[[#This Row],[Afhængig variabel ID]]&lt;=$B$5</f>
        <v>0</v>
      </c>
      <c r="F2462" t="str" cm="1">
        <f t="array" ref="F2462">IF(LineærRegression_Valg[[#This Row],[Indenfor range]],INDEX(DataTitel_liste,LineærRegression_Valg[[#This Row],[Afhængig variabel ID]]),INDEX(DataTitel_liste,1))</f>
        <v>Eksempel 1 (interval)</v>
      </c>
      <c r="G2462" s="171" t="str" cm="1">
        <f t="array" ref="G2462">IF(LineærRegression_Valg[[#This Row],[Indenfor range]],IF(LineærRegression_Valg[[#This Row],[Intet overlap]],INDEX(DataTitel_liste,LineærRegression_Valg[[#This Row],[Uafhængig variabel ID]]),INDEX(DataTitel_liste,IF(LineærRegression_Valg[[#This Row],[Afhængig variabel ID]]=1,2,1))),$B$7)</f>
        <v>Eksempel 2 (interval)</v>
      </c>
      <c r="H2462" s="171">
        <f>_xlfn.AGGREGATE(2,5,LineærRegression_Valg[[#This Row],[Tabel ID]])</f>
        <v>1</v>
      </c>
    </row>
    <row r="2463" spans="1:8" x14ac:dyDescent="0.2">
      <c r="A2463">
        <f>ROW(LineærRegression_Valg[[#This Row],[Tabel ID]])-ROW(LineærRegression_Valg[[#Headers],[Tabel ID]])</f>
        <v>2453</v>
      </c>
      <c r="B2463" s="171">
        <f>ROUNDDOWN((LineærRegression_Valg[[#This Row],[Tabel ID]]-1)/$B$5,0)+1</f>
        <v>614</v>
      </c>
      <c r="C2463" s="171">
        <f t="shared" si="38"/>
        <v>1</v>
      </c>
      <c r="D2463" s="171" t="b">
        <f>LineærRegression_Valg[[#This Row],[Afhængig variabel ID]]&lt;&gt;LineærRegression_Valg[[#This Row],[Uafhængig variabel ID]]</f>
        <v>1</v>
      </c>
      <c r="E2463" s="171" t="b">
        <f>LineærRegression_Valg[[#This Row],[Afhængig variabel ID]]&lt;=$B$5</f>
        <v>0</v>
      </c>
      <c r="F2463" t="str" cm="1">
        <f t="array" ref="F2463">IF(LineærRegression_Valg[[#This Row],[Indenfor range]],INDEX(DataTitel_liste,LineærRegression_Valg[[#This Row],[Afhængig variabel ID]]),INDEX(DataTitel_liste,1))</f>
        <v>Eksempel 1 (interval)</v>
      </c>
      <c r="G2463" s="171" t="str" cm="1">
        <f t="array" ref="G2463">IF(LineærRegression_Valg[[#This Row],[Indenfor range]],IF(LineærRegression_Valg[[#This Row],[Intet overlap]],INDEX(DataTitel_liste,LineærRegression_Valg[[#This Row],[Uafhængig variabel ID]]),INDEX(DataTitel_liste,IF(LineærRegression_Valg[[#This Row],[Afhængig variabel ID]]=1,2,1))),$B$7)</f>
        <v>Eksempel 2 (interval)</v>
      </c>
      <c r="H2463" s="171">
        <f>_xlfn.AGGREGATE(2,5,LineærRegression_Valg[[#This Row],[Tabel ID]])</f>
        <v>1</v>
      </c>
    </row>
    <row r="2464" spans="1:8" x14ac:dyDescent="0.2">
      <c r="A2464">
        <f>ROW(LineærRegression_Valg[[#This Row],[Tabel ID]])-ROW(LineærRegression_Valg[[#Headers],[Tabel ID]])</f>
        <v>2454</v>
      </c>
      <c r="B2464" s="171">
        <f>ROUNDDOWN((LineærRegression_Valg[[#This Row],[Tabel ID]]-1)/$B$5,0)+1</f>
        <v>614</v>
      </c>
      <c r="C2464" s="171">
        <f t="shared" si="38"/>
        <v>2</v>
      </c>
      <c r="D2464" s="171" t="b">
        <f>LineærRegression_Valg[[#This Row],[Afhængig variabel ID]]&lt;&gt;LineærRegression_Valg[[#This Row],[Uafhængig variabel ID]]</f>
        <v>1</v>
      </c>
      <c r="E2464" s="171" t="b">
        <f>LineærRegression_Valg[[#This Row],[Afhængig variabel ID]]&lt;=$B$5</f>
        <v>0</v>
      </c>
      <c r="F2464" t="str" cm="1">
        <f t="array" ref="F2464">IF(LineærRegression_Valg[[#This Row],[Indenfor range]],INDEX(DataTitel_liste,LineærRegression_Valg[[#This Row],[Afhængig variabel ID]]),INDEX(DataTitel_liste,1))</f>
        <v>Eksempel 1 (interval)</v>
      </c>
      <c r="G2464" s="171" t="str" cm="1">
        <f t="array" ref="G2464">IF(LineærRegression_Valg[[#This Row],[Indenfor range]],IF(LineærRegression_Valg[[#This Row],[Intet overlap]],INDEX(DataTitel_liste,LineærRegression_Valg[[#This Row],[Uafhængig variabel ID]]),INDEX(DataTitel_liste,IF(LineærRegression_Valg[[#This Row],[Afhængig variabel ID]]=1,2,1))),$B$7)</f>
        <v>Eksempel 2 (interval)</v>
      </c>
      <c r="H2464" s="171">
        <f>_xlfn.AGGREGATE(2,5,LineærRegression_Valg[[#This Row],[Tabel ID]])</f>
        <v>1</v>
      </c>
    </row>
    <row r="2465" spans="1:8" x14ac:dyDescent="0.2">
      <c r="A2465">
        <f>ROW(LineærRegression_Valg[[#This Row],[Tabel ID]])-ROW(LineærRegression_Valg[[#Headers],[Tabel ID]])</f>
        <v>2455</v>
      </c>
      <c r="B2465" s="171">
        <f>ROUNDDOWN((LineærRegression_Valg[[#This Row],[Tabel ID]]-1)/$B$5,0)+1</f>
        <v>614</v>
      </c>
      <c r="C2465" s="171">
        <f t="shared" si="38"/>
        <v>3</v>
      </c>
      <c r="D2465" s="171" t="b">
        <f>LineærRegression_Valg[[#This Row],[Afhængig variabel ID]]&lt;&gt;LineærRegression_Valg[[#This Row],[Uafhængig variabel ID]]</f>
        <v>1</v>
      </c>
      <c r="E2465" s="171" t="b">
        <f>LineærRegression_Valg[[#This Row],[Afhængig variabel ID]]&lt;=$B$5</f>
        <v>0</v>
      </c>
      <c r="F2465" t="str" cm="1">
        <f t="array" ref="F2465">IF(LineærRegression_Valg[[#This Row],[Indenfor range]],INDEX(DataTitel_liste,LineærRegression_Valg[[#This Row],[Afhængig variabel ID]]),INDEX(DataTitel_liste,1))</f>
        <v>Eksempel 1 (interval)</v>
      </c>
      <c r="G2465" s="171" t="str" cm="1">
        <f t="array" ref="G2465">IF(LineærRegression_Valg[[#This Row],[Indenfor range]],IF(LineærRegression_Valg[[#This Row],[Intet overlap]],INDEX(DataTitel_liste,LineærRegression_Valg[[#This Row],[Uafhængig variabel ID]]),INDEX(DataTitel_liste,IF(LineærRegression_Valg[[#This Row],[Afhængig variabel ID]]=1,2,1))),$B$7)</f>
        <v>Eksempel 2 (interval)</v>
      </c>
      <c r="H2465" s="171">
        <f>_xlfn.AGGREGATE(2,5,LineærRegression_Valg[[#This Row],[Tabel ID]])</f>
        <v>1</v>
      </c>
    </row>
    <row r="2466" spans="1:8" x14ac:dyDescent="0.2">
      <c r="A2466">
        <f>ROW(LineærRegression_Valg[[#This Row],[Tabel ID]])-ROW(LineærRegression_Valg[[#Headers],[Tabel ID]])</f>
        <v>2456</v>
      </c>
      <c r="B2466" s="171">
        <f>ROUNDDOWN((LineærRegression_Valg[[#This Row],[Tabel ID]]-1)/$B$5,0)+1</f>
        <v>614</v>
      </c>
      <c r="C2466" s="171">
        <f t="shared" si="38"/>
        <v>4</v>
      </c>
      <c r="D2466" s="171" t="b">
        <f>LineærRegression_Valg[[#This Row],[Afhængig variabel ID]]&lt;&gt;LineærRegression_Valg[[#This Row],[Uafhængig variabel ID]]</f>
        <v>1</v>
      </c>
      <c r="E2466" s="171" t="b">
        <f>LineærRegression_Valg[[#This Row],[Afhængig variabel ID]]&lt;=$B$5</f>
        <v>0</v>
      </c>
      <c r="F2466" t="str" cm="1">
        <f t="array" ref="F2466">IF(LineærRegression_Valg[[#This Row],[Indenfor range]],INDEX(DataTitel_liste,LineærRegression_Valg[[#This Row],[Afhængig variabel ID]]),INDEX(DataTitel_liste,1))</f>
        <v>Eksempel 1 (interval)</v>
      </c>
      <c r="G2466" s="171" t="str" cm="1">
        <f t="array" ref="G2466">IF(LineærRegression_Valg[[#This Row],[Indenfor range]],IF(LineærRegression_Valg[[#This Row],[Intet overlap]],INDEX(DataTitel_liste,LineærRegression_Valg[[#This Row],[Uafhængig variabel ID]]),INDEX(DataTitel_liste,IF(LineærRegression_Valg[[#This Row],[Afhængig variabel ID]]=1,2,1))),$B$7)</f>
        <v>Eksempel 2 (interval)</v>
      </c>
      <c r="H2466" s="171">
        <f>_xlfn.AGGREGATE(2,5,LineærRegression_Valg[[#This Row],[Tabel ID]])</f>
        <v>1</v>
      </c>
    </row>
    <row r="2467" spans="1:8" x14ac:dyDescent="0.2">
      <c r="A2467">
        <f>ROW(LineærRegression_Valg[[#This Row],[Tabel ID]])-ROW(LineærRegression_Valg[[#Headers],[Tabel ID]])</f>
        <v>2457</v>
      </c>
      <c r="B2467" s="171">
        <f>ROUNDDOWN((LineærRegression_Valg[[#This Row],[Tabel ID]]-1)/$B$5,0)+1</f>
        <v>615</v>
      </c>
      <c r="C2467" s="171">
        <f t="shared" si="38"/>
        <v>1</v>
      </c>
      <c r="D2467" s="171" t="b">
        <f>LineærRegression_Valg[[#This Row],[Afhængig variabel ID]]&lt;&gt;LineærRegression_Valg[[#This Row],[Uafhængig variabel ID]]</f>
        <v>1</v>
      </c>
      <c r="E2467" s="171" t="b">
        <f>LineærRegression_Valg[[#This Row],[Afhængig variabel ID]]&lt;=$B$5</f>
        <v>0</v>
      </c>
      <c r="F2467" t="str" cm="1">
        <f t="array" ref="F2467">IF(LineærRegression_Valg[[#This Row],[Indenfor range]],INDEX(DataTitel_liste,LineærRegression_Valg[[#This Row],[Afhængig variabel ID]]),INDEX(DataTitel_liste,1))</f>
        <v>Eksempel 1 (interval)</v>
      </c>
      <c r="G2467" s="171" t="str" cm="1">
        <f t="array" ref="G2467">IF(LineærRegression_Valg[[#This Row],[Indenfor range]],IF(LineærRegression_Valg[[#This Row],[Intet overlap]],INDEX(DataTitel_liste,LineærRegression_Valg[[#This Row],[Uafhængig variabel ID]]),INDEX(DataTitel_liste,IF(LineærRegression_Valg[[#This Row],[Afhængig variabel ID]]=1,2,1))),$B$7)</f>
        <v>Eksempel 2 (interval)</v>
      </c>
      <c r="H2467" s="171">
        <f>_xlfn.AGGREGATE(2,5,LineærRegression_Valg[[#This Row],[Tabel ID]])</f>
        <v>1</v>
      </c>
    </row>
    <row r="2468" spans="1:8" x14ac:dyDescent="0.2">
      <c r="A2468">
        <f>ROW(LineærRegression_Valg[[#This Row],[Tabel ID]])-ROW(LineærRegression_Valg[[#Headers],[Tabel ID]])</f>
        <v>2458</v>
      </c>
      <c r="B2468" s="171">
        <f>ROUNDDOWN((LineærRegression_Valg[[#This Row],[Tabel ID]]-1)/$B$5,0)+1</f>
        <v>615</v>
      </c>
      <c r="C2468" s="171">
        <f t="shared" si="38"/>
        <v>2</v>
      </c>
      <c r="D2468" s="171" t="b">
        <f>LineærRegression_Valg[[#This Row],[Afhængig variabel ID]]&lt;&gt;LineærRegression_Valg[[#This Row],[Uafhængig variabel ID]]</f>
        <v>1</v>
      </c>
      <c r="E2468" s="171" t="b">
        <f>LineærRegression_Valg[[#This Row],[Afhængig variabel ID]]&lt;=$B$5</f>
        <v>0</v>
      </c>
      <c r="F2468" t="str" cm="1">
        <f t="array" ref="F2468">IF(LineærRegression_Valg[[#This Row],[Indenfor range]],INDEX(DataTitel_liste,LineærRegression_Valg[[#This Row],[Afhængig variabel ID]]),INDEX(DataTitel_liste,1))</f>
        <v>Eksempel 1 (interval)</v>
      </c>
      <c r="G2468" s="171" t="str" cm="1">
        <f t="array" ref="G2468">IF(LineærRegression_Valg[[#This Row],[Indenfor range]],IF(LineærRegression_Valg[[#This Row],[Intet overlap]],INDEX(DataTitel_liste,LineærRegression_Valg[[#This Row],[Uafhængig variabel ID]]),INDEX(DataTitel_liste,IF(LineærRegression_Valg[[#This Row],[Afhængig variabel ID]]=1,2,1))),$B$7)</f>
        <v>Eksempel 2 (interval)</v>
      </c>
      <c r="H2468" s="171">
        <f>_xlfn.AGGREGATE(2,5,LineærRegression_Valg[[#This Row],[Tabel ID]])</f>
        <v>1</v>
      </c>
    </row>
    <row r="2469" spans="1:8" x14ac:dyDescent="0.2">
      <c r="A2469">
        <f>ROW(LineærRegression_Valg[[#This Row],[Tabel ID]])-ROW(LineærRegression_Valg[[#Headers],[Tabel ID]])</f>
        <v>2459</v>
      </c>
      <c r="B2469" s="171">
        <f>ROUNDDOWN((LineærRegression_Valg[[#This Row],[Tabel ID]]-1)/$B$5,0)+1</f>
        <v>615</v>
      </c>
      <c r="C2469" s="171">
        <f t="shared" si="38"/>
        <v>3</v>
      </c>
      <c r="D2469" s="171" t="b">
        <f>LineærRegression_Valg[[#This Row],[Afhængig variabel ID]]&lt;&gt;LineærRegression_Valg[[#This Row],[Uafhængig variabel ID]]</f>
        <v>1</v>
      </c>
      <c r="E2469" s="171" t="b">
        <f>LineærRegression_Valg[[#This Row],[Afhængig variabel ID]]&lt;=$B$5</f>
        <v>0</v>
      </c>
      <c r="F2469" t="str" cm="1">
        <f t="array" ref="F2469">IF(LineærRegression_Valg[[#This Row],[Indenfor range]],INDEX(DataTitel_liste,LineærRegression_Valg[[#This Row],[Afhængig variabel ID]]),INDEX(DataTitel_liste,1))</f>
        <v>Eksempel 1 (interval)</v>
      </c>
      <c r="G2469" s="171" t="str" cm="1">
        <f t="array" ref="G2469">IF(LineærRegression_Valg[[#This Row],[Indenfor range]],IF(LineærRegression_Valg[[#This Row],[Intet overlap]],INDEX(DataTitel_liste,LineærRegression_Valg[[#This Row],[Uafhængig variabel ID]]),INDEX(DataTitel_liste,IF(LineærRegression_Valg[[#This Row],[Afhængig variabel ID]]=1,2,1))),$B$7)</f>
        <v>Eksempel 2 (interval)</v>
      </c>
      <c r="H2469" s="171">
        <f>_xlfn.AGGREGATE(2,5,LineærRegression_Valg[[#This Row],[Tabel ID]])</f>
        <v>1</v>
      </c>
    </row>
    <row r="2470" spans="1:8" x14ac:dyDescent="0.2">
      <c r="A2470">
        <f>ROW(LineærRegression_Valg[[#This Row],[Tabel ID]])-ROW(LineærRegression_Valg[[#Headers],[Tabel ID]])</f>
        <v>2460</v>
      </c>
      <c r="B2470" s="171">
        <f>ROUNDDOWN((LineærRegression_Valg[[#This Row],[Tabel ID]]-1)/$B$5,0)+1</f>
        <v>615</v>
      </c>
      <c r="C2470" s="171">
        <f t="shared" si="38"/>
        <v>4</v>
      </c>
      <c r="D2470" s="171" t="b">
        <f>LineærRegression_Valg[[#This Row],[Afhængig variabel ID]]&lt;&gt;LineærRegression_Valg[[#This Row],[Uafhængig variabel ID]]</f>
        <v>1</v>
      </c>
      <c r="E2470" s="171" t="b">
        <f>LineærRegression_Valg[[#This Row],[Afhængig variabel ID]]&lt;=$B$5</f>
        <v>0</v>
      </c>
      <c r="F2470" t="str" cm="1">
        <f t="array" ref="F2470">IF(LineærRegression_Valg[[#This Row],[Indenfor range]],INDEX(DataTitel_liste,LineærRegression_Valg[[#This Row],[Afhængig variabel ID]]),INDEX(DataTitel_liste,1))</f>
        <v>Eksempel 1 (interval)</v>
      </c>
      <c r="G2470" s="171" t="str" cm="1">
        <f t="array" ref="G2470">IF(LineærRegression_Valg[[#This Row],[Indenfor range]],IF(LineærRegression_Valg[[#This Row],[Intet overlap]],INDEX(DataTitel_liste,LineærRegression_Valg[[#This Row],[Uafhængig variabel ID]]),INDEX(DataTitel_liste,IF(LineærRegression_Valg[[#This Row],[Afhængig variabel ID]]=1,2,1))),$B$7)</f>
        <v>Eksempel 2 (interval)</v>
      </c>
      <c r="H2470" s="171">
        <f>_xlfn.AGGREGATE(2,5,LineærRegression_Valg[[#This Row],[Tabel ID]])</f>
        <v>1</v>
      </c>
    </row>
    <row r="2471" spans="1:8" x14ac:dyDescent="0.2">
      <c r="A2471">
        <f>ROW(LineærRegression_Valg[[#This Row],[Tabel ID]])-ROW(LineærRegression_Valg[[#Headers],[Tabel ID]])</f>
        <v>2461</v>
      </c>
      <c r="B2471" s="171">
        <f>ROUNDDOWN((LineærRegression_Valg[[#This Row],[Tabel ID]]-1)/$B$5,0)+1</f>
        <v>616</v>
      </c>
      <c r="C2471" s="171">
        <f t="shared" si="38"/>
        <v>1</v>
      </c>
      <c r="D2471" s="171" t="b">
        <f>LineærRegression_Valg[[#This Row],[Afhængig variabel ID]]&lt;&gt;LineærRegression_Valg[[#This Row],[Uafhængig variabel ID]]</f>
        <v>1</v>
      </c>
      <c r="E2471" s="171" t="b">
        <f>LineærRegression_Valg[[#This Row],[Afhængig variabel ID]]&lt;=$B$5</f>
        <v>0</v>
      </c>
      <c r="F2471" t="str" cm="1">
        <f t="array" ref="F2471">IF(LineærRegression_Valg[[#This Row],[Indenfor range]],INDEX(DataTitel_liste,LineærRegression_Valg[[#This Row],[Afhængig variabel ID]]),INDEX(DataTitel_liste,1))</f>
        <v>Eksempel 1 (interval)</v>
      </c>
      <c r="G2471" s="171" t="str" cm="1">
        <f t="array" ref="G2471">IF(LineærRegression_Valg[[#This Row],[Indenfor range]],IF(LineærRegression_Valg[[#This Row],[Intet overlap]],INDEX(DataTitel_liste,LineærRegression_Valg[[#This Row],[Uafhængig variabel ID]]),INDEX(DataTitel_liste,IF(LineærRegression_Valg[[#This Row],[Afhængig variabel ID]]=1,2,1))),$B$7)</f>
        <v>Eksempel 2 (interval)</v>
      </c>
      <c r="H2471" s="171">
        <f>_xlfn.AGGREGATE(2,5,LineærRegression_Valg[[#This Row],[Tabel ID]])</f>
        <v>1</v>
      </c>
    </row>
    <row r="2472" spans="1:8" x14ac:dyDescent="0.2">
      <c r="A2472">
        <f>ROW(LineærRegression_Valg[[#This Row],[Tabel ID]])-ROW(LineærRegression_Valg[[#Headers],[Tabel ID]])</f>
        <v>2462</v>
      </c>
      <c r="B2472" s="171">
        <f>ROUNDDOWN((LineærRegression_Valg[[#This Row],[Tabel ID]]-1)/$B$5,0)+1</f>
        <v>616</v>
      </c>
      <c r="C2472" s="171">
        <f t="shared" si="38"/>
        <v>2</v>
      </c>
      <c r="D2472" s="171" t="b">
        <f>LineærRegression_Valg[[#This Row],[Afhængig variabel ID]]&lt;&gt;LineærRegression_Valg[[#This Row],[Uafhængig variabel ID]]</f>
        <v>1</v>
      </c>
      <c r="E2472" s="171" t="b">
        <f>LineærRegression_Valg[[#This Row],[Afhængig variabel ID]]&lt;=$B$5</f>
        <v>0</v>
      </c>
      <c r="F2472" t="str" cm="1">
        <f t="array" ref="F2472">IF(LineærRegression_Valg[[#This Row],[Indenfor range]],INDEX(DataTitel_liste,LineærRegression_Valg[[#This Row],[Afhængig variabel ID]]),INDEX(DataTitel_liste,1))</f>
        <v>Eksempel 1 (interval)</v>
      </c>
      <c r="G2472" s="171" t="str" cm="1">
        <f t="array" ref="G2472">IF(LineærRegression_Valg[[#This Row],[Indenfor range]],IF(LineærRegression_Valg[[#This Row],[Intet overlap]],INDEX(DataTitel_liste,LineærRegression_Valg[[#This Row],[Uafhængig variabel ID]]),INDEX(DataTitel_liste,IF(LineærRegression_Valg[[#This Row],[Afhængig variabel ID]]=1,2,1))),$B$7)</f>
        <v>Eksempel 2 (interval)</v>
      </c>
      <c r="H2472" s="171">
        <f>_xlfn.AGGREGATE(2,5,LineærRegression_Valg[[#This Row],[Tabel ID]])</f>
        <v>1</v>
      </c>
    </row>
    <row r="2473" spans="1:8" x14ac:dyDescent="0.2">
      <c r="A2473">
        <f>ROW(LineærRegression_Valg[[#This Row],[Tabel ID]])-ROW(LineærRegression_Valg[[#Headers],[Tabel ID]])</f>
        <v>2463</v>
      </c>
      <c r="B2473" s="171">
        <f>ROUNDDOWN((LineærRegression_Valg[[#This Row],[Tabel ID]]-1)/$B$5,0)+1</f>
        <v>616</v>
      </c>
      <c r="C2473" s="171">
        <f t="shared" si="38"/>
        <v>3</v>
      </c>
      <c r="D2473" s="171" t="b">
        <f>LineærRegression_Valg[[#This Row],[Afhængig variabel ID]]&lt;&gt;LineærRegression_Valg[[#This Row],[Uafhængig variabel ID]]</f>
        <v>1</v>
      </c>
      <c r="E2473" s="171" t="b">
        <f>LineærRegression_Valg[[#This Row],[Afhængig variabel ID]]&lt;=$B$5</f>
        <v>0</v>
      </c>
      <c r="F2473" t="str" cm="1">
        <f t="array" ref="F2473">IF(LineærRegression_Valg[[#This Row],[Indenfor range]],INDEX(DataTitel_liste,LineærRegression_Valg[[#This Row],[Afhængig variabel ID]]),INDEX(DataTitel_liste,1))</f>
        <v>Eksempel 1 (interval)</v>
      </c>
      <c r="G2473" s="171" t="str" cm="1">
        <f t="array" ref="G2473">IF(LineærRegression_Valg[[#This Row],[Indenfor range]],IF(LineærRegression_Valg[[#This Row],[Intet overlap]],INDEX(DataTitel_liste,LineærRegression_Valg[[#This Row],[Uafhængig variabel ID]]),INDEX(DataTitel_liste,IF(LineærRegression_Valg[[#This Row],[Afhængig variabel ID]]=1,2,1))),$B$7)</f>
        <v>Eksempel 2 (interval)</v>
      </c>
      <c r="H2473" s="171">
        <f>_xlfn.AGGREGATE(2,5,LineærRegression_Valg[[#This Row],[Tabel ID]])</f>
        <v>1</v>
      </c>
    </row>
    <row r="2474" spans="1:8" x14ac:dyDescent="0.2">
      <c r="A2474">
        <f>ROW(LineærRegression_Valg[[#This Row],[Tabel ID]])-ROW(LineærRegression_Valg[[#Headers],[Tabel ID]])</f>
        <v>2464</v>
      </c>
      <c r="B2474" s="171">
        <f>ROUNDDOWN((LineærRegression_Valg[[#This Row],[Tabel ID]]-1)/$B$5,0)+1</f>
        <v>616</v>
      </c>
      <c r="C2474" s="171">
        <f t="shared" si="38"/>
        <v>4</v>
      </c>
      <c r="D2474" s="171" t="b">
        <f>LineærRegression_Valg[[#This Row],[Afhængig variabel ID]]&lt;&gt;LineærRegression_Valg[[#This Row],[Uafhængig variabel ID]]</f>
        <v>1</v>
      </c>
      <c r="E2474" s="171" t="b">
        <f>LineærRegression_Valg[[#This Row],[Afhængig variabel ID]]&lt;=$B$5</f>
        <v>0</v>
      </c>
      <c r="F2474" t="str" cm="1">
        <f t="array" ref="F2474">IF(LineærRegression_Valg[[#This Row],[Indenfor range]],INDEX(DataTitel_liste,LineærRegression_Valg[[#This Row],[Afhængig variabel ID]]),INDEX(DataTitel_liste,1))</f>
        <v>Eksempel 1 (interval)</v>
      </c>
      <c r="G2474" s="171" t="str" cm="1">
        <f t="array" ref="G2474">IF(LineærRegression_Valg[[#This Row],[Indenfor range]],IF(LineærRegression_Valg[[#This Row],[Intet overlap]],INDEX(DataTitel_liste,LineærRegression_Valg[[#This Row],[Uafhængig variabel ID]]),INDEX(DataTitel_liste,IF(LineærRegression_Valg[[#This Row],[Afhængig variabel ID]]=1,2,1))),$B$7)</f>
        <v>Eksempel 2 (interval)</v>
      </c>
      <c r="H2474" s="171">
        <f>_xlfn.AGGREGATE(2,5,LineærRegression_Valg[[#This Row],[Tabel ID]])</f>
        <v>1</v>
      </c>
    </row>
    <row r="2475" spans="1:8" x14ac:dyDescent="0.2">
      <c r="A2475">
        <f>ROW(LineærRegression_Valg[[#This Row],[Tabel ID]])-ROW(LineærRegression_Valg[[#Headers],[Tabel ID]])</f>
        <v>2465</v>
      </c>
      <c r="B2475" s="171">
        <f>ROUNDDOWN((LineærRegression_Valg[[#This Row],[Tabel ID]]-1)/$B$5,0)+1</f>
        <v>617</v>
      </c>
      <c r="C2475" s="171">
        <f t="shared" si="38"/>
        <v>1</v>
      </c>
      <c r="D2475" s="171" t="b">
        <f>LineærRegression_Valg[[#This Row],[Afhængig variabel ID]]&lt;&gt;LineærRegression_Valg[[#This Row],[Uafhængig variabel ID]]</f>
        <v>1</v>
      </c>
      <c r="E2475" s="171" t="b">
        <f>LineærRegression_Valg[[#This Row],[Afhængig variabel ID]]&lt;=$B$5</f>
        <v>0</v>
      </c>
      <c r="F2475" t="str" cm="1">
        <f t="array" ref="F2475">IF(LineærRegression_Valg[[#This Row],[Indenfor range]],INDEX(DataTitel_liste,LineærRegression_Valg[[#This Row],[Afhængig variabel ID]]),INDEX(DataTitel_liste,1))</f>
        <v>Eksempel 1 (interval)</v>
      </c>
      <c r="G2475" s="171" t="str" cm="1">
        <f t="array" ref="G2475">IF(LineærRegression_Valg[[#This Row],[Indenfor range]],IF(LineærRegression_Valg[[#This Row],[Intet overlap]],INDEX(DataTitel_liste,LineærRegression_Valg[[#This Row],[Uafhængig variabel ID]]),INDEX(DataTitel_liste,IF(LineærRegression_Valg[[#This Row],[Afhængig variabel ID]]=1,2,1))),$B$7)</f>
        <v>Eksempel 2 (interval)</v>
      </c>
      <c r="H2475" s="171">
        <f>_xlfn.AGGREGATE(2,5,LineærRegression_Valg[[#This Row],[Tabel ID]])</f>
        <v>1</v>
      </c>
    </row>
    <row r="2476" spans="1:8" x14ac:dyDescent="0.2">
      <c r="A2476">
        <f>ROW(LineærRegression_Valg[[#This Row],[Tabel ID]])-ROW(LineærRegression_Valg[[#Headers],[Tabel ID]])</f>
        <v>2466</v>
      </c>
      <c r="B2476" s="171">
        <f>ROUNDDOWN((LineærRegression_Valg[[#This Row],[Tabel ID]]-1)/$B$5,0)+1</f>
        <v>617</v>
      </c>
      <c r="C2476" s="171">
        <f t="shared" si="38"/>
        <v>2</v>
      </c>
      <c r="D2476" s="171" t="b">
        <f>LineærRegression_Valg[[#This Row],[Afhængig variabel ID]]&lt;&gt;LineærRegression_Valg[[#This Row],[Uafhængig variabel ID]]</f>
        <v>1</v>
      </c>
      <c r="E2476" s="171" t="b">
        <f>LineærRegression_Valg[[#This Row],[Afhængig variabel ID]]&lt;=$B$5</f>
        <v>0</v>
      </c>
      <c r="F2476" t="str" cm="1">
        <f t="array" ref="F2476">IF(LineærRegression_Valg[[#This Row],[Indenfor range]],INDEX(DataTitel_liste,LineærRegression_Valg[[#This Row],[Afhængig variabel ID]]),INDEX(DataTitel_liste,1))</f>
        <v>Eksempel 1 (interval)</v>
      </c>
      <c r="G2476" s="171" t="str" cm="1">
        <f t="array" ref="G2476">IF(LineærRegression_Valg[[#This Row],[Indenfor range]],IF(LineærRegression_Valg[[#This Row],[Intet overlap]],INDEX(DataTitel_liste,LineærRegression_Valg[[#This Row],[Uafhængig variabel ID]]),INDEX(DataTitel_liste,IF(LineærRegression_Valg[[#This Row],[Afhængig variabel ID]]=1,2,1))),$B$7)</f>
        <v>Eksempel 2 (interval)</v>
      </c>
      <c r="H2476" s="171">
        <f>_xlfn.AGGREGATE(2,5,LineærRegression_Valg[[#This Row],[Tabel ID]])</f>
        <v>1</v>
      </c>
    </row>
    <row r="2477" spans="1:8" x14ac:dyDescent="0.2">
      <c r="A2477">
        <f>ROW(LineærRegression_Valg[[#This Row],[Tabel ID]])-ROW(LineærRegression_Valg[[#Headers],[Tabel ID]])</f>
        <v>2467</v>
      </c>
      <c r="B2477" s="171">
        <f>ROUNDDOWN((LineærRegression_Valg[[#This Row],[Tabel ID]]-1)/$B$5,0)+1</f>
        <v>617</v>
      </c>
      <c r="C2477" s="171">
        <f t="shared" si="38"/>
        <v>3</v>
      </c>
      <c r="D2477" s="171" t="b">
        <f>LineærRegression_Valg[[#This Row],[Afhængig variabel ID]]&lt;&gt;LineærRegression_Valg[[#This Row],[Uafhængig variabel ID]]</f>
        <v>1</v>
      </c>
      <c r="E2477" s="171" t="b">
        <f>LineærRegression_Valg[[#This Row],[Afhængig variabel ID]]&lt;=$B$5</f>
        <v>0</v>
      </c>
      <c r="F2477" t="str" cm="1">
        <f t="array" ref="F2477">IF(LineærRegression_Valg[[#This Row],[Indenfor range]],INDEX(DataTitel_liste,LineærRegression_Valg[[#This Row],[Afhængig variabel ID]]),INDEX(DataTitel_liste,1))</f>
        <v>Eksempel 1 (interval)</v>
      </c>
      <c r="G2477" s="171" t="str" cm="1">
        <f t="array" ref="G2477">IF(LineærRegression_Valg[[#This Row],[Indenfor range]],IF(LineærRegression_Valg[[#This Row],[Intet overlap]],INDEX(DataTitel_liste,LineærRegression_Valg[[#This Row],[Uafhængig variabel ID]]),INDEX(DataTitel_liste,IF(LineærRegression_Valg[[#This Row],[Afhængig variabel ID]]=1,2,1))),$B$7)</f>
        <v>Eksempel 2 (interval)</v>
      </c>
      <c r="H2477" s="171">
        <f>_xlfn.AGGREGATE(2,5,LineærRegression_Valg[[#This Row],[Tabel ID]])</f>
        <v>1</v>
      </c>
    </row>
    <row r="2478" spans="1:8" x14ac:dyDescent="0.2">
      <c r="A2478">
        <f>ROW(LineærRegression_Valg[[#This Row],[Tabel ID]])-ROW(LineærRegression_Valg[[#Headers],[Tabel ID]])</f>
        <v>2468</v>
      </c>
      <c r="B2478" s="171">
        <f>ROUNDDOWN((LineærRegression_Valg[[#This Row],[Tabel ID]]-1)/$B$5,0)+1</f>
        <v>617</v>
      </c>
      <c r="C2478" s="171">
        <f t="shared" si="38"/>
        <v>4</v>
      </c>
      <c r="D2478" s="171" t="b">
        <f>LineærRegression_Valg[[#This Row],[Afhængig variabel ID]]&lt;&gt;LineærRegression_Valg[[#This Row],[Uafhængig variabel ID]]</f>
        <v>1</v>
      </c>
      <c r="E2478" s="171" t="b">
        <f>LineærRegression_Valg[[#This Row],[Afhængig variabel ID]]&lt;=$B$5</f>
        <v>0</v>
      </c>
      <c r="F2478" t="str" cm="1">
        <f t="array" ref="F2478">IF(LineærRegression_Valg[[#This Row],[Indenfor range]],INDEX(DataTitel_liste,LineærRegression_Valg[[#This Row],[Afhængig variabel ID]]),INDEX(DataTitel_liste,1))</f>
        <v>Eksempel 1 (interval)</v>
      </c>
      <c r="G2478" s="171" t="str" cm="1">
        <f t="array" ref="G2478">IF(LineærRegression_Valg[[#This Row],[Indenfor range]],IF(LineærRegression_Valg[[#This Row],[Intet overlap]],INDEX(DataTitel_liste,LineærRegression_Valg[[#This Row],[Uafhængig variabel ID]]),INDEX(DataTitel_liste,IF(LineærRegression_Valg[[#This Row],[Afhængig variabel ID]]=1,2,1))),$B$7)</f>
        <v>Eksempel 2 (interval)</v>
      </c>
      <c r="H2478" s="171">
        <f>_xlfn.AGGREGATE(2,5,LineærRegression_Valg[[#This Row],[Tabel ID]])</f>
        <v>1</v>
      </c>
    </row>
    <row r="2479" spans="1:8" x14ac:dyDescent="0.2">
      <c r="A2479">
        <f>ROW(LineærRegression_Valg[[#This Row],[Tabel ID]])-ROW(LineærRegression_Valg[[#Headers],[Tabel ID]])</f>
        <v>2469</v>
      </c>
      <c r="B2479" s="171">
        <f>ROUNDDOWN((LineærRegression_Valg[[#This Row],[Tabel ID]]-1)/$B$5,0)+1</f>
        <v>618</v>
      </c>
      <c r="C2479" s="171">
        <f t="shared" si="38"/>
        <v>1</v>
      </c>
      <c r="D2479" s="171" t="b">
        <f>LineærRegression_Valg[[#This Row],[Afhængig variabel ID]]&lt;&gt;LineærRegression_Valg[[#This Row],[Uafhængig variabel ID]]</f>
        <v>1</v>
      </c>
      <c r="E2479" s="171" t="b">
        <f>LineærRegression_Valg[[#This Row],[Afhængig variabel ID]]&lt;=$B$5</f>
        <v>0</v>
      </c>
      <c r="F2479" t="str" cm="1">
        <f t="array" ref="F2479">IF(LineærRegression_Valg[[#This Row],[Indenfor range]],INDEX(DataTitel_liste,LineærRegression_Valg[[#This Row],[Afhængig variabel ID]]),INDEX(DataTitel_liste,1))</f>
        <v>Eksempel 1 (interval)</v>
      </c>
      <c r="G2479" s="171" t="str" cm="1">
        <f t="array" ref="G2479">IF(LineærRegression_Valg[[#This Row],[Indenfor range]],IF(LineærRegression_Valg[[#This Row],[Intet overlap]],INDEX(DataTitel_liste,LineærRegression_Valg[[#This Row],[Uafhængig variabel ID]]),INDEX(DataTitel_liste,IF(LineærRegression_Valg[[#This Row],[Afhængig variabel ID]]=1,2,1))),$B$7)</f>
        <v>Eksempel 2 (interval)</v>
      </c>
      <c r="H2479" s="171">
        <f>_xlfn.AGGREGATE(2,5,LineærRegression_Valg[[#This Row],[Tabel ID]])</f>
        <v>1</v>
      </c>
    </row>
    <row r="2480" spans="1:8" x14ac:dyDescent="0.2">
      <c r="A2480">
        <f>ROW(LineærRegression_Valg[[#This Row],[Tabel ID]])-ROW(LineærRegression_Valg[[#Headers],[Tabel ID]])</f>
        <v>2470</v>
      </c>
      <c r="B2480" s="171">
        <f>ROUNDDOWN((LineærRegression_Valg[[#This Row],[Tabel ID]]-1)/$B$5,0)+1</f>
        <v>618</v>
      </c>
      <c r="C2480" s="171">
        <f t="shared" si="38"/>
        <v>2</v>
      </c>
      <c r="D2480" s="171" t="b">
        <f>LineærRegression_Valg[[#This Row],[Afhængig variabel ID]]&lt;&gt;LineærRegression_Valg[[#This Row],[Uafhængig variabel ID]]</f>
        <v>1</v>
      </c>
      <c r="E2480" s="171" t="b">
        <f>LineærRegression_Valg[[#This Row],[Afhængig variabel ID]]&lt;=$B$5</f>
        <v>0</v>
      </c>
      <c r="F2480" t="str" cm="1">
        <f t="array" ref="F2480">IF(LineærRegression_Valg[[#This Row],[Indenfor range]],INDEX(DataTitel_liste,LineærRegression_Valg[[#This Row],[Afhængig variabel ID]]),INDEX(DataTitel_liste,1))</f>
        <v>Eksempel 1 (interval)</v>
      </c>
      <c r="G2480" s="171" t="str" cm="1">
        <f t="array" ref="G2480">IF(LineærRegression_Valg[[#This Row],[Indenfor range]],IF(LineærRegression_Valg[[#This Row],[Intet overlap]],INDEX(DataTitel_liste,LineærRegression_Valg[[#This Row],[Uafhængig variabel ID]]),INDEX(DataTitel_liste,IF(LineærRegression_Valg[[#This Row],[Afhængig variabel ID]]=1,2,1))),$B$7)</f>
        <v>Eksempel 2 (interval)</v>
      </c>
      <c r="H2480" s="171">
        <f>_xlfn.AGGREGATE(2,5,LineærRegression_Valg[[#This Row],[Tabel ID]])</f>
        <v>1</v>
      </c>
    </row>
    <row r="2481" spans="1:8" x14ac:dyDescent="0.2">
      <c r="A2481">
        <f>ROW(LineærRegression_Valg[[#This Row],[Tabel ID]])-ROW(LineærRegression_Valg[[#Headers],[Tabel ID]])</f>
        <v>2471</v>
      </c>
      <c r="B2481" s="171">
        <f>ROUNDDOWN((LineærRegression_Valg[[#This Row],[Tabel ID]]-1)/$B$5,0)+1</f>
        <v>618</v>
      </c>
      <c r="C2481" s="171">
        <f t="shared" si="38"/>
        <v>3</v>
      </c>
      <c r="D2481" s="171" t="b">
        <f>LineærRegression_Valg[[#This Row],[Afhængig variabel ID]]&lt;&gt;LineærRegression_Valg[[#This Row],[Uafhængig variabel ID]]</f>
        <v>1</v>
      </c>
      <c r="E2481" s="171" t="b">
        <f>LineærRegression_Valg[[#This Row],[Afhængig variabel ID]]&lt;=$B$5</f>
        <v>0</v>
      </c>
      <c r="F2481" t="str" cm="1">
        <f t="array" ref="F2481">IF(LineærRegression_Valg[[#This Row],[Indenfor range]],INDEX(DataTitel_liste,LineærRegression_Valg[[#This Row],[Afhængig variabel ID]]),INDEX(DataTitel_liste,1))</f>
        <v>Eksempel 1 (interval)</v>
      </c>
      <c r="G2481" s="171" t="str" cm="1">
        <f t="array" ref="G2481">IF(LineærRegression_Valg[[#This Row],[Indenfor range]],IF(LineærRegression_Valg[[#This Row],[Intet overlap]],INDEX(DataTitel_liste,LineærRegression_Valg[[#This Row],[Uafhængig variabel ID]]),INDEX(DataTitel_liste,IF(LineærRegression_Valg[[#This Row],[Afhængig variabel ID]]=1,2,1))),$B$7)</f>
        <v>Eksempel 2 (interval)</v>
      </c>
      <c r="H2481" s="171">
        <f>_xlfn.AGGREGATE(2,5,LineærRegression_Valg[[#This Row],[Tabel ID]])</f>
        <v>1</v>
      </c>
    </row>
    <row r="2482" spans="1:8" x14ac:dyDescent="0.2">
      <c r="A2482">
        <f>ROW(LineærRegression_Valg[[#This Row],[Tabel ID]])-ROW(LineærRegression_Valg[[#Headers],[Tabel ID]])</f>
        <v>2472</v>
      </c>
      <c r="B2482" s="171">
        <f>ROUNDDOWN((LineærRegression_Valg[[#This Row],[Tabel ID]]-1)/$B$5,0)+1</f>
        <v>618</v>
      </c>
      <c r="C2482" s="171">
        <f t="shared" si="38"/>
        <v>4</v>
      </c>
      <c r="D2482" s="171" t="b">
        <f>LineærRegression_Valg[[#This Row],[Afhængig variabel ID]]&lt;&gt;LineærRegression_Valg[[#This Row],[Uafhængig variabel ID]]</f>
        <v>1</v>
      </c>
      <c r="E2482" s="171" t="b">
        <f>LineærRegression_Valg[[#This Row],[Afhængig variabel ID]]&lt;=$B$5</f>
        <v>0</v>
      </c>
      <c r="F2482" t="str" cm="1">
        <f t="array" ref="F2482">IF(LineærRegression_Valg[[#This Row],[Indenfor range]],INDEX(DataTitel_liste,LineærRegression_Valg[[#This Row],[Afhængig variabel ID]]),INDEX(DataTitel_liste,1))</f>
        <v>Eksempel 1 (interval)</v>
      </c>
      <c r="G2482" s="171" t="str" cm="1">
        <f t="array" ref="G2482">IF(LineærRegression_Valg[[#This Row],[Indenfor range]],IF(LineærRegression_Valg[[#This Row],[Intet overlap]],INDEX(DataTitel_liste,LineærRegression_Valg[[#This Row],[Uafhængig variabel ID]]),INDEX(DataTitel_liste,IF(LineærRegression_Valg[[#This Row],[Afhængig variabel ID]]=1,2,1))),$B$7)</f>
        <v>Eksempel 2 (interval)</v>
      </c>
      <c r="H2482" s="171">
        <f>_xlfn.AGGREGATE(2,5,LineærRegression_Valg[[#This Row],[Tabel ID]])</f>
        <v>1</v>
      </c>
    </row>
    <row r="2483" spans="1:8" x14ac:dyDescent="0.2">
      <c r="A2483">
        <f>ROW(LineærRegression_Valg[[#This Row],[Tabel ID]])-ROW(LineærRegression_Valg[[#Headers],[Tabel ID]])</f>
        <v>2473</v>
      </c>
      <c r="B2483" s="171">
        <f>ROUNDDOWN((LineærRegression_Valg[[#This Row],[Tabel ID]]-1)/$B$5,0)+1</f>
        <v>619</v>
      </c>
      <c r="C2483" s="171">
        <f t="shared" si="38"/>
        <v>1</v>
      </c>
      <c r="D2483" s="171" t="b">
        <f>LineærRegression_Valg[[#This Row],[Afhængig variabel ID]]&lt;&gt;LineærRegression_Valg[[#This Row],[Uafhængig variabel ID]]</f>
        <v>1</v>
      </c>
      <c r="E2483" s="171" t="b">
        <f>LineærRegression_Valg[[#This Row],[Afhængig variabel ID]]&lt;=$B$5</f>
        <v>0</v>
      </c>
      <c r="F2483" t="str" cm="1">
        <f t="array" ref="F2483">IF(LineærRegression_Valg[[#This Row],[Indenfor range]],INDEX(DataTitel_liste,LineærRegression_Valg[[#This Row],[Afhængig variabel ID]]),INDEX(DataTitel_liste,1))</f>
        <v>Eksempel 1 (interval)</v>
      </c>
      <c r="G2483" s="171" t="str" cm="1">
        <f t="array" ref="G2483">IF(LineærRegression_Valg[[#This Row],[Indenfor range]],IF(LineærRegression_Valg[[#This Row],[Intet overlap]],INDEX(DataTitel_liste,LineærRegression_Valg[[#This Row],[Uafhængig variabel ID]]),INDEX(DataTitel_liste,IF(LineærRegression_Valg[[#This Row],[Afhængig variabel ID]]=1,2,1))),$B$7)</f>
        <v>Eksempel 2 (interval)</v>
      </c>
      <c r="H2483" s="171">
        <f>_xlfn.AGGREGATE(2,5,LineærRegression_Valg[[#This Row],[Tabel ID]])</f>
        <v>1</v>
      </c>
    </row>
    <row r="2484" spans="1:8" x14ac:dyDescent="0.2">
      <c r="A2484">
        <f>ROW(LineærRegression_Valg[[#This Row],[Tabel ID]])-ROW(LineærRegression_Valg[[#Headers],[Tabel ID]])</f>
        <v>2474</v>
      </c>
      <c r="B2484" s="171">
        <f>ROUNDDOWN((LineærRegression_Valg[[#This Row],[Tabel ID]]-1)/$B$5,0)+1</f>
        <v>619</v>
      </c>
      <c r="C2484" s="171">
        <f t="shared" si="38"/>
        <v>2</v>
      </c>
      <c r="D2484" s="171" t="b">
        <f>LineærRegression_Valg[[#This Row],[Afhængig variabel ID]]&lt;&gt;LineærRegression_Valg[[#This Row],[Uafhængig variabel ID]]</f>
        <v>1</v>
      </c>
      <c r="E2484" s="171" t="b">
        <f>LineærRegression_Valg[[#This Row],[Afhængig variabel ID]]&lt;=$B$5</f>
        <v>0</v>
      </c>
      <c r="F2484" t="str" cm="1">
        <f t="array" ref="F2484">IF(LineærRegression_Valg[[#This Row],[Indenfor range]],INDEX(DataTitel_liste,LineærRegression_Valg[[#This Row],[Afhængig variabel ID]]),INDEX(DataTitel_liste,1))</f>
        <v>Eksempel 1 (interval)</v>
      </c>
      <c r="G2484" s="171" t="str" cm="1">
        <f t="array" ref="G2484">IF(LineærRegression_Valg[[#This Row],[Indenfor range]],IF(LineærRegression_Valg[[#This Row],[Intet overlap]],INDEX(DataTitel_liste,LineærRegression_Valg[[#This Row],[Uafhængig variabel ID]]),INDEX(DataTitel_liste,IF(LineærRegression_Valg[[#This Row],[Afhængig variabel ID]]=1,2,1))),$B$7)</f>
        <v>Eksempel 2 (interval)</v>
      </c>
      <c r="H2484" s="171">
        <f>_xlfn.AGGREGATE(2,5,LineærRegression_Valg[[#This Row],[Tabel ID]])</f>
        <v>1</v>
      </c>
    </row>
    <row r="2485" spans="1:8" x14ac:dyDescent="0.2">
      <c r="A2485">
        <f>ROW(LineærRegression_Valg[[#This Row],[Tabel ID]])-ROW(LineærRegression_Valg[[#Headers],[Tabel ID]])</f>
        <v>2475</v>
      </c>
      <c r="B2485" s="171">
        <f>ROUNDDOWN((LineærRegression_Valg[[#This Row],[Tabel ID]]-1)/$B$5,0)+1</f>
        <v>619</v>
      </c>
      <c r="C2485" s="171">
        <f t="shared" si="38"/>
        <v>3</v>
      </c>
      <c r="D2485" s="171" t="b">
        <f>LineærRegression_Valg[[#This Row],[Afhængig variabel ID]]&lt;&gt;LineærRegression_Valg[[#This Row],[Uafhængig variabel ID]]</f>
        <v>1</v>
      </c>
      <c r="E2485" s="171" t="b">
        <f>LineærRegression_Valg[[#This Row],[Afhængig variabel ID]]&lt;=$B$5</f>
        <v>0</v>
      </c>
      <c r="F2485" t="str" cm="1">
        <f t="array" ref="F2485">IF(LineærRegression_Valg[[#This Row],[Indenfor range]],INDEX(DataTitel_liste,LineærRegression_Valg[[#This Row],[Afhængig variabel ID]]),INDEX(DataTitel_liste,1))</f>
        <v>Eksempel 1 (interval)</v>
      </c>
      <c r="G2485" s="171" t="str" cm="1">
        <f t="array" ref="G2485">IF(LineærRegression_Valg[[#This Row],[Indenfor range]],IF(LineærRegression_Valg[[#This Row],[Intet overlap]],INDEX(DataTitel_liste,LineærRegression_Valg[[#This Row],[Uafhængig variabel ID]]),INDEX(DataTitel_liste,IF(LineærRegression_Valg[[#This Row],[Afhængig variabel ID]]=1,2,1))),$B$7)</f>
        <v>Eksempel 2 (interval)</v>
      </c>
      <c r="H2485" s="171">
        <f>_xlfn.AGGREGATE(2,5,LineærRegression_Valg[[#This Row],[Tabel ID]])</f>
        <v>1</v>
      </c>
    </row>
    <row r="2486" spans="1:8" x14ac:dyDescent="0.2">
      <c r="A2486">
        <f>ROW(LineærRegression_Valg[[#This Row],[Tabel ID]])-ROW(LineærRegression_Valg[[#Headers],[Tabel ID]])</f>
        <v>2476</v>
      </c>
      <c r="B2486" s="171">
        <f>ROUNDDOWN((LineærRegression_Valg[[#This Row],[Tabel ID]]-1)/$B$5,0)+1</f>
        <v>619</v>
      </c>
      <c r="C2486" s="171">
        <f t="shared" si="38"/>
        <v>4</v>
      </c>
      <c r="D2486" s="171" t="b">
        <f>LineærRegression_Valg[[#This Row],[Afhængig variabel ID]]&lt;&gt;LineærRegression_Valg[[#This Row],[Uafhængig variabel ID]]</f>
        <v>1</v>
      </c>
      <c r="E2486" s="171" t="b">
        <f>LineærRegression_Valg[[#This Row],[Afhængig variabel ID]]&lt;=$B$5</f>
        <v>0</v>
      </c>
      <c r="F2486" t="str" cm="1">
        <f t="array" ref="F2486">IF(LineærRegression_Valg[[#This Row],[Indenfor range]],INDEX(DataTitel_liste,LineærRegression_Valg[[#This Row],[Afhængig variabel ID]]),INDEX(DataTitel_liste,1))</f>
        <v>Eksempel 1 (interval)</v>
      </c>
      <c r="G2486" s="171" t="str" cm="1">
        <f t="array" ref="G2486">IF(LineærRegression_Valg[[#This Row],[Indenfor range]],IF(LineærRegression_Valg[[#This Row],[Intet overlap]],INDEX(DataTitel_liste,LineærRegression_Valg[[#This Row],[Uafhængig variabel ID]]),INDEX(DataTitel_liste,IF(LineærRegression_Valg[[#This Row],[Afhængig variabel ID]]=1,2,1))),$B$7)</f>
        <v>Eksempel 2 (interval)</v>
      </c>
      <c r="H2486" s="171">
        <f>_xlfn.AGGREGATE(2,5,LineærRegression_Valg[[#This Row],[Tabel ID]])</f>
        <v>1</v>
      </c>
    </row>
    <row r="2487" spans="1:8" x14ac:dyDescent="0.2">
      <c r="A2487">
        <f>ROW(LineærRegression_Valg[[#This Row],[Tabel ID]])-ROW(LineærRegression_Valg[[#Headers],[Tabel ID]])</f>
        <v>2477</v>
      </c>
      <c r="B2487" s="171">
        <f>ROUNDDOWN((LineærRegression_Valg[[#This Row],[Tabel ID]]-1)/$B$5,0)+1</f>
        <v>620</v>
      </c>
      <c r="C2487" s="171">
        <f t="shared" si="38"/>
        <v>1</v>
      </c>
      <c r="D2487" s="171" t="b">
        <f>LineærRegression_Valg[[#This Row],[Afhængig variabel ID]]&lt;&gt;LineærRegression_Valg[[#This Row],[Uafhængig variabel ID]]</f>
        <v>1</v>
      </c>
      <c r="E2487" s="171" t="b">
        <f>LineærRegression_Valg[[#This Row],[Afhængig variabel ID]]&lt;=$B$5</f>
        <v>0</v>
      </c>
      <c r="F2487" t="str" cm="1">
        <f t="array" ref="F2487">IF(LineærRegression_Valg[[#This Row],[Indenfor range]],INDEX(DataTitel_liste,LineærRegression_Valg[[#This Row],[Afhængig variabel ID]]),INDEX(DataTitel_liste,1))</f>
        <v>Eksempel 1 (interval)</v>
      </c>
      <c r="G2487" s="171" t="str" cm="1">
        <f t="array" ref="G2487">IF(LineærRegression_Valg[[#This Row],[Indenfor range]],IF(LineærRegression_Valg[[#This Row],[Intet overlap]],INDEX(DataTitel_liste,LineærRegression_Valg[[#This Row],[Uafhængig variabel ID]]),INDEX(DataTitel_liste,IF(LineærRegression_Valg[[#This Row],[Afhængig variabel ID]]=1,2,1))),$B$7)</f>
        <v>Eksempel 2 (interval)</v>
      </c>
      <c r="H2487" s="171">
        <f>_xlfn.AGGREGATE(2,5,LineærRegression_Valg[[#This Row],[Tabel ID]])</f>
        <v>1</v>
      </c>
    </row>
    <row r="2488" spans="1:8" x14ac:dyDescent="0.2">
      <c r="A2488">
        <f>ROW(LineærRegression_Valg[[#This Row],[Tabel ID]])-ROW(LineærRegression_Valg[[#Headers],[Tabel ID]])</f>
        <v>2478</v>
      </c>
      <c r="B2488" s="171">
        <f>ROUNDDOWN((LineærRegression_Valg[[#This Row],[Tabel ID]]-1)/$B$5,0)+1</f>
        <v>620</v>
      </c>
      <c r="C2488" s="171">
        <f t="shared" si="38"/>
        <v>2</v>
      </c>
      <c r="D2488" s="171" t="b">
        <f>LineærRegression_Valg[[#This Row],[Afhængig variabel ID]]&lt;&gt;LineærRegression_Valg[[#This Row],[Uafhængig variabel ID]]</f>
        <v>1</v>
      </c>
      <c r="E2488" s="171" t="b">
        <f>LineærRegression_Valg[[#This Row],[Afhængig variabel ID]]&lt;=$B$5</f>
        <v>0</v>
      </c>
      <c r="F2488" t="str" cm="1">
        <f t="array" ref="F2488">IF(LineærRegression_Valg[[#This Row],[Indenfor range]],INDEX(DataTitel_liste,LineærRegression_Valg[[#This Row],[Afhængig variabel ID]]),INDEX(DataTitel_liste,1))</f>
        <v>Eksempel 1 (interval)</v>
      </c>
      <c r="G2488" s="171" t="str" cm="1">
        <f t="array" ref="G2488">IF(LineærRegression_Valg[[#This Row],[Indenfor range]],IF(LineærRegression_Valg[[#This Row],[Intet overlap]],INDEX(DataTitel_liste,LineærRegression_Valg[[#This Row],[Uafhængig variabel ID]]),INDEX(DataTitel_liste,IF(LineærRegression_Valg[[#This Row],[Afhængig variabel ID]]=1,2,1))),$B$7)</f>
        <v>Eksempel 2 (interval)</v>
      </c>
      <c r="H2488" s="171">
        <f>_xlfn.AGGREGATE(2,5,LineærRegression_Valg[[#This Row],[Tabel ID]])</f>
        <v>1</v>
      </c>
    </row>
    <row r="2489" spans="1:8" x14ac:dyDescent="0.2">
      <c r="A2489">
        <f>ROW(LineærRegression_Valg[[#This Row],[Tabel ID]])-ROW(LineærRegression_Valg[[#Headers],[Tabel ID]])</f>
        <v>2479</v>
      </c>
      <c r="B2489" s="171">
        <f>ROUNDDOWN((LineærRegression_Valg[[#This Row],[Tabel ID]]-1)/$B$5,0)+1</f>
        <v>620</v>
      </c>
      <c r="C2489" s="171">
        <f t="shared" si="38"/>
        <v>3</v>
      </c>
      <c r="D2489" s="171" t="b">
        <f>LineærRegression_Valg[[#This Row],[Afhængig variabel ID]]&lt;&gt;LineærRegression_Valg[[#This Row],[Uafhængig variabel ID]]</f>
        <v>1</v>
      </c>
      <c r="E2489" s="171" t="b">
        <f>LineærRegression_Valg[[#This Row],[Afhængig variabel ID]]&lt;=$B$5</f>
        <v>0</v>
      </c>
      <c r="F2489" t="str" cm="1">
        <f t="array" ref="F2489">IF(LineærRegression_Valg[[#This Row],[Indenfor range]],INDEX(DataTitel_liste,LineærRegression_Valg[[#This Row],[Afhængig variabel ID]]),INDEX(DataTitel_liste,1))</f>
        <v>Eksempel 1 (interval)</v>
      </c>
      <c r="G2489" s="171" t="str" cm="1">
        <f t="array" ref="G2489">IF(LineærRegression_Valg[[#This Row],[Indenfor range]],IF(LineærRegression_Valg[[#This Row],[Intet overlap]],INDEX(DataTitel_liste,LineærRegression_Valg[[#This Row],[Uafhængig variabel ID]]),INDEX(DataTitel_liste,IF(LineærRegression_Valg[[#This Row],[Afhængig variabel ID]]=1,2,1))),$B$7)</f>
        <v>Eksempel 2 (interval)</v>
      </c>
      <c r="H2489" s="171">
        <f>_xlfn.AGGREGATE(2,5,LineærRegression_Valg[[#This Row],[Tabel ID]])</f>
        <v>1</v>
      </c>
    </row>
    <row r="2490" spans="1:8" x14ac:dyDescent="0.2">
      <c r="A2490">
        <f>ROW(LineærRegression_Valg[[#This Row],[Tabel ID]])-ROW(LineærRegression_Valg[[#Headers],[Tabel ID]])</f>
        <v>2480</v>
      </c>
      <c r="B2490" s="171">
        <f>ROUNDDOWN((LineærRegression_Valg[[#This Row],[Tabel ID]]-1)/$B$5,0)+1</f>
        <v>620</v>
      </c>
      <c r="C2490" s="171">
        <f t="shared" si="38"/>
        <v>4</v>
      </c>
      <c r="D2490" s="171" t="b">
        <f>LineærRegression_Valg[[#This Row],[Afhængig variabel ID]]&lt;&gt;LineærRegression_Valg[[#This Row],[Uafhængig variabel ID]]</f>
        <v>1</v>
      </c>
      <c r="E2490" s="171" t="b">
        <f>LineærRegression_Valg[[#This Row],[Afhængig variabel ID]]&lt;=$B$5</f>
        <v>0</v>
      </c>
      <c r="F2490" t="str" cm="1">
        <f t="array" ref="F2490">IF(LineærRegression_Valg[[#This Row],[Indenfor range]],INDEX(DataTitel_liste,LineærRegression_Valg[[#This Row],[Afhængig variabel ID]]),INDEX(DataTitel_liste,1))</f>
        <v>Eksempel 1 (interval)</v>
      </c>
      <c r="G2490" s="171" t="str" cm="1">
        <f t="array" ref="G2490">IF(LineærRegression_Valg[[#This Row],[Indenfor range]],IF(LineærRegression_Valg[[#This Row],[Intet overlap]],INDEX(DataTitel_liste,LineærRegression_Valg[[#This Row],[Uafhængig variabel ID]]),INDEX(DataTitel_liste,IF(LineærRegression_Valg[[#This Row],[Afhængig variabel ID]]=1,2,1))),$B$7)</f>
        <v>Eksempel 2 (interval)</v>
      </c>
      <c r="H2490" s="171">
        <f>_xlfn.AGGREGATE(2,5,LineærRegression_Valg[[#This Row],[Tabel ID]])</f>
        <v>1</v>
      </c>
    </row>
    <row r="2491" spans="1:8" x14ac:dyDescent="0.2">
      <c r="A2491">
        <f>ROW(LineærRegression_Valg[[#This Row],[Tabel ID]])-ROW(LineærRegression_Valg[[#Headers],[Tabel ID]])</f>
        <v>2481</v>
      </c>
      <c r="B2491" s="171">
        <f>ROUNDDOWN((LineærRegression_Valg[[#This Row],[Tabel ID]]-1)/$B$5,0)+1</f>
        <v>621</v>
      </c>
      <c r="C2491" s="171">
        <f t="shared" si="38"/>
        <v>1</v>
      </c>
      <c r="D2491" s="171" t="b">
        <f>LineærRegression_Valg[[#This Row],[Afhængig variabel ID]]&lt;&gt;LineærRegression_Valg[[#This Row],[Uafhængig variabel ID]]</f>
        <v>1</v>
      </c>
      <c r="E2491" s="171" t="b">
        <f>LineærRegression_Valg[[#This Row],[Afhængig variabel ID]]&lt;=$B$5</f>
        <v>0</v>
      </c>
      <c r="F2491" t="str" cm="1">
        <f t="array" ref="F2491">IF(LineærRegression_Valg[[#This Row],[Indenfor range]],INDEX(DataTitel_liste,LineærRegression_Valg[[#This Row],[Afhængig variabel ID]]),INDEX(DataTitel_liste,1))</f>
        <v>Eksempel 1 (interval)</v>
      </c>
      <c r="G2491" s="171" t="str" cm="1">
        <f t="array" ref="G2491">IF(LineærRegression_Valg[[#This Row],[Indenfor range]],IF(LineærRegression_Valg[[#This Row],[Intet overlap]],INDEX(DataTitel_liste,LineærRegression_Valg[[#This Row],[Uafhængig variabel ID]]),INDEX(DataTitel_liste,IF(LineærRegression_Valg[[#This Row],[Afhængig variabel ID]]=1,2,1))),$B$7)</f>
        <v>Eksempel 2 (interval)</v>
      </c>
      <c r="H2491" s="171">
        <f>_xlfn.AGGREGATE(2,5,LineærRegression_Valg[[#This Row],[Tabel ID]])</f>
        <v>1</v>
      </c>
    </row>
    <row r="2492" spans="1:8" x14ac:dyDescent="0.2">
      <c r="A2492">
        <f>ROW(LineærRegression_Valg[[#This Row],[Tabel ID]])-ROW(LineærRegression_Valg[[#Headers],[Tabel ID]])</f>
        <v>2482</v>
      </c>
      <c r="B2492" s="171">
        <f>ROUNDDOWN((LineærRegression_Valg[[#This Row],[Tabel ID]]-1)/$B$5,0)+1</f>
        <v>621</v>
      </c>
      <c r="C2492" s="171">
        <f t="shared" si="38"/>
        <v>2</v>
      </c>
      <c r="D2492" s="171" t="b">
        <f>LineærRegression_Valg[[#This Row],[Afhængig variabel ID]]&lt;&gt;LineærRegression_Valg[[#This Row],[Uafhængig variabel ID]]</f>
        <v>1</v>
      </c>
      <c r="E2492" s="171" t="b">
        <f>LineærRegression_Valg[[#This Row],[Afhængig variabel ID]]&lt;=$B$5</f>
        <v>0</v>
      </c>
      <c r="F2492" t="str" cm="1">
        <f t="array" ref="F2492">IF(LineærRegression_Valg[[#This Row],[Indenfor range]],INDEX(DataTitel_liste,LineærRegression_Valg[[#This Row],[Afhængig variabel ID]]),INDEX(DataTitel_liste,1))</f>
        <v>Eksempel 1 (interval)</v>
      </c>
      <c r="G2492" s="171" t="str" cm="1">
        <f t="array" ref="G2492">IF(LineærRegression_Valg[[#This Row],[Indenfor range]],IF(LineærRegression_Valg[[#This Row],[Intet overlap]],INDEX(DataTitel_liste,LineærRegression_Valg[[#This Row],[Uafhængig variabel ID]]),INDEX(DataTitel_liste,IF(LineærRegression_Valg[[#This Row],[Afhængig variabel ID]]=1,2,1))),$B$7)</f>
        <v>Eksempel 2 (interval)</v>
      </c>
      <c r="H2492" s="171">
        <f>_xlfn.AGGREGATE(2,5,LineærRegression_Valg[[#This Row],[Tabel ID]])</f>
        <v>1</v>
      </c>
    </row>
    <row r="2493" spans="1:8" x14ac:dyDescent="0.2">
      <c r="A2493">
        <f>ROW(LineærRegression_Valg[[#This Row],[Tabel ID]])-ROW(LineærRegression_Valg[[#Headers],[Tabel ID]])</f>
        <v>2483</v>
      </c>
      <c r="B2493" s="171">
        <f>ROUNDDOWN((LineærRegression_Valg[[#This Row],[Tabel ID]]-1)/$B$5,0)+1</f>
        <v>621</v>
      </c>
      <c r="C2493" s="171">
        <f t="shared" si="38"/>
        <v>3</v>
      </c>
      <c r="D2493" s="171" t="b">
        <f>LineærRegression_Valg[[#This Row],[Afhængig variabel ID]]&lt;&gt;LineærRegression_Valg[[#This Row],[Uafhængig variabel ID]]</f>
        <v>1</v>
      </c>
      <c r="E2493" s="171" t="b">
        <f>LineærRegression_Valg[[#This Row],[Afhængig variabel ID]]&lt;=$B$5</f>
        <v>0</v>
      </c>
      <c r="F2493" t="str" cm="1">
        <f t="array" ref="F2493">IF(LineærRegression_Valg[[#This Row],[Indenfor range]],INDEX(DataTitel_liste,LineærRegression_Valg[[#This Row],[Afhængig variabel ID]]),INDEX(DataTitel_liste,1))</f>
        <v>Eksempel 1 (interval)</v>
      </c>
      <c r="G2493" s="171" t="str" cm="1">
        <f t="array" ref="G2493">IF(LineærRegression_Valg[[#This Row],[Indenfor range]],IF(LineærRegression_Valg[[#This Row],[Intet overlap]],INDEX(DataTitel_liste,LineærRegression_Valg[[#This Row],[Uafhængig variabel ID]]),INDEX(DataTitel_liste,IF(LineærRegression_Valg[[#This Row],[Afhængig variabel ID]]=1,2,1))),$B$7)</f>
        <v>Eksempel 2 (interval)</v>
      </c>
      <c r="H2493" s="171">
        <f>_xlfn.AGGREGATE(2,5,LineærRegression_Valg[[#This Row],[Tabel ID]])</f>
        <v>1</v>
      </c>
    </row>
    <row r="2494" spans="1:8" x14ac:dyDescent="0.2">
      <c r="A2494">
        <f>ROW(LineærRegression_Valg[[#This Row],[Tabel ID]])-ROW(LineærRegression_Valg[[#Headers],[Tabel ID]])</f>
        <v>2484</v>
      </c>
      <c r="B2494" s="171">
        <f>ROUNDDOWN((LineærRegression_Valg[[#This Row],[Tabel ID]]-1)/$B$5,0)+1</f>
        <v>621</v>
      </c>
      <c r="C2494" s="171">
        <f t="shared" si="38"/>
        <v>4</v>
      </c>
      <c r="D2494" s="171" t="b">
        <f>LineærRegression_Valg[[#This Row],[Afhængig variabel ID]]&lt;&gt;LineærRegression_Valg[[#This Row],[Uafhængig variabel ID]]</f>
        <v>1</v>
      </c>
      <c r="E2494" s="171" t="b">
        <f>LineærRegression_Valg[[#This Row],[Afhængig variabel ID]]&lt;=$B$5</f>
        <v>0</v>
      </c>
      <c r="F2494" t="str" cm="1">
        <f t="array" ref="F2494">IF(LineærRegression_Valg[[#This Row],[Indenfor range]],INDEX(DataTitel_liste,LineærRegression_Valg[[#This Row],[Afhængig variabel ID]]),INDEX(DataTitel_liste,1))</f>
        <v>Eksempel 1 (interval)</v>
      </c>
      <c r="G2494" s="171" t="str" cm="1">
        <f t="array" ref="G2494">IF(LineærRegression_Valg[[#This Row],[Indenfor range]],IF(LineærRegression_Valg[[#This Row],[Intet overlap]],INDEX(DataTitel_liste,LineærRegression_Valg[[#This Row],[Uafhængig variabel ID]]),INDEX(DataTitel_liste,IF(LineærRegression_Valg[[#This Row],[Afhængig variabel ID]]=1,2,1))),$B$7)</f>
        <v>Eksempel 2 (interval)</v>
      </c>
      <c r="H2494" s="171">
        <f>_xlfn.AGGREGATE(2,5,LineærRegression_Valg[[#This Row],[Tabel ID]])</f>
        <v>1</v>
      </c>
    </row>
    <row r="2495" spans="1:8" x14ac:dyDescent="0.2">
      <c r="A2495">
        <f>ROW(LineærRegression_Valg[[#This Row],[Tabel ID]])-ROW(LineærRegression_Valg[[#Headers],[Tabel ID]])</f>
        <v>2485</v>
      </c>
      <c r="B2495" s="171">
        <f>ROUNDDOWN((LineærRegression_Valg[[#This Row],[Tabel ID]]-1)/$B$5,0)+1</f>
        <v>622</v>
      </c>
      <c r="C2495" s="171">
        <f t="shared" si="38"/>
        <v>1</v>
      </c>
      <c r="D2495" s="171" t="b">
        <f>LineærRegression_Valg[[#This Row],[Afhængig variabel ID]]&lt;&gt;LineærRegression_Valg[[#This Row],[Uafhængig variabel ID]]</f>
        <v>1</v>
      </c>
      <c r="E2495" s="171" t="b">
        <f>LineærRegression_Valg[[#This Row],[Afhængig variabel ID]]&lt;=$B$5</f>
        <v>0</v>
      </c>
      <c r="F2495" t="str" cm="1">
        <f t="array" ref="F2495">IF(LineærRegression_Valg[[#This Row],[Indenfor range]],INDEX(DataTitel_liste,LineærRegression_Valg[[#This Row],[Afhængig variabel ID]]),INDEX(DataTitel_liste,1))</f>
        <v>Eksempel 1 (interval)</v>
      </c>
      <c r="G2495" s="171" t="str" cm="1">
        <f t="array" ref="G2495">IF(LineærRegression_Valg[[#This Row],[Indenfor range]],IF(LineærRegression_Valg[[#This Row],[Intet overlap]],INDEX(DataTitel_liste,LineærRegression_Valg[[#This Row],[Uafhængig variabel ID]]),INDEX(DataTitel_liste,IF(LineærRegression_Valg[[#This Row],[Afhængig variabel ID]]=1,2,1))),$B$7)</f>
        <v>Eksempel 2 (interval)</v>
      </c>
      <c r="H2495" s="171">
        <f>_xlfn.AGGREGATE(2,5,LineærRegression_Valg[[#This Row],[Tabel ID]])</f>
        <v>1</v>
      </c>
    </row>
    <row r="2496" spans="1:8" x14ac:dyDescent="0.2">
      <c r="A2496">
        <f>ROW(LineærRegression_Valg[[#This Row],[Tabel ID]])-ROW(LineærRegression_Valg[[#Headers],[Tabel ID]])</f>
        <v>2486</v>
      </c>
      <c r="B2496" s="171">
        <f>ROUNDDOWN((LineærRegression_Valg[[#This Row],[Tabel ID]]-1)/$B$5,0)+1</f>
        <v>622</v>
      </c>
      <c r="C2496" s="171">
        <f t="shared" si="38"/>
        <v>2</v>
      </c>
      <c r="D2496" s="171" t="b">
        <f>LineærRegression_Valg[[#This Row],[Afhængig variabel ID]]&lt;&gt;LineærRegression_Valg[[#This Row],[Uafhængig variabel ID]]</f>
        <v>1</v>
      </c>
      <c r="E2496" s="171" t="b">
        <f>LineærRegression_Valg[[#This Row],[Afhængig variabel ID]]&lt;=$B$5</f>
        <v>0</v>
      </c>
      <c r="F2496" t="str" cm="1">
        <f t="array" ref="F2496">IF(LineærRegression_Valg[[#This Row],[Indenfor range]],INDEX(DataTitel_liste,LineærRegression_Valg[[#This Row],[Afhængig variabel ID]]),INDEX(DataTitel_liste,1))</f>
        <v>Eksempel 1 (interval)</v>
      </c>
      <c r="G2496" s="171" t="str" cm="1">
        <f t="array" ref="G2496">IF(LineærRegression_Valg[[#This Row],[Indenfor range]],IF(LineærRegression_Valg[[#This Row],[Intet overlap]],INDEX(DataTitel_liste,LineærRegression_Valg[[#This Row],[Uafhængig variabel ID]]),INDEX(DataTitel_liste,IF(LineærRegression_Valg[[#This Row],[Afhængig variabel ID]]=1,2,1))),$B$7)</f>
        <v>Eksempel 2 (interval)</v>
      </c>
      <c r="H2496" s="171">
        <f>_xlfn.AGGREGATE(2,5,LineærRegression_Valg[[#This Row],[Tabel ID]])</f>
        <v>1</v>
      </c>
    </row>
    <row r="2497" spans="1:8" x14ac:dyDescent="0.2">
      <c r="A2497">
        <f>ROW(LineærRegression_Valg[[#This Row],[Tabel ID]])-ROW(LineærRegression_Valg[[#Headers],[Tabel ID]])</f>
        <v>2487</v>
      </c>
      <c r="B2497" s="171">
        <f>ROUNDDOWN((LineærRegression_Valg[[#This Row],[Tabel ID]]-1)/$B$5,0)+1</f>
        <v>622</v>
      </c>
      <c r="C2497" s="171">
        <f t="shared" si="38"/>
        <v>3</v>
      </c>
      <c r="D2497" s="171" t="b">
        <f>LineærRegression_Valg[[#This Row],[Afhængig variabel ID]]&lt;&gt;LineærRegression_Valg[[#This Row],[Uafhængig variabel ID]]</f>
        <v>1</v>
      </c>
      <c r="E2497" s="171" t="b">
        <f>LineærRegression_Valg[[#This Row],[Afhængig variabel ID]]&lt;=$B$5</f>
        <v>0</v>
      </c>
      <c r="F2497" t="str" cm="1">
        <f t="array" ref="F2497">IF(LineærRegression_Valg[[#This Row],[Indenfor range]],INDEX(DataTitel_liste,LineærRegression_Valg[[#This Row],[Afhængig variabel ID]]),INDEX(DataTitel_liste,1))</f>
        <v>Eksempel 1 (interval)</v>
      </c>
      <c r="G2497" s="171" t="str" cm="1">
        <f t="array" ref="G2497">IF(LineærRegression_Valg[[#This Row],[Indenfor range]],IF(LineærRegression_Valg[[#This Row],[Intet overlap]],INDEX(DataTitel_liste,LineærRegression_Valg[[#This Row],[Uafhængig variabel ID]]),INDEX(DataTitel_liste,IF(LineærRegression_Valg[[#This Row],[Afhængig variabel ID]]=1,2,1))),$B$7)</f>
        <v>Eksempel 2 (interval)</v>
      </c>
      <c r="H2497" s="171">
        <f>_xlfn.AGGREGATE(2,5,LineærRegression_Valg[[#This Row],[Tabel ID]])</f>
        <v>1</v>
      </c>
    </row>
    <row r="2498" spans="1:8" x14ac:dyDescent="0.2">
      <c r="A2498">
        <f>ROW(LineærRegression_Valg[[#This Row],[Tabel ID]])-ROW(LineærRegression_Valg[[#Headers],[Tabel ID]])</f>
        <v>2488</v>
      </c>
      <c r="B2498" s="171">
        <f>ROUNDDOWN((LineærRegression_Valg[[#This Row],[Tabel ID]]-1)/$B$5,0)+1</f>
        <v>622</v>
      </c>
      <c r="C2498" s="171">
        <f t="shared" si="38"/>
        <v>4</v>
      </c>
      <c r="D2498" s="171" t="b">
        <f>LineærRegression_Valg[[#This Row],[Afhængig variabel ID]]&lt;&gt;LineærRegression_Valg[[#This Row],[Uafhængig variabel ID]]</f>
        <v>1</v>
      </c>
      <c r="E2498" s="171" t="b">
        <f>LineærRegression_Valg[[#This Row],[Afhængig variabel ID]]&lt;=$B$5</f>
        <v>0</v>
      </c>
      <c r="F2498" t="str" cm="1">
        <f t="array" ref="F2498">IF(LineærRegression_Valg[[#This Row],[Indenfor range]],INDEX(DataTitel_liste,LineærRegression_Valg[[#This Row],[Afhængig variabel ID]]),INDEX(DataTitel_liste,1))</f>
        <v>Eksempel 1 (interval)</v>
      </c>
      <c r="G2498" s="171" t="str" cm="1">
        <f t="array" ref="G2498">IF(LineærRegression_Valg[[#This Row],[Indenfor range]],IF(LineærRegression_Valg[[#This Row],[Intet overlap]],INDEX(DataTitel_liste,LineærRegression_Valg[[#This Row],[Uafhængig variabel ID]]),INDEX(DataTitel_liste,IF(LineærRegression_Valg[[#This Row],[Afhængig variabel ID]]=1,2,1))),$B$7)</f>
        <v>Eksempel 2 (interval)</v>
      </c>
      <c r="H2498" s="171">
        <f>_xlfn.AGGREGATE(2,5,LineærRegression_Valg[[#This Row],[Tabel ID]])</f>
        <v>1</v>
      </c>
    </row>
    <row r="2499" spans="1:8" x14ac:dyDescent="0.2">
      <c r="A2499">
        <f>ROW(LineærRegression_Valg[[#This Row],[Tabel ID]])-ROW(LineærRegression_Valg[[#Headers],[Tabel ID]])</f>
        <v>2489</v>
      </c>
      <c r="B2499" s="171">
        <f>ROUNDDOWN((LineærRegression_Valg[[#This Row],[Tabel ID]]-1)/$B$5,0)+1</f>
        <v>623</v>
      </c>
      <c r="C2499" s="171">
        <f t="shared" si="38"/>
        <v>1</v>
      </c>
      <c r="D2499" s="171" t="b">
        <f>LineærRegression_Valg[[#This Row],[Afhængig variabel ID]]&lt;&gt;LineærRegression_Valg[[#This Row],[Uafhængig variabel ID]]</f>
        <v>1</v>
      </c>
      <c r="E2499" s="171" t="b">
        <f>LineærRegression_Valg[[#This Row],[Afhængig variabel ID]]&lt;=$B$5</f>
        <v>0</v>
      </c>
      <c r="F2499" t="str" cm="1">
        <f t="array" ref="F2499">IF(LineærRegression_Valg[[#This Row],[Indenfor range]],INDEX(DataTitel_liste,LineærRegression_Valg[[#This Row],[Afhængig variabel ID]]),INDEX(DataTitel_liste,1))</f>
        <v>Eksempel 1 (interval)</v>
      </c>
      <c r="G2499" s="171" t="str" cm="1">
        <f t="array" ref="G2499">IF(LineærRegression_Valg[[#This Row],[Indenfor range]],IF(LineærRegression_Valg[[#This Row],[Intet overlap]],INDEX(DataTitel_liste,LineærRegression_Valg[[#This Row],[Uafhængig variabel ID]]),INDEX(DataTitel_liste,IF(LineærRegression_Valg[[#This Row],[Afhængig variabel ID]]=1,2,1))),$B$7)</f>
        <v>Eksempel 2 (interval)</v>
      </c>
      <c r="H2499" s="171">
        <f>_xlfn.AGGREGATE(2,5,LineærRegression_Valg[[#This Row],[Tabel ID]])</f>
        <v>1</v>
      </c>
    </row>
    <row r="2500" spans="1:8" x14ac:dyDescent="0.2">
      <c r="A2500">
        <f>ROW(LineærRegression_Valg[[#This Row],[Tabel ID]])-ROW(LineærRegression_Valg[[#Headers],[Tabel ID]])</f>
        <v>2490</v>
      </c>
      <c r="B2500" s="171">
        <f>ROUNDDOWN((LineærRegression_Valg[[#This Row],[Tabel ID]]-1)/$B$5,0)+1</f>
        <v>623</v>
      </c>
      <c r="C2500" s="171">
        <f t="shared" si="38"/>
        <v>2</v>
      </c>
      <c r="D2500" s="171" t="b">
        <f>LineærRegression_Valg[[#This Row],[Afhængig variabel ID]]&lt;&gt;LineærRegression_Valg[[#This Row],[Uafhængig variabel ID]]</f>
        <v>1</v>
      </c>
      <c r="E2500" s="171" t="b">
        <f>LineærRegression_Valg[[#This Row],[Afhængig variabel ID]]&lt;=$B$5</f>
        <v>0</v>
      </c>
      <c r="F2500" t="str" cm="1">
        <f t="array" ref="F2500">IF(LineærRegression_Valg[[#This Row],[Indenfor range]],INDEX(DataTitel_liste,LineærRegression_Valg[[#This Row],[Afhængig variabel ID]]),INDEX(DataTitel_liste,1))</f>
        <v>Eksempel 1 (interval)</v>
      </c>
      <c r="G2500" s="171" t="str" cm="1">
        <f t="array" ref="G2500">IF(LineærRegression_Valg[[#This Row],[Indenfor range]],IF(LineærRegression_Valg[[#This Row],[Intet overlap]],INDEX(DataTitel_liste,LineærRegression_Valg[[#This Row],[Uafhængig variabel ID]]),INDEX(DataTitel_liste,IF(LineærRegression_Valg[[#This Row],[Afhængig variabel ID]]=1,2,1))),$B$7)</f>
        <v>Eksempel 2 (interval)</v>
      </c>
      <c r="H2500" s="171">
        <f>_xlfn.AGGREGATE(2,5,LineærRegression_Valg[[#This Row],[Tabel ID]])</f>
        <v>1</v>
      </c>
    </row>
    <row r="2501" spans="1:8" x14ac:dyDescent="0.2">
      <c r="A2501">
        <f>ROW(LineærRegression_Valg[[#This Row],[Tabel ID]])-ROW(LineærRegression_Valg[[#Headers],[Tabel ID]])</f>
        <v>2491</v>
      </c>
      <c r="B2501" s="171">
        <f>ROUNDDOWN((LineærRegression_Valg[[#This Row],[Tabel ID]]-1)/$B$5,0)+1</f>
        <v>623</v>
      </c>
      <c r="C2501" s="171">
        <f t="shared" si="38"/>
        <v>3</v>
      </c>
      <c r="D2501" s="171" t="b">
        <f>LineærRegression_Valg[[#This Row],[Afhængig variabel ID]]&lt;&gt;LineærRegression_Valg[[#This Row],[Uafhængig variabel ID]]</f>
        <v>1</v>
      </c>
      <c r="E2501" s="171" t="b">
        <f>LineærRegression_Valg[[#This Row],[Afhængig variabel ID]]&lt;=$B$5</f>
        <v>0</v>
      </c>
      <c r="F2501" t="str" cm="1">
        <f t="array" ref="F2501">IF(LineærRegression_Valg[[#This Row],[Indenfor range]],INDEX(DataTitel_liste,LineærRegression_Valg[[#This Row],[Afhængig variabel ID]]),INDEX(DataTitel_liste,1))</f>
        <v>Eksempel 1 (interval)</v>
      </c>
      <c r="G2501" s="171" t="str" cm="1">
        <f t="array" ref="G2501">IF(LineærRegression_Valg[[#This Row],[Indenfor range]],IF(LineærRegression_Valg[[#This Row],[Intet overlap]],INDEX(DataTitel_liste,LineærRegression_Valg[[#This Row],[Uafhængig variabel ID]]),INDEX(DataTitel_liste,IF(LineærRegression_Valg[[#This Row],[Afhængig variabel ID]]=1,2,1))),$B$7)</f>
        <v>Eksempel 2 (interval)</v>
      </c>
      <c r="H2501" s="171">
        <f>_xlfn.AGGREGATE(2,5,LineærRegression_Valg[[#This Row],[Tabel ID]])</f>
        <v>1</v>
      </c>
    </row>
    <row r="2502" spans="1:8" x14ac:dyDescent="0.2">
      <c r="A2502">
        <f>ROW(LineærRegression_Valg[[#This Row],[Tabel ID]])-ROW(LineærRegression_Valg[[#Headers],[Tabel ID]])</f>
        <v>2492</v>
      </c>
      <c r="B2502" s="171">
        <f>ROUNDDOWN((LineærRegression_Valg[[#This Row],[Tabel ID]]-1)/$B$5,0)+1</f>
        <v>623</v>
      </c>
      <c r="C2502" s="171">
        <f t="shared" si="38"/>
        <v>4</v>
      </c>
      <c r="D2502" s="171" t="b">
        <f>LineærRegression_Valg[[#This Row],[Afhængig variabel ID]]&lt;&gt;LineærRegression_Valg[[#This Row],[Uafhængig variabel ID]]</f>
        <v>1</v>
      </c>
      <c r="E2502" s="171" t="b">
        <f>LineærRegression_Valg[[#This Row],[Afhængig variabel ID]]&lt;=$B$5</f>
        <v>0</v>
      </c>
      <c r="F2502" t="str" cm="1">
        <f t="array" ref="F2502">IF(LineærRegression_Valg[[#This Row],[Indenfor range]],INDEX(DataTitel_liste,LineærRegression_Valg[[#This Row],[Afhængig variabel ID]]),INDEX(DataTitel_liste,1))</f>
        <v>Eksempel 1 (interval)</v>
      </c>
      <c r="G2502" s="171" t="str" cm="1">
        <f t="array" ref="G2502">IF(LineærRegression_Valg[[#This Row],[Indenfor range]],IF(LineærRegression_Valg[[#This Row],[Intet overlap]],INDEX(DataTitel_liste,LineærRegression_Valg[[#This Row],[Uafhængig variabel ID]]),INDEX(DataTitel_liste,IF(LineærRegression_Valg[[#This Row],[Afhængig variabel ID]]=1,2,1))),$B$7)</f>
        <v>Eksempel 2 (interval)</v>
      </c>
      <c r="H2502" s="171">
        <f>_xlfn.AGGREGATE(2,5,LineærRegression_Valg[[#This Row],[Tabel ID]])</f>
        <v>1</v>
      </c>
    </row>
    <row r="2503" spans="1:8" x14ac:dyDescent="0.2">
      <c r="A2503">
        <f>ROW(LineærRegression_Valg[[#This Row],[Tabel ID]])-ROW(LineærRegression_Valg[[#Headers],[Tabel ID]])</f>
        <v>2493</v>
      </c>
      <c r="B2503" s="171">
        <f>ROUNDDOWN((LineærRegression_Valg[[#This Row],[Tabel ID]]-1)/$B$5,0)+1</f>
        <v>624</v>
      </c>
      <c r="C2503" s="171">
        <f t="shared" si="38"/>
        <v>1</v>
      </c>
      <c r="D2503" s="171" t="b">
        <f>LineærRegression_Valg[[#This Row],[Afhængig variabel ID]]&lt;&gt;LineærRegression_Valg[[#This Row],[Uafhængig variabel ID]]</f>
        <v>1</v>
      </c>
      <c r="E2503" s="171" t="b">
        <f>LineærRegression_Valg[[#This Row],[Afhængig variabel ID]]&lt;=$B$5</f>
        <v>0</v>
      </c>
      <c r="F2503" t="str" cm="1">
        <f t="array" ref="F2503">IF(LineærRegression_Valg[[#This Row],[Indenfor range]],INDEX(DataTitel_liste,LineærRegression_Valg[[#This Row],[Afhængig variabel ID]]),INDEX(DataTitel_liste,1))</f>
        <v>Eksempel 1 (interval)</v>
      </c>
      <c r="G2503" s="171" t="str" cm="1">
        <f t="array" ref="G2503">IF(LineærRegression_Valg[[#This Row],[Indenfor range]],IF(LineærRegression_Valg[[#This Row],[Intet overlap]],INDEX(DataTitel_liste,LineærRegression_Valg[[#This Row],[Uafhængig variabel ID]]),INDEX(DataTitel_liste,IF(LineærRegression_Valg[[#This Row],[Afhængig variabel ID]]=1,2,1))),$B$7)</f>
        <v>Eksempel 2 (interval)</v>
      </c>
      <c r="H2503" s="171">
        <f>_xlfn.AGGREGATE(2,5,LineærRegression_Valg[[#This Row],[Tabel ID]])</f>
        <v>1</v>
      </c>
    </row>
    <row r="2504" spans="1:8" x14ac:dyDescent="0.2">
      <c r="A2504">
        <f>ROW(LineærRegression_Valg[[#This Row],[Tabel ID]])-ROW(LineærRegression_Valg[[#Headers],[Tabel ID]])</f>
        <v>2494</v>
      </c>
      <c r="B2504" s="171">
        <f>ROUNDDOWN((LineærRegression_Valg[[#This Row],[Tabel ID]]-1)/$B$5,0)+1</f>
        <v>624</v>
      </c>
      <c r="C2504" s="171">
        <f t="shared" si="38"/>
        <v>2</v>
      </c>
      <c r="D2504" s="171" t="b">
        <f>LineærRegression_Valg[[#This Row],[Afhængig variabel ID]]&lt;&gt;LineærRegression_Valg[[#This Row],[Uafhængig variabel ID]]</f>
        <v>1</v>
      </c>
      <c r="E2504" s="171" t="b">
        <f>LineærRegression_Valg[[#This Row],[Afhængig variabel ID]]&lt;=$B$5</f>
        <v>0</v>
      </c>
      <c r="F2504" t="str" cm="1">
        <f t="array" ref="F2504">IF(LineærRegression_Valg[[#This Row],[Indenfor range]],INDEX(DataTitel_liste,LineærRegression_Valg[[#This Row],[Afhængig variabel ID]]),INDEX(DataTitel_liste,1))</f>
        <v>Eksempel 1 (interval)</v>
      </c>
      <c r="G2504" s="171" t="str" cm="1">
        <f t="array" ref="G2504">IF(LineærRegression_Valg[[#This Row],[Indenfor range]],IF(LineærRegression_Valg[[#This Row],[Intet overlap]],INDEX(DataTitel_liste,LineærRegression_Valg[[#This Row],[Uafhængig variabel ID]]),INDEX(DataTitel_liste,IF(LineærRegression_Valg[[#This Row],[Afhængig variabel ID]]=1,2,1))),$B$7)</f>
        <v>Eksempel 2 (interval)</v>
      </c>
      <c r="H2504" s="171">
        <f>_xlfn.AGGREGATE(2,5,LineærRegression_Valg[[#This Row],[Tabel ID]])</f>
        <v>1</v>
      </c>
    </row>
    <row r="2505" spans="1:8" x14ac:dyDescent="0.2">
      <c r="A2505">
        <f>ROW(LineærRegression_Valg[[#This Row],[Tabel ID]])-ROW(LineærRegression_Valg[[#Headers],[Tabel ID]])</f>
        <v>2495</v>
      </c>
      <c r="B2505" s="171">
        <f>ROUNDDOWN((LineærRegression_Valg[[#This Row],[Tabel ID]]-1)/$B$5,0)+1</f>
        <v>624</v>
      </c>
      <c r="C2505" s="171">
        <f t="shared" si="38"/>
        <v>3</v>
      </c>
      <c r="D2505" s="171" t="b">
        <f>LineærRegression_Valg[[#This Row],[Afhængig variabel ID]]&lt;&gt;LineærRegression_Valg[[#This Row],[Uafhængig variabel ID]]</f>
        <v>1</v>
      </c>
      <c r="E2505" s="171" t="b">
        <f>LineærRegression_Valg[[#This Row],[Afhængig variabel ID]]&lt;=$B$5</f>
        <v>0</v>
      </c>
      <c r="F2505" t="str" cm="1">
        <f t="array" ref="F2505">IF(LineærRegression_Valg[[#This Row],[Indenfor range]],INDEX(DataTitel_liste,LineærRegression_Valg[[#This Row],[Afhængig variabel ID]]),INDEX(DataTitel_liste,1))</f>
        <v>Eksempel 1 (interval)</v>
      </c>
      <c r="G2505" s="171" t="str" cm="1">
        <f t="array" ref="G2505">IF(LineærRegression_Valg[[#This Row],[Indenfor range]],IF(LineærRegression_Valg[[#This Row],[Intet overlap]],INDEX(DataTitel_liste,LineærRegression_Valg[[#This Row],[Uafhængig variabel ID]]),INDEX(DataTitel_liste,IF(LineærRegression_Valg[[#This Row],[Afhængig variabel ID]]=1,2,1))),$B$7)</f>
        <v>Eksempel 2 (interval)</v>
      </c>
      <c r="H2505" s="171">
        <f>_xlfn.AGGREGATE(2,5,LineærRegression_Valg[[#This Row],[Tabel ID]])</f>
        <v>1</v>
      </c>
    </row>
    <row r="2506" spans="1:8" x14ac:dyDescent="0.2">
      <c r="A2506">
        <f>ROW(LineærRegression_Valg[[#This Row],[Tabel ID]])-ROW(LineærRegression_Valg[[#Headers],[Tabel ID]])</f>
        <v>2496</v>
      </c>
      <c r="B2506" s="171">
        <f>ROUNDDOWN((LineærRegression_Valg[[#This Row],[Tabel ID]]-1)/$B$5,0)+1</f>
        <v>624</v>
      </c>
      <c r="C2506" s="171">
        <f t="shared" si="38"/>
        <v>4</v>
      </c>
      <c r="D2506" s="171" t="b">
        <f>LineærRegression_Valg[[#This Row],[Afhængig variabel ID]]&lt;&gt;LineærRegression_Valg[[#This Row],[Uafhængig variabel ID]]</f>
        <v>1</v>
      </c>
      <c r="E2506" s="171" t="b">
        <f>LineærRegression_Valg[[#This Row],[Afhængig variabel ID]]&lt;=$B$5</f>
        <v>0</v>
      </c>
      <c r="F2506" t="str" cm="1">
        <f t="array" ref="F2506">IF(LineærRegression_Valg[[#This Row],[Indenfor range]],INDEX(DataTitel_liste,LineærRegression_Valg[[#This Row],[Afhængig variabel ID]]),INDEX(DataTitel_liste,1))</f>
        <v>Eksempel 1 (interval)</v>
      </c>
      <c r="G2506" s="171" t="str" cm="1">
        <f t="array" ref="G2506">IF(LineærRegression_Valg[[#This Row],[Indenfor range]],IF(LineærRegression_Valg[[#This Row],[Intet overlap]],INDEX(DataTitel_liste,LineærRegression_Valg[[#This Row],[Uafhængig variabel ID]]),INDEX(DataTitel_liste,IF(LineærRegression_Valg[[#This Row],[Afhængig variabel ID]]=1,2,1))),$B$7)</f>
        <v>Eksempel 2 (interval)</v>
      </c>
      <c r="H2506" s="171">
        <f>_xlfn.AGGREGATE(2,5,LineærRegression_Valg[[#This Row],[Tabel ID]])</f>
        <v>1</v>
      </c>
    </row>
    <row r="2507" spans="1:8" x14ac:dyDescent="0.2">
      <c r="A2507">
        <f>ROW(LineærRegression_Valg[[#This Row],[Tabel ID]])-ROW(LineærRegression_Valg[[#Headers],[Tabel ID]])</f>
        <v>2497</v>
      </c>
      <c r="B2507" s="171">
        <f>ROUNDDOWN((LineærRegression_Valg[[#This Row],[Tabel ID]]-1)/$B$5,0)+1</f>
        <v>625</v>
      </c>
      <c r="C2507" s="171">
        <f t="shared" si="38"/>
        <v>1</v>
      </c>
      <c r="D2507" s="171" t="b">
        <f>LineærRegression_Valg[[#This Row],[Afhængig variabel ID]]&lt;&gt;LineærRegression_Valg[[#This Row],[Uafhængig variabel ID]]</f>
        <v>1</v>
      </c>
      <c r="E2507" s="171" t="b">
        <f>LineærRegression_Valg[[#This Row],[Afhængig variabel ID]]&lt;=$B$5</f>
        <v>0</v>
      </c>
      <c r="F2507" t="str" cm="1">
        <f t="array" ref="F2507">IF(LineærRegression_Valg[[#This Row],[Indenfor range]],INDEX(DataTitel_liste,LineærRegression_Valg[[#This Row],[Afhængig variabel ID]]),INDEX(DataTitel_liste,1))</f>
        <v>Eksempel 1 (interval)</v>
      </c>
      <c r="G2507" s="171" t="str" cm="1">
        <f t="array" ref="G2507">IF(LineærRegression_Valg[[#This Row],[Indenfor range]],IF(LineærRegression_Valg[[#This Row],[Intet overlap]],INDEX(DataTitel_liste,LineærRegression_Valg[[#This Row],[Uafhængig variabel ID]]),INDEX(DataTitel_liste,IF(LineærRegression_Valg[[#This Row],[Afhængig variabel ID]]=1,2,1))),$B$7)</f>
        <v>Eksempel 2 (interval)</v>
      </c>
      <c r="H2507" s="171">
        <f>_xlfn.AGGREGATE(2,5,LineærRegression_Valg[[#This Row],[Tabel ID]])</f>
        <v>1</v>
      </c>
    </row>
    <row r="2508" spans="1:8" x14ac:dyDescent="0.2">
      <c r="A2508">
        <f>ROW(LineærRegression_Valg[[#This Row],[Tabel ID]])-ROW(LineærRegression_Valg[[#Headers],[Tabel ID]])</f>
        <v>2498</v>
      </c>
      <c r="B2508" s="171">
        <f>ROUNDDOWN((LineærRegression_Valg[[#This Row],[Tabel ID]]-1)/$B$5,0)+1</f>
        <v>625</v>
      </c>
      <c r="C2508" s="171">
        <f t="shared" si="38"/>
        <v>2</v>
      </c>
      <c r="D2508" s="171" t="b">
        <f>LineærRegression_Valg[[#This Row],[Afhængig variabel ID]]&lt;&gt;LineærRegression_Valg[[#This Row],[Uafhængig variabel ID]]</f>
        <v>1</v>
      </c>
      <c r="E2508" s="171" t="b">
        <f>LineærRegression_Valg[[#This Row],[Afhængig variabel ID]]&lt;=$B$5</f>
        <v>0</v>
      </c>
      <c r="F2508" t="str" cm="1">
        <f t="array" ref="F2508">IF(LineærRegression_Valg[[#This Row],[Indenfor range]],INDEX(DataTitel_liste,LineærRegression_Valg[[#This Row],[Afhængig variabel ID]]),INDEX(DataTitel_liste,1))</f>
        <v>Eksempel 1 (interval)</v>
      </c>
      <c r="G2508" s="171" t="str" cm="1">
        <f t="array" ref="G2508">IF(LineærRegression_Valg[[#This Row],[Indenfor range]],IF(LineærRegression_Valg[[#This Row],[Intet overlap]],INDEX(DataTitel_liste,LineærRegression_Valg[[#This Row],[Uafhængig variabel ID]]),INDEX(DataTitel_liste,IF(LineærRegression_Valg[[#This Row],[Afhængig variabel ID]]=1,2,1))),$B$7)</f>
        <v>Eksempel 2 (interval)</v>
      </c>
      <c r="H2508" s="171">
        <f>_xlfn.AGGREGATE(2,5,LineærRegression_Valg[[#This Row],[Tabel ID]])</f>
        <v>1</v>
      </c>
    </row>
    <row r="2509" spans="1:8" x14ac:dyDescent="0.2">
      <c r="A2509">
        <f>ROW(LineærRegression_Valg[[#This Row],[Tabel ID]])-ROW(LineærRegression_Valg[[#Headers],[Tabel ID]])</f>
        <v>2499</v>
      </c>
      <c r="B2509" s="171">
        <f>ROUNDDOWN((LineærRegression_Valg[[#This Row],[Tabel ID]]-1)/$B$5,0)+1</f>
        <v>625</v>
      </c>
      <c r="C2509" s="171">
        <f t="shared" si="38"/>
        <v>3</v>
      </c>
      <c r="D2509" s="171" t="b">
        <f>LineærRegression_Valg[[#This Row],[Afhængig variabel ID]]&lt;&gt;LineærRegression_Valg[[#This Row],[Uafhængig variabel ID]]</f>
        <v>1</v>
      </c>
      <c r="E2509" s="171" t="b">
        <f>LineærRegression_Valg[[#This Row],[Afhængig variabel ID]]&lt;=$B$5</f>
        <v>0</v>
      </c>
      <c r="F2509" t="str" cm="1">
        <f t="array" ref="F2509">IF(LineærRegression_Valg[[#This Row],[Indenfor range]],INDEX(DataTitel_liste,LineærRegression_Valg[[#This Row],[Afhængig variabel ID]]),INDEX(DataTitel_liste,1))</f>
        <v>Eksempel 1 (interval)</v>
      </c>
      <c r="G2509" s="171" t="str" cm="1">
        <f t="array" ref="G2509">IF(LineærRegression_Valg[[#This Row],[Indenfor range]],IF(LineærRegression_Valg[[#This Row],[Intet overlap]],INDEX(DataTitel_liste,LineærRegression_Valg[[#This Row],[Uafhængig variabel ID]]),INDEX(DataTitel_liste,IF(LineærRegression_Valg[[#This Row],[Afhængig variabel ID]]=1,2,1))),$B$7)</f>
        <v>Eksempel 2 (interval)</v>
      </c>
      <c r="H2509" s="171">
        <f>_xlfn.AGGREGATE(2,5,LineærRegression_Valg[[#This Row],[Tabel ID]])</f>
        <v>1</v>
      </c>
    </row>
    <row r="2510" spans="1:8" x14ac:dyDescent="0.2">
      <c r="A2510">
        <f>ROW(LineærRegression_Valg[[#This Row],[Tabel ID]])-ROW(LineærRegression_Valg[[#Headers],[Tabel ID]])</f>
        <v>2500</v>
      </c>
      <c r="B2510" s="171">
        <f>ROUNDDOWN((LineærRegression_Valg[[#This Row],[Tabel ID]]-1)/$B$5,0)+1</f>
        <v>625</v>
      </c>
      <c r="C2510" s="171">
        <f t="shared" si="38"/>
        <v>4</v>
      </c>
      <c r="D2510" s="171" t="b">
        <f>LineærRegression_Valg[[#This Row],[Afhængig variabel ID]]&lt;&gt;LineærRegression_Valg[[#This Row],[Uafhængig variabel ID]]</f>
        <v>1</v>
      </c>
      <c r="E2510" s="171" t="b">
        <f>LineærRegression_Valg[[#This Row],[Afhængig variabel ID]]&lt;=$B$5</f>
        <v>0</v>
      </c>
      <c r="F2510" t="str" cm="1">
        <f t="array" ref="F2510">IF(LineærRegression_Valg[[#This Row],[Indenfor range]],INDEX(DataTitel_liste,LineærRegression_Valg[[#This Row],[Afhængig variabel ID]]),INDEX(DataTitel_liste,1))</f>
        <v>Eksempel 1 (interval)</v>
      </c>
      <c r="G2510" s="171" t="str" cm="1">
        <f t="array" ref="G2510">IF(LineærRegression_Valg[[#This Row],[Indenfor range]],IF(LineærRegression_Valg[[#This Row],[Intet overlap]],INDEX(DataTitel_liste,LineærRegression_Valg[[#This Row],[Uafhængig variabel ID]]),INDEX(DataTitel_liste,IF(LineærRegression_Valg[[#This Row],[Afhængig variabel ID]]=1,2,1))),$B$7)</f>
        <v>Eksempel 2 (interval)</v>
      </c>
      <c r="H2510" s="171">
        <f>_xlfn.AGGREGATE(2,5,LineærRegression_Valg[[#This Row],[Tabel ID]])</f>
        <v>1</v>
      </c>
    </row>
    <row r="2515" spans="2:8" x14ac:dyDescent="0.2">
      <c r="B2515" s="171"/>
      <c r="C2515" s="171"/>
      <c r="D2515" s="171"/>
      <c r="E2515" s="171"/>
      <c r="F2515" s="171"/>
      <c r="G2515" s="171"/>
      <c r="H2515" s="171"/>
    </row>
  </sheetData>
  <phoneticPr fontId="15"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0EA9AD-CDED-4F12-BB5D-3D09780406BE}">
  <sheetPr codeName="Sheet12"/>
  <dimension ref="A1:D17"/>
  <sheetViews>
    <sheetView workbookViewId="0"/>
  </sheetViews>
  <sheetFormatPr defaultRowHeight="14.25" x14ac:dyDescent="0.2"/>
  <sheetData>
    <row r="1" spans="1:4" x14ac:dyDescent="0.2">
      <c r="A1" t="s">
        <v>779</v>
      </c>
    </row>
    <row r="2" spans="1:4" x14ac:dyDescent="0.2">
      <c r="A2" s="119" t="s">
        <v>780</v>
      </c>
      <c r="B2" t="s">
        <v>810</v>
      </c>
      <c r="C2" t="s">
        <v>812</v>
      </c>
      <c r="D2" t="s">
        <v>813</v>
      </c>
    </row>
    <row r="3" spans="1:4" x14ac:dyDescent="0.2">
      <c r="A3" s="42" t="str" cm="1">
        <f t="array" ref="A3:A8">INDEX(_xlfn.ANCHORARRAY(LineærRegression!ET11),1,_xlfn.ANCHORARRAY(LineærRegression!CG10))</f>
        <v>Eksempel 2 (interval)</v>
      </c>
      <c r="B3" cm="1">
        <f t="array" ref="B3">ROUND(_xlfn.ANCHORARRAY(LineærRegression!DK10),2)</f>
        <v>0.2</v>
      </c>
      <c r="C3" t="str" cm="1">
        <f t="array" ref="C3">_xlfn.ANCHORARRAY(LineærRegression!DO10)</f>
        <v>Eksempel 3 (nominal)</v>
      </c>
      <c r="D3" t="str" cm="1">
        <f t="array" ref="D3">_xlfn.ANCHORARRAY(LineærRegression!DR10)</f>
        <v>Eksempel 2 (interval)</v>
      </c>
    </row>
    <row r="4" spans="1:4" x14ac:dyDescent="0.2">
      <c r="A4" s="42" t="str">
        <v>Eksempel 2 (interval)</v>
      </c>
    </row>
    <row r="5" spans="1:4" x14ac:dyDescent="0.2">
      <c r="A5" s="42" t="str">
        <v>Eksempel 2 (interval)</v>
      </c>
    </row>
    <row r="6" spans="1:4" x14ac:dyDescent="0.2">
      <c r="A6" s="42" t="str">
        <v>Eksempel 3 (nominal)</v>
      </c>
    </row>
    <row r="7" spans="1:4" x14ac:dyDescent="0.2">
      <c r="A7" s="42" t="str">
        <v>Eksempel 3 (nominal)</v>
      </c>
    </row>
    <row r="8" spans="1:4" x14ac:dyDescent="0.2">
      <c r="A8" s="42" t="str">
        <v>Eksempel 3 (nominal)</v>
      </c>
    </row>
    <row r="9" spans="1:4" x14ac:dyDescent="0.2">
      <c r="A9" s="42"/>
    </row>
    <row r="10" spans="1:4" x14ac:dyDescent="0.2">
      <c r="A10" s="42"/>
    </row>
    <row r="11" spans="1:4" x14ac:dyDescent="0.2">
      <c r="A11" s="42"/>
    </row>
    <row r="12" spans="1:4" x14ac:dyDescent="0.2">
      <c r="A12" s="42"/>
    </row>
    <row r="13" spans="1:4" x14ac:dyDescent="0.2">
      <c r="A13" s="42"/>
    </row>
    <row r="14" spans="1:4" x14ac:dyDescent="0.2">
      <c r="A14" s="42"/>
    </row>
    <row r="15" spans="1:4" x14ac:dyDescent="0.2">
      <c r="A15" s="42"/>
    </row>
    <row r="16" spans="1:4" x14ac:dyDescent="0.2">
      <c r="A16" s="42"/>
    </row>
    <row r="17" spans="1:1" x14ac:dyDescent="0.2">
      <c r="A17" s="4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CA1DF-FBA4-4C89-A7E1-F2AE14752666}">
  <sheetPr codeName="Sheet13">
    <tabColor theme="9"/>
  </sheetPr>
  <dimension ref="A1:CU2735"/>
  <sheetViews>
    <sheetView showGridLines="0" zoomScaleNormal="100" workbookViewId="0"/>
  </sheetViews>
  <sheetFormatPr defaultRowHeight="14.25" x14ac:dyDescent="0.2"/>
  <cols>
    <col min="1" max="1" width="46.625" customWidth="1"/>
    <col min="2" max="5" width="33.5" customWidth="1"/>
    <col min="6" max="6" width="4.125" customWidth="1"/>
    <col min="7" max="7" width="46.625" customWidth="1"/>
    <col min="8" max="8" width="33.5" customWidth="1"/>
    <col min="9" max="9" width="20.25" customWidth="1"/>
    <col min="10" max="10" width="46.625" customWidth="1"/>
    <col min="11" max="11" width="33.5" customWidth="1"/>
    <col min="12" max="42" width="13.25" customWidth="1"/>
    <col min="43" max="43" width="43.125" bestFit="1" customWidth="1"/>
    <col min="44" max="44" width="10.625" bestFit="1" customWidth="1"/>
    <col min="45" max="45" width="15.375" bestFit="1" customWidth="1"/>
    <col min="46" max="46" width="13.75" bestFit="1" customWidth="1"/>
    <col min="47" max="48" width="14.625" bestFit="1" customWidth="1"/>
    <col min="49" max="49" width="10.625" bestFit="1" customWidth="1"/>
    <col min="50" max="51" width="15.625" bestFit="1" customWidth="1"/>
    <col min="52" max="52" width="31.125" bestFit="1" customWidth="1"/>
    <col min="53" max="53" width="94.875" bestFit="1" customWidth="1"/>
    <col min="54" max="54" width="14.875" bestFit="1" customWidth="1"/>
    <col min="55" max="55" width="17.875" bestFit="1" customWidth="1"/>
    <col min="56" max="56" width="6.5" bestFit="1" customWidth="1"/>
    <col min="57" max="57" width="23.25" bestFit="1" customWidth="1"/>
    <col min="58" max="58" width="24.5" bestFit="1" customWidth="1"/>
    <col min="59" max="59" width="18.5" bestFit="1" customWidth="1"/>
    <col min="60" max="60" width="19.625" bestFit="1" customWidth="1"/>
    <col min="61" max="61" width="18.25" bestFit="1" customWidth="1"/>
    <col min="62" max="62" width="27.375" bestFit="1" customWidth="1"/>
    <col min="63" max="63" width="14" bestFit="1" customWidth="1"/>
    <col min="64" max="64" width="31.5" bestFit="1" customWidth="1"/>
    <col min="65" max="65" width="11.25" bestFit="1" customWidth="1"/>
    <col min="66" max="66" width="27.875" bestFit="1" customWidth="1"/>
    <col min="67" max="68" width="17.625" bestFit="1" customWidth="1"/>
    <col min="69" max="69" width="20.75" bestFit="1" customWidth="1"/>
    <col min="70" max="71" width="18.75" bestFit="1" customWidth="1"/>
    <col min="72" max="72" width="22" bestFit="1" customWidth="1"/>
    <col min="73" max="73" width="12.375" bestFit="1" customWidth="1"/>
    <col min="74" max="74" width="15.625" bestFit="1" customWidth="1"/>
    <col min="75" max="75" width="17" bestFit="1" customWidth="1"/>
    <col min="76" max="77" width="18.5" bestFit="1" customWidth="1"/>
    <col min="78" max="78" width="21.75" bestFit="1" customWidth="1"/>
    <col min="79" max="79" width="27.125" bestFit="1" customWidth="1"/>
    <col min="80" max="80" width="17.375" bestFit="1" customWidth="1"/>
    <col min="81" max="81" width="113.75" bestFit="1" customWidth="1"/>
    <col min="82" max="82" width="19" bestFit="1" customWidth="1"/>
    <col min="83" max="84" width="14" bestFit="1" customWidth="1"/>
    <col min="85" max="85" width="17.375" bestFit="1" customWidth="1"/>
    <col min="86" max="86" width="22.875" bestFit="1" customWidth="1"/>
    <col min="87" max="87" width="15.625" bestFit="1" customWidth="1"/>
    <col min="88" max="88" width="58" customWidth="1"/>
    <col min="89" max="89" width="18.75" bestFit="1" customWidth="1"/>
    <col min="90" max="90" width="14" bestFit="1" customWidth="1"/>
    <col min="91" max="91" width="15.375" bestFit="1" customWidth="1"/>
    <col min="92" max="92" width="17.125" bestFit="1" customWidth="1"/>
    <col min="93" max="93" width="22.625" bestFit="1" customWidth="1"/>
    <col min="94" max="94" width="15.375" bestFit="1" customWidth="1"/>
    <col min="95" max="95" width="39.125" bestFit="1" customWidth="1"/>
    <col min="96" max="96" width="45.125" customWidth="1"/>
  </cols>
  <sheetData>
    <row r="1" spans="1:99" s="1" customFormat="1" ht="18.75" x14ac:dyDescent="0.2">
      <c r="A1" s="109" t="s">
        <v>356</v>
      </c>
      <c r="B1" s="110" t="s">
        <v>355</v>
      </c>
    </row>
    <row r="2" spans="1:99" x14ac:dyDescent="0.2">
      <c r="A2" s="65" t="s">
        <v>1068</v>
      </c>
      <c r="B2" s="42"/>
    </row>
    <row r="4" spans="1:99" x14ac:dyDescent="0.2">
      <c r="A4" s="47" t="s">
        <v>899</v>
      </c>
      <c r="C4" s="3" t="s">
        <v>1106</v>
      </c>
    </row>
    <row r="5" spans="1:99" x14ac:dyDescent="0.2">
      <c r="A5" s="57" t="s">
        <v>4</v>
      </c>
      <c r="B5" s="43">
        <v>0.95</v>
      </c>
    </row>
    <row r="7" spans="1:99" x14ac:dyDescent="0.2">
      <c r="A7" s="45" t="s">
        <v>1093</v>
      </c>
      <c r="BE7" s="91"/>
    </row>
    <row r="8" spans="1:99" x14ac:dyDescent="0.2">
      <c r="AQ8" s="90" t="s">
        <v>990</v>
      </c>
      <c r="AR8" s="90" t="s">
        <v>987</v>
      </c>
      <c r="AS8" s="90" t="s">
        <v>988</v>
      </c>
      <c r="AT8" s="90" t="s">
        <v>989</v>
      </c>
      <c r="AU8" s="90" t="s">
        <v>991</v>
      </c>
      <c r="AV8" s="90" t="s">
        <v>992</v>
      </c>
      <c r="AW8" s="186" t="s">
        <v>893</v>
      </c>
      <c r="AX8" s="186" t="s">
        <v>998</v>
      </c>
      <c r="AY8" s="186" t="s">
        <v>999</v>
      </c>
      <c r="AZ8" s="186" t="s">
        <v>993</v>
      </c>
      <c r="BA8" s="90" t="s">
        <v>1022</v>
      </c>
      <c r="BB8" s="186" t="s">
        <v>1006</v>
      </c>
      <c r="BC8" s="186" t="s">
        <v>1005</v>
      </c>
      <c r="BD8" s="186" t="s">
        <v>798</v>
      </c>
      <c r="BE8" s="186" t="s">
        <v>1028</v>
      </c>
      <c r="BF8" s="186" t="s">
        <v>1029</v>
      </c>
      <c r="BG8" s="186" t="s">
        <v>1007</v>
      </c>
      <c r="BH8" s="186" t="s">
        <v>1008</v>
      </c>
      <c r="BI8" s="186" t="s">
        <v>369</v>
      </c>
      <c r="BJ8" s="186" t="s">
        <v>1009</v>
      </c>
      <c r="BK8" s="186" t="s">
        <v>333</v>
      </c>
      <c r="BL8" s="186" t="s">
        <v>1010</v>
      </c>
      <c r="BM8" s="186" t="s">
        <v>1027</v>
      </c>
      <c r="BN8" s="186" t="s">
        <v>1026</v>
      </c>
      <c r="BO8" s="186" t="s">
        <v>1014</v>
      </c>
      <c r="BP8" s="186" t="s">
        <v>1015</v>
      </c>
      <c r="BQ8" s="186" t="s">
        <v>1013</v>
      </c>
      <c r="BR8" s="186" t="s">
        <v>1016</v>
      </c>
      <c r="BS8" s="186" t="s">
        <v>1017</v>
      </c>
      <c r="BT8" s="186" t="s">
        <v>1018</v>
      </c>
      <c r="BU8" s="186" t="s">
        <v>1019</v>
      </c>
      <c r="BV8" s="186" t="s">
        <v>1020</v>
      </c>
      <c r="BW8" s="186" t="s">
        <v>1021</v>
      </c>
      <c r="BX8" s="186" t="s">
        <v>1030</v>
      </c>
      <c r="BY8" s="186" t="s">
        <v>1031</v>
      </c>
      <c r="BZ8" s="186" t="s">
        <v>1032</v>
      </c>
      <c r="CA8" s="186" t="s">
        <v>1033</v>
      </c>
      <c r="CB8" s="186" t="s">
        <v>1073</v>
      </c>
      <c r="CC8" s="90" t="s">
        <v>1036</v>
      </c>
      <c r="CD8" s="186" t="s">
        <v>1045</v>
      </c>
      <c r="CE8" s="186" t="s">
        <v>17</v>
      </c>
      <c r="CF8" s="186" t="s">
        <v>1043</v>
      </c>
      <c r="CG8" s="186" t="s">
        <v>1041</v>
      </c>
      <c r="CH8" s="186" t="s">
        <v>1042</v>
      </c>
      <c r="CI8" s="186" t="s">
        <v>1046</v>
      </c>
      <c r="CJ8" s="90" t="s">
        <v>1064</v>
      </c>
      <c r="CK8" s="186" t="s">
        <v>1055</v>
      </c>
      <c r="CL8" s="186" t="s">
        <v>17</v>
      </c>
      <c r="CM8" s="186" t="s">
        <v>1060</v>
      </c>
      <c r="CN8" s="186" t="s">
        <v>1056</v>
      </c>
      <c r="CO8" s="186" t="s">
        <v>1057</v>
      </c>
      <c r="CP8" s="186" t="s">
        <v>1058</v>
      </c>
      <c r="CQ8" s="90" t="s">
        <v>280</v>
      </c>
      <c r="CS8" s="45" t="s">
        <v>1071</v>
      </c>
    </row>
    <row r="9" spans="1:99" x14ac:dyDescent="0.2">
      <c r="AQ9" s="98" t="s">
        <v>1002</v>
      </c>
      <c r="AR9" cm="1">
        <f t="array" ref="AR9:AR2735">_xlfn.SEQUENCE(AQ29)</f>
        <v>1</v>
      </c>
      <c r="AS9" cm="1">
        <f t="array" ref="AS9:AS2735">_xlfn.LET(_xlpm.a,MOD(_xlfn.ANCHORARRAY(AR9),AQ27+1),IF(_xlpm.a=0,NA(),_xlpm.a))</f>
        <v>1</v>
      </c>
      <c r="AT9" cm="1">
        <f t="array" ref="AT9:AT2735">IF(ISNA(_xlfn.ANCHORARRAY(AS9)),NA(),ROUNDUP(_xlfn.ANCHORARRAY(AR9)/(AQ27+1),0))</f>
        <v>1</v>
      </c>
      <c r="AU9" cm="1">
        <f t="array" ref="AU9:AU2735">AQ15+AQ19/(AQ27-1)*(_xlfn.ANCHORARRAY(AS9)-1)</f>
        <v>-11.066593778562057</v>
      </c>
      <c r="AV9" cm="1">
        <f t="array" ref="AV9:AV2735">_xlfn.NORM.DIST(_xlfn.ANCHORARRAY(AU9),INDEX(_xlfn.ANCHORARRAY(CS12),,_xlfn.ANCHORARRAY(AT9)),INDEX(_xlfn.ANCHORARRAY(CS17),,_xlfn.ANCHORARRAY(AT9)),FALSE)</f>
        <v>1.0290193250511765E-3</v>
      </c>
      <c r="AW9" cm="1">
        <f t="array" ref="AW9:AW11">_xlfn.SEQUENCE(CQ9)</f>
        <v>1</v>
      </c>
      <c r="AX9" cm="1">
        <f t="array" ref="AX9:AX11">TRANSPOSE(_xlfn.ANCHORARRAY(CS12))</f>
        <v>1.8540044183209705</v>
      </c>
      <c r="AY9" cm="1">
        <f t="array" ref="AY9:AY11">_xlfn.MAXIFS(_xlfn.ANCHORARRAY(AV9),_xlfn.ANCHORARRAY(AT9),_xlfn.ANCHORARRAY(AW9))</f>
        <v>9.2628974814029333E-2</v>
      </c>
      <c r="AZ9" t="str" cm="1">
        <f t="array" ref="AZ9:AZ11">TRANSPOSE(_xlfn.ANCHORARRAY(CS9)&amp;"
N(μ="&amp;_xlfn.ANCHORARRAY(CS20)&amp;";σ="&amp;_xlfn.ANCHORARRAY(CS21)&amp;")")</f>
        <v>Eksempel 1 (interval)
N(μ=1.854;σ=4.307)</v>
      </c>
      <c r="BA9" s="98" t="str">
        <f>"Multiple sammenligninger med bonferroni justering
Der er "&amp;BA27&amp;" par variable med signifikant forskellige gennemsnit"</f>
        <v>Multiple sammenligninger med bonferroni justering
Der er 0 par variable med signifikant forskellige gennemsnit</v>
      </c>
      <c r="BB9" cm="1">
        <f t="array" ref="BB9:BB11">_xlfn.SEQUENCE(CQ9)</f>
        <v>1</v>
      </c>
      <c r="BC9" cm="1">
        <f t="array" ref="BC9:BC11">_xlfn.ANCHORARRAY(BB9)*(_xlfn.ANCHORARRAY(BB9)-1)/2</f>
        <v>0</v>
      </c>
      <c r="BD9" cm="1">
        <f t="array" ref="BD9:BD11">_xlfn.SEQUENCE(BA15,,0)</f>
        <v>0</v>
      </c>
      <c r="BE9" cm="1">
        <f t="array" ref="BE9:BE11">MATCH(_xlfn.ANCHORARRAY(BD9),_xlfn.ANCHORARRAY(BC9),1)</f>
        <v>1</v>
      </c>
      <c r="BF9" cm="1">
        <f t="array" ref="BF9:BF11">_xlfn.ANCHORARRAY(BD9)-INDEX(_xlfn.ANCHORARRAY(BC9),_xlfn.ANCHORARRAY(BE9))+1</f>
        <v>1</v>
      </c>
      <c r="BG9" t="str" cm="1">
        <f t="array" ref="BG9:BG11">INDEX(_xlfn.ANCHORARRAY(CS9),_xlfn.ANCHORARRAY(BE9)+1)</f>
        <v>Eksempel 2 (interval)</v>
      </c>
      <c r="BH9" t="str" cm="1">
        <f t="array" ref="BH9:BH11">INDEX(_xlfn.ANCHORARRAY(CS9),_xlfn.ANCHORARRAY(BF9))</f>
        <v>Eksempel 1 (interval)</v>
      </c>
      <c r="BI9" cm="1">
        <f t="array" ref="BI9:BI11">INDEX(_xlfn.ANCHORARRAY(CS12),_xlfn.ANCHORARRAY(BE9)+1)-INDEX(_xlfn.ANCHORARRAY(CS12),_xlfn.ANCHORARRAY(BF9))</f>
        <v>2.2883351200097994</v>
      </c>
      <c r="BJ9" cm="1">
        <f t="array" ref="BJ9:BJ11">_xlfn.ANCHORARRAY(BI9)/SQRT(D60*(1/INDEX(_xlfn.ANCHORARRAY(CS11),_xlfn.ANCHORARRAY(BE9)+1)+1/INDEX(_xlfn.ANCHORARRAY(CS11),_xlfn.ANCHORARRAY(BF9))))</f>
        <v>1.5923633543369773</v>
      </c>
      <c r="BK9" cm="1">
        <f t="array" ref="BK9:BK11">_xlfn.T.DIST.2T(ABS(_xlfn.ANCHORARRAY(BJ9)),B60)</f>
        <v>0.12083811074122473</v>
      </c>
      <c r="BL9" t="b" cm="1">
        <f t="array" ref="BL9:BL11">_xlfn.ANCHORARRAY(BK9)&lt;BA17</f>
        <v>0</v>
      </c>
      <c r="BM9" t="str" cm="1">
        <f t="array" ref="BM9:BM11">ROUND(_xlfn.ANCHORARRAY(BI9),BA23)&amp;IF(_xlfn.ANCHORARRAY(BL9),"*","")</f>
        <v>2.288</v>
      </c>
      <c r="BN9" cm="1">
        <f t="array" ref="BN9:BN11">IF(_xlfn.ANCHORARRAY(BL9),BA25,-BA25)</f>
        <v>-0.4054651081081645</v>
      </c>
      <c r="BO9" cm="1">
        <f t="array" ref="BO9:BO10">_xlfn.SEQUENCE(CQ9-1,,0,0)</f>
        <v>0</v>
      </c>
      <c r="BP9" cm="1">
        <f t="array" ref="BP9:BP10">_xlfn.SEQUENCE(CQ9-1)</f>
        <v>1</v>
      </c>
      <c r="BQ9" t="str" cm="1">
        <f t="array" ref="BQ9:BQ10">INDEX(_xlfn.ANCHORARRAY(CS9),_xlfn.ANCHORARRAY(BP9))</f>
        <v>Eksempel 1 (interval)</v>
      </c>
      <c r="BR9" cm="1">
        <f t="array" ref="BR9:BR10">_xlfn.SEQUENCE(CQ9-1)</f>
        <v>1</v>
      </c>
      <c r="BS9" cm="1">
        <f t="array" ref="BS9:BS10">_xlfn.SEQUENCE(CQ9-1,,0,0)</f>
        <v>0</v>
      </c>
      <c r="BT9" t="str" cm="1">
        <f t="array" ref="BT9:BT10">INDEX(_xlfn.ANCHORARRAY(CS9),_xlfn.ANCHORARRAY(BR9)+1)</f>
        <v>Eksempel 2 (interval)</v>
      </c>
      <c r="BU9" cm="1">
        <f t="array" ref="BU9:BU12">_xlfn.SEQUENCE((CQ9-1)*2)</f>
        <v>1</v>
      </c>
      <c r="BV9" cm="1">
        <f t="array" ref="BV9:BV12">ROUNDUP(_xlfn.ANCHORARRAY(BU9)/(CQ9-1),0)</f>
        <v>1</v>
      </c>
      <c r="BW9" cm="1">
        <f t="array" ref="BW9:BW12">MOD(_xlfn.ANCHORARRAY(BU9)-1,CQ9-1)+1</f>
        <v>1</v>
      </c>
      <c r="BX9" cm="1">
        <f t="array" ref="BX9:BX12">CHOOSE(_xlfn.ANCHORARRAY(BV9),INDEX(_xlfn.ANCHORARRAY(BO9),_xlfn.ANCHORARRAY(BW9)),INDEX(_xlfn.ANCHORARRAY(BR9),_xlfn.ANCHORARRAY(BW9)))</f>
        <v>0</v>
      </c>
      <c r="BY9" cm="1">
        <f t="array" ref="BY9:BY12">CHOOSE(_xlfn.ANCHORARRAY(BV9),INDEX(_xlfn.ANCHORARRAY(BP9),_xlfn.ANCHORARRAY(BW9)),INDEX(_xlfn.ANCHORARRAY(BS9),_xlfn.ANCHORARRAY(BW9)))</f>
        <v>1</v>
      </c>
      <c r="BZ9" t="str" cm="1">
        <f t="array" ref="BZ9:BZ12">CHOOSE(_xlfn.ANCHORARRAY(BV9),INDEX(_xlfn.ANCHORARRAY(BQ9),_xlfn.ANCHORARRAY(BW9)),INDEX(_xlfn.ANCHORARRAY(BT9),_xlfn.ANCHORARRAY(BW9)))</f>
        <v>Eksempel 1 (interval)</v>
      </c>
      <c r="CA9" cm="1">
        <f t="array" ref="CA9:CA12">_xlfn.SEQUENCE((CQ9-1)*2,,1,0)</f>
        <v>1</v>
      </c>
      <c r="CB9" cm="1">
        <f t="array" ref="CB9:CB11">ABS(_xlfn.ANCHORARRAY(BI9))</f>
        <v>2.2883351200097994</v>
      </c>
      <c r="CC9" s="98" t="str">
        <f>"Hypotesetest om forskel mellem flere gennemsnit
Nulhypotese om at alle populationers gennemsnit er ens
"&amp;IF(CC37,"","kan ikke")&amp;" afvises med "&amp;B5*100&amp;"% konfidens"</f>
        <v>Hypotesetest om forskel mellem flere gennemsnit
Nulhypotese om at alle populationers gennemsnit er ens
 afvises med 95% konfidens</v>
      </c>
      <c r="CD9" cm="1">
        <f t="array" ref="CD9:CD258">_xlfn.SEQUENCE(CC17)</f>
        <v>1</v>
      </c>
      <c r="CE9" cm="1">
        <f t="array" ref="CE9:CE258">(_xlfn.ANCHORARRAY(CD9)-1)*CC19/(CC17-1)</f>
        <v>0</v>
      </c>
      <c r="CF9" cm="1">
        <f t="array" ref="CF9:CF258">_xlfn.F.DIST(_xlfn.ANCHORARRAY(CE9),B59,B60,FALSE)</f>
        <v>1</v>
      </c>
      <c r="CG9" cm="1">
        <f t="array" ref="CG9:CG258">IF(_xlfn.ANCHORARRAY(CE9)&lt;E59,_xlfn.ANCHORARRAY(CF9),NA())</f>
        <v>1</v>
      </c>
      <c r="CH9" t="e" cm="1">
        <f t="array" ref="CH9:CH258">IF(_xlfn.ANCHORARRAY(CE9)&gt;E59,_xlfn.ANCHORARRAY(CF9),NA())</f>
        <v>#N/A</v>
      </c>
      <c r="CI9" cm="1">
        <f t="array" ref="CI9:CI258">_xlfn.LET(_xlpm.a,ROUND(_xlfn.ANCHORARRAY(CE9),CC23),IF(_xlfn.ANCHORARRAY(CD9)=CC17,_xlpm.a,IF(MOD(_xlfn.ANCHORARRAY(CD9)-1,CC39)=0,_xlpm.a,"")))</f>
        <v>0</v>
      </c>
      <c r="CJ9" s="98" t="str">
        <f>"Hypotesetest om forskel mellem flere standardafvigelser (Bartlett's)
Nulhypotese om at alle populationers standardafvigelser er ens
"&amp;IF(CJ27,"","kan ikke")&amp;" afvises med "&amp;B5*100&amp;"% konfidens"</f>
        <v>Hypotesetest om forskel mellem flere standardafvigelser (Bartlett's)
Nulhypotese om at alle populationers standardafvigelser er ens
 afvises med 95% konfidens</v>
      </c>
      <c r="CK9" cm="1">
        <f t="array" ref="CK9:CK258">_xlfn.SEQUENCE(CJ17)</f>
        <v>1</v>
      </c>
      <c r="CL9" cm="1">
        <f t="array" ref="CL9:CL258">(_xlfn.ANCHORARRAY(CK9)-1)*CJ21/(CJ17-1)</f>
        <v>0</v>
      </c>
      <c r="CM9" cm="1">
        <f t="array" ref="CM9:CM258">_xlfn.CHISQ.DIST(_xlfn.ANCHORARRAY(CL9),CJ19,FALSE)</f>
        <v>0.5</v>
      </c>
      <c r="CN9" cm="1">
        <f t="array" ref="CN9:CN258">IF(_xlfn.ANCHORARRAY(CL9)&lt;CJ25,_xlfn.ANCHORARRAY(CM9),NA())</f>
        <v>0.5</v>
      </c>
      <c r="CO9" t="e" cm="1">
        <f t="array" ref="CO9:CO258">IF(_xlfn.ANCHORARRAY(CL9)&gt;CJ25,_xlfn.ANCHORARRAY(CM9),NA())</f>
        <v>#N/A</v>
      </c>
      <c r="CP9" cm="1">
        <f t="array" ref="CP9:CP258">_xlfn.LET(_xlpm.a,ROUND(_xlfn.ANCHORARRAY(CL9),CJ29),IF(_xlfn.ANCHORARRAY(CK9)=CJ17,_xlpm.a,IF(MOD(_xlfn.ANCHORARRAY(CK9)-1,ROUNDUP(CJ17/10,0))=0,_xlpm.a,"")))</f>
        <v>0</v>
      </c>
      <c r="CQ9" s="98">
        <f>COUNTA(_xlfn.ANCHORARRAY(CS9))</f>
        <v>3</v>
      </c>
      <c r="CR9" s="90" t="s">
        <v>969</v>
      </c>
      <c r="CS9" t="str" cm="1">
        <f t="array" ref="CS9:CU9">TRANSPOSE(_xlfn.LET(_xlpm.a,_xlfn.UNIQUE(ANOVA_valg[[Variable i ANOVA]:[Synlig]]),INDEX(_xlfn._xlws.FILTER(_xlpm.a,INDEX(_xlpm.a,,2)=1),,1)))</f>
        <v>Eksempel 1 (interval)</v>
      </c>
      <c r="CT9" t="str">
        <v>Eksempel 2 (interval)</v>
      </c>
      <c r="CU9" t="str">
        <v>Eksempel 4 (nominal)</v>
      </c>
    </row>
    <row r="10" spans="1:99" x14ac:dyDescent="0.2">
      <c r="AQ10" s="90" t="s">
        <v>1000</v>
      </c>
      <c r="AR10">
        <v>2</v>
      </c>
      <c r="AS10">
        <v>2</v>
      </c>
      <c r="AT10">
        <v>1</v>
      </c>
      <c r="AU10">
        <v>-11.03565324724471</v>
      </c>
      <c r="AV10">
        <v>1.0514103317239135E-3</v>
      </c>
      <c r="AW10">
        <v>2</v>
      </c>
      <c r="AX10">
        <v>4.14233953833077</v>
      </c>
      <c r="AY10">
        <v>9.3107877228020858E-2</v>
      </c>
      <c r="AZ10" t="str">
        <v>Eksempel 2 (interval)
N(μ=4.142;σ=4.285)</v>
      </c>
      <c r="BA10" s="90" t="s">
        <v>1023</v>
      </c>
      <c r="BB10">
        <v>2</v>
      </c>
      <c r="BC10">
        <v>1</v>
      </c>
      <c r="BD10">
        <v>1</v>
      </c>
      <c r="BE10">
        <v>2</v>
      </c>
      <c r="BF10">
        <v>1</v>
      </c>
      <c r="BG10" t="str">
        <v>Eksempel 4 (nominal)</v>
      </c>
      <c r="BH10" t="str">
        <v>Eksempel 1 (interval)</v>
      </c>
      <c r="BI10">
        <v>-1.4373377516543038</v>
      </c>
      <c r="BJ10">
        <v>-1.0001874041637813</v>
      </c>
      <c r="BK10">
        <v>0.32449780015273955</v>
      </c>
      <c r="BL10" t="b">
        <v>0</v>
      </c>
      <c r="BM10" t="str">
        <v>-1.437</v>
      </c>
      <c r="BN10">
        <v>-0.4054651081081645</v>
      </c>
      <c r="BO10">
        <v>0</v>
      </c>
      <c r="BP10">
        <v>2</v>
      </c>
      <c r="BQ10" t="str">
        <v>Eksempel 2 (interval)</v>
      </c>
      <c r="BR10">
        <v>2</v>
      </c>
      <c r="BS10">
        <v>0</v>
      </c>
      <c r="BT10" t="str">
        <v>Eksempel 4 (nominal)</v>
      </c>
      <c r="BU10">
        <v>2</v>
      </c>
      <c r="BV10">
        <v>1</v>
      </c>
      <c r="BW10">
        <v>2</v>
      </c>
      <c r="BX10">
        <v>0</v>
      </c>
      <c r="BY10">
        <v>2</v>
      </c>
      <c r="BZ10" t="str">
        <v>Eksempel 2 (interval)</v>
      </c>
      <c r="CA10">
        <v>1</v>
      </c>
      <c r="CB10">
        <v>1.4373377516543038</v>
      </c>
      <c r="CC10" s="90" t="s">
        <v>1037</v>
      </c>
      <c r="CD10">
        <v>2</v>
      </c>
      <c r="CE10">
        <v>3.445193923182089E-2</v>
      </c>
      <c r="CF10">
        <v>0.96415631893896581</v>
      </c>
      <c r="CG10">
        <v>0.96415631893896581</v>
      </c>
      <c r="CH10" t="e">
        <v>#N/A</v>
      </c>
      <c r="CI10" t="str">
        <v/>
      </c>
      <c r="CJ10" s="90" t="s">
        <v>1065</v>
      </c>
      <c r="CK10">
        <v>2</v>
      </c>
      <c r="CL10">
        <v>5.5483978144434828E-2</v>
      </c>
      <c r="CM10">
        <v>0.48631964299724262</v>
      </c>
      <c r="CN10">
        <v>0.48631964299724262</v>
      </c>
      <c r="CO10" t="e">
        <v>#N/A</v>
      </c>
      <c r="CP10" t="str">
        <v/>
      </c>
      <c r="CQ10" s="90" t="s">
        <v>970</v>
      </c>
      <c r="CR10" s="90" t="s">
        <v>971</v>
      </c>
      <c r="CS10" cm="1">
        <f t="array" ref="CS10:CU10">_xlfn.XMATCH(_xlfn.ANCHORARRAY(CS9),DataHeaders,0)</f>
        <v>1</v>
      </c>
      <c r="CT10">
        <v>2</v>
      </c>
      <c r="CU10">
        <v>4</v>
      </c>
    </row>
    <row r="11" spans="1:99" x14ac:dyDescent="0.2">
      <c r="AQ11" s="98" t="s">
        <v>1003</v>
      </c>
      <c r="AR11">
        <v>3</v>
      </c>
      <c r="AS11">
        <v>3</v>
      </c>
      <c r="AT11">
        <v>1</v>
      </c>
      <c r="AU11">
        <v>-11.004712715927365</v>
      </c>
      <c r="AV11">
        <v>1.0742331143597441E-3</v>
      </c>
      <c r="AW11">
        <v>3</v>
      </c>
      <c r="AX11">
        <v>0.41666666666666669</v>
      </c>
      <c r="AY11">
        <v>0.77472523433896479</v>
      </c>
      <c r="AZ11" t="str">
        <v>Eksempel 4 (nominal)
N(μ=0.417;σ=0.515)</v>
      </c>
      <c r="BA11" s="98" t="s">
        <v>1025</v>
      </c>
      <c r="BB11">
        <v>3</v>
      </c>
      <c r="BC11">
        <v>3</v>
      </c>
      <c r="BD11">
        <v>2</v>
      </c>
      <c r="BE11">
        <v>2</v>
      </c>
      <c r="BF11">
        <v>2</v>
      </c>
      <c r="BG11" t="str">
        <v>Eksempel 4 (nominal)</v>
      </c>
      <c r="BH11" t="str">
        <v>Eksempel 2 (interval)</v>
      </c>
      <c r="BI11">
        <v>-3.7256728716641034</v>
      </c>
      <c r="BJ11">
        <v>-2.5925507585007588</v>
      </c>
      <c r="BK11">
        <v>1.408858521335256E-2</v>
      </c>
      <c r="BL11" t="b">
        <v>0</v>
      </c>
      <c r="BM11" t="str">
        <v>-3.726</v>
      </c>
      <c r="BN11">
        <v>-0.4054651081081645</v>
      </c>
      <c r="BU11">
        <v>3</v>
      </c>
      <c r="BV11">
        <v>2</v>
      </c>
      <c r="BW11">
        <v>1</v>
      </c>
      <c r="BX11">
        <v>1</v>
      </c>
      <c r="BY11">
        <v>0</v>
      </c>
      <c r="BZ11" t="str">
        <v>Eksempel 2 (interval)</v>
      </c>
      <c r="CA11">
        <v>1</v>
      </c>
      <c r="CB11">
        <v>3.7256728716641034</v>
      </c>
      <c r="CC11" s="98" t="s">
        <v>146</v>
      </c>
      <c r="CD11">
        <v>3</v>
      </c>
      <c r="CE11">
        <v>6.8903878463641779E-2</v>
      </c>
      <c r="CF11">
        <v>0.92966803880132187</v>
      </c>
      <c r="CG11">
        <v>0.92966803880132187</v>
      </c>
      <c r="CH11" t="e">
        <v>#N/A</v>
      </c>
      <c r="CI11" t="str">
        <v/>
      </c>
      <c r="CJ11" s="98" t="s">
        <v>146</v>
      </c>
      <c r="CK11">
        <v>3</v>
      </c>
      <c r="CL11">
        <v>0.11096795628886966</v>
      </c>
      <c r="CM11">
        <v>0.47301359032993112</v>
      </c>
      <c r="CN11">
        <v>0.47301359032993112</v>
      </c>
      <c r="CO11" t="e">
        <v>#N/A</v>
      </c>
      <c r="CP11" t="str">
        <v/>
      </c>
      <c r="CQ11" s="98">
        <f>ROWS(Data)</f>
        <v>12</v>
      </c>
      <c r="CR11" s="90" t="s">
        <v>29</v>
      </c>
      <c r="CS11" cm="1">
        <f t="array" ref="CS11:CU11">MMULT(_xlfn.SEQUENCE(,CQ11,1,0),--NOT(ISBLANK(INDEX(Data,_xlfn.SEQUENCE(CQ11),_xlfn.ANCHORARRAY(CS10)))))</f>
        <v>12</v>
      </c>
      <c r="CT11">
        <v>12</v>
      </c>
      <c r="CU11">
        <v>12</v>
      </c>
    </row>
    <row r="12" spans="1:99" x14ac:dyDescent="0.2">
      <c r="AQ12" s="90" t="s">
        <v>1001</v>
      </c>
      <c r="AR12">
        <v>4</v>
      </c>
      <c r="AS12">
        <v>4</v>
      </c>
      <c r="AT12">
        <v>1</v>
      </c>
      <c r="AU12">
        <v>-10.973772184610018</v>
      </c>
      <c r="AV12">
        <v>1.0974946641764966E-3</v>
      </c>
      <c r="BA12" s="90" t="s">
        <v>1024</v>
      </c>
      <c r="BU12">
        <v>4</v>
      </c>
      <c r="BV12">
        <v>2</v>
      </c>
      <c r="BW12">
        <v>2</v>
      </c>
      <c r="BX12">
        <v>2</v>
      </c>
      <c r="BY12">
        <v>0</v>
      </c>
      <c r="BZ12" t="str">
        <v>Eksempel 4 (nominal)</v>
      </c>
      <c r="CA12">
        <v>1</v>
      </c>
      <c r="CC12" s="90" t="s">
        <v>1038</v>
      </c>
      <c r="CD12">
        <v>4</v>
      </c>
      <c r="CE12">
        <v>0.10335581769546268</v>
      </c>
      <c r="CF12">
        <v>0.89648124620809611</v>
      </c>
      <c r="CG12">
        <v>0.89648124620809611</v>
      </c>
      <c r="CH12" t="e">
        <v>#N/A</v>
      </c>
      <c r="CI12" t="str">
        <v/>
      </c>
      <c r="CJ12" s="90" t="s">
        <v>1066</v>
      </c>
      <c r="CK12">
        <v>4</v>
      </c>
      <c r="CL12">
        <v>0.16645193443330447</v>
      </c>
      <c r="CM12">
        <v>0.46007160076419201</v>
      </c>
      <c r="CN12">
        <v>0.46007160076419201</v>
      </c>
      <c r="CO12" t="e">
        <v>#N/A</v>
      </c>
      <c r="CP12" t="str">
        <v/>
      </c>
      <c r="CQ12" s="90" t="s">
        <v>972</v>
      </c>
      <c r="CR12" s="90" t="s">
        <v>0</v>
      </c>
      <c r="CS12" cm="1">
        <f t="array" ref="CS12:CU12">MMULT(_xlfn.SEQUENCE(,CQ11,1,0),--INDEX(Data,_xlfn.SEQUENCE(CQ11),_xlfn.ANCHORARRAY(CS10)))/_xlfn.ANCHORARRAY(CS11)</f>
        <v>1.8540044183209705</v>
      </c>
      <c r="CT12">
        <v>4.14233953833077</v>
      </c>
      <c r="CU12">
        <v>0.41666666666666669</v>
      </c>
    </row>
    <row r="13" spans="1:99" x14ac:dyDescent="0.2">
      <c r="AQ13" s="98" t="s">
        <v>1003</v>
      </c>
      <c r="AR13">
        <v>5</v>
      </c>
      <c r="AS13">
        <v>5</v>
      </c>
      <c r="AT13">
        <v>1</v>
      </c>
      <c r="AU13">
        <v>-10.942831653292671</v>
      </c>
      <c r="AV13">
        <v>1.1212020552969838E-3</v>
      </c>
      <c r="BA13" s="98" t="s">
        <v>40</v>
      </c>
      <c r="CC13" s="98" t="s">
        <v>145</v>
      </c>
      <c r="CD13">
        <v>5</v>
      </c>
      <c r="CE13">
        <v>0.13780775692728356</v>
      </c>
      <c r="CF13">
        <v>0.86454427764871955</v>
      </c>
      <c r="CG13">
        <v>0.86454427764871955</v>
      </c>
      <c r="CH13" t="e">
        <v>#N/A</v>
      </c>
      <c r="CI13" t="str">
        <v/>
      </c>
      <c r="CJ13" s="98" t="s">
        <v>145</v>
      </c>
      <c r="CK13">
        <v>5</v>
      </c>
      <c r="CL13">
        <v>0.22193591257773931</v>
      </c>
      <c r="CM13">
        <v>0.44748371327362363</v>
      </c>
      <c r="CN13">
        <v>0.44748371327362363</v>
      </c>
      <c r="CO13" t="e">
        <v>#N/A</v>
      </c>
      <c r="CP13" t="str">
        <v/>
      </c>
      <c r="CQ13" s="98">
        <f>SUM(_xlfn.ANCHORARRAY(CS11))</f>
        <v>36</v>
      </c>
      <c r="CR13" s="90" t="s">
        <v>363</v>
      </c>
      <c r="CS13" cm="1">
        <f t="array" ref="CS13:CU13">_xlfn.ANCHORARRAY(CS11)*(_xlfn.ANCHORARRAY(CS12)-CQ15)^2</f>
        <v>0.96559536126396983</v>
      </c>
      <c r="CT13">
        <v>48.224389498556775</v>
      </c>
      <c r="CU13">
        <v>35.542238261998286</v>
      </c>
    </row>
    <row r="14" spans="1:99" x14ac:dyDescent="0.2">
      <c r="AQ14" s="90" t="s">
        <v>982</v>
      </c>
      <c r="AR14">
        <v>6</v>
      </c>
      <c r="AS14">
        <v>6</v>
      </c>
      <c r="AT14">
        <v>1</v>
      </c>
      <c r="AU14">
        <v>-10.911891121975325</v>
      </c>
      <c r="AV14">
        <v>1.1453624450681371E-3</v>
      </c>
      <c r="BA14" s="90" t="s">
        <v>1004</v>
      </c>
      <c r="CC14" s="90" t="s">
        <v>1044</v>
      </c>
      <c r="CD14">
        <v>6</v>
      </c>
      <c r="CE14">
        <v>0.17225969615910444</v>
      </c>
      <c r="CF14">
        <v>0.83380762121200558</v>
      </c>
      <c r="CG14">
        <v>0.83380762121200558</v>
      </c>
      <c r="CH14" t="e">
        <v>#N/A</v>
      </c>
      <c r="CI14" t="str">
        <v/>
      </c>
      <c r="CJ14" s="90" t="s">
        <v>1067</v>
      </c>
      <c r="CK14">
        <v>6</v>
      </c>
      <c r="CL14">
        <v>0.2774198907221741</v>
      </c>
      <c r="CM14">
        <v>0.43524023937261824</v>
      </c>
      <c r="CN14">
        <v>0.43524023937261824</v>
      </c>
      <c r="CO14" t="e">
        <v>#N/A</v>
      </c>
      <c r="CP14" t="str">
        <v/>
      </c>
      <c r="CQ14" s="90" t="s">
        <v>973</v>
      </c>
      <c r="CR14" s="90" t="s">
        <v>364</v>
      </c>
      <c r="CS14" cm="1">
        <f t="array" ref="CS14:CU14">MMULT(_xlfn.SEQUENCE(,CQ11,1,0),IF(NOT(ISBLANK(INDEX(Data,_xlfn.SEQUENCE(CQ11),_xlfn.ANCHORARRAY(CS10)))),--INDEX(Data,_xlfn.SEQUENCE(CQ11),_xlfn.ANCHORARRAY(CS10))-_xlfn.ANCHORARRAY(CS12),0)^2)</f>
        <v>204.04004837980742</v>
      </c>
      <c r="CT14">
        <v>201.94609325648105</v>
      </c>
      <c r="CU14">
        <v>2.9166666666666665</v>
      </c>
    </row>
    <row r="15" spans="1:99" x14ac:dyDescent="0.2">
      <c r="AQ15" s="98">
        <f>MIN(_xlfn.ANCHORARRAY(CS18))</f>
        <v>-11.066593778562057</v>
      </c>
      <c r="AR15">
        <v>7</v>
      </c>
      <c r="AS15">
        <v>7</v>
      </c>
      <c r="AT15">
        <v>1</v>
      </c>
      <c r="AU15">
        <v>-10.88095059065798</v>
      </c>
      <c r="AV15">
        <v>1.1699830743653228E-3</v>
      </c>
      <c r="BA15" s="98">
        <f>CQ9*(CQ9-1)/2</f>
        <v>3</v>
      </c>
      <c r="CC15" s="98" t="str">
        <f>"F fordeling med "&amp;B59&amp;" og "&amp;B60&amp;" frihedsgrader"</f>
        <v>F fordeling med 2 og 33 frihedsgrader</v>
      </c>
      <c r="CD15">
        <v>7</v>
      </c>
      <c r="CE15">
        <v>0.20671163539092535</v>
      </c>
      <c r="CF15">
        <v>0.80422382279979376</v>
      </c>
      <c r="CG15">
        <v>0.80422382279979376</v>
      </c>
      <c r="CH15" t="e">
        <v>#N/A</v>
      </c>
      <c r="CI15" t="str">
        <v/>
      </c>
      <c r="CJ15" s="98" t="str">
        <f>"Chi i anden fordeling med "&amp;CJ19&amp;" frihedsgrader"</f>
        <v>Chi i anden fordeling med 2 frihedsgrader</v>
      </c>
      <c r="CK15">
        <v>7</v>
      </c>
      <c r="CL15">
        <v>0.33290386886660894</v>
      </c>
      <c r="CM15">
        <v>0.42333175565945225</v>
      </c>
      <c r="CN15">
        <v>0.42333175565945225</v>
      </c>
      <c r="CO15" t="e">
        <v>#N/A</v>
      </c>
      <c r="CP15" t="str">
        <v/>
      </c>
      <c r="CQ15" s="98">
        <f>SUMPRODUCT(_xlfn.ANCHORARRAY(CS11),_xlfn.ANCHORARRAY(CS12))/CQ13</f>
        <v>2.137670207772802</v>
      </c>
      <c r="CR15" s="186" t="s">
        <v>974</v>
      </c>
      <c r="CS15" cm="1">
        <f t="array" ref="CS15:CU15">_xlfn.ANCHORARRAY(CS11)-1</f>
        <v>11</v>
      </c>
      <c r="CT15">
        <v>11</v>
      </c>
      <c r="CU15">
        <v>11</v>
      </c>
    </row>
    <row r="16" spans="1:99" x14ac:dyDescent="0.2">
      <c r="AQ16" s="90" t="s">
        <v>983</v>
      </c>
      <c r="AR16">
        <v>8</v>
      </c>
      <c r="AS16">
        <v>8</v>
      </c>
      <c r="AT16">
        <v>1</v>
      </c>
      <c r="AU16">
        <v>-10.850010059340633</v>
      </c>
      <c r="AV16">
        <v>1.1950712678814519E-3</v>
      </c>
      <c r="BA16" s="90" t="s">
        <v>1011</v>
      </c>
      <c r="CC16" s="90" t="s">
        <v>1039</v>
      </c>
      <c r="CD16">
        <v>8</v>
      </c>
      <c r="CE16">
        <v>0.24116357462274624</v>
      </c>
      <c r="CF16">
        <v>0.77574739661012126</v>
      </c>
      <c r="CG16">
        <v>0.77574739661012126</v>
      </c>
      <c r="CH16" t="e">
        <v>#N/A</v>
      </c>
      <c r="CI16" t="str">
        <v/>
      </c>
      <c r="CJ16" s="90" t="s">
        <v>1039</v>
      </c>
      <c r="CK16">
        <v>8</v>
      </c>
      <c r="CL16">
        <v>0.38838784701104379</v>
      </c>
      <c r="CM16">
        <v>0.41174909656340142</v>
      </c>
      <c r="CN16">
        <v>0.41174909656340142</v>
      </c>
      <c r="CO16" t="e">
        <v>#N/A</v>
      </c>
      <c r="CP16" t="str">
        <v/>
      </c>
      <c r="CQ16" s="90" t="s">
        <v>976</v>
      </c>
      <c r="CR16" s="186" t="s">
        <v>975</v>
      </c>
      <c r="CS16" cm="1">
        <f t="array" ref="CS16:CU16">_xlfn.ANCHORARRAY(CS14)/_xlfn.ANCHORARRAY(CS15)</f>
        <v>18.549095307255218</v>
      </c>
      <c r="CT16">
        <v>18.358735750589187</v>
      </c>
      <c r="CU16">
        <v>0.26515151515151514</v>
      </c>
    </row>
    <row r="17" spans="43:99" x14ac:dyDescent="0.2">
      <c r="AQ17" s="98">
        <f>MAX(_xlfn.ANCHORARRAY(CS19))</f>
        <v>16.996468126271015</v>
      </c>
      <c r="AR17">
        <v>9</v>
      </c>
      <c r="AS17">
        <v>9</v>
      </c>
      <c r="AT17">
        <v>1</v>
      </c>
      <c r="AU17">
        <v>-10.819069528023286</v>
      </c>
      <c r="AV17">
        <v>1.2206344344004312E-3</v>
      </c>
      <c r="BA17" s="98">
        <f>(1-B5)/2/BA15</f>
        <v>8.3333333333333402E-3</v>
      </c>
      <c r="CC17" s="98">
        <v>250</v>
      </c>
      <c r="CD17">
        <v>9</v>
      </c>
      <c r="CE17">
        <v>0.27561551385456712</v>
      </c>
      <c r="CF17">
        <v>0.74833473968732989</v>
      </c>
      <c r="CG17">
        <v>0.74833473968732989</v>
      </c>
      <c r="CH17" t="e">
        <v>#N/A</v>
      </c>
      <c r="CI17" t="str">
        <v/>
      </c>
      <c r="CJ17" s="98">
        <v>250</v>
      </c>
      <c r="CK17">
        <v>9</v>
      </c>
      <c r="CL17">
        <v>0.44387182515547863</v>
      </c>
      <c r="CM17">
        <v>0.40048334729030116</v>
      </c>
      <c r="CN17">
        <v>0.40048334729030116</v>
      </c>
      <c r="CO17" t="e">
        <v>#N/A</v>
      </c>
      <c r="CP17" t="str">
        <v/>
      </c>
      <c r="CQ17" s="98">
        <f>SUM(_xlfn.ANCHORARRAY(CS13))</f>
        <v>84.732223121819032</v>
      </c>
      <c r="CR17" s="186" t="s">
        <v>1</v>
      </c>
      <c r="CS17" cm="1">
        <f t="array" ref="CS17:CU17">SQRT(_xlfn.ANCHORARRAY(CS16))</f>
        <v>4.306866065627676</v>
      </c>
      <c r="CT17">
        <v>4.2847095293134148</v>
      </c>
      <c r="CU17">
        <v>0.51492865054443726</v>
      </c>
    </row>
    <row r="18" spans="43:99" x14ac:dyDescent="0.2">
      <c r="AQ18" s="90" t="s">
        <v>558</v>
      </c>
      <c r="AR18">
        <v>10</v>
      </c>
      <c r="AS18">
        <v>10</v>
      </c>
      <c r="AT18">
        <v>1</v>
      </c>
      <c r="AU18">
        <v>-10.788128996705939</v>
      </c>
      <c r="AV18">
        <v>1.246680067054577E-3</v>
      </c>
      <c r="BA18" s="162" t="s">
        <v>715</v>
      </c>
      <c r="CC18" s="90" t="s">
        <v>1040</v>
      </c>
      <c r="CD18">
        <v>10</v>
      </c>
      <c r="CE18">
        <v>0.310067453086388</v>
      </c>
      <c r="CF18">
        <v>0.72194405034651732</v>
      </c>
      <c r="CG18">
        <v>0.72194405034651732</v>
      </c>
      <c r="CH18" t="e">
        <v>#N/A</v>
      </c>
      <c r="CI18" t="str">
        <v/>
      </c>
      <c r="CJ18" s="90" t="s">
        <v>1059</v>
      </c>
      <c r="CK18">
        <v>10</v>
      </c>
      <c r="CL18">
        <v>0.49935580329991347</v>
      </c>
      <c r="CM18">
        <v>0.38952583696111998</v>
      </c>
      <c r="CN18">
        <v>0.38952583696111998</v>
      </c>
      <c r="CO18" t="e">
        <v>#N/A</v>
      </c>
      <c r="CP18" t="str">
        <v/>
      </c>
      <c r="CQ18" s="90" t="s">
        <v>977</v>
      </c>
      <c r="CR18" s="186" t="s">
        <v>980</v>
      </c>
      <c r="CS18" cm="1">
        <f t="array" ref="CS18:CU18">_xlfn.ANCHORARRAY(CS12)-_xlfn.ANCHORARRAY(CS17)*3</f>
        <v>-11.066593778562057</v>
      </c>
      <c r="CT18">
        <v>-8.7117890496094752</v>
      </c>
      <c r="CU18">
        <v>-1.128119284966645</v>
      </c>
    </row>
    <row r="19" spans="43:99" x14ac:dyDescent="0.2">
      <c r="AQ19" s="98">
        <f>AQ17-AQ15</f>
        <v>28.06306190483307</v>
      </c>
      <c r="AR19">
        <v>11</v>
      </c>
      <c r="AS19">
        <v>11</v>
      </c>
      <c r="AT19">
        <v>1</v>
      </c>
      <c r="AU19">
        <v>-10.757188465388595</v>
      </c>
      <c r="AV19">
        <v>1.2732157435655297E-3</v>
      </c>
      <c r="BA19" s="96" cm="1">
        <f t="array" ref="BA19">MAX(LEN(ROUND(ABS(_xlfn.ANCHORARRAY(BI9)),0)))</f>
        <v>1</v>
      </c>
      <c r="CC19" s="98">
        <f>IF(B5&lt;0.998,_xlfn.F.INV(0.999,B59,B60),_xlfn.F.INV(0.99999,B59,B60))</f>
        <v>8.5785328687234017</v>
      </c>
      <c r="CD19">
        <v>11</v>
      </c>
      <c r="CE19">
        <v>0.34451939231820888</v>
      </c>
      <c r="CF19">
        <v>0.69653525028923047</v>
      </c>
      <c r="CG19">
        <v>0.69653525028923047</v>
      </c>
      <c r="CH19" t="e">
        <v>#N/A</v>
      </c>
      <c r="CI19" t="str">
        <v/>
      </c>
      <c r="CJ19" s="188">
        <f>B59</f>
        <v>2</v>
      </c>
      <c r="CK19">
        <v>11</v>
      </c>
      <c r="CL19">
        <v>0.5548397814443482</v>
      </c>
      <c r="CM19">
        <v>0.37886813193826813</v>
      </c>
      <c r="CN19">
        <v>0.37886813193826813</v>
      </c>
      <c r="CO19" t="e">
        <v>#N/A</v>
      </c>
      <c r="CP19" t="str">
        <v/>
      </c>
      <c r="CQ19" s="98">
        <f>SUM(_xlfn.ANCHORARRAY(CS14))</f>
        <v>408.90280830295518</v>
      </c>
      <c r="CR19" s="186" t="s">
        <v>981</v>
      </c>
      <c r="CS19" cm="1">
        <f t="array" ref="CS19:CU19">_xlfn.ANCHORARRAY(CS12)+_xlfn.ANCHORARRAY(CS17)*3</f>
        <v>14.774602615203998</v>
      </c>
      <c r="CT19">
        <v>16.996468126271015</v>
      </c>
      <c r="CU19">
        <v>1.9614526182999785</v>
      </c>
    </row>
    <row r="20" spans="43:99" x14ac:dyDescent="0.2">
      <c r="AQ20" s="90" t="s">
        <v>984</v>
      </c>
      <c r="AR20">
        <v>12</v>
      </c>
      <c r="AS20">
        <v>12</v>
      </c>
      <c r="AT20">
        <v>1</v>
      </c>
      <c r="AU20">
        <v>-10.726247934071248</v>
      </c>
      <c r="AV20">
        <v>1.3002491264682643E-3</v>
      </c>
      <c r="BA20" s="162" t="s">
        <v>689</v>
      </c>
      <c r="CC20" s="90" t="s">
        <v>123</v>
      </c>
      <c r="CD20">
        <v>12</v>
      </c>
      <c r="CE20">
        <v>0.37897133155002977</v>
      </c>
      <c r="CF20">
        <v>0.67206991023630136</v>
      </c>
      <c r="CG20">
        <v>0.67206991023630136</v>
      </c>
      <c r="CH20" t="e">
        <v>#N/A</v>
      </c>
      <c r="CI20" t="str">
        <v/>
      </c>
      <c r="CJ20" s="90" t="s">
        <v>1040</v>
      </c>
      <c r="CK20">
        <v>12</v>
      </c>
      <c r="CL20">
        <v>0.61032375958878304</v>
      </c>
      <c r="CM20">
        <v>0.36850202933450144</v>
      </c>
      <c r="CN20">
        <v>0.36850202933450144</v>
      </c>
      <c r="CO20" t="e">
        <v>#N/A</v>
      </c>
      <c r="CP20" t="str">
        <v/>
      </c>
      <c r="CQ20" s="90" t="s">
        <v>978</v>
      </c>
      <c r="CR20" s="186" t="s">
        <v>996</v>
      </c>
      <c r="CS20" cm="1">
        <f t="array" ref="CS20:CU20">ROUND(_xlfn.ANCHORARRAY(CS12),3)</f>
        <v>1.8540000000000001</v>
      </c>
      <c r="CT20">
        <v>4.1420000000000003</v>
      </c>
      <c r="CU20">
        <v>0.41699999999999998</v>
      </c>
    </row>
    <row r="21" spans="43:99" x14ac:dyDescent="0.2">
      <c r="AQ21" s="98">
        <f>MIN(_xlfn.ANCHORARRAY(CS17))*6</f>
        <v>3.0895719032666236</v>
      </c>
      <c r="AR21">
        <v>13</v>
      </c>
      <c r="AS21">
        <v>13</v>
      </c>
      <c r="AT21">
        <v>1</v>
      </c>
      <c r="AU21">
        <v>-10.695307402753901</v>
      </c>
      <c r="AV21">
        <v>1.3277879633177489E-3</v>
      </c>
      <c r="BA21" s="96">
        <f>5-ROUNDDOWN(BA15/5,0)</f>
        <v>5</v>
      </c>
      <c r="CC21" s="187">
        <f>E59</f>
        <v>3.4191051103620165</v>
      </c>
      <c r="CD21">
        <v>13</v>
      </c>
      <c r="CE21">
        <v>0.4134232707818507</v>
      </c>
      <c r="CF21">
        <v>0.64851117891227206</v>
      </c>
      <c r="CG21">
        <v>0.64851117891227206</v>
      </c>
      <c r="CH21" t="e">
        <v>#N/A</v>
      </c>
      <c r="CI21" t="str">
        <v/>
      </c>
      <c r="CJ21" s="98">
        <f>IF(B5&lt;0.998,_xlfn.CHISQ.INV(0.999,CJ19),_xlfn.CHISQ.INV(0.99999,CJ19))</f>
        <v>13.815510557964272</v>
      </c>
      <c r="CK21">
        <v>13</v>
      </c>
      <c r="CL21">
        <v>0.66580773773321789</v>
      </c>
      <c r="CM21">
        <v>0.35841955069942838</v>
      </c>
      <c r="CN21">
        <v>0.35841955069942838</v>
      </c>
      <c r="CO21" t="e">
        <v>#N/A</v>
      </c>
      <c r="CP21" t="str">
        <v/>
      </c>
      <c r="CQ21" s="98">
        <f>CQ17/(CQ9-1)</f>
        <v>42.366111560909516</v>
      </c>
      <c r="CR21" s="186" t="s">
        <v>997</v>
      </c>
      <c r="CS21" cm="1">
        <f t="array" ref="CS21:CU21">ROUND(_xlfn.ANCHORARRAY(CS17),3)</f>
        <v>4.3070000000000004</v>
      </c>
      <c r="CT21">
        <v>4.2850000000000001</v>
      </c>
      <c r="CU21">
        <v>0.51500000000000001</v>
      </c>
    </row>
    <row r="22" spans="43:99" x14ac:dyDescent="0.2">
      <c r="AQ22" s="90" t="s">
        <v>986</v>
      </c>
      <c r="AR22">
        <v>14</v>
      </c>
      <c r="AS22">
        <v>14</v>
      </c>
      <c r="AT22">
        <v>1</v>
      </c>
      <c r="AU22">
        <v>-10.664366871436556</v>
      </c>
      <c r="AV22">
        <v>1.3558400868778312E-3</v>
      </c>
      <c r="BA22" s="162" t="s">
        <v>1012</v>
      </c>
      <c r="CC22" s="90" t="s">
        <v>1012</v>
      </c>
      <c r="CD22">
        <v>14</v>
      </c>
      <c r="CE22">
        <v>0.44787521001367159</v>
      </c>
      <c r="CF22">
        <v>0.62582371522395908</v>
      </c>
      <c r="CG22">
        <v>0.62582371522395908</v>
      </c>
      <c r="CH22" t="e">
        <v>#N/A</v>
      </c>
      <c r="CI22" t="str">
        <v/>
      </c>
      <c r="CJ22" s="90" t="s">
        <v>1063</v>
      </c>
      <c r="CK22">
        <v>14</v>
      </c>
      <c r="CL22">
        <v>0.72129171587765273</v>
      </c>
      <c r="CM22">
        <v>0.34861293587875619</v>
      </c>
      <c r="CN22">
        <v>0.34861293587875619</v>
      </c>
      <c r="CO22" t="e">
        <v>#N/A</v>
      </c>
      <c r="CP22" t="str">
        <v/>
      </c>
      <c r="CQ22" s="90" t="s">
        <v>979</v>
      </c>
    </row>
    <row r="23" spans="43:99" x14ac:dyDescent="0.2">
      <c r="AQ23" s="98">
        <f>AQ19/AQ21</f>
        <v>9.083155460846152</v>
      </c>
      <c r="AR23">
        <v>15</v>
      </c>
      <c r="AS23">
        <v>15</v>
      </c>
      <c r="AT23">
        <v>1</v>
      </c>
      <c r="AU23">
        <v>-10.633426340119209</v>
      </c>
      <c r="AV23">
        <v>1.3844134152919173E-3</v>
      </c>
      <c r="BA23" s="96">
        <f>MIN(3,MAX(0,BA21-BA19))</f>
        <v>3</v>
      </c>
      <c r="CC23" s="188">
        <v>3</v>
      </c>
      <c r="CD23">
        <v>15</v>
      </c>
      <c r="CE23">
        <v>0.48232714924549247</v>
      </c>
      <c r="CF23">
        <v>0.60397362348341044</v>
      </c>
      <c r="CG23">
        <v>0.60397362348341044</v>
      </c>
      <c r="CH23" t="e">
        <v>#N/A</v>
      </c>
      <c r="CI23" t="str">
        <v/>
      </c>
      <c r="CJ23" s="98">
        <f>CQ13-CQ9</f>
        <v>33</v>
      </c>
      <c r="CK23">
        <v>15</v>
      </c>
      <c r="CL23">
        <v>0.77677569402208757</v>
      </c>
      <c r="CM23">
        <v>0.33907463704155466</v>
      </c>
      <c r="CN23">
        <v>0.33907463704155466</v>
      </c>
      <c r="CO23" t="e">
        <v>#N/A</v>
      </c>
      <c r="CP23" t="str">
        <v/>
      </c>
      <c r="CQ23" s="98">
        <f>CQ19/(CQ13-CQ9)</f>
        <v>12.390994190998642</v>
      </c>
    </row>
    <row r="24" spans="43:99" x14ac:dyDescent="0.2">
      <c r="AQ24" s="90" t="s">
        <v>985</v>
      </c>
      <c r="AR24">
        <v>16</v>
      </c>
      <c r="AS24">
        <v>16</v>
      </c>
      <c r="AT24">
        <v>1</v>
      </c>
      <c r="AU24">
        <v>-10.602485808801863</v>
      </c>
      <c r="AV24">
        <v>1.4135159522349768E-3</v>
      </c>
      <c r="BA24" s="162" t="s">
        <v>1034</v>
      </c>
      <c r="CC24" s="90" t="s">
        <v>1047</v>
      </c>
      <c r="CD24">
        <v>16</v>
      </c>
      <c r="CE24">
        <v>0.51677908847731335</v>
      </c>
      <c r="CF24">
        <v>0.58292839153280418</v>
      </c>
      <c r="CG24">
        <v>0.58292839153280418</v>
      </c>
      <c r="CH24" t="e">
        <v>#N/A</v>
      </c>
      <c r="CI24" t="str">
        <v/>
      </c>
      <c r="CJ24" s="90" t="s">
        <v>1061</v>
      </c>
      <c r="CK24">
        <v>16</v>
      </c>
      <c r="CL24">
        <v>0.83225967216652241</v>
      </c>
      <c r="CM24">
        <v>0.32979731287093694</v>
      </c>
      <c r="CN24">
        <v>0.32979731287093694</v>
      </c>
      <c r="CO24" t="e">
        <v>#N/A</v>
      </c>
      <c r="CP24" t="str">
        <v/>
      </c>
    </row>
    <row r="25" spans="43:99" x14ac:dyDescent="0.2">
      <c r="AQ25" s="98">
        <f>IF(AQ23&gt;100,20,100)</f>
        <v>100</v>
      </c>
      <c r="AR25">
        <v>17</v>
      </c>
      <c r="AS25">
        <v>17</v>
      </c>
      <c r="AT25">
        <v>1</v>
      </c>
      <c r="AU25">
        <v>-10.571545277484516</v>
      </c>
      <c r="AV25">
        <v>1.4431557870464799E-3</v>
      </c>
      <c r="BA25" s="96">
        <f>LN(CQ9)-LN(CQ9-1)</f>
        <v>0.4054651081081645</v>
      </c>
      <c r="CC25" s="187" cm="1">
        <f t="array" ref="CC25">ROUNDUP(SUM(--ISNA(_xlfn.ANCHORARRAY(CH9)))/2,0)</f>
        <v>50</v>
      </c>
      <c r="CD25">
        <v>17</v>
      </c>
      <c r="CE25">
        <v>0.55123102770913424</v>
      </c>
      <c r="CF25">
        <v>0.56265683163578095</v>
      </c>
      <c r="CG25">
        <v>0.56265683163578095</v>
      </c>
      <c r="CH25" t="e">
        <v>#N/A</v>
      </c>
      <c r="CI25" t="str">
        <v/>
      </c>
      <c r="CJ25" s="98" cm="1">
        <f t="array" ref="CJ25">(CJ23*LN(1/CJ23*CQ19)-SUMPRODUCT(_xlfn.ANCHORARRAY(CS15),LN(_xlfn.ANCHORARRAY(CS16))))/(1+1/(3*(CQ9-1))*(SUM(1/_xlfn.ANCHORARRAY(CS15))-1/CJ23))</f>
        <v>32.224219661001769</v>
      </c>
      <c r="CK25">
        <v>17</v>
      </c>
      <c r="CL25">
        <v>0.88774365031095726</v>
      </c>
      <c r="CM25">
        <v>0.32077382291368794</v>
      </c>
      <c r="CN25">
        <v>0.32077382291368794</v>
      </c>
      <c r="CO25" t="e">
        <v>#N/A</v>
      </c>
      <c r="CP25" t="str">
        <v/>
      </c>
    </row>
    <row r="26" spans="43:99" x14ac:dyDescent="0.2">
      <c r="AQ26" s="90" t="s">
        <v>995</v>
      </c>
      <c r="AR26">
        <v>18</v>
      </c>
      <c r="AS26">
        <v>18</v>
      </c>
      <c r="AT26">
        <v>1</v>
      </c>
      <c r="AU26">
        <v>-10.540604746167171</v>
      </c>
      <c r="AV26">
        <v>1.4733410948437723E-3</v>
      </c>
      <c r="BA26" s="162" t="s">
        <v>1035</v>
      </c>
      <c r="CC26" s="90" t="s">
        <v>1048</v>
      </c>
      <c r="CD26">
        <v>18</v>
      </c>
      <c r="CE26">
        <v>0.58568296694095523</v>
      </c>
      <c r="CF26">
        <v>0.54312902400628027</v>
      </c>
      <c r="CG26">
        <v>0.54312902400628027</v>
      </c>
      <c r="CH26" t="e">
        <v>#N/A</v>
      </c>
      <c r="CI26" t="str">
        <v/>
      </c>
      <c r="CJ26" s="90" t="s">
        <v>1062</v>
      </c>
      <c r="CK26">
        <v>18</v>
      </c>
      <c r="CL26">
        <v>0.9432276284553921</v>
      </c>
      <c r="CM26">
        <v>0.31199722208449093</v>
      </c>
      <c r="CN26">
        <v>0.31199722208449093</v>
      </c>
      <c r="CO26" t="e">
        <v>#N/A</v>
      </c>
      <c r="CP26" t="str">
        <v/>
      </c>
    </row>
    <row r="27" spans="43:99" x14ac:dyDescent="0.2">
      <c r="AQ27" s="98">
        <f>MIN(2000,ROUND(AQ23*AQ25,0))</f>
        <v>908</v>
      </c>
      <c r="AR27">
        <v>19</v>
      </c>
      <c r="AS27">
        <v>19</v>
      </c>
      <c r="AT27">
        <v>1</v>
      </c>
      <c r="AU27">
        <v>-10.509664214849824</v>
      </c>
      <c r="AV27">
        <v>1.5040801366154927E-3</v>
      </c>
      <c r="BA27" s="96">
        <f>COUNTIF(_xlfn.ANCHORARRAY(BL9),TRUE)</f>
        <v>0</v>
      </c>
      <c r="CC27" s="187" cm="1">
        <f t="array" ref="CC27">INDEX(_xlfn.ANCHORARRAY(CF9),CC25)</f>
        <v>0.18183265379999633</v>
      </c>
      <c r="CD27">
        <v>19</v>
      </c>
      <c r="CE27">
        <v>0.620134906172776</v>
      </c>
      <c r="CF27">
        <v>0.524316262852208</v>
      </c>
      <c r="CG27">
        <v>0.524316262852208</v>
      </c>
      <c r="CH27" t="e">
        <v>#N/A</v>
      </c>
      <c r="CI27" t="str">
        <v/>
      </c>
      <c r="CJ27" s="98" t="b">
        <f>K54&lt;1-B5</f>
        <v>1</v>
      </c>
      <c r="CK27">
        <v>19</v>
      </c>
      <c r="CL27">
        <v>0.99871160659982694</v>
      </c>
      <c r="CM27">
        <v>0.30346075532052202</v>
      </c>
      <c r="CN27">
        <v>0.30346075532052202</v>
      </c>
      <c r="CO27" t="e">
        <v>#N/A</v>
      </c>
      <c r="CP27" t="str">
        <v/>
      </c>
    </row>
    <row r="28" spans="43:99" x14ac:dyDescent="0.2">
      <c r="AQ28" s="90" t="s">
        <v>994</v>
      </c>
      <c r="AR28">
        <v>20</v>
      </c>
      <c r="AS28">
        <v>20</v>
      </c>
      <c r="AT28">
        <v>1</v>
      </c>
      <c r="AU28">
        <v>-10.478723683532477</v>
      </c>
      <c r="AV28">
        <v>1.5353812592945131E-3</v>
      </c>
      <c r="CC28" s="90" t="s">
        <v>1049</v>
      </c>
      <c r="CD28">
        <v>20</v>
      </c>
      <c r="CE28">
        <v>0.654586845404597</v>
      </c>
      <c r="CF28">
        <v>0.50619100481719215</v>
      </c>
      <c r="CG28">
        <v>0.50619100481719215</v>
      </c>
      <c r="CH28" t="e">
        <v>#N/A</v>
      </c>
      <c r="CI28" t="str">
        <v/>
      </c>
      <c r="CJ28" s="90" t="s">
        <v>1012</v>
      </c>
      <c r="CK28">
        <v>20</v>
      </c>
      <c r="CL28">
        <v>1.0541955847442617</v>
      </c>
      <c r="CM28">
        <v>0.2951578523822998</v>
      </c>
      <c r="CN28">
        <v>0.2951578523822998</v>
      </c>
      <c r="CO28" t="e">
        <v>#N/A</v>
      </c>
      <c r="CP28" t="str">
        <v/>
      </c>
    </row>
    <row r="29" spans="43:99" x14ac:dyDescent="0.2">
      <c r="AQ29" s="98">
        <f>(AQ27+1)*CQ9</f>
        <v>2727</v>
      </c>
      <c r="AR29">
        <v>21</v>
      </c>
      <c r="AS29">
        <v>21</v>
      </c>
      <c r="AT29">
        <v>1</v>
      </c>
      <c r="AU29">
        <v>-10.447783152215131</v>
      </c>
      <c r="AV29">
        <v>1.5672528958100443E-3</v>
      </c>
      <c r="CC29" s="187" t="str">
        <f>ROUND(_xlfn.F.DIST(E59,B59,B60,TRUE)*100,CC23)&amp;"% mindre end "&amp;ROUND(E59,CC23)</f>
        <v>95.528% mindre end 3.419</v>
      </c>
      <c r="CD29">
        <v>21</v>
      </c>
      <c r="CE29">
        <v>0.68903878463641777</v>
      </c>
      <c r="CF29">
        <v>0.48872681970933252</v>
      </c>
      <c r="CG29">
        <v>0.48872681970933252</v>
      </c>
      <c r="CH29" t="e">
        <v>#N/A</v>
      </c>
      <c r="CI29" t="str">
        <v/>
      </c>
      <c r="CJ29" s="188">
        <v>3</v>
      </c>
      <c r="CK29">
        <v>21</v>
      </c>
      <c r="CL29">
        <v>1.1096795628886964</v>
      </c>
      <c r="CM29">
        <v>0.28708212279678574</v>
      </c>
      <c r="CN29">
        <v>0.28708212279678574</v>
      </c>
      <c r="CO29" t="e">
        <v>#N/A</v>
      </c>
      <c r="CP29" t="str">
        <v/>
      </c>
    </row>
    <row r="30" spans="43:99" x14ac:dyDescent="0.2">
      <c r="AR30">
        <v>22</v>
      </c>
      <c r="AS30">
        <v>22</v>
      </c>
      <c r="AT30">
        <v>1</v>
      </c>
      <c r="AU30">
        <v>-10.416842620897786</v>
      </c>
      <c r="AV30">
        <v>1.5997035651183721E-3</v>
      </c>
      <c r="CC30" s="90" t="s">
        <v>1050</v>
      </c>
      <c r="CD30">
        <v>22</v>
      </c>
      <c r="CE30">
        <v>0.72349072386823876</v>
      </c>
      <c r="CF30">
        <v>0.4718983434111928</v>
      </c>
      <c r="CG30">
        <v>0.4718983434111928</v>
      </c>
      <c r="CH30" t="e">
        <v>#N/A</v>
      </c>
      <c r="CI30" t="str">
        <v/>
      </c>
      <c r="CJ30" s="90" t="s">
        <v>1047</v>
      </c>
      <c r="CK30">
        <v>22</v>
      </c>
      <c r="CL30">
        <v>1.1651635410331314</v>
      </c>
      <c r="CM30">
        <v>0.27922735093884682</v>
      </c>
      <c r="CN30">
        <v>0.27922735093884682</v>
      </c>
      <c r="CO30" t="e">
        <v>#N/A</v>
      </c>
      <c r="CP30" t="str">
        <v/>
      </c>
    </row>
    <row r="31" spans="43:99" x14ac:dyDescent="0.2">
      <c r="AR31">
        <v>23</v>
      </c>
      <c r="AS31">
        <v>23</v>
      </c>
      <c r="AT31">
        <v>1</v>
      </c>
      <c r="AU31">
        <v>-10.385902089580439</v>
      </c>
      <c r="AV31">
        <v>1.632741872211831E-3</v>
      </c>
      <c r="CC31" s="187" cm="1">
        <f t="array" ref="CC31">ROUNDUP(SUM(--ISNA(_xlfn.ANCHORARRAY(CG9)))/2,0)+SUM(--ISNA(_xlfn.ANCHORARRAY(CH9)))</f>
        <v>175</v>
      </c>
      <c r="CD31">
        <v>23</v>
      </c>
      <c r="CE31">
        <v>0.75794266310005953</v>
      </c>
      <c r="CF31">
        <v>0.45568123287038503</v>
      </c>
      <c r="CG31">
        <v>0.45568123287038503</v>
      </c>
      <c r="CH31" t="e">
        <v>#N/A</v>
      </c>
      <c r="CI31" t="str">
        <v/>
      </c>
      <c r="CJ31" s="187" cm="1">
        <f t="array" ref="CJ31">ROUNDUP(SUM(--ISNA(_xlfn.ANCHORARRAY(CO9)))/2,0)</f>
        <v>125</v>
      </c>
      <c r="CK31">
        <v>23</v>
      </c>
      <c r="CL31">
        <v>1.2206475191775661</v>
      </c>
      <c r="CM31">
        <v>0.27158749124729153</v>
      </c>
      <c r="CN31">
        <v>0.27158749124729153</v>
      </c>
      <c r="CO31" t="e">
        <v>#N/A</v>
      </c>
      <c r="CP31" t="str">
        <v/>
      </c>
    </row>
    <row r="32" spans="43:99" x14ac:dyDescent="0.2">
      <c r="AR32">
        <v>24</v>
      </c>
      <c r="AS32">
        <v>24</v>
      </c>
      <c r="AT32">
        <v>1</v>
      </c>
      <c r="AU32">
        <v>-10.354961558263092</v>
      </c>
      <c r="AV32">
        <v>1.6663765081055008E-3</v>
      </c>
      <c r="CC32" s="90" t="s">
        <v>1051</v>
      </c>
      <c r="CD32">
        <v>24</v>
      </c>
      <c r="CE32">
        <v>0.79239460233188053</v>
      </c>
      <c r="CF32">
        <v>0.44005212307491548</v>
      </c>
      <c r="CG32">
        <v>0.44005212307491548</v>
      </c>
      <c r="CH32" t="e">
        <v>#N/A</v>
      </c>
      <c r="CI32" t="str">
        <v/>
      </c>
      <c r="CJ32" s="90" t="s">
        <v>1048</v>
      </c>
      <c r="CK32">
        <v>24</v>
      </c>
      <c r="CL32">
        <v>1.276131497322001</v>
      </c>
      <c r="CM32">
        <v>0.26415666357179912</v>
      </c>
      <c r="CN32">
        <v>0.26415666357179912</v>
      </c>
      <c r="CO32" t="e">
        <v>#N/A</v>
      </c>
      <c r="CP32" t="str">
        <v/>
      </c>
    </row>
    <row r="33" spans="6:94" x14ac:dyDescent="0.2">
      <c r="AR33">
        <v>25</v>
      </c>
      <c r="AS33">
        <v>25</v>
      </c>
      <c r="AT33">
        <v>1</v>
      </c>
      <c r="AU33">
        <v>-10.324021026945747</v>
      </c>
      <c r="AV33">
        <v>1.7006162498012303E-3</v>
      </c>
      <c r="CC33" s="187" cm="1">
        <f t="array" ref="CC33">INDEX(_xlfn.ANCHORARRAY(CF9),CC31)</f>
        <v>4.411502883925454E-3</v>
      </c>
      <c r="CD33">
        <v>25</v>
      </c>
      <c r="CE33">
        <v>0.82684654156370141</v>
      </c>
      <c r="CF33">
        <v>0.42498858592206529</v>
      </c>
      <c r="CG33">
        <v>0.42498858592206529</v>
      </c>
      <c r="CH33" t="e">
        <v>#N/A</v>
      </c>
      <c r="CI33" t="str">
        <v/>
      </c>
      <c r="CJ33" s="187" cm="1">
        <f t="array" ref="CJ33">INDEX(_xlfn.ANCHORARRAY(CM9),CJ31)</f>
        <v>1.6032236130089451E-2</v>
      </c>
      <c r="CK33">
        <v>25</v>
      </c>
      <c r="CL33">
        <v>1.3316154754664358</v>
      </c>
      <c r="CM33">
        <v>0.25692914864716015</v>
      </c>
      <c r="CN33">
        <v>0.25692914864716015</v>
      </c>
      <c r="CO33" t="e">
        <v>#N/A</v>
      </c>
      <c r="CP33" t="str">
        <v/>
      </c>
    </row>
    <row r="34" spans="6:94" x14ac:dyDescent="0.2">
      <c r="AR34">
        <v>26</v>
      </c>
      <c r="AS34">
        <v>26</v>
      </c>
      <c r="AT34">
        <v>1</v>
      </c>
      <c r="AU34">
        <v>-10.2930804956284</v>
      </c>
      <c r="AV34">
        <v>1.735469960228501E-3</v>
      </c>
      <c r="CC34" s="90" t="s">
        <v>1052</v>
      </c>
      <c r="CD34">
        <v>26</v>
      </c>
      <c r="CE34">
        <v>0.86129848079552229</v>
      </c>
      <c r="CF34">
        <v>0.41046909089393424</v>
      </c>
      <c r="CG34">
        <v>0.41046909089393424</v>
      </c>
      <c r="CH34" t="e">
        <v>#N/A</v>
      </c>
      <c r="CI34">
        <v>0.86099999999999999</v>
      </c>
      <c r="CJ34" s="90" t="s">
        <v>1049</v>
      </c>
      <c r="CK34">
        <v>26</v>
      </c>
      <c r="CL34">
        <v>1.3870994536108707</v>
      </c>
      <c r="CM34">
        <v>0.24989938369134482</v>
      </c>
      <c r="CN34">
        <v>0.24989938369134482</v>
      </c>
      <c r="CO34" t="e">
        <v>#N/A</v>
      </c>
      <c r="CP34">
        <v>1.387</v>
      </c>
    </row>
    <row r="35" spans="6:94" x14ac:dyDescent="0.2">
      <c r="AR35">
        <v>27</v>
      </c>
      <c r="AS35">
        <v>27</v>
      </c>
      <c r="AT35">
        <v>1</v>
      </c>
      <c r="AU35">
        <v>-10.262139964311054</v>
      </c>
      <c r="AV35">
        <v>1.7709465881616513E-3</v>
      </c>
      <c r="CC35" s="187" t="str">
        <f>ROUND((1-_xlfn.F.DIST(E59,B59,B60,TRUE))*100,CC23)&amp;"% større end "&amp;ROUND(E59,CC23)</f>
        <v>4.472% større end 3.419</v>
      </c>
      <c r="CD35">
        <v>27</v>
      </c>
      <c r="CE35">
        <v>0.89575042002734317</v>
      </c>
      <c r="CF35">
        <v>0.39647296745692678</v>
      </c>
      <c r="CG35">
        <v>0.39647296745692678</v>
      </c>
      <c r="CH35" t="e">
        <v>#N/A</v>
      </c>
      <c r="CI35" t="str">
        <v/>
      </c>
      <c r="CJ35" s="187" t="str">
        <f>ROUND(_xlfn.CHISQ.DIST(CJ25,CJ19,TRUE)*100,CJ29)&amp;"% mindre end "&amp;ROUND(CJ25,CJ29)</f>
        <v>100% mindre end 32.224</v>
      </c>
      <c r="CK35">
        <v>27</v>
      </c>
      <c r="CL35">
        <v>1.4425834317553055</v>
      </c>
      <c r="CM35">
        <v>0.24306195812401155</v>
      </c>
      <c r="CN35">
        <v>0.24306195812401155</v>
      </c>
      <c r="CO35" t="e">
        <v>#N/A</v>
      </c>
      <c r="CP35" t="str">
        <v/>
      </c>
    </row>
    <row r="36" spans="6:94" x14ac:dyDescent="0.2">
      <c r="AR36">
        <v>28</v>
      </c>
      <c r="AS36">
        <v>28</v>
      </c>
      <c r="AT36">
        <v>1</v>
      </c>
      <c r="AU36">
        <v>-10.231199432993707</v>
      </c>
      <c r="AV36">
        <v>1.807055168113057E-3</v>
      </c>
      <c r="CC36" s="90" t="s">
        <v>1053</v>
      </c>
      <c r="CD36">
        <v>28</v>
      </c>
      <c r="CE36">
        <v>0.93020235925916406</v>
      </c>
      <c r="CF36">
        <v>0.38298036910639988</v>
      </c>
      <c r="CG36">
        <v>0.38298036910639988</v>
      </c>
      <c r="CH36" t="e">
        <v>#N/A</v>
      </c>
      <c r="CI36" t="str">
        <v/>
      </c>
      <c r="CJ36" s="90" t="s">
        <v>1050</v>
      </c>
      <c r="CK36">
        <v>28</v>
      </c>
      <c r="CL36">
        <v>1.4980674098997402</v>
      </c>
      <c r="CM36">
        <v>0.23641160940216002</v>
      </c>
      <c r="CN36">
        <v>0.23641160940216002</v>
      </c>
      <c r="CO36" t="e">
        <v>#N/A</v>
      </c>
      <c r="CP36" t="str">
        <v/>
      </c>
    </row>
    <row r="37" spans="6:94" x14ac:dyDescent="0.2">
      <c r="AR37">
        <v>29</v>
      </c>
      <c r="AS37">
        <v>29</v>
      </c>
      <c r="AT37">
        <v>1</v>
      </c>
      <c r="AU37">
        <v>-10.200258901676362</v>
      </c>
      <c r="AV37">
        <v>1.8438048202017449E-3</v>
      </c>
      <c r="CC37" s="187" t="b">
        <f>1-_xlfn.F.DIST(E59,B59,B60,TRUE)&lt;1-B5</f>
        <v>1</v>
      </c>
      <c r="CD37">
        <v>29</v>
      </c>
      <c r="CE37">
        <v>0.96465429849098494</v>
      </c>
      <c r="CF37">
        <v>0.36997223898143639</v>
      </c>
      <c r="CG37">
        <v>0.36997223898143639</v>
      </c>
      <c r="CH37" t="e">
        <v>#N/A</v>
      </c>
      <c r="CI37" t="str">
        <v/>
      </c>
      <c r="CJ37" s="187" cm="1">
        <f t="array" ref="CJ37">ROUNDUP(SUM(--ISNA(_xlfn.ANCHORARRAY(CN9)))/2,0)+SUM(--ISNA(_xlfn.ANCHORARRAY(CO9)))</f>
        <v>250</v>
      </c>
      <c r="CK37">
        <v>29</v>
      </c>
      <c r="CL37">
        <v>1.5535513880441751</v>
      </c>
      <c r="CM37">
        <v>0.22994321896972408</v>
      </c>
      <c r="CN37">
        <v>0.22994321896972408</v>
      </c>
      <c r="CO37" t="e">
        <v>#N/A</v>
      </c>
      <c r="CP37" t="str">
        <v/>
      </c>
    </row>
    <row r="38" spans="6:94" x14ac:dyDescent="0.2">
      <c r="F38" s="138"/>
      <c r="AR38">
        <v>30</v>
      </c>
      <c r="AS38">
        <v>30</v>
      </c>
      <c r="AT38">
        <v>1</v>
      </c>
      <c r="AU38">
        <v>-10.169318370359015</v>
      </c>
      <c r="AV38">
        <v>1.881204749997037E-3</v>
      </c>
      <c r="CC38" s="90" t="s">
        <v>1079</v>
      </c>
      <c r="CD38">
        <v>30</v>
      </c>
      <c r="CE38">
        <v>0.99910623772280582</v>
      </c>
      <c r="CF38">
        <v>0.35743027697827279</v>
      </c>
      <c r="CG38">
        <v>0.35743027697827279</v>
      </c>
      <c r="CH38" t="e">
        <v>#N/A</v>
      </c>
      <c r="CI38" t="str">
        <v/>
      </c>
      <c r="CJ38" s="90" t="s">
        <v>1051</v>
      </c>
      <c r="CK38">
        <v>30</v>
      </c>
      <c r="CL38">
        <v>1.6090353661886099</v>
      </c>
      <c r="CM38">
        <v>0.22365180831798601</v>
      </c>
      <c r="CN38">
        <v>0.22365180831798601</v>
      </c>
      <c r="CO38" t="e">
        <v>#N/A</v>
      </c>
      <c r="CP38" t="str">
        <v/>
      </c>
    </row>
    <row r="39" spans="6:94" x14ac:dyDescent="0.2">
      <c r="F39" s="138"/>
      <c r="AR39">
        <v>31</v>
      </c>
      <c r="AS39">
        <v>31</v>
      </c>
      <c r="AT39">
        <v>1</v>
      </c>
      <c r="AU39">
        <v>-10.138377839041668</v>
      </c>
      <c r="AV39">
        <v>1.9192642483367151E-3</v>
      </c>
      <c r="CC39" s="187">
        <v>25</v>
      </c>
      <c r="CD39">
        <v>31</v>
      </c>
      <c r="CE39">
        <v>1.0335581769546267</v>
      </c>
      <c r="CF39">
        <v>0.34533690829428981</v>
      </c>
      <c r="CG39">
        <v>0.34533690829428981</v>
      </c>
      <c r="CH39" t="e">
        <v>#N/A</v>
      </c>
      <c r="CI39" t="str">
        <v/>
      </c>
      <c r="CJ39" s="187" cm="1">
        <f t="array" ref="CJ39">INDEX(_xlfn.ANCHORARRAY(CM9),CJ37)</f>
        <v>5.0000000000000055E-4</v>
      </c>
      <c r="CK39">
        <v>31</v>
      </c>
      <c r="CL39">
        <v>1.6645193443330448</v>
      </c>
      <c r="CM39">
        <v>0.21753253515378135</v>
      </c>
      <c r="CN39">
        <v>0.21753253515378135</v>
      </c>
      <c r="CO39" t="e">
        <v>#N/A</v>
      </c>
      <c r="CP39" t="str">
        <v/>
      </c>
    </row>
    <row r="40" spans="6:94" x14ac:dyDescent="0.2">
      <c r="F40" s="138"/>
      <c r="AR40">
        <v>32</v>
      </c>
      <c r="AS40">
        <v>32</v>
      </c>
      <c r="AT40">
        <v>1</v>
      </c>
      <c r="AU40">
        <v>-10.107437307724322</v>
      </c>
      <c r="AV40">
        <v>1.9579926911192824E-3</v>
      </c>
      <c r="CD40">
        <v>32</v>
      </c>
      <c r="CE40">
        <v>1.0680101161864475</v>
      </c>
      <c r="CF40">
        <v>0.33367525333769943</v>
      </c>
      <c r="CG40">
        <v>0.33367525333769943</v>
      </c>
      <c r="CH40" t="e">
        <v>#N/A</v>
      </c>
      <c r="CI40" t="str">
        <v/>
      </c>
      <c r="CJ40" s="90" t="s">
        <v>1052</v>
      </c>
      <c r="CK40">
        <v>32</v>
      </c>
      <c r="CL40">
        <v>1.7200033224774796</v>
      </c>
      <c r="CM40">
        <v>0.2115806896725442</v>
      </c>
      <c r="CN40">
        <v>0.2115806896725442</v>
      </c>
      <c r="CO40" t="e">
        <v>#N/A</v>
      </c>
      <c r="CP40" t="str">
        <v/>
      </c>
    </row>
    <row r="41" spans="6:94" x14ac:dyDescent="0.2">
      <c r="F41" s="138"/>
      <c r="AR41">
        <v>33</v>
      </c>
      <c r="AS41">
        <v>33</v>
      </c>
      <c r="AT41">
        <v>1</v>
      </c>
      <c r="AU41">
        <v>-10.076496776406977</v>
      </c>
      <c r="AV41">
        <v>1.9973995390698378E-3</v>
      </c>
      <c r="CD41">
        <v>33</v>
      </c>
      <c r="CE41">
        <v>1.1024620554182685</v>
      </c>
      <c r="CF41">
        <v>0.32242909894111627</v>
      </c>
      <c r="CG41">
        <v>0.32242909894111627</v>
      </c>
      <c r="CH41" t="e">
        <v>#N/A</v>
      </c>
      <c r="CI41" t="str">
        <v/>
      </c>
      <c r="CJ41" s="187" t="str">
        <f>ROUND((1-_xlfn.CHISQ.DIST(CJ25,CJ19,TRUE))*100,CJ29)&amp;"% større end "&amp;ROUND(CJ25,CJ29)</f>
        <v>0% større end 32.224</v>
      </c>
      <c r="CK41">
        <v>33</v>
      </c>
      <c r="CL41">
        <v>1.7754873006219145</v>
      </c>
      <c r="CM41">
        <v>0.20579169093332408</v>
      </c>
      <c r="CN41">
        <v>0.20579169093332408</v>
      </c>
      <c r="CO41" t="e">
        <v>#N/A</v>
      </c>
      <c r="CP41" t="str">
        <v/>
      </c>
    </row>
    <row r="42" spans="6:94" x14ac:dyDescent="0.2">
      <c r="AR42">
        <v>34</v>
      </c>
      <c r="AS42">
        <v>34</v>
      </c>
      <c r="AT42">
        <v>1</v>
      </c>
      <c r="AU42">
        <v>-10.04555624508963</v>
      </c>
      <c r="AV42">
        <v>2.0374943374791244E-3</v>
      </c>
      <c r="CD42">
        <v>34</v>
      </c>
      <c r="CE42">
        <v>1.1369139946500895</v>
      </c>
      <c r="CF42">
        <v>0.31158287082011971</v>
      </c>
      <c r="CG42">
        <v>0.31158287082011971</v>
      </c>
      <c r="CH42" t="e">
        <v>#N/A</v>
      </c>
      <c r="CI42" t="str">
        <v/>
      </c>
      <c r="CJ42" s="90" t="s">
        <v>1079</v>
      </c>
      <c r="CK42">
        <v>34</v>
      </c>
      <c r="CL42">
        <v>1.8309712787663492</v>
      </c>
      <c r="CM42">
        <v>0.20016108333298616</v>
      </c>
      <c r="CN42">
        <v>0.20016108333298616</v>
      </c>
      <c r="CO42" t="e">
        <v>#N/A</v>
      </c>
      <c r="CP42" t="str">
        <v/>
      </c>
    </row>
    <row r="43" spans="6:94" x14ac:dyDescent="0.2">
      <c r="AR43">
        <v>35</v>
      </c>
      <c r="AS43">
        <v>35</v>
      </c>
      <c r="AT43">
        <v>1</v>
      </c>
      <c r="AU43">
        <v>-10.014615713772283</v>
      </c>
      <c r="AV43">
        <v>2.0782867159152528E-3</v>
      </c>
      <c r="CD43">
        <v>35</v>
      </c>
      <c r="CE43">
        <v>1.1713659338819105</v>
      </c>
      <c r="CF43">
        <v>0.30112160722067222</v>
      </c>
      <c r="CG43">
        <v>0.30112160722067222</v>
      </c>
      <c r="CH43" t="e">
        <v>#N/A</v>
      </c>
      <c r="CI43" t="str">
        <v/>
      </c>
      <c r="CJ43" s="187">
        <v>25</v>
      </c>
      <c r="CK43">
        <v>35</v>
      </c>
      <c r="CL43">
        <v>1.8864552569107842</v>
      </c>
      <c r="CM43">
        <v>0.19468453317687828</v>
      </c>
      <c r="CN43">
        <v>0.19468453317687828</v>
      </c>
      <c r="CO43" t="e">
        <v>#N/A</v>
      </c>
      <c r="CP43" t="str">
        <v/>
      </c>
    </row>
    <row r="44" spans="6:94" x14ac:dyDescent="0.2">
      <c r="AR44">
        <v>36</v>
      </c>
      <c r="AS44">
        <v>36</v>
      </c>
      <c r="AT44">
        <v>1</v>
      </c>
      <c r="AU44">
        <v>-9.9836751824549363</v>
      </c>
      <c r="AV44">
        <v>2.1197863879076984E-3</v>
      </c>
      <c r="CD44">
        <v>36</v>
      </c>
      <c r="CE44">
        <v>1.205817873113731</v>
      </c>
      <c r="CF44">
        <v>0.29103093370190219</v>
      </c>
      <c r="CG44">
        <v>0.29103093370190219</v>
      </c>
      <c r="CH44" t="e">
        <v>#N/A</v>
      </c>
      <c r="CI44" t="str">
        <v/>
      </c>
      <c r="CK44">
        <v>36</v>
      </c>
      <c r="CL44">
        <v>1.9419392350552189</v>
      </c>
      <c r="CM44">
        <v>0.1893578253433286</v>
      </c>
      <c r="CN44">
        <v>0.1893578253433286</v>
      </c>
      <c r="CO44" t="e">
        <v>#N/A</v>
      </c>
      <c r="CP44" t="str">
        <v/>
      </c>
    </row>
    <row r="45" spans="6:94" x14ac:dyDescent="0.2">
      <c r="AR45">
        <v>37</v>
      </c>
      <c r="AS45">
        <v>37</v>
      </c>
      <c r="AT45">
        <v>1</v>
      </c>
      <c r="AU45">
        <v>-9.9527346511375914</v>
      </c>
      <c r="AV45">
        <v>2.1620031506030522E-3</v>
      </c>
      <c r="CD45">
        <v>37</v>
      </c>
      <c r="CE45">
        <v>1.240269812345552</v>
      </c>
      <c r="CF45">
        <v>0.28129703900325542</v>
      </c>
      <c r="CG45">
        <v>0.28129703900325542</v>
      </c>
      <c r="CH45" t="e">
        <v>#N/A</v>
      </c>
      <c r="CI45" t="str">
        <v/>
      </c>
      <c r="CK45">
        <v>37</v>
      </c>
      <c r="CL45">
        <v>1.9974232131996539</v>
      </c>
      <c r="CM45">
        <v>0.18417686003940356</v>
      </c>
      <c r="CN45">
        <v>0.18417686003940356</v>
      </c>
      <c r="CO45" t="e">
        <v>#N/A</v>
      </c>
      <c r="CP45" t="str">
        <v/>
      </c>
    </row>
    <row r="46" spans="6:94" x14ac:dyDescent="0.2">
      <c r="AR46">
        <v>38</v>
      </c>
      <c r="AS46">
        <v>38</v>
      </c>
      <c r="AT46">
        <v>1</v>
      </c>
      <c r="AU46">
        <v>-9.9217941198202446</v>
      </c>
      <c r="AV46">
        <v>2.2049468843921231E-3</v>
      </c>
      <c r="CD46">
        <v>38</v>
      </c>
      <c r="CE46">
        <v>1.274721751577373</v>
      </c>
      <c r="CF46">
        <v>0.27190665194741026</v>
      </c>
      <c r="CG46">
        <v>0.27190665194741026</v>
      </c>
      <c r="CH46" t="e">
        <v>#N/A</v>
      </c>
      <c r="CI46" t="str">
        <v/>
      </c>
      <c r="CK46">
        <v>38</v>
      </c>
      <c r="CL46">
        <v>2.0529071913440888</v>
      </c>
      <c r="CM46">
        <v>0.17913764964543169</v>
      </c>
      <c r="CN46">
        <v>0.17913764964543169</v>
      </c>
      <c r="CO46" t="e">
        <v>#N/A</v>
      </c>
      <c r="CP46" t="str">
        <v/>
      </c>
    </row>
    <row r="47" spans="6:94" x14ac:dyDescent="0.2">
      <c r="AR47">
        <v>39</v>
      </c>
      <c r="AS47">
        <v>39</v>
      </c>
      <c r="AT47">
        <v>1</v>
      </c>
      <c r="AU47">
        <v>-9.8908535885028979</v>
      </c>
      <c r="AV47">
        <v>2.2486275525078893E-3</v>
      </c>
      <c r="CD47">
        <v>39</v>
      </c>
      <c r="CE47">
        <v>1.309173690809194</v>
      </c>
      <c r="CF47">
        <v>0.26284701933261334</v>
      </c>
      <c r="CG47">
        <v>0.26284701933261334</v>
      </c>
      <c r="CH47" t="e">
        <v>#N/A</v>
      </c>
      <c r="CI47" t="str">
        <v/>
      </c>
      <c r="CK47">
        <v>39</v>
      </c>
      <c r="CL47">
        <v>2.1083911694885233</v>
      </c>
      <c r="CM47">
        <v>0.17423631564586292</v>
      </c>
      <c r="CN47">
        <v>0.17423631564586292</v>
      </c>
      <c r="CO47" t="e">
        <v>#N/A</v>
      </c>
      <c r="CP47" t="str">
        <v/>
      </c>
    </row>
    <row r="48" spans="6:94" x14ac:dyDescent="0.2">
      <c r="AR48">
        <v>40</v>
      </c>
      <c r="AS48">
        <v>40</v>
      </c>
      <c r="AT48">
        <v>1</v>
      </c>
      <c r="AU48">
        <v>-9.8599130571855511</v>
      </c>
      <c r="AV48">
        <v>2.293055200593877E-3</v>
      </c>
      <c r="CD48">
        <v>40</v>
      </c>
      <c r="CE48">
        <v>1.3436256300410145</v>
      </c>
      <c r="CF48">
        <v>0.25410588477025337</v>
      </c>
      <c r="CG48">
        <v>0.25410588477025337</v>
      </c>
      <c r="CH48" t="e">
        <v>#N/A</v>
      </c>
      <c r="CI48" t="str">
        <v/>
      </c>
      <c r="CK48">
        <v>40</v>
      </c>
      <c r="CL48">
        <v>2.1638751476329583</v>
      </c>
      <c r="CM48">
        <v>0.1694690856441019</v>
      </c>
      <c r="CN48">
        <v>0.1694690856441019</v>
      </c>
      <c r="CO48" t="e">
        <v>#N/A</v>
      </c>
      <c r="CP48" t="str">
        <v/>
      </c>
    </row>
    <row r="49" spans="1:94" x14ac:dyDescent="0.2">
      <c r="AR49">
        <v>41</v>
      </c>
      <c r="AS49">
        <v>41</v>
      </c>
      <c r="AT49">
        <v>1</v>
      </c>
      <c r="AU49">
        <v>-9.8289725258682061</v>
      </c>
      <c r="AV49">
        <v>2.3382399562425007E-3</v>
      </c>
      <c r="CD49">
        <v>41</v>
      </c>
      <c r="CE49">
        <v>1.3780775692728355</v>
      </c>
      <c r="CF49">
        <v>0.24567146842553902</v>
      </c>
      <c r="CG49">
        <v>0.24567146842553902</v>
      </c>
      <c r="CH49" t="e">
        <v>#N/A</v>
      </c>
      <c r="CI49" t="str">
        <v/>
      </c>
      <c r="CK49">
        <v>41</v>
      </c>
      <c r="CL49">
        <v>2.2193591257773928</v>
      </c>
      <c r="CM49">
        <v>0.16483229045901757</v>
      </c>
      <c r="CN49">
        <v>0.16483229045901757</v>
      </c>
      <c r="CO49" t="e">
        <v>#N/A</v>
      </c>
      <c r="CP49" t="str">
        <v/>
      </c>
    </row>
    <row r="50" spans="1:94" x14ac:dyDescent="0.2">
      <c r="AR50">
        <v>42</v>
      </c>
      <c r="AS50">
        <v>42</v>
      </c>
      <c r="AT50">
        <v>1</v>
      </c>
      <c r="AU50">
        <v>-9.7980319945508594</v>
      </c>
      <c r="AV50">
        <v>2.3841920285029186E-3</v>
      </c>
      <c r="CD50">
        <v>42</v>
      </c>
      <c r="CE50">
        <v>1.4125295085046565</v>
      </c>
      <c r="CF50">
        <v>0.23753244762111084</v>
      </c>
      <c r="CG50">
        <v>0.23753244762111084</v>
      </c>
      <c r="CH50" t="e">
        <v>#N/A</v>
      </c>
      <c r="CI50" t="str">
        <v/>
      </c>
      <c r="CK50">
        <v>42</v>
      </c>
      <c r="CL50">
        <v>2.2748431039218278</v>
      </c>
      <c r="CM50">
        <v>0.16032236130089444</v>
      </c>
      <c r="CN50">
        <v>0.16032236130089444</v>
      </c>
      <c r="CO50" t="e">
        <v>#N/A</v>
      </c>
      <c r="CP50" t="str">
        <v/>
      </c>
    </row>
    <row r="51" spans="1:94" x14ac:dyDescent="0.2">
      <c r="AR51">
        <v>43</v>
      </c>
      <c r="AS51">
        <v>43</v>
      </c>
      <c r="AT51">
        <v>1</v>
      </c>
      <c r="AU51">
        <v>-9.7670914632335126</v>
      </c>
      <c r="AV51">
        <v>2.4309217073579361E-3</v>
      </c>
      <c r="CD51">
        <v>43</v>
      </c>
      <c r="CE51">
        <v>1.4469814477364775</v>
      </c>
      <c r="CF51">
        <v>0.22967793826526423</v>
      </c>
      <c r="CG51">
        <v>0.22967793826526423</v>
      </c>
      <c r="CH51" t="e">
        <v>#N/A</v>
      </c>
      <c r="CI51" t="str">
        <v/>
      </c>
      <c r="CK51">
        <v>43</v>
      </c>
      <c r="CL51">
        <v>2.3303270820662627</v>
      </c>
      <c r="CM51">
        <v>0.15593582702465184</v>
      </c>
      <c r="CN51">
        <v>0.15593582702465184</v>
      </c>
      <c r="CO51" t="e">
        <v>#N/A</v>
      </c>
      <c r="CP51" t="str">
        <v/>
      </c>
    </row>
    <row r="52" spans="1:94" x14ac:dyDescent="0.2">
      <c r="AR52">
        <v>44</v>
      </c>
      <c r="AS52">
        <v>44</v>
      </c>
      <c r="AT52">
        <v>1</v>
      </c>
      <c r="AU52">
        <v>-9.7361509319161677</v>
      </c>
      <c r="AV52">
        <v>2.4784393631695537E-3</v>
      </c>
      <c r="CD52">
        <v>44</v>
      </c>
      <c r="CE52">
        <v>1.4814333869682983</v>
      </c>
      <c r="CF52">
        <v>0.22209747706823882</v>
      </c>
      <c r="CG52">
        <v>0.22209747706823882</v>
      </c>
      <c r="CH52" t="e">
        <v>#N/A</v>
      </c>
      <c r="CI52" t="str">
        <v/>
      </c>
      <c r="CK52">
        <v>44</v>
      </c>
      <c r="CL52">
        <v>2.3858110602106977</v>
      </c>
      <c r="CM52">
        <v>0.15166931145821691</v>
      </c>
      <c r="CN52">
        <v>0.15166931145821691</v>
      </c>
      <c r="CO52" t="e">
        <v>#N/A</v>
      </c>
      <c r="CP52" t="str">
        <v/>
      </c>
    </row>
    <row r="53" spans="1:94" x14ac:dyDescent="0.2">
      <c r="A53" s="3" t="s">
        <v>1074</v>
      </c>
      <c r="D53" s="3" t="s">
        <v>365</v>
      </c>
      <c r="G53" s="3" t="s">
        <v>1075</v>
      </c>
      <c r="J53" s="3" t="s">
        <v>365</v>
      </c>
      <c r="AR53">
        <v>45</v>
      </c>
      <c r="AS53">
        <v>45</v>
      </c>
      <c r="AT53">
        <v>1</v>
      </c>
      <c r="AU53">
        <v>-9.7052104005988209</v>
      </c>
      <c r="AV53">
        <v>2.5267554460926696E-3</v>
      </c>
      <c r="CD53">
        <v>45</v>
      </c>
      <c r="CE53">
        <v>1.5158853262001191</v>
      </c>
      <c r="CF53">
        <v>0.21478100451171675</v>
      </c>
      <c r="CG53">
        <v>0.21478100451171675</v>
      </c>
      <c r="CH53" t="e">
        <v>#N/A</v>
      </c>
      <c r="CI53" t="str">
        <v/>
      </c>
      <c r="CK53">
        <v>45</v>
      </c>
      <c r="CL53">
        <v>2.4412950383551322</v>
      </c>
      <c r="CM53">
        <v>0.1475195308039953</v>
      </c>
      <c r="CN53">
        <v>0.1475195308039953</v>
      </c>
      <c r="CO53" t="e">
        <v>#N/A</v>
      </c>
      <c r="CP53" t="str">
        <v/>
      </c>
    </row>
    <row r="54" spans="1:94" x14ac:dyDescent="0.2">
      <c r="A54" s="63" t="s">
        <v>463</v>
      </c>
      <c r="B54" s="60" t="s">
        <v>185</v>
      </c>
      <c r="D54" s="114" t="s">
        <v>366</v>
      </c>
      <c r="E54" s="95">
        <f>1-_xlfn.F.DIST(E59,B59,B60,TRUE)</f>
        <v>4.472321280508984E-2</v>
      </c>
      <c r="G54" s="63" t="s">
        <v>466</v>
      </c>
      <c r="H54" s="60" t="str" cm="1">
        <f t="array" ref="H54">IF(AND(_xlfn.ANCHORARRAY(CS11)&gt;=3),"Opfyldt","Ikke opfyldt")</f>
        <v>Opfyldt</v>
      </c>
      <c r="J54" s="114" t="s">
        <v>366</v>
      </c>
      <c r="K54" s="95">
        <f>1-_xlfn.CHISQ.DIST(CJ25,CQ9-1,TRUE)</f>
        <v>1.006003771397701E-7</v>
      </c>
      <c r="AR54">
        <v>46</v>
      </c>
      <c r="AS54">
        <v>46</v>
      </c>
      <c r="AT54">
        <v>1</v>
      </c>
      <c r="AU54">
        <v>-9.6742698692814741</v>
      </c>
      <c r="AV54">
        <v>2.5758804854565109E-3</v>
      </c>
      <c r="CD54">
        <v>46</v>
      </c>
      <c r="CE54">
        <v>1.5503372654319401</v>
      </c>
      <c r="CF54">
        <v>0.20771884853826894</v>
      </c>
      <c r="CG54">
        <v>0.20771884853826894</v>
      </c>
      <c r="CH54" t="e">
        <v>#N/A</v>
      </c>
      <c r="CI54" t="str">
        <v/>
      </c>
      <c r="CK54">
        <v>46</v>
      </c>
      <c r="CL54">
        <v>2.4967790164995671</v>
      </c>
      <c r="CM54">
        <v>0.14348329111143945</v>
      </c>
      <c r="CN54">
        <v>0.14348329111143945</v>
      </c>
      <c r="CO54" t="e">
        <v>#N/A</v>
      </c>
      <c r="CP54" t="str">
        <v/>
      </c>
    </row>
    <row r="55" spans="1:94" x14ac:dyDescent="0.2">
      <c r="A55" s="63" t="s">
        <v>464</v>
      </c>
      <c r="B55" s="60" t="s">
        <v>465</v>
      </c>
      <c r="D55" s="114" t="s">
        <v>367</v>
      </c>
      <c r="E55" s="190" t="str">
        <f>IF(E54&lt;1-B5,"Nulhypotesen afvises","Nulhypotesen kan ikke afvises")</f>
        <v>Nulhypotesen afvises</v>
      </c>
      <c r="G55" s="63" t="s">
        <v>463</v>
      </c>
      <c r="H55" s="60" t="s">
        <v>185</v>
      </c>
      <c r="J55" s="114" t="s">
        <v>468</v>
      </c>
      <c r="K55" s="190" t="str">
        <f>IF(K54&lt;1-B5,"Nulhypotesen afvises","Nulhypotesen kan ikke afvises")</f>
        <v>Nulhypotesen afvises</v>
      </c>
      <c r="AR55">
        <v>47</v>
      </c>
      <c r="AS55">
        <v>47</v>
      </c>
      <c r="AT55">
        <v>1</v>
      </c>
      <c r="AU55">
        <v>-9.6433293379641274</v>
      </c>
      <c r="AV55">
        <v>2.6258250891133881E-3</v>
      </c>
      <c r="CD55">
        <v>47</v>
      </c>
      <c r="CE55">
        <v>1.5847892046637611</v>
      </c>
      <c r="CF55">
        <v>0.20090170892902393</v>
      </c>
      <c r="CG55">
        <v>0.20090170892902393</v>
      </c>
      <c r="CH55" t="e">
        <v>#N/A</v>
      </c>
      <c r="CI55" t="str">
        <v/>
      </c>
      <c r="CK55">
        <v>47</v>
      </c>
      <c r="CL55">
        <v>2.5522629946440021</v>
      </c>
      <c r="CM55">
        <v>0.13955748581876934</v>
      </c>
      <c r="CN55">
        <v>0.13955748581876934</v>
      </c>
      <c r="CO55" t="e">
        <v>#N/A</v>
      </c>
      <c r="CP55" t="str">
        <v/>
      </c>
    </row>
    <row r="56" spans="1:94" x14ac:dyDescent="0.2">
      <c r="G56" s="63" t="s">
        <v>467</v>
      </c>
      <c r="H56" s="60" t="s">
        <v>185</v>
      </c>
      <c r="AR56">
        <v>48</v>
      </c>
      <c r="AS56">
        <v>48</v>
      </c>
      <c r="AT56">
        <v>1</v>
      </c>
      <c r="AU56">
        <v>-9.6123888066467824</v>
      </c>
      <c r="AV56">
        <v>2.6765999427542852E-3</v>
      </c>
      <c r="CD56">
        <v>48</v>
      </c>
      <c r="CE56">
        <v>1.6192411438955818</v>
      </c>
      <c r="CF56">
        <v>0.19432064233928636</v>
      </c>
      <c r="CG56">
        <v>0.19432064233928636</v>
      </c>
      <c r="CH56" t="e">
        <v>#N/A</v>
      </c>
      <c r="CI56" t="str">
        <v/>
      </c>
      <c r="CK56">
        <v>48</v>
      </c>
      <c r="CL56">
        <v>2.607746972788437</v>
      </c>
      <c r="CM56">
        <v>0.13573909336195331</v>
      </c>
      <c r="CN56">
        <v>0.13573909336195331</v>
      </c>
      <c r="CO56" t="e">
        <v>#N/A</v>
      </c>
      <c r="CP56" t="str">
        <v/>
      </c>
    </row>
    <row r="57" spans="1:94" x14ac:dyDescent="0.2">
      <c r="AR57">
        <v>49</v>
      </c>
      <c r="AS57">
        <v>49</v>
      </c>
      <c r="AT57">
        <v>1</v>
      </c>
      <c r="AU57">
        <v>-9.5814482753294357</v>
      </c>
      <c r="AV57">
        <v>2.7282158091909061E-3</v>
      </c>
      <c r="CD57">
        <v>49</v>
      </c>
      <c r="CE57">
        <v>1.6536930831274028</v>
      </c>
      <c r="CF57">
        <v>0.18796704796321512</v>
      </c>
      <c r="CG57">
        <v>0.18796704796321512</v>
      </c>
      <c r="CH57" t="e">
        <v>#N/A</v>
      </c>
      <c r="CI57" t="str">
        <v/>
      </c>
      <c r="CK57">
        <v>49</v>
      </c>
      <c r="CL57">
        <v>2.6632309509328715</v>
      </c>
      <c r="CM57">
        <v>0.13202517484910906</v>
      </c>
      <c r="CN57">
        <v>0.13202517484910906</v>
      </c>
      <c r="CO57" t="e">
        <v>#N/A</v>
      </c>
      <c r="CP57" t="str">
        <v/>
      </c>
    </row>
    <row r="58" spans="1:94" x14ac:dyDescent="0.2">
      <c r="A58" s="189" t="s">
        <v>1078</v>
      </c>
      <c r="B58" s="90" t="s">
        <v>127</v>
      </c>
      <c r="C58" s="90" t="s">
        <v>360</v>
      </c>
      <c r="D58" s="90" t="s">
        <v>361</v>
      </c>
      <c r="E58" s="90" t="s">
        <v>362</v>
      </c>
      <c r="AR58">
        <v>50</v>
      </c>
      <c r="AS58">
        <v>50</v>
      </c>
      <c r="AT58">
        <v>1</v>
      </c>
      <c r="AU58">
        <v>-9.5505077440120889</v>
      </c>
      <c r="AV58">
        <v>2.7806835276037024E-3</v>
      </c>
      <c r="CD58">
        <v>50</v>
      </c>
      <c r="CE58">
        <v>1.6881450223592236</v>
      </c>
      <c r="CF58">
        <v>0.18183265379999633</v>
      </c>
      <c r="CG58">
        <v>0.18183265379999633</v>
      </c>
      <c r="CH58" t="e">
        <v>#N/A</v>
      </c>
      <c r="CI58" t="str">
        <v/>
      </c>
      <c r="CK58">
        <v>50</v>
      </c>
      <c r="CL58">
        <v>2.7187149290773065</v>
      </c>
      <c r="CM58">
        <v>0.1284128717985345</v>
      </c>
      <c r="CN58">
        <v>0.1284128717985345</v>
      </c>
      <c r="CO58" t="e">
        <v>#N/A</v>
      </c>
      <c r="CP58" t="str">
        <v/>
      </c>
    </row>
    <row r="59" spans="1:94" x14ac:dyDescent="0.2">
      <c r="A59" s="90" t="s">
        <v>357</v>
      </c>
      <c r="B59" s="94">
        <f>CQ9-1</f>
        <v>2</v>
      </c>
      <c r="C59" s="93">
        <f>CQ17</f>
        <v>84.732223121819032</v>
      </c>
      <c r="D59" s="93">
        <f>CQ21</f>
        <v>42.366111560909516</v>
      </c>
      <c r="E59" s="93">
        <f>D59/D60</f>
        <v>3.4191051103620165</v>
      </c>
      <c r="AR59">
        <v>51</v>
      </c>
      <c r="AS59">
        <v>51</v>
      </c>
      <c r="AT59">
        <v>1</v>
      </c>
      <c r="AU59">
        <v>-9.5195672126947422</v>
      </c>
      <c r="AV59">
        <v>2.8340140127555021E-3</v>
      </c>
      <c r="CD59">
        <v>51</v>
      </c>
      <c r="CE59">
        <v>1.7225969615910446</v>
      </c>
      <c r="CF59">
        <v>0.17590950349519938</v>
      </c>
      <c r="CG59">
        <v>0.17590950349519938</v>
      </c>
      <c r="CH59" t="e">
        <v>#N/A</v>
      </c>
      <c r="CI59">
        <v>1.7230000000000001</v>
      </c>
      <c r="CK59">
        <v>51</v>
      </c>
      <c r="CL59">
        <v>2.7741989072217415</v>
      </c>
      <c r="CM59">
        <v>0.12489940393862797</v>
      </c>
      <c r="CN59">
        <v>0.12489940393862797</v>
      </c>
      <c r="CO59" t="e">
        <v>#N/A</v>
      </c>
      <c r="CP59">
        <v>2.774</v>
      </c>
    </row>
    <row r="60" spans="1:94" x14ac:dyDescent="0.2">
      <c r="A60" s="90" t="s">
        <v>358</v>
      </c>
      <c r="B60" s="94">
        <f>CQ13-CQ9</f>
        <v>33</v>
      </c>
      <c r="C60" s="93">
        <f>CQ19</f>
        <v>408.90280830295518</v>
      </c>
      <c r="D60" s="93">
        <f>CQ23</f>
        <v>12.390994190998642</v>
      </c>
      <c r="E60" s="93"/>
      <c r="AR60">
        <v>52</v>
      </c>
      <c r="AS60">
        <v>52</v>
      </c>
      <c r="AT60">
        <v>1</v>
      </c>
      <c r="AU60">
        <v>-9.4886266813773972</v>
      </c>
      <c r="AV60">
        <v>2.888218254170296E-3</v>
      </c>
      <c r="CD60">
        <v>52</v>
      </c>
      <c r="CE60">
        <v>1.7570489008228654</v>
      </c>
      <c r="CF60">
        <v>0.170189943732203</v>
      </c>
      <c r="CG60">
        <v>0.170189943732203</v>
      </c>
      <c r="CH60" t="e">
        <v>#N/A</v>
      </c>
      <c r="CI60" t="str">
        <v/>
      </c>
      <c r="CK60">
        <v>52</v>
      </c>
      <c r="CL60">
        <v>2.8296828853661764</v>
      </c>
      <c r="CM60">
        <v>0.12148206706800389</v>
      </c>
      <c r="CN60">
        <v>0.12148206706800389</v>
      </c>
      <c r="CO60" t="e">
        <v>#N/A</v>
      </c>
      <c r="CP60" t="str">
        <v/>
      </c>
    </row>
    <row r="61" spans="1:94" x14ac:dyDescent="0.2">
      <c r="A61" s="90" t="s">
        <v>359</v>
      </c>
      <c r="B61" s="94">
        <f>SUM(B59:B60)</f>
        <v>35</v>
      </c>
      <c r="C61" s="93">
        <f>SUM(C59:C60)</f>
        <v>493.63503142477418</v>
      </c>
      <c r="D61" s="93"/>
      <c r="E61" s="93"/>
      <c r="AR61">
        <v>53</v>
      </c>
      <c r="AS61">
        <v>53</v>
      </c>
      <c r="AT61">
        <v>1</v>
      </c>
      <c r="AU61">
        <v>-9.4576861500600504</v>
      </c>
      <c r="AV61">
        <v>2.9433073152768095E-3</v>
      </c>
      <c r="CD61">
        <v>53</v>
      </c>
      <c r="CE61">
        <v>1.7915008400546863</v>
      </c>
      <c r="CF61">
        <v>0.16466661214971975</v>
      </c>
      <c r="CG61">
        <v>0.16466661214971975</v>
      </c>
      <c r="CH61" t="e">
        <v>#N/A</v>
      </c>
      <c r="CI61" t="str">
        <v/>
      </c>
      <c r="CK61">
        <v>53</v>
      </c>
      <c r="CL61">
        <v>2.8851668635106109</v>
      </c>
      <c r="CM61">
        <v>0.11815823097415748</v>
      </c>
      <c r="CN61">
        <v>0.11815823097415748</v>
      </c>
      <c r="CO61" t="e">
        <v>#N/A</v>
      </c>
      <c r="CP61" t="str">
        <v/>
      </c>
    </row>
    <row r="62" spans="1:94" x14ac:dyDescent="0.2">
      <c r="AR62">
        <v>54</v>
      </c>
      <c r="AS62">
        <v>54</v>
      </c>
      <c r="AT62">
        <v>1</v>
      </c>
      <c r="AU62">
        <v>-9.4267456187427037</v>
      </c>
      <c r="AV62">
        <v>2.9992923325163458E-3</v>
      </c>
      <c r="CD62">
        <v>54</v>
      </c>
      <c r="CE62">
        <v>1.8259527792865071</v>
      </c>
      <c r="CF62">
        <v>0.15933242576253434</v>
      </c>
      <c r="CG62">
        <v>0.15933242576253434</v>
      </c>
      <c r="CH62" t="e">
        <v>#N/A</v>
      </c>
      <c r="CI62" t="str">
        <v/>
      </c>
      <c r="CK62">
        <v>54</v>
      </c>
      <c r="CL62">
        <v>2.9406508416550459</v>
      </c>
      <c r="CM62">
        <v>0.11492533740907598</v>
      </c>
      <c r="CN62">
        <v>0.11492533740907598</v>
      </c>
      <c r="CO62" t="e">
        <v>#N/A</v>
      </c>
      <c r="CP62" t="str">
        <v/>
      </c>
    </row>
    <row r="63" spans="1:94" x14ac:dyDescent="0.2">
      <c r="AR63">
        <v>55</v>
      </c>
      <c r="AS63">
        <v>55</v>
      </c>
      <c r="AT63">
        <v>1</v>
      </c>
      <c r="AU63">
        <v>-9.3958050874253587</v>
      </c>
      <c r="AV63">
        <v>3.0561845144146406E-3</v>
      </c>
      <c r="CD63">
        <v>55</v>
      </c>
      <c r="CE63">
        <v>1.8604047185183281</v>
      </c>
      <c r="CF63">
        <v>0.15418056986360645</v>
      </c>
      <c r="CG63">
        <v>0.15418056986360645</v>
      </c>
      <c r="CH63" t="e">
        <v>#N/A</v>
      </c>
      <c r="CI63" t="str">
        <v/>
      </c>
      <c r="CK63">
        <v>55</v>
      </c>
      <c r="CL63">
        <v>2.9961348197994804</v>
      </c>
      <c r="CM63">
        <v>0.11178089812023899</v>
      </c>
      <c r="CN63">
        <v>0.11178089812023899</v>
      </c>
      <c r="CO63" t="e">
        <v>#N/A</v>
      </c>
      <c r="CP63" t="str">
        <v/>
      </c>
    </row>
    <row r="64" spans="1:94" x14ac:dyDescent="0.2">
      <c r="AR64">
        <v>56</v>
      </c>
      <c r="AS64">
        <v>56</v>
      </c>
      <c r="AT64">
        <v>1</v>
      </c>
      <c r="AU64">
        <v>-9.3648645561080119</v>
      </c>
      <c r="AV64">
        <v>3.1139951406172479E-3</v>
      </c>
      <c r="CD64">
        <v>56</v>
      </c>
      <c r="CE64">
        <v>1.8948566577501489</v>
      </c>
      <c r="CF64">
        <v>0.14920448738667683</v>
      </c>
      <c r="CG64">
        <v>0.14920448738667683</v>
      </c>
      <c r="CH64" t="e">
        <v>#N/A</v>
      </c>
      <c r="CI64" t="str">
        <v/>
      </c>
      <c r="CK64">
        <v>56</v>
      </c>
      <c r="CL64">
        <v>3.0516187979439158</v>
      </c>
      <c r="CM64">
        <v>0.10872249293549151</v>
      </c>
      <c r="CN64">
        <v>0.10872249293549151</v>
      </c>
      <c r="CO64" t="e">
        <v>#N/A</v>
      </c>
      <c r="CP64" t="str">
        <v/>
      </c>
    </row>
    <row r="65" spans="44:94" x14ac:dyDescent="0.2">
      <c r="AR65">
        <v>57</v>
      </c>
      <c r="AS65">
        <v>57</v>
      </c>
      <c r="AT65">
        <v>1</v>
      </c>
      <c r="AU65">
        <v>-9.3339240247906652</v>
      </c>
      <c r="AV65">
        <v>3.1727355608880442E-3</v>
      </c>
      <c r="CD65">
        <v>57</v>
      </c>
      <c r="CE65">
        <v>1.9293085969819699</v>
      </c>
      <c r="CF65">
        <v>0.14439786870945562</v>
      </c>
      <c r="CG65">
        <v>0.14439786870945562</v>
      </c>
      <c r="CH65" t="e">
        <v>#N/A</v>
      </c>
      <c r="CI65" t="str">
        <v/>
      </c>
      <c r="CK65">
        <v>57</v>
      </c>
      <c r="CL65">
        <v>3.1071027760883503</v>
      </c>
      <c r="CM65">
        <v>0.10574776790031694</v>
      </c>
      <c r="CN65">
        <v>0.10574776790031694</v>
      </c>
      <c r="CO65" t="e">
        <v>#N/A</v>
      </c>
      <c r="CP65" t="str">
        <v/>
      </c>
    </row>
    <row r="66" spans="44:94" x14ac:dyDescent="0.2">
      <c r="AR66">
        <v>58</v>
      </c>
      <c r="AS66">
        <v>58</v>
      </c>
      <c r="AT66">
        <v>1</v>
      </c>
      <c r="AU66">
        <v>-9.3029834934733184</v>
      </c>
      <c r="AV66">
        <v>3.2324171940705283E-3</v>
      </c>
      <c r="CD66">
        <v>58</v>
      </c>
      <c r="CE66">
        <v>1.9637605362137909</v>
      </c>
      <c r="CF66">
        <v>0.13975464187836859</v>
      </c>
      <c r="CG66">
        <v>0.13975464187836859</v>
      </c>
      <c r="CH66" t="e">
        <v>#N/A</v>
      </c>
      <c r="CI66" t="str">
        <v/>
      </c>
      <c r="CK66">
        <v>58</v>
      </c>
      <c r="CL66">
        <v>3.1625867542327852</v>
      </c>
      <c r="CM66">
        <v>0.10285443346607481</v>
      </c>
      <c r="CN66">
        <v>0.10285443346607481</v>
      </c>
      <c r="CO66" t="e">
        <v>#N/A</v>
      </c>
      <c r="CP66" t="str">
        <v/>
      </c>
    </row>
    <row r="67" spans="44:94" x14ac:dyDescent="0.2">
      <c r="AR67">
        <v>59</v>
      </c>
      <c r="AS67">
        <v>59</v>
      </c>
      <c r="AT67">
        <v>1</v>
      </c>
      <c r="AU67">
        <v>-9.2720429621559735</v>
      </c>
      <c r="AV67">
        <v>3.2930515270115047E-3</v>
      </c>
      <c r="CD67">
        <v>59</v>
      </c>
      <c r="CE67">
        <v>1.9982124754456116</v>
      </c>
      <c r="CF67">
        <v>0.13526896323669277</v>
      </c>
      <c r="CG67">
        <v>0.13526896323669277</v>
      </c>
      <c r="CH67" t="e">
        <v>#N/A</v>
      </c>
      <c r="CI67" t="str">
        <v/>
      </c>
      <c r="CK67">
        <v>59</v>
      </c>
      <c r="CL67">
        <v>3.2180707323772197</v>
      </c>
      <c r="CM67">
        <v>0.1000402627278103</v>
      </c>
      <c r="CN67">
        <v>0.1000402627278103</v>
      </c>
      <c r="CO67" t="e">
        <v>#N/A</v>
      </c>
      <c r="CP67" t="str">
        <v/>
      </c>
    </row>
    <row r="68" spans="44:94" x14ac:dyDescent="0.2">
      <c r="AR68">
        <v>60</v>
      </c>
      <c r="AS68">
        <v>60</v>
      </c>
      <c r="AT68">
        <v>1</v>
      </c>
      <c r="AU68">
        <v>-9.2411024308386267</v>
      </c>
      <c r="AV68">
        <v>3.3546501134467774E-3</v>
      </c>
      <c r="CD68">
        <v>60</v>
      </c>
      <c r="CE68">
        <v>2.0326644146774324</v>
      </c>
      <c r="CF68">
        <v>0.13093520843872647</v>
      </c>
      <c r="CG68">
        <v>0.13093520843872647</v>
      </c>
      <c r="CH68" t="e">
        <v>#N/A</v>
      </c>
      <c r="CI68" t="str">
        <v/>
      </c>
      <c r="CK68">
        <v>60</v>
      </c>
      <c r="CL68">
        <v>3.2735547105216551</v>
      </c>
      <c r="CM68">
        <v>9.7303089710278109E-2</v>
      </c>
      <c r="CN68">
        <v>9.7303089710278109E-2</v>
      </c>
      <c r="CO68" t="e">
        <v>#N/A</v>
      </c>
      <c r="CP68" t="str">
        <v/>
      </c>
    </row>
    <row r="69" spans="44:94" x14ac:dyDescent="0.2">
      <c r="AR69">
        <v>61</v>
      </c>
      <c r="AS69">
        <v>61</v>
      </c>
      <c r="AT69">
        <v>1</v>
      </c>
      <c r="AU69">
        <v>-9.2101618995212799</v>
      </c>
      <c r="AV69">
        <v>3.417224572848493E-3</v>
      </c>
      <c r="CD69">
        <v>61</v>
      </c>
      <c r="CE69">
        <v>2.0671163539092534</v>
      </c>
      <c r="CF69">
        <v>0.12674796383341594</v>
      </c>
      <c r="CG69">
        <v>0.12674796383341594</v>
      </c>
      <c r="CH69" t="e">
        <v>#N/A</v>
      </c>
      <c r="CI69" t="str">
        <v/>
      </c>
      <c r="CK69">
        <v>61</v>
      </c>
      <c r="CL69">
        <v>3.3290386886660897</v>
      </c>
      <c r="CM69">
        <v>9.4640807700862237E-2</v>
      </c>
      <c r="CN69">
        <v>9.4640807700862237E-2</v>
      </c>
      <c r="CO69" t="e">
        <v>#N/A</v>
      </c>
      <c r="CP69" t="str">
        <v/>
      </c>
    </row>
    <row r="70" spans="44:94" x14ac:dyDescent="0.2">
      <c r="AR70">
        <v>62</v>
      </c>
      <c r="AS70">
        <v>62</v>
      </c>
      <c r="AT70">
        <v>1</v>
      </c>
      <c r="AU70">
        <v>-9.1792213682039332</v>
      </c>
      <c r="AV70">
        <v>3.4807865892337538E-3</v>
      </c>
      <c r="CD70">
        <v>62</v>
      </c>
      <c r="CE70">
        <v>2.101568293141074</v>
      </c>
      <c r="CF70">
        <v>0.12270201820160426</v>
      </c>
      <c r="CG70">
        <v>0.12270201820160426</v>
      </c>
      <c r="CH70" t="e">
        <v>#N/A</v>
      </c>
      <c r="CI70" t="str">
        <v/>
      </c>
      <c r="CK70">
        <v>62</v>
      </c>
      <c r="CL70">
        <v>3.3845226668105246</v>
      </c>
      <c r="CM70">
        <v>9.2051367628108047E-2</v>
      </c>
      <c r="CN70">
        <v>9.2051367628108047E-2</v>
      </c>
      <c r="CO70" t="e">
        <v>#N/A</v>
      </c>
      <c r="CP70" t="str">
        <v/>
      </c>
    </row>
    <row r="71" spans="44:94" x14ac:dyDescent="0.2">
      <c r="AR71">
        <v>63</v>
      </c>
      <c r="AS71">
        <v>63</v>
      </c>
      <c r="AT71">
        <v>1</v>
      </c>
      <c r="AU71">
        <v>-9.1482808368865882</v>
      </c>
      <c r="AV71">
        <v>3.5453479099341913E-3</v>
      </c>
      <c r="CD71">
        <v>63</v>
      </c>
      <c r="CE71">
        <v>2.136020232372895</v>
      </c>
      <c r="CF71">
        <v>0.11879235483176906</v>
      </c>
      <c r="CG71">
        <v>0.11879235483176906</v>
      </c>
      <c r="CH71" t="e">
        <v>#N/A</v>
      </c>
      <c r="CI71" t="str">
        <v/>
      </c>
      <c r="CK71">
        <v>63</v>
      </c>
      <c r="CL71">
        <v>3.4400066449549591</v>
      </c>
      <c r="CM71">
        <v>8.9532776484618881E-2</v>
      </c>
      <c r="CN71">
        <v>8.9532776484618881E-2</v>
      </c>
      <c r="CO71" t="e">
        <v>#N/A</v>
      </c>
      <c r="CP71" t="str">
        <v/>
      </c>
    </row>
    <row r="72" spans="44:94" x14ac:dyDescent="0.2">
      <c r="AR72">
        <v>64</v>
      </c>
      <c r="AS72">
        <v>64</v>
      </c>
      <c r="AT72">
        <v>1</v>
      </c>
      <c r="AU72">
        <v>-9.1173403055692415</v>
      </c>
      <c r="AV72">
        <v>3.6109203443261411E-3</v>
      </c>
      <c r="CD72">
        <v>64</v>
      </c>
      <c r="CE72">
        <v>2.1704721716047159</v>
      </c>
      <c r="CF72">
        <v>0.11501414391979549</v>
      </c>
      <c r="CG72">
        <v>0.11501414391979549</v>
      </c>
      <c r="CH72" t="e">
        <v>#N/A</v>
      </c>
      <c r="CI72" t="str">
        <v/>
      </c>
      <c r="CK72">
        <v>64</v>
      </c>
      <c r="CL72">
        <v>3.4954906230993945</v>
      </c>
      <c r="CM72">
        <v>8.708309579310354E-2</v>
      </c>
      <c r="CN72">
        <v>8.708309579310354E-2</v>
      </c>
      <c r="CO72" t="e">
        <v>#N/A</v>
      </c>
      <c r="CP72" t="str">
        <v/>
      </c>
    </row>
    <row r="73" spans="44:94" x14ac:dyDescent="0.2">
      <c r="AR73">
        <v>65</v>
      </c>
      <c r="AS73">
        <v>65</v>
      </c>
      <c r="AT73">
        <v>1</v>
      </c>
      <c r="AU73">
        <v>-9.0863997742518947</v>
      </c>
      <c r="AV73">
        <v>3.677515762521023E-3</v>
      </c>
      <c r="CD73">
        <v>65</v>
      </c>
      <c r="CE73">
        <v>2.2049241108365369</v>
      </c>
      <c r="CF73">
        <v>0.11136273527896913</v>
      </c>
      <c r="CG73">
        <v>0.11136273527896913</v>
      </c>
      <c r="CH73" t="e">
        <v>#N/A</v>
      </c>
      <c r="CI73" t="str">
        <v/>
      </c>
      <c r="CK73">
        <v>65</v>
      </c>
      <c r="CL73">
        <v>3.550974601243829</v>
      </c>
      <c r="CM73">
        <v>8.4700440114393594E-2</v>
      </c>
      <c r="CN73">
        <v>8.4700440114393594E-2</v>
      </c>
      <c r="CO73" t="e">
        <v>#N/A</v>
      </c>
      <c r="CP73" t="str">
        <v/>
      </c>
    </row>
    <row r="74" spans="44:94" x14ac:dyDescent="0.2">
      <c r="AR74">
        <v>66</v>
      </c>
      <c r="AS74">
        <v>66</v>
      </c>
      <c r="AT74">
        <v>1</v>
      </c>
      <c r="AU74">
        <v>-9.0554592429345497</v>
      </c>
      <c r="AV74">
        <v>3.7451460940157049E-3</v>
      </c>
      <c r="CD74">
        <v>66</v>
      </c>
      <c r="CE74">
        <v>2.2393760500683579</v>
      </c>
      <c r="CF74">
        <v>0.10783365134698773</v>
      </c>
      <c r="CG74">
        <v>0.10783365134698773</v>
      </c>
      <c r="CH74" t="e">
        <v>#N/A</v>
      </c>
      <c r="CI74" t="str">
        <v/>
      </c>
      <c r="CK74">
        <v>66</v>
      </c>
      <c r="CL74">
        <v>3.6064585793882635</v>
      </c>
      <c r="CM74">
        <v>8.2382975596282451E-2</v>
      </c>
      <c r="CN74">
        <v>8.2382975596282451E-2</v>
      </c>
      <c r="CO74" t="e">
        <v>#N/A</v>
      </c>
      <c r="CP74" t="str">
        <v/>
      </c>
    </row>
    <row r="75" spans="44:94" x14ac:dyDescent="0.2">
      <c r="AR75">
        <v>67</v>
      </c>
      <c r="AS75">
        <v>67</v>
      </c>
      <c r="AT75">
        <v>1</v>
      </c>
      <c r="AU75">
        <v>-9.024518711617203</v>
      </c>
      <c r="AV75">
        <v>3.8138233263024577E-3</v>
      </c>
      <c r="CD75">
        <v>67</v>
      </c>
      <c r="CE75">
        <v>2.2738279893001789</v>
      </c>
      <c r="CF75">
        <v>0.10442258047737547</v>
      </c>
      <c r="CG75">
        <v>0.10442258047737547</v>
      </c>
      <c r="CH75" t="e">
        <v>#N/A</v>
      </c>
      <c r="CI75" t="str">
        <v/>
      </c>
      <c r="CK75">
        <v>67</v>
      </c>
      <c r="CL75">
        <v>3.6619425575326985</v>
      </c>
      <c r="CM75">
        <v>8.0128918562069232E-2</v>
      </c>
      <c r="CN75">
        <v>8.0128918562069232E-2</v>
      </c>
      <c r="CO75" t="e">
        <v>#N/A</v>
      </c>
      <c r="CP75" t="str">
        <v/>
      </c>
    </row>
    <row r="76" spans="44:94" x14ac:dyDescent="0.2">
      <c r="AR76">
        <v>68</v>
      </c>
      <c r="AS76">
        <v>68</v>
      </c>
      <c r="AT76">
        <v>1</v>
      </c>
      <c r="AU76">
        <v>-8.9935781802998562</v>
      </c>
      <c r="AV76">
        <v>3.8835595034381852E-3</v>
      </c>
      <c r="CD76">
        <v>68</v>
      </c>
      <c r="CE76">
        <v>2.3082799285319999</v>
      </c>
      <c r="CF76">
        <v>0.10112537050324176</v>
      </c>
      <c r="CG76">
        <v>0.10112537050324176</v>
      </c>
      <c r="CH76" t="e">
        <v>#N/A</v>
      </c>
      <c r="CI76" t="str">
        <v/>
      </c>
      <c r="CK76">
        <v>68</v>
      </c>
      <c r="CL76">
        <v>3.717426535677133</v>
      </c>
      <c r="CM76">
        <v>7.7936534137721294E-2</v>
      </c>
      <c r="CN76">
        <v>7.7936534137721294E-2</v>
      </c>
      <c r="CO76" t="e">
        <v>#N/A</v>
      </c>
      <c r="CP76" t="str">
        <v/>
      </c>
    </row>
    <row r="77" spans="44:94" x14ac:dyDescent="0.2">
      <c r="AR77">
        <v>69</v>
      </c>
      <c r="AS77">
        <v>69</v>
      </c>
      <c r="AT77">
        <v>1</v>
      </c>
      <c r="AU77">
        <v>-8.9626376489825095</v>
      </c>
      <c r="AV77">
        <v>3.9543667245726727E-3</v>
      </c>
      <c r="CD77">
        <v>69</v>
      </c>
      <c r="CE77">
        <v>2.3427318677638209</v>
      </c>
      <c r="CF77">
        <v>9.7938022561856339E-2</v>
      </c>
      <c r="CG77">
        <v>9.7938022561856339E-2</v>
      </c>
      <c r="CH77" t="e">
        <v>#N/A</v>
      </c>
      <c r="CI77" t="str">
        <v/>
      </c>
      <c r="CK77">
        <v>69</v>
      </c>
      <c r="CL77">
        <v>3.7729105138215684</v>
      </c>
      <c r="CM77">
        <v>7.5804134916598057E-2</v>
      </c>
      <c r="CN77">
        <v>7.5804134916598057E-2</v>
      </c>
      <c r="CO77" t="e">
        <v>#N/A</v>
      </c>
      <c r="CP77" t="str">
        <v/>
      </c>
    </row>
    <row r="78" spans="44:94" x14ac:dyDescent="0.2">
      <c r="AR78">
        <v>70</v>
      </c>
      <c r="AS78">
        <v>70</v>
      </c>
      <c r="AT78">
        <v>1</v>
      </c>
      <c r="AU78">
        <v>-8.9316971176651627</v>
      </c>
      <c r="AV78">
        <v>4.026257142435566E-3</v>
      </c>
      <c r="CD78">
        <v>70</v>
      </c>
      <c r="CE78">
        <v>2.377183806995641</v>
      </c>
      <c r="CF78">
        <v>9.4856685169023056E-2</v>
      </c>
      <c r="CG78">
        <v>9.4856685169023056E-2</v>
      </c>
      <c r="CH78" t="e">
        <v>#N/A</v>
      </c>
      <c r="CI78" t="str">
        <v/>
      </c>
      <c r="CK78">
        <v>70</v>
      </c>
      <c r="CL78">
        <v>3.8283944919660029</v>
      </c>
      <c r="CM78">
        <v>7.3730079660709574E-2</v>
      </c>
      <c r="CN78">
        <v>7.3730079660709574E-2</v>
      </c>
      <c r="CO78" t="e">
        <v>#N/A</v>
      </c>
      <c r="CP78" t="str">
        <v/>
      </c>
    </row>
    <row r="79" spans="44:94" x14ac:dyDescent="0.2">
      <c r="AR79">
        <v>71</v>
      </c>
      <c r="AS79">
        <v>71</v>
      </c>
      <c r="AT79">
        <v>1</v>
      </c>
      <c r="AU79">
        <v>-8.9007565863478177</v>
      </c>
      <c r="AV79">
        <v>4.0992429617817032E-3</v>
      </c>
      <c r="CD79">
        <v>71</v>
      </c>
      <c r="CE79">
        <v>2.411635746227462</v>
      </c>
      <c r="CF79">
        <v>9.1877648532716516E-2</v>
      </c>
      <c r="CG79">
        <v>9.1877648532716516E-2</v>
      </c>
      <c r="CH79" t="e">
        <v>#N/A</v>
      </c>
      <c r="CI79" t="str">
        <v/>
      </c>
      <c r="CK79">
        <v>71</v>
      </c>
      <c r="CL79">
        <v>3.8838784701104379</v>
      </c>
      <c r="CM79">
        <v>7.1712772037509059E-2</v>
      </c>
      <c r="CN79">
        <v>7.1712772037509059E-2</v>
      </c>
      <c r="CO79" t="e">
        <v>#N/A</v>
      </c>
      <c r="CP79" t="str">
        <v/>
      </c>
    </row>
    <row r="80" spans="44:94" x14ac:dyDescent="0.2">
      <c r="AR80">
        <v>72</v>
      </c>
      <c r="AS80">
        <v>72</v>
      </c>
      <c r="AT80">
        <v>1</v>
      </c>
      <c r="AU80">
        <v>-8.869816055030471</v>
      </c>
      <c r="AV80">
        <v>4.1733364377946735E-3</v>
      </c>
      <c r="CD80">
        <v>72</v>
      </c>
      <c r="CE80">
        <v>2.446087685459283</v>
      </c>
      <c r="CF80">
        <v>8.8997339095911634E-2</v>
      </c>
      <c r="CG80">
        <v>8.8997339095911634E-2</v>
      </c>
      <c r="CH80" t="e">
        <v>#N/A</v>
      </c>
      <c r="CI80" t="str">
        <v/>
      </c>
      <c r="CK80">
        <v>72</v>
      </c>
      <c r="CL80">
        <v>3.9393624482548724</v>
      </c>
      <c r="CM80">
        <v>6.975065939124811E-2</v>
      </c>
      <c r="CN80">
        <v>6.975065939124811E-2</v>
      </c>
      <c r="CO80" t="e">
        <v>#N/A</v>
      </c>
      <c r="CP80" t="str">
        <v/>
      </c>
    </row>
    <row r="81" spans="1:94" x14ac:dyDescent="0.2">
      <c r="AR81">
        <v>73</v>
      </c>
      <c r="AS81">
        <v>73</v>
      </c>
      <c r="AT81">
        <v>1</v>
      </c>
      <c r="AU81">
        <v>-8.8388755237131242</v>
      </c>
      <c r="AV81">
        <v>4.2485498744482039E-3</v>
      </c>
      <c r="CD81">
        <v>73</v>
      </c>
      <c r="CE81">
        <v>2.480539624691104</v>
      </c>
      <c r="CF81">
        <v>8.6212314298971887E-2</v>
      </c>
      <c r="CG81">
        <v>8.6212314298971887E-2</v>
      </c>
      <c r="CH81" t="e">
        <v>#N/A</v>
      </c>
      <c r="CI81" t="str">
        <v/>
      </c>
      <c r="CK81">
        <v>73</v>
      </c>
      <c r="CL81">
        <v>3.9948464263993078</v>
      </c>
      <c r="CM81">
        <v>6.7842231547948065E-2</v>
      </c>
      <c r="CN81">
        <v>6.7842231547948065E-2</v>
      </c>
      <c r="CO81" t="e">
        <v>#N/A</v>
      </c>
      <c r="CP81" t="str">
        <v/>
      </c>
    </row>
    <row r="82" spans="1:94" x14ac:dyDescent="0.2">
      <c r="AR82">
        <v>74</v>
      </c>
      <c r="AS82">
        <v>74</v>
      </c>
      <c r="AT82">
        <v>1</v>
      </c>
      <c r="AU82">
        <v>-8.8079349923957793</v>
      </c>
      <c r="AV82">
        <v>4.3248956228252172E-3</v>
      </c>
      <c r="CD82">
        <v>74</v>
      </c>
      <c r="CE82">
        <v>2.514991563922925</v>
      </c>
      <c r="CF82">
        <v>8.3519257552389661E-2</v>
      </c>
      <c r="CG82">
        <v>8.3519257552389661E-2</v>
      </c>
      <c r="CH82" t="e">
        <v>#N/A</v>
      </c>
      <c r="CI82" t="str">
        <v/>
      </c>
      <c r="CK82">
        <v>74</v>
      </c>
      <c r="CL82">
        <v>4.0503304045437423</v>
      </c>
      <c r="CM82">
        <v>6.5986019653068786E-2</v>
      </c>
      <c r="CN82">
        <v>6.5986019653068786E-2</v>
      </c>
      <c r="CO82" t="e">
        <v>#N/A</v>
      </c>
      <c r="CP82" t="str">
        <v/>
      </c>
    </row>
    <row r="83" spans="1:94" x14ac:dyDescent="0.2">
      <c r="AR83">
        <v>75</v>
      </c>
      <c r="AS83">
        <v>75</v>
      </c>
      <c r="AT83">
        <v>1</v>
      </c>
      <c r="AU83">
        <v>-8.7769944610784325</v>
      </c>
      <c r="AV83">
        <v>4.4023860793942953E-3</v>
      </c>
      <c r="CD83">
        <v>75</v>
      </c>
      <c r="CE83">
        <v>2.549443503154746</v>
      </c>
      <c r="CF83">
        <v>8.0914973411068819E-2</v>
      </c>
      <c r="CG83">
        <v>8.0914973411068819E-2</v>
      </c>
      <c r="CH83" t="e">
        <v>#N/A</v>
      </c>
      <c r="CI83" t="str">
        <v/>
      </c>
      <c r="CK83">
        <v>75</v>
      </c>
      <c r="CL83">
        <v>4.1058143826881777</v>
      </c>
      <c r="CM83">
        <v>6.4180595040978866E-2</v>
      </c>
      <c r="CN83">
        <v>6.4180595040978866E-2</v>
      </c>
      <c r="CO83" t="e">
        <v>#N/A</v>
      </c>
      <c r="CP83" t="str">
        <v/>
      </c>
    </row>
    <row r="84" spans="1:94" x14ac:dyDescent="0.2">
      <c r="AR84">
        <v>76</v>
      </c>
      <c r="AS84">
        <v>76</v>
      </c>
      <c r="AT84">
        <v>1</v>
      </c>
      <c r="AU84">
        <v>-8.7460539297610858</v>
      </c>
      <c r="AV84">
        <v>4.4810336842432633E-3</v>
      </c>
      <c r="CD84">
        <v>76</v>
      </c>
      <c r="CE84">
        <v>2.583895442386567</v>
      </c>
      <c r="CF84">
        <v>7.8396382941726683E-2</v>
      </c>
      <c r="CG84">
        <v>7.8396382941726683E-2</v>
      </c>
      <c r="CH84" t="e">
        <v>#N/A</v>
      </c>
      <c r="CI84">
        <v>2.5840000000000001</v>
      </c>
      <c r="CK84">
        <v>76</v>
      </c>
      <c r="CL84">
        <v>4.1612983608326122</v>
      </c>
      <c r="CM84">
        <v>6.2424568135358904E-2</v>
      </c>
      <c r="CN84">
        <v>6.2424568135358904E-2</v>
      </c>
      <c r="CO84" t="e">
        <v>#N/A</v>
      </c>
      <c r="CP84">
        <v>4.1609999999999996</v>
      </c>
    </row>
    <row r="85" spans="1:94" x14ac:dyDescent="0.2">
      <c r="AR85">
        <v>77</v>
      </c>
      <c r="AS85">
        <v>77</v>
      </c>
      <c r="AT85">
        <v>1</v>
      </c>
      <c r="AU85">
        <v>-8.7151133984437408</v>
      </c>
      <c r="AV85">
        <v>4.560850919269761E-3</v>
      </c>
      <c r="CD85">
        <v>77</v>
      </c>
      <c r="CE85">
        <v>2.618347381618388</v>
      </c>
      <c r="CF85">
        <v>7.5960519275357727E-2</v>
      </c>
      <c r="CG85">
        <v>7.5960519275357727E-2</v>
      </c>
      <c r="CH85" t="e">
        <v>#N/A</v>
      </c>
      <c r="CI85" t="str">
        <v/>
      </c>
      <c r="CK85">
        <v>77</v>
      </c>
      <c r="CL85">
        <v>4.2167823389770467</v>
      </c>
      <c r="CM85">
        <v>6.0716587379689588E-2</v>
      </c>
      <c r="CN85">
        <v>6.0716587379689588E-2</v>
      </c>
      <c r="CO85" t="e">
        <v>#N/A</v>
      </c>
      <c r="CP85" t="str">
        <v/>
      </c>
    </row>
    <row r="86" spans="1:94" x14ac:dyDescent="0.2">
      <c r="AR86">
        <v>78</v>
      </c>
      <c r="AS86">
        <v>78</v>
      </c>
      <c r="AT86">
        <v>1</v>
      </c>
      <c r="AU86">
        <v>-8.684172867126394</v>
      </c>
      <c r="AV86">
        <v>4.6418503063285635E-3</v>
      </c>
      <c r="CD86">
        <v>78</v>
      </c>
      <c r="CE86">
        <v>2.6527993208502085</v>
      </c>
      <c r="CF86">
        <v>7.3604523337050753E-2</v>
      </c>
      <c r="CG86">
        <v>7.3604523337050753E-2</v>
      </c>
      <c r="CH86" t="e">
        <v>#N/A</v>
      </c>
      <c r="CI86" t="str">
        <v/>
      </c>
      <c r="CK86">
        <v>78</v>
      </c>
      <c r="CL86">
        <v>4.2722663171214821</v>
      </c>
      <c r="CM86">
        <v>5.9055338197003024E-2</v>
      </c>
      <c r="CN86">
        <v>5.9055338197003024E-2</v>
      </c>
      <c r="CO86" t="e">
        <v>#N/A</v>
      </c>
      <c r="CP86" t="str">
        <v/>
      </c>
    </row>
    <row r="87" spans="1:94" x14ac:dyDescent="0.2">
      <c r="AR87">
        <v>79</v>
      </c>
      <c r="AS87">
        <v>79</v>
      </c>
      <c r="AT87">
        <v>1</v>
      </c>
      <c r="AU87">
        <v>-8.6532323358090473</v>
      </c>
      <c r="AV87">
        <v>4.7240444053354242E-3</v>
      </c>
      <c r="CD87">
        <v>79</v>
      </c>
      <c r="CE87">
        <v>2.6872512600820291</v>
      </c>
      <c r="CF87">
        <v>7.1325639745787178E-2</v>
      </c>
      <c r="CG87">
        <v>7.1325639745787178E-2</v>
      </c>
      <c r="CH87" t="e">
        <v>#N/A</v>
      </c>
      <c r="CI87" t="str">
        <v/>
      </c>
      <c r="CK87">
        <v>79</v>
      </c>
      <c r="CL87">
        <v>4.3277502952659166</v>
      </c>
      <c r="CM87">
        <v>5.7439541978095886E-2</v>
      </c>
      <c r="CN87">
        <v>5.7439541978095886E-2</v>
      </c>
      <c r="CO87" t="e">
        <v>#N/A</v>
      </c>
      <c r="CP87" t="str">
        <v/>
      </c>
    </row>
    <row r="88" spans="1:94" x14ac:dyDescent="0.2">
      <c r="AR88">
        <v>80</v>
      </c>
      <c r="AS88">
        <v>80</v>
      </c>
      <c r="AT88">
        <v>1</v>
      </c>
      <c r="AU88">
        <v>-8.6222918044917005</v>
      </c>
      <c r="AV88">
        <v>4.8074458123272884E-3</v>
      </c>
      <c r="CD88">
        <v>80</v>
      </c>
      <c r="CE88">
        <v>2.7217031993138501</v>
      </c>
      <c r="CF88">
        <v>6.912121287716419E-2</v>
      </c>
      <c r="CG88">
        <v>6.912121287716419E-2</v>
      </c>
      <c r="CH88" t="e">
        <v>#N/A</v>
      </c>
      <c r="CI88" t="str">
        <v/>
      </c>
      <c r="CK88">
        <v>80</v>
      </c>
      <c r="CL88">
        <v>4.3832342734103511</v>
      </c>
      <c r="CM88">
        <v>5.586795509742546E-2</v>
      </c>
      <c r="CN88">
        <v>5.586795509742546E-2</v>
      </c>
      <c r="CO88" t="e">
        <v>#N/A</v>
      </c>
      <c r="CP88" t="str">
        <v/>
      </c>
    </row>
    <row r="89" spans="1:94" x14ac:dyDescent="0.2">
      <c r="A89" s="3" t="s">
        <v>1072</v>
      </c>
      <c r="AR89">
        <v>81</v>
      </c>
      <c r="AS89">
        <v>81</v>
      </c>
      <c r="AT89">
        <v>1</v>
      </c>
      <c r="AU89">
        <v>-8.5913512731743538</v>
      </c>
      <c r="AV89">
        <v>4.8920671574787271E-3</v>
      </c>
      <c r="CD89">
        <v>81</v>
      </c>
      <c r="CE89">
        <v>2.7561551385456711</v>
      </c>
      <c r="CF89">
        <v>6.6988683082295067E-2</v>
      </c>
      <c r="CG89">
        <v>6.6988683082295067E-2</v>
      </c>
      <c r="CH89" t="e">
        <v>#N/A</v>
      </c>
      <c r="CI89" t="str">
        <v/>
      </c>
      <c r="CK89">
        <v>81</v>
      </c>
      <c r="CL89">
        <v>4.4387182515547856</v>
      </c>
      <c r="CM89">
        <v>5.4339367955931868E-2</v>
      </c>
      <c r="CN89">
        <v>5.4339367955931868E-2</v>
      </c>
      <c r="CO89" t="e">
        <v>#N/A</v>
      </c>
      <c r="CP89" t="str">
        <v/>
      </c>
    </row>
    <row r="90" spans="1:94" x14ac:dyDescent="0.2">
      <c r="A90" s="90" t="s">
        <v>1077</v>
      </c>
      <c r="B90" s="90" t="s">
        <v>1025</v>
      </c>
      <c r="C90" s="90" t="s">
        <v>1076</v>
      </c>
      <c r="D90" s="90" t="s">
        <v>1104</v>
      </c>
      <c r="E90" s="90" t="s">
        <v>1105</v>
      </c>
      <c r="AR90">
        <v>82</v>
      </c>
      <c r="AS90">
        <v>82</v>
      </c>
      <c r="AT90">
        <v>1</v>
      </c>
      <c r="AU90">
        <v>-8.5604107418570088</v>
      </c>
      <c r="AV90">
        <v>4.9779211030743942E-3</v>
      </c>
      <c r="CD90">
        <v>82</v>
      </c>
      <c r="CE90">
        <v>2.7906070777774921</v>
      </c>
      <c r="CF90">
        <v>6.4925583056426123E-2</v>
      </c>
      <c r="CG90">
        <v>6.4925583056426123E-2</v>
      </c>
      <c r="CH90" t="e">
        <v>#N/A</v>
      </c>
      <c r="CI90" t="str">
        <v/>
      </c>
      <c r="CK90">
        <v>82</v>
      </c>
      <c r="CL90">
        <v>4.494202229699221</v>
      </c>
      <c r="CM90">
        <v>5.2852604050049157E-2</v>
      </c>
      <c r="CN90">
        <v>5.2852604050049157E-2</v>
      </c>
      <c r="CO90" t="e">
        <v>#N/A</v>
      </c>
      <c r="CP90" t="str">
        <v/>
      </c>
    </row>
    <row r="91" spans="1:94" x14ac:dyDescent="0.2">
      <c r="A91" s="92" t="str" cm="1">
        <f t="array" ref="A91:A93">_xlfn.SORTBY(_xlfn.ANCHORARRAY(BG9),_xlfn.ANCHORARRAY(CB9),-1)&amp;" ; "&amp;_xlfn.SORTBY(_xlfn.ANCHORARRAY(BH9),_xlfn.ANCHORARRAY(CB9),-1)</f>
        <v>Eksempel 4 (nominal) ; Eksempel 2 (interval)</v>
      </c>
      <c r="B91" s="92" cm="1">
        <f t="array" ref="B91:B93">_xlfn.SORTBY(_xlfn.ANCHORARRAY(BI9),_xlfn.ANCHORARRAY(CB9),-1)</f>
        <v>-3.7256728716641034</v>
      </c>
      <c r="C91" s="92" t="b" cm="1">
        <f t="array" ref="C91:C93">_xlfn.SORTBY(_xlfn.ANCHORARRAY(BL9),_xlfn.ANCHORARRAY(CB9),-1)</f>
        <v>0</v>
      </c>
      <c r="D91" s="92" cm="1">
        <f t="array" ref="D91:D93">_xlfn.SORTBY(INDEX(_xlfn.ANCHORARRAY(CS12),_xlfn.ANCHORARRAY(BE9)+1),_xlfn.ANCHORARRAY(CB9),-1)</f>
        <v>0.41666666666666669</v>
      </c>
      <c r="E91" s="92" cm="1">
        <f t="array" ref="E91:E93">_xlfn.SORTBY(INDEX(_xlfn.ANCHORARRAY(CS12),_xlfn.ANCHORARRAY(BF9)),_xlfn.ANCHORARRAY(CB9),-1)</f>
        <v>4.14233953833077</v>
      </c>
      <c r="AR91">
        <v>83</v>
      </c>
      <c r="AS91">
        <v>83</v>
      </c>
      <c r="AT91">
        <v>1</v>
      </c>
      <c r="AU91">
        <v>-8.529470210539662</v>
      </c>
      <c r="AV91">
        <v>5.0650203414374043E-3</v>
      </c>
      <c r="CD91">
        <v>83</v>
      </c>
      <c r="CE91">
        <v>2.8250590170093131</v>
      </c>
      <c r="CF91">
        <v>6.2929534351090374E-2</v>
      </c>
      <c r="CG91">
        <v>6.2929534351090374E-2</v>
      </c>
      <c r="CH91" t="e">
        <v>#N/A</v>
      </c>
      <c r="CI91" t="str">
        <v/>
      </c>
      <c r="CK91">
        <v>83</v>
      </c>
      <c r="CL91">
        <v>4.5496862078436555</v>
      </c>
      <c r="CM91">
        <v>5.1406519066189066E-2</v>
      </c>
      <c r="CN91">
        <v>5.1406519066189066E-2</v>
      </c>
      <c r="CO91" t="e">
        <v>#N/A</v>
      </c>
      <c r="CP91" t="str">
        <v/>
      </c>
    </row>
    <row r="92" spans="1:94" x14ac:dyDescent="0.2">
      <c r="A92" s="92" t="str">
        <v>Eksempel 2 (interval) ; Eksempel 1 (interval)</v>
      </c>
      <c r="B92" s="92">
        <v>2.2883351200097994</v>
      </c>
      <c r="C92" s="92" t="b">
        <v>0</v>
      </c>
      <c r="D92" s="92">
        <v>4.14233953833077</v>
      </c>
      <c r="E92" s="92">
        <v>1.8540044183209705</v>
      </c>
      <c r="AR92">
        <v>84</v>
      </c>
      <c r="AS92">
        <v>84</v>
      </c>
      <c r="AT92">
        <v>1</v>
      </c>
      <c r="AU92">
        <v>-8.4985296792223153</v>
      </c>
      <c r="AV92">
        <v>5.1533775928134535E-3</v>
      </c>
      <c r="CD92">
        <v>84</v>
      </c>
      <c r="CE92">
        <v>2.859510956241134</v>
      </c>
      <c r="CF92">
        <v>6.0998244023881945E-2</v>
      </c>
      <c r="CG92">
        <v>6.0998244023881945E-2</v>
      </c>
      <c r="CH92" t="e">
        <v>#N/A</v>
      </c>
      <c r="CI92" t="str">
        <v/>
      </c>
      <c r="CK92">
        <v>84</v>
      </c>
      <c r="CL92">
        <v>4.6051701859880909</v>
      </c>
      <c r="CM92">
        <v>5.0000000000000017E-2</v>
      </c>
      <c r="CN92">
        <v>5.0000000000000017E-2</v>
      </c>
      <c r="CO92" t="e">
        <v>#N/A</v>
      </c>
      <c r="CP92" t="str">
        <v/>
      </c>
    </row>
    <row r="93" spans="1:94" x14ac:dyDescent="0.2">
      <c r="A93" s="92" t="str">
        <v>Eksempel 4 (nominal) ; Eksempel 1 (interval)</v>
      </c>
      <c r="B93" s="92">
        <v>-1.4373377516543038</v>
      </c>
      <c r="C93" s="92" t="b">
        <v>0</v>
      </c>
      <c r="D93" s="92">
        <v>0.41666666666666669</v>
      </c>
      <c r="E93" s="92">
        <v>1.8540044183209705</v>
      </c>
      <c r="AR93">
        <v>85</v>
      </c>
      <c r="AS93">
        <v>85</v>
      </c>
      <c r="AT93">
        <v>1</v>
      </c>
      <c r="AU93">
        <v>-8.4675891479049703</v>
      </c>
      <c r="AV93">
        <v>5.2430056032106006E-3</v>
      </c>
      <c r="CD93">
        <v>85</v>
      </c>
      <c r="CE93">
        <v>2.893962895472955</v>
      </c>
      <c r="CF93">
        <v>5.9129501420190821E-2</v>
      </c>
      <c r="CG93">
        <v>5.9129501420190821E-2</v>
      </c>
      <c r="CH93" t="e">
        <v>#N/A</v>
      </c>
      <c r="CI93" t="str">
        <v/>
      </c>
      <c r="CK93">
        <v>85</v>
      </c>
      <c r="CL93">
        <v>4.6606541641325254</v>
      </c>
      <c r="CM93">
        <v>4.863196429972428E-2</v>
      </c>
      <c r="CN93">
        <v>4.863196429972428E-2</v>
      </c>
      <c r="CO93" t="e">
        <v>#N/A</v>
      </c>
      <c r="CP93" t="str">
        <v/>
      </c>
    </row>
    <row r="94" spans="1:94" x14ac:dyDescent="0.2">
      <c r="A94" s="92"/>
      <c r="B94" s="92"/>
      <c r="C94" s="92"/>
      <c r="D94" s="92"/>
      <c r="E94" s="92"/>
      <c r="AR94">
        <v>86</v>
      </c>
      <c r="AS94">
        <v>86</v>
      </c>
      <c r="AT94">
        <v>1</v>
      </c>
      <c r="AU94">
        <v>-8.4366486165876236</v>
      </c>
      <c r="AV94">
        <v>5.3339171421946472E-3</v>
      </c>
      <c r="CD94">
        <v>86</v>
      </c>
      <c r="CE94">
        <v>2.928414834704776</v>
      </c>
      <c r="CF94">
        <v>5.7321175081477681E-2</v>
      </c>
      <c r="CG94">
        <v>5.7321175081477681E-2</v>
      </c>
      <c r="CH94" t="e">
        <v>#N/A</v>
      </c>
      <c r="CI94" t="str">
        <v/>
      </c>
      <c r="CK94">
        <v>86</v>
      </c>
      <c r="CL94">
        <v>4.7161381422769608</v>
      </c>
      <c r="CM94">
        <v>4.7301359032993102E-2</v>
      </c>
      <c r="CN94">
        <v>4.7301359032993102E-2</v>
      </c>
      <c r="CO94" t="e">
        <v>#N/A</v>
      </c>
      <c r="CP94" t="str">
        <v/>
      </c>
    </row>
    <row r="95" spans="1:94" x14ac:dyDescent="0.2">
      <c r="A95" s="92"/>
      <c r="B95" s="92"/>
      <c r="C95" s="92"/>
      <c r="D95" s="92"/>
      <c r="E95" s="92"/>
      <c r="AR95">
        <v>87</v>
      </c>
      <c r="AS95">
        <v>87</v>
      </c>
      <c r="AT95">
        <v>1</v>
      </c>
      <c r="AU95">
        <v>-8.4057080852702768</v>
      </c>
      <c r="AV95">
        <v>5.4261250006399243E-3</v>
      </c>
      <c r="CD95">
        <v>87</v>
      </c>
      <c r="CE95">
        <v>2.9628667739365966</v>
      </c>
      <c r="CF95">
        <v>5.5571209774901563E-2</v>
      </c>
      <c r="CG95">
        <v>5.5571209774901563E-2</v>
      </c>
      <c r="CH95" t="e">
        <v>#N/A</v>
      </c>
      <c r="CI95" t="str">
        <v/>
      </c>
      <c r="CK95">
        <v>87</v>
      </c>
      <c r="CL95">
        <v>4.7716221204213953</v>
      </c>
      <c r="CM95">
        <v>4.6007160076419217E-2</v>
      </c>
      <c r="CN95">
        <v>4.6007160076419217E-2</v>
      </c>
      <c r="CO95" t="e">
        <v>#N/A</v>
      </c>
      <c r="CP95" t="str">
        <v/>
      </c>
    </row>
    <row r="96" spans="1:94" x14ac:dyDescent="0.2">
      <c r="A96" s="92"/>
      <c r="B96" s="92"/>
      <c r="C96" s="92"/>
      <c r="D96" s="92"/>
      <c r="E96" s="92"/>
      <c r="AR96">
        <v>88</v>
      </c>
      <c r="AS96">
        <v>88</v>
      </c>
      <c r="AT96">
        <v>1</v>
      </c>
      <c r="AU96">
        <v>-8.3747675539529318</v>
      </c>
      <c r="AV96">
        <v>5.5196419884354963E-3</v>
      </c>
      <c r="CD96">
        <v>88</v>
      </c>
      <c r="CE96">
        <v>2.9973187131684171</v>
      </c>
      <c r="CF96">
        <v>5.3877623639334557E-2</v>
      </c>
      <c r="CG96">
        <v>5.3877623639334557E-2</v>
      </c>
      <c r="CH96" t="e">
        <v>#N/A</v>
      </c>
      <c r="CI96" t="str">
        <v/>
      </c>
      <c r="CK96">
        <v>88</v>
      </c>
      <c r="CL96">
        <v>4.8271060985658298</v>
      </c>
      <c r="CM96">
        <v>4.4748371327362375E-2</v>
      </c>
      <c r="CN96">
        <v>4.4748371327362375E-2</v>
      </c>
      <c r="CO96" t="e">
        <v>#N/A</v>
      </c>
      <c r="CP96" t="str">
        <v/>
      </c>
    </row>
    <row r="97" spans="1:94" x14ac:dyDescent="0.2">
      <c r="A97" s="92"/>
      <c r="B97" s="92"/>
      <c r="C97" s="92"/>
      <c r="D97" s="92"/>
      <c r="E97" s="92"/>
      <c r="AR97">
        <v>89</v>
      </c>
      <c r="AS97">
        <v>89</v>
      </c>
      <c r="AT97">
        <v>1</v>
      </c>
      <c r="AU97">
        <v>-8.3438270226355851</v>
      </c>
      <c r="AV97">
        <v>5.6144809321467372E-3</v>
      </c>
      <c r="CD97">
        <v>89</v>
      </c>
      <c r="CE97">
        <v>3.0317706524002381</v>
      </c>
      <c r="CF97">
        <v>5.2238505443008232E-2</v>
      </c>
      <c r="CG97">
        <v>5.2238505443008232E-2</v>
      </c>
      <c r="CH97" t="e">
        <v>#N/A</v>
      </c>
      <c r="CI97" t="str">
        <v/>
      </c>
      <c r="CK97">
        <v>89</v>
      </c>
      <c r="CL97">
        <v>4.8825900767102643</v>
      </c>
      <c r="CM97">
        <v>4.3524023937261846E-2</v>
      </c>
      <c r="CN97">
        <v>4.3524023937261846E-2</v>
      </c>
      <c r="CO97" t="e">
        <v>#N/A</v>
      </c>
      <c r="CP97" t="str">
        <v/>
      </c>
    </row>
    <row r="98" spans="1:94" x14ac:dyDescent="0.2">
      <c r="A98" s="92"/>
      <c r="B98" s="92"/>
      <c r="C98" s="92"/>
      <c r="D98" s="92"/>
      <c r="E98" s="92"/>
      <c r="AR98">
        <v>90</v>
      </c>
      <c r="AS98">
        <v>90</v>
      </c>
      <c r="AT98">
        <v>1</v>
      </c>
      <c r="AU98">
        <v>-8.3128864913182383</v>
      </c>
      <c r="AV98">
        <v>5.7106546726321469E-3</v>
      </c>
      <c r="CD98">
        <v>90</v>
      </c>
      <c r="CE98">
        <v>3.0662225916320591</v>
      </c>
      <c r="CF98">
        <v>5.0652011948239699E-2</v>
      </c>
      <c r="CG98">
        <v>5.0652011948239699E-2</v>
      </c>
      <c r="CH98" t="e">
        <v>#N/A</v>
      </c>
      <c r="CI98" t="str">
        <v/>
      </c>
      <c r="CK98">
        <v>90</v>
      </c>
      <c r="CL98">
        <v>4.9380740548546997</v>
      </c>
      <c r="CM98">
        <v>4.2333175565945236E-2</v>
      </c>
      <c r="CN98">
        <v>4.2333175565945236E-2</v>
      </c>
      <c r="CO98" t="e">
        <v>#N/A</v>
      </c>
      <c r="CP98" t="str">
        <v/>
      </c>
    </row>
    <row r="99" spans="1:94" x14ac:dyDescent="0.2">
      <c r="A99" s="92"/>
      <c r="B99" s="92"/>
      <c r="C99" s="92"/>
      <c r="D99" s="92"/>
      <c r="E99" s="92"/>
      <c r="AR99">
        <v>91</v>
      </c>
      <c r="AS99">
        <v>91</v>
      </c>
      <c r="AT99">
        <v>1</v>
      </c>
      <c r="AU99">
        <v>-8.2819459600008916</v>
      </c>
      <c r="AV99">
        <v>5.8081760626154848E-3</v>
      </c>
      <c r="CD99">
        <v>91</v>
      </c>
      <c r="CE99">
        <v>3.1006745308638801</v>
      </c>
      <c r="CF99">
        <v>4.9116365378877584E-2</v>
      </c>
      <c r="CG99">
        <v>4.9116365378877584E-2</v>
      </c>
      <c r="CH99" t="e">
        <v>#N/A</v>
      </c>
      <c r="CI99" t="str">
        <v/>
      </c>
      <c r="CK99">
        <v>91</v>
      </c>
      <c r="CL99">
        <v>4.9935580329991343</v>
      </c>
      <c r="CM99">
        <v>4.1174909656340165E-2</v>
      </c>
      <c r="CN99">
        <v>4.1174909656340165E-2</v>
      </c>
      <c r="CO99" t="e">
        <v>#N/A</v>
      </c>
      <c r="CP99" t="str">
        <v/>
      </c>
    </row>
    <row r="100" spans="1:94" x14ac:dyDescent="0.2">
      <c r="A100" s="92"/>
      <c r="B100" s="92"/>
      <c r="C100" s="92"/>
      <c r="D100" s="92"/>
      <c r="E100" s="92"/>
      <c r="AR100">
        <v>92</v>
      </c>
      <c r="AS100">
        <v>92</v>
      </c>
      <c r="AT100">
        <v>1</v>
      </c>
      <c r="AU100">
        <v>-8.2510054286835448</v>
      </c>
      <c r="AV100">
        <v>5.9070579642131367E-3</v>
      </c>
      <c r="CD100">
        <v>92</v>
      </c>
      <c r="CE100">
        <v>3.1351264700957011</v>
      </c>
      <c r="CF100">
        <v>4.7629850986293881E-2</v>
      </c>
      <c r="CG100">
        <v>4.7629850986293881E-2</v>
      </c>
      <c r="CH100" t="e">
        <v>#N/A</v>
      </c>
      <c r="CI100" t="str">
        <v/>
      </c>
      <c r="CK100">
        <v>92</v>
      </c>
      <c r="CL100">
        <v>5.0490420111435688</v>
      </c>
      <c r="CM100">
        <v>4.004833472903014E-2</v>
      </c>
      <c r="CN100">
        <v>4.004833472903014E-2</v>
      </c>
      <c r="CO100" t="e">
        <v>#N/A</v>
      </c>
      <c r="CP100" t="str">
        <v/>
      </c>
    </row>
    <row r="101" spans="1:94" x14ac:dyDescent="0.2">
      <c r="A101" s="92"/>
      <c r="B101" s="92"/>
      <c r="C101" s="92"/>
      <c r="D101" s="92"/>
      <c r="E101" s="92"/>
      <c r="AR101">
        <v>93</v>
      </c>
      <c r="AS101">
        <v>93</v>
      </c>
      <c r="AT101">
        <v>1</v>
      </c>
      <c r="AU101">
        <v>-8.2200648973661998</v>
      </c>
      <c r="AV101">
        <v>6.0073132464167605E-3</v>
      </c>
      <c r="CD101">
        <v>93</v>
      </c>
      <c r="CE101">
        <v>3.1695784093275221</v>
      </c>
      <c r="CF101">
        <v>4.6190814709922638E-2</v>
      </c>
      <c r="CG101">
        <v>4.6190814709922638E-2</v>
      </c>
      <c r="CH101" t="e">
        <v>#N/A</v>
      </c>
      <c r="CI101" t="str">
        <v/>
      </c>
      <c r="CK101">
        <v>93</v>
      </c>
      <c r="CL101">
        <v>5.1045259892880042</v>
      </c>
      <c r="CM101">
        <v>3.8952583696112014E-2</v>
      </c>
      <c r="CN101">
        <v>3.8952583696112014E-2</v>
      </c>
      <c r="CO101" t="e">
        <v>#N/A</v>
      </c>
      <c r="CP101" t="str">
        <v/>
      </c>
    </row>
    <row r="102" spans="1:94" x14ac:dyDescent="0.2">
      <c r="A102" s="92"/>
      <c r="B102" s="92"/>
      <c r="C102" s="92"/>
      <c r="D102" s="92"/>
      <c r="E102" s="92"/>
      <c r="AR102">
        <v>94</v>
      </c>
      <c r="AS102">
        <v>94</v>
      </c>
      <c r="AT102">
        <v>1</v>
      </c>
      <c r="AU102">
        <v>-8.1891243660488531</v>
      </c>
      <c r="AV102">
        <v>6.108954782531228E-3</v>
      </c>
      <c r="CD102">
        <v>94</v>
      </c>
      <c r="CE102">
        <v>3.2040303485593431</v>
      </c>
      <c r="CF102">
        <v>4.4797660928517648E-2</v>
      </c>
      <c r="CG102">
        <v>4.4797660928517648E-2</v>
      </c>
      <c r="CH102" t="e">
        <v>#N/A</v>
      </c>
      <c r="CI102" t="str">
        <v/>
      </c>
      <c r="CK102">
        <v>94</v>
      </c>
      <c r="CL102">
        <v>5.1600099674324396</v>
      </c>
      <c r="CM102">
        <v>3.7886813193826807E-2</v>
      </c>
      <c r="CN102">
        <v>3.7886813193826807E-2</v>
      </c>
      <c r="CO102" t="e">
        <v>#N/A</v>
      </c>
      <c r="CP102" t="str">
        <v/>
      </c>
    </row>
    <row r="103" spans="1:94" x14ac:dyDescent="0.2">
      <c r="A103" s="92"/>
      <c r="B103" s="92"/>
      <c r="C103" s="92"/>
      <c r="D103" s="92"/>
      <c r="E103" s="92"/>
      <c r="AR103">
        <v>95</v>
      </c>
      <c r="AS103">
        <v>95</v>
      </c>
      <c r="AT103">
        <v>1</v>
      </c>
      <c r="AU103">
        <v>-8.1581838347315063</v>
      </c>
      <c r="AV103">
        <v>6.2119954475678835E-3</v>
      </c>
      <c r="CD103">
        <v>95</v>
      </c>
      <c r="CE103">
        <v>3.2384822877911636</v>
      </c>
      <c r="CF103">
        <v>4.3448850298459844E-2</v>
      </c>
      <c r="CG103">
        <v>4.3448850298459844E-2</v>
      </c>
      <c r="CH103" t="e">
        <v>#N/A</v>
      </c>
      <c r="CI103" t="str">
        <v/>
      </c>
      <c r="CK103">
        <v>95</v>
      </c>
      <c r="CL103">
        <v>5.2154939455768741</v>
      </c>
      <c r="CM103">
        <v>3.6850202933450156E-2</v>
      </c>
      <c r="CN103">
        <v>3.6850202933450156E-2</v>
      </c>
      <c r="CO103" t="e">
        <v>#N/A</v>
      </c>
      <c r="CP103" t="str">
        <v/>
      </c>
    </row>
    <row r="104" spans="1:94" x14ac:dyDescent="0.2">
      <c r="A104" s="92"/>
      <c r="B104" s="92"/>
      <c r="C104" s="92"/>
      <c r="D104" s="92"/>
      <c r="E104" s="92"/>
      <c r="AR104">
        <v>96</v>
      </c>
      <c r="AS104">
        <v>96</v>
      </c>
      <c r="AT104">
        <v>1</v>
      </c>
      <c r="AU104">
        <v>-8.1272433034141613</v>
      </c>
      <c r="AV104">
        <v>6.3164481155931519E-3</v>
      </c>
      <c r="CD104">
        <v>96</v>
      </c>
      <c r="CE104">
        <v>3.2729342270229846</v>
      </c>
      <c r="CF104">
        <v>4.2142897675601899E-2</v>
      </c>
      <c r="CG104">
        <v>4.2142897675601899E-2</v>
      </c>
      <c r="CH104" t="e">
        <v>#N/A</v>
      </c>
      <c r="CI104" t="str">
        <v/>
      </c>
      <c r="CK104">
        <v>96</v>
      </c>
      <c r="CL104">
        <v>5.2709779237213086</v>
      </c>
      <c r="CM104">
        <v>3.5841955069942845E-2</v>
      </c>
      <c r="CN104">
        <v>3.5841955069942845E-2</v>
      </c>
      <c r="CO104" t="e">
        <v>#N/A</v>
      </c>
      <c r="CP104" t="str">
        <v/>
      </c>
    </row>
    <row r="105" spans="1:94" x14ac:dyDescent="0.2">
      <c r="A105" s="92"/>
      <c r="B105" s="92"/>
      <c r="C105" s="92"/>
      <c r="D105" s="92"/>
      <c r="E105" s="92"/>
      <c r="AR105">
        <v>97</v>
      </c>
      <c r="AS105">
        <v>97</v>
      </c>
      <c r="AT105">
        <v>1</v>
      </c>
      <c r="AU105">
        <v>-8.0963027720968146</v>
      </c>
      <c r="AV105">
        <v>6.4223256570327012E-3</v>
      </c>
      <c r="CD105">
        <v>97</v>
      </c>
      <c r="CE105">
        <v>3.3073861662548056</v>
      </c>
      <c r="CF105">
        <v>4.0878370117283888E-2</v>
      </c>
      <c r="CG105">
        <v>4.0878370117283888E-2</v>
      </c>
      <c r="CH105" t="e">
        <v>#N/A</v>
      </c>
      <c r="CI105" t="str">
        <v/>
      </c>
      <c r="CK105">
        <v>97</v>
      </c>
      <c r="CL105">
        <v>5.3264619018657431</v>
      </c>
      <c r="CM105">
        <v>3.4861293587875632E-2</v>
      </c>
      <c r="CN105">
        <v>3.4861293587875632E-2</v>
      </c>
      <c r="CO105" t="e">
        <v>#N/A</v>
      </c>
      <c r="CP105" t="str">
        <v/>
      </c>
    </row>
    <row r="106" spans="1:94" x14ac:dyDescent="0.2">
      <c r="A106" s="92"/>
      <c r="B106" s="92"/>
      <c r="C106" s="92"/>
      <c r="D106" s="92"/>
      <c r="E106" s="92"/>
      <c r="AR106">
        <v>98</v>
      </c>
      <c r="AS106">
        <v>98</v>
      </c>
      <c r="AT106">
        <v>1</v>
      </c>
      <c r="AU106">
        <v>-8.0653622407794678</v>
      </c>
      <c r="AV106">
        <v>6.5296409359310329E-3</v>
      </c>
      <c r="CD106">
        <v>98</v>
      </c>
      <c r="CE106">
        <v>3.3418381054866262</v>
      </c>
      <c r="CF106">
        <v>3.9653884961294988E-2</v>
      </c>
      <c r="CG106">
        <v>3.9653884961294988E-2</v>
      </c>
      <c r="CH106" t="e">
        <v>#N/A</v>
      </c>
      <c r="CI106" t="str">
        <v/>
      </c>
      <c r="CK106">
        <v>98</v>
      </c>
      <c r="CL106">
        <v>5.3819458800101776</v>
      </c>
      <c r="CM106">
        <v>3.3907463704155483E-2</v>
      </c>
      <c r="CN106">
        <v>3.3907463704155483E-2</v>
      </c>
      <c r="CO106" t="e">
        <v>#N/A</v>
      </c>
      <c r="CP106" t="str">
        <v/>
      </c>
    </row>
    <row r="107" spans="1:94" x14ac:dyDescent="0.2">
      <c r="A107" s="92"/>
      <c r="B107" s="92"/>
      <c r="C107" s="92"/>
      <c r="D107" s="92"/>
      <c r="E107" s="92"/>
      <c r="AR107">
        <v>99</v>
      </c>
      <c r="AS107">
        <v>99</v>
      </c>
      <c r="AT107">
        <v>1</v>
      </c>
      <c r="AU107">
        <v>-8.0344217094621229</v>
      </c>
      <c r="AV107">
        <v>6.6384068071667912E-3</v>
      </c>
      <c r="CD107">
        <v>99</v>
      </c>
      <c r="CE107">
        <v>3.3762900447184472</v>
      </c>
      <c r="CF107">
        <v>3.8468107978691976E-2</v>
      </c>
      <c r="CG107">
        <v>3.8468107978691976E-2</v>
      </c>
      <c r="CH107" t="e">
        <v>#N/A</v>
      </c>
      <c r="CI107" t="str">
        <v/>
      </c>
      <c r="CK107">
        <v>99</v>
      </c>
      <c r="CL107">
        <v>5.437429858154613</v>
      </c>
      <c r="CM107">
        <v>3.2979731287093708E-2</v>
      </c>
      <c r="CN107">
        <v>3.2979731287093708E-2</v>
      </c>
      <c r="CO107" t="e">
        <v>#N/A</v>
      </c>
      <c r="CP107" t="str">
        <v/>
      </c>
    </row>
    <row r="108" spans="1:94" x14ac:dyDescent="0.2">
      <c r="A108" s="92"/>
      <c r="B108" s="92"/>
      <c r="C108" s="92"/>
      <c r="D108" s="92"/>
      <c r="E108" s="92"/>
      <c r="AR108">
        <v>100</v>
      </c>
      <c r="AS108">
        <v>100</v>
      </c>
      <c r="AT108">
        <v>1</v>
      </c>
      <c r="AU108">
        <v>-8.0034811781447761</v>
      </c>
      <c r="AV108">
        <v>6.7486361136238999E-3</v>
      </c>
      <c r="CD108">
        <v>100</v>
      </c>
      <c r="CE108">
        <v>3.4107419839502682</v>
      </c>
      <c r="CF108">
        <v>3.7319751597513211E-2</v>
      </c>
      <c r="CG108">
        <v>3.7319751597513211E-2</v>
      </c>
      <c r="CH108" t="e">
        <v>#N/A</v>
      </c>
      <c r="CI108" t="str">
        <v/>
      </c>
      <c r="CK108">
        <v>100</v>
      </c>
      <c r="CL108">
        <v>5.4929138362990475</v>
      </c>
      <c r="CM108">
        <v>3.2077382291368813E-2</v>
      </c>
      <c r="CN108">
        <v>3.2077382291368813E-2</v>
      </c>
      <c r="CO108" t="e">
        <v>#N/A</v>
      </c>
      <c r="CP108" t="str">
        <v/>
      </c>
    </row>
    <row r="109" spans="1:94" x14ac:dyDescent="0.2">
      <c r="A109" s="92"/>
      <c r="B109" s="92"/>
      <c r="C109" s="92"/>
      <c r="D109" s="92"/>
      <c r="E109" s="92"/>
      <c r="AR109">
        <v>101</v>
      </c>
      <c r="AS109">
        <v>101</v>
      </c>
      <c r="AT109">
        <v>1</v>
      </c>
      <c r="AU109">
        <v>-7.9725406468274294</v>
      </c>
      <c r="AV109">
        <v>6.8603416833184902E-3</v>
      </c>
      <c r="CD109">
        <v>101</v>
      </c>
      <c r="CE109">
        <v>3.4451939231820892</v>
      </c>
      <c r="CF109">
        <v>3.6207573194551715E-2</v>
      </c>
      <c r="CG109" t="e">
        <v>#N/A</v>
      </c>
      <c r="CH109">
        <v>3.6207573194551715E-2</v>
      </c>
      <c r="CI109">
        <v>3.4449999999999998</v>
      </c>
      <c r="CK109">
        <v>101</v>
      </c>
      <c r="CL109">
        <v>5.5483978144434829</v>
      </c>
      <c r="CM109">
        <v>3.1199722208449101E-2</v>
      </c>
      <c r="CN109">
        <v>3.1199722208449101E-2</v>
      </c>
      <c r="CO109" t="e">
        <v>#N/A</v>
      </c>
      <c r="CP109">
        <v>5.548</v>
      </c>
    </row>
    <row r="110" spans="1:94" x14ac:dyDescent="0.2">
      <c r="A110" s="92"/>
      <c r="B110" s="92"/>
      <c r="C110" s="92"/>
      <c r="D110" s="92"/>
      <c r="E110" s="92"/>
      <c r="AR110">
        <v>102</v>
      </c>
      <c r="AS110">
        <v>102</v>
      </c>
      <c r="AT110">
        <v>1</v>
      </c>
      <c r="AU110">
        <v>-7.9416001155100826</v>
      </c>
      <c r="AV110">
        <v>6.973536326482053E-3</v>
      </c>
      <c r="CD110">
        <v>102</v>
      </c>
      <c r="CE110">
        <v>3.4796458624139102</v>
      </c>
      <c r="CF110">
        <v>3.5130373452467903E-2</v>
      </c>
      <c r="CG110" t="e">
        <v>#N/A</v>
      </c>
      <c r="CH110">
        <v>3.5130373452467903E-2</v>
      </c>
      <c r="CI110" t="str">
        <v/>
      </c>
      <c r="CK110">
        <v>102</v>
      </c>
      <c r="CL110">
        <v>5.6038817925879174</v>
      </c>
      <c r="CM110">
        <v>3.0346075532052222E-2</v>
      </c>
      <c r="CN110">
        <v>3.0346075532052222E-2</v>
      </c>
      <c r="CO110" t="e">
        <v>#N/A</v>
      </c>
      <c r="CP110" t="str">
        <v/>
      </c>
    </row>
    <row r="111" spans="1:94" x14ac:dyDescent="0.2">
      <c r="A111" s="92"/>
      <c r="B111" s="92"/>
      <c r="C111" s="92"/>
      <c r="D111" s="92"/>
      <c r="E111" s="92"/>
      <c r="AR111">
        <v>103</v>
      </c>
      <c r="AS111">
        <v>103</v>
      </c>
      <c r="AT111">
        <v>1</v>
      </c>
      <c r="AU111">
        <v>-7.9106595841927367</v>
      </c>
      <c r="AV111">
        <v>7.0882328326007799E-3</v>
      </c>
      <c r="CD111">
        <v>103</v>
      </c>
      <c r="CE111">
        <v>3.5140978016457307</v>
      </c>
      <c r="CF111">
        <v>3.4086994779636316E-2</v>
      </c>
      <c r="CG111" t="e">
        <v>#N/A</v>
      </c>
      <c r="CH111">
        <v>3.4086994779636316E-2</v>
      </c>
      <c r="CI111" t="str">
        <v/>
      </c>
      <c r="CK111">
        <v>103</v>
      </c>
      <c r="CL111">
        <v>5.6593657707323528</v>
      </c>
      <c r="CM111">
        <v>2.951578523822998E-2</v>
      </c>
      <c r="CN111">
        <v>2.951578523822998E-2</v>
      </c>
      <c r="CO111" t="e">
        <v>#N/A</v>
      </c>
      <c r="CP111" t="str">
        <v/>
      </c>
    </row>
    <row r="112" spans="1:94" x14ac:dyDescent="0.2">
      <c r="A112" s="92"/>
      <c r="B112" s="92"/>
      <c r="C112" s="92"/>
      <c r="D112" s="92"/>
      <c r="E112" s="92"/>
      <c r="AR112">
        <v>104</v>
      </c>
      <c r="AS112">
        <v>104</v>
      </c>
      <c r="AT112">
        <v>1</v>
      </c>
      <c r="AU112">
        <v>-7.8797190528753909</v>
      </c>
      <c r="AV112">
        <v>7.2044439674114414E-3</v>
      </c>
      <c r="CD112">
        <v>104</v>
      </c>
      <c r="CE112">
        <v>3.5485497408775517</v>
      </c>
      <c r="CF112">
        <v>3.3076319790228424E-2</v>
      </c>
      <c r="CG112" t="e">
        <v>#N/A</v>
      </c>
      <c r="CH112">
        <v>3.3076319790228424E-2</v>
      </c>
      <c r="CI112" t="str">
        <v/>
      </c>
      <c r="CK112">
        <v>104</v>
      </c>
      <c r="CL112">
        <v>5.7148497488767873</v>
      </c>
      <c r="CM112">
        <v>2.8708212279678583E-2</v>
      </c>
      <c r="CN112">
        <v>2.8708212279678583E-2</v>
      </c>
      <c r="CO112" t="e">
        <v>#N/A</v>
      </c>
      <c r="CP112" t="str">
        <v/>
      </c>
    </row>
    <row r="113" spans="1:94" x14ac:dyDescent="0.2">
      <c r="A113" s="92"/>
      <c r="B113" s="92"/>
      <c r="C113" s="92"/>
      <c r="D113" s="92"/>
      <c r="E113" s="92"/>
      <c r="AR113">
        <v>105</v>
      </c>
      <c r="AS113">
        <v>105</v>
      </c>
      <c r="AT113">
        <v>1</v>
      </c>
      <c r="AU113">
        <v>-7.8487785215580441</v>
      </c>
      <c r="AV113">
        <v>7.3221824698538503E-3</v>
      </c>
      <c r="CD113">
        <v>105</v>
      </c>
      <c r="CE113">
        <v>3.5830016801093727</v>
      </c>
      <c r="CF113">
        <v>3.2097269842137698E-2</v>
      </c>
      <c r="CG113" t="e">
        <v>#N/A</v>
      </c>
      <c r="CH113">
        <v>3.2097269842137698E-2</v>
      </c>
      <c r="CI113" t="str">
        <v/>
      </c>
      <c r="CK113">
        <v>105</v>
      </c>
      <c r="CL113">
        <v>5.7703337270212218</v>
      </c>
      <c r="CM113">
        <v>2.7922735093884699E-2</v>
      </c>
      <c r="CN113">
        <v>2.7922735093884699E-2</v>
      </c>
      <c r="CO113" t="e">
        <v>#N/A</v>
      </c>
      <c r="CP113" t="str">
        <v/>
      </c>
    </row>
    <row r="114" spans="1:94" x14ac:dyDescent="0.2">
      <c r="A114" s="92"/>
      <c r="B114" s="92"/>
      <c r="C114" s="92"/>
      <c r="D114" s="92"/>
      <c r="E114" s="92"/>
      <c r="AR114">
        <v>106</v>
      </c>
      <c r="AS114">
        <v>106</v>
      </c>
      <c r="AT114">
        <v>1</v>
      </c>
      <c r="AU114">
        <v>-7.8178379902406974</v>
      </c>
      <c r="AV114">
        <v>7.4414610489803648E-3</v>
      </c>
      <c r="CD114">
        <v>106</v>
      </c>
      <c r="CE114">
        <v>3.6174536193411937</v>
      </c>
      <c r="CF114">
        <v>3.1148803630451225E-2</v>
      </c>
      <c r="CG114" t="e">
        <v>#N/A</v>
      </c>
      <c r="CH114">
        <v>3.1148803630451225E-2</v>
      </c>
      <c r="CI114" t="str">
        <v/>
      </c>
      <c r="CK114">
        <v>106</v>
      </c>
      <c r="CL114">
        <v>5.8258177051656563</v>
      </c>
      <c r="CM114">
        <v>2.7158749124729167E-2</v>
      </c>
      <c r="CN114">
        <v>2.7158749124729167E-2</v>
      </c>
      <c r="CO114" t="e">
        <v>#N/A</v>
      </c>
      <c r="CP114" t="str">
        <v/>
      </c>
    </row>
    <row r="115" spans="1:94" x14ac:dyDescent="0.2">
      <c r="A115" s="92"/>
      <c r="B115" s="92"/>
      <c r="C115" s="92"/>
      <c r="D115" s="92"/>
      <c r="E115" s="92"/>
      <c r="AR115">
        <v>107</v>
      </c>
      <c r="AS115">
        <v>107</v>
      </c>
      <c r="AT115">
        <v>1</v>
      </c>
      <c r="AU115">
        <v>-7.7868974589233515</v>
      </c>
      <c r="AV115">
        <v>7.5622923808225124E-3</v>
      </c>
      <c r="CD115">
        <v>107</v>
      </c>
      <c r="CE115">
        <v>3.6519055585730142</v>
      </c>
      <c r="CF115">
        <v>3.0229915834267793E-2</v>
      </c>
      <c r="CG115" t="e">
        <v>#N/A</v>
      </c>
      <c r="CH115">
        <v>3.0229915834267793E-2</v>
      </c>
      <c r="CI115" t="str">
        <v/>
      </c>
      <c r="CK115">
        <v>107</v>
      </c>
      <c r="CL115">
        <v>5.8813016833100917</v>
      </c>
      <c r="CM115">
        <v>2.6415666357179918E-2</v>
      </c>
      <c r="CN115">
        <v>2.6415666357179918E-2</v>
      </c>
      <c r="CO115" t="e">
        <v>#N/A</v>
      </c>
      <c r="CP115" t="str">
        <v/>
      </c>
    </row>
    <row r="116" spans="1:94" x14ac:dyDescent="0.2">
      <c r="A116" s="92"/>
      <c r="B116" s="92"/>
      <c r="C116" s="92"/>
      <c r="D116" s="92"/>
      <c r="E116" s="92"/>
      <c r="AR116">
        <v>108</v>
      </c>
      <c r="AS116">
        <v>108</v>
      </c>
      <c r="AT116">
        <v>1</v>
      </c>
      <c r="AU116">
        <v>-7.7559569276060056</v>
      </c>
      <c r="AV116">
        <v>7.6846891052151159E-3</v>
      </c>
      <c r="CD116">
        <v>108</v>
      </c>
      <c r="CE116">
        <v>3.6863574978048352</v>
      </c>
      <c r="CF116">
        <v>2.9339635814752792E-2</v>
      </c>
      <c r="CG116" t="e">
        <v>#N/A</v>
      </c>
      <c r="CH116">
        <v>2.9339635814752792E-2</v>
      </c>
      <c r="CI116" t="str">
        <v/>
      </c>
      <c r="CK116">
        <v>108</v>
      </c>
      <c r="CL116">
        <v>5.9367856614545262</v>
      </c>
      <c r="CM116">
        <v>2.5692914864716032E-2</v>
      </c>
      <c r="CN116">
        <v>2.5692914864716032E-2</v>
      </c>
      <c r="CO116" t="e">
        <v>#N/A</v>
      </c>
      <c r="CP116" t="str">
        <v/>
      </c>
    </row>
    <row r="117" spans="1:94" x14ac:dyDescent="0.2">
      <c r="A117" s="92"/>
      <c r="B117" s="92"/>
      <c r="C117" s="92"/>
      <c r="D117" s="92"/>
      <c r="E117" s="92"/>
      <c r="AR117">
        <v>109</v>
      </c>
      <c r="AS117">
        <v>109</v>
      </c>
      <c r="AT117">
        <v>1</v>
      </c>
      <c r="AU117">
        <v>-7.7250163962886589</v>
      </c>
      <c r="AV117">
        <v>7.8086638225781753E-3</v>
      </c>
      <c r="CD117">
        <v>109</v>
      </c>
      <c r="CE117">
        <v>3.7208094370366562</v>
      </c>
      <c r="CF117">
        <v>2.8477026362407024E-2</v>
      </c>
      <c r="CG117" t="e">
        <v>#N/A</v>
      </c>
      <c r="CH117">
        <v>2.8477026362407024E-2</v>
      </c>
      <c r="CI117" t="str">
        <v/>
      </c>
      <c r="CK117">
        <v>109</v>
      </c>
      <c r="CL117">
        <v>5.9922696395989608</v>
      </c>
      <c r="CM117">
        <v>2.4989938369134497E-2</v>
      </c>
      <c r="CN117">
        <v>2.4989938369134497E-2</v>
      </c>
      <c r="CO117" t="e">
        <v>#N/A</v>
      </c>
      <c r="CP117" t="str">
        <v/>
      </c>
    </row>
    <row r="118" spans="1:94" x14ac:dyDescent="0.2">
      <c r="A118" s="92"/>
      <c r="B118" s="92"/>
      <c r="C118" s="92"/>
      <c r="D118" s="92"/>
      <c r="E118" s="92"/>
      <c r="AR118">
        <v>110</v>
      </c>
      <c r="AS118">
        <v>110</v>
      </c>
      <c r="AT118">
        <v>1</v>
      </c>
      <c r="AU118">
        <v>-7.694075864971313</v>
      </c>
      <c r="AV118">
        <v>7.9342290906567938E-3</v>
      </c>
      <c r="CD118">
        <v>110</v>
      </c>
      <c r="CE118">
        <v>3.7552613762684772</v>
      </c>
      <c r="CF118">
        <v>2.7641182491609701E-2</v>
      </c>
      <c r="CG118" t="e">
        <v>#N/A</v>
      </c>
      <c r="CH118">
        <v>2.7641182491609701E-2</v>
      </c>
      <c r="CI118" t="str">
        <v/>
      </c>
      <c r="CK118">
        <v>110</v>
      </c>
      <c r="CL118">
        <v>6.0477536177433961</v>
      </c>
      <c r="CM118">
        <v>2.4306195812401163E-2</v>
      </c>
      <c r="CN118">
        <v>2.4306195812401163E-2</v>
      </c>
      <c r="CO118" t="e">
        <v>#N/A</v>
      </c>
      <c r="CP118" t="str">
        <v/>
      </c>
    </row>
    <row r="119" spans="1:94" x14ac:dyDescent="0.2">
      <c r="A119" s="92"/>
      <c r="B119" s="92"/>
      <c r="C119" s="92"/>
      <c r="D119" s="92"/>
      <c r="E119" s="92"/>
      <c r="AR119">
        <v>111</v>
      </c>
      <c r="AS119">
        <v>111</v>
      </c>
      <c r="AT119">
        <v>1</v>
      </c>
      <c r="AU119">
        <v>-7.6631353336539672</v>
      </c>
      <c r="AV119">
        <v>8.0613974212195797E-3</v>
      </c>
      <c r="CD119">
        <v>111</v>
      </c>
      <c r="CE119">
        <v>3.7897133155002978</v>
      </c>
      <c r="CF119">
        <v>2.6831230280575491E-2</v>
      </c>
      <c r="CG119" t="e">
        <v>#N/A</v>
      </c>
      <c r="CH119">
        <v>2.6831230280575491E-2</v>
      </c>
      <c r="CI119" t="str">
        <v/>
      </c>
      <c r="CK119">
        <v>111</v>
      </c>
      <c r="CL119">
        <v>6.1032375958878315</v>
      </c>
      <c r="CM119">
        <v>2.3641160940216007E-2</v>
      </c>
      <c r="CN119">
        <v>2.3641160940216007E-2</v>
      </c>
      <c r="CO119" t="e">
        <v>#N/A</v>
      </c>
      <c r="CP119" t="str">
        <v/>
      </c>
    </row>
    <row r="120" spans="1:94" x14ac:dyDescent="0.2">
      <c r="A120" s="92"/>
      <c r="B120" s="92"/>
      <c r="C120" s="92"/>
      <c r="D120" s="92"/>
      <c r="E120" s="92"/>
      <c r="AR120">
        <v>112</v>
      </c>
      <c r="AS120">
        <v>112</v>
      </c>
      <c r="AT120">
        <v>1</v>
      </c>
      <c r="AU120">
        <v>-7.6321948023366204</v>
      </c>
      <c r="AV120">
        <v>8.1901812767158563E-3</v>
      </c>
      <c r="CD120">
        <v>112</v>
      </c>
      <c r="CE120">
        <v>3.8241652547321188</v>
      </c>
      <c r="CF120">
        <v>2.6046325754941556E-2</v>
      </c>
      <c r="CG120" t="e">
        <v>#N/A</v>
      </c>
      <c r="CH120">
        <v>2.6046325754941556E-2</v>
      </c>
      <c r="CI120" t="str">
        <v/>
      </c>
      <c r="CK120">
        <v>112</v>
      </c>
      <c r="CL120">
        <v>6.1587215740322661</v>
      </c>
      <c r="CM120">
        <v>2.2994321896972415E-2</v>
      </c>
      <c r="CN120">
        <v>2.2994321896972415E-2</v>
      </c>
      <c r="CO120" t="e">
        <v>#N/A</v>
      </c>
      <c r="CP120" t="str">
        <v/>
      </c>
    </row>
    <row r="121" spans="1:94" x14ac:dyDescent="0.2">
      <c r="A121" s="92"/>
      <c r="B121" s="92"/>
      <c r="C121" s="92"/>
      <c r="D121" s="92"/>
      <c r="E121" s="92"/>
      <c r="AR121">
        <v>113</v>
      </c>
      <c r="AS121">
        <v>113</v>
      </c>
      <c r="AT121">
        <v>1</v>
      </c>
      <c r="AU121">
        <v>-7.6012542710192736</v>
      </c>
      <c r="AV121">
        <v>8.3205930668919011E-3</v>
      </c>
      <c r="CD121">
        <v>113</v>
      </c>
      <c r="CE121">
        <v>3.8586171939639398</v>
      </c>
      <c r="CF121">
        <v>2.5285653813273922E-2</v>
      </c>
      <c r="CG121" t="e">
        <v>#N/A</v>
      </c>
      <c r="CH121">
        <v>2.5285653813273922E-2</v>
      </c>
      <c r="CI121" t="str">
        <v/>
      </c>
      <c r="CK121">
        <v>113</v>
      </c>
      <c r="CL121">
        <v>6.2142055521767006</v>
      </c>
      <c r="CM121">
        <v>2.2365180831798611E-2</v>
      </c>
      <c r="CN121">
        <v>2.2365180831798611E-2</v>
      </c>
      <c r="CO121" t="e">
        <v>#N/A</v>
      </c>
      <c r="CP121" t="str">
        <v/>
      </c>
    </row>
    <row r="122" spans="1:94" x14ac:dyDescent="0.2">
      <c r="A122" s="92"/>
      <c r="B122" s="92"/>
      <c r="C122" s="92"/>
      <c r="D122" s="92"/>
      <c r="E122" s="92"/>
      <c r="AR122">
        <v>114</v>
      </c>
      <c r="AS122">
        <v>114</v>
      </c>
      <c r="AT122">
        <v>1</v>
      </c>
      <c r="AU122">
        <v>-7.5703137397019278</v>
      </c>
      <c r="AV122">
        <v>8.4526451453668956E-3</v>
      </c>
      <c r="CD122">
        <v>114</v>
      </c>
      <c r="CE122">
        <v>3.8930691331957608</v>
      </c>
      <c r="CF122">
        <v>2.4548427192851448E-2</v>
      </c>
      <c r="CG122" t="e">
        <v>#N/A</v>
      </c>
      <c r="CH122">
        <v>2.4548427192851448E-2</v>
      </c>
      <c r="CI122" t="str">
        <v/>
      </c>
      <c r="CK122">
        <v>114</v>
      </c>
      <c r="CL122">
        <v>6.2696895303211351</v>
      </c>
      <c r="CM122">
        <v>2.1753253515378147E-2</v>
      </c>
      <c r="CN122">
        <v>2.1753253515378147E-2</v>
      </c>
      <c r="CO122" t="e">
        <v>#N/A</v>
      </c>
      <c r="CP122" t="str">
        <v/>
      </c>
    </row>
    <row r="123" spans="1:94" x14ac:dyDescent="0.2">
      <c r="A123" s="92"/>
      <c r="B123" s="92"/>
      <c r="C123" s="92"/>
      <c r="D123" s="92"/>
      <c r="E123" s="92"/>
      <c r="AR123">
        <v>115</v>
      </c>
      <c r="AS123">
        <v>115</v>
      </c>
      <c r="AT123">
        <v>1</v>
      </c>
      <c r="AU123">
        <v>-7.5393732083845819</v>
      </c>
      <c r="AV123">
        <v>8.5863498061688279E-3</v>
      </c>
      <c r="CD123">
        <v>115</v>
      </c>
      <c r="CE123">
        <v>3.9275210724275817</v>
      </c>
      <c r="CF123">
        <v>2.3833885474153556E-2</v>
      </c>
      <c r="CG123" t="e">
        <v>#N/A</v>
      </c>
      <c r="CH123">
        <v>2.3833885474153556E-2</v>
      </c>
      <c r="CI123" t="str">
        <v/>
      </c>
      <c r="CK123">
        <v>115</v>
      </c>
      <c r="CL123">
        <v>6.3251735084655705</v>
      </c>
      <c r="CM123">
        <v>2.1158068967254421E-2</v>
      </c>
      <c r="CN123">
        <v>2.1158068967254421E-2</v>
      </c>
      <c r="CO123" t="e">
        <v>#N/A</v>
      </c>
      <c r="CP123" t="str">
        <v/>
      </c>
    </row>
    <row r="124" spans="1:94" x14ac:dyDescent="0.2">
      <c r="A124" s="92"/>
      <c r="B124" s="92"/>
      <c r="C124" s="92"/>
      <c r="D124" s="92"/>
      <c r="E124" s="92"/>
      <c r="AR124">
        <v>116</v>
      </c>
      <c r="AS124">
        <v>116</v>
      </c>
      <c r="AT124">
        <v>1</v>
      </c>
      <c r="AU124">
        <v>-7.5084326770672352</v>
      </c>
      <c r="AV124">
        <v>8.7217192802307407E-3</v>
      </c>
      <c r="CD124">
        <v>116</v>
      </c>
      <c r="CE124">
        <v>3.9619730116594023</v>
      </c>
      <c r="CF124">
        <v>2.3141294122541144E-2</v>
      </c>
      <c r="CG124" t="e">
        <v>#N/A</v>
      </c>
      <c r="CH124">
        <v>2.3141294122541144E-2</v>
      </c>
      <c r="CI124" t="str">
        <v/>
      </c>
      <c r="CK124">
        <v>116</v>
      </c>
      <c r="CL124">
        <v>6.380657486610005</v>
      </c>
      <c r="CM124">
        <v>2.0579169093332423E-2</v>
      </c>
      <c r="CN124">
        <v>2.0579169093332423E-2</v>
      </c>
      <c r="CO124" t="e">
        <v>#N/A</v>
      </c>
      <c r="CP124" t="str">
        <v/>
      </c>
    </row>
    <row r="125" spans="1:94" x14ac:dyDescent="0.2">
      <c r="A125" s="92"/>
      <c r="B125" s="92"/>
      <c r="C125" s="92"/>
      <c r="D125" s="92"/>
      <c r="E125" s="92"/>
      <c r="AR125">
        <v>117</v>
      </c>
      <c r="AS125">
        <v>117</v>
      </c>
      <c r="AT125">
        <v>1</v>
      </c>
      <c r="AU125">
        <v>-7.4774921457498884</v>
      </c>
      <c r="AV125">
        <v>8.858765731847993E-3</v>
      </c>
      <c r="CD125">
        <v>117</v>
      </c>
      <c r="CE125">
        <v>3.9964249508912233</v>
      </c>
      <c r="CF125">
        <v>2.2469943565682025E-2</v>
      </c>
      <c r="CG125" t="e">
        <v>#N/A</v>
      </c>
      <c r="CH125">
        <v>2.2469943565682025E-2</v>
      </c>
      <c r="CI125" t="str">
        <v/>
      </c>
      <c r="CK125">
        <v>117</v>
      </c>
      <c r="CL125">
        <v>6.4361414647544395</v>
      </c>
      <c r="CM125">
        <v>2.0016108333298626E-2</v>
      </c>
      <c r="CN125">
        <v>2.0016108333298626E-2</v>
      </c>
      <c r="CO125" t="e">
        <v>#N/A</v>
      </c>
      <c r="CP125" t="str">
        <v/>
      </c>
    </row>
    <row r="126" spans="1:94" x14ac:dyDescent="0.2">
      <c r="A126" s="92"/>
      <c r="B126" s="92"/>
      <c r="C126" s="92"/>
      <c r="D126" s="92"/>
      <c r="E126" s="92"/>
      <c r="AR126">
        <v>118</v>
      </c>
      <c r="AS126">
        <v>118</v>
      </c>
      <c r="AT126">
        <v>1</v>
      </c>
      <c r="AU126">
        <v>-7.4465516144325425</v>
      </c>
      <c r="AV126">
        <v>8.9975012550968306E-3</v>
      </c>
      <c r="CD126">
        <v>118</v>
      </c>
      <c r="CE126">
        <v>4.0308768901230438</v>
      </c>
      <c r="CF126">
        <v>2.1819148305330376E-2</v>
      </c>
      <c r="CG126" t="e">
        <v>#N/A</v>
      </c>
      <c r="CH126">
        <v>2.1819148305330376E-2</v>
      </c>
      <c r="CI126" t="str">
        <v/>
      </c>
      <c r="CK126">
        <v>118</v>
      </c>
      <c r="CL126">
        <v>6.491625442898874</v>
      </c>
      <c r="CM126">
        <v>1.9468453317687845E-2</v>
      </c>
      <c r="CN126">
        <v>1.9468453317687845E-2</v>
      </c>
      <c r="CO126" t="e">
        <v>#N/A</v>
      </c>
      <c r="CP126" t="str">
        <v/>
      </c>
    </row>
    <row r="127" spans="1:94" x14ac:dyDescent="0.2">
      <c r="A127" s="92"/>
      <c r="B127" s="92"/>
      <c r="C127" s="92"/>
      <c r="D127" s="92"/>
      <c r="E127" s="92"/>
      <c r="AR127">
        <v>119</v>
      </c>
      <c r="AS127">
        <v>119</v>
      </c>
      <c r="AT127">
        <v>1</v>
      </c>
      <c r="AU127">
        <v>-7.4156110831151967</v>
      </c>
      <c r="AV127">
        <v>9.1379378702148798E-3</v>
      </c>
      <c r="CD127">
        <v>119</v>
      </c>
      <c r="CE127">
        <v>4.0653288293548648</v>
      </c>
      <c r="CF127">
        <v>2.1188246062126707E-2</v>
      </c>
      <c r="CG127" t="e">
        <v>#N/A</v>
      </c>
      <c r="CH127">
        <v>2.1188246062126707E-2</v>
      </c>
      <c r="CI127" t="str">
        <v/>
      </c>
      <c r="CK127">
        <v>119</v>
      </c>
      <c r="CL127">
        <v>6.5471094210433103</v>
      </c>
      <c r="CM127">
        <v>1.8935782534332861E-2</v>
      </c>
      <c r="CN127">
        <v>1.8935782534332861E-2</v>
      </c>
      <c r="CO127" t="e">
        <v>#N/A</v>
      </c>
      <c r="CP127" t="str">
        <v/>
      </c>
    </row>
    <row r="128" spans="1:94" x14ac:dyDescent="0.2">
      <c r="A128" s="92"/>
      <c r="B128" s="92"/>
      <c r="C128" s="92"/>
      <c r="D128" s="92"/>
      <c r="E128" s="92"/>
      <c r="AR128">
        <v>120</v>
      </c>
      <c r="AS128">
        <v>120</v>
      </c>
      <c r="AT128">
        <v>1</v>
      </c>
      <c r="AU128">
        <v>-7.3846705517978499</v>
      </c>
      <c r="AV128">
        <v>9.2800875199440733E-3</v>
      </c>
      <c r="CD128">
        <v>120</v>
      </c>
      <c r="CE128">
        <v>4.0997807685866858</v>
      </c>
      <c r="CF128">
        <v>2.0576596952137979E-2</v>
      </c>
      <c r="CG128" t="e">
        <v>#N/A</v>
      </c>
      <c r="CH128">
        <v>2.0576596952137979E-2</v>
      </c>
      <c r="CI128" t="str">
        <v/>
      </c>
      <c r="CK128">
        <v>120</v>
      </c>
      <c r="CL128">
        <v>6.6025933991877448</v>
      </c>
      <c r="CM128">
        <v>1.8417686003940358E-2</v>
      </c>
      <c r="CN128">
        <v>1.8417686003940358E-2</v>
      </c>
      <c r="CO128" t="e">
        <v>#N/A</v>
      </c>
      <c r="CP128" t="str">
        <v/>
      </c>
    </row>
    <row r="129" spans="1:94" x14ac:dyDescent="0.2">
      <c r="A129" s="92"/>
      <c r="B129" s="92"/>
      <c r="C129" s="92"/>
      <c r="D129" s="92"/>
      <c r="E129" s="92"/>
      <c r="AR129">
        <v>121</v>
      </c>
      <c r="AS129">
        <v>121</v>
      </c>
      <c r="AT129">
        <v>1</v>
      </c>
      <c r="AU129">
        <v>-7.3537300204805032</v>
      </c>
      <c r="AV129">
        <v>9.4239620658365247E-3</v>
      </c>
      <c r="CD129">
        <v>121</v>
      </c>
      <c r="CE129">
        <v>4.1342327078185068</v>
      </c>
      <c r="CF129">
        <v>1.99835826939097E-2</v>
      </c>
      <c r="CG129" t="e">
        <v>#N/A</v>
      </c>
      <c r="CH129">
        <v>1.99835826939097E-2</v>
      </c>
      <c r="CI129" t="str">
        <v/>
      </c>
      <c r="CK129">
        <v>121</v>
      </c>
      <c r="CL129">
        <v>6.6580773773321793</v>
      </c>
      <c r="CM129">
        <v>1.7913764964543177E-2</v>
      </c>
      <c r="CN129">
        <v>1.7913764964543177E-2</v>
      </c>
      <c r="CO129" t="e">
        <v>#N/A</v>
      </c>
      <c r="CP129" t="str">
        <v/>
      </c>
    </row>
    <row r="130" spans="1:94" x14ac:dyDescent="0.2">
      <c r="A130" s="92"/>
      <c r="B130" s="92"/>
      <c r="C130" s="92"/>
      <c r="D130" s="92"/>
      <c r="E130" s="92"/>
      <c r="AR130">
        <v>122</v>
      </c>
      <c r="AS130">
        <v>122</v>
      </c>
      <c r="AT130">
        <v>1</v>
      </c>
      <c r="AU130">
        <v>-7.3227894891631573</v>
      </c>
      <c r="AV130">
        <v>9.5695732845239474E-3</v>
      </c>
      <c r="CD130">
        <v>122</v>
      </c>
      <c r="CE130">
        <v>4.1686846470503278</v>
      </c>
      <c r="CF130">
        <v>1.9408605844851289E-2</v>
      </c>
      <c r="CG130" t="e">
        <v>#N/A</v>
      </c>
      <c r="CH130">
        <v>1.9408605844851289E-2</v>
      </c>
      <c r="CI130" t="str">
        <v/>
      </c>
      <c r="CK130">
        <v>122</v>
      </c>
      <c r="CL130">
        <v>6.7135613554766138</v>
      </c>
      <c r="CM130">
        <v>1.7423631564586307E-2</v>
      </c>
      <c r="CN130">
        <v>1.7423631564586307E-2</v>
      </c>
      <c r="CO130" t="e">
        <v>#N/A</v>
      </c>
      <c r="CP130" t="str">
        <v/>
      </c>
    </row>
    <row r="131" spans="1:94" x14ac:dyDescent="0.2">
      <c r="A131" s="92"/>
      <c r="B131" s="92"/>
      <c r="C131" s="92"/>
      <c r="D131" s="92"/>
      <c r="E131" s="92"/>
      <c r="AR131">
        <v>123</v>
      </c>
      <c r="AS131">
        <v>123</v>
      </c>
      <c r="AT131">
        <v>1</v>
      </c>
      <c r="AU131">
        <v>-7.2918489578458114</v>
      </c>
      <c r="AV131">
        <v>9.7169328639512952E-3</v>
      </c>
      <c r="CD131">
        <v>123</v>
      </c>
      <c r="CE131">
        <v>4.2031365862821479</v>
      </c>
      <c r="CF131">
        <v>1.8851089065822769E-2</v>
      </c>
      <c r="CG131" t="e">
        <v>#N/A</v>
      </c>
      <c r="CH131">
        <v>1.8851089065822769E-2</v>
      </c>
      <c r="CI131" t="str">
        <v/>
      </c>
      <c r="CK131">
        <v>123</v>
      </c>
      <c r="CL131">
        <v>6.7690453336210492</v>
      </c>
      <c r="CM131">
        <v>1.6946908564410196E-2</v>
      </c>
      <c r="CN131">
        <v>1.6946908564410196E-2</v>
      </c>
      <c r="CO131" t="e">
        <v>#N/A</v>
      </c>
      <c r="CP131" t="str">
        <v/>
      </c>
    </row>
    <row r="132" spans="1:94" x14ac:dyDescent="0.2">
      <c r="A132" s="92"/>
      <c r="B132" s="92"/>
      <c r="C132" s="92"/>
      <c r="D132" s="92"/>
      <c r="E132" s="92"/>
      <c r="AR132">
        <v>124</v>
      </c>
      <c r="AS132">
        <v>124</v>
      </c>
      <c r="AT132">
        <v>1</v>
      </c>
      <c r="AU132">
        <v>-7.2609084265284647</v>
      </c>
      <c r="AV132">
        <v>9.8660523995750676E-3</v>
      </c>
      <c r="CD132">
        <v>124</v>
      </c>
      <c r="CE132">
        <v>4.2375885255139689</v>
      </c>
      <c r="CF132">
        <v>1.8310474412837192E-2</v>
      </c>
      <c r="CG132" t="e">
        <v>#N/A</v>
      </c>
      <c r="CH132">
        <v>1.8310474412837192E-2</v>
      </c>
      <c r="CI132" t="str">
        <v/>
      </c>
      <c r="CK132">
        <v>124</v>
      </c>
      <c r="CL132">
        <v>6.8245293117654837</v>
      </c>
      <c r="CM132">
        <v>1.648322904590176E-2</v>
      </c>
      <c r="CN132">
        <v>1.648322904590176E-2</v>
      </c>
      <c r="CO132" t="e">
        <v>#N/A</v>
      </c>
      <c r="CP132" t="str">
        <v/>
      </c>
    </row>
    <row r="133" spans="1:94" x14ac:dyDescent="0.2">
      <c r="A133" s="92"/>
      <c r="B133" s="92"/>
      <c r="C133" s="92"/>
      <c r="D133" s="92"/>
      <c r="E133" s="92"/>
      <c r="AR133">
        <v>125</v>
      </c>
      <c r="AS133">
        <v>125</v>
      </c>
      <c r="AT133">
        <v>1</v>
      </c>
      <c r="AU133">
        <v>-7.2299678952111188</v>
      </c>
      <c r="AV133">
        <v>1.0016943390527106E-2</v>
      </c>
      <c r="CD133">
        <v>125</v>
      </c>
      <c r="CE133">
        <v>4.2720404647457899</v>
      </c>
      <c r="CF133">
        <v>1.7786222654836249E-2</v>
      </c>
      <c r="CG133" t="e">
        <v>#N/A</v>
      </c>
      <c r="CH133">
        <v>1.7786222654836249E-2</v>
      </c>
      <c r="CI133" t="str">
        <v/>
      </c>
      <c r="CK133">
        <v>125</v>
      </c>
      <c r="CL133">
        <v>6.8800132899099182</v>
      </c>
      <c r="CM133">
        <v>1.6032236130089451E-2</v>
      </c>
      <c r="CN133">
        <v>1.6032236130089451E-2</v>
      </c>
      <c r="CO133" t="e">
        <v>#N/A</v>
      </c>
      <c r="CP133" t="str">
        <v/>
      </c>
    </row>
    <row r="134" spans="1:94" x14ac:dyDescent="0.2">
      <c r="A134" s="92"/>
      <c r="B134" s="92"/>
      <c r="C134" s="92"/>
      <c r="D134" s="92"/>
      <c r="E134" s="92"/>
      <c r="AR134">
        <v>126</v>
      </c>
      <c r="AS134">
        <v>126</v>
      </c>
      <c r="AT134">
        <v>1</v>
      </c>
      <c r="AU134">
        <v>-7.199027363893773</v>
      </c>
      <c r="AV134">
        <v>1.0169617235744438E-2</v>
      </c>
      <c r="CD134">
        <v>126</v>
      </c>
      <c r="CE134">
        <v>4.3064924039776109</v>
      </c>
      <c r="CF134">
        <v>1.7277812616538015E-2</v>
      </c>
      <c r="CG134" t="e">
        <v>#N/A</v>
      </c>
      <c r="CH134">
        <v>1.7277812616538015E-2</v>
      </c>
      <c r="CI134">
        <v>4.306</v>
      </c>
      <c r="CK134">
        <v>126</v>
      </c>
      <c r="CL134">
        <v>6.9354972680543527</v>
      </c>
      <c r="CM134">
        <v>1.5593582702465197E-2</v>
      </c>
      <c r="CN134">
        <v>1.5593582702465197E-2</v>
      </c>
      <c r="CO134" t="e">
        <v>#N/A</v>
      </c>
      <c r="CP134">
        <v>6.9349999999999996</v>
      </c>
    </row>
    <row r="135" spans="1:94" x14ac:dyDescent="0.2">
      <c r="A135" s="92"/>
      <c r="B135" s="92"/>
      <c r="C135" s="92"/>
      <c r="D135" s="92"/>
      <c r="E135" s="92"/>
      <c r="AR135">
        <v>127</v>
      </c>
      <c r="AS135">
        <v>127</v>
      </c>
      <c r="AT135">
        <v>1</v>
      </c>
      <c r="AU135">
        <v>-7.1680868325764262</v>
      </c>
      <c r="AV135">
        <v>1.0324085230065866E-2</v>
      </c>
      <c r="CD135">
        <v>127</v>
      </c>
      <c r="CE135">
        <v>4.3409443432094319</v>
      </c>
      <c r="CF135">
        <v>1.678474054539612E-2</v>
      </c>
      <c r="CG135" t="e">
        <v>#N/A</v>
      </c>
      <c r="CH135">
        <v>1.678474054539612E-2</v>
      </c>
      <c r="CI135" t="str">
        <v/>
      </c>
      <c r="CK135">
        <v>127</v>
      </c>
      <c r="CL135">
        <v>6.990981246198789</v>
      </c>
      <c r="CM135">
        <v>1.5166931145821693E-2</v>
      </c>
      <c r="CN135">
        <v>1.5166931145821693E-2</v>
      </c>
      <c r="CO135" t="e">
        <v>#N/A</v>
      </c>
      <c r="CP135" t="str">
        <v/>
      </c>
    </row>
    <row r="136" spans="1:94" x14ac:dyDescent="0.2">
      <c r="A136" s="92"/>
      <c r="B136" s="92"/>
      <c r="C136" s="92"/>
      <c r="D136" s="92"/>
      <c r="E136" s="92"/>
      <c r="AR136">
        <v>128</v>
      </c>
      <c r="AS136">
        <v>128</v>
      </c>
      <c r="AT136">
        <v>1</v>
      </c>
      <c r="AU136">
        <v>-7.1371463012590795</v>
      </c>
      <c r="AV136">
        <v>1.0480358560296027E-2</v>
      </c>
      <c r="CD136">
        <v>128</v>
      </c>
      <c r="CE136">
        <v>4.3753962824412529</v>
      </c>
      <c r="CF136">
        <v>1.6306519501748138E-2</v>
      </c>
      <c r="CG136" t="e">
        <v>#N/A</v>
      </c>
      <c r="CH136">
        <v>1.6306519501748138E-2</v>
      </c>
      <c r="CI136" t="str">
        <v/>
      </c>
      <c r="CK136">
        <v>128</v>
      </c>
      <c r="CL136">
        <v>7.0464652243432235</v>
      </c>
      <c r="CM136">
        <v>1.4751953080399534E-2</v>
      </c>
      <c r="CN136">
        <v>1.4751953080399534E-2</v>
      </c>
      <c r="CO136" t="e">
        <v>#N/A</v>
      </c>
      <c r="CP136" t="str">
        <v/>
      </c>
    </row>
    <row r="137" spans="1:94" x14ac:dyDescent="0.2">
      <c r="A137" s="92"/>
      <c r="B137" s="92"/>
      <c r="C137" s="92"/>
      <c r="D137" s="92"/>
      <c r="E137" s="92"/>
      <c r="AR137">
        <v>129</v>
      </c>
      <c r="AS137">
        <v>129</v>
      </c>
      <c r="AT137">
        <v>1</v>
      </c>
      <c r="AU137">
        <v>-7.1062057699417336</v>
      </c>
      <c r="AV137">
        <v>1.0638448301237729E-2</v>
      </c>
      <c r="CD137">
        <v>129</v>
      </c>
      <c r="CE137">
        <v>4.4098482216730739</v>
      </c>
      <c r="CF137">
        <v>1.5842678771267042E-2</v>
      </c>
      <c r="CG137" t="e">
        <v>#N/A</v>
      </c>
      <c r="CH137">
        <v>1.5842678771267042E-2</v>
      </c>
      <c r="CI137" t="str">
        <v/>
      </c>
      <c r="CK137">
        <v>129</v>
      </c>
      <c r="CL137">
        <v>7.101949202487658</v>
      </c>
      <c r="CM137">
        <v>1.4348329111143953E-2</v>
      </c>
      <c r="CN137">
        <v>1.4348329111143953E-2</v>
      </c>
      <c r="CO137" t="e">
        <v>#N/A</v>
      </c>
      <c r="CP137" t="str">
        <v/>
      </c>
    </row>
    <row r="138" spans="1:94" x14ac:dyDescent="0.2">
      <c r="A138" s="92"/>
      <c r="B138" s="92"/>
      <c r="C138" s="92"/>
      <c r="D138" s="92"/>
      <c r="E138" s="92"/>
      <c r="AR138">
        <v>130</v>
      </c>
      <c r="AS138">
        <v>130</v>
      </c>
      <c r="AT138">
        <v>1</v>
      </c>
      <c r="AU138">
        <v>-7.0752652386243877</v>
      </c>
      <c r="AV138">
        <v>1.0798365411693111E-2</v>
      </c>
      <c r="CD138">
        <v>130</v>
      </c>
      <c r="CE138">
        <v>4.4443001609048949</v>
      </c>
      <c r="CF138">
        <v>1.5392763298865407E-2</v>
      </c>
      <c r="CG138" t="e">
        <v>#N/A</v>
      </c>
      <c r="CH138">
        <v>1.5392763298865407E-2</v>
      </c>
      <c r="CI138" t="str">
        <v/>
      </c>
      <c r="CK138">
        <v>130</v>
      </c>
      <c r="CL138">
        <v>7.1574331806320926</v>
      </c>
      <c r="CM138">
        <v>1.3955748581876941E-2</v>
      </c>
      <c r="CN138">
        <v>1.3955748581876941E-2</v>
      </c>
      <c r="CO138" t="e">
        <v>#N/A</v>
      </c>
      <c r="CP138" t="str">
        <v/>
      </c>
    </row>
    <row r="139" spans="1:94" x14ac:dyDescent="0.2">
      <c r="A139" s="92"/>
      <c r="B139" s="92"/>
      <c r="C139" s="92"/>
      <c r="D139" s="92"/>
      <c r="E139" s="92"/>
      <c r="AR139">
        <v>131</v>
      </c>
      <c r="AS139">
        <v>131</v>
      </c>
      <c r="AT139">
        <v>1</v>
      </c>
      <c r="AU139">
        <v>-7.044324707307041</v>
      </c>
      <c r="AV139">
        <v>1.0960120730434678E-2</v>
      </c>
      <c r="CD139">
        <v>131</v>
      </c>
      <c r="CE139">
        <v>4.4787521001367159</v>
      </c>
      <c r="CF139">
        <v>1.4956333143235686E-2</v>
      </c>
      <c r="CG139" t="e">
        <v>#N/A</v>
      </c>
      <c r="CH139">
        <v>1.4956333143235686E-2</v>
      </c>
      <c r="CI139" t="str">
        <v/>
      </c>
      <c r="CK139">
        <v>131</v>
      </c>
      <c r="CL139">
        <v>7.2129171587765271</v>
      </c>
      <c r="CM139">
        <v>1.3573909336195341E-2</v>
      </c>
      <c r="CN139">
        <v>1.3573909336195341E-2</v>
      </c>
      <c r="CO139" t="e">
        <v>#N/A</v>
      </c>
      <c r="CP139" t="str">
        <v/>
      </c>
    </row>
    <row r="140" spans="1:94" x14ac:dyDescent="0.2">
      <c r="A140" s="92"/>
      <c r="B140" s="92"/>
      <c r="C140" s="92"/>
      <c r="D140" s="92"/>
      <c r="E140" s="92"/>
      <c r="AR140">
        <v>132</v>
      </c>
      <c r="AS140">
        <v>132</v>
      </c>
      <c r="AT140">
        <v>1</v>
      </c>
      <c r="AU140">
        <v>-7.0133841759896951</v>
      </c>
      <c r="AV140">
        <v>1.1123724972146759E-2</v>
      </c>
      <c r="CD140">
        <v>132</v>
      </c>
      <c r="CE140">
        <v>4.5132040393685369</v>
      </c>
      <c r="CF140">
        <v>1.4532962951241834E-2</v>
      </c>
      <c r="CG140" t="e">
        <v>#N/A</v>
      </c>
      <c r="CH140">
        <v>1.4532962951241834E-2</v>
      </c>
      <c r="CI140" t="str">
        <v/>
      </c>
      <c r="CK140">
        <v>132</v>
      </c>
      <c r="CL140">
        <v>7.2684011369209625</v>
      </c>
      <c r="CM140">
        <v>1.3202517484910909E-2</v>
      </c>
      <c r="CN140">
        <v>1.3202517484910909E-2</v>
      </c>
      <c r="CO140" t="e">
        <v>#N/A</v>
      </c>
      <c r="CP140" t="str">
        <v/>
      </c>
    </row>
    <row r="141" spans="1:94" x14ac:dyDescent="0.2">
      <c r="AR141">
        <v>133</v>
      </c>
      <c r="AS141">
        <v>133</v>
      </c>
      <c r="AT141">
        <v>1</v>
      </c>
      <c r="AU141">
        <v>-6.9824436446723483</v>
      </c>
      <c r="AV141">
        <v>1.128918872333839E-2</v>
      </c>
      <c r="CD141">
        <v>133</v>
      </c>
      <c r="CE141">
        <v>4.5476559786003579</v>
      </c>
      <c r="CF141">
        <v>1.4122241451409293E-2</v>
      </c>
      <c r="CG141" t="e">
        <v>#N/A</v>
      </c>
      <c r="CH141">
        <v>1.4122241451409293E-2</v>
      </c>
      <c r="CI141" t="str">
        <v/>
      </c>
      <c r="CK141">
        <v>133</v>
      </c>
      <c r="CL141">
        <v>7.323885115065397</v>
      </c>
      <c r="CM141">
        <v>1.2841287179853453E-2</v>
      </c>
      <c r="CN141">
        <v>1.2841287179853453E-2</v>
      </c>
      <c r="CO141" t="e">
        <v>#N/A</v>
      </c>
      <c r="CP141" t="str">
        <v/>
      </c>
    </row>
    <row r="142" spans="1:94" x14ac:dyDescent="0.2">
      <c r="AR142">
        <v>134</v>
      </c>
      <c r="AS142">
        <v>134</v>
      </c>
      <c r="AT142">
        <v>1</v>
      </c>
      <c r="AU142">
        <v>-6.9515031133550025</v>
      </c>
      <c r="AV142">
        <v>1.1456522438228417E-2</v>
      </c>
      <c r="CD142">
        <v>134</v>
      </c>
      <c r="CE142">
        <v>4.5821079178321789</v>
      </c>
      <c r="CF142">
        <v>1.3723770965789384E-2</v>
      </c>
      <c r="CG142" t="e">
        <v>#N/A</v>
      </c>
      <c r="CH142">
        <v>1.3723770965789384E-2</v>
      </c>
      <c r="CI142" t="str">
        <v/>
      </c>
      <c r="CK142">
        <v>134</v>
      </c>
      <c r="CL142">
        <v>7.3793690932098315</v>
      </c>
      <c r="CM142">
        <v>1.2489940393862803E-2</v>
      </c>
      <c r="CN142">
        <v>1.2489940393862803E-2</v>
      </c>
      <c r="CO142" t="e">
        <v>#N/A</v>
      </c>
      <c r="CP142" t="str">
        <v/>
      </c>
    </row>
    <row r="143" spans="1:94" x14ac:dyDescent="0.2">
      <c r="AR143">
        <v>135</v>
      </c>
      <c r="AS143">
        <v>135</v>
      </c>
      <c r="AT143">
        <v>1</v>
      </c>
      <c r="AU143">
        <v>-6.9205625820376557</v>
      </c>
      <c r="AV143">
        <v>1.1625736434603601E-2</v>
      </c>
      <c r="CD143">
        <v>135</v>
      </c>
      <c r="CE143">
        <v>4.6165598570639998</v>
      </c>
      <c r="CF143">
        <v>1.3337166939503374E-2</v>
      </c>
      <c r="CG143" t="e">
        <v>#N/A</v>
      </c>
      <c r="CH143">
        <v>1.3337166939503374E-2</v>
      </c>
      <c r="CI143" t="str">
        <v/>
      </c>
      <c r="CK143">
        <v>135</v>
      </c>
      <c r="CL143">
        <v>7.434853071354266</v>
      </c>
      <c r="CM143">
        <v>1.2148206706800398E-2</v>
      </c>
      <c r="CN143">
        <v>1.2148206706800398E-2</v>
      </c>
      <c r="CO143" t="e">
        <v>#N/A</v>
      </c>
      <c r="CP143" t="str">
        <v/>
      </c>
    </row>
    <row r="144" spans="1:94" x14ac:dyDescent="0.2">
      <c r="AR144">
        <v>136</v>
      </c>
      <c r="AS144">
        <v>136</v>
      </c>
      <c r="AT144">
        <v>1</v>
      </c>
      <c r="AU144">
        <v>-6.8896220507203099</v>
      </c>
      <c r="AV144">
        <v>1.1796840889650719E-2</v>
      </c>
      <c r="CD144">
        <v>136</v>
      </c>
      <c r="CE144">
        <v>4.6510117962958208</v>
      </c>
      <c r="CF144">
        <v>1.29620574872981E-2</v>
      </c>
      <c r="CG144" t="e">
        <v>#N/A</v>
      </c>
      <c r="CH144">
        <v>1.29620574872981E-2</v>
      </c>
      <c r="CI144" t="str">
        <v/>
      </c>
      <c r="CK144">
        <v>136</v>
      </c>
      <c r="CL144">
        <v>7.4903370494987023</v>
      </c>
      <c r="CM144">
        <v>1.1815823097415749E-2</v>
      </c>
      <c r="CN144">
        <v>1.1815823097415749E-2</v>
      </c>
      <c r="CO144" t="e">
        <v>#N/A</v>
      </c>
      <c r="CP144" t="str">
        <v/>
      </c>
    </row>
    <row r="145" spans="44:94" x14ac:dyDescent="0.2">
      <c r="AR145">
        <v>137</v>
      </c>
      <c r="AS145">
        <v>137</v>
      </c>
      <c r="AT145">
        <v>1</v>
      </c>
      <c r="AU145">
        <v>-6.8586815194029631</v>
      </c>
      <c r="AV145">
        <v>1.1969845835763633E-2</v>
      </c>
      <c r="CD145">
        <v>137</v>
      </c>
      <c r="CE145">
        <v>4.6854637355276418</v>
      </c>
      <c r="CF145">
        <v>1.259808295647215E-2</v>
      </c>
      <c r="CG145" t="e">
        <v>#N/A</v>
      </c>
      <c r="CH145">
        <v>1.259808295647215E-2</v>
      </c>
      <c r="CI145" t="str">
        <v/>
      </c>
      <c r="CK145">
        <v>137</v>
      </c>
      <c r="CL145">
        <v>7.5458210276431368</v>
      </c>
      <c r="CM145">
        <v>1.1492533740907604E-2</v>
      </c>
      <c r="CN145">
        <v>1.1492533740907604E-2</v>
      </c>
      <c r="CO145" t="e">
        <v>#N/A</v>
      </c>
      <c r="CP145" t="str">
        <v/>
      </c>
    </row>
    <row r="146" spans="44:94" x14ac:dyDescent="0.2">
      <c r="AR146">
        <v>138</v>
      </c>
      <c r="AS146">
        <v>138</v>
      </c>
      <c r="AT146">
        <v>1</v>
      </c>
      <c r="AU146">
        <v>-6.8277409880856172</v>
      </c>
      <c r="AV146">
        <v>1.2144761156325982E-2</v>
      </c>
      <c r="CD146">
        <v>138</v>
      </c>
      <c r="CE146">
        <v>4.7199156747594628</v>
      </c>
      <c r="CF146">
        <v>1.2244895505555936E-2</v>
      </c>
      <c r="CG146" t="e">
        <v>#N/A</v>
      </c>
      <c r="CH146">
        <v>1.2244895505555936E-2</v>
      </c>
      <c r="CI146" t="str">
        <v/>
      </c>
      <c r="CK146">
        <v>138</v>
      </c>
      <c r="CL146">
        <v>7.6013050057875713</v>
      </c>
      <c r="CM146">
        <v>1.1178089812023898E-2</v>
      </c>
      <c r="CN146">
        <v>1.1178089812023898E-2</v>
      </c>
      <c r="CO146" t="e">
        <v>#N/A</v>
      </c>
      <c r="CP146" t="str">
        <v/>
      </c>
    </row>
    <row r="147" spans="44:94" x14ac:dyDescent="0.2">
      <c r="AR147">
        <v>139</v>
      </c>
      <c r="AS147">
        <v>139</v>
      </c>
      <c r="AT147">
        <v>1</v>
      </c>
      <c r="AU147">
        <v>-6.7968004567682705</v>
      </c>
      <c r="AV147">
        <v>1.2321596581470891E-2</v>
      </c>
      <c r="CD147">
        <v>139</v>
      </c>
      <c r="CE147">
        <v>4.754367613991282</v>
      </c>
      <c r="CF147">
        <v>1.1902158698153767E-2</v>
      </c>
      <c r="CG147" t="e">
        <v>#N/A</v>
      </c>
      <c r="CH147">
        <v>1.1902158698153767E-2</v>
      </c>
      <c r="CI147" t="str">
        <v/>
      </c>
      <c r="CK147">
        <v>139</v>
      </c>
      <c r="CL147">
        <v>7.6567889839320058</v>
      </c>
      <c r="CM147">
        <v>1.0872249293549159E-2</v>
      </c>
      <c r="CN147">
        <v>1.0872249293549159E-2</v>
      </c>
      <c r="CO147" t="e">
        <v>#N/A</v>
      </c>
      <c r="CP147" t="str">
        <v/>
      </c>
    </row>
    <row r="148" spans="44:94" x14ac:dyDescent="0.2">
      <c r="AR148">
        <v>140</v>
      </c>
      <c r="AS148">
        <v>140</v>
      </c>
      <c r="AT148">
        <v>1</v>
      </c>
      <c r="AU148">
        <v>-6.7658599254509246</v>
      </c>
      <c r="AV148">
        <v>1.2500361683818208E-2</v>
      </c>
      <c r="CD148">
        <v>140</v>
      </c>
      <c r="CE148">
        <v>4.788819553223103</v>
      </c>
      <c r="CF148">
        <v>1.1569547111378834E-2</v>
      </c>
      <c r="CG148" t="e">
        <v>#N/A</v>
      </c>
      <c r="CH148">
        <v>1.1569547111378834E-2</v>
      </c>
      <c r="CI148" t="str">
        <v/>
      </c>
      <c r="CK148">
        <v>140</v>
      </c>
      <c r="CL148">
        <v>7.7122729620764412</v>
      </c>
      <c r="CM148">
        <v>1.0574776790031697E-2</v>
      </c>
      <c r="CN148">
        <v>1.0574776790031697E-2</v>
      </c>
      <c r="CO148" t="e">
        <v>#N/A</v>
      </c>
      <c r="CP148" t="str">
        <v/>
      </c>
    </row>
    <row r="149" spans="44:94" x14ac:dyDescent="0.2">
      <c r="AR149">
        <v>141</v>
      </c>
      <c r="AS149">
        <v>141</v>
      </c>
      <c r="AT149">
        <v>1</v>
      </c>
      <c r="AU149">
        <v>-6.7349193941335779</v>
      </c>
      <c r="AV149">
        <v>1.2681065874190657E-2</v>
      </c>
      <c r="CD149">
        <v>141</v>
      </c>
      <c r="CE149">
        <v>4.823271492454924</v>
      </c>
      <c r="CF149">
        <v>1.1246745958334522E-2</v>
      </c>
      <c r="CG149" t="e">
        <v>#N/A</v>
      </c>
      <c r="CH149">
        <v>1.1246745958334522E-2</v>
      </c>
      <c r="CI149" t="str">
        <v/>
      </c>
      <c r="CK149">
        <v>141</v>
      </c>
      <c r="CL149">
        <v>7.7677569402208757</v>
      </c>
      <c r="CM149">
        <v>1.0285443346607484E-2</v>
      </c>
      <c r="CN149">
        <v>1.0285443346607484E-2</v>
      </c>
      <c r="CO149" t="e">
        <v>#N/A</v>
      </c>
      <c r="CP149" t="str">
        <v/>
      </c>
    </row>
    <row r="150" spans="44:94" x14ac:dyDescent="0.2">
      <c r="AR150">
        <v>142</v>
      </c>
      <c r="AS150">
        <v>142</v>
      </c>
      <c r="AT150">
        <v>1</v>
      </c>
      <c r="AU150">
        <v>-6.703978862816232</v>
      </c>
      <c r="AV150">
        <v>1.2863718397309756E-2</v>
      </c>
      <c r="CD150">
        <v>142</v>
      </c>
      <c r="CE150">
        <v>4.857723431686745</v>
      </c>
      <c r="CF150">
        <v>1.0933450724116209E-2</v>
      </c>
      <c r="CG150" t="e">
        <v>#N/A</v>
      </c>
      <c r="CH150">
        <v>1.0933450724116209E-2</v>
      </c>
      <c r="CI150" t="str">
        <v/>
      </c>
      <c r="CK150">
        <v>142</v>
      </c>
      <c r="CL150">
        <v>7.8232409183653102</v>
      </c>
      <c r="CM150">
        <v>1.0004026272781037E-2</v>
      </c>
      <c r="CN150">
        <v>1.0004026272781037E-2</v>
      </c>
      <c r="CO150" t="e">
        <v>#N/A</v>
      </c>
      <c r="CP150" t="str">
        <v/>
      </c>
    </row>
    <row r="151" spans="44:94" x14ac:dyDescent="0.2">
      <c r="AR151">
        <v>143</v>
      </c>
      <c r="AS151">
        <v>143</v>
      </c>
      <c r="AT151">
        <v>1</v>
      </c>
      <c r="AU151">
        <v>-6.6730383314988861</v>
      </c>
      <c r="AV151">
        <v>1.304832832747249E-2</v>
      </c>
      <c r="CD151">
        <v>143</v>
      </c>
      <c r="CE151">
        <v>4.892175370918566</v>
      </c>
      <c r="CF151">
        <v>1.0629366814829325E-2</v>
      </c>
      <c r="CG151" t="e">
        <v>#N/A</v>
      </c>
      <c r="CH151">
        <v>1.0629366814829325E-2</v>
      </c>
      <c r="CI151" t="str">
        <v/>
      </c>
      <c r="CK151">
        <v>143</v>
      </c>
      <c r="CL151">
        <v>7.8787248965097447</v>
      </c>
      <c r="CM151">
        <v>9.7303089710278172E-3</v>
      </c>
      <c r="CN151">
        <v>9.7303089710278172E-3</v>
      </c>
      <c r="CO151" t="e">
        <v>#N/A</v>
      </c>
      <c r="CP151" t="str">
        <v/>
      </c>
    </row>
    <row r="152" spans="44:94" x14ac:dyDescent="0.2">
      <c r="AR152">
        <v>144</v>
      </c>
      <c r="AS152">
        <v>144</v>
      </c>
      <c r="AT152">
        <v>1</v>
      </c>
      <c r="AU152">
        <v>-6.6420978001815394</v>
      </c>
      <c r="AV152">
        <v>1.3234904564210002E-2</v>
      </c>
      <c r="CD152">
        <v>144</v>
      </c>
      <c r="CE152">
        <v>4.926627310150387</v>
      </c>
      <c r="CF152">
        <v>1.0334209219137564E-2</v>
      </c>
      <c r="CG152" t="e">
        <v>#N/A</v>
      </c>
      <c r="CH152">
        <v>1.0334209219137564E-2</v>
      </c>
      <c r="CI152" t="str">
        <v/>
      </c>
      <c r="CK152">
        <v>144</v>
      </c>
      <c r="CL152">
        <v>7.9342088746541801</v>
      </c>
      <c r="CM152">
        <v>9.4640807700862306E-3</v>
      </c>
      <c r="CN152">
        <v>9.4640807700862306E-3</v>
      </c>
      <c r="CO152" t="e">
        <v>#N/A</v>
      </c>
      <c r="CP152" t="str">
        <v/>
      </c>
    </row>
    <row r="153" spans="44:94" x14ac:dyDescent="0.2">
      <c r="AR153">
        <v>145</v>
      </c>
      <c r="AS153">
        <v>145</v>
      </c>
      <c r="AT153">
        <v>1</v>
      </c>
      <c r="AU153">
        <v>-6.6111572688641935</v>
      </c>
      <c r="AV153">
        <v>1.3423455827929243E-2</v>
      </c>
      <c r="CD153">
        <v>145</v>
      </c>
      <c r="CE153">
        <v>4.961079249382208</v>
      </c>
      <c r="CF153">
        <v>1.0047702181875248E-2</v>
      </c>
      <c r="CG153" t="e">
        <v>#N/A</v>
      </c>
      <c r="CH153">
        <v>1.0047702181875248E-2</v>
      </c>
      <c r="CI153" t="str">
        <v/>
      </c>
      <c r="CK153">
        <v>145</v>
      </c>
      <c r="CL153">
        <v>7.9896928527986155</v>
      </c>
      <c r="CM153">
        <v>9.205136762810805E-3</v>
      </c>
      <c r="CN153">
        <v>9.205136762810805E-3</v>
      </c>
      <c r="CO153" t="e">
        <v>#N/A</v>
      </c>
      <c r="CP153" t="str">
        <v/>
      </c>
    </row>
    <row r="154" spans="44:94" x14ac:dyDescent="0.2">
      <c r="AR154">
        <v>146</v>
      </c>
      <c r="AS154">
        <v>146</v>
      </c>
      <c r="AT154">
        <v>1</v>
      </c>
      <c r="AU154">
        <v>-6.5802167375468468</v>
      </c>
      <c r="AV154">
        <v>1.3613990655538692E-2</v>
      </c>
      <c r="CD154">
        <v>146</v>
      </c>
      <c r="CE154">
        <v>4.995531188614029</v>
      </c>
      <c r="CF154">
        <v>9.7695788892752725E-3</v>
      </c>
      <c r="CG154" t="e">
        <v>#N/A</v>
      </c>
      <c r="CH154">
        <v>9.7695788892752725E-3</v>
      </c>
      <c r="CI154" t="str">
        <v/>
      </c>
      <c r="CK154">
        <v>146</v>
      </c>
      <c r="CL154">
        <v>8.0451768309430491</v>
      </c>
      <c r="CM154">
        <v>8.9532776484618961E-3</v>
      </c>
      <c r="CN154">
        <v>8.9532776484618961E-3</v>
      </c>
      <c r="CO154" t="e">
        <v>#N/A</v>
      </c>
      <c r="CP154" t="str">
        <v/>
      </c>
    </row>
    <row r="155" spans="44:94" x14ac:dyDescent="0.2">
      <c r="AR155">
        <v>147</v>
      </c>
      <c r="AS155">
        <v>147</v>
      </c>
      <c r="AT155">
        <v>1</v>
      </c>
      <c r="AU155">
        <v>-6.5492762062295009</v>
      </c>
      <c r="AV155">
        <v>1.3806517396059407E-2</v>
      </c>
      <c r="CD155">
        <v>147</v>
      </c>
      <c r="CE155">
        <v>5.02998312784585</v>
      </c>
      <c r="CF155">
        <v>9.4995811653814516E-3</v>
      </c>
      <c r="CG155" t="e">
        <v>#N/A</v>
      </c>
      <c r="CH155">
        <v>9.4995811653814516E-3</v>
      </c>
      <c r="CI155" t="str">
        <v/>
      </c>
      <c r="CK155">
        <v>147</v>
      </c>
      <c r="CL155">
        <v>8.1006608090874845</v>
      </c>
      <c r="CM155">
        <v>8.7083095793103592E-3</v>
      </c>
      <c r="CN155">
        <v>8.7083095793103592E-3</v>
      </c>
      <c r="CO155" t="e">
        <v>#N/A</v>
      </c>
      <c r="CP155" t="str">
        <v/>
      </c>
    </row>
    <row r="156" spans="44:94" x14ac:dyDescent="0.2">
      <c r="AR156">
        <v>148</v>
      </c>
      <c r="AS156">
        <v>148</v>
      </c>
      <c r="AT156">
        <v>1</v>
      </c>
      <c r="AU156">
        <v>-6.5183356749121542</v>
      </c>
      <c r="AV156">
        <v>1.4001044206222495E-2</v>
      </c>
      <c r="CD156">
        <v>148</v>
      </c>
      <c r="CE156">
        <v>5.064435067077671</v>
      </c>
      <c r="CF156">
        <v>9.2374591792312166E-3</v>
      </c>
      <c r="CG156" t="e">
        <v>#N/A</v>
      </c>
      <c r="CH156">
        <v>9.2374591792312166E-3</v>
      </c>
      <c r="CI156" t="str">
        <v/>
      </c>
      <c r="CK156">
        <v>148</v>
      </c>
      <c r="CL156">
        <v>8.1561447872319199</v>
      </c>
      <c r="CM156">
        <v>8.4700440114393628E-3</v>
      </c>
      <c r="CN156">
        <v>8.4700440114393628E-3</v>
      </c>
      <c r="CO156" t="e">
        <v>#N/A</v>
      </c>
      <c r="CP156" t="str">
        <v/>
      </c>
    </row>
    <row r="157" spans="44:94" x14ac:dyDescent="0.2">
      <c r="AR157">
        <v>149</v>
      </c>
      <c r="AS157">
        <v>149</v>
      </c>
      <c r="AT157">
        <v>1</v>
      </c>
      <c r="AU157">
        <v>-6.4873951435948083</v>
      </c>
      <c r="AV157">
        <v>1.419757904605406E-2</v>
      </c>
      <c r="CD157">
        <v>149</v>
      </c>
      <c r="CE157">
        <v>5.098887006309492</v>
      </c>
      <c r="CF157">
        <v>8.9829711624096909E-3</v>
      </c>
      <c r="CG157" t="e">
        <v>#N/A</v>
      </c>
      <c r="CH157">
        <v>8.9829711624096909E-3</v>
      </c>
      <c r="CI157" t="str">
        <v/>
      </c>
      <c r="CK157">
        <v>149</v>
      </c>
      <c r="CL157">
        <v>8.2116287653763553</v>
      </c>
      <c r="CM157">
        <v>8.2382975596282434E-3</v>
      </c>
      <c r="CN157">
        <v>8.2382975596282434E-3</v>
      </c>
      <c r="CO157" t="e">
        <v>#N/A</v>
      </c>
      <c r="CP157" t="str">
        <v/>
      </c>
    </row>
    <row r="158" spans="44:94" x14ac:dyDescent="0.2">
      <c r="AR158">
        <v>150</v>
      </c>
      <c r="AS158">
        <v>150</v>
      </c>
      <c r="AT158">
        <v>1</v>
      </c>
      <c r="AU158">
        <v>-6.4564546122774615</v>
      </c>
      <c r="AV158">
        <v>1.4396129674449122E-2</v>
      </c>
      <c r="CD158">
        <v>150</v>
      </c>
      <c r="CE158">
        <v>5.133338945541313</v>
      </c>
      <c r="CF158">
        <v>8.7358831365925271E-3</v>
      </c>
      <c r="CG158" t="e">
        <v>#N/A</v>
      </c>
      <c r="CH158">
        <v>8.7358831365925271E-3</v>
      </c>
      <c r="CI158" t="str">
        <v/>
      </c>
      <c r="CK158">
        <v>150</v>
      </c>
      <c r="CL158">
        <v>8.2671127435207907</v>
      </c>
      <c r="CM158">
        <v>8.0128918562069225E-3</v>
      </c>
      <c r="CN158">
        <v>8.0128918562069225E-3</v>
      </c>
      <c r="CO158" t="e">
        <v>#N/A</v>
      </c>
      <c r="CP158" t="str">
        <v/>
      </c>
    </row>
    <row r="159" spans="44:94" x14ac:dyDescent="0.2">
      <c r="AR159">
        <v>151</v>
      </c>
      <c r="AS159">
        <v>151</v>
      </c>
      <c r="AT159">
        <v>1</v>
      </c>
      <c r="AU159">
        <v>-6.4255140809601157</v>
      </c>
      <c r="AV159">
        <v>1.4596703644735379E-2</v>
      </c>
      <c r="CD159">
        <v>151</v>
      </c>
      <c r="CE159">
        <v>5.167790884773134</v>
      </c>
      <c r="CF159">
        <v>8.4959686507088978E-3</v>
      </c>
      <c r="CG159" t="e">
        <v>#N/A</v>
      </c>
      <c r="CH159">
        <v>8.4959686507088978E-3</v>
      </c>
      <c r="CI159">
        <v>5.1680000000000001</v>
      </c>
      <c r="CK159">
        <v>151</v>
      </c>
      <c r="CL159">
        <v>8.3225967216652244</v>
      </c>
      <c r="CM159">
        <v>7.7936534137721305E-3</v>
      </c>
      <c r="CN159">
        <v>7.7936534137721305E-3</v>
      </c>
      <c r="CO159" t="e">
        <v>#N/A</v>
      </c>
      <c r="CP159">
        <v>8.3230000000000004</v>
      </c>
    </row>
    <row r="160" spans="44:94" x14ac:dyDescent="0.2">
      <c r="AR160">
        <v>152</v>
      </c>
      <c r="AS160">
        <v>152</v>
      </c>
      <c r="AT160">
        <v>1</v>
      </c>
      <c r="AU160">
        <v>-6.3945735496427689</v>
      </c>
      <c r="AV160">
        <v>1.4799308300228372E-2</v>
      </c>
      <c r="CD160">
        <v>152</v>
      </c>
      <c r="CE160">
        <v>5.202242824004955</v>
      </c>
      <c r="CF160">
        <v>8.2630085273705228E-3</v>
      </c>
      <c r="CG160" t="e">
        <v>#N/A</v>
      </c>
      <c r="CH160">
        <v>8.2630085273705228E-3</v>
      </c>
      <c r="CI160" t="str">
        <v/>
      </c>
      <c r="CK160">
        <v>152</v>
      </c>
      <c r="CL160">
        <v>8.3780806998096597</v>
      </c>
      <c r="CM160">
        <v>7.580413491659806E-3</v>
      </c>
      <c r="CN160">
        <v>7.580413491659806E-3</v>
      </c>
      <c r="CO160" t="e">
        <v>#N/A</v>
      </c>
      <c r="CP160" t="str">
        <v/>
      </c>
    </row>
    <row r="161" spans="44:94" x14ac:dyDescent="0.2">
      <c r="AR161">
        <v>153</v>
      </c>
      <c r="AS161">
        <v>153</v>
      </c>
      <c r="AT161">
        <v>1</v>
      </c>
      <c r="AU161">
        <v>-6.3636330183254231</v>
      </c>
      <c r="AV161">
        <v>1.5003950769779107E-2</v>
      </c>
      <c r="CD161">
        <v>153</v>
      </c>
      <c r="CE161">
        <v>5.236694763236776</v>
      </c>
      <c r="CF161">
        <v>8.0367906182259429E-3</v>
      </c>
      <c r="CG161" t="e">
        <v>#N/A</v>
      </c>
      <c r="CH161">
        <v>8.0367906182259429E-3</v>
      </c>
      <c r="CI161" t="str">
        <v/>
      </c>
      <c r="CK161">
        <v>153</v>
      </c>
      <c r="CL161">
        <v>8.4335646779540934</v>
      </c>
      <c r="CM161">
        <v>7.3730079660709611E-3</v>
      </c>
      <c r="CN161">
        <v>7.3730079660709611E-3</v>
      </c>
      <c r="CO161" t="e">
        <v>#N/A</v>
      </c>
      <c r="CP161" t="str">
        <v/>
      </c>
    </row>
    <row r="162" spans="44:94" x14ac:dyDescent="0.2">
      <c r="AR162">
        <v>154</v>
      </c>
      <c r="AS162">
        <v>154</v>
      </c>
      <c r="AT162">
        <v>1</v>
      </c>
      <c r="AU162">
        <v>-6.3326924870080763</v>
      </c>
      <c r="AV162">
        <v>1.5210637963315453E-2</v>
      </c>
      <c r="CD162">
        <v>154</v>
      </c>
      <c r="CE162">
        <v>5.271146702468597</v>
      </c>
      <c r="CF162">
        <v>7.817109567912716E-3</v>
      </c>
      <c r="CG162" t="e">
        <v>#N/A</v>
      </c>
      <c r="CH162">
        <v>7.817109567912716E-3</v>
      </c>
      <c r="CI162" t="str">
        <v/>
      </c>
      <c r="CK162">
        <v>154</v>
      </c>
      <c r="CL162">
        <v>8.4890486560985288</v>
      </c>
      <c r="CM162">
        <v>7.1712772037509087E-3</v>
      </c>
      <c r="CN162">
        <v>7.1712772037509087E-3</v>
      </c>
      <c r="CO162" t="e">
        <v>#N/A</v>
      </c>
      <c r="CP162" t="str">
        <v/>
      </c>
    </row>
    <row r="163" spans="44:94" x14ac:dyDescent="0.2">
      <c r="AR163">
        <v>155</v>
      </c>
      <c r="AS163">
        <v>155</v>
      </c>
      <c r="AT163">
        <v>1</v>
      </c>
      <c r="AU163">
        <v>-6.3017519556907304</v>
      </c>
      <c r="AV163">
        <v>1.541937656737871E-2</v>
      </c>
      <c r="CD163">
        <v>155</v>
      </c>
      <c r="CE163">
        <v>5.3055986417004171</v>
      </c>
      <c r="CF163">
        <v>7.6037665862920371E-3</v>
      </c>
      <c r="CG163" t="e">
        <v>#N/A</v>
      </c>
      <c r="CH163">
        <v>7.6037665862920371E-3</v>
      </c>
      <c r="CI163" t="str">
        <v/>
      </c>
      <c r="CK163">
        <v>155</v>
      </c>
      <c r="CL163">
        <v>8.5445326342429642</v>
      </c>
      <c r="CM163">
        <v>6.9750659391248117E-3</v>
      </c>
      <c r="CN163">
        <v>6.9750659391248117E-3</v>
      </c>
      <c r="CO163" t="e">
        <v>#N/A</v>
      </c>
      <c r="CP163" t="str">
        <v/>
      </c>
    </row>
    <row r="164" spans="44:94" x14ac:dyDescent="0.2">
      <c r="AR164">
        <v>156</v>
      </c>
      <c r="AS164">
        <v>156</v>
      </c>
      <c r="AT164">
        <v>1</v>
      </c>
      <c r="AU164">
        <v>-6.2708114243733846</v>
      </c>
      <c r="AV164">
        <v>1.5630173040656659E-2</v>
      </c>
      <c r="CD164">
        <v>156</v>
      </c>
      <c r="CE164">
        <v>5.3400505809322381</v>
      </c>
      <c r="CF164">
        <v>7.3965692286631669E-3</v>
      </c>
      <c r="CG164" t="e">
        <v>#N/A</v>
      </c>
      <c r="CH164">
        <v>7.3965692286631669E-3</v>
      </c>
      <c r="CI164" t="str">
        <v/>
      </c>
      <c r="CK164">
        <v>156</v>
      </c>
      <c r="CL164">
        <v>8.6000166123873978</v>
      </c>
      <c r="CM164">
        <v>6.7842231547948131E-3</v>
      </c>
      <c r="CN164">
        <v>6.7842231547948131E-3</v>
      </c>
      <c r="CO164" t="e">
        <v>#N/A</v>
      </c>
      <c r="CP164" t="str">
        <v/>
      </c>
    </row>
    <row r="165" spans="44:94" x14ac:dyDescent="0.2">
      <c r="AR165">
        <v>157</v>
      </c>
      <c r="AS165">
        <v>157</v>
      </c>
      <c r="AT165">
        <v>1</v>
      </c>
      <c r="AU165">
        <v>-6.2398708930560378</v>
      </c>
      <c r="AV165">
        <v>1.5843033609514254E-2</v>
      </c>
      <c r="CD165">
        <v>157</v>
      </c>
      <c r="CE165">
        <v>5.3745025201640582</v>
      </c>
      <c r="CF165">
        <v>7.1953311836657303E-3</v>
      </c>
      <c r="CG165" t="e">
        <v>#N/A</v>
      </c>
      <c r="CH165">
        <v>7.1953311836657303E-3</v>
      </c>
      <c r="CI165" t="str">
        <v/>
      </c>
      <c r="CK165">
        <v>157</v>
      </c>
      <c r="CL165">
        <v>8.6555005905318332</v>
      </c>
      <c r="CM165">
        <v>6.5986019653068795E-3</v>
      </c>
      <c r="CN165">
        <v>6.5986019653068795E-3</v>
      </c>
      <c r="CO165" t="e">
        <v>#N/A</v>
      </c>
      <c r="CP165" t="str">
        <v/>
      </c>
    </row>
    <row r="166" spans="44:94" x14ac:dyDescent="0.2">
      <c r="AR166">
        <v>158</v>
      </c>
      <c r="AS166">
        <v>158</v>
      </c>
      <c r="AT166">
        <v>1</v>
      </c>
      <c r="AU166">
        <v>-6.2089303617386919</v>
      </c>
      <c r="AV166">
        <v>1.6057964263523558E-2</v>
      </c>
      <c r="CD166">
        <v>158</v>
      </c>
      <c r="CE166">
        <v>5.4089544593958792</v>
      </c>
      <c r="CF166">
        <v>6.9998720685896902E-3</v>
      </c>
      <c r="CG166" t="e">
        <v>#N/A</v>
      </c>
      <c r="CH166">
        <v>6.9998720685896902E-3</v>
      </c>
      <c r="CI166" t="str">
        <v/>
      </c>
      <c r="CK166">
        <v>158</v>
      </c>
      <c r="CL166">
        <v>8.7109845686762686</v>
      </c>
      <c r="CM166">
        <v>6.4180595040978878E-3</v>
      </c>
      <c r="CN166">
        <v>6.4180595040978878E-3</v>
      </c>
      <c r="CO166" t="e">
        <v>#N/A</v>
      </c>
      <c r="CP166" t="str">
        <v/>
      </c>
    </row>
    <row r="167" spans="44:94" x14ac:dyDescent="0.2">
      <c r="AR167">
        <v>159</v>
      </c>
      <c r="AS167">
        <v>159</v>
      </c>
      <c r="AT167">
        <v>1</v>
      </c>
      <c r="AU167">
        <v>-6.1779898304213452</v>
      </c>
      <c r="AV167">
        <v>1.6274970750994225E-2</v>
      </c>
      <c r="CD167">
        <v>159</v>
      </c>
      <c r="CE167">
        <v>5.4434063986277001</v>
      </c>
      <c r="CF167">
        <v>6.8100172318231803E-3</v>
      </c>
      <c r="CG167" t="e">
        <v>#N/A</v>
      </c>
      <c r="CH167">
        <v>6.8100172318231803E-3</v>
      </c>
      <c r="CI167" t="str">
        <v/>
      </c>
      <c r="CK167">
        <v>159</v>
      </c>
      <c r="CL167">
        <v>8.7664685468207022</v>
      </c>
      <c r="CM167">
        <v>6.2424568135358953E-3</v>
      </c>
      <c r="CN167">
        <v>6.2424568135358953E-3</v>
      </c>
      <c r="CO167" t="e">
        <v>#N/A</v>
      </c>
      <c r="CP167" t="str">
        <v/>
      </c>
    </row>
    <row r="168" spans="44:94" x14ac:dyDescent="0.2">
      <c r="AR168">
        <v>160</v>
      </c>
      <c r="AS168">
        <v>160</v>
      </c>
      <c r="AT168">
        <v>1</v>
      </c>
      <c r="AU168">
        <v>-6.1470492991039993</v>
      </c>
      <c r="AV168">
        <v>1.6494058574505775E-2</v>
      </c>
      <c r="CD168">
        <v>160</v>
      </c>
      <c r="CE168">
        <v>5.4778583378595211</v>
      </c>
      <c r="CF168">
        <v>6.625597562178529E-3</v>
      </c>
      <c r="CG168" t="e">
        <v>#N/A</v>
      </c>
      <c r="CH168">
        <v>6.625597562178529E-3</v>
      </c>
      <c r="CI168" t="str">
        <v/>
      </c>
      <c r="CK168">
        <v>160</v>
      </c>
      <c r="CL168">
        <v>8.8219525249651376</v>
      </c>
      <c r="CM168">
        <v>6.0716587379689591E-3</v>
      </c>
      <c r="CN168">
        <v>6.0716587379689591E-3</v>
      </c>
      <c r="CO168" t="e">
        <v>#N/A</v>
      </c>
      <c r="CP168" t="str">
        <v/>
      </c>
    </row>
    <row r="169" spans="44:94" x14ac:dyDescent="0.2">
      <c r="AR169">
        <v>161</v>
      </c>
      <c r="AS169">
        <v>161</v>
      </c>
      <c r="AT169">
        <v>1</v>
      </c>
      <c r="AU169">
        <v>-6.1161087677866526</v>
      </c>
      <c r="AV169">
        <v>1.671523298644342E-2</v>
      </c>
      <c r="CD169">
        <v>161</v>
      </c>
      <c r="CE169">
        <v>5.5123102770913421</v>
      </c>
      <c r="CF169">
        <v>6.4464493048467762E-3</v>
      </c>
      <c r="CG169" t="e">
        <v>#N/A</v>
      </c>
      <c r="CH169">
        <v>6.4464493048467762E-3</v>
      </c>
      <c r="CI169" t="str">
        <v/>
      </c>
      <c r="CK169">
        <v>161</v>
      </c>
      <c r="CL169">
        <v>8.8774365031095712</v>
      </c>
      <c r="CM169">
        <v>5.9055338197003095E-3</v>
      </c>
      <c r="CN169">
        <v>5.9055338197003095E-3</v>
      </c>
      <c r="CO169" t="e">
        <v>#N/A</v>
      </c>
      <c r="CP169" t="str">
        <v/>
      </c>
    </row>
    <row r="170" spans="44:94" x14ac:dyDescent="0.2">
      <c r="AR170">
        <v>162</v>
      </c>
      <c r="AS170">
        <v>162</v>
      </c>
      <c r="AT170">
        <v>1</v>
      </c>
      <c r="AU170">
        <v>-6.0851682364693067</v>
      </c>
      <c r="AV170">
        <v>1.6938498984538457E-2</v>
      </c>
      <c r="CD170">
        <v>162</v>
      </c>
      <c r="CE170">
        <v>5.5467622163231631</v>
      </c>
      <c r="CF170">
        <v>6.2724138837404698E-3</v>
      </c>
      <c r="CG170" t="e">
        <v>#N/A</v>
      </c>
      <c r="CH170">
        <v>6.2724138837404698E-3</v>
      </c>
      <c r="CI170" t="str">
        <v/>
      </c>
      <c r="CK170">
        <v>162</v>
      </c>
      <c r="CL170">
        <v>8.9329204812540066</v>
      </c>
      <c r="CM170">
        <v>5.7439541978095933E-3</v>
      </c>
      <c r="CN170">
        <v>5.7439541978095933E-3</v>
      </c>
      <c r="CO170" t="e">
        <v>#N/A</v>
      </c>
      <c r="CP170" t="str">
        <v/>
      </c>
    </row>
    <row r="171" spans="44:94" x14ac:dyDescent="0.2">
      <c r="AR171">
        <v>163</v>
      </c>
      <c r="AS171">
        <v>163</v>
      </c>
      <c r="AT171">
        <v>1</v>
      </c>
      <c r="AU171">
        <v>-6.05422770515196</v>
      </c>
      <c r="AV171">
        <v>1.7163861307415051E-2</v>
      </c>
      <c r="CD171">
        <v>163</v>
      </c>
      <c r="CE171">
        <v>5.5812141555549841</v>
      </c>
      <c r="CF171">
        <v>6.1033377299934454E-3</v>
      </c>
      <c r="CG171" t="e">
        <v>#N/A</v>
      </c>
      <c r="CH171">
        <v>6.1033377299934454E-3</v>
      </c>
      <c r="CI171" t="str">
        <v/>
      </c>
      <c r="CK171">
        <v>163</v>
      </c>
      <c r="CL171">
        <v>8.988404459398442</v>
      </c>
      <c r="CM171">
        <v>5.5867955097425462E-3</v>
      </c>
      <c r="CN171">
        <v>5.5867955097425462E-3</v>
      </c>
      <c r="CO171" t="e">
        <v>#N/A</v>
      </c>
      <c r="CP171" t="str">
        <v/>
      </c>
    </row>
    <row r="172" spans="44:94" x14ac:dyDescent="0.2">
      <c r="AR172">
        <v>164</v>
      </c>
      <c r="AS172">
        <v>164</v>
      </c>
      <c r="AT172">
        <v>1</v>
      </c>
      <c r="AU172">
        <v>-6.0232871738346141</v>
      </c>
      <c r="AV172">
        <v>1.7391324430144638E-2</v>
      </c>
      <c r="CD172">
        <v>164</v>
      </c>
      <c r="CE172">
        <v>5.6156660947868051</v>
      </c>
      <c r="CF172">
        <v>5.9390721163949337E-3</v>
      </c>
      <c r="CG172" t="e">
        <v>#N/A</v>
      </c>
      <c r="CH172">
        <v>5.9390721163949337E-3</v>
      </c>
      <c r="CI172" t="str">
        <v/>
      </c>
      <c r="CK172">
        <v>164</v>
      </c>
      <c r="CL172">
        <v>9.0438884375428756</v>
      </c>
      <c r="CM172">
        <v>5.4339367955931906E-3</v>
      </c>
      <c r="CN172">
        <v>5.4339367955931906E-3</v>
      </c>
      <c r="CO172" t="e">
        <v>#N/A</v>
      </c>
      <c r="CP172" t="str">
        <v/>
      </c>
    </row>
    <row r="173" spans="44:94" x14ac:dyDescent="0.2">
      <c r="AR173">
        <v>165</v>
      </c>
      <c r="AS173">
        <v>165</v>
      </c>
      <c r="AT173">
        <v>1</v>
      </c>
      <c r="AU173">
        <v>-5.9923466425172673</v>
      </c>
      <c r="AV173">
        <v>1.7620892559809621E-2</v>
      </c>
      <c r="CD173">
        <v>165</v>
      </c>
      <c r="CE173">
        <v>5.6501180340186261</v>
      </c>
      <c r="CF173">
        <v>5.7794729975441678E-3</v>
      </c>
      <c r="CG173" t="e">
        <v>#N/A</v>
      </c>
      <c r="CH173">
        <v>5.7794729975441678E-3</v>
      </c>
      <c r="CI173" t="str">
        <v/>
      </c>
      <c r="CK173">
        <v>165</v>
      </c>
      <c r="CL173">
        <v>9.099372415687311</v>
      </c>
      <c r="CM173">
        <v>5.2852604050049193E-3</v>
      </c>
      <c r="CN173">
        <v>5.2852604050049193E-3</v>
      </c>
      <c r="CO173" t="e">
        <v>#N/A</v>
      </c>
      <c r="CP173" t="str">
        <v/>
      </c>
    </row>
    <row r="174" spans="44:94" x14ac:dyDescent="0.2">
      <c r="AR174">
        <v>166</v>
      </c>
      <c r="AS174">
        <v>166</v>
      </c>
      <c r="AT174">
        <v>1</v>
      </c>
      <c r="AU174">
        <v>-5.9614061111999215</v>
      </c>
      <c r="AV174">
        <v>1.7852569631077599E-2</v>
      </c>
      <c r="CD174">
        <v>166</v>
      </c>
      <c r="CE174">
        <v>5.6845699732504471</v>
      </c>
      <c r="CF174">
        <v>5.6244008555190687E-3</v>
      </c>
      <c r="CG174" t="e">
        <v>#N/A</v>
      </c>
      <c r="CH174">
        <v>5.6244008555190687E-3</v>
      </c>
      <c r="CI174" t="str">
        <v/>
      </c>
      <c r="CK174">
        <v>166</v>
      </c>
      <c r="CL174">
        <v>9.1548563938317447</v>
      </c>
      <c r="CM174">
        <v>5.1406519066189123E-3</v>
      </c>
      <c r="CN174">
        <v>5.1406519066189123E-3</v>
      </c>
      <c r="CO174" t="e">
        <v>#N/A</v>
      </c>
      <c r="CP174" t="str">
        <v/>
      </c>
    </row>
    <row r="175" spans="44:94" x14ac:dyDescent="0.2">
      <c r="AR175">
        <v>167</v>
      </c>
      <c r="AS175">
        <v>167</v>
      </c>
      <c r="AT175">
        <v>1</v>
      </c>
      <c r="AU175">
        <v>-5.9304655798825747</v>
      </c>
      <c r="AV175">
        <v>1.8086359301788039E-2</v>
      </c>
      <c r="CD175">
        <v>167</v>
      </c>
      <c r="CE175">
        <v>5.7190219124822681</v>
      </c>
      <c r="CF175">
        <v>5.4737205508607906E-3</v>
      </c>
      <c r="CG175" t="e">
        <v>#N/A</v>
      </c>
      <c r="CH175">
        <v>5.4737205508607906E-3</v>
      </c>
      <c r="CI175" t="str">
        <v/>
      </c>
      <c r="CK175">
        <v>167</v>
      </c>
      <c r="CL175">
        <v>9.2103403719761818</v>
      </c>
      <c r="CM175">
        <v>5.0000000000000027E-3</v>
      </c>
      <c r="CN175">
        <v>5.0000000000000027E-3</v>
      </c>
      <c r="CO175" t="e">
        <v>#N/A</v>
      </c>
      <c r="CP175" t="str">
        <v/>
      </c>
    </row>
    <row r="176" spans="44:94" x14ac:dyDescent="0.2">
      <c r="AR176">
        <v>168</v>
      </c>
      <c r="AS176">
        <v>168</v>
      </c>
      <c r="AT176">
        <v>1</v>
      </c>
      <c r="AU176">
        <v>-5.8995250485652289</v>
      </c>
      <c r="AV176">
        <v>1.8322264948552495E-2</v>
      </c>
      <c r="CD176">
        <v>168</v>
      </c>
      <c r="CE176">
        <v>5.7534738517140891</v>
      </c>
      <c r="CF176">
        <v>5.327301178683198E-3</v>
      </c>
      <c r="CG176" t="e">
        <v>#N/A</v>
      </c>
      <c r="CH176">
        <v>5.327301178683198E-3</v>
      </c>
      <c r="CI176" t="str">
        <v/>
      </c>
      <c r="CK176">
        <v>168</v>
      </c>
      <c r="CL176">
        <v>9.2658243501206172</v>
      </c>
      <c r="CM176">
        <v>4.8631964299724268E-3</v>
      </c>
      <c r="CN176">
        <v>4.8631964299724268E-3</v>
      </c>
      <c r="CO176" t="e">
        <v>#N/A</v>
      </c>
      <c r="CP176" t="str">
        <v/>
      </c>
    </row>
    <row r="177" spans="44:94" x14ac:dyDescent="0.2">
      <c r="AR177">
        <v>169</v>
      </c>
      <c r="AS177">
        <v>169</v>
      </c>
      <c r="AT177">
        <v>1</v>
      </c>
      <c r="AU177">
        <v>-5.868584517247883</v>
      </c>
      <c r="AV177">
        <v>1.8560289662370315E-2</v>
      </c>
      <c r="CD177">
        <v>169</v>
      </c>
      <c r="CE177">
        <v>5.7879257909459101</v>
      </c>
      <c r="CF177">
        <v>5.1850159297233767E-3</v>
      </c>
      <c r="CG177" t="e">
        <v>#N/A</v>
      </c>
      <c r="CH177">
        <v>5.1850159297233767E-3</v>
      </c>
      <c r="CI177" t="str">
        <v/>
      </c>
      <c r="CK177">
        <v>169</v>
      </c>
      <c r="CL177">
        <v>9.3213083282650508</v>
      </c>
      <c r="CM177">
        <v>4.7301359032993137E-3</v>
      </c>
      <c r="CN177">
        <v>4.7301359032993137E-3</v>
      </c>
      <c r="CO177" t="e">
        <v>#N/A</v>
      </c>
      <c r="CP177" t="str">
        <v/>
      </c>
    </row>
    <row r="178" spans="44:94" x14ac:dyDescent="0.2">
      <c r="AR178">
        <v>170</v>
      </c>
      <c r="AS178">
        <v>170</v>
      </c>
      <c r="AT178">
        <v>1</v>
      </c>
      <c r="AU178">
        <v>-5.8376439859305362</v>
      </c>
      <c r="AV178">
        <v>1.8800436244261115E-2</v>
      </c>
      <c r="CD178">
        <v>170</v>
      </c>
      <c r="CE178">
        <v>5.8223777301777311</v>
      </c>
      <c r="CF178">
        <v>5.0467419561563013E-3</v>
      </c>
      <c r="CG178" t="e">
        <v>#N/A</v>
      </c>
      <c r="CH178">
        <v>5.0467419561563013E-3</v>
      </c>
      <c r="CI178" t="str">
        <v/>
      </c>
      <c r="CK178">
        <v>170</v>
      </c>
      <c r="CL178">
        <v>9.3767923064094862</v>
      </c>
      <c r="CM178">
        <v>4.6007160076419222E-3</v>
      </c>
      <c r="CN178">
        <v>4.6007160076419222E-3</v>
      </c>
      <c r="CO178" t="e">
        <v>#N/A</v>
      </c>
      <c r="CP178" t="str">
        <v/>
      </c>
    </row>
    <row r="179" spans="44:94" x14ac:dyDescent="0.2">
      <c r="AR179">
        <v>171</v>
      </c>
      <c r="AS179">
        <v>171</v>
      </c>
      <c r="AT179">
        <v>1</v>
      </c>
      <c r="AU179">
        <v>-5.8067034546131904</v>
      </c>
      <c r="AV179">
        <v>1.9042707200915724E-2</v>
      </c>
      <c r="CD179">
        <v>171</v>
      </c>
      <c r="CE179">
        <v>5.8568296694095521</v>
      </c>
      <c r="CF179">
        <v>4.9123602420033151E-3</v>
      </c>
      <c r="CG179" t="e">
        <v>#N/A</v>
      </c>
      <c r="CH179">
        <v>4.9123602420033151E-3</v>
      </c>
      <c r="CI179" t="str">
        <v/>
      </c>
      <c r="CK179">
        <v>171</v>
      </c>
      <c r="CL179">
        <v>9.4322762845539216</v>
      </c>
      <c r="CM179">
        <v>4.4748371327362358E-3</v>
      </c>
      <c r="CN179">
        <v>4.4748371327362358E-3</v>
      </c>
      <c r="CO179" t="e">
        <v>#N/A</v>
      </c>
      <c r="CP179" t="str">
        <v/>
      </c>
    </row>
    <row r="180" spans="44:94" x14ac:dyDescent="0.2">
      <c r="AR180">
        <v>172</v>
      </c>
      <c r="AS180">
        <v>172</v>
      </c>
      <c r="AT180">
        <v>1</v>
      </c>
      <c r="AU180">
        <v>-5.7757629232958436</v>
      </c>
      <c r="AV180">
        <v>1.928710474036727E-2</v>
      </c>
      <c r="CD180">
        <v>172</v>
      </c>
      <c r="CE180">
        <v>5.8912816086413722</v>
      </c>
      <c r="CF180">
        <v>4.781755477970372E-3</v>
      </c>
      <c r="CG180" t="e">
        <v>#N/A</v>
      </c>
      <c r="CH180">
        <v>4.781755477970372E-3</v>
      </c>
      <c r="CI180" t="str">
        <v/>
      </c>
      <c r="CK180">
        <v>172</v>
      </c>
      <c r="CL180">
        <v>9.4877602626983553</v>
      </c>
      <c r="CM180">
        <v>4.3524023937261853E-3</v>
      </c>
      <c r="CN180">
        <v>4.3524023937261853E-3</v>
      </c>
      <c r="CO180" t="e">
        <v>#N/A</v>
      </c>
      <c r="CP180" t="str">
        <v/>
      </c>
    </row>
    <row r="181" spans="44:94" x14ac:dyDescent="0.2">
      <c r="AR181">
        <v>173</v>
      </c>
      <c r="AS181">
        <v>173</v>
      </c>
      <c r="AT181">
        <v>1</v>
      </c>
      <c r="AU181">
        <v>-5.7448223919784978</v>
      </c>
      <c r="AV181">
        <v>1.9533630767683819E-2</v>
      </c>
      <c r="CD181">
        <v>173</v>
      </c>
      <c r="CE181">
        <v>5.9257335478731932</v>
      </c>
      <c r="CF181">
        <v>4.6548159405581579E-3</v>
      </c>
      <c r="CG181" t="e">
        <v>#N/A</v>
      </c>
      <c r="CH181">
        <v>4.6548159405581579E-3</v>
      </c>
      <c r="CI181" t="str">
        <v/>
      </c>
      <c r="CK181">
        <v>173</v>
      </c>
      <c r="CL181">
        <v>9.5432442408427907</v>
      </c>
      <c r="CM181">
        <v>4.2333175565945243E-3</v>
      </c>
      <c r="CN181">
        <v>4.2333175565945243E-3</v>
      </c>
      <c r="CO181" t="e">
        <v>#N/A</v>
      </c>
      <c r="CP181" t="str">
        <v/>
      </c>
    </row>
    <row r="182" spans="44:94" x14ac:dyDescent="0.2">
      <c r="AR182">
        <v>174</v>
      </c>
      <c r="AS182">
        <v>174</v>
      </c>
      <c r="AT182">
        <v>1</v>
      </c>
      <c r="AU182">
        <v>-5.713881860661151</v>
      </c>
      <c r="AV182">
        <v>1.9782286880684379E-2</v>
      </c>
      <c r="CD182">
        <v>174</v>
      </c>
      <c r="CE182">
        <v>5.9601854871050142</v>
      </c>
      <c r="CF182">
        <v>4.5314333752920453E-3</v>
      </c>
      <c r="CG182" t="e">
        <v>#N/A</v>
      </c>
      <c r="CH182">
        <v>4.5314333752920453E-3</v>
      </c>
      <c r="CI182" t="str">
        <v/>
      </c>
      <c r="CK182">
        <v>174</v>
      </c>
      <c r="CL182">
        <v>9.5987282189872243</v>
      </c>
      <c r="CM182">
        <v>4.1174909656340195E-3</v>
      </c>
      <c r="CN182">
        <v>4.1174909656340195E-3</v>
      </c>
      <c r="CO182" t="e">
        <v>#N/A</v>
      </c>
      <c r="CP182" t="str">
        <v/>
      </c>
    </row>
    <row r="183" spans="44:94" x14ac:dyDescent="0.2">
      <c r="AR183">
        <v>175</v>
      </c>
      <c r="AS183">
        <v>175</v>
      </c>
      <c r="AT183">
        <v>1</v>
      </c>
      <c r="AU183">
        <v>-5.6829413293438051</v>
      </c>
      <c r="AV183">
        <v>2.0033074365679762E-2</v>
      </c>
      <c r="CD183">
        <v>175</v>
      </c>
      <c r="CE183">
        <v>5.9946374263368343</v>
      </c>
      <c r="CF183">
        <v>4.411502883925454E-3</v>
      </c>
      <c r="CG183" t="e">
        <v>#N/A</v>
      </c>
      <c r="CH183">
        <v>4.411502883925454E-3</v>
      </c>
      <c r="CI183" t="str">
        <v/>
      </c>
      <c r="CK183">
        <v>175</v>
      </c>
      <c r="CL183">
        <v>9.6542121971316597</v>
      </c>
      <c r="CM183">
        <v>4.0048334729030147E-3</v>
      </c>
      <c r="CN183">
        <v>4.0048334729030147E-3</v>
      </c>
      <c r="CO183" t="e">
        <v>#N/A</v>
      </c>
      <c r="CP183" t="str">
        <v/>
      </c>
    </row>
    <row r="184" spans="44:94" x14ac:dyDescent="0.2">
      <c r="AR184">
        <v>176</v>
      </c>
      <c r="AS184">
        <v>176</v>
      </c>
      <c r="AT184">
        <v>1</v>
      </c>
      <c r="AU184">
        <v>-5.6520007980264584</v>
      </c>
      <c r="AV184">
        <v>2.0285994193240085E-2</v>
      </c>
      <c r="CD184">
        <v>176</v>
      </c>
      <c r="CE184">
        <v>6.0290893655686553</v>
      </c>
      <c r="CF184">
        <v>4.2949228154755955E-3</v>
      </c>
      <c r="CG184" t="e">
        <v>#N/A</v>
      </c>
      <c r="CH184">
        <v>4.2949228154755955E-3</v>
      </c>
      <c r="CI184">
        <v>6.0289999999999999</v>
      </c>
      <c r="CK184">
        <v>176</v>
      </c>
      <c r="CL184">
        <v>9.7096961752760951</v>
      </c>
      <c r="CM184">
        <v>3.8952583696112019E-3</v>
      </c>
      <c r="CN184">
        <v>3.8952583696112019E-3</v>
      </c>
      <c r="CO184" t="e">
        <v>#N/A</v>
      </c>
      <c r="CP184">
        <v>9.7100000000000009</v>
      </c>
    </row>
    <row r="185" spans="44:94" x14ac:dyDescent="0.2">
      <c r="AR185">
        <v>177</v>
      </c>
      <c r="AS185">
        <v>177</v>
      </c>
      <c r="AT185">
        <v>1</v>
      </c>
      <c r="AU185">
        <v>-5.6210602667091125</v>
      </c>
      <c r="AV185">
        <v>2.0541047013990395E-2</v>
      </c>
      <c r="CD185">
        <v>177</v>
      </c>
      <c r="CE185">
        <v>6.0635413048004763</v>
      </c>
      <c r="CF185">
        <v>4.1815946609558589E-3</v>
      </c>
      <c r="CG185" t="e">
        <v>#N/A</v>
      </c>
      <c r="CH185">
        <v>4.1815946609558589E-3</v>
      </c>
      <c r="CI185" t="str">
        <v/>
      </c>
      <c r="CK185">
        <v>177</v>
      </c>
      <c r="CL185">
        <v>9.7651801534205287</v>
      </c>
      <c r="CM185">
        <v>3.7886813193826851E-3</v>
      </c>
      <c r="CN185">
        <v>3.7886813193826851E-3</v>
      </c>
      <c r="CO185" t="e">
        <v>#N/A</v>
      </c>
      <c r="CP185" t="str">
        <v/>
      </c>
    </row>
    <row r="186" spans="44:94" x14ac:dyDescent="0.2">
      <c r="AR186">
        <v>178</v>
      </c>
      <c r="AS186">
        <v>178</v>
      </c>
      <c r="AT186">
        <v>1</v>
      </c>
      <c r="AU186">
        <v>-5.5901197353917658</v>
      </c>
      <c r="AV186">
        <v>2.0798233154436345E-2</v>
      </c>
      <c r="CD186">
        <v>178</v>
      </c>
      <c r="CE186">
        <v>6.0979932440322973</v>
      </c>
      <c r="CF186">
        <v>4.0714229516739999E-3</v>
      </c>
      <c r="CG186" t="e">
        <v>#N/A</v>
      </c>
      <c r="CH186">
        <v>4.0714229516739999E-3</v>
      </c>
      <c r="CI186" t="str">
        <v/>
      </c>
      <c r="CK186">
        <v>178</v>
      </c>
      <c r="CL186">
        <v>9.8206641315649641</v>
      </c>
      <c r="CM186">
        <v>3.6850202933450173E-3</v>
      </c>
      <c r="CN186">
        <v>3.6850202933450173E-3</v>
      </c>
      <c r="CO186" t="e">
        <v>#N/A</v>
      </c>
      <c r="CP186" t="str">
        <v/>
      </c>
    </row>
    <row r="187" spans="44:94" x14ac:dyDescent="0.2">
      <c r="AR187">
        <v>179</v>
      </c>
      <c r="AS187">
        <v>179</v>
      </c>
      <c r="AT187">
        <v>1</v>
      </c>
      <c r="AU187">
        <v>-5.5591792040744199</v>
      </c>
      <c r="AV187">
        <v>2.1057552612821207E-2</v>
      </c>
      <c r="CD187">
        <v>179</v>
      </c>
      <c r="CE187">
        <v>6.1324451832641182</v>
      </c>
      <c r="CF187">
        <v>3.9643151609702306E-3</v>
      </c>
      <c r="CG187" t="e">
        <v>#N/A</v>
      </c>
      <c r="CH187">
        <v>3.9643151609702306E-3</v>
      </c>
      <c r="CI187" t="str">
        <v/>
      </c>
      <c r="CK187">
        <v>179</v>
      </c>
      <c r="CL187">
        <v>9.8761481097093995</v>
      </c>
      <c r="CM187">
        <v>3.5841955069942856E-3</v>
      </c>
      <c r="CN187">
        <v>3.5841955069942856E-3</v>
      </c>
      <c r="CO187" t="e">
        <v>#N/A</v>
      </c>
      <c r="CP187" t="str">
        <v/>
      </c>
    </row>
    <row r="188" spans="44:94" x14ac:dyDescent="0.2">
      <c r="AR188">
        <v>180</v>
      </c>
      <c r="AS188">
        <v>180</v>
      </c>
      <c r="AT188">
        <v>1</v>
      </c>
      <c r="AU188">
        <v>-5.5282386727570731</v>
      </c>
      <c r="AV188">
        <v>2.1319005055016351E-2</v>
      </c>
      <c r="CD188">
        <v>180</v>
      </c>
      <c r="CE188">
        <v>6.1668971224959392</v>
      </c>
      <c r="CF188">
        <v>3.8601816092737528E-3</v>
      </c>
      <c r="CG188" t="e">
        <v>#N/A</v>
      </c>
      <c r="CH188">
        <v>3.8601816092737528E-3</v>
      </c>
      <c r="CI188" t="str">
        <v/>
      </c>
      <c r="CK188">
        <v>180</v>
      </c>
      <c r="CL188">
        <v>9.9316320878538331</v>
      </c>
      <c r="CM188">
        <v>3.4861293587875658E-3</v>
      </c>
      <c r="CN188">
        <v>3.4861293587875658E-3</v>
      </c>
      <c r="CO188" t="e">
        <v>#N/A</v>
      </c>
      <c r="CP188" t="str">
        <v/>
      </c>
    </row>
    <row r="189" spans="44:94" x14ac:dyDescent="0.2">
      <c r="AR189">
        <v>181</v>
      </c>
      <c r="AS189">
        <v>181</v>
      </c>
      <c r="AT189">
        <v>1</v>
      </c>
      <c r="AU189">
        <v>-5.4972981414397273</v>
      </c>
      <c r="AV189">
        <v>2.1582589810446553E-2</v>
      </c>
      <c r="CD189">
        <v>181</v>
      </c>
      <c r="CE189">
        <v>6.2013490617277602</v>
      </c>
      <c r="CF189">
        <v>3.7589353723610675E-3</v>
      </c>
      <c r="CG189" t="e">
        <v>#N/A</v>
      </c>
      <c r="CH189">
        <v>3.7589353723610675E-3</v>
      </c>
      <c r="CI189" t="str">
        <v/>
      </c>
      <c r="CK189">
        <v>181</v>
      </c>
      <c r="CL189">
        <v>9.9871160659982685</v>
      </c>
      <c r="CM189">
        <v>3.3907463704155498E-3</v>
      </c>
      <c r="CN189">
        <v>3.3907463704155498E-3</v>
      </c>
      <c r="CO189" t="e">
        <v>#N/A</v>
      </c>
      <c r="CP189" t="str">
        <v/>
      </c>
    </row>
    <row r="190" spans="44:94" x14ac:dyDescent="0.2">
      <c r="AR190">
        <v>182</v>
      </c>
      <c r="AS190">
        <v>182</v>
      </c>
      <c r="AT190">
        <v>1</v>
      </c>
      <c r="AU190">
        <v>-5.4663576101223814</v>
      </c>
      <c r="AV190">
        <v>2.1848305868052052E-2</v>
      </c>
      <c r="CD190">
        <v>182</v>
      </c>
      <c r="CE190">
        <v>6.2358010009595812</v>
      </c>
      <c r="CF190">
        <v>3.6604921927032184E-3</v>
      </c>
      <c r="CG190" t="e">
        <v>#N/A</v>
      </c>
      <c r="CH190">
        <v>3.6604921927032184E-3</v>
      </c>
      <c r="CI190" t="str">
        <v/>
      </c>
      <c r="CK190">
        <v>182</v>
      </c>
      <c r="CL190">
        <v>10.042600044142702</v>
      </c>
      <c r="CM190">
        <v>3.2979731287093752E-3</v>
      </c>
      <c r="CN190">
        <v>3.2979731287093752E-3</v>
      </c>
      <c r="CO190" t="e">
        <v>#N/A</v>
      </c>
      <c r="CP190" t="str">
        <v/>
      </c>
    </row>
    <row r="191" spans="44:94" x14ac:dyDescent="0.2">
      <c r="AR191">
        <v>183</v>
      </c>
      <c r="AS191">
        <v>183</v>
      </c>
      <c r="AT191">
        <v>1</v>
      </c>
      <c r="AU191">
        <v>-5.4354170788050347</v>
      </c>
      <c r="AV191">
        <v>2.2116151872288888E-2</v>
      </c>
      <c r="CD191">
        <v>183</v>
      </c>
      <c r="CE191">
        <v>6.2702529401914022</v>
      </c>
      <c r="CF191">
        <v>3.564770393793641E-3</v>
      </c>
      <c r="CG191" t="e">
        <v>#N/A</v>
      </c>
      <c r="CH191">
        <v>3.564770393793641E-3</v>
      </c>
      <c r="CI191" t="str">
        <v/>
      </c>
      <c r="CK191">
        <v>183</v>
      </c>
      <c r="CL191">
        <v>10.098084022287138</v>
      </c>
      <c r="CM191">
        <v>3.2077382291368843E-3</v>
      </c>
      <c r="CN191">
        <v>3.2077382291368843E-3</v>
      </c>
      <c r="CO191" t="e">
        <v>#N/A</v>
      </c>
      <c r="CP191" t="str">
        <v/>
      </c>
    </row>
    <row r="192" spans="44:94" x14ac:dyDescent="0.2">
      <c r="AR192">
        <v>184</v>
      </c>
      <c r="AS192">
        <v>184</v>
      </c>
      <c r="AT192">
        <v>1</v>
      </c>
      <c r="AU192">
        <v>-5.4044765474876888</v>
      </c>
      <c r="AV192">
        <v>2.2386126119169347E-2</v>
      </c>
      <c r="CD192">
        <v>184</v>
      </c>
      <c r="CE192">
        <v>6.3047048794232232</v>
      </c>
      <c r="CF192">
        <v>3.4716907973521898E-3</v>
      </c>
      <c r="CG192" t="e">
        <v>#N/A</v>
      </c>
      <c r="CH192">
        <v>3.4716907973521898E-3</v>
      </c>
      <c r="CI192" t="str">
        <v/>
      </c>
      <c r="CK192">
        <v>184</v>
      </c>
      <c r="CL192">
        <v>10.153568000431575</v>
      </c>
      <c r="CM192">
        <v>3.1199722208449096E-3</v>
      </c>
      <c r="CN192">
        <v>3.1199722208449096E-3</v>
      </c>
      <c r="CO192" t="e">
        <v>#N/A</v>
      </c>
      <c r="CP192" t="str">
        <v/>
      </c>
    </row>
    <row r="193" spans="44:94" x14ac:dyDescent="0.2">
      <c r="AR193">
        <v>185</v>
      </c>
      <c r="AS193">
        <v>185</v>
      </c>
      <c r="AT193">
        <v>1</v>
      </c>
      <c r="AU193">
        <v>-5.373536016170342</v>
      </c>
      <c r="AV193">
        <v>2.2658226552344337E-2</v>
      </c>
      <c r="CD193">
        <v>185</v>
      </c>
      <c r="CE193">
        <v>6.3391568186550442</v>
      </c>
      <c r="CF193">
        <v>3.3811766433043899E-3</v>
      </c>
      <c r="CG193" t="e">
        <v>#N/A</v>
      </c>
      <c r="CH193">
        <v>3.3811766433043899E-3</v>
      </c>
      <c r="CI193" t="str">
        <v/>
      </c>
      <c r="CK193">
        <v>185</v>
      </c>
      <c r="CL193">
        <v>10.209051978576008</v>
      </c>
      <c r="CM193">
        <v>3.0346075532052229E-3</v>
      </c>
      <c r="CN193">
        <v>3.0346075532052229E-3</v>
      </c>
      <c r="CO193" t="e">
        <v>#N/A</v>
      </c>
      <c r="CP193" t="str">
        <v/>
      </c>
    </row>
    <row r="194" spans="44:94" x14ac:dyDescent="0.2">
      <c r="AR194">
        <v>186</v>
      </c>
      <c r="AS194">
        <v>186</v>
      </c>
      <c r="AT194">
        <v>1</v>
      </c>
      <c r="AU194">
        <v>-5.3425954848529962</v>
      </c>
      <c r="AV194">
        <v>2.2932450759229131E-2</v>
      </c>
      <c r="CD194">
        <v>186</v>
      </c>
      <c r="CE194">
        <v>6.3736087578868652</v>
      </c>
      <c r="CF194">
        <v>3.2931535124391597E-3</v>
      </c>
      <c r="CG194" t="e">
        <v>#N/A</v>
      </c>
      <c r="CH194">
        <v>3.2931535124391597E-3</v>
      </c>
      <c r="CI194" t="str">
        <v/>
      </c>
      <c r="CK194">
        <v>186</v>
      </c>
      <c r="CL194">
        <v>10.264535956720444</v>
      </c>
      <c r="CM194">
        <v>2.9515785238229987E-3</v>
      </c>
      <c r="CN194">
        <v>2.9515785238229987E-3</v>
      </c>
      <c r="CO194" t="e">
        <v>#N/A</v>
      </c>
      <c r="CP194" t="str">
        <v/>
      </c>
    </row>
    <row r="195" spans="44:94" x14ac:dyDescent="0.2">
      <c r="AR195">
        <v>187</v>
      </c>
      <c r="AS195">
        <v>187</v>
      </c>
      <c r="AT195">
        <v>1</v>
      </c>
      <c r="AU195">
        <v>-5.3116549535356494</v>
      </c>
      <c r="AV195">
        <v>2.3208795967174584E-2</v>
      </c>
      <c r="CD195">
        <v>187</v>
      </c>
      <c r="CE195">
        <v>6.4080606971186862</v>
      </c>
      <c r="CF195">
        <v>3.2075492516513782E-3</v>
      </c>
      <c r="CG195" t="e">
        <v>#N/A</v>
      </c>
      <c r="CH195">
        <v>3.2075492516513782E-3</v>
      </c>
      <c r="CI195" t="str">
        <v/>
      </c>
      <c r="CK195">
        <v>187</v>
      </c>
      <c r="CL195">
        <v>10.320019934864879</v>
      </c>
      <c r="CM195">
        <v>2.8708212279678581E-3</v>
      </c>
      <c r="CN195">
        <v>2.8708212279678581E-3</v>
      </c>
      <c r="CO195" t="e">
        <v>#N/A</v>
      </c>
      <c r="CP195" t="str">
        <v/>
      </c>
    </row>
    <row r="196" spans="44:94" x14ac:dyDescent="0.2">
      <c r="AR196">
        <v>188</v>
      </c>
      <c r="AS196">
        <v>188</v>
      </c>
      <c r="AT196">
        <v>1</v>
      </c>
      <c r="AU196">
        <v>-5.2807144222183036</v>
      </c>
      <c r="AV196">
        <v>2.3487259039685206E-2</v>
      </c>
      <c r="CD196">
        <v>188</v>
      </c>
      <c r="CE196">
        <v>6.4425126363505063</v>
      </c>
      <c r="CF196">
        <v>3.1242939016791422E-3</v>
      </c>
      <c r="CG196" t="e">
        <v>#N/A</v>
      </c>
      <c r="CH196">
        <v>3.1242939016791422E-3</v>
      </c>
      <c r="CI196" t="str">
        <v/>
      </c>
      <c r="CK196">
        <v>188</v>
      </c>
      <c r="CL196">
        <v>10.375503913009313</v>
      </c>
      <c r="CM196">
        <v>2.7922735093884698E-3</v>
      </c>
      <c r="CN196">
        <v>2.7922735093884698E-3</v>
      </c>
      <c r="CO196" t="e">
        <v>#N/A</v>
      </c>
      <c r="CP196" t="str">
        <v/>
      </c>
    </row>
    <row r="197" spans="44:94" x14ac:dyDescent="0.2">
      <c r="AR197">
        <v>189</v>
      </c>
      <c r="AS197">
        <v>189</v>
      </c>
      <c r="AT197">
        <v>1</v>
      </c>
      <c r="AU197">
        <v>-5.2497738909009568</v>
      </c>
      <c r="AV197">
        <v>2.3767836472686238E-2</v>
      </c>
      <c r="CD197">
        <v>189</v>
      </c>
      <c r="CE197">
        <v>6.4769645755823273</v>
      </c>
      <c r="CF197">
        <v>3.0433196272491325E-3</v>
      </c>
      <c r="CG197" t="e">
        <v>#N/A</v>
      </c>
      <c r="CH197">
        <v>3.0433196272491325E-3</v>
      </c>
      <c r="CI197" t="str">
        <v/>
      </c>
      <c r="CK197">
        <v>189</v>
      </c>
      <c r="CL197">
        <v>10.430987891153748</v>
      </c>
      <c r="CM197">
        <v>2.7158749124729163E-3</v>
      </c>
      <c r="CN197">
        <v>2.7158749124729163E-3</v>
      </c>
      <c r="CO197" t="e">
        <v>#N/A</v>
      </c>
      <c r="CP197" t="str">
        <v/>
      </c>
    </row>
    <row r="198" spans="44:94" x14ac:dyDescent="0.2">
      <c r="AR198">
        <v>190</v>
      </c>
      <c r="AS198">
        <v>190</v>
      </c>
      <c r="AT198">
        <v>1</v>
      </c>
      <c r="AU198">
        <v>-5.2188333595836109</v>
      </c>
      <c r="AV198">
        <v>2.4050524390840999E-2</v>
      </c>
      <c r="CD198">
        <v>190</v>
      </c>
      <c r="CE198">
        <v>6.5114165148141483</v>
      </c>
      <c r="CF198">
        <v>2.9645606495461115E-3</v>
      </c>
      <c r="CG198" t="e">
        <v>#N/A</v>
      </c>
      <c r="CH198">
        <v>2.9645606495461115E-3</v>
      </c>
      <c r="CI198" t="str">
        <v/>
      </c>
      <c r="CK198">
        <v>190</v>
      </c>
      <c r="CL198">
        <v>10.486471869298182</v>
      </c>
      <c r="CM198">
        <v>2.641566635717994E-3</v>
      </c>
      <c r="CN198">
        <v>2.641566635717994E-3</v>
      </c>
      <c r="CO198" t="e">
        <v>#N/A</v>
      </c>
      <c r="CP198" t="str">
        <v/>
      </c>
    </row>
    <row r="199" spans="44:94" x14ac:dyDescent="0.2">
      <c r="AR199">
        <v>191</v>
      </c>
      <c r="AS199">
        <v>191</v>
      </c>
      <c r="AT199">
        <v>1</v>
      </c>
      <c r="AU199">
        <v>-5.1878928282662642</v>
      </c>
      <c r="AV199">
        <v>2.4335318543920736E-2</v>
      </c>
      <c r="CD199">
        <v>191</v>
      </c>
      <c r="CE199">
        <v>6.5458684540459693</v>
      </c>
      <c r="CF199">
        <v>2.8879531809260467E-3</v>
      </c>
      <c r="CG199" t="e">
        <v>#N/A</v>
      </c>
      <c r="CH199">
        <v>2.8879531809260467E-3</v>
      </c>
      <c r="CI199" t="str">
        <v/>
      </c>
      <c r="CK199">
        <v>191</v>
      </c>
      <c r="CL199">
        <v>10.541955847442617</v>
      </c>
      <c r="CM199">
        <v>2.5692914864716035E-3</v>
      </c>
      <c r="CN199">
        <v>2.5692914864716035E-3</v>
      </c>
      <c r="CO199" t="e">
        <v>#N/A</v>
      </c>
      <c r="CP199" t="str">
        <v/>
      </c>
    </row>
    <row r="200" spans="44:94" x14ac:dyDescent="0.2">
      <c r="AR200">
        <v>192</v>
      </c>
      <c r="AS200">
        <v>192</v>
      </c>
      <c r="AT200">
        <v>1</v>
      </c>
      <c r="AU200">
        <v>-5.1569522969489183</v>
      </c>
      <c r="AV200">
        <v>2.4622214303228362E-2</v>
      </c>
      <c r="CD200">
        <v>192</v>
      </c>
      <c r="CE200">
        <v>6.5803203932777903</v>
      </c>
      <c r="CF200">
        <v>2.8134353617951997E-3</v>
      </c>
      <c r="CG200" t="e">
        <v>#N/A</v>
      </c>
      <c r="CH200">
        <v>2.8134353617951997E-3</v>
      </c>
      <c r="CI200" t="str">
        <v/>
      </c>
      <c r="CK200">
        <v>192</v>
      </c>
      <c r="CL200">
        <v>10.597439825587053</v>
      </c>
      <c r="CM200">
        <v>2.4989938369134488E-3</v>
      </c>
      <c r="CN200">
        <v>2.4989938369134488E-3</v>
      </c>
      <c r="CO200" t="e">
        <v>#N/A</v>
      </c>
      <c r="CP200" t="str">
        <v/>
      </c>
    </row>
    <row r="201" spans="44:94" x14ac:dyDescent="0.2">
      <c r="AR201">
        <v>193</v>
      </c>
      <c r="AS201">
        <v>193</v>
      </c>
      <c r="AT201">
        <v>1</v>
      </c>
      <c r="AU201">
        <v>-5.1260117656315725</v>
      </c>
      <c r="AV201">
        <v>2.4911206658078153E-2</v>
      </c>
      <c r="CD201">
        <v>193</v>
      </c>
      <c r="CE201">
        <v>6.6147723325096113</v>
      </c>
      <c r="CF201">
        <v>2.7409471995800765E-3</v>
      </c>
      <c r="CG201" t="e">
        <v>#N/A</v>
      </c>
      <c r="CH201">
        <v>2.7409471995800765E-3</v>
      </c>
      <c r="CI201" t="str">
        <v/>
      </c>
      <c r="CK201">
        <v>193</v>
      </c>
      <c r="CL201">
        <v>10.652923803731486</v>
      </c>
      <c r="CM201">
        <v>2.4306195812401174E-3</v>
      </c>
      <c r="CN201">
        <v>2.4306195812401174E-3</v>
      </c>
      <c r="CO201" t="e">
        <v>#N/A</v>
      </c>
      <c r="CP201" t="str">
        <v/>
      </c>
    </row>
    <row r="202" spans="44:94" x14ac:dyDescent="0.2">
      <c r="AR202">
        <v>194</v>
      </c>
      <c r="AS202">
        <v>194</v>
      </c>
      <c r="AT202">
        <v>1</v>
      </c>
      <c r="AU202">
        <v>-5.0950712343142257</v>
      </c>
      <c r="AV202">
        <v>2.5202290212332813E-2</v>
      </c>
      <c r="CD202">
        <v>194</v>
      </c>
      <c r="CE202">
        <v>6.6492242717414314</v>
      </c>
      <c r="CF202">
        <v>2.6704305097160676E-3</v>
      </c>
      <c r="CG202" t="e">
        <v>#N/A</v>
      </c>
      <c r="CH202">
        <v>2.6704305097160676E-3</v>
      </c>
      <c r="CI202" t="str">
        <v/>
      </c>
      <c r="CK202">
        <v>194</v>
      </c>
      <c r="CL202">
        <v>10.708407781875922</v>
      </c>
      <c r="CM202">
        <v>2.364116094021602E-3</v>
      </c>
      <c r="CN202">
        <v>2.364116094021602E-3</v>
      </c>
      <c r="CO202" t="e">
        <v>#N/A</v>
      </c>
      <c r="CP202" t="str">
        <v/>
      </c>
    </row>
    <row r="203" spans="44:94" x14ac:dyDescent="0.2">
      <c r="AR203">
        <v>195</v>
      </c>
      <c r="AS203">
        <v>195</v>
      </c>
      <c r="AT203">
        <v>1</v>
      </c>
      <c r="AU203">
        <v>-5.0641307029968798</v>
      </c>
      <c r="AV203">
        <v>2.5495459180999991E-2</v>
      </c>
      <c r="CD203">
        <v>195</v>
      </c>
      <c r="CE203">
        <v>6.6836762109732524</v>
      </c>
      <c r="CF203">
        <v>2.601828858585245E-3</v>
      </c>
      <c r="CG203" t="e">
        <v>#N/A</v>
      </c>
      <c r="CH203">
        <v>2.601828858585245E-3</v>
      </c>
      <c r="CI203" t="str">
        <v/>
      </c>
      <c r="CK203">
        <v>195</v>
      </c>
      <c r="CL203">
        <v>10.763891760020355</v>
      </c>
      <c r="CM203">
        <v>2.2994321896972437E-3</v>
      </c>
      <c r="CN203">
        <v>2.2994321896972437E-3</v>
      </c>
      <c r="CO203" t="e">
        <v>#N/A</v>
      </c>
      <c r="CP203" t="str">
        <v/>
      </c>
    </row>
    <row r="204" spans="44:94" x14ac:dyDescent="0.2">
      <c r="AR204">
        <v>196</v>
      </c>
      <c r="AS204">
        <v>196</v>
      </c>
      <c r="AT204">
        <v>1</v>
      </c>
      <c r="AU204">
        <v>-5.0331901716795331</v>
      </c>
      <c r="AV204">
        <v>2.5790707386889808E-2</v>
      </c>
      <c r="CD204">
        <v>196</v>
      </c>
      <c r="CE204">
        <v>6.7181281502050734</v>
      </c>
      <c r="CF204">
        <v>2.5350875083360027E-3</v>
      </c>
      <c r="CG204" t="e">
        <v>#N/A</v>
      </c>
      <c r="CH204">
        <v>2.5350875083360027E-3</v>
      </c>
      <c r="CI204" t="str">
        <v/>
      </c>
      <c r="CK204">
        <v>196</v>
      </c>
      <c r="CL204">
        <v>10.819375738164791</v>
      </c>
      <c r="CM204">
        <v>2.2365180831798626E-3</v>
      </c>
      <c r="CN204">
        <v>2.2365180831798626E-3</v>
      </c>
      <c r="CO204" t="e">
        <v>#N/A</v>
      </c>
      <c r="CP204" t="str">
        <v/>
      </c>
    </row>
    <row r="205" spans="44:94" x14ac:dyDescent="0.2">
      <c r="AR205">
        <v>197</v>
      </c>
      <c r="AS205">
        <v>197</v>
      </c>
      <c r="AT205">
        <v>1</v>
      </c>
      <c r="AU205">
        <v>-5.0022496403621872</v>
      </c>
      <c r="AV205">
        <v>2.6088028257335184E-2</v>
      </c>
      <c r="CD205">
        <v>197</v>
      </c>
      <c r="CE205">
        <v>6.7525800894368944</v>
      </c>
      <c r="CF205">
        <v>2.4701533635199044E-3</v>
      </c>
      <c r="CG205" t="e">
        <v>#N/A</v>
      </c>
      <c r="CH205">
        <v>2.4701533635199044E-3</v>
      </c>
      <c r="CI205" t="str">
        <v/>
      </c>
      <c r="CK205">
        <v>197</v>
      </c>
      <c r="CL205">
        <v>10.874859716309226</v>
      </c>
      <c r="CM205">
        <v>2.1753253515378154E-3</v>
      </c>
      <c r="CN205">
        <v>2.1753253515378154E-3</v>
      </c>
      <c r="CO205" t="e">
        <v>#N/A</v>
      </c>
      <c r="CP205" t="str">
        <v/>
      </c>
    </row>
    <row r="206" spans="44:94" x14ac:dyDescent="0.2">
      <c r="AR206">
        <v>198</v>
      </c>
      <c r="AS206">
        <v>198</v>
      </c>
      <c r="AT206">
        <v>1</v>
      </c>
      <c r="AU206">
        <v>-4.9713091090448405</v>
      </c>
      <c r="AV206">
        <v>2.6387414820976837E-2</v>
      </c>
      <c r="CD206">
        <v>198</v>
      </c>
      <c r="CE206">
        <v>6.7870320286687154</v>
      </c>
      <c r="CF206">
        <v>2.4069749194833745E-3</v>
      </c>
      <c r="CG206" t="e">
        <v>#N/A</v>
      </c>
      <c r="CH206">
        <v>2.4069749194833745E-3</v>
      </c>
      <c r="CI206" t="str">
        <v/>
      </c>
      <c r="CK206">
        <v>198</v>
      </c>
      <c r="CL206">
        <v>10.93034369445366</v>
      </c>
      <c r="CM206">
        <v>2.1158068967254448E-3</v>
      </c>
      <c r="CN206">
        <v>2.1158068967254448E-3</v>
      </c>
      <c r="CO206" t="e">
        <v>#N/A</v>
      </c>
      <c r="CP206" t="str">
        <v/>
      </c>
    </row>
    <row r="207" spans="44:94" x14ac:dyDescent="0.2">
      <c r="AR207">
        <v>199</v>
      </c>
      <c r="AS207">
        <v>199</v>
      </c>
      <c r="AT207">
        <v>1</v>
      </c>
      <c r="AU207">
        <v>-4.9403685777274946</v>
      </c>
      <c r="AV207">
        <v>2.6688859704614477E-2</v>
      </c>
      <c r="CD207">
        <v>199</v>
      </c>
      <c r="CE207">
        <v>6.8214839679005363</v>
      </c>
      <c r="CF207">
        <v>2.3455022124539535E-3</v>
      </c>
      <c r="CG207" t="e">
        <v>#N/A</v>
      </c>
      <c r="CH207">
        <v>2.3455022124539535E-3</v>
      </c>
      <c r="CI207" t="str">
        <v/>
      </c>
      <c r="CK207">
        <v>199</v>
      </c>
      <c r="CL207">
        <v>10.985827672598095</v>
      </c>
      <c r="CM207">
        <v>2.0579169093332436E-3</v>
      </c>
      <c r="CN207">
        <v>2.0579169093332436E-3</v>
      </c>
      <c r="CO207" t="e">
        <v>#N/A</v>
      </c>
      <c r="CP207" t="str">
        <v/>
      </c>
    </row>
    <row r="208" spans="44:94" x14ac:dyDescent="0.2">
      <c r="AR208">
        <v>200</v>
      </c>
      <c r="AS208">
        <v>200</v>
      </c>
      <c r="AT208">
        <v>1</v>
      </c>
      <c r="AU208">
        <v>-4.9094280464101479</v>
      </c>
      <c r="AV208">
        <v>2.6992355130126169E-2</v>
      </c>
      <c r="CD208">
        <v>200</v>
      </c>
      <c r="CE208">
        <v>6.8559359071323573</v>
      </c>
      <c r="CF208">
        <v>2.285686771263078E-3</v>
      </c>
      <c r="CG208" t="e">
        <v>#N/A</v>
      </c>
      <c r="CH208">
        <v>2.285686771263078E-3</v>
      </c>
      <c r="CI208" t="str">
        <v/>
      </c>
      <c r="CK208">
        <v>200</v>
      </c>
      <c r="CL208">
        <v>11.04131165074253</v>
      </c>
      <c r="CM208">
        <v>2.0016108333298635E-3</v>
      </c>
      <c r="CN208">
        <v>2.0016108333298635E-3</v>
      </c>
      <c r="CO208" t="e">
        <v>#N/A</v>
      </c>
      <c r="CP208" t="str">
        <v/>
      </c>
    </row>
    <row r="209" spans="44:94" x14ac:dyDescent="0.2">
      <c r="AR209">
        <v>201</v>
      </c>
      <c r="AS209">
        <v>201</v>
      </c>
      <c r="AT209">
        <v>1</v>
      </c>
      <c r="AU209">
        <v>-4.878487515092802</v>
      </c>
      <c r="AV209">
        <v>2.7297892911457431E-2</v>
      </c>
      <c r="CD209">
        <v>201</v>
      </c>
      <c r="CE209">
        <v>6.8903878463641783</v>
      </c>
      <c r="CF209">
        <v>2.2274815706496065E-3</v>
      </c>
      <c r="CG209" t="e">
        <v>#N/A</v>
      </c>
      <c r="CH209">
        <v>2.2274815706496065E-3</v>
      </c>
      <c r="CI209">
        <v>6.89</v>
      </c>
      <c r="CK209">
        <v>201</v>
      </c>
      <c r="CL209">
        <v>11.096795628886966</v>
      </c>
      <c r="CM209">
        <v>1.9468453317687843E-3</v>
      </c>
      <c r="CN209">
        <v>1.9468453317687843E-3</v>
      </c>
      <c r="CO209" t="e">
        <v>#N/A</v>
      </c>
      <c r="CP209">
        <v>11.097</v>
      </c>
    </row>
    <row r="210" spans="44:94" x14ac:dyDescent="0.2">
      <c r="AR210">
        <v>202</v>
      </c>
      <c r="AS210">
        <v>202</v>
      </c>
      <c r="AT210">
        <v>1</v>
      </c>
      <c r="AU210">
        <v>-4.8475469837754552</v>
      </c>
      <c r="AV210">
        <v>2.7605464451681966E-2</v>
      </c>
      <c r="CD210">
        <v>202</v>
      </c>
      <c r="CE210">
        <v>6.9248397855959993</v>
      </c>
      <c r="CF210">
        <v>2.1708409860898403E-3</v>
      </c>
      <c r="CG210" t="e">
        <v>#N/A</v>
      </c>
      <c r="CH210">
        <v>2.1708409860898403E-3</v>
      </c>
      <c r="CI210" t="str">
        <v/>
      </c>
      <c r="CK210">
        <v>202</v>
      </c>
      <c r="CL210">
        <v>11.152279607031401</v>
      </c>
      <c r="CM210">
        <v>1.8935782534332867E-3</v>
      </c>
      <c r="CN210">
        <v>1.8935782534332867E-3</v>
      </c>
      <c r="CO210" t="e">
        <v>#N/A</v>
      </c>
      <c r="CP210" t="str">
        <v/>
      </c>
    </row>
    <row r="211" spans="44:94" x14ac:dyDescent="0.2">
      <c r="AR211">
        <v>203</v>
      </c>
      <c r="AS211">
        <v>203</v>
      </c>
      <c r="AT211">
        <v>1</v>
      </c>
      <c r="AU211">
        <v>-4.8166064524581094</v>
      </c>
      <c r="AV211">
        <v>2.7915060740135552E-2</v>
      </c>
      <c r="CD211">
        <v>203</v>
      </c>
      <c r="CE211">
        <v>6.9592917248278203</v>
      </c>
      <c r="CF211">
        <v>2.1157207501022041E-3</v>
      </c>
      <c r="CG211" t="e">
        <v>#N/A</v>
      </c>
      <c r="CH211">
        <v>2.1157207501022041E-3</v>
      </c>
      <c r="CI211" t="str">
        <v/>
      </c>
      <c r="CK211">
        <v>203</v>
      </c>
      <c r="CL211">
        <v>11.207763585175835</v>
      </c>
      <c r="CM211">
        <v>1.8417686003940374E-3</v>
      </c>
      <c r="CN211">
        <v>1.8417686003940374E-3</v>
      </c>
      <c r="CO211" t="e">
        <v>#N/A</v>
      </c>
      <c r="CP211" t="str">
        <v/>
      </c>
    </row>
    <row r="212" spans="44:94" x14ac:dyDescent="0.2">
      <c r="AR212">
        <v>204</v>
      </c>
      <c r="AS212">
        <v>204</v>
      </c>
      <c r="AT212">
        <v>1</v>
      </c>
      <c r="AU212">
        <v>-4.7856659211407626</v>
      </c>
      <c r="AV212">
        <v>2.8226672349625049E-2</v>
      </c>
      <c r="CD212">
        <v>204</v>
      </c>
      <c r="CE212">
        <v>6.9937436640596404</v>
      </c>
      <c r="CF212">
        <v>2.0620779099763181E-3</v>
      </c>
      <c r="CG212" t="e">
        <v>#N/A</v>
      </c>
      <c r="CH212">
        <v>2.0620779099763181E-3</v>
      </c>
      <c r="CI212" t="str">
        <v/>
      </c>
      <c r="CK212">
        <v>204</v>
      </c>
      <c r="CL212">
        <v>11.26324756332027</v>
      </c>
      <c r="CM212">
        <v>1.7913764964543185E-3</v>
      </c>
      <c r="CN212">
        <v>1.7913764964543185E-3</v>
      </c>
      <c r="CO212" t="e">
        <v>#N/A</v>
      </c>
      <c r="CP212" t="str">
        <v/>
      </c>
    </row>
    <row r="213" spans="44:94" x14ac:dyDescent="0.2">
      <c r="AR213">
        <v>205</v>
      </c>
      <c r="AS213">
        <v>205</v>
      </c>
      <c r="AT213">
        <v>1</v>
      </c>
      <c r="AU213">
        <v>-4.7547253898234167</v>
      </c>
      <c r="AV213">
        <v>2.8540289433713971E-2</v>
      </c>
      <c r="CD213">
        <v>205</v>
      </c>
      <c r="CE213">
        <v>7.0281956032914614</v>
      </c>
      <c r="CF213">
        <v>2.0098707868779903E-3</v>
      </c>
      <c r="CG213" t="e">
        <v>#N/A</v>
      </c>
      <c r="CH213">
        <v>2.0098707868779903E-3</v>
      </c>
      <c r="CI213" t="str">
        <v/>
      </c>
      <c r="CK213">
        <v>205</v>
      </c>
      <c r="CL213">
        <v>11.318731541464706</v>
      </c>
      <c r="CM213">
        <v>1.7423631564586302E-3</v>
      </c>
      <c r="CN213">
        <v>1.7423631564586302E-3</v>
      </c>
      <c r="CO213" t="e">
        <v>#N/A</v>
      </c>
      <c r="CP213" t="str">
        <v/>
      </c>
    </row>
    <row r="214" spans="44:94" x14ac:dyDescent="0.2">
      <c r="AR214">
        <v>206</v>
      </c>
      <c r="AS214">
        <v>206</v>
      </c>
      <c r="AT214">
        <v>1</v>
      </c>
      <c r="AU214">
        <v>-4.7237848585060709</v>
      </c>
      <c r="AV214">
        <v>2.8855901724086669E-2</v>
      </c>
      <c r="CD214">
        <v>206</v>
      </c>
      <c r="CE214">
        <v>7.0626475425232824</v>
      </c>
      <c r="CF214">
        <v>1.9590589362834562E-3</v>
      </c>
      <c r="CG214" t="e">
        <v>#N/A</v>
      </c>
      <c r="CH214">
        <v>1.9590589362834562E-3</v>
      </c>
      <c r="CI214" t="str">
        <v/>
      </c>
      <c r="CK214">
        <v>206</v>
      </c>
      <c r="CL214">
        <v>11.374215519609139</v>
      </c>
      <c r="CM214">
        <v>1.6946908564410205E-3</v>
      </c>
      <c r="CN214">
        <v>1.6946908564410205E-3</v>
      </c>
      <c r="CO214" t="e">
        <v>#N/A</v>
      </c>
      <c r="CP214" t="str">
        <v/>
      </c>
    </row>
    <row r="215" spans="44:94" x14ac:dyDescent="0.2">
      <c r="AR215">
        <v>207</v>
      </c>
      <c r="AS215">
        <v>207</v>
      </c>
      <c r="AT215">
        <v>1</v>
      </c>
      <c r="AU215">
        <v>-4.6928443271887241</v>
      </c>
      <c r="AV215">
        <v>2.917349852799243E-2</v>
      </c>
      <c r="CD215">
        <v>207</v>
      </c>
      <c r="CE215">
        <v>7.0970994817551034</v>
      </c>
      <c r="CF215">
        <v>1.9096031096978456E-3</v>
      </c>
      <c r="CG215" t="e">
        <v>#N/A</v>
      </c>
      <c r="CH215">
        <v>1.9096031096978456E-3</v>
      </c>
      <c r="CI215" t="str">
        <v/>
      </c>
      <c r="CK215">
        <v>207</v>
      </c>
      <c r="CL215">
        <v>11.429699497753575</v>
      </c>
      <c r="CM215">
        <v>1.6483229045901762E-3</v>
      </c>
      <c r="CN215">
        <v>1.6483229045901762E-3</v>
      </c>
      <c r="CO215" t="e">
        <v>#N/A</v>
      </c>
      <c r="CP215" t="str">
        <v/>
      </c>
    </row>
    <row r="216" spans="44:94" x14ac:dyDescent="0.2">
      <c r="AR216">
        <v>208</v>
      </c>
      <c r="AS216">
        <v>208</v>
      </c>
      <c r="AT216">
        <v>1</v>
      </c>
      <c r="AU216">
        <v>-4.6619037958713783</v>
      </c>
      <c r="AV216">
        <v>2.9493068725771447E-2</v>
      </c>
      <c r="CD216">
        <v>208</v>
      </c>
      <c r="CE216">
        <v>7.1315514209869244</v>
      </c>
      <c r="CF216">
        <v>1.8614652176143168E-3</v>
      </c>
      <c r="CG216" t="e">
        <v>#N/A</v>
      </c>
      <c r="CH216">
        <v>1.8614652176143168E-3</v>
      </c>
      <c r="CI216" t="str">
        <v/>
      </c>
      <c r="CK216">
        <v>208</v>
      </c>
      <c r="CL216">
        <v>11.48518347589801</v>
      </c>
      <c r="CM216">
        <v>1.603223613008945E-3</v>
      </c>
      <c r="CN216">
        <v>1.603223613008945E-3</v>
      </c>
      <c r="CO216" t="e">
        <v>#N/A</v>
      </c>
      <c r="CP216" t="str">
        <v/>
      </c>
    </row>
    <row r="217" spans="44:94" x14ac:dyDescent="0.2">
      <c r="AR217">
        <v>209</v>
      </c>
      <c r="AS217">
        <v>209</v>
      </c>
      <c r="AT217">
        <v>1</v>
      </c>
      <c r="AU217">
        <v>-4.6309632645540315</v>
      </c>
      <c r="AV217">
        <v>2.9814600768464334E-2</v>
      </c>
      <c r="CD217">
        <v>209</v>
      </c>
      <c r="CE217">
        <v>7.1660033602187454</v>
      </c>
      <c r="CF217">
        <v>1.8146082936719783E-3</v>
      </c>
      <c r="CG217" t="e">
        <v>#N/A</v>
      </c>
      <c r="CH217">
        <v>1.8146082936719783E-3</v>
      </c>
      <c r="CI217" t="str">
        <v/>
      </c>
      <c r="CK217">
        <v>209</v>
      </c>
      <c r="CL217">
        <v>11.540667454042444</v>
      </c>
      <c r="CM217">
        <v>1.5593582702465197E-3</v>
      </c>
      <c r="CN217">
        <v>1.5593582702465197E-3</v>
      </c>
      <c r="CO217" t="e">
        <v>#N/A</v>
      </c>
      <c r="CP217" t="str">
        <v/>
      </c>
    </row>
    <row r="218" spans="44:94" x14ac:dyDescent="0.2">
      <c r="AR218">
        <v>210</v>
      </c>
      <c r="AS218">
        <v>210</v>
      </c>
      <c r="AT218">
        <v>1</v>
      </c>
      <c r="AU218">
        <v>-4.6000227332366856</v>
      </c>
      <c r="AV218">
        <v>3.013808267550663E-2</v>
      </c>
      <c r="CD218">
        <v>210</v>
      </c>
      <c r="CE218">
        <v>7.2004552994505664</v>
      </c>
      <c r="CF218">
        <v>1.7689964599721456E-3</v>
      </c>
      <c r="CG218" t="e">
        <v>#N/A</v>
      </c>
      <c r="CH218">
        <v>1.7689964599721456E-3</v>
      </c>
      <c r="CI218" t="str">
        <v/>
      </c>
      <c r="CK218">
        <v>210</v>
      </c>
      <c r="CL218">
        <v>11.596151432186879</v>
      </c>
      <c r="CM218">
        <v>1.5166931145821703E-3</v>
      </c>
      <c r="CN218">
        <v>1.5166931145821703E-3</v>
      </c>
      <c r="CO218" t="e">
        <v>#N/A</v>
      </c>
      <c r="CP218" t="str">
        <v/>
      </c>
    </row>
    <row r="219" spans="44:94" x14ac:dyDescent="0.2">
      <c r="AR219">
        <v>211</v>
      </c>
      <c r="AS219">
        <v>211</v>
      </c>
      <c r="AT219">
        <v>1</v>
      </c>
      <c r="AU219">
        <v>-4.5690822019193389</v>
      </c>
      <c r="AV219">
        <v>3.0463502032510231E-2</v>
      </c>
      <c r="CD219">
        <v>211</v>
      </c>
      <c r="CE219">
        <v>7.2349072386823874</v>
      </c>
      <c r="CF219">
        <v>1.7245948935138281E-3</v>
      </c>
      <c r="CG219" t="e">
        <v>#N/A</v>
      </c>
      <c r="CH219">
        <v>1.7245948935138281E-3</v>
      </c>
      <c r="CI219" t="str">
        <v/>
      </c>
      <c r="CK219">
        <v>211</v>
      </c>
      <c r="CL219">
        <v>11.651635410331313</v>
      </c>
      <c r="CM219">
        <v>1.475195308039955E-3</v>
      </c>
      <c r="CN219">
        <v>1.475195308039955E-3</v>
      </c>
      <c r="CO219" t="e">
        <v>#N/A</v>
      </c>
      <c r="CP219" t="str">
        <v/>
      </c>
    </row>
    <row r="220" spans="44:94" x14ac:dyDescent="0.2">
      <c r="AR220">
        <v>212</v>
      </c>
      <c r="AS220">
        <v>212</v>
      </c>
      <c r="AT220">
        <v>1</v>
      </c>
      <c r="AU220">
        <v>-4.538141670601993</v>
      </c>
      <c r="AV220">
        <v>3.079084598913313E-2</v>
      </c>
      <c r="CD220">
        <v>212</v>
      </c>
      <c r="CE220">
        <v>7.2693591779142075</v>
      </c>
      <c r="CF220">
        <v>1.6813697937108673E-3</v>
      </c>
      <c r="CG220" t="e">
        <v>#N/A</v>
      </c>
      <c r="CH220">
        <v>1.6813697937108673E-3</v>
      </c>
      <c r="CI220" t="str">
        <v/>
      </c>
      <c r="CK220">
        <v>212</v>
      </c>
      <c r="CL220">
        <v>11.707119388475748</v>
      </c>
      <c r="CM220">
        <v>1.4348329111143958E-3</v>
      </c>
      <c r="CN220">
        <v>1.4348329111143958E-3</v>
      </c>
      <c r="CO220" t="e">
        <v>#N/A</v>
      </c>
      <c r="CP220" t="str">
        <v/>
      </c>
    </row>
    <row r="221" spans="44:94" x14ac:dyDescent="0.2">
      <c r="AR221">
        <v>213</v>
      </c>
      <c r="AS221">
        <v>213</v>
      </c>
      <c r="AT221">
        <v>1</v>
      </c>
      <c r="AU221">
        <v>-4.5072011392846463</v>
      </c>
      <c r="AV221">
        <v>3.112010125703929E-2</v>
      </c>
      <c r="CD221">
        <v>213</v>
      </c>
      <c r="CE221">
        <v>7.3038111171460285</v>
      </c>
      <c r="CF221">
        <v>1.63928835095429E-3</v>
      </c>
      <c r="CG221" t="e">
        <v>#N/A</v>
      </c>
      <c r="CH221">
        <v>1.63928835095429E-3</v>
      </c>
      <c r="CI221" t="str">
        <v/>
      </c>
      <c r="CK221">
        <v>213</v>
      </c>
      <c r="CL221">
        <v>11.762603366620183</v>
      </c>
      <c r="CM221">
        <v>1.3955748581876944E-3</v>
      </c>
      <c r="CN221">
        <v>1.3955748581876944E-3</v>
      </c>
      <c r="CO221" t="e">
        <v>#N/A</v>
      </c>
      <c r="CP221" t="str">
        <v/>
      </c>
    </row>
    <row r="222" spans="44:94" x14ac:dyDescent="0.2">
      <c r="AR222">
        <v>214</v>
      </c>
      <c r="AS222">
        <v>214</v>
      </c>
      <c r="AT222">
        <v>1</v>
      </c>
      <c r="AU222">
        <v>-4.4762606079673004</v>
      </c>
      <c r="AV222">
        <v>3.145125410795007E-2</v>
      </c>
      <c r="CD222">
        <v>214</v>
      </c>
      <c r="CE222">
        <v>7.3382630563778495</v>
      </c>
      <c r="CF222">
        <v>1.5983187161848253E-3</v>
      </c>
      <c r="CG222" t="e">
        <v>#N/A</v>
      </c>
      <c r="CH222">
        <v>1.5983187161848253E-3</v>
      </c>
      <c r="CI222" t="str">
        <v/>
      </c>
      <c r="CK222">
        <v>214</v>
      </c>
      <c r="CL222">
        <v>11.818087344764617</v>
      </c>
      <c r="CM222">
        <v>1.3573909336195347E-3</v>
      </c>
      <c r="CN222">
        <v>1.3573909336195347E-3</v>
      </c>
      <c r="CO222" t="e">
        <v>#N/A</v>
      </c>
      <c r="CP222" t="str">
        <v/>
      </c>
    </row>
    <row r="223" spans="44:94" x14ac:dyDescent="0.2">
      <c r="AR223">
        <v>215</v>
      </c>
      <c r="AS223">
        <v>215</v>
      </c>
      <c r="AT223">
        <v>1</v>
      </c>
      <c r="AU223">
        <v>-4.4453200766499537</v>
      </c>
      <c r="AV223">
        <v>3.1784290371789023E-2</v>
      </c>
      <c r="CD223">
        <v>215</v>
      </c>
      <c r="CE223">
        <v>7.3727149956096705</v>
      </c>
      <c r="CF223">
        <v>1.5584299714417875E-3</v>
      </c>
      <c r="CG223" t="e">
        <v>#N/A</v>
      </c>
      <c r="CH223">
        <v>1.5584299714417875E-3</v>
      </c>
      <c r="CI223" t="str">
        <v/>
      </c>
      <c r="CK223">
        <v>215</v>
      </c>
      <c r="CL223">
        <v>11.873571322909052</v>
      </c>
      <c r="CM223">
        <v>1.3202517484910917E-3</v>
      </c>
      <c r="CN223">
        <v>1.3202517484910917E-3</v>
      </c>
      <c r="CO223" t="e">
        <v>#N/A</v>
      </c>
      <c r="CP223" t="str">
        <v/>
      </c>
    </row>
    <row r="224" spans="44:94" x14ac:dyDescent="0.2">
      <c r="AR224">
        <v>216</v>
      </c>
      <c r="AS224">
        <v>216</v>
      </c>
      <c r="AT224">
        <v>1</v>
      </c>
      <c r="AU224">
        <v>-4.4143795453326078</v>
      </c>
      <c r="AV224">
        <v>3.2119195434921352E-2</v>
      </c>
      <c r="CD224">
        <v>216</v>
      </c>
      <c r="CE224">
        <v>7.4071669348414915</v>
      </c>
      <c r="CF224">
        <v>1.5195921013555502E-3</v>
      </c>
      <c r="CG224" t="e">
        <v>#N/A</v>
      </c>
      <c r="CH224">
        <v>1.5195921013555502E-3</v>
      </c>
      <c r="CI224" t="str">
        <v/>
      </c>
      <c r="CK224">
        <v>216</v>
      </c>
      <c r="CL224">
        <v>11.929055301053488</v>
      </c>
      <c r="CM224">
        <v>1.2841287179853457E-3</v>
      </c>
      <c r="CN224">
        <v>1.2841287179853457E-3</v>
      </c>
      <c r="CO224" t="e">
        <v>#N/A</v>
      </c>
      <c r="CP224" t="str">
        <v/>
      </c>
    </row>
    <row r="225" spans="44:94" x14ac:dyDescent="0.2">
      <c r="AR225">
        <v>217</v>
      </c>
      <c r="AS225">
        <v>217</v>
      </c>
      <c r="AT225">
        <v>1</v>
      </c>
      <c r="AU225">
        <v>-4.383439014015261</v>
      </c>
      <c r="AV225">
        <v>3.2455954238489931E-2</v>
      </c>
      <c r="CD225">
        <v>217</v>
      </c>
      <c r="CE225">
        <v>7.4416188740733125</v>
      </c>
      <c r="CF225">
        <v>1.4817759655521483E-3</v>
      </c>
      <c r="CG225" t="e">
        <v>#N/A</v>
      </c>
      <c r="CH225">
        <v>1.4817759655521483E-3</v>
      </c>
      <c r="CI225" t="str">
        <v/>
      </c>
      <c r="CK225">
        <v>217</v>
      </c>
      <c r="CL225">
        <v>11.984539279197922</v>
      </c>
      <c r="CM225">
        <v>1.2489940393862811E-3</v>
      </c>
      <c r="CN225">
        <v>1.2489940393862811E-3</v>
      </c>
      <c r="CO225" t="e">
        <v>#N/A</v>
      </c>
      <c r="CP225" t="str">
        <v/>
      </c>
    </row>
    <row r="226" spans="44:94" x14ac:dyDescent="0.2">
      <c r="AR226">
        <v>218</v>
      </c>
      <c r="AS226">
        <v>218</v>
      </c>
      <c r="AT226">
        <v>1</v>
      </c>
      <c r="AU226">
        <v>-4.3524984826979152</v>
      </c>
      <c r="AV226">
        <v>3.2794551276849007E-2</v>
      </c>
      <c r="CD226">
        <v>218</v>
      </c>
      <c r="CE226">
        <v>7.4760708133051335</v>
      </c>
      <c r="CF226">
        <v>1.4449532719395786E-3</v>
      </c>
      <c r="CG226" t="e">
        <v>#N/A</v>
      </c>
      <c r="CH226">
        <v>1.4449532719395786E-3</v>
      </c>
      <c r="CI226" t="str">
        <v/>
      </c>
      <c r="CK226">
        <v>218</v>
      </c>
      <c r="CL226">
        <v>12.040023257342359</v>
      </c>
      <c r="CM226">
        <v>1.2148206706800392E-3</v>
      </c>
      <c r="CN226">
        <v>1.2148206706800392E-3</v>
      </c>
      <c r="CO226" t="e">
        <v>#N/A</v>
      </c>
      <c r="CP226" t="str">
        <v/>
      </c>
    </row>
    <row r="227" spans="44:94" x14ac:dyDescent="0.2">
      <c r="AR227">
        <v>219</v>
      </c>
      <c r="AS227">
        <v>219</v>
      </c>
      <c r="AT227">
        <v>1</v>
      </c>
      <c r="AU227">
        <v>-4.3215579513805693</v>
      </c>
      <c r="AV227">
        <v>3.313497059609756E-2</v>
      </c>
      <c r="CD227">
        <v>219</v>
      </c>
      <c r="CE227">
        <v>7.5105227525369544</v>
      </c>
      <c r="CF227">
        <v>1.4090965508463606E-3</v>
      </c>
      <c r="CG227" t="e">
        <v>#N/A</v>
      </c>
      <c r="CH227">
        <v>1.4090965508463606E-3</v>
      </c>
      <c r="CI227" t="str">
        <v/>
      </c>
      <c r="CK227">
        <v>219</v>
      </c>
      <c r="CL227">
        <v>12.095507235486792</v>
      </c>
      <c r="CM227">
        <v>1.1815823097415757E-3</v>
      </c>
      <c r="CN227">
        <v>1.1815823097415757E-3</v>
      </c>
      <c r="CO227" t="e">
        <v>#N/A</v>
      </c>
      <c r="CP227" t="str">
        <v/>
      </c>
    </row>
    <row r="228" spans="44:94" x14ac:dyDescent="0.2">
      <c r="AR228">
        <v>220</v>
      </c>
      <c r="AS228">
        <v>220</v>
      </c>
      <c r="AT228">
        <v>1</v>
      </c>
      <c r="AU228">
        <v>-4.2906174200632226</v>
      </c>
      <c r="AV228">
        <v>3.3477195792713486E-2</v>
      </c>
      <c r="CD228">
        <v>220</v>
      </c>
      <c r="CE228">
        <v>7.5449746917687746</v>
      </c>
      <c r="CF228">
        <v>1.3741791299840386E-3</v>
      </c>
      <c r="CG228" t="e">
        <v>#N/A</v>
      </c>
      <c r="CH228">
        <v>1.3741791299840386E-3</v>
      </c>
      <c r="CI228" t="str">
        <v/>
      </c>
      <c r="CK228">
        <v>220</v>
      </c>
      <c r="CL228">
        <v>12.150991213631228</v>
      </c>
      <c r="CM228">
        <v>1.1492533740907606E-3</v>
      </c>
      <c r="CN228">
        <v>1.1492533740907606E-3</v>
      </c>
      <c r="CO228" t="e">
        <v>#N/A</v>
      </c>
      <c r="CP228" t="str">
        <v/>
      </c>
    </row>
    <row r="229" spans="44:94" x14ac:dyDescent="0.2">
      <c r="AR229">
        <v>221</v>
      </c>
      <c r="AS229">
        <v>221</v>
      </c>
      <c r="AT229">
        <v>1</v>
      </c>
      <c r="AU229">
        <v>-4.2596768887458767</v>
      </c>
      <c r="AV229">
        <v>3.3821210012290111E-2</v>
      </c>
      <c r="CD229">
        <v>221</v>
      </c>
      <c r="CE229">
        <v>7.5794266310005955</v>
      </c>
      <c r="CF229">
        <v>1.3401751102062611E-3</v>
      </c>
      <c r="CG229" t="e">
        <v>#N/A</v>
      </c>
      <c r="CH229">
        <v>1.3401751102062611E-3</v>
      </c>
      <c r="CI229" t="str">
        <v/>
      </c>
      <c r="CK229">
        <v>221</v>
      </c>
      <c r="CL229">
        <v>12.206475191775663</v>
      </c>
      <c r="CM229">
        <v>1.11780898120239E-3</v>
      </c>
      <c r="CN229">
        <v>1.11780898120239E-3</v>
      </c>
      <c r="CO229" t="e">
        <v>#N/A</v>
      </c>
      <c r="CP229" t="str">
        <v/>
      </c>
    </row>
    <row r="230" spans="44:94" x14ac:dyDescent="0.2">
      <c r="AR230">
        <v>222</v>
      </c>
      <c r="AS230">
        <v>222</v>
      </c>
      <c r="AT230">
        <v>1</v>
      </c>
      <c r="AU230">
        <v>-4.2287363574285299</v>
      </c>
      <c r="AV230">
        <v>3.4166995948376765E-2</v>
      </c>
      <c r="CD230">
        <v>222</v>
      </c>
      <c r="CE230">
        <v>7.6138785702324165</v>
      </c>
      <c r="CF230">
        <v>1.3070593420379587E-3</v>
      </c>
      <c r="CG230" t="e">
        <v>#N/A</v>
      </c>
      <c r="CH230">
        <v>1.3070593420379587E-3</v>
      </c>
      <c r="CI230" t="str">
        <v/>
      </c>
      <c r="CK230">
        <v>222</v>
      </c>
      <c r="CL230">
        <v>12.261959169920097</v>
      </c>
      <c r="CM230">
        <v>1.0872249293549163E-3</v>
      </c>
      <c r="CN230">
        <v>1.0872249293549163E-3</v>
      </c>
      <c r="CO230" t="e">
        <v>#N/A</v>
      </c>
      <c r="CP230" t="str">
        <v/>
      </c>
    </row>
    <row r="231" spans="44:94" x14ac:dyDescent="0.2">
      <c r="AR231">
        <v>223</v>
      </c>
      <c r="AS231">
        <v>223</v>
      </c>
      <c r="AT231">
        <v>1</v>
      </c>
      <c r="AU231">
        <v>-4.1977958261111841</v>
      </c>
      <c r="AV231">
        <v>3.4514535841424436E-2</v>
      </c>
      <c r="CD231">
        <v>223</v>
      </c>
      <c r="CE231">
        <v>7.6483305094642375</v>
      </c>
      <c r="CF231">
        <v>1.2748074029491352E-3</v>
      </c>
      <c r="CG231" t="e">
        <v>#N/A</v>
      </c>
      <c r="CH231">
        <v>1.2748074029491352E-3</v>
      </c>
      <c r="CI231" t="str">
        <v/>
      </c>
      <c r="CK231">
        <v>223</v>
      </c>
      <c r="CL231">
        <v>12.317443148064532</v>
      </c>
      <c r="CM231">
        <v>1.0574776790031699E-3</v>
      </c>
      <c r="CN231">
        <v>1.0574776790031699E-3</v>
      </c>
      <c r="CO231" t="e">
        <v>#N/A</v>
      </c>
      <c r="CP231" t="str">
        <v/>
      </c>
    </row>
    <row r="232" spans="44:94" x14ac:dyDescent="0.2">
      <c r="AR232">
        <v>224</v>
      </c>
      <c r="AS232">
        <v>224</v>
      </c>
      <c r="AT232">
        <v>1</v>
      </c>
      <c r="AU232">
        <v>-4.1668552947938373</v>
      </c>
      <c r="AV232">
        <v>3.4863811477838375E-2</v>
      </c>
      <c r="CD232">
        <v>224</v>
      </c>
      <c r="CE232">
        <v>7.6827824486960585</v>
      </c>
      <c r="CF232">
        <v>1.2433955753486422E-3</v>
      </c>
      <c r="CG232" t="e">
        <v>#N/A</v>
      </c>
      <c r="CH232">
        <v>1.2433955753486422E-3</v>
      </c>
      <c r="CI232" t="str">
        <v/>
      </c>
      <c r="CK232">
        <v>224</v>
      </c>
      <c r="CL232">
        <v>12.372927126208968</v>
      </c>
      <c r="CM232">
        <v>1.0285443346607485E-3</v>
      </c>
      <c r="CN232">
        <v>1.0285443346607485E-3</v>
      </c>
      <c r="CO232" t="e">
        <v>#N/A</v>
      </c>
      <c r="CP232" t="str">
        <v/>
      </c>
    </row>
    <row r="233" spans="44:94" x14ac:dyDescent="0.2">
      <c r="AR233">
        <v>225</v>
      </c>
      <c r="AS233">
        <v>225</v>
      </c>
      <c r="AT233">
        <v>1</v>
      </c>
      <c r="AU233">
        <v>-4.1359147634764915</v>
      </c>
      <c r="AV233">
        <v>3.521480418913852E-2</v>
      </c>
      <c r="CD233">
        <v>225</v>
      </c>
      <c r="CE233">
        <v>7.7172343879278795</v>
      </c>
      <c r="CF233">
        <v>1.2128008252741199E-3</v>
      </c>
      <c r="CG233" t="e">
        <v>#N/A</v>
      </c>
      <c r="CH233">
        <v>1.2128008252741199E-3</v>
      </c>
      <c r="CI233" t="str">
        <v/>
      </c>
      <c r="CK233">
        <v>225</v>
      </c>
      <c r="CL233">
        <v>12.428411104353401</v>
      </c>
      <c r="CM233">
        <v>1.0004026272781037E-3</v>
      </c>
      <c r="CN233">
        <v>1.0004026272781037E-3</v>
      </c>
      <c r="CO233" t="e">
        <v>#N/A</v>
      </c>
      <c r="CP233" t="str">
        <v/>
      </c>
    </row>
    <row r="234" spans="44:94" x14ac:dyDescent="0.2">
      <c r="AR234">
        <v>226</v>
      </c>
      <c r="AS234">
        <v>226</v>
      </c>
      <c r="AT234">
        <v>1</v>
      </c>
      <c r="AU234">
        <v>-4.1049742321591447</v>
      </c>
      <c r="AV234">
        <v>3.5567494851229613E-2</v>
      </c>
      <c r="CD234">
        <v>226</v>
      </c>
      <c r="CE234">
        <v>7.7516863271597005</v>
      </c>
      <c r="CF234">
        <v>1.1830007817551383E-3</v>
      </c>
      <c r="CG234" t="e">
        <v>#N/A</v>
      </c>
      <c r="CH234">
        <v>1.1830007817551383E-3</v>
      </c>
      <c r="CI234">
        <v>7.7519999999999998</v>
      </c>
      <c r="CK234">
        <v>226</v>
      </c>
      <c r="CL234">
        <v>12.483895082497837</v>
      </c>
      <c r="CM234">
        <v>9.7303089710278176E-4</v>
      </c>
      <c r="CN234">
        <v>9.7303089710278176E-4</v>
      </c>
      <c r="CO234" t="e">
        <v>#N/A</v>
      </c>
      <c r="CP234">
        <v>12.484</v>
      </c>
    </row>
    <row r="235" spans="44:94" x14ac:dyDescent="0.2">
      <c r="AR235">
        <v>227</v>
      </c>
      <c r="AS235">
        <v>227</v>
      </c>
      <c r="AT235">
        <v>1</v>
      </c>
      <c r="AU235">
        <v>-4.0740337008417988</v>
      </c>
      <c r="AV235">
        <v>3.5921863883781949E-2</v>
      </c>
      <c r="CD235">
        <v>227</v>
      </c>
      <c r="CE235">
        <v>7.7861382663915215</v>
      </c>
      <c r="CF235">
        <v>1.1539737168273978E-3</v>
      </c>
      <c r="CG235" t="e">
        <v>#N/A</v>
      </c>
      <c r="CH235">
        <v>1.1539737168273978E-3</v>
      </c>
      <c r="CI235" t="str">
        <v/>
      </c>
      <c r="CK235">
        <v>227</v>
      </c>
      <c r="CL235">
        <v>12.53937906064227</v>
      </c>
      <c r="CM235">
        <v>9.4640807700862358E-4</v>
      </c>
      <c r="CN235">
        <v>9.4640807700862358E-4</v>
      </c>
      <c r="CO235" t="e">
        <v>#N/A</v>
      </c>
      <c r="CP235" t="str">
        <v/>
      </c>
    </row>
    <row r="236" spans="44:94" x14ac:dyDescent="0.2">
      <c r="AR236">
        <v>228</v>
      </c>
      <c r="AS236">
        <v>228</v>
      </c>
      <c r="AT236">
        <v>1</v>
      </c>
      <c r="AU236">
        <v>-4.0430931695244521</v>
      </c>
      <c r="AV236">
        <v>3.6277891249724352E-2</v>
      </c>
      <c r="CD236">
        <v>228</v>
      </c>
      <c r="CE236">
        <v>7.8205902056233425</v>
      </c>
      <c r="CF236">
        <v>1.1256985261765126E-3</v>
      </c>
      <c r="CG236" t="e">
        <v>#N/A</v>
      </c>
      <c r="CH236">
        <v>1.1256985261765126E-3</v>
      </c>
      <c r="CI236" t="str">
        <v/>
      </c>
      <c r="CK236">
        <v>228</v>
      </c>
      <c r="CL236">
        <v>12.594863038786706</v>
      </c>
      <c r="CM236">
        <v>9.2051367628108124E-4</v>
      </c>
      <c r="CN236">
        <v>9.2051367628108124E-4</v>
      </c>
      <c r="CO236" t="e">
        <v>#N/A</v>
      </c>
      <c r="CP236" t="str">
        <v/>
      </c>
    </row>
    <row r="237" spans="44:94" x14ac:dyDescent="0.2">
      <c r="AR237">
        <v>229</v>
      </c>
      <c r="AS237">
        <v>229</v>
      </c>
      <c r="AT237">
        <v>1</v>
      </c>
      <c r="AU237">
        <v>-4.0121526382071062</v>
      </c>
      <c r="AV237">
        <v>3.6635556454850407E-2</v>
      </c>
      <c r="CD237">
        <v>229</v>
      </c>
      <c r="CE237">
        <v>7.8550421448551635</v>
      </c>
      <c r="CF237">
        <v>1.098154710390717E-3</v>
      </c>
      <c r="CG237" t="e">
        <v>#N/A</v>
      </c>
      <c r="CH237">
        <v>1.098154710390717E-3</v>
      </c>
      <c r="CI237" t="str">
        <v/>
      </c>
      <c r="CK237">
        <v>229</v>
      </c>
      <c r="CL237">
        <v>12.650347016931141</v>
      </c>
      <c r="CM237">
        <v>8.9532776484618911E-4</v>
      </c>
      <c r="CN237">
        <v>8.9532776484618911E-4</v>
      </c>
      <c r="CO237" t="e">
        <v>#N/A</v>
      </c>
      <c r="CP237" t="str">
        <v/>
      </c>
    </row>
    <row r="238" spans="44:94" x14ac:dyDescent="0.2">
      <c r="AR238">
        <v>230</v>
      </c>
      <c r="AS238">
        <v>230</v>
      </c>
      <c r="AT238">
        <v>1</v>
      </c>
      <c r="AU238">
        <v>-3.9812121068897595</v>
      </c>
      <c r="AV238">
        <v>3.6994838547539405E-2</v>
      </c>
      <c r="CD238">
        <v>230</v>
      </c>
      <c r="CE238">
        <v>7.8894940840869836</v>
      </c>
      <c r="CF238">
        <v>1.0713223568025257E-3</v>
      </c>
      <c r="CG238" t="e">
        <v>#N/A</v>
      </c>
      <c r="CH238">
        <v>1.0713223568025257E-3</v>
      </c>
      <c r="CI238" t="str">
        <v/>
      </c>
      <c r="CK238">
        <v>230</v>
      </c>
      <c r="CL238">
        <v>12.705830995075575</v>
      </c>
      <c r="CM238">
        <v>8.7083095793103642E-4</v>
      </c>
      <c r="CN238">
        <v>8.7083095793103642E-4</v>
      </c>
      <c r="CO238" t="e">
        <v>#N/A</v>
      </c>
      <c r="CP238" t="str">
        <v/>
      </c>
    </row>
    <row r="239" spans="44:94" x14ac:dyDescent="0.2">
      <c r="AR239">
        <v>231</v>
      </c>
      <c r="AS239">
        <v>231</v>
      </c>
      <c r="AT239">
        <v>1</v>
      </c>
      <c r="AU239">
        <v>-3.9502715755724136</v>
      </c>
      <c r="AV239">
        <v>3.7355716118593077E-2</v>
      </c>
      <c r="CD239">
        <v>231</v>
      </c>
      <c r="CE239">
        <v>7.9239460233188046</v>
      </c>
      <c r="CF239">
        <v>1.045182121900015E-3</v>
      </c>
      <c r="CG239" t="e">
        <v>#N/A</v>
      </c>
      <c r="CH239">
        <v>1.045182121900015E-3</v>
      </c>
      <c r="CI239" t="str">
        <v/>
      </c>
      <c r="CK239">
        <v>231</v>
      </c>
      <c r="CL239">
        <v>12.76131497322001</v>
      </c>
      <c r="CM239">
        <v>8.4700440114393648E-4</v>
      </c>
      <c r="CN239">
        <v>8.4700440114393648E-4</v>
      </c>
      <c r="CO239" t="e">
        <v>#N/A</v>
      </c>
      <c r="CP239" t="str">
        <v/>
      </c>
    </row>
    <row r="240" spans="44:94" x14ac:dyDescent="0.2">
      <c r="AR240">
        <v>232</v>
      </c>
      <c r="AS240">
        <v>232</v>
      </c>
      <c r="AT240">
        <v>1</v>
      </c>
      <c r="AU240">
        <v>-3.9193310442550677</v>
      </c>
      <c r="AV240">
        <v>3.7718167301189473E-2</v>
      </c>
      <c r="CD240">
        <v>232</v>
      </c>
      <c r="CE240">
        <v>7.9583979625506256</v>
      </c>
      <c r="CF240">
        <v>1.0197152142891474E-3</v>
      </c>
      <c r="CG240" t="e">
        <v>#N/A</v>
      </c>
      <c r="CH240">
        <v>1.0197152142891474E-3</v>
      </c>
      <c r="CI240" t="str">
        <v/>
      </c>
      <c r="CK240">
        <v>232</v>
      </c>
      <c r="CL240">
        <v>12.816798951364444</v>
      </c>
      <c r="CM240">
        <v>8.2382975596282564E-4</v>
      </c>
      <c r="CN240">
        <v>8.2382975596282564E-4</v>
      </c>
      <c r="CO240" t="e">
        <v>#N/A</v>
      </c>
      <c r="CP240" t="str">
        <v/>
      </c>
    </row>
    <row r="241" spans="44:94" x14ac:dyDescent="0.2">
      <c r="AR241">
        <v>233</v>
      </c>
      <c r="AS241">
        <v>233</v>
      </c>
      <c r="AT241">
        <v>1</v>
      </c>
      <c r="AU241">
        <v>-3.888390512937721</v>
      </c>
      <c r="AV241">
        <v>3.8082169770954973E-2</v>
      </c>
      <c r="CD241">
        <v>233</v>
      </c>
      <c r="CE241">
        <v>7.9928499017824466</v>
      </c>
      <c r="CF241">
        <v>9.9490337818906893E-4</v>
      </c>
      <c r="CG241" t="e">
        <v>#N/A</v>
      </c>
      <c r="CH241">
        <v>9.9490337818906893E-4</v>
      </c>
      <c r="CI241" t="str">
        <v/>
      </c>
      <c r="CK241">
        <v>233</v>
      </c>
      <c r="CL241">
        <v>12.872282929508879</v>
      </c>
      <c r="CM241">
        <v>8.0128918562069335E-4</v>
      </c>
      <c r="CN241">
        <v>8.0128918562069335E-4</v>
      </c>
      <c r="CO241" t="e">
        <v>#N/A</v>
      </c>
      <c r="CP241" t="str">
        <v/>
      </c>
    </row>
    <row r="242" spans="44:94" x14ac:dyDescent="0.2">
      <c r="AR242">
        <v>234</v>
      </c>
      <c r="AS242">
        <v>234</v>
      </c>
      <c r="AT242">
        <v>1</v>
      </c>
      <c r="AU242">
        <v>-3.8574499816203751</v>
      </c>
      <c r="AV242">
        <v>3.844770074615559E-2</v>
      </c>
      <c r="CD242">
        <v>234</v>
      </c>
      <c r="CE242">
        <v>8.0273018410142676</v>
      </c>
      <c r="CF242">
        <v>9.7072887744301475E-4</v>
      </c>
      <c r="CG242" t="e">
        <v>#N/A</v>
      </c>
      <c r="CH242">
        <v>9.7072887744301475E-4</v>
      </c>
      <c r="CI242" t="str">
        <v/>
      </c>
      <c r="CK242">
        <v>234</v>
      </c>
      <c r="CL242">
        <v>12.927766907653314</v>
      </c>
      <c r="CM242">
        <v>7.7936534137721368E-4</v>
      </c>
      <c r="CN242">
        <v>7.7936534137721368E-4</v>
      </c>
      <c r="CO242" t="e">
        <v>#N/A</v>
      </c>
      <c r="CP242" t="str">
        <v/>
      </c>
    </row>
    <row r="243" spans="44:94" x14ac:dyDescent="0.2">
      <c r="AR243">
        <v>235</v>
      </c>
      <c r="AS243">
        <v>235</v>
      </c>
      <c r="AT243">
        <v>1</v>
      </c>
      <c r="AU243">
        <v>-3.8265094503030284</v>
      </c>
      <c r="AV243">
        <v>3.8814736988008858E-2</v>
      </c>
      <c r="CD243">
        <v>235</v>
      </c>
      <c r="CE243">
        <v>8.0617537802460877</v>
      </c>
      <c r="CF243">
        <v>9.4717448002805578E-4</v>
      </c>
      <c r="CG243" t="e">
        <v>#N/A</v>
      </c>
      <c r="CH243">
        <v>9.4717448002805578E-4</v>
      </c>
      <c r="CI243" t="str">
        <v/>
      </c>
      <c r="CK243">
        <v>235</v>
      </c>
      <c r="CL243">
        <v>12.983250885797748</v>
      </c>
      <c r="CM243">
        <v>7.5804134916598171E-4</v>
      </c>
      <c r="CN243">
        <v>7.5804134916598171E-4</v>
      </c>
      <c r="CO243" t="e">
        <v>#N/A</v>
      </c>
      <c r="CP243" t="str">
        <v/>
      </c>
    </row>
    <row r="244" spans="44:94" x14ac:dyDescent="0.2">
      <c r="AR244">
        <v>236</v>
      </c>
      <c r="AS244">
        <v>236</v>
      </c>
      <c r="AT244">
        <v>1</v>
      </c>
      <c r="AU244">
        <v>-3.7955689189856825</v>
      </c>
      <c r="AV244">
        <v>3.9183254801117062E-2</v>
      </c>
      <c r="CD244">
        <v>236</v>
      </c>
      <c r="CE244">
        <v>8.0962057194779096</v>
      </c>
      <c r="CF244">
        <v>9.2422344304740329E-4</v>
      </c>
      <c r="CG244" t="e">
        <v>#N/A</v>
      </c>
      <c r="CH244">
        <v>9.2422344304740329E-4</v>
      </c>
      <c r="CI244" t="str">
        <v/>
      </c>
      <c r="CK244">
        <v>236</v>
      </c>
      <c r="CL244">
        <v>13.038734863942185</v>
      </c>
      <c r="CM244">
        <v>7.3730079660709602E-4</v>
      </c>
      <c r="CN244">
        <v>7.3730079660709602E-4</v>
      </c>
      <c r="CO244" t="e">
        <v>#N/A</v>
      </c>
      <c r="CP244" t="str">
        <v/>
      </c>
    </row>
    <row r="245" spans="44:94" x14ac:dyDescent="0.2">
      <c r="AR245">
        <v>237</v>
      </c>
      <c r="AS245">
        <v>237</v>
      </c>
      <c r="AT245">
        <v>1</v>
      </c>
      <c r="AU245">
        <v>-3.7646283876683357</v>
      </c>
      <c r="AV245">
        <v>3.9553230034023182E-2</v>
      </c>
      <c r="CD245">
        <v>237</v>
      </c>
      <c r="CE245">
        <v>8.1306576587097297</v>
      </c>
      <c r="CF245">
        <v>9.0185949818960684E-4</v>
      </c>
      <c r="CG245" t="e">
        <v>#N/A</v>
      </c>
      <c r="CH245">
        <v>9.0185949818960684E-4</v>
      </c>
      <c r="CI245" t="str">
        <v/>
      </c>
      <c r="CK245">
        <v>237</v>
      </c>
      <c r="CL245">
        <v>13.094218842086621</v>
      </c>
      <c r="CM245">
        <v>7.1712772037509087E-4</v>
      </c>
      <c r="CN245">
        <v>7.1712772037509087E-4</v>
      </c>
      <c r="CO245" t="e">
        <v>#N/A</v>
      </c>
      <c r="CP245" t="str">
        <v/>
      </c>
    </row>
    <row r="246" spans="44:94" x14ac:dyDescent="0.2">
      <c r="AR246">
        <v>238</v>
      </c>
      <c r="AS246">
        <v>238</v>
      </c>
      <c r="AT246">
        <v>1</v>
      </c>
      <c r="AU246">
        <v>-3.7336878563509899</v>
      </c>
      <c r="AV246">
        <v>3.9924638079890169E-2</v>
      </c>
      <c r="CD246">
        <v>238</v>
      </c>
      <c r="CE246">
        <v>8.1651095979415516</v>
      </c>
      <c r="CF246">
        <v>8.8006683763952966E-4</v>
      </c>
      <c r="CG246" t="e">
        <v>#N/A</v>
      </c>
      <c r="CH246">
        <v>8.8006683763952966E-4</v>
      </c>
      <c r="CI246" t="str">
        <v/>
      </c>
      <c r="CK246">
        <v>238</v>
      </c>
      <c r="CL246">
        <v>13.149702820231054</v>
      </c>
      <c r="CM246">
        <v>6.9750659391248167E-4</v>
      </c>
      <c r="CN246">
        <v>6.9750659391248167E-4</v>
      </c>
      <c r="CO246" t="e">
        <v>#N/A</v>
      </c>
      <c r="CP246" t="str">
        <v/>
      </c>
    </row>
    <row r="247" spans="44:94" x14ac:dyDescent="0.2">
      <c r="AR247">
        <v>239</v>
      </c>
      <c r="AS247">
        <v>239</v>
      </c>
      <c r="AT247">
        <v>1</v>
      </c>
      <c r="AU247">
        <v>-3.7027473250336431</v>
      </c>
      <c r="AV247">
        <v>4.0297453877304844E-2</v>
      </c>
      <c r="CD247">
        <v>239</v>
      </c>
      <c r="CE247">
        <v>8.1995615371733717</v>
      </c>
      <c r="CF247">
        <v>8.5883010042641435E-4</v>
      </c>
      <c r="CG247" t="e">
        <v>#N/A</v>
      </c>
      <c r="CH247">
        <v>8.5883010042641435E-4</v>
      </c>
      <c r="CI247" t="str">
        <v/>
      </c>
      <c r="CK247">
        <v>239</v>
      </c>
      <c r="CL247">
        <v>13.20518679837549</v>
      </c>
      <c r="CM247">
        <v>6.7842231547948111E-4</v>
      </c>
      <c r="CN247">
        <v>6.7842231547948111E-4</v>
      </c>
      <c r="CO247" t="e">
        <v>#N/A</v>
      </c>
      <c r="CP247" t="str">
        <v/>
      </c>
    </row>
    <row r="248" spans="44:94" x14ac:dyDescent="0.2">
      <c r="AR248">
        <v>240</v>
      </c>
      <c r="AS248">
        <v>240</v>
      </c>
      <c r="AT248">
        <v>1</v>
      </c>
      <c r="AU248">
        <v>-3.6718067937162973</v>
      </c>
      <c r="AV248">
        <v>4.0671651911207175E-2</v>
      </c>
      <c r="CD248">
        <v>240</v>
      </c>
      <c r="CE248">
        <v>8.2340134764051918</v>
      </c>
      <c r="CF248">
        <v>8.3813435919490855E-4</v>
      </c>
      <c r="CG248" t="e">
        <v>#N/A</v>
      </c>
      <c r="CH248">
        <v>8.3813435919490855E-4</v>
      </c>
      <c r="CI248" t="str">
        <v/>
      </c>
      <c r="CK248">
        <v>240</v>
      </c>
      <c r="CL248">
        <v>13.260670776519923</v>
      </c>
      <c r="CM248">
        <v>6.5986019653068828E-4</v>
      </c>
      <c r="CN248">
        <v>6.5986019653068828E-4</v>
      </c>
      <c r="CO248" t="e">
        <v>#N/A</v>
      </c>
      <c r="CP248" t="str">
        <v/>
      </c>
    </row>
    <row r="249" spans="44:94" x14ac:dyDescent="0.2">
      <c r="AR249">
        <v>241</v>
      </c>
      <c r="AS249">
        <v>241</v>
      </c>
      <c r="AT249">
        <v>1</v>
      </c>
      <c r="AU249">
        <v>-3.6408662623989505</v>
      </c>
      <c r="AV249">
        <v>4.1047206213945933E-2</v>
      </c>
      <c r="CD249">
        <v>241</v>
      </c>
      <c r="CE249">
        <v>8.2684654156370136</v>
      </c>
      <c r="CF249">
        <v>8.1796510738542112E-4</v>
      </c>
      <c r="CG249" t="e">
        <v>#N/A</v>
      </c>
      <c r="CH249">
        <v>8.1796510738542112E-4</v>
      </c>
      <c r="CI249" t="str">
        <v/>
      </c>
      <c r="CK249">
        <v>241</v>
      </c>
      <c r="CL249">
        <v>13.316154754664359</v>
      </c>
      <c r="CM249">
        <v>6.4180595040978924E-4</v>
      </c>
      <c r="CN249">
        <v>6.4180595040978924E-4</v>
      </c>
      <c r="CO249" t="e">
        <v>#N/A</v>
      </c>
      <c r="CP249" t="str">
        <v/>
      </c>
    </row>
    <row r="250" spans="44:94" x14ac:dyDescent="0.2">
      <c r="AR250">
        <v>242</v>
      </c>
      <c r="AS250">
        <v>242</v>
      </c>
      <c r="AT250">
        <v>1</v>
      </c>
      <c r="AU250">
        <v>-3.6099257310816046</v>
      </c>
      <c r="AV250">
        <v>4.1424090366461309E-2</v>
      </c>
      <c r="CD250">
        <v>242</v>
      </c>
      <c r="CE250">
        <v>8.3029173548688338</v>
      </c>
      <c r="CF250">
        <v>7.983082468105366E-4</v>
      </c>
      <c r="CG250" t="e">
        <v>#N/A</v>
      </c>
      <c r="CH250">
        <v>7.983082468105366E-4</v>
      </c>
      <c r="CI250" t="str">
        <v/>
      </c>
      <c r="CK250">
        <v>242</v>
      </c>
      <c r="CL250">
        <v>13.371638732808794</v>
      </c>
      <c r="CM250">
        <v>6.2424568135358927E-4</v>
      </c>
      <c r="CN250">
        <v>6.2424568135358927E-4</v>
      </c>
      <c r="CO250" t="e">
        <v>#N/A</v>
      </c>
      <c r="CP250" t="str">
        <v/>
      </c>
    </row>
    <row r="251" spans="44:94" x14ac:dyDescent="0.2">
      <c r="AR251">
        <v>243</v>
      </c>
      <c r="AS251">
        <v>243</v>
      </c>
      <c r="AT251">
        <v>1</v>
      </c>
      <c r="AU251">
        <v>-3.5789851997642579</v>
      </c>
      <c r="AV251">
        <v>4.1802277499595773E-2</v>
      </c>
      <c r="CD251">
        <v>243</v>
      </c>
      <c r="CE251">
        <v>8.3373692941006556</v>
      </c>
      <c r="CF251">
        <v>7.7915007561476872E-4</v>
      </c>
      <c r="CG251" t="e">
        <v>#N/A</v>
      </c>
      <c r="CH251">
        <v>7.7915007561476872E-4</v>
      </c>
      <c r="CI251" t="str">
        <v/>
      </c>
      <c r="CK251">
        <v>243</v>
      </c>
      <c r="CL251">
        <v>13.427122710953228</v>
      </c>
      <c r="CM251">
        <v>6.0716587379689639E-4</v>
      </c>
      <c r="CN251">
        <v>6.0716587379689639E-4</v>
      </c>
      <c r="CO251" t="e">
        <v>#N/A</v>
      </c>
      <c r="CP251" t="str">
        <v/>
      </c>
    </row>
    <row r="252" spans="44:94" x14ac:dyDescent="0.2">
      <c r="AR252">
        <v>244</v>
      </c>
      <c r="AS252">
        <v>244</v>
      </c>
      <c r="AT252">
        <v>1</v>
      </c>
      <c r="AU252">
        <v>-3.548044668446912</v>
      </c>
      <c r="AV252">
        <v>4.2181740295533392E-2</v>
      </c>
      <c r="CD252">
        <v>244</v>
      </c>
      <c r="CE252">
        <v>8.3718212333324757</v>
      </c>
      <c r="CF252">
        <v>7.6047727660531229E-4</v>
      </c>
      <c r="CG252" t="e">
        <v>#N/A</v>
      </c>
      <c r="CH252">
        <v>7.6047727660531229E-4</v>
      </c>
      <c r="CI252" t="str">
        <v/>
      </c>
      <c r="CK252">
        <v>244</v>
      </c>
      <c r="CL252">
        <v>13.482606689097663</v>
      </c>
      <c r="CM252">
        <v>5.9055338197003086E-4</v>
      </c>
      <c r="CN252">
        <v>5.9055338197003086E-4</v>
      </c>
      <c r="CO252" t="e">
        <v>#N/A</v>
      </c>
      <c r="CP252" t="str">
        <v/>
      </c>
    </row>
    <row r="253" spans="44:94" x14ac:dyDescent="0.2">
      <c r="AR253">
        <v>245</v>
      </c>
      <c r="AS253">
        <v>245</v>
      </c>
      <c r="AT253">
        <v>1</v>
      </c>
      <c r="AU253">
        <v>-3.5171041371295662</v>
      </c>
      <c r="AV253">
        <v>4.2562450989368929E-2</v>
      </c>
      <c r="CD253">
        <v>245</v>
      </c>
      <c r="CE253">
        <v>8.4062731725642958</v>
      </c>
      <c r="CF253">
        <v>7.4227690594184958E-4</v>
      </c>
      <c r="CG253" t="e">
        <v>#N/A</v>
      </c>
      <c r="CH253">
        <v>7.4227690594184958E-4</v>
      </c>
      <c r="CI253" t="str">
        <v/>
      </c>
      <c r="CK253">
        <v>245</v>
      </c>
      <c r="CL253">
        <v>13.538090667242098</v>
      </c>
      <c r="CM253">
        <v>5.7439541978095913E-4</v>
      </c>
      <c r="CN253">
        <v>5.7439541978095913E-4</v>
      </c>
      <c r="CO253" t="e">
        <v>#N/A</v>
      </c>
      <c r="CP253" t="str">
        <v/>
      </c>
    </row>
    <row r="254" spans="44:94" x14ac:dyDescent="0.2">
      <c r="AR254">
        <v>246</v>
      </c>
      <c r="AS254">
        <v>246</v>
      </c>
      <c r="AT254">
        <v>1</v>
      </c>
      <c r="AU254">
        <v>-3.4861636058122194</v>
      </c>
      <c r="AV254">
        <v>4.2944381370806854E-2</v>
      </c>
      <c r="CD254">
        <v>246</v>
      </c>
      <c r="CE254">
        <v>8.4407251117961177</v>
      </c>
      <c r="CF254">
        <v>7.2453638217389812E-4</v>
      </c>
      <c r="CG254" t="e">
        <v>#N/A</v>
      </c>
      <c r="CH254">
        <v>7.2453638217389812E-4</v>
      </c>
      <c r="CI254" t="str">
        <v/>
      </c>
      <c r="CK254">
        <v>246</v>
      </c>
      <c r="CL254">
        <v>13.593574645386532</v>
      </c>
      <c r="CM254">
        <v>5.5867955097425512E-4</v>
      </c>
      <c r="CN254">
        <v>5.5867955097425512E-4</v>
      </c>
      <c r="CO254" t="e">
        <v>#N/A</v>
      </c>
      <c r="CP254" t="str">
        <v/>
      </c>
    </row>
    <row r="255" spans="44:94" x14ac:dyDescent="0.2">
      <c r="AR255">
        <v>247</v>
      </c>
      <c r="AS255">
        <v>247</v>
      </c>
      <c r="AT255">
        <v>1</v>
      </c>
      <c r="AU255">
        <v>-3.4552230744948735</v>
      </c>
      <c r="AV255">
        <v>4.3327502785991283E-2</v>
      </c>
      <c r="CD255">
        <v>247</v>
      </c>
      <c r="CE255">
        <v>8.4751770510279378</v>
      </c>
      <c r="CF255">
        <v>7.0724347561458253E-4</v>
      </c>
      <c r="CG255" t="e">
        <v>#N/A</v>
      </c>
      <c r="CH255">
        <v>7.0724347561458253E-4</v>
      </c>
      <c r="CI255" t="str">
        <v/>
      </c>
      <c r="CK255">
        <v>247</v>
      </c>
      <c r="CL255">
        <v>13.649058623530967</v>
      </c>
      <c r="CM255">
        <v>5.4339367955931895E-4</v>
      </c>
      <c r="CN255">
        <v>5.4339367955931895E-4</v>
      </c>
      <c r="CO255" t="e">
        <v>#N/A</v>
      </c>
      <c r="CP255" t="str">
        <v/>
      </c>
    </row>
    <row r="256" spans="44:94" x14ac:dyDescent="0.2">
      <c r="AR256">
        <v>248</v>
      </c>
      <c r="AS256">
        <v>248</v>
      </c>
      <c r="AT256">
        <v>1</v>
      </c>
      <c r="AU256">
        <v>-3.4242825431775268</v>
      </c>
      <c r="AV256">
        <v>4.3711786139467405E-2</v>
      </c>
      <c r="CD256">
        <v>248</v>
      </c>
      <c r="CE256">
        <v>8.5096289902597597</v>
      </c>
      <c r="CF256">
        <v>6.9038629804002612E-4</v>
      </c>
      <c r="CG256" t="e">
        <v>#N/A</v>
      </c>
      <c r="CH256">
        <v>6.9038629804002612E-4</v>
      </c>
      <c r="CI256" t="str">
        <v/>
      </c>
      <c r="CK256">
        <v>248</v>
      </c>
      <c r="CL256">
        <v>13.704542601675401</v>
      </c>
      <c r="CM256">
        <v>5.2852604050049237E-4</v>
      </c>
      <c r="CN256">
        <v>5.2852604050049237E-4</v>
      </c>
      <c r="CO256" t="e">
        <v>#N/A</v>
      </c>
      <c r="CP256" t="str">
        <v/>
      </c>
    </row>
    <row r="257" spans="44:94" x14ac:dyDescent="0.2">
      <c r="AR257">
        <v>249</v>
      </c>
      <c r="AS257">
        <v>249</v>
      </c>
      <c r="AT257">
        <v>1</v>
      </c>
      <c r="AU257">
        <v>-3.3933420118601809</v>
      </c>
      <c r="AV257">
        <v>4.4097201896274814E-2</v>
      </c>
      <c r="CD257">
        <v>249</v>
      </c>
      <c r="CE257">
        <v>8.5440809294915798</v>
      </c>
      <c r="CF257">
        <v>6.7395329270396797E-4</v>
      </c>
      <c r="CG257" t="e">
        <v>#N/A</v>
      </c>
      <c r="CH257">
        <v>6.7395329270396797E-4</v>
      </c>
      <c r="CI257" t="str">
        <v/>
      </c>
      <c r="CK257">
        <v>249</v>
      </c>
      <c r="CL257">
        <v>13.760026579819836</v>
      </c>
      <c r="CM257">
        <v>5.1406519066189119E-4</v>
      </c>
      <c r="CN257">
        <v>5.1406519066189119E-4</v>
      </c>
      <c r="CO257" t="e">
        <v>#N/A</v>
      </c>
      <c r="CP257" t="str">
        <v/>
      </c>
    </row>
    <row r="258" spans="44:94" x14ac:dyDescent="0.2">
      <c r="AR258">
        <v>250</v>
      </c>
      <c r="AS258">
        <v>250</v>
      </c>
      <c r="AT258">
        <v>1</v>
      </c>
      <c r="AU258">
        <v>-3.3624014805428342</v>
      </c>
      <c r="AV258">
        <v>4.4483720084173513E-2</v>
      </c>
      <c r="CD258">
        <v>250</v>
      </c>
      <c r="CE258">
        <v>8.5785328687234017</v>
      </c>
      <c r="CF258">
        <v>6.5793322465757084E-4</v>
      </c>
      <c r="CG258" t="e">
        <v>#N/A</v>
      </c>
      <c r="CH258">
        <v>6.5793322465757084E-4</v>
      </c>
      <c r="CI258">
        <v>8.5790000000000006</v>
      </c>
      <c r="CK258">
        <v>250</v>
      </c>
      <c r="CL258">
        <v>13.815510557964272</v>
      </c>
      <c r="CM258">
        <v>5.0000000000000055E-4</v>
      </c>
      <c r="CN258">
        <v>5.0000000000000055E-4</v>
      </c>
      <c r="CO258" t="e">
        <v>#N/A</v>
      </c>
      <c r="CP258">
        <v>13.816000000000001</v>
      </c>
    </row>
    <row r="259" spans="44:94" x14ac:dyDescent="0.2">
      <c r="AR259">
        <v>251</v>
      </c>
      <c r="AS259">
        <v>251</v>
      </c>
      <c r="AT259">
        <v>1</v>
      </c>
      <c r="AU259">
        <v>-3.3314609492254883</v>
      </c>
      <c r="AV259">
        <v>4.4871310296002706E-2</v>
      </c>
    </row>
    <row r="260" spans="44:94" x14ac:dyDescent="0.2">
      <c r="AR260">
        <v>252</v>
      </c>
      <c r="AS260">
        <v>252</v>
      </c>
      <c r="AT260">
        <v>1</v>
      </c>
      <c r="AU260">
        <v>-3.3005204179081415</v>
      </c>
      <c r="AV260">
        <v>4.5259941692173344E-2</v>
      </c>
    </row>
    <row r="261" spans="44:94" x14ac:dyDescent="0.2">
      <c r="AR261">
        <v>253</v>
      </c>
      <c r="AS261">
        <v>253</v>
      </c>
      <c r="AT261">
        <v>1</v>
      </c>
      <c r="AU261">
        <v>-3.2695798865907957</v>
      </c>
      <c r="AV261">
        <v>4.564958300329422E-2</v>
      </c>
    </row>
    <row r="262" spans="44:94" x14ac:dyDescent="0.2">
      <c r="AR262">
        <v>254</v>
      </c>
      <c r="AS262">
        <v>254</v>
      </c>
      <c r="AT262">
        <v>1</v>
      </c>
      <c r="AU262">
        <v>-3.2386393552734489</v>
      </c>
      <c r="AV262">
        <v>4.6040202532932568E-2</v>
      </c>
    </row>
    <row r="263" spans="44:94" x14ac:dyDescent="0.2">
      <c r="AR263">
        <v>255</v>
      </c>
      <c r="AS263">
        <v>255</v>
      </c>
      <c r="AT263">
        <v>1</v>
      </c>
      <c r="AU263">
        <v>-3.2076988239561031</v>
      </c>
      <c r="AV263">
        <v>4.6431768160508827E-2</v>
      </c>
    </row>
    <row r="264" spans="44:94" x14ac:dyDescent="0.2">
      <c r="AR264">
        <v>256</v>
      </c>
      <c r="AS264">
        <v>256</v>
      </c>
      <c r="AT264">
        <v>1</v>
      </c>
      <c r="AU264">
        <v>-3.1767582926387563</v>
      </c>
      <c r="AV264">
        <v>4.6824247344326497E-2</v>
      </c>
    </row>
    <row r="265" spans="44:94" x14ac:dyDescent="0.2">
      <c r="AR265">
        <v>257</v>
      </c>
      <c r="AS265">
        <v>257</v>
      </c>
      <c r="AT265">
        <v>1</v>
      </c>
      <c r="AU265">
        <v>-3.1458177613214104</v>
      </c>
      <c r="AV265">
        <v>4.7217607124736695E-2</v>
      </c>
    </row>
    <row r="266" spans="44:94" x14ac:dyDescent="0.2">
      <c r="AR266">
        <v>258</v>
      </c>
      <c r="AS266">
        <v>258</v>
      </c>
      <c r="AT266">
        <v>1</v>
      </c>
      <c r="AU266">
        <v>-3.1148772300040646</v>
      </c>
      <c r="AV266">
        <v>4.761181412743809E-2</v>
      </c>
    </row>
    <row r="267" spans="44:94" x14ac:dyDescent="0.2">
      <c r="AR267">
        <v>259</v>
      </c>
      <c r="AS267">
        <v>259</v>
      </c>
      <c r="AT267">
        <v>1</v>
      </c>
      <c r="AU267">
        <v>-3.0839366986867178</v>
      </c>
      <c r="AV267">
        <v>4.8006834566911891E-2</v>
      </c>
    </row>
    <row r="268" spans="44:94" x14ac:dyDescent="0.2">
      <c r="AR268">
        <v>260</v>
      </c>
      <c r="AS268">
        <v>260</v>
      </c>
      <c r="AT268">
        <v>1</v>
      </c>
      <c r="AU268">
        <v>-3.052996167369372</v>
      </c>
      <c r="AV268">
        <v>4.840263424999218E-2</v>
      </c>
    </row>
    <row r="269" spans="44:94" x14ac:dyDescent="0.2">
      <c r="AR269">
        <v>261</v>
      </c>
      <c r="AS269">
        <v>261</v>
      </c>
      <c r="AT269">
        <v>1</v>
      </c>
      <c r="AU269">
        <v>-3.0220556360520252</v>
      </c>
      <c r="AV269">
        <v>4.8799178579571757E-2</v>
      </c>
    </row>
    <row r="270" spans="44:94" x14ac:dyDescent="0.2">
      <c r="AR270">
        <v>262</v>
      </c>
      <c r="AS270">
        <v>262</v>
      </c>
      <c r="AT270">
        <v>1</v>
      </c>
      <c r="AU270">
        <v>-2.9911151047346785</v>
      </c>
      <c r="AV270">
        <v>4.9196432558443137E-2</v>
      </c>
    </row>
    <row r="271" spans="44:94" x14ac:dyDescent="0.2">
      <c r="AR271">
        <v>263</v>
      </c>
      <c r="AS271">
        <v>263</v>
      </c>
      <c r="AT271">
        <v>1</v>
      </c>
      <c r="AU271">
        <v>-2.9601745734173335</v>
      </c>
      <c r="AV271">
        <v>4.9594360793274707E-2</v>
      </c>
    </row>
    <row r="272" spans="44:94" x14ac:dyDescent="0.2">
      <c r="AR272">
        <v>264</v>
      </c>
      <c r="AS272">
        <v>264</v>
      </c>
      <c r="AT272">
        <v>1</v>
      </c>
      <c r="AU272">
        <v>-2.9292340420999867</v>
      </c>
      <c r="AV272">
        <v>4.999292749872232E-2</v>
      </c>
    </row>
    <row r="273" spans="44:48" x14ac:dyDescent="0.2">
      <c r="AR273">
        <v>265</v>
      </c>
      <c r="AS273">
        <v>265</v>
      </c>
      <c r="AT273">
        <v>1</v>
      </c>
      <c r="AU273">
        <v>-2.89829351078264</v>
      </c>
      <c r="AV273">
        <v>5.0392096501675324E-2</v>
      </c>
    </row>
    <row r="274" spans="44:48" x14ac:dyDescent="0.2">
      <c r="AR274">
        <v>266</v>
      </c>
      <c r="AS274">
        <v>266</v>
      </c>
      <c r="AT274">
        <v>1</v>
      </c>
      <c r="AU274">
        <v>-2.8673529794652932</v>
      </c>
      <c r="AV274">
        <v>5.0791831245637777E-2</v>
      </c>
    </row>
    <row r="275" spans="44:48" x14ac:dyDescent="0.2">
      <c r="AR275">
        <v>267</v>
      </c>
      <c r="AS275">
        <v>267</v>
      </c>
      <c r="AT275">
        <v>1</v>
      </c>
      <c r="AU275">
        <v>-2.8364124481479482</v>
      </c>
      <c r="AV275">
        <v>5.1192094795243691E-2</v>
      </c>
    </row>
    <row r="276" spans="44:48" x14ac:dyDescent="0.2">
      <c r="AR276">
        <v>268</v>
      </c>
      <c r="AS276">
        <v>268</v>
      </c>
      <c r="AT276">
        <v>1</v>
      </c>
      <c r="AU276">
        <v>-2.8054719168306015</v>
      </c>
      <c r="AV276">
        <v>5.1592849840906695E-2</v>
      </c>
    </row>
    <row r="277" spans="44:48" x14ac:dyDescent="0.2">
      <c r="AR277">
        <v>269</v>
      </c>
      <c r="AS277">
        <v>269</v>
      </c>
      <c r="AT277">
        <v>1</v>
      </c>
      <c r="AU277">
        <v>-2.7745313855132547</v>
      </c>
      <c r="AV277">
        <v>5.1994058703603067E-2</v>
      </c>
    </row>
    <row r="278" spans="44:48" x14ac:dyDescent="0.2">
      <c r="AR278">
        <v>270</v>
      </c>
      <c r="AS278">
        <v>270</v>
      </c>
      <c r="AT278">
        <v>1</v>
      </c>
      <c r="AU278">
        <v>-2.7435908541959098</v>
      </c>
      <c r="AV278">
        <v>5.2395683339788258E-2</v>
      </c>
    </row>
    <row r="279" spans="44:48" x14ac:dyDescent="0.2">
      <c r="AR279">
        <v>271</v>
      </c>
      <c r="AS279">
        <v>271</v>
      </c>
      <c r="AT279">
        <v>1</v>
      </c>
      <c r="AU279">
        <v>-2.712650322878563</v>
      </c>
      <c r="AV279">
        <v>5.2797685346446251E-2</v>
      </c>
    </row>
    <row r="280" spans="44:48" x14ac:dyDescent="0.2">
      <c r="AR280">
        <v>272</v>
      </c>
      <c r="AS280">
        <v>272</v>
      </c>
      <c r="AT280">
        <v>1</v>
      </c>
      <c r="AU280">
        <v>-2.6817097915612162</v>
      </c>
      <c r="AV280">
        <v>5.3200025966270902E-2</v>
      </c>
    </row>
    <row r="281" spans="44:48" x14ac:dyDescent="0.2">
      <c r="AR281">
        <v>273</v>
      </c>
      <c r="AS281">
        <v>273</v>
      </c>
      <c r="AT281">
        <v>1</v>
      </c>
      <c r="AU281">
        <v>-2.6507692602438695</v>
      </c>
      <c r="AV281">
        <v>5.3602666092979187E-2</v>
      </c>
    </row>
    <row r="282" spans="44:48" x14ac:dyDescent="0.2">
      <c r="AR282">
        <v>274</v>
      </c>
      <c r="AS282">
        <v>274</v>
      </c>
      <c r="AT282">
        <v>1</v>
      </c>
      <c r="AU282">
        <v>-2.6198287289265245</v>
      </c>
      <c r="AV282">
        <v>5.4005566276755401E-2</v>
      </c>
    </row>
    <row r="283" spans="44:48" x14ac:dyDescent="0.2">
      <c r="AR283">
        <v>275</v>
      </c>
      <c r="AS283">
        <v>275</v>
      </c>
      <c r="AT283">
        <v>1</v>
      </c>
      <c r="AU283">
        <v>-2.5888881976091778</v>
      </c>
      <c r="AV283">
        <v>5.4408686729825663E-2</v>
      </c>
    </row>
    <row r="284" spans="44:48" x14ac:dyDescent="0.2">
      <c r="AR284">
        <v>276</v>
      </c>
      <c r="AS284">
        <v>276</v>
      </c>
      <c r="AT284">
        <v>1</v>
      </c>
      <c r="AU284">
        <v>-2.557947666291831</v>
      </c>
      <c r="AV284">
        <v>5.4811987332161978E-2</v>
      </c>
    </row>
    <row r="285" spans="44:48" x14ac:dyDescent="0.2">
      <c r="AR285">
        <v>277</v>
      </c>
      <c r="AS285">
        <v>277</v>
      </c>
      <c r="AT285">
        <v>1</v>
      </c>
      <c r="AU285">
        <v>-2.5270071349744843</v>
      </c>
      <c r="AV285">
        <v>5.5215427637315052E-2</v>
      </c>
    </row>
    <row r="286" spans="44:48" x14ac:dyDescent="0.2">
      <c r="AR286">
        <v>278</v>
      </c>
      <c r="AS286">
        <v>278</v>
      </c>
      <c r="AT286">
        <v>1</v>
      </c>
      <c r="AU286">
        <v>-2.4960666036571393</v>
      </c>
      <c r="AV286">
        <v>5.5618966878375177E-2</v>
      </c>
    </row>
    <row r="287" spans="44:48" x14ac:dyDescent="0.2">
      <c r="AR287">
        <v>279</v>
      </c>
      <c r="AS287">
        <v>279</v>
      </c>
      <c r="AT287">
        <v>1</v>
      </c>
      <c r="AU287">
        <v>-2.4651260723397925</v>
      </c>
      <c r="AV287">
        <v>5.602256397406008E-2</v>
      </c>
    </row>
    <row r="288" spans="44:48" x14ac:dyDescent="0.2">
      <c r="AR288">
        <v>280</v>
      </c>
      <c r="AS288">
        <v>280</v>
      </c>
      <c r="AT288">
        <v>1</v>
      </c>
      <c r="AU288">
        <v>-2.4341855410224458</v>
      </c>
      <c r="AV288">
        <v>5.64261775349287E-2</v>
      </c>
    </row>
    <row r="289" spans="44:48" x14ac:dyDescent="0.2">
      <c r="AR289">
        <v>281</v>
      </c>
      <c r="AS289">
        <v>281</v>
      </c>
      <c r="AT289">
        <v>1</v>
      </c>
      <c r="AU289">
        <v>-2.403245009705099</v>
      </c>
      <c r="AV289">
        <v>5.6829765869720113E-2</v>
      </c>
    </row>
    <row r="290" spans="44:48" x14ac:dyDescent="0.2">
      <c r="AR290">
        <v>282</v>
      </c>
      <c r="AS290">
        <v>282</v>
      </c>
      <c r="AT290">
        <v>1</v>
      </c>
      <c r="AU290">
        <v>-2.372304478387754</v>
      </c>
      <c r="AV290">
        <v>5.7233286991816623E-2</v>
      </c>
    </row>
    <row r="291" spans="44:48" x14ac:dyDescent="0.2">
      <c r="AR291">
        <v>283</v>
      </c>
      <c r="AS291">
        <v>283</v>
      </c>
      <c r="AT291">
        <v>1</v>
      </c>
      <c r="AU291">
        <v>-2.3413639470704073</v>
      </c>
      <c r="AV291">
        <v>5.7636698625829472E-2</v>
      </c>
    </row>
    <row r="292" spans="44:48" x14ac:dyDescent="0.2">
      <c r="AR292">
        <v>284</v>
      </c>
      <c r="AS292">
        <v>284</v>
      </c>
      <c r="AT292">
        <v>1</v>
      </c>
      <c r="AU292">
        <v>-2.3104234157530605</v>
      </c>
      <c r="AV292">
        <v>5.8039958214306318E-2</v>
      </c>
    </row>
    <row r="293" spans="44:48" x14ac:dyDescent="0.2">
      <c r="AR293">
        <v>285</v>
      </c>
      <c r="AS293">
        <v>285</v>
      </c>
      <c r="AT293">
        <v>1</v>
      </c>
      <c r="AU293">
        <v>-2.2794828844357156</v>
      </c>
      <c r="AV293">
        <v>5.8443022924559392E-2</v>
      </c>
    </row>
    <row r="294" spans="44:48" x14ac:dyDescent="0.2">
      <c r="AR294">
        <v>286</v>
      </c>
      <c r="AS294">
        <v>286</v>
      </c>
      <c r="AT294">
        <v>1</v>
      </c>
      <c r="AU294">
        <v>-2.2485423531183688</v>
      </c>
      <c r="AV294">
        <v>5.8845849655612646E-2</v>
      </c>
    </row>
    <row r="295" spans="44:48" x14ac:dyDescent="0.2">
      <c r="AR295">
        <v>287</v>
      </c>
      <c r="AS295">
        <v>287</v>
      </c>
      <c r="AT295">
        <v>1</v>
      </c>
      <c r="AU295">
        <v>-2.2176018218010221</v>
      </c>
      <c r="AV295">
        <v>5.924839504526689E-2</v>
      </c>
    </row>
    <row r="296" spans="44:48" x14ac:dyDescent="0.2">
      <c r="AR296">
        <v>288</v>
      </c>
      <c r="AS296">
        <v>288</v>
      </c>
      <c r="AT296">
        <v>1</v>
      </c>
      <c r="AU296">
        <v>-2.1866612904836753</v>
      </c>
      <c r="AV296">
        <v>5.9650615477281441E-2</v>
      </c>
    </row>
    <row r="297" spans="44:48" x14ac:dyDescent="0.2">
      <c r="AR297">
        <v>289</v>
      </c>
      <c r="AS297">
        <v>289</v>
      </c>
      <c r="AT297">
        <v>1</v>
      </c>
      <c r="AU297">
        <v>-2.1557207591663303</v>
      </c>
      <c r="AV297">
        <v>6.0052467088670874E-2</v>
      </c>
    </row>
    <row r="298" spans="44:48" x14ac:dyDescent="0.2">
      <c r="AR298">
        <v>290</v>
      </c>
      <c r="AS298">
        <v>290</v>
      </c>
      <c r="AT298">
        <v>1</v>
      </c>
      <c r="AU298">
        <v>-2.1247802278489836</v>
      </c>
      <c r="AV298">
        <v>6.0453905777115492E-2</v>
      </c>
    </row>
    <row r="299" spans="44:48" x14ac:dyDescent="0.2">
      <c r="AR299">
        <v>291</v>
      </c>
      <c r="AS299">
        <v>291</v>
      </c>
      <c r="AT299">
        <v>1</v>
      </c>
      <c r="AU299">
        <v>-2.0938396965316368</v>
      </c>
      <c r="AV299">
        <v>6.0854887208483491E-2</v>
      </c>
    </row>
    <row r="300" spans="44:48" x14ac:dyDescent="0.2">
      <c r="AR300">
        <v>292</v>
      </c>
      <c r="AS300">
        <v>292</v>
      </c>
      <c r="AT300">
        <v>1</v>
      </c>
      <c r="AU300">
        <v>-2.0628991652142901</v>
      </c>
      <c r="AV300">
        <v>6.1255366824464134E-2</v>
      </c>
    </row>
    <row r="301" spans="44:48" x14ac:dyDescent="0.2">
      <c r="AR301">
        <v>293</v>
      </c>
      <c r="AS301">
        <v>293</v>
      </c>
      <c r="AT301">
        <v>1</v>
      </c>
      <c r="AU301">
        <v>-2.0319586338969451</v>
      </c>
      <c r="AV301">
        <v>6.1655299850309382E-2</v>
      </c>
    </row>
    <row r="302" spans="44:48" x14ac:dyDescent="0.2">
      <c r="AR302">
        <v>294</v>
      </c>
      <c r="AS302">
        <v>294</v>
      </c>
      <c r="AT302">
        <v>1</v>
      </c>
      <c r="AU302">
        <v>-2.0010181025795983</v>
      </c>
      <c r="AV302">
        <v>6.2054641302683032E-2</v>
      </c>
    </row>
    <row r="303" spans="44:48" x14ac:dyDescent="0.2">
      <c r="AR303">
        <v>295</v>
      </c>
      <c r="AS303">
        <v>295</v>
      </c>
      <c r="AT303">
        <v>1</v>
      </c>
      <c r="AU303">
        <v>-1.9700775712622516</v>
      </c>
      <c r="AV303">
        <v>6.245334599761497E-2</v>
      </c>
    </row>
    <row r="304" spans="44:48" x14ac:dyDescent="0.2">
      <c r="AR304">
        <v>296</v>
      </c>
      <c r="AS304">
        <v>296</v>
      </c>
      <c r="AT304">
        <v>1</v>
      </c>
      <c r="AU304">
        <v>-1.9391370399449066</v>
      </c>
      <c r="AV304">
        <v>6.2851368558559259E-2</v>
      </c>
    </row>
    <row r="305" spans="44:48" x14ac:dyDescent="0.2">
      <c r="AR305">
        <v>297</v>
      </c>
      <c r="AS305">
        <v>297</v>
      </c>
      <c r="AT305">
        <v>1</v>
      </c>
      <c r="AU305">
        <v>-1.9081965086275599</v>
      </c>
      <c r="AV305">
        <v>6.3248663424554263E-2</v>
      </c>
    </row>
    <row r="306" spans="44:48" x14ac:dyDescent="0.2">
      <c r="AR306">
        <v>298</v>
      </c>
      <c r="AS306">
        <v>298</v>
      </c>
      <c r="AT306">
        <v>1</v>
      </c>
      <c r="AU306">
        <v>-1.8772559773102131</v>
      </c>
      <c r="AV306">
        <v>6.3645184858482307E-2</v>
      </c>
    </row>
    <row r="307" spans="44:48" x14ac:dyDescent="0.2">
      <c r="AR307">
        <v>299</v>
      </c>
      <c r="AS307">
        <v>299</v>
      </c>
      <c r="AT307">
        <v>1</v>
      </c>
      <c r="AU307">
        <v>-1.8463154459928663</v>
      </c>
      <c r="AV307">
        <v>6.4040886955427617E-2</v>
      </c>
    </row>
    <row r="308" spans="44:48" x14ac:dyDescent="0.2">
      <c r="AR308">
        <v>300</v>
      </c>
      <c r="AS308">
        <v>300</v>
      </c>
      <c r="AT308">
        <v>1</v>
      </c>
      <c r="AU308">
        <v>-1.8153749146755214</v>
      </c>
      <c r="AV308">
        <v>6.4435723651130344E-2</v>
      </c>
    </row>
    <row r="309" spans="44:48" x14ac:dyDescent="0.2">
      <c r="AR309">
        <v>301</v>
      </c>
      <c r="AS309">
        <v>301</v>
      </c>
      <c r="AT309">
        <v>1</v>
      </c>
      <c r="AU309">
        <v>-1.7844343833581746</v>
      </c>
      <c r="AV309">
        <v>6.482964873053447E-2</v>
      </c>
    </row>
    <row r="310" spans="44:48" x14ac:dyDescent="0.2">
      <c r="AR310">
        <v>302</v>
      </c>
      <c r="AS310">
        <v>302</v>
      </c>
      <c r="AT310">
        <v>1</v>
      </c>
      <c r="AU310">
        <v>-1.7534938520408279</v>
      </c>
      <c r="AV310">
        <v>6.5222615836427758E-2</v>
      </c>
    </row>
    <row r="311" spans="44:48" x14ac:dyDescent="0.2">
      <c r="AR311">
        <v>303</v>
      </c>
      <c r="AS311">
        <v>303</v>
      </c>
      <c r="AT311">
        <v>1</v>
      </c>
      <c r="AU311">
        <v>-1.7225533207234811</v>
      </c>
      <c r="AV311">
        <v>6.5614578478171454E-2</v>
      </c>
    </row>
    <row r="312" spans="44:48" x14ac:dyDescent="0.2">
      <c r="AR312">
        <v>304</v>
      </c>
      <c r="AS312">
        <v>304</v>
      </c>
      <c r="AT312">
        <v>1</v>
      </c>
      <c r="AU312">
        <v>-1.6916127894061361</v>
      </c>
      <c r="AV312">
        <v>6.600549004051777E-2</v>
      </c>
    </row>
    <row r="313" spans="44:48" x14ac:dyDescent="0.2">
      <c r="AR313">
        <v>305</v>
      </c>
      <c r="AS313">
        <v>305</v>
      </c>
      <c r="AT313">
        <v>1</v>
      </c>
      <c r="AU313">
        <v>-1.6606722580887894</v>
      </c>
      <c r="AV313">
        <v>6.6395303792512822E-2</v>
      </c>
    </row>
    <row r="314" spans="44:48" x14ac:dyDescent="0.2">
      <c r="AR314">
        <v>306</v>
      </c>
      <c r="AS314">
        <v>306</v>
      </c>
      <c r="AT314">
        <v>1</v>
      </c>
      <c r="AU314">
        <v>-1.6297317267714426</v>
      </c>
      <c r="AV314">
        <v>6.6783972896482705E-2</v>
      </c>
    </row>
    <row r="315" spans="44:48" x14ac:dyDescent="0.2">
      <c r="AR315">
        <v>307</v>
      </c>
      <c r="AS315">
        <v>307</v>
      </c>
      <c r="AT315">
        <v>1</v>
      </c>
      <c r="AU315">
        <v>-1.5987911954540959</v>
      </c>
      <c r="AV315">
        <v>6.7171450417100473E-2</v>
      </c>
    </row>
    <row r="316" spans="44:48" x14ac:dyDescent="0.2">
      <c r="AR316">
        <v>308</v>
      </c>
      <c r="AS316">
        <v>308</v>
      </c>
      <c r="AT316">
        <v>1</v>
      </c>
      <c r="AU316">
        <v>-1.5678506641367509</v>
      </c>
      <c r="AV316">
        <v>6.7557689330531856E-2</v>
      </c>
    </row>
    <row r="317" spans="44:48" x14ac:dyDescent="0.2">
      <c r="AR317">
        <v>309</v>
      </c>
      <c r="AS317">
        <v>309</v>
      </c>
      <c r="AT317">
        <v>1</v>
      </c>
      <c r="AU317">
        <v>-1.5369101328194041</v>
      </c>
      <c r="AV317">
        <v>6.7942642533657088E-2</v>
      </c>
    </row>
    <row r="318" spans="44:48" x14ac:dyDescent="0.2">
      <c r="AR318">
        <v>310</v>
      </c>
      <c r="AS318">
        <v>310</v>
      </c>
      <c r="AT318">
        <v>1</v>
      </c>
      <c r="AU318">
        <v>-1.5059696015020574</v>
      </c>
      <c r="AV318">
        <v>6.8326262853366473E-2</v>
      </c>
    </row>
    <row r="319" spans="44:48" x14ac:dyDescent="0.2">
      <c r="AR319">
        <v>311</v>
      </c>
      <c r="AS319">
        <v>311</v>
      </c>
      <c r="AT319">
        <v>1</v>
      </c>
      <c r="AU319">
        <v>-1.4750290701847124</v>
      </c>
      <c r="AV319">
        <v>6.8708503055927253E-2</v>
      </c>
    </row>
    <row r="320" spans="44:48" x14ac:dyDescent="0.2">
      <c r="AR320">
        <v>312</v>
      </c>
      <c r="AS320">
        <v>312</v>
      </c>
      <c r="AT320">
        <v>1</v>
      </c>
      <c r="AU320">
        <v>-1.4440885388673657</v>
      </c>
      <c r="AV320">
        <v>6.9089315856419545E-2</v>
      </c>
    </row>
    <row r="321" spans="44:48" x14ac:dyDescent="0.2">
      <c r="AR321">
        <v>313</v>
      </c>
      <c r="AS321">
        <v>313</v>
      </c>
      <c r="AT321">
        <v>1</v>
      </c>
      <c r="AU321">
        <v>-1.4131480075500189</v>
      </c>
      <c r="AV321">
        <v>6.946865392823813E-2</v>
      </c>
    </row>
    <row r="322" spans="44:48" x14ac:dyDescent="0.2">
      <c r="AR322">
        <v>314</v>
      </c>
      <c r="AS322">
        <v>314</v>
      </c>
      <c r="AT322">
        <v>1</v>
      </c>
      <c r="AU322">
        <v>-1.3822074762326721</v>
      </c>
      <c r="AV322">
        <v>6.9846469912658332E-2</v>
      </c>
    </row>
    <row r="323" spans="44:48" x14ac:dyDescent="0.2">
      <c r="AR323">
        <v>315</v>
      </c>
      <c r="AS323">
        <v>315</v>
      </c>
      <c r="AT323">
        <v>1</v>
      </c>
      <c r="AU323">
        <v>-1.3512669449153272</v>
      </c>
      <c r="AV323">
        <v>7.0222716428462728E-2</v>
      </c>
    </row>
    <row r="324" spans="44:48" x14ac:dyDescent="0.2">
      <c r="AR324">
        <v>316</v>
      </c>
      <c r="AS324">
        <v>316</v>
      </c>
      <c r="AT324">
        <v>1</v>
      </c>
      <c r="AU324">
        <v>-1.3203264135979804</v>
      </c>
      <c r="AV324">
        <v>7.0597346081626502E-2</v>
      </c>
    </row>
    <row r="325" spans="44:48" x14ac:dyDescent="0.2">
      <c r="AR325">
        <v>317</v>
      </c>
      <c r="AS325">
        <v>317</v>
      </c>
      <c r="AT325">
        <v>1</v>
      </c>
      <c r="AU325">
        <v>-1.2893858822806337</v>
      </c>
      <c r="AV325">
        <v>7.0970311475058181E-2</v>
      </c>
    </row>
    <row r="326" spans="44:48" x14ac:dyDescent="0.2">
      <c r="AR326">
        <v>318</v>
      </c>
      <c r="AS326">
        <v>318</v>
      </c>
      <c r="AT326">
        <v>1</v>
      </c>
      <c r="AU326">
        <v>-1.2584453509632869</v>
      </c>
      <c r="AV326">
        <v>7.1341565218393771E-2</v>
      </c>
    </row>
    <row r="327" spans="44:48" x14ac:dyDescent="0.2">
      <c r="AR327">
        <v>319</v>
      </c>
      <c r="AS327">
        <v>319</v>
      </c>
      <c r="AT327">
        <v>1</v>
      </c>
      <c r="AU327">
        <v>-1.2275048196459419</v>
      </c>
      <c r="AV327">
        <v>7.1711059937840951E-2</v>
      </c>
    </row>
    <row r="328" spans="44:48" x14ac:dyDescent="0.2">
      <c r="AR328">
        <v>320</v>
      </c>
      <c r="AS328">
        <v>320</v>
      </c>
      <c r="AT328">
        <v>1</v>
      </c>
      <c r="AU328">
        <v>-1.1965642883285952</v>
      </c>
      <c r="AV328">
        <v>7.2078748286070776E-2</v>
      </c>
    </row>
    <row r="329" spans="44:48" x14ac:dyDescent="0.2">
      <c r="AR329">
        <v>321</v>
      </c>
      <c r="AS329">
        <v>321</v>
      </c>
      <c r="AT329">
        <v>1</v>
      </c>
      <c r="AU329">
        <v>-1.1656237570112484</v>
      </c>
      <c r="AV329">
        <v>7.2444582952153891E-2</v>
      </c>
    </row>
    <row r="330" spans="44:48" x14ac:dyDescent="0.2">
      <c r="AR330">
        <v>322</v>
      </c>
      <c r="AS330">
        <v>322</v>
      </c>
      <c r="AT330">
        <v>1</v>
      </c>
      <c r="AU330">
        <v>-1.1346832256939035</v>
      </c>
      <c r="AV330">
        <v>7.2808516671538759E-2</v>
      </c>
    </row>
    <row r="331" spans="44:48" x14ac:dyDescent="0.2">
      <c r="AR331">
        <v>323</v>
      </c>
      <c r="AS331">
        <v>323</v>
      </c>
      <c r="AT331">
        <v>1</v>
      </c>
      <c r="AU331">
        <v>-1.1037426943765567</v>
      </c>
      <c r="AV331">
        <v>7.3170502236068719E-2</v>
      </c>
    </row>
    <row r="332" spans="44:48" x14ac:dyDescent="0.2">
      <c r="AR332">
        <v>324</v>
      </c>
      <c r="AS332">
        <v>324</v>
      </c>
      <c r="AT332">
        <v>1</v>
      </c>
      <c r="AU332">
        <v>-1.0728021630592099</v>
      </c>
      <c r="AV332">
        <v>7.3530492504034803E-2</v>
      </c>
    </row>
    <row r="333" spans="44:48" x14ac:dyDescent="0.2">
      <c r="AR333">
        <v>325</v>
      </c>
      <c r="AS333">
        <v>325</v>
      </c>
      <c r="AT333">
        <v>1</v>
      </c>
      <c r="AU333">
        <v>-1.0418616317418632</v>
      </c>
      <c r="AV333">
        <v>7.3888440410261963E-2</v>
      </c>
    </row>
    <row r="334" spans="44:48" x14ac:dyDescent="0.2">
      <c r="AR334">
        <v>326</v>
      </c>
      <c r="AS334">
        <v>326</v>
      </c>
      <c r="AT334">
        <v>1</v>
      </c>
      <c r="AU334">
        <v>-1.0109211004245182</v>
      </c>
      <c r="AV334">
        <v>7.424429897622517E-2</v>
      </c>
    </row>
    <row r="335" spans="44:48" x14ac:dyDescent="0.2">
      <c r="AR335">
        <v>327</v>
      </c>
      <c r="AS335">
        <v>327</v>
      </c>
      <c r="AT335">
        <v>1</v>
      </c>
      <c r="AU335">
        <v>-0.97998056910717146</v>
      </c>
      <c r="AV335">
        <v>7.4598021320192706E-2</v>
      </c>
    </row>
    <row r="336" spans="44:48" x14ac:dyDescent="0.2">
      <c r="AR336">
        <v>328</v>
      </c>
      <c r="AS336">
        <v>328</v>
      </c>
      <c r="AT336">
        <v>1</v>
      </c>
      <c r="AU336">
        <v>-0.94904003778982471</v>
      </c>
      <c r="AV336">
        <v>7.4949560667393333E-2</v>
      </c>
    </row>
    <row r="337" spans="44:48" x14ac:dyDescent="0.2">
      <c r="AR337">
        <v>329</v>
      </c>
      <c r="AS337">
        <v>329</v>
      </c>
      <c r="AT337">
        <v>1</v>
      </c>
      <c r="AU337">
        <v>-0.91809950647247796</v>
      </c>
      <c r="AV337">
        <v>7.5298870360204814E-2</v>
      </c>
    </row>
    <row r="338" spans="44:48" x14ac:dyDescent="0.2">
      <c r="AR338">
        <v>330</v>
      </c>
      <c r="AS338">
        <v>330</v>
      </c>
      <c r="AT338">
        <v>1</v>
      </c>
      <c r="AU338">
        <v>-0.88715897515513298</v>
      </c>
      <c r="AV338">
        <v>7.5645903868360106E-2</v>
      </c>
    </row>
    <row r="339" spans="44:48" x14ac:dyDescent="0.2">
      <c r="AR339">
        <v>331</v>
      </c>
      <c r="AS339">
        <v>331</v>
      </c>
      <c r="AT339">
        <v>1</v>
      </c>
      <c r="AU339">
        <v>-0.85621844383778623</v>
      </c>
      <c r="AV339">
        <v>7.5990614799168715E-2</v>
      </c>
    </row>
    <row r="340" spans="44:48" x14ac:dyDescent="0.2">
      <c r="AR340">
        <v>332</v>
      </c>
      <c r="AS340">
        <v>332</v>
      </c>
      <c r="AT340">
        <v>1</v>
      </c>
      <c r="AU340">
        <v>-0.82527791252043947</v>
      </c>
      <c r="AV340">
        <v>7.6332956907749591E-2</v>
      </c>
    </row>
    <row r="341" spans="44:48" x14ac:dyDescent="0.2">
      <c r="AR341">
        <v>333</v>
      </c>
      <c r="AS341">
        <v>333</v>
      </c>
      <c r="AT341">
        <v>1</v>
      </c>
      <c r="AU341">
        <v>-0.79433738120309272</v>
      </c>
      <c r="AV341">
        <v>7.6672884107272812E-2</v>
      </c>
    </row>
    <row r="342" spans="44:48" x14ac:dyDescent="0.2">
      <c r="AR342">
        <v>334</v>
      </c>
      <c r="AS342">
        <v>334</v>
      </c>
      <c r="AT342">
        <v>1</v>
      </c>
      <c r="AU342">
        <v>-0.76339684988574774</v>
      </c>
      <c r="AV342">
        <v>7.701035047920686E-2</v>
      </c>
    </row>
    <row r="343" spans="44:48" x14ac:dyDescent="0.2">
      <c r="AR343">
        <v>335</v>
      </c>
      <c r="AS343">
        <v>335</v>
      </c>
      <c r="AT343">
        <v>1</v>
      </c>
      <c r="AU343">
        <v>-0.73245631856840099</v>
      </c>
      <c r="AV343">
        <v>7.7345310283568197E-2</v>
      </c>
    </row>
    <row r="344" spans="44:48" x14ac:dyDescent="0.2">
      <c r="AR344">
        <v>336</v>
      </c>
      <c r="AS344">
        <v>336</v>
      </c>
      <c r="AT344">
        <v>1</v>
      </c>
      <c r="AU344">
        <v>-0.70151578725105423</v>
      </c>
      <c r="AV344">
        <v>7.7677717969169946E-2</v>
      </c>
    </row>
    <row r="345" spans="44:48" x14ac:dyDescent="0.2">
      <c r="AR345">
        <v>337</v>
      </c>
      <c r="AS345">
        <v>337</v>
      </c>
      <c r="AT345">
        <v>1</v>
      </c>
      <c r="AU345">
        <v>-0.67057525593370926</v>
      </c>
      <c r="AV345">
        <v>7.8007528183866748E-2</v>
      </c>
    </row>
    <row r="346" spans="44:48" x14ac:dyDescent="0.2">
      <c r="AR346">
        <v>338</v>
      </c>
      <c r="AS346">
        <v>338</v>
      </c>
      <c r="AT346">
        <v>1</v>
      </c>
      <c r="AU346">
        <v>-0.6396347246163625</v>
      </c>
      <c r="AV346">
        <v>7.8334695784792491E-2</v>
      </c>
    </row>
    <row r="347" spans="44:48" x14ac:dyDescent="0.2">
      <c r="AR347">
        <v>339</v>
      </c>
      <c r="AS347">
        <v>339</v>
      </c>
      <c r="AT347">
        <v>1</v>
      </c>
      <c r="AU347">
        <v>-0.60869419329901575</v>
      </c>
      <c r="AV347">
        <v>7.8659175848587309E-2</v>
      </c>
    </row>
    <row r="348" spans="44:48" x14ac:dyDescent="0.2">
      <c r="AR348">
        <v>340</v>
      </c>
      <c r="AS348">
        <v>340</v>
      </c>
      <c r="AT348">
        <v>1</v>
      </c>
      <c r="AU348">
        <v>-0.577753661981669</v>
      </c>
      <c r="AV348">
        <v>7.8980923681611456E-2</v>
      </c>
    </row>
    <row r="349" spans="44:48" x14ac:dyDescent="0.2">
      <c r="AR349">
        <v>341</v>
      </c>
      <c r="AS349">
        <v>341</v>
      </c>
      <c r="AT349">
        <v>1</v>
      </c>
      <c r="AU349">
        <v>-0.54681313066432402</v>
      </c>
      <c r="AV349">
        <v>7.9299894830141965E-2</v>
      </c>
    </row>
    <row r="350" spans="44:48" x14ac:dyDescent="0.2">
      <c r="AR350">
        <v>342</v>
      </c>
      <c r="AS350">
        <v>342</v>
      </c>
      <c r="AT350">
        <v>1</v>
      </c>
      <c r="AU350">
        <v>-0.51587259934697727</v>
      </c>
      <c r="AV350">
        <v>7.9616045090549495E-2</v>
      </c>
    </row>
    <row r="351" spans="44:48" x14ac:dyDescent="0.2">
      <c r="AR351">
        <v>343</v>
      </c>
      <c r="AS351">
        <v>343</v>
      </c>
      <c r="AT351">
        <v>1</v>
      </c>
      <c r="AU351">
        <v>-0.48493206802963051</v>
      </c>
      <c r="AV351">
        <v>7.9929330519451641E-2</v>
      </c>
    </row>
    <row r="352" spans="44:48" x14ac:dyDescent="0.2">
      <c r="AR352">
        <v>344</v>
      </c>
      <c r="AS352">
        <v>344</v>
      </c>
      <c r="AT352">
        <v>1</v>
      </c>
      <c r="AU352">
        <v>-0.45399153671228376</v>
      </c>
      <c r="AV352">
        <v>8.0239707443839958E-2</v>
      </c>
    </row>
    <row r="353" spans="44:48" x14ac:dyDescent="0.2">
      <c r="AR353">
        <v>345</v>
      </c>
      <c r="AS353">
        <v>345</v>
      </c>
      <c r="AT353">
        <v>1</v>
      </c>
      <c r="AU353">
        <v>-0.42305100539493878</v>
      </c>
      <c r="AV353">
        <v>8.054713247117698E-2</v>
      </c>
    </row>
    <row r="354" spans="44:48" x14ac:dyDescent="0.2">
      <c r="AR354">
        <v>346</v>
      </c>
      <c r="AS354">
        <v>346</v>
      </c>
      <c r="AT354">
        <v>1</v>
      </c>
      <c r="AU354">
        <v>-0.39211047407759203</v>
      </c>
      <c r="AV354">
        <v>8.0851562499460336E-2</v>
      </c>
    </row>
    <row r="355" spans="44:48" x14ac:dyDescent="0.2">
      <c r="AR355">
        <v>347</v>
      </c>
      <c r="AS355">
        <v>347</v>
      </c>
      <c r="AT355">
        <v>1</v>
      </c>
      <c r="AU355">
        <v>-0.36116994276024528</v>
      </c>
      <c r="AV355">
        <v>8.1152954727250481E-2</v>
      </c>
    </row>
    <row r="356" spans="44:48" x14ac:dyDescent="0.2">
      <c r="AR356">
        <v>348</v>
      </c>
      <c r="AS356">
        <v>348</v>
      </c>
      <c r="AT356">
        <v>1</v>
      </c>
      <c r="AU356">
        <v>-0.3302294114429003</v>
      </c>
      <c r="AV356">
        <v>8.1451266663658872E-2</v>
      </c>
    </row>
    <row r="357" spans="44:48" x14ac:dyDescent="0.2">
      <c r="AR357">
        <v>349</v>
      </c>
      <c r="AS357">
        <v>349</v>
      </c>
      <c r="AT357">
        <v>1</v>
      </c>
      <c r="AU357">
        <v>-0.29928888012555355</v>
      </c>
      <c r="AV357">
        <v>8.1746456138293497E-2</v>
      </c>
    </row>
    <row r="358" spans="44:48" x14ac:dyDescent="0.2">
      <c r="AR358">
        <v>350</v>
      </c>
      <c r="AS358">
        <v>350</v>
      </c>
      <c r="AT358">
        <v>1</v>
      </c>
      <c r="AU358">
        <v>-0.26834834880820679</v>
      </c>
      <c r="AV358">
        <v>8.2038481311158165E-2</v>
      </c>
    </row>
    <row r="359" spans="44:48" x14ac:dyDescent="0.2">
      <c r="AR359">
        <v>351</v>
      </c>
      <c r="AS359">
        <v>351</v>
      </c>
      <c r="AT359">
        <v>1</v>
      </c>
      <c r="AU359">
        <v>-0.23740781749086004</v>
      </c>
      <c r="AV359">
        <v>8.2327300682502672E-2</v>
      </c>
    </row>
    <row r="360" spans="44:48" x14ac:dyDescent="0.2">
      <c r="AR360">
        <v>352</v>
      </c>
      <c r="AS360">
        <v>352</v>
      </c>
      <c r="AT360">
        <v>1</v>
      </c>
      <c r="AU360">
        <v>-0.20646728617351506</v>
      </c>
      <c r="AV360">
        <v>8.2612873102620332E-2</v>
      </c>
    </row>
    <row r="361" spans="44:48" x14ac:dyDescent="0.2">
      <c r="AR361">
        <v>353</v>
      </c>
      <c r="AS361">
        <v>353</v>
      </c>
      <c r="AT361">
        <v>1</v>
      </c>
      <c r="AU361">
        <v>-0.17552675485616831</v>
      </c>
      <c r="AV361">
        <v>8.2895157781589957E-2</v>
      </c>
    </row>
    <row r="362" spans="44:48" x14ac:dyDescent="0.2">
      <c r="AR362">
        <v>354</v>
      </c>
      <c r="AS362">
        <v>354</v>
      </c>
      <c r="AT362">
        <v>1</v>
      </c>
      <c r="AU362">
        <v>-0.14458622353882156</v>
      </c>
      <c r="AV362">
        <v>8.3174114298958657E-2</v>
      </c>
    </row>
    <row r="363" spans="44:48" x14ac:dyDescent="0.2">
      <c r="AR363">
        <v>355</v>
      </c>
      <c r="AS363">
        <v>355</v>
      </c>
      <c r="AT363">
        <v>1</v>
      </c>
      <c r="AU363">
        <v>-0.1136456922214748</v>
      </c>
      <c r="AV363">
        <v>8.344970261336257E-2</v>
      </c>
    </row>
    <row r="364" spans="44:48" x14ac:dyDescent="0.2">
      <c r="AR364">
        <v>356</v>
      </c>
      <c r="AS364">
        <v>356</v>
      </c>
      <c r="AT364">
        <v>1</v>
      </c>
      <c r="AU364">
        <v>-8.2705160904129826E-2</v>
      </c>
      <c r="AV364">
        <v>8.3721883072082323E-2</v>
      </c>
    </row>
    <row r="365" spans="44:48" x14ac:dyDescent="0.2">
      <c r="AR365">
        <v>357</v>
      </c>
      <c r="AS365">
        <v>357</v>
      </c>
      <c r="AT365">
        <v>1</v>
      </c>
      <c r="AU365">
        <v>-5.1764629586783073E-2</v>
      </c>
      <c r="AV365">
        <v>8.3990616420529809E-2</v>
      </c>
    </row>
    <row r="366" spans="44:48" x14ac:dyDescent="0.2">
      <c r="AR366">
        <v>358</v>
      </c>
      <c r="AS366">
        <v>358</v>
      </c>
      <c r="AT366">
        <v>1</v>
      </c>
      <c r="AU366">
        <v>-2.082409826943632E-2</v>
      </c>
      <c r="AV366">
        <v>8.4255863811663306E-2</v>
      </c>
    </row>
    <row r="367" spans="44:48" x14ac:dyDescent="0.2">
      <c r="AR367">
        <v>359</v>
      </c>
      <c r="AS367">
        <v>359</v>
      </c>
      <c r="AT367">
        <v>1</v>
      </c>
      <c r="AU367">
        <v>1.0116433047910434E-2</v>
      </c>
      <c r="AV367">
        <v>8.45175868153277E-2</v>
      </c>
    </row>
    <row r="368" spans="44:48" x14ac:dyDescent="0.2">
      <c r="AR368">
        <v>360</v>
      </c>
      <c r="AS368">
        <v>360</v>
      </c>
      <c r="AT368">
        <v>1</v>
      </c>
      <c r="AU368">
        <v>4.1056964365255411E-2</v>
      </c>
      <c r="AV368">
        <v>8.4775747427516854E-2</v>
      </c>
    </row>
    <row r="369" spans="44:48" x14ac:dyDescent="0.2">
      <c r="AR369">
        <v>361</v>
      </c>
      <c r="AS369">
        <v>361</v>
      </c>
      <c r="AT369">
        <v>1</v>
      </c>
      <c r="AU369">
        <v>7.1997495682602164E-2</v>
      </c>
      <c r="AV369">
        <v>8.503030807955457E-2</v>
      </c>
    </row>
    <row r="370" spans="44:48" x14ac:dyDescent="0.2">
      <c r="AR370">
        <v>362</v>
      </c>
      <c r="AS370">
        <v>362</v>
      </c>
      <c r="AT370">
        <v>1</v>
      </c>
      <c r="AU370">
        <v>0.10293802699994892</v>
      </c>
      <c r="AV370">
        <v>8.5281231647191563E-2</v>
      </c>
    </row>
    <row r="371" spans="44:48" x14ac:dyDescent="0.2">
      <c r="AR371">
        <v>363</v>
      </c>
      <c r="AS371">
        <v>363</v>
      </c>
      <c r="AT371">
        <v>1</v>
      </c>
      <c r="AU371">
        <v>0.13387855831729389</v>
      </c>
      <c r="AV371">
        <v>8.5528481459615086E-2</v>
      </c>
    </row>
    <row r="372" spans="44:48" x14ac:dyDescent="0.2">
      <c r="AR372">
        <v>364</v>
      </c>
      <c r="AS372">
        <v>364</v>
      </c>
      <c r="AT372">
        <v>1</v>
      </c>
      <c r="AU372">
        <v>0.16481908963464065</v>
      </c>
      <c r="AV372">
        <v>8.5772021308368085E-2</v>
      </c>
    </row>
    <row r="373" spans="44:48" x14ac:dyDescent="0.2">
      <c r="AR373">
        <v>365</v>
      </c>
      <c r="AS373">
        <v>365</v>
      </c>
      <c r="AT373">
        <v>1</v>
      </c>
      <c r="AU373">
        <v>0.1957596209519874</v>
      </c>
      <c r="AV373">
        <v>8.6011815456175159E-2</v>
      </c>
    </row>
    <row r="374" spans="44:48" x14ac:dyDescent="0.2">
      <c r="AR374">
        <v>366</v>
      </c>
      <c r="AS374">
        <v>366</v>
      </c>
      <c r="AT374">
        <v>1</v>
      </c>
      <c r="AU374">
        <v>0.22670015226933415</v>
      </c>
      <c r="AV374">
        <v>8.624782864567189E-2</v>
      </c>
    </row>
    <row r="375" spans="44:48" x14ac:dyDescent="0.2">
      <c r="AR375">
        <v>367</v>
      </c>
      <c r="AS375">
        <v>367</v>
      </c>
      <c r="AT375">
        <v>1</v>
      </c>
      <c r="AU375">
        <v>0.25764068358667913</v>
      </c>
      <c r="AV375">
        <v>8.6480026108034999E-2</v>
      </c>
    </row>
    <row r="376" spans="44:48" x14ac:dyDescent="0.2">
      <c r="AR376">
        <v>368</v>
      </c>
      <c r="AS376">
        <v>368</v>
      </c>
      <c r="AT376">
        <v>1</v>
      </c>
      <c r="AU376">
        <v>0.28858121490402588</v>
      </c>
      <c r="AV376">
        <v>8.6708373571510053E-2</v>
      </c>
    </row>
    <row r="377" spans="44:48" x14ac:dyDescent="0.2">
      <c r="AR377">
        <v>369</v>
      </c>
      <c r="AS377">
        <v>369</v>
      </c>
      <c r="AT377">
        <v>1</v>
      </c>
      <c r="AU377">
        <v>0.31952174622137264</v>
      </c>
      <c r="AV377">
        <v>8.6932837269833932E-2</v>
      </c>
    </row>
    <row r="378" spans="44:48" x14ac:dyDescent="0.2">
      <c r="AR378">
        <v>370</v>
      </c>
      <c r="AS378">
        <v>370</v>
      </c>
      <c r="AT378">
        <v>1</v>
      </c>
      <c r="AU378">
        <v>0.35046227753871939</v>
      </c>
      <c r="AV378">
        <v>8.7153383950549224E-2</v>
      </c>
    </row>
    <row r="379" spans="44:48" x14ac:dyDescent="0.2">
      <c r="AR379">
        <v>371</v>
      </c>
      <c r="AS379">
        <v>371</v>
      </c>
      <c r="AT379">
        <v>1</v>
      </c>
      <c r="AU379">
        <v>0.38140280885606437</v>
      </c>
      <c r="AV379">
        <v>8.7369980883207451E-2</v>
      </c>
    </row>
    <row r="380" spans="44:48" x14ac:dyDescent="0.2">
      <c r="AR380">
        <v>372</v>
      </c>
      <c r="AS380">
        <v>372</v>
      </c>
      <c r="AT380">
        <v>1</v>
      </c>
      <c r="AU380">
        <v>0.41234334017341112</v>
      </c>
      <c r="AV380">
        <v>8.7582595867458549E-2</v>
      </c>
    </row>
    <row r="381" spans="44:48" x14ac:dyDescent="0.2">
      <c r="AR381">
        <v>373</v>
      </c>
      <c r="AS381">
        <v>373</v>
      </c>
      <c r="AT381">
        <v>1</v>
      </c>
      <c r="AU381">
        <v>0.44328387149075787</v>
      </c>
      <c r="AV381">
        <v>8.7791197241023772E-2</v>
      </c>
    </row>
    <row r="382" spans="44:48" x14ac:dyDescent="0.2">
      <c r="AR382">
        <v>374</v>
      </c>
      <c r="AS382">
        <v>374</v>
      </c>
      <c r="AT382">
        <v>1</v>
      </c>
      <c r="AU382">
        <v>0.47422440280810285</v>
      </c>
      <c r="AV382">
        <v>8.7995753887548989E-2</v>
      </c>
    </row>
    <row r="383" spans="44:48" x14ac:dyDescent="0.2">
      <c r="AR383">
        <v>375</v>
      </c>
      <c r="AS383">
        <v>375</v>
      </c>
      <c r="AT383">
        <v>1</v>
      </c>
      <c r="AU383">
        <v>0.50516493412544961</v>
      </c>
      <c r="AV383">
        <v>8.8196235244336077E-2</v>
      </c>
    </row>
    <row r="384" spans="44:48" x14ac:dyDescent="0.2">
      <c r="AR384">
        <v>376</v>
      </c>
      <c r="AS384">
        <v>376</v>
      </c>
      <c r="AT384">
        <v>1</v>
      </c>
      <c r="AU384">
        <v>0.53610546544279636</v>
      </c>
      <c r="AV384">
        <v>8.8392611309949312E-2</v>
      </c>
    </row>
    <row r="385" spans="44:48" x14ac:dyDescent="0.2">
      <c r="AR385">
        <v>377</v>
      </c>
      <c r="AS385">
        <v>377</v>
      </c>
      <c r="AT385">
        <v>1</v>
      </c>
      <c r="AU385">
        <v>0.56704599676014311</v>
      </c>
      <c r="AV385">
        <v>8.8584852651694371E-2</v>
      </c>
    </row>
    <row r="386" spans="44:48" x14ac:dyDescent="0.2">
      <c r="AR386">
        <v>378</v>
      </c>
      <c r="AS386">
        <v>378</v>
      </c>
      <c r="AT386">
        <v>1</v>
      </c>
      <c r="AU386">
        <v>0.59798652807748809</v>
      </c>
      <c r="AV386">
        <v>8.8772930412967355E-2</v>
      </c>
    </row>
    <row r="387" spans="44:48" x14ac:dyDescent="0.2">
      <c r="AR387">
        <v>379</v>
      </c>
      <c r="AS387">
        <v>379</v>
      </c>
      <c r="AT387">
        <v>1</v>
      </c>
      <c r="AU387">
        <v>0.62892705939483484</v>
      </c>
      <c r="AV387">
        <v>8.8956816320470908E-2</v>
      </c>
    </row>
    <row r="388" spans="44:48" x14ac:dyDescent="0.2">
      <c r="AR388">
        <v>380</v>
      </c>
      <c r="AS388">
        <v>380</v>
      </c>
      <c r="AT388">
        <v>1</v>
      </c>
      <c r="AU388">
        <v>0.6598675907121816</v>
      </c>
      <c r="AV388">
        <v>8.9136482691295496E-2</v>
      </c>
    </row>
    <row r="389" spans="44:48" x14ac:dyDescent="0.2">
      <c r="AR389">
        <v>381</v>
      </c>
      <c r="AS389">
        <v>381</v>
      </c>
      <c r="AT389">
        <v>1</v>
      </c>
      <c r="AU389">
        <v>0.69080812202952835</v>
      </c>
      <c r="AV389">
        <v>8.9311902439862728E-2</v>
      </c>
    </row>
    <row r="390" spans="44:48" x14ac:dyDescent="0.2">
      <c r="AR390">
        <v>382</v>
      </c>
      <c r="AS390">
        <v>382</v>
      </c>
      <c r="AT390">
        <v>1</v>
      </c>
      <c r="AU390">
        <v>0.72174865334687333</v>
      </c>
      <c r="AV390">
        <v>8.9483049084728816E-2</v>
      </c>
    </row>
    <row r="391" spans="44:48" x14ac:dyDescent="0.2">
      <c r="AR391">
        <v>383</v>
      </c>
      <c r="AS391">
        <v>383</v>
      </c>
      <c r="AT391">
        <v>1</v>
      </c>
      <c r="AU391">
        <v>0.75268918466422008</v>
      </c>
      <c r="AV391">
        <v>8.9649896755245428E-2</v>
      </c>
    </row>
    <row r="392" spans="44:48" x14ac:dyDescent="0.2">
      <c r="AR392">
        <v>384</v>
      </c>
      <c r="AS392">
        <v>384</v>
      </c>
      <c r="AT392">
        <v>1</v>
      </c>
      <c r="AU392">
        <v>0.78362971598156683</v>
      </c>
      <c r="AV392">
        <v>8.9812420198075796E-2</v>
      </c>
    </row>
    <row r="393" spans="44:48" x14ac:dyDescent="0.2">
      <c r="AR393">
        <v>385</v>
      </c>
      <c r="AS393">
        <v>385</v>
      </c>
      <c r="AT393">
        <v>1</v>
      </c>
      <c r="AU393">
        <v>0.81457024729891181</v>
      </c>
      <c r="AV393">
        <v>8.9970594783563548E-2</v>
      </c>
    </row>
    <row r="394" spans="44:48" x14ac:dyDescent="0.2">
      <c r="AR394">
        <v>386</v>
      </c>
      <c r="AS394">
        <v>386</v>
      </c>
      <c r="AT394">
        <v>1</v>
      </c>
      <c r="AU394">
        <v>0.84551077861625856</v>
      </c>
      <c r="AV394">
        <v>9.0124396511952476E-2</v>
      </c>
    </row>
    <row r="395" spans="44:48" x14ac:dyDescent="0.2">
      <c r="AR395">
        <v>387</v>
      </c>
      <c r="AS395">
        <v>387</v>
      </c>
      <c r="AT395">
        <v>1</v>
      </c>
      <c r="AU395">
        <v>0.87645130993360532</v>
      </c>
      <c r="AV395">
        <v>9.0273802019454383E-2</v>
      </c>
    </row>
    <row r="396" spans="44:48" x14ac:dyDescent="0.2">
      <c r="AR396">
        <v>388</v>
      </c>
      <c r="AS396">
        <v>388</v>
      </c>
      <c r="AT396">
        <v>1</v>
      </c>
      <c r="AU396">
        <v>0.90739184125095207</v>
      </c>
      <c r="AV396">
        <v>9.0418788584163398E-2</v>
      </c>
    </row>
    <row r="397" spans="44:48" x14ac:dyDescent="0.2">
      <c r="AR397">
        <v>389</v>
      </c>
      <c r="AS397">
        <v>389</v>
      </c>
      <c r="AT397">
        <v>1</v>
      </c>
      <c r="AU397">
        <v>0.93833237256829705</v>
      </c>
      <c r="AV397">
        <v>9.0559334131814509E-2</v>
      </c>
    </row>
    <row r="398" spans="44:48" x14ac:dyDescent="0.2">
      <c r="AR398">
        <v>390</v>
      </c>
      <c r="AS398">
        <v>390</v>
      </c>
      <c r="AT398">
        <v>1</v>
      </c>
      <c r="AU398">
        <v>0.9692729038856438</v>
      </c>
      <c r="AV398">
        <v>9.0695417241384191E-2</v>
      </c>
    </row>
    <row r="399" spans="44:48" x14ac:dyDescent="0.2">
      <c r="AR399">
        <v>391</v>
      </c>
      <c r="AS399">
        <v>391</v>
      </c>
      <c r="AT399">
        <v>1</v>
      </c>
      <c r="AU399">
        <v>1.0002134352029906</v>
      </c>
      <c r="AV399">
        <v>9.0827017150531084E-2</v>
      </c>
    </row>
    <row r="400" spans="44:48" x14ac:dyDescent="0.2">
      <c r="AR400">
        <v>392</v>
      </c>
      <c r="AS400">
        <v>392</v>
      </c>
      <c r="AT400">
        <v>1</v>
      </c>
      <c r="AU400">
        <v>1.0311539665203373</v>
      </c>
      <c r="AV400">
        <v>9.0954113760875102E-2</v>
      </c>
    </row>
    <row r="401" spans="44:48" x14ac:dyDescent="0.2">
      <c r="AR401">
        <v>393</v>
      </c>
      <c r="AS401">
        <v>393</v>
      </c>
      <c r="AT401">
        <v>1</v>
      </c>
      <c r="AU401">
        <v>1.0620944978376823</v>
      </c>
      <c r="AV401">
        <v>9.1076687643112761E-2</v>
      </c>
    </row>
    <row r="402" spans="44:48" x14ac:dyDescent="0.2">
      <c r="AR402">
        <v>394</v>
      </c>
      <c r="AS402">
        <v>394</v>
      </c>
      <c r="AT402">
        <v>1</v>
      </c>
      <c r="AU402">
        <v>1.093035029155029</v>
      </c>
      <c r="AV402">
        <v>9.1194720041967006E-2</v>
      </c>
    </row>
    <row r="403" spans="44:48" x14ac:dyDescent="0.2">
      <c r="AR403">
        <v>395</v>
      </c>
      <c r="AS403">
        <v>395</v>
      </c>
      <c r="AT403">
        <v>1</v>
      </c>
      <c r="AU403">
        <v>1.1239755604723758</v>
      </c>
      <c r="AV403">
        <v>9.1308192880969863E-2</v>
      </c>
    </row>
    <row r="404" spans="44:48" x14ac:dyDescent="0.2">
      <c r="AR404">
        <v>396</v>
      </c>
      <c r="AS404">
        <v>396</v>
      </c>
      <c r="AT404">
        <v>1</v>
      </c>
      <c r="AU404">
        <v>1.1549160917897225</v>
      </c>
      <c r="AV404">
        <v>9.1417088767076091E-2</v>
      </c>
    </row>
    <row r="405" spans="44:48" x14ac:dyDescent="0.2">
      <c r="AR405">
        <v>397</v>
      </c>
      <c r="AS405">
        <v>397</v>
      </c>
      <c r="AT405">
        <v>1</v>
      </c>
      <c r="AU405">
        <v>1.1858566231070675</v>
      </c>
      <c r="AV405">
        <v>9.1521390995106269E-2</v>
      </c>
    </row>
    <row r="406" spans="44:48" x14ac:dyDescent="0.2">
      <c r="AR406">
        <v>398</v>
      </c>
      <c r="AS406">
        <v>398</v>
      </c>
      <c r="AT406">
        <v>1</v>
      </c>
      <c r="AU406">
        <v>1.2167971544244143</v>
      </c>
      <c r="AV406">
        <v>9.1621083552017632E-2</v>
      </c>
    </row>
    <row r="407" spans="44:48" x14ac:dyDescent="0.2">
      <c r="AR407">
        <v>399</v>
      </c>
      <c r="AS407">
        <v>399</v>
      </c>
      <c r="AT407">
        <v>1</v>
      </c>
      <c r="AU407">
        <v>1.247737685741761</v>
      </c>
      <c r="AV407">
        <v>9.171615112100133E-2</v>
      </c>
    </row>
    <row r="408" spans="44:48" x14ac:dyDescent="0.2">
      <c r="AR408">
        <v>400</v>
      </c>
      <c r="AS408">
        <v>400</v>
      </c>
      <c r="AT408">
        <v>1</v>
      </c>
      <c r="AU408">
        <v>1.278678217059106</v>
      </c>
      <c r="AV408">
        <v>9.1806579085404266E-2</v>
      </c>
    </row>
    <row r="409" spans="44:48" x14ac:dyDescent="0.2">
      <c r="AR409">
        <v>401</v>
      </c>
      <c r="AS409">
        <v>401</v>
      </c>
      <c r="AT409">
        <v>1</v>
      </c>
      <c r="AU409">
        <v>1.3096187483764528</v>
      </c>
      <c r="AV409">
        <v>9.1892353532474602E-2</v>
      </c>
    </row>
    <row r="410" spans="44:48" x14ac:dyDescent="0.2">
      <c r="AR410">
        <v>402</v>
      </c>
      <c r="AS410">
        <v>402</v>
      </c>
      <c r="AT410">
        <v>1</v>
      </c>
      <c r="AU410">
        <v>1.3405592796937995</v>
      </c>
      <c r="AV410">
        <v>9.1973461256929123E-2</v>
      </c>
    </row>
    <row r="411" spans="44:48" x14ac:dyDescent="0.2">
      <c r="AR411">
        <v>403</v>
      </c>
      <c r="AS411">
        <v>403</v>
      </c>
      <c r="AT411">
        <v>1</v>
      </c>
      <c r="AU411">
        <v>1.3714998110111463</v>
      </c>
      <c r="AV411">
        <v>9.2049889764341516E-2</v>
      </c>
    </row>
    <row r="412" spans="44:48" x14ac:dyDescent="0.2">
      <c r="AR412">
        <v>404</v>
      </c>
      <c r="AS412">
        <v>404</v>
      </c>
      <c r="AT412">
        <v>1</v>
      </c>
      <c r="AU412">
        <v>1.4024403423284912</v>
      </c>
      <c r="AV412">
        <v>9.2121627274350165E-2</v>
      </c>
    </row>
    <row r="413" spans="44:48" x14ac:dyDescent="0.2">
      <c r="AR413">
        <v>405</v>
      </c>
      <c r="AS413">
        <v>405</v>
      </c>
      <c r="AT413">
        <v>1</v>
      </c>
      <c r="AU413">
        <v>1.433380873645838</v>
      </c>
      <c r="AV413">
        <v>9.2188662723684367E-2</v>
      </c>
    </row>
    <row r="414" spans="44:48" x14ac:dyDescent="0.2">
      <c r="AR414">
        <v>406</v>
      </c>
      <c r="AS414">
        <v>406</v>
      </c>
      <c r="AT414">
        <v>1</v>
      </c>
      <c r="AU414">
        <v>1.4643214049631847</v>
      </c>
      <c r="AV414">
        <v>9.2250985769007823E-2</v>
      </c>
    </row>
    <row r="415" spans="44:48" x14ac:dyDescent="0.2">
      <c r="AR415">
        <v>407</v>
      </c>
      <c r="AS415">
        <v>407</v>
      </c>
      <c r="AT415">
        <v>1</v>
      </c>
      <c r="AU415">
        <v>1.4952619362805315</v>
      </c>
      <c r="AV415">
        <v>9.2308586789578553E-2</v>
      </c>
    </row>
    <row r="416" spans="44:48" x14ac:dyDescent="0.2">
      <c r="AR416">
        <v>408</v>
      </c>
      <c r="AS416">
        <v>408</v>
      </c>
      <c r="AT416">
        <v>1</v>
      </c>
      <c r="AU416">
        <v>1.5262024675978765</v>
      </c>
      <c r="AV416">
        <v>9.2361456889724067E-2</v>
      </c>
    </row>
    <row r="417" spans="44:48" x14ac:dyDescent="0.2">
      <c r="AR417">
        <v>409</v>
      </c>
      <c r="AS417">
        <v>409</v>
      </c>
      <c r="AT417">
        <v>1</v>
      </c>
      <c r="AU417">
        <v>1.5571429989152232</v>
      </c>
      <c r="AV417">
        <v>9.2409587901130963E-2</v>
      </c>
    </row>
    <row r="418" spans="44:48" x14ac:dyDescent="0.2">
      <c r="AR418">
        <v>410</v>
      </c>
      <c r="AS418">
        <v>410</v>
      </c>
      <c r="AT418">
        <v>1</v>
      </c>
      <c r="AU418">
        <v>1.58808353023257</v>
      </c>
      <c r="AV418">
        <v>9.2452972384948248E-2</v>
      </c>
    </row>
    <row r="419" spans="44:48" x14ac:dyDescent="0.2">
      <c r="AR419">
        <v>411</v>
      </c>
      <c r="AS419">
        <v>411</v>
      </c>
      <c r="AT419">
        <v>1</v>
      </c>
      <c r="AU419">
        <v>1.619024061549915</v>
      </c>
      <c r="AV419">
        <v>9.2491603633703429E-2</v>
      </c>
    </row>
    <row r="420" spans="44:48" x14ac:dyDescent="0.2">
      <c r="AR420">
        <v>412</v>
      </c>
      <c r="AS420">
        <v>412</v>
      </c>
      <c r="AT420">
        <v>1</v>
      </c>
      <c r="AU420">
        <v>1.6499645928672617</v>
      </c>
      <c r="AV420">
        <v>9.2525475673030905E-2</v>
      </c>
    </row>
    <row r="421" spans="44:48" x14ac:dyDescent="0.2">
      <c r="AR421">
        <v>413</v>
      </c>
      <c r="AS421">
        <v>413</v>
      </c>
      <c r="AT421">
        <v>1</v>
      </c>
      <c r="AU421">
        <v>1.6809051241846085</v>
      </c>
      <c r="AV421">
        <v>9.2554583263211795E-2</v>
      </c>
    </row>
    <row r="422" spans="44:48" x14ac:dyDescent="0.2">
      <c r="AR422">
        <v>414</v>
      </c>
      <c r="AS422">
        <v>414</v>
      </c>
      <c r="AT422">
        <v>1</v>
      </c>
      <c r="AU422">
        <v>1.7118456555019552</v>
      </c>
      <c r="AV422">
        <v>9.257892190052476E-2</v>
      </c>
    </row>
    <row r="423" spans="44:48" x14ac:dyDescent="0.2">
      <c r="AR423">
        <v>415</v>
      </c>
      <c r="AS423">
        <v>415</v>
      </c>
      <c r="AT423">
        <v>1</v>
      </c>
      <c r="AU423">
        <v>1.7427861868193002</v>
      </c>
      <c r="AV423">
        <v>9.2598487818407557E-2</v>
      </c>
    </row>
    <row r="424" spans="44:48" x14ac:dyDescent="0.2">
      <c r="AR424">
        <v>416</v>
      </c>
      <c r="AS424">
        <v>416</v>
      </c>
      <c r="AT424">
        <v>1</v>
      </c>
      <c r="AU424">
        <v>1.773726718136647</v>
      </c>
      <c r="AV424">
        <v>9.2613277988428347E-2</v>
      </c>
    </row>
    <row r="425" spans="44:48" x14ac:dyDescent="0.2">
      <c r="AR425">
        <v>417</v>
      </c>
      <c r="AS425">
        <v>417</v>
      </c>
      <c r="AT425">
        <v>1</v>
      </c>
      <c r="AU425">
        <v>1.8046672494539937</v>
      </c>
      <c r="AV425">
        <v>9.2623290121066987E-2</v>
      </c>
    </row>
    <row r="426" spans="44:48" x14ac:dyDescent="0.2">
      <c r="AR426">
        <v>418</v>
      </c>
      <c r="AS426">
        <v>418</v>
      </c>
      <c r="AT426">
        <v>1</v>
      </c>
      <c r="AU426">
        <v>1.8356077807713405</v>
      </c>
      <c r="AV426">
        <v>9.2628522666305793E-2</v>
      </c>
    </row>
    <row r="427" spans="44:48" x14ac:dyDescent="0.2">
      <c r="AR427">
        <v>419</v>
      </c>
      <c r="AS427">
        <v>419</v>
      </c>
      <c r="AT427">
        <v>1</v>
      </c>
      <c r="AU427">
        <v>1.8665483120886854</v>
      </c>
      <c r="AV427">
        <v>9.2628974814029333E-2</v>
      </c>
    </row>
    <row r="428" spans="44:48" x14ac:dyDescent="0.2">
      <c r="AR428">
        <v>420</v>
      </c>
      <c r="AS428">
        <v>420</v>
      </c>
      <c r="AT428">
        <v>1</v>
      </c>
      <c r="AU428">
        <v>1.8974888434060322</v>
      </c>
      <c r="AV428">
        <v>9.2624646494233576E-2</v>
      </c>
    </row>
    <row r="429" spans="44:48" x14ac:dyDescent="0.2">
      <c r="AR429">
        <v>421</v>
      </c>
      <c r="AS429">
        <v>421</v>
      </c>
      <c r="AT429">
        <v>1</v>
      </c>
      <c r="AU429">
        <v>1.9284293747233789</v>
      </c>
      <c r="AV429">
        <v>9.2615538377043893E-2</v>
      </c>
    </row>
    <row r="430" spans="44:48" x14ac:dyDescent="0.2">
      <c r="AR430">
        <v>422</v>
      </c>
      <c r="AS430">
        <v>422</v>
      </c>
      <c r="AT430">
        <v>1</v>
      </c>
      <c r="AU430">
        <v>1.9593699060407257</v>
      </c>
      <c r="AV430">
        <v>9.2601651872542184E-2</v>
      </c>
    </row>
    <row r="431" spans="44:48" x14ac:dyDescent="0.2">
      <c r="AR431">
        <v>423</v>
      </c>
      <c r="AS431">
        <v>423</v>
      </c>
      <c r="AT431">
        <v>1</v>
      </c>
      <c r="AU431">
        <v>1.9903104373580707</v>
      </c>
      <c r="AV431">
        <v>9.2582989130402985E-2</v>
      </c>
    </row>
    <row r="432" spans="44:48" x14ac:dyDescent="0.2">
      <c r="AR432">
        <v>424</v>
      </c>
      <c r="AS432">
        <v>424</v>
      </c>
      <c r="AT432">
        <v>1</v>
      </c>
      <c r="AU432">
        <v>2.0212509686754174</v>
      </c>
      <c r="AV432">
        <v>9.2559553039338952E-2</v>
      </c>
    </row>
    <row r="433" spans="44:48" x14ac:dyDescent="0.2">
      <c r="AR433">
        <v>425</v>
      </c>
      <c r="AS433">
        <v>425</v>
      </c>
      <c r="AT433">
        <v>1</v>
      </c>
      <c r="AU433">
        <v>2.0521914999927642</v>
      </c>
      <c r="AV433">
        <v>9.2531347226355531E-2</v>
      </c>
    </row>
    <row r="434" spans="44:48" x14ac:dyDescent="0.2">
      <c r="AR434">
        <v>426</v>
      </c>
      <c r="AS434">
        <v>426</v>
      </c>
      <c r="AT434">
        <v>1</v>
      </c>
      <c r="AU434">
        <v>2.0831320313101092</v>
      </c>
      <c r="AV434">
        <v>9.249837605581554E-2</v>
      </c>
    </row>
    <row r="435" spans="44:48" x14ac:dyDescent="0.2">
      <c r="AR435">
        <v>427</v>
      </c>
      <c r="AS435">
        <v>427</v>
      </c>
      <c r="AT435">
        <v>1</v>
      </c>
      <c r="AU435">
        <v>2.1140725626274559</v>
      </c>
      <c r="AV435">
        <v>9.2460644628313618E-2</v>
      </c>
    </row>
    <row r="436" spans="44:48" x14ac:dyDescent="0.2">
      <c r="AR436">
        <v>428</v>
      </c>
      <c r="AS436">
        <v>428</v>
      </c>
      <c r="AT436">
        <v>1</v>
      </c>
      <c r="AU436">
        <v>2.1450130939448027</v>
      </c>
      <c r="AV436">
        <v>9.2418158779361201E-2</v>
      </c>
    </row>
    <row r="437" spans="44:48" x14ac:dyDescent="0.2">
      <c r="AR437">
        <v>429</v>
      </c>
      <c r="AS437">
        <v>429</v>
      </c>
      <c r="AT437">
        <v>1</v>
      </c>
      <c r="AU437">
        <v>2.1759536252621494</v>
      </c>
      <c r="AV437">
        <v>9.2370925077882318E-2</v>
      </c>
    </row>
    <row r="438" spans="44:48" x14ac:dyDescent="0.2">
      <c r="AR438">
        <v>430</v>
      </c>
      <c r="AS438">
        <v>430</v>
      </c>
      <c r="AT438">
        <v>1</v>
      </c>
      <c r="AU438">
        <v>2.2068941565794944</v>
      </c>
      <c r="AV438">
        <v>9.2318950824520879E-2</v>
      </c>
    </row>
    <row r="439" spans="44:48" x14ac:dyDescent="0.2">
      <c r="AR439">
        <v>431</v>
      </c>
      <c r="AS439">
        <v>431</v>
      </c>
      <c r="AT439">
        <v>1</v>
      </c>
      <c r="AU439">
        <v>2.2378346878968411</v>
      </c>
      <c r="AV439">
        <v>9.2262244049759967E-2</v>
      </c>
    </row>
    <row r="440" spans="44:48" x14ac:dyDescent="0.2">
      <c r="AR440">
        <v>432</v>
      </c>
      <c r="AS440">
        <v>432</v>
      </c>
      <c r="AT440">
        <v>1</v>
      </c>
      <c r="AU440">
        <v>2.2687752192141879</v>
      </c>
      <c r="AV440">
        <v>9.2200813511854066E-2</v>
      </c>
    </row>
    <row r="441" spans="44:48" x14ac:dyDescent="0.2">
      <c r="AR441">
        <v>433</v>
      </c>
      <c r="AS441">
        <v>433</v>
      </c>
      <c r="AT441">
        <v>1</v>
      </c>
      <c r="AU441">
        <v>2.2997157505315347</v>
      </c>
      <c r="AV441">
        <v>9.2134668694574401E-2</v>
      </c>
    </row>
    <row r="442" spans="44:48" x14ac:dyDescent="0.2">
      <c r="AR442">
        <v>434</v>
      </c>
      <c r="AS442">
        <v>434</v>
      </c>
      <c r="AT442">
        <v>1</v>
      </c>
      <c r="AU442">
        <v>2.3306562818488796</v>
      </c>
      <c r="AV442">
        <v>9.2063819804768951E-2</v>
      </c>
    </row>
    <row r="443" spans="44:48" x14ac:dyDescent="0.2">
      <c r="AR443">
        <v>435</v>
      </c>
      <c r="AS443">
        <v>435</v>
      </c>
      <c r="AT443">
        <v>1</v>
      </c>
      <c r="AU443">
        <v>2.3615968131662264</v>
      </c>
      <c r="AV443">
        <v>9.198827776973735E-2</v>
      </c>
    </row>
    <row r="444" spans="44:48" x14ac:dyDescent="0.2">
      <c r="AR444">
        <v>436</v>
      </c>
      <c r="AS444">
        <v>436</v>
      </c>
      <c r="AT444">
        <v>1</v>
      </c>
      <c r="AU444">
        <v>2.3925373444835731</v>
      </c>
      <c r="AV444">
        <v>9.1908054234422082E-2</v>
      </c>
    </row>
    <row r="445" spans="44:48" x14ac:dyDescent="0.2">
      <c r="AR445">
        <v>437</v>
      </c>
      <c r="AS445">
        <v>437</v>
      </c>
      <c r="AT445">
        <v>1</v>
      </c>
      <c r="AU445">
        <v>2.4234778758009181</v>
      </c>
      <c r="AV445">
        <v>9.1823161558416716E-2</v>
      </c>
    </row>
    <row r="446" spans="44:48" x14ac:dyDescent="0.2">
      <c r="AR446">
        <v>438</v>
      </c>
      <c r="AS446">
        <v>438</v>
      </c>
      <c r="AT446">
        <v>1</v>
      </c>
      <c r="AU446">
        <v>2.4544184071182649</v>
      </c>
      <c r="AV446">
        <v>9.1733612812792409E-2</v>
      </c>
    </row>
    <row r="447" spans="44:48" x14ac:dyDescent="0.2">
      <c r="AR447">
        <v>439</v>
      </c>
      <c r="AS447">
        <v>439</v>
      </c>
      <c r="AT447">
        <v>1</v>
      </c>
      <c r="AU447">
        <v>2.4853589384356116</v>
      </c>
      <c r="AV447">
        <v>9.1639421776743626E-2</v>
      </c>
    </row>
    <row r="448" spans="44:48" x14ac:dyDescent="0.2">
      <c r="AR448">
        <v>440</v>
      </c>
      <c r="AS448">
        <v>440</v>
      </c>
      <c r="AT448">
        <v>1</v>
      </c>
      <c r="AU448">
        <v>2.5162994697529584</v>
      </c>
      <c r="AV448">
        <v>9.1540602934054596E-2</v>
      </c>
    </row>
    <row r="449" spans="44:48" x14ac:dyDescent="0.2">
      <c r="AR449">
        <v>441</v>
      </c>
      <c r="AS449">
        <v>441</v>
      </c>
      <c r="AT449">
        <v>1</v>
      </c>
      <c r="AU449">
        <v>2.5472400010703034</v>
      </c>
      <c r="AV449">
        <v>9.1437171469387374E-2</v>
      </c>
    </row>
    <row r="450" spans="44:48" x14ac:dyDescent="0.2">
      <c r="AR450">
        <v>442</v>
      </c>
      <c r="AS450">
        <v>442</v>
      </c>
      <c r="AT450">
        <v>1</v>
      </c>
      <c r="AU450">
        <v>2.5781805323876501</v>
      </c>
      <c r="AV450">
        <v>9.1329143264393328E-2</v>
      </c>
    </row>
    <row r="451" spans="44:48" x14ac:dyDescent="0.2">
      <c r="AR451">
        <v>443</v>
      </c>
      <c r="AS451">
        <v>443</v>
      </c>
      <c r="AT451">
        <v>1</v>
      </c>
      <c r="AU451">
        <v>2.6091210637049969</v>
      </c>
      <c r="AV451">
        <v>9.1216534893648796E-2</v>
      </c>
    </row>
    <row r="452" spans="44:48" x14ac:dyDescent="0.2">
      <c r="AR452">
        <v>444</v>
      </c>
      <c r="AS452">
        <v>444</v>
      </c>
      <c r="AT452">
        <v>1</v>
      </c>
      <c r="AU452">
        <v>2.6400615950223436</v>
      </c>
      <c r="AV452">
        <v>9.1099363620417151E-2</v>
      </c>
    </row>
    <row r="453" spans="44:48" x14ac:dyDescent="0.2">
      <c r="AR453">
        <v>445</v>
      </c>
      <c r="AS453">
        <v>445</v>
      </c>
      <c r="AT453">
        <v>1</v>
      </c>
      <c r="AU453">
        <v>2.6710021263396886</v>
      </c>
      <c r="AV453">
        <v>9.0977647392238029E-2</v>
      </c>
    </row>
    <row r="454" spans="44:48" x14ac:dyDescent="0.2">
      <c r="AR454">
        <v>446</v>
      </c>
      <c r="AS454">
        <v>446</v>
      </c>
      <c r="AT454">
        <v>1</v>
      </c>
      <c r="AU454">
        <v>2.7019426576570353</v>
      </c>
      <c r="AV454">
        <v>9.0851404836345892E-2</v>
      </c>
    </row>
    <row r="455" spans="44:48" x14ac:dyDescent="0.2">
      <c r="AR455">
        <v>447</v>
      </c>
      <c r="AS455">
        <v>447</v>
      </c>
      <c r="AT455">
        <v>1</v>
      </c>
      <c r="AU455">
        <v>2.7328831889743821</v>
      </c>
      <c r="AV455">
        <v>9.072065525491925E-2</v>
      </c>
    </row>
    <row r="456" spans="44:48" x14ac:dyDescent="0.2">
      <c r="AR456">
        <v>448</v>
      </c>
      <c r="AS456">
        <v>448</v>
      </c>
      <c r="AT456">
        <v>1</v>
      </c>
      <c r="AU456">
        <v>2.7638237202917288</v>
      </c>
      <c r="AV456">
        <v>9.0585418620162228E-2</v>
      </c>
    </row>
    <row r="457" spans="44:48" x14ac:dyDescent="0.2">
      <c r="AR457">
        <v>449</v>
      </c>
      <c r="AS457">
        <v>449</v>
      </c>
      <c r="AT457">
        <v>1</v>
      </c>
      <c r="AU457">
        <v>2.7947642516090738</v>
      </c>
      <c r="AV457">
        <v>9.0445715569220417E-2</v>
      </c>
    </row>
    <row r="458" spans="44:48" x14ac:dyDescent="0.2">
      <c r="AR458">
        <v>450</v>
      </c>
      <c r="AS458">
        <v>450</v>
      </c>
      <c r="AT458">
        <v>1</v>
      </c>
      <c r="AU458">
        <v>2.8257047829264206</v>
      </c>
      <c r="AV458">
        <v>9.0301567398932733E-2</v>
      </c>
    </row>
    <row r="459" spans="44:48" x14ac:dyDescent="0.2">
      <c r="AR459">
        <v>451</v>
      </c>
      <c r="AS459">
        <v>451</v>
      </c>
      <c r="AT459">
        <v>1</v>
      </c>
      <c r="AU459">
        <v>2.8566453142437673</v>
      </c>
      <c r="AV459">
        <v>9.0152996060420987E-2</v>
      </c>
    </row>
    <row r="460" spans="44:48" x14ac:dyDescent="0.2">
      <c r="AR460">
        <v>452</v>
      </c>
      <c r="AS460">
        <v>452</v>
      </c>
      <c r="AT460">
        <v>1</v>
      </c>
      <c r="AU460">
        <v>2.8875858455611123</v>
      </c>
      <c r="AV460">
        <v>9.0000024153519459E-2</v>
      </c>
    </row>
    <row r="461" spans="44:48" x14ac:dyDescent="0.2">
      <c r="AR461">
        <v>453</v>
      </c>
      <c r="AS461">
        <v>453</v>
      </c>
      <c r="AT461">
        <v>1</v>
      </c>
      <c r="AU461">
        <v>2.9185263768784591</v>
      </c>
      <c r="AV461">
        <v>8.9842674921046056E-2</v>
      </c>
    </row>
    <row r="462" spans="44:48" x14ac:dyDescent="0.2">
      <c r="AR462">
        <v>454</v>
      </c>
      <c r="AS462">
        <v>454</v>
      </c>
      <c r="AT462">
        <v>1</v>
      </c>
      <c r="AU462">
        <v>2.9494669081958058</v>
      </c>
      <c r="AV462">
        <v>8.9680972242917351E-2</v>
      </c>
    </row>
    <row r="463" spans="44:48" x14ac:dyDescent="0.2">
      <c r="AR463">
        <v>455</v>
      </c>
      <c r="AS463">
        <v>455</v>
      </c>
      <c r="AT463">
        <v>1</v>
      </c>
      <c r="AU463">
        <v>2.9804074395131526</v>
      </c>
      <c r="AV463">
        <v>8.951494063010948E-2</v>
      </c>
    </row>
    <row r="464" spans="44:48" x14ac:dyDescent="0.2">
      <c r="AR464">
        <v>456</v>
      </c>
      <c r="AS464">
        <v>456</v>
      </c>
      <c r="AT464">
        <v>1</v>
      </c>
      <c r="AU464">
        <v>3.0113479708304975</v>
      </c>
      <c r="AV464">
        <v>8.9344605218467127E-2</v>
      </c>
    </row>
    <row r="465" spans="44:48" x14ac:dyDescent="0.2">
      <c r="AR465">
        <v>457</v>
      </c>
      <c r="AS465">
        <v>457</v>
      </c>
      <c r="AT465">
        <v>1</v>
      </c>
      <c r="AU465">
        <v>3.0422885021478443</v>
      </c>
      <c r="AV465">
        <v>8.9169991762362566E-2</v>
      </c>
    </row>
    <row r="466" spans="44:48" x14ac:dyDescent="0.2">
      <c r="AR466">
        <v>458</v>
      </c>
      <c r="AS466">
        <v>458</v>
      </c>
      <c r="AT466">
        <v>1</v>
      </c>
      <c r="AU466">
        <v>3.0732290334651911</v>
      </c>
      <c r="AV466">
        <v>8.8991126628207309E-2</v>
      </c>
    </row>
    <row r="467" spans="44:48" x14ac:dyDescent="0.2">
      <c r="AR467">
        <v>459</v>
      </c>
      <c r="AS467">
        <v>459</v>
      </c>
      <c r="AT467">
        <v>1</v>
      </c>
      <c r="AU467">
        <v>3.1041695647825378</v>
      </c>
      <c r="AV467">
        <v>8.8808036787818456E-2</v>
      </c>
    </row>
    <row r="468" spans="44:48" x14ac:dyDescent="0.2">
      <c r="AR468">
        <v>460</v>
      </c>
      <c r="AS468">
        <v>460</v>
      </c>
      <c r="AT468">
        <v>1</v>
      </c>
      <c r="AU468">
        <v>3.1351100960998828</v>
      </c>
      <c r="AV468">
        <v>8.8620749811642044E-2</v>
      </c>
    </row>
    <row r="469" spans="44:48" x14ac:dyDescent="0.2">
      <c r="AR469">
        <v>461</v>
      </c>
      <c r="AS469">
        <v>461</v>
      </c>
      <c r="AT469">
        <v>1</v>
      </c>
      <c r="AU469">
        <v>3.1660506274172295</v>
      </c>
      <c r="AV469">
        <v>8.8429293861835886E-2</v>
      </c>
    </row>
    <row r="470" spans="44:48" x14ac:dyDescent="0.2">
      <c r="AR470">
        <v>462</v>
      </c>
      <c r="AS470">
        <v>462</v>
      </c>
      <c r="AT470">
        <v>1</v>
      </c>
      <c r="AU470">
        <v>3.1969911587345763</v>
      </c>
      <c r="AV470">
        <v>8.8233697685214385E-2</v>
      </c>
    </row>
    <row r="471" spans="44:48" x14ac:dyDescent="0.2">
      <c r="AR471">
        <v>463</v>
      </c>
      <c r="AS471">
        <v>463</v>
      </c>
      <c r="AT471">
        <v>1</v>
      </c>
      <c r="AU471">
        <v>3.2279316900519213</v>
      </c>
      <c r="AV471">
        <v>8.8033990606057558E-2</v>
      </c>
    </row>
    <row r="472" spans="44:48" x14ac:dyDescent="0.2">
      <c r="AR472">
        <v>464</v>
      </c>
      <c r="AS472">
        <v>464</v>
      </c>
      <c r="AT472">
        <v>1</v>
      </c>
      <c r="AU472">
        <v>3.258872221369268</v>
      </c>
      <c r="AV472">
        <v>8.7830202518787023E-2</v>
      </c>
    </row>
    <row r="473" spans="44:48" x14ac:dyDescent="0.2">
      <c r="AR473">
        <v>465</v>
      </c>
      <c r="AS473">
        <v>465</v>
      </c>
      <c r="AT473">
        <v>1</v>
      </c>
      <c r="AU473">
        <v>3.2898127526866148</v>
      </c>
      <c r="AV473">
        <v>8.7622363880511422E-2</v>
      </c>
    </row>
    <row r="474" spans="44:48" x14ac:dyDescent="0.2">
      <c r="AR474">
        <v>466</v>
      </c>
      <c r="AS474">
        <v>466</v>
      </c>
      <c r="AT474">
        <v>1</v>
      </c>
      <c r="AU474">
        <v>3.3207532840039615</v>
      </c>
      <c r="AV474">
        <v>8.7410505703443886E-2</v>
      </c>
    </row>
    <row r="475" spans="44:48" x14ac:dyDescent="0.2">
      <c r="AR475">
        <v>467</v>
      </c>
      <c r="AS475">
        <v>467</v>
      </c>
      <c r="AT475">
        <v>1</v>
      </c>
      <c r="AU475">
        <v>3.3516938153213065</v>
      </c>
      <c r="AV475">
        <v>8.7194659547194103E-2</v>
      </c>
    </row>
    <row r="476" spans="44:48" x14ac:dyDescent="0.2">
      <c r="AR476">
        <v>468</v>
      </c>
      <c r="AS476">
        <v>468</v>
      </c>
      <c r="AT476">
        <v>1</v>
      </c>
      <c r="AU476">
        <v>3.3826343466386533</v>
      </c>
      <c r="AV476">
        <v>8.6974857510937795E-2</v>
      </c>
    </row>
    <row r="477" spans="44:48" x14ac:dyDescent="0.2">
      <c r="AR477">
        <v>469</v>
      </c>
      <c r="AS477">
        <v>469</v>
      </c>
      <c r="AT477">
        <v>1</v>
      </c>
      <c r="AU477">
        <v>3.413574877956</v>
      </c>
      <c r="AV477">
        <v>8.6751132225466321E-2</v>
      </c>
    </row>
    <row r="478" spans="44:48" x14ac:dyDescent="0.2">
      <c r="AR478">
        <v>470</v>
      </c>
      <c r="AS478">
        <v>470</v>
      </c>
      <c r="AT478">
        <v>1</v>
      </c>
      <c r="AU478">
        <v>3.4445154092733468</v>
      </c>
      <c r="AV478">
        <v>8.6523516845119053E-2</v>
      </c>
    </row>
    <row r="479" spans="44:48" x14ac:dyDescent="0.2">
      <c r="AR479">
        <v>471</v>
      </c>
      <c r="AS479">
        <v>471</v>
      </c>
      <c r="AT479">
        <v>1</v>
      </c>
      <c r="AU479">
        <v>3.4754559405906917</v>
      </c>
      <c r="AV479">
        <v>8.6292045039601362E-2</v>
      </c>
    </row>
    <row r="480" spans="44:48" x14ac:dyDescent="0.2">
      <c r="AR480">
        <v>472</v>
      </c>
      <c r="AS480">
        <v>472</v>
      </c>
      <c r="AT480">
        <v>1</v>
      </c>
      <c r="AU480">
        <v>3.5063964719080385</v>
      </c>
      <c r="AV480">
        <v>8.6056750985691058E-2</v>
      </c>
    </row>
    <row r="481" spans="44:48" x14ac:dyDescent="0.2">
      <c r="AR481">
        <v>473</v>
      </c>
      <c r="AS481">
        <v>473</v>
      </c>
      <c r="AT481">
        <v>1</v>
      </c>
      <c r="AU481">
        <v>3.5373370032253852</v>
      </c>
      <c r="AV481">
        <v>8.5817669358836182E-2</v>
      </c>
    </row>
    <row r="482" spans="44:48" x14ac:dyDescent="0.2">
      <c r="AR482">
        <v>474</v>
      </c>
      <c r="AS482">
        <v>474</v>
      </c>
      <c r="AT482">
        <v>1</v>
      </c>
      <c r="AU482">
        <v>3.568277534542732</v>
      </c>
      <c r="AV482">
        <v>8.5574835324646964E-2</v>
      </c>
    </row>
    <row r="483" spans="44:48" x14ac:dyDescent="0.2">
      <c r="AR483">
        <v>475</v>
      </c>
      <c r="AS483">
        <v>475</v>
      </c>
      <c r="AT483">
        <v>1</v>
      </c>
      <c r="AU483">
        <v>3.599218065860077</v>
      </c>
      <c r="AV483">
        <v>8.5328284530284806E-2</v>
      </c>
    </row>
    <row r="484" spans="44:48" x14ac:dyDescent="0.2">
      <c r="AR484">
        <v>476</v>
      </c>
      <c r="AS484">
        <v>476</v>
      </c>
      <c r="AT484">
        <v>1</v>
      </c>
      <c r="AU484">
        <v>3.6301585971774237</v>
      </c>
      <c r="AV484">
        <v>8.5078053095751491E-2</v>
      </c>
    </row>
    <row r="485" spans="44:48" x14ac:dyDescent="0.2">
      <c r="AR485">
        <v>477</v>
      </c>
      <c r="AS485">
        <v>477</v>
      </c>
      <c r="AT485">
        <v>1</v>
      </c>
      <c r="AU485">
        <v>3.6610991284947705</v>
      </c>
      <c r="AV485">
        <v>8.4824177605081305E-2</v>
      </c>
    </row>
    <row r="486" spans="44:48" x14ac:dyDescent="0.2">
      <c r="AR486">
        <v>478</v>
      </c>
      <c r="AS486">
        <v>478</v>
      </c>
      <c r="AT486">
        <v>1</v>
      </c>
      <c r="AU486">
        <v>3.6920396598121155</v>
      </c>
      <c r="AV486">
        <v>8.4566695097439221E-2</v>
      </c>
    </row>
    <row r="487" spans="44:48" x14ac:dyDescent="0.2">
      <c r="AR487">
        <v>479</v>
      </c>
      <c r="AS487">
        <v>479</v>
      </c>
      <c r="AT487">
        <v>1</v>
      </c>
      <c r="AU487">
        <v>3.7229801911294622</v>
      </c>
      <c r="AV487">
        <v>8.4305643058128182E-2</v>
      </c>
    </row>
    <row r="488" spans="44:48" x14ac:dyDescent="0.2">
      <c r="AR488">
        <v>480</v>
      </c>
      <c r="AS488">
        <v>480</v>
      </c>
      <c r="AT488">
        <v>1</v>
      </c>
      <c r="AU488">
        <v>3.753920722446809</v>
      </c>
      <c r="AV488">
        <v>8.4041059409508484E-2</v>
      </c>
    </row>
    <row r="489" spans="44:48" x14ac:dyDescent="0.2">
      <c r="AR489">
        <v>481</v>
      </c>
      <c r="AS489">
        <v>481</v>
      </c>
      <c r="AT489">
        <v>1</v>
      </c>
      <c r="AU489">
        <v>3.7848612537641557</v>
      </c>
      <c r="AV489">
        <v>8.3772982501832294E-2</v>
      </c>
    </row>
    <row r="490" spans="44:48" x14ac:dyDescent="0.2">
      <c r="AR490">
        <v>482</v>
      </c>
      <c r="AS490">
        <v>482</v>
      </c>
      <c r="AT490">
        <v>1</v>
      </c>
      <c r="AU490">
        <v>3.8158017850815007</v>
      </c>
      <c r="AV490">
        <v>8.3501451103996593E-2</v>
      </c>
    </row>
    <row r="491" spans="44:48" x14ac:dyDescent="0.2">
      <c r="AR491">
        <v>483</v>
      </c>
      <c r="AS491">
        <v>483</v>
      </c>
      <c r="AT491">
        <v>1</v>
      </c>
      <c r="AU491">
        <v>3.8467423163988474</v>
      </c>
      <c r="AV491">
        <v>8.3226504394217402E-2</v>
      </c>
    </row>
    <row r="492" spans="44:48" x14ac:dyDescent="0.2">
      <c r="AR492">
        <v>484</v>
      </c>
      <c r="AS492">
        <v>484</v>
      </c>
      <c r="AT492">
        <v>1</v>
      </c>
      <c r="AU492">
        <v>3.8776828477161942</v>
      </c>
      <c r="AV492">
        <v>8.2948181950628558E-2</v>
      </c>
    </row>
    <row r="493" spans="44:48" x14ac:dyDescent="0.2">
      <c r="AR493">
        <v>485</v>
      </c>
      <c r="AS493">
        <v>485</v>
      </c>
      <c r="AT493">
        <v>1</v>
      </c>
      <c r="AU493">
        <v>3.908623379033541</v>
      </c>
      <c r="AV493">
        <v>8.2666523741808301E-2</v>
      </c>
    </row>
    <row r="494" spans="44:48" x14ac:dyDescent="0.2">
      <c r="AR494">
        <v>486</v>
      </c>
      <c r="AS494">
        <v>486</v>
      </c>
      <c r="AT494">
        <v>1</v>
      </c>
      <c r="AU494">
        <v>3.9395639103508859</v>
      </c>
      <c r="AV494">
        <v>8.2381570117236472E-2</v>
      </c>
    </row>
    <row r="495" spans="44:48" x14ac:dyDescent="0.2">
      <c r="AR495">
        <v>487</v>
      </c>
      <c r="AS495">
        <v>487</v>
      </c>
      <c r="AT495">
        <v>1</v>
      </c>
      <c r="AU495">
        <v>3.9705044416682327</v>
      </c>
      <c r="AV495">
        <v>8.209336179768599E-2</v>
      </c>
    </row>
    <row r="496" spans="44:48" x14ac:dyDescent="0.2">
      <c r="AR496">
        <v>488</v>
      </c>
      <c r="AS496">
        <v>488</v>
      </c>
      <c r="AT496">
        <v>1</v>
      </c>
      <c r="AU496">
        <v>4.0014449729855794</v>
      </c>
      <c r="AV496">
        <v>8.1801939865551482E-2</v>
      </c>
    </row>
    <row r="497" spans="44:48" x14ac:dyDescent="0.2">
      <c r="AR497">
        <v>489</v>
      </c>
      <c r="AS497">
        <v>489</v>
      </c>
      <c r="AT497">
        <v>1</v>
      </c>
      <c r="AU497">
        <v>4.0323855043029244</v>
      </c>
      <c r="AV497">
        <v>8.1507345755118296E-2</v>
      </c>
    </row>
    <row r="498" spans="44:48" x14ac:dyDescent="0.2">
      <c r="AR498">
        <v>490</v>
      </c>
      <c r="AS498">
        <v>490</v>
      </c>
      <c r="AT498">
        <v>1</v>
      </c>
      <c r="AU498">
        <v>4.0633260356202712</v>
      </c>
      <c r="AV498">
        <v>8.1209621242775129E-2</v>
      </c>
    </row>
    <row r="499" spans="44:48" x14ac:dyDescent="0.2">
      <c r="AR499">
        <v>491</v>
      </c>
      <c r="AS499">
        <v>491</v>
      </c>
      <c r="AT499">
        <v>1</v>
      </c>
      <c r="AU499">
        <v>4.0942665669376179</v>
      </c>
      <c r="AV499">
        <v>8.090880843717374E-2</v>
      </c>
    </row>
    <row r="500" spans="44:48" x14ac:dyDescent="0.2">
      <c r="AR500">
        <v>492</v>
      </c>
      <c r="AS500">
        <v>492</v>
      </c>
      <c r="AT500">
        <v>1</v>
      </c>
      <c r="AU500">
        <v>4.1252070982549647</v>
      </c>
      <c r="AV500">
        <v>8.0604949769338533E-2</v>
      </c>
    </row>
    <row r="501" spans="44:48" x14ac:dyDescent="0.2">
      <c r="AR501">
        <v>493</v>
      </c>
      <c r="AS501">
        <v>493</v>
      </c>
      <c r="AT501">
        <v>1</v>
      </c>
      <c r="AU501">
        <v>4.1561476295723097</v>
      </c>
      <c r="AV501">
        <v>8.0298087982729652E-2</v>
      </c>
    </row>
    <row r="502" spans="44:48" x14ac:dyDescent="0.2">
      <c r="AR502">
        <v>494</v>
      </c>
      <c r="AS502">
        <v>494</v>
      </c>
      <c r="AT502">
        <v>1</v>
      </c>
      <c r="AU502">
        <v>4.1870881608896564</v>
      </c>
      <c r="AV502">
        <v>7.9988266123262541E-2</v>
      </c>
    </row>
    <row r="503" spans="44:48" x14ac:dyDescent="0.2">
      <c r="AR503">
        <v>495</v>
      </c>
      <c r="AS503">
        <v>495</v>
      </c>
      <c r="AT503">
        <v>1</v>
      </c>
      <c r="AU503">
        <v>4.2180286922070032</v>
      </c>
      <c r="AV503">
        <v>7.9675527529287485E-2</v>
      </c>
    </row>
    <row r="504" spans="44:48" x14ac:dyDescent="0.2">
      <c r="AR504">
        <v>496</v>
      </c>
      <c r="AS504">
        <v>496</v>
      </c>
      <c r="AT504">
        <v>1</v>
      </c>
      <c r="AU504">
        <v>4.2489692235243499</v>
      </c>
      <c r="AV504">
        <v>7.9359915821532151E-2</v>
      </c>
    </row>
    <row r="505" spans="44:48" x14ac:dyDescent="0.2">
      <c r="AR505">
        <v>497</v>
      </c>
      <c r="AS505">
        <v>497</v>
      </c>
      <c r="AT505">
        <v>1</v>
      </c>
      <c r="AU505">
        <v>4.2799097548416949</v>
      </c>
      <c r="AV505">
        <v>7.9041474893010458E-2</v>
      </c>
    </row>
    <row r="506" spans="44:48" x14ac:dyDescent="0.2">
      <c r="AR506">
        <v>498</v>
      </c>
      <c r="AS506">
        <v>498</v>
      </c>
      <c r="AT506">
        <v>1</v>
      </c>
      <c r="AU506">
        <v>4.3108502861590416</v>
      </c>
      <c r="AV506">
        <v>7.8720248898901043E-2</v>
      </c>
    </row>
    <row r="507" spans="44:48" x14ac:dyDescent="0.2">
      <c r="AR507">
        <v>499</v>
      </c>
      <c r="AS507">
        <v>499</v>
      </c>
      <c r="AT507">
        <v>1</v>
      </c>
      <c r="AU507">
        <v>4.3417908174763884</v>
      </c>
      <c r="AV507">
        <v>7.8396282246398719E-2</v>
      </c>
    </row>
    <row r="508" spans="44:48" x14ac:dyDescent="0.2">
      <c r="AR508">
        <v>500</v>
      </c>
      <c r="AS508">
        <v>500</v>
      </c>
      <c r="AT508">
        <v>1</v>
      </c>
      <c r="AU508">
        <v>4.3727313487937352</v>
      </c>
      <c r="AV508">
        <v>7.8069619584541755E-2</v>
      </c>
    </row>
    <row r="509" spans="44:48" x14ac:dyDescent="0.2">
      <c r="AR509">
        <v>501</v>
      </c>
      <c r="AS509">
        <v>501</v>
      </c>
      <c r="AT509">
        <v>1</v>
      </c>
      <c r="AU509">
        <v>4.4036718801110801</v>
      </c>
      <c r="AV509">
        <v>7.774030579401868E-2</v>
      </c>
    </row>
    <row r="510" spans="44:48" x14ac:dyDescent="0.2">
      <c r="AR510">
        <v>502</v>
      </c>
      <c r="AS510">
        <v>502</v>
      </c>
      <c r="AT510">
        <v>1</v>
      </c>
      <c r="AU510">
        <v>4.4346124114284269</v>
      </c>
      <c r="AV510">
        <v>7.7408385976957553E-2</v>
      </c>
    </row>
    <row r="511" spans="44:48" x14ac:dyDescent="0.2">
      <c r="AR511">
        <v>503</v>
      </c>
      <c r="AS511">
        <v>503</v>
      </c>
      <c r="AT511">
        <v>1</v>
      </c>
      <c r="AU511">
        <v>4.4655529427457736</v>
      </c>
      <c r="AV511">
        <v>7.7073905446701091E-2</v>
      </c>
    </row>
    <row r="512" spans="44:48" x14ac:dyDescent="0.2">
      <c r="AR512">
        <v>504</v>
      </c>
      <c r="AS512">
        <v>504</v>
      </c>
      <c r="AT512">
        <v>1</v>
      </c>
      <c r="AU512">
        <v>4.4964934740631186</v>
      </c>
      <c r="AV512">
        <v>7.6736909717570773E-2</v>
      </c>
    </row>
    <row r="513" spans="44:48" x14ac:dyDescent="0.2">
      <c r="AR513">
        <v>505</v>
      </c>
      <c r="AS513">
        <v>505</v>
      </c>
      <c r="AT513">
        <v>1</v>
      </c>
      <c r="AU513">
        <v>4.5274340053804654</v>
      </c>
      <c r="AV513">
        <v>7.6397444494623004E-2</v>
      </c>
    </row>
    <row r="514" spans="44:48" x14ac:dyDescent="0.2">
      <c r="AR514">
        <v>506</v>
      </c>
      <c r="AS514">
        <v>506</v>
      </c>
      <c r="AT514">
        <v>1</v>
      </c>
      <c r="AU514">
        <v>4.5583745366978121</v>
      </c>
      <c r="AV514">
        <v>7.6055555663401123E-2</v>
      </c>
    </row>
    <row r="515" spans="44:48" x14ac:dyDescent="0.2">
      <c r="AR515">
        <v>507</v>
      </c>
      <c r="AS515">
        <v>507</v>
      </c>
      <c r="AT515">
        <v>1</v>
      </c>
      <c r="AU515">
        <v>4.5893150680151589</v>
      </c>
      <c r="AV515">
        <v>7.5711289279685429E-2</v>
      </c>
    </row>
    <row r="516" spans="44:48" x14ac:dyDescent="0.2">
      <c r="AR516">
        <v>508</v>
      </c>
      <c r="AS516">
        <v>508</v>
      </c>
      <c r="AT516">
        <v>1</v>
      </c>
      <c r="AU516">
        <v>4.6202555993325038</v>
      </c>
      <c r="AV516">
        <v>7.5364691559245564E-2</v>
      </c>
    </row>
    <row r="517" spans="44:48" x14ac:dyDescent="0.2">
      <c r="AR517">
        <v>509</v>
      </c>
      <c r="AS517">
        <v>509</v>
      </c>
      <c r="AT517">
        <v>1</v>
      </c>
      <c r="AU517">
        <v>4.6511961306498506</v>
      </c>
      <c r="AV517">
        <v>7.5015808867597233E-2</v>
      </c>
    </row>
    <row r="518" spans="44:48" x14ac:dyDescent="0.2">
      <c r="AR518">
        <v>510</v>
      </c>
      <c r="AS518">
        <v>510</v>
      </c>
      <c r="AT518">
        <v>1</v>
      </c>
      <c r="AU518">
        <v>4.6821366619671974</v>
      </c>
      <c r="AV518">
        <v>7.4664687709767683E-2</v>
      </c>
    </row>
    <row r="519" spans="44:48" x14ac:dyDescent="0.2">
      <c r="AR519">
        <v>511</v>
      </c>
      <c r="AS519">
        <v>511</v>
      </c>
      <c r="AT519">
        <v>1</v>
      </c>
      <c r="AU519">
        <v>4.7130771932845441</v>
      </c>
      <c r="AV519">
        <v>7.4311374720071668E-2</v>
      </c>
    </row>
    <row r="520" spans="44:48" x14ac:dyDescent="0.2">
      <c r="AR520">
        <v>512</v>
      </c>
      <c r="AS520">
        <v>512</v>
      </c>
      <c r="AT520">
        <v>1</v>
      </c>
      <c r="AU520">
        <v>4.7440177246018891</v>
      </c>
      <c r="AV520">
        <v>7.3955916651902376E-2</v>
      </c>
    </row>
    <row r="521" spans="44:48" x14ac:dyDescent="0.2">
      <c r="AR521">
        <v>513</v>
      </c>
      <c r="AS521">
        <v>513</v>
      </c>
      <c r="AT521">
        <v>1</v>
      </c>
      <c r="AU521">
        <v>4.7749582559192358</v>
      </c>
      <c r="AV521">
        <v>7.3598360367539098E-2</v>
      </c>
    </row>
    <row r="522" spans="44:48" x14ac:dyDescent="0.2">
      <c r="AR522">
        <v>514</v>
      </c>
      <c r="AS522">
        <v>514</v>
      </c>
      <c r="AT522">
        <v>1</v>
      </c>
      <c r="AU522">
        <v>4.8058987872365826</v>
      </c>
      <c r="AV522">
        <v>7.3238752827976081E-2</v>
      </c>
    </row>
    <row r="523" spans="44:48" x14ac:dyDescent="0.2">
      <c r="AR523">
        <v>515</v>
      </c>
      <c r="AS523">
        <v>515</v>
      </c>
      <c r="AT523">
        <v>1</v>
      </c>
      <c r="AU523">
        <v>4.8368393185539276</v>
      </c>
      <c r="AV523">
        <v>7.2877141082774224E-2</v>
      </c>
    </row>
    <row r="524" spans="44:48" x14ac:dyDescent="0.2">
      <c r="AR524">
        <v>516</v>
      </c>
      <c r="AS524">
        <v>516</v>
      </c>
      <c r="AT524">
        <v>1</v>
      </c>
      <c r="AU524">
        <v>4.8677798498712743</v>
      </c>
      <c r="AV524">
        <v>7.251357225993961E-2</v>
      </c>
    </row>
    <row r="525" spans="44:48" x14ac:dyDescent="0.2">
      <c r="AR525">
        <v>517</v>
      </c>
      <c r="AS525">
        <v>517</v>
      </c>
      <c r="AT525">
        <v>1</v>
      </c>
      <c r="AU525">
        <v>4.8987203811886211</v>
      </c>
      <c r="AV525">
        <v>7.2148093555831669E-2</v>
      </c>
    </row>
    <row r="526" spans="44:48" x14ac:dyDescent="0.2">
      <c r="AR526">
        <v>518</v>
      </c>
      <c r="AS526">
        <v>518</v>
      </c>
      <c r="AT526">
        <v>1</v>
      </c>
      <c r="AU526">
        <v>4.9296609125059678</v>
      </c>
      <c r="AV526">
        <v>7.1780752225103564E-2</v>
      </c>
    </row>
    <row r="527" spans="44:48" x14ac:dyDescent="0.2">
      <c r="AR527">
        <v>519</v>
      </c>
      <c r="AS527">
        <v>519</v>
      </c>
      <c r="AT527">
        <v>1</v>
      </c>
      <c r="AU527">
        <v>4.9606014438233128</v>
      </c>
      <c r="AV527">
        <v>7.1411595570678194E-2</v>
      </c>
    </row>
    <row r="528" spans="44:48" x14ac:dyDescent="0.2">
      <c r="AR528">
        <v>520</v>
      </c>
      <c r="AS528">
        <v>520</v>
      </c>
      <c r="AT528">
        <v>1</v>
      </c>
      <c r="AU528">
        <v>4.9915419751406613</v>
      </c>
      <c r="AV528">
        <v>7.1040670933762401E-2</v>
      </c>
    </row>
    <row r="529" spans="44:48" x14ac:dyDescent="0.2">
      <c r="AR529">
        <v>521</v>
      </c>
      <c r="AS529">
        <v>521</v>
      </c>
      <c r="AT529">
        <v>1</v>
      </c>
      <c r="AU529">
        <v>5.0224825064580063</v>
      </c>
      <c r="AV529">
        <v>7.0668025683902735E-2</v>
      </c>
    </row>
    <row r="530" spans="44:48" x14ac:dyDescent="0.2">
      <c r="AR530">
        <v>522</v>
      </c>
      <c r="AS530">
        <v>522</v>
      </c>
      <c r="AT530">
        <v>1</v>
      </c>
      <c r="AU530">
        <v>5.0534230377753513</v>
      </c>
      <c r="AV530">
        <v>7.0293707209084885E-2</v>
      </c>
    </row>
    <row r="531" spans="44:48" x14ac:dyDescent="0.2">
      <c r="AR531">
        <v>523</v>
      </c>
      <c r="AS531">
        <v>523</v>
      </c>
      <c r="AT531">
        <v>1</v>
      </c>
      <c r="AU531">
        <v>5.0843635690926998</v>
      </c>
      <c r="AV531">
        <v>6.991776290588031E-2</v>
      </c>
    </row>
    <row r="532" spans="44:48" x14ac:dyDescent="0.2">
      <c r="AR532">
        <v>524</v>
      </c>
      <c r="AS532">
        <v>524</v>
      </c>
      <c r="AT532">
        <v>1</v>
      </c>
      <c r="AU532">
        <v>5.1153041004100448</v>
      </c>
      <c r="AV532">
        <v>6.954024016964272E-2</v>
      </c>
    </row>
    <row r="533" spans="44:48" x14ac:dyDescent="0.2">
      <c r="AR533">
        <v>525</v>
      </c>
      <c r="AS533">
        <v>525</v>
      </c>
      <c r="AT533">
        <v>1</v>
      </c>
      <c r="AU533">
        <v>5.1462446317273898</v>
      </c>
      <c r="AV533">
        <v>6.9161186384756643E-2</v>
      </c>
    </row>
    <row r="534" spans="44:48" x14ac:dyDescent="0.2">
      <c r="AR534">
        <v>526</v>
      </c>
      <c r="AS534">
        <v>526</v>
      </c>
      <c r="AT534">
        <v>1</v>
      </c>
      <c r="AU534">
        <v>5.1771851630447383</v>
      </c>
      <c r="AV534">
        <v>6.8780648914941567E-2</v>
      </c>
    </row>
    <row r="535" spans="44:48" x14ac:dyDescent="0.2">
      <c r="AR535">
        <v>527</v>
      </c>
      <c r="AS535">
        <v>527</v>
      </c>
      <c r="AT535">
        <v>1</v>
      </c>
      <c r="AU535">
        <v>5.2081256943620833</v>
      </c>
      <c r="AV535">
        <v>6.8398675093613984E-2</v>
      </c>
    </row>
    <row r="536" spans="44:48" x14ac:dyDescent="0.2">
      <c r="AR536">
        <v>528</v>
      </c>
      <c r="AS536">
        <v>528</v>
      </c>
      <c r="AT536">
        <v>1</v>
      </c>
      <c r="AU536">
        <v>5.2390662256794283</v>
      </c>
      <c r="AV536">
        <v>6.8015312214309689E-2</v>
      </c>
    </row>
    <row r="537" spans="44:48" x14ac:dyDescent="0.2">
      <c r="AR537">
        <v>529</v>
      </c>
      <c r="AS537">
        <v>529</v>
      </c>
      <c r="AT537">
        <v>1</v>
      </c>
      <c r="AU537">
        <v>5.2700067569967768</v>
      </c>
      <c r="AV537">
        <v>6.7630607521169672E-2</v>
      </c>
    </row>
    <row r="538" spans="44:48" x14ac:dyDescent="0.2">
      <c r="AR538">
        <v>530</v>
      </c>
      <c r="AS538">
        <v>530</v>
      </c>
      <c r="AT538">
        <v>1</v>
      </c>
      <c r="AU538">
        <v>5.3009472883141218</v>
      </c>
      <c r="AV538">
        <v>6.7244608199491698E-2</v>
      </c>
    </row>
    <row r="539" spans="44:48" x14ac:dyDescent="0.2">
      <c r="AR539">
        <v>531</v>
      </c>
      <c r="AS539">
        <v>531</v>
      </c>
      <c r="AT539">
        <v>1</v>
      </c>
      <c r="AU539">
        <v>5.3318878196314703</v>
      </c>
      <c r="AV539">
        <v>6.6857361366349927E-2</v>
      </c>
    </row>
    <row r="540" spans="44:48" x14ac:dyDescent="0.2">
      <c r="AR540">
        <v>532</v>
      </c>
      <c r="AS540">
        <v>532</v>
      </c>
      <c r="AT540">
        <v>1</v>
      </c>
      <c r="AU540">
        <v>5.3628283509488153</v>
      </c>
      <c r="AV540">
        <v>6.6468914061285925E-2</v>
      </c>
    </row>
    <row r="541" spans="44:48" x14ac:dyDescent="0.2">
      <c r="AR541">
        <v>533</v>
      </c>
      <c r="AS541">
        <v>533</v>
      </c>
      <c r="AT541">
        <v>1</v>
      </c>
      <c r="AU541">
        <v>5.3937688822661602</v>
      </c>
      <c r="AV541">
        <v>6.6079313237072446E-2</v>
      </c>
    </row>
    <row r="542" spans="44:48" x14ac:dyDescent="0.2">
      <c r="AR542">
        <v>534</v>
      </c>
      <c r="AS542">
        <v>534</v>
      </c>
      <c r="AT542">
        <v>1</v>
      </c>
      <c r="AU542">
        <v>5.4247094135835088</v>
      </c>
      <c r="AV542">
        <v>6.5688605750553256E-2</v>
      </c>
    </row>
    <row r="543" spans="44:48" x14ac:dyDescent="0.2">
      <c r="AR543">
        <v>535</v>
      </c>
      <c r="AS543">
        <v>535</v>
      </c>
      <c r="AT543">
        <v>1</v>
      </c>
      <c r="AU543">
        <v>5.4556499449008538</v>
      </c>
      <c r="AV543">
        <v>6.5296838353561273E-2</v>
      </c>
    </row>
    <row r="544" spans="44:48" x14ac:dyDescent="0.2">
      <c r="AR544">
        <v>536</v>
      </c>
      <c r="AS544">
        <v>536</v>
      </c>
      <c r="AT544">
        <v>1</v>
      </c>
      <c r="AU544">
        <v>5.4865904762181987</v>
      </c>
      <c r="AV544">
        <v>6.4904057683916647E-2</v>
      </c>
    </row>
    <row r="545" spans="44:48" x14ac:dyDescent="0.2">
      <c r="AR545">
        <v>537</v>
      </c>
      <c r="AS545">
        <v>537</v>
      </c>
      <c r="AT545">
        <v>1</v>
      </c>
      <c r="AU545">
        <v>5.5175310075355473</v>
      </c>
      <c r="AV545">
        <v>6.4510310256508066E-2</v>
      </c>
    </row>
    <row r="546" spans="44:48" x14ac:dyDescent="0.2">
      <c r="AR546">
        <v>538</v>
      </c>
      <c r="AS546">
        <v>538</v>
      </c>
      <c r="AT546">
        <v>1</v>
      </c>
      <c r="AU546">
        <v>5.5484715388528922</v>
      </c>
      <c r="AV546">
        <v>6.4115642454459137E-2</v>
      </c>
    </row>
    <row r="547" spans="44:48" x14ac:dyDescent="0.2">
      <c r="AR547">
        <v>539</v>
      </c>
      <c r="AS547">
        <v>539</v>
      </c>
      <c r="AT547">
        <v>1</v>
      </c>
      <c r="AU547">
        <v>5.5794120701702372</v>
      </c>
      <c r="AV547">
        <v>6.3720100520381656E-2</v>
      </c>
    </row>
    <row r="548" spans="44:48" x14ac:dyDescent="0.2">
      <c r="AR548">
        <v>540</v>
      </c>
      <c r="AS548">
        <v>540</v>
      </c>
      <c r="AT548">
        <v>1</v>
      </c>
      <c r="AU548">
        <v>5.6103526014875857</v>
      </c>
      <c r="AV548">
        <v>6.3323730547718504E-2</v>
      </c>
    </row>
    <row r="549" spans="44:48" x14ac:dyDescent="0.2">
      <c r="AR549">
        <v>541</v>
      </c>
      <c r="AS549">
        <v>541</v>
      </c>
      <c r="AT549">
        <v>1</v>
      </c>
      <c r="AU549">
        <v>5.6412931328049307</v>
      </c>
      <c r="AV549">
        <v>6.2926578472178488E-2</v>
      </c>
    </row>
    <row r="550" spans="44:48" x14ac:dyDescent="0.2">
      <c r="AR550">
        <v>542</v>
      </c>
      <c r="AS550">
        <v>542</v>
      </c>
      <c r="AT550">
        <v>1</v>
      </c>
      <c r="AU550">
        <v>5.6722336641222793</v>
      </c>
      <c r="AV550">
        <v>6.252869006326392E-2</v>
      </c>
    </row>
    <row r="551" spans="44:48" x14ac:dyDescent="0.2">
      <c r="AR551">
        <v>543</v>
      </c>
      <c r="AS551">
        <v>543</v>
      </c>
      <c r="AT551">
        <v>1</v>
      </c>
      <c r="AU551">
        <v>5.7031741954396242</v>
      </c>
      <c r="AV551">
        <v>6.2130110915894918E-2</v>
      </c>
    </row>
    <row r="552" spans="44:48" x14ac:dyDescent="0.2">
      <c r="AR552">
        <v>544</v>
      </c>
      <c r="AS552">
        <v>544</v>
      </c>
      <c r="AT552">
        <v>1</v>
      </c>
      <c r="AU552">
        <v>5.7341147267569692</v>
      </c>
      <c r="AV552">
        <v>6.1730886442130449E-2</v>
      </c>
    </row>
    <row r="553" spans="44:48" x14ac:dyDescent="0.2">
      <c r="AR553">
        <v>545</v>
      </c>
      <c r="AS553">
        <v>545</v>
      </c>
      <c r="AT553">
        <v>1</v>
      </c>
      <c r="AU553">
        <v>5.7650552580743177</v>
      </c>
      <c r="AV553">
        <v>6.1331061862989492E-2</v>
      </c>
    </row>
    <row r="554" spans="44:48" x14ac:dyDescent="0.2">
      <c r="AR554">
        <v>546</v>
      </c>
      <c r="AS554">
        <v>546</v>
      </c>
      <c r="AT554">
        <v>1</v>
      </c>
      <c r="AU554">
        <v>5.7959957893916627</v>
      </c>
      <c r="AV554">
        <v>6.0930682200373704E-2</v>
      </c>
    </row>
    <row r="555" spans="44:48" x14ac:dyDescent="0.2">
      <c r="AR555">
        <v>547</v>
      </c>
      <c r="AS555">
        <v>547</v>
      </c>
      <c r="AT555">
        <v>1</v>
      </c>
      <c r="AU555">
        <v>5.8269363207090077</v>
      </c>
      <c r="AV555">
        <v>6.0529792269092983E-2</v>
      </c>
    </row>
    <row r="556" spans="44:48" x14ac:dyDescent="0.2">
      <c r="AR556">
        <v>548</v>
      </c>
      <c r="AS556">
        <v>548</v>
      </c>
      <c r="AT556">
        <v>1</v>
      </c>
      <c r="AU556">
        <v>5.8578768520263562</v>
      </c>
      <c r="AV556">
        <v>6.0128436668996553E-2</v>
      </c>
    </row>
    <row r="557" spans="44:48" x14ac:dyDescent="0.2">
      <c r="AR557">
        <v>549</v>
      </c>
      <c r="AS557">
        <v>549</v>
      </c>
      <c r="AT557">
        <v>1</v>
      </c>
      <c r="AU557">
        <v>5.8888173833437012</v>
      </c>
      <c r="AV557">
        <v>5.9726659777210873E-2</v>
      </c>
    </row>
    <row r="558" spans="44:48" x14ac:dyDescent="0.2">
      <c r="AR558">
        <v>550</v>
      </c>
      <c r="AS558">
        <v>550</v>
      </c>
      <c r="AT558">
        <v>1</v>
      </c>
      <c r="AU558">
        <v>5.9197579146610497</v>
      </c>
      <c r="AV558">
        <v>5.9324505740485714E-2</v>
      </c>
    </row>
    <row r="559" spans="44:48" x14ac:dyDescent="0.2">
      <c r="AR559">
        <v>551</v>
      </c>
      <c r="AS559">
        <v>551</v>
      </c>
      <c r="AT559">
        <v>1</v>
      </c>
      <c r="AU559">
        <v>5.9506984459783947</v>
      </c>
      <c r="AV559">
        <v>5.8922018467651022E-2</v>
      </c>
    </row>
    <row r="560" spans="44:48" x14ac:dyDescent="0.2">
      <c r="AR560">
        <v>552</v>
      </c>
      <c r="AS560">
        <v>552</v>
      </c>
      <c r="AT560">
        <v>1</v>
      </c>
      <c r="AU560">
        <v>5.9816389772957397</v>
      </c>
      <c r="AV560">
        <v>5.8519241622184984E-2</v>
      </c>
    </row>
    <row r="561" spans="44:48" x14ac:dyDescent="0.2">
      <c r="AR561">
        <v>553</v>
      </c>
      <c r="AS561">
        <v>553</v>
      </c>
      <c r="AT561">
        <v>1</v>
      </c>
      <c r="AU561">
        <v>6.0125795086130882</v>
      </c>
      <c r="AV561">
        <v>5.811621861489575E-2</v>
      </c>
    </row>
    <row r="562" spans="44:48" x14ac:dyDescent="0.2">
      <c r="AR562">
        <v>554</v>
      </c>
      <c r="AS562">
        <v>554</v>
      </c>
      <c r="AT562">
        <v>1</v>
      </c>
      <c r="AU562">
        <v>6.0435200399304332</v>
      </c>
      <c r="AV562">
        <v>5.7712992596718138E-2</v>
      </c>
    </row>
    <row r="563" spans="44:48" x14ac:dyDescent="0.2">
      <c r="AR563">
        <v>555</v>
      </c>
      <c r="AS563">
        <v>555</v>
      </c>
      <c r="AT563">
        <v>1</v>
      </c>
      <c r="AU563">
        <v>6.0744605712477782</v>
      </c>
      <c r="AV563">
        <v>5.7309606451625923E-2</v>
      </c>
    </row>
    <row r="564" spans="44:48" x14ac:dyDescent="0.2">
      <c r="AR564">
        <v>556</v>
      </c>
      <c r="AS564">
        <v>556</v>
      </c>
      <c r="AT564">
        <v>1</v>
      </c>
      <c r="AU564">
        <v>6.1054011025651267</v>
      </c>
      <c r="AV564">
        <v>5.6906102789662509E-2</v>
      </c>
    </row>
    <row r="565" spans="44:48" x14ac:dyDescent="0.2">
      <c r="AR565">
        <v>557</v>
      </c>
      <c r="AS565">
        <v>557</v>
      </c>
      <c r="AT565">
        <v>1</v>
      </c>
      <c r="AU565">
        <v>6.1363416338824717</v>
      </c>
      <c r="AV565">
        <v>5.6502523940090275E-2</v>
      </c>
    </row>
    <row r="566" spans="44:48" x14ac:dyDescent="0.2">
      <c r="AR566">
        <v>558</v>
      </c>
      <c r="AS566">
        <v>558</v>
      </c>
      <c r="AT566">
        <v>1</v>
      </c>
      <c r="AU566">
        <v>6.1672821651998166</v>
      </c>
      <c r="AV566">
        <v>5.6098911944659907E-2</v>
      </c>
    </row>
    <row r="567" spans="44:48" x14ac:dyDescent="0.2">
      <c r="AR567">
        <v>559</v>
      </c>
      <c r="AS567">
        <v>559</v>
      </c>
      <c r="AT567">
        <v>1</v>
      </c>
      <c r="AU567">
        <v>6.1982226965171652</v>
      </c>
      <c r="AV567">
        <v>5.5695308551001646E-2</v>
      </c>
    </row>
    <row r="568" spans="44:48" x14ac:dyDescent="0.2">
      <c r="AR568">
        <v>560</v>
      </c>
      <c r="AS568">
        <v>560</v>
      </c>
      <c r="AT568">
        <v>1</v>
      </c>
      <c r="AU568">
        <v>6.2291632278345102</v>
      </c>
      <c r="AV568">
        <v>5.5291755206139125E-2</v>
      </c>
    </row>
    <row r="569" spans="44:48" x14ac:dyDescent="0.2">
      <c r="AR569">
        <v>561</v>
      </c>
      <c r="AS569">
        <v>561</v>
      </c>
      <c r="AT569">
        <v>1</v>
      </c>
      <c r="AU569">
        <v>6.2601037591518587</v>
      </c>
      <c r="AV569">
        <v>5.4888293050126567E-2</v>
      </c>
    </row>
    <row r="570" spans="44:48" x14ac:dyDescent="0.2">
      <c r="AR570">
        <v>562</v>
      </c>
      <c r="AS570">
        <v>562</v>
      </c>
      <c r="AT570">
        <v>1</v>
      </c>
      <c r="AU570">
        <v>6.2910442904692037</v>
      </c>
      <c r="AV570">
        <v>5.4484962909811502E-2</v>
      </c>
    </row>
    <row r="571" spans="44:48" x14ac:dyDescent="0.2">
      <c r="AR571">
        <v>563</v>
      </c>
      <c r="AS571">
        <v>563</v>
      </c>
      <c r="AT571">
        <v>1</v>
      </c>
      <c r="AU571">
        <v>6.3219848217865486</v>
      </c>
      <c r="AV571">
        <v>5.4081805292722829E-2</v>
      </c>
    </row>
    <row r="572" spans="44:48" x14ac:dyDescent="0.2">
      <c r="AR572">
        <v>564</v>
      </c>
      <c r="AS572">
        <v>564</v>
      </c>
      <c r="AT572">
        <v>1</v>
      </c>
      <c r="AU572">
        <v>6.3529253531038972</v>
      </c>
      <c r="AV572">
        <v>5.3678860381085887E-2</v>
      </c>
    </row>
    <row r="573" spans="44:48" x14ac:dyDescent="0.2">
      <c r="AR573">
        <v>565</v>
      </c>
      <c r="AS573">
        <v>565</v>
      </c>
      <c r="AT573">
        <v>1</v>
      </c>
      <c r="AU573">
        <v>6.3838658844212421</v>
      </c>
      <c r="AV573">
        <v>5.3276168025965596E-2</v>
      </c>
    </row>
    <row r="574" spans="44:48" x14ac:dyDescent="0.2">
      <c r="AR574">
        <v>566</v>
      </c>
      <c r="AS574">
        <v>566</v>
      </c>
      <c r="AT574">
        <v>1</v>
      </c>
      <c r="AU574">
        <v>6.4148064157385871</v>
      </c>
      <c r="AV574">
        <v>5.2873767741537618E-2</v>
      </c>
    </row>
    <row r="575" spans="44:48" x14ac:dyDescent="0.2">
      <c r="AR575">
        <v>567</v>
      </c>
      <c r="AS575">
        <v>567</v>
      </c>
      <c r="AT575">
        <v>1</v>
      </c>
      <c r="AU575">
        <v>6.4457469470559356</v>
      </c>
      <c r="AV575">
        <v>5.2471698699489373E-2</v>
      </c>
    </row>
    <row r="576" spans="44:48" x14ac:dyDescent="0.2">
      <c r="AR576">
        <v>568</v>
      </c>
      <c r="AS576">
        <v>568</v>
      </c>
      <c r="AT576">
        <v>1</v>
      </c>
      <c r="AU576">
        <v>6.4766874783732806</v>
      </c>
      <c r="AV576">
        <v>5.2069999723551391E-2</v>
      </c>
    </row>
    <row r="577" spans="44:48" x14ac:dyDescent="0.2">
      <c r="AR577">
        <v>569</v>
      </c>
      <c r="AS577">
        <v>569</v>
      </c>
      <c r="AT577">
        <v>1</v>
      </c>
      <c r="AU577">
        <v>6.5076280096906256</v>
      </c>
      <c r="AV577">
        <v>5.166870928415896E-2</v>
      </c>
    </row>
    <row r="578" spans="44:48" x14ac:dyDescent="0.2">
      <c r="AR578">
        <v>570</v>
      </c>
      <c r="AS578">
        <v>570</v>
      </c>
      <c r="AT578">
        <v>1</v>
      </c>
      <c r="AU578">
        <v>6.5385685410079741</v>
      </c>
      <c r="AV578">
        <v>5.1267865493245822E-2</v>
      </c>
    </row>
    <row r="579" spans="44:48" x14ac:dyDescent="0.2">
      <c r="AR579">
        <v>571</v>
      </c>
      <c r="AS579">
        <v>571</v>
      </c>
      <c r="AT579">
        <v>1</v>
      </c>
      <c r="AU579">
        <v>6.5695090723253191</v>
      </c>
      <c r="AV579">
        <v>5.0867506099169991E-2</v>
      </c>
    </row>
    <row r="580" spans="44:48" x14ac:dyDescent="0.2">
      <c r="AR580">
        <v>572</v>
      </c>
      <c r="AS580">
        <v>572</v>
      </c>
      <c r="AT580">
        <v>1</v>
      </c>
      <c r="AU580">
        <v>6.6004496036426676</v>
      </c>
      <c r="AV580">
        <v>5.0467668481771838E-2</v>
      </c>
    </row>
    <row r="581" spans="44:48" x14ac:dyDescent="0.2">
      <c r="AR581">
        <v>573</v>
      </c>
      <c r="AS581">
        <v>573</v>
      </c>
      <c r="AT581">
        <v>1</v>
      </c>
      <c r="AU581">
        <v>6.6313901349600126</v>
      </c>
      <c r="AV581">
        <v>5.0068389647565985E-2</v>
      </c>
    </row>
    <row r="582" spans="44:48" x14ac:dyDescent="0.2">
      <c r="AR582">
        <v>574</v>
      </c>
      <c r="AS582">
        <v>574</v>
      </c>
      <c r="AT582">
        <v>1</v>
      </c>
      <c r="AU582">
        <v>6.6623306662773576</v>
      </c>
      <c r="AV582">
        <v>4.9669706225066161E-2</v>
      </c>
    </row>
    <row r="583" spans="44:48" x14ac:dyDescent="0.2">
      <c r="AR583">
        <v>575</v>
      </c>
      <c r="AS583">
        <v>575</v>
      </c>
      <c r="AT583">
        <v>1</v>
      </c>
      <c r="AU583">
        <v>6.6932711975947061</v>
      </c>
      <c r="AV583">
        <v>4.9271654460244591E-2</v>
      </c>
    </row>
    <row r="584" spans="44:48" x14ac:dyDescent="0.2">
      <c r="AR584">
        <v>576</v>
      </c>
      <c r="AS584">
        <v>576</v>
      </c>
      <c r="AT584">
        <v>1</v>
      </c>
      <c r="AU584">
        <v>6.7242117289120511</v>
      </c>
      <c r="AV584">
        <v>4.8874270212125592E-2</v>
      </c>
    </row>
    <row r="585" spans="44:48" x14ac:dyDescent="0.2">
      <c r="AR585">
        <v>577</v>
      </c>
      <c r="AS585">
        <v>577</v>
      </c>
      <c r="AT585">
        <v>1</v>
      </c>
      <c r="AU585">
        <v>6.7551522602293961</v>
      </c>
      <c r="AV585">
        <v>4.8477588948513624E-2</v>
      </c>
    </row>
    <row r="586" spans="44:48" x14ac:dyDescent="0.2">
      <c r="AR586">
        <v>578</v>
      </c>
      <c r="AS586">
        <v>578</v>
      </c>
      <c r="AT586">
        <v>1</v>
      </c>
      <c r="AU586">
        <v>6.7860927915467446</v>
      </c>
      <c r="AV586">
        <v>4.8081645741856464E-2</v>
      </c>
    </row>
    <row r="587" spans="44:48" x14ac:dyDescent="0.2">
      <c r="AR587">
        <v>579</v>
      </c>
      <c r="AS587">
        <v>579</v>
      </c>
      <c r="AT587">
        <v>1</v>
      </c>
      <c r="AU587">
        <v>6.8170333228640896</v>
      </c>
      <c r="AV587">
        <v>4.7686475265243486E-2</v>
      </c>
    </row>
    <row r="588" spans="44:48" x14ac:dyDescent="0.2">
      <c r="AR588">
        <v>580</v>
      </c>
      <c r="AS588">
        <v>580</v>
      </c>
      <c r="AT588">
        <v>1</v>
      </c>
      <c r="AU588">
        <v>6.8479738541814346</v>
      </c>
      <c r="AV588">
        <v>4.7292111788538788E-2</v>
      </c>
    </row>
    <row r="589" spans="44:48" x14ac:dyDescent="0.2">
      <c r="AR589">
        <v>581</v>
      </c>
      <c r="AS589">
        <v>581</v>
      </c>
      <c r="AT589">
        <v>1</v>
      </c>
      <c r="AU589">
        <v>6.8789143854987831</v>
      </c>
      <c r="AV589">
        <v>4.6898589174650007E-2</v>
      </c>
    </row>
    <row r="590" spans="44:48" x14ac:dyDescent="0.2">
      <c r="AR590">
        <v>582</v>
      </c>
      <c r="AS590">
        <v>582</v>
      </c>
      <c r="AT590">
        <v>1</v>
      </c>
      <c r="AU590">
        <v>6.9098549168161281</v>
      </c>
      <c r="AV590">
        <v>4.6505940875932496E-2</v>
      </c>
    </row>
    <row r="591" spans="44:48" x14ac:dyDescent="0.2">
      <c r="AR591">
        <v>583</v>
      </c>
      <c r="AS591">
        <v>583</v>
      </c>
      <c r="AT591">
        <v>1</v>
      </c>
      <c r="AU591">
        <v>6.9407954481334766</v>
      </c>
      <c r="AV591">
        <v>4.6114199930728274E-2</v>
      </c>
    </row>
    <row r="592" spans="44:48" x14ac:dyDescent="0.2">
      <c r="AR592">
        <v>584</v>
      </c>
      <c r="AS592">
        <v>584</v>
      </c>
      <c r="AT592">
        <v>1</v>
      </c>
      <c r="AU592">
        <v>6.9717359794508216</v>
      </c>
      <c r="AV592">
        <v>4.5723398960041066E-2</v>
      </c>
    </row>
    <row r="593" spans="44:48" x14ac:dyDescent="0.2">
      <c r="AR593">
        <v>585</v>
      </c>
      <c r="AS593">
        <v>585</v>
      </c>
      <c r="AT593">
        <v>1</v>
      </c>
      <c r="AU593">
        <v>7.0026765107681666</v>
      </c>
      <c r="AV593">
        <v>4.5333570164345735E-2</v>
      </c>
    </row>
    <row r="594" spans="44:48" x14ac:dyDescent="0.2">
      <c r="AR594">
        <v>586</v>
      </c>
      <c r="AS594">
        <v>586</v>
      </c>
      <c r="AT594">
        <v>1</v>
      </c>
      <c r="AU594">
        <v>7.0336170420855151</v>
      </c>
      <c r="AV594">
        <v>4.4944745320533198E-2</v>
      </c>
    </row>
    <row r="595" spans="44:48" x14ac:dyDescent="0.2">
      <c r="AR595">
        <v>587</v>
      </c>
      <c r="AS595">
        <v>587</v>
      </c>
      <c r="AT595">
        <v>1</v>
      </c>
      <c r="AU595">
        <v>7.0645575734028601</v>
      </c>
      <c r="AV595">
        <v>4.4556955778990166E-2</v>
      </c>
    </row>
    <row r="596" spans="44:48" x14ac:dyDescent="0.2">
      <c r="AR596">
        <v>588</v>
      </c>
      <c r="AS596">
        <v>588</v>
      </c>
      <c r="AT596">
        <v>1</v>
      </c>
      <c r="AU596">
        <v>7.095498104720205</v>
      </c>
      <c r="AV596">
        <v>4.4170232460812954E-2</v>
      </c>
    </row>
    <row r="597" spans="44:48" x14ac:dyDescent="0.2">
      <c r="AR597">
        <v>589</v>
      </c>
      <c r="AS597">
        <v>589</v>
      </c>
      <c r="AT597">
        <v>1</v>
      </c>
      <c r="AU597">
        <v>7.1264386360375536</v>
      </c>
      <c r="AV597">
        <v>4.3784605855156068E-2</v>
      </c>
    </row>
    <row r="598" spans="44:48" x14ac:dyDescent="0.2">
      <c r="AR598">
        <v>590</v>
      </c>
      <c r="AS598">
        <v>590</v>
      </c>
      <c r="AT598">
        <v>1</v>
      </c>
      <c r="AU598">
        <v>7.1573791673548985</v>
      </c>
      <c r="AV598">
        <v>4.3400106016714686E-2</v>
      </c>
    </row>
    <row r="599" spans="44:48" x14ac:dyDescent="0.2">
      <c r="AR599">
        <v>591</v>
      </c>
      <c r="AS599">
        <v>591</v>
      </c>
      <c r="AT599">
        <v>1</v>
      </c>
      <c r="AU599">
        <v>7.1883196986722435</v>
      </c>
      <c r="AV599">
        <v>4.3016762563340152E-2</v>
      </c>
    </row>
    <row r="600" spans="44:48" x14ac:dyDescent="0.2">
      <c r="AR600">
        <v>592</v>
      </c>
      <c r="AS600">
        <v>592</v>
      </c>
      <c r="AT600">
        <v>1</v>
      </c>
      <c r="AU600">
        <v>7.219260229989592</v>
      </c>
      <c r="AV600">
        <v>4.263460467378917E-2</v>
      </c>
    </row>
    <row r="601" spans="44:48" x14ac:dyDescent="0.2">
      <c r="AR601">
        <v>593</v>
      </c>
      <c r="AS601">
        <v>593</v>
      </c>
      <c r="AT601">
        <v>1</v>
      </c>
      <c r="AU601">
        <v>7.250200761306937</v>
      </c>
      <c r="AV601">
        <v>4.225366108560541E-2</v>
      </c>
    </row>
    <row r="602" spans="44:48" x14ac:dyDescent="0.2">
      <c r="AR602">
        <v>594</v>
      </c>
      <c r="AS602">
        <v>594</v>
      </c>
      <c r="AT602">
        <v>1</v>
      </c>
      <c r="AU602">
        <v>7.2811412926242856</v>
      </c>
      <c r="AV602">
        <v>4.1873960093133017E-2</v>
      </c>
    </row>
    <row r="603" spans="44:48" x14ac:dyDescent="0.2">
      <c r="AR603">
        <v>595</v>
      </c>
      <c r="AS603">
        <v>595</v>
      </c>
      <c r="AT603">
        <v>1</v>
      </c>
      <c r="AU603">
        <v>7.3120818239416305</v>
      </c>
      <c r="AV603">
        <v>4.1495529545662109E-2</v>
      </c>
    </row>
    <row r="604" spans="44:48" x14ac:dyDescent="0.2">
      <c r="AR604">
        <v>596</v>
      </c>
      <c r="AS604">
        <v>596</v>
      </c>
      <c r="AT604">
        <v>1</v>
      </c>
      <c r="AU604">
        <v>7.3430223552589755</v>
      </c>
      <c r="AV604">
        <v>4.1118396845704695E-2</v>
      </c>
    </row>
    <row r="605" spans="44:48" x14ac:dyDescent="0.2">
      <c r="AR605">
        <v>597</v>
      </c>
      <c r="AS605">
        <v>597</v>
      </c>
      <c r="AT605">
        <v>1</v>
      </c>
      <c r="AU605">
        <v>7.373962886576324</v>
      </c>
      <c r="AV605">
        <v>4.0742588947401286E-2</v>
      </c>
    </row>
    <row r="606" spans="44:48" x14ac:dyDescent="0.2">
      <c r="AR606">
        <v>598</v>
      </c>
      <c r="AS606">
        <v>598</v>
      </c>
      <c r="AT606">
        <v>1</v>
      </c>
      <c r="AU606">
        <v>7.404903417893669</v>
      </c>
      <c r="AV606">
        <v>4.0368132355057158E-2</v>
      </c>
    </row>
    <row r="607" spans="44:48" x14ac:dyDescent="0.2">
      <c r="AR607">
        <v>599</v>
      </c>
      <c r="AS607">
        <v>599</v>
      </c>
      <c r="AT607">
        <v>1</v>
      </c>
      <c r="AU607">
        <v>7.435843949211014</v>
      </c>
      <c r="AV607">
        <v>3.9995053121807025E-2</v>
      </c>
    </row>
    <row r="608" spans="44:48" x14ac:dyDescent="0.2">
      <c r="AR608">
        <v>600</v>
      </c>
      <c r="AS608">
        <v>600</v>
      </c>
      <c r="AT608">
        <v>1</v>
      </c>
      <c r="AU608">
        <v>7.4667844805283625</v>
      </c>
      <c r="AV608">
        <v>3.9623376848408338E-2</v>
      </c>
    </row>
    <row r="609" spans="44:48" x14ac:dyDescent="0.2">
      <c r="AR609">
        <v>601</v>
      </c>
      <c r="AS609">
        <v>601</v>
      </c>
      <c r="AT609">
        <v>1</v>
      </c>
      <c r="AU609">
        <v>7.4977250118457075</v>
      </c>
      <c r="AV609">
        <v>3.9253128682161721E-2</v>
      </c>
    </row>
    <row r="610" spans="44:48" x14ac:dyDescent="0.2">
      <c r="AR610">
        <v>602</v>
      </c>
      <c r="AS610">
        <v>602</v>
      </c>
      <c r="AT610">
        <v>1</v>
      </c>
      <c r="AU610">
        <v>7.528665543163056</v>
      </c>
      <c r="AV610">
        <v>3.8884333315957705E-2</v>
      </c>
    </row>
    <row r="611" spans="44:48" x14ac:dyDescent="0.2">
      <c r="AR611">
        <v>603</v>
      </c>
      <c r="AS611">
        <v>603</v>
      </c>
      <c r="AT611">
        <v>1</v>
      </c>
      <c r="AU611">
        <v>7.559606074480401</v>
      </c>
      <c r="AV611">
        <v>3.8517014987449472E-2</v>
      </c>
    </row>
    <row r="612" spans="44:48" x14ac:dyDescent="0.2">
      <c r="AR612">
        <v>604</v>
      </c>
      <c r="AS612">
        <v>604</v>
      </c>
      <c r="AT612">
        <v>1</v>
      </c>
      <c r="AU612">
        <v>7.590546605797746</v>
      </c>
      <c r="AV612">
        <v>3.8151197478349698E-2</v>
      </c>
    </row>
    <row r="613" spans="44:48" x14ac:dyDescent="0.2">
      <c r="AR613">
        <v>605</v>
      </c>
      <c r="AS613">
        <v>605</v>
      </c>
      <c r="AT613">
        <v>1</v>
      </c>
      <c r="AU613">
        <v>7.6214871371150945</v>
      </c>
      <c r="AV613">
        <v>3.778690411385157E-2</v>
      </c>
    </row>
    <row r="614" spans="44:48" x14ac:dyDescent="0.2">
      <c r="AR614">
        <v>606</v>
      </c>
      <c r="AS614">
        <v>606</v>
      </c>
      <c r="AT614">
        <v>1</v>
      </c>
      <c r="AU614">
        <v>7.6524276684324395</v>
      </c>
      <c r="AV614">
        <v>3.7424157762172533E-2</v>
      </c>
    </row>
    <row r="615" spans="44:48" x14ac:dyDescent="0.2">
      <c r="AR615">
        <v>607</v>
      </c>
      <c r="AS615">
        <v>607</v>
      </c>
      <c r="AT615">
        <v>1</v>
      </c>
      <c r="AU615">
        <v>7.6833681997497845</v>
      </c>
      <c r="AV615">
        <v>3.7062980834219258E-2</v>
      </c>
    </row>
    <row r="616" spans="44:48" x14ac:dyDescent="0.2">
      <c r="AR616">
        <v>608</v>
      </c>
      <c r="AS616">
        <v>608</v>
      </c>
      <c r="AT616">
        <v>1</v>
      </c>
      <c r="AU616">
        <v>7.714308731067133</v>
      </c>
      <c r="AV616">
        <v>3.6703395283373762E-2</v>
      </c>
    </row>
    <row r="617" spans="44:48" x14ac:dyDescent="0.2">
      <c r="AR617">
        <v>609</v>
      </c>
      <c r="AS617">
        <v>609</v>
      </c>
      <c r="AT617">
        <v>1</v>
      </c>
      <c r="AU617">
        <v>7.745249262384478</v>
      </c>
      <c r="AV617">
        <v>3.6345422605398997E-2</v>
      </c>
    </row>
    <row r="618" spans="44:48" x14ac:dyDescent="0.2">
      <c r="AR618">
        <v>610</v>
      </c>
      <c r="AS618">
        <v>610</v>
      </c>
      <c r="AT618">
        <v>1</v>
      </c>
      <c r="AU618">
        <v>7.7761897937018229</v>
      </c>
      <c r="AV618">
        <v>3.5989083838462527E-2</v>
      </c>
    </row>
    <row r="619" spans="44:48" x14ac:dyDescent="0.2">
      <c r="AR619">
        <v>611</v>
      </c>
      <c r="AS619">
        <v>611</v>
      </c>
      <c r="AT619">
        <v>1</v>
      </c>
      <c r="AU619">
        <v>7.8071303250191715</v>
      </c>
      <c r="AV619">
        <v>3.5634399563277776E-2</v>
      </c>
    </row>
    <row r="620" spans="44:48" x14ac:dyDescent="0.2">
      <c r="AR620">
        <v>612</v>
      </c>
      <c r="AS620">
        <v>612</v>
      </c>
      <c r="AT620">
        <v>1</v>
      </c>
      <c r="AU620">
        <v>7.8380708563365165</v>
      </c>
      <c r="AV620">
        <v>3.5281389903361507E-2</v>
      </c>
    </row>
    <row r="621" spans="44:48" x14ac:dyDescent="0.2">
      <c r="AR621">
        <v>613</v>
      </c>
      <c r="AS621">
        <v>613</v>
      </c>
      <c r="AT621">
        <v>1</v>
      </c>
      <c r="AU621">
        <v>7.869011387653865</v>
      </c>
      <c r="AV621">
        <v>3.4930074525405572E-2</v>
      </c>
    </row>
    <row r="622" spans="44:48" x14ac:dyDescent="0.2">
      <c r="AR622">
        <v>614</v>
      </c>
      <c r="AS622">
        <v>614</v>
      </c>
      <c r="AT622">
        <v>1</v>
      </c>
      <c r="AU622">
        <v>7.89995191897121</v>
      </c>
      <c r="AV622">
        <v>3.458047263976298E-2</v>
      </c>
    </row>
    <row r="623" spans="44:48" x14ac:dyDescent="0.2">
      <c r="AR623">
        <v>615</v>
      </c>
      <c r="AS623">
        <v>615</v>
      </c>
      <c r="AT623">
        <v>1</v>
      </c>
      <c r="AU623">
        <v>7.9308924502885549</v>
      </c>
      <c r="AV623">
        <v>3.4232603001045782E-2</v>
      </c>
    </row>
    <row r="624" spans="44:48" x14ac:dyDescent="0.2">
      <c r="AR624">
        <v>616</v>
      </c>
      <c r="AS624">
        <v>616</v>
      </c>
      <c r="AT624">
        <v>1</v>
      </c>
      <c r="AU624">
        <v>7.9618329816059035</v>
      </c>
      <c r="AV624">
        <v>3.3886483908834246E-2</v>
      </c>
    </row>
    <row r="625" spans="44:48" x14ac:dyDescent="0.2">
      <c r="AR625">
        <v>617</v>
      </c>
      <c r="AS625">
        <v>617</v>
      </c>
      <c r="AT625">
        <v>1</v>
      </c>
      <c r="AU625">
        <v>7.9927735129232484</v>
      </c>
      <c r="AV625">
        <v>3.3542133208495799E-2</v>
      </c>
    </row>
    <row r="626" spans="44:48" x14ac:dyDescent="0.2">
      <c r="AR626">
        <v>618</v>
      </c>
      <c r="AS626">
        <v>618</v>
      </c>
      <c r="AT626">
        <v>1</v>
      </c>
      <c r="AU626">
        <v>8.0237140442405934</v>
      </c>
      <c r="AV626">
        <v>3.3199568292112021E-2</v>
      </c>
    </row>
    <row r="627" spans="44:48" x14ac:dyDescent="0.2">
      <c r="AR627">
        <v>619</v>
      </c>
      <c r="AS627">
        <v>619</v>
      </c>
      <c r="AT627">
        <v>1</v>
      </c>
      <c r="AU627">
        <v>8.054654575557942</v>
      </c>
      <c r="AV627">
        <v>3.2858806099512923E-2</v>
      </c>
    </row>
    <row r="628" spans="44:48" x14ac:dyDescent="0.2">
      <c r="AR628">
        <v>620</v>
      </c>
      <c r="AS628">
        <v>620</v>
      </c>
      <c r="AT628">
        <v>1</v>
      </c>
      <c r="AU628">
        <v>8.0855951068752869</v>
      </c>
      <c r="AV628">
        <v>3.251986311941675E-2</v>
      </c>
    </row>
    <row r="629" spans="44:48" x14ac:dyDescent="0.2">
      <c r="AR629">
        <v>621</v>
      </c>
      <c r="AS629">
        <v>621</v>
      </c>
      <c r="AT629">
        <v>1</v>
      </c>
      <c r="AU629">
        <v>8.1165356381926319</v>
      </c>
      <c r="AV629">
        <v>3.2182755390673654E-2</v>
      </c>
    </row>
    <row r="630" spans="44:48" x14ac:dyDescent="0.2">
      <c r="AR630">
        <v>622</v>
      </c>
      <c r="AS630">
        <v>622</v>
      </c>
      <c r="AT630">
        <v>1</v>
      </c>
      <c r="AU630">
        <v>8.1474761695099804</v>
      </c>
      <c r="AV630">
        <v>3.1847498503612293E-2</v>
      </c>
    </row>
    <row r="631" spans="44:48" x14ac:dyDescent="0.2">
      <c r="AR631">
        <v>623</v>
      </c>
      <c r="AS631">
        <v>623</v>
      </c>
      <c r="AT631">
        <v>1</v>
      </c>
      <c r="AU631">
        <v>8.1784167008273254</v>
      </c>
      <c r="AV631">
        <v>3.1514107601487838E-2</v>
      </c>
    </row>
    <row r="632" spans="44:48" x14ac:dyDescent="0.2">
      <c r="AR632">
        <v>624</v>
      </c>
      <c r="AS632">
        <v>624</v>
      </c>
      <c r="AT632">
        <v>1</v>
      </c>
      <c r="AU632">
        <v>8.2093572321446739</v>
      </c>
      <c r="AV632">
        <v>3.118259738202905E-2</v>
      </c>
    </row>
    <row r="633" spans="44:48" x14ac:dyDescent="0.2">
      <c r="AR633">
        <v>625</v>
      </c>
      <c r="AS633">
        <v>625</v>
      </c>
      <c r="AT633">
        <v>1</v>
      </c>
      <c r="AU633">
        <v>8.2402977634620189</v>
      </c>
      <c r="AV633">
        <v>3.0852982099084332E-2</v>
      </c>
    </row>
    <row r="634" spans="44:48" x14ac:dyDescent="0.2">
      <c r="AR634">
        <v>626</v>
      </c>
      <c r="AS634">
        <v>626</v>
      </c>
      <c r="AT634">
        <v>1</v>
      </c>
      <c r="AU634">
        <v>8.2712382947793639</v>
      </c>
      <c r="AV634">
        <v>3.0525275564363779E-2</v>
      </c>
    </row>
    <row r="635" spans="44:48" x14ac:dyDescent="0.2">
      <c r="AR635">
        <v>627</v>
      </c>
      <c r="AS635">
        <v>627</v>
      </c>
      <c r="AT635">
        <v>1</v>
      </c>
      <c r="AU635">
        <v>8.3021788260967124</v>
      </c>
      <c r="AV635">
        <v>3.0199491149276812E-2</v>
      </c>
    </row>
    <row r="636" spans="44:48" x14ac:dyDescent="0.2">
      <c r="AR636">
        <v>628</v>
      </c>
      <c r="AS636">
        <v>628</v>
      </c>
      <c r="AT636">
        <v>1</v>
      </c>
      <c r="AU636">
        <v>8.3331193574140574</v>
      </c>
      <c r="AV636">
        <v>2.9875641786863225E-2</v>
      </c>
    </row>
    <row r="637" spans="44:48" x14ac:dyDescent="0.2">
      <c r="AR637">
        <v>629</v>
      </c>
      <c r="AS637">
        <v>629</v>
      </c>
      <c r="AT637">
        <v>1</v>
      </c>
      <c r="AU637">
        <v>8.3640598887314024</v>
      </c>
      <c r="AV637">
        <v>2.955373997381594E-2</v>
      </c>
    </row>
    <row r="638" spans="44:48" x14ac:dyDescent="0.2">
      <c r="AR638">
        <v>630</v>
      </c>
      <c r="AS638">
        <v>630</v>
      </c>
      <c r="AT638">
        <v>1</v>
      </c>
      <c r="AU638">
        <v>8.3950004200487509</v>
      </c>
      <c r="AV638">
        <v>2.9233797772594439E-2</v>
      </c>
    </row>
    <row r="639" spans="44:48" x14ac:dyDescent="0.2">
      <c r="AR639">
        <v>631</v>
      </c>
      <c r="AS639">
        <v>631</v>
      </c>
      <c r="AT639">
        <v>1</v>
      </c>
      <c r="AU639">
        <v>8.4259409513660959</v>
      </c>
      <c r="AV639">
        <v>2.8915826813626876E-2</v>
      </c>
    </row>
    <row r="640" spans="44:48" x14ac:dyDescent="0.2">
      <c r="AR640">
        <v>632</v>
      </c>
      <c r="AS640">
        <v>632</v>
      </c>
      <c r="AT640">
        <v>1</v>
      </c>
      <c r="AU640">
        <v>8.4568814826834409</v>
      </c>
      <c r="AV640">
        <v>2.8599838297599007E-2</v>
      </c>
    </row>
    <row r="641" spans="44:48" x14ac:dyDescent="0.2">
      <c r="AR641">
        <v>633</v>
      </c>
      <c r="AS641">
        <v>633</v>
      </c>
      <c r="AT641">
        <v>1</v>
      </c>
      <c r="AU641">
        <v>8.4878220140007894</v>
      </c>
      <c r="AV641">
        <v>2.8285842997828877E-2</v>
      </c>
    </row>
    <row r="642" spans="44:48" x14ac:dyDescent="0.2">
      <c r="AR642">
        <v>634</v>
      </c>
      <c r="AS642">
        <v>634</v>
      </c>
      <c r="AT642">
        <v>1</v>
      </c>
      <c r="AU642">
        <v>8.5187625453181344</v>
      </c>
      <c r="AV642">
        <v>2.7973851262725263E-2</v>
      </c>
    </row>
    <row r="643" spans="44:48" x14ac:dyDescent="0.2">
      <c r="AR643">
        <v>635</v>
      </c>
      <c r="AS643">
        <v>635</v>
      </c>
      <c r="AT643">
        <v>1</v>
      </c>
      <c r="AU643">
        <v>8.5497030766354829</v>
      </c>
      <c r="AV643">
        <v>2.7663873018327935E-2</v>
      </c>
    </row>
    <row r="644" spans="44:48" x14ac:dyDescent="0.2">
      <c r="AR644">
        <v>636</v>
      </c>
      <c r="AS644">
        <v>636</v>
      </c>
      <c r="AT644">
        <v>1</v>
      </c>
      <c r="AU644">
        <v>8.5806436079528279</v>
      </c>
      <c r="AV644">
        <v>2.7355917770928832E-2</v>
      </c>
    </row>
    <row r="645" spans="44:48" x14ac:dyDescent="0.2">
      <c r="AR645">
        <v>637</v>
      </c>
      <c r="AS645">
        <v>637</v>
      </c>
      <c r="AT645">
        <v>1</v>
      </c>
      <c r="AU645">
        <v>8.6115841392701729</v>
      </c>
      <c r="AV645">
        <v>2.704999460977146E-2</v>
      </c>
    </row>
    <row r="646" spans="44:48" x14ac:dyDescent="0.2">
      <c r="AR646">
        <v>638</v>
      </c>
      <c r="AS646">
        <v>638</v>
      </c>
      <c r="AT646">
        <v>1</v>
      </c>
      <c r="AU646">
        <v>8.6425246705875214</v>
      </c>
      <c r="AV646">
        <v>2.674611220982764E-2</v>
      </c>
    </row>
    <row r="647" spans="44:48" x14ac:dyDescent="0.2">
      <c r="AR647">
        <v>639</v>
      </c>
      <c r="AS647">
        <v>639</v>
      </c>
      <c r="AT647">
        <v>1</v>
      </c>
      <c r="AU647">
        <v>8.6734652019048664</v>
      </c>
      <c r="AV647">
        <v>2.6444278834649664E-2</v>
      </c>
    </row>
    <row r="648" spans="44:48" x14ac:dyDescent="0.2">
      <c r="AR648">
        <v>640</v>
      </c>
      <c r="AS648">
        <v>640</v>
      </c>
      <c r="AT648">
        <v>1</v>
      </c>
      <c r="AU648">
        <v>8.7044057332222113</v>
      </c>
      <c r="AV648">
        <v>2.6144502339295623E-2</v>
      </c>
    </row>
    <row r="649" spans="44:48" x14ac:dyDescent="0.2">
      <c r="AR649">
        <v>641</v>
      </c>
      <c r="AS649">
        <v>641</v>
      </c>
      <c r="AT649">
        <v>1</v>
      </c>
      <c r="AU649">
        <v>8.7353462645395599</v>
      </c>
      <c r="AV649">
        <v>2.5846790173327038E-2</v>
      </c>
    </row>
    <row r="650" spans="44:48" x14ac:dyDescent="0.2">
      <c r="AR650">
        <v>642</v>
      </c>
      <c r="AS650">
        <v>642</v>
      </c>
      <c r="AT650">
        <v>1</v>
      </c>
      <c r="AU650">
        <v>8.7662867958569048</v>
      </c>
      <c r="AV650">
        <v>2.5551149383876513E-2</v>
      </c>
    </row>
    <row r="651" spans="44:48" x14ac:dyDescent="0.2">
      <c r="AR651">
        <v>643</v>
      </c>
      <c r="AS651">
        <v>643</v>
      </c>
      <c r="AT651">
        <v>1</v>
      </c>
      <c r="AU651">
        <v>8.7972273271742498</v>
      </c>
      <c r="AV651">
        <v>2.5257586618783533E-2</v>
      </c>
    </row>
    <row r="652" spans="44:48" x14ac:dyDescent="0.2">
      <c r="AR652">
        <v>644</v>
      </c>
      <c r="AS652">
        <v>644</v>
      </c>
      <c r="AT652">
        <v>1</v>
      </c>
      <c r="AU652">
        <v>8.8281678584915984</v>
      </c>
      <c r="AV652">
        <v>2.4966108129797267E-2</v>
      </c>
    </row>
    <row r="653" spans="44:48" x14ac:dyDescent="0.2">
      <c r="AR653">
        <v>645</v>
      </c>
      <c r="AS653">
        <v>645</v>
      </c>
      <c r="AT653">
        <v>1</v>
      </c>
      <c r="AU653">
        <v>8.8591083898089433</v>
      </c>
      <c r="AV653">
        <v>2.4676719775844194E-2</v>
      </c>
    </row>
    <row r="654" spans="44:48" x14ac:dyDescent="0.2">
      <c r="AR654">
        <v>646</v>
      </c>
      <c r="AS654">
        <v>646</v>
      </c>
      <c r="AT654">
        <v>1</v>
      </c>
      <c r="AU654">
        <v>8.8900489211262919</v>
      </c>
      <c r="AV654">
        <v>2.4389427026358594E-2</v>
      </c>
    </row>
    <row r="655" spans="44:48" x14ac:dyDescent="0.2">
      <c r="AR655">
        <v>647</v>
      </c>
      <c r="AS655">
        <v>647</v>
      </c>
      <c r="AT655">
        <v>1</v>
      </c>
      <c r="AU655">
        <v>8.9209894524436368</v>
      </c>
      <c r="AV655">
        <v>2.4104234964674912E-2</v>
      </c>
    </row>
    <row r="656" spans="44:48" x14ac:dyDescent="0.2">
      <c r="AR656">
        <v>648</v>
      </c>
      <c r="AS656">
        <v>648</v>
      </c>
      <c r="AT656">
        <v>1</v>
      </c>
      <c r="AU656">
        <v>8.9519299837609818</v>
      </c>
      <c r="AV656">
        <v>2.382114829147931E-2</v>
      </c>
    </row>
    <row r="657" spans="44:48" x14ac:dyDescent="0.2">
      <c r="AR657">
        <v>649</v>
      </c>
      <c r="AS657">
        <v>649</v>
      </c>
      <c r="AT657">
        <v>1</v>
      </c>
      <c r="AU657">
        <v>8.9828705150783303</v>
      </c>
      <c r="AV657">
        <v>2.3540171328319391E-2</v>
      </c>
    </row>
    <row r="658" spans="44:48" x14ac:dyDescent="0.2">
      <c r="AR658">
        <v>650</v>
      </c>
      <c r="AS658">
        <v>650</v>
      </c>
      <c r="AT658">
        <v>1</v>
      </c>
      <c r="AU658">
        <v>9.0138110463956753</v>
      </c>
      <c r="AV658">
        <v>2.3261308021170109E-2</v>
      </c>
    </row>
    <row r="659" spans="44:48" x14ac:dyDescent="0.2">
      <c r="AR659">
        <v>651</v>
      </c>
      <c r="AS659">
        <v>651</v>
      </c>
      <c r="AT659">
        <v>1</v>
      </c>
      <c r="AU659">
        <v>9.0447515777130203</v>
      </c>
      <c r="AV659">
        <v>2.2984561944053659E-2</v>
      </c>
    </row>
    <row r="660" spans="44:48" x14ac:dyDescent="0.2">
      <c r="AR660">
        <v>652</v>
      </c>
      <c r="AS660">
        <v>652</v>
      </c>
      <c r="AT660">
        <v>1</v>
      </c>
      <c r="AU660">
        <v>9.0756921090303688</v>
      </c>
      <c r="AV660">
        <v>2.2709936302712379E-2</v>
      </c>
    </row>
    <row r="661" spans="44:48" x14ac:dyDescent="0.2">
      <c r="AR661">
        <v>653</v>
      </c>
      <c r="AS661">
        <v>653</v>
      </c>
      <c r="AT661">
        <v>1</v>
      </c>
      <c r="AU661">
        <v>9.1066326403477138</v>
      </c>
      <c r="AV661">
        <v>2.2437433938332509E-2</v>
      </c>
    </row>
    <row r="662" spans="44:48" x14ac:dyDescent="0.2">
      <c r="AR662">
        <v>654</v>
      </c>
      <c r="AS662">
        <v>654</v>
      </c>
      <c r="AT662">
        <v>1</v>
      </c>
      <c r="AU662">
        <v>9.1375731716650588</v>
      </c>
      <c r="AV662">
        <v>2.2167057331316641E-2</v>
      </c>
    </row>
    <row r="663" spans="44:48" x14ac:dyDescent="0.2">
      <c r="AR663">
        <v>655</v>
      </c>
      <c r="AS663">
        <v>655</v>
      </c>
      <c r="AT663">
        <v>1</v>
      </c>
      <c r="AU663">
        <v>9.1685137029824073</v>
      </c>
      <c r="AV663">
        <v>2.1898808605104035E-2</v>
      </c>
    </row>
    <row r="664" spans="44:48" x14ac:dyDescent="0.2">
      <c r="AR664">
        <v>656</v>
      </c>
      <c r="AS664">
        <v>656</v>
      </c>
      <c r="AT664">
        <v>1</v>
      </c>
      <c r="AU664">
        <v>9.1994542342997523</v>
      </c>
      <c r="AV664">
        <v>2.1632689530036338E-2</v>
      </c>
    </row>
    <row r="665" spans="44:48" x14ac:dyDescent="0.2">
      <c r="AR665">
        <v>657</v>
      </c>
      <c r="AS665">
        <v>657</v>
      </c>
      <c r="AT665">
        <v>1</v>
      </c>
      <c r="AU665">
        <v>9.2303947656171008</v>
      </c>
      <c r="AV665">
        <v>2.1368701527267036E-2</v>
      </c>
    </row>
    <row r="666" spans="44:48" x14ac:dyDescent="0.2">
      <c r="AR666">
        <v>658</v>
      </c>
      <c r="AS666">
        <v>658</v>
      </c>
      <c r="AT666">
        <v>1</v>
      </c>
      <c r="AU666">
        <v>9.2613352969344458</v>
      </c>
      <c r="AV666">
        <v>2.110684567271344E-2</v>
      </c>
    </row>
    <row r="667" spans="44:48" x14ac:dyDescent="0.2">
      <c r="AR667">
        <v>659</v>
      </c>
      <c r="AS667">
        <v>659</v>
      </c>
      <c r="AT667">
        <v>1</v>
      </c>
      <c r="AU667">
        <v>9.2922758282517908</v>
      </c>
      <c r="AV667">
        <v>2.0847122701048618E-2</v>
      </c>
    </row>
    <row r="668" spans="44:48" x14ac:dyDescent="0.2">
      <c r="AR668">
        <v>660</v>
      </c>
      <c r="AS668">
        <v>660</v>
      </c>
      <c r="AT668">
        <v>1</v>
      </c>
      <c r="AU668">
        <v>9.3232163595691393</v>
      </c>
      <c r="AV668">
        <v>2.0589533009732361E-2</v>
      </c>
    </row>
    <row r="669" spans="44:48" x14ac:dyDescent="0.2">
      <c r="AR669">
        <v>661</v>
      </c>
      <c r="AS669">
        <v>661</v>
      </c>
      <c r="AT669">
        <v>1</v>
      </c>
      <c r="AU669">
        <v>9.3541568908864843</v>
      </c>
      <c r="AV669">
        <v>2.0334076663079154E-2</v>
      </c>
    </row>
    <row r="670" spans="44:48" x14ac:dyDescent="0.2">
      <c r="AR670">
        <v>662</v>
      </c>
      <c r="AS670">
        <v>662</v>
      </c>
      <c r="AT670">
        <v>1</v>
      </c>
      <c r="AU670">
        <v>9.3850974222038293</v>
      </c>
      <c r="AV670">
        <v>2.0080753396361065E-2</v>
      </c>
    </row>
    <row r="671" spans="44:48" x14ac:dyDescent="0.2">
      <c r="AR671">
        <v>663</v>
      </c>
      <c r="AS671">
        <v>663</v>
      </c>
      <c r="AT671">
        <v>1</v>
      </c>
      <c r="AU671">
        <v>9.4160379535211778</v>
      </c>
      <c r="AV671">
        <v>1.9829562619944591E-2</v>
      </c>
    </row>
    <row r="672" spans="44:48" x14ac:dyDescent="0.2">
      <c r="AR672">
        <v>664</v>
      </c>
      <c r="AS672">
        <v>664</v>
      </c>
      <c r="AT672">
        <v>1</v>
      </c>
      <c r="AU672">
        <v>9.4469784848385228</v>
      </c>
      <c r="AV672">
        <v>1.9580503423459263E-2</v>
      </c>
    </row>
    <row r="673" spans="44:48" x14ac:dyDescent="0.2">
      <c r="AR673">
        <v>665</v>
      </c>
      <c r="AS673">
        <v>665</v>
      </c>
      <c r="AT673">
        <v>1</v>
      </c>
      <c r="AU673">
        <v>9.4779190161558713</v>
      </c>
      <c r="AV673">
        <v>1.9333574579996304E-2</v>
      </c>
    </row>
    <row r="674" spans="44:48" x14ac:dyDescent="0.2">
      <c r="AR674">
        <v>666</v>
      </c>
      <c r="AS674">
        <v>666</v>
      </c>
      <c r="AT674">
        <v>1</v>
      </c>
      <c r="AU674">
        <v>9.5088595474732163</v>
      </c>
      <c r="AV674">
        <v>1.9088774550336141E-2</v>
      </c>
    </row>
    <row r="675" spans="44:48" x14ac:dyDescent="0.2">
      <c r="AR675">
        <v>667</v>
      </c>
      <c r="AS675">
        <v>667</v>
      </c>
      <c r="AT675">
        <v>1</v>
      </c>
      <c r="AU675">
        <v>9.5398000787905612</v>
      </c>
      <c r="AV675">
        <v>1.8846101487202435E-2</v>
      </c>
    </row>
    <row r="676" spans="44:48" x14ac:dyDescent="0.2">
      <c r="AR676">
        <v>668</v>
      </c>
      <c r="AS676">
        <v>668</v>
      </c>
      <c r="AT676">
        <v>1</v>
      </c>
      <c r="AU676">
        <v>9.5707406101079098</v>
      </c>
      <c r="AV676">
        <v>1.8605553239541592E-2</v>
      </c>
    </row>
    <row r="677" spans="44:48" x14ac:dyDescent="0.2">
      <c r="AR677">
        <v>669</v>
      </c>
      <c r="AS677">
        <v>669</v>
      </c>
      <c r="AT677">
        <v>1</v>
      </c>
      <c r="AU677">
        <v>9.6016811414252548</v>
      </c>
      <c r="AV677">
        <v>1.8367127356825885E-2</v>
      </c>
    </row>
    <row r="678" spans="44:48" x14ac:dyDescent="0.2">
      <c r="AR678">
        <v>670</v>
      </c>
      <c r="AS678">
        <v>670</v>
      </c>
      <c r="AT678">
        <v>1</v>
      </c>
      <c r="AU678">
        <v>9.6326216727425997</v>
      </c>
      <c r="AV678">
        <v>1.8130821093378272E-2</v>
      </c>
    </row>
    <row r="679" spans="44:48" x14ac:dyDescent="0.2">
      <c r="AR679">
        <v>671</v>
      </c>
      <c r="AS679">
        <v>671</v>
      </c>
      <c r="AT679">
        <v>1</v>
      </c>
      <c r="AU679">
        <v>9.6635622040599483</v>
      </c>
      <c r="AV679">
        <v>1.789663141271787E-2</v>
      </c>
    </row>
    <row r="680" spans="44:48" x14ac:dyDescent="0.2">
      <c r="AR680">
        <v>672</v>
      </c>
      <c r="AS680">
        <v>672</v>
      </c>
      <c r="AT680">
        <v>1</v>
      </c>
      <c r="AU680">
        <v>9.6945027353772932</v>
      </c>
      <c r="AV680">
        <v>1.7664554991924125E-2</v>
      </c>
    </row>
    <row r="681" spans="44:48" x14ac:dyDescent="0.2">
      <c r="AR681">
        <v>673</v>
      </c>
      <c r="AS681">
        <v>673</v>
      </c>
      <c r="AT681">
        <v>1</v>
      </c>
      <c r="AU681">
        <v>9.7254432666946382</v>
      </c>
      <c r="AV681">
        <v>1.7434588226017962E-2</v>
      </c>
    </row>
    <row r="682" spans="44:48" x14ac:dyDescent="0.2">
      <c r="AR682">
        <v>674</v>
      </c>
      <c r="AS682">
        <v>674</v>
      </c>
      <c r="AT682">
        <v>1</v>
      </c>
      <c r="AU682">
        <v>9.7563837980119867</v>
      </c>
      <c r="AV682">
        <v>1.7206727232358769E-2</v>
      </c>
    </row>
    <row r="683" spans="44:48" x14ac:dyDescent="0.2">
      <c r="AR683">
        <v>675</v>
      </c>
      <c r="AS683">
        <v>675</v>
      </c>
      <c r="AT683">
        <v>1</v>
      </c>
      <c r="AU683">
        <v>9.7873243293293317</v>
      </c>
      <c r="AV683">
        <v>1.6980967855055446E-2</v>
      </c>
    </row>
    <row r="684" spans="44:48" x14ac:dyDescent="0.2">
      <c r="AR684">
        <v>676</v>
      </c>
      <c r="AS684">
        <v>676</v>
      </c>
      <c r="AT684">
        <v>1</v>
      </c>
      <c r="AU684">
        <v>9.8182648606466802</v>
      </c>
      <c r="AV684">
        <v>1.6757305669389669E-2</v>
      </c>
    </row>
    <row r="685" spans="44:48" x14ac:dyDescent="0.2">
      <c r="AR685">
        <v>677</v>
      </c>
      <c r="AS685">
        <v>677</v>
      </c>
      <c r="AT685">
        <v>1</v>
      </c>
      <c r="AU685">
        <v>9.8492053919640252</v>
      </c>
      <c r="AV685">
        <v>1.653573598625056E-2</v>
      </c>
    </row>
    <row r="686" spans="44:48" x14ac:dyDescent="0.2">
      <c r="AR686">
        <v>678</v>
      </c>
      <c r="AS686">
        <v>678</v>
      </c>
      <c r="AT686">
        <v>1</v>
      </c>
      <c r="AU686">
        <v>9.8801459232813702</v>
      </c>
      <c r="AV686">
        <v>1.6316253856578467E-2</v>
      </c>
    </row>
    <row r="687" spans="44:48" x14ac:dyDescent="0.2">
      <c r="AR687">
        <v>679</v>
      </c>
      <c r="AS687">
        <v>679</v>
      </c>
      <c r="AT687">
        <v>1</v>
      </c>
      <c r="AU687">
        <v>9.9110864545987187</v>
      </c>
      <c r="AV687">
        <v>1.6098854075816949E-2</v>
      </c>
    </row>
    <row r="688" spans="44:48" x14ac:dyDescent="0.2">
      <c r="AR688">
        <v>680</v>
      </c>
      <c r="AS688">
        <v>680</v>
      </c>
      <c r="AT688">
        <v>1</v>
      </c>
      <c r="AU688">
        <v>9.9420269859160637</v>
      </c>
      <c r="AV688">
        <v>1.5883531188371307E-2</v>
      </c>
    </row>
    <row r="689" spans="44:48" x14ac:dyDescent="0.2">
      <c r="AR689">
        <v>681</v>
      </c>
      <c r="AS689">
        <v>681</v>
      </c>
      <c r="AT689">
        <v>1</v>
      </c>
      <c r="AU689">
        <v>9.9729675172334087</v>
      </c>
      <c r="AV689">
        <v>1.5670279492071896E-2</v>
      </c>
    </row>
    <row r="690" spans="44:48" x14ac:dyDescent="0.2">
      <c r="AR690">
        <v>682</v>
      </c>
      <c r="AS690">
        <v>682</v>
      </c>
      <c r="AT690">
        <v>1</v>
      </c>
      <c r="AU690">
        <v>10.003908048550757</v>
      </c>
      <c r="AV690">
        <v>1.5459093042641342E-2</v>
      </c>
    </row>
    <row r="691" spans="44:48" x14ac:dyDescent="0.2">
      <c r="AR691">
        <v>683</v>
      </c>
      <c r="AS691">
        <v>683</v>
      </c>
      <c r="AT691">
        <v>1</v>
      </c>
      <c r="AU691">
        <v>10.034848579868102</v>
      </c>
      <c r="AV691">
        <v>1.5249965658163932E-2</v>
      </c>
    </row>
    <row r="692" spans="44:48" x14ac:dyDescent="0.2">
      <c r="AR692">
        <v>684</v>
      </c>
      <c r="AS692">
        <v>684</v>
      </c>
      <c r="AT692">
        <v>1</v>
      </c>
      <c r="AU692">
        <v>10.065789111185447</v>
      </c>
      <c r="AV692">
        <v>1.5042890923555523E-2</v>
      </c>
    </row>
    <row r="693" spans="44:48" x14ac:dyDescent="0.2">
      <c r="AR693">
        <v>685</v>
      </c>
      <c r="AS693">
        <v>685</v>
      </c>
      <c r="AT693">
        <v>1</v>
      </c>
      <c r="AU693">
        <v>10.096729642502796</v>
      </c>
      <c r="AV693">
        <v>1.4837862195033132E-2</v>
      </c>
    </row>
    <row r="694" spans="44:48" x14ac:dyDescent="0.2">
      <c r="AR694">
        <v>686</v>
      </c>
      <c r="AS694">
        <v>686</v>
      </c>
      <c r="AT694">
        <v>1</v>
      </c>
      <c r="AU694">
        <v>10.127670173820141</v>
      </c>
      <c r="AV694">
        <v>1.4634872604582534E-2</v>
      </c>
    </row>
    <row r="695" spans="44:48" x14ac:dyDescent="0.2">
      <c r="AR695">
        <v>687</v>
      </c>
      <c r="AS695">
        <v>687</v>
      </c>
      <c r="AT695">
        <v>1</v>
      </c>
      <c r="AU695">
        <v>10.158610705137489</v>
      </c>
      <c r="AV695">
        <v>1.4433915064422336E-2</v>
      </c>
    </row>
    <row r="696" spans="44:48" x14ac:dyDescent="0.2">
      <c r="AR696">
        <v>688</v>
      </c>
      <c r="AS696">
        <v>688</v>
      </c>
      <c r="AT696">
        <v>1</v>
      </c>
      <c r="AU696">
        <v>10.189551236454834</v>
      </c>
      <c r="AV696">
        <v>1.4234982271463734E-2</v>
      </c>
    </row>
    <row r="697" spans="44:48" x14ac:dyDescent="0.2">
      <c r="AR697">
        <v>689</v>
      </c>
      <c r="AS697">
        <v>689</v>
      </c>
      <c r="AT697">
        <v>1</v>
      </c>
      <c r="AU697">
        <v>10.220491767772179</v>
      </c>
      <c r="AV697">
        <v>1.4038066711763992E-2</v>
      </c>
    </row>
    <row r="698" spans="44:48" x14ac:dyDescent="0.2">
      <c r="AR698">
        <v>690</v>
      </c>
      <c r="AS698">
        <v>690</v>
      </c>
      <c r="AT698">
        <v>1</v>
      </c>
      <c r="AU698">
        <v>10.251432299089528</v>
      </c>
      <c r="AV698">
        <v>1.3843160664972921E-2</v>
      </c>
    </row>
    <row r="699" spans="44:48" x14ac:dyDescent="0.2">
      <c r="AR699">
        <v>691</v>
      </c>
      <c r="AS699">
        <v>691</v>
      </c>
      <c r="AT699">
        <v>1</v>
      </c>
      <c r="AU699">
        <v>10.282372830406873</v>
      </c>
      <c r="AV699">
        <v>1.3650256208770851E-2</v>
      </c>
    </row>
    <row r="700" spans="44:48" x14ac:dyDescent="0.2">
      <c r="AR700">
        <v>692</v>
      </c>
      <c r="AS700">
        <v>692</v>
      </c>
      <c r="AT700">
        <v>1</v>
      </c>
      <c r="AU700">
        <v>10.313313361724218</v>
      </c>
      <c r="AV700">
        <v>1.3459345223296663E-2</v>
      </c>
    </row>
    <row r="701" spans="44:48" x14ac:dyDescent="0.2">
      <c r="AR701">
        <v>693</v>
      </c>
      <c r="AS701">
        <v>693</v>
      </c>
      <c r="AT701">
        <v>1</v>
      </c>
      <c r="AU701">
        <v>10.344253893041566</v>
      </c>
      <c r="AV701">
        <v>1.3270419395565027E-2</v>
      </c>
    </row>
    <row r="702" spans="44:48" x14ac:dyDescent="0.2">
      <c r="AR702">
        <v>694</v>
      </c>
      <c r="AS702">
        <v>694</v>
      </c>
      <c r="AT702">
        <v>1</v>
      </c>
      <c r="AU702">
        <v>10.375194424358911</v>
      </c>
      <c r="AV702">
        <v>1.3083470223871447E-2</v>
      </c>
    </row>
    <row r="703" spans="44:48" x14ac:dyDescent="0.2">
      <c r="AR703">
        <v>695</v>
      </c>
      <c r="AS703">
        <v>695</v>
      </c>
      <c r="AT703">
        <v>1</v>
      </c>
      <c r="AU703">
        <v>10.406134955676256</v>
      </c>
      <c r="AV703">
        <v>1.2898489022183808E-2</v>
      </c>
    </row>
    <row r="704" spans="44:48" x14ac:dyDescent="0.2">
      <c r="AR704">
        <v>696</v>
      </c>
      <c r="AS704">
        <v>696</v>
      </c>
      <c r="AT704">
        <v>1</v>
      </c>
      <c r="AU704">
        <v>10.437075486993605</v>
      </c>
      <c r="AV704">
        <v>1.2715466924519537E-2</v>
      </c>
    </row>
    <row r="705" spans="44:48" x14ac:dyDescent="0.2">
      <c r="AR705">
        <v>697</v>
      </c>
      <c r="AS705">
        <v>697</v>
      </c>
      <c r="AT705">
        <v>1</v>
      </c>
      <c r="AU705">
        <v>10.46801601831095</v>
      </c>
      <c r="AV705">
        <v>1.2534394889307115E-2</v>
      </c>
    </row>
    <row r="706" spans="44:48" x14ac:dyDescent="0.2">
      <c r="AR706">
        <v>698</v>
      </c>
      <c r="AS706">
        <v>698</v>
      </c>
      <c r="AT706">
        <v>1</v>
      </c>
      <c r="AU706">
        <v>10.498956549628298</v>
      </c>
      <c r="AV706">
        <v>1.2355263703730541E-2</v>
      </c>
    </row>
    <row r="707" spans="44:48" x14ac:dyDescent="0.2">
      <c r="AR707">
        <v>699</v>
      </c>
      <c r="AS707">
        <v>699</v>
      </c>
      <c r="AT707">
        <v>1</v>
      </c>
      <c r="AU707">
        <v>10.529897080945643</v>
      </c>
      <c r="AV707">
        <v>1.2178063988056348E-2</v>
      </c>
    </row>
    <row r="708" spans="44:48" x14ac:dyDescent="0.2">
      <c r="AR708">
        <v>700</v>
      </c>
      <c r="AS708">
        <v>700</v>
      </c>
      <c r="AT708">
        <v>1</v>
      </c>
      <c r="AU708">
        <v>10.560837612262988</v>
      </c>
      <c r="AV708">
        <v>1.2002786199941211E-2</v>
      </c>
    </row>
    <row r="709" spans="44:48" x14ac:dyDescent="0.2">
      <c r="AR709">
        <v>701</v>
      </c>
      <c r="AS709">
        <v>701</v>
      </c>
      <c r="AT709">
        <v>1</v>
      </c>
      <c r="AU709">
        <v>10.591778143580337</v>
      </c>
      <c r="AV709">
        <v>1.1829420638719817E-2</v>
      </c>
    </row>
    <row r="710" spans="44:48" x14ac:dyDescent="0.2">
      <c r="AR710">
        <v>702</v>
      </c>
      <c r="AS710">
        <v>702</v>
      </c>
      <c r="AT710">
        <v>1</v>
      </c>
      <c r="AU710">
        <v>10.622718674897682</v>
      </c>
      <c r="AV710">
        <v>1.1657957449671703E-2</v>
      </c>
    </row>
    <row r="711" spans="44:48" x14ac:dyDescent="0.2">
      <c r="AR711">
        <v>703</v>
      </c>
      <c r="AS711">
        <v>703</v>
      </c>
      <c r="AT711">
        <v>1</v>
      </c>
      <c r="AU711">
        <v>10.653659206215027</v>
      </c>
      <c r="AV711">
        <v>1.1488386628265797E-2</v>
      </c>
    </row>
    <row r="712" spans="44:48" x14ac:dyDescent="0.2">
      <c r="AR712">
        <v>704</v>
      </c>
      <c r="AS712">
        <v>704</v>
      </c>
      <c r="AT712">
        <v>1</v>
      </c>
      <c r="AU712">
        <v>10.684599737532375</v>
      </c>
      <c r="AV712">
        <v>1.1320698024382169E-2</v>
      </c>
    </row>
    <row r="713" spans="44:48" x14ac:dyDescent="0.2">
      <c r="AR713">
        <v>705</v>
      </c>
      <c r="AS713">
        <v>705</v>
      </c>
      <c r="AT713">
        <v>1</v>
      </c>
      <c r="AU713">
        <v>10.71554026884972</v>
      </c>
      <c r="AV713">
        <v>1.1154881346509719E-2</v>
      </c>
    </row>
    <row r="714" spans="44:48" x14ac:dyDescent="0.2">
      <c r="AR714">
        <v>706</v>
      </c>
      <c r="AS714">
        <v>706</v>
      </c>
      <c r="AT714">
        <v>1</v>
      </c>
      <c r="AU714">
        <v>10.746480800167065</v>
      </c>
      <c r="AV714">
        <v>1.0990926165918787E-2</v>
      </c>
    </row>
    <row r="715" spans="44:48" x14ac:dyDescent="0.2">
      <c r="AR715">
        <v>707</v>
      </c>
      <c r="AS715">
        <v>707</v>
      </c>
      <c r="AT715">
        <v>1</v>
      </c>
      <c r="AU715">
        <v>10.777421331484414</v>
      </c>
      <c r="AV715">
        <v>1.0828821920808073E-2</v>
      </c>
    </row>
    <row r="716" spans="44:48" x14ac:dyDescent="0.2">
      <c r="AR716">
        <v>708</v>
      </c>
      <c r="AS716">
        <v>708</v>
      </c>
      <c r="AT716">
        <v>1</v>
      </c>
      <c r="AU716">
        <v>10.808361862801759</v>
      </c>
      <c r="AV716">
        <v>1.0668557920424752E-2</v>
      </c>
    </row>
    <row r="717" spans="44:48" x14ac:dyDescent="0.2">
      <c r="AR717">
        <v>709</v>
      </c>
      <c r="AS717">
        <v>709</v>
      </c>
      <c r="AT717">
        <v>1</v>
      </c>
      <c r="AU717">
        <v>10.839302394119107</v>
      </c>
      <c r="AV717">
        <v>1.0510123349156819E-2</v>
      </c>
    </row>
    <row r="718" spans="44:48" x14ac:dyDescent="0.2">
      <c r="AR718">
        <v>710</v>
      </c>
      <c r="AS718">
        <v>710</v>
      </c>
      <c r="AT718">
        <v>1</v>
      </c>
      <c r="AU718">
        <v>10.870242925436452</v>
      </c>
      <c r="AV718">
        <v>1.0353507270597202E-2</v>
      </c>
    </row>
    <row r="719" spans="44:48" x14ac:dyDescent="0.2">
      <c r="AR719">
        <v>711</v>
      </c>
      <c r="AS719">
        <v>711</v>
      </c>
      <c r="AT719">
        <v>1</v>
      </c>
      <c r="AU719">
        <v>10.901183456753797</v>
      </c>
      <c r="AV719">
        <v>1.0198698631578306E-2</v>
      </c>
    </row>
    <row r="720" spans="44:48" x14ac:dyDescent="0.2">
      <c r="AR720">
        <v>712</v>
      </c>
      <c r="AS720">
        <v>712</v>
      </c>
      <c r="AT720">
        <v>1</v>
      </c>
      <c r="AU720">
        <v>10.932123988071146</v>
      </c>
      <c r="AV720">
        <v>1.0045686266176622E-2</v>
      </c>
    </row>
    <row r="721" spans="44:48" x14ac:dyDescent="0.2">
      <c r="AR721">
        <v>713</v>
      </c>
      <c r="AS721">
        <v>713</v>
      </c>
      <c r="AT721">
        <v>1</v>
      </c>
      <c r="AU721">
        <v>10.963064519388491</v>
      </c>
      <c r="AV721">
        <v>9.8944588996863984E-3</v>
      </c>
    </row>
    <row r="722" spans="44:48" x14ac:dyDescent="0.2">
      <c r="AR722">
        <v>714</v>
      </c>
      <c r="AS722">
        <v>714</v>
      </c>
      <c r="AT722">
        <v>1</v>
      </c>
      <c r="AU722">
        <v>10.994005050705836</v>
      </c>
      <c r="AV722">
        <v>9.7450051525615825E-3</v>
      </c>
    </row>
    <row r="723" spans="44:48" x14ac:dyDescent="0.2">
      <c r="AR723">
        <v>715</v>
      </c>
      <c r="AS723">
        <v>715</v>
      </c>
      <c r="AT723">
        <v>1</v>
      </c>
      <c r="AU723">
        <v>11.024945582023184</v>
      </c>
      <c r="AV723">
        <v>9.5973135443254594E-3</v>
      </c>
    </row>
    <row r="724" spans="44:48" x14ac:dyDescent="0.2">
      <c r="AR724">
        <v>716</v>
      </c>
      <c r="AS724">
        <v>716</v>
      </c>
      <c r="AT724">
        <v>1</v>
      </c>
      <c r="AU724">
        <v>11.055886113340529</v>
      </c>
      <c r="AV724">
        <v>9.4513724974471958E-3</v>
      </c>
    </row>
    <row r="725" spans="44:48" x14ac:dyDescent="0.2">
      <c r="AR725">
        <v>717</v>
      </c>
      <c r="AS725">
        <v>717</v>
      </c>
      <c r="AT725">
        <v>1</v>
      </c>
      <c r="AU725">
        <v>11.086826644657878</v>
      </c>
      <c r="AV725">
        <v>9.3071703411844106E-3</v>
      </c>
    </row>
    <row r="726" spans="44:48" x14ac:dyDescent="0.2">
      <c r="AR726">
        <v>718</v>
      </c>
      <c r="AS726">
        <v>718</v>
      </c>
      <c r="AT726">
        <v>1</v>
      </c>
      <c r="AU726">
        <v>11.117767175975223</v>
      </c>
      <c r="AV726">
        <v>9.1646953153915762E-3</v>
      </c>
    </row>
    <row r="727" spans="44:48" x14ac:dyDescent="0.2">
      <c r="AR727">
        <v>719</v>
      </c>
      <c r="AS727">
        <v>719</v>
      </c>
      <c r="AT727">
        <v>1</v>
      </c>
      <c r="AU727">
        <v>11.148707707292568</v>
      </c>
      <c r="AV727">
        <v>9.0239355742930058E-3</v>
      </c>
    </row>
    <row r="728" spans="44:48" x14ac:dyDescent="0.2">
      <c r="AR728">
        <v>720</v>
      </c>
      <c r="AS728">
        <v>720</v>
      </c>
      <c r="AT728">
        <v>1</v>
      </c>
      <c r="AU728">
        <v>11.179648238609916</v>
      </c>
      <c r="AV728">
        <v>8.8848791902203014E-3</v>
      </c>
    </row>
    <row r="729" spans="44:48" x14ac:dyDescent="0.2">
      <c r="AR729">
        <v>721</v>
      </c>
      <c r="AS729">
        <v>721</v>
      </c>
      <c r="AT729">
        <v>1</v>
      </c>
      <c r="AU729">
        <v>11.210588769927261</v>
      </c>
      <c r="AV729">
        <v>8.7475141573134293E-3</v>
      </c>
    </row>
    <row r="730" spans="44:48" x14ac:dyDescent="0.2">
      <c r="AR730">
        <v>722</v>
      </c>
      <c r="AS730">
        <v>722</v>
      </c>
      <c r="AT730">
        <v>1</v>
      </c>
      <c r="AU730">
        <v>11.241529301244606</v>
      </c>
      <c r="AV730">
        <v>8.6118283951847879E-3</v>
      </c>
    </row>
    <row r="731" spans="44:48" x14ac:dyDescent="0.2">
      <c r="AR731">
        <v>723</v>
      </c>
      <c r="AS731">
        <v>723</v>
      </c>
      <c r="AT731">
        <v>1</v>
      </c>
      <c r="AU731">
        <v>11.272469832561955</v>
      </c>
      <c r="AV731">
        <v>8.4778097525459051E-3</v>
      </c>
    </row>
    <row r="732" spans="44:48" x14ac:dyDescent="0.2">
      <c r="AR732">
        <v>724</v>
      </c>
      <c r="AS732">
        <v>724</v>
      </c>
      <c r="AT732">
        <v>1</v>
      </c>
      <c r="AU732">
        <v>11.3034103638793</v>
      </c>
      <c r="AV732">
        <v>8.3454460107961446E-3</v>
      </c>
    </row>
    <row r="733" spans="44:48" x14ac:dyDescent="0.2">
      <c r="AR733">
        <v>725</v>
      </c>
      <c r="AS733">
        <v>725</v>
      </c>
      <c r="AT733">
        <v>1</v>
      </c>
      <c r="AU733">
        <v>11.334350895196645</v>
      </c>
      <c r="AV733">
        <v>8.2147248875727285E-3</v>
      </c>
    </row>
    <row r="734" spans="44:48" x14ac:dyDescent="0.2">
      <c r="AR734">
        <v>726</v>
      </c>
      <c r="AS734">
        <v>726</v>
      </c>
      <c r="AT734">
        <v>1</v>
      </c>
      <c r="AU734">
        <v>11.365291426513993</v>
      </c>
      <c r="AV734">
        <v>8.0856340402619218E-3</v>
      </c>
    </row>
    <row r="735" spans="44:48" x14ac:dyDescent="0.2">
      <c r="AR735">
        <v>727</v>
      </c>
      <c r="AS735">
        <v>727</v>
      </c>
      <c r="AT735">
        <v>1</v>
      </c>
      <c r="AU735">
        <v>11.396231957831338</v>
      </c>
      <c r="AV735">
        <v>7.9581610694707018E-3</v>
      </c>
    </row>
    <row r="736" spans="44:48" x14ac:dyDescent="0.2">
      <c r="AR736">
        <v>728</v>
      </c>
      <c r="AS736">
        <v>728</v>
      </c>
      <c r="AT736">
        <v>1</v>
      </c>
      <c r="AU736">
        <v>11.427172489148687</v>
      </c>
      <c r="AV736">
        <v>7.8322935224583879E-3</v>
      </c>
    </row>
    <row r="737" spans="44:48" x14ac:dyDescent="0.2">
      <c r="AR737">
        <v>729</v>
      </c>
      <c r="AS737">
        <v>729</v>
      </c>
      <c r="AT737">
        <v>1</v>
      </c>
      <c r="AU737">
        <v>11.458113020466032</v>
      </c>
      <c r="AV737">
        <v>7.708018896528058E-3</v>
      </c>
    </row>
    <row r="738" spans="44:48" x14ac:dyDescent="0.2">
      <c r="AR738">
        <v>730</v>
      </c>
      <c r="AS738">
        <v>730</v>
      </c>
      <c r="AT738">
        <v>1</v>
      </c>
      <c r="AU738">
        <v>11.489053551783377</v>
      </c>
      <c r="AV738">
        <v>7.5853246423771047E-3</v>
      </c>
    </row>
    <row r="739" spans="44:48" x14ac:dyDescent="0.2">
      <c r="AR739">
        <v>731</v>
      </c>
      <c r="AS739">
        <v>731</v>
      </c>
      <c r="AT739">
        <v>1</v>
      </c>
      <c r="AU739">
        <v>11.519994083100725</v>
      </c>
      <c r="AV739">
        <v>7.4641981674066589E-3</v>
      </c>
    </row>
    <row r="740" spans="44:48" x14ac:dyDescent="0.2">
      <c r="AR740">
        <v>732</v>
      </c>
      <c r="AS740">
        <v>732</v>
      </c>
      <c r="AT740">
        <v>1</v>
      </c>
      <c r="AU740">
        <v>11.55093461441807</v>
      </c>
      <c r="AV740">
        <v>7.3446268389896138E-3</v>
      </c>
    </row>
    <row r="741" spans="44:48" x14ac:dyDescent="0.2">
      <c r="AR741">
        <v>733</v>
      </c>
      <c r="AS741">
        <v>733</v>
      </c>
      <c r="AT741">
        <v>1</v>
      </c>
      <c r="AU741">
        <v>11.581875145735415</v>
      </c>
      <c r="AV741">
        <v>7.2265979876965777E-3</v>
      </c>
    </row>
    <row r="742" spans="44:48" x14ac:dyDescent="0.2">
      <c r="AR742">
        <v>734</v>
      </c>
      <c r="AS742">
        <v>734</v>
      </c>
      <c r="AT742">
        <v>1</v>
      </c>
      <c r="AU742">
        <v>11.612815677052764</v>
      </c>
      <c r="AV742">
        <v>7.1100989104798404E-3</v>
      </c>
    </row>
    <row r="743" spans="44:48" x14ac:dyDescent="0.2">
      <c r="AR743">
        <v>735</v>
      </c>
      <c r="AS743">
        <v>735</v>
      </c>
      <c r="AT743">
        <v>1</v>
      </c>
      <c r="AU743">
        <v>11.643756208370108</v>
      </c>
      <c r="AV743">
        <v>6.9951168738148391E-3</v>
      </c>
    </row>
    <row r="744" spans="44:48" x14ac:dyDescent="0.2">
      <c r="AR744">
        <v>736</v>
      </c>
      <c r="AS744">
        <v>736</v>
      </c>
      <c r="AT744">
        <v>1</v>
      </c>
      <c r="AU744">
        <v>11.674696739687453</v>
      </c>
      <c r="AV744">
        <v>6.8816391167987167E-3</v>
      </c>
    </row>
    <row r="745" spans="44:48" x14ac:dyDescent="0.2">
      <c r="AR745">
        <v>737</v>
      </c>
      <c r="AS745">
        <v>737</v>
      </c>
      <c r="AT745">
        <v>1</v>
      </c>
      <c r="AU745">
        <v>11.705637271004802</v>
      </c>
      <c r="AV745">
        <v>6.7696528542060368E-3</v>
      </c>
    </row>
    <row r="746" spans="44:48" x14ac:dyDescent="0.2">
      <c r="AR746">
        <v>738</v>
      </c>
      <c r="AS746">
        <v>738</v>
      </c>
      <c r="AT746">
        <v>1</v>
      </c>
      <c r="AU746">
        <v>11.736577802322147</v>
      </c>
      <c r="AV746">
        <v>6.6591452795011488E-3</v>
      </c>
    </row>
    <row r="747" spans="44:48" x14ac:dyDescent="0.2">
      <c r="AR747">
        <v>739</v>
      </c>
      <c r="AS747">
        <v>739</v>
      </c>
      <c r="AT747">
        <v>1</v>
      </c>
      <c r="AU747">
        <v>11.767518333639496</v>
      </c>
      <c r="AV747">
        <v>6.550103567807013E-3</v>
      </c>
    </row>
    <row r="748" spans="44:48" x14ac:dyDescent="0.2">
      <c r="AR748">
        <v>740</v>
      </c>
      <c r="AS748">
        <v>740</v>
      </c>
      <c r="AT748">
        <v>1</v>
      </c>
      <c r="AU748">
        <v>11.79845886495684</v>
      </c>
      <c r="AV748">
        <v>6.4425148788305056E-3</v>
      </c>
    </row>
    <row r="749" spans="44:48" x14ac:dyDescent="0.2">
      <c r="AR749">
        <v>741</v>
      </c>
      <c r="AS749">
        <v>741</v>
      </c>
      <c r="AT749">
        <v>1</v>
      </c>
      <c r="AU749">
        <v>11.829399396274185</v>
      </c>
      <c r="AV749">
        <v>6.3363663597435929E-3</v>
      </c>
    </row>
    <row r="750" spans="44:48" x14ac:dyDescent="0.2">
      <c r="AR750">
        <v>742</v>
      </c>
      <c r="AS750">
        <v>742</v>
      </c>
      <c r="AT750">
        <v>1</v>
      </c>
      <c r="AU750">
        <v>11.860339927591534</v>
      </c>
      <c r="AV750">
        <v>6.2316451480206765E-3</v>
      </c>
    </row>
    <row r="751" spans="44:48" x14ac:dyDescent="0.2">
      <c r="AR751">
        <v>743</v>
      </c>
      <c r="AS751">
        <v>743</v>
      </c>
      <c r="AT751">
        <v>1</v>
      </c>
      <c r="AU751">
        <v>11.891280458908879</v>
      </c>
      <c r="AV751">
        <v>6.1283383742316913E-3</v>
      </c>
    </row>
    <row r="752" spans="44:48" x14ac:dyDescent="0.2">
      <c r="AR752">
        <v>744</v>
      </c>
      <c r="AS752">
        <v>744</v>
      </c>
      <c r="AT752">
        <v>1</v>
      </c>
      <c r="AU752">
        <v>11.922220990226224</v>
      </c>
      <c r="AV752">
        <v>6.0264331647907794E-3</v>
      </c>
    </row>
    <row r="753" spans="44:48" x14ac:dyDescent="0.2">
      <c r="AR753">
        <v>745</v>
      </c>
      <c r="AS753">
        <v>745</v>
      </c>
      <c r="AT753">
        <v>1</v>
      </c>
      <c r="AU753">
        <v>11.953161521543572</v>
      </c>
      <c r="AV753">
        <v>5.925916644660645E-3</v>
      </c>
    </row>
    <row r="754" spans="44:48" x14ac:dyDescent="0.2">
      <c r="AR754">
        <v>746</v>
      </c>
      <c r="AS754">
        <v>746</v>
      </c>
      <c r="AT754">
        <v>1</v>
      </c>
      <c r="AU754">
        <v>11.984102052860917</v>
      </c>
      <c r="AV754">
        <v>5.8267759400123745E-3</v>
      </c>
    </row>
    <row r="755" spans="44:48" x14ac:dyDescent="0.2">
      <c r="AR755">
        <v>747</v>
      </c>
      <c r="AS755">
        <v>747</v>
      </c>
      <c r="AT755">
        <v>1</v>
      </c>
      <c r="AU755">
        <v>12.015042584178262</v>
      </c>
      <c r="AV755">
        <v>5.7289981808405603E-3</v>
      </c>
    </row>
    <row r="756" spans="44:48" x14ac:dyDescent="0.2">
      <c r="AR756">
        <v>748</v>
      </c>
      <c r="AS756">
        <v>748</v>
      </c>
      <c r="AT756">
        <v>1</v>
      </c>
      <c r="AU756">
        <v>12.045983115495611</v>
      </c>
      <c r="AV756">
        <v>5.6325705035338578E-3</v>
      </c>
    </row>
    <row r="757" spans="44:48" x14ac:dyDescent="0.2">
      <c r="AR757">
        <v>749</v>
      </c>
      <c r="AS757">
        <v>749</v>
      </c>
      <c r="AT757">
        <v>1</v>
      </c>
      <c r="AU757">
        <v>12.076923646812956</v>
      </c>
      <c r="AV757">
        <v>5.5374800534008254E-3</v>
      </c>
    </row>
    <row r="758" spans="44:48" x14ac:dyDescent="0.2">
      <c r="AR758">
        <v>750</v>
      </c>
      <c r="AS758">
        <v>750</v>
      </c>
      <c r="AT758">
        <v>1</v>
      </c>
      <c r="AU758">
        <v>12.107864178130304</v>
      </c>
      <c r="AV758">
        <v>5.4437139871509428E-3</v>
      </c>
    </row>
    <row r="759" spans="44:48" x14ac:dyDescent="0.2">
      <c r="AR759">
        <v>751</v>
      </c>
      <c r="AS759">
        <v>751</v>
      </c>
      <c r="AT759">
        <v>1</v>
      </c>
      <c r="AU759">
        <v>12.138804709447649</v>
      </c>
      <c r="AV759">
        <v>5.3512594753310347E-3</v>
      </c>
    </row>
    <row r="760" spans="44:48" x14ac:dyDescent="0.2">
      <c r="AR760">
        <v>752</v>
      </c>
      <c r="AS760">
        <v>752</v>
      </c>
      <c r="AT760">
        <v>1</v>
      </c>
      <c r="AU760">
        <v>12.169745240764994</v>
      </c>
      <c r="AV760">
        <v>5.2601037047168208E-3</v>
      </c>
    </row>
    <row r="761" spans="44:48" x14ac:dyDescent="0.2">
      <c r="AR761">
        <v>753</v>
      </c>
      <c r="AS761">
        <v>753</v>
      </c>
      <c r="AT761">
        <v>1</v>
      </c>
      <c r="AU761">
        <v>12.200685772082343</v>
      </c>
      <c r="AV761">
        <v>5.170233880659846E-3</v>
      </c>
    </row>
    <row r="762" spans="44:48" x14ac:dyDescent="0.2">
      <c r="AR762">
        <v>754</v>
      </c>
      <c r="AS762">
        <v>754</v>
      </c>
      <c r="AT762">
        <v>1</v>
      </c>
      <c r="AU762">
        <v>12.231626303399688</v>
      </c>
      <c r="AV762">
        <v>5.0816372293897563E-3</v>
      </c>
    </row>
    <row r="763" spans="44:48" x14ac:dyDescent="0.2">
      <c r="AR763">
        <v>755</v>
      </c>
      <c r="AS763">
        <v>755</v>
      </c>
      <c r="AT763">
        <v>1</v>
      </c>
      <c r="AU763">
        <v>12.262566834717033</v>
      </c>
      <c r="AV763">
        <v>4.9943010002718238E-3</v>
      </c>
    </row>
    <row r="764" spans="44:48" x14ac:dyDescent="0.2">
      <c r="AR764">
        <v>756</v>
      </c>
      <c r="AS764">
        <v>756</v>
      </c>
      <c r="AT764">
        <v>1</v>
      </c>
      <c r="AU764">
        <v>12.293507366034381</v>
      </c>
      <c r="AV764">
        <v>4.9082124680201022E-3</v>
      </c>
    </row>
    <row r="765" spans="44:48" x14ac:dyDescent="0.2">
      <c r="AR765">
        <v>757</v>
      </c>
      <c r="AS765">
        <v>757</v>
      </c>
      <c r="AT765">
        <v>1</v>
      </c>
      <c r="AU765">
        <v>12.324447897351726</v>
      </c>
      <c r="AV765">
        <v>4.8233589348660238E-3</v>
      </c>
    </row>
    <row r="766" spans="44:48" x14ac:dyDescent="0.2">
      <c r="AR766">
        <v>758</v>
      </c>
      <c r="AS766">
        <v>758</v>
      </c>
      <c r="AT766">
        <v>1</v>
      </c>
      <c r="AU766">
        <v>12.355388428669071</v>
      </c>
      <c r="AV766">
        <v>4.7397277326825978E-3</v>
      </c>
    </row>
    <row r="767" spans="44:48" x14ac:dyDescent="0.2">
      <c r="AR767">
        <v>759</v>
      </c>
      <c r="AS767">
        <v>759</v>
      </c>
      <c r="AT767">
        <v>1</v>
      </c>
      <c r="AU767">
        <v>12.38632895998642</v>
      </c>
      <c r="AV767">
        <v>4.6573062250644393E-3</v>
      </c>
    </row>
    <row r="768" spans="44:48" x14ac:dyDescent="0.2">
      <c r="AR768">
        <v>760</v>
      </c>
      <c r="AS768">
        <v>760</v>
      </c>
      <c r="AT768">
        <v>1</v>
      </c>
      <c r="AU768">
        <v>12.417269491303765</v>
      </c>
      <c r="AV768">
        <v>4.5760818093636508E-3</v>
      </c>
    </row>
    <row r="769" spans="44:48" x14ac:dyDescent="0.2">
      <c r="AR769">
        <v>761</v>
      </c>
      <c r="AS769">
        <v>761</v>
      </c>
      <c r="AT769">
        <v>1</v>
      </c>
      <c r="AU769">
        <v>12.448210022621113</v>
      </c>
      <c r="AV769">
        <v>4.4960419186816543E-3</v>
      </c>
    </row>
    <row r="770" spans="44:48" x14ac:dyDescent="0.2">
      <c r="AR770">
        <v>762</v>
      </c>
      <c r="AS770">
        <v>762</v>
      </c>
      <c r="AT770">
        <v>1</v>
      </c>
      <c r="AU770">
        <v>12.479150553938458</v>
      </c>
      <c r="AV770">
        <v>4.417174023817306E-3</v>
      </c>
    </row>
    <row r="771" spans="44:48" x14ac:dyDescent="0.2">
      <c r="AR771">
        <v>763</v>
      </c>
      <c r="AS771">
        <v>763</v>
      </c>
      <c r="AT771">
        <v>1</v>
      </c>
      <c r="AU771">
        <v>12.510091085255803</v>
      </c>
      <c r="AV771">
        <v>4.3394656351712106E-3</v>
      </c>
    </row>
    <row r="772" spans="44:48" x14ac:dyDescent="0.2">
      <c r="AR772">
        <v>764</v>
      </c>
      <c r="AS772">
        <v>764</v>
      </c>
      <c r="AT772">
        <v>1</v>
      </c>
      <c r="AU772">
        <v>12.541031616573152</v>
      </c>
      <c r="AV772">
        <v>4.2629043046066668E-3</v>
      </c>
    </row>
    <row r="773" spans="44:48" x14ac:dyDescent="0.2">
      <c r="AR773">
        <v>765</v>
      </c>
      <c r="AS773">
        <v>765</v>
      </c>
      <c r="AT773">
        <v>1</v>
      </c>
      <c r="AU773">
        <v>12.571972147890497</v>
      </c>
      <c r="AV773">
        <v>4.1874776272672887E-3</v>
      </c>
    </row>
    <row r="774" spans="44:48" x14ac:dyDescent="0.2">
      <c r="AR774">
        <v>766</v>
      </c>
      <c r="AS774">
        <v>766</v>
      </c>
      <c r="AT774">
        <v>1</v>
      </c>
      <c r="AU774">
        <v>12.602912679207842</v>
      </c>
      <c r="AV774">
        <v>4.1131732433514635E-3</v>
      </c>
    </row>
    <row r="775" spans="44:48" x14ac:dyDescent="0.2">
      <c r="AR775">
        <v>767</v>
      </c>
      <c r="AS775">
        <v>767</v>
      </c>
      <c r="AT775">
        <v>1</v>
      </c>
      <c r="AU775">
        <v>12.63385321052519</v>
      </c>
      <c r="AV775">
        <v>4.0399788398440203E-3</v>
      </c>
    </row>
    <row r="776" spans="44:48" x14ac:dyDescent="0.2">
      <c r="AR776">
        <v>768</v>
      </c>
      <c r="AS776">
        <v>768</v>
      </c>
      <c r="AT776">
        <v>1</v>
      </c>
      <c r="AU776">
        <v>12.664793741842535</v>
      </c>
      <c r="AV776">
        <v>3.9678821522052552E-3</v>
      </c>
    </row>
    <row r="777" spans="44:48" x14ac:dyDescent="0.2">
      <c r="AR777">
        <v>769</v>
      </c>
      <c r="AS777">
        <v>769</v>
      </c>
      <c r="AT777">
        <v>1</v>
      </c>
      <c r="AU777">
        <v>12.69573427315988</v>
      </c>
      <c r="AV777">
        <v>3.8968709660174485E-3</v>
      </c>
    </row>
    <row r="778" spans="44:48" x14ac:dyDescent="0.2">
      <c r="AR778">
        <v>770</v>
      </c>
      <c r="AS778">
        <v>770</v>
      </c>
      <c r="AT778">
        <v>1</v>
      </c>
      <c r="AU778">
        <v>12.726674804477229</v>
      </c>
      <c r="AV778">
        <v>3.82693311858932E-3</v>
      </c>
    </row>
    <row r="779" spans="44:48" x14ac:dyDescent="0.2">
      <c r="AR779">
        <v>771</v>
      </c>
      <c r="AS779">
        <v>771</v>
      </c>
      <c r="AT779">
        <v>1</v>
      </c>
      <c r="AU779">
        <v>12.757615335794574</v>
      </c>
      <c r="AV779">
        <v>3.7580565005185832E-3</v>
      </c>
    </row>
    <row r="780" spans="44:48" x14ac:dyDescent="0.2">
      <c r="AR780">
        <v>772</v>
      </c>
      <c r="AS780">
        <v>772</v>
      </c>
      <c r="AT780">
        <v>1</v>
      </c>
      <c r="AU780">
        <v>12.788555867111922</v>
      </c>
      <c r="AV780">
        <v>3.6902290572127594E-3</v>
      </c>
    </row>
    <row r="781" spans="44:48" x14ac:dyDescent="0.2">
      <c r="AR781">
        <v>773</v>
      </c>
      <c r="AS781">
        <v>773</v>
      </c>
      <c r="AT781">
        <v>1</v>
      </c>
      <c r="AU781">
        <v>12.819496398429267</v>
      </c>
      <c r="AV781">
        <v>3.62343879036881E-3</v>
      </c>
    </row>
    <row r="782" spans="44:48" x14ac:dyDescent="0.2">
      <c r="AR782">
        <v>774</v>
      </c>
      <c r="AS782">
        <v>774</v>
      </c>
      <c r="AT782">
        <v>1</v>
      </c>
      <c r="AU782">
        <v>12.850436929746612</v>
      </c>
      <c r="AV782">
        <v>3.5576737594115527E-3</v>
      </c>
    </row>
    <row r="783" spans="44:48" x14ac:dyDescent="0.2">
      <c r="AR783">
        <v>775</v>
      </c>
      <c r="AS783">
        <v>775</v>
      </c>
      <c r="AT783">
        <v>1</v>
      </c>
      <c r="AU783">
        <v>12.881377461063961</v>
      </c>
      <c r="AV783">
        <v>3.4929220828914102E-3</v>
      </c>
    </row>
    <row r="784" spans="44:48" x14ac:dyDescent="0.2">
      <c r="AR784">
        <v>776</v>
      </c>
      <c r="AS784">
        <v>776</v>
      </c>
      <c r="AT784">
        <v>1</v>
      </c>
      <c r="AU784">
        <v>12.912317992381306</v>
      </c>
      <c r="AV784">
        <v>3.4291719398417118E-3</v>
      </c>
    </row>
    <row r="785" spans="44:48" x14ac:dyDescent="0.2">
      <c r="AR785">
        <v>777</v>
      </c>
      <c r="AS785">
        <v>777</v>
      </c>
      <c r="AT785">
        <v>1</v>
      </c>
      <c r="AU785">
        <v>12.943258523698651</v>
      </c>
      <c r="AV785">
        <v>3.3664115710957854E-3</v>
      </c>
    </row>
    <row r="786" spans="44:48" x14ac:dyDescent="0.2">
      <c r="AR786">
        <v>778</v>
      </c>
      <c r="AS786">
        <v>778</v>
      </c>
      <c r="AT786">
        <v>1</v>
      </c>
      <c r="AU786">
        <v>12.974199055015999</v>
      </c>
      <c r="AV786">
        <v>3.3046292805643195E-3</v>
      </c>
    </row>
    <row r="787" spans="44:48" x14ac:dyDescent="0.2">
      <c r="AR787">
        <v>779</v>
      </c>
      <c r="AS787">
        <v>779</v>
      </c>
      <c r="AT787">
        <v>1</v>
      </c>
      <c r="AU787">
        <v>13.005139586333344</v>
      </c>
      <c r="AV787">
        <v>3.243813436473245E-3</v>
      </c>
    </row>
    <row r="788" spans="44:48" x14ac:dyDescent="0.2">
      <c r="AR788">
        <v>780</v>
      </c>
      <c r="AS788">
        <v>780</v>
      </c>
      <c r="AT788">
        <v>1</v>
      </c>
      <c r="AU788">
        <v>13.036080117650693</v>
      </c>
      <c r="AV788">
        <v>3.1839524725624244E-3</v>
      </c>
    </row>
    <row r="789" spans="44:48" x14ac:dyDescent="0.2">
      <c r="AR789">
        <v>781</v>
      </c>
      <c r="AS789">
        <v>781</v>
      </c>
      <c r="AT789">
        <v>1</v>
      </c>
      <c r="AU789">
        <v>13.067020648968038</v>
      </c>
      <c r="AV789">
        <v>3.125034889245649E-3</v>
      </c>
    </row>
    <row r="790" spans="44:48" x14ac:dyDescent="0.2">
      <c r="AR790">
        <v>782</v>
      </c>
      <c r="AS790">
        <v>782</v>
      </c>
      <c r="AT790">
        <v>1</v>
      </c>
      <c r="AU790">
        <v>13.097961180285383</v>
      </c>
      <c r="AV790">
        <v>3.0670492547321421E-3</v>
      </c>
    </row>
    <row r="791" spans="44:48" x14ac:dyDescent="0.2">
      <c r="AR791">
        <v>783</v>
      </c>
      <c r="AS791">
        <v>783</v>
      </c>
      <c r="AT791">
        <v>1</v>
      </c>
      <c r="AU791">
        <v>13.128901711602731</v>
      </c>
      <c r="AV791">
        <v>3.0099842061100486E-3</v>
      </c>
    </row>
    <row r="792" spans="44:48" x14ac:dyDescent="0.2">
      <c r="AR792">
        <v>784</v>
      </c>
      <c r="AS792">
        <v>784</v>
      </c>
      <c r="AT792">
        <v>1</v>
      </c>
      <c r="AU792">
        <v>13.159842242920076</v>
      </c>
      <c r="AV792">
        <v>2.9538284503922495E-3</v>
      </c>
    </row>
    <row r="793" spans="44:48" x14ac:dyDescent="0.2">
      <c r="AR793">
        <v>785</v>
      </c>
      <c r="AS793">
        <v>785</v>
      </c>
      <c r="AT793">
        <v>1</v>
      </c>
      <c r="AU793">
        <v>13.190782774237421</v>
      </c>
      <c r="AV793">
        <v>2.8985707655248068E-3</v>
      </c>
    </row>
    <row r="794" spans="44:48" x14ac:dyDescent="0.2">
      <c r="AR794">
        <v>786</v>
      </c>
      <c r="AS794">
        <v>786</v>
      </c>
      <c r="AT794">
        <v>1</v>
      </c>
      <c r="AU794">
        <v>13.22172330555477</v>
      </c>
      <c r="AV794">
        <v>2.8442000013585529E-3</v>
      </c>
    </row>
    <row r="795" spans="44:48" x14ac:dyDescent="0.2">
      <c r="AR795">
        <v>787</v>
      </c>
      <c r="AS795">
        <v>787</v>
      </c>
      <c r="AT795">
        <v>1</v>
      </c>
      <c r="AU795">
        <v>13.252663836872115</v>
      </c>
      <c r="AV795">
        <v>2.7907050805841419E-3</v>
      </c>
    </row>
    <row r="796" spans="44:48" x14ac:dyDescent="0.2">
      <c r="AR796">
        <v>788</v>
      </c>
      <c r="AS796">
        <v>788</v>
      </c>
      <c r="AT796">
        <v>1</v>
      </c>
      <c r="AU796">
        <v>13.28360436818946</v>
      </c>
      <c r="AV796">
        <v>2.7380749996309219E-3</v>
      </c>
    </row>
    <row r="797" spans="44:48" x14ac:dyDescent="0.2">
      <c r="AR797">
        <v>789</v>
      </c>
      <c r="AS797">
        <v>789</v>
      </c>
      <c r="AT797">
        <v>1</v>
      </c>
      <c r="AU797">
        <v>13.314544899506808</v>
      </c>
      <c r="AV797">
        <v>2.6862988295301019E-3</v>
      </c>
    </row>
    <row r="798" spans="44:48" x14ac:dyDescent="0.2">
      <c r="AR798">
        <v>790</v>
      </c>
      <c r="AS798">
        <v>790</v>
      </c>
      <c r="AT798">
        <v>1</v>
      </c>
      <c r="AU798">
        <v>13.345485430824153</v>
      </c>
      <c r="AV798">
        <v>2.6353657167426442E-3</v>
      </c>
    </row>
    <row r="799" spans="44:48" x14ac:dyDescent="0.2">
      <c r="AR799">
        <v>791</v>
      </c>
      <c r="AS799">
        <v>791</v>
      </c>
      <c r="AT799">
        <v>1</v>
      </c>
      <c r="AU799">
        <v>13.376425962141502</v>
      </c>
      <c r="AV799">
        <v>2.5852648839521332E-3</v>
      </c>
    </row>
    <row r="800" spans="44:48" x14ac:dyDescent="0.2">
      <c r="AR800">
        <v>792</v>
      </c>
      <c r="AS800">
        <v>792</v>
      </c>
      <c r="AT800">
        <v>1</v>
      </c>
      <c r="AU800">
        <v>13.407366493458847</v>
      </c>
      <c r="AV800">
        <v>2.5359856308232705E-3</v>
      </c>
    </row>
    <row r="801" spans="44:48" x14ac:dyDescent="0.2">
      <c r="AR801">
        <v>793</v>
      </c>
      <c r="AS801">
        <v>793</v>
      </c>
      <c r="AT801">
        <v>1</v>
      </c>
      <c r="AU801">
        <v>13.438307024776192</v>
      </c>
      <c r="AV801">
        <v>2.4875173347261941E-3</v>
      </c>
    </row>
    <row r="802" spans="44:48" x14ac:dyDescent="0.2">
      <c r="AR802">
        <v>794</v>
      </c>
      <c r="AS802">
        <v>794</v>
      </c>
      <c r="AT802">
        <v>1</v>
      </c>
      <c r="AU802">
        <v>13.46924755609354</v>
      </c>
      <c r="AV802">
        <v>2.4398494514272116E-3</v>
      </c>
    </row>
    <row r="803" spans="44:48" x14ac:dyDescent="0.2">
      <c r="AR803">
        <v>795</v>
      </c>
      <c r="AS803">
        <v>795</v>
      </c>
      <c r="AT803">
        <v>1</v>
      </c>
      <c r="AU803">
        <v>13.500188087410885</v>
      </c>
      <c r="AV803">
        <v>2.3929715157463122E-3</v>
      </c>
    </row>
    <row r="804" spans="44:48" x14ac:dyDescent="0.2">
      <c r="AR804">
        <v>796</v>
      </c>
      <c r="AS804">
        <v>796</v>
      </c>
      <c r="AT804">
        <v>1</v>
      </c>
      <c r="AU804">
        <v>13.53112861872823</v>
      </c>
      <c r="AV804">
        <v>2.3468731421818468E-3</v>
      </c>
    </row>
    <row r="805" spans="44:48" x14ac:dyDescent="0.2">
      <c r="AR805">
        <v>797</v>
      </c>
      <c r="AS805">
        <v>797</v>
      </c>
      <c r="AT805">
        <v>1</v>
      </c>
      <c r="AU805">
        <v>13.562069150045579</v>
      </c>
      <c r="AV805">
        <v>2.3015440255029058E-3</v>
      </c>
    </row>
    <row r="806" spans="44:48" x14ac:dyDescent="0.2">
      <c r="AR806">
        <v>798</v>
      </c>
      <c r="AS806">
        <v>798</v>
      </c>
      <c r="AT806">
        <v>1</v>
      </c>
      <c r="AU806">
        <v>13.593009681362924</v>
      </c>
      <c r="AV806">
        <v>2.2569739413097816E-3</v>
      </c>
    </row>
    <row r="807" spans="44:48" x14ac:dyDescent="0.2">
      <c r="AR807">
        <v>799</v>
      </c>
      <c r="AS807">
        <v>799</v>
      </c>
      <c r="AT807">
        <v>1</v>
      </c>
      <c r="AU807">
        <v>13.623950212680269</v>
      </c>
      <c r="AV807">
        <v>2.2131527465629355E-3</v>
      </c>
    </row>
    <row r="808" spans="44:48" x14ac:dyDescent="0.2">
      <c r="AR808">
        <v>800</v>
      </c>
      <c r="AS808">
        <v>800</v>
      </c>
      <c r="AT808">
        <v>1</v>
      </c>
      <c r="AU808">
        <v>13.654890743997617</v>
      </c>
      <c r="AV808">
        <v>2.1700703800809707E-3</v>
      </c>
    </row>
    <row r="809" spans="44:48" x14ac:dyDescent="0.2">
      <c r="AR809">
        <v>801</v>
      </c>
      <c r="AS809">
        <v>801</v>
      </c>
      <c r="AT809">
        <v>1</v>
      </c>
      <c r="AU809">
        <v>13.685831275314962</v>
      </c>
      <c r="AV809">
        <v>2.1277168630080426E-3</v>
      </c>
    </row>
    <row r="810" spans="44:48" x14ac:dyDescent="0.2">
      <c r="AR810">
        <v>802</v>
      </c>
      <c r="AS810">
        <v>802</v>
      </c>
      <c r="AT810">
        <v>1</v>
      </c>
      <c r="AU810">
        <v>13.716771806632311</v>
      </c>
      <c r="AV810">
        <v>2.0860822992510987E-3</v>
      </c>
    </row>
    <row r="811" spans="44:48" x14ac:dyDescent="0.2">
      <c r="AR811">
        <v>803</v>
      </c>
      <c r="AS811">
        <v>803</v>
      </c>
      <c r="AT811">
        <v>1</v>
      </c>
      <c r="AU811">
        <v>13.747712337949656</v>
      </c>
      <c r="AV811">
        <v>2.0451568758875125E-3</v>
      </c>
    </row>
    <row r="812" spans="44:48" x14ac:dyDescent="0.2">
      <c r="AR812">
        <v>804</v>
      </c>
      <c r="AS812">
        <v>804</v>
      </c>
      <c r="AT812">
        <v>1</v>
      </c>
      <c r="AU812">
        <v>13.778652869267001</v>
      </c>
      <c r="AV812">
        <v>2.0049308635434388E-3</v>
      </c>
    </row>
    <row r="813" spans="44:48" x14ac:dyDescent="0.2">
      <c r="AR813">
        <v>805</v>
      </c>
      <c r="AS813">
        <v>805</v>
      </c>
      <c r="AT813">
        <v>1</v>
      </c>
      <c r="AU813">
        <v>13.809593400584349</v>
      </c>
      <c r="AV813">
        <v>1.9653946167434541E-3</v>
      </c>
    </row>
    <row r="814" spans="44:48" x14ac:dyDescent="0.2">
      <c r="AR814">
        <v>806</v>
      </c>
      <c r="AS814">
        <v>806</v>
      </c>
      <c r="AT814">
        <v>1</v>
      </c>
      <c r="AU814">
        <v>13.840533931901694</v>
      </c>
      <c r="AV814">
        <v>1.9265385742318825E-3</v>
      </c>
    </row>
    <row r="815" spans="44:48" x14ac:dyDescent="0.2">
      <c r="AR815">
        <v>807</v>
      </c>
      <c r="AS815">
        <v>807</v>
      </c>
      <c r="AT815">
        <v>1</v>
      </c>
      <c r="AU815">
        <v>13.871474463219039</v>
      </c>
      <c r="AV815">
        <v>1.8883532592662586E-3</v>
      </c>
    </row>
    <row r="816" spans="44:48" x14ac:dyDescent="0.2">
      <c r="AR816">
        <v>808</v>
      </c>
      <c r="AS816">
        <v>808</v>
      </c>
      <c r="AT816">
        <v>1</v>
      </c>
      <c r="AU816">
        <v>13.902414994536388</v>
      </c>
      <c r="AV816">
        <v>1.8508292798834198E-3</v>
      </c>
    </row>
    <row r="817" spans="44:48" x14ac:dyDescent="0.2">
      <c r="AR817">
        <v>809</v>
      </c>
      <c r="AS817">
        <v>809</v>
      </c>
      <c r="AT817">
        <v>1</v>
      </c>
      <c r="AU817">
        <v>13.933355525853733</v>
      </c>
      <c r="AV817">
        <v>1.81395732913869E-3</v>
      </c>
    </row>
    <row r="818" spans="44:48" x14ac:dyDescent="0.2">
      <c r="AR818">
        <v>810</v>
      </c>
      <c r="AS818">
        <v>810</v>
      </c>
      <c r="AT818">
        <v>1</v>
      </c>
      <c r="AU818">
        <v>13.964296057171078</v>
      </c>
      <c r="AV818">
        <v>1.7777281853185451E-3</v>
      </c>
    </row>
    <row r="819" spans="44:48" x14ac:dyDescent="0.2">
      <c r="AR819">
        <v>811</v>
      </c>
      <c r="AS819">
        <v>811</v>
      </c>
      <c r="AT819">
        <v>1</v>
      </c>
      <c r="AU819">
        <v>13.995236588488426</v>
      </c>
      <c r="AV819">
        <v>1.7421327121273245E-3</v>
      </c>
    </row>
    <row r="820" spans="44:48" x14ac:dyDescent="0.2">
      <c r="AR820">
        <v>812</v>
      </c>
      <c r="AS820">
        <v>812</v>
      </c>
      <c r="AT820">
        <v>1</v>
      </c>
      <c r="AU820">
        <v>14.026177119805771</v>
      </c>
      <c r="AV820">
        <v>1.7071618588483902E-3</v>
      </c>
    </row>
    <row r="821" spans="44:48" x14ac:dyDescent="0.2">
      <c r="AR821">
        <v>813</v>
      </c>
      <c r="AS821">
        <v>813</v>
      </c>
      <c r="AT821">
        <v>1</v>
      </c>
      <c r="AU821">
        <v>14.05711765112312</v>
      </c>
      <c r="AV821">
        <v>1.6728066604801632E-3</v>
      </c>
    </row>
    <row r="822" spans="44:48" x14ac:dyDescent="0.2">
      <c r="AR822">
        <v>814</v>
      </c>
      <c r="AS822">
        <v>814</v>
      </c>
      <c r="AT822">
        <v>1</v>
      </c>
      <c r="AU822">
        <v>14.088058182440465</v>
      </c>
      <c r="AV822">
        <v>1.6390582378475941E-3</v>
      </c>
    </row>
    <row r="823" spans="44:48" x14ac:dyDescent="0.2">
      <c r="AR823">
        <v>815</v>
      </c>
      <c r="AS823">
        <v>815</v>
      </c>
      <c r="AT823">
        <v>1</v>
      </c>
      <c r="AU823">
        <v>14.11899871375781</v>
      </c>
      <c r="AV823">
        <v>1.6059077976894199E-3</v>
      </c>
    </row>
    <row r="824" spans="44:48" x14ac:dyDescent="0.2">
      <c r="AR824">
        <v>816</v>
      </c>
      <c r="AS824">
        <v>816</v>
      </c>
      <c r="AT824">
        <v>1</v>
      </c>
      <c r="AU824">
        <v>14.149939245075158</v>
      </c>
      <c r="AV824">
        <v>1.5733466327217463E-3</v>
      </c>
    </row>
    <row r="825" spans="44:48" x14ac:dyDescent="0.2">
      <c r="AR825">
        <v>817</v>
      </c>
      <c r="AS825">
        <v>817</v>
      </c>
      <c r="AT825">
        <v>1</v>
      </c>
      <c r="AU825">
        <v>14.180879776392503</v>
      </c>
      <c r="AV825">
        <v>1.5413661216783984E-3</v>
      </c>
    </row>
    <row r="826" spans="44:48" x14ac:dyDescent="0.2">
      <c r="AR826">
        <v>818</v>
      </c>
      <c r="AS826">
        <v>818</v>
      </c>
      <c r="AT826">
        <v>1</v>
      </c>
      <c r="AU826">
        <v>14.211820307709848</v>
      </c>
      <c r="AV826">
        <v>1.5099577293284283E-3</v>
      </c>
    </row>
    <row r="827" spans="44:48" x14ac:dyDescent="0.2">
      <c r="AR827">
        <v>819</v>
      </c>
      <c r="AS827">
        <v>819</v>
      </c>
      <c r="AT827">
        <v>1</v>
      </c>
      <c r="AU827">
        <v>14.242760839027197</v>
      </c>
      <c r="AV827">
        <v>1.4791130064713536E-3</v>
      </c>
    </row>
    <row r="828" spans="44:48" x14ac:dyDescent="0.2">
      <c r="AR828">
        <v>820</v>
      </c>
      <c r="AS828">
        <v>820</v>
      </c>
      <c r="AT828">
        <v>1</v>
      </c>
      <c r="AU828">
        <v>14.273701370344542</v>
      </c>
      <c r="AV828">
        <v>1.448823589910496E-3</v>
      </c>
    </row>
    <row r="829" spans="44:48" x14ac:dyDescent="0.2">
      <c r="AR829">
        <v>821</v>
      </c>
      <c r="AS829">
        <v>821</v>
      </c>
      <c r="AT829">
        <v>1</v>
      </c>
      <c r="AU829">
        <v>14.304641901661887</v>
      </c>
      <c r="AV829">
        <v>1.4190812024048845E-3</v>
      </c>
    </row>
    <row r="830" spans="44:48" x14ac:dyDescent="0.2">
      <c r="AR830">
        <v>822</v>
      </c>
      <c r="AS830">
        <v>822</v>
      </c>
      <c r="AT830">
        <v>1</v>
      </c>
      <c r="AU830">
        <v>14.335582432979235</v>
      </c>
      <c r="AV830">
        <v>1.389877652600214E-3</v>
      </c>
    </row>
    <row r="831" spans="44:48" x14ac:dyDescent="0.2">
      <c r="AR831">
        <v>823</v>
      </c>
      <c r="AS831">
        <v>823</v>
      </c>
      <c r="AT831">
        <v>1</v>
      </c>
      <c r="AU831">
        <v>14.36652296429658</v>
      </c>
      <c r="AV831">
        <v>1.361204834939277E-3</v>
      </c>
    </row>
    <row r="832" spans="44:48" x14ac:dyDescent="0.2">
      <c r="AR832">
        <v>824</v>
      </c>
      <c r="AS832">
        <v>824</v>
      </c>
      <c r="AT832">
        <v>1</v>
      </c>
      <c r="AU832">
        <v>14.397463495613929</v>
      </c>
      <c r="AV832">
        <v>1.3330547295523152E-3</v>
      </c>
    </row>
    <row r="833" spans="44:48" x14ac:dyDescent="0.2">
      <c r="AR833">
        <v>825</v>
      </c>
      <c r="AS833">
        <v>825</v>
      </c>
      <c r="AT833">
        <v>1</v>
      </c>
      <c r="AU833">
        <v>14.428404026931274</v>
      </c>
      <c r="AV833">
        <v>1.3054194021277724E-3</v>
      </c>
    </row>
    <row r="834" spans="44:48" x14ac:dyDescent="0.2">
      <c r="AR834">
        <v>826</v>
      </c>
      <c r="AS834">
        <v>826</v>
      </c>
      <c r="AT834">
        <v>1</v>
      </c>
      <c r="AU834">
        <v>14.459344558248619</v>
      </c>
      <c r="AV834">
        <v>1.2782910037638377E-3</v>
      </c>
    </row>
    <row r="835" spans="44:48" x14ac:dyDescent="0.2">
      <c r="AR835">
        <v>827</v>
      </c>
      <c r="AS835">
        <v>827</v>
      </c>
      <c r="AT835">
        <v>1</v>
      </c>
      <c r="AU835">
        <v>14.490285089565967</v>
      </c>
      <c r="AV835">
        <v>1.2516617708012746E-3</v>
      </c>
    </row>
    <row r="836" spans="44:48" x14ac:dyDescent="0.2">
      <c r="AR836">
        <v>828</v>
      </c>
      <c r="AS836">
        <v>828</v>
      </c>
      <c r="AT836">
        <v>1</v>
      </c>
      <c r="AU836">
        <v>14.521225620883312</v>
      </c>
      <c r="AV836">
        <v>1.2255240246379583E-3</v>
      </c>
    </row>
    <row r="837" spans="44:48" x14ac:dyDescent="0.2">
      <c r="AR837">
        <v>829</v>
      </c>
      <c r="AS837">
        <v>829</v>
      </c>
      <c r="AT837">
        <v>1</v>
      </c>
      <c r="AU837">
        <v>14.552166152200657</v>
      </c>
      <c r="AV837">
        <v>1.1998701715255223E-3</v>
      </c>
    </row>
    <row r="838" spans="44:48" x14ac:dyDescent="0.2">
      <c r="AR838">
        <v>830</v>
      </c>
      <c r="AS838">
        <v>830</v>
      </c>
      <c r="AT838">
        <v>1</v>
      </c>
      <c r="AU838">
        <v>14.583106683518006</v>
      </c>
      <c r="AV838">
        <v>1.1746927023486094E-3</v>
      </c>
    </row>
    <row r="839" spans="44:48" x14ac:dyDescent="0.2">
      <c r="AR839">
        <v>831</v>
      </c>
      <c r="AS839">
        <v>831</v>
      </c>
      <c r="AT839">
        <v>1</v>
      </c>
      <c r="AU839">
        <v>14.614047214835351</v>
      </c>
      <c r="AV839">
        <v>1.1499841923871253E-3</v>
      </c>
    </row>
    <row r="840" spans="44:48" x14ac:dyDescent="0.2">
      <c r="AR840">
        <v>832</v>
      </c>
      <c r="AS840">
        <v>832</v>
      </c>
      <c r="AT840">
        <v>1</v>
      </c>
      <c r="AU840">
        <v>14.644987746152699</v>
      </c>
      <c r="AV840">
        <v>1.1257373010619038E-3</v>
      </c>
    </row>
    <row r="841" spans="44:48" x14ac:dyDescent="0.2">
      <c r="AR841">
        <v>833</v>
      </c>
      <c r="AS841">
        <v>833</v>
      </c>
      <c r="AT841">
        <v>1</v>
      </c>
      <c r="AU841">
        <v>14.675928277470044</v>
      </c>
      <c r="AV841">
        <v>1.1019447716642697E-3</v>
      </c>
    </row>
    <row r="842" spans="44:48" x14ac:dyDescent="0.2">
      <c r="AR842">
        <v>834</v>
      </c>
      <c r="AS842">
        <v>834</v>
      </c>
      <c r="AT842">
        <v>1</v>
      </c>
      <c r="AU842">
        <v>14.706868808787389</v>
      </c>
      <c r="AV842">
        <v>1.0785994310698417E-3</v>
      </c>
    </row>
    <row r="843" spans="44:48" x14ac:dyDescent="0.2">
      <c r="AR843">
        <v>835</v>
      </c>
      <c r="AS843">
        <v>835</v>
      </c>
      <c r="AT843">
        <v>1</v>
      </c>
      <c r="AU843">
        <v>14.737809340104738</v>
      </c>
      <c r="AV843">
        <v>1.0556941894370683E-3</v>
      </c>
    </row>
    <row r="844" spans="44:48" x14ac:dyDescent="0.2">
      <c r="AR844">
        <v>836</v>
      </c>
      <c r="AS844">
        <v>836</v>
      </c>
      <c r="AT844">
        <v>1</v>
      </c>
      <c r="AU844">
        <v>14.768749871422083</v>
      </c>
      <c r="AV844">
        <v>1.0332220398908824E-3</v>
      </c>
    </row>
    <row r="845" spans="44:48" x14ac:dyDescent="0.2">
      <c r="AR845">
        <v>837</v>
      </c>
      <c r="AS845">
        <v>837</v>
      </c>
      <c r="AT845">
        <v>1</v>
      </c>
      <c r="AU845">
        <v>14.799690402739428</v>
      </c>
      <c r="AV845">
        <v>1.0111760581918493E-3</v>
      </c>
    </row>
    <row r="846" spans="44:48" x14ac:dyDescent="0.2">
      <c r="AR846">
        <v>838</v>
      </c>
      <c r="AS846">
        <v>838</v>
      </c>
      <c r="AT846">
        <v>1</v>
      </c>
      <c r="AU846">
        <v>14.830630934056776</v>
      </c>
      <c r="AV846">
        <v>9.8954940239129774E-4</v>
      </c>
    </row>
    <row r="847" spans="44:48" x14ac:dyDescent="0.2">
      <c r="AR847">
        <v>839</v>
      </c>
      <c r="AS847">
        <v>839</v>
      </c>
      <c r="AT847">
        <v>1</v>
      </c>
      <c r="AU847">
        <v>14.861571465374121</v>
      </c>
      <c r="AV847">
        <v>9.6833531247276573E-4</v>
      </c>
    </row>
    <row r="848" spans="44:48" x14ac:dyDescent="0.2">
      <c r="AR848">
        <v>840</v>
      </c>
      <c r="AS848">
        <v>840</v>
      </c>
      <c r="AT848">
        <v>1</v>
      </c>
      <c r="AU848">
        <v>14.892511996691466</v>
      </c>
      <c r="AV848">
        <v>9.4752710998019887E-4</v>
      </c>
    </row>
    <row r="849" spans="44:48" x14ac:dyDescent="0.2">
      <c r="AR849">
        <v>841</v>
      </c>
      <c r="AS849">
        <v>841</v>
      </c>
      <c r="AT849">
        <v>1</v>
      </c>
      <c r="AU849">
        <v>14.923452528008815</v>
      </c>
      <c r="AV849">
        <v>9.271181976332907E-4</v>
      </c>
    </row>
    <row r="850" spans="44:48" x14ac:dyDescent="0.2">
      <c r="AR850">
        <v>842</v>
      </c>
      <c r="AS850">
        <v>842</v>
      </c>
      <c r="AT850">
        <v>1</v>
      </c>
      <c r="AU850">
        <v>14.95439305932616</v>
      </c>
      <c r="AV850">
        <v>9.0710205893036223E-4</v>
      </c>
    </row>
    <row r="851" spans="44:48" x14ac:dyDescent="0.2">
      <c r="AR851">
        <v>843</v>
      </c>
      <c r="AS851">
        <v>843</v>
      </c>
      <c r="AT851">
        <v>1</v>
      </c>
      <c r="AU851">
        <v>14.985333590643508</v>
      </c>
      <c r="AV851">
        <v>8.8747225773915092E-4</v>
      </c>
    </row>
    <row r="852" spans="44:48" x14ac:dyDescent="0.2">
      <c r="AR852">
        <v>844</v>
      </c>
      <c r="AS852">
        <v>844</v>
      </c>
      <c r="AT852">
        <v>1</v>
      </c>
      <c r="AU852">
        <v>15.016274121960853</v>
      </c>
      <c r="AV852">
        <v>8.6822243787593677E-4</v>
      </c>
    </row>
    <row r="853" spans="44:48" x14ac:dyDescent="0.2">
      <c r="AR853">
        <v>845</v>
      </c>
      <c r="AS853">
        <v>845</v>
      </c>
      <c r="AT853">
        <v>1</v>
      </c>
      <c r="AU853">
        <v>15.047214653278198</v>
      </c>
      <c r="AV853">
        <v>8.4934632267332378E-4</v>
      </c>
    </row>
    <row r="854" spans="44:48" x14ac:dyDescent="0.2">
      <c r="AR854">
        <v>846</v>
      </c>
      <c r="AS854">
        <v>846</v>
      </c>
      <c r="AT854">
        <v>1</v>
      </c>
      <c r="AU854">
        <v>15.078155184595547</v>
      </c>
      <c r="AV854">
        <v>8.3083771453712246E-4</v>
      </c>
    </row>
    <row r="855" spans="44:48" x14ac:dyDescent="0.2">
      <c r="AR855">
        <v>847</v>
      </c>
      <c r="AS855">
        <v>847</v>
      </c>
      <c r="AT855">
        <v>1</v>
      </c>
      <c r="AU855">
        <v>15.109095715912892</v>
      </c>
      <c r="AV855">
        <v>8.1269049449266516E-4</v>
      </c>
    </row>
    <row r="856" spans="44:48" x14ac:dyDescent="0.2">
      <c r="AR856">
        <v>848</v>
      </c>
      <c r="AS856">
        <v>848</v>
      </c>
      <c r="AT856">
        <v>1</v>
      </c>
      <c r="AU856">
        <v>15.140036247230237</v>
      </c>
      <c r="AV856">
        <v>7.9489862172090863E-4</v>
      </c>
    </row>
    <row r="857" spans="44:48" x14ac:dyDescent="0.2">
      <c r="AR857">
        <v>849</v>
      </c>
      <c r="AS857">
        <v>849</v>
      </c>
      <c r="AT857">
        <v>1</v>
      </c>
      <c r="AU857">
        <v>15.170976778547585</v>
      </c>
      <c r="AV857">
        <v>7.7745613308474347E-4</v>
      </c>
    </row>
    <row r="858" spans="44:48" x14ac:dyDescent="0.2">
      <c r="AR858">
        <v>850</v>
      </c>
      <c r="AS858">
        <v>850</v>
      </c>
      <c r="AT858">
        <v>1</v>
      </c>
      <c r="AU858">
        <v>15.20191730986493</v>
      </c>
      <c r="AV858">
        <v>7.6035714264582237E-4</v>
      </c>
    </row>
    <row r="859" spans="44:48" x14ac:dyDescent="0.2">
      <c r="AR859">
        <v>851</v>
      </c>
      <c r="AS859">
        <v>851</v>
      </c>
      <c r="AT859">
        <v>1</v>
      </c>
      <c r="AU859">
        <v>15.232857841182275</v>
      </c>
      <c r="AV859">
        <v>7.4359584117226877E-4</v>
      </c>
    </row>
    <row r="860" spans="44:48" x14ac:dyDescent="0.2">
      <c r="AR860">
        <v>852</v>
      </c>
      <c r="AS860">
        <v>852</v>
      </c>
      <c r="AT860">
        <v>1</v>
      </c>
      <c r="AU860">
        <v>15.263798372499624</v>
      </c>
      <c r="AV860">
        <v>7.2716649563763511E-4</v>
      </c>
    </row>
    <row r="861" spans="44:48" x14ac:dyDescent="0.2">
      <c r="AR861">
        <v>853</v>
      </c>
      <c r="AS861">
        <v>853</v>
      </c>
      <c r="AT861">
        <v>1</v>
      </c>
      <c r="AU861">
        <v>15.294738903816969</v>
      </c>
      <c r="AV861">
        <v>7.1106344871145358E-4</v>
      </c>
    </row>
    <row r="862" spans="44:48" x14ac:dyDescent="0.2">
      <c r="AR862">
        <v>854</v>
      </c>
      <c r="AS862">
        <v>854</v>
      </c>
      <c r="AT862">
        <v>1</v>
      </c>
      <c r="AU862">
        <v>15.325679435134317</v>
      </c>
      <c r="AV862">
        <v>6.9528111824169103E-4</v>
      </c>
    </row>
    <row r="863" spans="44:48" x14ac:dyDescent="0.2">
      <c r="AR863">
        <v>855</v>
      </c>
      <c r="AS863">
        <v>855</v>
      </c>
      <c r="AT863">
        <v>1</v>
      </c>
      <c r="AU863">
        <v>15.356619966451662</v>
      </c>
      <c r="AV863">
        <v>6.7981399672949736E-4</v>
      </c>
    </row>
    <row r="864" spans="44:48" x14ac:dyDescent="0.2">
      <c r="AR864">
        <v>856</v>
      </c>
      <c r="AS864">
        <v>856</v>
      </c>
      <c r="AT864">
        <v>1</v>
      </c>
      <c r="AU864">
        <v>15.387560497769007</v>
      </c>
      <c r="AV864">
        <v>6.6465665079651901E-4</v>
      </c>
    </row>
    <row r="865" spans="44:48" x14ac:dyDescent="0.2">
      <c r="AR865">
        <v>857</v>
      </c>
      <c r="AS865">
        <v>857</v>
      </c>
      <c r="AT865">
        <v>1</v>
      </c>
      <c r="AU865">
        <v>15.418501029086356</v>
      </c>
      <c r="AV865">
        <v>6.4980372064516053E-4</v>
      </c>
    </row>
    <row r="866" spans="44:48" x14ac:dyDescent="0.2">
      <c r="AR866">
        <v>858</v>
      </c>
      <c r="AS866">
        <v>858</v>
      </c>
      <c r="AT866">
        <v>1</v>
      </c>
      <c r="AU866">
        <v>15.449441560403701</v>
      </c>
      <c r="AV866">
        <v>6.3524991951208795E-4</v>
      </c>
    </row>
    <row r="867" spans="44:48" x14ac:dyDescent="0.2">
      <c r="AR867">
        <v>859</v>
      </c>
      <c r="AS867">
        <v>859</v>
      </c>
      <c r="AT867">
        <v>1</v>
      </c>
      <c r="AU867">
        <v>15.480382091721046</v>
      </c>
      <c r="AV867">
        <v>6.2099003311527699E-4</v>
      </c>
    </row>
    <row r="868" spans="44:48" x14ac:dyDescent="0.2">
      <c r="AR868">
        <v>860</v>
      </c>
      <c r="AS868">
        <v>860</v>
      </c>
      <c r="AT868">
        <v>1</v>
      </c>
      <c r="AU868">
        <v>15.511322623038394</v>
      </c>
      <c r="AV868">
        <v>6.0701891909496373E-4</v>
      </c>
    </row>
    <row r="869" spans="44:48" x14ac:dyDescent="0.2">
      <c r="AR869">
        <v>861</v>
      </c>
      <c r="AS869">
        <v>861</v>
      </c>
      <c r="AT869">
        <v>1</v>
      </c>
      <c r="AU869">
        <v>15.542263154355739</v>
      </c>
      <c r="AV869">
        <v>5.9333150644876953E-4</v>
      </c>
    </row>
    <row r="870" spans="44:48" x14ac:dyDescent="0.2">
      <c r="AR870">
        <v>862</v>
      </c>
      <c r="AS870">
        <v>862</v>
      </c>
      <c r="AT870">
        <v>1</v>
      </c>
      <c r="AU870">
        <v>15.573203685673084</v>
      </c>
      <c r="AV870">
        <v>5.7992279496130964E-4</v>
      </c>
    </row>
    <row r="871" spans="44:48" x14ac:dyDescent="0.2">
      <c r="AR871">
        <v>863</v>
      </c>
      <c r="AS871">
        <v>863</v>
      </c>
      <c r="AT871">
        <v>1</v>
      </c>
      <c r="AU871">
        <v>15.604144216990433</v>
      </c>
      <c r="AV871">
        <v>5.6678785462859795E-4</v>
      </c>
    </row>
    <row r="872" spans="44:48" x14ac:dyDescent="0.2">
      <c r="AR872">
        <v>864</v>
      </c>
      <c r="AS872">
        <v>864</v>
      </c>
      <c r="AT872">
        <v>1</v>
      </c>
      <c r="AU872">
        <v>15.635084748307778</v>
      </c>
      <c r="AV872">
        <v>5.5392182507753437E-4</v>
      </c>
    </row>
    <row r="873" spans="44:48" x14ac:dyDescent="0.2">
      <c r="AR873">
        <v>865</v>
      </c>
      <c r="AS873">
        <v>865</v>
      </c>
      <c r="AT873">
        <v>1</v>
      </c>
      <c r="AU873">
        <v>15.666025279625126</v>
      </c>
      <c r="AV873">
        <v>5.4131991498074586E-4</v>
      </c>
    </row>
    <row r="874" spans="44:48" x14ac:dyDescent="0.2">
      <c r="AR874">
        <v>866</v>
      </c>
      <c r="AS874">
        <v>866</v>
      </c>
      <c r="AT874">
        <v>1</v>
      </c>
      <c r="AU874">
        <v>15.696965810942471</v>
      </c>
      <c r="AV874">
        <v>5.2897740146711034E-4</v>
      </c>
    </row>
    <row r="875" spans="44:48" x14ac:dyDescent="0.2">
      <c r="AR875">
        <v>867</v>
      </c>
      <c r="AS875">
        <v>867</v>
      </c>
      <c r="AT875">
        <v>1</v>
      </c>
      <c r="AU875">
        <v>15.727906342259816</v>
      </c>
      <c r="AV875">
        <v>5.1688962952818281E-4</v>
      </c>
    </row>
    <row r="876" spans="44:48" x14ac:dyDescent="0.2">
      <c r="AR876">
        <v>868</v>
      </c>
      <c r="AS876">
        <v>868</v>
      </c>
      <c r="AT876">
        <v>1</v>
      </c>
      <c r="AU876">
        <v>15.758846873577165</v>
      </c>
      <c r="AV876">
        <v>5.0505201142084916E-4</v>
      </c>
    </row>
    <row r="877" spans="44:48" x14ac:dyDescent="0.2">
      <c r="AR877">
        <v>869</v>
      </c>
      <c r="AS877">
        <v>869</v>
      </c>
      <c r="AT877">
        <v>1</v>
      </c>
      <c r="AU877">
        <v>15.789787404894509</v>
      </c>
      <c r="AV877">
        <v>4.9346002606645469E-4</v>
      </c>
    </row>
    <row r="878" spans="44:48" x14ac:dyDescent="0.2">
      <c r="AR878">
        <v>870</v>
      </c>
      <c r="AS878">
        <v>870</v>
      </c>
      <c r="AT878">
        <v>1</v>
      </c>
      <c r="AU878">
        <v>15.820727936211854</v>
      </c>
      <c r="AV878">
        <v>4.8210921844666168E-4</v>
      </c>
    </row>
    <row r="879" spans="44:48" x14ac:dyDescent="0.2">
      <c r="AR879">
        <v>871</v>
      </c>
      <c r="AS879">
        <v>871</v>
      </c>
      <c r="AT879">
        <v>1</v>
      </c>
      <c r="AU879">
        <v>15.851668467529203</v>
      </c>
      <c r="AV879">
        <v>4.7099519899632071E-4</v>
      </c>
    </row>
    <row r="880" spans="44:48" x14ac:dyDescent="0.2">
      <c r="AR880">
        <v>872</v>
      </c>
      <c r="AS880">
        <v>872</v>
      </c>
      <c r="AT880">
        <v>1</v>
      </c>
      <c r="AU880">
        <v>15.882608998846548</v>
      </c>
      <c r="AV880">
        <v>4.6011364299359598E-4</v>
      </c>
    </row>
    <row r="881" spans="44:48" x14ac:dyDescent="0.2">
      <c r="AR881">
        <v>873</v>
      </c>
      <c r="AS881">
        <v>873</v>
      </c>
      <c r="AT881">
        <v>1</v>
      </c>
      <c r="AU881">
        <v>15.913549530163893</v>
      </c>
      <c r="AV881">
        <v>4.4946028994758552E-4</v>
      </c>
    </row>
    <row r="882" spans="44:48" x14ac:dyDescent="0.2">
      <c r="AR882">
        <v>874</v>
      </c>
      <c r="AS882">
        <v>874</v>
      </c>
      <c r="AT882">
        <v>1</v>
      </c>
      <c r="AU882">
        <v>15.944490061481241</v>
      </c>
      <c r="AV882">
        <v>4.390309429837007E-4</v>
      </c>
    </row>
    <row r="883" spans="44:48" x14ac:dyDescent="0.2">
      <c r="AR883">
        <v>875</v>
      </c>
      <c r="AS883">
        <v>875</v>
      </c>
      <c r="AT883">
        <v>1</v>
      </c>
      <c r="AU883">
        <v>15.975430592798586</v>
      </c>
      <c r="AV883">
        <v>4.2882146822703995E-4</v>
      </c>
    </row>
    <row r="884" spans="44:48" x14ac:dyDescent="0.2">
      <c r="AR884">
        <v>876</v>
      </c>
      <c r="AS884">
        <v>876</v>
      </c>
      <c r="AT884">
        <v>1</v>
      </c>
      <c r="AU884">
        <v>16.006371124115937</v>
      </c>
      <c r="AV884">
        <v>4.1882779418397068E-4</v>
      </c>
    </row>
    <row r="885" spans="44:48" x14ac:dyDescent="0.2">
      <c r="AR885">
        <v>877</v>
      </c>
      <c r="AS885">
        <v>877</v>
      </c>
      <c r="AT885">
        <v>1</v>
      </c>
      <c r="AU885">
        <v>16.037311655433278</v>
      </c>
      <c r="AV885">
        <v>4.0904591112219313E-4</v>
      </c>
    </row>
    <row r="886" spans="44:48" x14ac:dyDescent="0.2">
      <c r="AR886">
        <v>878</v>
      </c>
      <c r="AS886">
        <v>878</v>
      </c>
      <c r="AT886">
        <v>1</v>
      </c>
      <c r="AU886">
        <v>16.068252186750627</v>
      </c>
      <c r="AV886">
        <v>3.9947187044945127E-4</v>
      </c>
    </row>
    <row r="887" spans="44:48" x14ac:dyDescent="0.2">
      <c r="AR887">
        <v>879</v>
      </c>
      <c r="AS887">
        <v>879</v>
      </c>
      <c r="AT887">
        <v>1</v>
      </c>
      <c r="AU887">
        <v>16.099192718067975</v>
      </c>
      <c r="AV887">
        <v>3.9010178409118397E-4</v>
      </c>
    </row>
    <row r="888" spans="44:48" x14ac:dyDescent="0.2">
      <c r="AR888">
        <v>880</v>
      </c>
      <c r="AS888">
        <v>880</v>
      </c>
      <c r="AT888">
        <v>1</v>
      </c>
      <c r="AU888">
        <v>16.130133249385317</v>
      </c>
      <c r="AV888">
        <v>3.8093182386726943E-4</v>
      </c>
    </row>
    <row r="889" spans="44:48" x14ac:dyDescent="0.2">
      <c r="AR889">
        <v>881</v>
      </c>
      <c r="AS889">
        <v>881</v>
      </c>
      <c r="AT889">
        <v>1</v>
      </c>
      <c r="AU889">
        <v>16.161073780702665</v>
      </c>
      <c r="AV889">
        <v>3.7195822086809902E-4</v>
      </c>
    </row>
    <row r="890" spans="44:48" x14ac:dyDescent="0.2">
      <c r="AR890">
        <v>882</v>
      </c>
      <c r="AS890">
        <v>882</v>
      </c>
      <c r="AT890">
        <v>1</v>
      </c>
      <c r="AU890">
        <v>16.192014312020014</v>
      </c>
      <c r="AV890">
        <v>3.6317726483020622E-4</v>
      </c>
    </row>
    <row r="891" spans="44:48" x14ac:dyDescent="0.2">
      <c r="AR891">
        <v>883</v>
      </c>
      <c r="AS891">
        <v>883</v>
      </c>
      <c r="AT891">
        <v>1</v>
      </c>
      <c r="AU891">
        <v>16.222954843337355</v>
      </c>
      <c r="AV891">
        <v>3.5458530351162006E-4</v>
      </c>
    </row>
    <row r="892" spans="44:48" x14ac:dyDescent="0.2">
      <c r="AR892">
        <v>884</v>
      </c>
      <c r="AS892">
        <v>884</v>
      </c>
      <c r="AT892">
        <v>1</v>
      </c>
      <c r="AU892">
        <v>16.253895374654704</v>
      </c>
      <c r="AV892">
        <v>3.4617874206714665E-4</v>
      </c>
    </row>
    <row r="893" spans="44:48" x14ac:dyDescent="0.2">
      <c r="AR893">
        <v>885</v>
      </c>
      <c r="AS893">
        <v>885</v>
      </c>
      <c r="AT893">
        <v>1</v>
      </c>
      <c r="AU893">
        <v>16.284835905972052</v>
      </c>
      <c r="AV893">
        <v>3.3795404242380385E-4</v>
      </c>
    </row>
    <row r="894" spans="44:48" x14ac:dyDescent="0.2">
      <c r="AR894">
        <v>886</v>
      </c>
      <c r="AS894">
        <v>886</v>
      </c>
      <c r="AT894">
        <v>1</v>
      </c>
      <c r="AU894">
        <v>16.315776437289394</v>
      </c>
      <c r="AV894">
        <v>3.2990772265655E-4</v>
      </c>
    </row>
    <row r="895" spans="44:48" x14ac:dyDescent="0.2">
      <c r="AR895">
        <v>887</v>
      </c>
      <c r="AS895">
        <v>887</v>
      </c>
      <c r="AT895">
        <v>1</v>
      </c>
      <c r="AU895">
        <v>16.346716968606742</v>
      </c>
      <c r="AV895">
        <v>3.2203635636451563E-4</v>
      </c>
    </row>
    <row r="896" spans="44:48" x14ac:dyDescent="0.2">
      <c r="AR896">
        <v>888</v>
      </c>
      <c r="AS896">
        <v>888</v>
      </c>
      <c r="AT896">
        <v>1</v>
      </c>
      <c r="AU896">
        <v>16.377657499924091</v>
      </c>
      <c r="AV896">
        <v>3.1433657204792923E-4</v>
      </c>
    </row>
    <row r="897" spans="44:48" x14ac:dyDescent="0.2">
      <c r="AR897">
        <v>889</v>
      </c>
      <c r="AS897">
        <v>889</v>
      </c>
      <c r="AT897">
        <v>1</v>
      </c>
      <c r="AU897">
        <v>16.408598031241432</v>
      </c>
      <c r="AV897">
        <v>3.0680505248588012E-4</v>
      </c>
    </row>
    <row r="898" spans="44:48" x14ac:dyDescent="0.2">
      <c r="AR898">
        <v>890</v>
      </c>
      <c r="AS898">
        <v>890</v>
      </c>
      <c r="AT898">
        <v>1</v>
      </c>
      <c r="AU898">
        <v>16.439538562558781</v>
      </c>
      <c r="AV898">
        <v>2.9943853411510519E-4</v>
      </c>
    </row>
    <row r="899" spans="44:48" x14ac:dyDescent="0.2">
      <c r="AR899">
        <v>891</v>
      </c>
      <c r="AS899">
        <v>891</v>
      </c>
      <c r="AT899">
        <v>1</v>
      </c>
      <c r="AU899">
        <v>16.470479093876129</v>
      </c>
      <c r="AV899">
        <v>2.9223380640997968E-4</v>
      </c>
    </row>
    <row r="900" spans="44:48" x14ac:dyDescent="0.2">
      <c r="AR900">
        <v>892</v>
      </c>
      <c r="AS900">
        <v>892</v>
      </c>
      <c r="AT900">
        <v>1</v>
      </c>
      <c r="AU900">
        <v>16.501419625193471</v>
      </c>
      <c r="AV900">
        <v>2.8518771126384373E-4</v>
      </c>
    </row>
    <row r="901" spans="44:48" x14ac:dyDescent="0.2">
      <c r="AR901">
        <v>893</v>
      </c>
      <c r="AS901">
        <v>893</v>
      </c>
      <c r="AT901">
        <v>1</v>
      </c>
      <c r="AU901">
        <v>16.532360156510819</v>
      </c>
      <c r="AV901">
        <v>2.7829714237183426E-4</v>
      </c>
    </row>
    <row r="902" spans="44:48" x14ac:dyDescent="0.2">
      <c r="AR902">
        <v>894</v>
      </c>
      <c r="AS902">
        <v>894</v>
      </c>
      <c r="AT902">
        <v>1</v>
      </c>
      <c r="AU902">
        <v>16.563300687828168</v>
      </c>
      <c r="AV902">
        <v>2.7155904461539227E-4</v>
      </c>
    </row>
    <row r="903" spans="44:48" x14ac:dyDescent="0.2">
      <c r="AR903">
        <v>895</v>
      </c>
      <c r="AS903">
        <v>895</v>
      </c>
      <c r="AT903">
        <v>1</v>
      </c>
      <c r="AU903">
        <v>16.594241219145516</v>
      </c>
      <c r="AV903">
        <v>2.6497041344856191E-4</v>
      </c>
    </row>
    <row r="904" spans="44:48" x14ac:dyDescent="0.2">
      <c r="AR904">
        <v>896</v>
      </c>
      <c r="AS904">
        <v>896</v>
      </c>
      <c r="AT904">
        <v>1</v>
      </c>
      <c r="AU904">
        <v>16.625181750462858</v>
      </c>
      <c r="AV904">
        <v>2.5852829428624891E-4</v>
      </c>
    </row>
    <row r="905" spans="44:48" x14ac:dyDescent="0.2">
      <c r="AR905">
        <v>897</v>
      </c>
      <c r="AS905">
        <v>897</v>
      </c>
      <c r="AT905">
        <v>1</v>
      </c>
      <c r="AU905">
        <v>16.656122281780206</v>
      </c>
      <c r="AV905">
        <v>2.5222978189456464E-4</v>
      </c>
    </row>
    <row r="906" spans="44:48" x14ac:dyDescent="0.2">
      <c r="AR906">
        <v>898</v>
      </c>
      <c r="AS906">
        <v>898</v>
      </c>
      <c r="AT906">
        <v>1</v>
      </c>
      <c r="AU906">
        <v>16.687062813097555</v>
      </c>
      <c r="AV906">
        <v>2.4607201978341016E-4</v>
      </c>
    </row>
    <row r="907" spans="44:48" x14ac:dyDescent="0.2">
      <c r="AR907">
        <v>899</v>
      </c>
      <c r="AS907">
        <v>899</v>
      </c>
      <c r="AT907">
        <v>1</v>
      </c>
      <c r="AU907">
        <v>16.718003344414896</v>
      </c>
      <c r="AV907">
        <v>2.4005219960140548E-4</v>
      </c>
    </row>
    <row r="908" spans="44:48" x14ac:dyDescent="0.2">
      <c r="AR908">
        <v>900</v>
      </c>
      <c r="AS908">
        <v>900</v>
      </c>
      <c r="AT908">
        <v>1</v>
      </c>
      <c r="AU908">
        <v>16.748943875732245</v>
      </c>
      <c r="AV908">
        <v>2.3416756053330881E-4</v>
      </c>
    </row>
    <row r="909" spans="44:48" x14ac:dyDescent="0.2">
      <c r="AR909">
        <v>901</v>
      </c>
      <c r="AS909">
        <v>901</v>
      </c>
      <c r="AT909">
        <v>1</v>
      </c>
      <c r="AU909">
        <v>16.779884407049593</v>
      </c>
      <c r="AV909">
        <v>2.2841538870005472E-4</v>
      </c>
    </row>
    <row r="910" spans="44:48" x14ac:dyDescent="0.2">
      <c r="AR910">
        <v>902</v>
      </c>
      <c r="AS910">
        <v>902</v>
      </c>
      <c r="AT910">
        <v>1</v>
      </c>
      <c r="AU910">
        <v>16.810824938366935</v>
      </c>
      <c r="AV910">
        <v>2.2279301656151273E-4</v>
      </c>
    </row>
    <row r="911" spans="44:48" x14ac:dyDescent="0.2">
      <c r="AR911">
        <v>903</v>
      </c>
      <c r="AS911">
        <v>903</v>
      </c>
      <c r="AT911">
        <v>1</v>
      </c>
      <c r="AU911">
        <v>16.841765469684283</v>
      </c>
      <c r="AV911">
        <v>2.1729782232208944E-4</v>
      </c>
    </row>
    <row r="912" spans="44:48" x14ac:dyDescent="0.2">
      <c r="AR912">
        <v>904</v>
      </c>
      <c r="AS912">
        <v>904</v>
      </c>
      <c r="AT912">
        <v>1</v>
      </c>
      <c r="AU912">
        <v>16.872706001001632</v>
      </c>
      <c r="AV912">
        <v>2.1192722933930129E-4</v>
      </c>
    </row>
    <row r="913" spans="44:48" x14ac:dyDescent="0.2">
      <c r="AR913">
        <v>905</v>
      </c>
      <c r="AS913">
        <v>905</v>
      </c>
      <c r="AT913">
        <v>1</v>
      </c>
      <c r="AU913">
        <v>16.903646532318973</v>
      </c>
      <c r="AV913">
        <v>2.0667870553540049E-4</v>
      </c>
    </row>
    <row r="914" spans="44:48" x14ac:dyDescent="0.2">
      <c r="AR914">
        <v>906</v>
      </c>
      <c r="AS914">
        <v>906</v>
      </c>
      <c r="AT914">
        <v>1</v>
      </c>
      <c r="AU914">
        <v>16.934587063636322</v>
      </c>
      <c r="AV914">
        <v>2.0154976281217142E-4</v>
      </c>
    </row>
    <row r="915" spans="44:48" x14ac:dyDescent="0.2">
      <c r="AR915">
        <v>907</v>
      </c>
      <c r="AS915">
        <v>907</v>
      </c>
      <c r="AT915">
        <v>1</v>
      </c>
      <c r="AU915">
        <v>16.96552759495367</v>
      </c>
      <c r="AV915">
        <v>1.9653795646900764E-4</v>
      </c>
    </row>
    <row r="916" spans="44:48" x14ac:dyDescent="0.2">
      <c r="AR916">
        <v>908</v>
      </c>
      <c r="AS916">
        <v>908</v>
      </c>
      <c r="AT916">
        <v>1</v>
      </c>
      <c r="AU916">
        <v>16.996468126271012</v>
      </c>
      <c r="AV916">
        <v>1.9164088462434687E-4</v>
      </c>
    </row>
    <row r="917" spans="44:48" x14ac:dyDescent="0.2">
      <c r="AR917">
        <v>909</v>
      </c>
      <c r="AS917" t="e">
        <v>#N/A</v>
      </c>
      <c r="AT917" t="e">
        <v>#N/A</v>
      </c>
      <c r="AU917" t="e">
        <v>#N/A</v>
      </c>
      <c r="AV917" t="e">
        <v>#N/A</v>
      </c>
    </row>
    <row r="918" spans="44:48" x14ac:dyDescent="0.2">
      <c r="AR918">
        <v>910</v>
      </c>
      <c r="AS918">
        <v>1</v>
      </c>
      <c r="AT918">
        <v>2</v>
      </c>
      <c r="AU918">
        <v>-11.066593778562057</v>
      </c>
      <c r="AV918">
        <v>1.7101452972453682E-4</v>
      </c>
    </row>
    <row r="919" spans="44:48" x14ac:dyDescent="0.2">
      <c r="AR919">
        <v>911</v>
      </c>
      <c r="AS919">
        <v>2</v>
      </c>
      <c r="AT919">
        <v>2</v>
      </c>
      <c r="AU919">
        <v>-11.03565324724471</v>
      </c>
      <c r="AV919">
        <v>1.7545007399451246E-4</v>
      </c>
    </row>
    <row r="920" spans="44:48" x14ac:dyDescent="0.2">
      <c r="AR920">
        <v>912</v>
      </c>
      <c r="AS920">
        <v>3</v>
      </c>
      <c r="AT920">
        <v>2</v>
      </c>
      <c r="AU920">
        <v>-11.004712715927365</v>
      </c>
      <c r="AV920">
        <v>1.7999127553895863E-4</v>
      </c>
    </row>
    <row r="921" spans="44:48" x14ac:dyDescent="0.2">
      <c r="AR921">
        <v>913</v>
      </c>
      <c r="AS921">
        <v>4</v>
      </c>
      <c r="AT921">
        <v>2</v>
      </c>
      <c r="AU921">
        <v>-10.973772184610018</v>
      </c>
      <c r="AV921">
        <v>1.8464038938287948E-4</v>
      </c>
    </row>
    <row r="922" spans="44:48" x14ac:dyDescent="0.2">
      <c r="AR922">
        <v>914</v>
      </c>
      <c r="AS922">
        <v>5</v>
      </c>
      <c r="AT922">
        <v>2</v>
      </c>
      <c r="AU922">
        <v>-10.942831653292671</v>
      </c>
      <c r="AV922">
        <v>1.8939971175929956E-4</v>
      </c>
    </row>
    <row r="923" spans="44:48" x14ac:dyDescent="0.2">
      <c r="AR923">
        <v>915</v>
      </c>
      <c r="AS923">
        <v>6</v>
      </c>
      <c r="AT923">
        <v>2</v>
      </c>
      <c r="AU923">
        <v>-10.911891121975325</v>
      </c>
      <c r="AV923">
        <v>1.9427158068854657E-4</v>
      </c>
    </row>
    <row r="924" spans="44:48" x14ac:dyDescent="0.2">
      <c r="AR924">
        <v>916</v>
      </c>
      <c r="AS924">
        <v>7</v>
      </c>
      <c r="AT924">
        <v>2</v>
      </c>
      <c r="AU924">
        <v>-10.88095059065798</v>
      </c>
      <c r="AV924">
        <v>1.9925837656144458E-4</v>
      </c>
    </row>
    <row r="925" spans="44:48" x14ac:dyDescent="0.2">
      <c r="AR925">
        <v>917</v>
      </c>
      <c r="AS925">
        <v>8</v>
      </c>
      <c r="AT925">
        <v>2</v>
      </c>
      <c r="AU925">
        <v>-10.850010059340633</v>
      </c>
      <c r="AV925">
        <v>2.0436252272633848E-4</v>
      </c>
    </row>
    <row r="926" spans="44:48" x14ac:dyDescent="0.2">
      <c r="AR926">
        <v>918</v>
      </c>
      <c r="AS926">
        <v>9</v>
      </c>
      <c r="AT926">
        <v>2</v>
      </c>
      <c r="AU926">
        <v>-10.819069528023286</v>
      </c>
      <c r="AV926">
        <v>2.0958648607985586E-4</v>
      </c>
    </row>
    <row r="927" spans="44:48" x14ac:dyDescent="0.2">
      <c r="AR927">
        <v>919</v>
      </c>
      <c r="AS927">
        <v>10</v>
      </c>
      <c r="AT927">
        <v>2</v>
      </c>
      <c r="AU927">
        <v>-10.788128996705939</v>
      </c>
      <c r="AV927">
        <v>2.1493277766132171E-4</v>
      </c>
    </row>
    <row r="928" spans="44:48" x14ac:dyDescent="0.2">
      <c r="AR928">
        <v>920</v>
      </c>
      <c r="AS928">
        <v>11</v>
      </c>
      <c r="AT928">
        <v>2</v>
      </c>
      <c r="AU928">
        <v>-10.757188465388595</v>
      </c>
      <c r="AV928">
        <v>2.2040395325072685E-4</v>
      </c>
    </row>
    <row r="929" spans="44:48" x14ac:dyDescent="0.2">
      <c r="AR929">
        <v>921</v>
      </c>
      <c r="AS929">
        <v>12</v>
      </c>
      <c r="AT929">
        <v>2</v>
      </c>
      <c r="AU929">
        <v>-10.726247934071248</v>
      </c>
      <c r="AV929">
        <v>2.2600261397015252E-4</v>
      </c>
    </row>
    <row r="930" spans="44:48" x14ac:dyDescent="0.2">
      <c r="AR930">
        <v>922</v>
      </c>
      <c r="AS930">
        <v>13</v>
      </c>
      <c r="AT930">
        <v>2</v>
      </c>
      <c r="AU930">
        <v>-10.695307402753901</v>
      </c>
      <c r="AV930">
        <v>2.3173140688854865E-4</v>
      </c>
    </row>
    <row r="931" spans="44:48" x14ac:dyDescent="0.2">
      <c r="AR931">
        <v>923</v>
      </c>
      <c r="AS931">
        <v>14</v>
      </c>
      <c r="AT931">
        <v>2</v>
      </c>
      <c r="AU931">
        <v>-10.664366871436556</v>
      </c>
      <c r="AV931">
        <v>2.3759302562976063E-4</v>
      </c>
    </row>
    <row r="932" spans="44:48" x14ac:dyDescent="0.2">
      <c r="AR932">
        <v>924</v>
      </c>
      <c r="AS932">
        <v>15</v>
      </c>
      <c r="AT932">
        <v>2</v>
      </c>
      <c r="AU932">
        <v>-10.633426340119209</v>
      </c>
      <c r="AV932">
        <v>2.4359021098369364E-4</v>
      </c>
    </row>
    <row r="933" spans="44:48" x14ac:dyDescent="0.2">
      <c r="AR933">
        <v>925</v>
      </c>
      <c r="AS933">
        <v>16</v>
      </c>
      <c r="AT933">
        <v>2</v>
      </c>
      <c r="AU933">
        <v>-10.602485808801863</v>
      </c>
      <c r="AV933">
        <v>2.4972575152049954E-4</v>
      </c>
    </row>
    <row r="934" spans="44:48" x14ac:dyDescent="0.2">
      <c r="AR934">
        <v>926</v>
      </c>
      <c r="AS934">
        <v>17</v>
      </c>
      <c r="AT934">
        <v>2</v>
      </c>
      <c r="AU934">
        <v>-10.571545277484516</v>
      </c>
      <c r="AV934">
        <v>2.5600248420767072E-4</v>
      </c>
    </row>
    <row r="935" spans="44:48" x14ac:dyDescent="0.2">
      <c r="AR935">
        <v>927</v>
      </c>
      <c r="AS935">
        <v>18</v>
      </c>
      <c r="AT935">
        <v>2</v>
      </c>
      <c r="AU935">
        <v>-10.540604746167171</v>
      </c>
      <c r="AV935">
        <v>2.6242329502991474E-4</v>
      </c>
    </row>
    <row r="936" spans="44:48" x14ac:dyDescent="0.2">
      <c r="AR936">
        <v>928</v>
      </c>
      <c r="AS936">
        <v>19</v>
      </c>
      <c r="AT936">
        <v>2</v>
      </c>
      <c r="AU936">
        <v>-10.509664214849824</v>
      </c>
      <c r="AV936">
        <v>2.6899111961168931E-4</v>
      </c>
    </row>
    <row r="937" spans="44:48" x14ac:dyDescent="0.2">
      <c r="AR937">
        <v>929</v>
      </c>
      <c r="AS937">
        <v>20</v>
      </c>
      <c r="AT937">
        <v>2</v>
      </c>
      <c r="AU937">
        <v>-10.478723683532477</v>
      </c>
      <c r="AV937">
        <v>2.7570894384226091E-4</v>
      </c>
    </row>
    <row r="938" spans="44:48" x14ac:dyDescent="0.2">
      <c r="AR938">
        <v>930</v>
      </c>
      <c r="AS938">
        <v>21</v>
      </c>
      <c r="AT938">
        <v>2</v>
      </c>
      <c r="AU938">
        <v>-10.447783152215131</v>
      </c>
      <c r="AV938">
        <v>2.825798045031557E-4</v>
      </c>
    </row>
    <row r="939" spans="44:48" x14ac:dyDescent="0.2">
      <c r="AR939">
        <v>931</v>
      </c>
      <c r="AS939">
        <v>22</v>
      </c>
      <c r="AT939">
        <v>2</v>
      </c>
      <c r="AU939">
        <v>-10.416842620897786</v>
      </c>
      <c r="AV939">
        <v>2.8960678989786709E-4</v>
      </c>
    </row>
    <row r="940" spans="44:48" x14ac:dyDescent="0.2">
      <c r="AR940">
        <v>932</v>
      </c>
      <c r="AS940">
        <v>23</v>
      </c>
      <c r="AT940">
        <v>2</v>
      </c>
      <c r="AU940">
        <v>-10.385902089580439</v>
      </c>
      <c r="AV940">
        <v>2.9679304048366818E-4</v>
      </c>
    </row>
    <row r="941" spans="44:48" x14ac:dyDescent="0.2">
      <c r="AR941">
        <v>933</v>
      </c>
      <c r="AS941">
        <v>24</v>
      </c>
      <c r="AT941">
        <v>2</v>
      </c>
      <c r="AU941">
        <v>-10.354961558263092</v>
      </c>
      <c r="AV941">
        <v>3.0414174950538811E-4</v>
      </c>
    </row>
    <row r="942" spans="44:48" x14ac:dyDescent="0.2">
      <c r="AR942">
        <v>934</v>
      </c>
      <c r="AS942">
        <v>25</v>
      </c>
      <c r="AT942">
        <v>2</v>
      </c>
      <c r="AU942">
        <v>-10.324021026945747</v>
      </c>
      <c r="AV942">
        <v>3.1165616363100105E-4</v>
      </c>
    </row>
    <row r="943" spans="44:48" x14ac:dyDescent="0.2">
      <c r="AR943">
        <v>935</v>
      </c>
      <c r="AS943">
        <v>26</v>
      </c>
      <c r="AT943">
        <v>2</v>
      </c>
      <c r="AU943">
        <v>-10.2930804956284</v>
      </c>
      <c r="AV943">
        <v>3.1933958358886855E-4</v>
      </c>
    </row>
    <row r="944" spans="44:48" x14ac:dyDescent="0.2">
      <c r="AR944">
        <v>936</v>
      </c>
      <c r="AS944">
        <v>27</v>
      </c>
      <c r="AT944">
        <v>2</v>
      </c>
      <c r="AU944">
        <v>-10.262139964311054</v>
      </c>
      <c r="AV944">
        <v>3.2719536480647031E-4</v>
      </c>
    </row>
    <row r="945" spans="44:48" x14ac:dyDescent="0.2">
      <c r="AR945">
        <v>937</v>
      </c>
      <c r="AS945">
        <v>28</v>
      </c>
      <c r="AT945">
        <v>2</v>
      </c>
      <c r="AU945">
        <v>-10.231199432993707</v>
      </c>
      <c r="AV945">
        <v>3.3522691805047108E-4</v>
      </c>
    </row>
    <row r="946" spans="44:48" x14ac:dyDescent="0.2">
      <c r="AR946">
        <v>938</v>
      </c>
      <c r="AS946">
        <v>29</v>
      </c>
      <c r="AT946">
        <v>2</v>
      </c>
      <c r="AU946">
        <v>-10.200258901676362</v>
      </c>
      <c r="AV946">
        <v>3.4343771006793678E-4</v>
      </c>
    </row>
    <row r="947" spans="44:48" x14ac:dyDescent="0.2">
      <c r="AR947">
        <v>939</v>
      </c>
      <c r="AS947">
        <v>30</v>
      </c>
      <c r="AT947">
        <v>2</v>
      </c>
      <c r="AU947">
        <v>-10.169318370359015</v>
      </c>
      <c r="AV947">
        <v>3.5183126422854186E-4</v>
      </c>
    </row>
    <row r="948" spans="44:48" x14ac:dyDescent="0.2">
      <c r="AR948">
        <v>940</v>
      </c>
      <c r="AS948">
        <v>31</v>
      </c>
      <c r="AT948">
        <v>2</v>
      </c>
      <c r="AU948">
        <v>-10.138377839041668</v>
      </c>
      <c r="AV948">
        <v>3.6041116116757228E-4</v>
      </c>
    </row>
    <row r="949" spans="44:48" x14ac:dyDescent="0.2">
      <c r="AR949">
        <v>941</v>
      </c>
      <c r="AS949">
        <v>32</v>
      </c>
      <c r="AT949">
        <v>2</v>
      </c>
      <c r="AU949">
        <v>-10.107437307724322</v>
      </c>
      <c r="AV949">
        <v>3.6918103942955592E-4</v>
      </c>
    </row>
    <row r="950" spans="44:48" x14ac:dyDescent="0.2">
      <c r="AR950">
        <v>942</v>
      </c>
      <c r="AS950">
        <v>33</v>
      </c>
      <c r="AT950">
        <v>2</v>
      </c>
      <c r="AU950">
        <v>-10.076496776406977</v>
      </c>
      <c r="AV950">
        <v>3.7814459611232044E-4</v>
      </c>
    </row>
    <row r="951" spans="44:48" x14ac:dyDescent="0.2">
      <c r="AR951">
        <v>943</v>
      </c>
      <c r="AS951">
        <v>34</v>
      </c>
      <c r="AT951">
        <v>2</v>
      </c>
      <c r="AU951">
        <v>-10.04555624508963</v>
      </c>
      <c r="AV951">
        <v>3.8730558751129071E-4</v>
      </c>
    </row>
    <row r="952" spans="44:48" x14ac:dyDescent="0.2">
      <c r="AR952">
        <v>944</v>
      </c>
      <c r="AS952">
        <v>35</v>
      </c>
      <c r="AT952">
        <v>2</v>
      </c>
      <c r="AU952">
        <v>-10.014615713772283</v>
      </c>
      <c r="AV952">
        <v>3.9666782976382358E-4</v>
      </c>
    </row>
    <row r="953" spans="44:48" x14ac:dyDescent="0.2">
      <c r="AR953">
        <v>945</v>
      </c>
      <c r="AS953">
        <v>36</v>
      </c>
      <c r="AT953">
        <v>2</v>
      </c>
      <c r="AU953">
        <v>-9.9836751824549363</v>
      </c>
      <c r="AV953">
        <v>4.0623519949338152E-4</v>
      </c>
    </row>
    <row r="954" spans="44:48" x14ac:dyDescent="0.2">
      <c r="AR954">
        <v>946</v>
      </c>
      <c r="AS954">
        <v>37</v>
      </c>
      <c r="AT954">
        <v>2</v>
      </c>
      <c r="AU954">
        <v>-9.9527346511375914</v>
      </c>
      <c r="AV954">
        <v>4.1601163445333501E-4</v>
      </c>
    </row>
    <row r="955" spans="44:48" x14ac:dyDescent="0.2">
      <c r="AR955">
        <v>947</v>
      </c>
      <c r="AS955">
        <v>38</v>
      </c>
      <c r="AT955">
        <v>2</v>
      </c>
      <c r="AU955">
        <v>-9.9217941198202446</v>
      </c>
      <c r="AV955">
        <v>4.2600113417018122E-4</v>
      </c>
    </row>
    <row r="956" spans="44:48" x14ac:dyDescent="0.2">
      <c r="AR956">
        <v>948</v>
      </c>
      <c r="AS956">
        <v>39</v>
      </c>
      <c r="AT956">
        <v>2</v>
      </c>
      <c r="AU956">
        <v>-9.8908535885028979</v>
      </c>
      <c r="AV956">
        <v>4.3620776058595899E-4</v>
      </c>
    </row>
    <row r="957" spans="44:48" x14ac:dyDescent="0.2">
      <c r="AR957">
        <v>949</v>
      </c>
      <c r="AS957">
        <v>40</v>
      </c>
      <c r="AT957">
        <v>2</v>
      </c>
      <c r="AU957">
        <v>-9.8599130571855511</v>
      </c>
      <c r="AV957">
        <v>4.4663563869963964E-4</v>
      </c>
    </row>
    <row r="958" spans="44:48" x14ac:dyDescent="0.2">
      <c r="AR958">
        <v>950</v>
      </c>
      <c r="AS958">
        <v>41</v>
      </c>
      <c r="AT958">
        <v>2</v>
      </c>
      <c r="AU958">
        <v>-9.8289725258682061</v>
      </c>
      <c r="AV958">
        <v>4.5728895720726671E-4</v>
      </c>
    </row>
    <row r="959" spans="44:48" x14ac:dyDescent="0.2">
      <c r="AR959">
        <v>951</v>
      </c>
      <c r="AS959">
        <v>42</v>
      </c>
      <c r="AT959">
        <v>2</v>
      </c>
      <c r="AU959">
        <v>-9.7980319945508594</v>
      </c>
      <c r="AV959">
        <v>4.6817196914061327E-4</v>
      </c>
    </row>
    <row r="960" spans="44:48" x14ac:dyDescent="0.2">
      <c r="AR960">
        <v>952</v>
      </c>
      <c r="AS960">
        <v>43</v>
      </c>
      <c r="AT960">
        <v>2</v>
      </c>
      <c r="AU960">
        <v>-9.7670914632335126</v>
      </c>
      <c r="AV960">
        <v>4.7928899250411017E-4</v>
      </c>
    </row>
    <row r="961" spans="44:48" x14ac:dyDescent="0.2">
      <c r="AR961">
        <v>953</v>
      </c>
      <c r="AS961">
        <v>44</v>
      </c>
      <c r="AT961">
        <v>2</v>
      </c>
      <c r="AU961">
        <v>-9.7361509319161677</v>
      </c>
      <c r="AV961">
        <v>4.9064441090981555E-4</v>
      </c>
    </row>
    <row r="962" spans="44:48" x14ac:dyDescent="0.2">
      <c r="AR962">
        <v>954</v>
      </c>
      <c r="AS962">
        <v>45</v>
      </c>
      <c r="AT962">
        <v>2</v>
      </c>
      <c r="AU962">
        <v>-9.7052104005988209</v>
      </c>
      <c r="AV962">
        <v>5.02242674210169E-4</v>
      </c>
    </row>
    <row r="963" spans="44:48" x14ac:dyDescent="0.2">
      <c r="AR963">
        <v>955</v>
      </c>
      <c r="AS963">
        <v>46</v>
      </c>
      <c r="AT963">
        <v>2</v>
      </c>
      <c r="AU963">
        <v>-9.6742698692814741</v>
      </c>
      <c r="AV963">
        <v>5.1408829912827857E-4</v>
      </c>
    </row>
    <row r="964" spans="44:48" x14ac:dyDescent="0.2">
      <c r="AR964">
        <v>956</v>
      </c>
      <c r="AS964">
        <v>47</v>
      </c>
      <c r="AT964">
        <v>2</v>
      </c>
      <c r="AU964">
        <v>-9.6433293379641274</v>
      </c>
      <c r="AV964">
        <v>5.2618586988548459E-4</v>
      </c>
    </row>
    <row r="965" spans="44:48" x14ac:dyDescent="0.2">
      <c r="AR965">
        <v>957</v>
      </c>
      <c r="AS965">
        <v>48</v>
      </c>
      <c r="AT965">
        <v>2</v>
      </c>
      <c r="AU965">
        <v>-9.6123888066467824</v>
      </c>
      <c r="AV965">
        <v>5.3854003882593835E-4</v>
      </c>
    </row>
    <row r="966" spans="44:48" x14ac:dyDescent="0.2">
      <c r="AR966">
        <v>958</v>
      </c>
      <c r="AS966">
        <v>49</v>
      </c>
      <c r="AT966">
        <v>2</v>
      </c>
      <c r="AU966">
        <v>-9.5814482753294357</v>
      </c>
      <c r="AV966">
        <v>5.5115552703793012E-4</v>
      </c>
    </row>
    <row r="967" spans="44:48" x14ac:dyDescent="0.2">
      <c r="AR967">
        <v>959</v>
      </c>
      <c r="AS967">
        <v>50</v>
      </c>
      <c r="AT967">
        <v>2</v>
      </c>
      <c r="AU967">
        <v>-9.5505077440120889</v>
      </c>
      <c r="AV967">
        <v>5.6403712497167307E-4</v>
      </c>
    </row>
    <row r="968" spans="44:48" x14ac:dyDescent="0.2">
      <c r="AR968">
        <v>960</v>
      </c>
      <c r="AS968">
        <v>51</v>
      </c>
      <c r="AT968">
        <v>2</v>
      </c>
      <c r="AU968">
        <v>-9.5195672126947422</v>
      </c>
      <c r="AV968">
        <v>5.7718969305330038E-4</v>
      </c>
    </row>
    <row r="969" spans="44:48" x14ac:dyDescent="0.2">
      <c r="AR969">
        <v>961</v>
      </c>
      <c r="AS969">
        <v>52</v>
      </c>
      <c r="AT969">
        <v>2</v>
      </c>
      <c r="AU969">
        <v>-9.4886266813773972</v>
      </c>
      <c r="AV969">
        <v>5.9061816229475815E-4</v>
      </c>
    </row>
    <row r="970" spans="44:48" x14ac:dyDescent="0.2">
      <c r="AR970">
        <v>962</v>
      </c>
      <c r="AS970">
        <v>53</v>
      </c>
      <c r="AT970">
        <v>2</v>
      </c>
      <c r="AU970">
        <v>-9.4576861500600504</v>
      </c>
      <c r="AV970">
        <v>6.0432753489933055E-4</v>
      </c>
    </row>
    <row r="971" spans="44:48" x14ac:dyDescent="0.2">
      <c r="AR971">
        <v>963</v>
      </c>
      <c r="AS971">
        <v>54</v>
      </c>
      <c r="AT971">
        <v>2</v>
      </c>
      <c r="AU971">
        <v>-9.4267456187427037</v>
      </c>
      <c r="AV971">
        <v>6.1832288486248009E-4</v>
      </c>
    </row>
    <row r="972" spans="44:48" x14ac:dyDescent="0.2">
      <c r="AR972">
        <v>964</v>
      </c>
      <c r="AS972">
        <v>55</v>
      </c>
      <c r="AT972">
        <v>2</v>
      </c>
      <c r="AU972">
        <v>-9.3958050874253587</v>
      </c>
      <c r="AV972">
        <v>6.3260935856772837E-4</v>
      </c>
    </row>
    <row r="973" spans="44:48" x14ac:dyDescent="0.2">
      <c r="AR973">
        <v>965</v>
      </c>
      <c r="AS973">
        <v>56</v>
      </c>
      <c r="AT973">
        <v>2</v>
      </c>
      <c r="AU973">
        <v>-9.3648645561080119</v>
      </c>
      <c r="AV973">
        <v>6.4719217537725698E-4</v>
      </c>
    </row>
    <row r="974" spans="44:48" x14ac:dyDescent="0.2">
      <c r="AR974">
        <v>966</v>
      </c>
      <c r="AS974">
        <v>57</v>
      </c>
      <c r="AT974">
        <v>2</v>
      </c>
      <c r="AU974">
        <v>-9.3339240247906652</v>
      </c>
      <c r="AV974">
        <v>6.6207662821691864E-4</v>
      </c>
    </row>
    <row r="975" spans="44:48" x14ac:dyDescent="0.2">
      <c r="AR975">
        <v>967</v>
      </c>
      <c r="AS975">
        <v>58</v>
      </c>
      <c r="AT975">
        <v>2</v>
      </c>
      <c r="AU975">
        <v>-9.3029834934733184</v>
      </c>
      <c r="AV975">
        <v>6.7726808415536114E-4</v>
      </c>
    </row>
    <row r="976" spans="44:48" x14ac:dyDescent="0.2">
      <c r="AR976">
        <v>968</v>
      </c>
      <c r="AS976">
        <v>59</v>
      </c>
      <c r="AT976">
        <v>2</v>
      </c>
      <c r="AU976">
        <v>-9.2720429621559735</v>
      </c>
      <c r="AV976">
        <v>6.9277198497692187E-4</v>
      </c>
    </row>
    <row r="977" spans="44:48" x14ac:dyDescent="0.2">
      <c r="AR977">
        <v>969</v>
      </c>
      <c r="AS977">
        <v>60</v>
      </c>
      <c r="AT977">
        <v>2</v>
      </c>
      <c r="AU977">
        <v>-9.2411024308386267</v>
      </c>
      <c r="AV977">
        <v>7.0859384774799754E-4</v>
      </c>
    </row>
    <row r="978" spans="44:48" x14ac:dyDescent="0.2">
      <c r="AR978">
        <v>970</v>
      </c>
      <c r="AS978">
        <v>61</v>
      </c>
      <c r="AT978">
        <v>2</v>
      </c>
      <c r="AU978">
        <v>-9.2101618995212799</v>
      </c>
      <c r="AV978">
        <v>7.2473926537651521E-4</v>
      </c>
    </row>
    <row r="979" spans="44:48" x14ac:dyDescent="0.2">
      <c r="AR979">
        <v>971</v>
      </c>
      <c r="AS979">
        <v>62</v>
      </c>
      <c r="AT979">
        <v>2</v>
      </c>
      <c r="AU979">
        <v>-9.1792213682039332</v>
      </c>
      <c r="AV979">
        <v>7.412139071642258E-4</v>
      </c>
    </row>
    <row r="980" spans="44:48" x14ac:dyDescent="0.2">
      <c r="AR980">
        <v>972</v>
      </c>
      <c r="AS980">
        <v>63</v>
      </c>
      <c r="AT980">
        <v>2</v>
      </c>
      <c r="AU980">
        <v>-9.1482808368865882</v>
      </c>
      <c r="AV980">
        <v>7.5802351935143493E-4</v>
      </c>
    </row>
    <row r="981" spans="44:48" x14ac:dyDescent="0.2">
      <c r="AR981">
        <v>973</v>
      </c>
      <c r="AS981">
        <v>64</v>
      </c>
      <c r="AT981">
        <v>2</v>
      </c>
      <c r="AU981">
        <v>-9.1173403055692415</v>
      </c>
      <c r="AV981">
        <v>7.7517392565385607E-4</v>
      </c>
    </row>
    <row r="982" spans="44:48" x14ac:dyDescent="0.2">
      <c r="AR982">
        <v>974</v>
      </c>
      <c r="AS982">
        <v>65</v>
      </c>
      <c r="AT982">
        <v>2</v>
      </c>
      <c r="AU982">
        <v>-9.0863997742518947</v>
      </c>
      <c r="AV982">
        <v>7.9267102779121497E-4</v>
      </c>
    </row>
    <row r="983" spans="44:48" x14ac:dyDescent="0.2">
      <c r="AR983">
        <v>975</v>
      </c>
      <c r="AS983">
        <v>66</v>
      </c>
      <c r="AT983">
        <v>2</v>
      </c>
      <c r="AU983">
        <v>-9.0554592429345497</v>
      </c>
      <c r="AV983">
        <v>8.1052080600726583E-4</v>
      </c>
    </row>
    <row r="984" spans="44:48" x14ac:dyDescent="0.2">
      <c r="AR984">
        <v>976</v>
      </c>
      <c r="AS984">
        <v>67</v>
      </c>
      <c r="AT984">
        <v>2</v>
      </c>
      <c r="AU984">
        <v>-9.024518711617203</v>
      </c>
      <c r="AV984">
        <v>8.2872931958086432E-4</v>
      </c>
    </row>
    <row r="985" spans="44:48" x14ac:dyDescent="0.2">
      <c r="AR985">
        <v>977</v>
      </c>
      <c r="AS985">
        <v>68</v>
      </c>
      <c r="AT985">
        <v>2</v>
      </c>
      <c r="AU985">
        <v>-8.9935781802998562</v>
      </c>
      <c r="AV985">
        <v>8.4730270732770701E-4</v>
      </c>
    </row>
    <row r="986" spans="44:48" x14ac:dyDescent="0.2">
      <c r="AR986">
        <v>978</v>
      </c>
      <c r="AS986">
        <v>69</v>
      </c>
      <c r="AT986">
        <v>2</v>
      </c>
      <c r="AU986">
        <v>-8.9626376489825095</v>
      </c>
      <c r="AV986">
        <v>8.6624718809240786E-4</v>
      </c>
    </row>
    <row r="987" spans="44:48" x14ac:dyDescent="0.2">
      <c r="AR987">
        <v>979</v>
      </c>
      <c r="AS987">
        <v>70</v>
      </c>
      <c r="AT987">
        <v>2</v>
      </c>
      <c r="AU987">
        <v>-8.9316971176651627</v>
      </c>
      <c r="AV987">
        <v>8.8556906123050309E-4</v>
      </c>
    </row>
    <row r="988" spans="44:48" x14ac:dyDescent="0.2">
      <c r="AR988">
        <v>980</v>
      </c>
      <c r="AS988">
        <v>71</v>
      </c>
      <c r="AT988">
        <v>2</v>
      </c>
      <c r="AU988">
        <v>-8.9007565863478177</v>
      </c>
      <c r="AV988">
        <v>9.0527470708002969E-4</v>
      </c>
    </row>
    <row r="989" spans="44:48" x14ac:dyDescent="0.2">
      <c r="AR989">
        <v>981</v>
      </c>
      <c r="AS989">
        <v>72</v>
      </c>
      <c r="AT989">
        <v>2</v>
      </c>
      <c r="AU989">
        <v>-8.869816055030471</v>
      </c>
      <c r="AV989">
        <v>9.2537058742228422E-4</v>
      </c>
    </row>
    <row r="990" spans="44:48" x14ac:dyDescent="0.2">
      <c r="AR990">
        <v>982</v>
      </c>
      <c r="AS990">
        <v>73</v>
      </c>
      <c r="AT990">
        <v>2</v>
      </c>
      <c r="AU990">
        <v>-8.8388755237131242</v>
      </c>
      <c r="AV990">
        <v>9.4586324593137381E-4</v>
      </c>
    </row>
    <row r="991" spans="44:48" x14ac:dyDescent="0.2">
      <c r="AR991">
        <v>983</v>
      </c>
      <c r="AS991">
        <v>74</v>
      </c>
      <c r="AT991">
        <v>2</v>
      </c>
      <c r="AU991">
        <v>-8.8079349923957793</v>
      </c>
      <c r="AV991">
        <v>9.6675930861217626E-4</v>
      </c>
    </row>
    <row r="992" spans="44:48" x14ac:dyDescent="0.2">
      <c r="AR992">
        <v>984</v>
      </c>
      <c r="AS992">
        <v>75</v>
      </c>
      <c r="AT992">
        <v>2</v>
      </c>
      <c r="AU992">
        <v>-8.7769944610784325</v>
      </c>
      <c r="AV992">
        <v>9.8806548422631204E-4</v>
      </c>
    </row>
    <row r="993" spans="44:48" x14ac:dyDescent="0.2">
      <c r="AR993">
        <v>985</v>
      </c>
      <c r="AS993">
        <v>76</v>
      </c>
      <c r="AT993">
        <v>2</v>
      </c>
      <c r="AU993">
        <v>-8.7460539297610858</v>
      </c>
      <c r="AV993">
        <v>1.0097885647057151E-3</v>
      </c>
    </row>
    <row r="994" spans="44:48" x14ac:dyDescent="0.2">
      <c r="AR994">
        <v>986</v>
      </c>
      <c r="AS994">
        <v>77</v>
      </c>
      <c r="AT994">
        <v>2</v>
      </c>
      <c r="AU994">
        <v>-8.7151133984437408</v>
      </c>
      <c r="AV994">
        <v>1.0319354255534101E-3</v>
      </c>
    </row>
    <row r="995" spans="44:48" x14ac:dyDescent="0.2">
      <c r="AR995">
        <v>987</v>
      </c>
      <c r="AS995">
        <v>78</v>
      </c>
      <c r="AT995">
        <v>2</v>
      </c>
      <c r="AU995">
        <v>-8.684172867126394</v>
      </c>
      <c r="AV995">
        <v>1.0545130262310945E-3</v>
      </c>
    </row>
    <row r="996" spans="44:48" x14ac:dyDescent="0.2">
      <c r="AR996">
        <v>988</v>
      </c>
      <c r="AS996">
        <v>79</v>
      </c>
      <c r="AT996">
        <v>2</v>
      </c>
      <c r="AU996">
        <v>-8.6532323358090473</v>
      </c>
      <c r="AV996">
        <v>1.0775284105330844E-3</v>
      </c>
    </row>
    <row r="997" spans="44:48" x14ac:dyDescent="0.2">
      <c r="AR997">
        <v>989</v>
      </c>
      <c r="AS997">
        <v>80</v>
      </c>
      <c r="AT997">
        <v>2</v>
      </c>
      <c r="AU997">
        <v>-8.6222918044917005</v>
      </c>
      <c r="AV997">
        <v>1.1009887069462431E-3</v>
      </c>
    </row>
    <row r="998" spans="44:48" x14ac:dyDescent="0.2">
      <c r="AR998">
        <v>990</v>
      </c>
      <c r="AS998">
        <v>81</v>
      </c>
      <c r="AT998">
        <v>2</v>
      </c>
      <c r="AU998">
        <v>-8.5913512731743538</v>
      </c>
      <c r="AV998">
        <v>1.124901128995441E-3</v>
      </c>
    </row>
    <row r="999" spans="44:48" x14ac:dyDescent="0.2">
      <c r="AR999">
        <v>991</v>
      </c>
      <c r="AS999">
        <v>82</v>
      </c>
      <c r="AT999">
        <v>2</v>
      </c>
      <c r="AU999">
        <v>-8.5604107418570088</v>
      </c>
      <c r="AV999">
        <v>1.1492729755741464E-3</v>
      </c>
    </row>
    <row r="1000" spans="44:48" x14ac:dyDescent="0.2">
      <c r="AR1000">
        <v>992</v>
      </c>
      <c r="AS1000">
        <v>83</v>
      </c>
      <c r="AT1000">
        <v>2</v>
      </c>
      <c r="AU1000">
        <v>-8.529470210539662</v>
      </c>
      <c r="AV1000">
        <v>1.1741116312596965E-3</v>
      </c>
    </row>
    <row r="1001" spans="44:48" x14ac:dyDescent="0.2">
      <c r="AR1001">
        <v>993</v>
      </c>
      <c r="AS1001">
        <v>84</v>
      </c>
      <c r="AT1001">
        <v>2</v>
      </c>
      <c r="AU1001">
        <v>-8.4985296792223153</v>
      </c>
      <c r="AV1001">
        <v>1.1994245666128269E-3</v>
      </c>
    </row>
    <row r="1002" spans="44:48" x14ac:dyDescent="0.2">
      <c r="AR1002">
        <v>994</v>
      </c>
      <c r="AS1002">
        <v>85</v>
      </c>
      <c r="AT1002">
        <v>2</v>
      </c>
      <c r="AU1002">
        <v>-8.4675891479049703</v>
      </c>
      <c r="AV1002">
        <v>1.2252193384610349E-3</v>
      </c>
    </row>
    <row r="1003" spans="44:48" x14ac:dyDescent="0.2">
      <c r="AR1003">
        <v>995</v>
      </c>
      <c r="AS1003">
        <v>86</v>
      </c>
      <c r="AT1003">
        <v>2</v>
      </c>
      <c r="AU1003">
        <v>-8.4366486165876236</v>
      </c>
      <c r="AV1003">
        <v>1.2515035901653213E-3</v>
      </c>
    </row>
    <row r="1004" spans="44:48" x14ac:dyDescent="0.2">
      <c r="AR1004">
        <v>996</v>
      </c>
      <c r="AS1004">
        <v>87</v>
      </c>
      <c r="AT1004">
        <v>2</v>
      </c>
      <c r="AU1004">
        <v>-8.4057080852702768</v>
      </c>
      <c r="AV1004">
        <v>1.2782850518698679E-3</v>
      </c>
    </row>
    <row r="1005" spans="44:48" x14ac:dyDescent="0.2">
      <c r="AR1005">
        <v>997</v>
      </c>
      <c r="AS1005">
        <v>88</v>
      </c>
      <c r="AT1005">
        <v>2</v>
      </c>
      <c r="AU1005">
        <v>-8.3747675539529318</v>
      </c>
      <c r="AV1005">
        <v>1.3055715407342102E-3</v>
      </c>
    </row>
    <row r="1006" spans="44:48" x14ac:dyDescent="0.2">
      <c r="AR1006">
        <v>998</v>
      </c>
      <c r="AS1006">
        <v>89</v>
      </c>
      <c r="AT1006">
        <v>2</v>
      </c>
      <c r="AU1006">
        <v>-8.3438270226355851</v>
      </c>
      <c r="AV1006">
        <v>1.3333709611474738E-3</v>
      </c>
    </row>
    <row r="1007" spans="44:48" x14ac:dyDescent="0.2">
      <c r="AR1007">
        <v>999</v>
      </c>
      <c r="AS1007">
        <v>90</v>
      </c>
      <c r="AT1007">
        <v>2</v>
      </c>
      <c r="AU1007">
        <v>-8.3128864913182383</v>
      </c>
      <c r="AV1007">
        <v>1.3616913049241757E-3</v>
      </c>
    </row>
    <row r="1008" spans="44:48" x14ac:dyDescent="0.2">
      <c r="AR1008">
        <v>1000</v>
      </c>
      <c r="AS1008">
        <v>91</v>
      </c>
      <c r="AT1008">
        <v>2</v>
      </c>
      <c r="AU1008">
        <v>-8.2819459600008916</v>
      </c>
      <c r="AV1008">
        <v>1.3905406514811928E-3</v>
      </c>
    </row>
    <row r="1009" spans="44:48" x14ac:dyDescent="0.2">
      <c r="AR1009">
        <v>1001</v>
      </c>
      <c r="AS1009">
        <v>92</v>
      </c>
      <c r="AT1009">
        <v>2</v>
      </c>
      <c r="AU1009">
        <v>-8.2510054286835448</v>
      </c>
      <c r="AV1009">
        <v>1.4199271679953985E-3</v>
      </c>
    </row>
    <row r="1010" spans="44:48" x14ac:dyDescent="0.2">
      <c r="AR1010">
        <v>1002</v>
      </c>
      <c r="AS1010">
        <v>93</v>
      </c>
      <c r="AT1010">
        <v>2</v>
      </c>
      <c r="AU1010">
        <v>-8.2200648973661998</v>
      </c>
      <c r="AV1010">
        <v>1.4498591095415221E-3</v>
      </c>
    </row>
    <row r="1011" spans="44:48" x14ac:dyDescent="0.2">
      <c r="AR1011">
        <v>1003</v>
      </c>
      <c r="AS1011">
        <v>94</v>
      </c>
      <c r="AT1011">
        <v>2</v>
      </c>
      <c r="AU1011">
        <v>-8.1891243660488531</v>
      </c>
      <c r="AV1011">
        <v>1.4803448192097755E-3</v>
      </c>
    </row>
    <row r="1012" spans="44:48" x14ac:dyDescent="0.2">
      <c r="AR1012">
        <v>1004</v>
      </c>
      <c r="AS1012">
        <v>95</v>
      </c>
      <c r="AT1012">
        <v>2</v>
      </c>
      <c r="AU1012">
        <v>-8.1581838347315063</v>
      </c>
      <c r="AV1012">
        <v>1.5113927282027551E-3</v>
      </c>
    </row>
    <row r="1013" spans="44:48" x14ac:dyDescent="0.2">
      <c r="AR1013">
        <v>1005</v>
      </c>
      <c r="AS1013">
        <v>96</v>
      </c>
      <c r="AT1013">
        <v>2</v>
      </c>
      <c r="AU1013">
        <v>-8.1272433034141613</v>
      </c>
      <c r="AV1013">
        <v>1.5430113559111969E-3</v>
      </c>
    </row>
    <row r="1014" spans="44:48" x14ac:dyDescent="0.2">
      <c r="AR1014">
        <v>1006</v>
      </c>
      <c r="AS1014">
        <v>97</v>
      </c>
      <c r="AT1014">
        <v>2</v>
      </c>
      <c r="AU1014">
        <v>-8.0963027720968146</v>
      </c>
      <c r="AV1014">
        <v>1.5752093099680763E-3</v>
      </c>
    </row>
    <row r="1015" spans="44:48" x14ac:dyDescent="0.2">
      <c r="AR1015">
        <v>1007</v>
      </c>
      <c r="AS1015">
        <v>98</v>
      </c>
      <c r="AT1015">
        <v>2</v>
      </c>
      <c r="AU1015">
        <v>-8.0653622407794678</v>
      </c>
      <c r="AV1015">
        <v>1.6079952862805909E-3</v>
      </c>
    </row>
    <row r="1016" spans="44:48" x14ac:dyDescent="0.2">
      <c r="AR1016">
        <v>1008</v>
      </c>
      <c r="AS1016">
        <v>99</v>
      </c>
      <c r="AT1016">
        <v>2</v>
      </c>
      <c r="AU1016">
        <v>-8.0344217094621229</v>
      </c>
      <c r="AV1016">
        <v>1.6413780690395605E-3</v>
      </c>
    </row>
    <row r="1017" spans="44:48" x14ac:dyDescent="0.2">
      <c r="AR1017">
        <v>1009</v>
      </c>
      <c r="AS1017">
        <v>100</v>
      </c>
      <c r="AT1017">
        <v>2</v>
      </c>
      <c r="AU1017">
        <v>-8.0034811781447761</v>
      </c>
      <c r="AV1017">
        <v>1.675366530705784E-3</v>
      </c>
    </row>
    <row r="1018" spans="44:48" x14ac:dyDescent="0.2">
      <c r="AR1018">
        <v>1010</v>
      </c>
      <c r="AS1018">
        <v>101</v>
      </c>
      <c r="AT1018">
        <v>2</v>
      </c>
      <c r="AU1018">
        <v>-7.9725406468274294</v>
      </c>
      <c r="AV1018">
        <v>1.7099696319728287E-3</v>
      </c>
    </row>
    <row r="1019" spans="44:48" x14ac:dyDescent="0.2">
      <c r="AR1019">
        <v>1011</v>
      </c>
      <c r="AS1019">
        <v>102</v>
      </c>
      <c r="AT1019">
        <v>2</v>
      </c>
      <c r="AU1019">
        <v>-7.9416001155100826</v>
      </c>
      <c r="AV1019">
        <v>1.7451964217058333E-3</v>
      </c>
    </row>
    <row r="1020" spans="44:48" x14ac:dyDescent="0.2">
      <c r="AR1020">
        <v>1012</v>
      </c>
      <c r="AS1020">
        <v>103</v>
      </c>
      <c r="AT1020">
        <v>2</v>
      </c>
      <c r="AU1020">
        <v>-7.9106595841927367</v>
      </c>
      <c r="AV1020">
        <v>1.7810560368558227E-3</v>
      </c>
    </row>
    <row r="1021" spans="44:48" x14ac:dyDescent="0.2">
      <c r="AR1021">
        <v>1013</v>
      </c>
      <c r="AS1021">
        <v>104</v>
      </c>
      <c r="AT1021">
        <v>2</v>
      </c>
      <c r="AU1021">
        <v>-7.8797190528753909</v>
      </c>
      <c r="AV1021">
        <v>1.8175577023490273E-3</v>
      </c>
    </row>
    <row r="1022" spans="44:48" x14ac:dyDescent="0.2">
      <c r="AR1022">
        <v>1014</v>
      </c>
      <c r="AS1022">
        <v>105</v>
      </c>
      <c r="AT1022">
        <v>2</v>
      </c>
      <c r="AU1022">
        <v>-7.8487785215580441</v>
      </c>
      <c r="AV1022">
        <v>1.854710730950785E-3</v>
      </c>
    </row>
    <row r="1023" spans="44:48" x14ac:dyDescent="0.2">
      <c r="AR1023">
        <v>1015</v>
      </c>
      <c r="AS1023">
        <v>106</v>
      </c>
      <c r="AT1023">
        <v>2</v>
      </c>
      <c r="AU1023">
        <v>-7.8178379902406974</v>
      </c>
      <c r="AV1023">
        <v>1.8925245231034933E-3</v>
      </c>
    </row>
    <row r="1024" spans="44:48" x14ac:dyDescent="0.2">
      <c r="AR1024">
        <v>1016</v>
      </c>
      <c r="AS1024">
        <v>107</v>
      </c>
      <c r="AT1024">
        <v>2</v>
      </c>
      <c r="AU1024">
        <v>-7.7868974589233515</v>
      </c>
      <c r="AV1024">
        <v>1.9310085667381617E-3</v>
      </c>
    </row>
    <row r="1025" spans="44:48" x14ac:dyDescent="0.2">
      <c r="AR1025">
        <v>1017</v>
      </c>
      <c r="AS1025">
        <v>108</v>
      </c>
      <c r="AT1025">
        <v>2</v>
      </c>
      <c r="AU1025">
        <v>-7.7559569276060056</v>
      </c>
      <c r="AV1025">
        <v>1.9701724370590826E-3</v>
      </c>
    </row>
    <row r="1026" spans="44:48" x14ac:dyDescent="0.2">
      <c r="AR1026">
        <v>1018</v>
      </c>
      <c r="AS1026">
        <v>109</v>
      </c>
      <c r="AT1026">
        <v>2</v>
      </c>
      <c r="AU1026">
        <v>-7.7250163962886589</v>
      </c>
      <c r="AV1026">
        <v>2.0100257963011231E-3</v>
      </c>
    </row>
    <row r="1027" spans="44:48" x14ac:dyDescent="0.2">
      <c r="AR1027">
        <v>1019</v>
      </c>
      <c r="AS1027">
        <v>110</v>
      </c>
      <c r="AT1027">
        <v>2</v>
      </c>
      <c r="AU1027">
        <v>-7.694075864971313</v>
      </c>
      <c r="AV1027">
        <v>2.0505783934591619E-3</v>
      </c>
    </row>
    <row r="1028" spans="44:48" x14ac:dyDescent="0.2">
      <c r="AR1028">
        <v>1020</v>
      </c>
      <c r="AS1028">
        <v>111</v>
      </c>
      <c r="AT1028">
        <v>2</v>
      </c>
      <c r="AU1028">
        <v>-7.6631353336539672</v>
      </c>
      <c r="AV1028">
        <v>2.0918400639892277E-3</v>
      </c>
    </row>
    <row r="1029" spans="44:48" x14ac:dyDescent="0.2">
      <c r="AR1029">
        <v>1021</v>
      </c>
      <c r="AS1029">
        <v>112</v>
      </c>
      <c r="AT1029">
        <v>2</v>
      </c>
      <c r="AU1029">
        <v>-7.6321948023366204</v>
      </c>
      <c r="AV1029">
        <v>2.1338207294807933E-3</v>
      </c>
    </row>
    <row r="1030" spans="44:48" x14ac:dyDescent="0.2">
      <c r="AR1030">
        <v>1022</v>
      </c>
      <c r="AS1030">
        <v>113</v>
      </c>
      <c r="AT1030">
        <v>2</v>
      </c>
      <c r="AU1030">
        <v>-7.6012542710192736</v>
      </c>
      <c r="AV1030">
        <v>2.1765303972998114E-3</v>
      </c>
    </row>
    <row r="1031" spans="44:48" x14ac:dyDescent="0.2">
      <c r="AR1031">
        <v>1023</v>
      </c>
      <c r="AS1031">
        <v>114</v>
      </c>
      <c r="AT1031">
        <v>2</v>
      </c>
      <c r="AU1031">
        <v>-7.5703137397019278</v>
      </c>
      <c r="AV1031">
        <v>2.2199791602019953E-3</v>
      </c>
    </row>
    <row r="1032" spans="44:48" x14ac:dyDescent="0.2">
      <c r="AR1032">
        <v>1024</v>
      </c>
      <c r="AS1032">
        <v>115</v>
      </c>
      <c r="AT1032">
        <v>2</v>
      </c>
      <c r="AU1032">
        <v>-7.5393732083845819</v>
      </c>
      <c r="AV1032">
        <v>2.264177195915827E-3</v>
      </c>
    </row>
    <row r="1033" spans="44:48" x14ac:dyDescent="0.2">
      <c r="AR1033">
        <v>1025</v>
      </c>
      <c r="AS1033">
        <v>116</v>
      </c>
      <c r="AT1033">
        <v>2</v>
      </c>
      <c r="AU1033">
        <v>-7.5084326770672352</v>
      </c>
      <c r="AV1033">
        <v>2.3091347666949098E-3</v>
      </c>
    </row>
    <row r="1034" spans="44:48" x14ac:dyDescent="0.2">
      <c r="AR1034">
        <v>1026</v>
      </c>
      <c r="AS1034">
        <v>117</v>
      </c>
      <c r="AT1034">
        <v>2</v>
      </c>
      <c r="AU1034">
        <v>-7.4774921457498884</v>
      </c>
      <c r="AV1034">
        <v>2.3548622188390936E-3</v>
      </c>
    </row>
    <row r="1035" spans="44:48" x14ac:dyDescent="0.2">
      <c r="AR1035">
        <v>1027</v>
      </c>
      <c r="AS1035">
        <v>118</v>
      </c>
      <c r="AT1035">
        <v>2</v>
      </c>
      <c r="AU1035">
        <v>-7.4465516144325425</v>
      </c>
      <c r="AV1035">
        <v>2.4013699821839722E-3</v>
      </c>
    </row>
    <row r="1036" spans="44:48" x14ac:dyDescent="0.2">
      <c r="AR1036">
        <v>1028</v>
      </c>
      <c r="AS1036">
        <v>119</v>
      </c>
      <c r="AT1036">
        <v>2</v>
      </c>
      <c r="AU1036">
        <v>-7.4156110831151967</v>
      </c>
      <c r="AV1036">
        <v>2.448668569558271E-3</v>
      </c>
    </row>
    <row r="1037" spans="44:48" x14ac:dyDescent="0.2">
      <c r="AR1037">
        <v>1029</v>
      </c>
      <c r="AS1037">
        <v>120</v>
      </c>
      <c r="AT1037">
        <v>2</v>
      </c>
      <c r="AU1037">
        <v>-7.3846705517978499</v>
      </c>
      <c r="AV1037">
        <v>2.4967685762086393E-3</v>
      </c>
    </row>
    <row r="1038" spans="44:48" x14ac:dyDescent="0.2">
      <c r="AR1038">
        <v>1030</v>
      </c>
      <c r="AS1038">
        <v>121</v>
      </c>
      <c r="AT1038">
        <v>2</v>
      </c>
      <c r="AU1038">
        <v>-7.3537300204805032</v>
      </c>
      <c r="AV1038">
        <v>2.5456806791913944E-3</v>
      </c>
    </row>
    <row r="1039" spans="44:48" x14ac:dyDescent="0.2">
      <c r="AR1039">
        <v>1031</v>
      </c>
      <c r="AS1039">
        <v>122</v>
      </c>
      <c r="AT1039">
        <v>2</v>
      </c>
      <c r="AU1039">
        <v>-7.3227894891631573</v>
      </c>
      <c r="AV1039">
        <v>2.5954156367307842E-3</v>
      </c>
    </row>
    <row r="1040" spans="44:48" x14ac:dyDescent="0.2">
      <c r="AR1040">
        <v>1032</v>
      </c>
      <c r="AS1040">
        <v>123</v>
      </c>
      <c r="AT1040">
        <v>2</v>
      </c>
      <c r="AU1040">
        <v>-7.2918489578458114</v>
      </c>
      <c r="AV1040">
        <v>2.6459842875432749E-3</v>
      </c>
    </row>
    <row r="1041" spans="44:48" x14ac:dyDescent="0.2">
      <c r="AR1041">
        <v>1033</v>
      </c>
      <c r="AS1041">
        <v>124</v>
      </c>
      <c r="AT1041">
        <v>2</v>
      </c>
      <c r="AU1041">
        <v>-7.2609084265284647</v>
      </c>
      <c r="AV1041">
        <v>2.697397550127446E-3</v>
      </c>
    </row>
    <row r="1042" spans="44:48" x14ac:dyDescent="0.2">
      <c r="AR1042">
        <v>1034</v>
      </c>
      <c r="AS1042">
        <v>125</v>
      </c>
      <c r="AT1042">
        <v>2</v>
      </c>
      <c r="AU1042">
        <v>-7.2299678952111188</v>
      </c>
      <c r="AV1042">
        <v>2.7496664220190118E-3</v>
      </c>
    </row>
    <row r="1043" spans="44:48" x14ac:dyDescent="0.2">
      <c r="AR1043">
        <v>1035</v>
      </c>
      <c r="AS1043">
        <v>126</v>
      </c>
      <c r="AT1043">
        <v>2</v>
      </c>
      <c r="AU1043">
        <v>-7.199027363893773</v>
      </c>
      <c r="AV1043">
        <v>2.8028019790105442E-3</v>
      </c>
    </row>
    <row r="1044" spans="44:48" x14ac:dyDescent="0.2">
      <c r="AR1044">
        <v>1036</v>
      </c>
      <c r="AS1044">
        <v>127</v>
      </c>
      <c r="AT1044">
        <v>2</v>
      </c>
      <c r="AU1044">
        <v>-7.1680868325764262</v>
      </c>
      <c r="AV1044">
        <v>2.8568153743354771E-3</v>
      </c>
    </row>
    <row r="1045" spans="44:48" x14ac:dyDescent="0.2">
      <c r="AR1045">
        <v>1037</v>
      </c>
      <c r="AS1045">
        <v>128</v>
      </c>
      <c r="AT1045">
        <v>2</v>
      </c>
      <c r="AU1045">
        <v>-7.1371463012590795</v>
      </c>
      <c r="AV1045">
        <v>2.9117178378159038E-3</v>
      </c>
    </row>
    <row r="1046" spans="44:48" x14ac:dyDescent="0.2">
      <c r="AR1046">
        <v>1038</v>
      </c>
      <c r="AS1046">
        <v>129</v>
      </c>
      <c r="AT1046">
        <v>2</v>
      </c>
      <c r="AU1046">
        <v>-7.1062057699417336</v>
      </c>
      <c r="AV1046">
        <v>2.9675206749737904E-3</v>
      </c>
    </row>
    <row r="1047" spans="44:48" x14ac:dyDescent="0.2">
      <c r="AR1047">
        <v>1039</v>
      </c>
      <c r="AS1047">
        <v>130</v>
      </c>
      <c r="AT1047">
        <v>2</v>
      </c>
      <c r="AU1047">
        <v>-7.0752652386243877</v>
      </c>
      <c r="AV1047">
        <v>3.0242352661051649E-3</v>
      </c>
    </row>
    <row r="1048" spans="44:48" x14ac:dyDescent="0.2">
      <c r="AR1048">
        <v>1040</v>
      </c>
      <c r="AS1048">
        <v>131</v>
      </c>
      <c r="AT1048">
        <v>2</v>
      </c>
      <c r="AU1048">
        <v>-7.044324707307041</v>
      </c>
      <c r="AV1048">
        <v>3.0818730653168398E-3</v>
      </c>
    </row>
    <row r="1049" spans="44:48" x14ac:dyDescent="0.2">
      <c r="AR1049">
        <v>1041</v>
      </c>
      <c r="AS1049">
        <v>132</v>
      </c>
      <c r="AT1049">
        <v>2</v>
      </c>
      <c r="AU1049">
        <v>-7.0133841759896951</v>
      </c>
      <c r="AV1049">
        <v>3.1404455995252757E-3</v>
      </c>
    </row>
    <row r="1050" spans="44:48" x14ac:dyDescent="0.2">
      <c r="AR1050">
        <v>1042</v>
      </c>
      <c r="AS1050">
        <v>133</v>
      </c>
      <c r="AT1050">
        <v>2</v>
      </c>
      <c r="AU1050">
        <v>-6.9824436446723483</v>
      </c>
      <c r="AV1050">
        <v>3.1999644674171996E-3</v>
      </c>
    </row>
    <row r="1051" spans="44:48" x14ac:dyDescent="0.2">
      <c r="AR1051">
        <v>1043</v>
      </c>
      <c r="AS1051">
        <v>134</v>
      </c>
      <c r="AT1051">
        <v>2</v>
      </c>
      <c r="AU1051">
        <v>-6.9515031133550025</v>
      </c>
      <c r="AV1051">
        <v>3.2604413383715025E-3</v>
      </c>
    </row>
    <row r="1052" spans="44:48" x14ac:dyDescent="0.2">
      <c r="AR1052">
        <v>1044</v>
      </c>
      <c r="AS1052">
        <v>135</v>
      </c>
      <c r="AT1052">
        <v>2</v>
      </c>
      <c r="AU1052">
        <v>-6.9205625820376557</v>
      </c>
      <c r="AV1052">
        <v>3.3218879513421447E-3</v>
      </c>
    </row>
    <row r="1053" spans="44:48" x14ac:dyDescent="0.2">
      <c r="AR1053">
        <v>1045</v>
      </c>
      <c r="AS1053">
        <v>136</v>
      </c>
      <c r="AT1053">
        <v>2</v>
      </c>
      <c r="AU1053">
        <v>-6.8896220507203099</v>
      </c>
      <c r="AV1053">
        <v>3.3843161137015409E-3</v>
      </c>
    </row>
    <row r="1054" spans="44:48" x14ac:dyDescent="0.2">
      <c r="AR1054">
        <v>1046</v>
      </c>
      <c r="AS1054">
        <v>137</v>
      </c>
      <c r="AT1054">
        <v>2</v>
      </c>
      <c r="AU1054">
        <v>-6.8586815194029631</v>
      </c>
      <c r="AV1054">
        <v>3.4477377000441357E-3</v>
      </c>
    </row>
    <row r="1055" spans="44:48" x14ac:dyDescent="0.2">
      <c r="AR1055">
        <v>1047</v>
      </c>
      <c r="AS1055">
        <v>138</v>
      </c>
      <c r="AT1055">
        <v>2</v>
      </c>
      <c r="AU1055">
        <v>-6.8277409880856172</v>
      </c>
      <c r="AV1055">
        <v>3.5121646509498053E-3</v>
      </c>
    </row>
    <row r="1056" spans="44:48" x14ac:dyDescent="0.2">
      <c r="AR1056">
        <v>1048</v>
      </c>
      <c r="AS1056">
        <v>139</v>
      </c>
      <c r="AT1056">
        <v>2</v>
      </c>
      <c r="AU1056">
        <v>-6.7968004567682705</v>
      </c>
      <c r="AV1056">
        <v>3.57760897170663E-3</v>
      </c>
    </row>
    <row r="1057" spans="44:48" x14ac:dyDescent="0.2">
      <c r="AR1057">
        <v>1049</v>
      </c>
      <c r="AS1057">
        <v>140</v>
      </c>
      <c r="AT1057">
        <v>2</v>
      </c>
      <c r="AU1057">
        <v>-6.7658599254509246</v>
      </c>
      <c r="AV1057">
        <v>3.6440827309927775E-3</v>
      </c>
    </row>
    <row r="1058" spans="44:48" x14ac:dyDescent="0.2">
      <c r="AR1058">
        <v>1050</v>
      </c>
      <c r="AS1058">
        <v>141</v>
      </c>
      <c r="AT1058">
        <v>2</v>
      </c>
      <c r="AU1058">
        <v>-6.7349193941335779</v>
      </c>
      <c r="AV1058">
        <v>3.7115980595171351E-3</v>
      </c>
    </row>
    <row r="1059" spans="44:48" x14ac:dyDescent="0.2">
      <c r="AR1059">
        <v>1051</v>
      </c>
      <c r="AS1059">
        <v>142</v>
      </c>
      <c r="AT1059">
        <v>2</v>
      </c>
      <c r="AU1059">
        <v>-6.703978862816232</v>
      </c>
      <c r="AV1059">
        <v>3.7801671486182259E-3</v>
      </c>
    </row>
    <row r="1060" spans="44:48" x14ac:dyDescent="0.2">
      <c r="AR1060">
        <v>1052</v>
      </c>
      <c r="AS1060">
        <v>143</v>
      </c>
      <c r="AT1060">
        <v>2</v>
      </c>
      <c r="AU1060">
        <v>-6.6730383314988861</v>
      </c>
      <c r="AV1060">
        <v>3.8498022488213106E-3</v>
      </c>
    </row>
    <row r="1061" spans="44:48" x14ac:dyDescent="0.2">
      <c r="AR1061">
        <v>1053</v>
      </c>
      <c r="AS1061">
        <v>144</v>
      </c>
      <c r="AT1061">
        <v>2</v>
      </c>
      <c r="AU1061">
        <v>-6.6420978001815394</v>
      </c>
      <c r="AV1061">
        <v>3.9205156683531327E-3</v>
      </c>
    </row>
    <row r="1062" spans="44:48" x14ac:dyDescent="0.2">
      <c r="AR1062">
        <v>1054</v>
      </c>
      <c r="AS1062">
        <v>145</v>
      </c>
      <c r="AT1062">
        <v>2</v>
      </c>
      <c r="AU1062">
        <v>-6.6111572688641935</v>
      </c>
      <c r="AV1062">
        <v>3.9923197716140706E-3</v>
      </c>
    </row>
    <row r="1063" spans="44:48" x14ac:dyDescent="0.2">
      <c r="AR1063">
        <v>1055</v>
      </c>
      <c r="AS1063">
        <v>146</v>
      </c>
      <c r="AT1063">
        <v>2</v>
      </c>
      <c r="AU1063">
        <v>-6.5802167375468468</v>
      </c>
      <c r="AV1063">
        <v>4.0652269776075079E-3</v>
      </c>
    </row>
    <row r="1064" spans="44:48" x14ac:dyDescent="0.2">
      <c r="AR1064">
        <v>1056</v>
      </c>
      <c r="AS1064">
        <v>147</v>
      </c>
      <c r="AT1064">
        <v>2</v>
      </c>
      <c r="AU1064">
        <v>-6.5492762062295009</v>
      </c>
      <c r="AV1064">
        <v>4.1392497583259162E-3</v>
      </c>
    </row>
    <row r="1065" spans="44:48" x14ac:dyDescent="0.2">
      <c r="AR1065">
        <v>1057</v>
      </c>
      <c r="AS1065">
        <v>148</v>
      </c>
      <c r="AT1065">
        <v>2</v>
      </c>
      <c r="AU1065">
        <v>-6.5183356749121542</v>
      </c>
      <c r="AV1065">
        <v>4.2144006370935403E-3</v>
      </c>
    </row>
    <row r="1066" spans="44:48" x14ac:dyDescent="0.2">
      <c r="AR1066">
        <v>1058</v>
      </c>
      <c r="AS1066">
        <v>149</v>
      </c>
      <c r="AT1066">
        <v>2</v>
      </c>
      <c r="AU1066">
        <v>-6.4873951435948083</v>
      </c>
      <c r="AV1066">
        <v>4.2906921868653648E-3</v>
      </c>
    </row>
    <row r="1067" spans="44:48" x14ac:dyDescent="0.2">
      <c r="AR1067">
        <v>1059</v>
      </c>
      <c r="AS1067">
        <v>150</v>
      </c>
      <c r="AT1067">
        <v>2</v>
      </c>
      <c r="AU1067">
        <v>-6.4564546122774615</v>
      </c>
      <c r="AV1067">
        <v>4.3681370284820572E-3</v>
      </c>
    </row>
    <row r="1068" spans="44:48" x14ac:dyDescent="0.2">
      <c r="AR1068">
        <v>1060</v>
      </c>
      <c r="AS1068">
        <v>151</v>
      </c>
      <c r="AT1068">
        <v>2</v>
      </c>
      <c r="AU1068">
        <v>-6.4255140809601157</v>
      </c>
      <c r="AV1068">
        <v>4.4467478288807046E-3</v>
      </c>
    </row>
    <row r="1069" spans="44:48" x14ac:dyDescent="0.2">
      <c r="AR1069">
        <v>1061</v>
      </c>
      <c r="AS1069">
        <v>152</v>
      </c>
      <c r="AT1069">
        <v>2</v>
      </c>
      <c r="AU1069">
        <v>-6.3945735496427689</v>
      </c>
      <c r="AV1069">
        <v>4.5265372992611139E-3</v>
      </c>
    </row>
    <row r="1070" spans="44:48" x14ac:dyDescent="0.2">
      <c r="AR1070">
        <v>1062</v>
      </c>
      <c r="AS1070">
        <v>153</v>
      </c>
      <c r="AT1070">
        <v>2</v>
      </c>
      <c r="AU1070">
        <v>-6.3636330183254231</v>
      </c>
      <c r="AV1070">
        <v>4.6075181932073092E-3</v>
      </c>
    </row>
    <row r="1071" spans="44:48" x14ac:dyDescent="0.2">
      <c r="AR1071">
        <v>1063</v>
      </c>
      <c r="AS1071">
        <v>154</v>
      </c>
      <c r="AT1071">
        <v>2</v>
      </c>
      <c r="AU1071">
        <v>-6.3326924870080763</v>
      </c>
      <c r="AV1071">
        <v>4.6897033047642823E-3</v>
      </c>
    </row>
    <row r="1072" spans="44:48" x14ac:dyDescent="0.2">
      <c r="AR1072">
        <v>1064</v>
      </c>
      <c r="AS1072">
        <v>155</v>
      </c>
      <c r="AT1072">
        <v>2</v>
      </c>
      <c r="AU1072">
        <v>-6.3017519556907304</v>
      </c>
      <c r="AV1072">
        <v>4.7731054664695016E-3</v>
      </c>
    </row>
    <row r="1073" spans="44:48" x14ac:dyDescent="0.2">
      <c r="AR1073">
        <v>1065</v>
      </c>
      <c r="AS1073">
        <v>156</v>
      </c>
      <c r="AT1073">
        <v>2</v>
      </c>
      <c r="AU1073">
        <v>-6.2708114243733846</v>
      </c>
      <c r="AV1073">
        <v>4.8577375473392113E-3</v>
      </c>
    </row>
    <row r="1074" spans="44:48" x14ac:dyDescent="0.2">
      <c r="AR1074">
        <v>1066</v>
      </c>
      <c r="AS1074">
        <v>157</v>
      </c>
      <c r="AT1074">
        <v>2</v>
      </c>
      <c r="AU1074">
        <v>-6.2398708930560378</v>
      </c>
      <c r="AV1074">
        <v>4.9436124508092615E-3</v>
      </c>
    </row>
    <row r="1075" spans="44:48" x14ac:dyDescent="0.2">
      <c r="AR1075">
        <v>1067</v>
      </c>
      <c r="AS1075">
        <v>158</v>
      </c>
      <c r="AT1075">
        <v>2</v>
      </c>
      <c r="AU1075">
        <v>-6.2089303617386919</v>
      </c>
      <c r="AV1075">
        <v>5.0307431126302956E-3</v>
      </c>
    </row>
    <row r="1076" spans="44:48" x14ac:dyDescent="0.2">
      <c r="AR1076">
        <v>1068</v>
      </c>
      <c r="AS1076">
        <v>159</v>
      </c>
      <c r="AT1076">
        <v>2</v>
      </c>
      <c r="AU1076">
        <v>-6.1779898304213452</v>
      </c>
      <c r="AV1076">
        <v>5.1191424987171788E-3</v>
      </c>
    </row>
    <row r="1077" spans="44:48" x14ac:dyDescent="0.2">
      <c r="AR1077">
        <v>1069</v>
      </c>
      <c r="AS1077">
        <v>160</v>
      </c>
      <c r="AT1077">
        <v>2</v>
      </c>
      <c r="AU1077">
        <v>-6.1470492991039993</v>
      </c>
      <c r="AV1077">
        <v>5.2088236029525729E-3</v>
      </c>
    </row>
    <row r="1078" spans="44:48" x14ac:dyDescent="0.2">
      <c r="AR1078">
        <v>1070</v>
      </c>
      <c r="AS1078">
        <v>161</v>
      </c>
      <c r="AT1078">
        <v>2</v>
      </c>
      <c r="AU1078">
        <v>-6.1161087677866526</v>
      </c>
      <c r="AV1078">
        <v>5.2997994449444389E-3</v>
      </c>
    </row>
    <row r="1079" spans="44:48" x14ac:dyDescent="0.2">
      <c r="AR1079">
        <v>1071</v>
      </c>
      <c r="AS1079">
        <v>162</v>
      </c>
      <c r="AT1079">
        <v>2</v>
      </c>
      <c r="AU1079">
        <v>-6.0851682364693067</v>
      </c>
      <c r="AV1079">
        <v>5.3920830677374717E-3</v>
      </c>
    </row>
    <row r="1080" spans="44:48" x14ac:dyDescent="0.2">
      <c r="AR1080">
        <v>1072</v>
      </c>
      <c r="AS1080">
        <v>163</v>
      </c>
      <c r="AT1080">
        <v>2</v>
      </c>
      <c r="AU1080">
        <v>-6.05422770515196</v>
      </c>
      <c r="AV1080">
        <v>5.4856875354783842E-3</v>
      </c>
    </row>
    <row r="1081" spans="44:48" x14ac:dyDescent="0.2">
      <c r="AR1081">
        <v>1073</v>
      </c>
      <c r="AS1081">
        <v>164</v>
      </c>
      <c r="AT1081">
        <v>2</v>
      </c>
      <c r="AU1081">
        <v>-6.0232871738346141</v>
      </c>
      <c r="AV1081">
        <v>5.5806259310347698E-3</v>
      </c>
    </row>
    <row r="1082" spans="44:48" x14ac:dyDescent="0.2">
      <c r="AR1082">
        <v>1074</v>
      </c>
      <c r="AS1082">
        <v>165</v>
      </c>
      <c r="AT1082">
        <v>2</v>
      </c>
      <c r="AU1082">
        <v>-5.9923466425172673</v>
      </c>
      <c r="AV1082">
        <v>5.676911353567857E-3</v>
      </c>
    </row>
    <row r="1083" spans="44:48" x14ac:dyDescent="0.2">
      <c r="AR1083">
        <v>1075</v>
      </c>
      <c r="AS1083">
        <v>166</v>
      </c>
      <c r="AT1083">
        <v>2</v>
      </c>
      <c r="AU1083">
        <v>-5.9614061111999215</v>
      </c>
      <c r="AV1083">
        <v>5.7745569160587273E-3</v>
      </c>
    </row>
    <row r="1084" spans="44:48" x14ac:dyDescent="0.2">
      <c r="AR1084">
        <v>1076</v>
      </c>
      <c r="AS1084">
        <v>167</v>
      </c>
      <c r="AT1084">
        <v>2</v>
      </c>
      <c r="AU1084">
        <v>-5.9304655798825747</v>
      </c>
      <c r="AV1084">
        <v>5.8735757427882491E-3</v>
      </c>
    </row>
    <row r="1085" spans="44:48" x14ac:dyDescent="0.2">
      <c r="AR1085">
        <v>1077</v>
      </c>
      <c r="AS1085">
        <v>168</v>
      </c>
      <c r="AT1085">
        <v>2</v>
      </c>
      <c r="AU1085">
        <v>-5.8995250485652289</v>
      </c>
      <c r="AV1085">
        <v>5.973980966770649E-3</v>
      </c>
    </row>
    <row r="1086" spans="44:48" x14ac:dyDescent="0.2">
      <c r="AR1086">
        <v>1078</v>
      </c>
      <c r="AS1086">
        <v>169</v>
      </c>
      <c r="AT1086">
        <v>2</v>
      </c>
      <c r="AU1086">
        <v>-5.868584517247883</v>
      </c>
      <c r="AV1086">
        <v>6.0757857271405763E-3</v>
      </c>
    </row>
    <row r="1087" spans="44:48" x14ac:dyDescent="0.2">
      <c r="AR1087">
        <v>1079</v>
      </c>
      <c r="AS1087">
        <v>170</v>
      </c>
      <c r="AT1087">
        <v>2</v>
      </c>
      <c r="AU1087">
        <v>-5.8376439859305362</v>
      </c>
      <c r="AV1087">
        <v>6.1790031664939911E-3</v>
      </c>
    </row>
    <row r="1088" spans="44:48" x14ac:dyDescent="0.2">
      <c r="AR1088">
        <v>1080</v>
      </c>
      <c r="AS1088">
        <v>171</v>
      </c>
      <c r="AT1088">
        <v>2</v>
      </c>
      <c r="AU1088">
        <v>-5.8067034546131904</v>
      </c>
      <c r="AV1088">
        <v>6.2836464281826676E-3</v>
      </c>
    </row>
    <row r="1089" spans="44:48" x14ac:dyDescent="0.2">
      <c r="AR1089">
        <v>1081</v>
      </c>
      <c r="AS1089">
        <v>172</v>
      </c>
      <c r="AT1089">
        <v>2</v>
      </c>
      <c r="AU1089">
        <v>-5.7757629232958436</v>
      </c>
      <c r="AV1089">
        <v>6.3897286535624541E-3</v>
      </c>
    </row>
    <row r="1090" spans="44:48" x14ac:dyDescent="0.2">
      <c r="AR1090">
        <v>1082</v>
      </c>
      <c r="AS1090">
        <v>173</v>
      </c>
      <c r="AT1090">
        <v>2</v>
      </c>
      <c r="AU1090">
        <v>-5.7448223919784978</v>
      </c>
      <c r="AV1090">
        <v>6.4972629791954194E-3</v>
      </c>
    </row>
    <row r="1091" spans="44:48" x14ac:dyDescent="0.2">
      <c r="AR1091">
        <v>1083</v>
      </c>
      <c r="AS1091">
        <v>174</v>
      </c>
      <c r="AT1091">
        <v>2</v>
      </c>
      <c r="AU1091">
        <v>-5.713881860661151</v>
      </c>
      <c r="AV1091">
        <v>6.6062625340060034E-3</v>
      </c>
    </row>
    <row r="1092" spans="44:48" x14ac:dyDescent="0.2">
      <c r="AR1092">
        <v>1084</v>
      </c>
      <c r="AS1092">
        <v>175</v>
      </c>
      <c r="AT1092">
        <v>2</v>
      </c>
      <c r="AU1092">
        <v>-5.6829413293438051</v>
      </c>
      <c r="AV1092">
        <v>6.7167404363910601E-3</v>
      </c>
    </row>
    <row r="1093" spans="44:48" x14ac:dyDescent="0.2">
      <c r="AR1093">
        <v>1085</v>
      </c>
      <c r="AS1093">
        <v>176</v>
      </c>
      <c r="AT1093">
        <v>2</v>
      </c>
      <c r="AU1093">
        <v>-5.6520007980264584</v>
      </c>
      <c r="AV1093">
        <v>6.8287097912843511E-3</v>
      </c>
    </row>
    <row r="1094" spans="44:48" x14ac:dyDescent="0.2">
      <c r="AR1094">
        <v>1086</v>
      </c>
      <c r="AS1094">
        <v>177</v>
      </c>
      <c r="AT1094">
        <v>2</v>
      </c>
      <c r="AU1094">
        <v>-5.6210602667091125</v>
      </c>
      <c r="AV1094">
        <v>6.9421836871752319E-3</v>
      </c>
    </row>
    <row r="1095" spans="44:48" x14ac:dyDescent="0.2">
      <c r="AR1095">
        <v>1087</v>
      </c>
      <c r="AS1095">
        <v>178</v>
      </c>
      <c r="AT1095">
        <v>2</v>
      </c>
      <c r="AU1095">
        <v>-5.5901197353917658</v>
      </c>
      <c r="AV1095">
        <v>7.0571751930819243E-3</v>
      </c>
    </row>
    <row r="1096" spans="44:48" x14ac:dyDescent="0.2">
      <c r="AR1096">
        <v>1088</v>
      </c>
      <c r="AS1096">
        <v>179</v>
      </c>
      <c r="AT1096">
        <v>2</v>
      </c>
      <c r="AU1096">
        <v>-5.5591792040744199</v>
      </c>
      <c r="AV1096">
        <v>7.1736973554796428E-3</v>
      </c>
    </row>
    <row r="1097" spans="44:48" x14ac:dyDescent="0.2">
      <c r="AR1097">
        <v>1089</v>
      </c>
      <c r="AS1097">
        <v>180</v>
      </c>
      <c r="AT1097">
        <v>2</v>
      </c>
      <c r="AU1097">
        <v>-5.5282386727570731</v>
      </c>
      <c r="AV1097">
        <v>7.2917631951834828E-3</v>
      </c>
    </row>
    <row r="1098" spans="44:48" x14ac:dyDescent="0.2">
      <c r="AR1098">
        <v>1090</v>
      </c>
      <c r="AS1098">
        <v>181</v>
      </c>
      <c r="AT1098">
        <v>2</v>
      </c>
      <c r="AU1098">
        <v>-5.4972981414397273</v>
      </c>
      <c r="AV1098">
        <v>7.4113857041866625E-3</v>
      </c>
    </row>
    <row r="1099" spans="44:48" x14ac:dyDescent="0.2">
      <c r="AR1099">
        <v>1091</v>
      </c>
      <c r="AS1099">
        <v>182</v>
      </c>
      <c r="AT1099">
        <v>2</v>
      </c>
      <c r="AU1099">
        <v>-5.4663576101223814</v>
      </c>
      <c r="AV1099">
        <v>7.5325778424542144E-3</v>
      </c>
    </row>
    <row r="1100" spans="44:48" x14ac:dyDescent="0.2">
      <c r="AR1100">
        <v>1092</v>
      </c>
      <c r="AS1100">
        <v>183</v>
      </c>
      <c r="AT1100">
        <v>2</v>
      </c>
      <c r="AU1100">
        <v>-5.4354170788050347</v>
      </c>
      <c r="AV1100">
        <v>7.6553525346722846E-3</v>
      </c>
    </row>
    <row r="1101" spans="44:48" x14ac:dyDescent="0.2">
      <c r="AR1101">
        <v>1093</v>
      </c>
      <c r="AS1101">
        <v>184</v>
      </c>
      <c r="AT1101">
        <v>2</v>
      </c>
      <c r="AU1101">
        <v>-5.4044765474876888</v>
      </c>
      <c r="AV1101">
        <v>7.7797226669536262E-3</v>
      </c>
    </row>
    <row r="1102" spans="44:48" x14ac:dyDescent="0.2">
      <c r="AR1102">
        <v>1094</v>
      </c>
      <c r="AS1102">
        <v>185</v>
      </c>
      <c r="AT1102">
        <v>2</v>
      </c>
      <c r="AU1102">
        <v>-5.373536016170342</v>
      </c>
      <c r="AV1102">
        <v>7.9057010834993544E-3</v>
      </c>
    </row>
    <row r="1103" spans="44:48" x14ac:dyDescent="0.2">
      <c r="AR1103">
        <v>1095</v>
      </c>
      <c r="AS1103">
        <v>186</v>
      </c>
      <c r="AT1103">
        <v>2</v>
      </c>
      <c r="AU1103">
        <v>-5.3425954848529962</v>
      </c>
      <c r="AV1103">
        <v>8.0333005832173478E-3</v>
      </c>
    </row>
    <row r="1104" spans="44:48" x14ac:dyDescent="0.2">
      <c r="AR1104">
        <v>1096</v>
      </c>
      <c r="AS1104">
        <v>187</v>
      </c>
      <c r="AT1104">
        <v>2</v>
      </c>
      <c r="AU1104">
        <v>-5.3116549535356494</v>
      </c>
      <c r="AV1104">
        <v>8.1625339162978879E-3</v>
      </c>
    </row>
    <row r="1105" spans="44:48" x14ac:dyDescent="0.2">
      <c r="AR1105">
        <v>1097</v>
      </c>
      <c r="AS1105">
        <v>188</v>
      </c>
      <c r="AT1105">
        <v>2</v>
      </c>
      <c r="AU1105">
        <v>-5.2807144222183036</v>
      </c>
      <c r="AV1105">
        <v>8.2934137807465259E-3</v>
      </c>
    </row>
    <row r="1106" spans="44:48" x14ac:dyDescent="0.2">
      <c r="AR1106">
        <v>1098</v>
      </c>
      <c r="AS1106">
        <v>189</v>
      </c>
      <c r="AT1106">
        <v>2</v>
      </c>
      <c r="AU1106">
        <v>-5.2497738909009568</v>
      </c>
      <c r="AV1106">
        <v>8.4259528188749318E-3</v>
      </c>
    </row>
    <row r="1107" spans="44:48" x14ac:dyDescent="0.2">
      <c r="AR1107">
        <v>1099</v>
      </c>
      <c r="AS1107">
        <v>190</v>
      </c>
      <c r="AT1107">
        <v>2</v>
      </c>
      <c r="AU1107">
        <v>-5.2188333595836109</v>
      </c>
      <c r="AV1107">
        <v>8.5601636137500516E-3</v>
      </c>
    </row>
    <row r="1108" spans="44:48" x14ac:dyDescent="0.2">
      <c r="AR1108">
        <v>1100</v>
      </c>
      <c r="AS1108">
        <v>191</v>
      </c>
      <c r="AT1108">
        <v>2</v>
      </c>
      <c r="AU1108">
        <v>-5.1878928282662642</v>
      </c>
      <c r="AV1108">
        <v>8.6960586856017989E-3</v>
      </c>
    </row>
    <row r="1109" spans="44:48" x14ac:dyDescent="0.2">
      <c r="AR1109">
        <v>1101</v>
      </c>
      <c r="AS1109">
        <v>192</v>
      </c>
      <c r="AT1109">
        <v>2</v>
      </c>
      <c r="AU1109">
        <v>-5.1569522969489183</v>
      </c>
      <c r="AV1109">
        <v>8.8336504881901829E-3</v>
      </c>
    </row>
    <row r="1110" spans="44:48" x14ac:dyDescent="0.2">
      <c r="AR1110">
        <v>1102</v>
      </c>
      <c r="AS1110">
        <v>193</v>
      </c>
      <c r="AT1110">
        <v>2</v>
      </c>
      <c r="AU1110">
        <v>-5.1260117656315725</v>
      </c>
      <c r="AV1110">
        <v>8.9729514051320129E-3</v>
      </c>
    </row>
    <row r="1111" spans="44:48" x14ac:dyDescent="0.2">
      <c r="AR1111">
        <v>1103</v>
      </c>
      <c r="AS1111">
        <v>194</v>
      </c>
      <c r="AT1111">
        <v>2</v>
      </c>
      <c r="AU1111">
        <v>-5.0950712343142257</v>
      </c>
      <c r="AV1111">
        <v>9.1139737461877826E-3</v>
      </c>
    </row>
    <row r="1112" spans="44:48" x14ac:dyDescent="0.2">
      <c r="AR1112">
        <v>1104</v>
      </c>
      <c r="AS1112">
        <v>195</v>
      </c>
      <c r="AT1112">
        <v>2</v>
      </c>
      <c r="AU1112">
        <v>-5.0641307029968798</v>
      </c>
      <c r="AV1112">
        <v>9.2567297435094346E-3</v>
      </c>
    </row>
    <row r="1113" spans="44:48" x14ac:dyDescent="0.2">
      <c r="AR1113">
        <v>1105</v>
      </c>
      <c r="AS1113">
        <v>196</v>
      </c>
      <c r="AT1113">
        <v>2</v>
      </c>
      <c r="AU1113">
        <v>-5.0331901716795331</v>
      </c>
      <c r="AV1113">
        <v>9.4012315478493487E-3</v>
      </c>
    </row>
    <row r="1114" spans="44:48" x14ac:dyDescent="0.2">
      <c r="AR1114">
        <v>1106</v>
      </c>
      <c r="AS1114">
        <v>197</v>
      </c>
      <c r="AT1114">
        <v>2</v>
      </c>
      <c r="AU1114">
        <v>-5.0022496403621872</v>
      </c>
      <c r="AV1114">
        <v>9.5474912247312145E-3</v>
      </c>
    </row>
    <row r="1115" spans="44:48" x14ac:dyDescent="0.2">
      <c r="AR1115">
        <v>1107</v>
      </c>
      <c r="AS1115">
        <v>198</v>
      </c>
      <c r="AT1115">
        <v>2</v>
      </c>
      <c r="AU1115">
        <v>-4.9713091090448405</v>
      </c>
      <c r="AV1115">
        <v>9.695520750583584E-3</v>
      </c>
    </row>
    <row r="1116" spans="44:48" x14ac:dyDescent="0.2">
      <c r="AR1116">
        <v>1108</v>
      </c>
      <c r="AS1116">
        <v>199</v>
      </c>
      <c r="AT1116">
        <v>2</v>
      </c>
      <c r="AU1116">
        <v>-4.9403685777274946</v>
      </c>
      <c r="AV1116">
        <v>9.8453320088363709E-3</v>
      </c>
    </row>
    <row r="1117" spans="44:48" x14ac:dyDescent="0.2">
      <c r="AR1117">
        <v>1109</v>
      </c>
      <c r="AS1117">
        <v>200</v>
      </c>
      <c r="AT1117">
        <v>2</v>
      </c>
      <c r="AU1117">
        <v>-4.9094280464101479</v>
      </c>
      <c r="AV1117">
        <v>9.9969367859813023E-3</v>
      </c>
    </row>
    <row r="1118" spans="44:48" x14ac:dyDescent="0.2">
      <c r="AR1118">
        <v>1110</v>
      </c>
      <c r="AS1118">
        <v>201</v>
      </c>
      <c r="AT1118">
        <v>2</v>
      </c>
      <c r="AU1118">
        <v>-4.878487515092802</v>
      </c>
      <c r="AV1118">
        <v>1.0150346767596855E-2</v>
      </c>
    </row>
    <row r="1119" spans="44:48" x14ac:dyDescent="0.2">
      <c r="AR1119">
        <v>1111</v>
      </c>
      <c r="AS1119">
        <v>202</v>
      </c>
      <c r="AT1119">
        <v>2</v>
      </c>
      <c r="AU1119">
        <v>-4.8475469837754552</v>
      </c>
      <c r="AV1119">
        <v>1.0305573534338286E-2</v>
      </c>
    </row>
    <row r="1120" spans="44:48" x14ac:dyDescent="0.2">
      <c r="AR1120">
        <v>1112</v>
      </c>
      <c r="AS1120">
        <v>203</v>
      </c>
      <c r="AT1120">
        <v>2</v>
      </c>
      <c r="AU1120">
        <v>-4.8166064524581094</v>
      </c>
      <c r="AV1120">
        <v>1.0462628557893679E-2</v>
      </c>
    </row>
    <row r="1121" spans="44:48" x14ac:dyDescent="0.2">
      <c r="AR1121">
        <v>1113</v>
      </c>
      <c r="AS1121">
        <v>204</v>
      </c>
      <c r="AT1121">
        <v>2</v>
      </c>
      <c r="AU1121">
        <v>-4.7856659211407626</v>
      </c>
      <c r="AV1121">
        <v>1.0621523196906697E-2</v>
      </c>
    </row>
    <row r="1122" spans="44:48" x14ac:dyDescent="0.2">
      <c r="AR1122">
        <v>1114</v>
      </c>
      <c r="AS1122">
        <v>205</v>
      </c>
      <c r="AT1122">
        <v>2</v>
      </c>
      <c r="AU1122">
        <v>-4.7547253898234167</v>
      </c>
      <c r="AV1122">
        <v>1.0782268692866628E-2</v>
      </c>
    </row>
    <row r="1123" spans="44:48" x14ac:dyDescent="0.2">
      <c r="AR1123">
        <v>1115</v>
      </c>
      <c r="AS1123">
        <v>206</v>
      </c>
      <c r="AT1123">
        <v>2</v>
      </c>
      <c r="AU1123">
        <v>-4.7237848585060709</v>
      </c>
      <c r="AV1123">
        <v>1.0944876165966934E-2</v>
      </c>
    </row>
    <row r="1124" spans="44:48" x14ac:dyDescent="0.2">
      <c r="AR1124">
        <v>1116</v>
      </c>
      <c r="AS1124">
        <v>207</v>
      </c>
      <c r="AT1124">
        <v>2</v>
      </c>
      <c r="AU1124">
        <v>-4.6928443271887241</v>
      </c>
      <c r="AV1124">
        <v>1.1109356610932618E-2</v>
      </c>
    </row>
    <row r="1125" spans="44:48" x14ac:dyDescent="0.2">
      <c r="AR1125">
        <v>1117</v>
      </c>
      <c r="AS1125">
        <v>208</v>
      </c>
      <c r="AT1125">
        <v>2</v>
      </c>
      <c r="AU1125">
        <v>-4.6619037958713783</v>
      </c>
      <c r="AV1125">
        <v>1.1275720892817623E-2</v>
      </c>
    </row>
    <row r="1126" spans="44:48" x14ac:dyDescent="0.2">
      <c r="AR1126">
        <v>1118</v>
      </c>
      <c r="AS1126">
        <v>209</v>
      </c>
      <c r="AT1126">
        <v>2</v>
      </c>
      <c r="AU1126">
        <v>-4.6309632645540315</v>
      </c>
      <c r="AV1126">
        <v>1.1443979742773147E-2</v>
      </c>
    </row>
    <row r="1127" spans="44:48" x14ac:dyDescent="0.2">
      <c r="AR1127">
        <v>1119</v>
      </c>
      <c r="AS1127">
        <v>210</v>
      </c>
      <c r="AT1127">
        <v>2</v>
      </c>
      <c r="AU1127">
        <v>-4.6000227332366856</v>
      </c>
      <c r="AV1127">
        <v>1.1614143753787387E-2</v>
      </c>
    </row>
    <row r="1128" spans="44:48" x14ac:dyDescent="0.2">
      <c r="AR1128">
        <v>1120</v>
      </c>
      <c r="AS1128">
        <v>211</v>
      </c>
      <c r="AT1128">
        <v>2</v>
      </c>
      <c r="AU1128">
        <v>-4.5690822019193389</v>
      </c>
      <c r="AV1128">
        <v>1.1786223376398151E-2</v>
      </c>
    </row>
    <row r="1129" spans="44:48" x14ac:dyDescent="0.2">
      <c r="AR1129">
        <v>1121</v>
      </c>
      <c r="AS1129">
        <v>212</v>
      </c>
      <c r="AT1129">
        <v>2</v>
      </c>
      <c r="AU1129">
        <v>-4.538141670601993</v>
      </c>
      <c r="AV1129">
        <v>1.1960228914378831E-2</v>
      </c>
    </row>
    <row r="1130" spans="44:48" x14ac:dyDescent="0.2">
      <c r="AR1130">
        <v>1122</v>
      </c>
      <c r="AS1130">
        <v>213</v>
      </c>
      <c r="AT1130">
        <v>2</v>
      </c>
      <c r="AU1130">
        <v>-4.5072011392846463</v>
      </c>
      <c r="AV1130">
        <v>1.2136170520398979E-2</v>
      </c>
    </row>
    <row r="1131" spans="44:48" x14ac:dyDescent="0.2">
      <c r="AR1131">
        <v>1123</v>
      </c>
      <c r="AS1131">
        <v>214</v>
      </c>
      <c r="AT1131">
        <v>2</v>
      </c>
      <c r="AU1131">
        <v>-4.4762606079673004</v>
      </c>
      <c r="AV1131">
        <v>1.2314058191660386E-2</v>
      </c>
    </row>
    <row r="1132" spans="44:48" x14ac:dyDescent="0.2">
      <c r="AR1132">
        <v>1124</v>
      </c>
      <c r="AS1132">
        <v>215</v>
      </c>
      <c r="AT1132">
        <v>2</v>
      </c>
      <c r="AU1132">
        <v>-4.4453200766499537</v>
      </c>
      <c r="AV1132">
        <v>1.2493901765509689E-2</v>
      </c>
    </row>
    <row r="1133" spans="44:48" x14ac:dyDescent="0.2">
      <c r="AR1133">
        <v>1125</v>
      </c>
      <c r="AS1133">
        <v>216</v>
      </c>
      <c r="AT1133">
        <v>2</v>
      </c>
      <c r="AU1133">
        <v>-4.4143795453326078</v>
      </c>
      <c r="AV1133">
        <v>1.2675710915028436E-2</v>
      </c>
    </row>
    <row r="1134" spans="44:48" x14ac:dyDescent="0.2">
      <c r="AR1134">
        <v>1126</v>
      </c>
      <c r="AS1134">
        <v>217</v>
      </c>
      <c r="AT1134">
        <v>2</v>
      </c>
      <c r="AU1134">
        <v>-4.383439014015261</v>
      </c>
      <c r="AV1134">
        <v>1.2859495144601978E-2</v>
      </c>
    </row>
    <row r="1135" spans="44:48" x14ac:dyDescent="0.2">
      <c r="AR1135">
        <v>1127</v>
      </c>
      <c r="AS1135">
        <v>218</v>
      </c>
      <c r="AT1135">
        <v>2</v>
      </c>
      <c r="AU1135">
        <v>-4.3524984826979152</v>
      </c>
      <c r="AV1135">
        <v>1.3045263785467835E-2</v>
      </c>
    </row>
    <row r="1136" spans="44:48" x14ac:dyDescent="0.2">
      <c r="AR1136">
        <v>1128</v>
      </c>
      <c r="AS1136">
        <v>219</v>
      </c>
      <c r="AT1136">
        <v>2</v>
      </c>
      <c r="AU1136">
        <v>-4.3215579513805693</v>
      </c>
      <c r="AV1136">
        <v>1.3233025991244991E-2</v>
      </c>
    </row>
    <row r="1137" spans="44:48" x14ac:dyDescent="0.2">
      <c r="AR1137">
        <v>1129</v>
      </c>
      <c r="AS1137">
        <v>220</v>
      </c>
      <c r="AT1137">
        <v>2</v>
      </c>
      <c r="AU1137">
        <v>-4.2906174200632226</v>
      </c>
      <c r="AV1137">
        <v>1.3422790733445164E-2</v>
      </c>
    </row>
    <row r="1138" spans="44:48" x14ac:dyDescent="0.2">
      <c r="AR1138">
        <v>1130</v>
      </c>
      <c r="AS1138">
        <v>221</v>
      </c>
      <c r="AT1138">
        <v>2</v>
      </c>
      <c r="AU1138">
        <v>-4.2596768887458767</v>
      </c>
      <c r="AV1138">
        <v>1.3614566796967055E-2</v>
      </c>
    </row>
    <row r="1139" spans="44:48" x14ac:dyDescent="0.2">
      <c r="AR1139">
        <v>1131</v>
      </c>
      <c r="AS1139">
        <v>222</v>
      </c>
      <c r="AT1139">
        <v>2</v>
      </c>
      <c r="AU1139">
        <v>-4.2287363574285299</v>
      </c>
      <c r="AV1139">
        <v>1.3808362775574951E-2</v>
      </c>
    </row>
    <row r="1140" spans="44:48" x14ac:dyDescent="0.2">
      <c r="AR1140">
        <v>1132</v>
      </c>
      <c r="AS1140">
        <v>223</v>
      </c>
      <c r="AT1140">
        <v>2</v>
      </c>
      <c r="AU1140">
        <v>-4.1977958261111841</v>
      </c>
      <c r="AV1140">
        <v>1.4004187067362818E-2</v>
      </c>
    </row>
    <row r="1141" spans="44:48" x14ac:dyDescent="0.2">
      <c r="AR1141">
        <v>1133</v>
      </c>
      <c r="AS1141">
        <v>224</v>
      </c>
      <c r="AT1141">
        <v>2</v>
      </c>
      <c r="AU1141">
        <v>-4.1668552947938373</v>
      </c>
      <c r="AV1141">
        <v>1.4202047870204989E-2</v>
      </c>
    </row>
    <row r="1142" spans="44:48" x14ac:dyDescent="0.2">
      <c r="AR1142">
        <v>1134</v>
      </c>
      <c r="AS1142">
        <v>225</v>
      </c>
      <c r="AT1142">
        <v>2</v>
      </c>
      <c r="AU1142">
        <v>-4.1359147634764915</v>
      </c>
      <c r="AV1142">
        <v>1.4401953177194844E-2</v>
      </c>
    </row>
    <row r="1143" spans="44:48" x14ac:dyDescent="0.2">
      <c r="AR1143">
        <v>1135</v>
      </c>
      <c r="AS1143">
        <v>226</v>
      </c>
      <c r="AT1143">
        <v>2</v>
      </c>
      <c r="AU1143">
        <v>-4.1049742321591447</v>
      </c>
      <c r="AV1143">
        <v>1.4603910772072773E-2</v>
      </c>
    </row>
    <row r="1144" spans="44:48" x14ac:dyDescent="0.2">
      <c r="AR1144">
        <v>1136</v>
      </c>
      <c r="AS1144">
        <v>227</v>
      </c>
      <c r="AT1144">
        <v>2</v>
      </c>
      <c r="AU1144">
        <v>-4.0740337008417988</v>
      </c>
      <c r="AV1144">
        <v>1.4807928224644409E-2</v>
      </c>
    </row>
    <row r="1145" spans="44:48" x14ac:dyDescent="0.2">
      <c r="AR1145">
        <v>1137</v>
      </c>
      <c r="AS1145">
        <v>228</v>
      </c>
      <c r="AT1145">
        <v>2</v>
      </c>
      <c r="AU1145">
        <v>-4.0430931695244521</v>
      </c>
      <c r="AV1145">
        <v>1.5014012886190937E-2</v>
      </c>
    </row>
    <row r="1146" spans="44:48" x14ac:dyDescent="0.2">
      <c r="AR1146">
        <v>1138</v>
      </c>
      <c r="AS1146">
        <v>229</v>
      </c>
      <c r="AT1146">
        <v>2</v>
      </c>
      <c r="AU1146">
        <v>-4.0121526382071062</v>
      </c>
      <c r="AV1146">
        <v>1.5222171884872291E-2</v>
      </c>
    </row>
    <row r="1147" spans="44:48" x14ac:dyDescent="0.2">
      <c r="AR1147">
        <v>1139</v>
      </c>
      <c r="AS1147">
        <v>230</v>
      </c>
      <c r="AT1147">
        <v>2</v>
      </c>
      <c r="AU1147">
        <v>-3.9812121068897595</v>
      </c>
      <c r="AV1147">
        <v>1.5432412121124972E-2</v>
      </c>
    </row>
    <row r="1148" spans="44:48" x14ac:dyDescent="0.2">
      <c r="AR1148">
        <v>1140</v>
      </c>
      <c r="AS1148">
        <v>231</v>
      </c>
      <c r="AT1148">
        <v>2</v>
      </c>
      <c r="AU1148">
        <v>-3.9502715755724136</v>
      </c>
      <c r="AV1148">
        <v>1.5644740263055699E-2</v>
      </c>
    </row>
    <row r="1149" spans="44:48" x14ac:dyDescent="0.2">
      <c r="AR1149">
        <v>1141</v>
      </c>
      <c r="AS1149">
        <v>232</v>
      </c>
      <c r="AT1149">
        <v>2</v>
      </c>
      <c r="AU1149">
        <v>-3.9193310442550677</v>
      </c>
      <c r="AV1149">
        <v>1.5859162741832269E-2</v>
      </c>
    </row>
    <row r="1150" spans="44:48" x14ac:dyDescent="0.2">
      <c r="AR1150">
        <v>1142</v>
      </c>
      <c r="AS1150">
        <v>233</v>
      </c>
      <c r="AT1150">
        <v>2</v>
      </c>
      <c r="AU1150">
        <v>-3.888390512937721</v>
      </c>
      <c r="AV1150">
        <v>1.6075685747073083E-2</v>
      </c>
    </row>
    <row r="1151" spans="44:48" x14ac:dyDescent="0.2">
      <c r="AR1151">
        <v>1143</v>
      </c>
      <c r="AS1151">
        <v>234</v>
      </c>
      <c r="AT1151">
        <v>2</v>
      </c>
      <c r="AU1151">
        <v>-3.8574499816203751</v>
      </c>
      <c r="AV1151">
        <v>1.6294315222236858E-2</v>
      </c>
    </row>
    <row r="1152" spans="44:48" x14ac:dyDescent="0.2">
      <c r="AR1152">
        <v>1144</v>
      </c>
      <c r="AS1152">
        <v>235</v>
      </c>
      <c r="AT1152">
        <v>2</v>
      </c>
      <c r="AU1152">
        <v>-3.8265094503030284</v>
      </c>
      <c r="AV1152">
        <v>1.6515056860013744E-2</v>
      </c>
    </row>
    <row r="1153" spans="44:48" x14ac:dyDescent="0.2">
      <c r="AR1153">
        <v>1145</v>
      </c>
      <c r="AS1153">
        <v>236</v>
      </c>
      <c r="AT1153">
        <v>2</v>
      </c>
      <c r="AU1153">
        <v>-3.7955689189856825</v>
      </c>
      <c r="AV1153">
        <v>1.673791609771956E-2</v>
      </c>
    </row>
    <row r="1154" spans="44:48" x14ac:dyDescent="0.2">
      <c r="AR1154">
        <v>1146</v>
      </c>
      <c r="AS1154">
        <v>237</v>
      </c>
      <c r="AT1154">
        <v>2</v>
      </c>
      <c r="AU1154">
        <v>-3.7646283876683357</v>
      </c>
      <c r="AV1154">
        <v>1.6962898112694573E-2</v>
      </c>
    </row>
    <row r="1155" spans="44:48" x14ac:dyDescent="0.2">
      <c r="AR1155">
        <v>1147</v>
      </c>
      <c r="AS1155">
        <v>238</v>
      </c>
      <c r="AT1155">
        <v>2</v>
      </c>
      <c r="AU1155">
        <v>-3.7336878563509899</v>
      </c>
      <c r="AV1155">
        <v>1.7190007817708165E-2</v>
      </c>
    </row>
    <row r="1156" spans="44:48" x14ac:dyDescent="0.2">
      <c r="AR1156">
        <v>1148</v>
      </c>
      <c r="AS1156">
        <v>239</v>
      </c>
      <c r="AT1156">
        <v>2</v>
      </c>
      <c r="AU1156">
        <v>-3.7027473250336431</v>
      </c>
      <c r="AV1156">
        <v>1.7419249856371215E-2</v>
      </c>
    </row>
    <row r="1157" spans="44:48" x14ac:dyDescent="0.2">
      <c r="AR1157">
        <v>1149</v>
      </c>
      <c r="AS1157">
        <v>240</v>
      </c>
      <c r="AT1157">
        <v>2</v>
      </c>
      <c r="AU1157">
        <v>-3.6718067937162973</v>
      </c>
      <c r="AV1157">
        <v>1.7650628598557462E-2</v>
      </c>
    </row>
    <row r="1158" spans="44:48" x14ac:dyDescent="0.2">
      <c r="AR1158">
        <v>1150</v>
      </c>
      <c r="AS1158">
        <v>241</v>
      </c>
      <c r="AT1158">
        <v>2</v>
      </c>
      <c r="AU1158">
        <v>-3.6408662623989505</v>
      </c>
      <c r="AV1158">
        <v>1.7884148135835609E-2</v>
      </c>
    </row>
    <row r="1159" spans="44:48" x14ac:dyDescent="0.2">
      <c r="AR1159">
        <v>1151</v>
      </c>
      <c r="AS1159">
        <v>242</v>
      </c>
      <c r="AT1159">
        <v>2</v>
      </c>
      <c r="AU1159">
        <v>-3.6099257310816046</v>
      </c>
      <c r="AV1159">
        <v>1.8119812276913602E-2</v>
      </c>
    </row>
    <row r="1160" spans="44:48" x14ac:dyDescent="0.2">
      <c r="AR1160">
        <v>1152</v>
      </c>
      <c r="AS1160">
        <v>243</v>
      </c>
      <c r="AT1160">
        <v>2</v>
      </c>
      <c r="AU1160">
        <v>-3.5789851997642579</v>
      </c>
      <c r="AV1160">
        <v>1.8357624543096824E-2</v>
      </c>
    </row>
    <row r="1161" spans="44:48" x14ac:dyDescent="0.2">
      <c r="AR1161">
        <v>1153</v>
      </c>
      <c r="AS1161">
        <v>244</v>
      </c>
      <c r="AT1161">
        <v>2</v>
      </c>
      <c r="AU1161">
        <v>-3.548044668446912</v>
      </c>
      <c r="AV1161">
        <v>1.8597588163761676E-2</v>
      </c>
    </row>
    <row r="1162" spans="44:48" x14ac:dyDescent="0.2">
      <c r="AR1162">
        <v>1154</v>
      </c>
      <c r="AS1162">
        <v>245</v>
      </c>
      <c r="AT1162">
        <v>2</v>
      </c>
      <c r="AU1162">
        <v>-3.5171041371295662</v>
      </c>
      <c r="AV1162">
        <v>1.8839706071846308E-2</v>
      </c>
    </row>
    <row r="1163" spans="44:48" x14ac:dyDescent="0.2">
      <c r="AR1163">
        <v>1155</v>
      </c>
      <c r="AS1163">
        <v>246</v>
      </c>
      <c r="AT1163">
        <v>2</v>
      </c>
      <c r="AU1163">
        <v>-3.4861636058122194</v>
      </c>
      <c r="AV1163">
        <v>1.9083980899360017E-2</v>
      </c>
    </row>
    <row r="1164" spans="44:48" x14ac:dyDescent="0.2">
      <c r="AR1164">
        <v>1156</v>
      </c>
      <c r="AS1164">
        <v>247</v>
      </c>
      <c r="AT1164">
        <v>2</v>
      </c>
      <c r="AU1164">
        <v>-3.4552230744948735</v>
      </c>
      <c r="AV1164">
        <v>1.9330414972913049E-2</v>
      </c>
    </row>
    <row r="1165" spans="44:48" x14ac:dyDescent="0.2">
      <c r="AR1165">
        <v>1157</v>
      </c>
      <c r="AS1165">
        <v>248</v>
      </c>
      <c r="AT1165">
        <v>2</v>
      </c>
      <c r="AU1165">
        <v>-3.4242825431775268</v>
      </c>
      <c r="AV1165">
        <v>1.9579010309268542E-2</v>
      </c>
    </row>
    <row r="1166" spans="44:48" x14ac:dyDescent="0.2">
      <c r="AR1166">
        <v>1158</v>
      </c>
      <c r="AS1166">
        <v>249</v>
      </c>
      <c r="AT1166">
        <v>2</v>
      </c>
      <c r="AU1166">
        <v>-3.3933420118601809</v>
      </c>
      <c r="AV1166">
        <v>1.9829768610918043E-2</v>
      </c>
    </row>
    <row r="1167" spans="44:48" x14ac:dyDescent="0.2">
      <c r="AR1167">
        <v>1159</v>
      </c>
      <c r="AS1167">
        <v>250</v>
      </c>
      <c r="AT1167">
        <v>2</v>
      </c>
      <c r="AU1167">
        <v>-3.3624014805428342</v>
      </c>
      <c r="AV1167">
        <v>2.0082691261682672E-2</v>
      </c>
    </row>
    <row r="1168" spans="44:48" x14ac:dyDescent="0.2">
      <c r="AR1168">
        <v>1160</v>
      </c>
      <c r="AS1168">
        <v>251</v>
      </c>
      <c r="AT1168">
        <v>2</v>
      </c>
      <c r="AU1168">
        <v>-3.3314609492254883</v>
      </c>
      <c r="AV1168">
        <v>2.0337779322341289E-2</v>
      </c>
    </row>
    <row r="1169" spans="44:48" x14ac:dyDescent="0.2">
      <c r="AR1169">
        <v>1161</v>
      </c>
      <c r="AS1169">
        <v>252</v>
      </c>
      <c r="AT1169">
        <v>2</v>
      </c>
      <c r="AU1169">
        <v>-3.3005204179081415</v>
      </c>
      <c r="AV1169">
        <v>2.0595033526287627E-2</v>
      </c>
    </row>
    <row r="1170" spans="44:48" x14ac:dyDescent="0.2">
      <c r="AR1170">
        <v>1162</v>
      </c>
      <c r="AS1170">
        <v>253</v>
      </c>
      <c r="AT1170">
        <v>2</v>
      </c>
      <c r="AU1170">
        <v>-3.2695798865907957</v>
      </c>
      <c r="AV1170">
        <v>2.085445427521802E-2</v>
      </c>
    </row>
    <row r="1171" spans="44:48" x14ac:dyDescent="0.2">
      <c r="AR1171">
        <v>1163</v>
      </c>
      <c r="AS1171">
        <v>254</v>
      </c>
      <c r="AT1171">
        <v>2</v>
      </c>
      <c r="AU1171">
        <v>-3.2386393552734489</v>
      </c>
      <c r="AV1171">
        <v>2.1116041634851503E-2</v>
      </c>
    </row>
    <row r="1172" spans="44:48" x14ac:dyDescent="0.2">
      <c r="AR1172">
        <v>1164</v>
      </c>
      <c r="AS1172">
        <v>255</v>
      </c>
      <c r="AT1172">
        <v>2</v>
      </c>
      <c r="AU1172">
        <v>-3.2076988239561031</v>
      </c>
      <c r="AV1172">
        <v>2.1379795330683977E-2</v>
      </c>
    </row>
    <row r="1173" spans="44:48" x14ac:dyDescent="0.2">
      <c r="AR1173">
        <v>1165</v>
      </c>
      <c r="AS1173">
        <v>256</v>
      </c>
      <c r="AT1173">
        <v>2</v>
      </c>
      <c r="AU1173">
        <v>-3.1767582926387563</v>
      </c>
      <c r="AV1173">
        <v>2.1645714743778438E-2</v>
      </c>
    </row>
    <row r="1174" spans="44:48" x14ac:dyDescent="0.2">
      <c r="AR1174">
        <v>1166</v>
      </c>
      <c r="AS1174">
        <v>257</v>
      </c>
      <c r="AT1174">
        <v>2</v>
      </c>
      <c r="AU1174">
        <v>-3.1458177613214104</v>
      </c>
      <c r="AV1174">
        <v>2.1913798906592601E-2</v>
      </c>
    </row>
    <row r="1175" spans="44:48" x14ac:dyDescent="0.2">
      <c r="AR1175">
        <v>1167</v>
      </c>
      <c r="AS1175">
        <v>258</v>
      </c>
      <c r="AT1175">
        <v>2</v>
      </c>
      <c r="AU1175">
        <v>-3.1148772300040646</v>
      </c>
      <c r="AV1175">
        <v>2.2184046498846217E-2</v>
      </c>
    </row>
    <row r="1176" spans="44:48" x14ac:dyDescent="0.2">
      <c r="AR1176">
        <v>1168</v>
      </c>
      <c r="AS1176">
        <v>259</v>
      </c>
      <c r="AT1176">
        <v>2</v>
      </c>
      <c r="AU1176">
        <v>-3.0839366986867178</v>
      </c>
      <c r="AV1176">
        <v>2.2456455843429514E-2</v>
      </c>
    </row>
    <row r="1177" spans="44:48" x14ac:dyDescent="0.2">
      <c r="AR1177">
        <v>1169</v>
      </c>
      <c r="AS1177">
        <v>260</v>
      </c>
      <c r="AT1177">
        <v>2</v>
      </c>
      <c r="AU1177">
        <v>-3.052996167369372</v>
      </c>
      <c r="AV1177">
        <v>2.2731024902354662E-2</v>
      </c>
    </row>
    <row r="1178" spans="44:48" x14ac:dyDescent="0.2">
      <c r="AR1178">
        <v>1170</v>
      </c>
      <c r="AS1178">
        <v>261</v>
      </c>
      <c r="AT1178">
        <v>2</v>
      </c>
      <c r="AU1178">
        <v>-3.0220556360520252</v>
      </c>
      <c r="AV1178">
        <v>2.3007751272752137E-2</v>
      </c>
    </row>
    <row r="1179" spans="44:48" x14ac:dyDescent="0.2">
      <c r="AR1179">
        <v>1171</v>
      </c>
      <c r="AS1179">
        <v>262</v>
      </c>
      <c r="AT1179">
        <v>2</v>
      </c>
      <c r="AU1179">
        <v>-2.9911151047346785</v>
      </c>
      <c r="AV1179">
        <v>2.3286632182913752E-2</v>
      </c>
    </row>
    <row r="1180" spans="44:48" x14ac:dyDescent="0.2">
      <c r="AR1180">
        <v>1172</v>
      </c>
      <c r="AS1180">
        <v>263</v>
      </c>
      <c r="AT1180">
        <v>2</v>
      </c>
      <c r="AU1180">
        <v>-2.9601745734173335</v>
      </c>
      <c r="AV1180">
        <v>2.3567664488384005E-2</v>
      </c>
    </row>
    <row r="1181" spans="44:48" x14ac:dyDescent="0.2">
      <c r="AR1181">
        <v>1173</v>
      </c>
      <c r="AS1181">
        <v>264</v>
      </c>
      <c r="AT1181">
        <v>2</v>
      </c>
      <c r="AU1181">
        <v>-2.9292340420999867</v>
      </c>
      <c r="AV1181">
        <v>2.3850844668102049E-2</v>
      </c>
    </row>
    <row r="1182" spans="44:48" x14ac:dyDescent="0.2">
      <c r="AR1182">
        <v>1174</v>
      </c>
      <c r="AS1182">
        <v>265</v>
      </c>
      <c r="AT1182">
        <v>2</v>
      </c>
      <c r="AU1182">
        <v>-2.89829351078264</v>
      </c>
      <c r="AV1182">
        <v>2.4136168820595317E-2</v>
      </c>
    </row>
    <row r="1183" spans="44:48" x14ac:dyDescent="0.2">
      <c r="AR1183">
        <v>1175</v>
      </c>
      <c r="AS1183">
        <v>266</v>
      </c>
      <c r="AT1183">
        <v>2</v>
      </c>
      <c r="AU1183">
        <v>-2.8673529794652932</v>
      </c>
      <c r="AV1183">
        <v>2.4423632660227502E-2</v>
      </c>
    </row>
    <row r="1184" spans="44:48" x14ac:dyDescent="0.2">
      <c r="AR1184">
        <v>1176</v>
      </c>
      <c r="AS1184">
        <v>267</v>
      </c>
      <c r="AT1184">
        <v>2</v>
      </c>
      <c r="AU1184">
        <v>-2.8364124481479482</v>
      </c>
      <c r="AV1184">
        <v>2.471323151350209E-2</v>
      </c>
    </row>
    <row r="1185" spans="44:48" x14ac:dyDescent="0.2">
      <c r="AR1185">
        <v>1177</v>
      </c>
      <c r="AS1185">
        <v>268</v>
      </c>
      <c r="AT1185">
        <v>2</v>
      </c>
      <c r="AU1185">
        <v>-2.8054719168306015</v>
      </c>
      <c r="AV1185">
        <v>2.5004960315423565E-2</v>
      </c>
    </row>
    <row r="1186" spans="44:48" x14ac:dyDescent="0.2">
      <c r="AR1186">
        <v>1178</v>
      </c>
      <c r="AS1186">
        <v>269</v>
      </c>
      <c r="AT1186">
        <v>2</v>
      </c>
      <c r="AU1186">
        <v>-2.7745313855132547</v>
      </c>
      <c r="AV1186">
        <v>2.5298813605917979E-2</v>
      </c>
    </row>
    <row r="1187" spans="44:48" x14ac:dyDescent="0.2">
      <c r="AR1187">
        <v>1179</v>
      </c>
      <c r="AS1187">
        <v>270</v>
      </c>
      <c r="AT1187">
        <v>2</v>
      </c>
      <c r="AU1187">
        <v>-2.7435908541959098</v>
      </c>
      <c r="AV1187">
        <v>2.5594785526314869E-2</v>
      </c>
    </row>
    <row r="1188" spans="44:48" x14ac:dyDescent="0.2">
      <c r="AR1188">
        <v>1180</v>
      </c>
      <c r="AS1188">
        <v>271</v>
      </c>
      <c r="AT1188">
        <v>2</v>
      </c>
      <c r="AU1188">
        <v>-2.712650322878563</v>
      </c>
      <c r="AV1188">
        <v>2.5892869815892262E-2</v>
      </c>
    </row>
    <row r="1189" spans="44:48" x14ac:dyDescent="0.2">
      <c r="AR1189">
        <v>1181</v>
      </c>
      <c r="AS1189">
        <v>272</v>
      </c>
      <c r="AT1189">
        <v>2</v>
      </c>
      <c r="AU1189">
        <v>-2.6817097915612162</v>
      </c>
      <c r="AV1189">
        <v>2.6193059808486525E-2</v>
      </c>
    </row>
    <row r="1190" spans="44:48" x14ac:dyDescent="0.2">
      <c r="AR1190">
        <v>1182</v>
      </c>
      <c r="AS1190">
        <v>273</v>
      </c>
      <c r="AT1190">
        <v>2</v>
      </c>
      <c r="AU1190">
        <v>-2.6507692602438695</v>
      </c>
      <c r="AV1190">
        <v>2.6495348429169015E-2</v>
      </c>
    </row>
    <row r="1191" spans="44:48" x14ac:dyDescent="0.2">
      <c r="AR1191">
        <v>1183</v>
      </c>
      <c r="AS1191">
        <v>274</v>
      </c>
      <c r="AT1191">
        <v>2</v>
      </c>
      <c r="AU1191">
        <v>-2.6198287289265245</v>
      </c>
      <c r="AV1191">
        <v>2.6799728190991273E-2</v>
      </c>
    </row>
    <row r="1192" spans="44:48" x14ac:dyDescent="0.2">
      <c r="AR1192">
        <v>1184</v>
      </c>
      <c r="AS1192">
        <v>275</v>
      </c>
      <c r="AT1192">
        <v>2</v>
      </c>
      <c r="AU1192">
        <v>-2.5888881976091778</v>
      </c>
      <c r="AV1192">
        <v>2.7106191191800768E-2</v>
      </c>
    </row>
    <row r="1193" spans="44:48" x14ac:dyDescent="0.2">
      <c r="AR1193">
        <v>1185</v>
      </c>
      <c r="AS1193">
        <v>276</v>
      </c>
      <c r="AT1193">
        <v>2</v>
      </c>
      <c r="AU1193">
        <v>-2.557947666291831</v>
      </c>
      <c r="AV1193">
        <v>2.7414729111128518E-2</v>
      </c>
    </row>
    <row r="1194" spans="44:48" x14ac:dyDescent="0.2">
      <c r="AR1194">
        <v>1186</v>
      </c>
      <c r="AS1194">
        <v>277</v>
      </c>
      <c r="AT1194">
        <v>2</v>
      </c>
      <c r="AU1194">
        <v>-2.5270071349744843</v>
      </c>
      <c r="AV1194">
        <v>2.7725333207151058E-2</v>
      </c>
    </row>
    <row r="1195" spans="44:48" x14ac:dyDescent="0.2">
      <c r="AR1195">
        <v>1187</v>
      </c>
      <c r="AS1195">
        <v>278</v>
      </c>
      <c r="AT1195">
        <v>2</v>
      </c>
      <c r="AU1195">
        <v>-2.4960666036571393</v>
      </c>
      <c r="AV1195">
        <v>2.8037994313728012E-2</v>
      </c>
    </row>
    <row r="1196" spans="44:48" x14ac:dyDescent="0.2">
      <c r="AR1196">
        <v>1188</v>
      </c>
      <c r="AS1196">
        <v>279</v>
      </c>
      <c r="AT1196">
        <v>2</v>
      </c>
      <c r="AU1196">
        <v>-2.4651260723397925</v>
      </c>
      <c r="AV1196">
        <v>2.8352702837517441E-2</v>
      </c>
    </row>
    <row r="1197" spans="44:48" x14ac:dyDescent="0.2">
      <c r="AR1197">
        <v>1189</v>
      </c>
      <c r="AS1197">
        <v>280</v>
      </c>
      <c r="AT1197">
        <v>2</v>
      </c>
      <c r="AU1197">
        <v>-2.4341855410224458</v>
      </c>
      <c r="AV1197">
        <v>2.8669448755170364E-2</v>
      </c>
    </row>
    <row r="1198" spans="44:48" x14ac:dyDescent="0.2">
      <c r="AR1198">
        <v>1190</v>
      </c>
      <c r="AS1198">
        <v>281</v>
      </c>
      <c r="AT1198">
        <v>2</v>
      </c>
      <c r="AU1198">
        <v>-2.403245009705099</v>
      </c>
      <c r="AV1198">
        <v>2.8988221610606709E-2</v>
      </c>
    </row>
    <row r="1199" spans="44:48" x14ac:dyDescent="0.2">
      <c r="AR1199">
        <v>1191</v>
      </c>
      <c r="AS1199">
        <v>282</v>
      </c>
      <c r="AT1199">
        <v>2</v>
      </c>
      <c r="AU1199">
        <v>-2.372304478387754</v>
      </c>
      <c r="AV1199">
        <v>2.930901051237398E-2</v>
      </c>
    </row>
    <row r="1200" spans="44:48" x14ac:dyDescent="0.2">
      <c r="AR1200">
        <v>1192</v>
      </c>
      <c r="AS1200">
        <v>283</v>
      </c>
      <c r="AT1200">
        <v>2</v>
      </c>
      <c r="AU1200">
        <v>-2.3413639470704073</v>
      </c>
      <c r="AV1200">
        <v>2.9631804131090907E-2</v>
      </c>
    </row>
    <row r="1201" spans="44:48" x14ac:dyDescent="0.2">
      <c r="AR1201">
        <v>1193</v>
      </c>
      <c r="AS1201">
        <v>284</v>
      </c>
      <c r="AT1201">
        <v>2</v>
      </c>
      <c r="AU1201">
        <v>-2.3104234157530605</v>
      </c>
      <c r="AV1201">
        <v>2.9956590696977141E-2</v>
      </c>
    </row>
    <row r="1202" spans="44:48" x14ac:dyDescent="0.2">
      <c r="AR1202">
        <v>1194</v>
      </c>
      <c r="AS1202">
        <v>285</v>
      </c>
      <c r="AT1202">
        <v>2</v>
      </c>
      <c r="AU1202">
        <v>-2.2794828844357156</v>
      </c>
      <c r="AV1202">
        <v>3.0283357997471512E-2</v>
      </c>
    </row>
    <row r="1203" spans="44:48" x14ac:dyDescent="0.2">
      <c r="AR1203">
        <v>1195</v>
      </c>
      <c r="AS1203">
        <v>286</v>
      </c>
      <c r="AT1203">
        <v>2</v>
      </c>
      <c r="AU1203">
        <v>-2.2485423531183688</v>
      </c>
      <c r="AV1203">
        <v>3.0612093374940079E-2</v>
      </c>
    </row>
    <row r="1204" spans="44:48" x14ac:dyDescent="0.2">
      <c r="AR1204">
        <v>1196</v>
      </c>
      <c r="AS1204">
        <v>287</v>
      </c>
      <c r="AT1204">
        <v>2</v>
      </c>
      <c r="AU1204">
        <v>-2.2176018218010221</v>
      </c>
      <c r="AV1204">
        <v>3.0942783724475582E-2</v>
      </c>
    </row>
    <row r="1205" spans="44:48" x14ac:dyDescent="0.2">
      <c r="AR1205">
        <v>1197</v>
      </c>
      <c r="AS1205">
        <v>288</v>
      </c>
      <c r="AT1205">
        <v>2</v>
      </c>
      <c r="AU1205">
        <v>-2.1866612904836753</v>
      </c>
      <c r="AV1205">
        <v>3.1275415491790477E-2</v>
      </c>
    </row>
    <row r="1206" spans="44:48" x14ac:dyDescent="0.2">
      <c r="AR1206">
        <v>1198</v>
      </c>
      <c r="AS1206">
        <v>289</v>
      </c>
      <c r="AT1206">
        <v>2</v>
      </c>
      <c r="AU1206">
        <v>-2.1557207591663303</v>
      </c>
      <c r="AV1206">
        <v>3.1609974671204792E-2</v>
      </c>
    </row>
    <row r="1207" spans="44:48" x14ac:dyDescent="0.2">
      <c r="AR1207">
        <v>1199</v>
      </c>
      <c r="AS1207">
        <v>290</v>
      </c>
      <c r="AT1207">
        <v>2</v>
      </c>
      <c r="AU1207">
        <v>-2.1247802278489836</v>
      </c>
      <c r="AV1207">
        <v>3.1946446803730717E-2</v>
      </c>
    </row>
    <row r="1208" spans="44:48" x14ac:dyDescent="0.2">
      <c r="AR1208">
        <v>1200</v>
      </c>
      <c r="AS1208">
        <v>291</v>
      </c>
      <c r="AT1208">
        <v>2</v>
      </c>
      <c r="AU1208">
        <v>-2.0938396965316368</v>
      </c>
      <c r="AV1208">
        <v>3.2284816975255315E-2</v>
      </c>
    </row>
    <row r="1209" spans="44:48" x14ac:dyDescent="0.2">
      <c r="AR1209">
        <v>1201</v>
      </c>
      <c r="AS1209">
        <v>292</v>
      </c>
      <c r="AT1209">
        <v>2</v>
      </c>
      <c r="AU1209">
        <v>-2.0628991652142901</v>
      </c>
      <c r="AV1209">
        <v>3.2625069814823236E-2</v>
      </c>
    </row>
    <row r="1210" spans="44:48" x14ac:dyDescent="0.2">
      <c r="AR1210">
        <v>1202</v>
      </c>
      <c r="AS1210">
        <v>293</v>
      </c>
      <c r="AT1210">
        <v>2</v>
      </c>
      <c r="AU1210">
        <v>-2.0319586338969451</v>
      </c>
      <c r="AV1210">
        <v>3.2967189493020937E-2</v>
      </c>
    </row>
    <row r="1211" spans="44:48" x14ac:dyDescent="0.2">
      <c r="AR1211">
        <v>1203</v>
      </c>
      <c r="AS1211">
        <v>294</v>
      </c>
      <c r="AT1211">
        <v>2</v>
      </c>
      <c r="AU1211">
        <v>-2.0010181025795983</v>
      </c>
      <c r="AV1211">
        <v>3.331115972046407E-2</v>
      </c>
    </row>
    <row r="1212" spans="44:48" x14ac:dyDescent="0.2">
      <c r="AR1212">
        <v>1204</v>
      </c>
      <c r="AS1212">
        <v>295</v>
      </c>
      <c r="AT1212">
        <v>2</v>
      </c>
      <c r="AU1212">
        <v>-1.9700775712622516</v>
      </c>
      <c r="AV1212">
        <v>3.3656963746389192E-2</v>
      </c>
    </row>
    <row r="1213" spans="44:48" x14ac:dyDescent="0.2">
      <c r="AR1213">
        <v>1205</v>
      </c>
      <c r="AS1213">
        <v>296</v>
      </c>
      <c r="AT1213">
        <v>2</v>
      </c>
      <c r="AU1213">
        <v>-1.9391370399449066</v>
      </c>
      <c r="AV1213">
        <v>3.4004584357352069E-2</v>
      </c>
    </row>
    <row r="1214" spans="44:48" x14ac:dyDescent="0.2">
      <c r="AR1214">
        <v>1206</v>
      </c>
      <c r="AS1214">
        <v>297</v>
      </c>
      <c r="AT1214">
        <v>2</v>
      </c>
      <c r="AU1214">
        <v>-1.9081965086275599</v>
      </c>
      <c r="AV1214">
        <v>3.4354003876033483E-2</v>
      </c>
    </row>
    <row r="1215" spans="44:48" x14ac:dyDescent="0.2">
      <c r="AR1215">
        <v>1207</v>
      </c>
      <c r="AS1215">
        <v>298</v>
      </c>
      <c r="AT1215">
        <v>2</v>
      </c>
      <c r="AU1215">
        <v>-1.8772559773102131</v>
      </c>
      <c r="AV1215">
        <v>3.470520416015415E-2</v>
      </c>
    </row>
    <row r="1216" spans="44:48" x14ac:dyDescent="0.2">
      <c r="AR1216">
        <v>1208</v>
      </c>
      <c r="AS1216">
        <v>299</v>
      </c>
      <c r="AT1216">
        <v>2</v>
      </c>
      <c r="AU1216">
        <v>-1.8463154459928663</v>
      </c>
      <c r="AV1216">
        <v>3.5058166601500525E-2</v>
      </c>
    </row>
    <row r="1217" spans="44:48" x14ac:dyDescent="0.2">
      <c r="AR1217">
        <v>1209</v>
      </c>
      <c r="AS1217">
        <v>300</v>
      </c>
      <c r="AT1217">
        <v>2</v>
      </c>
      <c r="AU1217">
        <v>-1.8153749146755214</v>
      </c>
      <c r="AV1217">
        <v>3.5412872125062493E-2</v>
      </c>
    </row>
    <row r="1218" spans="44:48" x14ac:dyDescent="0.2">
      <c r="AR1218">
        <v>1210</v>
      </c>
      <c r="AS1218">
        <v>301</v>
      </c>
      <c r="AT1218">
        <v>2</v>
      </c>
      <c r="AU1218">
        <v>-1.7844343833581746</v>
      </c>
      <c r="AV1218">
        <v>3.5769301188284849E-2</v>
      </c>
    </row>
    <row r="1219" spans="44:48" x14ac:dyDescent="0.2">
      <c r="AR1219">
        <v>1211</v>
      </c>
      <c r="AS1219">
        <v>302</v>
      </c>
      <c r="AT1219">
        <v>2</v>
      </c>
      <c r="AU1219">
        <v>-1.7534938520408279</v>
      </c>
      <c r="AV1219">
        <v>3.6127433780433399E-2</v>
      </c>
    </row>
    <row r="1220" spans="44:48" x14ac:dyDescent="0.2">
      <c r="AR1220">
        <v>1212</v>
      </c>
      <c r="AS1220">
        <v>303</v>
      </c>
      <c r="AT1220">
        <v>2</v>
      </c>
      <c r="AU1220">
        <v>-1.7225533207234811</v>
      </c>
      <c r="AV1220">
        <v>3.6487249422077546E-2</v>
      </c>
    </row>
    <row r="1221" spans="44:48" x14ac:dyDescent="0.2">
      <c r="AR1221">
        <v>1213</v>
      </c>
      <c r="AS1221">
        <v>304</v>
      </c>
      <c r="AT1221">
        <v>2</v>
      </c>
      <c r="AU1221">
        <v>-1.6916127894061361</v>
      </c>
      <c r="AV1221">
        <v>3.6848727164690398E-2</v>
      </c>
    </row>
    <row r="1222" spans="44:48" x14ac:dyDescent="0.2">
      <c r="AR1222">
        <v>1214</v>
      </c>
      <c r="AS1222">
        <v>305</v>
      </c>
      <c r="AT1222">
        <v>2</v>
      </c>
      <c r="AU1222">
        <v>-1.6606722580887894</v>
      </c>
      <c r="AV1222">
        <v>3.7211845590367949E-2</v>
      </c>
    </row>
    <row r="1223" spans="44:48" x14ac:dyDescent="0.2">
      <c r="AR1223">
        <v>1215</v>
      </c>
      <c r="AS1223">
        <v>306</v>
      </c>
      <c r="AT1223">
        <v>2</v>
      </c>
      <c r="AU1223">
        <v>-1.6297317267714426</v>
      </c>
      <c r="AV1223">
        <v>3.7576582811668133E-2</v>
      </c>
    </row>
    <row r="1224" spans="44:48" x14ac:dyDescent="0.2">
      <c r="AR1224">
        <v>1216</v>
      </c>
      <c r="AS1224">
        <v>307</v>
      </c>
      <c r="AT1224">
        <v>2</v>
      </c>
      <c r="AU1224">
        <v>-1.5987911954540959</v>
      </c>
      <c r="AV1224">
        <v>3.7942916471571601E-2</v>
      </c>
    </row>
    <row r="1225" spans="44:48" x14ac:dyDescent="0.2">
      <c r="AR1225">
        <v>1217</v>
      </c>
      <c r="AS1225">
        <v>308</v>
      </c>
      <c r="AT1225">
        <v>2</v>
      </c>
      <c r="AU1225">
        <v>-1.5678506641367509</v>
      </c>
      <c r="AV1225">
        <v>3.8310823743565037E-2</v>
      </c>
    </row>
    <row r="1226" spans="44:48" x14ac:dyDescent="0.2">
      <c r="AR1226">
        <v>1218</v>
      </c>
      <c r="AS1226">
        <v>309</v>
      </c>
      <c r="AT1226">
        <v>2</v>
      </c>
      <c r="AU1226">
        <v>-1.5369101328194041</v>
      </c>
      <c r="AV1226">
        <v>3.8680281331848275E-2</v>
      </c>
    </row>
    <row r="1227" spans="44:48" x14ac:dyDescent="0.2">
      <c r="AR1227">
        <v>1219</v>
      </c>
      <c r="AS1227">
        <v>310</v>
      </c>
      <c r="AT1227">
        <v>2</v>
      </c>
      <c r="AU1227">
        <v>-1.5059696015020574</v>
      </c>
      <c r="AV1227">
        <v>3.9051265471666395E-2</v>
      </c>
    </row>
    <row r="1228" spans="44:48" x14ac:dyDescent="0.2">
      <c r="AR1228">
        <v>1220</v>
      </c>
      <c r="AS1228">
        <v>311</v>
      </c>
      <c r="AT1228">
        <v>2</v>
      </c>
      <c r="AU1228">
        <v>-1.4750290701847124</v>
      </c>
      <c r="AV1228">
        <v>3.9423751929767777E-2</v>
      </c>
    </row>
    <row r="1229" spans="44:48" x14ac:dyDescent="0.2">
      <c r="AR1229">
        <v>1221</v>
      </c>
      <c r="AS1229">
        <v>312</v>
      </c>
      <c r="AT1229">
        <v>2</v>
      </c>
      <c r="AU1229">
        <v>-1.4440885388673657</v>
      </c>
      <c r="AV1229">
        <v>3.9797716004989554E-2</v>
      </c>
    </row>
    <row r="1230" spans="44:48" x14ac:dyDescent="0.2">
      <c r="AR1230">
        <v>1222</v>
      </c>
      <c r="AS1230">
        <v>313</v>
      </c>
      <c r="AT1230">
        <v>2</v>
      </c>
      <c r="AU1230">
        <v>-1.4131480075500189</v>
      </c>
      <c r="AV1230">
        <v>4.0173132528970916E-2</v>
      </c>
    </row>
    <row r="1231" spans="44:48" x14ac:dyDescent="0.2">
      <c r="AR1231">
        <v>1223</v>
      </c>
      <c r="AS1231">
        <v>314</v>
      </c>
      <c r="AT1231">
        <v>2</v>
      </c>
      <c r="AU1231">
        <v>-1.3822074762326721</v>
      </c>
      <c r="AV1231">
        <v>4.0549975866995783E-2</v>
      </c>
    </row>
    <row r="1232" spans="44:48" x14ac:dyDescent="0.2">
      <c r="AR1232">
        <v>1224</v>
      </c>
      <c r="AS1232">
        <v>315</v>
      </c>
      <c r="AT1232">
        <v>2</v>
      </c>
      <c r="AU1232">
        <v>-1.3512669449153272</v>
      </c>
      <c r="AV1232">
        <v>4.0928219918965537E-2</v>
      </c>
    </row>
    <row r="1233" spans="44:48" x14ac:dyDescent="0.2">
      <c r="AR1233">
        <v>1225</v>
      </c>
      <c r="AS1233">
        <v>316</v>
      </c>
      <c r="AT1233">
        <v>2</v>
      </c>
      <c r="AU1233">
        <v>-1.3203264135979804</v>
      </c>
      <c r="AV1233">
        <v>4.1307838120502982E-2</v>
      </c>
    </row>
    <row r="1234" spans="44:48" x14ac:dyDescent="0.2">
      <c r="AR1234">
        <v>1226</v>
      </c>
      <c r="AS1234">
        <v>317</v>
      </c>
      <c r="AT1234">
        <v>2</v>
      </c>
      <c r="AU1234">
        <v>-1.2893858822806337</v>
      </c>
      <c r="AV1234">
        <v>4.1688803444187773E-2</v>
      </c>
    </row>
    <row r="1235" spans="44:48" x14ac:dyDescent="0.2">
      <c r="AR1235">
        <v>1227</v>
      </c>
      <c r="AS1235">
        <v>318</v>
      </c>
      <c r="AT1235">
        <v>2</v>
      </c>
      <c r="AU1235">
        <v>-1.2584453509632869</v>
      </c>
      <c r="AV1235">
        <v>4.2071088400925244E-2</v>
      </c>
    </row>
    <row r="1236" spans="44:48" x14ac:dyDescent="0.2">
      <c r="AR1236">
        <v>1228</v>
      </c>
      <c r="AS1236">
        <v>319</v>
      </c>
      <c r="AT1236">
        <v>2</v>
      </c>
      <c r="AU1236">
        <v>-1.2275048196459419</v>
      </c>
      <c r="AV1236">
        <v>4.2454665041448222E-2</v>
      </c>
    </row>
    <row r="1237" spans="44:48" x14ac:dyDescent="0.2">
      <c r="AR1237">
        <v>1229</v>
      </c>
      <c r="AS1237">
        <v>320</v>
      </c>
      <c r="AT1237">
        <v>2</v>
      </c>
      <c r="AU1237">
        <v>-1.1965642883285952</v>
      </c>
      <c r="AV1237">
        <v>4.2839504957953717E-2</v>
      </c>
    </row>
    <row r="1238" spans="44:48" x14ac:dyDescent="0.2">
      <c r="AR1238">
        <v>1230</v>
      </c>
      <c r="AS1238">
        <v>321</v>
      </c>
      <c r="AT1238">
        <v>2</v>
      </c>
      <c r="AU1238">
        <v>-1.1656237570112484</v>
      </c>
      <c r="AV1238">
        <v>4.3225579285874227E-2</v>
      </c>
    </row>
    <row r="1239" spans="44:48" x14ac:dyDescent="0.2">
      <c r="AR1239">
        <v>1231</v>
      </c>
      <c r="AS1239">
        <v>322</v>
      </c>
      <c r="AT1239">
        <v>2</v>
      </c>
      <c r="AU1239">
        <v>-1.1346832256939035</v>
      </c>
      <c r="AV1239">
        <v>4.3612858705784928E-2</v>
      </c>
    </row>
    <row r="1240" spans="44:48" x14ac:dyDescent="0.2">
      <c r="AR1240">
        <v>1232</v>
      </c>
      <c r="AS1240">
        <v>323</v>
      </c>
      <c r="AT1240">
        <v>2</v>
      </c>
      <c r="AU1240">
        <v>-1.1037426943765567</v>
      </c>
      <c r="AV1240">
        <v>4.4001313445447429E-2</v>
      </c>
    </row>
    <row r="1241" spans="44:48" x14ac:dyDescent="0.2">
      <c r="AR1241">
        <v>1233</v>
      </c>
      <c r="AS1241">
        <v>324</v>
      </c>
      <c r="AT1241">
        <v>2</v>
      </c>
      <c r="AU1241">
        <v>-1.0728021630592099</v>
      </c>
      <c r="AV1241">
        <v>4.4390913281990088E-2</v>
      </c>
    </row>
    <row r="1242" spans="44:48" x14ac:dyDescent="0.2">
      <c r="AR1242">
        <v>1234</v>
      </c>
      <c r="AS1242">
        <v>325</v>
      </c>
      <c r="AT1242">
        <v>2</v>
      </c>
      <c r="AU1242">
        <v>-1.0418616317418632</v>
      </c>
      <c r="AV1242">
        <v>4.4781627544226099E-2</v>
      </c>
    </row>
    <row r="1243" spans="44:48" x14ac:dyDescent="0.2">
      <c r="AR1243">
        <v>1235</v>
      </c>
      <c r="AS1243">
        <v>326</v>
      </c>
      <c r="AT1243">
        <v>2</v>
      </c>
      <c r="AU1243">
        <v>-1.0109211004245182</v>
      </c>
      <c r="AV1243">
        <v>4.5173425115109495E-2</v>
      </c>
    </row>
    <row r="1244" spans="44:48" x14ac:dyDescent="0.2">
      <c r="AR1244">
        <v>1236</v>
      </c>
      <c r="AS1244">
        <v>327</v>
      </c>
      <c r="AT1244">
        <v>2</v>
      </c>
      <c r="AU1244">
        <v>-0.97998056910717146</v>
      </c>
      <c r="AV1244">
        <v>4.5566274434329597E-2</v>
      </c>
    </row>
    <row r="1245" spans="44:48" x14ac:dyDescent="0.2">
      <c r="AR1245">
        <v>1237</v>
      </c>
      <c r="AS1245">
        <v>328</v>
      </c>
      <c r="AT1245">
        <v>2</v>
      </c>
      <c r="AU1245">
        <v>-0.94904003778982471</v>
      </c>
      <c r="AV1245">
        <v>4.5960143501044153E-2</v>
      </c>
    </row>
    <row r="1246" spans="44:48" x14ac:dyDescent="0.2">
      <c r="AR1246">
        <v>1238</v>
      </c>
      <c r="AS1246">
        <v>329</v>
      </c>
      <c r="AT1246">
        <v>2</v>
      </c>
      <c r="AU1246">
        <v>-0.91809950647247796</v>
      </c>
      <c r="AV1246">
        <v>4.6354999876751943E-2</v>
      </c>
    </row>
    <row r="1247" spans="44:48" x14ac:dyDescent="0.2">
      <c r="AR1247">
        <v>1239</v>
      </c>
      <c r="AS1247">
        <v>330</v>
      </c>
      <c r="AT1247">
        <v>2</v>
      </c>
      <c r="AU1247">
        <v>-0.88715897515513298</v>
      </c>
      <c r="AV1247">
        <v>4.6750810688304577E-2</v>
      </c>
    </row>
    <row r="1248" spans="44:48" x14ac:dyDescent="0.2">
      <c r="AR1248">
        <v>1240</v>
      </c>
      <c r="AS1248">
        <v>331</v>
      </c>
      <c r="AT1248">
        <v>2</v>
      </c>
      <c r="AU1248">
        <v>-0.85621844383778623</v>
      </c>
      <c r="AV1248">
        <v>4.7147542631058401E-2</v>
      </c>
    </row>
    <row r="1249" spans="44:48" x14ac:dyDescent="0.2">
      <c r="AR1249">
        <v>1241</v>
      </c>
      <c r="AS1249">
        <v>332</v>
      </c>
      <c r="AT1249">
        <v>2</v>
      </c>
      <c r="AU1249">
        <v>-0.82527791252043947</v>
      </c>
      <c r="AV1249">
        <v>4.754516197216601E-2</v>
      </c>
    </row>
    <row r="1250" spans="44:48" x14ac:dyDescent="0.2">
      <c r="AR1250">
        <v>1242</v>
      </c>
      <c r="AS1250">
        <v>333</v>
      </c>
      <c r="AT1250">
        <v>2</v>
      </c>
      <c r="AU1250">
        <v>-0.79433738120309272</v>
      </c>
      <c r="AV1250">
        <v>4.7943634554008165E-2</v>
      </c>
    </row>
    <row r="1251" spans="44:48" x14ac:dyDescent="0.2">
      <c r="AR1251">
        <v>1243</v>
      </c>
      <c r="AS1251">
        <v>334</v>
      </c>
      <c r="AT1251">
        <v>2</v>
      </c>
      <c r="AU1251">
        <v>-0.76339684988574774</v>
      </c>
      <c r="AV1251">
        <v>4.8342925797765786E-2</v>
      </c>
    </row>
    <row r="1252" spans="44:48" x14ac:dyDescent="0.2">
      <c r="AR1252">
        <v>1244</v>
      </c>
      <c r="AS1252">
        <v>335</v>
      </c>
      <c r="AT1252">
        <v>2</v>
      </c>
      <c r="AU1252">
        <v>-0.73245631856840099</v>
      </c>
      <c r="AV1252">
        <v>4.8743000707132444E-2</v>
      </c>
    </row>
    <row r="1253" spans="44:48" x14ac:dyDescent="0.2">
      <c r="AR1253">
        <v>1245</v>
      </c>
      <c r="AS1253">
        <v>336</v>
      </c>
      <c r="AT1253">
        <v>2</v>
      </c>
      <c r="AU1253">
        <v>-0.70151578725105423</v>
      </c>
      <c r="AV1253">
        <v>4.9143823872166863E-2</v>
      </c>
    </row>
    <row r="1254" spans="44:48" x14ac:dyDescent="0.2">
      <c r="AR1254">
        <v>1246</v>
      </c>
      <c r="AS1254">
        <v>337</v>
      </c>
      <c r="AT1254">
        <v>2</v>
      </c>
      <c r="AU1254">
        <v>-0.67057525593370926</v>
      </c>
      <c r="AV1254">
        <v>4.9545359473285991E-2</v>
      </c>
    </row>
    <row r="1255" spans="44:48" x14ac:dyDescent="0.2">
      <c r="AR1255">
        <v>1247</v>
      </c>
      <c r="AS1255">
        <v>338</v>
      </c>
      <c r="AT1255">
        <v>2</v>
      </c>
      <c r="AU1255">
        <v>-0.6396347246163625</v>
      </c>
      <c r="AV1255">
        <v>4.9947571285398153E-2</v>
      </c>
    </row>
    <row r="1256" spans="44:48" x14ac:dyDescent="0.2">
      <c r="AR1256">
        <v>1248</v>
      </c>
      <c r="AS1256">
        <v>339</v>
      </c>
      <c r="AT1256">
        <v>2</v>
      </c>
      <c r="AU1256">
        <v>-0.60869419329901575</v>
      </c>
      <c r="AV1256">
        <v>5.0350422682176064E-2</v>
      </c>
    </row>
    <row r="1257" spans="44:48" x14ac:dyDescent="0.2">
      <c r="AR1257">
        <v>1249</v>
      </c>
      <c r="AS1257">
        <v>340</v>
      </c>
      <c r="AT1257">
        <v>2</v>
      </c>
      <c r="AU1257">
        <v>-0.577753661981669</v>
      </c>
      <c r="AV1257">
        <v>5.0753876640470007E-2</v>
      </c>
    </row>
    <row r="1258" spans="44:48" x14ac:dyDescent="0.2">
      <c r="AR1258">
        <v>1250</v>
      </c>
      <c r="AS1258">
        <v>341</v>
      </c>
      <c r="AT1258">
        <v>2</v>
      </c>
      <c r="AU1258">
        <v>-0.54681313066432402</v>
      </c>
      <c r="AV1258">
        <v>5.115789574486021E-2</v>
      </c>
    </row>
    <row r="1259" spans="44:48" x14ac:dyDescent="0.2">
      <c r="AR1259">
        <v>1251</v>
      </c>
      <c r="AS1259">
        <v>342</v>
      </c>
      <c r="AT1259">
        <v>2</v>
      </c>
      <c r="AU1259">
        <v>-0.51587259934697727</v>
      </c>
      <c r="AV1259">
        <v>5.1562442192348935E-2</v>
      </c>
    </row>
    <row r="1260" spans="44:48" x14ac:dyDescent="0.2">
      <c r="AR1260">
        <v>1252</v>
      </c>
      <c r="AS1260">
        <v>343</v>
      </c>
      <c r="AT1260">
        <v>2</v>
      </c>
      <c r="AU1260">
        <v>-0.48493206802963051</v>
      </c>
      <c r="AV1260">
        <v>5.196747779719104E-2</v>
      </c>
    </row>
    <row r="1261" spans="44:48" x14ac:dyDescent="0.2">
      <c r="AR1261">
        <v>1253</v>
      </c>
      <c r="AS1261">
        <v>344</v>
      </c>
      <c r="AT1261">
        <v>2</v>
      </c>
      <c r="AU1261">
        <v>-0.45399153671228376</v>
      </c>
      <c r="AV1261">
        <v>5.2372963995863372E-2</v>
      </c>
    </row>
    <row r="1262" spans="44:48" x14ac:dyDescent="0.2">
      <c r="AR1262">
        <v>1254</v>
      </c>
      <c r="AS1262">
        <v>345</v>
      </c>
      <c r="AT1262">
        <v>2</v>
      </c>
      <c r="AU1262">
        <v>-0.42305100539493878</v>
      </c>
      <c r="AV1262">
        <v>5.2778861852172052E-2</v>
      </c>
    </row>
    <row r="1263" spans="44:48" x14ac:dyDescent="0.2">
      <c r="AR1263">
        <v>1255</v>
      </c>
      <c r="AS1263">
        <v>346</v>
      </c>
      <c r="AT1263">
        <v>2</v>
      </c>
      <c r="AU1263">
        <v>-0.39211047407759203</v>
      </c>
      <c r="AV1263">
        <v>5.3185132062497413E-2</v>
      </c>
    </row>
    <row r="1264" spans="44:48" x14ac:dyDescent="0.2">
      <c r="AR1264">
        <v>1256</v>
      </c>
      <c r="AS1264">
        <v>347</v>
      </c>
      <c r="AT1264">
        <v>2</v>
      </c>
      <c r="AU1264">
        <v>-0.36116994276024528</v>
      </c>
      <c r="AV1264">
        <v>5.3591734961175683E-2</v>
      </c>
    </row>
    <row r="1265" spans="44:48" x14ac:dyDescent="0.2">
      <c r="AR1265">
        <v>1257</v>
      </c>
      <c r="AS1265">
        <v>348</v>
      </c>
      <c r="AT1265">
        <v>2</v>
      </c>
      <c r="AU1265">
        <v>-0.3302294114429003</v>
      </c>
      <c r="AV1265">
        <v>5.399863052601718E-2</v>
      </c>
    </row>
    <row r="1266" spans="44:48" x14ac:dyDescent="0.2">
      <c r="AR1266">
        <v>1258</v>
      </c>
      <c r="AS1266">
        <v>349</v>
      </c>
      <c r="AT1266">
        <v>2</v>
      </c>
      <c r="AU1266">
        <v>-0.29928888012555355</v>
      </c>
      <c r="AV1266">
        <v>5.4405778383960109E-2</v>
      </c>
    </row>
    <row r="1267" spans="44:48" x14ac:dyDescent="0.2">
      <c r="AR1267">
        <v>1259</v>
      </c>
      <c r="AS1267">
        <v>350</v>
      </c>
      <c r="AT1267">
        <v>2</v>
      </c>
      <c r="AU1267">
        <v>-0.26834834880820679</v>
      </c>
      <c r="AV1267">
        <v>5.4813137816859071E-2</v>
      </c>
    </row>
    <row r="1268" spans="44:48" x14ac:dyDescent="0.2">
      <c r="AR1268">
        <v>1260</v>
      </c>
      <c r="AS1268">
        <v>351</v>
      </c>
      <c r="AT1268">
        <v>2</v>
      </c>
      <c r="AU1268">
        <v>-0.23740781749086004</v>
      </c>
      <c r="AV1268">
        <v>5.522066776740802E-2</v>
      </c>
    </row>
    <row r="1269" spans="44:48" x14ac:dyDescent="0.2">
      <c r="AR1269">
        <v>1261</v>
      </c>
      <c r="AS1269">
        <v>352</v>
      </c>
      <c r="AT1269">
        <v>2</v>
      </c>
      <c r="AU1269">
        <v>-0.20646728617351506</v>
      </c>
      <c r="AV1269">
        <v>5.562832684519612E-2</v>
      </c>
    </row>
    <row r="1270" spans="44:48" x14ac:dyDescent="0.2">
      <c r="AR1270">
        <v>1262</v>
      </c>
      <c r="AS1270">
        <v>353</v>
      </c>
      <c r="AT1270">
        <v>2</v>
      </c>
      <c r="AU1270">
        <v>-0.17552675485616831</v>
      </c>
      <c r="AV1270">
        <v>5.6036073332896272E-2</v>
      </c>
    </row>
    <row r="1271" spans="44:48" x14ac:dyDescent="0.2">
      <c r="AR1271">
        <v>1263</v>
      </c>
      <c r="AS1271">
        <v>354</v>
      </c>
      <c r="AT1271">
        <v>2</v>
      </c>
      <c r="AU1271">
        <v>-0.14458622353882156</v>
      </c>
      <c r="AV1271">
        <v>5.6443865192584708E-2</v>
      </c>
    </row>
    <row r="1272" spans="44:48" x14ac:dyDescent="0.2">
      <c r="AR1272">
        <v>1264</v>
      </c>
      <c r="AS1272">
        <v>355</v>
      </c>
      <c r="AT1272">
        <v>2</v>
      </c>
      <c r="AU1272">
        <v>-0.1136456922214748</v>
      </c>
      <c r="AV1272">
        <v>5.6851660072191286E-2</v>
      </c>
    </row>
    <row r="1273" spans="44:48" x14ac:dyDescent="0.2">
      <c r="AR1273">
        <v>1265</v>
      </c>
      <c r="AS1273">
        <v>356</v>
      </c>
      <c r="AT1273">
        <v>2</v>
      </c>
      <c r="AU1273">
        <v>-8.2705160904129826E-2</v>
      </c>
      <c r="AV1273">
        <v>5.7259415312078808E-2</v>
      </c>
    </row>
    <row r="1274" spans="44:48" x14ac:dyDescent="0.2">
      <c r="AR1274">
        <v>1266</v>
      </c>
      <c r="AS1274">
        <v>357</v>
      </c>
      <c r="AT1274">
        <v>2</v>
      </c>
      <c r="AU1274">
        <v>-5.1764629586783073E-2</v>
      </c>
      <c r="AV1274">
        <v>5.7667087951750851E-2</v>
      </c>
    </row>
    <row r="1275" spans="44:48" x14ac:dyDescent="0.2">
      <c r="AR1275">
        <v>1267</v>
      </c>
      <c r="AS1275">
        <v>358</v>
      </c>
      <c r="AT1275">
        <v>2</v>
      </c>
      <c r="AU1275">
        <v>-2.082409826943632E-2</v>
      </c>
      <c r="AV1275">
        <v>5.8074634736686163E-2</v>
      </c>
    </row>
    <row r="1276" spans="44:48" x14ac:dyDescent="0.2">
      <c r="AR1276">
        <v>1268</v>
      </c>
      <c r="AS1276">
        <v>359</v>
      </c>
      <c r="AT1276">
        <v>2</v>
      </c>
      <c r="AU1276">
        <v>1.0116433047910434E-2</v>
      </c>
      <c r="AV1276">
        <v>5.8482012125299243E-2</v>
      </c>
    </row>
    <row r="1277" spans="44:48" x14ac:dyDescent="0.2">
      <c r="AR1277">
        <v>1269</v>
      </c>
      <c r="AS1277">
        <v>360</v>
      </c>
      <c r="AT1277">
        <v>2</v>
      </c>
      <c r="AU1277">
        <v>4.1056964365255411E-2</v>
      </c>
      <c r="AV1277">
        <v>5.8889176296025157E-2</v>
      </c>
    </row>
    <row r="1278" spans="44:48" x14ac:dyDescent="0.2">
      <c r="AR1278">
        <v>1270</v>
      </c>
      <c r="AS1278">
        <v>361</v>
      </c>
      <c r="AT1278">
        <v>2</v>
      </c>
      <c r="AU1278">
        <v>7.1997495682602164E-2</v>
      </c>
      <c r="AV1278">
        <v>5.9296083154527661E-2</v>
      </c>
    </row>
    <row r="1279" spans="44:48" x14ac:dyDescent="0.2">
      <c r="AR1279">
        <v>1271</v>
      </c>
      <c r="AS1279">
        <v>362</v>
      </c>
      <c r="AT1279">
        <v>2</v>
      </c>
      <c r="AU1279">
        <v>0.10293802699994892</v>
      </c>
      <c r="AV1279">
        <v>5.9702688341028799E-2</v>
      </c>
    </row>
    <row r="1280" spans="44:48" x14ac:dyDescent="0.2">
      <c r="AR1280">
        <v>1272</v>
      </c>
      <c r="AS1280">
        <v>363</v>
      </c>
      <c r="AT1280">
        <v>2</v>
      </c>
      <c r="AU1280">
        <v>0.13387855831729389</v>
      </c>
      <c r="AV1280">
        <v>6.0108947237758989E-2</v>
      </c>
    </row>
    <row r="1281" spans="44:48" x14ac:dyDescent="0.2">
      <c r="AR1281">
        <v>1273</v>
      </c>
      <c r="AS1281">
        <v>364</v>
      </c>
      <c r="AT1281">
        <v>2</v>
      </c>
      <c r="AU1281">
        <v>0.16481908963464065</v>
      </c>
      <c r="AV1281">
        <v>6.0514814976526006E-2</v>
      </c>
    </row>
    <row r="1282" spans="44:48" x14ac:dyDescent="0.2">
      <c r="AR1282">
        <v>1274</v>
      </c>
      <c r="AS1282">
        <v>365</v>
      </c>
      <c r="AT1282">
        <v>2</v>
      </c>
      <c r="AU1282">
        <v>0.1957596209519874</v>
      </c>
      <c r="AV1282">
        <v>6.0920246446400782E-2</v>
      </c>
    </row>
    <row r="1283" spans="44:48" x14ac:dyDescent="0.2">
      <c r="AR1283">
        <v>1275</v>
      </c>
      <c r="AS1283">
        <v>366</v>
      </c>
      <c r="AT1283">
        <v>2</v>
      </c>
      <c r="AU1283">
        <v>0.22670015226933415</v>
      </c>
      <c r="AV1283">
        <v>6.1325196301519093E-2</v>
      </c>
    </row>
    <row r="1284" spans="44:48" x14ac:dyDescent="0.2">
      <c r="AR1284">
        <v>1276</v>
      </c>
      <c r="AS1284">
        <v>367</v>
      </c>
      <c r="AT1284">
        <v>2</v>
      </c>
      <c r="AU1284">
        <v>0.25764068358667913</v>
      </c>
      <c r="AV1284">
        <v>6.1729618968997139E-2</v>
      </c>
    </row>
    <row r="1285" spans="44:48" x14ac:dyDescent="0.2">
      <c r="AR1285">
        <v>1277</v>
      </c>
      <c r="AS1285">
        <v>368</v>
      </c>
      <c r="AT1285">
        <v>2</v>
      </c>
      <c r="AU1285">
        <v>0.28858121490402588</v>
      </c>
      <c r="AV1285">
        <v>6.2133468656959408E-2</v>
      </c>
    </row>
    <row r="1286" spans="44:48" x14ac:dyDescent="0.2">
      <c r="AR1286">
        <v>1278</v>
      </c>
      <c r="AS1286">
        <v>369</v>
      </c>
      <c r="AT1286">
        <v>2</v>
      </c>
      <c r="AU1286">
        <v>0.31952174622137264</v>
      </c>
      <c r="AV1286">
        <v>6.2536699362676612E-2</v>
      </c>
    </row>
    <row r="1287" spans="44:48" x14ac:dyDescent="0.2">
      <c r="AR1287">
        <v>1279</v>
      </c>
      <c r="AS1287">
        <v>370</v>
      </c>
      <c r="AT1287">
        <v>2</v>
      </c>
      <c r="AU1287">
        <v>0.35046227753871939</v>
      </c>
      <c r="AV1287">
        <v>6.2939264880812709E-2</v>
      </c>
    </row>
    <row r="1288" spans="44:48" x14ac:dyDescent="0.2">
      <c r="AR1288">
        <v>1280</v>
      </c>
      <c r="AS1288">
        <v>371</v>
      </c>
      <c r="AT1288">
        <v>2</v>
      </c>
      <c r="AU1288">
        <v>0.38140280885606437</v>
      </c>
      <c r="AV1288">
        <v>6.3341118811778271E-2</v>
      </c>
    </row>
    <row r="1289" spans="44:48" x14ac:dyDescent="0.2">
      <c r="AR1289">
        <v>1281</v>
      </c>
      <c r="AS1289">
        <v>372</v>
      </c>
      <c r="AT1289">
        <v>2</v>
      </c>
      <c r="AU1289">
        <v>0.41234334017341112</v>
      </c>
      <c r="AV1289">
        <v>6.3742214570188971E-2</v>
      </c>
    </row>
    <row r="1290" spans="44:48" x14ac:dyDescent="0.2">
      <c r="AR1290">
        <v>1282</v>
      </c>
      <c r="AS1290">
        <v>373</v>
      </c>
      <c r="AT1290">
        <v>2</v>
      </c>
      <c r="AU1290">
        <v>0.44328387149075787</v>
      </c>
      <c r="AV1290">
        <v>6.4142505393426627E-2</v>
      </c>
    </row>
    <row r="1291" spans="44:48" x14ac:dyDescent="0.2">
      <c r="AR1291">
        <v>1283</v>
      </c>
      <c r="AS1291">
        <v>374</v>
      </c>
      <c r="AT1291">
        <v>2</v>
      </c>
      <c r="AU1291">
        <v>0.47422440280810285</v>
      </c>
      <c r="AV1291">
        <v>6.4541944350301056E-2</v>
      </c>
    </row>
    <row r="1292" spans="44:48" x14ac:dyDescent="0.2">
      <c r="AR1292">
        <v>1284</v>
      </c>
      <c r="AS1292">
        <v>375</v>
      </c>
      <c r="AT1292">
        <v>2</v>
      </c>
      <c r="AU1292">
        <v>0.50516493412544961</v>
      </c>
      <c r="AV1292">
        <v>6.4940484349810992E-2</v>
      </c>
    </row>
    <row r="1293" spans="44:48" x14ac:dyDescent="0.2">
      <c r="AR1293">
        <v>1285</v>
      </c>
      <c r="AS1293">
        <v>376</v>
      </c>
      <c r="AT1293">
        <v>2</v>
      </c>
      <c r="AU1293">
        <v>0.53610546544279636</v>
      </c>
      <c r="AV1293">
        <v>6.5338078150000936E-2</v>
      </c>
    </row>
    <row r="1294" spans="44:48" x14ac:dyDescent="0.2">
      <c r="AR1294">
        <v>1286</v>
      </c>
      <c r="AS1294">
        <v>377</v>
      </c>
      <c r="AT1294">
        <v>2</v>
      </c>
      <c r="AU1294">
        <v>0.56704599676014311</v>
      </c>
      <c r="AV1294">
        <v>6.5734678366913116E-2</v>
      </c>
    </row>
    <row r="1295" spans="44:48" x14ac:dyDescent="0.2">
      <c r="AR1295">
        <v>1287</v>
      </c>
      <c r="AS1295">
        <v>378</v>
      </c>
      <c r="AT1295">
        <v>2</v>
      </c>
      <c r="AU1295">
        <v>0.59798652807748809</v>
      </c>
      <c r="AV1295">
        <v>6.613023748363106E-2</v>
      </c>
    </row>
    <row r="1296" spans="44:48" x14ac:dyDescent="0.2">
      <c r="AR1296">
        <v>1288</v>
      </c>
      <c r="AS1296">
        <v>379</v>
      </c>
      <c r="AT1296">
        <v>2</v>
      </c>
      <c r="AU1296">
        <v>0.62892705939483484</v>
      </c>
      <c r="AV1296">
        <v>6.6524707859413459E-2</v>
      </c>
    </row>
    <row r="1297" spans="44:48" x14ac:dyDescent="0.2">
      <c r="AR1297">
        <v>1289</v>
      </c>
      <c r="AS1297">
        <v>380</v>
      </c>
      <c r="AT1297">
        <v>2</v>
      </c>
      <c r="AU1297">
        <v>0.6598675907121816</v>
      </c>
      <c r="AV1297">
        <v>6.6918041738915288E-2</v>
      </c>
    </row>
    <row r="1298" spans="44:48" x14ac:dyDescent="0.2">
      <c r="AR1298">
        <v>1290</v>
      </c>
      <c r="AS1298">
        <v>381</v>
      </c>
      <c r="AT1298">
        <v>2</v>
      </c>
      <c r="AU1298">
        <v>0.69080812202952835</v>
      </c>
      <c r="AV1298">
        <v>6.7310191261494456E-2</v>
      </c>
    </row>
    <row r="1299" spans="44:48" x14ac:dyDescent="0.2">
      <c r="AR1299">
        <v>1291</v>
      </c>
      <c r="AS1299">
        <v>382</v>
      </c>
      <c r="AT1299">
        <v>2</v>
      </c>
      <c r="AU1299">
        <v>0.72174865334687333</v>
      </c>
      <c r="AV1299">
        <v>6.7701108470600929E-2</v>
      </c>
    </row>
    <row r="1300" spans="44:48" x14ac:dyDescent="0.2">
      <c r="AR1300">
        <v>1292</v>
      </c>
      <c r="AS1300">
        <v>383</v>
      </c>
      <c r="AT1300">
        <v>2</v>
      </c>
      <c r="AU1300">
        <v>0.75268918466422008</v>
      </c>
      <c r="AV1300">
        <v>6.8090745323246618E-2</v>
      </c>
    </row>
    <row r="1301" spans="44:48" x14ac:dyDescent="0.2">
      <c r="AR1301">
        <v>1293</v>
      </c>
      <c r="AS1301">
        <v>384</v>
      </c>
      <c r="AT1301">
        <v>2</v>
      </c>
      <c r="AU1301">
        <v>0.78362971598156683</v>
      </c>
      <c r="AV1301">
        <v>6.8479053699552608E-2</v>
      </c>
    </row>
    <row r="1302" spans="44:48" x14ac:dyDescent="0.2">
      <c r="AR1302">
        <v>1294</v>
      </c>
      <c r="AS1302">
        <v>385</v>
      </c>
      <c r="AT1302">
        <v>2</v>
      </c>
      <c r="AU1302">
        <v>0.81457024729891181</v>
      </c>
      <c r="AV1302">
        <v>6.8865985412372058E-2</v>
      </c>
    </row>
    <row r="1303" spans="44:48" x14ac:dyDescent="0.2">
      <c r="AR1303">
        <v>1295</v>
      </c>
      <c r="AS1303">
        <v>386</v>
      </c>
      <c r="AT1303">
        <v>2</v>
      </c>
      <c r="AU1303">
        <v>0.84551077861625856</v>
      </c>
      <c r="AV1303">
        <v>6.9251492216985816E-2</v>
      </c>
    </row>
    <row r="1304" spans="44:48" x14ac:dyDescent="0.2">
      <c r="AR1304">
        <v>1296</v>
      </c>
      <c r="AS1304">
        <v>387</v>
      </c>
      <c r="AT1304">
        <v>2</v>
      </c>
      <c r="AU1304">
        <v>0.87645130993360532</v>
      </c>
      <c r="AV1304">
        <v>6.9635525820867794E-2</v>
      </c>
    </row>
    <row r="1305" spans="44:48" x14ac:dyDescent="0.2">
      <c r="AR1305">
        <v>1297</v>
      </c>
      <c r="AS1305">
        <v>388</v>
      </c>
      <c r="AT1305">
        <v>2</v>
      </c>
      <c r="AU1305">
        <v>0.90739184125095207</v>
      </c>
      <c r="AV1305">
        <v>7.0018037893518154E-2</v>
      </c>
    </row>
    <row r="1306" spans="44:48" x14ac:dyDescent="0.2">
      <c r="AR1306">
        <v>1298</v>
      </c>
      <c r="AS1306">
        <v>389</v>
      </c>
      <c r="AT1306">
        <v>2</v>
      </c>
      <c r="AU1306">
        <v>0.93833237256829705</v>
      </c>
      <c r="AV1306">
        <v>7.0398980076360917E-2</v>
      </c>
    </row>
    <row r="1307" spans="44:48" x14ac:dyDescent="0.2">
      <c r="AR1307">
        <v>1299</v>
      </c>
      <c r="AS1307">
        <v>390</v>
      </c>
      <c r="AT1307">
        <v>2</v>
      </c>
      <c r="AU1307">
        <v>0.9692729038856438</v>
      </c>
      <c r="AV1307">
        <v>7.0778303992703809E-2</v>
      </c>
    </row>
    <row r="1308" spans="44:48" x14ac:dyDescent="0.2">
      <c r="AR1308">
        <v>1300</v>
      </c>
      <c r="AS1308">
        <v>391</v>
      </c>
      <c r="AT1308">
        <v>2</v>
      </c>
      <c r="AU1308">
        <v>1.0002134352029906</v>
      </c>
      <c r="AV1308">
        <v>7.1155961257757E-2</v>
      </c>
    </row>
    <row r="1309" spans="44:48" x14ac:dyDescent="0.2">
      <c r="AR1309">
        <v>1301</v>
      </c>
      <c r="AS1309">
        <v>392</v>
      </c>
      <c r="AT1309">
        <v>2</v>
      </c>
      <c r="AU1309">
        <v>1.0311539665203373</v>
      </c>
      <c r="AV1309">
        <v>7.1531903488708373E-2</v>
      </c>
    </row>
    <row r="1310" spans="44:48" x14ac:dyDescent="0.2">
      <c r="AR1310">
        <v>1302</v>
      </c>
      <c r="AS1310">
        <v>393</v>
      </c>
      <c r="AT1310">
        <v>2</v>
      </c>
      <c r="AU1310">
        <v>1.0620944978376823</v>
      </c>
      <c r="AV1310">
        <v>7.1906082314852279E-2</v>
      </c>
    </row>
    <row r="1311" spans="44:48" x14ac:dyDescent="0.2">
      <c r="AR1311">
        <v>1303</v>
      </c>
      <c r="AS1311">
        <v>394</v>
      </c>
      <c r="AT1311">
        <v>2</v>
      </c>
      <c r="AU1311">
        <v>1.093035029155029</v>
      </c>
      <c r="AV1311">
        <v>7.227844938776895E-2</v>
      </c>
    </row>
    <row r="1312" spans="44:48" x14ac:dyDescent="0.2">
      <c r="AR1312">
        <v>1304</v>
      </c>
      <c r="AS1312">
        <v>395</v>
      </c>
      <c r="AT1312">
        <v>2</v>
      </c>
      <c r="AU1312">
        <v>1.1239755604723758</v>
      </c>
      <c r="AV1312">
        <v>7.26489563915515E-2</v>
      </c>
    </row>
    <row r="1313" spans="44:48" x14ac:dyDescent="0.2">
      <c r="AR1313">
        <v>1305</v>
      </c>
      <c r="AS1313">
        <v>396</v>
      </c>
      <c r="AT1313">
        <v>2</v>
      </c>
      <c r="AU1313">
        <v>1.1549160917897225</v>
      </c>
      <c r="AV1313">
        <v>7.3017555053077651E-2</v>
      </c>
    </row>
    <row r="1314" spans="44:48" x14ac:dyDescent="0.2">
      <c r="AR1314">
        <v>1306</v>
      </c>
      <c r="AS1314">
        <v>397</v>
      </c>
      <c r="AT1314">
        <v>2</v>
      </c>
      <c r="AU1314">
        <v>1.1858566231070675</v>
      </c>
      <c r="AV1314">
        <v>7.3384197152323305E-2</v>
      </c>
    </row>
    <row r="1315" spans="44:48" x14ac:dyDescent="0.2">
      <c r="AR1315">
        <v>1307</v>
      </c>
      <c r="AS1315">
        <v>398</v>
      </c>
      <c r="AT1315">
        <v>2</v>
      </c>
      <c r="AU1315">
        <v>1.2167971544244143</v>
      </c>
      <c r="AV1315">
        <v>7.374883453271483E-2</v>
      </c>
    </row>
    <row r="1316" spans="44:48" x14ac:dyDescent="0.2">
      <c r="AR1316">
        <v>1308</v>
      </c>
      <c r="AS1316">
        <v>399</v>
      </c>
      <c r="AT1316">
        <v>2</v>
      </c>
      <c r="AU1316">
        <v>1.247737685741761</v>
      </c>
      <c r="AV1316">
        <v>7.4111419111516835E-2</v>
      </c>
    </row>
    <row r="1317" spans="44:48" x14ac:dyDescent="0.2">
      <c r="AR1317">
        <v>1309</v>
      </c>
      <c r="AS1317">
        <v>400</v>
      </c>
      <c r="AT1317">
        <v>2</v>
      </c>
      <c r="AU1317">
        <v>1.278678217059106</v>
      </c>
      <c r="AV1317">
        <v>7.4471902890252684E-2</v>
      </c>
    </row>
    <row r="1318" spans="44:48" x14ac:dyDescent="0.2">
      <c r="AR1318">
        <v>1310</v>
      </c>
      <c r="AS1318">
        <v>401</v>
      </c>
      <c r="AT1318">
        <v>2</v>
      </c>
      <c r="AU1318">
        <v>1.3096187483764528</v>
      </c>
      <c r="AV1318">
        <v>7.4830237965154658E-2</v>
      </c>
    </row>
    <row r="1319" spans="44:48" x14ac:dyDescent="0.2">
      <c r="AR1319">
        <v>1311</v>
      </c>
      <c r="AS1319">
        <v>402</v>
      </c>
      <c r="AT1319">
        <v>2</v>
      </c>
      <c r="AU1319">
        <v>1.3405592796937995</v>
      </c>
      <c r="AV1319">
        <v>7.518637653763996E-2</v>
      </c>
    </row>
    <row r="1320" spans="44:48" x14ac:dyDescent="0.2">
      <c r="AR1320">
        <v>1312</v>
      </c>
      <c r="AS1320">
        <v>403</v>
      </c>
      <c r="AT1320">
        <v>2</v>
      </c>
      <c r="AU1320">
        <v>1.3714998110111463</v>
      </c>
      <c r="AV1320">
        <v>7.5540270924810485E-2</v>
      </c>
    </row>
    <row r="1321" spans="44:48" x14ac:dyDescent="0.2">
      <c r="AR1321">
        <v>1313</v>
      </c>
      <c r="AS1321">
        <v>404</v>
      </c>
      <c r="AT1321">
        <v>2</v>
      </c>
      <c r="AU1321">
        <v>1.4024403423284912</v>
      </c>
      <c r="AV1321">
        <v>7.5891873569972193E-2</v>
      </c>
    </row>
    <row r="1322" spans="44:48" x14ac:dyDescent="0.2">
      <c r="AR1322">
        <v>1314</v>
      </c>
      <c r="AS1322">
        <v>405</v>
      </c>
      <c r="AT1322">
        <v>2</v>
      </c>
      <c r="AU1322">
        <v>1.433380873645838</v>
      </c>
      <c r="AV1322">
        <v>7.6241137053171593E-2</v>
      </c>
    </row>
    <row r="1323" spans="44:48" x14ac:dyDescent="0.2">
      <c r="AR1323">
        <v>1315</v>
      </c>
      <c r="AS1323">
        <v>406</v>
      </c>
      <c r="AT1323">
        <v>2</v>
      </c>
      <c r="AU1323">
        <v>1.4643214049631847</v>
      </c>
      <c r="AV1323">
        <v>7.6588014101745455E-2</v>
      </c>
    </row>
    <row r="1324" spans="44:48" x14ac:dyDescent="0.2">
      <c r="AR1324">
        <v>1316</v>
      </c>
      <c r="AS1324">
        <v>407</v>
      </c>
      <c r="AT1324">
        <v>2</v>
      </c>
      <c r="AU1324">
        <v>1.4952619362805315</v>
      </c>
      <c r="AV1324">
        <v>7.6932457600881299E-2</v>
      </c>
    </row>
    <row r="1325" spans="44:48" x14ac:dyDescent="0.2">
      <c r="AR1325">
        <v>1317</v>
      </c>
      <c r="AS1325">
        <v>408</v>
      </c>
      <c r="AT1325">
        <v>2</v>
      </c>
      <c r="AU1325">
        <v>1.5262024675978765</v>
      </c>
      <c r="AV1325">
        <v>7.7274420604184491E-2</v>
      </c>
    </row>
    <row r="1326" spans="44:48" x14ac:dyDescent="0.2">
      <c r="AR1326">
        <v>1318</v>
      </c>
      <c r="AS1326">
        <v>409</v>
      </c>
      <c r="AT1326">
        <v>2</v>
      </c>
      <c r="AU1326">
        <v>1.5571429989152232</v>
      </c>
      <c r="AV1326">
        <v>7.7613856344249568E-2</v>
      </c>
    </row>
    <row r="1327" spans="44:48" x14ac:dyDescent="0.2">
      <c r="AR1327">
        <v>1319</v>
      </c>
      <c r="AS1327">
        <v>410</v>
      </c>
      <c r="AT1327">
        <v>2</v>
      </c>
      <c r="AU1327">
        <v>1.58808353023257</v>
      </c>
      <c r="AV1327">
        <v>7.7950718243231729E-2</v>
      </c>
    </row>
    <row r="1328" spans="44:48" x14ac:dyDescent="0.2">
      <c r="AR1328">
        <v>1320</v>
      </c>
      <c r="AS1328">
        <v>411</v>
      </c>
      <c r="AT1328">
        <v>2</v>
      </c>
      <c r="AU1328">
        <v>1.619024061549915</v>
      </c>
      <c r="AV1328">
        <v>7.8284959923415651E-2</v>
      </c>
    </row>
    <row r="1329" spans="44:48" x14ac:dyDescent="0.2">
      <c r="AR1329">
        <v>1321</v>
      </c>
      <c r="AS1329">
        <v>412</v>
      </c>
      <c r="AT1329">
        <v>2</v>
      </c>
      <c r="AU1329">
        <v>1.6499645928672617</v>
      </c>
      <c r="AV1329">
        <v>7.8616535217778227E-2</v>
      </c>
    </row>
    <row r="1330" spans="44:48" x14ac:dyDescent="0.2">
      <c r="AR1330">
        <v>1322</v>
      </c>
      <c r="AS1330">
        <v>413</v>
      </c>
      <c r="AT1330">
        <v>2</v>
      </c>
      <c r="AU1330">
        <v>1.6809051241846085</v>
      </c>
      <c r="AV1330">
        <v>7.8945398180541637E-2</v>
      </c>
    </row>
    <row r="1331" spans="44:48" x14ac:dyDescent="0.2">
      <c r="AR1331">
        <v>1323</v>
      </c>
      <c r="AS1331">
        <v>414</v>
      </c>
      <c r="AT1331">
        <v>2</v>
      </c>
      <c r="AU1331">
        <v>1.7118456555019552</v>
      </c>
      <c r="AV1331">
        <v>7.9271503097713719E-2</v>
      </c>
    </row>
    <row r="1332" spans="44:48" x14ac:dyDescent="0.2">
      <c r="AR1332">
        <v>1324</v>
      </c>
      <c r="AS1332">
        <v>415</v>
      </c>
      <c r="AT1332">
        <v>2</v>
      </c>
      <c r="AU1332">
        <v>1.7427861868193002</v>
      </c>
      <c r="AV1332">
        <v>7.9594804497612151E-2</v>
      </c>
    </row>
    <row r="1333" spans="44:48" x14ac:dyDescent="0.2">
      <c r="AR1333">
        <v>1325</v>
      </c>
      <c r="AS1333">
        <v>416</v>
      </c>
      <c r="AT1333">
        <v>2</v>
      </c>
      <c r="AU1333">
        <v>1.773726718136647</v>
      </c>
      <c r="AV1333">
        <v>7.9915257161369088E-2</v>
      </c>
    </row>
    <row r="1334" spans="44:48" x14ac:dyDescent="0.2">
      <c r="AR1334">
        <v>1326</v>
      </c>
      <c r="AS1334">
        <v>417</v>
      </c>
      <c r="AT1334">
        <v>2</v>
      </c>
      <c r="AU1334">
        <v>1.8046672494539937</v>
      </c>
      <c r="AV1334">
        <v>8.0232816133412696E-2</v>
      </c>
    </row>
    <row r="1335" spans="44:48" x14ac:dyDescent="0.2">
      <c r="AR1335">
        <v>1327</v>
      </c>
      <c r="AS1335">
        <v>418</v>
      </c>
      <c r="AT1335">
        <v>2</v>
      </c>
      <c r="AU1335">
        <v>1.8356077807713405</v>
      </c>
      <c r="AV1335">
        <v>8.0547436731922648E-2</v>
      </c>
    </row>
    <row r="1336" spans="44:48" x14ac:dyDescent="0.2">
      <c r="AR1336">
        <v>1328</v>
      </c>
      <c r="AS1336">
        <v>419</v>
      </c>
      <c r="AT1336">
        <v>2</v>
      </c>
      <c r="AU1336">
        <v>1.8665483120886854</v>
      </c>
      <c r="AV1336">
        <v>8.0859074559255645E-2</v>
      </c>
    </row>
    <row r="1337" spans="44:48" x14ac:dyDescent="0.2">
      <c r="AR1337">
        <v>1329</v>
      </c>
      <c r="AS1337">
        <v>420</v>
      </c>
      <c r="AT1337">
        <v>2</v>
      </c>
      <c r="AU1337">
        <v>1.8974888434060322</v>
      </c>
      <c r="AV1337">
        <v>8.1167685512338203E-2</v>
      </c>
    </row>
    <row r="1338" spans="44:48" x14ac:dyDescent="0.2">
      <c r="AR1338">
        <v>1330</v>
      </c>
      <c r="AS1338">
        <v>421</v>
      </c>
      <c r="AT1338">
        <v>2</v>
      </c>
      <c r="AU1338">
        <v>1.9284293747233789</v>
      </c>
      <c r="AV1338">
        <v>8.1473225793022533E-2</v>
      </c>
    </row>
    <row r="1339" spans="44:48" x14ac:dyDescent="0.2">
      <c r="AR1339">
        <v>1331</v>
      </c>
      <c r="AS1339">
        <v>422</v>
      </c>
      <c r="AT1339">
        <v>2</v>
      </c>
      <c r="AU1339">
        <v>1.9593699060407257</v>
      </c>
      <c r="AV1339">
        <v>8.1775651918402914E-2</v>
      </c>
    </row>
    <row r="1340" spans="44:48" x14ac:dyDescent="0.2">
      <c r="AR1340">
        <v>1332</v>
      </c>
      <c r="AS1340">
        <v>423</v>
      </c>
      <c r="AT1340">
        <v>2</v>
      </c>
      <c r="AU1340">
        <v>1.9903104373580707</v>
      </c>
      <c r="AV1340">
        <v>8.2074920731088741E-2</v>
      </c>
    </row>
    <row r="1341" spans="44:48" x14ac:dyDescent="0.2">
      <c r="AR1341">
        <v>1333</v>
      </c>
      <c r="AS1341">
        <v>424</v>
      </c>
      <c r="AT1341">
        <v>2</v>
      </c>
      <c r="AU1341">
        <v>2.0212509686754174</v>
      </c>
      <c r="AV1341">
        <v>8.2370989409430898E-2</v>
      </c>
    </row>
    <row r="1342" spans="44:48" x14ac:dyDescent="0.2">
      <c r="AR1342">
        <v>1334</v>
      </c>
      <c r="AS1342">
        <v>425</v>
      </c>
      <c r="AT1342">
        <v>2</v>
      </c>
      <c r="AU1342">
        <v>2.0521914999927642</v>
      </c>
      <c r="AV1342">
        <v>8.2663815477698091E-2</v>
      </c>
    </row>
    <row r="1343" spans="44:48" x14ac:dyDescent="0.2">
      <c r="AR1343">
        <v>1335</v>
      </c>
      <c r="AS1343">
        <v>426</v>
      </c>
      <c r="AT1343">
        <v>2</v>
      </c>
      <c r="AU1343">
        <v>2.0831320313101092</v>
      </c>
      <c r="AV1343">
        <v>8.2953356816199919E-2</v>
      </c>
    </row>
    <row r="1344" spans="44:48" x14ac:dyDescent="0.2">
      <c r="AR1344">
        <v>1336</v>
      </c>
      <c r="AS1344">
        <v>427</v>
      </c>
      <c r="AT1344">
        <v>2</v>
      </c>
      <c r="AU1344">
        <v>2.1140725626274559</v>
      </c>
      <c r="AV1344">
        <v>8.3239571671353207E-2</v>
      </c>
    </row>
    <row r="1345" spans="44:48" x14ac:dyDescent="0.2">
      <c r="AR1345">
        <v>1337</v>
      </c>
      <c r="AS1345">
        <v>428</v>
      </c>
      <c r="AT1345">
        <v>2</v>
      </c>
      <c r="AU1345">
        <v>2.1450130939448027</v>
      </c>
      <c r="AV1345">
        <v>8.3522418665688061E-2</v>
      </c>
    </row>
    <row r="1346" spans="44:48" x14ac:dyDescent="0.2">
      <c r="AR1346">
        <v>1338</v>
      </c>
      <c r="AS1346">
        <v>429</v>
      </c>
      <c r="AT1346">
        <v>2</v>
      </c>
      <c r="AU1346">
        <v>2.1759536252621494</v>
      </c>
      <c r="AV1346">
        <v>8.3801856807790703E-2</v>
      </c>
    </row>
    <row r="1347" spans="44:48" x14ac:dyDescent="0.2">
      <c r="AR1347">
        <v>1339</v>
      </c>
      <c r="AS1347">
        <v>430</v>
      </c>
      <c r="AT1347">
        <v>2</v>
      </c>
      <c r="AU1347">
        <v>2.2068941565794944</v>
      </c>
      <c r="AV1347">
        <v>8.4077845502179435E-2</v>
      </c>
    </row>
    <row r="1348" spans="44:48" x14ac:dyDescent="0.2">
      <c r="AR1348">
        <v>1340</v>
      </c>
      <c r="AS1348">
        <v>431</v>
      </c>
      <c r="AT1348">
        <v>2</v>
      </c>
      <c r="AU1348">
        <v>2.2378346878968411</v>
      </c>
      <c r="AV1348">
        <v>8.4350344559110474E-2</v>
      </c>
    </row>
    <row r="1349" spans="44:48" x14ac:dyDescent="0.2">
      <c r="AR1349">
        <v>1341</v>
      </c>
      <c r="AS1349">
        <v>432</v>
      </c>
      <c r="AT1349">
        <v>2</v>
      </c>
      <c r="AU1349">
        <v>2.2687752192141879</v>
      </c>
      <c r="AV1349">
        <v>8.4619314204310417E-2</v>
      </c>
    </row>
    <row r="1350" spans="44:48" x14ac:dyDescent="0.2">
      <c r="AR1350">
        <v>1342</v>
      </c>
      <c r="AS1350">
        <v>433</v>
      </c>
      <c r="AT1350">
        <v>2</v>
      </c>
      <c r="AU1350">
        <v>2.2997157505315347</v>
      </c>
      <c r="AV1350">
        <v>8.488471508863199E-2</v>
      </c>
    </row>
    <row r="1351" spans="44:48" x14ac:dyDescent="0.2">
      <c r="AR1351">
        <v>1343</v>
      </c>
      <c r="AS1351">
        <v>434</v>
      </c>
      <c r="AT1351">
        <v>2</v>
      </c>
      <c r="AU1351">
        <v>2.3306562818488796</v>
      </c>
      <c r="AV1351">
        <v>8.5146508297629847E-2</v>
      </c>
    </row>
    <row r="1352" spans="44:48" x14ac:dyDescent="0.2">
      <c r="AR1352">
        <v>1344</v>
      </c>
      <c r="AS1352">
        <v>435</v>
      </c>
      <c r="AT1352">
        <v>2</v>
      </c>
      <c r="AU1352">
        <v>2.3615968131662264</v>
      </c>
      <c r="AV1352">
        <v>8.5404655361053211E-2</v>
      </c>
    </row>
    <row r="1353" spans="44:48" x14ac:dyDescent="0.2">
      <c r="AR1353">
        <v>1345</v>
      </c>
      <c r="AS1353">
        <v>436</v>
      </c>
      <c r="AT1353">
        <v>2</v>
      </c>
      <c r="AU1353">
        <v>2.3925373444835731</v>
      </c>
      <c r="AV1353">
        <v>8.565911826225181E-2</v>
      </c>
    </row>
    <row r="1354" spans="44:48" x14ac:dyDescent="0.2">
      <c r="AR1354">
        <v>1346</v>
      </c>
      <c r="AS1354">
        <v>437</v>
      </c>
      <c r="AT1354">
        <v>2</v>
      </c>
      <c r="AU1354">
        <v>2.4234778758009181</v>
      </c>
      <c r="AV1354">
        <v>8.5909859447492382E-2</v>
      </c>
    </row>
    <row r="1355" spans="44:48" x14ac:dyDescent="0.2">
      <c r="AR1355">
        <v>1347</v>
      </c>
      <c r="AS1355">
        <v>438</v>
      </c>
      <c r="AT1355">
        <v>2</v>
      </c>
      <c r="AU1355">
        <v>2.4544184071182649</v>
      </c>
      <c r="AV1355">
        <v>8.6156841835182324E-2</v>
      </c>
    </row>
    <row r="1356" spans="44:48" x14ac:dyDescent="0.2">
      <c r="AR1356">
        <v>1348</v>
      </c>
      <c r="AS1356">
        <v>439</v>
      </c>
      <c r="AT1356">
        <v>2</v>
      </c>
      <c r="AU1356">
        <v>2.4853589384356116</v>
      </c>
      <c r="AV1356">
        <v>8.6400028824996977E-2</v>
      </c>
    </row>
    <row r="1357" spans="44:48" x14ac:dyDescent="0.2">
      <c r="AR1357">
        <v>1349</v>
      </c>
      <c r="AS1357">
        <v>440</v>
      </c>
      <c r="AT1357">
        <v>2</v>
      </c>
      <c r="AU1357">
        <v>2.5162994697529584</v>
      </c>
      <c r="AV1357">
        <v>8.6639384306908221E-2</v>
      </c>
    </row>
    <row r="1358" spans="44:48" x14ac:dyDescent="0.2">
      <c r="AR1358">
        <v>1350</v>
      </c>
      <c r="AS1358">
        <v>441</v>
      </c>
      <c r="AT1358">
        <v>2</v>
      </c>
      <c r="AU1358">
        <v>2.5472400010703034</v>
      </c>
      <c r="AV1358">
        <v>8.687487267011032E-2</v>
      </c>
    </row>
    <row r="1359" spans="44:48" x14ac:dyDescent="0.2">
      <c r="AR1359">
        <v>1351</v>
      </c>
      <c r="AS1359">
        <v>442</v>
      </c>
      <c r="AT1359">
        <v>2</v>
      </c>
      <c r="AU1359">
        <v>2.5781805323876501</v>
      </c>
      <c r="AV1359">
        <v>8.7106458811840745E-2</v>
      </c>
    </row>
    <row r="1360" spans="44:48" x14ac:dyDescent="0.2">
      <c r="AR1360">
        <v>1352</v>
      </c>
      <c r="AS1360">
        <v>443</v>
      </c>
      <c r="AT1360">
        <v>2</v>
      </c>
      <c r="AU1360">
        <v>2.6091210637049969</v>
      </c>
      <c r="AV1360">
        <v>8.7334108146092326E-2</v>
      </c>
    </row>
    <row r="1361" spans="44:48" x14ac:dyDescent="0.2">
      <c r="AR1361">
        <v>1353</v>
      </c>
      <c r="AS1361">
        <v>444</v>
      </c>
      <c r="AT1361">
        <v>2</v>
      </c>
      <c r="AU1361">
        <v>2.6400615950223436</v>
      </c>
      <c r="AV1361">
        <v>8.7557786612214097E-2</v>
      </c>
    </row>
    <row r="1362" spans="44:48" x14ac:dyDescent="0.2">
      <c r="AR1362">
        <v>1354</v>
      </c>
      <c r="AS1362">
        <v>445</v>
      </c>
      <c r="AT1362">
        <v>2</v>
      </c>
      <c r="AU1362">
        <v>2.6710021263396886</v>
      </c>
      <c r="AV1362">
        <v>8.777746068339759E-2</v>
      </c>
    </row>
    <row r="1363" spans="44:48" x14ac:dyDescent="0.2">
      <c r="AR1363">
        <v>1355</v>
      </c>
      <c r="AS1363">
        <v>446</v>
      </c>
      <c r="AT1363">
        <v>2</v>
      </c>
      <c r="AU1363">
        <v>2.7019426576570353</v>
      </c>
      <c r="AV1363">
        <v>8.7993097375045876E-2</v>
      </c>
    </row>
    <row r="1364" spans="44:48" x14ac:dyDescent="0.2">
      <c r="AR1364">
        <v>1356</v>
      </c>
      <c r="AS1364">
        <v>447</v>
      </c>
      <c r="AT1364">
        <v>2</v>
      </c>
      <c r="AU1364">
        <v>2.7328831889743821</v>
      </c>
      <c r="AV1364">
        <v>8.8204664253022091E-2</v>
      </c>
    </row>
    <row r="1365" spans="44:48" x14ac:dyDescent="0.2">
      <c r="AR1365">
        <v>1357</v>
      </c>
      <c r="AS1365">
        <v>448</v>
      </c>
      <c r="AT1365">
        <v>2</v>
      </c>
      <c r="AU1365">
        <v>2.7638237202917288</v>
      </c>
      <c r="AV1365">
        <v>8.8412129441774845E-2</v>
      </c>
    </row>
    <row r="1366" spans="44:48" x14ac:dyDescent="0.2">
      <c r="AR1366">
        <v>1358</v>
      </c>
      <c r="AS1366">
        <v>449</v>
      </c>
      <c r="AT1366">
        <v>2</v>
      </c>
      <c r="AU1366">
        <v>2.7947642516090738</v>
      </c>
      <c r="AV1366">
        <v>8.8615461632337661E-2</v>
      </c>
    </row>
    <row r="1367" spans="44:48" x14ac:dyDescent="0.2">
      <c r="AR1367">
        <v>1359</v>
      </c>
      <c r="AS1367">
        <v>450</v>
      </c>
      <c r="AT1367">
        <v>2</v>
      </c>
      <c r="AU1367">
        <v>2.8257047829264206</v>
      </c>
      <c r="AV1367">
        <v>8.8814630090199381E-2</v>
      </c>
    </row>
    <row r="1368" spans="44:48" x14ac:dyDescent="0.2">
      <c r="AR1368">
        <v>1360</v>
      </c>
      <c r="AS1368">
        <v>451</v>
      </c>
      <c r="AT1368">
        <v>2</v>
      </c>
      <c r="AU1368">
        <v>2.8566453142437673</v>
      </c>
      <c r="AV1368">
        <v>8.9009604663042974E-2</v>
      </c>
    </row>
    <row r="1369" spans="44:48" x14ac:dyDescent="0.2">
      <c r="AR1369">
        <v>1361</v>
      </c>
      <c r="AS1369">
        <v>452</v>
      </c>
      <c r="AT1369">
        <v>2</v>
      </c>
      <c r="AU1369">
        <v>2.8875858455611123</v>
      </c>
      <c r="AV1369">
        <v>8.920035578835013E-2</v>
      </c>
    </row>
    <row r="1370" spans="44:48" x14ac:dyDescent="0.2">
      <c r="AR1370">
        <v>1362</v>
      </c>
      <c r="AS1370">
        <v>453</v>
      </c>
      <c r="AT1370">
        <v>2</v>
      </c>
      <c r="AU1370">
        <v>2.9185263768784591</v>
      </c>
      <c r="AV1370">
        <v>8.9386854500868654E-2</v>
      </c>
    </row>
    <row r="1371" spans="44:48" x14ac:dyDescent="0.2">
      <c r="AR1371">
        <v>1363</v>
      </c>
      <c r="AS1371">
        <v>454</v>
      </c>
      <c r="AT1371">
        <v>2</v>
      </c>
      <c r="AU1371">
        <v>2.9494669081958058</v>
      </c>
      <c r="AV1371">
        <v>8.9569072439940139E-2</v>
      </c>
    </row>
    <row r="1372" spans="44:48" x14ac:dyDescent="0.2">
      <c r="AR1372">
        <v>1364</v>
      </c>
      <c r="AS1372">
        <v>455</v>
      </c>
      <c r="AT1372">
        <v>2</v>
      </c>
      <c r="AU1372">
        <v>2.9804074395131526</v>
      </c>
      <c r="AV1372">
        <v>8.9746981856685559E-2</v>
      </c>
    </row>
    <row r="1373" spans="44:48" x14ac:dyDescent="0.2">
      <c r="AR1373">
        <v>1365</v>
      </c>
      <c r="AS1373">
        <v>456</v>
      </c>
      <c r="AT1373">
        <v>2</v>
      </c>
      <c r="AU1373">
        <v>3.0113479708304975</v>
      </c>
      <c r="AV1373">
        <v>8.9920555621045825E-2</v>
      </c>
    </row>
    <row r="1374" spans="44:48" x14ac:dyDescent="0.2">
      <c r="AR1374">
        <v>1366</v>
      </c>
      <c r="AS1374">
        <v>457</v>
      </c>
      <c r="AT1374">
        <v>2</v>
      </c>
      <c r="AU1374">
        <v>3.0422885021478443</v>
      </c>
      <c r="AV1374">
        <v>9.0089767228675122E-2</v>
      </c>
    </row>
    <row r="1375" spans="44:48" x14ac:dyDescent="0.2">
      <c r="AR1375">
        <v>1367</v>
      </c>
      <c r="AS1375">
        <v>458</v>
      </c>
      <c r="AT1375">
        <v>2</v>
      </c>
      <c r="AU1375">
        <v>3.0732290334651911</v>
      </c>
      <c r="AV1375">
        <v>9.0254590807684484E-2</v>
      </c>
    </row>
    <row r="1376" spans="44:48" x14ac:dyDescent="0.2">
      <c r="AR1376">
        <v>1368</v>
      </c>
      <c r="AS1376">
        <v>459</v>
      </c>
      <c r="AT1376">
        <v>2</v>
      </c>
      <c r="AU1376">
        <v>3.1041695647825378</v>
      </c>
      <c r="AV1376">
        <v>9.0415001125233083E-2</v>
      </c>
    </row>
    <row r="1377" spans="44:48" x14ac:dyDescent="0.2">
      <c r="AR1377">
        <v>1369</v>
      </c>
      <c r="AS1377">
        <v>460</v>
      </c>
      <c r="AT1377">
        <v>2</v>
      </c>
      <c r="AU1377">
        <v>3.1351100960998828</v>
      </c>
      <c r="AV1377">
        <v>9.0570973593965071E-2</v>
      </c>
    </row>
    <row r="1378" spans="44:48" x14ac:dyDescent="0.2">
      <c r="AR1378">
        <v>1370</v>
      </c>
      <c r="AS1378">
        <v>461</v>
      </c>
      <c r="AT1378">
        <v>2</v>
      </c>
      <c r="AU1378">
        <v>3.1660506274172295</v>
      </c>
      <c r="AV1378">
        <v>9.0722484278289689E-2</v>
      </c>
    </row>
    <row r="1379" spans="44:48" x14ac:dyDescent="0.2">
      <c r="AR1379">
        <v>1371</v>
      </c>
      <c r="AS1379">
        <v>462</v>
      </c>
      <c r="AT1379">
        <v>2</v>
      </c>
      <c r="AU1379">
        <v>3.1969911587345763</v>
      </c>
      <c r="AV1379">
        <v>9.0869509900501938E-2</v>
      </c>
    </row>
    <row r="1380" spans="44:48" x14ac:dyDescent="0.2">
      <c r="AR1380">
        <v>1372</v>
      </c>
      <c r="AS1380">
        <v>463</v>
      </c>
      <c r="AT1380">
        <v>2</v>
      </c>
      <c r="AU1380">
        <v>3.2279316900519213</v>
      </c>
      <c r="AV1380">
        <v>9.1012027846742477E-2</v>
      </c>
    </row>
    <row r="1381" spans="44:48" x14ac:dyDescent="0.2">
      <c r="AR1381">
        <v>1373</v>
      </c>
      <c r="AS1381">
        <v>464</v>
      </c>
      <c r="AT1381">
        <v>2</v>
      </c>
      <c r="AU1381">
        <v>3.258872221369268</v>
      </c>
      <c r="AV1381">
        <v>9.1150016172793738E-2</v>
      </c>
    </row>
    <row r="1382" spans="44:48" x14ac:dyDescent="0.2">
      <c r="AR1382">
        <v>1374</v>
      </c>
      <c r="AS1382">
        <v>465</v>
      </c>
      <c r="AT1382">
        <v>2</v>
      </c>
      <c r="AU1382">
        <v>3.2898127526866148</v>
      </c>
      <c r="AV1382">
        <v>9.1283453609710755E-2</v>
      </c>
    </row>
    <row r="1383" spans="44:48" x14ac:dyDescent="0.2">
      <c r="AR1383">
        <v>1375</v>
      </c>
      <c r="AS1383">
        <v>466</v>
      </c>
      <c r="AT1383">
        <v>2</v>
      </c>
      <c r="AU1383">
        <v>3.3207532840039615</v>
      </c>
      <c r="AV1383">
        <v>9.1412319569284375E-2</v>
      </c>
    </row>
    <row r="1384" spans="44:48" x14ac:dyDescent="0.2">
      <c r="AR1384">
        <v>1376</v>
      </c>
      <c r="AS1384">
        <v>467</v>
      </c>
      <c r="AT1384">
        <v>2</v>
      </c>
      <c r="AU1384">
        <v>3.3516938153213065</v>
      </c>
      <c r="AV1384">
        <v>9.1536594149335099E-2</v>
      </c>
    </row>
    <row r="1385" spans="44:48" x14ac:dyDescent="0.2">
      <c r="AR1385">
        <v>1377</v>
      </c>
      <c r="AS1385">
        <v>468</v>
      </c>
      <c r="AT1385">
        <v>2</v>
      </c>
      <c r="AU1385">
        <v>3.3826343466386533</v>
      </c>
      <c r="AV1385">
        <v>9.1656258138835531E-2</v>
      </c>
    </row>
    <row r="1386" spans="44:48" x14ac:dyDescent="0.2">
      <c r="AR1386">
        <v>1378</v>
      </c>
      <c r="AS1386">
        <v>469</v>
      </c>
      <c r="AT1386">
        <v>2</v>
      </c>
      <c r="AU1386">
        <v>3.413574877956</v>
      </c>
      <c r="AV1386">
        <v>9.177129302285951E-2</v>
      </c>
    </row>
    <row r="1387" spans="44:48" x14ac:dyDescent="0.2">
      <c r="AR1387">
        <v>1379</v>
      </c>
      <c r="AS1387">
        <v>470</v>
      </c>
      <c r="AT1387">
        <v>2</v>
      </c>
      <c r="AU1387">
        <v>3.4445154092733468</v>
      </c>
      <c r="AV1387">
        <v>9.1881680987356371E-2</v>
      </c>
    </row>
    <row r="1388" spans="44:48" x14ac:dyDescent="0.2">
      <c r="AR1388">
        <v>1380</v>
      </c>
      <c r="AS1388">
        <v>471</v>
      </c>
      <c r="AT1388">
        <v>2</v>
      </c>
      <c r="AU1388">
        <v>3.4754559405906917</v>
      </c>
      <c r="AV1388">
        <v>9.1987404923748323E-2</v>
      </c>
    </row>
    <row r="1389" spans="44:48" x14ac:dyDescent="0.2">
      <c r="AR1389">
        <v>1381</v>
      </c>
      <c r="AS1389">
        <v>472</v>
      </c>
      <c r="AT1389">
        <v>2</v>
      </c>
      <c r="AU1389">
        <v>3.5063964719080385</v>
      </c>
      <c r="AV1389">
        <v>9.2088448433349707E-2</v>
      </c>
    </row>
    <row r="1390" spans="44:48" x14ac:dyDescent="0.2">
      <c r="AR1390">
        <v>1382</v>
      </c>
      <c r="AS1390">
        <v>473</v>
      </c>
      <c r="AT1390">
        <v>2</v>
      </c>
      <c r="AU1390">
        <v>3.5373370032253852</v>
      </c>
      <c r="AV1390">
        <v>9.2184795831605937E-2</v>
      </c>
    </row>
    <row r="1391" spans="44:48" x14ac:dyDescent="0.2">
      <c r="AR1391">
        <v>1383</v>
      </c>
      <c r="AS1391">
        <v>474</v>
      </c>
      <c r="AT1391">
        <v>2</v>
      </c>
      <c r="AU1391">
        <v>3.568277534542732</v>
      </c>
      <c r="AV1391">
        <v>9.227643215215113E-2</v>
      </c>
    </row>
    <row r="1392" spans="44:48" x14ac:dyDescent="0.2">
      <c r="AR1392">
        <v>1384</v>
      </c>
      <c r="AS1392">
        <v>475</v>
      </c>
      <c r="AT1392">
        <v>2</v>
      </c>
      <c r="AU1392">
        <v>3.599218065860077</v>
      </c>
      <c r="AV1392">
        <v>9.2363343150682703E-2</v>
      </c>
    </row>
    <row r="1393" spans="44:48" x14ac:dyDescent="0.2">
      <c r="AR1393">
        <v>1385</v>
      </c>
      <c r="AS1393">
        <v>476</v>
      </c>
      <c r="AT1393">
        <v>2</v>
      </c>
      <c r="AU1393">
        <v>3.6301585971774237</v>
      </c>
      <c r="AV1393">
        <v>9.2445515308651527E-2</v>
      </c>
    </row>
    <row r="1394" spans="44:48" x14ac:dyDescent="0.2">
      <c r="AR1394">
        <v>1386</v>
      </c>
      <c r="AS1394">
        <v>477</v>
      </c>
      <c r="AT1394">
        <v>2</v>
      </c>
      <c r="AU1394">
        <v>3.6610991284947705</v>
      </c>
      <c r="AV1394">
        <v>9.2522935836766462E-2</v>
      </c>
    </row>
    <row r="1395" spans="44:48" x14ac:dyDescent="0.2">
      <c r="AR1395">
        <v>1387</v>
      </c>
      <c r="AS1395">
        <v>478</v>
      </c>
      <c r="AT1395">
        <v>2</v>
      </c>
      <c r="AU1395">
        <v>3.6920396598121155</v>
      </c>
      <c r="AV1395">
        <v>9.2595592678311731E-2</v>
      </c>
    </row>
    <row r="1396" spans="44:48" x14ac:dyDescent="0.2">
      <c r="AR1396">
        <v>1388</v>
      </c>
      <c r="AS1396">
        <v>479</v>
      </c>
      <c r="AT1396">
        <v>2</v>
      </c>
      <c r="AU1396">
        <v>3.7229801911294622</v>
      </c>
      <c r="AV1396">
        <v>9.2663474512276203E-2</v>
      </c>
    </row>
    <row r="1397" spans="44:48" x14ac:dyDescent="0.2">
      <c r="AR1397">
        <v>1389</v>
      </c>
      <c r="AS1397">
        <v>480</v>
      </c>
      <c r="AT1397">
        <v>2</v>
      </c>
      <c r="AU1397">
        <v>3.753920722446809</v>
      </c>
      <c r="AV1397">
        <v>9.2726570756293314E-2</v>
      </c>
    </row>
    <row r="1398" spans="44:48" x14ac:dyDescent="0.2">
      <c r="AR1398">
        <v>1390</v>
      </c>
      <c r="AS1398">
        <v>481</v>
      </c>
      <c r="AT1398">
        <v>2</v>
      </c>
      <c r="AU1398">
        <v>3.7848612537641557</v>
      </c>
      <c r="AV1398">
        <v>9.2784871569390484E-2</v>
      </c>
    </row>
    <row r="1399" spans="44:48" x14ac:dyDescent="0.2">
      <c r="AR1399">
        <v>1391</v>
      </c>
      <c r="AS1399">
        <v>482</v>
      </c>
      <c r="AT1399">
        <v>2</v>
      </c>
      <c r="AU1399">
        <v>3.8158017850815007</v>
      </c>
      <c r="AV1399">
        <v>9.283836785454723E-2</v>
      </c>
    </row>
    <row r="1400" spans="44:48" x14ac:dyDescent="0.2">
      <c r="AR1400">
        <v>1392</v>
      </c>
      <c r="AS1400">
        <v>483</v>
      </c>
      <c r="AT1400">
        <v>2</v>
      </c>
      <c r="AU1400">
        <v>3.8467423163988474</v>
      </c>
      <c r="AV1400">
        <v>9.2887051261060907E-2</v>
      </c>
    </row>
    <row r="1401" spans="44:48" x14ac:dyDescent="0.2">
      <c r="AR1401">
        <v>1393</v>
      </c>
      <c r="AS1401">
        <v>484</v>
      </c>
      <c r="AT1401">
        <v>2</v>
      </c>
      <c r="AU1401">
        <v>3.8776828477161942</v>
      </c>
      <c r="AV1401">
        <v>9.2930914186719199E-2</v>
      </c>
    </row>
    <row r="1402" spans="44:48" x14ac:dyDescent="0.2">
      <c r="AR1402">
        <v>1394</v>
      </c>
      <c r="AS1402">
        <v>485</v>
      </c>
      <c r="AT1402">
        <v>2</v>
      </c>
      <c r="AU1402">
        <v>3.908623379033541</v>
      </c>
      <c r="AV1402">
        <v>9.2969949779778654E-2</v>
      </c>
    </row>
    <row r="1403" spans="44:48" x14ac:dyDescent="0.2">
      <c r="AR1403">
        <v>1395</v>
      </c>
      <c r="AS1403">
        <v>486</v>
      </c>
      <c r="AT1403">
        <v>2</v>
      </c>
      <c r="AU1403">
        <v>3.9395639103508859</v>
      </c>
      <c r="AV1403">
        <v>9.3004151940748417E-2</v>
      </c>
    </row>
    <row r="1404" spans="44:48" x14ac:dyDescent="0.2">
      <c r="AR1404">
        <v>1396</v>
      </c>
      <c r="AS1404">
        <v>487</v>
      </c>
      <c r="AT1404">
        <v>2</v>
      </c>
      <c r="AU1404">
        <v>3.9705044416682327</v>
      </c>
      <c r="AV1404">
        <v>9.303351532397873E-2</v>
      </c>
    </row>
    <row r="1405" spans="44:48" x14ac:dyDescent="0.2">
      <c r="AR1405">
        <v>1397</v>
      </c>
      <c r="AS1405">
        <v>488</v>
      </c>
      <c r="AT1405">
        <v>2</v>
      </c>
      <c r="AU1405">
        <v>4.0014449729855794</v>
      </c>
      <c r="AV1405">
        <v>9.3058035339053394E-2</v>
      </c>
    </row>
    <row r="1406" spans="44:48" x14ac:dyDescent="0.2">
      <c r="AR1406">
        <v>1398</v>
      </c>
      <c r="AS1406">
        <v>489</v>
      </c>
      <c r="AT1406">
        <v>2</v>
      </c>
      <c r="AU1406">
        <v>4.0323855043029244</v>
      </c>
      <c r="AV1406">
        <v>9.3077708151985808E-2</v>
      </c>
    </row>
    <row r="1407" spans="44:48" x14ac:dyDescent="0.2">
      <c r="AR1407">
        <v>1399</v>
      </c>
      <c r="AS1407">
        <v>490</v>
      </c>
      <c r="AT1407">
        <v>2</v>
      </c>
      <c r="AU1407">
        <v>4.0633260356202712</v>
      </c>
      <c r="AV1407">
        <v>9.3092530686218006E-2</v>
      </c>
    </row>
    <row r="1408" spans="44:48" x14ac:dyDescent="0.2">
      <c r="AR1408">
        <v>1400</v>
      </c>
      <c r="AS1408">
        <v>491</v>
      </c>
      <c r="AT1408">
        <v>2</v>
      </c>
      <c r="AU1408">
        <v>4.0942665669376179</v>
      </c>
      <c r="AV1408">
        <v>9.3102500623422638E-2</v>
      </c>
    </row>
    <row r="1409" spans="44:48" x14ac:dyDescent="0.2">
      <c r="AR1409">
        <v>1401</v>
      </c>
      <c r="AS1409">
        <v>492</v>
      </c>
      <c r="AT1409">
        <v>2</v>
      </c>
      <c r="AU1409">
        <v>4.1252070982549647</v>
      </c>
      <c r="AV1409">
        <v>9.3107616404107266E-2</v>
      </c>
    </row>
    <row r="1410" spans="44:48" x14ac:dyDescent="0.2">
      <c r="AR1410">
        <v>1402</v>
      </c>
      <c r="AS1410">
        <v>493</v>
      </c>
      <c r="AT1410">
        <v>2</v>
      </c>
      <c r="AU1410">
        <v>4.1561476295723097</v>
      </c>
      <c r="AV1410">
        <v>9.3107877228020858E-2</v>
      </c>
    </row>
    <row r="1411" spans="44:48" x14ac:dyDescent="0.2">
      <c r="AR1411">
        <v>1403</v>
      </c>
      <c r="AS1411">
        <v>494</v>
      </c>
      <c r="AT1411">
        <v>2</v>
      </c>
      <c r="AU1411">
        <v>4.1870881608896564</v>
      </c>
      <c r="AV1411">
        <v>9.3103283054362496E-2</v>
      </c>
    </row>
    <row r="1412" spans="44:48" x14ac:dyDescent="0.2">
      <c r="AR1412">
        <v>1404</v>
      </c>
      <c r="AS1412">
        <v>495</v>
      </c>
      <c r="AT1412">
        <v>2</v>
      </c>
      <c r="AU1412">
        <v>4.2180286922070032</v>
      </c>
      <c r="AV1412">
        <v>9.3093834601791964E-2</v>
      </c>
    </row>
    <row r="1413" spans="44:48" x14ac:dyDescent="0.2">
      <c r="AR1413">
        <v>1405</v>
      </c>
      <c r="AS1413">
        <v>496</v>
      </c>
      <c r="AT1413">
        <v>2</v>
      </c>
      <c r="AU1413">
        <v>4.2489692235243499</v>
      </c>
      <c r="AV1413">
        <v>9.3079533348242371E-2</v>
      </c>
    </row>
    <row r="1414" spans="44:48" x14ac:dyDescent="0.2">
      <c r="AR1414">
        <v>1406</v>
      </c>
      <c r="AS1414">
        <v>497</v>
      </c>
      <c r="AT1414">
        <v>2</v>
      </c>
      <c r="AU1414">
        <v>4.2799097548416949</v>
      </c>
      <c r="AV1414">
        <v>9.3060381530534975E-2</v>
      </c>
    </row>
    <row r="1415" spans="44:48" x14ac:dyDescent="0.2">
      <c r="AR1415">
        <v>1407</v>
      </c>
      <c r="AS1415">
        <v>498</v>
      </c>
      <c r="AT1415">
        <v>2</v>
      </c>
      <c r="AU1415">
        <v>4.3108502861590416</v>
      </c>
      <c r="AV1415">
        <v>9.3036382143795934E-2</v>
      </c>
    </row>
    <row r="1416" spans="44:48" x14ac:dyDescent="0.2">
      <c r="AR1416">
        <v>1408</v>
      </c>
      <c r="AS1416">
        <v>499</v>
      </c>
      <c r="AT1416">
        <v>2</v>
      </c>
      <c r="AU1416">
        <v>4.3417908174763884</v>
      </c>
      <c r="AV1416">
        <v>9.3007538940675746E-2</v>
      </c>
    </row>
    <row r="1417" spans="44:48" x14ac:dyDescent="0.2">
      <c r="AR1417">
        <v>1409</v>
      </c>
      <c r="AS1417">
        <v>500</v>
      </c>
      <c r="AT1417">
        <v>2</v>
      </c>
      <c r="AU1417">
        <v>4.3727313487937352</v>
      </c>
      <c r="AV1417">
        <v>9.2973856430371288E-2</v>
      </c>
    </row>
    <row r="1418" spans="44:48" x14ac:dyDescent="0.2">
      <c r="AR1418">
        <v>1410</v>
      </c>
      <c r="AS1418">
        <v>501</v>
      </c>
      <c r="AT1418">
        <v>2</v>
      </c>
      <c r="AU1418">
        <v>4.4036718801110801</v>
      </c>
      <c r="AV1418">
        <v>9.2935339877450951E-2</v>
      </c>
    </row>
    <row r="1419" spans="44:48" x14ac:dyDescent="0.2">
      <c r="AR1419">
        <v>1411</v>
      </c>
      <c r="AS1419">
        <v>502</v>
      </c>
      <c r="AT1419">
        <v>2</v>
      </c>
      <c r="AU1419">
        <v>4.4346124114284269</v>
      </c>
      <c r="AV1419">
        <v>9.2891995300483185E-2</v>
      </c>
    </row>
    <row r="1420" spans="44:48" x14ac:dyDescent="0.2">
      <c r="AR1420">
        <v>1412</v>
      </c>
      <c r="AS1420">
        <v>503</v>
      </c>
      <c r="AT1420">
        <v>2</v>
      </c>
      <c r="AU1420">
        <v>4.4655529427457736</v>
      </c>
      <c r="AV1420">
        <v>9.2843829470469097E-2</v>
      </c>
    </row>
    <row r="1421" spans="44:48" x14ac:dyDescent="0.2">
      <c r="AR1421">
        <v>1413</v>
      </c>
      <c r="AS1421">
        <v>504</v>
      </c>
      <c r="AT1421">
        <v>2</v>
      </c>
      <c r="AU1421">
        <v>4.4964934740631186</v>
      </c>
      <c r="AV1421">
        <v>9.2790849909079695E-2</v>
      </c>
    </row>
    <row r="1422" spans="44:48" x14ac:dyDescent="0.2">
      <c r="AR1422">
        <v>1414</v>
      </c>
      <c r="AS1422">
        <v>505</v>
      </c>
      <c r="AT1422">
        <v>2</v>
      </c>
      <c r="AU1422">
        <v>4.5274340053804654</v>
      </c>
      <c r="AV1422">
        <v>9.2733064886698219E-2</v>
      </c>
    </row>
    <row r="1423" spans="44:48" x14ac:dyDescent="0.2">
      <c r="AR1423">
        <v>1415</v>
      </c>
      <c r="AS1423">
        <v>506</v>
      </c>
      <c r="AT1423">
        <v>2</v>
      </c>
      <c r="AU1423">
        <v>4.5583745366978121</v>
      </c>
      <c r="AV1423">
        <v>9.2670483420268387E-2</v>
      </c>
    </row>
    <row r="1424" spans="44:48" x14ac:dyDescent="0.2">
      <c r="AR1424">
        <v>1416</v>
      </c>
      <c r="AS1424">
        <v>507</v>
      </c>
      <c r="AT1424">
        <v>2</v>
      </c>
      <c r="AU1424">
        <v>4.5893150680151589</v>
      </c>
      <c r="AV1424">
        <v>9.2603115270949471E-2</v>
      </c>
    </row>
    <row r="1425" spans="44:48" x14ac:dyDescent="0.2">
      <c r="AR1425">
        <v>1417</v>
      </c>
      <c r="AS1425">
        <v>508</v>
      </c>
      <c r="AT1425">
        <v>2</v>
      </c>
      <c r="AU1425">
        <v>4.6202555993325038</v>
      </c>
      <c r="AV1425">
        <v>9.2530970941578763E-2</v>
      </c>
    </row>
    <row r="1426" spans="44:48" x14ac:dyDescent="0.2">
      <c r="AR1426">
        <v>1418</v>
      </c>
      <c r="AS1426">
        <v>509</v>
      </c>
      <c r="AT1426">
        <v>2</v>
      </c>
      <c r="AU1426">
        <v>4.6511961306498506</v>
      </c>
      <c r="AV1426">
        <v>9.2454061673942697E-2</v>
      </c>
    </row>
    <row r="1427" spans="44:48" x14ac:dyDescent="0.2">
      <c r="AR1427">
        <v>1419</v>
      </c>
      <c r="AS1427">
        <v>510</v>
      </c>
      <c r="AT1427">
        <v>2</v>
      </c>
      <c r="AU1427">
        <v>4.6821366619671974</v>
      </c>
      <c r="AV1427">
        <v>9.2372399445857303E-2</v>
      </c>
    </row>
    <row r="1428" spans="44:48" x14ac:dyDescent="0.2">
      <c r="AR1428">
        <v>1420</v>
      </c>
      <c r="AS1428">
        <v>511</v>
      </c>
      <c r="AT1428">
        <v>2</v>
      </c>
      <c r="AU1428">
        <v>4.7130771932845441</v>
      </c>
      <c r="AV1428">
        <v>9.2285996968059253E-2</v>
      </c>
    </row>
    <row r="1429" spans="44:48" x14ac:dyDescent="0.2">
      <c r="AR1429">
        <v>1421</v>
      </c>
      <c r="AS1429">
        <v>512</v>
      </c>
      <c r="AT1429">
        <v>2</v>
      </c>
      <c r="AU1429">
        <v>4.7440177246018891</v>
      </c>
      <c r="AV1429">
        <v>9.2194867680908649E-2</v>
      </c>
    </row>
    <row r="1430" spans="44:48" x14ac:dyDescent="0.2">
      <c r="AR1430">
        <v>1422</v>
      </c>
      <c r="AS1430">
        <v>513</v>
      </c>
      <c r="AT1430">
        <v>2</v>
      </c>
      <c r="AU1430">
        <v>4.7749582559192358</v>
      </c>
      <c r="AV1430">
        <v>9.2099025750904451E-2</v>
      </c>
    </row>
    <row r="1431" spans="44:48" x14ac:dyDescent="0.2">
      <c r="AR1431">
        <v>1423</v>
      </c>
      <c r="AS1431">
        <v>514</v>
      </c>
      <c r="AT1431">
        <v>2</v>
      </c>
      <c r="AU1431">
        <v>4.8058987872365826</v>
      </c>
      <c r="AV1431">
        <v>9.1998486067014301E-2</v>
      </c>
    </row>
    <row r="1432" spans="44:48" x14ac:dyDescent="0.2">
      <c r="AR1432">
        <v>1424</v>
      </c>
      <c r="AS1432">
        <v>515</v>
      </c>
      <c r="AT1432">
        <v>2</v>
      </c>
      <c r="AU1432">
        <v>4.8368393185539276</v>
      </c>
      <c r="AV1432">
        <v>9.1893264236819663E-2</v>
      </c>
    </row>
    <row r="1433" spans="44:48" x14ac:dyDescent="0.2">
      <c r="AR1433">
        <v>1425</v>
      </c>
      <c r="AS1433">
        <v>516</v>
      </c>
      <c r="AT1433">
        <v>2</v>
      </c>
      <c r="AU1433">
        <v>4.8677798498712743</v>
      </c>
      <c r="AV1433">
        <v>9.1783376582477774E-2</v>
      </c>
    </row>
    <row r="1434" spans="44:48" x14ac:dyDescent="0.2">
      <c r="AR1434">
        <v>1426</v>
      </c>
      <c r="AS1434">
        <v>517</v>
      </c>
      <c r="AT1434">
        <v>2</v>
      </c>
      <c r="AU1434">
        <v>4.8987203811886211</v>
      </c>
      <c r="AV1434">
        <v>9.1668840136502019E-2</v>
      </c>
    </row>
    <row r="1435" spans="44:48" x14ac:dyDescent="0.2">
      <c r="AR1435">
        <v>1427</v>
      </c>
      <c r="AS1435">
        <v>518</v>
      </c>
      <c r="AT1435">
        <v>2</v>
      </c>
      <c r="AU1435">
        <v>4.9296609125059678</v>
      </c>
      <c r="AV1435">
        <v>9.1549672637362162E-2</v>
      </c>
    </row>
    <row r="1436" spans="44:48" x14ac:dyDescent="0.2">
      <c r="AR1436">
        <v>1428</v>
      </c>
      <c r="AS1436">
        <v>519</v>
      </c>
      <c r="AT1436">
        <v>2</v>
      </c>
      <c r="AU1436">
        <v>4.9606014438233128</v>
      </c>
      <c r="AV1436">
        <v>9.1425892524905877E-2</v>
      </c>
    </row>
    <row r="1437" spans="44:48" x14ac:dyDescent="0.2">
      <c r="AR1437">
        <v>1429</v>
      </c>
      <c r="AS1437">
        <v>520</v>
      </c>
      <c r="AT1437">
        <v>2</v>
      </c>
      <c r="AU1437">
        <v>4.9915419751406613</v>
      </c>
      <c r="AV1437">
        <v>9.1297518935603464E-2</v>
      </c>
    </row>
    <row r="1438" spans="44:48" x14ac:dyDescent="0.2">
      <c r="AR1438">
        <v>1430</v>
      </c>
      <c r="AS1438">
        <v>521</v>
      </c>
      <c r="AT1438">
        <v>2</v>
      </c>
      <c r="AU1438">
        <v>5.0224825064580063</v>
      </c>
      <c r="AV1438">
        <v>9.116457169761745E-2</v>
      </c>
    </row>
    <row r="1439" spans="44:48" x14ac:dyDescent="0.2">
      <c r="AR1439">
        <v>1431</v>
      </c>
      <c r="AS1439">
        <v>522</v>
      </c>
      <c r="AT1439">
        <v>2</v>
      </c>
      <c r="AU1439">
        <v>5.0534230377753513</v>
      </c>
      <c r="AV1439">
        <v>9.1027071325698553E-2</v>
      </c>
    </row>
    <row r="1440" spans="44:48" x14ac:dyDescent="0.2">
      <c r="AR1440">
        <v>1432</v>
      </c>
      <c r="AS1440">
        <v>523</v>
      </c>
      <c r="AT1440">
        <v>2</v>
      </c>
      <c r="AU1440">
        <v>5.0843635690926998</v>
      </c>
      <c r="AV1440">
        <v>9.0885039015910316E-2</v>
      </c>
    </row>
    <row r="1441" spans="44:48" x14ac:dyDescent="0.2">
      <c r="AR1441">
        <v>1433</v>
      </c>
      <c r="AS1441">
        <v>524</v>
      </c>
      <c r="AT1441">
        <v>2</v>
      </c>
      <c r="AU1441">
        <v>5.1153041004100448</v>
      </c>
      <c r="AV1441">
        <v>9.0738496640183935E-2</v>
      </c>
    </row>
    <row r="1442" spans="44:48" x14ac:dyDescent="0.2">
      <c r="AR1442">
        <v>1434</v>
      </c>
      <c r="AS1442">
        <v>525</v>
      </c>
      <c r="AT1442">
        <v>2</v>
      </c>
      <c r="AU1442">
        <v>5.1462446317273898</v>
      </c>
      <c r="AV1442">
        <v>9.058746674070535E-2</v>
      </c>
    </row>
    <row r="1443" spans="44:48" x14ac:dyDescent="0.2">
      <c r="AR1443">
        <v>1435</v>
      </c>
      <c r="AS1443">
        <v>526</v>
      </c>
      <c r="AT1443">
        <v>2</v>
      </c>
      <c r="AU1443">
        <v>5.1771851630447383</v>
      </c>
      <c r="AV1443">
        <v>9.0431972524136664E-2</v>
      </c>
    </row>
    <row r="1444" spans="44:48" x14ac:dyDescent="0.2">
      <c r="AR1444">
        <v>1436</v>
      </c>
      <c r="AS1444">
        <v>527</v>
      </c>
      <c r="AT1444">
        <v>2</v>
      </c>
      <c r="AU1444">
        <v>5.2081256943620833</v>
      </c>
      <c r="AV1444">
        <v>9.0272037855674087E-2</v>
      </c>
    </row>
    <row r="1445" spans="44:48" x14ac:dyDescent="0.2">
      <c r="AR1445">
        <v>1437</v>
      </c>
      <c r="AS1445">
        <v>528</v>
      </c>
      <c r="AT1445">
        <v>2</v>
      </c>
      <c r="AU1445">
        <v>5.2390662256794283</v>
      </c>
      <c r="AV1445">
        <v>9.0107687252944033E-2</v>
      </c>
    </row>
    <row r="1446" spans="44:48" x14ac:dyDescent="0.2">
      <c r="AR1446">
        <v>1438</v>
      </c>
      <c r="AS1446">
        <v>529</v>
      </c>
      <c r="AT1446">
        <v>2</v>
      </c>
      <c r="AU1446">
        <v>5.2700067569967768</v>
      </c>
      <c r="AV1446">
        <v>8.9938945879740231E-2</v>
      </c>
    </row>
    <row r="1447" spans="44:48" x14ac:dyDescent="0.2">
      <c r="AR1447">
        <v>1439</v>
      </c>
      <c r="AS1447">
        <v>530</v>
      </c>
      <c r="AT1447">
        <v>2</v>
      </c>
      <c r="AU1447">
        <v>5.3009472883141218</v>
      </c>
      <c r="AV1447">
        <v>8.9765839539603681E-2</v>
      </c>
    </row>
    <row r="1448" spans="44:48" x14ac:dyDescent="0.2">
      <c r="AR1448">
        <v>1440</v>
      </c>
      <c r="AS1448">
        <v>531</v>
      </c>
      <c r="AT1448">
        <v>2</v>
      </c>
      <c r="AU1448">
        <v>5.3318878196314703</v>
      </c>
      <c r="AV1448">
        <v>8.9588394669247659E-2</v>
      </c>
    </row>
    <row r="1449" spans="44:48" x14ac:dyDescent="0.2">
      <c r="AR1449">
        <v>1441</v>
      </c>
      <c r="AS1449">
        <v>532</v>
      </c>
      <c r="AT1449">
        <v>2</v>
      </c>
      <c r="AU1449">
        <v>5.3628283509488153</v>
      </c>
      <c r="AV1449">
        <v>8.940663833183056E-2</v>
      </c>
    </row>
    <row r="1450" spans="44:48" x14ac:dyDescent="0.2">
      <c r="AR1450">
        <v>1442</v>
      </c>
      <c r="AS1450">
        <v>533</v>
      </c>
      <c r="AT1450">
        <v>2</v>
      </c>
      <c r="AU1450">
        <v>5.3937688822661602</v>
      </c>
      <c r="AV1450">
        <v>8.9220598210078439E-2</v>
      </c>
    </row>
    <row r="1451" spans="44:48" x14ac:dyDescent="0.2">
      <c r="AR1451">
        <v>1443</v>
      </c>
      <c r="AS1451">
        <v>534</v>
      </c>
      <c r="AT1451">
        <v>2</v>
      </c>
      <c r="AU1451">
        <v>5.4247094135835088</v>
      </c>
      <c r="AV1451">
        <v>8.9030302599260161E-2</v>
      </c>
    </row>
    <row r="1452" spans="44:48" x14ac:dyDescent="0.2">
      <c r="AR1452">
        <v>1444</v>
      </c>
      <c r="AS1452">
        <v>535</v>
      </c>
      <c r="AT1452">
        <v>2</v>
      </c>
      <c r="AU1452">
        <v>5.4556499449008538</v>
      </c>
      <c r="AV1452">
        <v>8.8835780400017342E-2</v>
      </c>
    </row>
    <row r="1453" spans="44:48" x14ac:dyDescent="0.2">
      <c r="AR1453">
        <v>1445</v>
      </c>
      <c r="AS1453">
        <v>536</v>
      </c>
      <c r="AT1453">
        <v>2</v>
      </c>
      <c r="AU1453">
        <v>5.4865904762181987</v>
      </c>
      <c r="AV1453">
        <v>8.8637061111051768E-2</v>
      </c>
    </row>
    <row r="1454" spans="44:48" x14ac:dyDescent="0.2">
      <c r="AR1454">
        <v>1446</v>
      </c>
      <c r="AS1454">
        <v>537</v>
      </c>
      <c r="AT1454">
        <v>2</v>
      </c>
      <c r="AU1454">
        <v>5.5175310075355473</v>
      </c>
      <c r="AV1454">
        <v>8.8434174821672748E-2</v>
      </c>
    </row>
    <row r="1455" spans="44:48" x14ac:dyDescent="0.2">
      <c r="AR1455">
        <v>1447</v>
      </c>
      <c r="AS1455">
        <v>538</v>
      </c>
      <c r="AT1455">
        <v>2</v>
      </c>
      <c r="AU1455">
        <v>5.5484715388528922</v>
      </c>
      <c r="AV1455">
        <v>8.822715220420746E-2</v>
      </c>
    </row>
    <row r="1456" spans="44:48" x14ac:dyDescent="0.2">
      <c r="AR1456">
        <v>1448</v>
      </c>
      <c r="AS1456">
        <v>539</v>
      </c>
      <c r="AT1456">
        <v>2</v>
      </c>
      <c r="AU1456">
        <v>5.5794120701702372</v>
      </c>
      <c r="AV1456">
        <v>8.8016024506276144E-2</v>
      </c>
    </row>
    <row r="1457" spans="44:48" x14ac:dyDescent="0.2">
      <c r="AR1457">
        <v>1449</v>
      </c>
      <c r="AS1457">
        <v>540</v>
      </c>
      <c r="AT1457">
        <v>2</v>
      </c>
      <c r="AU1457">
        <v>5.6103526014875857</v>
      </c>
      <c r="AV1457">
        <v>8.7800823542935794E-2</v>
      </c>
    </row>
    <row r="1458" spans="44:48" x14ac:dyDescent="0.2">
      <c r="AR1458">
        <v>1450</v>
      </c>
      <c r="AS1458">
        <v>541</v>
      </c>
      <c r="AT1458">
        <v>2</v>
      </c>
      <c r="AU1458">
        <v>5.6412931328049307</v>
      </c>
      <c r="AV1458">
        <v>8.7581581688694496E-2</v>
      </c>
    </row>
    <row r="1459" spans="44:48" x14ac:dyDescent="0.2">
      <c r="AR1459">
        <v>1451</v>
      </c>
      <c r="AS1459">
        <v>542</v>
      </c>
      <c r="AT1459">
        <v>2</v>
      </c>
      <c r="AU1459">
        <v>5.6722336641222793</v>
      </c>
      <c r="AV1459">
        <v>8.7358331869399355E-2</v>
      </c>
    </row>
    <row r="1460" spans="44:48" x14ac:dyDescent="0.2">
      <c r="AR1460">
        <v>1452</v>
      </c>
      <c r="AS1460">
        <v>543</v>
      </c>
      <c r="AT1460">
        <v>2</v>
      </c>
      <c r="AU1460">
        <v>5.7031741954396242</v>
      </c>
      <c r="AV1460">
        <v>8.7131107554001122E-2</v>
      </c>
    </row>
    <row r="1461" spans="44:48" x14ac:dyDescent="0.2">
      <c r="AR1461">
        <v>1453</v>
      </c>
      <c r="AS1461">
        <v>544</v>
      </c>
      <c r="AT1461">
        <v>2</v>
      </c>
      <c r="AU1461">
        <v>5.7341147267569692</v>
      </c>
      <c r="AV1461">
        <v>8.6899942746197889E-2</v>
      </c>
    </row>
    <row r="1462" spans="44:48" x14ac:dyDescent="0.2">
      <c r="AR1462">
        <v>1454</v>
      </c>
      <c r="AS1462">
        <v>545</v>
      </c>
      <c r="AT1462">
        <v>2</v>
      </c>
      <c r="AU1462">
        <v>5.7650552580743177</v>
      </c>
      <c r="AV1462">
        <v>8.6664871975961233E-2</v>
      </c>
    </row>
    <row r="1463" spans="44:48" x14ac:dyDescent="0.2">
      <c r="AR1463">
        <v>1455</v>
      </c>
      <c r="AS1463">
        <v>546</v>
      </c>
      <c r="AT1463">
        <v>2</v>
      </c>
      <c r="AU1463">
        <v>5.7959957893916627</v>
      </c>
      <c r="AV1463">
        <v>8.6425930290947722E-2</v>
      </c>
    </row>
    <row r="1464" spans="44:48" x14ac:dyDescent="0.2">
      <c r="AR1464">
        <v>1456</v>
      </c>
      <c r="AS1464">
        <v>547</v>
      </c>
      <c r="AT1464">
        <v>2</v>
      </c>
      <c r="AU1464">
        <v>5.8269363207090077</v>
      </c>
      <c r="AV1464">
        <v>8.6183153247798322E-2</v>
      </c>
    </row>
    <row r="1465" spans="44:48" x14ac:dyDescent="0.2">
      <c r="AR1465">
        <v>1457</v>
      </c>
      <c r="AS1465">
        <v>548</v>
      </c>
      <c r="AT1465">
        <v>2</v>
      </c>
      <c r="AU1465">
        <v>5.8578768520263562</v>
      </c>
      <c r="AV1465">
        <v>8.5936576903329329E-2</v>
      </c>
    </row>
    <row r="1466" spans="44:48" x14ac:dyDescent="0.2">
      <c r="AR1466">
        <v>1458</v>
      </c>
      <c r="AS1466">
        <v>549</v>
      </c>
      <c r="AT1466">
        <v>2</v>
      </c>
      <c r="AU1466">
        <v>5.8888173833437012</v>
      </c>
      <c r="AV1466">
        <v>8.5686237805617446E-2</v>
      </c>
    </row>
    <row r="1467" spans="44:48" x14ac:dyDescent="0.2">
      <c r="AR1467">
        <v>1459</v>
      </c>
      <c r="AS1467">
        <v>550</v>
      </c>
      <c r="AT1467">
        <v>2</v>
      </c>
      <c r="AU1467">
        <v>5.9197579146610497</v>
      </c>
      <c r="AV1467">
        <v>8.5432172984982291E-2</v>
      </c>
    </row>
    <row r="1468" spans="44:48" x14ac:dyDescent="0.2">
      <c r="AR1468">
        <v>1460</v>
      </c>
      <c r="AS1468">
        <v>551</v>
      </c>
      <c r="AT1468">
        <v>2</v>
      </c>
      <c r="AU1468">
        <v>5.9506984459783947</v>
      </c>
      <c r="AV1468">
        <v>8.5174419944869448E-2</v>
      </c>
    </row>
    <row r="1469" spans="44:48" x14ac:dyDescent="0.2">
      <c r="AR1469">
        <v>1461</v>
      </c>
      <c r="AS1469">
        <v>552</v>
      </c>
      <c r="AT1469">
        <v>2</v>
      </c>
      <c r="AU1469">
        <v>5.9816389772957397</v>
      </c>
      <c r="AV1469">
        <v>8.4913016652636952E-2</v>
      </c>
    </row>
    <row r="1470" spans="44:48" x14ac:dyDescent="0.2">
      <c r="AR1470">
        <v>1462</v>
      </c>
      <c r="AS1470">
        <v>553</v>
      </c>
      <c r="AT1470">
        <v>2</v>
      </c>
      <c r="AU1470">
        <v>6.0125795086130882</v>
      </c>
      <c r="AV1470">
        <v>8.4648001530248818E-2</v>
      </c>
    </row>
    <row r="1471" spans="44:48" x14ac:dyDescent="0.2">
      <c r="AR1471">
        <v>1463</v>
      </c>
      <c r="AS1471">
        <v>554</v>
      </c>
      <c r="AT1471">
        <v>2</v>
      </c>
      <c r="AU1471">
        <v>6.0435200399304332</v>
      </c>
      <c r="AV1471">
        <v>8.4379413444878371E-2</v>
      </c>
    </row>
    <row r="1472" spans="44:48" x14ac:dyDescent="0.2">
      <c r="AR1472">
        <v>1464</v>
      </c>
      <c r="AS1472">
        <v>555</v>
      </c>
      <c r="AT1472">
        <v>2</v>
      </c>
      <c r="AU1472">
        <v>6.0744605712477782</v>
      </c>
      <c r="AV1472">
        <v>8.4107291699424838E-2</v>
      </c>
    </row>
    <row r="1473" spans="44:48" x14ac:dyDescent="0.2">
      <c r="AR1473">
        <v>1465</v>
      </c>
      <c r="AS1473">
        <v>556</v>
      </c>
      <c r="AT1473">
        <v>2</v>
      </c>
      <c r="AU1473">
        <v>6.1054011025651267</v>
      </c>
      <c r="AV1473">
        <v>8.3831676022946264E-2</v>
      </c>
    </row>
    <row r="1474" spans="44:48" x14ac:dyDescent="0.2">
      <c r="AR1474">
        <v>1466</v>
      </c>
      <c r="AS1474">
        <v>557</v>
      </c>
      <c r="AT1474">
        <v>2</v>
      </c>
      <c r="AU1474">
        <v>6.1363416338824717</v>
      </c>
      <c r="AV1474">
        <v>8.3552606561012419E-2</v>
      </c>
    </row>
    <row r="1475" spans="44:48" x14ac:dyDescent="0.2">
      <c r="AR1475">
        <v>1467</v>
      </c>
      <c r="AS1475">
        <v>558</v>
      </c>
      <c r="AT1475">
        <v>2</v>
      </c>
      <c r="AU1475">
        <v>6.1672821651998166</v>
      </c>
      <c r="AV1475">
        <v>8.3270123865980067E-2</v>
      </c>
    </row>
    <row r="1476" spans="44:48" x14ac:dyDescent="0.2">
      <c r="AR1476">
        <v>1468</v>
      </c>
      <c r="AS1476">
        <v>559</v>
      </c>
      <c r="AT1476">
        <v>2</v>
      </c>
      <c r="AU1476">
        <v>6.1982226965171652</v>
      </c>
      <c r="AV1476">
        <v>8.2984268887195137E-2</v>
      </c>
    </row>
    <row r="1477" spans="44:48" x14ac:dyDescent="0.2">
      <c r="AR1477">
        <v>1469</v>
      </c>
      <c r="AS1477">
        <v>560</v>
      </c>
      <c r="AT1477">
        <v>2</v>
      </c>
      <c r="AU1477">
        <v>6.2291632278345102</v>
      </c>
      <c r="AV1477">
        <v>8.2695082961124058E-2</v>
      </c>
    </row>
    <row r="1478" spans="44:48" x14ac:dyDescent="0.2">
      <c r="AR1478">
        <v>1470</v>
      </c>
      <c r="AS1478">
        <v>561</v>
      </c>
      <c r="AT1478">
        <v>2</v>
      </c>
      <c r="AU1478">
        <v>6.2601037591518587</v>
      </c>
      <c r="AV1478">
        <v>8.2402607801417851E-2</v>
      </c>
    </row>
    <row r="1479" spans="44:48" x14ac:dyDescent="0.2">
      <c r="AR1479">
        <v>1471</v>
      </c>
      <c r="AS1479">
        <v>562</v>
      </c>
      <c r="AT1479">
        <v>2</v>
      </c>
      <c r="AU1479">
        <v>6.2910442904692037</v>
      </c>
      <c r="AV1479">
        <v>8.2106885488912887E-2</v>
      </c>
    </row>
    <row r="1480" spans="44:48" x14ac:dyDescent="0.2">
      <c r="AR1480">
        <v>1472</v>
      </c>
      <c r="AS1480">
        <v>563</v>
      </c>
      <c r="AT1480">
        <v>2</v>
      </c>
      <c r="AU1480">
        <v>6.3219848217865486</v>
      </c>
      <c r="AV1480">
        <v>8.1807958461570685E-2</v>
      </c>
    </row>
    <row r="1481" spans="44:48" x14ac:dyDescent="0.2">
      <c r="AR1481">
        <v>1473</v>
      </c>
      <c r="AS1481">
        <v>564</v>
      </c>
      <c r="AT1481">
        <v>2</v>
      </c>
      <c r="AU1481">
        <v>6.3529253531038972</v>
      </c>
      <c r="AV1481">
        <v>8.1505869504360853E-2</v>
      </c>
    </row>
    <row r="1482" spans="44:48" x14ac:dyDescent="0.2">
      <c r="AR1482">
        <v>1474</v>
      </c>
      <c r="AS1482">
        <v>565</v>
      </c>
      <c r="AT1482">
        <v>2</v>
      </c>
      <c r="AU1482">
        <v>6.3838658844212421</v>
      </c>
      <c r="AV1482">
        <v>8.1200661739090463E-2</v>
      </c>
    </row>
    <row r="1483" spans="44:48" x14ac:dyDescent="0.2">
      <c r="AR1483">
        <v>1475</v>
      </c>
      <c r="AS1483">
        <v>566</v>
      </c>
      <c r="AT1483">
        <v>2</v>
      </c>
      <c r="AU1483">
        <v>6.4148064157385871</v>
      </c>
      <c r="AV1483">
        <v>8.0892378614182581E-2</v>
      </c>
    </row>
    <row r="1484" spans="44:48" x14ac:dyDescent="0.2">
      <c r="AR1484">
        <v>1476</v>
      </c>
      <c r="AS1484">
        <v>567</v>
      </c>
      <c r="AT1484">
        <v>2</v>
      </c>
      <c r="AU1484">
        <v>6.4457469470559356</v>
      </c>
      <c r="AV1484">
        <v>8.058106389440825E-2</v>
      </c>
    </row>
    <row r="1485" spans="44:48" x14ac:dyDescent="0.2">
      <c r="AR1485">
        <v>1477</v>
      </c>
      <c r="AS1485">
        <v>568</v>
      </c>
      <c r="AT1485">
        <v>2</v>
      </c>
      <c r="AU1485">
        <v>6.4766874783732806</v>
      </c>
      <c r="AV1485">
        <v>8.0266761650574781E-2</v>
      </c>
    </row>
    <row r="1486" spans="44:48" x14ac:dyDescent="0.2">
      <c r="AR1486">
        <v>1478</v>
      </c>
      <c r="AS1486">
        <v>569</v>
      </c>
      <c r="AT1486">
        <v>2</v>
      </c>
      <c r="AU1486">
        <v>6.5076280096906256</v>
      </c>
      <c r="AV1486">
        <v>7.9949516249173611E-2</v>
      </c>
    </row>
    <row r="1487" spans="44:48" x14ac:dyDescent="0.2">
      <c r="AR1487">
        <v>1479</v>
      </c>
      <c r="AS1487">
        <v>570</v>
      </c>
      <c r="AT1487">
        <v>2</v>
      </c>
      <c r="AU1487">
        <v>6.5385685410079741</v>
      </c>
      <c r="AV1487">
        <v>7.9629372341991508E-2</v>
      </c>
    </row>
    <row r="1488" spans="44:48" x14ac:dyDescent="0.2">
      <c r="AR1488">
        <v>1480</v>
      </c>
      <c r="AS1488">
        <v>571</v>
      </c>
      <c r="AT1488">
        <v>2</v>
      </c>
      <c r="AU1488">
        <v>6.5695090723253191</v>
      </c>
      <c r="AV1488">
        <v>7.930637485568845E-2</v>
      </c>
    </row>
    <row r="1489" spans="44:48" x14ac:dyDescent="0.2">
      <c r="AR1489">
        <v>1481</v>
      </c>
      <c r="AS1489">
        <v>572</v>
      </c>
      <c r="AT1489">
        <v>2</v>
      </c>
      <c r="AU1489">
        <v>6.6004496036426676</v>
      </c>
      <c r="AV1489">
        <v>7.8980568981345034E-2</v>
      </c>
    </row>
    <row r="1490" spans="44:48" x14ac:dyDescent="0.2">
      <c r="AR1490">
        <v>1482</v>
      </c>
      <c r="AS1490">
        <v>573</v>
      </c>
      <c r="AT1490">
        <v>2</v>
      </c>
      <c r="AU1490">
        <v>6.6313901349600126</v>
      </c>
      <c r="AV1490">
        <v>7.8652000163983771E-2</v>
      </c>
    </row>
    <row r="1491" spans="44:48" x14ac:dyDescent="0.2">
      <c r="AR1491">
        <v>1483</v>
      </c>
      <c r="AS1491">
        <v>574</v>
      </c>
      <c r="AT1491">
        <v>2</v>
      </c>
      <c r="AU1491">
        <v>6.6623306662773576</v>
      </c>
      <c r="AV1491">
        <v>7.8320714092066562E-2</v>
      </c>
    </row>
    <row r="1492" spans="44:48" x14ac:dyDescent="0.2">
      <c r="AR1492">
        <v>1484</v>
      </c>
      <c r="AS1492">
        <v>575</v>
      </c>
      <c r="AT1492">
        <v>2</v>
      </c>
      <c r="AU1492">
        <v>6.6932711975947061</v>
      </c>
      <c r="AV1492">
        <v>7.7986756686972525E-2</v>
      </c>
    </row>
    <row r="1493" spans="44:48" x14ac:dyDescent="0.2">
      <c r="AR1493">
        <v>1485</v>
      </c>
      <c r="AS1493">
        <v>576</v>
      </c>
      <c r="AT1493">
        <v>2</v>
      </c>
      <c r="AU1493">
        <v>6.7242117289120511</v>
      </c>
      <c r="AV1493">
        <v>7.7650174092459404E-2</v>
      </c>
    </row>
    <row r="1494" spans="44:48" x14ac:dyDescent="0.2">
      <c r="AR1494">
        <v>1486</v>
      </c>
      <c r="AS1494">
        <v>577</v>
      </c>
      <c r="AT1494">
        <v>2</v>
      </c>
      <c r="AU1494">
        <v>6.7551522602293961</v>
      </c>
      <c r="AV1494">
        <v>7.7311012664111348E-2</v>
      </c>
    </row>
    <row r="1495" spans="44:48" x14ac:dyDescent="0.2">
      <c r="AR1495">
        <v>1487</v>
      </c>
      <c r="AS1495">
        <v>578</v>
      </c>
      <c r="AT1495">
        <v>2</v>
      </c>
      <c r="AU1495">
        <v>6.7860927915467446</v>
      </c>
      <c r="AV1495">
        <v>7.6969318958777289E-2</v>
      </c>
    </row>
    <row r="1496" spans="44:48" x14ac:dyDescent="0.2">
      <c r="AR1496">
        <v>1488</v>
      </c>
      <c r="AS1496">
        <v>579</v>
      </c>
      <c r="AT1496">
        <v>2</v>
      </c>
      <c r="AU1496">
        <v>6.8170333228640896</v>
      </c>
      <c r="AV1496">
        <v>7.6625139724002658E-2</v>
      </c>
    </row>
    <row r="1497" spans="44:48" x14ac:dyDescent="0.2">
      <c r="AR1497">
        <v>1489</v>
      </c>
      <c r="AS1497">
        <v>580</v>
      </c>
      <c r="AT1497">
        <v>2</v>
      </c>
      <c r="AU1497">
        <v>6.8479738541814346</v>
      </c>
      <c r="AV1497">
        <v>7.6278521887457748E-2</v>
      </c>
    </row>
    <row r="1498" spans="44:48" x14ac:dyDescent="0.2">
      <c r="AR1498">
        <v>1490</v>
      </c>
      <c r="AS1498">
        <v>581</v>
      </c>
      <c r="AT1498">
        <v>2</v>
      </c>
      <c r="AU1498">
        <v>6.8789143854987831</v>
      </c>
      <c r="AV1498">
        <v>7.5929512546366512E-2</v>
      </c>
    </row>
    <row r="1499" spans="44:48" x14ac:dyDescent="0.2">
      <c r="AR1499">
        <v>1491</v>
      </c>
      <c r="AS1499">
        <v>582</v>
      </c>
      <c r="AT1499">
        <v>2</v>
      </c>
      <c r="AU1499">
        <v>6.9098549168161281</v>
      </c>
      <c r="AV1499">
        <v>7.5578158956938729E-2</v>
      </c>
    </row>
    <row r="1500" spans="44:48" x14ac:dyDescent="0.2">
      <c r="AR1500">
        <v>1492</v>
      </c>
      <c r="AS1500">
        <v>583</v>
      </c>
      <c r="AT1500">
        <v>2</v>
      </c>
      <c r="AU1500">
        <v>6.9407954481334766</v>
      </c>
      <c r="AV1500">
        <v>7.5224508523808603E-2</v>
      </c>
    </row>
    <row r="1501" spans="44:48" x14ac:dyDescent="0.2">
      <c r="AR1501">
        <v>1493</v>
      </c>
      <c r="AS1501">
        <v>584</v>
      </c>
      <c r="AT1501">
        <v>2</v>
      </c>
      <c r="AU1501">
        <v>6.9717359794508216</v>
      </c>
      <c r="AV1501">
        <v>7.4868608789483856E-2</v>
      </c>
    </row>
    <row r="1502" spans="44:48" x14ac:dyDescent="0.2">
      <c r="AR1502">
        <v>1494</v>
      </c>
      <c r="AS1502">
        <v>585</v>
      </c>
      <c r="AT1502">
        <v>2</v>
      </c>
      <c r="AU1502">
        <v>7.0026765107681666</v>
      </c>
      <c r="AV1502">
        <v>7.4510507423807548E-2</v>
      </c>
    </row>
    <row r="1503" spans="44:48" x14ac:dyDescent="0.2">
      <c r="AR1503">
        <v>1495</v>
      </c>
      <c r="AS1503">
        <v>586</v>
      </c>
      <c r="AT1503">
        <v>2</v>
      </c>
      <c r="AU1503">
        <v>7.0336170420855151</v>
      </c>
      <c r="AV1503">
        <v>7.4150252213436685E-2</v>
      </c>
    </row>
    <row r="1504" spans="44:48" x14ac:dyDescent="0.2">
      <c r="AR1504">
        <v>1496</v>
      </c>
      <c r="AS1504">
        <v>587</v>
      </c>
      <c r="AT1504">
        <v>2</v>
      </c>
      <c r="AU1504">
        <v>7.0645575734028601</v>
      </c>
      <c r="AV1504">
        <v>7.378789105134051E-2</v>
      </c>
    </row>
    <row r="1505" spans="44:48" x14ac:dyDescent="0.2">
      <c r="AR1505">
        <v>1497</v>
      </c>
      <c r="AS1505">
        <v>588</v>
      </c>
      <c r="AT1505">
        <v>2</v>
      </c>
      <c r="AU1505">
        <v>7.095498104720205</v>
      </c>
      <c r="AV1505">
        <v>7.3423471926321301E-2</v>
      </c>
    </row>
    <row r="1506" spans="44:48" x14ac:dyDescent="0.2">
      <c r="AR1506">
        <v>1498</v>
      </c>
      <c r="AS1506">
        <v>589</v>
      </c>
      <c r="AT1506">
        <v>2</v>
      </c>
      <c r="AU1506">
        <v>7.1264386360375536</v>
      </c>
      <c r="AV1506">
        <v>7.3057042912561584E-2</v>
      </c>
    </row>
    <row r="1507" spans="44:48" x14ac:dyDescent="0.2">
      <c r="AR1507">
        <v>1499</v>
      </c>
      <c r="AS1507">
        <v>590</v>
      </c>
      <c r="AT1507">
        <v>2</v>
      </c>
      <c r="AU1507">
        <v>7.1573791673548985</v>
      </c>
      <c r="AV1507">
        <v>7.2688652159200409E-2</v>
      </c>
    </row>
    <row r="1508" spans="44:48" x14ac:dyDescent="0.2">
      <c r="AR1508">
        <v>1500</v>
      </c>
      <c r="AS1508">
        <v>591</v>
      </c>
      <c r="AT1508">
        <v>2</v>
      </c>
      <c r="AU1508">
        <v>7.1883196986722435</v>
      </c>
      <c r="AV1508">
        <v>7.2318347879941527E-2</v>
      </c>
    </row>
    <row r="1509" spans="44:48" x14ac:dyDescent="0.2">
      <c r="AR1509">
        <v>1501</v>
      </c>
      <c r="AS1509">
        <v>592</v>
      </c>
      <c r="AT1509">
        <v>2</v>
      </c>
      <c r="AU1509">
        <v>7.219260229989592</v>
      </c>
      <c r="AV1509">
        <v>7.1946178342697328E-2</v>
      </c>
    </row>
    <row r="1510" spans="44:48" x14ac:dyDescent="0.2">
      <c r="AR1510">
        <v>1502</v>
      </c>
      <c r="AS1510">
        <v>593</v>
      </c>
      <c r="AT1510">
        <v>2</v>
      </c>
      <c r="AU1510">
        <v>7.250200761306937</v>
      </c>
      <c r="AV1510">
        <v>7.1572191859271231E-2</v>
      </c>
    </row>
    <row r="1511" spans="44:48" x14ac:dyDescent="0.2">
      <c r="AR1511">
        <v>1503</v>
      </c>
      <c r="AS1511">
        <v>594</v>
      </c>
      <c r="AT1511">
        <v>2</v>
      </c>
      <c r="AU1511">
        <v>7.2811412926242856</v>
      </c>
      <c r="AV1511">
        <v>7.1196436775080807E-2</v>
      </c>
    </row>
    <row r="1512" spans="44:48" x14ac:dyDescent="0.2">
      <c r="AR1512">
        <v>1504</v>
      </c>
      <c r="AS1512">
        <v>595</v>
      </c>
      <c r="AT1512">
        <v>2</v>
      </c>
      <c r="AU1512">
        <v>7.3120818239416305</v>
      </c>
      <c r="AV1512">
        <v>7.0818961458926299E-2</v>
      </c>
    </row>
    <row r="1513" spans="44:48" x14ac:dyDescent="0.2">
      <c r="AR1513">
        <v>1505</v>
      </c>
      <c r="AS1513">
        <v>596</v>
      </c>
      <c r="AT1513">
        <v>2</v>
      </c>
      <c r="AU1513">
        <v>7.3430223552589755</v>
      </c>
      <c r="AV1513">
        <v>7.0439814292805575E-2</v>
      </c>
    </row>
    <row r="1514" spans="44:48" x14ac:dyDescent="0.2">
      <c r="AR1514">
        <v>1506</v>
      </c>
      <c r="AS1514">
        <v>597</v>
      </c>
      <c r="AT1514">
        <v>2</v>
      </c>
      <c r="AU1514">
        <v>7.373962886576324</v>
      </c>
      <c r="AV1514">
        <v>7.0059043661780007E-2</v>
      </c>
    </row>
    <row r="1515" spans="44:48" x14ac:dyDescent="0.2">
      <c r="AR1515">
        <v>1507</v>
      </c>
      <c r="AS1515">
        <v>598</v>
      </c>
      <c r="AT1515">
        <v>2</v>
      </c>
      <c r="AU1515">
        <v>7.404903417893669</v>
      </c>
      <c r="AV1515">
        <v>6.9676697943893473E-2</v>
      </c>
    </row>
    <row r="1516" spans="44:48" x14ac:dyDescent="0.2">
      <c r="AR1516">
        <v>1508</v>
      </c>
      <c r="AS1516">
        <v>599</v>
      </c>
      <c r="AT1516">
        <v>2</v>
      </c>
      <c r="AU1516">
        <v>7.435843949211014</v>
      </c>
      <c r="AV1516">
        <v>6.929282550014694E-2</v>
      </c>
    </row>
    <row r="1517" spans="44:48" x14ac:dyDescent="0.2">
      <c r="AR1517">
        <v>1509</v>
      </c>
      <c r="AS1517">
        <v>600</v>
      </c>
      <c r="AT1517">
        <v>2</v>
      </c>
      <c r="AU1517">
        <v>7.4667844805283625</v>
      </c>
      <c r="AV1517">
        <v>6.890747466453255E-2</v>
      </c>
    </row>
    <row r="1518" spans="44:48" x14ac:dyDescent="0.2">
      <c r="AR1518">
        <v>1510</v>
      </c>
      <c r="AS1518">
        <v>601</v>
      </c>
      <c r="AT1518">
        <v>2</v>
      </c>
      <c r="AU1518">
        <v>7.4977250118457075</v>
      </c>
      <c r="AV1518">
        <v>6.8520693734129126E-2</v>
      </c>
    </row>
    <row r="1519" spans="44:48" x14ac:dyDescent="0.2">
      <c r="AR1519">
        <v>1511</v>
      </c>
      <c r="AS1519">
        <v>602</v>
      </c>
      <c r="AT1519">
        <v>2</v>
      </c>
      <c r="AU1519">
        <v>7.528665543163056</v>
      </c>
      <c r="AV1519">
        <v>6.813253095926175E-2</v>
      </c>
    </row>
    <row r="1520" spans="44:48" x14ac:dyDescent="0.2">
      <c r="AR1520">
        <v>1512</v>
      </c>
      <c r="AS1520">
        <v>603</v>
      </c>
      <c r="AT1520">
        <v>2</v>
      </c>
      <c r="AU1520">
        <v>7.559606074480401</v>
      </c>
      <c r="AV1520">
        <v>6.7743034533729263E-2</v>
      </c>
    </row>
    <row r="1521" spans="44:48" x14ac:dyDescent="0.2">
      <c r="AR1521">
        <v>1513</v>
      </c>
      <c r="AS1521">
        <v>604</v>
      </c>
      <c r="AT1521">
        <v>2</v>
      </c>
      <c r="AU1521">
        <v>7.590546605797746</v>
      </c>
      <c r="AV1521">
        <v>6.7352252585100691E-2</v>
      </c>
    </row>
    <row r="1522" spans="44:48" x14ac:dyDescent="0.2">
      <c r="AR1522">
        <v>1514</v>
      </c>
      <c r="AS1522">
        <v>605</v>
      </c>
      <c r="AT1522">
        <v>2</v>
      </c>
      <c r="AU1522">
        <v>7.6214871371150945</v>
      </c>
      <c r="AV1522">
        <v>6.696023316508469E-2</v>
      </c>
    </row>
    <row r="1523" spans="44:48" x14ac:dyDescent="0.2">
      <c r="AR1523">
        <v>1515</v>
      </c>
      <c r="AS1523">
        <v>606</v>
      </c>
      <c r="AT1523">
        <v>2</v>
      </c>
      <c r="AU1523">
        <v>7.6524276684324395</v>
      </c>
      <c r="AV1523">
        <v>6.6567024239974001E-2</v>
      </c>
    </row>
    <row r="1524" spans="44:48" x14ac:dyDescent="0.2">
      <c r="AR1524">
        <v>1516</v>
      </c>
      <c r="AS1524">
        <v>607</v>
      </c>
      <c r="AT1524">
        <v>2</v>
      </c>
      <c r="AU1524">
        <v>7.6833681997497845</v>
      </c>
      <c r="AV1524">
        <v>6.6172673681166971E-2</v>
      </c>
    </row>
    <row r="1525" spans="44:48" x14ac:dyDescent="0.2">
      <c r="AR1525">
        <v>1517</v>
      </c>
      <c r="AS1525">
        <v>608</v>
      </c>
      <c r="AT1525">
        <v>2</v>
      </c>
      <c r="AU1525">
        <v>7.714308731067133</v>
      </c>
      <c r="AV1525">
        <v>6.5777229255769745E-2</v>
      </c>
    </row>
    <row r="1526" spans="44:48" x14ac:dyDescent="0.2">
      <c r="AR1526">
        <v>1518</v>
      </c>
      <c r="AS1526">
        <v>609</v>
      </c>
      <c r="AT1526">
        <v>2</v>
      </c>
      <c r="AU1526">
        <v>7.745249262384478</v>
      </c>
      <c r="AV1526">
        <v>6.5380738617280831E-2</v>
      </c>
    </row>
    <row r="1527" spans="44:48" x14ac:dyDescent="0.2">
      <c r="AR1527">
        <v>1519</v>
      </c>
      <c r="AS1527">
        <v>610</v>
      </c>
      <c r="AT1527">
        <v>2</v>
      </c>
      <c r="AU1527">
        <v>7.7761897937018229</v>
      </c>
      <c r="AV1527">
        <v>6.498324929636029E-2</v>
      </c>
    </row>
    <row r="1528" spans="44:48" x14ac:dyDescent="0.2">
      <c r="AR1528">
        <v>1520</v>
      </c>
      <c r="AS1528">
        <v>611</v>
      </c>
      <c r="AT1528">
        <v>2</v>
      </c>
      <c r="AU1528">
        <v>7.8071303250191715</v>
      </c>
      <c r="AV1528">
        <v>6.4584808691686646E-2</v>
      </c>
    </row>
    <row r="1529" spans="44:48" x14ac:dyDescent="0.2">
      <c r="AR1529">
        <v>1521</v>
      </c>
      <c r="AS1529">
        <v>612</v>
      </c>
      <c r="AT1529">
        <v>2</v>
      </c>
      <c r="AU1529">
        <v>7.8380708563365165</v>
      </c>
      <c r="AV1529">
        <v>6.4185464060903447E-2</v>
      </c>
    </row>
    <row r="1530" spans="44:48" x14ac:dyDescent="0.2">
      <c r="AR1530">
        <v>1522</v>
      </c>
      <c r="AS1530">
        <v>613</v>
      </c>
      <c r="AT1530">
        <v>2</v>
      </c>
      <c r="AU1530">
        <v>7.869011387653865</v>
      </c>
      <c r="AV1530">
        <v>6.3785262511657365E-2</v>
      </c>
    </row>
    <row r="1531" spans="44:48" x14ac:dyDescent="0.2">
      <c r="AR1531">
        <v>1523</v>
      </c>
      <c r="AS1531">
        <v>614</v>
      </c>
      <c r="AT1531">
        <v>2</v>
      </c>
      <c r="AU1531">
        <v>7.89995191897121</v>
      </c>
      <c r="AV1531">
        <v>6.3384250992731025E-2</v>
      </c>
    </row>
    <row r="1532" spans="44:48" x14ac:dyDescent="0.2">
      <c r="AR1532">
        <v>1524</v>
      </c>
      <c r="AS1532">
        <v>615</v>
      </c>
      <c r="AT1532">
        <v>2</v>
      </c>
      <c r="AU1532">
        <v>7.9308924502885549</v>
      </c>
      <c r="AV1532">
        <v>6.2982476285271566E-2</v>
      </c>
    </row>
    <row r="1533" spans="44:48" x14ac:dyDescent="0.2">
      <c r="AR1533">
        <v>1525</v>
      </c>
      <c r="AS1533">
        <v>616</v>
      </c>
      <c r="AT1533">
        <v>2</v>
      </c>
      <c r="AU1533">
        <v>7.9618329816059035</v>
      </c>
      <c r="AV1533">
        <v>6.257998499411821E-2</v>
      </c>
    </row>
    <row r="1534" spans="44:48" x14ac:dyDescent="0.2">
      <c r="AR1534">
        <v>1526</v>
      </c>
      <c r="AS1534">
        <v>617</v>
      </c>
      <c r="AT1534">
        <v>2</v>
      </c>
      <c r="AU1534">
        <v>7.9927735129232484</v>
      </c>
      <c r="AV1534">
        <v>6.2176823539230215E-2</v>
      </c>
    </row>
    <row r="1535" spans="44:48" x14ac:dyDescent="0.2">
      <c r="AR1535">
        <v>1527</v>
      </c>
      <c r="AS1535">
        <v>618</v>
      </c>
      <c r="AT1535">
        <v>2</v>
      </c>
      <c r="AU1535">
        <v>8.0237140442405934</v>
      </c>
      <c r="AV1535">
        <v>6.1773038147217213E-2</v>
      </c>
    </row>
    <row r="1536" spans="44:48" x14ac:dyDescent="0.2">
      <c r="AR1536">
        <v>1528</v>
      </c>
      <c r="AS1536">
        <v>619</v>
      </c>
      <c r="AT1536">
        <v>2</v>
      </c>
      <c r="AU1536">
        <v>8.054654575557942</v>
      </c>
      <c r="AV1536">
        <v>6.1368674842974473E-2</v>
      </c>
    </row>
    <row r="1537" spans="44:48" x14ac:dyDescent="0.2">
      <c r="AR1537">
        <v>1529</v>
      </c>
      <c r="AS1537">
        <v>620</v>
      </c>
      <c r="AT1537">
        <v>2</v>
      </c>
      <c r="AU1537">
        <v>8.0855951068752869</v>
      </c>
      <c r="AV1537">
        <v>6.0963779441424601E-2</v>
      </c>
    </row>
    <row r="1538" spans="44:48" x14ac:dyDescent="0.2">
      <c r="AR1538">
        <v>1530</v>
      </c>
      <c r="AS1538">
        <v>621</v>
      </c>
      <c r="AT1538">
        <v>2</v>
      </c>
      <c r="AU1538">
        <v>8.1165356381926319</v>
      </c>
      <c r="AV1538">
        <v>6.0558397539367426E-2</v>
      </c>
    </row>
    <row r="1539" spans="44:48" x14ac:dyDescent="0.2">
      <c r="AR1539">
        <v>1531</v>
      </c>
      <c r="AS1539">
        <v>622</v>
      </c>
      <c r="AT1539">
        <v>2</v>
      </c>
      <c r="AU1539">
        <v>8.1474761695099804</v>
      </c>
      <c r="AV1539">
        <v>6.0152574507440298E-2</v>
      </c>
    </row>
    <row r="1540" spans="44:48" x14ac:dyDescent="0.2">
      <c r="AR1540">
        <v>1532</v>
      </c>
      <c r="AS1540">
        <v>623</v>
      </c>
      <c r="AT1540">
        <v>2</v>
      </c>
      <c r="AU1540">
        <v>8.1784167008273254</v>
      </c>
      <c r="AV1540">
        <v>5.9746355482190698E-2</v>
      </c>
    </row>
    <row r="1541" spans="44:48" x14ac:dyDescent="0.2">
      <c r="AR1541">
        <v>1533</v>
      </c>
      <c r="AS1541">
        <v>624</v>
      </c>
      <c r="AT1541">
        <v>2</v>
      </c>
      <c r="AU1541">
        <v>8.2093572321446739</v>
      </c>
      <c r="AV1541">
        <v>5.9339785358261843E-2</v>
      </c>
    </row>
    <row r="1542" spans="44:48" x14ac:dyDescent="0.2">
      <c r="AR1542">
        <v>1534</v>
      </c>
      <c r="AS1542">
        <v>625</v>
      </c>
      <c r="AT1542">
        <v>2</v>
      </c>
      <c r="AU1542">
        <v>8.2402977634620189</v>
      </c>
      <c r="AV1542">
        <v>5.8932908780694557E-2</v>
      </c>
    </row>
    <row r="1543" spans="44:48" x14ac:dyDescent="0.2">
      <c r="AR1543">
        <v>1535</v>
      </c>
      <c r="AS1543">
        <v>626</v>
      </c>
      <c r="AT1543">
        <v>2</v>
      </c>
      <c r="AU1543">
        <v>8.2712382947793639</v>
      </c>
      <c r="AV1543">
        <v>5.8525770137345508E-2</v>
      </c>
    </row>
    <row r="1544" spans="44:48" x14ac:dyDescent="0.2">
      <c r="AR1544">
        <v>1536</v>
      </c>
      <c r="AS1544">
        <v>627</v>
      </c>
      <c r="AT1544">
        <v>2</v>
      </c>
      <c r="AU1544">
        <v>8.3021788260967124</v>
      </c>
      <c r="AV1544">
        <v>5.8118413551424455E-2</v>
      </c>
    </row>
    <row r="1545" spans="44:48" x14ac:dyDescent="0.2">
      <c r="AR1545">
        <v>1537</v>
      </c>
      <c r="AS1545">
        <v>628</v>
      </c>
      <c r="AT1545">
        <v>2</v>
      </c>
      <c r="AU1545">
        <v>8.3331193574140574</v>
      </c>
      <c r="AV1545">
        <v>5.771088287415161E-2</v>
      </c>
    </row>
    <row r="1546" spans="44:48" x14ac:dyDescent="0.2">
      <c r="AR1546">
        <v>1538</v>
      </c>
      <c r="AS1546">
        <v>629</v>
      </c>
      <c r="AT1546">
        <v>2</v>
      </c>
      <c r="AU1546">
        <v>8.3640598887314024</v>
      </c>
      <c r="AV1546">
        <v>5.7303221677536216E-2</v>
      </c>
    </row>
    <row r="1547" spans="44:48" x14ac:dyDescent="0.2">
      <c r="AR1547">
        <v>1539</v>
      </c>
      <c r="AS1547">
        <v>630</v>
      </c>
      <c r="AT1547">
        <v>2</v>
      </c>
      <c r="AU1547">
        <v>8.3950004200487509</v>
      </c>
      <c r="AV1547">
        <v>5.6895473247278491E-2</v>
      </c>
    </row>
    <row r="1548" spans="44:48" x14ac:dyDescent="0.2">
      <c r="AR1548">
        <v>1540</v>
      </c>
      <c r="AS1548">
        <v>631</v>
      </c>
      <c r="AT1548">
        <v>2</v>
      </c>
      <c r="AU1548">
        <v>8.4259409513660959</v>
      </c>
      <c r="AV1548">
        <v>5.648768057579593E-2</v>
      </c>
    </row>
    <row r="1549" spans="44:48" x14ac:dyDescent="0.2">
      <c r="AR1549">
        <v>1541</v>
      </c>
      <c r="AS1549">
        <v>632</v>
      </c>
      <c r="AT1549">
        <v>2</v>
      </c>
      <c r="AU1549">
        <v>8.4568814826834409</v>
      </c>
      <c r="AV1549">
        <v>5.6079886355374801E-2</v>
      </c>
    </row>
    <row r="1550" spans="44:48" x14ac:dyDescent="0.2">
      <c r="AR1550">
        <v>1542</v>
      </c>
      <c r="AS1550">
        <v>633</v>
      </c>
      <c r="AT1550">
        <v>2</v>
      </c>
      <c r="AU1550">
        <v>8.4878220140007894</v>
      </c>
      <c r="AV1550">
        <v>5.5672132971448962E-2</v>
      </c>
    </row>
    <row r="1551" spans="44:48" x14ac:dyDescent="0.2">
      <c r="AR1551">
        <v>1543</v>
      </c>
      <c r="AS1551">
        <v>634</v>
      </c>
      <c r="AT1551">
        <v>2</v>
      </c>
      <c r="AU1551">
        <v>8.5187625453181344</v>
      </c>
      <c r="AV1551">
        <v>5.5264462496006708E-2</v>
      </c>
    </row>
    <row r="1552" spans="44:48" x14ac:dyDescent="0.2">
      <c r="AR1552">
        <v>1544</v>
      </c>
      <c r="AS1552">
        <v>635</v>
      </c>
      <c r="AT1552">
        <v>2</v>
      </c>
      <c r="AU1552">
        <v>8.5497030766354829</v>
      </c>
      <c r="AV1552">
        <v>5.4856916681126321E-2</v>
      </c>
    </row>
    <row r="1553" spans="44:48" x14ac:dyDescent="0.2">
      <c r="AR1553">
        <v>1545</v>
      </c>
      <c r="AS1553">
        <v>636</v>
      </c>
      <c r="AT1553">
        <v>2</v>
      </c>
      <c r="AU1553">
        <v>8.5806436079528279</v>
      </c>
      <c r="AV1553">
        <v>5.4449536952642742E-2</v>
      </c>
    </row>
    <row r="1554" spans="44:48" x14ac:dyDescent="0.2">
      <c r="AR1554">
        <v>1546</v>
      </c>
      <c r="AS1554">
        <v>637</v>
      </c>
      <c r="AT1554">
        <v>2</v>
      </c>
      <c r="AU1554">
        <v>8.6115841392701729</v>
      </c>
      <c r="AV1554">
        <v>5.4042364403944547E-2</v>
      </c>
    </row>
    <row r="1555" spans="44:48" x14ac:dyDescent="0.2">
      <c r="AR1555">
        <v>1547</v>
      </c>
      <c r="AS1555">
        <v>638</v>
      </c>
      <c r="AT1555">
        <v>2</v>
      </c>
      <c r="AU1555">
        <v>8.6425246705875214</v>
      </c>
      <c r="AV1555">
        <v>5.3635439789903858E-2</v>
      </c>
    </row>
    <row r="1556" spans="44:48" x14ac:dyDescent="0.2">
      <c r="AR1556">
        <v>1548</v>
      </c>
      <c r="AS1556">
        <v>639</v>
      </c>
      <c r="AT1556">
        <v>2</v>
      </c>
      <c r="AU1556">
        <v>8.6734652019048664</v>
      </c>
      <c r="AV1556">
        <v>5.3228803520939484E-2</v>
      </c>
    </row>
    <row r="1557" spans="44:48" x14ac:dyDescent="0.2">
      <c r="AR1557">
        <v>1549</v>
      </c>
      <c r="AS1557">
        <v>640</v>
      </c>
      <c r="AT1557">
        <v>2</v>
      </c>
      <c r="AU1557">
        <v>8.7044057332222113</v>
      </c>
      <c r="AV1557">
        <v>5.2822495657213316E-2</v>
      </c>
    </row>
    <row r="1558" spans="44:48" x14ac:dyDescent="0.2">
      <c r="AR1558">
        <v>1550</v>
      </c>
      <c r="AS1558">
        <v>641</v>
      </c>
      <c r="AT1558">
        <v>2</v>
      </c>
      <c r="AU1558">
        <v>8.7353462645395599</v>
      </c>
      <c r="AV1558">
        <v>5.2416555902962354E-2</v>
      </c>
    </row>
    <row r="1559" spans="44:48" x14ac:dyDescent="0.2">
      <c r="AR1559">
        <v>1551</v>
      </c>
      <c r="AS1559">
        <v>642</v>
      </c>
      <c r="AT1559">
        <v>2</v>
      </c>
      <c r="AU1559">
        <v>8.7662867958569048</v>
      </c>
      <c r="AV1559">
        <v>5.2011023600966023E-2</v>
      </c>
    </row>
    <row r="1560" spans="44:48" x14ac:dyDescent="0.2">
      <c r="AR1560">
        <v>1552</v>
      </c>
      <c r="AS1560">
        <v>643</v>
      </c>
      <c r="AT1560">
        <v>2</v>
      </c>
      <c r="AU1560">
        <v>8.7972273271742498</v>
      </c>
      <c r="AV1560">
        <v>5.1605937727149449E-2</v>
      </c>
    </row>
    <row r="1561" spans="44:48" x14ac:dyDescent="0.2">
      <c r="AR1561">
        <v>1553</v>
      </c>
      <c r="AS1561">
        <v>644</v>
      </c>
      <c r="AT1561">
        <v>2</v>
      </c>
      <c r="AU1561">
        <v>8.8281678584915984</v>
      </c>
      <c r="AV1561">
        <v>5.1201336885323995E-2</v>
      </c>
    </row>
    <row r="1562" spans="44:48" x14ac:dyDescent="0.2">
      <c r="AR1562">
        <v>1554</v>
      </c>
      <c r="AS1562">
        <v>645</v>
      </c>
      <c r="AT1562">
        <v>2</v>
      </c>
      <c r="AU1562">
        <v>8.8591083898089433</v>
      </c>
      <c r="AV1562">
        <v>5.0797259302065266E-2</v>
      </c>
    </row>
    <row r="1563" spans="44:48" x14ac:dyDescent="0.2">
      <c r="AR1563">
        <v>1555</v>
      </c>
      <c r="AS1563">
        <v>646</v>
      </c>
      <c r="AT1563">
        <v>2</v>
      </c>
      <c r="AU1563">
        <v>8.8900489211262919</v>
      </c>
      <c r="AV1563">
        <v>5.0393742821728621E-2</v>
      </c>
    </row>
    <row r="1564" spans="44:48" x14ac:dyDescent="0.2">
      <c r="AR1564">
        <v>1556</v>
      </c>
      <c r="AS1564">
        <v>647</v>
      </c>
      <c r="AT1564">
        <v>2</v>
      </c>
      <c r="AU1564">
        <v>8.9209894524436368</v>
      </c>
      <c r="AV1564">
        <v>4.9990824901603975E-2</v>
      </c>
    </row>
    <row r="1565" spans="44:48" x14ac:dyDescent="0.2">
      <c r="AR1565">
        <v>1557</v>
      </c>
      <c r="AS1565">
        <v>648</v>
      </c>
      <c r="AT1565">
        <v>2</v>
      </c>
      <c r="AU1565">
        <v>8.9519299837609818</v>
      </c>
      <c r="AV1565">
        <v>4.958854260720847E-2</v>
      </c>
    </row>
    <row r="1566" spans="44:48" x14ac:dyDescent="0.2">
      <c r="AR1566">
        <v>1558</v>
      </c>
      <c r="AS1566">
        <v>649</v>
      </c>
      <c r="AT1566">
        <v>2</v>
      </c>
      <c r="AU1566">
        <v>8.9828705150783303</v>
      </c>
      <c r="AV1566">
        <v>4.9186932607719266E-2</v>
      </c>
    </row>
    <row r="1567" spans="44:48" x14ac:dyDescent="0.2">
      <c r="AR1567">
        <v>1559</v>
      </c>
      <c r="AS1567">
        <v>650</v>
      </c>
      <c r="AT1567">
        <v>2</v>
      </c>
      <c r="AU1567">
        <v>9.0138110463956753</v>
      </c>
      <c r="AV1567">
        <v>4.8786031171545584E-2</v>
      </c>
    </row>
    <row r="1568" spans="44:48" x14ac:dyDescent="0.2">
      <c r="AR1568">
        <v>1560</v>
      </c>
      <c r="AS1568">
        <v>651</v>
      </c>
      <c r="AT1568">
        <v>2</v>
      </c>
      <c r="AU1568">
        <v>9.0447515777130203</v>
      </c>
      <c r="AV1568">
        <v>4.8385874162040203E-2</v>
      </c>
    </row>
    <row r="1569" spans="44:48" x14ac:dyDescent="0.2">
      <c r="AR1569">
        <v>1561</v>
      </c>
      <c r="AS1569">
        <v>652</v>
      </c>
      <c r="AT1569">
        <v>2</v>
      </c>
      <c r="AU1569">
        <v>9.0756921090303688</v>
      </c>
      <c r="AV1569">
        <v>4.7986497033351477E-2</v>
      </c>
    </row>
    <row r="1570" spans="44:48" x14ac:dyDescent="0.2">
      <c r="AR1570">
        <v>1562</v>
      </c>
      <c r="AS1570">
        <v>653</v>
      </c>
      <c r="AT1570">
        <v>2</v>
      </c>
      <c r="AU1570">
        <v>9.1066326403477138</v>
      </c>
      <c r="AV1570">
        <v>4.7587934826415428E-2</v>
      </c>
    </row>
    <row r="1571" spans="44:48" x14ac:dyDescent="0.2">
      <c r="AR1571">
        <v>1563</v>
      </c>
      <c r="AS1571">
        <v>654</v>
      </c>
      <c r="AT1571">
        <v>2</v>
      </c>
      <c r="AU1571">
        <v>9.1375731716650588</v>
      </c>
      <c r="AV1571">
        <v>4.7190222165087725E-2</v>
      </c>
    </row>
    <row r="1572" spans="44:48" x14ac:dyDescent="0.2">
      <c r="AR1572">
        <v>1564</v>
      </c>
      <c r="AS1572">
        <v>655</v>
      </c>
      <c r="AT1572">
        <v>2</v>
      </c>
      <c r="AU1572">
        <v>9.1685137029824073</v>
      </c>
      <c r="AV1572">
        <v>4.6793393252416361E-2</v>
      </c>
    </row>
    <row r="1573" spans="44:48" x14ac:dyDescent="0.2">
      <c r="AR1573">
        <v>1565</v>
      </c>
      <c r="AS1573">
        <v>656</v>
      </c>
      <c r="AT1573">
        <v>2</v>
      </c>
      <c r="AU1573">
        <v>9.1994542342997523</v>
      </c>
      <c r="AV1573">
        <v>4.6397481867054696E-2</v>
      </c>
    </row>
    <row r="1574" spans="44:48" x14ac:dyDescent="0.2">
      <c r="AR1574">
        <v>1566</v>
      </c>
      <c r="AS1574">
        <v>657</v>
      </c>
      <c r="AT1574">
        <v>2</v>
      </c>
      <c r="AU1574">
        <v>9.2303947656171008</v>
      </c>
      <c r="AV1574">
        <v>4.6002521359814218E-2</v>
      </c>
    </row>
    <row r="1575" spans="44:48" x14ac:dyDescent="0.2">
      <c r="AR1575">
        <v>1567</v>
      </c>
      <c r="AS1575">
        <v>658</v>
      </c>
      <c r="AT1575">
        <v>2</v>
      </c>
      <c r="AU1575">
        <v>9.2613352969344458</v>
      </c>
      <c r="AV1575">
        <v>4.5608544650358199E-2</v>
      </c>
    </row>
    <row r="1576" spans="44:48" x14ac:dyDescent="0.2">
      <c r="AR1576">
        <v>1568</v>
      </c>
      <c r="AS1576">
        <v>659</v>
      </c>
      <c r="AT1576">
        <v>2</v>
      </c>
      <c r="AU1576">
        <v>9.2922758282517908</v>
      </c>
      <c r="AV1576">
        <v>4.5215584224034572E-2</v>
      </c>
    </row>
    <row r="1577" spans="44:48" x14ac:dyDescent="0.2">
      <c r="AR1577">
        <v>1569</v>
      </c>
      <c r="AS1577">
        <v>660</v>
      </c>
      <c r="AT1577">
        <v>2</v>
      </c>
      <c r="AU1577">
        <v>9.3232163595691393</v>
      </c>
      <c r="AV1577">
        <v>4.4823672128849204E-2</v>
      </c>
    </row>
    <row r="1578" spans="44:48" x14ac:dyDescent="0.2">
      <c r="AR1578">
        <v>1570</v>
      </c>
      <c r="AS1578">
        <v>661</v>
      </c>
      <c r="AT1578">
        <v>2</v>
      </c>
      <c r="AU1578">
        <v>9.3541568908864843</v>
      </c>
      <c r="AV1578">
        <v>4.4432839972578533E-2</v>
      </c>
    </row>
    <row r="1579" spans="44:48" x14ac:dyDescent="0.2">
      <c r="AR1579">
        <v>1571</v>
      </c>
      <c r="AS1579">
        <v>662</v>
      </c>
      <c r="AT1579">
        <v>2</v>
      </c>
      <c r="AU1579">
        <v>9.3850974222038293</v>
      </c>
      <c r="AV1579">
        <v>4.4043118920021072E-2</v>
      </c>
    </row>
    <row r="1580" spans="44:48" x14ac:dyDescent="0.2">
      <c r="AR1580">
        <v>1572</v>
      </c>
      <c r="AS1580">
        <v>663</v>
      </c>
      <c r="AT1580">
        <v>2</v>
      </c>
      <c r="AU1580">
        <v>9.4160379535211778</v>
      </c>
      <c r="AV1580">
        <v>4.3654539690388315E-2</v>
      </c>
    </row>
    <row r="1581" spans="44:48" x14ac:dyDescent="0.2">
      <c r="AR1581">
        <v>1573</v>
      </c>
      <c r="AS1581">
        <v>664</v>
      </c>
      <c r="AT1581">
        <v>2</v>
      </c>
      <c r="AU1581">
        <v>9.4469784848385228</v>
      </c>
      <c r="AV1581">
        <v>4.3267132554833991E-2</v>
      </c>
    </row>
    <row r="1582" spans="44:48" x14ac:dyDescent="0.2">
      <c r="AR1582">
        <v>1574</v>
      </c>
      <c r="AS1582">
        <v>665</v>
      </c>
      <c r="AT1582">
        <v>2</v>
      </c>
      <c r="AU1582">
        <v>9.4779190161558713</v>
      </c>
      <c r="AV1582">
        <v>4.2880927334120862E-2</v>
      </c>
    </row>
    <row r="1583" spans="44:48" x14ac:dyDescent="0.2">
      <c r="AR1583">
        <v>1575</v>
      </c>
      <c r="AS1583">
        <v>666</v>
      </c>
      <c r="AT1583">
        <v>2</v>
      </c>
      <c r="AU1583">
        <v>9.5088595474732163</v>
      </c>
      <c r="AV1583">
        <v>4.2495953396425964E-2</v>
      </c>
    </row>
    <row r="1584" spans="44:48" x14ac:dyDescent="0.2">
      <c r="AR1584">
        <v>1576</v>
      </c>
      <c r="AS1584">
        <v>667</v>
      </c>
      <c r="AT1584">
        <v>2</v>
      </c>
      <c r="AU1584">
        <v>9.5398000787905612</v>
      </c>
      <c r="AV1584">
        <v>4.2112239655281901E-2</v>
      </c>
    </row>
    <row r="1585" spans="44:48" x14ac:dyDescent="0.2">
      <c r="AR1585">
        <v>1577</v>
      </c>
      <c r="AS1585">
        <v>668</v>
      </c>
      <c r="AT1585">
        <v>2</v>
      </c>
      <c r="AU1585">
        <v>9.5707406101079098</v>
      </c>
      <c r="AV1585">
        <v>4.1729814567655246E-2</v>
      </c>
    </row>
    <row r="1586" spans="44:48" x14ac:dyDescent="0.2">
      <c r="AR1586">
        <v>1578</v>
      </c>
      <c r="AS1586">
        <v>669</v>
      </c>
      <c r="AT1586">
        <v>2</v>
      </c>
      <c r="AU1586">
        <v>9.6016811414252548</v>
      </c>
      <c r="AV1586">
        <v>4.1348706132160594E-2</v>
      </c>
    </row>
    <row r="1587" spans="44:48" x14ac:dyDescent="0.2">
      <c r="AR1587">
        <v>1579</v>
      </c>
      <c r="AS1587">
        <v>670</v>
      </c>
      <c r="AT1587">
        <v>2</v>
      </c>
      <c r="AU1587">
        <v>9.6326216727425997</v>
      </c>
      <c r="AV1587">
        <v>4.0968941887409405E-2</v>
      </c>
    </row>
    <row r="1588" spans="44:48" x14ac:dyDescent="0.2">
      <c r="AR1588">
        <v>1580</v>
      </c>
      <c r="AS1588">
        <v>671</v>
      </c>
      <c r="AT1588">
        <v>2</v>
      </c>
      <c r="AU1588">
        <v>9.6635622040599483</v>
      </c>
      <c r="AV1588">
        <v>4.0590548910493636E-2</v>
      </c>
    </row>
    <row r="1589" spans="44:48" x14ac:dyDescent="0.2">
      <c r="AR1589">
        <v>1581</v>
      </c>
      <c r="AS1589">
        <v>672</v>
      </c>
      <c r="AT1589">
        <v>2</v>
      </c>
      <c r="AU1589">
        <v>9.6945027353772932</v>
      </c>
      <c r="AV1589">
        <v>4.0213553815603084E-2</v>
      </c>
    </row>
    <row r="1590" spans="44:48" x14ac:dyDescent="0.2">
      <c r="AR1590">
        <v>1582</v>
      </c>
      <c r="AS1590">
        <v>673</v>
      </c>
      <c r="AT1590">
        <v>2</v>
      </c>
      <c r="AU1590">
        <v>9.7254432666946382</v>
      </c>
      <c r="AV1590">
        <v>3.9837982752775107E-2</v>
      </c>
    </row>
    <row r="1591" spans="44:48" x14ac:dyDescent="0.2">
      <c r="AR1591">
        <v>1583</v>
      </c>
      <c r="AS1591">
        <v>674</v>
      </c>
      <c r="AT1591">
        <v>2</v>
      </c>
      <c r="AU1591">
        <v>9.7563837980119867</v>
      </c>
      <c r="AV1591">
        <v>3.9463861406776858E-2</v>
      </c>
    </row>
    <row r="1592" spans="44:48" x14ac:dyDescent="0.2">
      <c r="AR1592">
        <v>1584</v>
      </c>
      <c r="AS1592">
        <v>675</v>
      </c>
      <c r="AT1592">
        <v>2</v>
      </c>
      <c r="AU1592">
        <v>9.7873243293293317</v>
      </c>
      <c r="AV1592">
        <v>3.909121499611861E-2</v>
      </c>
    </row>
    <row r="1593" spans="44:48" x14ac:dyDescent="0.2">
      <c r="AR1593">
        <v>1585</v>
      </c>
      <c r="AS1593">
        <v>676</v>
      </c>
      <c r="AT1593">
        <v>2</v>
      </c>
      <c r="AU1593">
        <v>9.8182648606466802</v>
      </c>
      <c r="AV1593">
        <v>3.87200682721969E-2</v>
      </c>
    </row>
    <row r="1594" spans="44:48" x14ac:dyDescent="0.2">
      <c r="AR1594">
        <v>1586</v>
      </c>
      <c r="AS1594">
        <v>677</v>
      </c>
      <c r="AT1594">
        <v>2</v>
      </c>
      <c r="AU1594">
        <v>9.8492053919640252</v>
      </c>
      <c r="AV1594">
        <v>3.8350445518567609E-2</v>
      </c>
    </row>
    <row r="1595" spans="44:48" x14ac:dyDescent="0.2">
      <c r="AR1595">
        <v>1587</v>
      </c>
      <c r="AS1595">
        <v>678</v>
      </c>
      <c r="AT1595">
        <v>2</v>
      </c>
      <c r="AU1595">
        <v>9.8801459232813702</v>
      </c>
      <c r="AV1595">
        <v>3.7982370550346575E-2</v>
      </c>
    </row>
    <row r="1596" spans="44:48" x14ac:dyDescent="0.2">
      <c r="AR1596">
        <v>1588</v>
      </c>
      <c r="AS1596">
        <v>679</v>
      </c>
      <c r="AT1596">
        <v>2</v>
      </c>
      <c r="AU1596">
        <v>9.9110864545987187</v>
      </c>
      <c r="AV1596">
        <v>3.761586671373808E-2</v>
      </c>
    </row>
    <row r="1597" spans="44:48" x14ac:dyDescent="0.2">
      <c r="AR1597">
        <v>1589</v>
      </c>
      <c r="AS1597">
        <v>680</v>
      </c>
      <c r="AT1597">
        <v>2</v>
      </c>
      <c r="AU1597">
        <v>9.9420269859160637</v>
      </c>
      <c r="AV1597">
        <v>3.7250956885689343E-2</v>
      </c>
    </row>
    <row r="1598" spans="44:48" x14ac:dyDescent="0.2">
      <c r="AR1598">
        <v>1590</v>
      </c>
      <c r="AS1598">
        <v>681</v>
      </c>
      <c r="AT1598">
        <v>2</v>
      </c>
      <c r="AU1598">
        <v>9.9729675172334087</v>
      </c>
      <c r="AV1598">
        <v>3.688766347366973E-2</v>
      </c>
    </row>
    <row r="1599" spans="44:48" x14ac:dyDescent="0.2">
      <c r="AR1599">
        <v>1591</v>
      </c>
      <c r="AS1599">
        <v>682</v>
      </c>
      <c r="AT1599">
        <v>2</v>
      </c>
      <c r="AU1599">
        <v>10.003908048550757</v>
      </c>
      <c r="AV1599">
        <v>3.6526008415574407E-2</v>
      </c>
    </row>
    <row r="1600" spans="44:48" x14ac:dyDescent="0.2">
      <c r="AR1600">
        <v>1592</v>
      </c>
      <c r="AS1600">
        <v>683</v>
      </c>
      <c r="AT1600">
        <v>2</v>
      </c>
      <c r="AU1600">
        <v>10.034848579868102</v>
      </c>
      <c r="AV1600">
        <v>3.61660131797506E-2</v>
      </c>
    </row>
    <row r="1601" spans="44:48" x14ac:dyDescent="0.2">
      <c r="AR1601">
        <v>1593</v>
      </c>
      <c r="AS1601">
        <v>684</v>
      </c>
      <c r="AT1601">
        <v>2</v>
      </c>
      <c r="AU1601">
        <v>10.065789111185447</v>
      </c>
      <c r="AV1601">
        <v>3.5807698765145141E-2</v>
      </c>
    </row>
    <row r="1602" spans="44:48" x14ac:dyDescent="0.2">
      <c r="AR1602">
        <v>1594</v>
      </c>
      <c r="AS1602">
        <v>685</v>
      </c>
      <c r="AT1602">
        <v>2</v>
      </c>
      <c r="AU1602">
        <v>10.096729642502796</v>
      </c>
      <c r="AV1602">
        <v>3.5451085701572703E-2</v>
      </c>
    </row>
    <row r="1603" spans="44:48" x14ac:dyDescent="0.2">
      <c r="AR1603">
        <v>1595</v>
      </c>
      <c r="AS1603">
        <v>686</v>
      </c>
      <c r="AT1603">
        <v>2</v>
      </c>
      <c r="AU1603">
        <v>10.127670173820141</v>
      </c>
      <c r="AV1603">
        <v>3.5096194050103023E-2</v>
      </c>
    </row>
    <row r="1604" spans="44:48" x14ac:dyDescent="0.2">
      <c r="AR1604">
        <v>1596</v>
      </c>
      <c r="AS1604">
        <v>687</v>
      </c>
      <c r="AT1604">
        <v>2</v>
      </c>
      <c r="AU1604">
        <v>10.158610705137489</v>
      </c>
      <c r="AV1604">
        <v>3.4743043403565578E-2</v>
      </c>
    </row>
    <row r="1605" spans="44:48" x14ac:dyDescent="0.2">
      <c r="AR1605">
        <v>1597</v>
      </c>
      <c r="AS1605">
        <v>688</v>
      </c>
      <c r="AT1605">
        <v>2</v>
      </c>
      <c r="AU1605">
        <v>10.189551236454834</v>
      </c>
      <c r="AV1605">
        <v>3.4391652887171185E-2</v>
      </c>
    </row>
    <row r="1606" spans="44:48" x14ac:dyDescent="0.2">
      <c r="AR1606">
        <v>1598</v>
      </c>
      <c r="AS1606">
        <v>689</v>
      </c>
      <c r="AT1606">
        <v>2</v>
      </c>
      <c r="AU1606">
        <v>10.220491767772179</v>
      </c>
      <c r="AV1606">
        <v>3.4042041159248096E-2</v>
      </c>
    </row>
    <row r="1607" spans="44:48" x14ac:dyDescent="0.2">
      <c r="AR1607">
        <v>1599</v>
      </c>
      <c r="AS1607">
        <v>690</v>
      </c>
      <c r="AT1607">
        <v>2</v>
      </c>
      <c r="AU1607">
        <v>10.251432299089528</v>
      </c>
      <c r="AV1607">
        <v>3.3694226412092278E-2</v>
      </c>
    </row>
    <row r="1608" spans="44:48" x14ac:dyDescent="0.2">
      <c r="AR1608">
        <v>1600</v>
      </c>
      <c r="AS1608">
        <v>691</v>
      </c>
      <c r="AT1608">
        <v>2</v>
      </c>
      <c r="AU1608">
        <v>10.282372830406873</v>
      </c>
      <c r="AV1608">
        <v>3.3348226372929717E-2</v>
      </c>
    </row>
    <row r="1609" spans="44:48" x14ac:dyDescent="0.2">
      <c r="AR1609">
        <v>1601</v>
      </c>
      <c r="AS1609">
        <v>692</v>
      </c>
      <c r="AT1609">
        <v>2</v>
      </c>
      <c r="AU1609">
        <v>10.313313361724218</v>
      </c>
      <c r="AV1609">
        <v>3.3004058304989516E-2</v>
      </c>
    </row>
    <row r="1610" spans="44:48" x14ac:dyDescent="0.2">
      <c r="AR1610">
        <v>1602</v>
      </c>
      <c r="AS1610">
        <v>693</v>
      </c>
      <c r="AT1610">
        <v>2</v>
      </c>
      <c r="AU1610">
        <v>10.344253893041566</v>
      </c>
      <c r="AV1610">
        <v>3.2661739008686373E-2</v>
      </c>
    </row>
    <row r="1611" spans="44:48" x14ac:dyDescent="0.2">
      <c r="AR1611">
        <v>1603</v>
      </c>
      <c r="AS1611">
        <v>694</v>
      </c>
      <c r="AT1611">
        <v>2</v>
      </c>
      <c r="AU1611">
        <v>10.375194424358911</v>
      </c>
      <c r="AV1611">
        <v>3.2321284822911155E-2</v>
      </c>
    </row>
    <row r="1612" spans="44:48" x14ac:dyDescent="0.2">
      <c r="AR1612">
        <v>1604</v>
      </c>
      <c r="AS1612">
        <v>695</v>
      </c>
      <c r="AT1612">
        <v>2</v>
      </c>
      <c r="AU1612">
        <v>10.406134955676256</v>
      </c>
      <c r="AV1612">
        <v>3.1982711626427379E-2</v>
      </c>
    </row>
    <row r="1613" spans="44:48" x14ac:dyDescent="0.2">
      <c r="AR1613">
        <v>1605</v>
      </c>
      <c r="AS1613">
        <v>696</v>
      </c>
      <c r="AT1613">
        <v>2</v>
      </c>
      <c r="AU1613">
        <v>10.437075486993605</v>
      </c>
      <c r="AV1613">
        <v>3.164603483937288E-2</v>
      </c>
    </row>
    <row r="1614" spans="44:48" x14ac:dyDescent="0.2">
      <c r="AR1614">
        <v>1606</v>
      </c>
      <c r="AS1614">
        <v>697</v>
      </c>
      <c r="AT1614">
        <v>2</v>
      </c>
      <c r="AU1614">
        <v>10.46801601831095</v>
      </c>
      <c r="AV1614">
        <v>3.1311269424864688E-2</v>
      </c>
    </row>
    <row r="1615" spans="44:48" x14ac:dyDescent="0.2">
      <c r="AR1615">
        <v>1607</v>
      </c>
      <c r="AS1615">
        <v>698</v>
      </c>
      <c r="AT1615">
        <v>2</v>
      </c>
      <c r="AU1615">
        <v>10.498956549628298</v>
      </c>
      <c r="AV1615">
        <v>3.0978429890705282E-2</v>
      </c>
    </row>
    <row r="1616" spans="44:48" x14ac:dyDescent="0.2">
      <c r="AR1616">
        <v>1608</v>
      </c>
      <c r="AS1616">
        <v>699</v>
      </c>
      <c r="AT1616">
        <v>2</v>
      </c>
      <c r="AU1616">
        <v>10.529897080945643</v>
      </c>
      <c r="AV1616">
        <v>3.0647530291189443E-2</v>
      </c>
    </row>
    <row r="1617" spans="44:48" x14ac:dyDescent="0.2">
      <c r="AR1617">
        <v>1609</v>
      </c>
      <c r="AS1617">
        <v>700</v>
      </c>
      <c r="AT1617">
        <v>2</v>
      </c>
      <c r="AU1617">
        <v>10.560837612262988</v>
      </c>
      <c r="AV1617">
        <v>3.0318584229008891E-2</v>
      </c>
    </row>
    <row r="1618" spans="44:48" x14ac:dyDescent="0.2">
      <c r="AR1618">
        <v>1610</v>
      </c>
      <c r="AS1618">
        <v>701</v>
      </c>
      <c r="AT1618">
        <v>2</v>
      </c>
      <c r="AU1618">
        <v>10.591778143580337</v>
      </c>
      <c r="AV1618">
        <v>2.9991604857254304E-2</v>
      </c>
    </row>
    <row r="1619" spans="44:48" x14ac:dyDescent="0.2">
      <c r="AR1619">
        <v>1611</v>
      </c>
      <c r="AS1619">
        <v>702</v>
      </c>
      <c r="AT1619">
        <v>2</v>
      </c>
      <c r="AU1619">
        <v>10.622718674897682</v>
      </c>
      <c r="AV1619">
        <v>2.9666604881512338E-2</v>
      </c>
    </row>
    <row r="1620" spans="44:48" x14ac:dyDescent="0.2">
      <c r="AR1620">
        <v>1612</v>
      </c>
      <c r="AS1620">
        <v>703</v>
      </c>
      <c r="AT1620">
        <v>2</v>
      </c>
      <c r="AU1620">
        <v>10.653659206215027</v>
      </c>
      <c r="AV1620">
        <v>2.9343596562055853E-2</v>
      </c>
    </row>
    <row r="1621" spans="44:48" x14ac:dyDescent="0.2">
      <c r="AR1621">
        <v>1613</v>
      </c>
      <c r="AS1621">
        <v>704</v>
      </c>
      <c r="AT1621">
        <v>2</v>
      </c>
      <c r="AU1621">
        <v>10.684599737532375</v>
      </c>
      <c r="AV1621">
        <v>2.9022591716126277E-2</v>
      </c>
    </row>
    <row r="1622" spans="44:48" x14ac:dyDescent="0.2">
      <c r="AR1622">
        <v>1614</v>
      </c>
      <c r="AS1622">
        <v>705</v>
      </c>
      <c r="AT1622">
        <v>2</v>
      </c>
      <c r="AU1622">
        <v>10.71554026884972</v>
      </c>
      <c r="AV1622">
        <v>2.8703601720305973E-2</v>
      </c>
    </row>
    <row r="1623" spans="44:48" x14ac:dyDescent="0.2">
      <c r="AR1623">
        <v>1615</v>
      </c>
      <c r="AS1623">
        <v>706</v>
      </c>
      <c r="AT1623">
        <v>2</v>
      </c>
      <c r="AU1623">
        <v>10.746480800167065</v>
      </c>
      <c r="AV1623">
        <v>2.8386637512978753E-2</v>
      </c>
    </row>
    <row r="1624" spans="44:48" x14ac:dyDescent="0.2">
      <c r="AR1624">
        <v>1616</v>
      </c>
      <c r="AS1624">
        <v>707</v>
      </c>
      <c r="AT1624">
        <v>2</v>
      </c>
      <c r="AU1624">
        <v>10.777421331484414</v>
      </c>
      <c r="AV1624">
        <v>2.8071709596877322E-2</v>
      </c>
    </row>
    <row r="1625" spans="44:48" x14ac:dyDescent="0.2">
      <c r="AR1625">
        <v>1617</v>
      </c>
      <c r="AS1625">
        <v>708</v>
      </c>
      <c r="AT1625">
        <v>2</v>
      </c>
      <c r="AU1625">
        <v>10.808361862801759</v>
      </c>
      <c r="AV1625">
        <v>2.7758828041715519E-2</v>
      </c>
    </row>
    <row r="1626" spans="44:48" x14ac:dyDescent="0.2">
      <c r="AR1626">
        <v>1618</v>
      </c>
      <c r="AS1626">
        <v>709</v>
      </c>
      <c r="AT1626">
        <v>2</v>
      </c>
      <c r="AU1626">
        <v>10.839302394119107</v>
      </c>
      <c r="AV1626">
        <v>2.7448002486903489E-2</v>
      </c>
    </row>
    <row r="1627" spans="44:48" x14ac:dyDescent="0.2">
      <c r="AR1627">
        <v>1619</v>
      </c>
      <c r="AS1627">
        <v>710</v>
      </c>
      <c r="AT1627">
        <v>2</v>
      </c>
      <c r="AU1627">
        <v>10.870242925436452</v>
      </c>
      <c r="AV1627">
        <v>2.7139242144344607E-2</v>
      </c>
    </row>
    <row r="1628" spans="44:48" x14ac:dyDescent="0.2">
      <c r="AR1628">
        <v>1620</v>
      </c>
      <c r="AS1628">
        <v>711</v>
      </c>
      <c r="AT1628">
        <v>2</v>
      </c>
      <c r="AU1628">
        <v>10.901183456753797</v>
      </c>
      <c r="AV1628">
        <v>2.6832555801311581E-2</v>
      </c>
    </row>
    <row r="1629" spans="44:48" x14ac:dyDescent="0.2">
      <c r="AR1629">
        <v>1621</v>
      </c>
      <c r="AS1629">
        <v>712</v>
      </c>
      <c r="AT1629">
        <v>2</v>
      </c>
      <c r="AU1629">
        <v>10.932123988071146</v>
      </c>
      <c r="AV1629">
        <v>2.6527951823400654E-2</v>
      </c>
    </row>
    <row r="1630" spans="44:48" x14ac:dyDescent="0.2">
      <c r="AR1630">
        <v>1622</v>
      </c>
      <c r="AS1630">
        <v>713</v>
      </c>
      <c r="AT1630">
        <v>2</v>
      </c>
      <c r="AU1630">
        <v>10.963064519388491</v>
      </c>
      <c r="AV1630">
        <v>2.6225438157561766E-2</v>
      </c>
    </row>
    <row r="1631" spans="44:48" x14ac:dyDescent="0.2">
      <c r="AR1631">
        <v>1623</v>
      </c>
      <c r="AS1631">
        <v>714</v>
      </c>
      <c r="AT1631">
        <v>2</v>
      </c>
      <c r="AU1631">
        <v>10.994005050705836</v>
      </c>
      <c r="AV1631">
        <v>2.5925022335202753E-2</v>
      </c>
    </row>
    <row r="1632" spans="44:48" x14ac:dyDescent="0.2">
      <c r="AR1632">
        <v>1624</v>
      </c>
      <c r="AS1632">
        <v>715</v>
      </c>
      <c r="AT1632">
        <v>2</v>
      </c>
      <c r="AU1632">
        <v>11.024945582023184</v>
      </c>
      <c r="AV1632">
        <v>2.5626711475366076E-2</v>
      </c>
    </row>
    <row r="1633" spans="44:48" x14ac:dyDescent="0.2">
      <c r="AR1633">
        <v>1625</v>
      </c>
      <c r="AS1633">
        <v>716</v>
      </c>
      <c r="AT1633">
        <v>2</v>
      </c>
      <c r="AU1633">
        <v>11.055886113340529</v>
      </c>
      <c r="AV1633">
        <v>2.5330512287976316E-2</v>
      </c>
    </row>
    <row r="1634" spans="44:48" x14ac:dyDescent="0.2">
      <c r="AR1634">
        <v>1626</v>
      </c>
      <c r="AS1634">
        <v>717</v>
      </c>
      <c r="AT1634">
        <v>2</v>
      </c>
      <c r="AU1634">
        <v>11.086826644657878</v>
      </c>
      <c r="AV1634">
        <v>2.5036431077155929E-2</v>
      </c>
    </row>
    <row r="1635" spans="44:48" x14ac:dyDescent="0.2">
      <c r="AR1635">
        <v>1627</v>
      </c>
      <c r="AS1635">
        <v>718</v>
      </c>
      <c r="AT1635">
        <v>2</v>
      </c>
      <c r="AU1635">
        <v>11.117767175975223</v>
      </c>
      <c r="AV1635">
        <v>2.47444737446086E-2</v>
      </c>
    </row>
    <row r="1636" spans="44:48" x14ac:dyDescent="0.2">
      <c r="AR1636">
        <v>1628</v>
      </c>
      <c r="AS1636">
        <v>719</v>
      </c>
      <c r="AT1636">
        <v>2</v>
      </c>
      <c r="AU1636">
        <v>11.148707707292568</v>
      </c>
      <c r="AV1636">
        <v>2.4454645793067113E-2</v>
      </c>
    </row>
    <row r="1637" spans="44:48" x14ac:dyDescent="0.2">
      <c r="AR1637">
        <v>1629</v>
      </c>
      <c r="AS1637">
        <v>720</v>
      </c>
      <c r="AT1637">
        <v>2</v>
      </c>
      <c r="AU1637">
        <v>11.179648238609916</v>
      </c>
      <c r="AV1637">
        <v>2.4166952329804887E-2</v>
      </c>
    </row>
    <row r="1638" spans="44:48" x14ac:dyDescent="0.2">
      <c r="AR1638">
        <v>1630</v>
      </c>
      <c r="AS1638">
        <v>721</v>
      </c>
      <c r="AT1638">
        <v>2</v>
      </c>
      <c r="AU1638">
        <v>11.210588769927261</v>
      </c>
      <c r="AV1638">
        <v>2.3881398070208948E-2</v>
      </c>
    </row>
    <row r="1639" spans="44:48" x14ac:dyDescent="0.2">
      <c r="AR1639">
        <v>1631</v>
      </c>
      <c r="AS1639">
        <v>722</v>
      </c>
      <c r="AT1639">
        <v>2</v>
      </c>
      <c r="AU1639">
        <v>11.241529301244606</v>
      </c>
      <c r="AV1639">
        <v>2.3597987341412278E-2</v>
      </c>
    </row>
    <row r="1640" spans="44:48" x14ac:dyDescent="0.2">
      <c r="AR1640">
        <v>1632</v>
      </c>
      <c r="AS1640">
        <v>723</v>
      </c>
      <c r="AT1640">
        <v>2</v>
      </c>
      <c r="AU1640">
        <v>11.272469832561955</v>
      </c>
      <c r="AV1640">
        <v>2.3316724085984189E-2</v>
      </c>
    </row>
    <row r="1641" spans="44:48" x14ac:dyDescent="0.2">
      <c r="AR1641">
        <v>1633</v>
      </c>
      <c r="AS1641">
        <v>724</v>
      </c>
      <c r="AT1641">
        <v>2</v>
      </c>
      <c r="AU1641">
        <v>11.3034103638793</v>
      </c>
      <c r="AV1641">
        <v>2.3037611865676728E-2</v>
      </c>
    </row>
    <row r="1642" spans="44:48" x14ac:dyDescent="0.2">
      <c r="AR1642">
        <v>1634</v>
      </c>
      <c r="AS1642">
        <v>725</v>
      </c>
      <c r="AT1642">
        <v>2</v>
      </c>
      <c r="AU1642">
        <v>11.334350895196645</v>
      </c>
      <c r="AV1642">
        <v>2.2760653865224918E-2</v>
      </c>
    </row>
    <row r="1643" spans="44:48" x14ac:dyDescent="0.2">
      <c r="AR1643">
        <v>1635</v>
      </c>
      <c r="AS1643">
        <v>726</v>
      </c>
      <c r="AT1643">
        <v>2</v>
      </c>
      <c r="AU1643">
        <v>11.365291426513993</v>
      </c>
      <c r="AV1643">
        <v>2.2485852896199542E-2</v>
      </c>
    </row>
    <row r="1644" spans="44:48" x14ac:dyDescent="0.2">
      <c r="AR1644">
        <v>1636</v>
      </c>
      <c r="AS1644">
        <v>727</v>
      </c>
      <c r="AT1644">
        <v>2</v>
      </c>
      <c r="AU1644">
        <v>11.396231957831338</v>
      </c>
      <c r="AV1644">
        <v>2.2213211400910478E-2</v>
      </c>
    </row>
    <row r="1645" spans="44:48" x14ac:dyDescent="0.2">
      <c r="AR1645">
        <v>1637</v>
      </c>
      <c r="AS1645">
        <v>728</v>
      </c>
      <c r="AT1645">
        <v>2</v>
      </c>
      <c r="AU1645">
        <v>11.427172489148687</v>
      </c>
      <c r="AV1645">
        <v>2.1942731456358375E-2</v>
      </c>
    </row>
    <row r="1646" spans="44:48" x14ac:dyDescent="0.2">
      <c r="AR1646">
        <v>1638</v>
      </c>
      <c r="AS1646">
        <v>729</v>
      </c>
      <c r="AT1646">
        <v>2</v>
      </c>
      <c r="AU1646">
        <v>11.458113020466032</v>
      </c>
      <c r="AV1646">
        <v>2.1674414778233616E-2</v>
      </c>
    </row>
    <row r="1647" spans="44:48" x14ac:dyDescent="0.2">
      <c r="AR1647">
        <v>1639</v>
      </c>
      <c r="AS1647">
        <v>730</v>
      </c>
      <c r="AT1647">
        <v>2</v>
      </c>
      <c r="AU1647">
        <v>11.489053551783377</v>
      </c>
      <c r="AV1647">
        <v>2.1408262724959871E-2</v>
      </c>
    </row>
    <row r="1648" spans="44:48" x14ac:dyDescent="0.2">
      <c r="AR1648">
        <v>1640</v>
      </c>
      <c r="AS1648">
        <v>731</v>
      </c>
      <c r="AT1648">
        <v>2</v>
      </c>
      <c r="AU1648">
        <v>11.519994083100725</v>
      </c>
      <c r="AV1648">
        <v>2.1144276301781222E-2</v>
      </c>
    </row>
    <row r="1649" spans="44:48" x14ac:dyDescent="0.2">
      <c r="AR1649">
        <v>1641</v>
      </c>
      <c r="AS1649">
        <v>732</v>
      </c>
      <c r="AT1649">
        <v>2</v>
      </c>
      <c r="AU1649">
        <v>11.55093461441807</v>
      </c>
      <c r="AV1649">
        <v>2.088245616489063E-2</v>
      </c>
    </row>
    <row r="1650" spans="44:48" x14ac:dyDescent="0.2">
      <c r="AR1650">
        <v>1642</v>
      </c>
      <c r="AS1650">
        <v>733</v>
      </c>
      <c r="AT1650">
        <v>2</v>
      </c>
      <c r="AU1650">
        <v>11.581875145735415</v>
      </c>
      <c r="AV1650">
        <v>2.0622802625597916E-2</v>
      </c>
    </row>
    <row r="1651" spans="44:48" x14ac:dyDescent="0.2">
      <c r="AR1651">
        <v>1643</v>
      </c>
      <c r="AS1651">
        <v>734</v>
      </c>
      <c r="AT1651">
        <v>2</v>
      </c>
      <c r="AU1651">
        <v>11.612815677052764</v>
      </c>
      <c r="AV1651">
        <v>2.0365315654535695E-2</v>
      </c>
    </row>
    <row r="1652" spans="44:48" x14ac:dyDescent="0.2">
      <c r="AR1652">
        <v>1644</v>
      </c>
      <c r="AS1652">
        <v>735</v>
      </c>
      <c r="AT1652">
        <v>2</v>
      </c>
      <c r="AU1652">
        <v>11.643756208370108</v>
      </c>
      <c r="AV1652">
        <v>2.0109994885901532E-2</v>
      </c>
    </row>
    <row r="1653" spans="44:48" x14ac:dyDescent="0.2">
      <c r="AR1653">
        <v>1645</v>
      </c>
      <c r="AS1653">
        <v>736</v>
      </c>
      <c r="AT1653">
        <v>2</v>
      </c>
      <c r="AU1653">
        <v>11.674696739687453</v>
      </c>
      <c r="AV1653">
        <v>1.9856839621734068E-2</v>
      </c>
    </row>
    <row r="1654" spans="44:48" x14ac:dyDescent="0.2">
      <c r="AR1654">
        <v>1646</v>
      </c>
      <c r="AS1654">
        <v>737</v>
      </c>
      <c r="AT1654">
        <v>2</v>
      </c>
      <c r="AU1654">
        <v>11.705637271004802</v>
      </c>
      <c r="AV1654">
        <v>1.9605848836222014E-2</v>
      </c>
    </row>
    <row r="1655" spans="44:48" x14ac:dyDescent="0.2">
      <c r="AR1655">
        <v>1647</v>
      </c>
      <c r="AS1655">
        <v>738</v>
      </c>
      <c r="AT1655">
        <v>2</v>
      </c>
      <c r="AU1655">
        <v>11.736577802322147</v>
      </c>
      <c r="AV1655">
        <v>1.9357021180043857E-2</v>
      </c>
    </row>
    <row r="1656" spans="44:48" x14ac:dyDescent="0.2">
      <c r="AR1656">
        <v>1648</v>
      </c>
      <c r="AS1656">
        <v>739</v>
      </c>
      <c r="AT1656">
        <v>2</v>
      </c>
      <c r="AU1656">
        <v>11.767518333639496</v>
      </c>
      <c r="AV1656">
        <v>1.9110354984736483E-2</v>
      </c>
    </row>
    <row r="1657" spans="44:48" x14ac:dyDescent="0.2">
      <c r="AR1657">
        <v>1649</v>
      </c>
      <c r="AS1657">
        <v>740</v>
      </c>
      <c r="AT1657">
        <v>2</v>
      </c>
      <c r="AU1657">
        <v>11.79845886495684</v>
      </c>
      <c r="AV1657">
        <v>1.8865848267091451E-2</v>
      </c>
    </row>
    <row r="1658" spans="44:48" x14ac:dyDescent="0.2">
      <c r="AR1658">
        <v>1650</v>
      </c>
      <c r="AS1658">
        <v>741</v>
      </c>
      <c r="AT1658">
        <v>2</v>
      </c>
      <c r="AU1658">
        <v>11.829399396274185</v>
      </c>
      <c r="AV1658">
        <v>1.8623498733576556E-2</v>
      </c>
    </row>
    <row r="1659" spans="44:48" x14ac:dyDescent="0.2">
      <c r="AR1659">
        <v>1651</v>
      </c>
      <c r="AS1659">
        <v>742</v>
      </c>
      <c r="AT1659">
        <v>2</v>
      </c>
      <c r="AU1659">
        <v>11.860339927591534</v>
      </c>
      <c r="AV1659">
        <v>1.8383303784781545E-2</v>
      </c>
    </row>
    <row r="1660" spans="44:48" x14ac:dyDescent="0.2">
      <c r="AR1660">
        <v>1652</v>
      </c>
      <c r="AS1660">
        <v>743</v>
      </c>
      <c r="AT1660">
        <v>2</v>
      </c>
      <c r="AU1660">
        <v>11.891280458908879</v>
      </c>
      <c r="AV1660">
        <v>1.8145260519886106E-2</v>
      </c>
    </row>
    <row r="1661" spans="44:48" x14ac:dyDescent="0.2">
      <c r="AR1661">
        <v>1653</v>
      </c>
      <c r="AS1661">
        <v>744</v>
      </c>
      <c r="AT1661">
        <v>2</v>
      </c>
      <c r="AU1661">
        <v>11.922220990226224</v>
      </c>
      <c r="AV1661">
        <v>1.7909365741148178E-2</v>
      </c>
    </row>
    <row r="1662" spans="44:48" x14ac:dyDescent="0.2">
      <c r="AR1662">
        <v>1654</v>
      </c>
      <c r="AS1662">
        <v>745</v>
      </c>
      <c r="AT1662">
        <v>2</v>
      </c>
      <c r="AU1662">
        <v>11.953161521543572</v>
      </c>
      <c r="AV1662">
        <v>1.7675615958411377E-2</v>
      </c>
    </row>
    <row r="1663" spans="44:48" x14ac:dyDescent="0.2">
      <c r="AR1663">
        <v>1655</v>
      </c>
      <c r="AS1663">
        <v>746</v>
      </c>
      <c r="AT1663">
        <v>2</v>
      </c>
      <c r="AU1663">
        <v>11.984102052860917</v>
      </c>
      <c r="AV1663">
        <v>1.7444007393629727E-2</v>
      </c>
    </row>
    <row r="1664" spans="44:48" x14ac:dyDescent="0.2">
      <c r="AR1664">
        <v>1656</v>
      </c>
      <c r="AS1664">
        <v>747</v>
      </c>
      <c r="AT1664">
        <v>2</v>
      </c>
      <c r="AU1664">
        <v>12.015042584178262</v>
      </c>
      <c r="AV1664">
        <v>1.7214535985407745E-2</v>
      </c>
    </row>
    <row r="1665" spans="44:48" x14ac:dyDescent="0.2">
      <c r="AR1665">
        <v>1657</v>
      </c>
      <c r="AS1665">
        <v>748</v>
      </c>
      <c r="AT1665">
        <v>2</v>
      </c>
      <c r="AU1665">
        <v>12.045983115495611</v>
      </c>
      <c r="AV1665">
        <v>1.698719739355483E-2</v>
      </c>
    </row>
    <row r="1666" spans="44:48" x14ac:dyDescent="0.2">
      <c r="AR1666">
        <v>1658</v>
      </c>
      <c r="AS1666">
        <v>749</v>
      </c>
      <c r="AT1666">
        <v>2</v>
      </c>
      <c r="AU1666">
        <v>12.076923646812956</v>
      </c>
      <c r="AV1666">
        <v>1.676198700365196E-2</v>
      </c>
    </row>
    <row r="1667" spans="44:48" x14ac:dyDescent="0.2">
      <c r="AR1667">
        <v>1659</v>
      </c>
      <c r="AS1667">
        <v>750</v>
      </c>
      <c r="AT1667">
        <v>2</v>
      </c>
      <c r="AU1667">
        <v>12.107864178130304</v>
      </c>
      <c r="AV1667">
        <v>1.653889993162911E-2</v>
      </c>
    </row>
    <row r="1668" spans="44:48" x14ac:dyDescent="0.2">
      <c r="AR1668">
        <v>1660</v>
      </c>
      <c r="AS1668">
        <v>751</v>
      </c>
      <c r="AT1668">
        <v>2</v>
      </c>
      <c r="AU1668">
        <v>12.138804709447649</v>
      </c>
      <c r="AV1668">
        <v>1.6317931028352193E-2</v>
      </c>
    </row>
    <row r="1669" spans="44:48" x14ac:dyDescent="0.2">
      <c r="AR1669">
        <v>1661</v>
      </c>
      <c r="AS1669">
        <v>752</v>
      </c>
      <c r="AT1669">
        <v>2</v>
      </c>
      <c r="AU1669">
        <v>12.169745240764994</v>
      </c>
      <c r="AV1669">
        <v>1.6099074884217426E-2</v>
      </c>
    </row>
    <row r="1670" spans="44:48" x14ac:dyDescent="0.2">
      <c r="AR1670">
        <v>1662</v>
      </c>
      <c r="AS1670">
        <v>753</v>
      </c>
      <c r="AT1670">
        <v>2</v>
      </c>
      <c r="AU1670">
        <v>12.200685772082343</v>
      </c>
      <c r="AV1670">
        <v>1.588232583375207E-2</v>
      </c>
    </row>
    <row r="1671" spans="44:48" x14ac:dyDescent="0.2">
      <c r="AR1671">
        <v>1663</v>
      </c>
      <c r="AS1671">
        <v>754</v>
      </c>
      <c r="AT1671">
        <v>2</v>
      </c>
      <c r="AU1671">
        <v>12.231626303399688</v>
      </c>
      <c r="AV1671">
        <v>1.5667677960219902E-2</v>
      </c>
    </row>
    <row r="1672" spans="44:48" x14ac:dyDescent="0.2">
      <c r="AR1672">
        <v>1664</v>
      </c>
      <c r="AS1672">
        <v>755</v>
      </c>
      <c r="AT1672">
        <v>2</v>
      </c>
      <c r="AU1672">
        <v>12.262566834717033</v>
      </c>
      <c r="AV1672">
        <v>1.5455125100229606E-2</v>
      </c>
    </row>
    <row r="1673" spans="44:48" x14ac:dyDescent="0.2">
      <c r="AR1673">
        <v>1665</v>
      </c>
      <c r="AS1673">
        <v>756</v>
      </c>
      <c r="AT1673">
        <v>2</v>
      </c>
      <c r="AU1673">
        <v>12.293507366034381</v>
      </c>
      <c r="AV1673">
        <v>1.524466084834512E-2</v>
      </c>
    </row>
    <row r="1674" spans="44:48" x14ac:dyDescent="0.2">
      <c r="AR1674">
        <v>1666</v>
      </c>
      <c r="AS1674">
        <v>757</v>
      </c>
      <c r="AT1674">
        <v>2</v>
      </c>
      <c r="AU1674">
        <v>12.324447897351726</v>
      </c>
      <c r="AV1674">
        <v>1.5036278561696209E-2</v>
      </c>
    </row>
    <row r="1675" spans="44:48" x14ac:dyDescent="0.2">
      <c r="AR1675">
        <v>1667</v>
      </c>
      <c r="AS1675">
        <v>758</v>
      </c>
      <c r="AT1675">
        <v>2</v>
      </c>
      <c r="AU1675">
        <v>12.355388428669071</v>
      </c>
      <c r="AV1675">
        <v>1.4829971364587654E-2</v>
      </c>
    </row>
    <row r="1676" spans="44:48" x14ac:dyDescent="0.2">
      <c r="AR1676">
        <v>1668</v>
      </c>
      <c r="AS1676">
        <v>759</v>
      </c>
      <c r="AT1676">
        <v>2</v>
      </c>
      <c r="AU1676">
        <v>12.38632895998642</v>
      </c>
      <c r="AV1676">
        <v>1.4625732153106061E-2</v>
      </c>
    </row>
    <row r="1677" spans="44:48" x14ac:dyDescent="0.2">
      <c r="AR1677">
        <v>1669</v>
      </c>
      <c r="AS1677">
        <v>760</v>
      </c>
      <c r="AT1677">
        <v>2</v>
      </c>
      <c r="AU1677">
        <v>12.417269491303765</v>
      </c>
      <c r="AV1677">
        <v>1.4423553599722654E-2</v>
      </c>
    </row>
    <row r="1678" spans="44:48" x14ac:dyDescent="0.2">
      <c r="AR1678">
        <v>1670</v>
      </c>
      <c r="AS1678">
        <v>761</v>
      </c>
      <c r="AT1678">
        <v>2</v>
      </c>
      <c r="AU1678">
        <v>12.448210022621113</v>
      </c>
      <c r="AV1678">
        <v>1.4223428157890466E-2</v>
      </c>
    </row>
    <row r="1679" spans="44:48" x14ac:dyDescent="0.2">
      <c r="AR1679">
        <v>1671</v>
      </c>
      <c r="AS1679">
        <v>762</v>
      </c>
      <c r="AT1679">
        <v>2</v>
      </c>
      <c r="AU1679">
        <v>12.479150553938458</v>
      </c>
      <c r="AV1679">
        <v>1.4025348066635163E-2</v>
      </c>
    </row>
    <row r="1680" spans="44:48" x14ac:dyDescent="0.2">
      <c r="AR1680">
        <v>1672</v>
      </c>
      <c r="AS1680">
        <v>763</v>
      </c>
      <c r="AT1680">
        <v>2</v>
      </c>
      <c r="AU1680">
        <v>12.510091085255803</v>
      </c>
      <c r="AV1680">
        <v>1.3829305355137465E-2</v>
      </c>
    </row>
    <row r="1681" spans="44:48" x14ac:dyDescent="0.2">
      <c r="AR1681">
        <v>1673</v>
      </c>
      <c r="AS1681">
        <v>764</v>
      </c>
      <c r="AT1681">
        <v>2</v>
      </c>
      <c r="AU1681">
        <v>12.541031616573152</v>
      </c>
      <c r="AV1681">
        <v>1.3635291847306425E-2</v>
      </c>
    </row>
    <row r="1682" spans="44:48" x14ac:dyDescent="0.2">
      <c r="AR1682">
        <v>1674</v>
      </c>
      <c r="AS1682">
        <v>765</v>
      </c>
      <c r="AT1682">
        <v>2</v>
      </c>
      <c r="AU1682">
        <v>12.571972147890497</v>
      </c>
      <c r="AV1682">
        <v>1.3443299166341998E-2</v>
      </c>
    </row>
    <row r="1683" spans="44:48" x14ac:dyDescent="0.2">
      <c r="AR1683">
        <v>1675</v>
      </c>
      <c r="AS1683">
        <v>766</v>
      </c>
      <c r="AT1683">
        <v>2</v>
      </c>
      <c r="AU1683">
        <v>12.602912679207842</v>
      </c>
      <c r="AV1683">
        <v>1.325331873928557E-2</v>
      </c>
    </row>
    <row r="1684" spans="44:48" x14ac:dyDescent="0.2">
      <c r="AR1684">
        <v>1676</v>
      </c>
      <c r="AS1684">
        <v>767</v>
      </c>
      <c r="AT1684">
        <v>2</v>
      </c>
      <c r="AU1684">
        <v>12.63385321052519</v>
      </c>
      <c r="AV1684">
        <v>1.3065341801557431E-2</v>
      </c>
    </row>
    <row r="1685" spans="44:48" x14ac:dyDescent="0.2">
      <c r="AR1685">
        <v>1677</v>
      </c>
      <c r="AS1685">
        <v>768</v>
      </c>
      <c r="AT1685">
        <v>2</v>
      </c>
      <c r="AU1685">
        <v>12.664793741842535</v>
      </c>
      <c r="AV1685">
        <v>1.2879359401479881E-2</v>
      </c>
    </row>
    <row r="1686" spans="44:48" x14ac:dyDescent="0.2">
      <c r="AR1686">
        <v>1678</v>
      </c>
      <c r="AS1686">
        <v>769</v>
      </c>
      <c r="AT1686">
        <v>2</v>
      </c>
      <c r="AU1686">
        <v>12.69573427315988</v>
      </c>
      <c r="AV1686">
        <v>1.2695362404784537E-2</v>
      </c>
    </row>
    <row r="1687" spans="44:48" x14ac:dyDescent="0.2">
      <c r="AR1687">
        <v>1679</v>
      </c>
      <c r="AS1687">
        <v>770</v>
      </c>
      <c r="AT1687">
        <v>2</v>
      </c>
      <c r="AU1687">
        <v>12.726674804477229</v>
      </c>
      <c r="AV1687">
        <v>1.2513341499103062E-2</v>
      </c>
    </row>
    <row r="1688" spans="44:48" x14ac:dyDescent="0.2">
      <c r="AR1688">
        <v>1680</v>
      </c>
      <c r="AS1688">
        <v>771</v>
      </c>
      <c r="AT1688">
        <v>2</v>
      </c>
      <c r="AU1688">
        <v>12.757615335794574</v>
      </c>
      <c r="AV1688">
        <v>1.2333287198439921E-2</v>
      </c>
    </row>
    <row r="1689" spans="44:48" x14ac:dyDescent="0.2">
      <c r="AR1689">
        <v>1681</v>
      </c>
      <c r="AS1689">
        <v>772</v>
      </c>
      <c r="AT1689">
        <v>2</v>
      </c>
      <c r="AU1689">
        <v>12.788555867111922</v>
      </c>
      <c r="AV1689">
        <v>1.2155189847625911E-2</v>
      </c>
    </row>
    <row r="1690" spans="44:48" x14ac:dyDescent="0.2">
      <c r="AR1690">
        <v>1682</v>
      </c>
      <c r="AS1690">
        <v>773</v>
      </c>
      <c r="AT1690">
        <v>2</v>
      </c>
      <c r="AU1690">
        <v>12.819496398429267</v>
      </c>
      <c r="AV1690">
        <v>1.1979039626751771E-2</v>
      </c>
    </row>
    <row r="1691" spans="44:48" x14ac:dyDescent="0.2">
      <c r="AR1691">
        <v>1683</v>
      </c>
      <c r="AS1691">
        <v>774</v>
      </c>
      <c r="AT1691">
        <v>2</v>
      </c>
      <c r="AU1691">
        <v>12.850436929746612</v>
      </c>
      <c r="AV1691">
        <v>1.1804826555580253E-2</v>
      </c>
    </row>
    <row r="1692" spans="44:48" x14ac:dyDescent="0.2">
      <c r="AR1692">
        <v>1684</v>
      </c>
      <c r="AS1692">
        <v>775</v>
      </c>
      <c r="AT1692">
        <v>2</v>
      </c>
      <c r="AU1692">
        <v>12.881377461063961</v>
      </c>
      <c r="AV1692">
        <v>1.1632540497936045E-2</v>
      </c>
    </row>
    <row r="1693" spans="44:48" x14ac:dyDescent="0.2">
      <c r="AR1693">
        <v>1685</v>
      </c>
      <c r="AS1693">
        <v>776</v>
      </c>
      <c r="AT1693">
        <v>2</v>
      </c>
      <c r="AU1693">
        <v>12.912317992381306</v>
      </c>
      <c r="AV1693">
        <v>1.1462171166072368E-2</v>
      </c>
    </row>
    <row r="1694" spans="44:48" x14ac:dyDescent="0.2">
      <c r="AR1694">
        <v>1686</v>
      </c>
      <c r="AS1694">
        <v>777</v>
      </c>
      <c r="AT1694">
        <v>2</v>
      </c>
      <c r="AU1694">
        <v>12.943258523698651</v>
      </c>
      <c r="AV1694">
        <v>1.1293708125012934E-2</v>
      </c>
    </row>
    <row r="1695" spans="44:48" x14ac:dyDescent="0.2">
      <c r="AR1695">
        <v>1687</v>
      </c>
      <c r="AS1695">
        <v>778</v>
      </c>
      <c r="AT1695">
        <v>2</v>
      </c>
      <c r="AU1695">
        <v>12.974199055015999</v>
      </c>
      <c r="AV1695">
        <v>1.1127140796868766E-2</v>
      </c>
    </row>
    <row r="1696" spans="44:48" x14ac:dyDescent="0.2">
      <c r="AR1696">
        <v>1688</v>
      </c>
      <c r="AS1696">
        <v>779</v>
      </c>
      <c r="AT1696">
        <v>2</v>
      </c>
      <c r="AU1696">
        <v>13.005139586333344</v>
      </c>
      <c r="AV1696">
        <v>1.0962458465128633E-2</v>
      </c>
    </row>
    <row r="1697" spans="44:48" x14ac:dyDescent="0.2">
      <c r="AR1697">
        <v>1689</v>
      </c>
      <c r="AS1697">
        <v>780</v>
      </c>
      <c r="AT1697">
        <v>2</v>
      </c>
      <c r="AU1697">
        <v>13.036080117650693</v>
      </c>
      <c r="AV1697">
        <v>1.0799650278922039E-2</v>
      </c>
    </row>
    <row r="1698" spans="44:48" x14ac:dyDescent="0.2">
      <c r="AR1698">
        <v>1690</v>
      </c>
      <c r="AS1698">
        <v>781</v>
      </c>
      <c r="AT1698">
        <v>2</v>
      </c>
      <c r="AU1698">
        <v>13.067020648968038</v>
      </c>
      <c r="AV1698">
        <v>1.0638705257254249E-2</v>
      </c>
    </row>
    <row r="1699" spans="44:48" x14ac:dyDescent="0.2">
      <c r="AR1699">
        <v>1691</v>
      </c>
      <c r="AS1699">
        <v>782</v>
      </c>
      <c r="AT1699">
        <v>2</v>
      </c>
      <c r="AU1699">
        <v>13.097961180285383</v>
      </c>
      <c r="AV1699">
        <v>1.0479612293211944E-2</v>
      </c>
    </row>
    <row r="1700" spans="44:48" x14ac:dyDescent="0.2">
      <c r="AR1700">
        <v>1692</v>
      </c>
      <c r="AS1700">
        <v>783</v>
      </c>
      <c r="AT1700">
        <v>2</v>
      </c>
      <c r="AU1700">
        <v>13.128901711602731</v>
      </c>
      <c r="AV1700">
        <v>1.0322360158139046E-2</v>
      </c>
    </row>
    <row r="1701" spans="44:48" x14ac:dyDescent="0.2">
      <c r="AR1701">
        <v>1693</v>
      </c>
      <c r="AS1701">
        <v>784</v>
      </c>
      <c r="AT1701">
        <v>2</v>
      </c>
      <c r="AU1701">
        <v>13.159842242920076</v>
      </c>
      <c r="AV1701">
        <v>1.0166937505781763E-2</v>
      </c>
    </row>
    <row r="1702" spans="44:48" x14ac:dyDescent="0.2">
      <c r="AR1702">
        <v>1694</v>
      </c>
      <c r="AS1702">
        <v>785</v>
      </c>
      <c r="AT1702">
        <v>2</v>
      </c>
      <c r="AU1702">
        <v>13.190782774237421</v>
      </c>
      <c r="AV1702">
        <v>1.001333287640173E-2</v>
      </c>
    </row>
    <row r="1703" spans="44:48" x14ac:dyDescent="0.2">
      <c r="AR1703">
        <v>1695</v>
      </c>
      <c r="AS1703">
        <v>786</v>
      </c>
      <c r="AT1703">
        <v>2</v>
      </c>
      <c r="AU1703">
        <v>13.22172330555477</v>
      </c>
      <c r="AV1703">
        <v>9.8615347008569401E-3</v>
      </c>
    </row>
    <row r="1704" spans="44:48" x14ac:dyDescent="0.2">
      <c r="AR1704">
        <v>1696</v>
      </c>
      <c r="AS1704">
        <v>787</v>
      </c>
      <c r="AT1704">
        <v>2</v>
      </c>
      <c r="AU1704">
        <v>13.252663836872115</v>
      </c>
      <c r="AV1704">
        <v>9.7115313046493811E-3</v>
      </c>
    </row>
    <row r="1705" spans="44:48" x14ac:dyDescent="0.2">
      <c r="AR1705">
        <v>1697</v>
      </c>
      <c r="AS1705">
        <v>788</v>
      </c>
      <c r="AT1705">
        <v>2</v>
      </c>
      <c r="AU1705">
        <v>13.28360436818946</v>
      </c>
      <c r="AV1705">
        <v>9.563310911938518E-3</v>
      </c>
    </row>
    <row r="1706" spans="44:48" x14ac:dyDescent="0.2">
      <c r="AR1706">
        <v>1698</v>
      </c>
      <c r="AS1706">
        <v>789</v>
      </c>
      <c r="AT1706">
        <v>2</v>
      </c>
      <c r="AU1706">
        <v>13.314544899506808</v>
      </c>
      <c r="AV1706">
        <v>9.4168616495202175E-3</v>
      </c>
    </row>
    <row r="1707" spans="44:48" x14ac:dyDescent="0.2">
      <c r="AR1707">
        <v>1699</v>
      </c>
      <c r="AS1707">
        <v>790</v>
      </c>
      <c r="AT1707">
        <v>2</v>
      </c>
      <c r="AU1707">
        <v>13.345485430824153</v>
      </c>
      <c r="AV1707">
        <v>9.2721715507702307E-3</v>
      </c>
    </row>
    <row r="1708" spans="44:48" x14ac:dyDescent="0.2">
      <c r="AR1708">
        <v>1700</v>
      </c>
      <c r="AS1708">
        <v>791</v>
      </c>
      <c r="AT1708">
        <v>2</v>
      </c>
      <c r="AU1708">
        <v>13.376425962141502</v>
      </c>
      <c r="AV1708">
        <v>9.1292285595514205E-3</v>
      </c>
    </row>
    <row r="1709" spans="44:48" x14ac:dyDescent="0.2">
      <c r="AR1709">
        <v>1701</v>
      </c>
      <c r="AS1709">
        <v>792</v>
      </c>
      <c r="AT1709">
        <v>2</v>
      </c>
      <c r="AU1709">
        <v>13.407366493458847</v>
      </c>
      <c r="AV1709">
        <v>8.9880205340844167E-3</v>
      </c>
    </row>
    <row r="1710" spans="44:48" x14ac:dyDescent="0.2">
      <c r="AR1710">
        <v>1702</v>
      </c>
      <c r="AS1710">
        <v>793</v>
      </c>
      <c r="AT1710">
        <v>2</v>
      </c>
      <c r="AU1710">
        <v>13.438307024776192</v>
      </c>
      <c r="AV1710">
        <v>8.8485352507806543E-3</v>
      </c>
    </row>
    <row r="1711" spans="44:48" x14ac:dyDescent="0.2">
      <c r="AR1711">
        <v>1703</v>
      </c>
      <c r="AS1711">
        <v>794</v>
      </c>
      <c r="AT1711">
        <v>2</v>
      </c>
      <c r="AU1711">
        <v>13.46924755609354</v>
      </c>
      <c r="AV1711">
        <v>8.7107604080374976E-3</v>
      </c>
    </row>
    <row r="1712" spans="44:48" x14ac:dyDescent="0.2">
      <c r="AR1712">
        <v>1704</v>
      </c>
      <c r="AS1712">
        <v>795</v>
      </c>
      <c r="AT1712">
        <v>2</v>
      </c>
      <c r="AU1712">
        <v>13.500188087410885</v>
      </c>
      <c r="AV1712">
        <v>8.5746836299948059E-3</v>
      </c>
    </row>
    <row r="1713" spans="44:48" x14ac:dyDescent="0.2">
      <c r="AR1713">
        <v>1705</v>
      </c>
      <c r="AS1713">
        <v>796</v>
      </c>
      <c r="AT1713">
        <v>2</v>
      </c>
      <c r="AU1713">
        <v>13.53112861872823</v>
      </c>
      <c r="AV1713">
        <v>8.4402924702521084E-3</v>
      </c>
    </row>
    <row r="1714" spans="44:48" x14ac:dyDescent="0.2">
      <c r="AR1714">
        <v>1706</v>
      </c>
      <c r="AS1714">
        <v>797</v>
      </c>
      <c r="AT1714">
        <v>2</v>
      </c>
      <c r="AU1714">
        <v>13.562069150045579</v>
      </c>
      <c r="AV1714">
        <v>8.3075744155462795E-3</v>
      </c>
    </row>
    <row r="1715" spans="44:48" x14ac:dyDescent="0.2">
      <c r="AR1715">
        <v>1707</v>
      </c>
      <c r="AS1715">
        <v>798</v>
      </c>
      <c r="AT1715">
        <v>2</v>
      </c>
      <c r="AU1715">
        <v>13.593009681362924</v>
      </c>
      <c r="AV1715">
        <v>8.176516889388875E-3</v>
      </c>
    </row>
    <row r="1716" spans="44:48" x14ac:dyDescent="0.2">
      <c r="AR1716">
        <v>1708</v>
      </c>
      <c r="AS1716">
        <v>799</v>
      </c>
      <c r="AT1716">
        <v>2</v>
      </c>
      <c r="AU1716">
        <v>13.623950212680269</v>
      </c>
      <c r="AV1716">
        <v>8.0471072556626451E-3</v>
      </c>
    </row>
    <row r="1717" spans="44:48" x14ac:dyDescent="0.2">
      <c r="AR1717">
        <v>1709</v>
      </c>
      <c r="AS1717">
        <v>800</v>
      </c>
      <c r="AT1717">
        <v>2</v>
      </c>
      <c r="AU1717">
        <v>13.654890743997617</v>
      </c>
      <c r="AV1717">
        <v>7.9193328221769388E-3</v>
      </c>
    </row>
    <row r="1718" spans="44:48" x14ac:dyDescent="0.2">
      <c r="AR1718">
        <v>1710</v>
      </c>
      <c r="AS1718">
        <v>801</v>
      </c>
      <c r="AT1718">
        <v>2</v>
      </c>
      <c r="AU1718">
        <v>13.685831275314962</v>
      </c>
      <c r="AV1718">
        <v>7.793180844181416E-3</v>
      </c>
    </row>
    <row r="1719" spans="44:48" x14ac:dyDescent="0.2">
      <c r="AR1719">
        <v>1711</v>
      </c>
      <c r="AS1719">
        <v>802</v>
      </c>
      <c r="AT1719">
        <v>2</v>
      </c>
      <c r="AU1719">
        <v>13.716771806632311</v>
      </c>
      <c r="AV1719">
        <v>7.6686385278375542E-3</v>
      </c>
    </row>
    <row r="1720" spans="44:48" x14ac:dyDescent="0.2">
      <c r="AR1720">
        <v>1712</v>
      </c>
      <c r="AS1720">
        <v>803</v>
      </c>
      <c r="AT1720">
        <v>2</v>
      </c>
      <c r="AU1720">
        <v>13.747712337949656</v>
      </c>
      <c r="AV1720">
        <v>7.5456930336478337E-3</v>
      </c>
    </row>
    <row r="1721" spans="44:48" x14ac:dyDescent="0.2">
      <c r="AR1721">
        <v>1713</v>
      </c>
      <c r="AS1721">
        <v>804</v>
      </c>
      <c r="AT1721">
        <v>2</v>
      </c>
      <c r="AU1721">
        <v>13.778652869267001</v>
      </c>
      <c r="AV1721">
        <v>7.4243314798417724E-3</v>
      </c>
    </row>
    <row r="1722" spans="44:48" x14ac:dyDescent="0.2">
      <c r="AR1722">
        <v>1714</v>
      </c>
      <c r="AS1722">
        <v>805</v>
      </c>
      <c r="AT1722">
        <v>2</v>
      </c>
      <c r="AU1722">
        <v>13.809593400584349</v>
      </c>
      <c r="AV1722">
        <v>7.3045409457189008E-3</v>
      </c>
    </row>
    <row r="1723" spans="44:48" x14ac:dyDescent="0.2">
      <c r="AR1723">
        <v>1715</v>
      </c>
      <c r="AS1723">
        <v>806</v>
      </c>
      <c r="AT1723">
        <v>2</v>
      </c>
      <c r="AU1723">
        <v>13.840533931901694</v>
      </c>
      <c r="AV1723">
        <v>7.1863084749480451E-3</v>
      </c>
    </row>
    <row r="1724" spans="44:48" x14ac:dyDescent="0.2">
      <c r="AR1724">
        <v>1716</v>
      </c>
      <c r="AS1724">
        <v>807</v>
      </c>
      <c r="AT1724">
        <v>2</v>
      </c>
      <c r="AU1724">
        <v>13.871474463219039</v>
      </c>
      <c r="AV1724">
        <v>7.0696210788226523E-3</v>
      </c>
    </row>
    <row r="1725" spans="44:48" x14ac:dyDescent="0.2">
      <c r="AR1725">
        <v>1717</v>
      </c>
      <c r="AS1725">
        <v>808</v>
      </c>
      <c r="AT1725">
        <v>2</v>
      </c>
      <c r="AU1725">
        <v>13.902414994536388</v>
      </c>
      <c r="AV1725">
        <v>6.9544657394719194E-3</v>
      </c>
    </row>
    <row r="1726" spans="44:48" x14ac:dyDescent="0.2">
      <c r="AR1726">
        <v>1718</v>
      </c>
      <c r="AS1726">
        <v>809</v>
      </c>
      <c r="AT1726">
        <v>2</v>
      </c>
      <c r="AU1726">
        <v>13.933355525853733</v>
      </c>
      <c r="AV1726">
        <v>6.840829413027434E-3</v>
      </c>
    </row>
    <row r="1727" spans="44:48" x14ac:dyDescent="0.2">
      <c r="AR1727">
        <v>1719</v>
      </c>
      <c r="AS1727">
        <v>810</v>
      </c>
      <c r="AT1727">
        <v>2</v>
      </c>
      <c r="AU1727">
        <v>13.964296057171078</v>
      </c>
      <c r="AV1727">
        <v>6.7286990327449399E-3</v>
      </c>
    </row>
    <row r="1728" spans="44:48" x14ac:dyDescent="0.2">
      <c r="AR1728">
        <v>1720</v>
      </c>
      <c r="AS1728">
        <v>811</v>
      </c>
      <c r="AT1728">
        <v>2</v>
      </c>
      <c r="AU1728">
        <v>13.995236588488426</v>
      </c>
      <c r="AV1728">
        <v>6.6180615120811827E-3</v>
      </c>
    </row>
    <row r="1729" spans="44:48" x14ac:dyDescent="0.2">
      <c r="AR1729">
        <v>1721</v>
      </c>
      <c r="AS1729">
        <v>812</v>
      </c>
      <c r="AT1729">
        <v>2</v>
      </c>
      <c r="AU1729">
        <v>14.026177119805771</v>
      </c>
      <c r="AV1729">
        <v>6.5089037477255099E-3</v>
      </c>
    </row>
    <row r="1730" spans="44:48" x14ac:dyDescent="0.2">
      <c r="AR1730">
        <v>1722</v>
      </c>
      <c r="AS1730">
        <v>813</v>
      </c>
      <c r="AT1730">
        <v>2</v>
      </c>
      <c r="AU1730">
        <v>14.05711765112312</v>
      </c>
      <c r="AV1730">
        <v>6.4012126225859662E-3</v>
      </c>
    </row>
    <row r="1731" spans="44:48" x14ac:dyDescent="0.2">
      <c r="AR1731">
        <v>1723</v>
      </c>
      <c r="AS1731">
        <v>814</v>
      </c>
      <c r="AT1731">
        <v>2</v>
      </c>
      <c r="AU1731">
        <v>14.088058182440465</v>
      </c>
      <c r="AV1731">
        <v>6.2949750087299017E-3</v>
      </c>
    </row>
    <row r="1732" spans="44:48" x14ac:dyDescent="0.2">
      <c r="AR1732">
        <v>1724</v>
      </c>
      <c r="AS1732">
        <v>815</v>
      </c>
      <c r="AT1732">
        <v>2</v>
      </c>
      <c r="AU1732">
        <v>14.11899871375781</v>
      </c>
      <c r="AV1732">
        <v>6.1901777702786662E-3</v>
      </c>
    </row>
    <row r="1733" spans="44:48" x14ac:dyDescent="0.2">
      <c r="AR1733">
        <v>1725</v>
      </c>
      <c r="AS1733">
        <v>816</v>
      </c>
      <c r="AT1733">
        <v>2</v>
      </c>
      <c r="AU1733">
        <v>14.149939245075158</v>
      </c>
      <c r="AV1733">
        <v>6.0868077662564754E-3</v>
      </c>
    </row>
    <row r="1734" spans="44:48" x14ac:dyDescent="0.2">
      <c r="AR1734">
        <v>1726</v>
      </c>
      <c r="AS1734">
        <v>817</v>
      </c>
      <c r="AT1734">
        <v>2</v>
      </c>
      <c r="AU1734">
        <v>14.180879776392503</v>
      </c>
      <c r="AV1734">
        <v>5.9848518533932712E-3</v>
      </c>
    </row>
    <row r="1735" spans="44:48" x14ac:dyDescent="0.2">
      <c r="AR1735">
        <v>1727</v>
      </c>
      <c r="AS1735">
        <v>818</v>
      </c>
      <c r="AT1735">
        <v>2</v>
      </c>
      <c r="AU1735">
        <v>14.211820307709848</v>
      </c>
      <c r="AV1735">
        <v>5.8842968888813347E-3</v>
      </c>
    </row>
    <row r="1736" spans="44:48" x14ac:dyDescent="0.2">
      <c r="AR1736">
        <v>1728</v>
      </c>
      <c r="AS1736">
        <v>819</v>
      </c>
      <c r="AT1736">
        <v>2</v>
      </c>
      <c r="AU1736">
        <v>14.242760839027197</v>
      </c>
      <c r="AV1736">
        <v>5.7851297330857613E-3</v>
      </c>
    </row>
    <row r="1737" spans="44:48" x14ac:dyDescent="0.2">
      <c r="AR1737">
        <v>1729</v>
      </c>
      <c r="AS1737">
        <v>820</v>
      </c>
      <c r="AT1737">
        <v>2</v>
      </c>
      <c r="AU1737">
        <v>14.273701370344542</v>
      </c>
      <c r="AV1737">
        <v>5.6873372522086747E-3</v>
      </c>
    </row>
    <row r="1738" spans="44:48" x14ac:dyDescent="0.2">
      <c r="AR1738">
        <v>1730</v>
      </c>
      <c r="AS1738">
        <v>821</v>
      </c>
      <c r="AT1738">
        <v>2</v>
      </c>
      <c r="AU1738">
        <v>14.304641901661887</v>
      </c>
      <c r="AV1738">
        <v>5.5909063209069586E-3</v>
      </c>
    </row>
    <row r="1739" spans="44:48" x14ac:dyDescent="0.2">
      <c r="AR1739">
        <v>1731</v>
      </c>
      <c r="AS1739">
        <v>822</v>
      </c>
      <c r="AT1739">
        <v>2</v>
      </c>
      <c r="AU1739">
        <v>14.335582432979235</v>
      </c>
      <c r="AV1739">
        <v>5.4958238248637801E-3</v>
      </c>
    </row>
    <row r="1740" spans="44:48" x14ac:dyDescent="0.2">
      <c r="AR1740">
        <v>1732</v>
      </c>
      <c r="AS1740">
        <v>823</v>
      </c>
      <c r="AT1740">
        <v>2</v>
      </c>
      <c r="AU1740">
        <v>14.36652296429658</v>
      </c>
      <c r="AV1740">
        <v>5.402076663313651E-3</v>
      </c>
    </row>
    <row r="1741" spans="44:48" x14ac:dyDescent="0.2">
      <c r="AR1741">
        <v>1733</v>
      </c>
      <c r="AS1741">
        <v>824</v>
      </c>
      <c r="AT1741">
        <v>2</v>
      </c>
      <c r="AU1741">
        <v>14.397463495613929</v>
      </c>
      <c r="AV1741">
        <v>5.3096517515210861E-3</v>
      </c>
    </row>
    <row r="1742" spans="44:48" x14ac:dyDescent="0.2">
      <c r="AR1742">
        <v>1734</v>
      </c>
      <c r="AS1742">
        <v>825</v>
      </c>
      <c r="AT1742">
        <v>2</v>
      </c>
      <c r="AU1742">
        <v>14.428404026931274</v>
      </c>
      <c r="AV1742">
        <v>5.2185360232130037E-3</v>
      </c>
    </row>
    <row r="1743" spans="44:48" x14ac:dyDescent="0.2">
      <c r="AR1743">
        <v>1735</v>
      </c>
      <c r="AS1743">
        <v>826</v>
      </c>
      <c r="AT1743">
        <v>2</v>
      </c>
      <c r="AU1743">
        <v>14.459344558248619</v>
      </c>
      <c r="AV1743">
        <v>5.1287164329646478E-3</v>
      </c>
    </row>
    <row r="1744" spans="44:48" x14ac:dyDescent="0.2">
      <c r="AR1744">
        <v>1736</v>
      </c>
      <c r="AS1744">
        <v>827</v>
      </c>
      <c r="AT1744">
        <v>2</v>
      </c>
      <c r="AU1744">
        <v>14.490285089565967</v>
      </c>
      <c r="AV1744">
        <v>5.0401799585393803E-3</v>
      </c>
    </row>
    <row r="1745" spans="44:48" x14ac:dyDescent="0.2">
      <c r="AR1745">
        <v>1737</v>
      </c>
      <c r="AS1745">
        <v>828</v>
      </c>
      <c r="AT1745">
        <v>2</v>
      </c>
      <c r="AU1745">
        <v>14.521225620883312</v>
      </c>
      <c r="AV1745">
        <v>4.9529136031822036E-3</v>
      </c>
    </row>
    <row r="1746" spans="44:48" x14ac:dyDescent="0.2">
      <c r="AR1746">
        <v>1738</v>
      </c>
      <c r="AS1746">
        <v>829</v>
      </c>
      <c r="AT1746">
        <v>2</v>
      </c>
      <c r="AU1746">
        <v>14.552166152200657</v>
      </c>
      <c r="AV1746">
        <v>4.8669043978671628E-3</v>
      </c>
    </row>
    <row r="1747" spans="44:48" x14ac:dyDescent="0.2">
      <c r="AR1747">
        <v>1739</v>
      </c>
      <c r="AS1747">
        <v>830</v>
      </c>
      <c r="AT1747">
        <v>2</v>
      </c>
      <c r="AU1747">
        <v>14.583106683518006</v>
      </c>
      <c r="AV1747">
        <v>4.7821394034987365E-3</v>
      </c>
    </row>
    <row r="1748" spans="44:48" x14ac:dyDescent="0.2">
      <c r="AR1748">
        <v>1740</v>
      </c>
      <c r="AS1748">
        <v>831</v>
      </c>
      <c r="AT1748">
        <v>2</v>
      </c>
      <c r="AU1748">
        <v>14.614047214835351</v>
      </c>
      <c r="AV1748">
        <v>4.6986057130673662E-3</v>
      </c>
    </row>
    <row r="1749" spans="44:48" x14ac:dyDescent="0.2">
      <c r="AR1749">
        <v>1741</v>
      </c>
      <c r="AS1749">
        <v>832</v>
      </c>
      <c r="AT1749">
        <v>2</v>
      </c>
      <c r="AU1749">
        <v>14.644987746152699</v>
      </c>
      <c r="AV1749">
        <v>4.6162904537590897E-3</v>
      </c>
    </row>
    <row r="1750" spans="44:48" x14ac:dyDescent="0.2">
      <c r="AR1750">
        <v>1742</v>
      </c>
      <c r="AS1750">
        <v>833</v>
      </c>
      <c r="AT1750">
        <v>2</v>
      </c>
      <c r="AU1750">
        <v>14.675928277470044</v>
      </c>
      <c r="AV1750">
        <v>4.5351807890196905E-3</v>
      </c>
    </row>
    <row r="1751" spans="44:48" x14ac:dyDescent="0.2">
      <c r="AR1751">
        <v>1743</v>
      </c>
      <c r="AS1751">
        <v>834</v>
      </c>
      <c r="AT1751">
        <v>2</v>
      </c>
      <c r="AU1751">
        <v>14.706868808787389</v>
      </c>
      <c r="AV1751">
        <v>4.4552639205732453E-3</v>
      </c>
    </row>
    <row r="1752" spans="44:48" x14ac:dyDescent="0.2">
      <c r="AR1752">
        <v>1744</v>
      </c>
      <c r="AS1752">
        <v>835</v>
      </c>
      <c r="AT1752">
        <v>2</v>
      </c>
      <c r="AU1752">
        <v>14.737809340104738</v>
      </c>
      <c r="AV1752">
        <v>4.3765270903954254E-3</v>
      </c>
    </row>
    <row r="1753" spans="44:48" x14ac:dyDescent="0.2">
      <c r="AR1753">
        <v>1745</v>
      </c>
      <c r="AS1753">
        <v>836</v>
      </c>
      <c r="AT1753">
        <v>2</v>
      </c>
      <c r="AU1753">
        <v>14.768749871422083</v>
      </c>
      <c r="AV1753">
        <v>4.2989575826417005E-3</v>
      </c>
    </row>
    <row r="1754" spans="44:48" x14ac:dyDescent="0.2">
      <c r="AR1754">
        <v>1746</v>
      </c>
      <c r="AS1754">
        <v>837</v>
      </c>
      <c r="AT1754">
        <v>2</v>
      </c>
      <c r="AU1754">
        <v>14.799690402739428</v>
      </c>
      <c r="AV1754">
        <v>4.2225427255305308E-3</v>
      </c>
    </row>
    <row r="1755" spans="44:48" x14ac:dyDescent="0.2">
      <c r="AR1755">
        <v>1747</v>
      </c>
      <c r="AS1755">
        <v>838</v>
      </c>
      <c r="AT1755">
        <v>2</v>
      </c>
      <c r="AU1755">
        <v>14.830630934056776</v>
      </c>
      <c r="AV1755">
        <v>4.1472698931819107E-3</v>
      </c>
    </row>
    <row r="1756" spans="44:48" x14ac:dyDescent="0.2">
      <c r="AR1756">
        <v>1748</v>
      </c>
      <c r="AS1756">
        <v>839</v>
      </c>
      <c r="AT1756">
        <v>2</v>
      </c>
      <c r="AU1756">
        <v>14.861571465374121</v>
      </c>
      <c r="AV1756">
        <v>4.0731265074114295E-3</v>
      </c>
    </row>
    <row r="1757" spans="44:48" x14ac:dyDescent="0.2">
      <c r="AR1757">
        <v>1749</v>
      </c>
      <c r="AS1757">
        <v>840</v>
      </c>
      <c r="AT1757">
        <v>2</v>
      </c>
      <c r="AU1757">
        <v>14.892511996691466</v>
      </c>
      <c r="AV1757">
        <v>4.0001000394800038E-3</v>
      </c>
    </row>
    <row r="1758" spans="44:48" x14ac:dyDescent="0.2">
      <c r="AR1758">
        <v>1750</v>
      </c>
      <c r="AS1758">
        <v>841</v>
      </c>
      <c r="AT1758">
        <v>2</v>
      </c>
      <c r="AU1758">
        <v>14.923452528008815</v>
      </c>
      <c r="AV1758">
        <v>3.9281780117996689E-3</v>
      </c>
    </row>
    <row r="1759" spans="44:48" x14ac:dyDescent="0.2">
      <c r="AR1759">
        <v>1751</v>
      </c>
      <c r="AS1759">
        <v>842</v>
      </c>
      <c r="AT1759">
        <v>2</v>
      </c>
      <c r="AU1759">
        <v>14.95439305932616</v>
      </c>
      <c r="AV1759">
        <v>3.8573479995956E-3</v>
      </c>
    </row>
    <row r="1760" spans="44:48" x14ac:dyDescent="0.2">
      <c r="AR1760">
        <v>1752</v>
      </c>
      <c r="AS1760">
        <v>843</v>
      </c>
      <c r="AT1760">
        <v>2</v>
      </c>
      <c r="AU1760">
        <v>14.985333590643508</v>
      </c>
      <c r="AV1760">
        <v>3.7875976325245958E-3</v>
      </c>
    </row>
    <row r="1761" spans="44:48" x14ac:dyDescent="0.2">
      <c r="AR1761">
        <v>1753</v>
      </c>
      <c r="AS1761">
        <v>844</v>
      </c>
      <c r="AT1761">
        <v>2</v>
      </c>
      <c r="AU1761">
        <v>15.016274121960853</v>
      </c>
      <c r="AV1761">
        <v>3.7189145962504399E-3</v>
      </c>
    </row>
    <row r="1762" spans="44:48" x14ac:dyDescent="0.2">
      <c r="AR1762">
        <v>1754</v>
      </c>
      <c r="AS1762">
        <v>845</v>
      </c>
      <c r="AT1762">
        <v>2</v>
      </c>
      <c r="AU1762">
        <v>15.047214653278198</v>
      </c>
      <c r="AV1762">
        <v>3.6512866339762744E-3</v>
      </c>
    </row>
    <row r="1763" spans="44:48" x14ac:dyDescent="0.2">
      <c r="AR1763">
        <v>1755</v>
      </c>
      <c r="AS1763">
        <v>846</v>
      </c>
      <c r="AT1763">
        <v>2</v>
      </c>
      <c r="AU1763">
        <v>15.078155184595547</v>
      </c>
      <c r="AV1763">
        <v>3.5847015479344079E-3</v>
      </c>
    </row>
    <row r="1764" spans="44:48" x14ac:dyDescent="0.2">
      <c r="AR1764">
        <v>1756</v>
      </c>
      <c r="AS1764">
        <v>847</v>
      </c>
      <c r="AT1764">
        <v>2</v>
      </c>
      <c r="AU1764">
        <v>15.109095715912892</v>
      </c>
      <c r="AV1764">
        <v>3.5191472008338264E-3</v>
      </c>
    </row>
    <row r="1765" spans="44:48" x14ac:dyDescent="0.2">
      <c r="AR1765">
        <v>1757</v>
      </c>
      <c r="AS1765">
        <v>848</v>
      </c>
      <c r="AT1765">
        <v>2</v>
      </c>
      <c r="AU1765">
        <v>15.140036247230237</v>
      </c>
      <c r="AV1765">
        <v>3.4546115172656546E-3</v>
      </c>
    </row>
    <row r="1766" spans="44:48" x14ac:dyDescent="0.2">
      <c r="AR1766">
        <v>1758</v>
      </c>
      <c r="AS1766">
        <v>849</v>
      </c>
      <c r="AT1766">
        <v>2</v>
      </c>
      <c r="AU1766">
        <v>15.170976778547585</v>
      </c>
      <c r="AV1766">
        <v>3.3910824850670392E-3</v>
      </c>
    </row>
    <row r="1767" spans="44:48" x14ac:dyDescent="0.2">
      <c r="AR1767">
        <v>1759</v>
      </c>
      <c r="AS1767">
        <v>850</v>
      </c>
      <c r="AT1767">
        <v>2</v>
      </c>
      <c r="AU1767">
        <v>15.20191730986493</v>
      </c>
      <c r="AV1767">
        <v>3.3285481566437064E-3</v>
      </c>
    </row>
    <row r="1768" spans="44:48" x14ac:dyDescent="0.2">
      <c r="AR1768">
        <v>1760</v>
      </c>
      <c r="AS1768">
        <v>851</v>
      </c>
      <c r="AT1768">
        <v>2</v>
      </c>
      <c r="AU1768">
        <v>15.232857841182275</v>
      </c>
      <c r="AV1768">
        <v>3.2669966502515031E-3</v>
      </c>
    </row>
    <row r="1769" spans="44:48" x14ac:dyDescent="0.2">
      <c r="AR1769">
        <v>1761</v>
      </c>
      <c r="AS1769">
        <v>852</v>
      </c>
      <c r="AT1769">
        <v>2</v>
      </c>
      <c r="AU1769">
        <v>15.263798372499624</v>
      </c>
      <c r="AV1769">
        <v>3.206416151237383E-3</v>
      </c>
    </row>
    <row r="1770" spans="44:48" x14ac:dyDescent="0.2">
      <c r="AR1770">
        <v>1762</v>
      </c>
      <c r="AS1770">
        <v>853</v>
      </c>
      <c r="AT1770">
        <v>2</v>
      </c>
      <c r="AU1770">
        <v>15.294738903816969</v>
      </c>
      <c r="AV1770">
        <v>3.1467949132401554E-3</v>
      </c>
    </row>
    <row r="1771" spans="44:48" x14ac:dyDescent="0.2">
      <c r="AR1771">
        <v>1763</v>
      </c>
      <c r="AS1771">
        <v>854</v>
      </c>
      <c r="AT1771">
        <v>2</v>
      </c>
      <c r="AU1771">
        <v>15.325679435134317</v>
      </c>
      <c r="AV1771">
        <v>3.0881212593512775E-3</v>
      </c>
    </row>
    <row r="1772" spans="44:48" x14ac:dyDescent="0.2">
      <c r="AR1772">
        <v>1764</v>
      </c>
      <c r="AS1772">
        <v>855</v>
      </c>
      <c r="AT1772">
        <v>2</v>
      </c>
      <c r="AU1772">
        <v>15.356619966451662</v>
      </c>
      <c r="AV1772">
        <v>3.0303835832362659E-3</v>
      </c>
    </row>
    <row r="1773" spans="44:48" x14ac:dyDescent="0.2">
      <c r="AR1773">
        <v>1765</v>
      </c>
      <c r="AS1773">
        <v>856</v>
      </c>
      <c r="AT1773">
        <v>2</v>
      </c>
      <c r="AU1773">
        <v>15.387560497769007</v>
      </c>
      <c r="AV1773">
        <v>2.9735703502169072E-3</v>
      </c>
    </row>
    <row r="1774" spans="44:48" x14ac:dyDescent="0.2">
      <c r="AR1774">
        <v>1766</v>
      </c>
      <c r="AS1774">
        <v>857</v>
      </c>
      <c r="AT1774">
        <v>2</v>
      </c>
      <c r="AU1774">
        <v>15.418501029086356</v>
      </c>
      <c r="AV1774">
        <v>2.9176700983148079E-3</v>
      </c>
    </row>
    <row r="1775" spans="44:48" x14ac:dyDescent="0.2">
      <c r="AR1775">
        <v>1767</v>
      </c>
      <c r="AS1775">
        <v>858</v>
      </c>
      <c r="AT1775">
        <v>2</v>
      </c>
      <c r="AU1775">
        <v>15.449441560403701</v>
      </c>
      <c r="AV1775">
        <v>2.8626714392566339E-3</v>
      </c>
    </row>
    <row r="1776" spans="44:48" x14ac:dyDescent="0.2">
      <c r="AR1776">
        <v>1768</v>
      </c>
      <c r="AS1776">
        <v>859</v>
      </c>
      <c r="AT1776">
        <v>2</v>
      </c>
      <c r="AU1776">
        <v>15.480382091721046</v>
      </c>
      <c r="AV1776">
        <v>2.8085630594413963E-3</v>
      </c>
    </row>
    <row r="1777" spans="44:48" x14ac:dyDescent="0.2">
      <c r="AR1777">
        <v>1769</v>
      </c>
      <c r="AS1777">
        <v>860</v>
      </c>
      <c r="AT1777">
        <v>2</v>
      </c>
      <c r="AU1777">
        <v>15.511322623038394</v>
      </c>
      <c r="AV1777">
        <v>2.7553337208702944E-3</v>
      </c>
    </row>
    <row r="1778" spans="44:48" x14ac:dyDescent="0.2">
      <c r="AR1778">
        <v>1770</v>
      </c>
      <c r="AS1778">
        <v>861</v>
      </c>
      <c r="AT1778">
        <v>2</v>
      </c>
      <c r="AU1778">
        <v>15.542263154355739</v>
      </c>
      <c r="AV1778">
        <v>2.7029722620394679E-3</v>
      </c>
    </row>
    <row r="1779" spans="44:48" x14ac:dyDescent="0.2">
      <c r="AR1779">
        <v>1771</v>
      </c>
      <c r="AS1779">
        <v>862</v>
      </c>
      <c r="AT1779">
        <v>2</v>
      </c>
      <c r="AU1779">
        <v>15.573203685673084</v>
      </c>
      <c r="AV1779">
        <v>2.6514675987960828E-3</v>
      </c>
    </row>
    <row r="1780" spans="44:48" x14ac:dyDescent="0.2">
      <c r="AR1780">
        <v>1772</v>
      </c>
      <c r="AS1780">
        <v>863</v>
      </c>
      <c r="AT1780">
        <v>2</v>
      </c>
      <c r="AU1780">
        <v>15.604144216990433</v>
      </c>
      <c r="AV1780">
        <v>2.6008087251582126E-3</v>
      </c>
    </row>
    <row r="1781" spans="44:48" x14ac:dyDescent="0.2">
      <c r="AR1781">
        <v>1773</v>
      </c>
      <c r="AS1781">
        <v>864</v>
      </c>
      <c r="AT1781">
        <v>2</v>
      </c>
      <c r="AU1781">
        <v>15.635084748307778</v>
      </c>
      <c r="AV1781">
        <v>2.5509847140989502E-3</v>
      </c>
    </row>
    <row r="1782" spans="44:48" x14ac:dyDescent="0.2">
      <c r="AR1782">
        <v>1774</v>
      </c>
      <c r="AS1782">
        <v>865</v>
      </c>
      <c r="AT1782">
        <v>2</v>
      </c>
      <c r="AU1782">
        <v>15.666025279625126</v>
      </c>
      <c r="AV1782">
        <v>2.5019847182951123E-3</v>
      </c>
    </row>
    <row r="1783" spans="44:48" x14ac:dyDescent="0.2">
      <c r="AR1783">
        <v>1775</v>
      </c>
      <c r="AS1783">
        <v>866</v>
      </c>
      <c r="AT1783">
        <v>2</v>
      </c>
      <c r="AU1783">
        <v>15.696965810942471</v>
      </c>
      <c r="AV1783">
        <v>2.4537979708411117E-3</v>
      </c>
    </row>
    <row r="1784" spans="44:48" x14ac:dyDescent="0.2">
      <c r="AR1784">
        <v>1776</v>
      </c>
      <c r="AS1784">
        <v>867</v>
      </c>
      <c r="AT1784">
        <v>2</v>
      </c>
      <c r="AU1784">
        <v>15.727906342259816</v>
      </c>
      <c r="AV1784">
        <v>2.406413785928316E-3</v>
      </c>
    </row>
    <row r="1785" spans="44:48" x14ac:dyDescent="0.2">
      <c r="AR1785">
        <v>1777</v>
      </c>
      <c r="AS1785">
        <v>868</v>
      </c>
      <c r="AT1785">
        <v>2</v>
      </c>
      <c r="AU1785">
        <v>15.758846873577165</v>
      </c>
      <c r="AV1785">
        <v>2.3598215594904299E-3</v>
      </c>
    </row>
    <row r="1786" spans="44:48" x14ac:dyDescent="0.2">
      <c r="AR1786">
        <v>1778</v>
      </c>
      <c r="AS1786">
        <v>869</v>
      </c>
      <c r="AT1786">
        <v>2</v>
      </c>
      <c r="AU1786">
        <v>15.789787404894509</v>
      </c>
      <c r="AV1786">
        <v>2.3140107698153365E-3</v>
      </c>
    </row>
    <row r="1787" spans="44:48" x14ac:dyDescent="0.2">
      <c r="AR1787">
        <v>1779</v>
      </c>
      <c r="AS1787">
        <v>870</v>
      </c>
      <c r="AT1787">
        <v>2</v>
      </c>
      <c r="AU1787">
        <v>15.820727936211854</v>
      </c>
      <c r="AV1787">
        <v>2.2689709781237946E-3</v>
      </c>
    </row>
    <row r="1788" spans="44:48" x14ac:dyDescent="0.2">
      <c r="AR1788">
        <v>1780</v>
      </c>
      <c r="AS1788">
        <v>871</v>
      </c>
      <c r="AT1788">
        <v>2</v>
      </c>
      <c r="AU1788">
        <v>15.851668467529203</v>
      </c>
      <c r="AV1788">
        <v>2.2246918291155653E-3</v>
      </c>
    </row>
    <row r="1789" spans="44:48" x14ac:dyDescent="0.2">
      <c r="AR1789">
        <v>1781</v>
      </c>
      <c r="AS1789">
        <v>872</v>
      </c>
      <c r="AT1789">
        <v>2</v>
      </c>
      <c r="AU1789">
        <v>15.882608998846548</v>
      </c>
      <c r="AV1789">
        <v>2.18116305148334E-3</v>
      </c>
    </row>
    <row r="1790" spans="44:48" x14ac:dyDescent="0.2">
      <c r="AR1790">
        <v>1782</v>
      </c>
      <c r="AS1790">
        <v>873</v>
      </c>
      <c r="AT1790">
        <v>2</v>
      </c>
      <c r="AU1790">
        <v>15.913549530163893</v>
      </c>
      <c r="AV1790">
        <v>2.1383744583949684E-3</v>
      </c>
    </row>
    <row r="1791" spans="44:48" x14ac:dyDescent="0.2">
      <c r="AR1791">
        <v>1783</v>
      </c>
      <c r="AS1791">
        <v>874</v>
      </c>
      <c r="AT1791">
        <v>2</v>
      </c>
      <c r="AU1791">
        <v>15.944490061481241</v>
      </c>
      <c r="AV1791">
        <v>2.0963159479444608E-3</v>
      </c>
    </row>
    <row r="1792" spans="44:48" x14ac:dyDescent="0.2">
      <c r="AR1792">
        <v>1784</v>
      </c>
      <c r="AS1792">
        <v>875</v>
      </c>
      <c r="AT1792">
        <v>2</v>
      </c>
      <c r="AU1792">
        <v>15.975430592798586</v>
      </c>
      <c r="AV1792">
        <v>2.0549775035722507E-3</v>
      </c>
    </row>
    <row r="1793" spans="44:48" x14ac:dyDescent="0.2">
      <c r="AR1793">
        <v>1785</v>
      </c>
      <c r="AS1793">
        <v>876</v>
      </c>
      <c r="AT1793">
        <v>2</v>
      </c>
      <c r="AU1793">
        <v>16.006371124115937</v>
      </c>
      <c r="AV1793">
        <v>2.0143491944551164E-3</v>
      </c>
    </row>
    <row r="1794" spans="44:48" x14ac:dyDescent="0.2">
      <c r="AR1794">
        <v>1786</v>
      </c>
      <c r="AS1794">
        <v>877</v>
      </c>
      <c r="AT1794">
        <v>2</v>
      </c>
      <c r="AU1794">
        <v>16.037311655433278</v>
      </c>
      <c r="AV1794">
        <v>1.9744211758663715E-3</v>
      </c>
    </row>
    <row r="1795" spans="44:48" x14ac:dyDescent="0.2">
      <c r="AR1795">
        <v>1787</v>
      </c>
      <c r="AS1795">
        <v>878</v>
      </c>
      <c r="AT1795">
        <v>2</v>
      </c>
      <c r="AU1795">
        <v>16.068252186750627</v>
      </c>
      <c r="AV1795">
        <v>1.9351836895066155E-3</v>
      </c>
    </row>
    <row r="1796" spans="44:48" x14ac:dyDescent="0.2">
      <c r="AR1796">
        <v>1788</v>
      </c>
      <c r="AS1796">
        <v>879</v>
      </c>
      <c r="AT1796">
        <v>2</v>
      </c>
      <c r="AU1796">
        <v>16.099192718067975</v>
      </c>
      <c r="AV1796">
        <v>1.8966270638057518E-3</v>
      </c>
    </row>
    <row r="1797" spans="44:48" x14ac:dyDescent="0.2">
      <c r="AR1797">
        <v>1789</v>
      </c>
      <c r="AS1797">
        <v>880</v>
      </c>
      <c r="AT1797">
        <v>2</v>
      </c>
      <c r="AU1797">
        <v>16.130133249385317</v>
      </c>
      <c r="AV1797">
        <v>1.858741714196533E-3</v>
      </c>
    </row>
    <row r="1798" spans="44:48" x14ac:dyDescent="0.2">
      <c r="AR1798">
        <v>1790</v>
      </c>
      <c r="AS1798">
        <v>881</v>
      </c>
      <c r="AT1798">
        <v>2</v>
      </c>
      <c r="AU1798">
        <v>16.161073780702665</v>
      </c>
      <c r="AV1798">
        <v>1.8215181433602059E-3</v>
      </c>
    </row>
    <row r="1799" spans="44:48" x14ac:dyDescent="0.2">
      <c r="AR1799">
        <v>1791</v>
      </c>
      <c r="AS1799">
        <v>882</v>
      </c>
      <c r="AT1799">
        <v>2</v>
      </c>
      <c r="AU1799">
        <v>16.192014312020014</v>
      </c>
      <c r="AV1799">
        <v>1.784946941444815E-3</v>
      </c>
    </row>
    <row r="1800" spans="44:48" x14ac:dyDescent="0.2">
      <c r="AR1800">
        <v>1792</v>
      </c>
      <c r="AS1800">
        <v>883</v>
      </c>
      <c r="AT1800">
        <v>2</v>
      </c>
      <c r="AU1800">
        <v>16.222954843337355</v>
      </c>
      <c r="AV1800">
        <v>1.7490187862565015E-3</v>
      </c>
    </row>
    <row r="1801" spans="44:48" x14ac:dyDescent="0.2">
      <c r="AR1801">
        <v>1793</v>
      </c>
      <c r="AS1801">
        <v>884</v>
      </c>
      <c r="AT1801">
        <v>2</v>
      </c>
      <c r="AU1801">
        <v>16.253895374654704</v>
      </c>
      <c r="AV1801">
        <v>1.7137244434243203E-3</v>
      </c>
    </row>
    <row r="1802" spans="44:48" x14ac:dyDescent="0.2">
      <c r="AR1802">
        <v>1794</v>
      </c>
      <c r="AS1802">
        <v>885</v>
      </c>
      <c r="AT1802">
        <v>2</v>
      </c>
      <c r="AU1802">
        <v>16.284835905972052</v>
      </c>
      <c r="AV1802">
        <v>1.6790547665391728E-3</v>
      </c>
    </row>
    <row r="1803" spans="44:48" x14ac:dyDescent="0.2">
      <c r="AR1803">
        <v>1795</v>
      </c>
      <c r="AS1803">
        <v>886</v>
      </c>
      <c r="AT1803">
        <v>2</v>
      </c>
      <c r="AU1803">
        <v>16.315776437289394</v>
      </c>
      <c r="AV1803">
        <v>1.6450006972671513E-3</v>
      </c>
    </row>
    <row r="1804" spans="44:48" x14ac:dyDescent="0.2">
      <c r="AR1804">
        <v>1796</v>
      </c>
      <c r="AS1804">
        <v>887</v>
      </c>
      <c r="AT1804">
        <v>2</v>
      </c>
      <c r="AU1804">
        <v>16.346716968606742</v>
      </c>
      <c r="AV1804">
        <v>1.611553265437873E-3</v>
      </c>
    </row>
    <row r="1805" spans="44:48" x14ac:dyDescent="0.2">
      <c r="AR1805">
        <v>1797</v>
      </c>
      <c r="AS1805">
        <v>888</v>
      </c>
      <c r="AT1805">
        <v>2</v>
      </c>
      <c r="AU1805">
        <v>16.377657499924091</v>
      </c>
      <c r="AV1805">
        <v>1.5787035891083364E-3</v>
      </c>
    </row>
    <row r="1806" spans="44:48" x14ac:dyDescent="0.2">
      <c r="AR1806">
        <v>1798</v>
      </c>
      <c r="AS1806">
        <v>889</v>
      </c>
      <c r="AT1806">
        <v>2</v>
      </c>
      <c r="AU1806">
        <v>16.408598031241432</v>
      </c>
      <c r="AV1806">
        <v>1.5464428746026538E-3</v>
      </c>
    </row>
    <row r="1807" spans="44:48" x14ac:dyDescent="0.2">
      <c r="AR1807">
        <v>1799</v>
      </c>
      <c r="AS1807">
        <v>890</v>
      </c>
      <c r="AT1807">
        <v>2</v>
      </c>
      <c r="AU1807">
        <v>16.439538562558781</v>
      </c>
      <c r="AV1807">
        <v>1.5147624165281861E-3</v>
      </c>
    </row>
    <row r="1808" spans="44:48" x14ac:dyDescent="0.2">
      <c r="AR1808">
        <v>1800</v>
      </c>
      <c r="AS1808">
        <v>891</v>
      </c>
      <c r="AT1808">
        <v>2</v>
      </c>
      <c r="AU1808">
        <v>16.470479093876129</v>
      </c>
      <c r="AV1808">
        <v>1.4836535977686448E-3</v>
      </c>
    </row>
    <row r="1809" spans="44:48" x14ac:dyDescent="0.2">
      <c r="AR1809">
        <v>1801</v>
      </c>
      <c r="AS1809">
        <v>892</v>
      </c>
      <c r="AT1809">
        <v>2</v>
      </c>
      <c r="AU1809">
        <v>16.501419625193471</v>
      </c>
      <c r="AV1809">
        <v>1.4531078894544803E-3</v>
      </c>
    </row>
    <row r="1810" spans="44:48" x14ac:dyDescent="0.2">
      <c r="AR1810">
        <v>1802</v>
      </c>
      <c r="AS1810">
        <v>893</v>
      </c>
      <c r="AT1810">
        <v>2</v>
      </c>
      <c r="AU1810">
        <v>16.532360156510819</v>
      </c>
      <c r="AV1810">
        <v>1.4231168509111197E-3</v>
      </c>
    </row>
    <row r="1811" spans="44:48" x14ac:dyDescent="0.2">
      <c r="AR1811">
        <v>1803</v>
      </c>
      <c r="AS1811">
        <v>894</v>
      </c>
      <c r="AT1811">
        <v>2</v>
      </c>
      <c r="AU1811">
        <v>16.563300687828168</v>
      </c>
      <c r="AV1811">
        <v>1.3936721295855585E-3</v>
      </c>
    </row>
    <row r="1812" spans="44:48" x14ac:dyDescent="0.2">
      <c r="AR1812">
        <v>1804</v>
      </c>
      <c r="AS1812">
        <v>895</v>
      </c>
      <c r="AT1812">
        <v>2</v>
      </c>
      <c r="AU1812">
        <v>16.594241219145516</v>
      </c>
      <c r="AV1812">
        <v>1.364765460951685E-3</v>
      </c>
    </row>
    <row r="1813" spans="44:48" x14ac:dyDescent="0.2">
      <c r="AR1813">
        <v>1805</v>
      </c>
      <c r="AS1813">
        <v>896</v>
      </c>
      <c r="AT1813">
        <v>2</v>
      </c>
      <c r="AU1813">
        <v>16.625181750462858</v>
      </c>
      <c r="AV1813">
        <v>1.3363886683948635E-3</v>
      </c>
    </row>
    <row r="1814" spans="44:48" x14ac:dyDescent="0.2">
      <c r="AR1814">
        <v>1806</v>
      </c>
      <c r="AS1814">
        <v>897</v>
      </c>
      <c r="AT1814">
        <v>2</v>
      </c>
      <c r="AU1814">
        <v>16.656122281780206</v>
      </c>
      <c r="AV1814">
        <v>1.3085336630762063E-3</v>
      </c>
    </row>
    <row r="1815" spans="44:48" x14ac:dyDescent="0.2">
      <c r="AR1815">
        <v>1807</v>
      </c>
      <c r="AS1815">
        <v>898</v>
      </c>
      <c r="AT1815">
        <v>2</v>
      </c>
      <c r="AU1815">
        <v>16.687062813097555</v>
      </c>
      <c r="AV1815">
        <v>1.2811924437770678E-3</v>
      </c>
    </row>
    <row r="1816" spans="44:48" x14ac:dyDescent="0.2">
      <c r="AR1816">
        <v>1808</v>
      </c>
      <c r="AS1816">
        <v>899</v>
      </c>
      <c r="AT1816">
        <v>2</v>
      </c>
      <c r="AU1816">
        <v>16.718003344414896</v>
      </c>
      <c r="AV1816">
        <v>1.2543570967241317E-3</v>
      </c>
    </row>
    <row r="1817" spans="44:48" x14ac:dyDescent="0.2">
      <c r="AR1817">
        <v>1809</v>
      </c>
      <c r="AS1817">
        <v>900</v>
      </c>
      <c r="AT1817">
        <v>2</v>
      </c>
      <c r="AU1817">
        <v>16.748943875732245</v>
      </c>
      <c r="AV1817">
        <v>1.2280197953955737E-3</v>
      </c>
    </row>
    <row r="1818" spans="44:48" x14ac:dyDescent="0.2">
      <c r="AR1818">
        <v>1810</v>
      </c>
      <c r="AS1818">
        <v>901</v>
      </c>
      <c r="AT1818">
        <v>2</v>
      </c>
      <c r="AU1818">
        <v>16.779884407049593</v>
      </c>
      <c r="AV1818">
        <v>1.2021728003088327E-3</v>
      </c>
    </row>
    <row r="1819" spans="44:48" x14ac:dyDescent="0.2">
      <c r="AR1819">
        <v>1811</v>
      </c>
      <c r="AS1819">
        <v>902</v>
      </c>
      <c r="AT1819">
        <v>2</v>
      </c>
      <c r="AU1819">
        <v>16.810824938366935</v>
      </c>
      <c r="AV1819">
        <v>1.1768084587903218E-3</v>
      </c>
    </row>
    <row r="1820" spans="44:48" x14ac:dyDescent="0.2">
      <c r="AR1820">
        <v>1812</v>
      </c>
      <c r="AS1820">
        <v>903</v>
      </c>
      <c r="AT1820">
        <v>2</v>
      </c>
      <c r="AU1820">
        <v>16.841765469684283</v>
      </c>
      <c r="AV1820">
        <v>1.151919204727589E-3</v>
      </c>
    </row>
    <row r="1821" spans="44:48" x14ac:dyDescent="0.2">
      <c r="AR1821">
        <v>1813</v>
      </c>
      <c r="AS1821">
        <v>904</v>
      </c>
      <c r="AT1821">
        <v>2</v>
      </c>
      <c r="AU1821">
        <v>16.872706001001632</v>
      </c>
      <c r="AV1821">
        <v>1.1274975583044214E-3</v>
      </c>
    </row>
    <row r="1822" spans="44:48" x14ac:dyDescent="0.2">
      <c r="AR1822">
        <v>1814</v>
      </c>
      <c r="AS1822">
        <v>905</v>
      </c>
      <c r="AT1822">
        <v>2</v>
      </c>
      <c r="AU1822">
        <v>16.903646532318973</v>
      </c>
      <c r="AV1822">
        <v>1.1035361257192415E-3</v>
      </c>
    </row>
    <row r="1823" spans="44:48" x14ac:dyDescent="0.2">
      <c r="AR1823">
        <v>1815</v>
      </c>
      <c r="AS1823">
        <v>906</v>
      </c>
      <c r="AT1823">
        <v>2</v>
      </c>
      <c r="AU1823">
        <v>16.934587063636322</v>
      </c>
      <c r="AV1823">
        <v>1.0800275988872667E-3</v>
      </c>
    </row>
    <row r="1824" spans="44:48" x14ac:dyDescent="0.2">
      <c r="AR1824">
        <v>1816</v>
      </c>
      <c r="AS1824">
        <v>907</v>
      </c>
      <c r="AT1824">
        <v>2</v>
      </c>
      <c r="AU1824">
        <v>16.96552759495367</v>
      </c>
      <c r="AV1824">
        <v>1.0569647551269415E-3</v>
      </c>
    </row>
    <row r="1825" spans="44:48" x14ac:dyDescent="0.2">
      <c r="AR1825">
        <v>1817</v>
      </c>
      <c r="AS1825">
        <v>908</v>
      </c>
      <c r="AT1825">
        <v>2</v>
      </c>
      <c r="AU1825">
        <v>16.996468126271012</v>
      </c>
      <c r="AV1825">
        <v>1.0343404568309625E-3</v>
      </c>
    </row>
    <row r="1826" spans="44:48" x14ac:dyDescent="0.2">
      <c r="AR1826">
        <v>1818</v>
      </c>
      <c r="AS1826" t="e">
        <v>#N/A</v>
      </c>
      <c r="AT1826" t="e">
        <v>#N/A</v>
      </c>
      <c r="AU1826" t="e">
        <v>#N/A</v>
      </c>
      <c r="AV1826" t="e">
        <v>#N/A</v>
      </c>
    </row>
    <row r="1827" spans="44:48" x14ac:dyDescent="0.2">
      <c r="AR1827">
        <v>1819</v>
      </c>
      <c r="AS1827">
        <v>1</v>
      </c>
      <c r="AT1827">
        <v>3</v>
      </c>
      <c r="AU1827">
        <v>-11.066593778562057</v>
      </c>
      <c r="AV1827">
        <v>7.8958653652619854E-109</v>
      </c>
    </row>
    <row r="1828" spans="44:48" x14ac:dyDescent="0.2">
      <c r="AR1828">
        <v>1820</v>
      </c>
      <c r="AS1828">
        <v>2</v>
      </c>
      <c r="AT1828">
        <v>3</v>
      </c>
      <c r="AU1828">
        <v>-11.03565324724471</v>
      </c>
      <c r="AV1828">
        <v>3.0099715831720964E-108</v>
      </c>
    </row>
    <row r="1829" spans="44:48" x14ac:dyDescent="0.2">
      <c r="AR1829">
        <v>1821</v>
      </c>
      <c r="AS1829">
        <v>3</v>
      </c>
      <c r="AT1829">
        <v>3</v>
      </c>
      <c r="AU1829">
        <v>-11.004712715927365</v>
      </c>
      <c r="AV1829">
        <v>1.1432917185994642E-107</v>
      </c>
    </row>
    <row r="1830" spans="44:48" x14ac:dyDescent="0.2">
      <c r="AR1830">
        <v>1822</v>
      </c>
      <c r="AS1830">
        <v>4</v>
      </c>
      <c r="AT1830">
        <v>3</v>
      </c>
      <c r="AU1830">
        <v>-10.973772184610018</v>
      </c>
      <c r="AV1830">
        <v>4.3269683756551719E-107</v>
      </c>
    </row>
    <row r="1831" spans="44:48" x14ac:dyDescent="0.2">
      <c r="AR1831">
        <v>1823</v>
      </c>
      <c r="AS1831">
        <v>5</v>
      </c>
      <c r="AT1831">
        <v>3</v>
      </c>
      <c r="AU1831">
        <v>-10.942831653292671</v>
      </c>
      <c r="AV1831">
        <v>1.6317077852988018E-106</v>
      </c>
    </row>
    <row r="1832" spans="44:48" x14ac:dyDescent="0.2">
      <c r="AR1832">
        <v>1824</v>
      </c>
      <c r="AS1832">
        <v>6</v>
      </c>
      <c r="AT1832">
        <v>3</v>
      </c>
      <c r="AU1832">
        <v>-10.911891121975325</v>
      </c>
      <c r="AV1832">
        <v>6.1310244974141717E-106</v>
      </c>
    </row>
    <row r="1833" spans="44:48" x14ac:dyDescent="0.2">
      <c r="AR1833">
        <v>1825</v>
      </c>
      <c r="AS1833">
        <v>7</v>
      </c>
      <c r="AT1833">
        <v>3</v>
      </c>
      <c r="AU1833">
        <v>-10.88095059065798</v>
      </c>
      <c r="AV1833">
        <v>2.2953859464841246E-105</v>
      </c>
    </row>
    <row r="1834" spans="44:48" x14ac:dyDescent="0.2">
      <c r="AR1834">
        <v>1826</v>
      </c>
      <c r="AS1834">
        <v>8</v>
      </c>
      <c r="AT1834">
        <v>3</v>
      </c>
      <c r="AU1834">
        <v>-10.850010059340633</v>
      </c>
      <c r="AV1834">
        <v>8.5626932561326168E-105</v>
      </c>
    </row>
    <row r="1835" spans="44:48" x14ac:dyDescent="0.2">
      <c r="AR1835">
        <v>1827</v>
      </c>
      <c r="AS1835">
        <v>9</v>
      </c>
      <c r="AT1835">
        <v>3</v>
      </c>
      <c r="AU1835">
        <v>-10.819069528023286</v>
      </c>
      <c r="AV1835">
        <v>3.1827099050436568E-104</v>
      </c>
    </row>
    <row r="1836" spans="44:48" x14ac:dyDescent="0.2">
      <c r="AR1836">
        <v>1828</v>
      </c>
      <c r="AS1836">
        <v>10</v>
      </c>
      <c r="AT1836">
        <v>3</v>
      </c>
      <c r="AU1836">
        <v>-10.788128996705939</v>
      </c>
      <c r="AV1836">
        <v>1.178733770514617E-103</v>
      </c>
    </row>
    <row r="1837" spans="44:48" x14ac:dyDescent="0.2">
      <c r="AR1837">
        <v>1829</v>
      </c>
      <c r="AS1837">
        <v>11</v>
      </c>
      <c r="AT1837">
        <v>3</v>
      </c>
      <c r="AU1837">
        <v>-10.757188465388595</v>
      </c>
      <c r="AV1837">
        <v>4.3497710431098152E-103</v>
      </c>
    </row>
    <row r="1838" spans="44:48" x14ac:dyDescent="0.2">
      <c r="AR1838">
        <v>1830</v>
      </c>
      <c r="AS1838">
        <v>12</v>
      </c>
      <c r="AT1838">
        <v>3</v>
      </c>
      <c r="AU1838">
        <v>-10.726247934071248</v>
      </c>
      <c r="AV1838">
        <v>1.5993704606073632E-102</v>
      </c>
    </row>
    <row r="1839" spans="44:48" x14ac:dyDescent="0.2">
      <c r="AR1839">
        <v>1831</v>
      </c>
      <c r="AS1839">
        <v>13</v>
      </c>
      <c r="AT1839">
        <v>3</v>
      </c>
      <c r="AU1839">
        <v>-10.695307402753901</v>
      </c>
      <c r="AV1839">
        <v>5.8595429855072373E-102</v>
      </c>
    </row>
    <row r="1840" spans="44:48" x14ac:dyDescent="0.2">
      <c r="AR1840">
        <v>1832</v>
      </c>
      <c r="AS1840">
        <v>14</v>
      </c>
      <c r="AT1840">
        <v>3</v>
      </c>
      <c r="AU1840">
        <v>-10.664366871436556</v>
      </c>
      <c r="AV1840">
        <v>2.1389982031161021E-101</v>
      </c>
    </row>
    <row r="1841" spans="44:48" x14ac:dyDescent="0.2">
      <c r="AR1841">
        <v>1833</v>
      </c>
      <c r="AS1841">
        <v>15</v>
      </c>
      <c r="AT1841">
        <v>3</v>
      </c>
      <c r="AU1841">
        <v>-10.633426340119209</v>
      </c>
      <c r="AV1841">
        <v>7.7801701694733114E-101</v>
      </c>
    </row>
    <row r="1842" spans="44:48" x14ac:dyDescent="0.2">
      <c r="AR1842">
        <v>1834</v>
      </c>
      <c r="AS1842">
        <v>16</v>
      </c>
      <c r="AT1842">
        <v>3</v>
      </c>
      <c r="AU1842">
        <v>-10.602485808801863</v>
      </c>
      <c r="AV1842">
        <v>2.8196796734254682E-100</v>
      </c>
    </row>
    <row r="1843" spans="44:48" x14ac:dyDescent="0.2">
      <c r="AR1843">
        <v>1835</v>
      </c>
      <c r="AS1843">
        <v>17</v>
      </c>
      <c r="AT1843">
        <v>3</v>
      </c>
      <c r="AU1843">
        <v>-10.571545277484516</v>
      </c>
      <c r="AV1843">
        <v>1.0182219436585973E-99</v>
      </c>
    </row>
    <row r="1844" spans="44:48" x14ac:dyDescent="0.2">
      <c r="AR1844">
        <v>1836</v>
      </c>
      <c r="AS1844">
        <v>18</v>
      </c>
      <c r="AT1844">
        <v>3</v>
      </c>
      <c r="AU1844">
        <v>-10.540604746167171</v>
      </c>
      <c r="AV1844">
        <v>3.6636766124232273E-99</v>
      </c>
    </row>
    <row r="1845" spans="44:48" x14ac:dyDescent="0.2">
      <c r="AR1845">
        <v>1837</v>
      </c>
      <c r="AS1845">
        <v>19</v>
      </c>
      <c r="AT1845">
        <v>3</v>
      </c>
      <c r="AU1845">
        <v>-10.509664214849824</v>
      </c>
      <c r="AV1845">
        <v>1.3134810551302044E-98</v>
      </c>
    </row>
    <row r="1846" spans="44:48" x14ac:dyDescent="0.2">
      <c r="AR1846">
        <v>1838</v>
      </c>
      <c r="AS1846">
        <v>20</v>
      </c>
      <c r="AT1846">
        <v>3</v>
      </c>
      <c r="AU1846">
        <v>-10.478723683532477</v>
      </c>
      <c r="AV1846">
        <v>4.6920485298598326E-98</v>
      </c>
    </row>
    <row r="1847" spans="44:48" x14ac:dyDescent="0.2">
      <c r="AR1847">
        <v>1839</v>
      </c>
      <c r="AS1847">
        <v>21</v>
      </c>
      <c r="AT1847">
        <v>3</v>
      </c>
      <c r="AU1847">
        <v>-10.447783152215131</v>
      </c>
      <c r="AV1847">
        <v>1.6700642473176901E-97</v>
      </c>
    </row>
    <row r="1848" spans="44:48" x14ac:dyDescent="0.2">
      <c r="AR1848">
        <v>1840</v>
      </c>
      <c r="AS1848">
        <v>22</v>
      </c>
      <c r="AT1848">
        <v>3</v>
      </c>
      <c r="AU1848">
        <v>-10.416842620897786</v>
      </c>
      <c r="AV1848">
        <v>5.9229199536182569E-97</v>
      </c>
    </row>
    <row r="1849" spans="44:48" x14ac:dyDescent="0.2">
      <c r="AR1849">
        <v>1841</v>
      </c>
      <c r="AS1849">
        <v>23</v>
      </c>
      <c r="AT1849">
        <v>3</v>
      </c>
      <c r="AU1849">
        <v>-10.385902089580439</v>
      </c>
      <c r="AV1849">
        <v>2.093006365022992E-96</v>
      </c>
    </row>
    <row r="1850" spans="44:48" x14ac:dyDescent="0.2">
      <c r="AR1850">
        <v>1842</v>
      </c>
      <c r="AS1850">
        <v>24</v>
      </c>
      <c r="AT1850">
        <v>3</v>
      </c>
      <c r="AU1850">
        <v>-10.354961558263092</v>
      </c>
      <c r="AV1850">
        <v>7.3694866420330707E-96</v>
      </c>
    </row>
    <row r="1851" spans="44:48" x14ac:dyDescent="0.2">
      <c r="AR1851">
        <v>1843</v>
      </c>
      <c r="AS1851">
        <v>25</v>
      </c>
      <c r="AT1851">
        <v>3</v>
      </c>
      <c r="AU1851">
        <v>-10.324021026945747</v>
      </c>
      <c r="AV1851">
        <v>2.5854486945126084E-95</v>
      </c>
    </row>
    <row r="1852" spans="44:48" x14ac:dyDescent="0.2">
      <c r="AR1852">
        <v>1844</v>
      </c>
      <c r="AS1852">
        <v>26</v>
      </c>
      <c r="AT1852">
        <v>3</v>
      </c>
      <c r="AU1852">
        <v>-10.2930804956284</v>
      </c>
      <c r="AV1852">
        <v>9.0378808873458173E-95</v>
      </c>
    </row>
    <row r="1853" spans="44:48" x14ac:dyDescent="0.2">
      <c r="AR1853">
        <v>1845</v>
      </c>
      <c r="AS1853">
        <v>27</v>
      </c>
      <c r="AT1853">
        <v>3</v>
      </c>
      <c r="AU1853">
        <v>-10.262139964311054</v>
      </c>
      <c r="AV1853">
        <v>3.1479607139525274E-94</v>
      </c>
    </row>
    <row r="1854" spans="44:48" x14ac:dyDescent="0.2">
      <c r="AR1854">
        <v>1846</v>
      </c>
      <c r="AS1854">
        <v>28</v>
      </c>
      <c r="AT1854">
        <v>3</v>
      </c>
      <c r="AU1854">
        <v>-10.231199432993707</v>
      </c>
      <c r="AV1854">
        <v>1.0925064141647055E-93</v>
      </c>
    </row>
    <row r="1855" spans="44:48" x14ac:dyDescent="0.2">
      <c r="AR1855">
        <v>1847</v>
      </c>
      <c r="AS1855">
        <v>29</v>
      </c>
      <c r="AT1855">
        <v>3</v>
      </c>
      <c r="AU1855">
        <v>-10.200258901676362</v>
      </c>
      <c r="AV1855">
        <v>3.7779020019269401E-93</v>
      </c>
    </row>
    <row r="1856" spans="44:48" x14ac:dyDescent="0.2">
      <c r="AR1856">
        <v>1848</v>
      </c>
      <c r="AS1856">
        <v>30</v>
      </c>
      <c r="AT1856">
        <v>3</v>
      </c>
      <c r="AU1856">
        <v>-10.169318370359015</v>
      </c>
      <c r="AV1856">
        <v>1.3016954361739666E-92</v>
      </c>
    </row>
    <row r="1857" spans="44:48" x14ac:dyDescent="0.2">
      <c r="AR1857">
        <v>1849</v>
      </c>
      <c r="AS1857">
        <v>31</v>
      </c>
      <c r="AT1857">
        <v>3</v>
      </c>
      <c r="AU1857">
        <v>-10.138377839041668</v>
      </c>
      <c r="AV1857">
        <v>4.4688942450020825E-92</v>
      </c>
    </row>
    <row r="1858" spans="44:48" x14ac:dyDescent="0.2">
      <c r="AR1858">
        <v>1850</v>
      </c>
      <c r="AS1858">
        <v>32</v>
      </c>
      <c r="AT1858">
        <v>3</v>
      </c>
      <c r="AU1858">
        <v>-10.107437307724322</v>
      </c>
      <c r="AV1858">
        <v>1.5287017884453798E-91</v>
      </c>
    </row>
    <row r="1859" spans="44:48" x14ac:dyDescent="0.2">
      <c r="AR1859">
        <v>1851</v>
      </c>
      <c r="AS1859">
        <v>33</v>
      </c>
      <c r="AT1859">
        <v>3</v>
      </c>
      <c r="AU1859">
        <v>-10.076496776406977</v>
      </c>
      <c r="AV1859">
        <v>5.2104768558349349E-91</v>
      </c>
    </row>
    <row r="1860" spans="44:48" x14ac:dyDescent="0.2">
      <c r="AR1860">
        <v>1852</v>
      </c>
      <c r="AS1860">
        <v>34</v>
      </c>
      <c r="AT1860">
        <v>3</v>
      </c>
      <c r="AU1860">
        <v>-10.04555624508963</v>
      </c>
      <c r="AV1860">
        <v>1.7695554247316797E-90</v>
      </c>
    </row>
    <row r="1861" spans="44:48" x14ac:dyDescent="0.2">
      <c r="AR1861">
        <v>1853</v>
      </c>
      <c r="AS1861">
        <v>35</v>
      </c>
      <c r="AT1861">
        <v>3</v>
      </c>
      <c r="AU1861">
        <v>-10.014615713772283</v>
      </c>
      <c r="AV1861">
        <v>5.9880148637177865E-90</v>
      </c>
    </row>
    <row r="1862" spans="44:48" x14ac:dyDescent="0.2">
      <c r="AR1862">
        <v>1854</v>
      </c>
      <c r="AS1862">
        <v>36</v>
      </c>
      <c r="AT1862">
        <v>3</v>
      </c>
      <c r="AU1862">
        <v>-9.9836751824549363</v>
      </c>
      <c r="AV1862">
        <v>2.0189872238062232E-89</v>
      </c>
    </row>
    <row r="1863" spans="44:48" x14ac:dyDescent="0.2">
      <c r="AR1863">
        <v>1855</v>
      </c>
      <c r="AS1863">
        <v>37</v>
      </c>
      <c r="AT1863">
        <v>3</v>
      </c>
      <c r="AU1863">
        <v>-9.9527346511375914</v>
      </c>
      <c r="AV1863">
        <v>6.7829134099034451E-89</v>
      </c>
    </row>
    <row r="1864" spans="44:48" x14ac:dyDescent="0.2">
      <c r="AR1864">
        <v>1856</v>
      </c>
      <c r="AS1864">
        <v>38</v>
      </c>
      <c r="AT1864">
        <v>3</v>
      </c>
      <c r="AU1864">
        <v>-9.9217941198202446</v>
      </c>
      <c r="AV1864">
        <v>2.2705495102986558E-88</v>
      </c>
    </row>
    <row r="1865" spans="44:48" x14ac:dyDescent="0.2">
      <c r="AR1865">
        <v>1857</v>
      </c>
      <c r="AS1865">
        <v>39</v>
      </c>
      <c r="AT1865">
        <v>3</v>
      </c>
      <c r="AU1865">
        <v>-9.8908535885028979</v>
      </c>
      <c r="AV1865">
        <v>7.5731695647981975E-88</v>
      </c>
    </row>
    <row r="1866" spans="44:48" x14ac:dyDescent="0.2">
      <c r="AR1866">
        <v>1858</v>
      </c>
      <c r="AS1866">
        <v>40</v>
      </c>
      <c r="AT1866">
        <v>3</v>
      </c>
      <c r="AU1866">
        <v>-9.8599130571855511</v>
      </c>
      <c r="AV1866">
        <v>2.516844514824131E-87</v>
      </c>
    </row>
    <row r="1867" spans="44:48" x14ac:dyDescent="0.2">
      <c r="AR1867">
        <v>1859</v>
      </c>
      <c r="AS1867">
        <v>41</v>
      </c>
      <c r="AT1867">
        <v>3</v>
      </c>
      <c r="AU1867">
        <v>-9.8289725258682061</v>
      </c>
      <c r="AV1867">
        <v>8.3342609346852336E-87</v>
      </c>
    </row>
    <row r="1868" spans="44:48" x14ac:dyDescent="0.2">
      <c r="AR1868">
        <v>1860</v>
      </c>
      <c r="AS1868">
        <v>42</v>
      </c>
      <c r="AT1868">
        <v>3</v>
      </c>
      <c r="AU1868">
        <v>-9.7980319945508594</v>
      </c>
      <c r="AV1868">
        <v>2.7498550477644454E-86</v>
      </c>
    </row>
    <row r="1869" spans="44:48" x14ac:dyDescent="0.2">
      <c r="AR1869">
        <v>1861</v>
      </c>
      <c r="AS1869">
        <v>43</v>
      </c>
      <c r="AT1869">
        <v>3</v>
      </c>
      <c r="AU1869">
        <v>-9.7670914632335126</v>
      </c>
      <c r="AV1869">
        <v>9.0403347255353612E-86</v>
      </c>
    </row>
    <row r="1870" spans="44:48" x14ac:dyDescent="0.2">
      <c r="AR1870">
        <v>1862</v>
      </c>
      <c r="AS1870">
        <v>44</v>
      </c>
      <c r="AT1870">
        <v>3</v>
      </c>
      <c r="AU1870">
        <v>-9.7361509319161677</v>
      </c>
      <c r="AV1870">
        <v>2.9613601047892777E-85</v>
      </c>
    </row>
    <row r="1871" spans="44:48" x14ac:dyDescent="0.2">
      <c r="AR1871">
        <v>1863</v>
      </c>
      <c r="AS1871">
        <v>45</v>
      </c>
      <c r="AT1871">
        <v>3</v>
      </c>
      <c r="AU1871">
        <v>-9.7052104005988209</v>
      </c>
      <c r="AV1871">
        <v>9.6656248050350436E-85</v>
      </c>
    </row>
    <row r="1872" spans="44:48" x14ac:dyDescent="0.2">
      <c r="AR1872">
        <v>1864</v>
      </c>
      <c r="AS1872">
        <v>46</v>
      </c>
      <c r="AT1872">
        <v>3</v>
      </c>
      <c r="AU1872">
        <v>-9.6742698692814741</v>
      </c>
      <c r="AV1872">
        <v>3.1434072153904632E-84</v>
      </c>
    </row>
    <row r="1873" spans="44:48" x14ac:dyDescent="0.2">
      <c r="AR1873">
        <v>1865</v>
      </c>
      <c r="AS1873">
        <v>47</v>
      </c>
      <c r="AT1873">
        <v>3</v>
      </c>
      <c r="AU1873">
        <v>-9.6433293379641274</v>
      </c>
      <c r="AV1873">
        <v>1.018599267858762E-83</v>
      </c>
    </row>
    <row r="1874" spans="44:48" x14ac:dyDescent="0.2">
      <c r="AR1874">
        <v>1866</v>
      </c>
      <c r="AS1874">
        <v>48</v>
      </c>
      <c r="AT1874">
        <v>3</v>
      </c>
      <c r="AU1874">
        <v>-9.6123888066467824</v>
      </c>
      <c r="AV1874">
        <v>3.2888046273435866E-83</v>
      </c>
    </row>
    <row r="1875" spans="44:48" x14ac:dyDescent="0.2">
      <c r="AR1875">
        <v>1867</v>
      </c>
      <c r="AS1875">
        <v>49</v>
      </c>
      <c r="AT1875">
        <v>3</v>
      </c>
      <c r="AU1875">
        <v>-9.5814482753294357</v>
      </c>
      <c r="AV1875">
        <v>1.0580465883189055E-82</v>
      </c>
    </row>
    <row r="1876" spans="44:48" x14ac:dyDescent="0.2">
      <c r="AR1876">
        <v>1868</v>
      </c>
      <c r="AS1876">
        <v>50</v>
      </c>
      <c r="AT1876">
        <v>3</v>
      </c>
      <c r="AU1876">
        <v>-9.5505077440120889</v>
      </c>
      <c r="AV1876">
        <v>3.3915912694102346E-82</v>
      </c>
    </row>
    <row r="1877" spans="44:48" x14ac:dyDescent="0.2">
      <c r="AR1877">
        <v>1869</v>
      </c>
      <c r="AS1877">
        <v>51</v>
      </c>
      <c r="AT1877">
        <v>3</v>
      </c>
      <c r="AU1877">
        <v>-9.5195672126947422</v>
      </c>
      <c r="AV1877">
        <v>1.0832637924429206E-81</v>
      </c>
    </row>
    <row r="1878" spans="44:48" x14ac:dyDescent="0.2">
      <c r="AR1878">
        <v>1870</v>
      </c>
      <c r="AS1878">
        <v>52</v>
      </c>
      <c r="AT1878">
        <v>3</v>
      </c>
      <c r="AU1878">
        <v>-9.4886266813773972</v>
      </c>
      <c r="AV1878">
        <v>3.4474418321010928E-81</v>
      </c>
    </row>
    <row r="1879" spans="44:48" x14ac:dyDescent="0.2">
      <c r="AR1879">
        <v>1871</v>
      </c>
      <c r="AS1879">
        <v>53</v>
      </c>
      <c r="AT1879">
        <v>3</v>
      </c>
      <c r="AU1879">
        <v>-9.4576861500600504</v>
      </c>
      <c r="AV1879">
        <v>1.0931799763740036E-80</v>
      </c>
    </row>
    <row r="1880" spans="44:48" x14ac:dyDescent="0.2">
      <c r="AR1880">
        <v>1872</v>
      </c>
      <c r="AS1880">
        <v>54</v>
      </c>
      <c r="AT1880">
        <v>3</v>
      </c>
      <c r="AU1880">
        <v>-9.4267456187427037</v>
      </c>
      <c r="AV1880">
        <v>3.4539686421476313E-80</v>
      </c>
    </row>
    <row r="1881" spans="44:48" x14ac:dyDescent="0.2">
      <c r="AR1881">
        <v>1873</v>
      </c>
      <c r="AS1881">
        <v>55</v>
      </c>
      <c r="AT1881">
        <v>3</v>
      </c>
      <c r="AU1881">
        <v>-9.3958050874253587</v>
      </c>
      <c r="AV1881">
        <v>1.0873694163631187E-79</v>
      </c>
    </row>
    <row r="1882" spans="44:48" x14ac:dyDescent="0.2">
      <c r="AR1882">
        <v>1874</v>
      </c>
      <c r="AS1882">
        <v>56</v>
      </c>
      <c r="AT1882">
        <v>3</v>
      </c>
      <c r="AU1882">
        <v>-9.3648645561080119</v>
      </c>
      <c r="AV1882">
        <v>3.4108909779612618E-79</v>
      </c>
    </row>
    <row r="1883" spans="44:48" x14ac:dyDescent="0.2">
      <c r="AR1883">
        <v>1875</v>
      </c>
      <c r="AS1883">
        <v>57</v>
      </c>
      <c r="AT1883">
        <v>3</v>
      </c>
      <c r="AU1883">
        <v>-9.3339240247906652</v>
      </c>
      <c r="AV1883">
        <v>1.0660818855191144E-78</v>
      </c>
    </row>
    <row r="1884" spans="44:48" x14ac:dyDescent="0.2">
      <c r="AR1884">
        <v>1876</v>
      </c>
      <c r="AS1884">
        <v>58</v>
      </c>
      <c r="AT1884">
        <v>3</v>
      </c>
      <c r="AU1884">
        <v>-9.3029834934733184</v>
      </c>
      <c r="AV1884">
        <v>3.3200550967748686E-78</v>
      </c>
    </row>
    <row r="1885" spans="44:48" x14ac:dyDescent="0.2">
      <c r="AR1885">
        <v>1877</v>
      </c>
      <c r="AS1885">
        <v>59</v>
      </c>
      <c r="AT1885">
        <v>3</v>
      </c>
      <c r="AU1885">
        <v>-9.2720429621559735</v>
      </c>
      <c r="AV1885">
        <v>1.0302248446759421E-77</v>
      </c>
    </row>
    <row r="1886" spans="44:48" x14ac:dyDescent="0.2">
      <c r="AR1886">
        <v>1878</v>
      </c>
      <c r="AS1886">
        <v>60</v>
      </c>
      <c r="AT1886">
        <v>3</v>
      </c>
      <c r="AU1886">
        <v>-9.2411024308386267</v>
      </c>
      <c r="AV1886">
        <v>3.1853029827196188E-77</v>
      </c>
    </row>
    <row r="1887" spans="44:48" x14ac:dyDescent="0.2">
      <c r="AR1887">
        <v>1879</v>
      </c>
      <c r="AS1887">
        <v>61</v>
      </c>
      <c r="AT1887">
        <v>3</v>
      </c>
      <c r="AU1887">
        <v>-9.2101618995212799</v>
      </c>
      <c r="AV1887">
        <v>9.8129927664660541E-77</v>
      </c>
    </row>
    <row r="1888" spans="44:48" x14ac:dyDescent="0.2">
      <c r="AR1888">
        <v>1880</v>
      </c>
      <c r="AS1888">
        <v>62</v>
      </c>
      <c r="AT1888">
        <v>3</v>
      </c>
      <c r="AU1888">
        <v>-9.1792213682039332</v>
      </c>
      <c r="AV1888">
        <v>3.0122028168685722E-76</v>
      </c>
    </row>
    <row r="1889" spans="44:48" x14ac:dyDescent="0.2">
      <c r="AR1889">
        <v>1881</v>
      </c>
      <c r="AS1889">
        <v>63</v>
      </c>
      <c r="AT1889">
        <v>3</v>
      </c>
      <c r="AU1889">
        <v>-9.1482808368865882</v>
      </c>
      <c r="AV1889">
        <v>9.2129548560427093E-76</v>
      </c>
    </row>
    <row r="1890" spans="44:48" x14ac:dyDescent="0.2">
      <c r="AR1890">
        <v>1882</v>
      </c>
      <c r="AS1890">
        <v>64</v>
      </c>
      <c r="AT1890">
        <v>3</v>
      </c>
      <c r="AU1890">
        <v>-9.1173403055692415</v>
      </c>
      <c r="AV1890">
        <v>2.8076675141564772E-75</v>
      </c>
    </row>
    <row r="1891" spans="44:48" x14ac:dyDescent="0.2">
      <c r="AR1891">
        <v>1883</v>
      </c>
      <c r="AS1891">
        <v>65</v>
      </c>
      <c r="AT1891">
        <v>3</v>
      </c>
      <c r="AU1891">
        <v>-9.0863997742518947</v>
      </c>
      <c r="AV1891">
        <v>8.5255893881224977E-75</v>
      </c>
    </row>
    <row r="1892" spans="44:48" x14ac:dyDescent="0.2">
      <c r="AR1892">
        <v>1884</v>
      </c>
      <c r="AS1892">
        <v>66</v>
      </c>
      <c r="AT1892">
        <v>3</v>
      </c>
      <c r="AU1892">
        <v>-9.0554592429345497</v>
      </c>
      <c r="AV1892">
        <v>2.5794977210252634E-74</v>
      </c>
    </row>
    <row r="1893" spans="44:48" x14ac:dyDescent="0.2">
      <c r="AR1893">
        <v>1885</v>
      </c>
      <c r="AS1893">
        <v>67</v>
      </c>
      <c r="AT1893">
        <v>3</v>
      </c>
      <c r="AU1893">
        <v>-9.024518711617203</v>
      </c>
      <c r="AV1893">
        <v>7.7763873657747568E-74</v>
      </c>
    </row>
    <row r="1894" spans="44:48" x14ac:dyDescent="0.2">
      <c r="AR1894">
        <v>1886</v>
      </c>
      <c r="AS1894">
        <v>68</v>
      </c>
      <c r="AT1894">
        <v>3</v>
      </c>
      <c r="AU1894">
        <v>-8.9935781802998562</v>
      </c>
      <c r="AV1894">
        <v>2.3358912758965909E-73</v>
      </c>
    </row>
    <row r="1895" spans="44:48" x14ac:dyDescent="0.2">
      <c r="AR1895">
        <v>1887</v>
      </c>
      <c r="AS1895">
        <v>69</v>
      </c>
      <c r="AT1895">
        <v>3</v>
      </c>
      <c r="AU1895">
        <v>-8.9626376489825095</v>
      </c>
      <c r="AV1895">
        <v>6.9913229590273467E-73</v>
      </c>
    </row>
    <row r="1896" spans="44:48" x14ac:dyDescent="0.2">
      <c r="AR1896">
        <v>1888</v>
      </c>
      <c r="AS1896">
        <v>70</v>
      </c>
      <c r="AT1896">
        <v>3</v>
      </c>
      <c r="AU1896">
        <v>-8.9316971176651627</v>
      </c>
      <c r="AV1896">
        <v>2.0849618150994228E-72</v>
      </c>
    </row>
    <row r="1897" spans="44:48" x14ac:dyDescent="0.2">
      <c r="AR1897">
        <v>1889</v>
      </c>
      <c r="AS1897">
        <v>71</v>
      </c>
      <c r="AT1897">
        <v>3</v>
      </c>
      <c r="AU1897">
        <v>-8.9007565863478177</v>
      </c>
      <c r="AV1897">
        <v>6.1953928144643241E-72</v>
      </c>
    </row>
    <row r="1898" spans="44:48" x14ac:dyDescent="0.2">
      <c r="AR1898">
        <v>1890</v>
      </c>
      <c r="AS1898">
        <v>72</v>
      </c>
      <c r="AT1898">
        <v>3</v>
      </c>
      <c r="AU1898">
        <v>-8.869816055030471</v>
      </c>
      <c r="AV1898">
        <v>1.8343051740622444E-71</v>
      </c>
    </row>
    <row r="1899" spans="44:48" x14ac:dyDescent="0.2">
      <c r="AR1899">
        <v>1891</v>
      </c>
      <c r="AS1899">
        <v>73</v>
      </c>
      <c r="AT1899">
        <v>3</v>
      </c>
      <c r="AU1899">
        <v>-8.8388755237131242</v>
      </c>
      <c r="AV1899">
        <v>5.411358860560027E-71</v>
      </c>
    </row>
    <row r="1900" spans="44:48" x14ac:dyDescent="0.2">
      <c r="AR1900">
        <v>1892</v>
      </c>
      <c r="AS1900">
        <v>74</v>
      </c>
      <c r="AT1900">
        <v>3</v>
      </c>
      <c r="AU1900">
        <v>-8.8079349923957793</v>
      </c>
      <c r="AV1900">
        <v>1.5906443286214837E-70</v>
      </c>
    </row>
    <row r="1901" spans="44:48" x14ac:dyDescent="0.2">
      <c r="AR1901">
        <v>1893</v>
      </c>
      <c r="AS1901">
        <v>75</v>
      </c>
      <c r="AT1901">
        <v>3</v>
      </c>
      <c r="AU1901">
        <v>-8.7769944610784325</v>
      </c>
      <c r="AV1901">
        <v>4.6587759865141098E-70</v>
      </c>
    </row>
    <row r="1902" spans="44:48" x14ac:dyDescent="0.2">
      <c r="AR1902">
        <v>1894</v>
      </c>
      <c r="AS1902">
        <v>76</v>
      </c>
      <c r="AT1902">
        <v>3</v>
      </c>
      <c r="AU1902">
        <v>-8.7460539297610858</v>
      </c>
      <c r="AV1902">
        <v>1.3595731410554596E-69</v>
      </c>
    </row>
    <row r="1903" spans="44:48" x14ac:dyDescent="0.2">
      <c r="AR1903">
        <v>1895</v>
      </c>
      <c r="AS1903">
        <v>77</v>
      </c>
      <c r="AT1903">
        <v>3</v>
      </c>
      <c r="AU1903">
        <v>-8.7151133984437408</v>
      </c>
      <c r="AV1903">
        <v>3.9533505493407267E-69</v>
      </c>
    </row>
    <row r="1904" spans="44:48" x14ac:dyDescent="0.2">
      <c r="AR1904">
        <v>1896</v>
      </c>
      <c r="AS1904">
        <v>78</v>
      </c>
      <c r="AT1904">
        <v>3</v>
      </c>
      <c r="AU1904">
        <v>-8.684172867126394</v>
      </c>
      <c r="AV1904">
        <v>1.1454076411034291E-68</v>
      </c>
    </row>
    <row r="1905" spans="44:48" x14ac:dyDescent="0.2">
      <c r="AR1905">
        <v>1897</v>
      </c>
      <c r="AS1905">
        <v>79</v>
      </c>
      <c r="AT1905">
        <v>3</v>
      </c>
      <c r="AU1905">
        <v>-8.6532323358090473</v>
      </c>
      <c r="AV1905">
        <v>3.3066393342134144E-68</v>
      </c>
    </row>
    <row r="1906" spans="44:48" x14ac:dyDescent="0.2">
      <c r="AR1906">
        <v>1898</v>
      </c>
      <c r="AS1906">
        <v>80</v>
      </c>
      <c r="AT1906">
        <v>3</v>
      </c>
      <c r="AU1906">
        <v>-8.6222918044917005</v>
      </c>
      <c r="AV1906">
        <v>9.5114248389189186E-68</v>
      </c>
    </row>
    <row r="1907" spans="44:48" x14ac:dyDescent="0.2">
      <c r="AR1907">
        <v>1899</v>
      </c>
      <c r="AS1907">
        <v>81</v>
      </c>
      <c r="AT1907">
        <v>3</v>
      </c>
      <c r="AU1907">
        <v>-8.5913512731743538</v>
      </c>
      <c r="AV1907">
        <v>2.7260657999402907E-67</v>
      </c>
    </row>
    <row r="1908" spans="44:48" x14ac:dyDescent="0.2">
      <c r="AR1908">
        <v>1900</v>
      </c>
      <c r="AS1908">
        <v>82</v>
      </c>
      <c r="AT1908">
        <v>3</v>
      </c>
      <c r="AU1908">
        <v>-8.5604107418570088</v>
      </c>
      <c r="AV1908">
        <v>7.7850084709157253E-67</v>
      </c>
    </row>
    <row r="1909" spans="44:48" x14ac:dyDescent="0.2">
      <c r="AR1909">
        <v>1901</v>
      </c>
      <c r="AS1909">
        <v>83</v>
      </c>
      <c r="AT1909">
        <v>3</v>
      </c>
      <c r="AU1909">
        <v>-8.529470210539662</v>
      </c>
      <c r="AV1909">
        <v>2.2152046060855445E-66</v>
      </c>
    </row>
    <row r="1910" spans="44:48" x14ac:dyDescent="0.2">
      <c r="AR1910">
        <v>1902</v>
      </c>
      <c r="AS1910">
        <v>84</v>
      </c>
      <c r="AT1910">
        <v>3</v>
      </c>
      <c r="AU1910">
        <v>-8.4985296792223153</v>
      </c>
      <c r="AV1910">
        <v>6.2805923121045047E-66</v>
      </c>
    </row>
    <row r="1911" spans="44:48" x14ac:dyDescent="0.2">
      <c r="AR1911">
        <v>1903</v>
      </c>
      <c r="AS1911">
        <v>85</v>
      </c>
      <c r="AT1911">
        <v>3</v>
      </c>
      <c r="AU1911">
        <v>-8.4675891479049703</v>
      </c>
      <c r="AV1911">
        <v>1.7742685803570002E-65</v>
      </c>
    </row>
    <row r="1912" spans="44:48" x14ac:dyDescent="0.2">
      <c r="AR1912">
        <v>1904</v>
      </c>
      <c r="AS1912">
        <v>86</v>
      </c>
      <c r="AT1912">
        <v>3</v>
      </c>
      <c r="AU1912">
        <v>-8.4366486165876236</v>
      </c>
      <c r="AV1912">
        <v>4.9942481998360121E-65</v>
      </c>
    </row>
    <row r="1913" spans="44:48" x14ac:dyDescent="0.2">
      <c r="AR1913">
        <v>1905</v>
      </c>
      <c r="AS1913">
        <v>87</v>
      </c>
      <c r="AT1913">
        <v>3</v>
      </c>
      <c r="AU1913">
        <v>-8.4057080852702768</v>
      </c>
      <c r="AV1913">
        <v>1.4007250089991455E-64</v>
      </c>
    </row>
    <row r="1914" spans="44:48" x14ac:dyDescent="0.2">
      <c r="AR1914">
        <v>1906</v>
      </c>
      <c r="AS1914">
        <v>88</v>
      </c>
      <c r="AT1914">
        <v>3</v>
      </c>
      <c r="AU1914">
        <v>-8.3747675539529318</v>
      </c>
      <c r="AV1914">
        <v>3.9144220120955479E-64</v>
      </c>
    </row>
    <row r="1915" spans="44:48" x14ac:dyDescent="0.2">
      <c r="AR1915">
        <v>1907</v>
      </c>
      <c r="AS1915">
        <v>89</v>
      </c>
      <c r="AT1915">
        <v>3</v>
      </c>
      <c r="AU1915">
        <v>-8.3438270226355851</v>
      </c>
      <c r="AV1915">
        <v>1.0899696576365807E-63</v>
      </c>
    </row>
    <row r="1916" spans="44:48" x14ac:dyDescent="0.2">
      <c r="AR1916">
        <v>1908</v>
      </c>
      <c r="AS1916">
        <v>90</v>
      </c>
      <c r="AT1916">
        <v>3</v>
      </c>
      <c r="AU1916">
        <v>-8.3128864913182383</v>
      </c>
      <c r="AV1916">
        <v>3.024079282045792E-63</v>
      </c>
    </row>
    <row r="1917" spans="44:48" x14ac:dyDescent="0.2">
      <c r="AR1917">
        <v>1909</v>
      </c>
      <c r="AS1917">
        <v>91</v>
      </c>
      <c r="AT1917">
        <v>3</v>
      </c>
      <c r="AU1917">
        <v>-8.2819459600008916</v>
      </c>
      <c r="AV1917">
        <v>8.3599549775530124E-63</v>
      </c>
    </row>
    <row r="1918" spans="44:48" x14ac:dyDescent="0.2">
      <c r="AR1918">
        <v>1910</v>
      </c>
      <c r="AS1918">
        <v>92</v>
      </c>
      <c r="AT1918">
        <v>3</v>
      </c>
      <c r="AU1918">
        <v>-8.2510054286835448</v>
      </c>
      <c r="AV1918">
        <v>2.3027495465067531E-62</v>
      </c>
    </row>
    <row r="1919" spans="44:48" x14ac:dyDescent="0.2">
      <c r="AR1919">
        <v>1911</v>
      </c>
      <c r="AS1919">
        <v>93</v>
      </c>
      <c r="AT1919">
        <v>3</v>
      </c>
      <c r="AU1919">
        <v>-8.2200648973661998</v>
      </c>
      <c r="AV1919">
        <v>6.3200639612319229E-62</v>
      </c>
    </row>
    <row r="1920" spans="44:48" x14ac:dyDescent="0.2">
      <c r="AR1920">
        <v>1912</v>
      </c>
      <c r="AS1920">
        <v>94</v>
      </c>
      <c r="AT1920">
        <v>3</v>
      </c>
      <c r="AU1920">
        <v>-8.1891243660488531</v>
      </c>
      <c r="AV1920">
        <v>1.7283362653418599E-61</v>
      </c>
    </row>
    <row r="1921" spans="44:48" x14ac:dyDescent="0.2">
      <c r="AR1921">
        <v>1913</v>
      </c>
      <c r="AS1921">
        <v>95</v>
      </c>
      <c r="AT1921">
        <v>3</v>
      </c>
      <c r="AU1921">
        <v>-8.1581838347315063</v>
      </c>
      <c r="AV1921">
        <v>4.7094155468836893E-61</v>
      </c>
    </row>
    <row r="1922" spans="44:48" x14ac:dyDescent="0.2">
      <c r="AR1922">
        <v>1914</v>
      </c>
      <c r="AS1922">
        <v>96</v>
      </c>
      <c r="AT1922">
        <v>3</v>
      </c>
      <c r="AU1922">
        <v>-8.1272433034141613</v>
      </c>
      <c r="AV1922">
        <v>1.2786090815769618E-60</v>
      </c>
    </row>
    <row r="1923" spans="44:48" x14ac:dyDescent="0.2">
      <c r="AR1923">
        <v>1915</v>
      </c>
      <c r="AS1923">
        <v>97</v>
      </c>
      <c r="AT1923">
        <v>3</v>
      </c>
      <c r="AU1923">
        <v>-8.0963027720968146</v>
      </c>
      <c r="AV1923">
        <v>3.4589203188913352E-60</v>
      </c>
    </row>
    <row r="1924" spans="44:48" x14ac:dyDescent="0.2">
      <c r="AR1924">
        <v>1916</v>
      </c>
      <c r="AS1924">
        <v>98</v>
      </c>
      <c r="AT1924">
        <v>3</v>
      </c>
      <c r="AU1924">
        <v>-8.0653622407794678</v>
      </c>
      <c r="AV1924">
        <v>9.3234217775051494E-60</v>
      </c>
    </row>
    <row r="1925" spans="44:48" x14ac:dyDescent="0.2">
      <c r="AR1925">
        <v>1917</v>
      </c>
      <c r="AS1925">
        <v>99</v>
      </c>
      <c r="AT1925">
        <v>3</v>
      </c>
      <c r="AU1925">
        <v>-8.0344217094621229</v>
      </c>
      <c r="AV1925">
        <v>2.5040448693083858E-59</v>
      </c>
    </row>
    <row r="1926" spans="44:48" x14ac:dyDescent="0.2">
      <c r="AR1926">
        <v>1918</v>
      </c>
      <c r="AS1926">
        <v>100</v>
      </c>
      <c r="AT1926">
        <v>3</v>
      </c>
      <c r="AU1926">
        <v>-8.0034811781447761</v>
      </c>
      <c r="AV1926">
        <v>6.7010195181630528E-59</v>
      </c>
    </row>
    <row r="1927" spans="44:48" x14ac:dyDescent="0.2">
      <c r="AR1927">
        <v>1919</v>
      </c>
      <c r="AS1927">
        <v>101</v>
      </c>
      <c r="AT1927">
        <v>3</v>
      </c>
      <c r="AU1927">
        <v>-7.9725406468274294</v>
      </c>
      <c r="AV1927">
        <v>1.7867823770278942E-58</v>
      </c>
    </row>
    <row r="1928" spans="44:48" x14ac:dyDescent="0.2">
      <c r="AR1928">
        <v>1920</v>
      </c>
      <c r="AS1928">
        <v>102</v>
      </c>
      <c r="AT1928">
        <v>3</v>
      </c>
      <c r="AU1928">
        <v>-7.9416001155100826</v>
      </c>
      <c r="AV1928">
        <v>4.7471662245993643E-58</v>
      </c>
    </row>
    <row r="1929" spans="44:48" x14ac:dyDescent="0.2">
      <c r="AR1929">
        <v>1921</v>
      </c>
      <c r="AS1929">
        <v>103</v>
      </c>
      <c r="AT1929">
        <v>3</v>
      </c>
      <c r="AU1929">
        <v>-7.9106595841927367</v>
      </c>
      <c r="AV1929">
        <v>1.2566930662002624E-57</v>
      </c>
    </row>
    <row r="1930" spans="44:48" x14ac:dyDescent="0.2">
      <c r="AR1930">
        <v>1922</v>
      </c>
      <c r="AS1930">
        <v>104</v>
      </c>
      <c r="AT1930">
        <v>3</v>
      </c>
      <c r="AU1930">
        <v>-7.8797190528753909</v>
      </c>
      <c r="AV1930">
        <v>3.3147898463662011E-57</v>
      </c>
    </row>
    <row r="1931" spans="44:48" x14ac:dyDescent="0.2">
      <c r="AR1931">
        <v>1923</v>
      </c>
      <c r="AS1931">
        <v>105</v>
      </c>
      <c r="AT1931">
        <v>3</v>
      </c>
      <c r="AU1931">
        <v>-7.8487785215580441</v>
      </c>
      <c r="AV1931">
        <v>8.7119381208696113E-57</v>
      </c>
    </row>
    <row r="1932" spans="44:48" x14ac:dyDescent="0.2">
      <c r="AR1932">
        <v>1924</v>
      </c>
      <c r="AS1932">
        <v>106</v>
      </c>
      <c r="AT1932">
        <v>3</v>
      </c>
      <c r="AU1932">
        <v>-7.8178379902406974</v>
      </c>
      <c r="AV1932">
        <v>2.2814216860118924E-56</v>
      </c>
    </row>
    <row r="1933" spans="44:48" x14ac:dyDescent="0.2">
      <c r="AR1933">
        <v>1925</v>
      </c>
      <c r="AS1933">
        <v>107</v>
      </c>
      <c r="AT1933">
        <v>3</v>
      </c>
      <c r="AU1933">
        <v>-7.7868974589233515</v>
      </c>
      <c r="AV1933">
        <v>5.952896749225243E-56</v>
      </c>
    </row>
    <row r="1934" spans="44:48" x14ac:dyDescent="0.2">
      <c r="AR1934">
        <v>1926</v>
      </c>
      <c r="AS1934">
        <v>108</v>
      </c>
      <c r="AT1934">
        <v>3</v>
      </c>
      <c r="AU1934">
        <v>-7.7559569276060056</v>
      </c>
      <c r="AV1934">
        <v>1.5476870034019303E-55</v>
      </c>
    </row>
    <row r="1935" spans="44:48" x14ac:dyDescent="0.2">
      <c r="AR1935">
        <v>1927</v>
      </c>
      <c r="AS1935">
        <v>109</v>
      </c>
      <c r="AT1935">
        <v>3</v>
      </c>
      <c r="AU1935">
        <v>-7.7250163962886589</v>
      </c>
      <c r="AV1935">
        <v>4.0093126340050309E-55</v>
      </c>
    </row>
    <row r="1936" spans="44:48" x14ac:dyDescent="0.2">
      <c r="AR1936">
        <v>1928</v>
      </c>
      <c r="AS1936">
        <v>110</v>
      </c>
      <c r="AT1936">
        <v>3</v>
      </c>
      <c r="AU1936">
        <v>-7.694075864971313</v>
      </c>
      <c r="AV1936">
        <v>1.0348769420389884E-54</v>
      </c>
    </row>
    <row r="1937" spans="44:48" x14ac:dyDescent="0.2">
      <c r="AR1937">
        <v>1929</v>
      </c>
      <c r="AS1937">
        <v>111</v>
      </c>
      <c r="AT1937">
        <v>3</v>
      </c>
      <c r="AU1937">
        <v>-7.6631353336539672</v>
      </c>
      <c r="AV1937">
        <v>2.6615798491844735E-54</v>
      </c>
    </row>
    <row r="1938" spans="44:48" x14ac:dyDescent="0.2">
      <c r="AR1938">
        <v>1930</v>
      </c>
      <c r="AS1938">
        <v>112</v>
      </c>
      <c r="AT1938">
        <v>3</v>
      </c>
      <c r="AU1938">
        <v>-7.6321948023366204</v>
      </c>
      <c r="AV1938">
        <v>6.8205954383486623E-54</v>
      </c>
    </row>
    <row r="1939" spans="44:48" x14ac:dyDescent="0.2">
      <c r="AR1939">
        <v>1931</v>
      </c>
      <c r="AS1939">
        <v>113</v>
      </c>
      <c r="AT1939">
        <v>3</v>
      </c>
      <c r="AU1939">
        <v>-7.6012542710192736</v>
      </c>
      <c r="AV1939">
        <v>1.7415545483810685E-53</v>
      </c>
    </row>
    <row r="1940" spans="44:48" x14ac:dyDescent="0.2">
      <c r="AR1940">
        <v>1932</v>
      </c>
      <c r="AS1940">
        <v>114</v>
      </c>
      <c r="AT1940">
        <v>3</v>
      </c>
      <c r="AU1940">
        <v>-7.5703137397019278</v>
      </c>
      <c r="AV1940">
        <v>4.4308176250764073E-53</v>
      </c>
    </row>
    <row r="1941" spans="44:48" x14ac:dyDescent="0.2">
      <c r="AR1941">
        <v>1933</v>
      </c>
      <c r="AS1941">
        <v>115</v>
      </c>
      <c r="AT1941">
        <v>3</v>
      </c>
      <c r="AU1941">
        <v>-7.5393732083845819</v>
      </c>
      <c r="AV1941">
        <v>1.1232144152831884E-52</v>
      </c>
    </row>
    <row r="1942" spans="44:48" x14ac:dyDescent="0.2">
      <c r="AR1942">
        <v>1934</v>
      </c>
      <c r="AS1942">
        <v>116</v>
      </c>
      <c r="AT1942">
        <v>3</v>
      </c>
      <c r="AU1942">
        <v>-7.5084326770672352</v>
      </c>
      <c r="AV1942">
        <v>2.8370922908020588E-52</v>
      </c>
    </row>
    <row r="1943" spans="44:48" x14ac:dyDescent="0.2">
      <c r="AR1943">
        <v>1935</v>
      </c>
      <c r="AS1943">
        <v>117</v>
      </c>
      <c r="AT1943">
        <v>3</v>
      </c>
      <c r="AU1943">
        <v>-7.4774921457498884</v>
      </c>
      <c r="AV1943">
        <v>7.1402967263552053E-52</v>
      </c>
    </row>
    <row r="1944" spans="44:48" x14ac:dyDescent="0.2">
      <c r="AR1944">
        <v>1936</v>
      </c>
      <c r="AS1944">
        <v>118</v>
      </c>
      <c r="AT1944">
        <v>3</v>
      </c>
      <c r="AU1944">
        <v>-7.4465516144325425</v>
      </c>
      <c r="AV1944">
        <v>1.7905689839421796E-51</v>
      </c>
    </row>
    <row r="1945" spans="44:48" x14ac:dyDescent="0.2">
      <c r="AR1945">
        <v>1937</v>
      </c>
      <c r="AS1945">
        <v>119</v>
      </c>
      <c r="AT1945">
        <v>3</v>
      </c>
      <c r="AU1945">
        <v>-7.4156110831151967</v>
      </c>
      <c r="AV1945">
        <v>4.4740193292526419E-51</v>
      </c>
    </row>
    <row r="1946" spans="44:48" x14ac:dyDescent="0.2">
      <c r="AR1946">
        <v>1938</v>
      </c>
      <c r="AS1946">
        <v>120</v>
      </c>
      <c r="AT1946">
        <v>3</v>
      </c>
      <c r="AU1946">
        <v>-7.3846705517978499</v>
      </c>
      <c r="AV1946">
        <v>1.1138755109236945E-50</v>
      </c>
    </row>
    <row r="1947" spans="44:48" x14ac:dyDescent="0.2">
      <c r="AR1947">
        <v>1939</v>
      </c>
      <c r="AS1947">
        <v>121</v>
      </c>
      <c r="AT1947">
        <v>3</v>
      </c>
      <c r="AU1947">
        <v>-7.3537300204805032</v>
      </c>
      <c r="AV1947">
        <v>2.7631690571353121E-50</v>
      </c>
    </row>
    <row r="1948" spans="44:48" x14ac:dyDescent="0.2">
      <c r="AR1948">
        <v>1940</v>
      </c>
      <c r="AS1948">
        <v>122</v>
      </c>
      <c r="AT1948">
        <v>3</v>
      </c>
      <c r="AU1948">
        <v>-7.3227894891631573</v>
      </c>
      <c r="AV1948">
        <v>6.8298357428981811E-50</v>
      </c>
    </row>
    <row r="1949" spans="44:48" x14ac:dyDescent="0.2">
      <c r="AR1949">
        <v>1941</v>
      </c>
      <c r="AS1949">
        <v>123</v>
      </c>
      <c r="AT1949">
        <v>3</v>
      </c>
      <c r="AU1949">
        <v>-7.2918489578458114</v>
      </c>
      <c r="AV1949">
        <v>1.6820738623865436E-49</v>
      </c>
    </row>
    <row r="1950" spans="44:48" x14ac:dyDescent="0.2">
      <c r="AR1950">
        <v>1942</v>
      </c>
      <c r="AS1950">
        <v>124</v>
      </c>
      <c r="AT1950">
        <v>3</v>
      </c>
      <c r="AU1950">
        <v>-7.2609084265284647</v>
      </c>
      <c r="AV1950">
        <v>4.1277355613165093E-49</v>
      </c>
    </row>
    <row r="1951" spans="44:48" x14ac:dyDescent="0.2">
      <c r="AR1951">
        <v>1943</v>
      </c>
      <c r="AS1951">
        <v>125</v>
      </c>
      <c r="AT1951">
        <v>3</v>
      </c>
      <c r="AU1951">
        <v>-7.2299678952111188</v>
      </c>
      <c r="AV1951">
        <v>1.0092776884065007E-48</v>
      </c>
    </row>
    <row r="1952" spans="44:48" x14ac:dyDescent="0.2">
      <c r="AR1952">
        <v>1944</v>
      </c>
      <c r="AS1952">
        <v>126</v>
      </c>
      <c r="AT1952">
        <v>3</v>
      </c>
      <c r="AU1952">
        <v>-7.199027363893773</v>
      </c>
      <c r="AV1952">
        <v>2.4589034681814454E-48</v>
      </c>
    </row>
    <row r="1953" spans="44:48" x14ac:dyDescent="0.2">
      <c r="AR1953">
        <v>1945</v>
      </c>
      <c r="AS1953">
        <v>127</v>
      </c>
      <c r="AT1953">
        <v>3</v>
      </c>
      <c r="AU1953">
        <v>-7.1680868325764262</v>
      </c>
      <c r="AV1953">
        <v>5.9690372284279862E-48</v>
      </c>
    </row>
    <row r="1954" spans="44:48" x14ac:dyDescent="0.2">
      <c r="AR1954">
        <v>1946</v>
      </c>
      <c r="AS1954">
        <v>128</v>
      </c>
      <c r="AT1954">
        <v>3</v>
      </c>
      <c r="AU1954">
        <v>-7.1371463012590795</v>
      </c>
      <c r="AV1954">
        <v>1.443773601650614E-47</v>
      </c>
    </row>
    <row r="1955" spans="44:48" x14ac:dyDescent="0.2">
      <c r="AR1955">
        <v>1947</v>
      </c>
      <c r="AS1955">
        <v>129</v>
      </c>
      <c r="AT1955">
        <v>3</v>
      </c>
      <c r="AU1955">
        <v>-7.1062057699417336</v>
      </c>
      <c r="AV1955">
        <v>3.4795726390788419E-47</v>
      </c>
    </row>
    <row r="1956" spans="44:48" x14ac:dyDescent="0.2">
      <c r="AR1956">
        <v>1948</v>
      </c>
      <c r="AS1956">
        <v>130</v>
      </c>
      <c r="AT1956">
        <v>3</v>
      </c>
      <c r="AU1956">
        <v>-7.0752652386243877</v>
      </c>
      <c r="AV1956">
        <v>8.3557361696117891E-47</v>
      </c>
    </row>
    <row r="1957" spans="44:48" x14ac:dyDescent="0.2">
      <c r="AR1957">
        <v>1949</v>
      </c>
      <c r="AS1957">
        <v>131</v>
      </c>
      <c r="AT1957">
        <v>3</v>
      </c>
      <c r="AU1957">
        <v>-7.044324707307041</v>
      </c>
      <c r="AV1957">
        <v>1.9992887928943999E-46</v>
      </c>
    </row>
    <row r="1958" spans="44:48" x14ac:dyDescent="0.2">
      <c r="AR1958">
        <v>1950</v>
      </c>
      <c r="AS1958">
        <v>132</v>
      </c>
      <c r="AT1958">
        <v>3</v>
      </c>
      <c r="AU1958">
        <v>-7.0133841759896951</v>
      </c>
      <c r="AV1958">
        <v>4.7664862602271251E-46</v>
      </c>
    </row>
    <row r="1959" spans="44:48" x14ac:dyDescent="0.2">
      <c r="AR1959">
        <v>1951</v>
      </c>
      <c r="AS1959">
        <v>133</v>
      </c>
      <c r="AT1959">
        <v>3</v>
      </c>
      <c r="AU1959">
        <v>-6.9824436446723483</v>
      </c>
      <c r="AV1959">
        <v>1.1322782384658742E-45</v>
      </c>
    </row>
    <row r="1960" spans="44:48" x14ac:dyDescent="0.2">
      <c r="AR1960">
        <v>1952</v>
      </c>
      <c r="AS1960">
        <v>134</v>
      </c>
      <c r="AT1960">
        <v>3</v>
      </c>
      <c r="AU1960">
        <v>-6.9515031133550025</v>
      </c>
      <c r="AV1960">
        <v>2.6800319831221933E-45</v>
      </c>
    </row>
    <row r="1961" spans="44:48" x14ac:dyDescent="0.2">
      <c r="AR1961">
        <v>1953</v>
      </c>
      <c r="AS1961">
        <v>135</v>
      </c>
      <c r="AT1961">
        <v>3</v>
      </c>
      <c r="AU1961">
        <v>-6.9205625820376557</v>
      </c>
      <c r="AV1961">
        <v>6.3206070951882761E-45</v>
      </c>
    </row>
    <row r="1962" spans="44:48" x14ac:dyDescent="0.2">
      <c r="AR1962">
        <v>1954</v>
      </c>
      <c r="AS1962">
        <v>136</v>
      </c>
      <c r="AT1962">
        <v>3</v>
      </c>
      <c r="AU1962">
        <v>-6.8896220507203099</v>
      </c>
      <c r="AV1962">
        <v>1.4852843771079541E-44</v>
      </c>
    </row>
    <row r="1963" spans="44:48" x14ac:dyDescent="0.2">
      <c r="AR1963">
        <v>1955</v>
      </c>
      <c r="AS1963">
        <v>137</v>
      </c>
      <c r="AT1963">
        <v>3</v>
      </c>
      <c r="AU1963">
        <v>-6.8586815194029631</v>
      </c>
      <c r="AV1963">
        <v>3.4777025419806003E-44</v>
      </c>
    </row>
    <row r="1964" spans="44:48" x14ac:dyDescent="0.2">
      <c r="AR1964">
        <v>1956</v>
      </c>
      <c r="AS1964">
        <v>138</v>
      </c>
      <c r="AT1964">
        <v>3</v>
      </c>
      <c r="AU1964">
        <v>-6.8277409880856172</v>
      </c>
      <c r="AV1964">
        <v>8.1134815660428212E-44</v>
      </c>
    </row>
    <row r="1965" spans="44:48" x14ac:dyDescent="0.2">
      <c r="AR1965">
        <v>1957</v>
      </c>
      <c r="AS1965">
        <v>139</v>
      </c>
      <c r="AT1965">
        <v>3</v>
      </c>
      <c r="AU1965">
        <v>-6.7968004567682705</v>
      </c>
      <c r="AV1965">
        <v>1.8860537958357762E-43</v>
      </c>
    </row>
    <row r="1966" spans="44:48" x14ac:dyDescent="0.2">
      <c r="AR1966">
        <v>1958</v>
      </c>
      <c r="AS1966">
        <v>140</v>
      </c>
      <c r="AT1966">
        <v>3</v>
      </c>
      <c r="AU1966">
        <v>-6.7658599254509246</v>
      </c>
      <c r="AV1966">
        <v>4.3685056252802812E-43</v>
      </c>
    </row>
    <row r="1967" spans="44:48" x14ac:dyDescent="0.2">
      <c r="AR1967">
        <v>1959</v>
      </c>
      <c r="AS1967">
        <v>141</v>
      </c>
      <c r="AT1967">
        <v>3</v>
      </c>
      <c r="AU1967">
        <v>-6.7349193941335779</v>
      </c>
      <c r="AV1967">
        <v>1.0081931068974035E-42</v>
      </c>
    </row>
    <row r="1968" spans="44:48" x14ac:dyDescent="0.2">
      <c r="AR1968">
        <v>1960</v>
      </c>
      <c r="AS1968">
        <v>142</v>
      </c>
      <c r="AT1968">
        <v>3</v>
      </c>
      <c r="AU1968">
        <v>-6.703978862816232</v>
      </c>
      <c r="AV1968">
        <v>2.3183902916126293E-42</v>
      </c>
    </row>
    <row r="1969" spans="44:48" x14ac:dyDescent="0.2">
      <c r="AR1969">
        <v>1961</v>
      </c>
      <c r="AS1969">
        <v>143</v>
      </c>
      <c r="AT1969">
        <v>3</v>
      </c>
      <c r="AU1969">
        <v>-6.6730383314988861</v>
      </c>
      <c r="AV1969">
        <v>5.3120404859853061E-42</v>
      </c>
    </row>
    <row r="1970" spans="44:48" x14ac:dyDescent="0.2">
      <c r="AR1970">
        <v>1962</v>
      </c>
      <c r="AS1970">
        <v>144</v>
      </c>
      <c r="AT1970">
        <v>3</v>
      </c>
      <c r="AU1970">
        <v>-6.6420978001815394</v>
      </c>
      <c r="AV1970">
        <v>1.2127414023784201E-41</v>
      </c>
    </row>
    <row r="1971" spans="44:48" x14ac:dyDescent="0.2">
      <c r="AR1971">
        <v>1963</v>
      </c>
      <c r="AS1971">
        <v>145</v>
      </c>
      <c r="AT1971">
        <v>3</v>
      </c>
      <c r="AU1971">
        <v>-6.6111572688641935</v>
      </c>
      <c r="AV1971">
        <v>2.758716253657488E-41</v>
      </c>
    </row>
    <row r="1972" spans="44:48" x14ac:dyDescent="0.2">
      <c r="AR1972">
        <v>1964</v>
      </c>
      <c r="AS1972">
        <v>146</v>
      </c>
      <c r="AT1972">
        <v>3</v>
      </c>
      <c r="AU1972">
        <v>-6.5802167375468468</v>
      </c>
      <c r="AV1972">
        <v>6.2528478914700354E-41</v>
      </c>
    </row>
    <row r="1973" spans="44:48" x14ac:dyDescent="0.2">
      <c r="AR1973">
        <v>1965</v>
      </c>
      <c r="AS1973">
        <v>147</v>
      </c>
      <c r="AT1973">
        <v>3</v>
      </c>
      <c r="AU1973">
        <v>-6.5492762062295009</v>
      </c>
      <c r="AV1973">
        <v>1.4121495618496795E-40</v>
      </c>
    </row>
    <row r="1974" spans="44:48" x14ac:dyDescent="0.2">
      <c r="AR1974">
        <v>1966</v>
      </c>
      <c r="AS1974">
        <v>148</v>
      </c>
      <c r="AT1974">
        <v>3</v>
      </c>
      <c r="AU1974">
        <v>-6.5183356749121542</v>
      </c>
      <c r="AV1974">
        <v>3.177719275710278E-40</v>
      </c>
    </row>
    <row r="1975" spans="44:48" x14ac:dyDescent="0.2">
      <c r="AR1975">
        <v>1967</v>
      </c>
      <c r="AS1975">
        <v>149</v>
      </c>
      <c r="AT1975">
        <v>3</v>
      </c>
      <c r="AU1975">
        <v>-6.4873951435948083</v>
      </c>
      <c r="AV1975">
        <v>7.1249588805546711E-40</v>
      </c>
    </row>
    <row r="1976" spans="44:48" x14ac:dyDescent="0.2">
      <c r="AR1976">
        <v>1968</v>
      </c>
      <c r="AS1976">
        <v>150</v>
      </c>
      <c r="AT1976">
        <v>3</v>
      </c>
      <c r="AU1976">
        <v>-6.4564546122774615</v>
      </c>
      <c r="AV1976">
        <v>1.5917732329868587E-39</v>
      </c>
    </row>
    <row r="1977" spans="44:48" x14ac:dyDescent="0.2">
      <c r="AR1977">
        <v>1969</v>
      </c>
      <c r="AS1977">
        <v>151</v>
      </c>
      <c r="AT1977">
        <v>3</v>
      </c>
      <c r="AU1977">
        <v>-6.4255140809601157</v>
      </c>
      <c r="AV1977">
        <v>3.5433335281216505E-39</v>
      </c>
    </row>
    <row r="1978" spans="44:48" x14ac:dyDescent="0.2">
      <c r="AR1978">
        <v>1970</v>
      </c>
      <c r="AS1978">
        <v>152</v>
      </c>
      <c r="AT1978">
        <v>3</v>
      </c>
      <c r="AU1978">
        <v>-6.3945735496427689</v>
      </c>
      <c r="AV1978">
        <v>7.8591372117207993E-39</v>
      </c>
    </row>
    <row r="1979" spans="44:48" x14ac:dyDescent="0.2">
      <c r="AR1979">
        <v>1971</v>
      </c>
      <c r="AS1979">
        <v>153</v>
      </c>
      <c r="AT1979">
        <v>3</v>
      </c>
      <c r="AU1979">
        <v>-6.3636330183254231</v>
      </c>
      <c r="AV1979">
        <v>1.7368795817854983E-38</v>
      </c>
    </row>
    <row r="1980" spans="44:48" x14ac:dyDescent="0.2">
      <c r="AR1980">
        <v>1972</v>
      </c>
      <c r="AS1980">
        <v>154</v>
      </c>
      <c r="AT1980">
        <v>3</v>
      </c>
      <c r="AU1980">
        <v>-6.3326924870080763</v>
      </c>
      <c r="AV1980">
        <v>3.8246927233208055E-38</v>
      </c>
    </row>
    <row r="1981" spans="44:48" x14ac:dyDescent="0.2">
      <c r="AR1981">
        <v>1973</v>
      </c>
      <c r="AS1981">
        <v>155</v>
      </c>
      <c r="AT1981">
        <v>3</v>
      </c>
      <c r="AU1981">
        <v>-6.3017519556907304</v>
      </c>
      <c r="AV1981">
        <v>8.3918051340454907E-38</v>
      </c>
    </row>
    <row r="1982" spans="44:48" x14ac:dyDescent="0.2">
      <c r="AR1982">
        <v>1974</v>
      </c>
      <c r="AS1982">
        <v>156</v>
      </c>
      <c r="AT1982">
        <v>3</v>
      </c>
      <c r="AU1982">
        <v>-6.2708114243733846</v>
      </c>
      <c r="AV1982">
        <v>1.8346204608191061E-37</v>
      </c>
    </row>
    <row r="1983" spans="44:48" x14ac:dyDescent="0.2">
      <c r="AR1983">
        <v>1975</v>
      </c>
      <c r="AS1983">
        <v>157</v>
      </c>
      <c r="AT1983">
        <v>3</v>
      </c>
      <c r="AU1983">
        <v>-6.2398708930560378</v>
      </c>
      <c r="AV1983">
        <v>3.9964011572088057E-37</v>
      </c>
    </row>
    <row r="1984" spans="44:48" x14ac:dyDescent="0.2">
      <c r="AR1984">
        <v>1976</v>
      </c>
      <c r="AS1984">
        <v>158</v>
      </c>
      <c r="AT1984">
        <v>3</v>
      </c>
      <c r="AU1984">
        <v>-6.2089303617386919</v>
      </c>
      <c r="AV1984">
        <v>8.6740899322856906E-37</v>
      </c>
    </row>
    <row r="1985" spans="44:48" x14ac:dyDescent="0.2">
      <c r="AR1985">
        <v>1977</v>
      </c>
      <c r="AS1985">
        <v>159</v>
      </c>
      <c r="AT1985">
        <v>3</v>
      </c>
      <c r="AU1985">
        <v>-6.1779898304213452</v>
      </c>
      <c r="AV1985">
        <v>1.8759046773126885E-36</v>
      </c>
    </row>
    <row r="1986" spans="44:48" x14ac:dyDescent="0.2">
      <c r="AR1986">
        <v>1978</v>
      </c>
      <c r="AS1986">
        <v>160</v>
      </c>
      <c r="AT1986">
        <v>3</v>
      </c>
      <c r="AU1986">
        <v>-6.1470492991039993</v>
      </c>
      <c r="AV1986">
        <v>4.0423099732947065E-36</v>
      </c>
    </row>
    <row r="1987" spans="44:48" x14ac:dyDescent="0.2">
      <c r="AR1987">
        <v>1979</v>
      </c>
      <c r="AS1987">
        <v>161</v>
      </c>
      <c r="AT1987">
        <v>3</v>
      </c>
      <c r="AU1987">
        <v>-6.1161087677866526</v>
      </c>
      <c r="AV1987">
        <v>8.6792152876385942E-36</v>
      </c>
    </row>
    <row r="1988" spans="44:48" x14ac:dyDescent="0.2">
      <c r="AR1988">
        <v>1980</v>
      </c>
      <c r="AS1988">
        <v>162</v>
      </c>
      <c r="AT1988">
        <v>3</v>
      </c>
      <c r="AU1988">
        <v>-6.0851682364693067</v>
      </c>
      <c r="AV1988">
        <v>1.8567922312420973E-35</v>
      </c>
    </row>
    <row r="1989" spans="44:48" x14ac:dyDescent="0.2">
      <c r="AR1989">
        <v>1981</v>
      </c>
      <c r="AS1989">
        <v>163</v>
      </c>
      <c r="AT1989">
        <v>3</v>
      </c>
      <c r="AU1989">
        <v>-6.05422770515196</v>
      </c>
      <c r="AV1989">
        <v>3.9580216075707137E-35</v>
      </c>
    </row>
    <row r="1990" spans="44:48" x14ac:dyDescent="0.2">
      <c r="AR1990">
        <v>1982</v>
      </c>
      <c r="AS1990">
        <v>164</v>
      </c>
      <c r="AT1990">
        <v>3</v>
      </c>
      <c r="AU1990">
        <v>-6.0232871738346141</v>
      </c>
      <c r="AV1990">
        <v>8.406689601377079E-35</v>
      </c>
    </row>
    <row r="1991" spans="44:48" x14ac:dyDescent="0.2">
      <c r="AR1991">
        <v>1983</v>
      </c>
      <c r="AS1991">
        <v>165</v>
      </c>
      <c r="AT1991">
        <v>3</v>
      </c>
      <c r="AU1991">
        <v>-5.9923466425172673</v>
      </c>
      <c r="AV1991">
        <v>1.7791143600538415E-34</v>
      </c>
    </row>
    <row r="1992" spans="44:48" x14ac:dyDescent="0.2">
      <c r="AR1992">
        <v>1984</v>
      </c>
      <c r="AS1992">
        <v>166</v>
      </c>
      <c r="AT1992">
        <v>3</v>
      </c>
      <c r="AU1992">
        <v>-5.9614061111999215</v>
      </c>
      <c r="AV1992">
        <v>3.7515843802736396E-34</v>
      </c>
    </row>
    <row r="1993" spans="44:48" x14ac:dyDescent="0.2">
      <c r="AR1993">
        <v>1985</v>
      </c>
      <c r="AS1993">
        <v>167</v>
      </c>
      <c r="AT1993">
        <v>3</v>
      </c>
      <c r="AU1993">
        <v>-5.9304655798825747</v>
      </c>
      <c r="AV1993">
        <v>7.882383743537154E-34</v>
      </c>
    </row>
    <row r="1994" spans="44:48" x14ac:dyDescent="0.2">
      <c r="AR1994">
        <v>1986</v>
      </c>
      <c r="AS1994">
        <v>168</v>
      </c>
      <c r="AT1994">
        <v>3</v>
      </c>
      <c r="AU1994">
        <v>-5.8995250485652289</v>
      </c>
      <c r="AV1994">
        <v>1.6501842220816512E-33</v>
      </c>
    </row>
    <row r="1995" spans="44:48" x14ac:dyDescent="0.2">
      <c r="AR1995">
        <v>1987</v>
      </c>
      <c r="AS1995">
        <v>169</v>
      </c>
      <c r="AT1995">
        <v>3</v>
      </c>
      <c r="AU1995">
        <v>-5.868584517247883</v>
      </c>
      <c r="AV1995">
        <v>3.442225264554766E-33</v>
      </c>
    </row>
    <row r="1996" spans="44:48" x14ac:dyDescent="0.2">
      <c r="AR1996">
        <v>1988</v>
      </c>
      <c r="AS1996">
        <v>170</v>
      </c>
      <c r="AT1996">
        <v>3</v>
      </c>
      <c r="AU1996">
        <v>-5.8376439859305362</v>
      </c>
      <c r="AV1996">
        <v>7.1544811940734797E-33</v>
      </c>
    </row>
    <row r="1997" spans="44:48" x14ac:dyDescent="0.2">
      <c r="AR1997">
        <v>1989</v>
      </c>
      <c r="AS1997">
        <v>171</v>
      </c>
      <c r="AT1997">
        <v>3</v>
      </c>
      <c r="AU1997">
        <v>-5.8067034546131904</v>
      </c>
      <c r="AV1997">
        <v>1.4816615343929662E-32</v>
      </c>
    </row>
    <row r="1998" spans="44:48" x14ac:dyDescent="0.2">
      <c r="AR1998">
        <v>1990</v>
      </c>
      <c r="AS1998">
        <v>172</v>
      </c>
      <c r="AT1998">
        <v>3</v>
      </c>
      <c r="AU1998">
        <v>-5.7757629232958436</v>
      </c>
      <c r="AV1998">
        <v>3.0573972261918527E-32</v>
      </c>
    </row>
    <row r="1999" spans="44:48" x14ac:dyDescent="0.2">
      <c r="AR1999">
        <v>1991</v>
      </c>
      <c r="AS1999">
        <v>173</v>
      </c>
      <c r="AT1999">
        <v>3</v>
      </c>
      <c r="AU1999">
        <v>-5.7448223919784978</v>
      </c>
      <c r="AV1999">
        <v>6.2861787961669839E-32</v>
      </c>
    </row>
    <row r="2000" spans="44:48" x14ac:dyDescent="0.2">
      <c r="AR2000">
        <v>1992</v>
      </c>
      <c r="AS2000">
        <v>174</v>
      </c>
      <c r="AT2000">
        <v>3</v>
      </c>
      <c r="AU2000">
        <v>-5.713881860661151</v>
      </c>
      <c r="AV2000">
        <v>1.2878153363359778E-31</v>
      </c>
    </row>
    <row r="2001" spans="44:48" x14ac:dyDescent="0.2">
      <c r="AR2001">
        <v>1993</v>
      </c>
      <c r="AS2001">
        <v>175</v>
      </c>
      <c r="AT2001">
        <v>3</v>
      </c>
      <c r="AU2001">
        <v>-5.6829413293438051</v>
      </c>
      <c r="AV2001">
        <v>2.628769197057267E-31</v>
      </c>
    </row>
    <row r="2002" spans="44:48" x14ac:dyDescent="0.2">
      <c r="AR2002">
        <v>1994</v>
      </c>
      <c r="AS2002">
        <v>176</v>
      </c>
      <c r="AT2002">
        <v>3</v>
      </c>
      <c r="AU2002">
        <v>-5.6520007980264584</v>
      </c>
      <c r="AV2002">
        <v>5.3466692972230112E-31</v>
      </c>
    </row>
    <row r="2003" spans="44:48" x14ac:dyDescent="0.2">
      <c r="AR2003">
        <v>1995</v>
      </c>
      <c r="AS2003">
        <v>177</v>
      </c>
      <c r="AT2003">
        <v>3</v>
      </c>
      <c r="AU2003">
        <v>-5.6210602667091125</v>
      </c>
      <c r="AV2003">
        <v>1.0835430971697764E-30</v>
      </c>
    </row>
    <row r="2004" spans="44:48" x14ac:dyDescent="0.2">
      <c r="AR2004">
        <v>1996</v>
      </c>
      <c r="AS2004">
        <v>178</v>
      </c>
      <c r="AT2004">
        <v>3</v>
      </c>
      <c r="AU2004">
        <v>-5.5901197353917658</v>
      </c>
      <c r="AV2004">
        <v>2.1879684626591805E-30</v>
      </c>
    </row>
    <row r="2005" spans="44:48" x14ac:dyDescent="0.2">
      <c r="AR2005">
        <v>1997</v>
      </c>
      <c r="AS2005">
        <v>179</v>
      </c>
      <c r="AT2005">
        <v>3</v>
      </c>
      <c r="AU2005">
        <v>-5.5591792040744199</v>
      </c>
      <c r="AV2005">
        <v>4.402181324103353E-30</v>
      </c>
    </row>
    <row r="2006" spans="44:48" x14ac:dyDescent="0.2">
      <c r="AR2006">
        <v>1998</v>
      </c>
      <c r="AS2006">
        <v>180</v>
      </c>
      <c r="AT2006">
        <v>3</v>
      </c>
      <c r="AU2006">
        <v>-5.5282386727570731</v>
      </c>
      <c r="AV2006">
        <v>8.8252455404621644E-30</v>
      </c>
    </row>
    <row r="2007" spans="44:48" x14ac:dyDescent="0.2">
      <c r="AR2007">
        <v>1999</v>
      </c>
      <c r="AS2007">
        <v>181</v>
      </c>
      <c r="AT2007">
        <v>3</v>
      </c>
      <c r="AU2007">
        <v>-5.4972981414397273</v>
      </c>
      <c r="AV2007">
        <v>1.7628593724116251E-29</v>
      </c>
    </row>
    <row r="2008" spans="44:48" x14ac:dyDescent="0.2">
      <c r="AR2008">
        <v>2000</v>
      </c>
      <c r="AS2008">
        <v>182</v>
      </c>
      <c r="AT2008">
        <v>3</v>
      </c>
      <c r="AU2008">
        <v>-5.4663576101223814</v>
      </c>
      <c r="AV2008">
        <v>3.5086539885410302E-29</v>
      </c>
    </row>
    <row r="2009" spans="44:48" x14ac:dyDescent="0.2">
      <c r="AR2009">
        <v>2001</v>
      </c>
      <c r="AS2009">
        <v>183</v>
      </c>
      <c r="AT2009">
        <v>3</v>
      </c>
      <c r="AU2009">
        <v>-5.4354170788050347</v>
      </c>
      <c r="AV2009">
        <v>6.9581760963893275E-29</v>
      </c>
    </row>
    <row r="2010" spans="44:48" x14ac:dyDescent="0.2">
      <c r="AR2010">
        <v>2002</v>
      </c>
      <c r="AS2010">
        <v>184</v>
      </c>
      <c r="AT2010">
        <v>3</v>
      </c>
      <c r="AU2010">
        <v>-5.4044765474876888</v>
      </c>
      <c r="AV2010">
        <v>1.3749353903528582E-28</v>
      </c>
    </row>
    <row r="2011" spans="44:48" x14ac:dyDescent="0.2">
      <c r="AR2011">
        <v>2003</v>
      </c>
      <c r="AS2011">
        <v>185</v>
      </c>
      <c r="AT2011">
        <v>3</v>
      </c>
      <c r="AU2011">
        <v>-5.373536016170342</v>
      </c>
      <c r="AV2011">
        <v>2.7070804779164636E-28</v>
      </c>
    </row>
    <row r="2012" spans="44:48" x14ac:dyDescent="0.2">
      <c r="AR2012">
        <v>2004</v>
      </c>
      <c r="AS2012">
        <v>186</v>
      </c>
      <c r="AT2012">
        <v>3</v>
      </c>
      <c r="AU2012">
        <v>-5.3425954848529962</v>
      </c>
      <c r="AV2012">
        <v>5.3107033685419797E-28</v>
      </c>
    </row>
    <row r="2013" spans="44:48" x14ac:dyDescent="0.2">
      <c r="AR2013">
        <v>2005</v>
      </c>
      <c r="AS2013">
        <v>187</v>
      </c>
      <c r="AT2013">
        <v>3</v>
      </c>
      <c r="AU2013">
        <v>-5.3116549535356494</v>
      </c>
      <c r="AV2013">
        <v>1.0380897981463519E-27</v>
      </c>
    </row>
    <row r="2014" spans="44:48" x14ac:dyDescent="0.2">
      <c r="AR2014">
        <v>2006</v>
      </c>
      <c r="AS2014">
        <v>188</v>
      </c>
      <c r="AT2014">
        <v>3</v>
      </c>
      <c r="AU2014">
        <v>-5.2807144222183036</v>
      </c>
      <c r="AV2014">
        <v>2.0218540523690235E-27</v>
      </c>
    </row>
    <row r="2015" spans="44:48" x14ac:dyDescent="0.2">
      <c r="AR2015">
        <v>2007</v>
      </c>
      <c r="AS2015">
        <v>189</v>
      </c>
      <c r="AT2015">
        <v>3</v>
      </c>
      <c r="AU2015">
        <v>-5.2497738909009568</v>
      </c>
      <c r="AV2015">
        <v>3.9237080344619988E-27</v>
      </c>
    </row>
    <row r="2016" spans="44:48" x14ac:dyDescent="0.2">
      <c r="AR2016">
        <v>2008</v>
      </c>
      <c r="AS2016">
        <v>190</v>
      </c>
      <c r="AT2016">
        <v>3</v>
      </c>
      <c r="AU2016">
        <v>-5.2188333595836109</v>
      </c>
      <c r="AV2016">
        <v>7.5870957673460612E-27</v>
      </c>
    </row>
    <row r="2017" spans="44:48" x14ac:dyDescent="0.2">
      <c r="AR2017">
        <v>2009</v>
      </c>
      <c r="AS2017">
        <v>191</v>
      </c>
      <c r="AT2017">
        <v>3</v>
      </c>
      <c r="AU2017">
        <v>-5.1878928282662642</v>
      </c>
      <c r="AV2017">
        <v>1.4617949232333858E-26</v>
      </c>
    </row>
    <row r="2018" spans="44:48" x14ac:dyDescent="0.2">
      <c r="AR2018">
        <v>2010</v>
      </c>
      <c r="AS2018">
        <v>192</v>
      </c>
      <c r="AT2018">
        <v>3</v>
      </c>
      <c r="AU2018">
        <v>-5.1569522969489183</v>
      </c>
      <c r="AV2018">
        <v>2.8062692260736657E-26</v>
      </c>
    </row>
    <row r="2019" spans="44:48" x14ac:dyDescent="0.2">
      <c r="AR2019">
        <v>2011</v>
      </c>
      <c r="AS2019">
        <v>193</v>
      </c>
      <c r="AT2019">
        <v>3</v>
      </c>
      <c r="AU2019">
        <v>-5.1260117656315725</v>
      </c>
      <c r="AV2019">
        <v>5.3678975623840615E-26</v>
      </c>
    </row>
    <row r="2020" spans="44:48" x14ac:dyDescent="0.2">
      <c r="AR2020">
        <v>2012</v>
      </c>
      <c r="AS2020">
        <v>194</v>
      </c>
      <c r="AT2020">
        <v>3</v>
      </c>
      <c r="AU2020">
        <v>-5.0950712343142257</v>
      </c>
      <c r="AV2020">
        <v>1.0230835606402061E-25</v>
      </c>
    </row>
    <row r="2021" spans="44:48" x14ac:dyDescent="0.2">
      <c r="AR2021">
        <v>2013</v>
      </c>
      <c r="AS2021">
        <v>195</v>
      </c>
      <c r="AT2021">
        <v>3</v>
      </c>
      <c r="AU2021">
        <v>-5.0641307029968798</v>
      </c>
      <c r="AV2021">
        <v>1.942897969113472E-25</v>
      </c>
    </row>
    <row r="2022" spans="44:48" x14ac:dyDescent="0.2">
      <c r="AR2022">
        <v>2014</v>
      </c>
      <c r="AS2022">
        <v>196</v>
      </c>
      <c r="AT2022">
        <v>3</v>
      </c>
      <c r="AU2022">
        <v>-5.0331901716795331</v>
      </c>
      <c r="AV2022">
        <v>3.6763841369266722E-25</v>
      </c>
    </row>
    <row r="2023" spans="44:48" x14ac:dyDescent="0.2">
      <c r="AR2023">
        <v>2015</v>
      </c>
      <c r="AS2023">
        <v>197</v>
      </c>
      <c r="AT2023">
        <v>3</v>
      </c>
      <c r="AU2023">
        <v>-5.0022496403621872</v>
      </c>
      <c r="AV2023">
        <v>6.9314448782495761E-25</v>
      </c>
    </row>
    <row r="2024" spans="44:48" x14ac:dyDescent="0.2">
      <c r="AR2024">
        <v>2016</v>
      </c>
      <c r="AS2024">
        <v>198</v>
      </c>
      <c r="AT2024">
        <v>3</v>
      </c>
      <c r="AU2024">
        <v>-4.9713091090448405</v>
      </c>
      <c r="AV2024">
        <v>1.3021429545145297E-24</v>
      </c>
    </row>
    <row r="2025" spans="44:48" x14ac:dyDescent="0.2">
      <c r="AR2025">
        <v>2017</v>
      </c>
      <c r="AS2025">
        <v>199</v>
      </c>
      <c r="AT2025">
        <v>3</v>
      </c>
      <c r="AU2025">
        <v>-4.9403685777274946</v>
      </c>
      <c r="AV2025">
        <v>2.4373929924027111E-24</v>
      </c>
    </row>
    <row r="2026" spans="44:48" x14ac:dyDescent="0.2">
      <c r="AR2026">
        <v>2018</v>
      </c>
      <c r="AS2026">
        <v>200</v>
      </c>
      <c r="AT2026">
        <v>3</v>
      </c>
      <c r="AU2026">
        <v>-4.9094280464101479</v>
      </c>
      <c r="AV2026">
        <v>4.5459478792519041E-24</v>
      </c>
    </row>
    <row r="2027" spans="44:48" x14ac:dyDescent="0.2">
      <c r="AR2027">
        <v>2019</v>
      </c>
      <c r="AS2027">
        <v>201</v>
      </c>
      <c r="AT2027">
        <v>3</v>
      </c>
      <c r="AU2027">
        <v>-4.878487515092802</v>
      </c>
      <c r="AV2027">
        <v>8.4480280499117357E-24</v>
      </c>
    </row>
    <row r="2028" spans="44:48" x14ac:dyDescent="0.2">
      <c r="AR2028">
        <v>2020</v>
      </c>
      <c r="AS2028">
        <v>202</v>
      </c>
      <c r="AT2028">
        <v>3</v>
      </c>
      <c r="AU2028">
        <v>-4.8475469837754552</v>
      </c>
      <c r="AV2028">
        <v>1.5642935098072859E-23</v>
      </c>
    </row>
    <row r="2029" spans="44:48" x14ac:dyDescent="0.2">
      <c r="AR2029">
        <v>2021</v>
      </c>
      <c r="AS2029">
        <v>203</v>
      </c>
      <c r="AT2029">
        <v>3</v>
      </c>
      <c r="AU2029">
        <v>-4.8166064524581094</v>
      </c>
      <c r="AV2029">
        <v>2.8861117363385686E-23</v>
      </c>
    </row>
    <row r="2030" spans="44:48" x14ac:dyDescent="0.2">
      <c r="AR2030">
        <v>2022</v>
      </c>
      <c r="AS2030">
        <v>204</v>
      </c>
      <c r="AT2030">
        <v>3</v>
      </c>
      <c r="AU2030">
        <v>-4.7856659211407626</v>
      </c>
      <c r="AV2030">
        <v>5.3056676186832068E-23</v>
      </c>
    </row>
    <row r="2031" spans="44:48" x14ac:dyDescent="0.2">
      <c r="AR2031">
        <v>2023</v>
      </c>
      <c r="AS2031">
        <v>205</v>
      </c>
      <c r="AT2031">
        <v>3</v>
      </c>
      <c r="AU2031">
        <v>-4.7547253898234167</v>
      </c>
      <c r="AV2031">
        <v>9.7184932927889367E-23</v>
      </c>
    </row>
    <row r="2032" spans="44:48" x14ac:dyDescent="0.2">
      <c r="AR2032">
        <v>2024</v>
      </c>
      <c r="AS2032">
        <v>206</v>
      </c>
      <c r="AT2032">
        <v>3</v>
      </c>
      <c r="AU2032">
        <v>-4.7237848585060709</v>
      </c>
      <c r="AV2032">
        <v>1.7737395108477165E-22</v>
      </c>
    </row>
    <row r="2033" spans="44:48" x14ac:dyDescent="0.2">
      <c r="AR2033">
        <v>2025</v>
      </c>
      <c r="AS2033">
        <v>207</v>
      </c>
      <c r="AT2033">
        <v>3</v>
      </c>
      <c r="AU2033">
        <v>-4.6928443271887241</v>
      </c>
      <c r="AV2033">
        <v>3.2256165772126957E-22</v>
      </c>
    </row>
    <row r="2034" spans="44:48" x14ac:dyDescent="0.2">
      <c r="AR2034">
        <v>2026</v>
      </c>
      <c r="AS2034">
        <v>208</v>
      </c>
      <c r="AT2034">
        <v>3</v>
      </c>
      <c r="AU2034">
        <v>-4.6619037958713783</v>
      </c>
      <c r="AV2034">
        <v>5.8447729603095451E-22</v>
      </c>
    </row>
    <row r="2035" spans="44:48" x14ac:dyDescent="0.2">
      <c r="AR2035">
        <v>2027</v>
      </c>
      <c r="AS2035">
        <v>209</v>
      </c>
      <c r="AT2035">
        <v>3</v>
      </c>
      <c r="AU2035">
        <v>-4.6309632645540315</v>
      </c>
      <c r="AV2035">
        <v>1.0552480303085364E-21</v>
      </c>
    </row>
    <row r="2036" spans="44:48" x14ac:dyDescent="0.2">
      <c r="AR2036">
        <v>2028</v>
      </c>
      <c r="AS2036">
        <v>210</v>
      </c>
      <c r="AT2036">
        <v>3</v>
      </c>
      <c r="AU2036">
        <v>-4.6000227332366856</v>
      </c>
      <c r="AV2036">
        <v>1.8983376264350328E-21</v>
      </c>
    </row>
    <row r="2037" spans="44:48" x14ac:dyDescent="0.2">
      <c r="AR2037">
        <v>2029</v>
      </c>
      <c r="AS2037">
        <v>211</v>
      </c>
      <c r="AT2037">
        <v>3</v>
      </c>
      <c r="AU2037">
        <v>-4.5690822019193389</v>
      </c>
      <c r="AV2037">
        <v>3.4027054971400135E-21</v>
      </c>
    </row>
    <row r="2038" spans="44:48" x14ac:dyDescent="0.2">
      <c r="AR2038">
        <v>2030</v>
      </c>
      <c r="AS2038">
        <v>212</v>
      </c>
      <c r="AT2038">
        <v>3</v>
      </c>
      <c r="AU2038">
        <v>-4.538141670601993</v>
      </c>
      <c r="AV2038">
        <v>6.0772523568092968E-21</v>
      </c>
    </row>
    <row r="2039" spans="44:48" x14ac:dyDescent="0.2">
      <c r="AR2039">
        <v>2031</v>
      </c>
      <c r="AS2039">
        <v>213</v>
      </c>
      <c r="AT2039">
        <v>3</v>
      </c>
      <c r="AU2039">
        <v>-4.5072011392846463</v>
      </c>
      <c r="AV2039">
        <v>1.0814891827845049E-20</v>
      </c>
    </row>
    <row r="2040" spans="44:48" x14ac:dyDescent="0.2">
      <c r="AR2040">
        <v>2032</v>
      </c>
      <c r="AS2040">
        <v>214</v>
      </c>
      <c r="AT2040">
        <v>3</v>
      </c>
      <c r="AU2040">
        <v>-4.4762606079673004</v>
      </c>
      <c r="AV2040">
        <v>1.9176488762732384E-20</v>
      </c>
    </row>
    <row r="2041" spans="44:48" x14ac:dyDescent="0.2">
      <c r="AR2041">
        <v>2033</v>
      </c>
      <c r="AS2041">
        <v>215</v>
      </c>
      <c r="AT2041">
        <v>3</v>
      </c>
      <c r="AU2041">
        <v>-4.4453200766499537</v>
      </c>
      <c r="AV2041">
        <v>3.3880358869420538E-20</v>
      </c>
    </row>
    <row r="2042" spans="44:48" x14ac:dyDescent="0.2">
      <c r="AR2042">
        <v>2034</v>
      </c>
      <c r="AS2042">
        <v>216</v>
      </c>
      <c r="AT2042">
        <v>3</v>
      </c>
      <c r="AU2042">
        <v>-4.4143795453326078</v>
      </c>
      <c r="AV2042">
        <v>5.9642922343140842E-20</v>
      </c>
    </row>
    <row r="2043" spans="44:48" x14ac:dyDescent="0.2">
      <c r="AR2043">
        <v>2035</v>
      </c>
      <c r="AS2043">
        <v>217</v>
      </c>
      <c r="AT2043">
        <v>3</v>
      </c>
      <c r="AU2043">
        <v>-4.383439014015261</v>
      </c>
      <c r="AV2043">
        <v>1.0461689555961217E-19</v>
      </c>
    </row>
    <row r="2044" spans="44:48" x14ac:dyDescent="0.2">
      <c r="AR2044">
        <v>2036</v>
      </c>
      <c r="AS2044">
        <v>218</v>
      </c>
      <c r="AT2044">
        <v>3</v>
      </c>
      <c r="AU2044">
        <v>-4.3524984826979152</v>
      </c>
      <c r="AV2044">
        <v>1.828423285612615E-19</v>
      </c>
    </row>
    <row r="2045" spans="44:48" x14ac:dyDescent="0.2">
      <c r="AR2045">
        <v>2037</v>
      </c>
      <c r="AS2045">
        <v>219</v>
      </c>
      <c r="AT2045">
        <v>3</v>
      </c>
      <c r="AU2045">
        <v>-4.3215579513805693</v>
      </c>
      <c r="AV2045">
        <v>3.1840777194913472E-19</v>
      </c>
    </row>
    <row r="2046" spans="44:48" x14ac:dyDescent="0.2">
      <c r="AR2046">
        <v>2038</v>
      </c>
      <c r="AS2046">
        <v>220</v>
      </c>
      <c r="AT2046">
        <v>3</v>
      </c>
      <c r="AU2046">
        <v>-4.2906174200632226</v>
      </c>
      <c r="AV2046">
        <v>5.5248765348407913E-19</v>
      </c>
    </row>
    <row r="2047" spans="44:48" x14ac:dyDescent="0.2">
      <c r="AR2047">
        <v>2039</v>
      </c>
      <c r="AS2047">
        <v>221</v>
      </c>
      <c r="AT2047">
        <v>3</v>
      </c>
      <c r="AU2047">
        <v>-4.2596768887458767</v>
      </c>
      <c r="AV2047">
        <v>9.5519820097579032E-19</v>
      </c>
    </row>
    <row r="2048" spans="44:48" x14ac:dyDescent="0.2">
      <c r="AR2048">
        <v>2040</v>
      </c>
      <c r="AS2048">
        <v>222</v>
      </c>
      <c r="AT2048">
        <v>3</v>
      </c>
      <c r="AU2048">
        <v>-4.2287363574285299</v>
      </c>
      <c r="AV2048">
        <v>1.6454944264768442E-18</v>
      </c>
    </row>
    <row r="2049" spans="44:48" x14ac:dyDescent="0.2">
      <c r="AR2049">
        <v>2041</v>
      </c>
      <c r="AS2049">
        <v>223</v>
      </c>
      <c r="AT2049">
        <v>3</v>
      </c>
      <c r="AU2049">
        <v>-4.1977958261111841</v>
      </c>
      <c r="AV2049">
        <v>2.8244333871427717E-18</v>
      </c>
    </row>
    <row r="2050" spans="44:48" x14ac:dyDescent="0.2">
      <c r="AR2050">
        <v>2042</v>
      </c>
      <c r="AS2050">
        <v>224</v>
      </c>
      <c r="AT2050">
        <v>3</v>
      </c>
      <c r="AU2050">
        <v>-4.1668552947938373</v>
      </c>
      <c r="AV2050">
        <v>4.8305686523202149E-18</v>
      </c>
    </row>
    <row r="2051" spans="44:48" x14ac:dyDescent="0.2">
      <c r="AR2051">
        <v>2043</v>
      </c>
      <c r="AS2051">
        <v>225</v>
      </c>
      <c r="AT2051">
        <v>3</v>
      </c>
      <c r="AU2051">
        <v>-4.1359147634764915</v>
      </c>
      <c r="AV2051">
        <v>8.2318449555280905E-18</v>
      </c>
    </row>
    <row r="2052" spans="44:48" x14ac:dyDescent="0.2">
      <c r="AR2052">
        <v>2044</v>
      </c>
      <c r="AS2052">
        <v>226</v>
      </c>
      <c r="AT2052">
        <v>3</v>
      </c>
      <c r="AU2052">
        <v>-4.1049742321591447</v>
      </c>
      <c r="AV2052">
        <v>1.3977455121301018E-17</v>
      </c>
    </row>
    <row r="2053" spans="44:48" x14ac:dyDescent="0.2">
      <c r="AR2053">
        <v>2045</v>
      </c>
      <c r="AS2053">
        <v>227</v>
      </c>
      <c r="AT2053">
        <v>3</v>
      </c>
      <c r="AU2053">
        <v>-4.0740337008417988</v>
      </c>
      <c r="AV2053">
        <v>2.3647815706850847E-17</v>
      </c>
    </row>
    <row r="2054" spans="44:48" x14ac:dyDescent="0.2">
      <c r="AR2054">
        <v>2046</v>
      </c>
      <c r="AS2054">
        <v>228</v>
      </c>
      <c r="AT2054">
        <v>3</v>
      </c>
      <c r="AU2054">
        <v>-4.0430931695244521</v>
      </c>
      <c r="AV2054">
        <v>3.9864466741591183E-17</v>
      </c>
    </row>
    <row r="2055" spans="44:48" x14ac:dyDescent="0.2">
      <c r="AR2055">
        <v>2047</v>
      </c>
      <c r="AS2055">
        <v>229</v>
      </c>
      <c r="AT2055">
        <v>3</v>
      </c>
      <c r="AU2055">
        <v>-4.0121526382071062</v>
      </c>
      <c r="AV2055">
        <v>6.6959605611060019E-17</v>
      </c>
    </row>
    <row r="2056" spans="44:48" x14ac:dyDescent="0.2">
      <c r="AR2056">
        <v>2048</v>
      </c>
      <c r="AS2056">
        <v>230</v>
      </c>
      <c r="AT2056">
        <v>3</v>
      </c>
      <c r="AU2056">
        <v>-3.9812121068897595</v>
      </c>
      <c r="AV2056">
        <v>1.1206546982436194E-16</v>
      </c>
    </row>
    <row r="2057" spans="44:48" x14ac:dyDescent="0.2">
      <c r="AR2057">
        <v>2049</v>
      </c>
      <c r="AS2057">
        <v>231</v>
      </c>
      <c r="AT2057">
        <v>3</v>
      </c>
      <c r="AU2057">
        <v>-3.9502715755724136</v>
      </c>
      <c r="AV2057">
        <v>1.8687996606738388E-16</v>
      </c>
    </row>
    <row r="2058" spans="44:48" x14ac:dyDescent="0.2">
      <c r="AR2058">
        <v>2050</v>
      </c>
      <c r="AS2058">
        <v>232</v>
      </c>
      <c r="AT2058">
        <v>3</v>
      </c>
      <c r="AU2058">
        <v>-3.9193310442550677</v>
      </c>
      <c r="AV2058">
        <v>3.1051721196564798E-16</v>
      </c>
    </row>
    <row r="2059" spans="44:48" x14ac:dyDescent="0.2">
      <c r="AR2059">
        <v>2051</v>
      </c>
      <c r="AS2059">
        <v>233</v>
      </c>
      <c r="AT2059">
        <v>3</v>
      </c>
      <c r="AU2059">
        <v>-3.888390512937721</v>
      </c>
      <c r="AV2059">
        <v>5.1409172200426662E-16</v>
      </c>
    </row>
    <row r="2060" spans="44:48" x14ac:dyDescent="0.2">
      <c r="AR2060">
        <v>2052</v>
      </c>
      <c r="AS2060">
        <v>234</v>
      </c>
      <c r="AT2060">
        <v>3</v>
      </c>
      <c r="AU2060">
        <v>-3.8574499816203751</v>
      </c>
      <c r="AV2060">
        <v>8.4806188473601359E-16</v>
      </c>
    </row>
    <row r="2061" spans="44:48" x14ac:dyDescent="0.2">
      <c r="AR2061">
        <v>2053</v>
      </c>
      <c r="AS2061">
        <v>235</v>
      </c>
      <c r="AT2061">
        <v>3</v>
      </c>
      <c r="AU2061">
        <v>-3.8265094503030284</v>
      </c>
      <c r="AV2061">
        <v>1.3939477005709536E-15</v>
      </c>
    </row>
    <row r="2062" spans="44:48" x14ac:dyDescent="0.2">
      <c r="AR2062">
        <v>2054</v>
      </c>
      <c r="AS2062">
        <v>236</v>
      </c>
      <c r="AT2062">
        <v>3</v>
      </c>
      <c r="AU2062">
        <v>-3.7955689189856825</v>
      </c>
      <c r="AV2062">
        <v>2.2829553415886459E-15</v>
      </c>
    </row>
    <row r="2063" spans="44:48" x14ac:dyDescent="0.2">
      <c r="AR2063">
        <v>2055</v>
      </c>
      <c r="AS2063">
        <v>237</v>
      </c>
      <c r="AT2063">
        <v>3</v>
      </c>
      <c r="AU2063">
        <v>-3.7646283876683357</v>
      </c>
      <c r="AV2063">
        <v>3.7254638490602368E-15</v>
      </c>
    </row>
    <row r="2064" spans="44:48" x14ac:dyDescent="0.2">
      <c r="AR2064">
        <v>2056</v>
      </c>
      <c r="AS2064">
        <v>238</v>
      </c>
      <c r="AT2064">
        <v>3</v>
      </c>
      <c r="AU2064">
        <v>-3.7336878563509899</v>
      </c>
      <c r="AV2064">
        <v>6.0575260723534241E-15</v>
      </c>
    </row>
    <row r="2065" spans="44:48" x14ac:dyDescent="0.2">
      <c r="AR2065">
        <v>2057</v>
      </c>
      <c r="AS2065">
        <v>239</v>
      </c>
      <c r="AT2065">
        <v>3</v>
      </c>
      <c r="AU2065">
        <v>-3.7027473250336431</v>
      </c>
      <c r="AV2065">
        <v>9.8139136370293789E-15</v>
      </c>
    </row>
    <row r="2066" spans="44:48" x14ac:dyDescent="0.2">
      <c r="AR2066">
        <v>2058</v>
      </c>
      <c r="AS2066">
        <v>240</v>
      </c>
      <c r="AT2066">
        <v>3</v>
      </c>
      <c r="AU2066">
        <v>-3.6718067937162973</v>
      </c>
      <c r="AV2066">
        <v>1.584240723495532E-14</v>
      </c>
    </row>
    <row r="2067" spans="44:48" x14ac:dyDescent="0.2">
      <c r="AR2067">
        <v>2059</v>
      </c>
      <c r="AS2067">
        <v>241</v>
      </c>
      <c r="AT2067">
        <v>3</v>
      </c>
      <c r="AU2067">
        <v>-3.6408662623989505</v>
      </c>
      <c r="AV2067">
        <v>2.5481918064228765E-14</v>
      </c>
    </row>
    <row r="2068" spans="44:48" x14ac:dyDescent="0.2">
      <c r="AR2068">
        <v>2060</v>
      </c>
      <c r="AS2068">
        <v>242</v>
      </c>
      <c r="AT2068">
        <v>3</v>
      </c>
      <c r="AU2068">
        <v>-3.6099257310816046</v>
      </c>
      <c r="AV2068">
        <v>4.0838996143732347E-14</v>
      </c>
    </row>
    <row r="2069" spans="44:48" x14ac:dyDescent="0.2">
      <c r="AR2069">
        <v>2061</v>
      </c>
      <c r="AS2069">
        <v>243</v>
      </c>
      <c r="AT2069">
        <v>3</v>
      </c>
      <c r="AU2069">
        <v>-3.5789851997642579</v>
      </c>
      <c r="AV2069">
        <v>6.5215376023461302E-14</v>
      </c>
    </row>
    <row r="2070" spans="44:48" x14ac:dyDescent="0.2">
      <c r="AR2070">
        <v>2062</v>
      </c>
      <c r="AS2070">
        <v>244</v>
      </c>
      <c r="AT2070">
        <v>3</v>
      </c>
      <c r="AU2070">
        <v>-3.548044668446912</v>
      </c>
      <c r="AV2070">
        <v>1.0376644742356254E-13</v>
      </c>
    </row>
    <row r="2071" spans="44:48" x14ac:dyDescent="0.2">
      <c r="AR2071">
        <v>2063</v>
      </c>
      <c r="AS2071">
        <v>245</v>
      </c>
      <c r="AT2071">
        <v>3</v>
      </c>
      <c r="AU2071">
        <v>-3.5171041371295662</v>
      </c>
      <c r="AV2071">
        <v>1.6451136096411448E-13</v>
      </c>
    </row>
    <row r="2072" spans="44:48" x14ac:dyDescent="0.2">
      <c r="AR2072">
        <v>2064</v>
      </c>
      <c r="AS2072">
        <v>246</v>
      </c>
      <c r="AT2072">
        <v>3</v>
      </c>
      <c r="AU2072">
        <v>-3.4861636058122194</v>
      </c>
      <c r="AV2072">
        <v>2.5987640074003775E-13</v>
      </c>
    </row>
    <row r="2073" spans="44:48" x14ac:dyDescent="0.2">
      <c r="AR2073">
        <v>2065</v>
      </c>
      <c r="AS2073">
        <v>247</v>
      </c>
      <c r="AT2073">
        <v>3</v>
      </c>
      <c r="AU2073">
        <v>-3.4552230744948735</v>
      </c>
      <c r="AV2073">
        <v>4.0904377934728224E-13</v>
      </c>
    </row>
    <row r="2074" spans="44:48" x14ac:dyDescent="0.2">
      <c r="AR2074">
        <v>2066</v>
      </c>
      <c r="AS2074">
        <v>248</v>
      </c>
      <c r="AT2074">
        <v>3</v>
      </c>
      <c r="AU2074">
        <v>-3.4242825431775268</v>
      </c>
      <c r="AV2074">
        <v>6.415119381544108E-13</v>
      </c>
    </row>
    <row r="2075" spans="44:48" x14ac:dyDescent="0.2">
      <c r="AR2075">
        <v>2067</v>
      </c>
      <c r="AS2075">
        <v>249</v>
      </c>
      <c r="AT2075">
        <v>3</v>
      </c>
      <c r="AU2075">
        <v>-3.3933420118601809</v>
      </c>
      <c r="AV2075">
        <v>1.0024707144780094E-12</v>
      </c>
    </row>
    <row r="2076" spans="44:48" x14ac:dyDescent="0.2">
      <c r="AR2076">
        <v>2068</v>
      </c>
      <c r="AS2076">
        <v>250</v>
      </c>
      <c r="AT2076">
        <v>3</v>
      </c>
      <c r="AU2076">
        <v>-3.3624014805428342</v>
      </c>
      <c r="AV2076">
        <v>1.5608840651844556E-12</v>
      </c>
    </row>
    <row r="2077" spans="44:48" x14ac:dyDescent="0.2">
      <c r="AR2077">
        <v>2069</v>
      </c>
      <c r="AS2077">
        <v>251</v>
      </c>
      <c r="AT2077">
        <v>3</v>
      </c>
      <c r="AU2077">
        <v>-3.3314609492254883</v>
      </c>
      <c r="AV2077">
        <v>2.4215954998590763E-12</v>
      </c>
    </row>
    <row r="2078" spans="44:48" x14ac:dyDescent="0.2">
      <c r="AR2078">
        <v>2070</v>
      </c>
      <c r="AS2078">
        <v>252</v>
      </c>
      <c r="AT2078">
        <v>3</v>
      </c>
      <c r="AU2078">
        <v>-3.3005204179081415</v>
      </c>
      <c r="AV2078">
        <v>3.7433855187038486E-12</v>
      </c>
    </row>
    <row r="2079" spans="44:48" x14ac:dyDescent="0.2">
      <c r="AR2079">
        <v>2071</v>
      </c>
      <c r="AS2079">
        <v>253</v>
      </c>
      <c r="AT2079">
        <v>3</v>
      </c>
      <c r="AU2079">
        <v>-3.2695798865907957</v>
      </c>
      <c r="AV2079">
        <v>5.7657991818552244E-12</v>
      </c>
    </row>
    <row r="2080" spans="44:48" x14ac:dyDescent="0.2">
      <c r="AR2080">
        <v>2072</v>
      </c>
      <c r="AS2080">
        <v>254</v>
      </c>
      <c r="AT2080">
        <v>3</v>
      </c>
      <c r="AU2080">
        <v>-3.2386393552734489</v>
      </c>
      <c r="AV2080">
        <v>8.8488425899420504E-12</v>
      </c>
    </row>
    <row r="2081" spans="44:48" x14ac:dyDescent="0.2">
      <c r="AR2081">
        <v>2073</v>
      </c>
      <c r="AS2081">
        <v>255</v>
      </c>
      <c r="AT2081">
        <v>3</v>
      </c>
      <c r="AU2081">
        <v>-3.2076988239561031</v>
      </c>
      <c r="AV2081">
        <v>1.3531483995106699E-11</v>
      </c>
    </row>
    <row r="2082" spans="44:48" x14ac:dyDescent="0.2">
      <c r="AR2082">
        <v>2074</v>
      </c>
      <c r="AS2082">
        <v>256</v>
      </c>
      <c r="AT2082">
        <v>3</v>
      </c>
      <c r="AU2082">
        <v>-3.1767582926387563</v>
      </c>
      <c r="AV2082">
        <v>2.0617518264543899E-11</v>
      </c>
    </row>
    <row r="2083" spans="44:48" x14ac:dyDescent="0.2">
      <c r="AR2083">
        <v>2075</v>
      </c>
      <c r="AS2083">
        <v>257</v>
      </c>
      <c r="AT2083">
        <v>3</v>
      </c>
      <c r="AU2083">
        <v>-3.1458177613214104</v>
      </c>
      <c r="AV2083">
        <v>3.1301081901428378E-11</v>
      </c>
    </row>
    <row r="2084" spans="44:48" x14ac:dyDescent="0.2">
      <c r="AR2084">
        <v>2076</v>
      </c>
      <c r="AS2084">
        <v>258</v>
      </c>
      <c r="AT2084">
        <v>3</v>
      </c>
      <c r="AU2084">
        <v>-3.1148772300040646</v>
      </c>
      <c r="AV2084">
        <v>4.7349381567039077E-11</v>
      </c>
    </row>
    <row r="2085" spans="44:48" x14ac:dyDescent="0.2">
      <c r="AR2085">
        <v>2077</v>
      </c>
      <c r="AS2085">
        <v>259</v>
      </c>
      <c r="AT2085">
        <v>3</v>
      </c>
      <c r="AU2085">
        <v>-3.0839366986867178</v>
      </c>
      <c r="AV2085">
        <v>7.1367629922365865E-11</v>
      </c>
    </row>
    <row r="2086" spans="44:48" x14ac:dyDescent="0.2">
      <c r="AR2086">
        <v>2078</v>
      </c>
      <c r="AS2086">
        <v>260</v>
      </c>
      <c r="AT2086">
        <v>3</v>
      </c>
      <c r="AU2086">
        <v>-3.052996167369372</v>
      </c>
      <c r="AV2086">
        <v>1.071816007219558E-10</v>
      </c>
    </row>
    <row r="2087" spans="44:48" x14ac:dyDescent="0.2">
      <c r="AR2087">
        <v>2079</v>
      </c>
      <c r="AS2087">
        <v>261</v>
      </c>
      <c r="AT2087">
        <v>3</v>
      </c>
      <c r="AU2087">
        <v>-3.0220556360520252</v>
      </c>
      <c r="AV2087">
        <v>1.6038775351604465E-10</v>
      </c>
    </row>
    <row r="2088" spans="44:48" x14ac:dyDescent="0.2">
      <c r="AR2088">
        <v>2080</v>
      </c>
      <c r="AS2088">
        <v>262</v>
      </c>
      <c r="AT2088">
        <v>3</v>
      </c>
      <c r="AU2088">
        <v>-2.9911151047346785</v>
      </c>
      <c r="AV2088">
        <v>2.3914107175028608E-10</v>
      </c>
    </row>
    <row r="2089" spans="44:48" x14ac:dyDescent="0.2">
      <c r="AR2089">
        <v>2081</v>
      </c>
      <c r="AS2089">
        <v>263</v>
      </c>
      <c r="AT2089">
        <v>3</v>
      </c>
      <c r="AU2089">
        <v>-2.9601745734173335</v>
      </c>
      <c r="AV2089">
        <v>3.5527867401410222E-10</v>
      </c>
    </row>
    <row r="2090" spans="44:48" x14ac:dyDescent="0.2">
      <c r="AR2090">
        <v>2082</v>
      </c>
      <c r="AS2090">
        <v>264</v>
      </c>
      <c r="AT2090">
        <v>3</v>
      </c>
      <c r="AU2090">
        <v>-2.9292340420999867</v>
      </c>
      <c r="AV2090">
        <v>5.2591566680388684E-10</v>
      </c>
    </row>
    <row r="2091" spans="44:48" x14ac:dyDescent="0.2">
      <c r="AR2091">
        <v>2083</v>
      </c>
      <c r="AS2091">
        <v>265</v>
      </c>
      <c r="AT2091">
        <v>3</v>
      </c>
      <c r="AU2091">
        <v>-2.89829351078264</v>
      </c>
      <c r="AV2091">
        <v>7.757022993823483E-10</v>
      </c>
    </row>
    <row r="2092" spans="44:48" x14ac:dyDescent="0.2">
      <c r="AR2092">
        <v>2084</v>
      </c>
      <c r="AS2092">
        <v>266</v>
      </c>
      <c r="AT2092">
        <v>3</v>
      </c>
      <c r="AU2092">
        <v>-2.8673529794652932</v>
      </c>
      <c r="AV2092">
        <v>1.1400031473166232E-9</v>
      </c>
    </row>
    <row r="2093" spans="44:48" x14ac:dyDescent="0.2">
      <c r="AR2093">
        <v>2085</v>
      </c>
      <c r="AS2093">
        <v>267</v>
      </c>
      <c r="AT2093">
        <v>3</v>
      </c>
      <c r="AU2093">
        <v>-2.8364124481479482</v>
      </c>
      <c r="AV2093">
        <v>1.6693562330510783E-9</v>
      </c>
    </row>
    <row r="2094" spans="44:48" x14ac:dyDescent="0.2">
      <c r="AR2094">
        <v>2086</v>
      </c>
      <c r="AS2094">
        <v>268</v>
      </c>
      <c r="AT2094">
        <v>3</v>
      </c>
      <c r="AU2094">
        <v>-2.8054719168306015</v>
      </c>
      <c r="AV2094">
        <v>2.4357011261619589E-9</v>
      </c>
    </row>
    <row r="2095" spans="44:48" x14ac:dyDescent="0.2">
      <c r="AR2095">
        <v>2087</v>
      </c>
      <c r="AS2095">
        <v>269</v>
      </c>
      <c r="AT2095">
        <v>3</v>
      </c>
      <c r="AU2095">
        <v>-2.7745313855132547</v>
      </c>
      <c r="AV2095">
        <v>3.5410411362361472E-9</v>
      </c>
    </row>
    <row r="2096" spans="44:48" x14ac:dyDescent="0.2">
      <c r="AR2096">
        <v>2088</v>
      </c>
      <c r="AS2096">
        <v>270</v>
      </c>
      <c r="AT2096">
        <v>3</v>
      </c>
      <c r="AU2096">
        <v>-2.7435908541959098</v>
      </c>
      <c r="AV2096">
        <v>5.1294399297945134E-9</v>
      </c>
    </row>
    <row r="2097" spans="44:48" x14ac:dyDescent="0.2">
      <c r="AR2097">
        <v>2089</v>
      </c>
      <c r="AS2097">
        <v>271</v>
      </c>
      <c r="AT2097">
        <v>3</v>
      </c>
      <c r="AU2097">
        <v>-2.712650322878563</v>
      </c>
      <c r="AV2097">
        <v>7.4035655450836414E-9</v>
      </c>
    </row>
    <row r="2098" spans="44:48" x14ac:dyDescent="0.2">
      <c r="AR2098">
        <v>2090</v>
      </c>
      <c r="AS2098">
        <v>272</v>
      </c>
      <c r="AT2098">
        <v>3</v>
      </c>
      <c r="AU2098">
        <v>-2.6817097915612162</v>
      </c>
      <c r="AV2098">
        <v>1.0647408196486974E-8</v>
      </c>
    </row>
    <row r="2099" spans="44:48" x14ac:dyDescent="0.2">
      <c r="AR2099">
        <v>2091</v>
      </c>
      <c r="AS2099">
        <v>273</v>
      </c>
      <c r="AT2099">
        <v>3</v>
      </c>
      <c r="AU2099">
        <v>-2.6507692602438695</v>
      </c>
      <c r="AV2099">
        <v>1.5257342095971611E-8</v>
      </c>
    </row>
    <row r="2100" spans="44:48" x14ac:dyDescent="0.2">
      <c r="AR2100">
        <v>2092</v>
      </c>
      <c r="AS2100">
        <v>274</v>
      </c>
      <c r="AT2100">
        <v>3</v>
      </c>
      <c r="AU2100">
        <v>-2.6198287289265245</v>
      </c>
      <c r="AV2100">
        <v>2.1784413146742626E-8</v>
      </c>
    </row>
    <row r="2101" spans="44:48" x14ac:dyDescent="0.2">
      <c r="AR2101">
        <v>2093</v>
      </c>
      <c r="AS2101">
        <v>275</v>
      </c>
      <c r="AT2101">
        <v>3</v>
      </c>
      <c r="AU2101">
        <v>-2.5888881976091778</v>
      </c>
      <c r="AV2101">
        <v>3.0991660580601038E-8</v>
      </c>
    </row>
    <row r="2102" spans="44:48" x14ac:dyDescent="0.2">
      <c r="AR2102">
        <v>2094</v>
      </c>
      <c r="AS2102">
        <v>276</v>
      </c>
      <c r="AT2102">
        <v>3</v>
      </c>
      <c r="AU2102">
        <v>-2.557947666291831</v>
      </c>
      <c r="AV2102">
        <v>4.3931479588581578E-8</v>
      </c>
    </row>
    <row r="2103" spans="44:48" x14ac:dyDescent="0.2">
      <c r="AR2103">
        <v>2095</v>
      </c>
      <c r="AS2103">
        <v>277</v>
      </c>
      <c r="AT2103">
        <v>3</v>
      </c>
      <c r="AU2103">
        <v>-2.5270071349744843</v>
      </c>
      <c r="AV2103">
        <v>6.2049575511139077E-8</v>
      </c>
    </row>
    <row r="2104" spans="44:48" x14ac:dyDescent="0.2">
      <c r="AR2104">
        <v>2096</v>
      </c>
      <c r="AS2104">
        <v>278</v>
      </c>
      <c r="AT2104">
        <v>3</v>
      </c>
      <c r="AU2104">
        <v>-2.4960666036571393</v>
      </c>
      <c r="AV2104">
        <v>8.7324036083342913E-8</v>
      </c>
    </row>
    <row r="2105" spans="44:48" x14ac:dyDescent="0.2">
      <c r="AR2105">
        <v>2097</v>
      </c>
      <c r="AS2105">
        <v>279</v>
      </c>
      <c r="AT2105">
        <v>3</v>
      </c>
      <c r="AU2105">
        <v>-2.4651260723397925</v>
      </c>
      <c r="AV2105">
        <v>1.2245056327919658E-7</v>
      </c>
    </row>
    <row r="2106" spans="44:48" x14ac:dyDescent="0.2">
      <c r="AR2106">
        <v>2098</v>
      </c>
      <c r="AS2106">
        <v>280</v>
      </c>
      <c r="AT2106">
        <v>3</v>
      </c>
      <c r="AU2106">
        <v>-2.4341855410224458</v>
      </c>
      <c r="AV2106">
        <v>1.7108808893639832E-7</v>
      </c>
    </row>
    <row r="2107" spans="44:48" x14ac:dyDescent="0.2">
      <c r="AR2107">
        <v>2099</v>
      </c>
      <c r="AS2107">
        <v>281</v>
      </c>
      <c r="AT2107">
        <v>3</v>
      </c>
      <c r="AU2107">
        <v>-2.403245009705099</v>
      </c>
      <c r="AV2107">
        <v>2.381830018406993E-7</v>
      </c>
    </row>
    <row r="2108" spans="44:48" x14ac:dyDescent="0.2">
      <c r="AR2108">
        <v>2100</v>
      </c>
      <c r="AS2108">
        <v>282</v>
      </c>
      <c r="AT2108">
        <v>3</v>
      </c>
      <c r="AU2108">
        <v>-2.372304478387754</v>
      </c>
      <c r="AV2108">
        <v>3.3039521941158407E-7</v>
      </c>
    </row>
    <row r="2109" spans="44:48" x14ac:dyDescent="0.2">
      <c r="AR2109">
        <v>2101</v>
      </c>
      <c r="AS2109">
        <v>283</v>
      </c>
      <c r="AT2109">
        <v>3</v>
      </c>
      <c r="AU2109">
        <v>-2.3413639470704073</v>
      </c>
      <c r="AV2109">
        <v>4.5665555633988906E-7</v>
      </c>
    </row>
    <row r="2110" spans="44:48" x14ac:dyDescent="0.2">
      <c r="AR2110">
        <v>2102</v>
      </c>
      <c r="AS2110">
        <v>284</v>
      </c>
      <c r="AT2110">
        <v>3</v>
      </c>
      <c r="AU2110">
        <v>-2.3104234157530605</v>
      </c>
      <c r="AV2110">
        <v>6.2889152036869118E-7</v>
      </c>
    </row>
    <row r="2111" spans="44:48" x14ac:dyDescent="0.2">
      <c r="AR2111">
        <v>2103</v>
      </c>
      <c r="AS2111">
        <v>285</v>
      </c>
      <c r="AT2111">
        <v>3</v>
      </c>
      <c r="AU2111">
        <v>-2.2794828844357156</v>
      </c>
      <c r="AV2111">
        <v>8.6296808157871343E-7</v>
      </c>
    </row>
    <row r="2112" spans="44:48" x14ac:dyDescent="0.2">
      <c r="AR2112">
        <v>2104</v>
      </c>
      <c r="AS2112">
        <v>286</v>
      </c>
      <c r="AT2112">
        <v>3</v>
      </c>
      <c r="AU2112">
        <v>-2.2485423531183688</v>
      </c>
      <c r="AV2112">
        <v>1.1799014311514867E-6</v>
      </c>
    </row>
    <row r="2113" spans="44:48" x14ac:dyDescent="0.2">
      <c r="AR2113">
        <v>2105</v>
      </c>
      <c r="AS2113">
        <v>287</v>
      </c>
      <c r="AT2113">
        <v>3</v>
      </c>
      <c r="AU2113">
        <v>-2.2176018218010221</v>
      </c>
      <c r="AV2113">
        <v>1.607417618205062E-6</v>
      </c>
    </row>
    <row r="2114" spans="44:48" x14ac:dyDescent="0.2">
      <c r="AR2114">
        <v>2106</v>
      </c>
      <c r="AS2114">
        <v>288</v>
      </c>
      <c r="AT2114">
        <v>3</v>
      </c>
      <c r="AU2114">
        <v>-2.1866612904836753</v>
      </c>
      <c r="AV2114">
        <v>2.181944609865257E-6</v>
      </c>
    </row>
    <row r="2115" spans="44:48" x14ac:dyDescent="0.2">
      <c r="AR2115">
        <v>2107</v>
      </c>
      <c r="AS2115">
        <v>289</v>
      </c>
      <c r="AT2115">
        <v>3</v>
      </c>
      <c r="AU2115">
        <v>-2.1557207591663303</v>
      </c>
      <c r="AV2115">
        <v>2.9511461667028861E-6</v>
      </c>
    </row>
    <row r="2116" spans="44:48" x14ac:dyDescent="0.2">
      <c r="AR2116">
        <v>2108</v>
      </c>
      <c r="AS2116">
        <v>290</v>
      </c>
      <c r="AT2116">
        <v>3</v>
      </c>
      <c r="AU2116">
        <v>-2.1247802278489836</v>
      </c>
      <c r="AV2116">
        <v>3.977129385667748E-6</v>
      </c>
    </row>
    <row r="2117" spans="44:48" x14ac:dyDescent="0.2">
      <c r="AR2117">
        <v>2109</v>
      </c>
      <c r="AS2117">
        <v>291</v>
      </c>
      <c r="AT2117">
        <v>3</v>
      </c>
      <c r="AU2117">
        <v>-2.0938396965316368</v>
      </c>
      <c r="AV2117">
        <v>5.3404852608676254E-6</v>
      </c>
    </row>
    <row r="2118" spans="44:48" x14ac:dyDescent="0.2">
      <c r="AR2118">
        <v>2110</v>
      </c>
      <c r="AS2118">
        <v>292</v>
      </c>
      <c r="AT2118">
        <v>3</v>
      </c>
      <c r="AU2118">
        <v>-2.0628991652142901</v>
      </c>
      <c r="AV2118">
        <v>7.145353557992456E-6</v>
      </c>
    </row>
    <row r="2119" spans="44:48" x14ac:dyDescent="0.2">
      <c r="AR2119">
        <v>2111</v>
      </c>
      <c r="AS2119">
        <v>293</v>
      </c>
      <c r="AT2119">
        <v>3</v>
      </c>
      <c r="AU2119">
        <v>-2.0319586338969451</v>
      </c>
      <c r="AV2119">
        <v>9.5257400590258488E-6</v>
      </c>
    </row>
    <row r="2120" spans="44:48" x14ac:dyDescent="0.2">
      <c r="AR2120">
        <v>2112</v>
      </c>
      <c r="AS2120">
        <v>294</v>
      </c>
      <c r="AT2120">
        <v>3</v>
      </c>
      <c r="AU2120">
        <v>-2.0010181025795983</v>
      </c>
      <c r="AV2120">
        <v>1.2653356106032177E-5</v>
      </c>
    </row>
    <row r="2121" spans="44:48" x14ac:dyDescent="0.2">
      <c r="AR2121">
        <v>2113</v>
      </c>
      <c r="AS2121">
        <v>295</v>
      </c>
      <c r="AT2121">
        <v>3</v>
      </c>
      <c r="AU2121">
        <v>-1.9700775712622516</v>
      </c>
      <c r="AV2121">
        <v>1.67472975410972E-5</v>
      </c>
    </row>
    <row r="2122" spans="44:48" x14ac:dyDescent="0.2">
      <c r="AR2122">
        <v>2114</v>
      </c>
      <c r="AS2122">
        <v>296</v>
      </c>
      <c r="AT2122">
        <v>3</v>
      </c>
      <c r="AU2122">
        <v>-1.9391370399449066</v>
      </c>
      <c r="AV2122">
        <v>2.2085932631057966E-5</v>
      </c>
    </row>
    <row r="2123" spans="44:48" x14ac:dyDescent="0.2">
      <c r="AR2123">
        <v>2115</v>
      </c>
      <c r="AS2123">
        <v>297</v>
      </c>
      <c r="AT2123">
        <v>3</v>
      </c>
      <c r="AU2123">
        <v>-1.9081965086275599</v>
      </c>
      <c r="AV2123">
        <v>2.9021426195115978E-5</v>
      </c>
    </row>
    <row r="2124" spans="44:48" x14ac:dyDescent="0.2">
      <c r="AR2124">
        <v>2116</v>
      </c>
      <c r="AS2124">
        <v>298</v>
      </c>
      <c r="AT2124">
        <v>3</v>
      </c>
      <c r="AU2124">
        <v>-1.8772559773102131</v>
      </c>
      <c r="AV2124">
        <v>3.7997389460433022E-5</v>
      </c>
    </row>
    <row r="2125" spans="44:48" x14ac:dyDescent="0.2">
      <c r="AR2125">
        <v>2117</v>
      </c>
      <c r="AS2125">
        <v>299</v>
      </c>
      <c r="AT2125">
        <v>3</v>
      </c>
      <c r="AU2125">
        <v>-1.8463154459928663</v>
      </c>
      <c r="AV2125">
        <v>4.9570211350393561E-5</v>
      </c>
    </row>
    <row r="2126" spans="44:48" x14ac:dyDescent="0.2">
      <c r="AR2126">
        <v>2118</v>
      </c>
      <c r="AS2126">
        <v>300</v>
      </c>
      <c r="AT2126">
        <v>3</v>
      </c>
      <c r="AU2126">
        <v>-1.8153749146755214</v>
      </c>
      <c r="AV2126">
        <v>6.4434695737534885E-5</v>
      </c>
    </row>
    <row r="2127" spans="44:48" x14ac:dyDescent="0.2">
      <c r="AR2127">
        <v>2119</v>
      </c>
      <c r="AS2127">
        <v>301</v>
      </c>
      <c r="AT2127">
        <v>3</v>
      </c>
      <c r="AU2127">
        <v>-1.7844343833581746</v>
      </c>
      <c r="AV2127">
        <v>8.3454698944902963E-5</v>
      </c>
    </row>
    <row r="2128" spans="44:48" x14ac:dyDescent="0.2">
      <c r="AR2128">
        <v>2120</v>
      </c>
      <c r="AS2128">
        <v>302</v>
      </c>
      <c r="AT2128">
        <v>3</v>
      </c>
      <c r="AU2128">
        <v>-1.7534938520408279</v>
      </c>
      <c r="AV2128">
        <v>1.0769953015501566E-4</v>
      </c>
    </row>
    <row r="2129" spans="44:48" x14ac:dyDescent="0.2">
      <c r="AR2129">
        <v>2121</v>
      </c>
      <c r="AS2129">
        <v>303</v>
      </c>
      <c r="AT2129">
        <v>3</v>
      </c>
      <c r="AU2129">
        <v>-1.7225533207234811</v>
      </c>
      <c r="AV2129">
        <v>1.3848694143149215E-4</v>
      </c>
    </row>
    <row r="2130" spans="44:48" x14ac:dyDescent="0.2">
      <c r="AR2130">
        <v>2122</v>
      </c>
      <c r="AS2130">
        <v>304</v>
      </c>
      <c r="AT2130">
        <v>3</v>
      </c>
      <c r="AU2130">
        <v>-1.6916127894061361</v>
      </c>
      <c r="AV2130">
        <v>1.7743359010288272E-4</v>
      </c>
    </row>
    <row r="2131" spans="44:48" x14ac:dyDescent="0.2">
      <c r="AR2131">
        <v>2123</v>
      </c>
      <c r="AS2131">
        <v>305</v>
      </c>
      <c r="AT2131">
        <v>3</v>
      </c>
      <c r="AU2131">
        <v>-1.6606722580887894</v>
      </c>
      <c r="AV2131">
        <v>2.265138998604361E-4</v>
      </c>
    </row>
    <row r="2132" spans="44:48" x14ac:dyDescent="0.2">
      <c r="AR2132">
        <v>2124</v>
      </c>
      <c r="AS2132">
        <v>306</v>
      </c>
      <c r="AT2132">
        <v>3</v>
      </c>
      <c r="AU2132">
        <v>-1.6297317267714426</v>
      </c>
      <c r="AV2132">
        <v>2.8812827284314046E-4</v>
      </c>
    </row>
    <row r="2133" spans="44:48" x14ac:dyDescent="0.2">
      <c r="AR2133">
        <v>2125</v>
      </c>
      <c r="AS2133">
        <v>307</v>
      </c>
      <c r="AT2133">
        <v>3</v>
      </c>
      <c r="AU2133">
        <v>-1.5987911954540959</v>
      </c>
      <c r="AV2133">
        <v>3.651816071921458E-4</v>
      </c>
    </row>
    <row r="2134" spans="44:48" x14ac:dyDescent="0.2">
      <c r="AR2134">
        <v>2126</v>
      </c>
      <c r="AS2134">
        <v>308</v>
      </c>
      <c r="AT2134">
        <v>3</v>
      </c>
      <c r="AU2134">
        <v>-1.5678506641367509</v>
      </c>
      <c r="AV2134">
        <v>4.6117304626804945E-4</v>
      </c>
    </row>
    <row r="2135" spans="44:48" x14ac:dyDescent="0.2">
      <c r="AR2135">
        <v>2127</v>
      </c>
      <c r="AS2135">
        <v>309</v>
      </c>
      <c r="AT2135">
        <v>3</v>
      </c>
      <c r="AU2135">
        <v>-1.5369101328194041</v>
      </c>
      <c r="AV2135">
        <v>5.8029781949447067E-4</v>
      </c>
    </row>
    <row r="2136" spans="44:48" x14ac:dyDescent="0.2">
      <c r="AR2136">
        <v>2128</v>
      </c>
      <c r="AS2136">
        <v>310</v>
      </c>
      <c r="AT2136">
        <v>3</v>
      </c>
      <c r="AU2136">
        <v>-1.5059696015020574</v>
      </c>
      <c r="AV2136">
        <v>7.275619226638925E-4</v>
      </c>
    </row>
    <row r="2137" spans="44:48" x14ac:dyDescent="0.2">
      <c r="AR2137">
        <v>2129</v>
      </c>
      <c r="AS2137">
        <v>311</v>
      </c>
      <c r="AT2137">
        <v>3</v>
      </c>
      <c r="AU2137">
        <v>-1.4750290701847124</v>
      </c>
      <c r="AV2137">
        <v>9.0891021926645642E-4</v>
      </c>
    </row>
    <row r="2138" spans="44:48" x14ac:dyDescent="0.2">
      <c r="AR2138">
        <v>2130</v>
      </c>
      <c r="AS2138">
        <v>312</v>
      </c>
      <c r="AT2138">
        <v>3</v>
      </c>
      <c r="AU2138">
        <v>-1.4440885388673657</v>
      </c>
      <c r="AV2138">
        <v>1.1313683157196451E-3</v>
      </c>
    </row>
    <row r="2139" spans="44:48" x14ac:dyDescent="0.2">
      <c r="AR2139">
        <v>2131</v>
      </c>
      <c r="AS2139">
        <v>313</v>
      </c>
      <c r="AT2139">
        <v>3</v>
      </c>
      <c r="AU2139">
        <v>-1.4131480075500189</v>
      </c>
      <c r="AV2139">
        <v>1.403198264385417E-3</v>
      </c>
    </row>
    <row r="2140" spans="44:48" x14ac:dyDescent="0.2">
      <c r="AR2140">
        <v>2132</v>
      </c>
      <c r="AS2140">
        <v>314</v>
      </c>
      <c r="AT2140">
        <v>3</v>
      </c>
      <c r="AU2140">
        <v>-1.3822074762326721</v>
      </c>
      <c r="AV2140">
        <v>1.7340677718609423E-3</v>
      </c>
    </row>
    <row r="2141" spans="44:48" x14ac:dyDescent="0.2">
      <c r="AR2141">
        <v>2133</v>
      </c>
      <c r="AS2141">
        <v>315</v>
      </c>
      <c r="AT2141">
        <v>3</v>
      </c>
      <c r="AU2141">
        <v>-1.3512669449153272</v>
      </c>
      <c r="AV2141">
        <v>2.135232130436847E-3</v>
      </c>
    </row>
    <row r="2142" spans="44:48" x14ac:dyDescent="0.2">
      <c r="AR2142">
        <v>2134</v>
      </c>
      <c r="AS2142">
        <v>316</v>
      </c>
      <c r="AT2142">
        <v>3</v>
      </c>
      <c r="AU2142">
        <v>-1.3203264135979804</v>
      </c>
      <c r="AV2142">
        <v>2.6197275439582587E-3</v>
      </c>
    </row>
    <row r="2143" spans="44:48" x14ac:dyDescent="0.2">
      <c r="AR2143">
        <v>2135</v>
      </c>
      <c r="AS2143">
        <v>317</v>
      </c>
      <c r="AT2143">
        <v>3</v>
      </c>
      <c r="AU2143">
        <v>-1.2893858822806337</v>
      </c>
      <c r="AV2143">
        <v>3.2025738842666267E-3</v>
      </c>
    </row>
    <row r="2144" spans="44:48" x14ac:dyDescent="0.2">
      <c r="AR2144">
        <v>2136</v>
      </c>
      <c r="AS2144">
        <v>318</v>
      </c>
      <c r="AT2144">
        <v>3</v>
      </c>
      <c r="AU2144">
        <v>-1.2584453509632869</v>
      </c>
      <c r="AV2144">
        <v>3.9009841928347756E-3</v>
      </c>
    </row>
    <row r="2145" spans="44:48" x14ac:dyDescent="0.2">
      <c r="AR2145">
        <v>2137</v>
      </c>
      <c r="AS2145">
        <v>319</v>
      </c>
      <c r="AT2145">
        <v>3</v>
      </c>
      <c r="AU2145">
        <v>-1.2275048196459419</v>
      </c>
      <c r="AV2145">
        <v>4.7345774399189166E-3</v>
      </c>
    </row>
    <row r="2146" spans="44:48" x14ac:dyDescent="0.2">
      <c r="AR2146">
        <v>2138</v>
      </c>
      <c r="AS2146">
        <v>320</v>
      </c>
      <c r="AT2146">
        <v>3</v>
      </c>
      <c r="AU2146">
        <v>-1.1965642883285952</v>
      </c>
      <c r="AV2146">
        <v>5.7255901808832129E-3</v>
      </c>
    </row>
    <row r="2147" spans="44:48" x14ac:dyDescent="0.2">
      <c r="AR2147">
        <v>2139</v>
      </c>
      <c r="AS2147">
        <v>321</v>
      </c>
      <c r="AT2147">
        <v>3</v>
      </c>
      <c r="AU2147">
        <v>-1.1656237570112484</v>
      </c>
      <c r="AV2147">
        <v>6.899081821781913E-3</v>
      </c>
    </row>
    <row r="2148" spans="44:48" x14ac:dyDescent="0.2">
      <c r="AR2148">
        <v>2140</v>
      </c>
      <c r="AS2148">
        <v>322</v>
      </c>
      <c r="AT2148">
        <v>3</v>
      </c>
      <c r="AU2148">
        <v>-1.1346832256939035</v>
      </c>
      <c r="AV2148">
        <v>8.2831272449088722E-3</v>
      </c>
    </row>
    <row r="2149" spans="44:48" x14ac:dyDescent="0.2">
      <c r="AR2149">
        <v>2141</v>
      </c>
      <c r="AS2149">
        <v>323</v>
      </c>
      <c r="AT2149">
        <v>3</v>
      </c>
      <c r="AU2149">
        <v>-1.1037426943765567</v>
      </c>
      <c r="AV2149">
        <v>9.9089895768592982E-3</v>
      </c>
    </row>
    <row r="2150" spans="44:48" x14ac:dyDescent="0.2">
      <c r="AR2150">
        <v>2142</v>
      </c>
      <c r="AS2150">
        <v>324</v>
      </c>
      <c r="AT2150">
        <v>3</v>
      </c>
      <c r="AU2150">
        <v>-1.0728021630592099</v>
      </c>
      <c r="AV2150">
        <v>1.1811264939737422E-2</v>
      </c>
    </row>
    <row r="2151" spans="44:48" x14ac:dyDescent="0.2">
      <c r="AR2151">
        <v>2143</v>
      </c>
      <c r="AS2151">
        <v>325</v>
      </c>
      <c r="AT2151">
        <v>3</v>
      </c>
      <c r="AU2151">
        <v>-1.0418616317418632</v>
      </c>
      <c r="AV2151">
        <v>1.402799014938981E-2</v>
      </c>
    </row>
    <row r="2152" spans="44:48" x14ac:dyDescent="0.2">
      <c r="AR2152">
        <v>2144</v>
      </c>
      <c r="AS2152">
        <v>326</v>
      </c>
      <c r="AT2152">
        <v>3</v>
      </c>
      <c r="AU2152">
        <v>-1.0109211004245182</v>
      </c>
      <c r="AV2152">
        <v>1.6600703557212434E-2</v>
      </c>
    </row>
    <row r="2153" spans="44:48" x14ac:dyDescent="0.2">
      <c r="AR2153">
        <v>2145</v>
      </c>
      <c r="AS2153">
        <v>327</v>
      </c>
      <c r="AT2153">
        <v>3</v>
      </c>
      <c r="AU2153">
        <v>-0.97998056910717146</v>
      </c>
      <c r="AV2153">
        <v>1.9574448623006349E-2</v>
      </c>
    </row>
    <row r="2154" spans="44:48" x14ac:dyDescent="0.2">
      <c r="AR2154">
        <v>2146</v>
      </c>
      <c r="AS2154">
        <v>328</v>
      </c>
      <c r="AT2154">
        <v>3</v>
      </c>
      <c r="AU2154">
        <v>-0.94904003778982471</v>
      </c>
      <c r="AV2154">
        <v>2.2997709407684447E-2</v>
      </c>
    </row>
    <row r="2155" spans="44:48" x14ac:dyDescent="0.2">
      <c r="AR2155">
        <v>2147</v>
      </c>
      <c r="AS2155">
        <v>329</v>
      </c>
      <c r="AT2155">
        <v>3</v>
      </c>
      <c r="AU2155">
        <v>-0.91809950647247796</v>
      </c>
      <c r="AV2155">
        <v>2.6922267040266512E-2</v>
      </c>
    </row>
    <row r="2156" spans="44:48" x14ac:dyDescent="0.2">
      <c r="AR2156">
        <v>2148</v>
      </c>
      <c r="AS2156">
        <v>330</v>
      </c>
      <c r="AT2156">
        <v>3</v>
      </c>
      <c r="AU2156">
        <v>-0.88715897515513298</v>
      </c>
      <c r="AV2156">
        <v>3.1402966397143552E-2</v>
      </c>
    </row>
    <row r="2157" spans="44:48" x14ac:dyDescent="0.2">
      <c r="AR2157">
        <v>2149</v>
      </c>
      <c r="AS2157">
        <v>331</v>
      </c>
      <c r="AT2157">
        <v>3</v>
      </c>
      <c r="AU2157">
        <v>-0.85621844383778623</v>
      </c>
      <c r="AV2157">
        <v>3.6497382784075279E-2</v>
      </c>
    </row>
    <row r="2158" spans="44:48" x14ac:dyDescent="0.2">
      <c r="AR2158">
        <v>2150</v>
      </c>
      <c r="AS2158">
        <v>332</v>
      </c>
      <c r="AT2158">
        <v>3</v>
      </c>
      <c r="AU2158">
        <v>-0.82527791252043947</v>
      </c>
      <c r="AV2158">
        <v>4.2265379378512283E-2</v>
      </c>
    </row>
    <row r="2159" spans="44:48" x14ac:dyDescent="0.2">
      <c r="AR2159">
        <v>2151</v>
      </c>
      <c r="AS2159">
        <v>333</v>
      </c>
      <c r="AT2159">
        <v>3</v>
      </c>
      <c r="AU2159">
        <v>-0.79433738120309272</v>
      </c>
      <c r="AV2159">
        <v>4.8768547609197729E-2</v>
      </c>
    </row>
    <row r="2160" spans="44:48" x14ac:dyDescent="0.2">
      <c r="AR2160">
        <v>2152</v>
      </c>
      <c r="AS2160">
        <v>334</v>
      </c>
      <c r="AT2160">
        <v>3</v>
      </c>
      <c r="AU2160">
        <v>-0.76339684988574774</v>
      </c>
      <c r="AV2160">
        <v>5.6069524547946357E-2</v>
      </c>
    </row>
    <row r="2161" spans="44:48" x14ac:dyDescent="0.2">
      <c r="AR2161">
        <v>2153</v>
      </c>
      <c r="AS2161">
        <v>335</v>
      </c>
      <c r="AT2161">
        <v>3</v>
      </c>
      <c r="AU2161">
        <v>-0.73245631856840099</v>
      </c>
      <c r="AV2161">
        <v>6.4231183777262779E-2</v>
      </c>
    </row>
    <row r="2162" spans="44:48" x14ac:dyDescent="0.2">
      <c r="AR2162">
        <v>2154</v>
      </c>
      <c r="AS2162">
        <v>336</v>
      </c>
      <c r="AT2162">
        <v>3</v>
      </c>
      <c r="AU2162">
        <v>-0.70151578725105423</v>
      </c>
      <c r="AV2162">
        <v>7.3315699072179399E-2</v>
      </c>
    </row>
    <row r="2163" spans="44:48" x14ac:dyDescent="0.2">
      <c r="AR2163">
        <v>2155</v>
      </c>
      <c r="AS2163">
        <v>337</v>
      </c>
      <c r="AT2163">
        <v>3</v>
      </c>
      <c r="AU2163">
        <v>-0.67057525593370926</v>
      </c>
      <c r="AV2163">
        <v>8.3383483571057349E-2</v>
      </c>
    </row>
    <row r="2164" spans="44:48" x14ac:dyDescent="0.2">
      <c r="AR2164">
        <v>2156</v>
      </c>
      <c r="AS2164">
        <v>338</v>
      </c>
      <c r="AT2164">
        <v>3</v>
      </c>
      <c r="AU2164">
        <v>-0.6396347246163625</v>
      </c>
      <c r="AV2164">
        <v>9.4492010862148951E-2</v>
      </c>
    </row>
    <row r="2165" spans="44:48" x14ac:dyDescent="0.2">
      <c r="AR2165">
        <v>2157</v>
      </c>
      <c r="AS2165">
        <v>339</v>
      </c>
      <c r="AT2165">
        <v>3</v>
      </c>
      <c r="AU2165">
        <v>-0.60869419329901575</v>
      </c>
      <c r="AV2165">
        <v>0.10669452851175554</v>
      </c>
    </row>
    <row r="2166" spans="44:48" x14ac:dyDescent="0.2">
      <c r="AR2166">
        <v>2158</v>
      </c>
      <c r="AS2166">
        <v>340</v>
      </c>
      <c r="AT2166">
        <v>3</v>
      </c>
      <c r="AU2166">
        <v>-0.577753661981669</v>
      </c>
      <c r="AV2166">
        <v>0.12003867891378539</v>
      </c>
    </row>
    <row r="2167" spans="44:48" x14ac:dyDescent="0.2">
      <c r="AR2167">
        <v>2159</v>
      </c>
      <c r="AS2167">
        <v>341</v>
      </c>
      <c r="AT2167">
        <v>3</v>
      </c>
      <c r="AU2167">
        <v>-0.54681313066432402</v>
      </c>
      <c r="AV2167">
        <v>0.13456504683455942</v>
      </c>
    </row>
    <row r="2168" spans="44:48" x14ac:dyDescent="0.2">
      <c r="AR2168">
        <v>2160</v>
      </c>
      <c r="AS2168">
        <v>342</v>
      </c>
      <c r="AT2168">
        <v>3</v>
      </c>
      <c r="AU2168">
        <v>-0.51587259934697727</v>
      </c>
      <c r="AV2168">
        <v>0.15030565752501152</v>
      </c>
    </row>
    <row r="2169" spans="44:48" x14ac:dyDescent="0.2">
      <c r="AR2169">
        <v>2161</v>
      </c>
      <c r="AS2169">
        <v>343</v>
      </c>
      <c r="AT2169">
        <v>3</v>
      </c>
      <c r="AU2169">
        <v>-0.48493206802963051</v>
      </c>
      <c r="AV2169">
        <v>0.16728245362081898</v>
      </c>
    </row>
    <row r="2170" spans="44:48" x14ac:dyDescent="0.2">
      <c r="AR2170">
        <v>2162</v>
      </c>
      <c r="AS2170">
        <v>344</v>
      </c>
      <c r="AT2170">
        <v>3</v>
      </c>
      <c r="AU2170">
        <v>-0.45399153671228376</v>
      </c>
      <c r="AV2170">
        <v>0.18550578308134735</v>
      </c>
    </row>
    <row r="2171" spans="44:48" x14ac:dyDescent="0.2">
      <c r="AR2171">
        <v>2163</v>
      </c>
      <c r="AS2171">
        <v>345</v>
      </c>
      <c r="AT2171">
        <v>3</v>
      </c>
      <c r="AU2171">
        <v>-0.42305100539493878</v>
      </c>
      <c r="AV2171">
        <v>0.204972933953424</v>
      </c>
    </row>
    <row r="2172" spans="44:48" x14ac:dyDescent="0.2">
      <c r="AR2172">
        <v>2164</v>
      </c>
      <c r="AS2172">
        <v>346</v>
      </c>
      <c r="AT2172">
        <v>3</v>
      </c>
      <c r="AU2172">
        <v>-0.39211047407759203</v>
      </c>
      <c r="AV2172">
        <v>0.22566675460635288</v>
      </c>
    </row>
    <row r="2173" spans="44:48" x14ac:dyDescent="0.2">
      <c r="AR2173">
        <v>2165</v>
      </c>
      <c r="AS2173">
        <v>347</v>
      </c>
      <c r="AT2173">
        <v>3</v>
      </c>
      <c r="AU2173">
        <v>-0.36116994276024528</v>
      </c>
      <c r="AV2173">
        <v>0.2475544000951776</v>
      </c>
    </row>
    <row r="2174" spans="44:48" x14ac:dyDescent="0.2">
      <c r="AR2174">
        <v>2166</v>
      </c>
      <c r="AS2174">
        <v>348</v>
      </c>
      <c r="AT2174">
        <v>3</v>
      </c>
      <c r="AU2174">
        <v>-0.3302294114429003</v>
      </c>
      <c r="AV2174">
        <v>0.2705862463076148</v>
      </c>
    </row>
    <row r="2175" spans="44:48" x14ac:dyDescent="0.2">
      <c r="AR2175">
        <v>2167</v>
      </c>
      <c r="AS2175">
        <v>349</v>
      </c>
      <c r="AT2175">
        <v>3</v>
      </c>
      <c r="AU2175">
        <v>-0.29928888012555355</v>
      </c>
      <c r="AV2175">
        <v>0.29469501339429049</v>
      </c>
    </row>
    <row r="2176" spans="44:48" x14ac:dyDescent="0.2">
      <c r="AR2176">
        <v>2168</v>
      </c>
      <c r="AS2176">
        <v>350</v>
      </c>
      <c r="AT2176">
        <v>3</v>
      </c>
      <c r="AU2176">
        <v>-0.26834834880820679</v>
      </c>
      <c r="AV2176">
        <v>0.31979513855882385</v>
      </c>
    </row>
    <row r="2177" spans="44:48" x14ac:dyDescent="0.2">
      <c r="AR2177">
        <v>2169</v>
      </c>
      <c r="AS2177">
        <v>351</v>
      </c>
      <c r="AT2177">
        <v>3</v>
      </c>
      <c r="AU2177">
        <v>-0.23740781749086004</v>
      </c>
      <c r="AV2177">
        <v>0.34578243551706378</v>
      </c>
    </row>
    <row r="2178" spans="44:48" x14ac:dyDescent="0.2">
      <c r="AR2178">
        <v>2170</v>
      </c>
      <c r="AS2178">
        <v>352</v>
      </c>
      <c r="AT2178">
        <v>3</v>
      </c>
      <c r="AU2178">
        <v>-0.20646728617351506</v>
      </c>
      <c r="AV2178">
        <v>0.37253407378950065</v>
      </c>
    </row>
    <row r="2179" spans="44:48" x14ac:dyDescent="0.2">
      <c r="AR2179">
        <v>2171</v>
      </c>
      <c r="AS2179">
        <v>353</v>
      </c>
      <c r="AT2179">
        <v>3</v>
      </c>
      <c r="AU2179">
        <v>-0.17552675485616831</v>
      </c>
      <c r="AV2179">
        <v>0.39990890548249641</v>
      </c>
    </row>
    <row r="2180" spans="44:48" x14ac:dyDescent="0.2">
      <c r="AR2180">
        <v>2172</v>
      </c>
      <c r="AS2180">
        <v>354</v>
      </c>
      <c r="AT2180">
        <v>3</v>
      </c>
      <c r="AU2180">
        <v>-0.14458622353882156</v>
      </c>
      <c r="AV2180">
        <v>0.42774816040950359</v>
      </c>
    </row>
    <row r="2181" spans="44:48" x14ac:dyDescent="0.2">
      <c r="AR2181">
        <v>2173</v>
      </c>
      <c r="AS2181">
        <v>355</v>
      </c>
      <c r="AT2181">
        <v>3</v>
      </c>
      <c r="AU2181">
        <v>-0.1136456922214748</v>
      </c>
      <c r="AV2181">
        <v>0.45587652242434146</v>
      </c>
    </row>
    <row r="2182" spans="44:48" x14ac:dyDescent="0.2">
      <c r="AR2182">
        <v>2174</v>
      </c>
      <c r="AS2182">
        <v>356</v>
      </c>
      <c r="AT2182">
        <v>3</v>
      </c>
      <c r="AU2182">
        <v>-8.2705160904129826E-2</v>
      </c>
      <c r="AV2182">
        <v>0.48410359085961963</v>
      </c>
    </row>
    <row r="2183" spans="44:48" x14ac:dyDescent="0.2">
      <c r="AR2183">
        <v>2175</v>
      </c>
      <c r="AS2183">
        <v>357</v>
      </c>
      <c r="AT2183">
        <v>3</v>
      </c>
      <c r="AU2183">
        <v>-5.1764629586783073E-2</v>
      </c>
      <c r="AV2183">
        <v>0.51222572121044585</v>
      </c>
    </row>
    <row r="2184" spans="44:48" x14ac:dyDescent="0.2">
      <c r="AR2184">
        <v>2176</v>
      </c>
      <c r="AS2184">
        <v>358</v>
      </c>
      <c r="AT2184">
        <v>3</v>
      </c>
      <c r="AU2184">
        <v>-2.082409826943632E-2</v>
      </c>
      <c r="AV2184">
        <v>0.54002822894742275</v>
      </c>
    </row>
    <row r="2185" spans="44:48" x14ac:dyDescent="0.2">
      <c r="AR2185">
        <v>2177</v>
      </c>
      <c r="AS2185">
        <v>359</v>
      </c>
      <c r="AT2185">
        <v>3</v>
      </c>
      <c r="AU2185">
        <v>1.0116433047910434E-2</v>
      </c>
      <c r="AV2185">
        <v>0.56728792989230148</v>
      </c>
    </row>
    <row r="2186" spans="44:48" x14ac:dyDescent="0.2">
      <c r="AR2186">
        <v>2178</v>
      </c>
      <c r="AS2186">
        <v>360</v>
      </c>
      <c r="AT2186">
        <v>3</v>
      </c>
      <c r="AU2186">
        <v>4.1056964365255411E-2</v>
      </c>
      <c r="AV2186">
        <v>0.59377598028018774</v>
      </c>
    </row>
    <row r="2187" spans="44:48" x14ac:dyDescent="0.2">
      <c r="AR2187">
        <v>2179</v>
      </c>
      <c r="AS2187">
        <v>361</v>
      </c>
      <c r="AT2187">
        <v>3</v>
      </c>
      <c r="AU2187">
        <v>7.1997495682602164E-2</v>
      </c>
      <c r="AV2187">
        <v>0.61926096981553003</v>
      </c>
    </row>
    <row r="2188" spans="44:48" x14ac:dyDescent="0.2">
      <c r="AR2188">
        <v>2180</v>
      </c>
      <c r="AS2188">
        <v>362</v>
      </c>
      <c r="AT2188">
        <v>3</v>
      </c>
      <c r="AU2188">
        <v>0.10293802699994892</v>
      </c>
      <c r="AV2188">
        <v>0.64351221205863973</v>
      </c>
    </row>
    <row r="2189" spans="44:48" x14ac:dyDescent="0.2">
      <c r="AR2189">
        <v>2181</v>
      </c>
      <c r="AS2189">
        <v>363</v>
      </c>
      <c r="AT2189">
        <v>3</v>
      </c>
      <c r="AU2189">
        <v>0.13387855831729389</v>
      </c>
      <c r="AV2189">
        <v>0.66630316869691841</v>
      </c>
    </row>
    <row r="2190" spans="44:48" x14ac:dyDescent="0.2">
      <c r="AR2190">
        <v>2182</v>
      </c>
      <c r="AS2190">
        <v>364</v>
      </c>
      <c r="AT2190">
        <v>3</v>
      </c>
      <c r="AU2190">
        <v>0.16481908963464065</v>
      </c>
      <c r="AV2190">
        <v>0.68741493797514608</v>
      </c>
    </row>
    <row r="2191" spans="44:48" x14ac:dyDescent="0.2">
      <c r="AR2191">
        <v>2183</v>
      </c>
      <c r="AS2191">
        <v>365</v>
      </c>
      <c r="AT2191">
        <v>3</v>
      </c>
      <c r="AU2191">
        <v>0.1957596209519874</v>
      </c>
      <c r="AV2191">
        <v>0.7066397330568116</v>
      </c>
    </row>
    <row r="2192" spans="44:48" x14ac:dyDescent="0.2">
      <c r="AR2192">
        <v>2184</v>
      </c>
      <c r="AS2192">
        <v>366</v>
      </c>
      <c r="AT2192">
        <v>3</v>
      </c>
      <c r="AU2192">
        <v>0.22670015226933415</v>
      </c>
      <c r="AV2192">
        <v>0.72378427358467334</v>
      </c>
    </row>
    <row r="2193" spans="44:48" x14ac:dyDescent="0.2">
      <c r="AR2193">
        <v>2185</v>
      </c>
      <c r="AS2193">
        <v>367</v>
      </c>
      <c r="AT2193">
        <v>3</v>
      </c>
      <c r="AU2193">
        <v>0.25764068358667913</v>
      </c>
      <c r="AV2193">
        <v>0.73867301336014191</v>
      </c>
    </row>
    <row r="2194" spans="44:48" x14ac:dyDescent="0.2">
      <c r="AR2194">
        <v>2186</v>
      </c>
      <c r="AS2194">
        <v>368</v>
      </c>
      <c r="AT2194">
        <v>3</v>
      </c>
      <c r="AU2194">
        <v>0.28858121490402588</v>
      </c>
      <c r="AV2194">
        <v>0.7511511289513777</v>
      </c>
    </row>
    <row r="2195" spans="44:48" x14ac:dyDescent="0.2">
      <c r="AR2195">
        <v>2187</v>
      </c>
      <c r="AS2195">
        <v>369</v>
      </c>
      <c r="AT2195">
        <v>3</v>
      </c>
      <c r="AU2195">
        <v>0.31952174622137264</v>
      </c>
      <c r="AV2195">
        <v>0.76108719817367387</v>
      </c>
    </row>
    <row r="2196" spans="44:48" x14ac:dyDescent="0.2">
      <c r="AR2196">
        <v>2188</v>
      </c>
      <c r="AS2196">
        <v>370</v>
      </c>
      <c r="AT2196">
        <v>3</v>
      </c>
      <c r="AU2196">
        <v>0.35046227753871939</v>
      </c>
      <c r="AV2196">
        <v>0.76837550368599972</v>
      </c>
    </row>
    <row r="2197" spans="44:48" x14ac:dyDescent="0.2">
      <c r="AR2197">
        <v>2189</v>
      </c>
      <c r="AS2197">
        <v>371</v>
      </c>
      <c r="AT2197">
        <v>3</v>
      </c>
      <c r="AU2197">
        <v>0.38140280885606437</v>
      </c>
      <c r="AV2197">
        <v>0.77293790525700246</v>
      </c>
    </row>
    <row r="2198" spans="44:48" x14ac:dyDescent="0.2">
      <c r="AR2198">
        <v>2190</v>
      </c>
      <c r="AS2198">
        <v>372</v>
      </c>
      <c r="AT2198">
        <v>3</v>
      </c>
      <c r="AU2198">
        <v>0.41234334017341112</v>
      </c>
      <c r="AV2198">
        <v>0.77472523433896479</v>
      </c>
    </row>
    <row r="2199" spans="44:48" x14ac:dyDescent="0.2">
      <c r="AR2199">
        <v>2191</v>
      </c>
      <c r="AS2199">
        <v>373</v>
      </c>
      <c r="AT2199">
        <v>3</v>
      </c>
      <c r="AU2199">
        <v>0.44328387149075787</v>
      </c>
      <c r="AV2199">
        <v>0.77371817614751548</v>
      </c>
    </row>
    <row r="2200" spans="44:48" x14ac:dyDescent="0.2">
      <c r="AR2200">
        <v>2192</v>
      </c>
      <c r="AS2200">
        <v>374</v>
      </c>
      <c r="AT2200">
        <v>3</v>
      </c>
      <c r="AU2200">
        <v>0.47422440280810285</v>
      </c>
      <c r="AV2200">
        <v>0.76992761711948443</v>
      </c>
    </row>
    <row r="2201" spans="44:48" x14ac:dyDescent="0.2">
      <c r="AR2201">
        <v>2193</v>
      </c>
      <c r="AS2201">
        <v>375</v>
      </c>
      <c r="AT2201">
        <v>3</v>
      </c>
      <c r="AU2201">
        <v>0.50516493412544961</v>
      </c>
      <c r="AV2201">
        <v>0.76339444900870657</v>
      </c>
    </row>
    <row r="2202" spans="44:48" x14ac:dyDescent="0.2">
      <c r="AR2202">
        <v>2194</v>
      </c>
      <c r="AS2202">
        <v>376</v>
      </c>
      <c r="AT2202">
        <v>3</v>
      </c>
      <c r="AU2202">
        <v>0.53610546544279636</v>
      </c>
      <c r="AV2202">
        <v>0.75418883454933738</v>
      </c>
    </row>
    <row r="2203" spans="44:48" x14ac:dyDescent="0.2">
      <c r="AR2203">
        <v>2195</v>
      </c>
      <c r="AS2203">
        <v>377</v>
      </c>
      <c r="AT2203">
        <v>3</v>
      </c>
      <c r="AU2203">
        <v>0.56704599676014311</v>
      </c>
      <c r="AV2203">
        <v>0.74240895312669952</v>
      </c>
    </row>
    <row r="2204" spans="44:48" x14ac:dyDescent="0.2">
      <c r="AR2204">
        <v>2196</v>
      </c>
      <c r="AS2204">
        <v>378</v>
      </c>
      <c r="AT2204">
        <v>3</v>
      </c>
      <c r="AU2204">
        <v>0.59798652807748809</v>
      </c>
      <c r="AV2204">
        <v>0.7281792578115025</v>
      </c>
    </row>
    <row r="2205" spans="44:48" x14ac:dyDescent="0.2">
      <c r="AR2205">
        <v>2197</v>
      </c>
      <c r="AS2205">
        <v>379</v>
      </c>
      <c r="AT2205">
        <v>3</v>
      </c>
      <c r="AU2205">
        <v>0.62892705939483484</v>
      </c>
      <c r="AV2205">
        <v>0.71164828702253247</v>
      </c>
    </row>
    <row r="2206" spans="44:48" x14ac:dyDescent="0.2">
      <c r="AR2206">
        <v>2198</v>
      </c>
      <c r="AS2206">
        <v>380</v>
      </c>
      <c r="AT2206">
        <v>3</v>
      </c>
      <c r="AU2206">
        <v>0.6598675907121816</v>
      </c>
      <c r="AV2206">
        <v>0.6929860846131124</v>
      </c>
    </row>
    <row r="2207" spans="44:48" x14ac:dyDescent="0.2">
      <c r="AR2207">
        <v>2199</v>
      </c>
      <c r="AS2207">
        <v>381</v>
      </c>
      <c r="AT2207">
        <v>3</v>
      </c>
      <c r="AU2207">
        <v>0.69080812202952835</v>
      </c>
      <c r="AV2207">
        <v>0.67238129100890964</v>
      </c>
    </row>
    <row r="2208" spans="44:48" x14ac:dyDescent="0.2">
      <c r="AR2208">
        <v>2200</v>
      </c>
      <c r="AS2208">
        <v>382</v>
      </c>
      <c r="AT2208">
        <v>3</v>
      </c>
      <c r="AU2208">
        <v>0.72174865334687333</v>
      </c>
      <c r="AV2208">
        <v>0.65003797490567938</v>
      </c>
    </row>
    <row r="2209" spans="44:48" x14ac:dyDescent="0.2">
      <c r="AR2209">
        <v>2201</v>
      </c>
      <c r="AS2209">
        <v>383</v>
      </c>
      <c r="AT2209">
        <v>3</v>
      </c>
      <c r="AU2209">
        <v>0.75268918466422008</v>
      </c>
      <c r="AV2209">
        <v>0.62617227978592804</v>
      </c>
    </row>
    <row r="2210" spans="44:48" x14ac:dyDescent="0.2">
      <c r="AR2210">
        <v>2202</v>
      </c>
      <c r="AS2210">
        <v>384</v>
      </c>
      <c r="AT2210">
        <v>3</v>
      </c>
      <c r="AU2210">
        <v>0.78362971598156683</v>
      </c>
      <c r="AV2210">
        <v>0.60100896203374532</v>
      </c>
    </row>
    <row r="2211" spans="44:48" x14ac:dyDescent="0.2">
      <c r="AR2211">
        <v>2203</v>
      </c>
      <c r="AS2211">
        <v>385</v>
      </c>
      <c r="AT2211">
        <v>3</v>
      </c>
      <c r="AU2211">
        <v>0.81457024729891181</v>
      </c>
      <c r="AV2211">
        <v>0.57477789769901844</v>
      </c>
    </row>
    <row r="2212" spans="44:48" x14ac:dyDescent="0.2">
      <c r="AR2212">
        <v>2204</v>
      </c>
      <c r="AS2212">
        <v>386</v>
      </c>
      <c r="AT2212">
        <v>3</v>
      </c>
      <c r="AU2212">
        <v>0.84551077861625856</v>
      </c>
      <c r="AV2212">
        <v>0.54771063304798817</v>
      </c>
    </row>
    <row r="2213" spans="44:48" x14ac:dyDescent="0.2">
      <c r="AR2213">
        <v>2205</v>
      </c>
      <c r="AS2213">
        <v>387</v>
      </c>
      <c r="AT2213">
        <v>3</v>
      </c>
      <c r="AU2213">
        <v>0.87645130993360532</v>
      </c>
      <c r="AV2213">
        <v>0.52003705007356404</v>
      </c>
    </row>
    <row r="2214" spans="44:48" x14ac:dyDescent="0.2">
      <c r="AR2214">
        <v>2206</v>
      </c>
      <c r="AS2214">
        <v>388</v>
      </c>
      <c r="AT2214">
        <v>3</v>
      </c>
      <c r="AU2214">
        <v>0.90739184125095207</v>
      </c>
      <c r="AV2214">
        <v>0.49198221233012829</v>
      </c>
    </row>
    <row r="2215" spans="44:48" x14ac:dyDescent="0.2">
      <c r="AR2215">
        <v>2207</v>
      </c>
      <c r="AS2215">
        <v>389</v>
      </c>
      <c r="AT2215">
        <v>3</v>
      </c>
      <c r="AU2215">
        <v>0.93833237256829705</v>
      </c>
      <c r="AV2215">
        <v>0.46376344906474687</v>
      </c>
    </row>
    <row r="2216" spans="44:48" x14ac:dyDescent="0.2">
      <c r="AR2216">
        <v>2208</v>
      </c>
      <c r="AS2216">
        <v>390</v>
      </c>
      <c r="AT2216">
        <v>3</v>
      </c>
      <c r="AU2216">
        <v>0.9692729038856438</v>
      </c>
      <c r="AV2216">
        <v>0.43558772694465164</v>
      </c>
    </row>
    <row r="2217" spans="44:48" x14ac:dyDescent="0.2">
      <c r="AR2217">
        <v>2209</v>
      </c>
      <c r="AS2217">
        <v>391</v>
      </c>
      <c r="AT2217">
        <v>3</v>
      </c>
      <c r="AU2217">
        <v>1.0002134352029906</v>
      </c>
      <c r="AV2217">
        <v>0.40764934906534384</v>
      </c>
    </row>
    <row r="2218" spans="44:48" x14ac:dyDescent="0.2">
      <c r="AR2218">
        <v>2210</v>
      </c>
      <c r="AS2218">
        <v>392</v>
      </c>
      <c r="AT2218">
        <v>3</v>
      </c>
      <c r="AU2218">
        <v>1.0311539665203373</v>
      </c>
      <c r="AV2218">
        <v>0.38012801071616109</v>
      </c>
    </row>
    <row r="2219" spans="44:48" x14ac:dyDescent="0.2">
      <c r="AR2219">
        <v>2211</v>
      </c>
      <c r="AS2219">
        <v>393</v>
      </c>
      <c r="AT2219">
        <v>3</v>
      </c>
      <c r="AU2219">
        <v>1.0620944978376823</v>
      </c>
      <c r="AV2219">
        <v>0.35318723093427495</v>
      </c>
    </row>
    <row r="2220" spans="44:48" x14ac:dyDescent="0.2">
      <c r="AR2220">
        <v>2212</v>
      </c>
      <c r="AS2220">
        <v>394</v>
      </c>
      <c r="AT2220">
        <v>3</v>
      </c>
      <c r="AU2220">
        <v>1.093035029155029</v>
      </c>
      <c r="AV2220">
        <v>0.32697316853513053</v>
      </c>
    </row>
    <row r="2221" spans="44:48" x14ac:dyDescent="0.2">
      <c r="AR2221">
        <v>2213</v>
      </c>
      <c r="AS2221">
        <v>395</v>
      </c>
      <c r="AT2221">
        <v>3</v>
      </c>
      <c r="AU2221">
        <v>1.1239755604723758</v>
      </c>
      <c r="AV2221">
        <v>0.30161382138473608</v>
      </c>
    </row>
    <row r="2222" spans="44:48" x14ac:dyDescent="0.2">
      <c r="AR2222">
        <v>2214</v>
      </c>
      <c r="AS2222">
        <v>396</v>
      </c>
      <c r="AT2222">
        <v>3</v>
      </c>
      <c r="AU2222">
        <v>1.1549160917897225</v>
      </c>
      <c r="AV2222">
        <v>0.27721859845911995</v>
      </c>
    </row>
    <row r="2223" spans="44:48" x14ac:dyDescent="0.2">
      <c r="AR2223">
        <v>2215</v>
      </c>
      <c r="AS2223">
        <v>397</v>
      </c>
      <c r="AT2223">
        <v>3</v>
      </c>
      <c r="AU2223">
        <v>1.1858566231070675</v>
      </c>
      <c r="AV2223">
        <v>0.25387824595790709</v>
      </c>
    </row>
    <row r="2224" spans="44:48" x14ac:dyDescent="0.2">
      <c r="AR2224">
        <v>2216</v>
      </c>
      <c r="AS2224">
        <v>398</v>
      </c>
      <c r="AT2224">
        <v>3</v>
      </c>
      <c r="AU2224">
        <v>1.2167971544244143</v>
      </c>
      <c r="AV2224">
        <v>0.23166510159165946</v>
      </c>
    </row>
    <row r="2225" spans="44:48" x14ac:dyDescent="0.2">
      <c r="AR2225">
        <v>2217</v>
      </c>
      <c r="AS2225">
        <v>399</v>
      </c>
      <c r="AT2225">
        <v>3</v>
      </c>
      <c r="AU2225">
        <v>1.247737685741761</v>
      </c>
      <c r="AV2225">
        <v>0.21063364528299022</v>
      </c>
    </row>
    <row r="2226" spans="44:48" x14ac:dyDescent="0.2">
      <c r="AR2226">
        <v>2218</v>
      </c>
      <c r="AS2226">
        <v>400</v>
      </c>
      <c r="AT2226">
        <v>3</v>
      </c>
      <c r="AU2226">
        <v>1.278678217059106</v>
      </c>
      <c r="AV2226">
        <v>0.19082130999153865</v>
      </c>
    </row>
    <row r="2227" spans="44:48" x14ac:dyDescent="0.2">
      <c r="AR2227">
        <v>2219</v>
      </c>
      <c r="AS2227">
        <v>401</v>
      </c>
      <c r="AT2227">
        <v>3</v>
      </c>
      <c r="AU2227">
        <v>1.3096187483764528</v>
      </c>
      <c r="AV2227">
        <v>0.17224951322197454</v>
      </c>
    </row>
    <row r="2228" spans="44:48" x14ac:dyDescent="0.2">
      <c r="AR2228">
        <v>2220</v>
      </c>
      <c r="AS2228">
        <v>402</v>
      </c>
      <c r="AT2228">
        <v>3</v>
      </c>
      <c r="AU2228">
        <v>1.3405592796937995</v>
      </c>
      <c r="AV2228">
        <v>0.15492486798146643</v>
      </c>
    </row>
    <row r="2229" spans="44:48" x14ac:dyDescent="0.2">
      <c r="AR2229">
        <v>2221</v>
      </c>
      <c r="AS2229">
        <v>403</v>
      </c>
      <c r="AT2229">
        <v>3</v>
      </c>
      <c r="AU2229">
        <v>1.3714998110111463</v>
      </c>
      <c r="AV2229">
        <v>0.13884053145306263</v>
      </c>
    </row>
    <row r="2230" spans="44:48" x14ac:dyDescent="0.2">
      <c r="AR2230">
        <v>2222</v>
      </c>
      <c r="AS2230">
        <v>404</v>
      </c>
      <c r="AT2230">
        <v>3</v>
      </c>
      <c r="AU2230">
        <v>1.4024403423284912</v>
      </c>
      <c r="AV2230">
        <v>0.12397765034051637</v>
      </c>
    </row>
    <row r="2231" spans="44:48" x14ac:dyDescent="0.2">
      <c r="AR2231">
        <v>2223</v>
      </c>
      <c r="AS2231">
        <v>405</v>
      </c>
      <c r="AT2231">
        <v>3</v>
      </c>
      <c r="AU2231">
        <v>1.433380873645838</v>
      </c>
      <c r="AV2231">
        <v>0.11030686358342211</v>
      </c>
    </row>
    <row r="2232" spans="44:48" x14ac:dyDescent="0.2">
      <c r="AR2232">
        <v>2224</v>
      </c>
      <c r="AS2232">
        <v>406</v>
      </c>
      <c r="AT2232">
        <v>3</v>
      </c>
      <c r="AU2232">
        <v>1.4643214049631847</v>
      </c>
      <c r="AV2232">
        <v>9.7789825781687656E-2</v>
      </c>
    </row>
    <row r="2233" spans="44:48" x14ac:dyDescent="0.2">
      <c r="AR2233">
        <v>2225</v>
      </c>
      <c r="AS2233">
        <v>407</v>
      </c>
      <c r="AT2233">
        <v>3</v>
      </c>
      <c r="AU2233">
        <v>1.4952619362805315</v>
      </c>
      <c r="AV2233">
        <v>8.6380718032942949E-2</v>
      </c>
    </row>
    <row r="2234" spans="44:48" x14ac:dyDescent="0.2">
      <c r="AR2234">
        <v>2226</v>
      </c>
      <c r="AS2234">
        <v>408</v>
      </c>
      <c r="AT2234">
        <v>3</v>
      </c>
      <c r="AU2234">
        <v>1.5262024675978765</v>
      </c>
      <c r="AV2234">
        <v>7.6027716796521316E-2</v>
      </c>
    </row>
    <row r="2235" spans="44:48" x14ac:dyDescent="0.2">
      <c r="AR2235">
        <v>2227</v>
      </c>
      <c r="AS2235">
        <v>409</v>
      </c>
      <c r="AT2235">
        <v>3</v>
      </c>
      <c r="AU2235">
        <v>1.5571429989152232</v>
      </c>
      <c r="AV2235">
        <v>6.6674395674565956E-2</v>
      </c>
    </row>
    <row r="2236" spans="44:48" x14ac:dyDescent="0.2">
      <c r="AR2236">
        <v>2228</v>
      </c>
      <c r="AS2236">
        <v>410</v>
      </c>
      <c r="AT2236">
        <v>3</v>
      </c>
      <c r="AU2236">
        <v>1.58808353023257</v>
      </c>
      <c r="AV2236">
        <v>5.826103947343781E-2</v>
      </c>
    </row>
    <row r="2237" spans="44:48" x14ac:dyDescent="0.2">
      <c r="AR2237">
        <v>2229</v>
      </c>
      <c r="AS2237">
        <v>411</v>
      </c>
      <c r="AT2237">
        <v>3</v>
      </c>
      <c r="AU2237">
        <v>1.619024061549915</v>
      </c>
      <c r="AV2237">
        <v>5.0725854418347767E-2</v>
      </c>
    </row>
    <row r="2238" spans="44:48" x14ac:dyDescent="0.2">
      <c r="AR2238">
        <v>2230</v>
      </c>
      <c r="AS2238">
        <v>412</v>
      </c>
      <c r="AT2238">
        <v>3</v>
      </c>
      <c r="AU2238">
        <v>1.6499645928672617</v>
      </c>
      <c r="AV2238">
        <v>4.4006062799768146E-2</v>
      </c>
    </row>
    <row r="2239" spans="44:48" x14ac:dyDescent="0.2">
      <c r="AR2239">
        <v>2231</v>
      </c>
      <c r="AS2239">
        <v>413</v>
      </c>
      <c r="AT2239">
        <v>3</v>
      </c>
      <c r="AU2239">
        <v>1.6809051241846085</v>
      </c>
      <c r="AV2239">
        <v>3.8038874510717011E-2</v>
      </c>
    </row>
    <row r="2240" spans="44:48" x14ac:dyDescent="0.2">
      <c r="AR2240">
        <v>2232</v>
      </c>
      <c r="AS2240">
        <v>414</v>
      </c>
      <c r="AT2240">
        <v>3</v>
      </c>
      <c r="AU2240">
        <v>1.7118456555019552</v>
      </c>
      <c r="AV2240">
        <v>3.2762331790949908E-2</v>
      </c>
    </row>
    <row r="2241" spans="44:48" x14ac:dyDescent="0.2">
      <c r="AR2241">
        <v>2233</v>
      </c>
      <c r="AS2241">
        <v>415</v>
      </c>
      <c r="AT2241">
        <v>3</v>
      </c>
      <c r="AU2241">
        <v>1.7427861868193002</v>
      </c>
      <c r="AV2241">
        <v>2.8116026952219215E-2</v>
      </c>
    </row>
    <row r="2242" spans="44:48" x14ac:dyDescent="0.2">
      <c r="AR2242">
        <v>2234</v>
      </c>
      <c r="AS2242">
        <v>416</v>
      </c>
      <c r="AT2242">
        <v>3</v>
      </c>
      <c r="AU2242">
        <v>1.773726718136647</v>
      </c>
      <c r="AV2242">
        <v>2.4041695865828518E-2</v>
      </c>
    </row>
    <row r="2243" spans="44:48" x14ac:dyDescent="0.2">
      <c r="AR2243">
        <v>2235</v>
      </c>
      <c r="AS2243">
        <v>417</v>
      </c>
      <c r="AT2243">
        <v>3</v>
      </c>
      <c r="AU2243">
        <v>1.8046672494539937</v>
      </c>
      <c r="AV2243">
        <v>2.0483692519565971E-2</v>
      </c>
    </row>
    <row r="2244" spans="44:48" x14ac:dyDescent="0.2">
      <c r="AR2244">
        <v>2236</v>
      </c>
      <c r="AS2244">
        <v>418</v>
      </c>
      <c r="AT2244">
        <v>3</v>
      </c>
      <c r="AU2244">
        <v>1.8356077807713405</v>
      </c>
      <c r="AV2244">
        <v>1.7389351985655936E-2</v>
      </c>
    </row>
    <row r="2245" spans="44:48" x14ac:dyDescent="0.2">
      <c r="AR2245">
        <v>2237</v>
      </c>
      <c r="AS2245">
        <v>419</v>
      </c>
      <c r="AT2245">
        <v>3</v>
      </c>
      <c r="AU2245">
        <v>1.8665483120886854</v>
      </c>
      <c r="AV2245">
        <v>1.4709250692379034E-2</v>
      </c>
    </row>
    <row r="2246" spans="44:48" x14ac:dyDescent="0.2">
      <c r="AR2246">
        <v>2238</v>
      </c>
      <c r="AS2246">
        <v>420</v>
      </c>
      <c r="AT2246">
        <v>3</v>
      </c>
      <c r="AU2246">
        <v>1.8974888434060322</v>
      </c>
      <c r="AV2246">
        <v>1.239737398215782E-2</v>
      </c>
    </row>
    <row r="2247" spans="44:48" x14ac:dyDescent="0.2">
      <c r="AR2247">
        <v>2239</v>
      </c>
      <c r="AS2247">
        <v>421</v>
      </c>
      <c r="AT2247">
        <v>3</v>
      </c>
      <c r="AU2247">
        <v>1.9284293747233789</v>
      </c>
      <c r="AV2247">
        <v>1.041120160296023E-2</v>
      </c>
    </row>
    <row r="2248" spans="44:48" x14ac:dyDescent="0.2">
      <c r="AR2248">
        <v>2240</v>
      </c>
      <c r="AS2248">
        <v>422</v>
      </c>
      <c r="AT2248">
        <v>3</v>
      </c>
      <c r="AU2248">
        <v>1.9593699060407257</v>
      </c>
      <c r="AV2248">
        <v>8.7117220615574968E-3</v>
      </c>
    </row>
    <row r="2249" spans="44:48" x14ac:dyDescent="0.2">
      <c r="AR2249">
        <v>2241</v>
      </c>
      <c r="AS2249">
        <v>423</v>
      </c>
      <c r="AT2249">
        <v>3</v>
      </c>
      <c r="AU2249">
        <v>1.9903104373580707</v>
      </c>
      <c r="AV2249">
        <v>7.2633867163206193E-3</v>
      </c>
    </row>
    <row r="2250" spans="44:48" x14ac:dyDescent="0.2">
      <c r="AR2250">
        <v>2242</v>
      </c>
      <c r="AS2250">
        <v>424</v>
      </c>
      <c r="AT2250">
        <v>3</v>
      </c>
      <c r="AU2250">
        <v>2.0212509686754174</v>
      </c>
      <c r="AV2250">
        <v>6.034014156974573E-3</v>
      </c>
    </row>
    <row r="2251" spans="44:48" x14ac:dyDescent="0.2">
      <c r="AR2251">
        <v>2243</v>
      </c>
      <c r="AS2251">
        <v>425</v>
      </c>
      <c r="AT2251">
        <v>3</v>
      </c>
      <c r="AU2251">
        <v>2.0521914999927642</v>
      </c>
      <c r="AV2251">
        <v>4.9946548630973517E-3</v>
      </c>
    </row>
    <row r="2252" spans="44:48" x14ac:dyDescent="0.2">
      <c r="AR2252">
        <v>2244</v>
      </c>
      <c r="AS2252">
        <v>426</v>
      </c>
      <c r="AT2252">
        <v>3</v>
      </c>
      <c r="AU2252">
        <v>2.0831320313101092</v>
      </c>
      <c r="AV2252">
        <v>4.1194254049607588E-3</v>
      </c>
    </row>
    <row r="2253" spans="44:48" x14ac:dyDescent="0.2">
      <c r="AR2253">
        <v>2245</v>
      </c>
      <c r="AS2253">
        <v>427</v>
      </c>
      <c r="AT2253">
        <v>3</v>
      </c>
      <c r="AU2253">
        <v>2.1140725626274559</v>
      </c>
      <c r="AV2253">
        <v>3.3853205994651306E-3</v>
      </c>
    </row>
    <row r="2254" spans="44:48" x14ac:dyDescent="0.2">
      <c r="AR2254">
        <v>2246</v>
      </c>
      <c r="AS2254">
        <v>428</v>
      </c>
      <c r="AT2254">
        <v>3</v>
      </c>
      <c r="AU2254">
        <v>2.1450130939448027</v>
      </c>
      <c r="AV2254">
        <v>2.7720111060579632E-3</v>
      </c>
    </row>
    <row r="2255" spans="44:48" x14ac:dyDescent="0.2">
      <c r="AR2255">
        <v>2247</v>
      </c>
      <c r="AS2255">
        <v>429</v>
      </c>
      <c r="AT2255">
        <v>3</v>
      </c>
      <c r="AU2255">
        <v>2.1759536252621494</v>
      </c>
      <c r="AV2255">
        <v>2.261632983114506E-3</v>
      </c>
    </row>
    <row r="2256" spans="44:48" x14ac:dyDescent="0.2">
      <c r="AR2256">
        <v>2248</v>
      </c>
      <c r="AS2256">
        <v>430</v>
      </c>
      <c r="AT2256">
        <v>3</v>
      </c>
      <c r="AU2256">
        <v>2.2068941565794944</v>
      </c>
      <c r="AV2256">
        <v>1.8385747590073959E-3</v>
      </c>
    </row>
    <row r="2257" spans="44:48" x14ac:dyDescent="0.2">
      <c r="AR2257">
        <v>2249</v>
      </c>
      <c r="AS2257">
        <v>431</v>
      </c>
      <c r="AT2257">
        <v>3</v>
      </c>
      <c r="AU2257">
        <v>2.2378346878968411</v>
      </c>
      <c r="AV2257">
        <v>1.4892666326998363E-3</v>
      </c>
    </row>
    <row r="2258" spans="44:48" x14ac:dyDescent="0.2">
      <c r="AR2258">
        <v>2250</v>
      </c>
      <c r="AS2258">
        <v>432</v>
      </c>
      <c r="AT2258">
        <v>3</v>
      </c>
      <c r="AU2258">
        <v>2.2687752192141879</v>
      </c>
      <c r="AV2258">
        <v>1.2019755288943687E-3</v>
      </c>
    </row>
    <row r="2259" spans="44:48" x14ac:dyDescent="0.2">
      <c r="AR2259">
        <v>2251</v>
      </c>
      <c r="AS2259">
        <v>433</v>
      </c>
      <c r="AT2259">
        <v>3</v>
      </c>
      <c r="AU2259">
        <v>2.2997157505315347</v>
      </c>
      <c r="AV2259">
        <v>9.6660890955983466E-4</v>
      </c>
    </row>
    <row r="2260" spans="44:48" x14ac:dyDescent="0.2">
      <c r="AR2260">
        <v>2252</v>
      </c>
      <c r="AS2260">
        <v>434</v>
      </c>
      <c r="AT2260">
        <v>3</v>
      </c>
      <c r="AU2260">
        <v>2.3306562818488796</v>
      </c>
      <c r="AV2260">
        <v>7.7452949876881502E-4</v>
      </c>
    </row>
    <row r="2261" spans="44:48" x14ac:dyDescent="0.2">
      <c r="AR2261">
        <v>2253</v>
      </c>
      <c r="AS2261">
        <v>435</v>
      </c>
      <c r="AT2261">
        <v>3</v>
      </c>
      <c r="AU2261">
        <v>2.3615968131662264</v>
      </c>
      <c r="AV2261">
        <v>6.183824181993096E-4</v>
      </c>
    </row>
    <row r="2262" spans="44:48" x14ac:dyDescent="0.2">
      <c r="AR2262">
        <v>2254</v>
      </c>
      <c r="AS2262">
        <v>436</v>
      </c>
      <c r="AT2262">
        <v>3</v>
      </c>
      <c r="AU2262">
        <v>2.3925373444835731</v>
      </c>
      <c r="AV2262">
        <v>4.9193565930053559E-4</v>
      </c>
    </row>
    <row r="2263" spans="44:48" x14ac:dyDescent="0.2">
      <c r="AR2263">
        <v>2255</v>
      </c>
      <c r="AS2263">
        <v>437</v>
      </c>
      <c r="AT2263">
        <v>3</v>
      </c>
      <c r="AU2263">
        <v>2.4234778758009181</v>
      </c>
      <c r="AV2263">
        <v>3.8993433449179915E-4</v>
      </c>
    </row>
    <row r="2264" spans="44:48" x14ac:dyDescent="0.2">
      <c r="AR2264">
        <v>2256</v>
      </c>
      <c r="AS2264">
        <v>438</v>
      </c>
      <c r="AT2264">
        <v>3</v>
      </c>
      <c r="AU2264">
        <v>2.4544184071182649</v>
      </c>
      <c r="AV2264">
        <v>3.0796875062598936E-4</v>
      </c>
    </row>
    <row r="2265" spans="44:48" x14ac:dyDescent="0.2">
      <c r="AR2265">
        <v>2257</v>
      </c>
      <c r="AS2265">
        <v>439</v>
      </c>
      <c r="AT2265">
        <v>3</v>
      </c>
      <c r="AU2265">
        <v>2.4853589384356116</v>
      </c>
      <c r="AV2265">
        <v>2.4235602799341731E-4</v>
      </c>
    </row>
    <row r="2266" spans="44:48" x14ac:dyDescent="0.2">
      <c r="AR2266">
        <v>2258</v>
      </c>
      <c r="AS2266">
        <v>440</v>
      </c>
      <c r="AT2266">
        <v>3</v>
      </c>
      <c r="AU2266">
        <v>2.5162994697529584</v>
      </c>
      <c r="AV2266">
        <v>1.9003474058053448E-4</v>
      </c>
    </row>
    <row r="2267" spans="44:48" x14ac:dyDescent="0.2">
      <c r="AR2267">
        <v>2259</v>
      </c>
      <c r="AS2267">
        <v>441</v>
      </c>
      <c r="AT2267">
        <v>3</v>
      </c>
      <c r="AU2267">
        <v>2.5472400010703034</v>
      </c>
      <c r="AV2267">
        <v>1.4847187040598241E-4</v>
      </c>
    </row>
    <row r="2268" spans="44:48" x14ac:dyDescent="0.2">
      <c r="AR2268">
        <v>2260</v>
      </c>
      <c r="AS2268">
        <v>442</v>
      </c>
      <c r="AT2268">
        <v>3</v>
      </c>
      <c r="AU2268">
        <v>2.5781805323876501</v>
      </c>
      <c r="AV2268">
        <v>1.1558124233375188E-4</v>
      </c>
    </row>
    <row r="2269" spans="44:48" x14ac:dyDescent="0.2">
      <c r="AR2269">
        <v>2261</v>
      </c>
      <c r="AS2269">
        <v>443</v>
      </c>
      <c r="AT2269">
        <v>3</v>
      </c>
      <c r="AU2269">
        <v>2.6091210637049969</v>
      </c>
      <c r="AV2269">
        <v>8.9652527524949424E-5</v>
      </c>
    </row>
    <row r="2270" spans="44:48" x14ac:dyDescent="0.2">
      <c r="AR2270">
        <v>2262</v>
      </c>
      <c r="AS2270">
        <v>444</v>
      </c>
      <c r="AT2270">
        <v>3</v>
      </c>
      <c r="AU2270">
        <v>2.6400615950223436</v>
      </c>
      <c r="AV2270">
        <v>6.9289865572613672E-5</v>
      </c>
    </row>
    <row r="2271" spans="44:48" x14ac:dyDescent="0.2">
      <c r="AR2271">
        <v>2263</v>
      </c>
      <c r="AS2271">
        <v>445</v>
      </c>
      <c r="AT2271">
        <v>3</v>
      </c>
      <c r="AU2271">
        <v>2.6710021263396886</v>
      </c>
      <c r="AV2271">
        <v>5.3359149763562854E-5</v>
      </c>
    </row>
    <row r="2272" spans="44:48" x14ac:dyDescent="0.2">
      <c r="AR2272">
        <v>2264</v>
      </c>
      <c r="AS2272">
        <v>446</v>
      </c>
      <c r="AT2272">
        <v>3</v>
      </c>
      <c r="AU2272">
        <v>2.7019426576570353</v>
      </c>
      <c r="AV2272">
        <v>4.0943039846814993E-5</v>
      </c>
    </row>
    <row r="2273" spans="44:48" x14ac:dyDescent="0.2">
      <c r="AR2273">
        <v>2265</v>
      </c>
      <c r="AS2273">
        <v>447</v>
      </c>
      <c r="AT2273">
        <v>3</v>
      </c>
      <c r="AU2273">
        <v>2.7328831889743821</v>
      </c>
      <c r="AV2273">
        <v>3.13028059111742E-5</v>
      </c>
    </row>
    <row r="2274" spans="44:48" x14ac:dyDescent="0.2">
      <c r="AR2274">
        <v>2266</v>
      </c>
      <c r="AS2274">
        <v>448</v>
      </c>
      <c r="AT2274">
        <v>3</v>
      </c>
      <c r="AU2274">
        <v>2.7638237202917288</v>
      </c>
      <c r="AV2274">
        <v>2.3846160022962974E-5</v>
      </c>
    </row>
    <row r="2275" spans="44:48" x14ac:dyDescent="0.2">
      <c r="AR2275">
        <v>2267</v>
      </c>
      <c r="AS2275">
        <v>449</v>
      </c>
      <c r="AT2275">
        <v>3</v>
      </c>
      <c r="AU2275">
        <v>2.7947642516090738</v>
      </c>
      <c r="AV2275">
        <v>1.8100294486645728E-5</v>
      </c>
    </row>
    <row r="2276" spans="44:48" x14ac:dyDescent="0.2">
      <c r="AR2276">
        <v>2268</v>
      </c>
      <c r="AS2276">
        <v>450</v>
      </c>
      <c r="AT2276">
        <v>3</v>
      </c>
      <c r="AU2276">
        <v>2.8257047829264206</v>
      </c>
      <c r="AV2276">
        <v>1.3689413083627024E-5</v>
      </c>
    </row>
    <row r="2277" spans="44:48" x14ac:dyDescent="0.2">
      <c r="AR2277">
        <v>2269</v>
      </c>
      <c r="AS2277">
        <v>451</v>
      </c>
      <c r="AT2277">
        <v>3</v>
      </c>
      <c r="AU2277">
        <v>2.8566453142437673</v>
      </c>
      <c r="AV2277">
        <v>1.0316111269975473E-5</v>
      </c>
    </row>
    <row r="2278" spans="44:48" x14ac:dyDescent="0.2">
      <c r="AR2278">
        <v>2270</v>
      </c>
      <c r="AS2278">
        <v>452</v>
      </c>
      <c r="AT2278">
        <v>3</v>
      </c>
      <c r="AU2278">
        <v>2.8875858455611123</v>
      </c>
      <c r="AV2278">
        <v>7.7460305963330081E-6</v>
      </c>
    </row>
    <row r="2279" spans="44:48" x14ac:dyDescent="0.2">
      <c r="AR2279">
        <v>2271</v>
      </c>
      <c r="AS2279">
        <v>453</v>
      </c>
      <c r="AT2279">
        <v>3</v>
      </c>
      <c r="AU2279">
        <v>2.9185263768784591</v>
      </c>
      <c r="AV2279">
        <v>5.7952796760521414E-6</v>
      </c>
    </row>
    <row r="2280" spans="44:48" x14ac:dyDescent="0.2">
      <c r="AR2280">
        <v>2272</v>
      </c>
      <c r="AS2280">
        <v>454</v>
      </c>
      <c r="AT2280">
        <v>3</v>
      </c>
      <c r="AU2280">
        <v>2.9494669081958058</v>
      </c>
      <c r="AV2280">
        <v>4.3201775144808878E-6</v>
      </c>
    </row>
    <row r="2281" spans="44:48" x14ac:dyDescent="0.2">
      <c r="AR2281">
        <v>2273</v>
      </c>
      <c r="AS2281">
        <v>455</v>
      </c>
      <c r="AT2281">
        <v>3</v>
      </c>
      <c r="AU2281">
        <v>2.9804074395131526</v>
      </c>
      <c r="AV2281">
        <v>3.2089340087716945E-6</v>
      </c>
    </row>
    <row r="2282" spans="44:48" x14ac:dyDescent="0.2">
      <c r="AR2282">
        <v>2274</v>
      </c>
      <c r="AS2282">
        <v>456</v>
      </c>
      <c r="AT2282">
        <v>3</v>
      </c>
      <c r="AU2282">
        <v>3.0113479708304975</v>
      </c>
      <c r="AV2282">
        <v>2.3749363842410293E-6</v>
      </c>
    </row>
    <row r="2283" spans="44:48" x14ac:dyDescent="0.2">
      <c r="AR2283">
        <v>2275</v>
      </c>
      <c r="AS2283">
        <v>457</v>
      </c>
      <c r="AT2283">
        <v>3</v>
      </c>
      <c r="AU2283">
        <v>3.0422885021478443</v>
      </c>
      <c r="AV2283">
        <v>1.7513589945518743E-6</v>
      </c>
    </row>
    <row r="2284" spans="44:48" x14ac:dyDescent="0.2">
      <c r="AR2284">
        <v>2276</v>
      </c>
      <c r="AS2284">
        <v>458</v>
      </c>
      <c r="AT2284">
        <v>3</v>
      </c>
      <c r="AU2284">
        <v>3.0732290334651911</v>
      </c>
      <c r="AV2284">
        <v>1.2868572524334154E-6</v>
      </c>
    </row>
    <row r="2285" spans="44:48" x14ac:dyDescent="0.2">
      <c r="AR2285">
        <v>2277</v>
      </c>
      <c r="AS2285">
        <v>459</v>
      </c>
      <c r="AT2285">
        <v>3</v>
      </c>
      <c r="AU2285">
        <v>3.1041695647825378</v>
      </c>
      <c r="AV2285">
        <v>9.4214462109528128E-7</v>
      </c>
    </row>
    <row r="2286" spans="44:48" x14ac:dyDescent="0.2">
      <c r="AR2286">
        <v>2278</v>
      </c>
      <c r="AS2286">
        <v>460</v>
      </c>
      <c r="AT2286">
        <v>3</v>
      </c>
      <c r="AU2286">
        <v>3.1351100960998828</v>
      </c>
      <c r="AV2286">
        <v>6.8728485305291391E-7</v>
      </c>
    </row>
    <row r="2287" spans="44:48" x14ac:dyDescent="0.2">
      <c r="AR2287">
        <v>2279</v>
      </c>
      <c r="AS2287">
        <v>461</v>
      </c>
      <c r="AT2287">
        <v>3</v>
      </c>
      <c r="AU2287">
        <v>3.1660506274172295</v>
      </c>
      <c r="AV2287">
        <v>4.9956036418786297E-7</v>
      </c>
    </row>
    <row r="2288" spans="44:48" x14ac:dyDescent="0.2">
      <c r="AR2288">
        <v>2280</v>
      </c>
      <c r="AS2288">
        <v>462</v>
      </c>
      <c r="AT2288">
        <v>3</v>
      </c>
      <c r="AU2288">
        <v>3.1969911587345763</v>
      </c>
      <c r="AV2288">
        <v>3.6180217688271143E-7</v>
      </c>
    </row>
    <row r="2289" spans="44:48" x14ac:dyDescent="0.2">
      <c r="AR2289">
        <v>2281</v>
      </c>
      <c r="AS2289">
        <v>463</v>
      </c>
      <c r="AT2289">
        <v>3</v>
      </c>
      <c r="AU2289">
        <v>3.2279316900519213</v>
      </c>
      <c r="AV2289">
        <v>2.6108767978486768E-7</v>
      </c>
    </row>
    <row r="2290" spans="44:48" x14ac:dyDescent="0.2">
      <c r="AR2290">
        <v>2282</v>
      </c>
      <c r="AS2290">
        <v>464</v>
      </c>
      <c r="AT2290">
        <v>3</v>
      </c>
      <c r="AU2290">
        <v>3.258872221369268</v>
      </c>
      <c r="AV2290">
        <v>1.8772995808984524E-7</v>
      </c>
    </row>
    <row r="2291" spans="44:48" x14ac:dyDescent="0.2">
      <c r="AR2291">
        <v>2283</v>
      </c>
      <c r="AS2291">
        <v>465</v>
      </c>
      <c r="AT2291">
        <v>3</v>
      </c>
      <c r="AU2291">
        <v>3.2898127526866148</v>
      </c>
      <c r="AV2291">
        <v>1.3449705927540624E-7</v>
      </c>
    </row>
    <row r="2292" spans="44:48" x14ac:dyDescent="0.2">
      <c r="AR2292">
        <v>2284</v>
      </c>
      <c r="AS2292">
        <v>466</v>
      </c>
      <c r="AT2292">
        <v>3</v>
      </c>
      <c r="AU2292">
        <v>3.3207532840039615</v>
      </c>
      <c r="AV2292">
        <v>9.6011663756575183E-8</v>
      </c>
    </row>
    <row r="2293" spans="44:48" x14ac:dyDescent="0.2">
      <c r="AR2293">
        <v>2285</v>
      </c>
      <c r="AS2293">
        <v>467</v>
      </c>
      <c r="AT2293">
        <v>3</v>
      </c>
      <c r="AU2293">
        <v>3.3516938153213065</v>
      </c>
      <c r="AV2293">
        <v>6.8291586718392592E-8</v>
      </c>
    </row>
    <row r="2294" spans="44:48" x14ac:dyDescent="0.2">
      <c r="AR2294">
        <v>2286</v>
      </c>
      <c r="AS2294">
        <v>468</v>
      </c>
      <c r="AT2294">
        <v>3</v>
      </c>
      <c r="AU2294">
        <v>3.3826343466386533</v>
      </c>
      <c r="AV2294">
        <v>4.8399671337088263E-8</v>
      </c>
    </row>
    <row r="2295" spans="44:48" x14ac:dyDescent="0.2">
      <c r="AR2295">
        <v>2287</v>
      </c>
      <c r="AS2295">
        <v>469</v>
      </c>
      <c r="AT2295">
        <v>3</v>
      </c>
      <c r="AU2295">
        <v>3.413574877956</v>
      </c>
      <c r="AV2295">
        <v>3.4178234312794734E-8</v>
      </c>
    </row>
    <row r="2296" spans="44:48" x14ac:dyDescent="0.2">
      <c r="AR2296">
        <v>2288</v>
      </c>
      <c r="AS2296">
        <v>470</v>
      </c>
      <c r="AT2296">
        <v>3</v>
      </c>
      <c r="AU2296">
        <v>3.4445154092733468</v>
      </c>
      <c r="AV2296">
        <v>2.4048546589675952E-8</v>
      </c>
    </row>
    <row r="2297" spans="44:48" x14ac:dyDescent="0.2">
      <c r="AR2297">
        <v>2289</v>
      </c>
      <c r="AS2297">
        <v>471</v>
      </c>
      <c r="AT2297">
        <v>3</v>
      </c>
      <c r="AU2297">
        <v>3.4754559405906917</v>
      </c>
      <c r="AV2297">
        <v>1.6860096145667857E-8</v>
      </c>
    </row>
    <row r="2298" spans="44:48" x14ac:dyDescent="0.2">
      <c r="AR2298">
        <v>2290</v>
      </c>
      <c r="AS2298">
        <v>472</v>
      </c>
      <c r="AT2298">
        <v>3</v>
      </c>
      <c r="AU2298">
        <v>3.5063964719080385</v>
      </c>
      <c r="AV2298">
        <v>1.177777519770725E-8</v>
      </c>
    </row>
    <row r="2299" spans="44:48" x14ac:dyDescent="0.2">
      <c r="AR2299">
        <v>2291</v>
      </c>
      <c r="AS2299">
        <v>473</v>
      </c>
      <c r="AT2299">
        <v>3</v>
      </c>
      <c r="AU2299">
        <v>3.5373370032253852</v>
      </c>
      <c r="AV2299">
        <v>8.1978218387292691E-9</v>
      </c>
    </row>
    <row r="2300" spans="44:48" x14ac:dyDescent="0.2">
      <c r="AR2300">
        <v>2292</v>
      </c>
      <c r="AS2300">
        <v>474</v>
      </c>
      <c r="AT2300">
        <v>3</v>
      </c>
      <c r="AU2300">
        <v>3.568277534542732</v>
      </c>
      <c r="AV2300">
        <v>5.6854610920322074E-9</v>
      </c>
    </row>
    <row r="2301" spans="44:48" x14ac:dyDescent="0.2">
      <c r="AR2301">
        <v>2293</v>
      </c>
      <c r="AS2301">
        <v>475</v>
      </c>
      <c r="AT2301">
        <v>3</v>
      </c>
      <c r="AU2301">
        <v>3.599218065860077</v>
      </c>
      <c r="AV2301">
        <v>3.9288451239451452E-9</v>
      </c>
    </row>
    <row r="2302" spans="44:48" x14ac:dyDescent="0.2">
      <c r="AR2302">
        <v>2294</v>
      </c>
      <c r="AS2302">
        <v>476</v>
      </c>
      <c r="AT2302">
        <v>3</v>
      </c>
      <c r="AU2302">
        <v>3.6301585971774237</v>
      </c>
      <c r="AV2302">
        <v>2.705179749164492E-9</v>
      </c>
    </row>
    <row r="2303" spans="44:48" x14ac:dyDescent="0.2">
      <c r="AR2303">
        <v>2295</v>
      </c>
      <c r="AS2303">
        <v>477</v>
      </c>
      <c r="AT2303">
        <v>3</v>
      </c>
      <c r="AU2303">
        <v>3.6610991284947705</v>
      </c>
      <c r="AV2303">
        <v>1.8559204079100069E-9</v>
      </c>
    </row>
    <row r="2304" spans="44:48" x14ac:dyDescent="0.2">
      <c r="AR2304">
        <v>2296</v>
      </c>
      <c r="AS2304">
        <v>478</v>
      </c>
      <c r="AT2304">
        <v>3</v>
      </c>
      <c r="AU2304">
        <v>3.6920396598121155</v>
      </c>
      <c r="AV2304">
        <v>1.2686872291651108E-9</v>
      </c>
    </row>
    <row r="2305" spans="44:48" x14ac:dyDescent="0.2">
      <c r="AR2305">
        <v>2297</v>
      </c>
      <c r="AS2305">
        <v>479</v>
      </c>
      <c r="AT2305">
        <v>3</v>
      </c>
      <c r="AU2305">
        <v>3.7229801911294622</v>
      </c>
      <c r="AV2305">
        <v>8.641353870975771E-10</v>
      </c>
    </row>
    <row r="2306" spans="44:48" x14ac:dyDescent="0.2">
      <c r="AR2306">
        <v>2298</v>
      </c>
      <c r="AS2306">
        <v>480</v>
      </c>
      <c r="AT2306">
        <v>3</v>
      </c>
      <c r="AU2306">
        <v>3.753920722446809</v>
      </c>
      <c r="AV2306">
        <v>5.8646353449194628E-10</v>
      </c>
    </row>
    <row r="2307" spans="44:48" x14ac:dyDescent="0.2">
      <c r="AR2307">
        <v>2299</v>
      </c>
      <c r="AS2307">
        <v>481</v>
      </c>
      <c r="AT2307">
        <v>3</v>
      </c>
      <c r="AU2307">
        <v>3.7848612537641557</v>
      </c>
      <c r="AV2307">
        <v>3.9658130527239229E-10</v>
      </c>
    </row>
    <row r="2308" spans="44:48" x14ac:dyDescent="0.2">
      <c r="AR2308">
        <v>2300</v>
      </c>
      <c r="AS2308">
        <v>482</v>
      </c>
      <c r="AT2308">
        <v>3</v>
      </c>
      <c r="AU2308">
        <v>3.8158017850815007</v>
      </c>
      <c r="AV2308">
        <v>2.6721169592394953E-10</v>
      </c>
    </row>
    <row r="2309" spans="44:48" x14ac:dyDescent="0.2">
      <c r="AR2309">
        <v>2301</v>
      </c>
      <c r="AS2309">
        <v>483</v>
      </c>
      <c r="AT2309">
        <v>3</v>
      </c>
      <c r="AU2309">
        <v>3.8467423163988474</v>
      </c>
      <c r="AV2309">
        <v>1.7939514692257165E-10</v>
      </c>
    </row>
    <row r="2310" spans="44:48" x14ac:dyDescent="0.2">
      <c r="AR2310">
        <v>2302</v>
      </c>
      <c r="AS2310">
        <v>484</v>
      </c>
      <c r="AT2310">
        <v>3</v>
      </c>
      <c r="AU2310">
        <v>3.8776828477161942</v>
      </c>
      <c r="AV2310">
        <v>1.2000460673427901E-10</v>
      </c>
    </row>
    <row r="2311" spans="44:48" x14ac:dyDescent="0.2">
      <c r="AR2311">
        <v>2303</v>
      </c>
      <c r="AS2311">
        <v>485</v>
      </c>
      <c r="AT2311">
        <v>3</v>
      </c>
      <c r="AU2311">
        <v>3.908623379033541</v>
      </c>
      <c r="AV2311">
        <v>7.9986583529794459E-11</v>
      </c>
    </row>
    <row r="2312" spans="44:48" x14ac:dyDescent="0.2">
      <c r="AR2312">
        <v>2304</v>
      </c>
      <c r="AS2312">
        <v>486</v>
      </c>
      <c r="AT2312">
        <v>3</v>
      </c>
      <c r="AU2312">
        <v>3.9395639103508859</v>
      </c>
      <c r="AV2312">
        <v>5.3121261194301777E-11</v>
      </c>
    </row>
    <row r="2313" spans="44:48" x14ac:dyDescent="0.2">
      <c r="AR2313">
        <v>2305</v>
      </c>
      <c r="AS2313">
        <v>487</v>
      </c>
      <c r="AT2313">
        <v>3</v>
      </c>
      <c r="AU2313">
        <v>3.9705044416682327</v>
      </c>
      <c r="AV2313">
        <v>3.5152127018667194E-11</v>
      </c>
    </row>
    <row r="2314" spans="44:48" x14ac:dyDescent="0.2">
      <c r="AR2314">
        <v>2306</v>
      </c>
      <c r="AS2314">
        <v>488</v>
      </c>
      <c r="AT2314">
        <v>3</v>
      </c>
      <c r="AU2314">
        <v>4.0014449729855794</v>
      </c>
      <c r="AV2314">
        <v>2.3177513434383268E-11</v>
      </c>
    </row>
    <row r="2315" spans="44:48" x14ac:dyDescent="0.2">
      <c r="AR2315">
        <v>2307</v>
      </c>
      <c r="AS2315">
        <v>489</v>
      </c>
      <c r="AT2315">
        <v>3</v>
      </c>
      <c r="AU2315">
        <v>4.0323855043029244</v>
      </c>
      <c r="AV2315">
        <v>1.5226990447102637E-11</v>
      </c>
    </row>
    <row r="2316" spans="44:48" x14ac:dyDescent="0.2">
      <c r="AR2316">
        <v>2308</v>
      </c>
      <c r="AS2316">
        <v>490</v>
      </c>
      <c r="AT2316">
        <v>3</v>
      </c>
      <c r="AU2316">
        <v>4.0633260356202712</v>
      </c>
      <c r="AV2316">
        <v>9.9676621711988442E-12</v>
      </c>
    </row>
    <row r="2317" spans="44:48" x14ac:dyDescent="0.2">
      <c r="AR2317">
        <v>2309</v>
      </c>
      <c r="AS2317">
        <v>491</v>
      </c>
      <c r="AT2317">
        <v>3</v>
      </c>
      <c r="AU2317">
        <v>4.0942665669376179</v>
      </c>
      <c r="AV2317">
        <v>6.5013649623675947E-12</v>
      </c>
    </row>
    <row r="2318" spans="44:48" x14ac:dyDescent="0.2">
      <c r="AR2318">
        <v>2310</v>
      </c>
      <c r="AS2318">
        <v>492</v>
      </c>
      <c r="AT2318">
        <v>3</v>
      </c>
      <c r="AU2318">
        <v>4.1252070982549647</v>
      </c>
      <c r="AV2318">
        <v>4.2252049870468337E-12</v>
      </c>
    </row>
    <row r="2319" spans="44:48" x14ac:dyDescent="0.2">
      <c r="AR2319">
        <v>2311</v>
      </c>
      <c r="AS2319">
        <v>493</v>
      </c>
      <c r="AT2319">
        <v>3</v>
      </c>
      <c r="AU2319">
        <v>4.1561476295723097</v>
      </c>
      <c r="AV2319">
        <v>2.7360436532514323E-12</v>
      </c>
    </row>
    <row r="2320" spans="44:48" x14ac:dyDescent="0.2">
      <c r="AR2320">
        <v>2312</v>
      </c>
      <c r="AS2320">
        <v>494</v>
      </c>
      <c r="AT2320">
        <v>3</v>
      </c>
      <c r="AU2320">
        <v>4.1870881608896564</v>
      </c>
      <c r="AV2320">
        <v>1.7653477236421209E-12</v>
      </c>
    </row>
    <row r="2321" spans="44:48" x14ac:dyDescent="0.2">
      <c r="AR2321">
        <v>2313</v>
      </c>
      <c r="AS2321">
        <v>495</v>
      </c>
      <c r="AT2321">
        <v>3</v>
      </c>
      <c r="AU2321">
        <v>4.2180286922070032</v>
      </c>
      <c r="AV2321">
        <v>1.1349311151571997E-12</v>
      </c>
    </row>
    <row r="2322" spans="44:48" x14ac:dyDescent="0.2">
      <c r="AR2322">
        <v>2314</v>
      </c>
      <c r="AS2322">
        <v>496</v>
      </c>
      <c r="AT2322">
        <v>3</v>
      </c>
      <c r="AU2322">
        <v>4.2489692235243499</v>
      </c>
      <c r="AV2322">
        <v>7.2701060292719094E-13</v>
      </c>
    </row>
    <row r="2323" spans="44:48" x14ac:dyDescent="0.2">
      <c r="AR2323">
        <v>2315</v>
      </c>
      <c r="AS2323">
        <v>497</v>
      </c>
      <c r="AT2323">
        <v>3</v>
      </c>
      <c r="AU2323">
        <v>4.2799097548416949</v>
      </c>
      <c r="AV2323">
        <v>4.6402778715472634E-13</v>
      </c>
    </row>
    <row r="2324" spans="44:48" x14ac:dyDescent="0.2">
      <c r="AR2324">
        <v>2316</v>
      </c>
      <c r="AS2324">
        <v>498</v>
      </c>
      <c r="AT2324">
        <v>3</v>
      </c>
      <c r="AU2324">
        <v>4.3108502861590416</v>
      </c>
      <c r="AV2324">
        <v>2.9510681054305735E-13</v>
      </c>
    </row>
    <row r="2325" spans="44:48" x14ac:dyDescent="0.2">
      <c r="AR2325">
        <v>2317</v>
      </c>
      <c r="AS2325">
        <v>499</v>
      </c>
      <c r="AT2325">
        <v>3</v>
      </c>
      <c r="AU2325">
        <v>4.3417908174763884</v>
      </c>
      <c r="AV2325">
        <v>1.8700209754905712E-13</v>
      </c>
    </row>
    <row r="2326" spans="44:48" x14ac:dyDescent="0.2">
      <c r="AR2326">
        <v>2318</v>
      </c>
      <c r="AS2326">
        <v>500</v>
      </c>
      <c r="AT2326">
        <v>3</v>
      </c>
      <c r="AU2326">
        <v>4.3727313487937352</v>
      </c>
      <c r="AV2326">
        <v>1.1807167509227242E-13</v>
      </c>
    </row>
    <row r="2327" spans="44:48" x14ac:dyDescent="0.2">
      <c r="AR2327">
        <v>2319</v>
      </c>
      <c r="AS2327">
        <v>501</v>
      </c>
      <c r="AT2327">
        <v>3</v>
      </c>
      <c r="AU2327">
        <v>4.4036718801110801</v>
      </c>
      <c r="AV2327">
        <v>7.4280868439670876E-14</v>
      </c>
    </row>
    <row r="2328" spans="44:48" x14ac:dyDescent="0.2">
      <c r="AR2328">
        <v>2320</v>
      </c>
      <c r="AS2328">
        <v>502</v>
      </c>
      <c r="AT2328">
        <v>3</v>
      </c>
      <c r="AU2328">
        <v>4.4346124114284269</v>
      </c>
      <c r="AV2328">
        <v>4.656292152021027E-14</v>
      </c>
    </row>
    <row r="2329" spans="44:48" x14ac:dyDescent="0.2">
      <c r="AR2329">
        <v>2321</v>
      </c>
      <c r="AS2329">
        <v>503</v>
      </c>
      <c r="AT2329">
        <v>3</v>
      </c>
      <c r="AU2329">
        <v>4.4655529427457736</v>
      </c>
      <c r="AV2329">
        <v>2.9082750124755592E-14</v>
      </c>
    </row>
    <row r="2330" spans="44:48" x14ac:dyDescent="0.2">
      <c r="AR2330">
        <v>2322</v>
      </c>
      <c r="AS2330">
        <v>504</v>
      </c>
      <c r="AT2330">
        <v>3</v>
      </c>
      <c r="AU2330">
        <v>4.4964934740631186</v>
      </c>
      <c r="AV2330">
        <v>1.80993393714928E-14</v>
      </c>
    </row>
    <row r="2331" spans="44:48" x14ac:dyDescent="0.2">
      <c r="AR2331">
        <v>2323</v>
      </c>
      <c r="AS2331">
        <v>505</v>
      </c>
      <c r="AT2331">
        <v>3</v>
      </c>
      <c r="AU2331">
        <v>4.5274340053804654</v>
      </c>
      <c r="AV2331">
        <v>1.1223336286947096E-14</v>
      </c>
    </row>
    <row r="2332" spans="44:48" x14ac:dyDescent="0.2">
      <c r="AR2332">
        <v>2324</v>
      </c>
      <c r="AS2332">
        <v>506</v>
      </c>
      <c r="AT2332">
        <v>3</v>
      </c>
      <c r="AU2332">
        <v>4.5583745366978121</v>
      </c>
      <c r="AV2332">
        <v>6.934469299088017E-15</v>
      </c>
    </row>
    <row r="2333" spans="44:48" x14ac:dyDescent="0.2">
      <c r="AR2333">
        <v>2325</v>
      </c>
      <c r="AS2333">
        <v>507</v>
      </c>
      <c r="AT2333">
        <v>3</v>
      </c>
      <c r="AU2333">
        <v>4.5893150680151589</v>
      </c>
      <c r="AV2333">
        <v>4.2691015415106667E-15</v>
      </c>
    </row>
    <row r="2334" spans="44:48" x14ac:dyDescent="0.2">
      <c r="AR2334">
        <v>2326</v>
      </c>
      <c r="AS2334">
        <v>508</v>
      </c>
      <c r="AT2334">
        <v>3</v>
      </c>
      <c r="AU2334">
        <v>4.6202555993325038</v>
      </c>
      <c r="AV2334">
        <v>2.6187361345776994E-15</v>
      </c>
    </row>
    <row r="2335" spans="44:48" x14ac:dyDescent="0.2">
      <c r="AR2335">
        <v>2327</v>
      </c>
      <c r="AS2335">
        <v>509</v>
      </c>
      <c r="AT2335">
        <v>3</v>
      </c>
      <c r="AU2335">
        <v>4.6511961306498506</v>
      </c>
      <c r="AV2335">
        <v>1.6005859420868905E-15</v>
      </c>
    </row>
    <row r="2336" spans="44:48" x14ac:dyDescent="0.2">
      <c r="AR2336">
        <v>2328</v>
      </c>
      <c r="AS2336">
        <v>510</v>
      </c>
      <c r="AT2336">
        <v>3</v>
      </c>
      <c r="AU2336">
        <v>4.6821366619671974</v>
      </c>
      <c r="AV2336">
        <v>9.7476125103844018E-16</v>
      </c>
    </row>
    <row r="2337" spans="44:48" x14ac:dyDescent="0.2">
      <c r="AR2337">
        <v>2329</v>
      </c>
      <c r="AS2337">
        <v>511</v>
      </c>
      <c r="AT2337">
        <v>3</v>
      </c>
      <c r="AU2337">
        <v>4.7130771932845441</v>
      </c>
      <c r="AV2337">
        <v>5.9149287331741131E-16</v>
      </c>
    </row>
    <row r="2338" spans="44:48" x14ac:dyDescent="0.2">
      <c r="AR2338">
        <v>2330</v>
      </c>
      <c r="AS2338">
        <v>512</v>
      </c>
      <c r="AT2338">
        <v>3</v>
      </c>
      <c r="AU2338">
        <v>4.7440177246018891</v>
      </c>
      <c r="AV2338">
        <v>3.5762904023361655E-16</v>
      </c>
    </row>
    <row r="2339" spans="44:48" x14ac:dyDescent="0.2">
      <c r="AR2339">
        <v>2331</v>
      </c>
      <c r="AS2339">
        <v>513</v>
      </c>
      <c r="AT2339">
        <v>3</v>
      </c>
      <c r="AU2339">
        <v>4.7749582559192358</v>
      </c>
      <c r="AV2339">
        <v>2.1545076437140993E-16</v>
      </c>
    </row>
    <row r="2340" spans="44:48" x14ac:dyDescent="0.2">
      <c r="AR2340">
        <v>2332</v>
      </c>
      <c r="AS2340">
        <v>514</v>
      </c>
      <c r="AT2340">
        <v>3</v>
      </c>
      <c r="AU2340">
        <v>4.8058987872365826</v>
      </c>
      <c r="AV2340">
        <v>1.2932881622692014E-16</v>
      </c>
    </row>
    <row r="2341" spans="44:48" x14ac:dyDescent="0.2">
      <c r="AR2341">
        <v>2333</v>
      </c>
      <c r="AS2341">
        <v>515</v>
      </c>
      <c r="AT2341">
        <v>3</v>
      </c>
      <c r="AU2341">
        <v>4.8368393185539276</v>
      </c>
      <c r="AV2341">
        <v>7.7352537813667861E-17</v>
      </c>
    </row>
    <row r="2342" spans="44:48" x14ac:dyDescent="0.2">
      <c r="AR2342">
        <v>2334</v>
      </c>
      <c r="AS2342">
        <v>516</v>
      </c>
      <c r="AT2342">
        <v>3</v>
      </c>
      <c r="AU2342">
        <v>4.8677798498712743</v>
      </c>
      <c r="AV2342">
        <v>4.6098397912079322E-17</v>
      </c>
    </row>
    <row r="2343" spans="44:48" x14ac:dyDescent="0.2">
      <c r="AR2343">
        <v>2335</v>
      </c>
      <c r="AS2343">
        <v>517</v>
      </c>
      <c r="AT2343">
        <v>3</v>
      </c>
      <c r="AU2343">
        <v>4.8987203811886211</v>
      </c>
      <c r="AV2343">
        <v>2.7373422398974551E-17</v>
      </c>
    </row>
    <row r="2344" spans="44:48" x14ac:dyDescent="0.2">
      <c r="AR2344">
        <v>2336</v>
      </c>
      <c r="AS2344">
        <v>518</v>
      </c>
      <c r="AT2344">
        <v>3</v>
      </c>
      <c r="AU2344">
        <v>4.9296609125059678</v>
      </c>
      <c r="AV2344">
        <v>1.6195873163024101E-17</v>
      </c>
    </row>
    <row r="2345" spans="44:48" x14ac:dyDescent="0.2">
      <c r="AR2345">
        <v>2337</v>
      </c>
      <c r="AS2345">
        <v>519</v>
      </c>
      <c r="AT2345">
        <v>3</v>
      </c>
      <c r="AU2345">
        <v>4.9606014438233128</v>
      </c>
      <c r="AV2345">
        <v>9.5479829770395664E-18</v>
      </c>
    </row>
    <row r="2346" spans="44:48" x14ac:dyDescent="0.2">
      <c r="AR2346">
        <v>2338</v>
      </c>
      <c r="AS2346">
        <v>520</v>
      </c>
      <c r="AT2346">
        <v>3</v>
      </c>
      <c r="AU2346">
        <v>4.9915419751406613</v>
      </c>
      <c r="AV2346">
        <v>5.6085540078812933E-18</v>
      </c>
    </row>
    <row r="2347" spans="44:48" x14ac:dyDescent="0.2">
      <c r="AR2347">
        <v>2339</v>
      </c>
      <c r="AS2347">
        <v>521</v>
      </c>
      <c r="AT2347">
        <v>3</v>
      </c>
      <c r="AU2347">
        <v>5.0224825064580063</v>
      </c>
      <c r="AV2347">
        <v>3.2826318406642527E-18</v>
      </c>
    </row>
    <row r="2348" spans="44:48" x14ac:dyDescent="0.2">
      <c r="AR2348">
        <v>2340</v>
      </c>
      <c r="AS2348">
        <v>522</v>
      </c>
      <c r="AT2348">
        <v>3</v>
      </c>
      <c r="AU2348">
        <v>5.0534230377753513</v>
      </c>
      <c r="AV2348">
        <v>1.9143681066756655E-18</v>
      </c>
    </row>
    <row r="2349" spans="44:48" x14ac:dyDescent="0.2">
      <c r="AR2349">
        <v>2341</v>
      </c>
      <c r="AS2349">
        <v>523</v>
      </c>
      <c r="AT2349">
        <v>3</v>
      </c>
      <c r="AU2349">
        <v>5.0843635690926998</v>
      </c>
      <c r="AV2349">
        <v>1.1123993440815791E-18</v>
      </c>
    </row>
    <row r="2350" spans="44:48" x14ac:dyDescent="0.2">
      <c r="AR2350">
        <v>2342</v>
      </c>
      <c r="AS2350">
        <v>524</v>
      </c>
      <c r="AT2350">
        <v>3</v>
      </c>
      <c r="AU2350">
        <v>5.1153041004100448</v>
      </c>
      <c r="AV2350">
        <v>6.4406247866439652E-19</v>
      </c>
    </row>
    <row r="2351" spans="44:48" x14ac:dyDescent="0.2">
      <c r="AR2351">
        <v>2343</v>
      </c>
      <c r="AS2351">
        <v>525</v>
      </c>
      <c r="AT2351">
        <v>3</v>
      </c>
      <c r="AU2351">
        <v>5.1462446317273898</v>
      </c>
      <c r="AV2351">
        <v>3.715585635377788E-19</v>
      </c>
    </row>
    <row r="2352" spans="44:48" x14ac:dyDescent="0.2">
      <c r="AR2352">
        <v>2344</v>
      </c>
      <c r="AS2352">
        <v>526</v>
      </c>
      <c r="AT2352">
        <v>3</v>
      </c>
      <c r="AU2352">
        <v>5.1771851630447383</v>
      </c>
      <c r="AV2352">
        <v>2.135790018455232E-19</v>
      </c>
    </row>
    <row r="2353" spans="44:48" x14ac:dyDescent="0.2">
      <c r="AR2353">
        <v>2345</v>
      </c>
      <c r="AS2353">
        <v>527</v>
      </c>
      <c r="AT2353">
        <v>3</v>
      </c>
      <c r="AU2353">
        <v>5.2081256943620833</v>
      </c>
      <c r="AV2353">
        <v>1.2232686084647615E-19</v>
      </c>
    </row>
    <row r="2354" spans="44:48" x14ac:dyDescent="0.2">
      <c r="AR2354">
        <v>2346</v>
      </c>
      <c r="AS2354">
        <v>528</v>
      </c>
      <c r="AT2354">
        <v>3</v>
      </c>
      <c r="AU2354">
        <v>5.2390662256794283</v>
      </c>
      <c r="AV2354">
        <v>6.9809915234133974E-20</v>
      </c>
    </row>
    <row r="2355" spans="44:48" x14ac:dyDescent="0.2">
      <c r="AR2355">
        <v>2347</v>
      </c>
      <c r="AS2355">
        <v>529</v>
      </c>
      <c r="AT2355">
        <v>3</v>
      </c>
      <c r="AU2355">
        <v>5.2700067569967768</v>
      </c>
      <c r="AV2355">
        <v>3.969578470724648E-20</v>
      </c>
    </row>
    <row r="2356" spans="44:48" x14ac:dyDescent="0.2">
      <c r="AR2356">
        <v>2348</v>
      </c>
      <c r="AS2356">
        <v>530</v>
      </c>
      <c r="AT2356">
        <v>3</v>
      </c>
      <c r="AU2356">
        <v>5.3009472883141218</v>
      </c>
      <c r="AV2356">
        <v>2.2490736297774047E-20</v>
      </c>
    </row>
    <row r="2357" spans="44:48" x14ac:dyDescent="0.2">
      <c r="AR2357">
        <v>2349</v>
      </c>
      <c r="AS2357">
        <v>531</v>
      </c>
      <c r="AT2357">
        <v>3</v>
      </c>
      <c r="AU2357">
        <v>5.3318878196314703</v>
      </c>
      <c r="AV2357">
        <v>1.2696819823997189E-20</v>
      </c>
    </row>
    <row r="2358" spans="44:48" x14ac:dyDescent="0.2">
      <c r="AR2358">
        <v>2350</v>
      </c>
      <c r="AS2358">
        <v>532</v>
      </c>
      <c r="AT2358">
        <v>3</v>
      </c>
      <c r="AU2358">
        <v>5.3628283509488153</v>
      </c>
      <c r="AV2358">
        <v>7.1419736094637019E-21</v>
      </c>
    </row>
    <row r="2359" spans="44:48" x14ac:dyDescent="0.2">
      <c r="AR2359">
        <v>2351</v>
      </c>
      <c r="AS2359">
        <v>533</v>
      </c>
      <c r="AT2359">
        <v>3</v>
      </c>
      <c r="AU2359">
        <v>5.3937688822661602</v>
      </c>
      <c r="AV2359">
        <v>4.0028888094831858E-21</v>
      </c>
    </row>
    <row r="2360" spans="44:48" x14ac:dyDescent="0.2">
      <c r="AR2360">
        <v>2352</v>
      </c>
      <c r="AS2360">
        <v>534</v>
      </c>
      <c r="AT2360">
        <v>3</v>
      </c>
      <c r="AU2360">
        <v>5.4247094135835088</v>
      </c>
      <c r="AV2360">
        <v>2.2354286533662892E-21</v>
      </c>
    </row>
    <row r="2361" spans="44:48" x14ac:dyDescent="0.2">
      <c r="AR2361">
        <v>2353</v>
      </c>
      <c r="AS2361">
        <v>535</v>
      </c>
      <c r="AT2361">
        <v>3</v>
      </c>
      <c r="AU2361">
        <v>5.4556499449008538</v>
      </c>
      <c r="AV2361">
        <v>1.2438846292264787E-21</v>
      </c>
    </row>
    <row r="2362" spans="44:48" x14ac:dyDescent="0.2">
      <c r="AR2362">
        <v>2354</v>
      </c>
      <c r="AS2362">
        <v>536</v>
      </c>
      <c r="AT2362">
        <v>3</v>
      </c>
      <c r="AU2362">
        <v>5.4865904762181987</v>
      </c>
      <c r="AV2362">
        <v>6.8965420779176062E-22</v>
      </c>
    </row>
    <row r="2363" spans="44:48" x14ac:dyDescent="0.2">
      <c r="AR2363">
        <v>2355</v>
      </c>
      <c r="AS2363">
        <v>537</v>
      </c>
      <c r="AT2363">
        <v>3</v>
      </c>
      <c r="AU2363">
        <v>5.5175310075355473</v>
      </c>
      <c r="AV2363">
        <v>3.8099096836105872E-22</v>
      </c>
    </row>
    <row r="2364" spans="44:48" x14ac:dyDescent="0.2">
      <c r="AR2364">
        <v>2356</v>
      </c>
      <c r="AS2364">
        <v>538</v>
      </c>
      <c r="AT2364">
        <v>3</v>
      </c>
      <c r="AU2364">
        <v>5.5484715388528922</v>
      </c>
      <c r="AV2364">
        <v>2.0971523044355351E-22</v>
      </c>
    </row>
    <row r="2365" spans="44:48" x14ac:dyDescent="0.2">
      <c r="AR2365">
        <v>2357</v>
      </c>
      <c r="AS2365">
        <v>539</v>
      </c>
      <c r="AT2365">
        <v>3</v>
      </c>
      <c r="AU2365">
        <v>5.5794120701702372</v>
      </c>
      <c r="AV2365">
        <v>1.1502103324513309E-22</v>
      </c>
    </row>
    <row r="2366" spans="44:48" x14ac:dyDescent="0.2">
      <c r="AR2366">
        <v>2358</v>
      </c>
      <c r="AS2366">
        <v>540</v>
      </c>
      <c r="AT2366">
        <v>3</v>
      </c>
      <c r="AU2366">
        <v>5.6103526014875857</v>
      </c>
      <c r="AV2366">
        <v>6.2857421020906523E-23</v>
      </c>
    </row>
    <row r="2367" spans="44:48" x14ac:dyDescent="0.2">
      <c r="AR2367">
        <v>2359</v>
      </c>
      <c r="AS2367">
        <v>541</v>
      </c>
      <c r="AT2367">
        <v>3</v>
      </c>
      <c r="AU2367">
        <v>5.6412931328049307</v>
      </c>
      <c r="AV2367">
        <v>3.4226922644888053E-23</v>
      </c>
    </row>
    <row r="2368" spans="44:48" x14ac:dyDescent="0.2">
      <c r="AR2368">
        <v>2360</v>
      </c>
      <c r="AS2368">
        <v>542</v>
      </c>
      <c r="AT2368">
        <v>3</v>
      </c>
      <c r="AU2368">
        <v>5.6722336641222793</v>
      </c>
      <c r="AV2368">
        <v>1.8569967747188585E-23</v>
      </c>
    </row>
    <row r="2369" spans="44:48" x14ac:dyDescent="0.2">
      <c r="AR2369">
        <v>2361</v>
      </c>
      <c r="AS2369">
        <v>543</v>
      </c>
      <c r="AT2369">
        <v>3</v>
      </c>
      <c r="AU2369">
        <v>5.7031741954396242</v>
      </c>
      <c r="AV2369">
        <v>1.0038907364887964E-23</v>
      </c>
    </row>
    <row r="2370" spans="44:48" x14ac:dyDescent="0.2">
      <c r="AR2370">
        <v>2362</v>
      </c>
      <c r="AS2370">
        <v>544</v>
      </c>
      <c r="AT2370">
        <v>3</v>
      </c>
      <c r="AU2370">
        <v>5.7341147267569692</v>
      </c>
      <c r="AV2370">
        <v>5.4074653498426089E-24</v>
      </c>
    </row>
    <row r="2371" spans="44:48" x14ac:dyDescent="0.2">
      <c r="AR2371">
        <v>2363</v>
      </c>
      <c r="AS2371">
        <v>545</v>
      </c>
      <c r="AT2371">
        <v>3</v>
      </c>
      <c r="AU2371">
        <v>5.7650552580743177</v>
      </c>
      <c r="AV2371">
        <v>2.9022381384127135E-24</v>
      </c>
    </row>
    <row r="2372" spans="44:48" x14ac:dyDescent="0.2">
      <c r="AR2372">
        <v>2364</v>
      </c>
      <c r="AS2372">
        <v>546</v>
      </c>
      <c r="AT2372">
        <v>3</v>
      </c>
      <c r="AU2372">
        <v>5.7959957893916627</v>
      </c>
      <c r="AV2372">
        <v>1.5520451310857259E-24</v>
      </c>
    </row>
    <row r="2373" spans="44:48" x14ac:dyDescent="0.2">
      <c r="AR2373">
        <v>2365</v>
      </c>
      <c r="AS2373">
        <v>547</v>
      </c>
      <c r="AT2373">
        <v>3</v>
      </c>
      <c r="AU2373">
        <v>5.8269363207090077</v>
      </c>
      <c r="AV2373">
        <v>8.270040716094479E-25</v>
      </c>
    </row>
    <row r="2374" spans="44:48" x14ac:dyDescent="0.2">
      <c r="AR2374">
        <v>2366</v>
      </c>
      <c r="AS2374">
        <v>548</v>
      </c>
      <c r="AT2374">
        <v>3</v>
      </c>
      <c r="AU2374">
        <v>5.8578768520263562</v>
      </c>
      <c r="AV2374">
        <v>4.3907928761766245E-25</v>
      </c>
    </row>
    <row r="2375" spans="44:48" x14ac:dyDescent="0.2">
      <c r="AR2375">
        <v>2367</v>
      </c>
      <c r="AS2375">
        <v>549</v>
      </c>
      <c r="AT2375">
        <v>3</v>
      </c>
      <c r="AU2375">
        <v>5.8888173833437012</v>
      </c>
      <c r="AV2375">
        <v>2.3227916452922929E-25</v>
      </c>
    </row>
    <row r="2376" spans="44:48" x14ac:dyDescent="0.2">
      <c r="AR2376">
        <v>2368</v>
      </c>
      <c r="AS2376">
        <v>550</v>
      </c>
      <c r="AT2376">
        <v>3</v>
      </c>
      <c r="AU2376">
        <v>5.9197579146610497</v>
      </c>
      <c r="AV2376">
        <v>1.2243612069365149E-25</v>
      </c>
    </row>
    <row r="2377" spans="44:48" x14ac:dyDescent="0.2">
      <c r="AR2377">
        <v>2369</v>
      </c>
      <c r="AS2377">
        <v>551</v>
      </c>
      <c r="AT2377">
        <v>3</v>
      </c>
      <c r="AU2377">
        <v>5.9506984459783947</v>
      </c>
      <c r="AV2377">
        <v>6.4304426234315917E-26</v>
      </c>
    </row>
    <row r="2378" spans="44:48" x14ac:dyDescent="0.2">
      <c r="AR2378">
        <v>2370</v>
      </c>
      <c r="AS2378">
        <v>552</v>
      </c>
      <c r="AT2378">
        <v>3</v>
      </c>
      <c r="AU2378">
        <v>5.9816389772957397</v>
      </c>
      <c r="AV2378">
        <v>3.3651480469819851E-26</v>
      </c>
    </row>
    <row r="2379" spans="44:48" x14ac:dyDescent="0.2">
      <c r="AR2379">
        <v>2371</v>
      </c>
      <c r="AS2379">
        <v>553</v>
      </c>
      <c r="AT2379">
        <v>3</v>
      </c>
      <c r="AU2379">
        <v>6.0125795086130882</v>
      </c>
      <c r="AV2379">
        <v>1.7546862968128068E-26</v>
      </c>
    </row>
    <row r="2380" spans="44:48" x14ac:dyDescent="0.2">
      <c r="AR2380">
        <v>2372</v>
      </c>
      <c r="AS2380">
        <v>554</v>
      </c>
      <c r="AT2380">
        <v>3</v>
      </c>
      <c r="AU2380">
        <v>6.0435200399304332</v>
      </c>
      <c r="AV2380">
        <v>9.116471838174486E-27</v>
      </c>
    </row>
    <row r="2381" spans="44:48" x14ac:dyDescent="0.2">
      <c r="AR2381">
        <v>2373</v>
      </c>
      <c r="AS2381">
        <v>555</v>
      </c>
      <c r="AT2381">
        <v>3</v>
      </c>
      <c r="AU2381">
        <v>6.0744605712477782</v>
      </c>
      <c r="AV2381">
        <v>4.7193925882077414E-27</v>
      </c>
    </row>
    <row r="2382" spans="44:48" x14ac:dyDescent="0.2">
      <c r="AR2382">
        <v>2374</v>
      </c>
      <c r="AS2382">
        <v>556</v>
      </c>
      <c r="AT2382">
        <v>3</v>
      </c>
      <c r="AU2382">
        <v>6.1054011025651267</v>
      </c>
      <c r="AV2382">
        <v>2.4343186073152664E-27</v>
      </c>
    </row>
    <row r="2383" spans="44:48" x14ac:dyDescent="0.2">
      <c r="AR2383">
        <v>2375</v>
      </c>
      <c r="AS2383">
        <v>557</v>
      </c>
      <c r="AT2383">
        <v>3</v>
      </c>
      <c r="AU2383">
        <v>6.1363416338824717</v>
      </c>
      <c r="AV2383">
        <v>1.2511250871366653E-27</v>
      </c>
    </row>
    <row r="2384" spans="44:48" x14ac:dyDescent="0.2">
      <c r="AR2384">
        <v>2376</v>
      </c>
      <c r="AS2384">
        <v>558</v>
      </c>
      <c r="AT2384">
        <v>3</v>
      </c>
      <c r="AU2384">
        <v>6.1672821651998166</v>
      </c>
      <c r="AV2384">
        <v>6.4070195245767933E-28</v>
      </c>
    </row>
    <row r="2385" spans="44:48" x14ac:dyDescent="0.2">
      <c r="AR2385">
        <v>2377</v>
      </c>
      <c r="AS2385">
        <v>559</v>
      </c>
      <c r="AT2385">
        <v>3</v>
      </c>
      <c r="AU2385">
        <v>6.1982226965171652</v>
      </c>
      <c r="AV2385">
        <v>3.2692141017022802E-28</v>
      </c>
    </row>
    <row r="2386" spans="44:48" x14ac:dyDescent="0.2">
      <c r="AR2386">
        <v>2378</v>
      </c>
      <c r="AS2386">
        <v>560</v>
      </c>
      <c r="AT2386">
        <v>3</v>
      </c>
      <c r="AU2386">
        <v>6.2291632278345102</v>
      </c>
      <c r="AV2386">
        <v>1.6621211694034338E-28</v>
      </c>
    </row>
    <row r="2387" spans="44:48" x14ac:dyDescent="0.2">
      <c r="AR2387">
        <v>2379</v>
      </c>
      <c r="AS2387">
        <v>561</v>
      </c>
      <c r="AT2387">
        <v>3</v>
      </c>
      <c r="AU2387">
        <v>6.2601037591518587</v>
      </c>
      <c r="AV2387">
        <v>8.4200369889472912E-29</v>
      </c>
    </row>
    <row r="2388" spans="44:48" x14ac:dyDescent="0.2">
      <c r="AR2388">
        <v>2380</v>
      </c>
      <c r="AS2388">
        <v>562</v>
      </c>
      <c r="AT2388">
        <v>3</v>
      </c>
      <c r="AU2388">
        <v>6.2910442904692037</v>
      </c>
      <c r="AV2388">
        <v>4.2500820948991285E-29</v>
      </c>
    </row>
    <row r="2389" spans="44:48" x14ac:dyDescent="0.2">
      <c r="AR2389">
        <v>2381</v>
      </c>
      <c r="AS2389">
        <v>563</v>
      </c>
      <c r="AT2389">
        <v>3</v>
      </c>
      <c r="AU2389">
        <v>6.3219848217865486</v>
      </c>
      <c r="AV2389">
        <v>2.1375320726062824E-29</v>
      </c>
    </row>
    <row r="2390" spans="44:48" x14ac:dyDescent="0.2">
      <c r="AR2390">
        <v>2382</v>
      </c>
      <c r="AS2390">
        <v>564</v>
      </c>
      <c r="AT2390">
        <v>3</v>
      </c>
      <c r="AU2390">
        <v>6.3529253531038972</v>
      </c>
      <c r="AV2390">
        <v>1.0711738497340964E-29</v>
      </c>
    </row>
    <row r="2391" spans="44:48" x14ac:dyDescent="0.2">
      <c r="AR2391">
        <v>2383</v>
      </c>
      <c r="AS2391">
        <v>565</v>
      </c>
      <c r="AT2391">
        <v>3</v>
      </c>
      <c r="AU2391">
        <v>6.3838658844212421</v>
      </c>
      <c r="AV2391">
        <v>5.3485897165779927E-30</v>
      </c>
    </row>
    <row r="2392" spans="44:48" x14ac:dyDescent="0.2">
      <c r="AR2392">
        <v>2384</v>
      </c>
      <c r="AS2392">
        <v>566</v>
      </c>
      <c r="AT2392">
        <v>3</v>
      </c>
      <c r="AU2392">
        <v>6.4148064157385871</v>
      </c>
      <c r="AV2392">
        <v>2.661035138414957E-30</v>
      </c>
    </row>
    <row r="2393" spans="44:48" x14ac:dyDescent="0.2">
      <c r="AR2393">
        <v>2385</v>
      </c>
      <c r="AS2393">
        <v>567</v>
      </c>
      <c r="AT2393">
        <v>3</v>
      </c>
      <c r="AU2393">
        <v>6.4457469470559356</v>
      </c>
      <c r="AV2393">
        <v>1.3191492500168263E-30</v>
      </c>
    </row>
    <row r="2394" spans="44:48" x14ac:dyDescent="0.2">
      <c r="AR2394">
        <v>2386</v>
      </c>
      <c r="AS2394">
        <v>568</v>
      </c>
      <c r="AT2394">
        <v>3</v>
      </c>
      <c r="AU2394">
        <v>6.4766874783732806</v>
      </c>
      <c r="AV2394">
        <v>6.5158227487313327E-31</v>
      </c>
    </row>
    <row r="2395" spans="44:48" x14ac:dyDescent="0.2">
      <c r="AR2395">
        <v>2387</v>
      </c>
      <c r="AS2395">
        <v>569</v>
      </c>
      <c r="AT2395">
        <v>3</v>
      </c>
      <c r="AU2395">
        <v>6.5076280096906256</v>
      </c>
      <c r="AV2395">
        <v>3.2068348121133344E-31</v>
      </c>
    </row>
    <row r="2396" spans="44:48" x14ac:dyDescent="0.2">
      <c r="AR2396">
        <v>2388</v>
      </c>
      <c r="AS2396">
        <v>570</v>
      </c>
      <c r="AT2396">
        <v>3</v>
      </c>
      <c r="AU2396">
        <v>6.5385685410079741</v>
      </c>
      <c r="AV2396">
        <v>1.5725914804508973E-31</v>
      </c>
    </row>
    <row r="2397" spans="44:48" x14ac:dyDescent="0.2">
      <c r="AR2397">
        <v>2389</v>
      </c>
      <c r="AS2397">
        <v>571</v>
      </c>
      <c r="AT2397">
        <v>3</v>
      </c>
      <c r="AU2397">
        <v>6.5695090723253191</v>
      </c>
      <c r="AV2397">
        <v>7.6839980994473269E-32</v>
      </c>
    </row>
    <row r="2398" spans="44:48" x14ac:dyDescent="0.2">
      <c r="AR2398">
        <v>2390</v>
      </c>
      <c r="AS2398">
        <v>572</v>
      </c>
      <c r="AT2398">
        <v>3</v>
      </c>
      <c r="AU2398">
        <v>6.6004496036426676</v>
      </c>
      <c r="AV2398">
        <v>3.7410247392730281E-32</v>
      </c>
    </row>
    <row r="2399" spans="44:48" x14ac:dyDescent="0.2">
      <c r="AR2399">
        <v>2391</v>
      </c>
      <c r="AS2399">
        <v>573</v>
      </c>
      <c r="AT2399">
        <v>3</v>
      </c>
      <c r="AU2399">
        <v>6.6313901349600126</v>
      </c>
      <c r="AV2399">
        <v>1.8147880579602614E-32</v>
      </c>
    </row>
    <row r="2400" spans="44:48" x14ac:dyDescent="0.2">
      <c r="AR2400">
        <v>2392</v>
      </c>
      <c r="AS2400">
        <v>574</v>
      </c>
      <c r="AT2400">
        <v>3</v>
      </c>
      <c r="AU2400">
        <v>6.6623306662773576</v>
      </c>
      <c r="AV2400">
        <v>8.7718914051994466E-33</v>
      </c>
    </row>
    <row r="2401" spans="44:48" x14ac:dyDescent="0.2">
      <c r="AR2401">
        <v>2393</v>
      </c>
      <c r="AS2401">
        <v>575</v>
      </c>
      <c r="AT2401">
        <v>3</v>
      </c>
      <c r="AU2401">
        <v>6.6932711975947061</v>
      </c>
      <c r="AV2401">
        <v>4.2246679643652326E-33</v>
      </c>
    </row>
    <row r="2402" spans="44:48" x14ac:dyDescent="0.2">
      <c r="AR2402">
        <v>2394</v>
      </c>
      <c r="AS2402">
        <v>576</v>
      </c>
      <c r="AT2402">
        <v>3</v>
      </c>
      <c r="AU2402">
        <v>6.7242117289120511</v>
      </c>
      <c r="AV2402">
        <v>2.0273275285478882E-33</v>
      </c>
    </row>
    <row r="2403" spans="44:48" x14ac:dyDescent="0.2">
      <c r="AR2403">
        <v>2395</v>
      </c>
      <c r="AS2403">
        <v>577</v>
      </c>
      <c r="AT2403">
        <v>3</v>
      </c>
      <c r="AU2403">
        <v>6.7551522602293961</v>
      </c>
      <c r="AV2403">
        <v>9.69364821200609E-34</v>
      </c>
    </row>
    <row r="2404" spans="44:48" x14ac:dyDescent="0.2">
      <c r="AR2404">
        <v>2396</v>
      </c>
      <c r="AS2404">
        <v>578</v>
      </c>
      <c r="AT2404">
        <v>3</v>
      </c>
      <c r="AU2404">
        <v>6.7860927915467446</v>
      </c>
      <c r="AV2404">
        <v>4.6183048122031026E-34</v>
      </c>
    </row>
    <row r="2405" spans="44:48" x14ac:dyDescent="0.2">
      <c r="AR2405">
        <v>2397</v>
      </c>
      <c r="AS2405">
        <v>579</v>
      </c>
      <c r="AT2405">
        <v>3</v>
      </c>
      <c r="AU2405">
        <v>6.8170333228640896</v>
      </c>
      <c r="AV2405">
        <v>2.1923502233693178E-34</v>
      </c>
    </row>
    <row r="2406" spans="44:48" x14ac:dyDescent="0.2">
      <c r="AR2406">
        <v>2398</v>
      </c>
      <c r="AS2406">
        <v>580</v>
      </c>
      <c r="AT2406">
        <v>3</v>
      </c>
      <c r="AU2406">
        <v>6.8479738541814346</v>
      </c>
      <c r="AV2406">
        <v>1.0369773579289972E-34</v>
      </c>
    </row>
    <row r="2407" spans="44:48" x14ac:dyDescent="0.2">
      <c r="AR2407">
        <v>2399</v>
      </c>
      <c r="AS2407">
        <v>581</v>
      </c>
      <c r="AT2407">
        <v>3</v>
      </c>
      <c r="AU2407">
        <v>6.8789143854987831</v>
      </c>
      <c r="AV2407">
        <v>4.8872056680398143E-35</v>
      </c>
    </row>
    <row r="2408" spans="44:48" x14ac:dyDescent="0.2">
      <c r="AR2408">
        <v>2400</v>
      </c>
      <c r="AS2408">
        <v>582</v>
      </c>
      <c r="AT2408">
        <v>3</v>
      </c>
      <c r="AU2408">
        <v>6.9098549168161281</v>
      </c>
      <c r="AV2408">
        <v>2.295006706510356E-35</v>
      </c>
    </row>
    <row r="2409" spans="44:48" x14ac:dyDescent="0.2">
      <c r="AR2409">
        <v>2401</v>
      </c>
      <c r="AS2409">
        <v>583</v>
      </c>
      <c r="AT2409">
        <v>3</v>
      </c>
      <c r="AU2409">
        <v>6.9407954481334766</v>
      </c>
      <c r="AV2409">
        <v>1.0738393228685852E-35</v>
      </c>
    </row>
    <row r="2410" spans="44:48" x14ac:dyDescent="0.2">
      <c r="AR2410">
        <v>2402</v>
      </c>
      <c r="AS2410">
        <v>584</v>
      </c>
      <c r="AT2410">
        <v>3</v>
      </c>
      <c r="AU2410">
        <v>6.9717359794508216</v>
      </c>
      <c r="AV2410">
        <v>5.0064127155849212E-36</v>
      </c>
    </row>
    <row r="2411" spans="44:48" x14ac:dyDescent="0.2">
      <c r="AR2411">
        <v>2403</v>
      </c>
      <c r="AS2411">
        <v>585</v>
      </c>
      <c r="AT2411">
        <v>3</v>
      </c>
      <c r="AU2411">
        <v>7.0026765107681666</v>
      </c>
      <c r="AV2411">
        <v>2.3256587802575928E-36</v>
      </c>
    </row>
    <row r="2412" spans="44:48" x14ac:dyDescent="0.2">
      <c r="AR2412">
        <v>2404</v>
      </c>
      <c r="AS2412">
        <v>586</v>
      </c>
      <c r="AT2412">
        <v>3</v>
      </c>
      <c r="AU2412">
        <v>7.0336170420855151</v>
      </c>
      <c r="AV2412">
        <v>1.0764586289278132E-36</v>
      </c>
    </row>
    <row r="2413" spans="44:48" x14ac:dyDescent="0.2">
      <c r="AR2413">
        <v>2405</v>
      </c>
      <c r="AS2413">
        <v>587</v>
      </c>
      <c r="AT2413">
        <v>3</v>
      </c>
      <c r="AU2413">
        <v>7.0645575734028601</v>
      </c>
      <c r="AV2413">
        <v>4.9645591847075971E-37</v>
      </c>
    </row>
    <row r="2414" spans="44:48" x14ac:dyDescent="0.2">
      <c r="AR2414">
        <v>2406</v>
      </c>
      <c r="AS2414">
        <v>588</v>
      </c>
      <c r="AT2414">
        <v>3</v>
      </c>
      <c r="AU2414">
        <v>7.095498104720205</v>
      </c>
      <c r="AV2414">
        <v>2.2813716622145709E-37</v>
      </c>
    </row>
    <row r="2415" spans="44:48" x14ac:dyDescent="0.2">
      <c r="AR2415">
        <v>2407</v>
      </c>
      <c r="AS2415">
        <v>589</v>
      </c>
      <c r="AT2415">
        <v>3</v>
      </c>
      <c r="AU2415">
        <v>7.1264386360375536</v>
      </c>
      <c r="AV2415">
        <v>1.0445840593935145E-37</v>
      </c>
    </row>
    <row r="2416" spans="44:48" x14ac:dyDescent="0.2">
      <c r="AR2416">
        <v>2408</v>
      </c>
      <c r="AS2416">
        <v>590</v>
      </c>
      <c r="AT2416">
        <v>3</v>
      </c>
      <c r="AU2416">
        <v>7.1573791673548985</v>
      </c>
      <c r="AV2416">
        <v>4.7656566176794019E-38</v>
      </c>
    </row>
    <row r="2417" spans="44:48" x14ac:dyDescent="0.2">
      <c r="AR2417">
        <v>2409</v>
      </c>
      <c r="AS2417">
        <v>591</v>
      </c>
      <c r="AT2417">
        <v>3</v>
      </c>
      <c r="AU2417">
        <v>7.1883196986722435</v>
      </c>
      <c r="AV2417">
        <v>2.1663773204434962E-38</v>
      </c>
    </row>
    <row r="2418" spans="44:48" x14ac:dyDescent="0.2">
      <c r="AR2418">
        <v>2410</v>
      </c>
      <c r="AS2418">
        <v>592</v>
      </c>
      <c r="AT2418">
        <v>3</v>
      </c>
      <c r="AU2418">
        <v>7.219260229989592</v>
      </c>
      <c r="AV2418">
        <v>9.812449968372086E-39</v>
      </c>
    </row>
    <row r="2419" spans="44:48" x14ac:dyDescent="0.2">
      <c r="AR2419">
        <v>2411</v>
      </c>
      <c r="AS2419">
        <v>593</v>
      </c>
      <c r="AT2419">
        <v>3</v>
      </c>
      <c r="AU2419">
        <v>7.250200761306937</v>
      </c>
      <c r="AV2419">
        <v>4.4284608689619828E-39</v>
      </c>
    </row>
    <row r="2420" spans="44:48" x14ac:dyDescent="0.2">
      <c r="AR2420">
        <v>2412</v>
      </c>
      <c r="AS2420">
        <v>594</v>
      </c>
      <c r="AT2420">
        <v>3</v>
      </c>
      <c r="AU2420">
        <v>7.2811412926242856</v>
      </c>
      <c r="AV2420">
        <v>1.9914076391636714E-39</v>
      </c>
    </row>
    <row r="2421" spans="44:48" x14ac:dyDescent="0.2">
      <c r="AR2421">
        <v>2413</v>
      </c>
      <c r="AS2421">
        <v>595</v>
      </c>
      <c r="AT2421">
        <v>3</v>
      </c>
      <c r="AU2421">
        <v>7.3120818239416305</v>
      </c>
      <c r="AV2421">
        <v>8.9227664827571755E-40</v>
      </c>
    </row>
    <row r="2422" spans="44:48" x14ac:dyDescent="0.2">
      <c r="AR2422">
        <v>2414</v>
      </c>
      <c r="AS2422">
        <v>596</v>
      </c>
      <c r="AT2422">
        <v>3</v>
      </c>
      <c r="AU2422">
        <v>7.3430223552589755</v>
      </c>
      <c r="AV2422">
        <v>3.9835556340957914E-40</v>
      </c>
    </row>
    <row r="2423" spans="44:48" x14ac:dyDescent="0.2">
      <c r="AR2423">
        <v>2415</v>
      </c>
      <c r="AS2423">
        <v>597</v>
      </c>
      <c r="AT2423">
        <v>3</v>
      </c>
      <c r="AU2423">
        <v>7.373962886576324</v>
      </c>
      <c r="AV2423">
        <v>1.7720429653811304E-40</v>
      </c>
    </row>
    <row r="2424" spans="44:48" x14ac:dyDescent="0.2">
      <c r="AR2424">
        <v>2416</v>
      </c>
      <c r="AS2424">
        <v>598</v>
      </c>
      <c r="AT2424">
        <v>3</v>
      </c>
      <c r="AU2424">
        <v>7.404903417893669</v>
      </c>
      <c r="AV2424">
        <v>7.8543384179416021E-41</v>
      </c>
    </row>
    <row r="2425" spans="44:48" x14ac:dyDescent="0.2">
      <c r="AR2425">
        <v>2417</v>
      </c>
      <c r="AS2425">
        <v>599</v>
      </c>
      <c r="AT2425">
        <v>3</v>
      </c>
      <c r="AU2425">
        <v>7.435843949211014</v>
      </c>
      <c r="AV2425">
        <v>3.4687817278726302E-41</v>
      </c>
    </row>
    <row r="2426" spans="44:48" x14ac:dyDescent="0.2">
      <c r="AR2426">
        <v>2418</v>
      </c>
      <c r="AS2426">
        <v>600</v>
      </c>
      <c r="AT2426">
        <v>3</v>
      </c>
      <c r="AU2426">
        <v>7.4667844805283625</v>
      </c>
      <c r="AV2426">
        <v>1.526428046671093E-41</v>
      </c>
    </row>
    <row r="2427" spans="44:48" x14ac:dyDescent="0.2">
      <c r="AR2427">
        <v>2419</v>
      </c>
      <c r="AS2427">
        <v>601</v>
      </c>
      <c r="AT2427">
        <v>3</v>
      </c>
      <c r="AU2427">
        <v>7.4977250118457075</v>
      </c>
      <c r="AV2427">
        <v>6.6927977726011554E-42</v>
      </c>
    </row>
    <row r="2428" spans="44:48" x14ac:dyDescent="0.2">
      <c r="AR2428">
        <v>2420</v>
      </c>
      <c r="AS2428">
        <v>602</v>
      </c>
      <c r="AT2428">
        <v>3</v>
      </c>
      <c r="AU2428">
        <v>7.528665543163056</v>
      </c>
      <c r="AV2428">
        <v>2.923957591392496E-42</v>
      </c>
    </row>
    <row r="2429" spans="44:48" x14ac:dyDescent="0.2">
      <c r="AR2429">
        <v>2421</v>
      </c>
      <c r="AS2429">
        <v>603</v>
      </c>
      <c r="AT2429">
        <v>3</v>
      </c>
      <c r="AU2429">
        <v>7.559606074480401</v>
      </c>
      <c r="AV2429">
        <v>1.2728183776458223E-42</v>
      </c>
    </row>
    <row r="2430" spans="44:48" x14ac:dyDescent="0.2">
      <c r="AR2430">
        <v>2422</v>
      </c>
      <c r="AS2430">
        <v>604</v>
      </c>
      <c r="AT2430">
        <v>3</v>
      </c>
      <c r="AU2430">
        <v>7.590546605797746</v>
      </c>
      <c r="AV2430">
        <v>5.5206956588565158E-43</v>
      </c>
    </row>
    <row r="2431" spans="44:48" x14ac:dyDescent="0.2">
      <c r="AR2431">
        <v>2423</v>
      </c>
      <c r="AS2431">
        <v>605</v>
      </c>
      <c r="AT2431">
        <v>3</v>
      </c>
      <c r="AU2431">
        <v>7.6214871371150945</v>
      </c>
      <c r="AV2431">
        <v>2.3859051606007149E-43</v>
      </c>
    </row>
    <row r="2432" spans="44:48" x14ac:dyDescent="0.2">
      <c r="AR2432">
        <v>2424</v>
      </c>
      <c r="AS2432">
        <v>606</v>
      </c>
      <c r="AT2432">
        <v>3</v>
      </c>
      <c r="AU2432">
        <v>7.6524276684324395</v>
      </c>
      <c r="AV2432">
        <v>1.0274117966092057E-43</v>
      </c>
    </row>
    <row r="2433" spans="44:48" x14ac:dyDescent="0.2">
      <c r="AR2433">
        <v>2425</v>
      </c>
      <c r="AS2433">
        <v>607</v>
      </c>
      <c r="AT2433">
        <v>3</v>
      </c>
      <c r="AU2433">
        <v>7.6833681997497845</v>
      </c>
      <c r="AV2433">
        <v>4.408267299509543E-44</v>
      </c>
    </row>
    <row r="2434" spans="44:48" x14ac:dyDescent="0.2">
      <c r="AR2434">
        <v>2426</v>
      </c>
      <c r="AS2434">
        <v>608</v>
      </c>
      <c r="AT2434">
        <v>3</v>
      </c>
      <c r="AU2434">
        <v>7.714308731067133</v>
      </c>
      <c r="AV2434">
        <v>1.8846178242610478E-44</v>
      </c>
    </row>
    <row r="2435" spans="44:48" x14ac:dyDescent="0.2">
      <c r="AR2435">
        <v>2427</v>
      </c>
      <c r="AS2435">
        <v>609</v>
      </c>
      <c r="AT2435">
        <v>3</v>
      </c>
      <c r="AU2435">
        <v>7.745249262384478</v>
      </c>
      <c r="AV2435">
        <v>8.0280611004078177E-45</v>
      </c>
    </row>
    <row r="2436" spans="44:48" x14ac:dyDescent="0.2">
      <c r="AR2436">
        <v>2428</v>
      </c>
      <c r="AS2436">
        <v>610</v>
      </c>
      <c r="AT2436">
        <v>3</v>
      </c>
      <c r="AU2436">
        <v>7.7761897937018229</v>
      </c>
      <c r="AV2436">
        <v>3.4074543423318668E-45</v>
      </c>
    </row>
    <row r="2437" spans="44:48" x14ac:dyDescent="0.2">
      <c r="AR2437">
        <v>2429</v>
      </c>
      <c r="AS2437">
        <v>611</v>
      </c>
      <c r="AT2437">
        <v>3</v>
      </c>
      <c r="AU2437">
        <v>7.8071303250191715</v>
      </c>
      <c r="AV2437">
        <v>1.4410578733165705E-45</v>
      </c>
    </row>
    <row r="2438" spans="44:48" x14ac:dyDescent="0.2">
      <c r="AR2438">
        <v>2430</v>
      </c>
      <c r="AS2438">
        <v>612</v>
      </c>
      <c r="AT2438">
        <v>3</v>
      </c>
      <c r="AU2438">
        <v>7.8380708563365165</v>
      </c>
      <c r="AV2438">
        <v>6.0724619334392203E-46</v>
      </c>
    </row>
    <row r="2439" spans="44:48" x14ac:dyDescent="0.2">
      <c r="AR2439">
        <v>2431</v>
      </c>
      <c r="AS2439">
        <v>613</v>
      </c>
      <c r="AT2439">
        <v>3</v>
      </c>
      <c r="AU2439">
        <v>7.869011387653865</v>
      </c>
      <c r="AV2439">
        <v>2.549647730059612E-46</v>
      </c>
    </row>
    <row r="2440" spans="44:48" x14ac:dyDescent="0.2">
      <c r="AR2440">
        <v>2432</v>
      </c>
      <c r="AS2440">
        <v>614</v>
      </c>
      <c r="AT2440">
        <v>3</v>
      </c>
      <c r="AU2440">
        <v>7.89995191897121</v>
      </c>
      <c r="AV2440">
        <v>1.0666638123302316E-46</v>
      </c>
    </row>
    <row r="2441" spans="44:48" x14ac:dyDescent="0.2">
      <c r="AR2441">
        <v>2433</v>
      </c>
      <c r="AS2441">
        <v>615</v>
      </c>
      <c r="AT2441">
        <v>3</v>
      </c>
      <c r="AU2441">
        <v>7.9308924502885549</v>
      </c>
      <c r="AV2441">
        <v>4.4463837622416363E-47</v>
      </c>
    </row>
    <row r="2442" spans="44:48" x14ac:dyDescent="0.2">
      <c r="AR2442">
        <v>2434</v>
      </c>
      <c r="AS2442">
        <v>616</v>
      </c>
      <c r="AT2442">
        <v>3</v>
      </c>
      <c r="AU2442">
        <v>7.9618329816059035</v>
      </c>
      <c r="AV2442">
        <v>1.8467934543338763E-47</v>
      </c>
    </row>
    <row r="2443" spans="44:48" x14ac:dyDescent="0.2">
      <c r="AR2443">
        <v>2435</v>
      </c>
      <c r="AS2443">
        <v>617</v>
      </c>
      <c r="AT2443">
        <v>3</v>
      </c>
      <c r="AU2443">
        <v>7.9927735129232484</v>
      </c>
      <c r="AV2443">
        <v>7.6429621866301938E-48</v>
      </c>
    </row>
    <row r="2444" spans="44:48" x14ac:dyDescent="0.2">
      <c r="AR2444">
        <v>2436</v>
      </c>
      <c r="AS2444">
        <v>618</v>
      </c>
      <c r="AT2444">
        <v>3</v>
      </c>
      <c r="AU2444">
        <v>8.0237140442405934</v>
      </c>
      <c r="AV2444">
        <v>3.1516435748824414E-48</v>
      </c>
    </row>
    <row r="2445" spans="44:48" x14ac:dyDescent="0.2">
      <c r="AR2445">
        <v>2437</v>
      </c>
      <c r="AS2445">
        <v>619</v>
      </c>
      <c r="AT2445">
        <v>3</v>
      </c>
      <c r="AU2445">
        <v>8.054654575557942</v>
      </c>
      <c r="AV2445">
        <v>1.2949246053098806E-48</v>
      </c>
    </row>
    <row r="2446" spans="44:48" x14ac:dyDescent="0.2">
      <c r="AR2446">
        <v>2438</v>
      </c>
      <c r="AS2446">
        <v>620</v>
      </c>
      <c r="AT2446">
        <v>3</v>
      </c>
      <c r="AU2446">
        <v>8.0855951068752869</v>
      </c>
      <c r="AV2446">
        <v>5.3013181805581386E-49</v>
      </c>
    </row>
    <row r="2447" spans="44:48" x14ac:dyDescent="0.2">
      <c r="AR2447">
        <v>2439</v>
      </c>
      <c r="AS2447">
        <v>621</v>
      </c>
      <c r="AT2447">
        <v>3</v>
      </c>
      <c r="AU2447">
        <v>8.1165356381926319</v>
      </c>
      <c r="AV2447">
        <v>2.1624957371529792E-49</v>
      </c>
    </row>
    <row r="2448" spans="44:48" x14ac:dyDescent="0.2">
      <c r="AR2448">
        <v>2440</v>
      </c>
      <c r="AS2448">
        <v>622</v>
      </c>
      <c r="AT2448">
        <v>3</v>
      </c>
      <c r="AU2448">
        <v>8.1474761695099804</v>
      </c>
      <c r="AV2448">
        <v>8.7893882791150474E-50</v>
      </c>
    </row>
    <row r="2449" spans="44:48" x14ac:dyDescent="0.2">
      <c r="AR2449">
        <v>2441</v>
      </c>
      <c r="AS2449">
        <v>623</v>
      </c>
      <c r="AT2449">
        <v>3</v>
      </c>
      <c r="AU2449">
        <v>8.1784167008273254</v>
      </c>
      <c r="AV2449">
        <v>3.5595413440984282E-50</v>
      </c>
    </row>
    <row r="2450" spans="44:48" x14ac:dyDescent="0.2">
      <c r="AR2450">
        <v>2442</v>
      </c>
      <c r="AS2450">
        <v>624</v>
      </c>
      <c r="AT2450">
        <v>3</v>
      </c>
      <c r="AU2450">
        <v>8.2093572321446739</v>
      </c>
      <c r="AV2450">
        <v>1.4363538215302673E-50</v>
      </c>
    </row>
    <row r="2451" spans="44:48" x14ac:dyDescent="0.2">
      <c r="AR2451">
        <v>2443</v>
      </c>
      <c r="AS2451">
        <v>625</v>
      </c>
      <c r="AT2451">
        <v>3</v>
      </c>
      <c r="AU2451">
        <v>8.2402977634620189</v>
      </c>
      <c r="AV2451">
        <v>5.7751175422587584E-51</v>
      </c>
    </row>
    <row r="2452" spans="44:48" x14ac:dyDescent="0.2">
      <c r="AR2452">
        <v>2444</v>
      </c>
      <c r="AS2452">
        <v>626</v>
      </c>
      <c r="AT2452">
        <v>3</v>
      </c>
      <c r="AU2452">
        <v>8.2712382947793639</v>
      </c>
      <c r="AV2452">
        <v>2.3136210281369639E-51</v>
      </c>
    </row>
    <row r="2453" spans="44:48" x14ac:dyDescent="0.2">
      <c r="AR2453">
        <v>2445</v>
      </c>
      <c r="AS2453">
        <v>627</v>
      </c>
      <c r="AT2453">
        <v>3</v>
      </c>
      <c r="AU2453">
        <v>8.3021788260967124</v>
      </c>
      <c r="AV2453">
        <v>9.2353980603361014E-52</v>
      </c>
    </row>
    <row r="2454" spans="44:48" x14ac:dyDescent="0.2">
      <c r="AR2454">
        <v>2446</v>
      </c>
      <c r="AS2454">
        <v>628</v>
      </c>
      <c r="AT2454">
        <v>3</v>
      </c>
      <c r="AU2454">
        <v>8.3331193574140574</v>
      </c>
      <c r="AV2454">
        <v>3.6732544739754949E-52</v>
      </c>
    </row>
    <row r="2455" spans="44:48" x14ac:dyDescent="0.2">
      <c r="AR2455">
        <v>2447</v>
      </c>
      <c r="AS2455">
        <v>629</v>
      </c>
      <c r="AT2455">
        <v>3</v>
      </c>
      <c r="AU2455">
        <v>8.3640598887314024</v>
      </c>
      <c r="AV2455">
        <v>1.4557218968726013E-52</v>
      </c>
    </row>
    <row r="2456" spans="44:48" x14ac:dyDescent="0.2">
      <c r="AR2456">
        <v>2448</v>
      </c>
      <c r="AS2456">
        <v>630</v>
      </c>
      <c r="AT2456">
        <v>3</v>
      </c>
      <c r="AU2456">
        <v>8.3950004200487509</v>
      </c>
      <c r="AV2456">
        <v>5.748278673065677E-53</v>
      </c>
    </row>
    <row r="2457" spans="44:48" x14ac:dyDescent="0.2">
      <c r="AR2457">
        <v>2449</v>
      </c>
      <c r="AS2457">
        <v>631</v>
      </c>
      <c r="AT2457">
        <v>3</v>
      </c>
      <c r="AU2457">
        <v>8.4259409513660959</v>
      </c>
      <c r="AV2457">
        <v>2.2616698841284619E-53</v>
      </c>
    </row>
    <row r="2458" spans="44:48" x14ac:dyDescent="0.2">
      <c r="AR2458">
        <v>2450</v>
      </c>
      <c r="AS2458">
        <v>632</v>
      </c>
      <c r="AT2458">
        <v>3</v>
      </c>
      <c r="AU2458">
        <v>8.4568814826834409</v>
      </c>
      <c r="AV2458">
        <v>8.8665081393501823E-54</v>
      </c>
    </row>
    <row r="2459" spans="44:48" x14ac:dyDescent="0.2">
      <c r="AR2459">
        <v>2451</v>
      </c>
      <c r="AS2459">
        <v>633</v>
      </c>
      <c r="AT2459">
        <v>3</v>
      </c>
      <c r="AU2459">
        <v>8.4878220140007894</v>
      </c>
      <c r="AV2459">
        <v>3.463442805831168E-54</v>
      </c>
    </row>
    <row r="2460" spans="44:48" x14ac:dyDescent="0.2">
      <c r="AR2460">
        <v>2452</v>
      </c>
      <c r="AS2460">
        <v>634</v>
      </c>
      <c r="AT2460">
        <v>3</v>
      </c>
      <c r="AU2460">
        <v>8.5187625453181344</v>
      </c>
      <c r="AV2460">
        <v>1.3480171719267876E-54</v>
      </c>
    </row>
    <row r="2461" spans="44:48" x14ac:dyDescent="0.2">
      <c r="AR2461">
        <v>2453</v>
      </c>
      <c r="AS2461">
        <v>635</v>
      </c>
      <c r="AT2461">
        <v>3</v>
      </c>
      <c r="AU2461">
        <v>8.5497030766354829</v>
      </c>
      <c r="AV2461">
        <v>5.2277502331764642E-55</v>
      </c>
    </row>
    <row r="2462" spans="44:48" x14ac:dyDescent="0.2">
      <c r="AR2462">
        <v>2454</v>
      </c>
      <c r="AS2462">
        <v>636</v>
      </c>
      <c r="AT2462">
        <v>3</v>
      </c>
      <c r="AU2462">
        <v>8.5806436079528279</v>
      </c>
      <c r="AV2462">
        <v>2.0200691522979062E-55</v>
      </c>
    </row>
    <row r="2463" spans="44:48" x14ac:dyDescent="0.2">
      <c r="AR2463">
        <v>2455</v>
      </c>
      <c r="AS2463">
        <v>637</v>
      </c>
      <c r="AT2463">
        <v>3</v>
      </c>
      <c r="AU2463">
        <v>8.6115841392701729</v>
      </c>
      <c r="AV2463">
        <v>7.7776723666642863E-56</v>
      </c>
    </row>
    <row r="2464" spans="44:48" x14ac:dyDescent="0.2">
      <c r="AR2464">
        <v>2456</v>
      </c>
      <c r="AS2464">
        <v>638</v>
      </c>
      <c r="AT2464">
        <v>3</v>
      </c>
      <c r="AU2464">
        <v>8.6425246705875214</v>
      </c>
      <c r="AV2464">
        <v>2.9837680114818228E-56</v>
      </c>
    </row>
    <row r="2465" spans="44:48" x14ac:dyDescent="0.2">
      <c r="AR2465">
        <v>2457</v>
      </c>
      <c r="AS2465">
        <v>639</v>
      </c>
      <c r="AT2465">
        <v>3</v>
      </c>
      <c r="AU2465">
        <v>8.6734652019048664</v>
      </c>
      <c r="AV2465">
        <v>1.1405451021145678E-56</v>
      </c>
    </row>
    <row r="2466" spans="44:48" x14ac:dyDescent="0.2">
      <c r="AR2466">
        <v>2458</v>
      </c>
      <c r="AS2466">
        <v>640</v>
      </c>
      <c r="AT2466">
        <v>3</v>
      </c>
      <c r="AU2466">
        <v>8.7044057332222113</v>
      </c>
      <c r="AV2466">
        <v>4.3440205915423857E-57</v>
      </c>
    </row>
    <row r="2467" spans="44:48" x14ac:dyDescent="0.2">
      <c r="AR2467">
        <v>2459</v>
      </c>
      <c r="AS2467">
        <v>641</v>
      </c>
      <c r="AT2467">
        <v>3</v>
      </c>
      <c r="AU2467">
        <v>8.7353462645395599</v>
      </c>
      <c r="AV2467">
        <v>1.6485544188352089E-57</v>
      </c>
    </row>
    <row r="2468" spans="44:48" x14ac:dyDescent="0.2">
      <c r="AR2468">
        <v>2460</v>
      </c>
      <c r="AS2468">
        <v>642</v>
      </c>
      <c r="AT2468">
        <v>3</v>
      </c>
      <c r="AU2468">
        <v>8.7662867958569048</v>
      </c>
      <c r="AV2468">
        <v>6.2337115364220668E-58</v>
      </c>
    </row>
    <row r="2469" spans="44:48" x14ac:dyDescent="0.2">
      <c r="AR2469">
        <v>2461</v>
      </c>
      <c r="AS2469">
        <v>643</v>
      </c>
      <c r="AT2469">
        <v>3</v>
      </c>
      <c r="AU2469">
        <v>8.7972273271742498</v>
      </c>
      <c r="AV2469">
        <v>2.3486706270348152E-58</v>
      </c>
    </row>
    <row r="2470" spans="44:48" x14ac:dyDescent="0.2">
      <c r="AR2470">
        <v>2462</v>
      </c>
      <c r="AS2470">
        <v>644</v>
      </c>
      <c r="AT2470">
        <v>3</v>
      </c>
      <c r="AU2470">
        <v>8.8281678584915984</v>
      </c>
      <c r="AV2470">
        <v>8.8171764604924203E-59</v>
      </c>
    </row>
    <row r="2471" spans="44:48" x14ac:dyDescent="0.2">
      <c r="AR2471">
        <v>2463</v>
      </c>
      <c r="AS2471">
        <v>645</v>
      </c>
      <c r="AT2471">
        <v>3</v>
      </c>
      <c r="AU2471">
        <v>8.8591083898089433</v>
      </c>
      <c r="AV2471">
        <v>3.2981389602747238E-59</v>
      </c>
    </row>
    <row r="2472" spans="44:48" x14ac:dyDescent="0.2">
      <c r="AR2472">
        <v>2464</v>
      </c>
      <c r="AS2472">
        <v>646</v>
      </c>
      <c r="AT2472">
        <v>3</v>
      </c>
      <c r="AU2472">
        <v>8.8900489211262919</v>
      </c>
      <c r="AV2472">
        <v>1.2292504281747708E-59</v>
      </c>
    </row>
    <row r="2473" spans="44:48" x14ac:dyDescent="0.2">
      <c r="AR2473">
        <v>2465</v>
      </c>
      <c r="AS2473">
        <v>647</v>
      </c>
      <c r="AT2473">
        <v>3</v>
      </c>
      <c r="AU2473">
        <v>8.9209894524436368</v>
      </c>
      <c r="AV2473">
        <v>4.5650315969072821E-60</v>
      </c>
    </row>
    <row r="2474" spans="44:48" x14ac:dyDescent="0.2">
      <c r="AR2474">
        <v>2466</v>
      </c>
      <c r="AS2474">
        <v>648</v>
      </c>
      <c r="AT2474">
        <v>3</v>
      </c>
      <c r="AU2474">
        <v>8.9519299837609818</v>
      </c>
      <c r="AV2474">
        <v>1.6891927495272951E-60</v>
      </c>
    </row>
    <row r="2475" spans="44:48" x14ac:dyDescent="0.2">
      <c r="AR2475">
        <v>2467</v>
      </c>
      <c r="AS2475">
        <v>649</v>
      </c>
      <c r="AT2475">
        <v>3</v>
      </c>
      <c r="AU2475">
        <v>8.9828705150783303</v>
      </c>
      <c r="AV2475">
        <v>6.2279717022538326E-61</v>
      </c>
    </row>
    <row r="2476" spans="44:48" x14ac:dyDescent="0.2">
      <c r="AR2476">
        <v>2468</v>
      </c>
      <c r="AS2476">
        <v>650</v>
      </c>
      <c r="AT2476">
        <v>3</v>
      </c>
      <c r="AU2476">
        <v>9.0138110463956753</v>
      </c>
      <c r="AV2476">
        <v>2.2879474946897311E-61</v>
      </c>
    </row>
    <row r="2477" spans="44:48" x14ac:dyDescent="0.2">
      <c r="AR2477">
        <v>2469</v>
      </c>
      <c r="AS2477">
        <v>651</v>
      </c>
      <c r="AT2477">
        <v>3</v>
      </c>
      <c r="AU2477">
        <v>9.0447515777130203</v>
      </c>
      <c r="AV2477">
        <v>8.3748585013405211E-62</v>
      </c>
    </row>
    <row r="2478" spans="44:48" x14ac:dyDescent="0.2">
      <c r="AR2478">
        <v>2470</v>
      </c>
      <c r="AS2478">
        <v>652</v>
      </c>
      <c r="AT2478">
        <v>3</v>
      </c>
      <c r="AU2478">
        <v>9.0756921090303688</v>
      </c>
      <c r="AV2478">
        <v>3.0545054445391325E-62</v>
      </c>
    </row>
    <row r="2479" spans="44:48" x14ac:dyDescent="0.2">
      <c r="AR2479">
        <v>2471</v>
      </c>
      <c r="AS2479">
        <v>653</v>
      </c>
      <c r="AT2479">
        <v>3</v>
      </c>
      <c r="AU2479">
        <v>9.1066326403477138</v>
      </c>
      <c r="AV2479">
        <v>1.1100341251370227E-62</v>
      </c>
    </row>
    <row r="2480" spans="44:48" x14ac:dyDescent="0.2">
      <c r="AR2480">
        <v>2472</v>
      </c>
      <c r="AS2480">
        <v>654</v>
      </c>
      <c r="AT2480">
        <v>3</v>
      </c>
      <c r="AU2480">
        <v>9.1375731716650588</v>
      </c>
      <c r="AV2480">
        <v>4.019423414607873E-63</v>
      </c>
    </row>
    <row r="2481" spans="44:48" x14ac:dyDescent="0.2">
      <c r="AR2481">
        <v>2473</v>
      </c>
      <c r="AS2481">
        <v>655</v>
      </c>
      <c r="AT2481">
        <v>3</v>
      </c>
      <c r="AU2481">
        <v>9.1685137029824073</v>
      </c>
      <c r="AV2481">
        <v>1.4501842601921577E-63</v>
      </c>
    </row>
    <row r="2482" spans="44:48" x14ac:dyDescent="0.2">
      <c r="AR2482">
        <v>2474</v>
      </c>
      <c r="AS2482">
        <v>656</v>
      </c>
      <c r="AT2482">
        <v>3</v>
      </c>
      <c r="AU2482">
        <v>9.1994542342997523</v>
      </c>
      <c r="AV2482">
        <v>5.2133228096704019E-64</v>
      </c>
    </row>
    <row r="2483" spans="44:48" x14ac:dyDescent="0.2">
      <c r="AR2483">
        <v>2475</v>
      </c>
      <c r="AS2483">
        <v>657</v>
      </c>
      <c r="AT2483">
        <v>3</v>
      </c>
      <c r="AU2483">
        <v>9.2303947656171008</v>
      </c>
      <c r="AV2483">
        <v>1.8674029851346229E-64</v>
      </c>
    </row>
    <row r="2484" spans="44:48" x14ac:dyDescent="0.2">
      <c r="AR2484">
        <v>2476</v>
      </c>
      <c r="AS2484">
        <v>658</v>
      </c>
      <c r="AT2484">
        <v>3</v>
      </c>
      <c r="AU2484">
        <v>9.2613352969344458</v>
      </c>
      <c r="AV2484">
        <v>6.6648975999897333E-65</v>
      </c>
    </row>
    <row r="2485" spans="44:48" x14ac:dyDescent="0.2">
      <c r="AR2485">
        <v>2477</v>
      </c>
      <c r="AS2485">
        <v>659</v>
      </c>
      <c r="AT2485">
        <v>3</v>
      </c>
      <c r="AU2485">
        <v>9.2922758282517908</v>
      </c>
      <c r="AV2485">
        <v>2.3701777397516089E-65</v>
      </c>
    </row>
    <row r="2486" spans="44:48" x14ac:dyDescent="0.2">
      <c r="AR2486">
        <v>2478</v>
      </c>
      <c r="AS2486">
        <v>660</v>
      </c>
      <c r="AT2486">
        <v>3</v>
      </c>
      <c r="AU2486">
        <v>9.3232163595691393</v>
      </c>
      <c r="AV2486">
        <v>8.3984733780788036E-66</v>
      </c>
    </row>
    <row r="2487" spans="44:48" x14ac:dyDescent="0.2">
      <c r="AR2487">
        <v>2479</v>
      </c>
      <c r="AS2487">
        <v>661</v>
      </c>
      <c r="AT2487">
        <v>3</v>
      </c>
      <c r="AU2487">
        <v>9.3541568908864843</v>
      </c>
      <c r="AV2487">
        <v>2.9651849419585266E-66</v>
      </c>
    </row>
    <row r="2488" spans="44:48" x14ac:dyDescent="0.2">
      <c r="AR2488">
        <v>2480</v>
      </c>
      <c r="AS2488">
        <v>662</v>
      </c>
      <c r="AT2488">
        <v>3</v>
      </c>
      <c r="AU2488">
        <v>9.3850974222038293</v>
      </c>
      <c r="AV2488">
        <v>1.0431222840043352E-66</v>
      </c>
    </row>
    <row r="2489" spans="44:48" x14ac:dyDescent="0.2">
      <c r="AR2489">
        <v>2481</v>
      </c>
      <c r="AS2489">
        <v>663</v>
      </c>
      <c r="AT2489">
        <v>3</v>
      </c>
      <c r="AU2489">
        <v>9.4160379535211778</v>
      </c>
      <c r="AV2489">
        <v>3.6563744176694468E-67</v>
      </c>
    </row>
    <row r="2490" spans="44:48" x14ac:dyDescent="0.2">
      <c r="AR2490">
        <v>2482</v>
      </c>
      <c r="AS2490">
        <v>664</v>
      </c>
      <c r="AT2490">
        <v>3</v>
      </c>
      <c r="AU2490">
        <v>9.4469784848385228</v>
      </c>
      <c r="AV2490">
        <v>1.2770211829043691E-67</v>
      </c>
    </row>
    <row r="2491" spans="44:48" x14ac:dyDescent="0.2">
      <c r="AR2491">
        <v>2483</v>
      </c>
      <c r="AS2491">
        <v>665</v>
      </c>
      <c r="AT2491">
        <v>3</v>
      </c>
      <c r="AU2491">
        <v>9.4779190161558713</v>
      </c>
      <c r="AV2491">
        <v>4.4440357307281685E-68</v>
      </c>
    </row>
    <row r="2492" spans="44:48" x14ac:dyDescent="0.2">
      <c r="AR2492">
        <v>2484</v>
      </c>
      <c r="AS2492">
        <v>666</v>
      </c>
      <c r="AT2492">
        <v>3</v>
      </c>
      <c r="AU2492">
        <v>9.5088595474732163</v>
      </c>
      <c r="AV2492">
        <v>1.5409515500899072E-68</v>
      </c>
    </row>
    <row r="2493" spans="44:48" x14ac:dyDescent="0.2">
      <c r="AR2493">
        <v>2485</v>
      </c>
      <c r="AS2493">
        <v>667</v>
      </c>
      <c r="AT2493">
        <v>3</v>
      </c>
      <c r="AU2493">
        <v>9.5398000787905612</v>
      </c>
      <c r="AV2493">
        <v>5.3239311096887951E-69</v>
      </c>
    </row>
    <row r="2494" spans="44:48" x14ac:dyDescent="0.2">
      <c r="AR2494">
        <v>2486</v>
      </c>
      <c r="AS2494">
        <v>668</v>
      </c>
      <c r="AT2494">
        <v>3</v>
      </c>
      <c r="AU2494">
        <v>9.5707406101079098</v>
      </c>
      <c r="AV2494">
        <v>1.8327695951903631E-69</v>
      </c>
    </row>
    <row r="2495" spans="44:48" x14ac:dyDescent="0.2">
      <c r="AR2495">
        <v>2487</v>
      </c>
      <c r="AS2495">
        <v>669</v>
      </c>
      <c r="AT2495">
        <v>3</v>
      </c>
      <c r="AU2495">
        <v>9.6016811414252548</v>
      </c>
      <c r="AV2495">
        <v>6.2865925999326437E-70</v>
      </c>
    </row>
    <row r="2496" spans="44:48" x14ac:dyDescent="0.2">
      <c r="AR2496">
        <v>2488</v>
      </c>
      <c r="AS2496">
        <v>670</v>
      </c>
      <c r="AT2496">
        <v>3</v>
      </c>
      <c r="AU2496">
        <v>9.6326216727425997</v>
      </c>
      <c r="AV2496">
        <v>2.1485960038303178E-70</v>
      </c>
    </row>
    <row r="2497" spans="44:48" x14ac:dyDescent="0.2">
      <c r="AR2497">
        <v>2489</v>
      </c>
      <c r="AS2497">
        <v>671</v>
      </c>
      <c r="AT2497">
        <v>3</v>
      </c>
      <c r="AU2497">
        <v>9.6635622040599483</v>
      </c>
      <c r="AV2497">
        <v>7.3168847008895727E-71</v>
      </c>
    </row>
    <row r="2498" spans="44:48" x14ac:dyDescent="0.2">
      <c r="AR2498">
        <v>2490</v>
      </c>
      <c r="AS2498">
        <v>672</v>
      </c>
      <c r="AT2498">
        <v>3</v>
      </c>
      <c r="AU2498">
        <v>9.6945027353772932</v>
      </c>
      <c r="AV2498">
        <v>2.4827309630490573E-71</v>
      </c>
    </row>
    <row r="2499" spans="44:48" x14ac:dyDescent="0.2">
      <c r="AR2499">
        <v>2491</v>
      </c>
      <c r="AS2499">
        <v>673</v>
      </c>
      <c r="AT2499">
        <v>3</v>
      </c>
      <c r="AU2499">
        <v>9.7254432666946382</v>
      </c>
      <c r="AV2499">
        <v>8.3939255074323321E-72</v>
      </c>
    </row>
    <row r="2500" spans="44:48" x14ac:dyDescent="0.2">
      <c r="AR2500">
        <v>2492</v>
      </c>
      <c r="AS2500">
        <v>674</v>
      </c>
      <c r="AT2500">
        <v>3</v>
      </c>
      <c r="AU2500">
        <v>9.7563837980119867</v>
      </c>
      <c r="AV2500">
        <v>2.8276949881143204E-72</v>
      </c>
    </row>
    <row r="2501" spans="44:48" x14ac:dyDescent="0.2">
      <c r="AR2501">
        <v>2493</v>
      </c>
      <c r="AS2501">
        <v>675</v>
      </c>
      <c r="AT2501">
        <v>3</v>
      </c>
      <c r="AU2501">
        <v>9.7873243293293317</v>
      </c>
      <c r="AV2501">
        <v>9.4914379879218832E-73</v>
      </c>
    </row>
    <row r="2502" spans="44:48" x14ac:dyDescent="0.2">
      <c r="AR2502">
        <v>2494</v>
      </c>
      <c r="AS2502">
        <v>676</v>
      </c>
      <c r="AT2502">
        <v>3</v>
      </c>
      <c r="AU2502">
        <v>9.8182648606466802</v>
      </c>
      <c r="AV2502">
        <v>3.1744132875075456E-73</v>
      </c>
    </row>
    <row r="2503" spans="44:48" x14ac:dyDescent="0.2">
      <c r="AR2503">
        <v>2495</v>
      </c>
      <c r="AS2503">
        <v>677</v>
      </c>
      <c r="AT2503">
        <v>3</v>
      </c>
      <c r="AU2503">
        <v>9.8492053919640252</v>
      </c>
      <c r="AV2503">
        <v>1.0578569002784088E-73</v>
      </c>
    </row>
    <row r="2504" spans="44:48" x14ac:dyDescent="0.2">
      <c r="AR2504">
        <v>2496</v>
      </c>
      <c r="AS2504">
        <v>678</v>
      </c>
      <c r="AT2504">
        <v>3</v>
      </c>
      <c r="AU2504">
        <v>9.8801459232813702</v>
      </c>
      <c r="AV2504">
        <v>3.5125489027352336E-74</v>
      </c>
    </row>
    <row r="2505" spans="44:48" x14ac:dyDescent="0.2">
      <c r="AR2505">
        <v>2497</v>
      </c>
      <c r="AS2505">
        <v>679</v>
      </c>
      <c r="AT2505">
        <v>3</v>
      </c>
      <c r="AU2505">
        <v>9.9110864545987187</v>
      </c>
      <c r="AV2505">
        <v>1.1621169525921255E-74</v>
      </c>
    </row>
    <row r="2506" spans="44:48" x14ac:dyDescent="0.2">
      <c r="AR2506">
        <v>2498</v>
      </c>
      <c r="AS2506">
        <v>680</v>
      </c>
      <c r="AT2506">
        <v>3</v>
      </c>
      <c r="AU2506">
        <v>9.9420269859160637</v>
      </c>
      <c r="AV2506">
        <v>3.8309747981460575E-75</v>
      </c>
    </row>
    <row r="2507" spans="44:48" x14ac:dyDescent="0.2">
      <c r="AR2507">
        <v>2499</v>
      </c>
      <c r="AS2507">
        <v>681</v>
      </c>
      <c r="AT2507">
        <v>3</v>
      </c>
      <c r="AU2507">
        <v>9.9729675172334087</v>
      </c>
      <c r="AV2507">
        <v>1.2583479751492706E-75</v>
      </c>
    </row>
    <row r="2508" spans="44:48" x14ac:dyDescent="0.2">
      <c r="AR2508">
        <v>2500</v>
      </c>
      <c r="AS2508">
        <v>682</v>
      </c>
      <c r="AT2508">
        <v>3</v>
      </c>
      <c r="AU2508">
        <v>10.003908048550757</v>
      </c>
      <c r="AV2508">
        <v>4.1183591302362269E-76</v>
      </c>
    </row>
    <row r="2509" spans="44:48" x14ac:dyDescent="0.2">
      <c r="AR2509">
        <v>2501</v>
      </c>
      <c r="AS2509">
        <v>683</v>
      </c>
      <c r="AT2509">
        <v>3</v>
      </c>
      <c r="AU2509">
        <v>10.034848579868102</v>
      </c>
      <c r="AV2509">
        <v>1.3430113326091124E-76</v>
      </c>
    </row>
    <row r="2510" spans="44:48" x14ac:dyDescent="0.2">
      <c r="AR2510">
        <v>2502</v>
      </c>
      <c r="AS2510">
        <v>684</v>
      </c>
      <c r="AT2510">
        <v>3</v>
      </c>
      <c r="AU2510">
        <v>10.065789111185447</v>
      </c>
      <c r="AV2510">
        <v>4.3638231359189574E-77</v>
      </c>
    </row>
    <row r="2511" spans="44:48" x14ac:dyDescent="0.2">
      <c r="AR2511">
        <v>2503</v>
      </c>
      <c r="AS2511">
        <v>685</v>
      </c>
      <c r="AT2511">
        <v>3</v>
      </c>
      <c r="AU2511">
        <v>10.096729642502796</v>
      </c>
      <c r="AV2511">
        <v>1.412819253749288E-77</v>
      </c>
    </row>
    <row r="2512" spans="44:48" x14ac:dyDescent="0.2">
      <c r="AR2512">
        <v>2504</v>
      </c>
      <c r="AS2512">
        <v>686</v>
      </c>
      <c r="AT2512">
        <v>3</v>
      </c>
      <c r="AU2512">
        <v>10.127670173820141</v>
      </c>
      <c r="AV2512">
        <v>4.5576195595462584E-78</v>
      </c>
    </row>
    <row r="2513" spans="44:48" x14ac:dyDescent="0.2">
      <c r="AR2513">
        <v>2505</v>
      </c>
      <c r="AS2513">
        <v>687</v>
      </c>
      <c r="AT2513">
        <v>3</v>
      </c>
      <c r="AU2513">
        <v>10.158610705137489</v>
      </c>
      <c r="AV2513">
        <v>1.464945732396822E-78</v>
      </c>
    </row>
    <row r="2514" spans="44:48" x14ac:dyDescent="0.2">
      <c r="AR2514">
        <v>2506</v>
      </c>
      <c r="AS2514">
        <v>688</v>
      </c>
      <c r="AT2514">
        <v>3</v>
      </c>
      <c r="AU2514">
        <v>10.189551236454834</v>
      </c>
      <c r="AV2514">
        <v>4.6917731415515387E-79</v>
      </c>
    </row>
    <row r="2515" spans="44:48" x14ac:dyDescent="0.2">
      <c r="AR2515">
        <v>2507</v>
      </c>
      <c r="AS2515">
        <v>689</v>
      </c>
      <c r="AT2515">
        <v>3</v>
      </c>
      <c r="AU2515">
        <v>10.220491767772179</v>
      </c>
      <c r="AV2515">
        <v>1.4972160490645258E-79</v>
      </c>
    </row>
    <row r="2516" spans="44:48" x14ac:dyDescent="0.2">
      <c r="AR2516">
        <v>2508</v>
      </c>
      <c r="AS2516">
        <v>690</v>
      </c>
      <c r="AT2516">
        <v>3</v>
      </c>
      <c r="AU2516">
        <v>10.251432299089528</v>
      </c>
      <c r="AV2516">
        <v>4.7606246825377121E-80</v>
      </c>
    </row>
    <row r="2517" spans="44:48" x14ac:dyDescent="0.2">
      <c r="AR2517">
        <v>2509</v>
      </c>
      <c r="AS2517">
        <v>691</v>
      </c>
      <c r="AT2517">
        <v>3</v>
      </c>
      <c r="AU2517">
        <v>10.282372830406873</v>
      </c>
      <c r="AV2517">
        <v>1.5082572282944796E-80</v>
      </c>
    </row>
    <row r="2518" spans="44:48" x14ac:dyDescent="0.2">
      <c r="AR2518">
        <v>2510</v>
      </c>
      <c r="AS2518">
        <v>692</v>
      </c>
      <c r="AT2518">
        <v>3</v>
      </c>
      <c r="AU2518">
        <v>10.313313361724218</v>
      </c>
      <c r="AV2518">
        <v>4.7612270016406949E-81</v>
      </c>
    </row>
    <row r="2519" spans="44:48" x14ac:dyDescent="0.2">
      <c r="AR2519">
        <v>2511</v>
      </c>
      <c r="AS2519">
        <v>693</v>
      </c>
      <c r="AT2519">
        <v>3</v>
      </c>
      <c r="AU2519">
        <v>10.344253893041566</v>
      </c>
      <c r="AV2519">
        <v>1.4975949316421365E-81</v>
      </c>
    </row>
    <row r="2520" spans="44:48" x14ac:dyDescent="0.2">
      <c r="AR2520">
        <v>2512</v>
      </c>
      <c r="AS2520">
        <v>694</v>
      </c>
      <c r="AT2520">
        <v>3</v>
      </c>
      <c r="AU2520">
        <v>10.375194424358911</v>
      </c>
      <c r="AV2520">
        <v>4.6935541906788522E-82</v>
      </c>
    </row>
    <row r="2521" spans="44:48" x14ac:dyDescent="0.2">
      <c r="AR2521">
        <v>2513</v>
      </c>
      <c r="AS2521">
        <v>695</v>
      </c>
      <c r="AT2521">
        <v>3</v>
      </c>
      <c r="AU2521">
        <v>10.406134955676256</v>
      </c>
      <c r="AV2521">
        <v>1.4656872588381436E-82</v>
      </c>
    </row>
    <row r="2522" spans="44:48" x14ac:dyDescent="0.2">
      <c r="AR2522">
        <v>2514</v>
      </c>
      <c r="AS2522">
        <v>696</v>
      </c>
      <c r="AT2522">
        <v>3</v>
      </c>
      <c r="AU2522">
        <v>10.437075486993605</v>
      </c>
      <c r="AV2522">
        <v>4.5605034626370134E-83</v>
      </c>
    </row>
    <row r="2523" spans="44:48" x14ac:dyDescent="0.2">
      <c r="AR2523">
        <v>2515</v>
      </c>
      <c r="AS2523">
        <v>697</v>
      </c>
      <c r="AT2523">
        <v>3</v>
      </c>
      <c r="AU2523">
        <v>10.46801601831095</v>
      </c>
      <c r="AV2523">
        <v>1.4138921010633473E-83</v>
      </c>
    </row>
    <row r="2524" spans="44:48" x14ac:dyDescent="0.2">
      <c r="AR2524">
        <v>2516</v>
      </c>
      <c r="AS2524">
        <v>698</v>
      </c>
      <c r="AT2524">
        <v>3</v>
      </c>
      <c r="AU2524">
        <v>10.498956549628298</v>
      </c>
      <c r="AV2524">
        <v>4.3676894107230887E-84</v>
      </c>
    </row>
    <row r="2525" spans="44:48" x14ac:dyDescent="0.2">
      <c r="AR2525">
        <v>2517</v>
      </c>
      <c r="AS2525">
        <v>699</v>
      </c>
      <c r="AT2525">
        <v>3</v>
      </c>
      <c r="AU2525">
        <v>10.529897080945643</v>
      </c>
      <c r="AV2525">
        <v>1.3443712880516474E-84</v>
      </c>
    </row>
    <row r="2526" spans="44:48" x14ac:dyDescent="0.2">
      <c r="AR2526">
        <v>2518</v>
      </c>
      <c r="AS2526">
        <v>700</v>
      </c>
      <c r="AT2526">
        <v>3</v>
      </c>
      <c r="AU2526">
        <v>10.560837612262988</v>
      </c>
      <c r="AV2526">
        <v>4.1230510353087535E-85</v>
      </c>
    </row>
    <row r="2527" spans="44:48" x14ac:dyDescent="0.2">
      <c r="AR2527">
        <v>2519</v>
      </c>
      <c r="AS2527">
        <v>701</v>
      </c>
      <c r="AT2527">
        <v>3</v>
      </c>
      <c r="AU2527">
        <v>10.591778143580337</v>
      </c>
      <c r="AV2527">
        <v>1.259940956619264E-85</v>
      </c>
    </row>
    <row r="2528" spans="44:48" x14ac:dyDescent="0.2">
      <c r="AR2528">
        <v>2520</v>
      </c>
      <c r="AS2528">
        <v>702</v>
      </c>
      <c r="AT2528">
        <v>3</v>
      </c>
      <c r="AU2528">
        <v>10.622718674897682</v>
      </c>
      <c r="AV2528">
        <v>3.8363098596153364E-86</v>
      </c>
    </row>
    <row r="2529" spans="44:48" x14ac:dyDescent="0.2">
      <c r="AR2529">
        <v>2521</v>
      </c>
      <c r="AS2529">
        <v>703</v>
      </c>
      <c r="AT2529">
        <v>3</v>
      </c>
      <c r="AU2529">
        <v>10.653659206215027</v>
      </c>
      <c r="AV2529">
        <v>1.163882567587774E-86</v>
      </c>
    </row>
    <row r="2530" spans="44:48" x14ac:dyDescent="0.2">
      <c r="AR2530">
        <v>2522</v>
      </c>
      <c r="AS2530">
        <v>704</v>
      </c>
      <c r="AT2530">
        <v>3</v>
      </c>
      <c r="AU2530">
        <v>10.684599737532375</v>
      </c>
      <c r="AV2530">
        <v>3.5183306371297239E-87</v>
      </c>
    </row>
    <row r="2531" spans="44:48" x14ac:dyDescent="0.2">
      <c r="AR2531">
        <v>2523</v>
      </c>
      <c r="AS2531">
        <v>705</v>
      </c>
      <c r="AT2531">
        <v>3</v>
      </c>
      <c r="AU2531">
        <v>10.71554026884972</v>
      </c>
      <c r="AV2531">
        <v>1.0597322179407459E-87</v>
      </c>
    </row>
    <row r="2532" spans="44:48" x14ac:dyDescent="0.2">
      <c r="AR2532">
        <v>2524</v>
      </c>
      <c r="AS2532">
        <v>706</v>
      </c>
      <c r="AT2532">
        <v>3</v>
      </c>
      <c r="AU2532">
        <v>10.746480800167065</v>
      </c>
      <c r="AV2532">
        <v>3.1804430761972825E-88</v>
      </c>
    </row>
    <row r="2533" spans="44:48" x14ac:dyDescent="0.2">
      <c r="AR2533">
        <v>2525</v>
      </c>
      <c r="AS2533">
        <v>707</v>
      </c>
      <c r="AT2533">
        <v>3</v>
      </c>
      <c r="AU2533">
        <v>10.777421331484414</v>
      </c>
      <c r="AV2533">
        <v>9.510670093903296E-89</v>
      </c>
    </row>
    <row r="2534" spans="44:48" x14ac:dyDescent="0.2">
      <c r="AR2534">
        <v>2526</v>
      </c>
      <c r="AS2534">
        <v>708</v>
      </c>
      <c r="AT2534">
        <v>3</v>
      </c>
      <c r="AU2534">
        <v>10.808361862801759</v>
      </c>
      <c r="AV2534">
        <v>2.8337831166272766E-89</v>
      </c>
    </row>
    <row r="2535" spans="44:48" x14ac:dyDescent="0.2">
      <c r="AR2535">
        <v>2527</v>
      </c>
      <c r="AS2535">
        <v>709</v>
      </c>
      <c r="AT2535">
        <v>3</v>
      </c>
      <c r="AU2535">
        <v>10.839302394119107</v>
      </c>
      <c r="AV2535">
        <v>8.4130622240475566E-90</v>
      </c>
    </row>
    <row r="2536" spans="44:48" x14ac:dyDescent="0.2">
      <c r="AR2536">
        <v>2528</v>
      </c>
      <c r="AS2536">
        <v>710</v>
      </c>
      <c r="AT2536">
        <v>3</v>
      </c>
      <c r="AU2536">
        <v>10.870242925436452</v>
      </c>
      <c r="AV2536">
        <v>2.4887059994310749E-90</v>
      </c>
    </row>
    <row r="2537" spans="44:48" x14ac:dyDescent="0.2">
      <c r="AR2537">
        <v>2529</v>
      </c>
      <c r="AS2537">
        <v>711</v>
      </c>
      <c r="AT2537">
        <v>3</v>
      </c>
      <c r="AU2537">
        <v>10.901183456753797</v>
      </c>
      <c r="AV2537">
        <v>7.3354217663251468E-91</v>
      </c>
    </row>
    <row r="2538" spans="44:48" x14ac:dyDescent="0.2">
      <c r="AR2538">
        <v>2530</v>
      </c>
      <c r="AS2538">
        <v>712</v>
      </c>
      <c r="AT2538">
        <v>3</v>
      </c>
      <c r="AU2538">
        <v>10.932123988071146</v>
      </c>
      <c r="AV2538">
        <v>2.1543119261498898E-91</v>
      </c>
    </row>
    <row r="2539" spans="44:48" x14ac:dyDescent="0.2">
      <c r="AR2539">
        <v>2531</v>
      </c>
      <c r="AS2539">
        <v>713</v>
      </c>
      <c r="AT2539">
        <v>3</v>
      </c>
      <c r="AU2539">
        <v>10.963064519388491</v>
      </c>
      <c r="AV2539">
        <v>6.3041143605167483E-92</v>
      </c>
    </row>
    <row r="2540" spans="44:48" x14ac:dyDescent="0.2">
      <c r="AR2540">
        <v>2532</v>
      </c>
      <c r="AS2540">
        <v>714</v>
      </c>
      <c r="AT2540">
        <v>3</v>
      </c>
      <c r="AU2540">
        <v>10.994005050705836</v>
      </c>
      <c r="AV2540">
        <v>1.8381103536439572E-92</v>
      </c>
    </row>
    <row r="2541" spans="44:48" x14ac:dyDescent="0.2">
      <c r="AR2541">
        <v>2533</v>
      </c>
      <c r="AS2541">
        <v>715</v>
      </c>
      <c r="AT2541">
        <v>3</v>
      </c>
      <c r="AU2541">
        <v>11.024945582023184</v>
      </c>
      <c r="AV2541">
        <v>5.3401207941164514E-93</v>
      </c>
    </row>
    <row r="2542" spans="44:48" x14ac:dyDescent="0.2">
      <c r="AR2542">
        <v>2534</v>
      </c>
      <c r="AS2542">
        <v>716</v>
      </c>
      <c r="AT2542">
        <v>3</v>
      </c>
      <c r="AU2542">
        <v>11.055886113340529</v>
      </c>
      <c r="AV2542">
        <v>1.545833026483879E-93</v>
      </c>
    </row>
    <row r="2543" spans="44:48" x14ac:dyDescent="0.2">
      <c r="AR2543">
        <v>2535</v>
      </c>
      <c r="AS2543">
        <v>717</v>
      </c>
      <c r="AT2543">
        <v>3</v>
      </c>
      <c r="AU2543">
        <v>11.086826644657878</v>
      </c>
      <c r="AV2543">
        <v>4.4586777366286724E-94</v>
      </c>
    </row>
    <row r="2544" spans="44:48" x14ac:dyDescent="0.2">
      <c r="AR2544">
        <v>2536</v>
      </c>
      <c r="AS2544">
        <v>718</v>
      </c>
      <c r="AT2544">
        <v>3</v>
      </c>
      <c r="AU2544">
        <v>11.117767175975223</v>
      </c>
      <c r="AV2544">
        <v>1.2813907563166752E-94</v>
      </c>
    </row>
    <row r="2545" spans="44:48" x14ac:dyDescent="0.2">
      <c r="AR2545">
        <v>2537</v>
      </c>
      <c r="AS2545">
        <v>719</v>
      </c>
      <c r="AT2545">
        <v>3</v>
      </c>
      <c r="AU2545">
        <v>11.148707707292568</v>
      </c>
      <c r="AV2545">
        <v>3.6693495966034491E-95</v>
      </c>
    </row>
    <row r="2546" spans="44:48" x14ac:dyDescent="0.2">
      <c r="AR2546">
        <v>2538</v>
      </c>
      <c r="AS2546">
        <v>720</v>
      </c>
      <c r="AT2546">
        <v>3</v>
      </c>
      <c r="AU2546">
        <v>11.179648238609916</v>
      </c>
      <c r="AV2546">
        <v>1.0469564010996799E-95</v>
      </c>
    </row>
    <row r="2547" spans="44:48" x14ac:dyDescent="0.2">
      <c r="AR2547">
        <v>2539</v>
      </c>
      <c r="AS2547">
        <v>721</v>
      </c>
      <c r="AT2547">
        <v>3</v>
      </c>
      <c r="AU2547">
        <v>11.210588769927261</v>
      </c>
      <c r="AV2547">
        <v>2.9764603607361986E-96</v>
      </c>
    </row>
    <row r="2548" spans="44:48" x14ac:dyDescent="0.2">
      <c r="AR2548">
        <v>2540</v>
      </c>
      <c r="AS2548">
        <v>722</v>
      </c>
      <c r="AT2548">
        <v>3</v>
      </c>
      <c r="AU2548">
        <v>11.241529301244606</v>
      </c>
      <c r="AV2548">
        <v>8.4314760554286555E-97</v>
      </c>
    </row>
    <row r="2549" spans="44:48" x14ac:dyDescent="0.2">
      <c r="AR2549">
        <v>2541</v>
      </c>
      <c r="AS2549">
        <v>723</v>
      </c>
      <c r="AT2549">
        <v>3</v>
      </c>
      <c r="AU2549">
        <v>11.272469832561955</v>
      </c>
      <c r="AV2549">
        <v>2.3797926561697454E-97</v>
      </c>
    </row>
    <row r="2550" spans="44:48" x14ac:dyDescent="0.2">
      <c r="AR2550">
        <v>2542</v>
      </c>
      <c r="AS2550">
        <v>724</v>
      </c>
      <c r="AT2550">
        <v>3</v>
      </c>
      <c r="AU2550">
        <v>11.3034103638793</v>
      </c>
      <c r="AV2550">
        <v>6.6927812441567853E-98</v>
      </c>
    </row>
    <row r="2551" spans="44:48" x14ac:dyDescent="0.2">
      <c r="AR2551">
        <v>2543</v>
      </c>
      <c r="AS2551">
        <v>725</v>
      </c>
      <c r="AT2551">
        <v>3</v>
      </c>
      <c r="AU2551">
        <v>11.334350895196645</v>
      </c>
      <c r="AV2551">
        <v>1.8754528125222723E-98</v>
      </c>
    </row>
    <row r="2552" spans="44:48" x14ac:dyDescent="0.2">
      <c r="AR2552">
        <v>2544</v>
      </c>
      <c r="AS2552">
        <v>726</v>
      </c>
      <c r="AT2552">
        <v>3</v>
      </c>
      <c r="AU2552">
        <v>11.365291426513993</v>
      </c>
      <c r="AV2552">
        <v>5.2364583557994608E-99</v>
      </c>
    </row>
    <row r="2553" spans="44:48" x14ac:dyDescent="0.2">
      <c r="AR2553">
        <v>2545</v>
      </c>
      <c r="AS2553">
        <v>727</v>
      </c>
      <c r="AT2553">
        <v>3</v>
      </c>
      <c r="AU2553">
        <v>11.396231957831338</v>
      </c>
      <c r="AV2553">
        <v>1.456804142593237E-99</v>
      </c>
    </row>
    <row r="2554" spans="44:48" x14ac:dyDescent="0.2">
      <c r="AR2554">
        <v>2546</v>
      </c>
      <c r="AS2554">
        <v>728</v>
      </c>
      <c r="AT2554">
        <v>3</v>
      </c>
      <c r="AU2554">
        <v>11.427172489148687</v>
      </c>
      <c r="AV2554">
        <v>4.038282366898704E-100</v>
      </c>
    </row>
    <row r="2555" spans="44:48" x14ac:dyDescent="0.2">
      <c r="AR2555">
        <v>2547</v>
      </c>
      <c r="AS2555">
        <v>729</v>
      </c>
      <c r="AT2555">
        <v>3</v>
      </c>
      <c r="AU2555">
        <v>11.458113020466032</v>
      </c>
      <c r="AV2555">
        <v>1.1153834564905924E-100</v>
      </c>
    </row>
    <row r="2556" spans="44:48" x14ac:dyDescent="0.2">
      <c r="AR2556">
        <v>2548</v>
      </c>
      <c r="AS2556">
        <v>730</v>
      </c>
      <c r="AT2556">
        <v>3</v>
      </c>
      <c r="AU2556">
        <v>11.489053551783377</v>
      </c>
      <c r="AV2556">
        <v>3.069613639422215E-101</v>
      </c>
    </row>
    <row r="2557" spans="44:48" x14ac:dyDescent="0.2">
      <c r="AR2557">
        <v>2549</v>
      </c>
      <c r="AS2557">
        <v>731</v>
      </c>
      <c r="AT2557">
        <v>3</v>
      </c>
      <c r="AU2557">
        <v>11.519994083100725</v>
      </c>
      <c r="AV2557">
        <v>8.417347063237047E-102</v>
      </c>
    </row>
    <row r="2558" spans="44:48" x14ac:dyDescent="0.2">
      <c r="AR2558">
        <v>2550</v>
      </c>
      <c r="AS2558">
        <v>732</v>
      </c>
      <c r="AT2558">
        <v>3</v>
      </c>
      <c r="AU2558">
        <v>11.55093461441807</v>
      </c>
      <c r="AV2558">
        <v>2.2998459879335329E-102</v>
      </c>
    </row>
    <row r="2559" spans="44:48" x14ac:dyDescent="0.2">
      <c r="AR2559">
        <v>2551</v>
      </c>
      <c r="AS2559">
        <v>733</v>
      </c>
      <c r="AT2559">
        <v>3</v>
      </c>
      <c r="AU2559">
        <v>11.581875145735415</v>
      </c>
      <c r="AV2559">
        <v>6.2611523969784323E-103</v>
      </c>
    </row>
    <row r="2560" spans="44:48" x14ac:dyDescent="0.2">
      <c r="AR2560">
        <v>2552</v>
      </c>
      <c r="AS2560">
        <v>734</v>
      </c>
      <c r="AT2560">
        <v>3</v>
      </c>
      <c r="AU2560">
        <v>11.612815677052764</v>
      </c>
      <c r="AV2560">
        <v>1.6984070997410036E-103</v>
      </c>
    </row>
    <row r="2561" spans="44:48" x14ac:dyDescent="0.2">
      <c r="AR2561">
        <v>2553</v>
      </c>
      <c r="AS2561">
        <v>735</v>
      </c>
      <c r="AT2561">
        <v>3</v>
      </c>
      <c r="AU2561">
        <v>11.643756208370108</v>
      </c>
      <c r="AV2561">
        <v>4.5905140370010156E-104</v>
      </c>
    </row>
    <row r="2562" spans="44:48" x14ac:dyDescent="0.2">
      <c r="AR2562">
        <v>2554</v>
      </c>
      <c r="AS2562">
        <v>736</v>
      </c>
      <c r="AT2562">
        <v>3</v>
      </c>
      <c r="AU2562">
        <v>11.674696739687453</v>
      </c>
      <c r="AV2562">
        <v>1.2362686150372066E-104</v>
      </c>
    </row>
    <row r="2563" spans="44:48" x14ac:dyDescent="0.2">
      <c r="AR2563">
        <v>2555</v>
      </c>
      <c r="AS2563">
        <v>737</v>
      </c>
      <c r="AT2563">
        <v>3</v>
      </c>
      <c r="AU2563">
        <v>11.705637271004802</v>
      </c>
      <c r="AV2563">
        <v>3.3173887648585674E-105</v>
      </c>
    </row>
    <row r="2564" spans="44:48" x14ac:dyDescent="0.2">
      <c r="AR2564">
        <v>2556</v>
      </c>
      <c r="AS2564">
        <v>738</v>
      </c>
      <c r="AT2564">
        <v>3</v>
      </c>
      <c r="AU2564">
        <v>11.736577802322147</v>
      </c>
      <c r="AV2564">
        <v>8.8697605590147003E-106</v>
      </c>
    </row>
    <row r="2565" spans="44:48" x14ac:dyDescent="0.2">
      <c r="AR2565">
        <v>2557</v>
      </c>
      <c r="AS2565">
        <v>739</v>
      </c>
      <c r="AT2565">
        <v>3</v>
      </c>
      <c r="AU2565">
        <v>11.767518333639496</v>
      </c>
      <c r="AV2565">
        <v>2.3629766163312201E-106</v>
      </c>
    </row>
    <row r="2566" spans="44:48" x14ac:dyDescent="0.2">
      <c r="AR2566">
        <v>2558</v>
      </c>
      <c r="AS2566">
        <v>740</v>
      </c>
      <c r="AT2566">
        <v>3</v>
      </c>
      <c r="AU2566">
        <v>11.79845886495684</v>
      </c>
      <c r="AV2566">
        <v>6.2724752006970733E-107</v>
      </c>
    </row>
    <row r="2567" spans="44:48" x14ac:dyDescent="0.2">
      <c r="AR2567">
        <v>2559</v>
      </c>
      <c r="AS2567">
        <v>741</v>
      </c>
      <c r="AT2567">
        <v>3</v>
      </c>
      <c r="AU2567">
        <v>11.829399396274185</v>
      </c>
      <c r="AV2567">
        <v>1.6590156508634283E-107</v>
      </c>
    </row>
    <row r="2568" spans="44:48" x14ac:dyDescent="0.2">
      <c r="AR2568">
        <v>2560</v>
      </c>
      <c r="AS2568">
        <v>742</v>
      </c>
      <c r="AT2568">
        <v>3</v>
      </c>
      <c r="AU2568">
        <v>11.860339927591534</v>
      </c>
      <c r="AV2568">
        <v>4.3721395412620998E-108</v>
      </c>
    </row>
    <row r="2569" spans="44:48" x14ac:dyDescent="0.2">
      <c r="AR2569">
        <v>2561</v>
      </c>
      <c r="AS2569">
        <v>743</v>
      </c>
      <c r="AT2569">
        <v>3</v>
      </c>
      <c r="AU2569">
        <v>11.891280458908879</v>
      </c>
      <c r="AV2569">
        <v>1.148073114988245E-108</v>
      </c>
    </row>
    <row r="2570" spans="44:48" x14ac:dyDescent="0.2">
      <c r="AR2570">
        <v>2562</v>
      </c>
      <c r="AS2570">
        <v>744</v>
      </c>
      <c r="AT2570">
        <v>3</v>
      </c>
      <c r="AU2570">
        <v>11.922220990226224</v>
      </c>
      <c r="AV2570">
        <v>3.0038419676367336E-109</v>
      </c>
    </row>
    <row r="2571" spans="44:48" x14ac:dyDescent="0.2">
      <c r="AR2571">
        <v>2563</v>
      </c>
      <c r="AS2571">
        <v>745</v>
      </c>
      <c r="AT2571">
        <v>3</v>
      </c>
      <c r="AU2571">
        <v>11.953161521543572</v>
      </c>
      <c r="AV2571">
        <v>7.8309890291155643E-110</v>
      </c>
    </row>
    <row r="2572" spans="44:48" x14ac:dyDescent="0.2">
      <c r="AR2572">
        <v>2564</v>
      </c>
      <c r="AS2572">
        <v>746</v>
      </c>
      <c r="AT2572">
        <v>3</v>
      </c>
      <c r="AU2572">
        <v>11.984102052860917</v>
      </c>
      <c r="AV2572">
        <v>2.0341742461665928E-110</v>
      </c>
    </row>
    <row r="2573" spans="44:48" x14ac:dyDescent="0.2">
      <c r="AR2573">
        <v>2565</v>
      </c>
      <c r="AS2573">
        <v>747</v>
      </c>
      <c r="AT2573">
        <v>3</v>
      </c>
      <c r="AU2573">
        <v>12.015042584178262</v>
      </c>
      <c r="AV2573">
        <v>5.2649189369439917E-111</v>
      </c>
    </row>
    <row r="2574" spans="44:48" x14ac:dyDescent="0.2">
      <c r="AR2574">
        <v>2566</v>
      </c>
      <c r="AS2574">
        <v>748</v>
      </c>
      <c r="AT2574">
        <v>3</v>
      </c>
      <c r="AU2574">
        <v>12.045983115495611</v>
      </c>
      <c r="AV2574">
        <v>1.3577731843232297E-111</v>
      </c>
    </row>
    <row r="2575" spans="44:48" x14ac:dyDescent="0.2">
      <c r="AR2575">
        <v>2567</v>
      </c>
      <c r="AS2575">
        <v>749</v>
      </c>
      <c r="AT2575">
        <v>3</v>
      </c>
      <c r="AU2575">
        <v>12.076923646812956</v>
      </c>
      <c r="AV2575">
        <v>3.4889501699807684E-112</v>
      </c>
    </row>
    <row r="2576" spans="44:48" x14ac:dyDescent="0.2">
      <c r="AR2576">
        <v>2568</v>
      </c>
      <c r="AS2576">
        <v>750</v>
      </c>
      <c r="AT2576">
        <v>3</v>
      </c>
      <c r="AU2576">
        <v>12.107864178130304</v>
      </c>
      <c r="AV2576">
        <v>8.9329377493969182E-113</v>
      </c>
    </row>
    <row r="2577" spans="44:48" x14ac:dyDescent="0.2">
      <c r="AR2577">
        <v>2569</v>
      </c>
      <c r="AS2577">
        <v>751</v>
      </c>
      <c r="AT2577">
        <v>3</v>
      </c>
      <c r="AU2577">
        <v>12.138804709447649</v>
      </c>
      <c r="AV2577">
        <v>2.2789030491300794E-113</v>
      </c>
    </row>
    <row r="2578" spans="44:48" x14ac:dyDescent="0.2">
      <c r="AR2578">
        <v>2570</v>
      </c>
      <c r="AS2578">
        <v>752</v>
      </c>
      <c r="AT2578">
        <v>3</v>
      </c>
      <c r="AU2578">
        <v>12.169745240764994</v>
      </c>
      <c r="AV2578">
        <v>5.7928114458744599E-114</v>
      </c>
    </row>
    <row r="2579" spans="44:48" x14ac:dyDescent="0.2">
      <c r="AR2579">
        <v>2571</v>
      </c>
      <c r="AS2579">
        <v>753</v>
      </c>
      <c r="AT2579">
        <v>3</v>
      </c>
      <c r="AU2579">
        <v>12.200685772082343</v>
      </c>
      <c r="AV2579">
        <v>1.4671851979618062E-114</v>
      </c>
    </row>
    <row r="2580" spans="44:48" x14ac:dyDescent="0.2">
      <c r="AR2580">
        <v>2572</v>
      </c>
      <c r="AS2580">
        <v>754</v>
      </c>
      <c r="AT2580">
        <v>3</v>
      </c>
      <c r="AU2580">
        <v>12.231626303399688</v>
      </c>
      <c r="AV2580">
        <v>3.7026484725776707E-115</v>
      </c>
    </row>
    <row r="2581" spans="44:48" x14ac:dyDescent="0.2">
      <c r="AR2581">
        <v>2573</v>
      </c>
      <c r="AS2581">
        <v>755</v>
      </c>
      <c r="AT2581">
        <v>3</v>
      </c>
      <c r="AU2581">
        <v>12.262566834717033</v>
      </c>
      <c r="AV2581">
        <v>9.3104790874521018E-116</v>
      </c>
    </row>
    <row r="2582" spans="44:48" x14ac:dyDescent="0.2">
      <c r="AR2582">
        <v>2574</v>
      </c>
      <c r="AS2582">
        <v>756</v>
      </c>
      <c r="AT2582">
        <v>3</v>
      </c>
      <c r="AU2582">
        <v>12.293507366034381</v>
      </c>
      <c r="AV2582">
        <v>2.3327251773293893E-116</v>
      </c>
    </row>
    <row r="2583" spans="44:48" x14ac:dyDescent="0.2">
      <c r="AR2583">
        <v>2575</v>
      </c>
      <c r="AS2583">
        <v>757</v>
      </c>
      <c r="AT2583">
        <v>3</v>
      </c>
      <c r="AU2583">
        <v>12.324447897351726</v>
      </c>
      <c r="AV2583">
        <v>5.8235408436056129E-117</v>
      </c>
    </row>
    <row r="2584" spans="44:48" x14ac:dyDescent="0.2">
      <c r="AR2584">
        <v>2576</v>
      </c>
      <c r="AS2584">
        <v>758</v>
      </c>
      <c r="AT2584">
        <v>3</v>
      </c>
      <c r="AU2584">
        <v>12.355388428669071</v>
      </c>
      <c r="AV2584">
        <v>1.4485806375927591E-117</v>
      </c>
    </row>
    <row r="2585" spans="44:48" x14ac:dyDescent="0.2">
      <c r="AR2585">
        <v>2577</v>
      </c>
      <c r="AS2585">
        <v>759</v>
      </c>
      <c r="AT2585">
        <v>3</v>
      </c>
      <c r="AU2585">
        <v>12.38632895998642</v>
      </c>
      <c r="AV2585">
        <v>3.5902957687909539E-118</v>
      </c>
    </row>
    <row r="2586" spans="44:48" x14ac:dyDescent="0.2">
      <c r="AR2586">
        <v>2578</v>
      </c>
      <c r="AS2586">
        <v>760</v>
      </c>
      <c r="AT2586">
        <v>3</v>
      </c>
      <c r="AU2586">
        <v>12.417269491303765</v>
      </c>
      <c r="AV2586">
        <v>8.8664502133661478E-119</v>
      </c>
    </row>
    <row r="2587" spans="44:48" x14ac:dyDescent="0.2">
      <c r="AR2587">
        <v>2579</v>
      </c>
      <c r="AS2587">
        <v>761</v>
      </c>
      <c r="AT2587">
        <v>3</v>
      </c>
      <c r="AU2587">
        <v>12.448210022621113</v>
      </c>
      <c r="AV2587">
        <v>2.1817316578009318E-119</v>
      </c>
    </row>
    <row r="2588" spans="44:48" x14ac:dyDescent="0.2">
      <c r="AR2588">
        <v>2580</v>
      </c>
      <c r="AS2588">
        <v>762</v>
      </c>
      <c r="AT2588">
        <v>3</v>
      </c>
      <c r="AU2588">
        <v>12.479150553938458</v>
      </c>
      <c r="AV2588">
        <v>5.3491513776441203E-120</v>
      </c>
    </row>
    <row r="2589" spans="44:48" x14ac:dyDescent="0.2">
      <c r="AR2589">
        <v>2581</v>
      </c>
      <c r="AS2589">
        <v>763</v>
      </c>
      <c r="AT2589">
        <v>3</v>
      </c>
      <c r="AU2589">
        <v>12.510091085255803</v>
      </c>
      <c r="AV2589">
        <v>1.3067738776841837E-120</v>
      </c>
    </row>
    <row r="2590" spans="44:48" x14ac:dyDescent="0.2">
      <c r="AR2590">
        <v>2582</v>
      </c>
      <c r="AS2590">
        <v>764</v>
      </c>
      <c r="AT2590">
        <v>3</v>
      </c>
      <c r="AU2590">
        <v>12.541031616573152</v>
      </c>
      <c r="AV2590">
        <v>3.1808852450040588E-121</v>
      </c>
    </row>
    <row r="2591" spans="44:48" x14ac:dyDescent="0.2">
      <c r="AR2591">
        <v>2583</v>
      </c>
      <c r="AS2591">
        <v>765</v>
      </c>
      <c r="AT2591">
        <v>3</v>
      </c>
      <c r="AU2591">
        <v>12.571972147890497</v>
      </c>
      <c r="AV2591">
        <v>7.7148513057531336E-122</v>
      </c>
    </row>
    <row r="2592" spans="44:48" x14ac:dyDescent="0.2">
      <c r="AR2592">
        <v>2584</v>
      </c>
      <c r="AS2592">
        <v>766</v>
      </c>
      <c r="AT2592">
        <v>3</v>
      </c>
      <c r="AU2592">
        <v>12.602912679207842</v>
      </c>
      <c r="AV2592">
        <v>1.8644001086111996E-122</v>
      </c>
    </row>
    <row r="2593" spans="44:48" x14ac:dyDescent="0.2">
      <c r="AR2593">
        <v>2585</v>
      </c>
      <c r="AS2593">
        <v>767</v>
      </c>
      <c r="AT2593">
        <v>3</v>
      </c>
      <c r="AU2593">
        <v>12.63385321052519</v>
      </c>
      <c r="AV2593">
        <v>4.4893418853201534E-123</v>
      </c>
    </row>
    <row r="2594" spans="44:48" x14ac:dyDescent="0.2">
      <c r="AR2594">
        <v>2586</v>
      </c>
      <c r="AS2594">
        <v>768</v>
      </c>
      <c r="AT2594">
        <v>3</v>
      </c>
      <c r="AU2594">
        <v>12.664793741842535</v>
      </c>
      <c r="AV2594">
        <v>1.0771054967932859E-123</v>
      </c>
    </row>
    <row r="2595" spans="44:48" x14ac:dyDescent="0.2">
      <c r="AR2595">
        <v>2587</v>
      </c>
      <c r="AS2595">
        <v>769</v>
      </c>
      <c r="AT2595">
        <v>3</v>
      </c>
      <c r="AU2595">
        <v>12.69573427315988</v>
      </c>
      <c r="AV2595">
        <v>2.5749322422162718E-124</v>
      </c>
    </row>
    <row r="2596" spans="44:48" x14ac:dyDescent="0.2">
      <c r="AR2596">
        <v>2588</v>
      </c>
      <c r="AS2596">
        <v>770</v>
      </c>
      <c r="AT2596">
        <v>3</v>
      </c>
      <c r="AU2596">
        <v>12.726674804477229</v>
      </c>
      <c r="AV2596">
        <v>6.1334576313831053E-125</v>
      </c>
    </row>
    <row r="2597" spans="44:48" x14ac:dyDescent="0.2">
      <c r="AR2597">
        <v>2589</v>
      </c>
      <c r="AS2597">
        <v>771</v>
      </c>
      <c r="AT2597">
        <v>3</v>
      </c>
      <c r="AU2597">
        <v>12.757615335794574</v>
      </c>
      <c r="AV2597">
        <v>1.4557169372967357E-125</v>
      </c>
    </row>
    <row r="2598" spans="44:48" x14ac:dyDescent="0.2">
      <c r="AR2598">
        <v>2590</v>
      </c>
      <c r="AS2598">
        <v>772</v>
      </c>
      <c r="AT2598">
        <v>3</v>
      </c>
      <c r="AU2598">
        <v>12.788555867111922</v>
      </c>
      <c r="AV2598">
        <v>3.4425519418006746E-126</v>
      </c>
    </row>
    <row r="2599" spans="44:48" x14ac:dyDescent="0.2">
      <c r="AR2599">
        <v>2591</v>
      </c>
      <c r="AS2599">
        <v>773</v>
      </c>
      <c r="AT2599">
        <v>3</v>
      </c>
      <c r="AU2599">
        <v>12.819496398429267</v>
      </c>
      <c r="AV2599">
        <v>8.1117782417251663E-127</v>
      </c>
    </row>
    <row r="2600" spans="44:48" x14ac:dyDescent="0.2">
      <c r="AR2600">
        <v>2592</v>
      </c>
      <c r="AS2600">
        <v>774</v>
      </c>
      <c r="AT2600">
        <v>3</v>
      </c>
      <c r="AU2600">
        <v>12.850436929746612</v>
      </c>
      <c r="AV2600">
        <v>1.9045116713238986E-127</v>
      </c>
    </row>
    <row r="2601" spans="44:48" x14ac:dyDescent="0.2">
      <c r="AR2601">
        <v>2593</v>
      </c>
      <c r="AS2601">
        <v>775</v>
      </c>
      <c r="AT2601">
        <v>3</v>
      </c>
      <c r="AU2601">
        <v>12.881377461063961</v>
      </c>
      <c r="AV2601">
        <v>4.4553641770736028E-128</v>
      </c>
    </row>
    <row r="2602" spans="44:48" x14ac:dyDescent="0.2">
      <c r="AR2602">
        <v>2594</v>
      </c>
      <c r="AS2602">
        <v>776</v>
      </c>
      <c r="AT2602">
        <v>3</v>
      </c>
      <c r="AU2602">
        <v>12.912317992381306</v>
      </c>
      <c r="AV2602">
        <v>1.0385197974293531E-128</v>
      </c>
    </row>
    <row r="2603" spans="44:48" x14ac:dyDescent="0.2">
      <c r="AR2603">
        <v>2595</v>
      </c>
      <c r="AS2603">
        <v>777</v>
      </c>
      <c r="AT2603">
        <v>3</v>
      </c>
      <c r="AU2603">
        <v>12.943258523698651</v>
      </c>
      <c r="AV2603">
        <v>2.4120058259736284E-129</v>
      </c>
    </row>
    <row r="2604" spans="44:48" x14ac:dyDescent="0.2">
      <c r="AR2604">
        <v>2596</v>
      </c>
      <c r="AS2604">
        <v>778</v>
      </c>
      <c r="AT2604">
        <v>3</v>
      </c>
      <c r="AU2604">
        <v>12.974199055015999</v>
      </c>
      <c r="AV2604">
        <v>5.5817955634310196E-130</v>
      </c>
    </row>
    <row r="2605" spans="44:48" x14ac:dyDescent="0.2">
      <c r="AR2605">
        <v>2597</v>
      </c>
      <c r="AS2605">
        <v>779</v>
      </c>
      <c r="AT2605">
        <v>3</v>
      </c>
      <c r="AU2605">
        <v>13.005139586333344</v>
      </c>
      <c r="AV2605">
        <v>1.2870680246193853E-130</v>
      </c>
    </row>
    <row r="2606" spans="44:48" x14ac:dyDescent="0.2">
      <c r="AR2606">
        <v>2598</v>
      </c>
      <c r="AS2606">
        <v>780</v>
      </c>
      <c r="AT2606">
        <v>3</v>
      </c>
      <c r="AU2606">
        <v>13.036080117650693</v>
      </c>
      <c r="AV2606">
        <v>2.9570664031729222E-131</v>
      </c>
    </row>
    <row r="2607" spans="44:48" x14ac:dyDescent="0.2">
      <c r="AR2607">
        <v>2599</v>
      </c>
      <c r="AS2607">
        <v>781</v>
      </c>
      <c r="AT2607">
        <v>3</v>
      </c>
      <c r="AU2607">
        <v>13.067020648968038</v>
      </c>
      <c r="AV2607">
        <v>6.7694386123849039E-132</v>
      </c>
    </row>
    <row r="2608" spans="44:48" x14ac:dyDescent="0.2">
      <c r="AR2608">
        <v>2600</v>
      </c>
      <c r="AS2608">
        <v>782</v>
      </c>
      <c r="AT2608">
        <v>3</v>
      </c>
      <c r="AU2608">
        <v>13.097961180285383</v>
      </c>
      <c r="AV2608">
        <v>1.5441028787554168E-132</v>
      </c>
    </row>
    <row r="2609" spans="44:48" x14ac:dyDescent="0.2">
      <c r="AR2609">
        <v>2601</v>
      </c>
      <c r="AS2609">
        <v>783</v>
      </c>
      <c r="AT2609">
        <v>3</v>
      </c>
      <c r="AU2609">
        <v>13.128901711602731</v>
      </c>
      <c r="AV2609">
        <v>3.5093914382528263E-133</v>
      </c>
    </row>
    <row r="2610" spans="44:48" x14ac:dyDescent="0.2">
      <c r="AR2610">
        <v>2602</v>
      </c>
      <c r="AS2610">
        <v>784</v>
      </c>
      <c r="AT2610">
        <v>3</v>
      </c>
      <c r="AU2610">
        <v>13.159842242920076</v>
      </c>
      <c r="AV2610">
        <v>7.9472960764409987E-134</v>
      </c>
    </row>
    <row r="2611" spans="44:48" x14ac:dyDescent="0.2">
      <c r="AR2611">
        <v>2603</v>
      </c>
      <c r="AS2611">
        <v>785</v>
      </c>
      <c r="AT2611">
        <v>3</v>
      </c>
      <c r="AU2611">
        <v>13.190782774237421</v>
      </c>
      <c r="AV2611">
        <v>1.7932423007307575E-134</v>
      </c>
    </row>
    <row r="2612" spans="44:48" x14ac:dyDescent="0.2">
      <c r="AR2612">
        <v>2604</v>
      </c>
      <c r="AS2612">
        <v>786</v>
      </c>
      <c r="AT2612">
        <v>3</v>
      </c>
      <c r="AU2612">
        <v>13.22172330555477</v>
      </c>
      <c r="AV2612">
        <v>4.0317218094597958E-135</v>
      </c>
    </row>
    <row r="2613" spans="44:48" x14ac:dyDescent="0.2">
      <c r="AR2613">
        <v>2605</v>
      </c>
      <c r="AS2613">
        <v>787</v>
      </c>
      <c r="AT2613">
        <v>3</v>
      </c>
      <c r="AU2613">
        <v>13.252663836872115</v>
      </c>
      <c r="AV2613">
        <v>9.031796469157139E-136</v>
      </c>
    </row>
    <row r="2614" spans="44:48" x14ac:dyDescent="0.2">
      <c r="AR2614">
        <v>2606</v>
      </c>
      <c r="AS2614">
        <v>788</v>
      </c>
      <c r="AT2614">
        <v>3</v>
      </c>
      <c r="AU2614">
        <v>13.28360436818946</v>
      </c>
      <c r="AV2614">
        <v>2.0159962859578039E-136</v>
      </c>
    </row>
    <row r="2615" spans="44:48" x14ac:dyDescent="0.2">
      <c r="AR2615">
        <v>2607</v>
      </c>
      <c r="AS2615">
        <v>789</v>
      </c>
      <c r="AT2615">
        <v>3</v>
      </c>
      <c r="AU2615">
        <v>13.314544899506808</v>
      </c>
      <c r="AV2615">
        <v>4.4837079250602637E-137</v>
      </c>
    </row>
    <row r="2616" spans="44:48" x14ac:dyDescent="0.2">
      <c r="AR2616">
        <v>2608</v>
      </c>
      <c r="AS2616">
        <v>790</v>
      </c>
      <c r="AT2616">
        <v>3</v>
      </c>
      <c r="AU2616">
        <v>13.345485430824153</v>
      </c>
      <c r="AV2616">
        <v>9.9361216974854128E-138</v>
      </c>
    </row>
    <row r="2617" spans="44:48" x14ac:dyDescent="0.2">
      <c r="AR2617">
        <v>2609</v>
      </c>
      <c r="AS2617">
        <v>791</v>
      </c>
      <c r="AT2617">
        <v>3</v>
      </c>
      <c r="AU2617">
        <v>13.376425962141502</v>
      </c>
      <c r="AV2617">
        <v>2.1939589177192636E-138</v>
      </c>
    </row>
    <row r="2618" spans="44:48" x14ac:dyDescent="0.2">
      <c r="AR2618">
        <v>2610</v>
      </c>
      <c r="AS2618">
        <v>792</v>
      </c>
      <c r="AT2618">
        <v>3</v>
      </c>
      <c r="AU2618">
        <v>13.407366493458847</v>
      </c>
      <c r="AV2618">
        <v>4.826942008951059E-139</v>
      </c>
    </row>
    <row r="2619" spans="44:48" x14ac:dyDescent="0.2">
      <c r="AR2619">
        <v>2611</v>
      </c>
      <c r="AS2619">
        <v>793</v>
      </c>
      <c r="AT2619">
        <v>3</v>
      </c>
      <c r="AU2619">
        <v>13.438307024776192</v>
      </c>
      <c r="AV2619">
        <v>1.0581510629645057E-139</v>
      </c>
    </row>
    <row r="2620" spans="44:48" x14ac:dyDescent="0.2">
      <c r="AR2620">
        <v>2612</v>
      </c>
      <c r="AS2620">
        <v>794</v>
      </c>
      <c r="AT2620">
        <v>3</v>
      </c>
      <c r="AU2620">
        <v>13.46924755609354</v>
      </c>
      <c r="AV2620">
        <v>2.3112943893425724E-140</v>
      </c>
    </row>
    <row r="2621" spans="44:48" x14ac:dyDescent="0.2">
      <c r="AR2621">
        <v>2613</v>
      </c>
      <c r="AS2621">
        <v>795</v>
      </c>
      <c r="AT2621">
        <v>3</v>
      </c>
      <c r="AU2621">
        <v>13.500188087410885</v>
      </c>
      <c r="AV2621">
        <v>5.03031126055966E-141</v>
      </c>
    </row>
    <row r="2622" spans="44:48" x14ac:dyDescent="0.2">
      <c r="AR2622">
        <v>2614</v>
      </c>
      <c r="AS2622">
        <v>796</v>
      </c>
      <c r="AT2622">
        <v>3</v>
      </c>
      <c r="AU2622">
        <v>13.53112861872823</v>
      </c>
      <c r="AV2622">
        <v>1.0908535607286552E-141</v>
      </c>
    </row>
    <row r="2623" spans="44:48" x14ac:dyDescent="0.2">
      <c r="AR2623">
        <v>2615</v>
      </c>
      <c r="AS2623">
        <v>797</v>
      </c>
      <c r="AT2623">
        <v>3</v>
      </c>
      <c r="AU2623">
        <v>13.562069150045579</v>
      </c>
      <c r="AV2623">
        <v>2.357056807579093E-142</v>
      </c>
    </row>
    <row r="2624" spans="44:48" x14ac:dyDescent="0.2">
      <c r="AR2624">
        <v>2616</v>
      </c>
      <c r="AS2624">
        <v>798</v>
      </c>
      <c r="AT2624">
        <v>3</v>
      </c>
      <c r="AU2624">
        <v>13.593009681362924</v>
      </c>
      <c r="AV2624">
        <v>5.0746447723009102E-143</v>
      </c>
    </row>
    <row r="2625" spans="44:48" x14ac:dyDescent="0.2">
      <c r="AR2625">
        <v>2617</v>
      </c>
      <c r="AS2625">
        <v>799</v>
      </c>
      <c r="AT2625">
        <v>3</v>
      </c>
      <c r="AU2625">
        <v>13.623950212680269</v>
      </c>
      <c r="AV2625">
        <v>1.0886123205240197E-143</v>
      </c>
    </row>
    <row r="2626" spans="44:48" x14ac:dyDescent="0.2">
      <c r="AR2626">
        <v>2618</v>
      </c>
      <c r="AS2626">
        <v>800</v>
      </c>
      <c r="AT2626">
        <v>3</v>
      </c>
      <c r="AU2626">
        <v>13.654890743997617</v>
      </c>
      <c r="AV2626">
        <v>2.3268738812528587E-144</v>
      </c>
    </row>
    <row r="2627" spans="44:48" x14ac:dyDescent="0.2">
      <c r="AR2627">
        <v>2619</v>
      </c>
      <c r="AS2627">
        <v>801</v>
      </c>
      <c r="AT2627">
        <v>3</v>
      </c>
      <c r="AU2627">
        <v>13.685831275314962</v>
      </c>
      <c r="AV2627">
        <v>4.9556935824397522E-145</v>
      </c>
    </row>
    <row r="2628" spans="44:48" x14ac:dyDescent="0.2">
      <c r="AR2628">
        <v>2620</v>
      </c>
      <c r="AS2628">
        <v>802</v>
      </c>
      <c r="AT2628">
        <v>3</v>
      </c>
      <c r="AU2628">
        <v>13.716771806632311</v>
      </c>
      <c r="AV2628">
        <v>1.0516423026014325E-145</v>
      </c>
    </row>
    <row r="2629" spans="44:48" x14ac:dyDescent="0.2">
      <c r="AR2629">
        <v>2621</v>
      </c>
      <c r="AS2629">
        <v>803</v>
      </c>
      <c r="AT2629">
        <v>3</v>
      </c>
      <c r="AU2629">
        <v>13.747712337949656</v>
      </c>
      <c r="AV2629">
        <v>2.2236357643036516E-146</v>
      </c>
    </row>
    <row r="2630" spans="44:48" x14ac:dyDescent="0.2">
      <c r="AR2630">
        <v>2622</v>
      </c>
      <c r="AS2630">
        <v>804</v>
      </c>
      <c r="AT2630">
        <v>3</v>
      </c>
      <c r="AU2630">
        <v>13.778652869267001</v>
      </c>
      <c r="AV2630">
        <v>4.6848021542776287E-147</v>
      </c>
    </row>
    <row r="2631" spans="44:48" x14ac:dyDescent="0.2">
      <c r="AR2631">
        <v>2623</v>
      </c>
      <c r="AS2631">
        <v>805</v>
      </c>
      <c r="AT2631">
        <v>3</v>
      </c>
      <c r="AU2631">
        <v>13.809593400584349</v>
      </c>
      <c r="AV2631">
        <v>9.8344677430834172E-148</v>
      </c>
    </row>
    <row r="2632" spans="44:48" x14ac:dyDescent="0.2">
      <c r="AR2632">
        <v>2624</v>
      </c>
      <c r="AS2632">
        <v>806</v>
      </c>
      <c r="AT2632">
        <v>3</v>
      </c>
      <c r="AU2632">
        <v>13.840533931901694</v>
      </c>
      <c r="AV2632">
        <v>2.0570387210918972E-148</v>
      </c>
    </row>
    <row r="2633" spans="44:48" x14ac:dyDescent="0.2">
      <c r="AR2633">
        <v>2625</v>
      </c>
      <c r="AS2633">
        <v>807</v>
      </c>
      <c r="AT2633">
        <v>3</v>
      </c>
      <c r="AU2633">
        <v>13.871474463219039</v>
      </c>
      <c r="AV2633">
        <v>4.2871242906818452E-149</v>
      </c>
    </row>
    <row r="2634" spans="44:48" x14ac:dyDescent="0.2">
      <c r="AR2634">
        <v>2626</v>
      </c>
      <c r="AS2634">
        <v>808</v>
      </c>
      <c r="AT2634">
        <v>3</v>
      </c>
      <c r="AU2634">
        <v>13.902414994536388</v>
      </c>
      <c r="AV2634">
        <v>8.9026988651282571E-150</v>
      </c>
    </row>
    <row r="2635" spans="44:48" x14ac:dyDescent="0.2">
      <c r="AR2635">
        <v>2627</v>
      </c>
      <c r="AS2635">
        <v>809</v>
      </c>
      <c r="AT2635">
        <v>3</v>
      </c>
      <c r="AU2635">
        <v>13.933355525853733</v>
      </c>
      <c r="AV2635">
        <v>1.8420834203260929E-150</v>
      </c>
    </row>
    <row r="2636" spans="44:48" x14ac:dyDescent="0.2">
      <c r="AR2636">
        <v>2628</v>
      </c>
      <c r="AS2636">
        <v>810</v>
      </c>
      <c r="AT2636">
        <v>3</v>
      </c>
      <c r="AU2636">
        <v>13.964296057171078</v>
      </c>
      <c r="AV2636">
        <v>3.7977721468691778E-151</v>
      </c>
    </row>
    <row r="2637" spans="44:48" x14ac:dyDescent="0.2">
      <c r="AR2637">
        <v>2629</v>
      </c>
      <c r="AS2637">
        <v>811</v>
      </c>
      <c r="AT2637">
        <v>3</v>
      </c>
      <c r="AU2637">
        <v>13.995236588488426</v>
      </c>
      <c r="AV2637">
        <v>7.801543197006621E-152</v>
      </c>
    </row>
    <row r="2638" spans="44:48" x14ac:dyDescent="0.2">
      <c r="AR2638">
        <v>2630</v>
      </c>
      <c r="AS2638">
        <v>812</v>
      </c>
      <c r="AT2638">
        <v>3</v>
      </c>
      <c r="AU2638">
        <v>14.026177119805771</v>
      </c>
      <c r="AV2638">
        <v>1.5968500314687114E-152</v>
      </c>
    </row>
    <row r="2639" spans="44:48" x14ac:dyDescent="0.2">
      <c r="AR2639">
        <v>2631</v>
      </c>
      <c r="AS2639">
        <v>813</v>
      </c>
      <c r="AT2639">
        <v>3</v>
      </c>
      <c r="AU2639">
        <v>14.05711765112312</v>
      </c>
      <c r="AV2639">
        <v>3.2567149367723546E-153</v>
      </c>
    </row>
    <row r="2640" spans="44:48" x14ac:dyDescent="0.2">
      <c r="AR2640">
        <v>2632</v>
      </c>
      <c r="AS2640">
        <v>814</v>
      </c>
      <c r="AT2640">
        <v>3</v>
      </c>
      <c r="AU2640">
        <v>14.088058182440465</v>
      </c>
      <c r="AV2640">
        <v>6.6180091314698121E-154</v>
      </c>
    </row>
    <row r="2641" spans="44:48" x14ac:dyDescent="0.2">
      <c r="AR2641">
        <v>2633</v>
      </c>
      <c r="AS2641">
        <v>815</v>
      </c>
      <c r="AT2641">
        <v>3</v>
      </c>
      <c r="AU2641">
        <v>14.11899871375781</v>
      </c>
      <c r="AV2641">
        <v>1.3400067290886909E-154</v>
      </c>
    </row>
    <row r="2642" spans="44:48" x14ac:dyDescent="0.2">
      <c r="AR2642">
        <v>2634</v>
      </c>
      <c r="AS2642">
        <v>816</v>
      </c>
      <c r="AT2642">
        <v>3</v>
      </c>
      <c r="AU2642">
        <v>14.149939245075158</v>
      </c>
      <c r="AV2642">
        <v>2.7034515928089306E-155</v>
      </c>
    </row>
    <row r="2643" spans="44:48" x14ac:dyDescent="0.2">
      <c r="AR2643">
        <v>2635</v>
      </c>
      <c r="AS2643">
        <v>817</v>
      </c>
      <c r="AT2643">
        <v>3</v>
      </c>
      <c r="AU2643">
        <v>14.180879776392503</v>
      </c>
      <c r="AV2643">
        <v>5.4345328364630287E-156</v>
      </c>
    </row>
    <row r="2644" spans="44:48" x14ac:dyDescent="0.2">
      <c r="AR2644">
        <v>2636</v>
      </c>
      <c r="AS2644">
        <v>818</v>
      </c>
      <c r="AT2644">
        <v>3</v>
      </c>
      <c r="AU2644">
        <v>14.211820307709848</v>
      </c>
      <c r="AV2644">
        <v>1.0885235714474272E-156</v>
      </c>
    </row>
    <row r="2645" spans="44:48" x14ac:dyDescent="0.2">
      <c r="AR2645">
        <v>2637</v>
      </c>
      <c r="AS2645">
        <v>819</v>
      </c>
      <c r="AT2645">
        <v>3</v>
      </c>
      <c r="AU2645">
        <v>14.242760839027197</v>
      </c>
      <c r="AV2645">
        <v>2.1724283407731131E-157</v>
      </c>
    </row>
    <row r="2646" spans="44:48" x14ac:dyDescent="0.2">
      <c r="AR2646">
        <v>2638</v>
      </c>
      <c r="AS2646">
        <v>820</v>
      </c>
      <c r="AT2646">
        <v>3</v>
      </c>
      <c r="AU2646">
        <v>14.273701370344542</v>
      </c>
      <c r="AV2646">
        <v>4.320013290262293E-158</v>
      </c>
    </row>
    <row r="2647" spans="44:48" x14ac:dyDescent="0.2">
      <c r="AR2647">
        <v>2639</v>
      </c>
      <c r="AS2647">
        <v>821</v>
      </c>
      <c r="AT2647">
        <v>3</v>
      </c>
      <c r="AU2647">
        <v>14.304641901661887</v>
      </c>
      <c r="AV2647">
        <v>8.5596638006297505E-159</v>
      </c>
    </row>
    <row r="2648" spans="44:48" x14ac:dyDescent="0.2">
      <c r="AR2648">
        <v>2640</v>
      </c>
      <c r="AS2648">
        <v>822</v>
      </c>
      <c r="AT2648">
        <v>3</v>
      </c>
      <c r="AU2648">
        <v>14.335582432979235</v>
      </c>
      <c r="AV2648">
        <v>1.6898973798295451E-159</v>
      </c>
    </row>
    <row r="2649" spans="44:48" x14ac:dyDescent="0.2">
      <c r="AR2649">
        <v>2641</v>
      </c>
      <c r="AS2649">
        <v>823</v>
      </c>
      <c r="AT2649">
        <v>3</v>
      </c>
      <c r="AU2649">
        <v>14.36652296429658</v>
      </c>
      <c r="AV2649">
        <v>3.3242674655251018E-160</v>
      </c>
    </row>
    <row r="2650" spans="44:48" x14ac:dyDescent="0.2">
      <c r="AR2650">
        <v>2642</v>
      </c>
      <c r="AS2650">
        <v>824</v>
      </c>
      <c r="AT2650">
        <v>3</v>
      </c>
      <c r="AU2650">
        <v>14.397463495613929</v>
      </c>
      <c r="AV2650">
        <v>6.5157376116728999E-161</v>
      </c>
    </row>
    <row r="2651" spans="44:48" x14ac:dyDescent="0.2">
      <c r="AR2651">
        <v>2643</v>
      </c>
      <c r="AS2651">
        <v>825</v>
      </c>
      <c r="AT2651">
        <v>3</v>
      </c>
      <c r="AU2651">
        <v>14.428404026931274</v>
      </c>
      <c r="AV2651">
        <v>1.2725158953579609E-161</v>
      </c>
    </row>
    <row r="2652" spans="44:48" x14ac:dyDescent="0.2">
      <c r="AR2652">
        <v>2644</v>
      </c>
      <c r="AS2652">
        <v>826</v>
      </c>
      <c r="AT2652">
        <v>3</v>
      </c>
      <c r="AU2652">
        <v>14.459344558248619</v>
      </c>
      <c r="AV2652">
        <v>2.4762520385475624E-162</v>
      </c>
    </row>
    <row r="2653" spans="44:48" x14ac:dyDescent="0.2">
      <c r="AR2653">
        <v>2645</v>
      </c>
      <c r="AS2653">
        <v>827</v>
      </c>
      <c r="AT2653">
        <v>3</v>
      </c>
      <c r="AU2653">
        <v>14.490285089565967</v>
      </c>
      <c r="AV2653">
        <v>4.8012959594140574E-163</v>
      </c>
    </row>
    <row r="2654" spans="44:48" x14ac:dyDescent="0.2">
      <c r="AR2654">
        <v>2646</v>
      </c>
      <c r="AS2654">
        <v>828</v>
      </c>
      <c r="AT2654">
        <v>3</v>
      </c>
      <c r="AU2654">
        <v>14.521225620883312</v>
      </c>
      <c r="AV2654">
        <v>9.2758583904517669E-164</v>
      </c>
    </row>
    <row r="2655" spans="44:48" x14ac:dyDescent="0.2">
      <c r="AR2655">
        <v>2647</v>
      </c>
      <c r="AS2655">
        <v>829</v>
      </c>
      <c r="AT2655">
        <v>3</v>
      </c>
      <c r="AU2655">
        <v>14.552166152200657</v>
      </c>
      <c r="AV2655">
        <v>1.7855899938110429E-164</v>
      </c>
    </row>
    <row r="2656" spans="44:48" x14ac:dyDescent="0.2">
      <c r="AR2656">
        <v>2648</v>
      </c>
      <c r="AS2656">
        <v>830</v>
      </c>
      <c r="AT2656">
        <v>3</v>
      </c>
      <c r="AU2656">
        <v>14.583106683518006</v>
      </c>
      <c r="AV2656">
        <v>3.4248486054828901E-165</v>
      </c>
    </row>
    <row r="2657" spans="44:48" x14ac:dyDescent="0.2">
      <c r="AR2657">
        <v>2649</v>
      </c>
      <c r="AS2657">
        <v>831</v>
      </c>
      <c r="AT2657">
        <v>3</v>
      </c>
      <c r="AU2657">
        <v>14.614047214835351</v>
      </c>
      <c r="AV2657">
        <v>6.5453521073861822E-166</v>
      </c>
    </row>
    <row r="2658" spans="44:48" x14ac:dyDescent="0.2">
      <c r="AR2658">
        <v>2650</v>
      </c>
      <c r="AS2658">
        <v>832</v>
      </c>
      <c r="AT2658">
        <v>3</v>
      </c>
      <c r="AU2658">
        <v>14.644987746152699</v>
      </c>
      <c r="AV2658">
        <v>1.2463977363709812E-166</v>
      </c>
    </row>
    <row r="2659" spans="44:48" x14ac:dyDescent="0.2">
      <c r="AR2659">
        <v>2651</v>
      </c>
      <c r="AS2659">
        <v>833</v>
      </c>
      <c r="AT2659">
        <v>3</v>
      </c>
      <c r="AU2659">
        <v>14.675928277470044</v>
      </c>
      <c r="AV2659">
        <v>2.3648973245614904E-167</v>
      </c>
    </row>
    <row r="2660" spans="44:48" x14ac:dyDescent="0.2">
      <c r="AR2660">
        <v>2652</v>
      </c>
      <c r="AS2660">
        <v>834</v>
      </c>
      <c r="AT2660">
        <v>3</v>
      </c>
      <c r="AU2660">
        <v>14.706868808787389</v>
      </c>
      <c r="AV2660">
        <v>4.4709511989023517E-168</v>
      </c>
    </row>
    <row r="2661" spans="44:48" x14ac:dyDescent="0.2">
      <c r="AR2661">
        <v>2653</v>
      </c>
      <c r="AS2661">
        <v>835</v>
      </c>
      <c r="AT2661">
        <v>3</v>
      </c>
      <c r="AU2661">
        <v>14.737809340104738</v>
      </c>
      <c r="AV2661">
        <v>8.4220840303163617E-169</v>
      </c>
    </row>
    <row r="2662" spans="44:48" x14ac:dyDescent="0.2">
      <c r="AR2662">
        <v>2654</v>
      </c>
      <c r="AS2662">
        <v>836</v>
      </c>
      <c r="AT2662">
        <v>3</v>
      </c>
      <c r="AU2662">
        <v>14.768749871422083</v>
      </c>
      <c r="AV2662">
        <v>1.5807791975193205E-169</v>
      </c>
    </row>
    <row r="2663" spans="44:48" x14ac:dyDescent="0.2">
      <c r="AR2663">
        <v>2655</v>
      </c>
      <c r="AS2663">
        <v>837</v>
      </c>
      <c r="AT2663">
        <v>3</v>
      </c>
      <c r="AU2663">
        <v>14.799690402739428</v>
      </c>
      <c r="AV2663">
        <v>2.9563432379660153E-170</v>
      </c>
    </row>
    <row r="2664" spans="44:48" x14ac:dyDescent="0.2">
      <c r="AR2664">
        <v>2656</v>
      </c>
      <c r="AS2664">
        <v>838</v>
      </c>
      <c r="AT2664">
        <v>3</v>
      </c>
      <c r="AU2664">
        <v>14.830630934056776</v>
      </c>
      <c r="AV2664">
        <v>5.5089711681255281E-171</v>
      </c>
    </row>
    <row r="2665" spans="44:48" x14ac:dyDescent="0.2">
      <c r="AR2665">
        <v>2657</v>
      </c>
      <c r="AS2665">
        <v>839</v>
      </c>
      <c r="AT2665">
        <v>3</v>
      </c>
      <c r="AU2665">
        <v>14.861571465374121</v>
      </c>
      <c r="AV2665">
        <v>1.022864591437076E-171</v>
      </c>
    </row>
    <row r="2666" spans="44:48" x14ac:dyDescent="0.2">
      <c r="AR2666">
        <v>2658</v>
      </c>
      <c r="AS2666">
        <v>840</v>
      </c>
      <c r="AT2666">
        <v>3</v>
      </c>
      <c r="AU2666">
        <v>14.892511996691466</v>
      </c>
      <c r="AV2666">
        <v>1.8923339954944639E-172</v>
      </c>
    </row>
    <row r="2667" spans="44:48" x14ac:dyDescent="0.2">
      <c r="AR2667">
        <v>2659</v>
      </c>
      <c r="AS2667">
        <v>841</v>
      </c>
      <c r="AT2667">
        <v>3</v>
      </c>
      <c r="AU2667">
        <v>14.923452528008815</v>
      </c>
      <c r="AV2667">
        <v>3.4882647495601062E-173</v>
      </c>
    </row>
    <row r="2668" spans="44:48" x14ac:dyDescent="0.2">
      <c r="AR2668">
        <v>2660</v>
      </c>
      <c r="AS2668">
        <v>842</v>
      </c>
      <c r="AT2668">
        <v>3</v>
      </c>
      <c r="AU2668">
        <v>14.95439305932616</v>
      </c>
      <c r="AV2668">
        <v>6.4069758678247579E-174</v>
      </c>
    </row>
    <row r="2669" spans="44:48" x14ac:dyDescent="0.2">
      <c r="AR2669">
        <v>2661</v>
      </c>
      <c r="AS2669">
        <v>843</v>
      </c>
      <c r="AT2669">
        <v>3</v>
      </c>
      <c r="AU2669">
        <v>14.985333590643508</v>
      </c>
      <c r="AV2669">
        <v>1.1725428920626276E-174</v>
      </c>
    </row>
    <row r="2670" spans="44:48" x14ac:dyDescent="0.2">
      <c r="AR2670">
        <v>2662</v>
      </c>
      <c r="AS2670">
        <v>844</v>
      </c>
      <c r="AT2670">
        <v>3</v>
      </c>
      <c r="AU2670">
        <v>15.016274121960853</v>
      </c>
      <c r="AV2670">
        <v>2.1381412373701824E-175</v>
      </c>
    </row>
    <row r="2671" spans="44:48" x14ac:dyDescent="0.2">
      <c r="AR2671">
        <v>2663</v>
      </c>
      <c r="AS2671">
        <v>845</v>
      </c>
      <c r="AT2671">
        <v>3</v>
      </c>
      <c r="AU2671">
        <v>15.047214653278198</v>
      </c>
      <c r="AV2671">
        <v>3.8848659889977101E-176</v>
      </c>
    </row>
    <row r="2672" spans="44:48" x14ac:dyDescent="0.2">
      <c r="AR2672">
        <v>2664</v>
      </c>
      <c r="AS2672">
        <v>846</v>
      </c>
      <c r="AT2672">
        <v>3</v>
      </c>
      <c r="AU2672">
        <v>15.078155184595547</v>
      </c>
      <c r="AV2672">
        <v>7.0331146285770167E-177</v>
      </c>
    </row>
    <row r="2673" spans="44:48" x14ac:dyDescent="0.2">
      <c r="AR2673">
        <v>2665</v>
      </c>
      <c r="AS2673">
        <v>847</v>
      </c>
      <c r="AT2673">
        <v>3</v>
      </c>
      <c r="AU2673">
        <v>15.109095715912892</v>
      </c>
      <c r="AV2673">
        <v>1.2686778297890157E-177</v>
      </c>
    </row>
    <row r="2674" spans="44:48" x14ac:dyDescent="0.2">
      <c r="AR2674">
        <v>2666</v>
      </c>
      <c r="AS2674">
        <v>848</v>
      </c>
      <c r="AT2674">
        <v>3</v>
      </c>
      <c r="AU2674">
        <v>15.140036247230237</v>
      </c>
      <c r="AV2674">
        <v>2.2802738489426559E-178</v>
      </c>
    </row>
    <row r="2675" spans="44:48" x14ac:dyDescent="0.2">
      <c r="AR2675">
        <v>2667</v>
      </c>
      <c r="AS2675">
        <v>849</v>
      </c>
      <c r="AT2675">
        <v>3</v>
      </c>
      <c r="AU2675">
        <v>15.170976778547585</v>
      </c>
      <c r="AV2675">
        <v>4.0837078394276602E-179</v>
      </c>
    </row>
    <row r="2676" spans="44:48" x14ac:dyDescent="0.2">
      <c r="AR2676">
        <v>2668</v>
      </c>
      <c r="AS2676">
        <v>850</v>
      </c>
      <c r="AT2676">
        <v>3</v>
      </c>
      <c r="AU2676">
        <v>15.20191730986493</v>
      </c>
      <c r="AV2676">
        <v>7.2870931681362533E-180</v>
      </c>
    </row>
    <row r="2677" spans="44:48" x14ac:dyDescent="0.2">
      <c r="AR2677">
        <v>2669</v>
      </c>
      <c r="AS2677">
        <v>851</v>
      </c>
      <c r="AT2677">
        <v>3</v>
      </c>
      <c r="AU2677">
        <v>15.232857841182275</v>
      </c>
      <c r="AV2677">
        <v>1.2956448756258965E-180</v>
      </c>
    </row>
    <row r="2678" spans="44:48" x14ac:dyDescent="0.2">
      <c r="AR2678">
        <v>2670</v>
      </c>
      <c r="AS2678">
        <v>852</v>
      </c>
      <c r="AT2678">
        <v>3</v>
      </c>
      <c r="AU2678">
        <v>15.263798372499624</v>
      </c>
      <c r="AV2678">
        <v>2.295353833539463E-181</v>
      </c>
    </row>
    <row r="2679" spans="44:48" x14ac:dyDescent="0.2">
      <c r="AR2679">
        <v>2671</v>
      </c>
      <c r="AS2679">
        <v>853</v>
      </c>
      <c r="AT2679">
        <v>3</v>
      </c>
      <c r="AU2679">
        <v>15.294738903816969</v>
      </c>
      <c r="AV2679">
        <v>4.051774849425318E-182</v>
      </c>
    </row>
    <row r="2680" spans="44:48" x14ac:dyDescent="0.2">
      <c r="AR2680">
        <v>2672</v>
      </c>
      <c r="AS2680">
        <v>854</v>
      </c>
      <c r="AT2680">
        <v>3</v>
      </c>
      <c r="AU2680">
        <v>15.325679435134317</v>
      </c>
      <c r="AV2680">
        <v>7.1264454867731983E-183</v>
      </c>
    </row>
    <row r="2681" spans="44:48" x14ac:dyDescent="0.2">
      <c r="AR2681">
        <v>2673</v>
      </c>
      <c r="AS2681">
        <v>855</v>
      </c>
      <c r="AT2681">
        <v>3</v>
      </c>
      <c r="AU2681">
        <v>15.356619966451662</v>
      </c>
      <c r="AV2681">
        <v>1.2489142808578014E-183</v>
      </c>
    </row>
    <row r="2682" spans="44:48" x14ac:dyDescent="0.2">
      <c r="AR2682">
        <v>2674</v>
      </c>
      <c r="AS2682">
        <v>856</v>
      </c>
      <c r="AT2682">
        <v>3</v>
      </c>
      <c r="AU2682">
        <v>15.387560497769007</v>
      </c>
      <c r="AV2682">
        <v>2.180842474856344E-184</v>
      </c>
    </row>
    <row r="2683" spans="44:48" x14ac:dyDescent="0.2">
      <c r="AR2683">
        <v>2675</v>
      </c>
      <c r="AS2683">
        <v>857</v>
      </c>
      <c r="AT2683">
        <v>3</v>
      </c>
      <c r="AU2683">
        <v>15.418501029086356</v>
      </c>
      <c r="AV2683">
        <v>3.7944423917844128E-185</v>
      </c>
    </row>
    <row r="2684" spans="44:48" x14ac:dyDescent="0.2">
      <c r="AR2684">
        <v>2676</v>
      </c>
      <c r="AS2684">
        <v>858</v>
      </c>
      <c r="AT2684">
        <v>3</v>
      </c>
      <c r="AU2684">
        <v>15.449441560403701</v>
      </c>
      <c r="AV2684">
        <v>6.5781478648738111E-186</v>
      </c>
    </row>
    <row r="2685" spans="44:48" x14ac:dyDescent="0.2">
      <c r="AR2685">
        <v>2677</v>
      </c>
      <c r="AS2685">
        <v>859</v>
      </c>
      <c r="AT2685">
        <v>3</v>
      </c>
      <c r="AU2685">
        <v>15.480382091721046</v>
      </c>
      <c r="AV2685">
        <v>1.1362955355479557E-186</v>
      </c>
    </row>
    <row r="2686" spans="44:48" x14ac:dyDescent="0.2">
      <c r="AR2686">
        <v>2678</v>
      </c>
      <c r="AS2686">
        <v>860</v>
      </c>
      <c r="AT2686">
        <v>3</v>
      </c>
      <c r="AU2686">
        <v>15.511322623038394</v>
      </c>
      <c r="AV2686">
        <v>1.9557393342949553E-187</v>
      </c>
    </row>
    <row r="2687" spans="44:48" x14ac:dyDescent="0.2">
      <c r="AR2687">
        <v>2679</v>
      </c>
      <c r="AS2687">
        <v>861</v>
      </c>
      <c r="AT2687">
        <v>3</v>
      </c>
      <c r="AU2687">
        <v>15.542263154355739</v>
      </c>
      <c r="AV2687">
        <v>3.3539967835102807E-188</v>
      </c>
    </row>
    <row r="2688" spans="44:48" x14ac:dyDescent="0.2">
      <c r="AR2688">
        <v>2680</v>
      </c>
      <c r="AS2688">
        <v>862</v>
      </c>
      <c r="AT2688">
        <v>3</v>
      </c>
      <c r="AU2688">
        <v>15.573203685673084</v>
      </c>
      <c r="AV2688">
        <v>5.7312098985949038E-189</v>
      </c>
    </row>
    <row r="2689" spans="44:48" x14ac:dyDescent="0.2">
      <c r="AR2689">
        <v>2681</v>
      </c>
      <c r="AS2689">
        <v>863</v>
      </c>
      <c r="AT2689">
        <v>3</v>
      </c>
      <c r="AU2689">
        <v>15.604144216990433</v>
      </c>
      <c r="AV2689">
        <v>9.7580263811587744E-190</v>
      </c>
    </row>
    <row r="2690" spans="44:48" x14ac:dyDescent="0.2">
      <c r="AR2690">
        <v>2682</v>
      </c>
      <c r="AS2690">
        <v>864</v>
      </c>
      <c r="AT2690">
        <v>3</v>
      </c>
      <c r="AU2690">
        <v>15.635084748307778</v>
      </c>
      <c r="AV2690">
        <v>1.6554255838383513E-190</v>
      </c>
    </row>
    <row r="2691" spans="44:48" x14ac:dyDescent="0.2">
      <c r="AR2691">
        <v>2683</v>
      </c>
      <c r="AS2691">
        <v>865</v>
      </c>
      <c r="AT2691">
        <v>3</v>
      </c>
      <c r="AU2691">
        <v>15.666025279625126</v>
      </c>
      <c r="AV2691">
        <v>2.7982682105418185E-191</v>
      </c>
    </row>
    <row r="2692" spans="44:48" x14ac:dyDescent="0.2">
      <c r="AR2692">
        <v>2684</v>
      </c>
      <c r="AS2692">
        <v>866</v>
      </c>
      <c r="AT2692">
        <v>3</v>
      </c>
      <c r="AU2692">
        <v>15.696965810942471</v>
      </c>
      <c r="AV2692">
        <v>4.7130388089375927E-192</v>
      </c>
    </row>
    <row r="2693" spans="44:48" x14ac:dyDescent="0.2">
      <c r="AR2693">
        <v>2685</v>
      </c>
      <c r="AS2693">
        <v>867</v>
      </c>
      <c r="AT2693">
        <v>3</v>
      </c>
      <c r="AU2693">
        <v>15.727906342259816</v>
      </c>
      <c r="AV2693">
        <v>7.9094210298265948E-193</v>
      </c>
    </row>
    <row r="2694" spans="44:48" x14ac:dyDescent="0.2">
      <c r="AR2694">
        <v>2686</v>
      </c>
      <c r="AS2694">
        <v>868</v>
      </c>
      <c r="AT2694">
        <v>3</v>
      </c>
      <c r="AU2694">
        <v>15.758846873577165</v>
      </c>
      <c r="AV2694">
        <v>1.3225751967928692E-193</v>
      </c>
    </row>
    <row r="2695" spans="44:48" x14ac:dyDescent="0.2">
      <c r="AR2695">
        <v>2687</v>
      </c>
      <c r="AS2695">
        <v>869</v>
      </c>
      <c r="AT2695">
        <v>3</v>
      </c>
      <c r="AU2695">
        <v>15.789787404894509</v>
      </c>
      <c r="AV2695">
        <v>2.2035761058263267E-194</v>
      </c>
    </row>
    <row r="2696" spans="44:48" x14ac:dyDescent="0.2">
      <c r="AR2696">
        <v>2688</v>
      </c>
      <c r="AS2696">
        <v>870</v>
      </c>
      <c r="AT2696">
        <v>3</v>
      </c>
      <c r="AU2696">
        <v>15.820727936211854</v>
      </c>
      <c r="AV2696">
        <v>3.6582024511272319E-195</v>
      </c>
    </row>
    <row r="2697" spans="44:48" x14ac:dyDescent="0.2">
      <c r="AR2697">
        <v>2689</v>
      </c>
      <c r="AS2697">
        <v>871</v>
      </c>
      <c r="AT2697">
        <v>3</v>
      </c>
      <c r="AU2697">
        <v>15.851668467529203</v>
      </c>
      <c r="AV2697">
        <v>6.0511709112174302E-196</v>
      </c>
    </row>
    <row r="2698" spans="44:48" x14ac:dyDescent="0.2">
      <c r="AR2698">
        <v>2690</v>
      </c>
      <c r="AS2698">
        <v>872</v>
      </c>
      <c r="AT2698">
        <v>3</v>
      </c>
      <c r="AU2698">
        <v>15.882608998846548</v>
      </c>
      <c r="AV2698">
        <v>9.9733969271975107E-197</v>
      </c>
    </row>
    <row r="2699" spans="44:48" x14ac:dyDescent="0.2">
      <c r="AR2699">
        <v>2691</v>
      </c>
      <c r="AS2699">
        <v>873</v>
      </c>
      <c r="AT2699">
        <v>3</v>
      </c>
      <c r="AU2699">
        <v>15.913549530163893</v>
      </c>
      <c r="AV2699">
        <v>1.6378675896161772E-197</v>
      </c>
    </row>
    <row r="2700" spans="44:48" x14ac:dyDescent="0.2">
      <c r="AR2700">
        <v>2692</v>
      </c>
      <c r="AS2700">
        <v>874</v>
      </c>
      <c r="AT2700">
        <v>3</v>
      </c>
      <c r="AU2700">
        <v>15.944490061481241</v>
      </c>
      <c r="AV2700">
        <v>2.6800720876951807E-198</v>
      </c>
    </row>
    <row r="2701" spans="44:48" x14ac:dyDescent="0.2">
      <c r="AR2701">
        <v>2693</v>
      </c>
      <c r="AS2701">
        <v>875</v>
      </c>
      <c r="AT2701">
        <v>3</v>
      </c>
      <c r="AU2701">
        <v>15.975430592798586</v>
      </c>
      <c r="AV2701">
        <v>4.3696450818821618E-199</v>
      </c>
    </row>
    <row r="2702" spans="44:48" x14ac:dyDescent="0.2">
      <c r="AR2702">
        <v>2694</v>
      </c>
      <c r="AS2702">
        <v>876</v>
      </c>
      <c r="AT2702">
        <v>3</v>
      </c>
      <c r="AU2702">
        <v>16.006371124115937</v>
      </c>
      <c r="AV2702">
        <v>7.0986841396285386E-200</v>
      </c>
    </row>
    <row r="2703" spans="44:48" x14ac:dyDescent="0.2">
      <c r="AR2703">
        <v>2695</v>
      </c>
      <c r="AS2703">
        <v>877</v>
      </c>
      <c r="AT2703">
        <v>3</v>
      </c>
      <c r="AU2703">
        <v>16.037311655433278</v>
      </c>
      <c r="AV2703">
        <v>1.1490569199079549E-200</v>
      </c>
    </row>
    <row r="2704" spans="44:48" x14ac:dyDescent="0.2">
      <c r="AR2704">
        <v>2696</v>
      </c>
      <c r="AS2704">
        <v>878</v>
      </c>
      <c r="AT2704">
        <v>3</v>
      </c>
      <c r="AU2704">
        <v>16.068252186750627</v>
      </c>
      <c r="AV2704">
        <v>1.853263762052968E-201</v>
      </c>
    </row>
    <row r="2705" spans="44:48" x14ac:dyDescent="0.2">
      <c r="AR2705">
        <v>2697</v>
      </c>
      <c r="AS2705">
        <v>879</v>
      </c>
      <c r="AT2705">
        <v>3</v>
      </c>
      <c r="AU2705">
        <v>16.099192718067975</v>
      </c>
      <c r="AV2705">
        <v>2.978275893477905E-202</v>
      </c>
    </row>
    <row r="2706" spans="44:48" x14ac:dyDescent="0.2">
      <c r="AR2706">
        <v>2698</v>
      </c>
      <c r="AS2706">
        <v>880</v>
      </c>
      <c r="AT2706">
        <v>3</v>
      </c>
      <c r="AU2706">
        <v>16.130133249385317</v>
      </c>
      <c r="AV2706">
        <v>4.7689703237539674E-203</v>
      </c>
    </row>
    <row r="2707" spans="44:48" x14ac:dyDescent="0.2">
      <c r="AR2707">
        <v>2699</v>
      </c>
      <c r="AS2707">
        <v>881</v>
      </c>
      <c r="AT2707">
        <v>3</v>
      </c>
      <c r="AU2707">
        <v>16.161073780702665</v>
      </c>
      <c r="AV2707">
        <v>7.6088025592795292E-204</v>
      </c>
    </row>
    <row r="2708" spans="44:48" x14ac:dyDescent="0.2">
      <c r="AR2708">
        <v>2700</v>
      </c>
      <c r="AS2708">
        <v>882</v>
      </c>
      <c r="AT2708">
        <v>3</v>
      </c>
      <c r="AU2708">
        <v>16.192014312020014</v>
      </c>
      <c r="AV2708">
        <v>1.209595077392612E-204</v>
      </c>
    </row>
    <row r="2709" spans="44:48" x14ac:dyDescent="0.2">
      <c r="AR2709">
        <v>2701</v>
      </c>
      <c r="AS2709">
        <v>883</v>
      </c>
      <c r="AT2709">
        <v>3</v>
      </c>
      <c r="AU2709">
        <v>16.222954843337355</v>
      </c>
      <c r="AV2709">
        <v>1.9160008963474698E-205</v>
      </c>
    </row>
    <row r="2710" spans="44:48" x14ac:dyDescent="0.2">
      <c r="AR2710">
        <v>2702</v>
      </c>
      <c r="AS2710">
        <v>884</v>
      </c>
      <c r="AT2710">
        <v>3</v>
      </c>
      <c r="AU2710">
        <v>16.253895374654704</v>
      </c>
      <c r="AV2710">
        <v>3.0240112761759315E-206</v>
      </c>
    </row>
    <row r="2711" spans="44:48" x14ac:dyDescent="0.2">
      <c r="AR2711">
        <v>2703</v>
      </c>
      <c r="AS2711">
        <v>885</v>
      </c>
      <c r="AT2711">
        <v>3</v>
      </c>
      <c r="AU2711">
        <v>16.284835905972052</v>
      </c>
      <c r="AV2711">
        <v>4.7555757717918659E-207</v>
      </c>
    </row>
    <row r="2712" spans="44:48" x14ac:dyDescent="0.2">
      <c r="AR2712">
        <v>2704</v>
      </c>
      <c r="AS2712">
        <v>886</v>
      </c>
      <c r="AT2712">
        <v>3</v>
      </c>
      <c r="AU2712">
        <v>16.315776437289394</v>
      </c>
      <c r="AV2712">
        <v>7.4516904650994597E-208</v>
      </c>
    </row>
    <row r="2713" spans="44:48" x14ac:dyDescent="0.2">
      <c r="AR2713">
        <v>2705</v>
      </c>
      <c r="AS2713">
        <v>887</v>
      </c>
      <c r="AT2713">
        <v>3</v>
      </c>
      <c r="AU2713">
        <v>16.346716968606742</v>
      </c>
      <c r="AV2713">
        <v>1.1634253122649997E-208</v>
      </c>
    </row>
    <row r="2714" spans="44:48" x14ac:dyDescent="0.2">
      <c r="AR2714">
        <v>2706</v>
      </c>
      <c r="AS2714">
        <v>888</v>
      </c>
      <c r="AT2714">
        <v>3</v>
      </c>
      <c r="AU2714">
        <v>16.377657499924091</v>
      </c>
      <c r="AV2714">
        <v>1.809898463820556E-209</v>
      </c>
    </row>
    <row r="2715" spans="44:48" x14ac:dyDescent="0.2">
      <c r="AR2715">
        <v>2707</v>
      </c>
      <c r="AS2715">
        <v>889</v>
      </c>
      <c r="AT2715">
        <v>3</v>
      </c>
      <c r="AU2715">
        <v>16.408598031241432</v>
      </c>
      <c r="AV2715">
        <v>2.8054460126100902E-210</v>
      </c>
    </row>
    <row r="2716" spans="44:48" x14ac:dyDescent="0.2">
      <c r="AR2716">
        <v>2708</v>
      </c>
      <c r="AS2716">
        <v>890</v>
      </c>
      <c r="AT2716">
        <v>3</v>
      </c>
      <c r="AU2716">
        <v>16.439538562558781</v>
      </c>
      <c r="AV2716">
        <v>4.3329294826535569E-211</v>
      </c>
    </row>
    <row r="2717" spans="44:48" x14ac:dyDescent="0.2">
      <c r="AR2717">
        <v>2709</v>
      </c>
      <c r="AS2717">
        <v>891</v>
      </c>
      <c r="AT2717">
        <v>3</v>
      </c>
      <c r="AU2717">
        <v>16.470479093876129</v>
      </c>
      <c r="AV2717">
        <v>6.6679652468766388E-212</v>
      </c>
    </row>
    <row r="2718" spans="44:48" x14ac:dyDescent="0.2">
      <c r="AR2718">
        <v>2710</v>
      </c>
      <c r="AS2718">
        <v>892</v>
      </c>
      <c r="AT2718">
        <v>3</v>
      </c>
      <c r="AU2718">
        <v>16.501419625193471</v>
      </c>
      <c r="AV2718">
        <v>1.0224381253990054E-212</v>
      </c>
    </row>
    <row r="2719" spans="44:48" x14ac:dyDescent="0.2">
      <c r="AR2719">
        <v>2711</v>
      </c>
      <c r="AS2719">
        <v>893</v>
      </c>
      <c r="AT2719">
        <v>3</v>
      </c>
      <c r="AU2719">
        <v>16.532360156510819</v>
      </c>
      <c r="AV2719">
        <v>1.5621140707811163E-213</v>
      </c>
    </row>
    <row r="2720" spans="44:48" x14ac:dyDescent="0.2">
      <c r="AR2720">
        <v>2712</v>
      </c>
      <c r="AS2720">
        <v>894</v>
      </c>
      <c r="AT2720">
        <v>3</v>
      </c>
      <c r="AU2720">
        <v>16.563300687828168</v>
      </c>
      <c r="AV2720">
        <v>2.3780471129446454E-214</v>
      </c>
    </row>
    <row r="2721" spans="44:48" x14ac:dyDescent="0.2">
      <c r="AR2721">
        <v>2713</v>
      </c>
      <c r="AS2721">
        <v>895</v>
      </c>
      <c r="AT2721">
        <v>3</v>
      </c>
      <c r="AU2721">
        <v>16.594241219145516</v>
      </c>
      <c r="AV2721">
        <v>3.6071164722444645E-215</v>
      </c>
    </row>
    <row r="2722" spans="44:48" x14ac:dyDescent="0.2">
      <c r="AR2722">
        <v>2714</v>
      </c>
      <c r="AS2722">
        <v>896</v>
      </c>
      <c r="AT2722">
        <v>3</v>
      </c>
      <c r="AU2722">
        <v>16.625181750462858</v>
      </c>
      <c r="AV2722">
        <v>5.4516991091542084E-216</v>
      </c>
    </row>
    <row r="2723" spans="44:48" x14ac:dyDescent="0.2">
      <c r="AR2723">
        <v>2715</v>
      </c>
      <c r="AS2723">
        <v>897</v>
      </c>
      <c r="AT2723">
        <v>3</v>
      </c>
      <c r="AU2723">
        <v>16.656122281780206</v>
      </c>
      <c r="AV2723">
        <v>8.2098569852849291E-217</v>
      </c>
    </row>
    <row r="2724" spans="44:48" x14ac:dyDescent="0.2">
      <c r="AR2724">
        <v>2716</v>
      </c>
      <c r="AS2724">
        <v>898</v>
      </c>
      <c r="AT2724">
        <v>3</v>
      </c>
      <c r="AU2724">
        <v>16.687062813097555</v>
      </c>
      <c r="AV2724">
        <v>1.2318882323831392E-217</v>
      </c>
    </row>
    <row r="2725" spans="44:48" x14ac:dyDescent="0.2">
      <c r="AR2725">
        <v>2717</v>
      </c>
      <c r="AS2725">
        <v>899</v>
      </c>
      <c r="AT2725">
        <v>3</v>
      </c>
      <c r="AU2725">
        <v>16.718003344414896</v>
      </c>
      <c r="AV2725">
        <v>1.8417853859090289E-218</v>
      </c>
    </row>
    <row r="2726" spans="44:48" x14ac:dyDescent="0.2">
      <c r="AR2726">
        <v>2718</v>
      </c>
      <c r="AS2726">
        <v>900</v>
      </c>
      <c r="AT2726">
        <v>3</v>
      </c>
      <c r="AU2726">
        <v>16.748943875732245</v>
      </c>
      <c r="AV2726">
        <v>2.7437133714642615E-219</v>
      </c>
    </row>
    <row r="2727" spans="44:48" x14ac:dyDescent="0.2">
      <c r="AR2727">
        <v>2719</v>
      </c>
      <c r="AS2727">
        <v>901</v>
      </c>
      <c r="AT2727">
        <v>3</v>
      </c>
      <c r="AU2727">
        <v>16.779884407049593</v>
      </c>
      <c r="AV2727">
        <v>4.0725878206684511E-220</v>
      </c>
    </row>
    <row r="2728" spans="44:48" x14ac:dyDescent="0.2">
      <c r="AR2728">
        <v>2720</v>
      </c>
      <c r="AS2728">
        <v>902</v>
      </c>
      <c r="AT2728">
        <v>3</v>
      </c>
      <c r="AU2728">
        <v>16.810824938366935</v>
      </c>
      <c r="AV2728">
        <v>6.0232956066251804E-221</v>
      </c>
    </row>
    <row r="2729" spans="44:48" x14ac:dyDescent="0.2">
      <c r="AR2729">
        <v>2721</v>
      </c>
      <c r="AS2729">
        <v>903</v>
      </c>
      <c r="AT2729">
        <v>3</v>
      </c>
      <c r="AU2729">
        <v>16.841765469684283</v>
      </c>
      <c r="AV2729">
        <v>8.8762576173447078E-222</v>
      </c>
    </row>
    <row r="2730" spans="44:48" x14ac:dyDescent="0.2">
      <c r="AR2730">
        <v>2722</v>
      </c>
      <c r="AS2730">
        <v>904</v>
      </c>
      <c r="AT2730">
        <v>3</v>
      </c>
      <c r="AU2730">
        <v>16.872706001001632</v>
      </c>
      <c r="AV2730">
        <v>1.3033396881937085E-222</v>
      </c>
    </row>
    <row r="2731" spans="44:48" x14ac:dyDescent="0.2">
      <c r="AR2731">
        <v>2723</v>
      </c>
      <c r="AS2731">
        <v>905</v>
      </c>
      <c r="AT2731">
        <v>3</v>
      </c>
      <c r="AU2731">
        <v>16.903646532318973</v>
      </c>
      <c r="AV2731">
        <v>1.9068535657796271E-223</v>
      </c>
    </row>
    <row r="2732" spans="44:48" x14ac:dyDescent="0.2">
      <c r="AR2732">
        <v>2724</v>
      </c>
      <c r="AS2732">
        <v>906</v>
      </c>
      <c r="AT2732">
        <v>3</v>
      </c>
      <c r="AU2732">
        <v>16.934587063636322</v>
      </c>
      <c r="AV2732">
        <v>2.7797713051173593E-224</v>
      </c>
    </row>
    <row r="2733" spans="44:48" x14ac:dyDescent="0.2">
      <c r="AR2733">
        <v>2725</v>
      </c>
      <c r="AS2733">
        <v>907</v>
      </c>
      <c r="AT2733">
        <v>3</v>
      </c>
      <c r="AU2733">
        <v>16.96552759495367</v>
      </c>
      <c r="AV2733">
        <v>4.037688332563166E-225</v>
      </c>
    </row>
    <row r="2734" spans="44:48" x14ac:dyDescent="0.2">
      <c r="AR2734">
        <v>2726</v>
      </c>
      <c r="AS2734">
        <v>908</v>
      </c>
      <c r="AT2734">
        <v>3</v>
      </c>
      <c r="AU2734">
        <v>16.996468126271012</v>
      </c>
      <c r="AV2734">
        <v>5.8437081697068204E-226</v>
      </c>
    </row>
    <row r="2735" spans="44:48" x14ac:dyDescent="0.2">
      <c r="AR2735">
        <v>2727</v>
      </c>
      <c r="AS2735" t="e">
        <v>#N/A</v>
      </c>
      <c r="AT2735" t="e">
        <v>#N/A</v>
      </c>
      <c r="AU2735" t="e">
        <v>#N/A</v>
      </c>
      <c r="AV2735" t="e">
        <v>#N/A</v>
      </c>
    </row>
  </sheetData>
  <phoneticPr fontId="15" type="noConversion"/>
  <conditionalFormatting sqref="H54">
    <cfRule type="cellIs" dxfId="3" priority="13" operator="equal">
      <formula>"Ikke opfyldt"</formula>
    </cfRule>
  </conditionalFormatting>
  <conditionalFormatting sqref="A91:E140">
    <cfRule type="expression" dxfId="2" priority="4">
      <formula>ISBLANK($A91)</formula>
    </cfRule>
  </conditionalFormatting>
  <conditionalFormatting sqref="E55">
    <cfRule type="cellIs" dxfId="1" priority="3" operator="equal">
      <formula>"Nulhypotesen afvises"</formula>
    </cfRule>
  </conditionalFormatting>
  <conditionalFormatting sqref="K55">
    <cfRule type="cellIs" dxfId="0" priority="1" operator="equal">
      <formula>"Nulhypotesen afvises"</formula>
    </cfRule>
  </conditionalFormatting>
  <dataValidations count="4">
    <dataValidation type="decimal" allowBlank="1" showInputMessage="1" showErrorMessage="1" errorTitle="Vælg et konfidensniveau" error="Indtast et procenttal mellem 50% og 100%" promptTitle="Vælg et konfidensniveau" prompt="Indtast et procenttal mellem 50% og 100%" sqref="B5" xr:uid="{1322AC0E-596C-47A8-9EE8-60C1414BA879}">
      <formula1>0.5</formula1>
      <formula2>1</formula2>
    </dataValidation>
    <dataValidation allowBlank="1" showInputMessage="1" showErrorMessage="1" promptTitle="Kontrol af forudsætning" prompt="Viser Ikke opfyldt, hvis kontrollen har identificeret et problem med denne forudsætning. Viser Opfyldt, hvis kontrollen ikke har identificeret nogen problemer." sqref="H54" xr:uid="{DB168B59-2055-4AB1-B26F-3AE2BB2E834A}"/>
    <dataValidation allowBlank="1" showInputMessage="1" showErrorMessage="1" promptTitle="Kontrol af forudsætning" prompt="Denne forudsætning skal altid vurderes." sqref="B54 H55:H56" xr:uid="{3C8695CD-CF27-415B-AB95-EC51AA18D7EC}"/>
    <dataValidation allowBlank="1" showInputMessage="1" showErrorMessage="1" promptTitle="Kontrol af forudsætning" prompt="Denne forudsætning skal altid testes med en hypotesetest." sqref="B55" xr:uid="{2F0AB797-4326-477C-81D7-DDC9C11171BA}"/>
  </dataValidations>
  <hyperlinks>
    <hyperlink ref="B1" location="V_Manual_Sandsynlighed" display="Gå til Manual i brug af Sandsynlighed arket               " xr:uid="{36BB5471-1E63-4F9A-9B11-443535CB3292}"/>
  </hyperlinks>
  <pageMargins left="0.7" right="0.7" top="0.75" bottom="0.75" header="0.3" footer="0.3"/>
  <pageSetup paperSize="9" orientation="portrait" r:id="rId1"/>
  <drawing r:id="rId2"/>
  <legacyDrawing r:id="rId3"/>
  <extLst>
    <ext xmlns:x15="http://schemas.microsoft.com/office/spreadsheetml/2010/11/main" uri="{3A4CF648-6AED-40f4-86FF-DC5316D8AED3}">
      <x14:slicerList xmlns:x14="http://schemas.microsoft.com/office/spreadsheetml/2009/9/main">
        <x14:slicer r:id="rId4"/>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2A967B-75D2-4208-8398-DC1BE4D20F5B}">
  <sheetPr codeName="Sheet14"/>
  <dimension ref="A1:D65"/>
  <sheetViews>
    <sheetView showGridLines="0" workbookViewId="0"/>
  </sheetViews>
  <sheetFormatPr defaultRowHeight="14.25" x14ac:dyDescent="0.2"/>
  <cols>
    <col min="1" max="1" width="37.375" customWidth="1"/>
    <col min="2" max="2" width="35.25" bestFit="1" customWidth="1"/>
    <col min="3" max="3" width="22" customWidth="1"/>
    <col min="4" max="4" width="16.75" bestFit="1" customWidth="1"/>
    <col min="5" max="7" width="10" bestFit="1" customWidth="1"/>
  </cols>
  <sheetData>
    <row r="1" spans="1:4" ht="18.75" x14ac:dyDescent="0.2">
      <c r="A1" s="1" t="s">
        <v>964</v>
      </c>
    </row>
    <row r="3" spans="1:4" x14ac:dyDescent="0.2">
      <c r="A3" s="3" t="s">
        <v>966</v>
      </c>
    </row>
    <row r="4" spans="1:4" x14ac:dyDescent="0.2">
      <c r="A4" s="90" t="s">
        <v>967</v>
      </c>
      <c r="B4" s="98">
        <f>COUNT(ANOVA_valg[Tabel ID])</f>
        <v>50</v>
      </c>
    </row>
    <row r="5" spans="1:4" x14ac:dyDescent="0.2">
      <c r="A5" s="90" t="s">
        <v>280</v>
      </c>
      <c r="B5" s="98">
        <f>COUNTA(DataTitel_liste)</f>
        <v>4</v>
      </c>
    </row>
    <row r="6" spans="1:4" x14ac:dyDescent="0.2">
      <c r="A6" s="90" t="s">
        <v>897</v>
      </c>
      <c r="B6" s="98" t="str">
        <f>IF(B5&gt;B4,"Forlæng tabellen indtil der indgår "&amp;B5^2&amp;" rækker","Tabellen behøver ikke forlænges yderligere")</f>
        <v>Tabellen behøver ikke forlænges yderligere</v>
      </c>
    </row>
    <row r="7" spans="1:4" x14ac:dyDescent="0.2">
      <c r="A7" s="90"/>
      <c r="B7" s="98"/>
    </row>
    <row r="10" spans="1:4" x14ac:dyDescent="0.2">
      <c r="A10" t="s">
        <v>968</v>
      </c>
      <c r="B10" t="s">
        <v>893</v>
      </c>
      <c r="C10" t="s">
        <v>1054</v>
      </c>
      <c r="D10" t="s">
        <v>144</v>
      </c>
    </row>
    <row r="11" spans="1:4" x14ac:dyDescent="0.2">
      <c r="A11">
        <v>1</v>
      </c>
      <c r="B11">
        <f t="shared" ref="B11:B42" si="0">MOD(A11-1,$B$5)+1</f>
        <v>1</v>
      </c>
      <c r="C11" t="str" cm="1">
        <f t="array" ref="C11">INDEX(DataTitel_liste,ANOVA_valg[[#This Row],[Variabel ID]])</f>
        <v>Eksempel 1 (interval)</v>
      </c>
      <c r="D11">
        <f>_xlfn.AGGREGATE(2,5,ANOVA_valg[[#This Row],[Tabel ID]])</f>
        <v>1</v>
      </c>
    </row>
    <row r="12" spans="1:4" x14ac:dyDescent="0.2">
      <c r="A12">
        <v>2</v>
      </c>
      <c r="B12">
        <f t="shared" si="0"/>
        <v>2</v>
      </c>
      <c r="C12" t="str" cm="1">
        <f t="array" ref="C12">INDEX(DataTitel_liste,ANOVA_valg[[#This Row],[Variabel ID]])</f>
        <v>Eksempel 2 (interval)</v>
      </c>
      <c r="D12">
        <f>_xlfn.AGGREGATE(2,5,ANOVA_valg[[#This Row],[Tabel ID]])</f>
        <v>1</v>
      </c>
    </row>
    <row r="13" spans="1:4" hidden="1" x14ac:dyDescent="0.2">
      <c r="A13">
        <v>3</v>
      </c>
      <c r="B13">
        <f t="shared" si="0"/>
        <v>3</v>
      </c>
      <c r="C13" t="str" cm="1">
        <f t="array" ref="C13">INDEX(DataTitel_liste,ANOVA_valg[[#This Row],[Variabel ID]])</f>
        <v>Eksempel 3 (nominal)</v>
      </c>
      <c r="D13">
        <f>_xlfn.AGGREGATE(2,5,ANOVA_valg[[#This Row],[Tabel ID]])</f>
        <v>0</v>
      </c>
    </row>
    <row r="14" spans="1:4" x14ac:dyDescent="0.2">
      <c r="A14">
        <v>4</v>
      </c>
      <c r="B14">
        <f t="shared" si="0"/>
        <v>4</v>
      </c>
      <c r="C14" t="str" cm="1">
        <f t="array" ref="C14">INDEX(DataTitel_liste,ANOVA_valg[[#This Row],[Variabel ID]])</f>
        <v>Eksempel 4 (nominal)</v>
      </c>
      <c r="D14">
        <f>_xlfn.AGGREGATE(2,5,ANOVA_valg[[#This Row],[Tabel ID]])</f>
        <v>1</v>
      </c>
    </row>
    <row r="15" spans="1:4" x14ac:dyDescent="0.2">
      <c r="A15">
        <v>5</v>
      </c>
      <c r="B15">
        <f t="shared" si="0"/>
        <v>1</v>
      </c>
      <c r="C15" t="str" cm="1">
        <f t="array" ref="C15">INDEX(DataTitel_liste,ANOVA_valg[[#This Row],[Variabel ID]])</f>
        <v>Eksempel 1 (interval)</v>
      </c>
      <c r="D15">
        <f>_xlfn.AGGREGATE(2,5,ANOVA_valg[[#This Row],[Tabel ID]])</f>
        <v>1</v>
      </c>
    </row>
    <row r="16" spans="1:4" x14ac:dyDescent="0.2">
      <c r="A16">
        <v>6</v>
      </c>
      <c r="B16">
        <f t="shared" si="0"/>
        <v>2</v>
      </c>
      <c r="C16" t="str" cm="1">
        <f t="array" ref="C16">INDEX(DataTitel_liste,ANOVA_valg[[#This Row],[Variabel ID]])</f>
        <v>Eksempel 2 (interval)</v>
      </c>
      <c r="D16">
        <f>_xlfn.AGGREGATE(2,5,ANOVA_valg[[#This Row],[Tabel ID]])</f>
        <v>1</v>
      </c>
    </row>
    <row r="17" spans="1:4" hidden="1" x14ac:dyDescent="0.2">
      <c r="A17">
        <v>7</v>
      </c>
      <c r="B17">
        <f t="shared" si="0"/>
        <v>3</v>
      </c>
      <c r="C17" t="str" cm="1">
        <f t="array" ref="C17">INDEX(DataTitel_liste,ANOVA_valg[[#This Row],[Variabel ID]])</f>
        <v>Eksempel 3 (nominal)</v>
      </c>
      <c r="D17">
        <f>_xlfn.AGGREGATE(2,5,ANOVA_valg[[#This Row],[Tabel ID]])</f>
        <v>0</v>
      </c>
    </row>
    <row r="18" spans="1:4" x14ac:dyDescent="0.2">
      <c r="A18">
        <v>8</v>
      </c>
      <c r="B18">
        <f t="shared" si="0"/>
        <v>4</v>
      </c>
      <c r="C18" t="str" cm="1">
        <f t="array" ref="C18">INDEX(DataTitel_liste,ANOVA_valg[[#This Row],[Variabel ID]])</f>
        <v>Eksempel 4 (nominal)</v>
      </c>
      <c r="D18">
        <f>_xlfn.AGGREGATE(2,5,ANOVA_valg[[#This Row],[Tabel ID]])</f>
        <v>1</v>
      </c>
    </row>
    <row r="19" spans="1:4" x14ac:dyDescent="0.2">
      <c r="A19">
        <v>9</v>
      </c>
      <c r="B19">
        <f t="shared" si="0"/>
        <v>1</v>
      </c>
      <c r="C19" t="str" cm="1">
        <f t="array" ref="C19">INDEX(DataTitel_liste,ANOVA_valg[[#This Row],[Variabel ID]])</f>
        <v>Eksempel 1 (interval)</v>
      </c>
      <c r="D19">
        <f>_xlfn.AGGREGATE(2,5,ANOVA_valg[[#This Row],[Tabel ID]])</f>
        <v>1</v>
      </c>
    </row>
    <row r="20" spans="1:4" x14ac:dyDescent="0.2">
      <c r="A20">
        <v>10</v>
      </c>
      <c r="B20">
        <f t="shared" si="0"/>
        <v>2</v>
      </c>
      <c r="C20" t="str" cm="1">
        <f t="array" ref="C20">INDEX(DataTitel_liste,ANOVA_valg[[#This Row],[Variabel ID]])</f>
        <v>Eksempel 2 (interval)</v>
      </c>
      <c r="D20">
        <f>_xlfn.AGGREGATE(2,5,ANOVA_valg[[#This Row],[Tabel ID]])</f>
        <v>1</v>
      </c>
    </row>
    <row r="21" spans="1:4" hidden="1" x14ac:dyDescent="0.2">
      <c r="A21">
        <v>11</v>
      </c>
      <c r="B21">
        <f t="shared" si="0"/>
        <v>3</v>
      </c>
      <c r="C21" t="str" cm="1">
        <f t="array" ref="C21">INDEX(DataTitel_liste,ANOVA_valg[[#This Row],[Variabel ID]])</f>
        <v>Eksempel 3 (nominal)</v>
      </c>
      <c r="D21">
        <f>_xlfn.AGGREGATE(2,5,ANOVA_valg[[#This Row],[Tabel ID]])</f>
        <v>0</v>
      </c>
    </row>
    <row r="22" spans="1:4" x14ac:dyDescent="0.2">
      <c r="A22">
        <v>12</v>
      </c>
      <c r="B22">
        <f t="shared" si="0"/>
        <v>4</v>
      </c>
      <c r="C22" t="str" cm="1">
        <f t="array" ref="C22">INDEX(DataTitel_liste,ANOVA_valg[[#This Row],[Variabel ID]])</f>
        <v>Eksempel 4 (nominal)</v>
      </c>
      <c r="D22">
        <f>_xlfn.AGGREGATE(2,5,ANOVA_valg[[#This Row],[Tabel ID]])</f>
        <v>1</v>
      </c>
    </row>
    <row r="23" spans="1:4" x14ac:dyDescent="0.2">
      <c r="A23">
        <v>13</v>
      </c>
      <c r="B23">
        <f t="shared" si="0"/>
        <v>1</v>
      </c>
      <c r="C23" t="str" cm="1">
        <f t="array" ref="C23">INDEX(DataTitel_liste,ANOVA_valg[[#This Row],[Variabel ID]])</f>
        <v>Eksempel 1 (interval)</v>
      </c>
      <c r="D23">
        <f>_xlfn.AGGREGATE(2,5,ANOVA_valg[[#This Row],[Tabel ID]])</f>
        <v>1</v>
      </c>
    </row>
    <row r="24" spans="1:4" x14ac:dyDescent="0.2">
      <c r="A24">
        <v>14</v>
      </c>
      <c r="B24">
        <f t="shared" si="0"/>
        <v>2</v>
      </c>
      <c r="C24" t="str" cm="1">
        <f t="array" ref="C24">INDEX(DataTitel_liste,ANOVA_valg[[#This Row],[Variabel ID]])</f>
        <v>Eksempel 2 (interval)</v>
      </c>
      <c r="D24">
        <f>_xlfn.AGGREGATE(2,5,ANOVA_valg[[#This Row],[Tabel ID]])</f>
        <v>1</v>
      </c>
    </row>
    <row r="25" spans="1:4" hidden="1" x14ac:dyDescent="0.2">
      <c r="A25">
        <v>15</v>
      </c>
      <c r="B25">
        <f t="shared" si="0"/>
        <v>3</v>
      </c>
      <c r="C25" t="str" cm="1">
        <f t="array" ref="C25">INDEX(DataTitel_liste,ANOVA_valg[[#This Row],[Variabel ID]])</f>
        <v>Eksempel 3 (nominal)</v>
      </c>
      <c r="D25">
        <f>_xlfn.AGGREGATE(2,5,ANOVA_valg[[#This Row],[Tabel ID]])</f>
        <v>0</v>
      </c>
    </row>
    <row r="26" spans="1:4" x14ac:dyDescent="0.2">
      <c r="A26">
        <v>16</v>
      </c>
      <c r="B26" s="171">
        <f t="shared" si="0"/>
        <v>4</v>
      </c>
      <c r="C26" t="str" cm="1">
        <f t="array" ref="C26">INDEX(DataTitel_liste,ANOVA_valg[[#This Row],[Variabel ID]])</f>
        <v>Eksempel 4 (nominal)</v>
      </c>
      <c r="D26" s="171">
        <f>_xlfn.AGGREGATE(2,5,ANOVA_valg[[#This Row],[Tabel ID]])</f>
        <v>1</v>
      </c>
    </row>
    <row r="27" spans="1:4" x14ac:dyDescent="0.2">
      <c r="A27">
        <v>17</v>
      </c>
      <c r="B27" s="171">
        <f t="shared" si="0"/>
        <v>1</v>
      </c>
      <c r="C27" t="str" cm="1">
        <f t="array" ref="C27">INDEX(DataTitel_liste,ANOVA_valg[[#This Row],[Variabel ID]])</f>
        <v>Eksempel 1 (interval)</v>
      </c>
      <c r="D27" s="171">
        <f>_xlfn.AGGREGATE(2,5,ANOVA_valg[[#This Row],[Tabel ID]])</f>
        <v>1</v>
      </c>
    </row>
    <row r="28" spans="1:4" x14ac:dyDescent="0.2">
      <c r="A28">
        <v>18</v>
      </c>
      <c r="B28" s="171">
        <f t="shared" si="0"/>
        <v>2</v>
      </c>
      <c r="C28" t="str" cm="1">
        <f t="array" ref="C28">INDEX(DataTitel_liste,ANOVA_valg[[#This Row],[Variabel ID]])</f>
        <v>Eksempel 2 (interval)</v>
      </c>
      <c r="D28" s="171">
        <f>_xlfn.AGGREGATE(2,5,ANOVA_valg[[#This Row],[Tabel ID]])</f>
        <v>1</v>
      </c>
    </row>
    <row r="29" spans="1:4" hidden="1" x14ac:dyDescent="0.2">
      <c r="A29">
        <v>19</v>
      </c>
      <c r="B29" s="171">
        <f t="shared" si="0"/>
        <v>3</v>
      </c>
      <c r="C29" t="str" cm="1">
        <f t="array" ref="C29">INDEX(DataTitel_liste,ANOVA_valg[[#This Row],[Variabel ID]])</f>
        <v>Eksempel 3 (nominal)</v>
      </c>
      <c r="D29" s="171">
        <f>_xlfn.AGGREGATE(2,5,ANOVA_valg[[#This Row],[Tabel ID]])</f>
        <v>0</v>
      </c>
    </row>
    <row r="30" spans="1:4" x14ac:dyDescent="0.2">
      <c r="A30">
        <v>20</v>
      </c>
      <c r="B30" s="171">
        <f t="shared" si="0"/>
        <v>4</v>
      </c>
      <c r="C30" t="str" cm="1">
        <f t="array" ref="C30">INDEX(DataTitel_liste,ANOVA_valg[[#This Row],[Variabel ID]])</f>
        <v>Eksempel 4 (nominal)</v>
      </c>
      <c r="D30" s="171">
        <f>_xlfn.AGGREGATE(2,5,ANOVA_valg[[#This Row],[Tabel ID]])</f>
        <v>1</v>
      </c>
    </row>
    <row r="31" spans="1:4" x14ac:dyDescent="0.2">
      <c r="A31">
        <v>21</v>
      </c>
      <c r="B31" s="171">
        <f t="shared" si="0"/>
        <v>1</v>
      </c>
      <c r="C31" t="str" cm="1">
        <f t="array" ref="C31">INDEX(DataTitel_liste,ANOVA_valg[[#This Row],[Variabel ID]])</f>
        <v>Eksempel 1 (interval)</v>
      </c>
      <c r="D31" s="171">
        <f>_xlfn.AGGREGATE(2,5,ANOVA_valg[[#This Row],[Tabel ID]])</f>
        <v>1</v>
      </c>
    </row>
    <row r="32" spans="1:4" x14ac:dyDescent="0.2">
      <c r="A32">
        <v>22</v>
      </c>
      <c r="B32" s="171">
        <f t="shared" si="0"/>
        <v>2</v>
      </c>
      <c r="C32" t="str" cm="1">
        <f t="array" ref="C32">INDEX(DataTitel_liste,ANOVA_valg[[#This Row],[Variabel ID]])</f>
        <v>Eksempel 2 (interval)</v>
      </c>
      <c r="D32" s="171">
        <f>_xlfn.AGGREGATE(2,5,ANOVA_valg[[#This Row],[Tabel ID]])</f>
        <v>1</v>
      </c>
    </row>
    <row r="33" spans="1:4" hidden="1" x14ac:dyDescent="0.2">
      <c r="A33">
        <v>23</v>
      </c>
      <c r="B33" s="171">
        <f t="shared" si="0"/>
        <v>3</v>
      </c>
      <c r="C33" t="str" cm="1">
        <f t="array" ref="C33">INDEX(DataTitel_liste,ANOVA_valg[[#This Row],[Variabel ID]])</f>
        <v>Eksempel 3 (nominal)</v>
      </c>
      <c r="D33" s="171">
        <f>_xlfn.AGGREGATE(2,5,ANOVA_valg[[#This Row],[Tabel ID]])</f>
        <v>0</v>
      </c>
    </row>
    <row r="34" spans="1:4" x14ac:dyDescent="0.2">
      <c r="A34">
        <v>24</v>
      </c>
      <c r="B34" s="171">
        <f t="shared" si="0"/>
        <v>4</v>
      </c>
      <c r="C34" t="str" cm="1">
        <f t="array" ref="C34">INDEX(DataTitel_liste,ANOVA_valg[[#This Row],[Variabel ID]])</f>
        <v>Eksempel 4 (nominal)</v>
      </c>
      <c r="D34" s="171">
        <f>_xlfn.AGGREGATE(2,5,ANOVA_valg[[#This Row],[Tabel ID]])</f>
        <v>1</v>
      </c>
    </row>
    <row r="35" spans="1:4" x14ac:dyDescent="0.2">
      <c r="A35">
        <v>25</v>
      </c>
      <c r="B35" s="171">
        <f t="shared" si="0"/>
        <v>1</v>
      </c>
      <c r="C35" t="str" cm="1">
        <f t="array" ref="C35">INDEX(DataTitel_liste,ANOVA_valg[[#This Row],[Variabel ID]])</f>
        <v>Eksempel 1 (interval)</v>
      </c>
      <c r="D35" s="171">
        <f>_xlfn.AGGREGATE(2,5,ANOVA_valg[[#This Row],[Tabel ID]])</f>
        <v>1</v>
      </c>
    </row>
    <row r="36" spans="1:4" x14ac:dyDescent="0.2">
      <c r="A36">
        <v>26</v>
      </c>
      <c r="B36" s="171">
        <f t="shared" si="0"/>
        <v>2</v>
      </c>
      <c r="C36" t="str" cm="1">
        <f t="array" ref="C36">INDEX(DataTitel_liste,ANOVA_valg[[#This Row],[Variabel ID]])</f>
        <v>Eksempel 2 (interval)</v>
      </c>
      <c r="D36" s="171">
        <f>_xlfn.AGGREGATE(2,5,ANOVA_valg[[#This Row],[Tabel ID]])</f>
        <v>1</v>
      </c>
    </row>
    <row r="37" spans="1:4" hidden="1" x14ac:dyDescent="0.2">
      <c r="A37">
        <v>27</v>
      </c>
      <c r="B37" s="171">
        <f t="shared" si="0"/>
        <v>3</v>
      </c>
      <c r="C37" t="str" cm="1">
        <f t="array" ref="C37">INDEX(DataTitel_liste,ANOVA_valg[[#This Row],[Variabel ID]])</f>
        <v>Eksempel 3 (nominal)</v>
      </c>
      <c r="D37" s="171">
        <f>_xlfn.AGGREGATE(2,5,ANOVA_valg[[#This Row],[Tabel ID]])</f>
        <v>0</v>
      </c>
    </row>
    <row r="38" spans="1:4" x14ac:dyDescent="0.2">
      <c r="A38">
        <v>28</v>
      </c>
      <c r="B38" s="171">
        <f t="shared" si="0"/>
        <v>4</v>
      </c>
      <c r="C38" t="str" cm="1">
        <f t="array" ref="C38">INDEX(DataTitel_liste,ANOVA_valg[[#This Row],[Variabel ID]])</f>
        <v>Eksempel 4 (nominal)</v>
      </c>
      <c r="D38" s="171">
        <f>_xlfn.AGGREGATE(2,5,ANOVA_valg[[#This Row],[Tabel ID]])</f>
        <v>1</v>
      </c>
    </row>
    <row r="39" spans="1:4" x14ac:dyDescent="0.2">
      <c r="A39">
        <v>29</v>
      </c>
      <c r="B39" s="171">
        <f t="shared" si="0"/>
        <v>1</v>
      </c>
      <c r="C39" t="str" cm="1">
        <f t="array" ref="C39">INDEX(DataTitel_liste,ANOVA_valg[[#This Row],[Variabel ID]])</f>
        <v>Eksempel 1 (interval)</v>
      </c>
      <c r="D39" s="171">
        <f>_xlfn.AGGREGATE(2,5,ANOVA_valg[[#This Row],[Tabel ID]])</f>
        <v>1</v>
      </c>
    </row>
    <row r="40" spans="1:4" x14ac:dyDescent="0.2">
      <c r="A40">
        <v>30</v>
      </c>
      <c r="B40" s="171">
        <f t="shared" si="0"/>
        <v>2</v>
      </c>
      <c r="C40" t="str" cm="1">
        <f t="array" ref="C40">INDEX(DataTitel_liste,ANOVA_valg[[#This Row],[Variabel ID]])</f>
        <v>Eksempel 2 (interval)</v>
      </c>
      <c r="D40" s="171">
        <f>_xlfn.AGGREGATE(2,5,ANOVA_valg[[#This Row],[Tabel ID]])</f>
        <v>1</v>
      </c>
    </row>
    <row r="41" spans="1:4" hidden="1" x14ac:dyDescent="0.2">
      <c r="A41">
        <v>31</v>
      </c>
      <c r="B41" s="171">
        <f t="shared" si="0"/>
        <v>3</v>
      </c>
      <c r="C41" t="str" cm="1">
        <f t="array" ref="C41">INDEX(DataTitel_liste,ANOVA_valg[[#This Row],[Variabel ID]])</f>
        <v>Eksempel 3 (nominal)</v>
      </c>
      <c r="D41" s="171">
        <f>_xlfn.AGGREGATE(2,5,ANOVA_valg[[#This Row],[Tabel ID]])</f>
        <v>0</v>
      </c>
    </row>
    <row r="42" spans="1:4" x14ac:dyDescent="0.2">
      <c r="A42">
        <v>32</v>
      </c>
      <c r="B42" s="171">
        <f t="shared" si="0"/>
        <v>4</v>
      </c>
      <c r="C42" t="str" cm="1">
        <f t="array" ref="C42">INDEX(DataTitel_liste,ANOVA_valg[[#This Row],[Variabel ID]])</f>
        <v>Eksempel 4 (nominal)</v>
      </c>
      <c r="D42" s="171">
        <f>_xlfn.AGGREGATE(2,5,ANOVA_valg[[#This Row],[Tabel ID]])</f>
        <v>1</v>
      </c>
    </row>
    <row r="43" spans="1:4" x14ac:dyDescent="0.2">
      <c r="A43">
        <v>33</v>
      </c>
      <c r="B43" s="171">
        <f t="shared" ref="B43:B60" si="1">MOD(A43-1,$B$5)+1</f>
        <v>1</v>
      </c>
      <c r="C43" t="str" cm="1">
        <f t="array" ref="C43">INDEX(DataTitel_liste,ANOVA_valg[[#This Row],[Variabel ID]])</f>
        <v>Eksempel 1 (interval)</v>
      </c>
      <c r="D43" s="171">
        <f>_xlfn.AGGREGATE(2,5,ANOVA_valg[[#This Row],[Tabel ID]])</f>
        <v>1</v>
      </c>
    </row>
    <row r="44" spans="1:4" x14ac:dyDescent="0.2">
      <c r="A44">
        <v>34</v>
      </c>
      <c r="B44" s="171">
        <f t="shared" si="1"/>
        <v>2</v>
      </c>
      <c r="C44" t="str" cm="1">
        <f t="array" ref="C44">INDEX(DataTitel_liste,ANOVA_valg[[#This Row],[Variabel ID]])</f>
        <v>Eksempel 2 (interval)</v>
      </c>
      <c r="D44" s="171">
        <f>_xlfn.AGGREGATE(2,5,ANOVA_valg[[#This Row],[Tabel ID]])</f>
        <v>1</v>
      </c>
    </row>
    <row r="45" spans="1:4" hidden="1" x14ac:dyDescent="0.2">
      <c r="A45">
        <v>35</v>
      </c>
      <c r="B45" s="171">
        <f t="shared" si="1"/>
        <v>3</v>
      </c>
      <c r="C45" t="str" cm="1">
        <f t="array" ref="C45">INDEX(DataTitel_liste,ANOVA_valg[[#This Row],[Variabel ID]])</f>
        <v>Eksempel 3 (nominal)</v>
      </c>
      <c r="D45" s="171">
        <f>_xlfn.AGGREGATE(2,5,ANOVA_valg[[#This Row],[Tabel ID]])</f>
        <v>0</v>
      </c>
    </row>
    <row r="46" spans="1:4" x14ac:dyDescent="0.2">
      <c r="A46">
        <v>36</v>
      </c>
      <c r="B46" s="171">
        <f t="shared" si="1"/>
        <v>4</v>
      </c>
      <c r="C46" t="str" cm="1">
        <f t="array" ref="C46">INDEX(DataTitel_liste,ANOVA_valg[[#This Row],[Variabel ID]])</f>
        <v>Eksempel 4 (nominal)</v>
      </c>
      <c r="D46" s="171">
        <f>_xlfn.AGGREGATE(2,5,ANOVA_valg[[#This Row],[Tabel ID]])</f>
        <v>1</v>
      </c>
    </row>
    <row r="47" spans="1:4" x14ac:dyDescent="0.2">
      <c r="A47">
        <v>37</v>
      </c>
      <c r="B47" s="171">
        <f t="shared" si="1"/>
        <v>1</v>
      </c>
      <c r="C47" t="str" cm="1">
        <f t="array" ref="C47">INDEX(DataTitel_liste,ANOVA_valg[[#This Row],[Variabel ID]])</f>
        <v>Eksempel 1 (interval)</v>
      </c>
      <c r="D47" s="171">
        <f>_xlfn.AGGREGATE(2,5,ANOVA_valg[[#This Row],[Tabel ID]])</f>
        <v>1</v>
      </c>
    </row>
    <row r="48" spans="1:4" x14ac:dyDescent="0.2">
      <c r="A48">
        <v>38</v>
      </c>
      <c r="B48" s="171">
        <f t="shared" si="1"/>
        <v>2</v>
      </c>
      <c r="C48" t="str" cm="1">
        <f t="array" ref="C48">INDEX(DataTitel_liste,ANOVA_valg[[#This Row],[Variabel ID]])</f>
        <v>Eksempel 2 (interval)</v>
      </c>
      <c r="D48" s="171">
        <f>_xlfn.AGGREGATE(2,5,ANOVA_valg[[#This Row],[Tabel ID]])</f>
        <v>1</v>
      </c>
    </row>
    <row r="49" spans="1:4" hidden="1" x14ac:dyDescent="0.2">
      <c r="A49">
        <v>39</v>
      </c>
      <c r="B49" s="171">
        <f t="shared" si="1"/>
        <v>3</v>
      </c>
      <c r="C49" t="str" cm="1">
        <f t="array" ref="C49">INDEX(DataTitel_liste,ANOVA_valg[[#This Row],[Variabel ID]])</f>
        <v>Eksempel 3 (nominal)</v>
      </c>
      <c r="D49" s="171">
        <f>_xlfn.AGGREGATE(2,5,ANOVA_valg[[#This Row],[Tabel ID]])</f>
        <v>0</v>
      </c>
    </row>
    <row r="50" spans="1:4" x14ac:dyDescent="0.2">
      <c r="A50">
        <v>40</v>
      </c>
      <c r="B50" s="171">
        <f t="shared" si="1"/>
        <v>4</v>
      </c>
      <c r="C50" t="str" cm="1">
        <f t="array" ref="C50">INDEX(DataTitel_liste,ANOVA_valg[[#This Row],[Variabel ID]])</f>
        <v>Eksempel 4 (nominal)</v>
      </c>
      <c r="D50" s="171">
        <f>_xlfn.AGGREGATE(2,5,ANOVA_valg[[#This Row],[Tabel ID]])</f>
        <v>1</v>
      </c>
    </row>
    <row r="51" spans="1:4" x14ac:dyDescent="0.2">
      <c r="A51">
        <v>41</v>
      </c>
      <c r="B51" s="171">
        <f t="shared" si="1"/>
        <v>1</v>
      </c>
      <c r="C51" t="str" cm="1">
        <f t="array" ref="C51">INDEX(DataTitel_liste,ANOVA_valg[[#This Row],[Variabel ID]])</f>
        <v>Eksempel 1 (interval)</v>
      </c>
      <c r="D51" s="171">
        <f>_xlfn.AGGREGATE(2,5,ANOVA_valg[[#This Row],[Tabel ID]])</f>
        <v>1</v>
      </c>
    </row>
    <row r="52" spans="1:4" x14ac:dyDescent="0.2">
      <c r="A52">
        <v>42</v>
      </c>
      <c r="B52" s="171">
        <f t="shared" si="1"/>
        <v>2</v>
      </c>
      <c r="C52" t="str" cm="1">
        <f t="array" ref="C52">INDEX(DataTitel_liste,ANOVA_valg[[#This Row],[Variabel ID]])</f>
        <v>Eksempel 2 (interval)</v>
      </c>
      <c r="D52" s="171">
        <f>_xlfn.AGGREGATE(2,5,ANOVA_valg[[#This Row],[Tabel ID]])</f>
        <v>1</v>
      </c>
    </row>
    <row r="53" spans="1:4" hidden="1" x14ac:dyDescent="0.2">
      <c r="A53">
        <v>43</v>
      </c>
      <c r="B53" s="171">
        <f t="shared" si="1"/>
        <v>3</v>
      </c>
      <c r="C53" t="str" cm="1">
        <f t="array" ref="C53">INDEX(DataTitel_liste,ANOVA_valg[[#This Row],[Variabel ID]])</f>
        <v>Eksempel 3 (nominal)</v>
      </c>
      <c r="D53" s="171">
        <f>_xlfn.AGGREGATE(2,5,ANOVA_valg[[#This Row],[Tabel ID]])</f>
        <v>0</v>
      </c>
    </row>
    <row r="54" spans="1:4" x14ac:dyDescent="0.2">
      <c r="A54">
        <v>44</v>
      </c>
      <c r="B54" s="171">
        <f t="shared" si="1"/>
        <v>4</v>
      </c>
      <c r="C54" t="str" cm="1">
        <f t="array" ref="C54">INDEX(DataTitel_liste,ANOVA_valg[[#This Row],[Variabel ID]])</f>
        <v>Eksempel 4 (nominal)</v>
      </c>
      <c r="D54" s="171">
        <f>_xlfn.AGGREGATE(2,5,ANOVA_valg[[#This Row],[Tabel ID]])</f>
        <v>1</v>
      </c>
    </row>
    <row r="55" spans="1:4" x14ac:dyDescent="0.2">
      <c r="A55">
        <v>45</v>
      </c>
      <c r="B55" s="171">
        <f t="shared" si="1"/>
        <v>1</v>
      </c>
      <c r="C55" t="str" cm="1">
        <f t="array" ref="C55">INDEX(DataTitel_liste,ANOVA_valg[[#This Row],[Variabel ID]])</f>
        <v>Eksempel 1 (interval)</v>
      </c>
      <c r="D55" s="171">
        <f>_xlfn.AGGREGATE(2,5,ANOVA_valg[[#This Row],[Tabel ID]])</f>
        <v>1</v>
      </c>
    </row>
    <row r="56" spans="1:4" x14ac:dyDescent="0.2">
      <c r="A56">
        <v>46</v>
      </c>
      <c r="B56" s="171">
        <f t="shared" si="1"/>
        <v>2</v>
      </c>
      <c r="C56" t="str" cm="1">
        <f t="array" ref="C56">INDEX(DataTitel_liste,ANOVA_valg[[#This Row],[Variabel ID]])</f>
        <v>Eksempel 2 (interval)</v>
      </c>
      <c r="D56" s="171">
        <f>_xlfn.AGGREGATE(2,5,ANOVA_valg[[#This Row],[Tabel ID]])</f>
        <v>1</v>
      </c>
    </row>
    <row r="57" spans="1:4" hidden="1" x14ac:dyDescent="0.2">
      <c r="A57">
        <v>47</v>
      </c>
      <c r="B57" s="171">
        <f t="shared" si="1"/>
        <v>3</v>
      </c>
      <c r="C57" t="str" cm="1">
        <f t="array" ref="C57">INDEX(DataTitel_liste,ANOVA_valg[[#This Row],[Variabel ID]])</f>
        <v>Eksempel 3 (nominal)</v>
      </c>
      <c r="D57" s="171">
        <f>_xlfn.AGGREGATE(2,5,ANOVA_valg[[#This Row],[Tabel ID]])</f>
        <v>0</v>
      </c>
    </row>
    <row r="58" spans="1:4" x14ac:dyDescent="0.2">
      <c r="A58">
        <v>48</v>
      </c>
      <c r="B58" s="171">
        <f t="shared" si="1"/>
        <v>4</v>
      </c>
      <c r="C58" t="str" cm="1">
        <f t="array" ref="C58">INDEX(DataTitel_liste,ANOVA_valg[[#This Row],[Variabel ID]])</f>
        <v>Eksempel 4 (nominal)</v>
      </c>
      <c r="D58" s="171">
        <f>_xlfn.AGGREGATE(2,5,ANOVA_valg[[#This Row],[Tabel ID]])</f>
        <v>1</v>
      </c>
    </row>
    <row r="59" spans="1:4" x14ac:dyDescent="0.2">
      <c r="A59">
        <v>49</v>
      </c>
      <c r="B59" s="171">
        <f t="shared" si="1"/>
        <v>1</v>
      </c>
      <c r="C59" t="str" cm="1">
        <f t="array" ref="C59">INDEX(DataTitel_liste,ANOVA_valg[[#This Row],[Variabel ID]])</f>
        <v>Eksempel 1 (interval)</v>
      </c>
      <c r="D59" s="171">
        <f>_xlfn.AGGREGATE(2,5,ANOVA_valg[[#This Row],[Tabel ID]])</f>
        <v>1</v>
      </c>
    </row>
    <row r="60" spans="1:4" x14ac:dyDescent="0.2">
      <c r="A60">
        <v>50</v>
      </c>
      <c r="B60" s="171">
        <f t="shared" si="1"/>
        <v>2</v>
      </c>
      <c r="C60" t="str" cm="1">
        <f t="array" ref="C60">INDEX(DataTitel_liste,ANOVA_valg[[#This Row],[Variabel ID]])</f>
        <v>Eksempel 2 (interval)</v>
      </c>
      <c r="D60" s="171">
        <f>_xlfn.AGGREGATE(2,5,ANOVA_valg[[#This Row],[Tabel ID]])</f>
        <v>1</v>
      </c>
    </row>
    <row r="61" spans="1:4" x14ac:dyDescent="0.2">
      <c r="B61" s="171"/>
      <c r="C61" s="171"/>
      <c r="D61" s="171"/>
    </row>
    <row r="62" spans="1:4" x14ac:dyDescent="0.2">
      <c r="B62" s="171"/>
      <c r="C62" s="171"/>
      <c r="D62" s="171"/>
    </row>
    <row r="63" spans="1:4" x14ac:dyDescent="0.2">
      <c r="B63" s="171"/>
      <c r="C63" s="171"/>
      <c r="D63" s="171"/>
    </row>
    <row r="64" spans="1:4" x14ac:dyDescent="0.2">
      <c r="B64" s="171"/>
      <c r="C64" s="171"/>
      <c r="D64" s="171"/>
    </row>
    <row r="65" spans="2:4" x14ac:dyDescent="0.2">
      <c r="B65" s="171"/>
      <c r="C65" s="171"/>
      <c r="D65" s="171"/>
    </row>
  </sheetData>
  <phoneticPr fontId="15" type="noConversion"/>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F208A5-27E6-4A6A-B311-782EF1348BEA}">
  <sheetPr codeName="Sheet15">
    <tabColor theme="3"/>
  </sheetPr>
  <dimension ref="A1:AE43"/>
  <sheetViews>
    <sheetView showGridLines="0" zoomScaleNormal="100" workbookViewId="0"/>
  </sheetViews>
  <sheetFormatPr defaultRowHeight="14.25" x14ac:dyDescent="0.2"/>
  <cols>
    <col min="1" max="2" width="40.875" style="30" customWidth="1"/>
    <col min="3" max="3" width="33.625" style="30" bestFit="1" customWidth="1"/>
    <col min="4" max="4" width="33.625" style="30" customWidth="1"/>
    <col min="5" max="5" width="12.625" style="30" customWidth="1"/>
    <col min="6" max="7" width="40.875" style="30" customWidth="1"/>
    <col min="8" max="9" width="33.625" style="30" customWidth="1"/>
    <col min="10" max="10" width="12.625" style="30" customWidth="1"/>
    <col min="11" max="12" width="40.875" style="30" customWidth="1"/>
    <col min="13" max="14" width="33.625" style="30" customWidth="1"/>
    <col min="15" max="15" width="12.625" customWidth="1"/>
    <col min="16" max="16" width="20.75" style="30" customWidth="1"/>
    <col min="17" max="17" width="19.25" style="30" customWidth="1"/>
    <col min="18" max="18" width="1.625" style="30" customWidth="1"/>
    <col min="19" max="21" width="16" style="30" customWidth="1"/>
    <col min="22" max="22" width="28.875" style="30" customWidth="1"/>
    <col min="23" max="23" width="16" style="30" customWidth="1"/>
    <col min="24" max="24" width="28.875" style="30" customWidth="1"/>
    <col min="25" max="25" width="12.625" customWidth="1"/>
    <col min="26" max="26" width="39.75" bestFit="1" customWidth="1"/>
    <col min="27" max="27" width="18.875" bestFit="1" customWidth="1"/>
    <col min="28" max="28" width="31.375" bestFit="1" customWidth="1"/>
    <col min="29" max="29" width="33" bestFit="1" customWidth="1"/>
    <col min="30" max="30" width="12.25" bestFit="1" customWidth="1"/>
    <col min="31" max="31" width="28.25" bestFit="1" customWidth="1"/>
  </cols>
  <sheetData>
    <row r="1" spans="1:31" s="1" customFormat="1" ht="18.75" x14ac:dyDescent="0.2">
      <c r="A1" s="101" t="s">
        <v>374</v>
      </c>
      <c r="B1" s="105" t="s">
        <v>375</v>
      </c>
    </row>
    <row r="2" spans="1:31" x14ac:dyDescent="0.2">
      <c r="A2" s="4" t="s">
        <v>404</v>
      </c>
      <c r="B2"/>
      <c r="C2"/>
      <c r="D2"/>
      <c r="E2"/>
      <c r="F2"/>
      <c r="G2"/>
      <c r="H2"/>
      <c r="I2"/>
      <c r="J2"/>
      <c r="K2"/>
      <c r="L2"/>
      <c r="M2"/>
      <c r="N2"/>
      <c r="P2"/>
      <c r="Q2"/>
      <c r="R2"/>
      <c r="S2"/>
      <c r="T2"/>
      <c r="U2"/>
      <c r="V2"/>
      <c r="W2"/>
      <c r="X2"/>
    </row>
    <row r="3" spans="1:31" x14ac:dyDescent="0.2">
      <c r="A3"/>
      <c r="B3"/>
      <c r="C3"/>
      <c r="D3"/>
      <c r="E3"/>
      <c r="F3"/>
      <c r="G3"/>
      <c r="H3"/>
      <c r="I3"/>
      <c r="J3"/>
      <c r="K3"/>
      <c r="L3"/>
      <c r="M3"/>
      <c r="N3"/>
      <c r="P3"/>
      <c r="Q3"/>
      <c r="R3"/>
      <c r="S3"/>
      <c r="T3"/>
      <c r="U3"/>
      <c r="V3"/>
      <c r="W3"/>
      <c r="X3"/>
    </row>
    <row r="4" spans="1:31" x14ac:dyDescent="0.2">
      <c r="A4" s="3" t="s">
        <v>392</v>
      </c>
      <c r="B4"/>
      <c r="C4"/>
      <c r="D4"/>
      <c r="E4"/>
      <c r="F4" s="3" t="s">
        <v>376</v>
      </c>
      <c r="G4"/>
      <c r="H4"/>
      <c r="I4"/>
      <c r="J4"/>
      <c r="K4" s="3" t="s">
        <v>534</v>
      </c>
      <c r="L4"/>
      <c r="M4"/>
      <c r="N4"/>
      <c r="P4" s="3" t="s">
        <v>389</v>
      </c>
      <c r="Q4"/>
      <c r="R4"/>
      <c r="S4"/>
      <c r="T4"/>
      <c r="U4"/>
      <c r="V4"/>
      <c r="W4"/>
      <c r="X4"/>
      <c r="Z4" s="3" t="s">
        <v>536</v>
      </c>
    </row>
    <row r="5" spans="1:31" x14ac:dyDescent="0.2">
      <c r="A5" s="90" t="s">
        <v>136</v>
      </c>
      <c r="B5" s="57" t="s">
        <v>371</v>
      </c>
      <c r="C5" s="57" t="s">
        <v>528</v>
      </c>
      <c r="D5" s="57" t="s">
        <v>529</v>
      </c>
      <c r="E5"/>
      <c r="F5" s="90" t="s">
        <v>136</v>
      </c>
      <c r="G5" s="57" t="s">
        <v>371</v>
      </c>
      <c r="H5" s="57" t="s">
        <v>528</v>
      </c>
      <c r="I5" s="57" t="s">
        <v>529</v>
      </c>
      <c r="J5"/>
      <c r="K5" s="90" t="s">
        <v>136</v>
      </c>
      <c r="L5" s="57" t="s">
        <v>371</v>
      </c>
      <c r="M5" s="57" t="s">
        <v>528</v>
      </c>
      <c r="N5" s="57" t="s">
        <v>529</v>
      </c>
      <c r="P5" s="90" t="s">
        <v>136</v>
      </c>
      <c r="Q5" s="90" t="s">
        <v>352</v>
      </c>
      <c r="R5"/>
      <c r="S5"/>
      <c r="T5"/>
      <c r="U5"/>
      <c r="V5"/>
      <c r="W5"/>
      <c r="X5"/>
      <c r="Z5" s="90" t="s">
        <v>136</v>
      </c>
      <c r="AA5" s="57" t="s">
        <v>371</v>
      </c>
      <c r="AB5" s="57" t="s">
        <v>528</v>
      </c>
      <c r="AC5" s="57" t="s">
        <v>529</v>
      </c>
    </row>
    <row r="6" spans="1:31" x14ac:dyDescent="0.2">
      <c r="A6" s="57" t="s">
        <v>0</v>
      </c>
      <c r="B6" s="74">
        <v>1</v>
      </c>
      <c r="C6" s="99">
        <f ca="1">AVERAGE(_xlfn.ANCHORARRAY(B14))</f>
        <v>1</v>
      </c>
      <c r="D6" s="99">
        <f ca="1">AVERAGE(_xlfn.ANCHORARRAY(D14))</f>
        <v>1.7063183146595797</v>
      </c>
      <c r="E6"/>
      <c r="F6" s="57" t="s">
        <v>335</v>
      </c>
      <c r="G6" s="75">
        <v>0.5</v>
      </c>
      <c r="H6" s="95">
        <f ca="1">COUNTIF(_xlfn.ANCHORARRAY(G14),TRUE)/COUNTA(_xlfn.ANCHORARRAY(G14))</f>
        <v>0.5</v>
      </c>
      <c r="I6" s="95">
        <f ca="1">COUNTIF(_xlfn.ANCHORARRAY(I14),TRUE)/COUNTA(_xlfn.ANCHORARRAY(I14))</f>
        <v>0.66666666666666663</v>
      </c>
      <c r="J6"/>
      <c r="K6" s="57" t="s">
        <v>45</v>
      </c>
      <c r="L6" s="74">
        <v>1</v>
      </c>
      <c r="M6" s="99">
        <f ca="1">MIN(_xlfn.ANCHORARRAY(L14))</f>
        <v>1</v>
      </c>
      <c r="N6" s="93">
        <f ca="1">MIN(_xlfn.ANCHORARRAY(N14))</f>
        <v>1</v>
      </c>
      <c r="P6" s="58" t="s">
        <v>522</v>
      </c>
      <c r="Q6" s="98">
        <f>SUM(Gen_input_ordinal[Ønsket frekvens])</f>
        <v>14</v>
      </c>
      <c r="R6"/>
      <c r="S6"/>
      <c r="T6"/>
      <c r="U6"/>
      <c r="V6"/>
      <c r="W6"/>
      <c r="X6"/>
      <c r="Z6" s="57" t="s">
        <v>0</v>
      </c>
      <c r="AA6" s="74">
        <v>1</v>
      </c>
      <c r="AB6" s="99">
        <f ca="1">AVERAGE(_xlfn.ANCHORARRAY(AC14))</f>
        <v>1.0000000000000004</v>
      </c>
      <c r="AC6" s="99">
        <f ca="1">AVERAGE(_xlfn.ANCHORARRAY(AE14))</f>
        <v>1.0714965282035402</v>
      </c>
    </row>
    <row r="7" spans="1:31" x14ac:dyDescent="0.2">
      <c r="A7" s="57" t="s">
        <v>1</v>
      </c>
      <c r="B7" s="74">
        <v>1</v>
      </c>
      <c r="C7" s="99">
        <f ca="1">_xlfn.STDEV.P(_xlfn.ANCHORARRAY(B14))</f>
        <v>0.99999999999999978</v>
      </c>
      <c r="D7" s="99">
        <f ca="1">_xlfn.STDEV.S(_xlfn.ANCHORARRAY(D14))</f>
        <v>0.54030767090569243</v>
      </c>
      <c r="E7"/>
      <c r="F7" s="90" t="s">
        <v>523</v>
      </c>
      <c r="G7" s="92">
        <f>VALUE(RIGHT(TEXT(G6,"?????????????/?????????????"),LEN(TEXT(G6,"?????????????/?????????????"))-FIND("/",TEXT(G6,"?????????????/?????????????"))))</f>
        <v>2</v>
      </c>
      <c r="H7" s="92"/>
      <c r="I7" s="92"/>
      <c r="J7"/>
      <c r="K7" s="57" t="s">
        <v>393</v>
      </c>
      <c r="L7" s="74">
        <v>2</v>
      </c>
      <c r="M7" s="99">
        <f ca="1">MAX(_xlfn.ANCHORARRAY(L14))</f>
        <v>2</v>
      </c>
      <c r="N7" s="93">
        <f ca="1">MAX(_xlfn.ANCHORARRAY(N14))</f>
        <v>1.75</v>
      </c>
      <c r="P7" s="57" t="s">
        <v>413</v>
      </c>
      <c r="Q7" s="154">
        <v>3</v>
      </c>
      <c r="R7"/>
      <c r="S7"/>
      <c r="T7"/>
      <c r="U7"/>
      <c r="V7"/>
      <c r="W7"/>
      <c r="X7"/>
      <c r="Z7" s="57" t="s">
        <v>1</v>
      </c>
      <c r="AA7" s="74">
        <v>1</v>
      </c>
      <c r="AB7" s="99">
        <f ca="1">_xlfn.STDEV.P(_xlfn.ANCHORARRAY(AC14))</f>
        <v>0.99999999999999956</v>
      </c>
      <c r="AC7" s="99">
        <f ca="1">_xlfn.STDEV.S(_xlfn.ANCHORARRAY(AE14))</f>
        <v>1.5673617236295272</v>
      </c>
    </row>
    <row r="8" spans="1:31" x14ac:dyDescent="0.2">
      <c r="A8" s="57" t="s">
        <v>522</v>
      </c>
      <c r="B8" s="88">
        <v>5</v>
      </c>
      <c r="C8" s="155">
        <f ca="1">COUNT(_xlfn.ANCHORARRAY(B14))</f>
        <v>5</v>
      </c>
      <c r="D8" s="92"/>
      <c r="E8"/>
      <c r="F8" s="57" t="s">
        <v>522</v>
      </c>
      <c r="G8" s="154">
        <v>5</v>
      </c>
      <c r="H8" s="155">
        <f>ROUNDUP(G8/G7,0)*G7</f>
        <v>6</v>
      </c>
      <c r="I8" s="92"/>
      <c r="J8"/>
      <c r="K8" s="57" t="s">
        <v>522</v>
      </c>
      <c r="L8" s="154">
        <v>5</v>
      </c>
      <c r="M8" s="92"/>
      <c r="N8" s="92"/>
      <c r="P8"/>
      <c r="Q8"/>
      <c r="R8"/>
      <c r="S8"/>
      <c r="T8"/>
      <c r="U8"/>
      <c r="V8"/>
      <c r="W8"/>
      <c r="X8"/>
      <c r="Z8" s="57" t="s">
        <v>522</v>
      </c>
      <c r="AA8" s="88">
        <v>10</v>
      </c>
      <c r="AB8" s="155">
        <f ca="1">COUNT(_xlfn.ANCHORARRAY(AC14))</f>
        <v>10</v>
      </c>
      <c r="AC8" s="92"/>
    </row>
    <row r="9" spans="1:31" x14ac:dyDescent="0.2">
      <c r="A9" s="57" t="s">
        <v>413</v>
      </c>
      <c r="B9" s="88">
        <v>3</v>
      </c>
      <c r="C9" s="92"/>
      <c r="D9" s="92"/>
      <c r="E9"/>
      <c r="F9" s="57" t="s">
        <v>413</v>
      </c>
      <c r="G9" s="154">
        <v>3</v>
      </c>
      <c r="H9" s="92"/>
      <c r="I9" s="92"/>
      <c r="J9"/>
      <c r="K9" s="57" t="s">
        <v>413</v>
      </c>
      <c r="L9" s="154">
        <v>3</v>
      </c>
      <c r="M9" s="92"/>
      <c r="N9" s="92"/>
      <c r="P9"/>
      <c r="Q9"/>
      <c r="R9"/>
      <c r="S9"/>
      <c r="T9"/>
      <c r="U9"/>
      <c r="V9"/>
      <c r="W9"/>
      <c r="X9"/>
      <c r="Z9" s="57" t="s">
        <v>413</v>
      </c>
      <c r="AA9" s="88">
        <v>3</v>
      </c>
      <c r="AB9" s="92"/>
      <c r="AC9" s="92"/>
    </row>
    <row r="10" spans="1:31" x14ac:dyDescent="0.2">
      <c r="A10"/>
      <c r="B10"/>
      <c r="C10"/>
      <c r="D10"/>
      <c r="E10"/>
      <c r="F10"/>
      <c r="G10"/>
      <c r="H10"/>
      <c r="I10"/>
      <c r="J10"/>
      <c r="K10"/>
      <c r="L10"/>
      <c r="M10"/>
      <c r="N10"/>
      <c r="Y10" s="30"/>
      <c r="Z10" s="90" t="s">
        <v>539</v>
      </c>
      <c r="AA10" s="2" t="b">
        <v>0</v>
      </c>
      <c r="AB10" s="92">
        <f ca="1">_xlfn.SKEW.P(_xlfn.ANCHORARRAY(AC14))</f>
        <v>5.2254287323557788E-2</v>
      </c>
      <c r="AC10" s="92">
        <f ca="1">SKEW(_xlfn.ANCHORARRAY(AE14))</f>
        <v>5.8031091230112075E-2</v>
      </c>
    </row>
    <row r="11" spans="1:31" x14ac:dyDescent="0.2">
      <c r="A11"/>
      <c r="B11"/>
      <c r="C11"/>
      <c r="D11"/>
      <c r="E11"/>
      <c r="F11"/>
      <c r="G11"/>
      <c r="H11"/>
      <c r="I11"/>
      <c r="J11"/>
      <c r="K11"/>
      <c r="L11"/>
      <c r="M11"/>
      <c r="N11"/>
      <c r="Y11" s="30"/>
      <c r="Z11" s="30"/>
      <c r="AA11" s="30"/>
      <c r="AB11" s="30"/>
      <c r="AC11" s="30"/>
      <c r="AD11" s="30"/>
    </row>
    <row r="12" spans="1:31" x14ac:dyDescent="0.2">
      <c r="A12" s="3" t="s">
        <v>525</v>
      </c>
      <c r="B12"/>
      <c r="C12"/>
      <c r="D12"/>
      <c r="E12"/>
      <c r="F12" s="3" t="s">
        <v>526</v>
      </c>
      <c r="G12"/>
      <c r="H12"/>
      <c r="I12"/>
      <c r="J12"/>
      <c r="K12" s="3" t="s">
        <v>535</v>
      </c>
      <c r="L12"/>
      <c r="M12"/>
      <c r="N12"/>
      <c r="P12" s="3" t="s">
        <v>389</v>
      </c>
      <c r="S12" s="3" t="s">
        <v>538</v>
      </c>
      <c r="Y12" s="30"/>
      <c r="Z12" s="3" t="s">
        <v>540</v>
      </c>
    </row>
    <row r="13" spans="1:31" x14ac:dyDescent="0.2">
      <c r="A13" s="112" t="s">
        <v>370</v>
      </c>
      <c r="B13" s="157" t="s">
        <v>521</v>
      </c>
      <c r="C13" s="112" t="s">
        <v>370</v>
      </c>
      <c r="D13" s="157" t="s">
        <v>527</v>
      </c>
      <c r="E13"/>
      <c r="F13" s="112" t="s">
        <v>370</v>
      </c>
      <c r="G13" s="157" t="s">
        <v>524</v>
      </c>
      <c r="H13" s="112" t="s">
        <v>370</v>
      </c>
      <c r="I13" s="157" t="s">
        <v>527</v>
      </c>
      <c r="J13"/>
      <c r="K13" s="112" t="s">
        <v>370</v>
      </c>
      <c r="L13" s="157" t="s">
        <v>530</v>
      </c>
      <c r="M13" s="112" t="s">
        <v>370</v>
      </c>
      <c r="N13" s="157" t="s">
        <v>527</v>
      </c>
      <c r="P13" s="30" t="s">
        <v>391</v>
      </c>
      <c r="Q13" s="30" t="s">
        <v>390</v>
      </c>
      <c r="R13"/>
      <c r="S13" s="113" t="s">
        <v>532</v>
      </c>
      <c r="T13" s="113" t="s">
        <v>531</v>
      </c>
      <c r="U13" s="112" t="s">
        <v>370</v>
      </c>
      <c r="V13" s="157" t="s">
        <v>533</v>
      </c>
      <c r="W13" s="112" t="s">
        <v>370</v>
      </c>
      <c r="X13" s="157" t="s">
        <v>527</v>
      </c>
      <c r="Z13" s="112" t="s">
        <v>370</v>
      </c>
      <c r="AA13" s="112" t="s">
        <v>370</v>
      </c>
      <c r="AB13" s="112" t="s">
        <v>537</v>
      </c>
      <c r="AC13" s="157" t="s">
        <v>541</v>
      </c>
      <c r="AD13" s="112" t="s">
        <v>370</v>
      </c>
      <c r="AE13" s="157" t="s">
        <v>527</v>
      </c>
    </row>
    <row r="14" spans="1:31" x14ac:dyDescent="0.2">
      <c r="A14" s="156" cm="1">
        <f t="array" aca="1" ref="A14:A18" ca="1">_xlfn.RANDARRAY(B8)</f>
        <v>0.6475149197380472</v>
      </c>
      <c r="B14" s="156" cm="1">
        <f t="array" aca="1" ref="B14:B18" ca="1">_xlfn.ANCHORARRAY(A14)*($B$7/_xlfn.STDEV.P(_xlfn.ANCHORARRAY(A14)))+$B$6-AVERAGE(_xlfn.ANCHORARRAY(A14))*($B$7/_xlfn.STDEV.P(_xlfn.ANCHORARRAY(A14)))</f>
        <v>1.593892609224135</v>
      </c>
      <c r="C14" s="156" cm="1">
        <f t="array" aca="1" ref="C14:C18" ca="1">_xlfn.RANDARRAY(B8)</f>
        <v>0.2286371106981111</v>
      </c>
      <c r="D14" s="156" cm="1">
        <f t="array" aca="1" ref="D14:D16" ca="1">_xlfn._xlws.FILTER(_xlfn.SORTBY(_xlfn.ANCHORARRAY(B14),_xlfn.ANCHORARRAY(C14)),_xlfn.SEQUENCE(B8)&lt;=B9)</f>
        <v>2.2939939833931926</v>
      </c>
      <c r="E14"/>
      <c r="F14" s="156" cm="1">
        <f t="array" aca="1" ref="F14:F19" ca="1">_xlfn.RANDARRAY(H8)</f>
        <v>0.36369695740331487</v>
      </c>
      <c r="G14" s="156" t="b" cm="1">
        <f t="array" aca="1" ref="G14:G19" ca="1">_xlfn.ANCHORARRAY(F14)&lt;=_xlfn.PERCENTILE.INC(_xlfn.ANCHORARRAY(F14),G6)</f>
        <v>1</v>
      </c>
      <c r="H14" s="156" cm="1">
        <f t="array" aca="1" ref="H14:H19" ca="1">_xlfn.RANDARRAY(H8)</f>
        <v>0.96999661420293237</v>
      </c>
      <c r="I14" s="156" t="b" cm="1">
        <f t="array" aca="1" ref="I14:I16" ca="1">_xlfn._xlws.FILTER(_xlfn.SORTBY(_xlfn.ANCHORARRAY(G14),_xlfn.ANCHORARRAY(H14)),_xlfn.SEQUENCE(H8)&lt;=G9)</f>
        <v>1</v>
      </c>
      <c r="J14"/>
      <c r="K14" s="156" cm="1">
        <f t="array" aca="1" ref="K14:K18" ca="1">_xlfn.RANDARRAY(L8)</f>
        <v>0.76713458861954065</v>
      </c>
      <c r="L14" s="156" cm="1">
        <f t="array" aca="1" ref="L14:L18" ca="1">L6+(_xlfn.XMATCH(_xlfn.ANCHORARRAY(K14),_xlfn._xlws.SORT(_xlfn.ANCHORARRAY(K14)))-1)/(COUNT(_xlfn.ANCHORARRAY(K14))-1)*(L7-L6)</f>
        <v>1.75</v>
      </c>
      <c r="M14" s="156" cm="1">
        <f t="array" aca="1" ref="M14:M18" ca="1">_xlfn.RANDARRAY(L8)</f>
        <v>7.383337301900994E-3</v>
      </c>
      <c r="N14" s="156" cm="1">
        <f t="array" aca="1" ref="N14:N16" ca="1">_xlfn._xlws.FILTER(_xlfn.SORTBY(_xlfn.ANCHORARRAY(L14),_xlfn.ANCHORARRAY(M14)),_xlfn.SEQUENCE(L8)&lt;=L9)</f>
        <v>1.75</v>
      </c>
      <c r="P14" s="30">
        <v>0.5</v>
      </c>
      <c r="Q14" s="30">
        <v>1</v>
      </c>
      <c r="R14"/>
      <c r="S14" s="159" cm="1">
        <f t="array" ref="S14:S21">_xlfn.SEQUENCE(COUNTA(Gen_input_ordinal[Observationsværdi]))</f>
        <v>1</v>
      </c>
      <c r="T14" s="159" cm="1">
        <f t="array" ref="T14:T21">SUMIF(_xlfn.ANCHORARRAY(S14),"&lt;="&amp;_xlfn.ANCHORARRAY(S14),Gen_input_ordinal[Ønsket frekvens])</f>
        <v>1</v>
      </c>
      <c r="U14" s="159" cm="1">
        <f t="array" aca="1" ref="U14:U27" ca="1">_xlfn.RANDARRAY(SUM(Gen_input_ordinal[Ønsket frekvens]))</f>
        <v>0.18513444729991857</v>
      </c>
      <c r="V14" s="159" cm="1">
        <f t="array" aca="1" ref="V14:V27" ca="1">INDEX(Gen_input_ordinal[Observationsværdi],_xlfn.XMATCH(_xlfn.XMATCH(_xlfn.ANCHORARRAY(U14),_xlfn._xlws.SORT(_xlfn.ANCHORARRAY(U14))),_xlfn.ANCHORARRAY(T14),1))</f>
        <v>1.5</v>
      </c>
      <c r="W14" s="159" cm="1">
        <f t="array" aca="1" ref="W14:W27" ca="1">_xlfn.RANDARRAY(Q6)</f>
        <v>0.76129766587558478</v>
      </c>
      <c r="X14" s="159" cm="1">
        <f t="array" aca="1" ref="X14:X16" ca="1">_xlfn._xlws.FILTER(_xlfn.SORTBY(_xlfn.ANCHORARRAY(V14),_xlfn.ANCHORARRAY(W14)),_xlfn.SEQUENCE(Q6)&lt;=Q7)</f>
        <v>0.5</v>
      </c>
      <c r="Z14" s="159" cm="1">
        <f t="array" aca="1" ref="Z14:Z23" ca="1">_xlfn.RANDARRAY(AA8)</f>
        <v>0.21224063222321465</v>
      </c>
      <c r="AA14" s="159" cm="1">
        <f t="array" aca="1" ref="AA14:AA23" ca="1">_xlfn.RANDARRAY(AA8)</f>
        <v>0.84539269561332309</v>
      </c>
      <c r="AB14" s="159" cm="1">
        <f t="array" aca="1" ref="AB14:AB23" ca="1">IF(_xlfn.ANCHORARRAY(Z14)&gt;_xlfn.ANCHORARRAY(AA14),_xlfn.ANCHORARRAY(Z14),_xlfn.ANCHORARRAY(AA14))</f>
        <v>0.84539269561332309</v>
      </c>
      <c r="AC14" s="159" cm="1">
        <f t="array" aca="1" ref="AC14:AC23" ca="1">IF($AA$10,AA6*2,0)+IF($AA$10,-1,1)*(_xlfn.ANCHORARRAY(AB14)*($AA$7/_xlfn.STDEV.P(_xlfn.ANCHORARRAY(AB14)))+$AA$6-AVERAGE(_xlfn.ANCHORARRAY(AB14))*($AA$7/_xlfn.STDEV.P(_xlfn.ANCHORARRAY(AB14))))</f>
        <v>2.096495173961908</v>
      </c>
      <c r="AD14" s="159" cm="1">
        <f t="array" aca="1" ref="AD14:AD23" ca="1">_xlfn.RANDARRAY(AA8)</f>
        <v>0.53545789941725008</v>
      </c>
      <c r="AE14" s="159" cm="1">
        <f t="array" aca="1" ref="AE14:AE16" ca="1">_xlfn._xlws.FILTER(_xlfn.SORTBY(_xlfn.ANCHORARRAY(AC14),_xlfn.ANCHORARRAY(AD14)),_xlfn.SEQUENCE(AA8)&lt;=AA9)</f>
        <v>2.6488683423585533</v>
      </c>
    </row>
    <row r="15" spans="1:31" x14ac:dyDescent="0.2">
      <c r="A15" s="156">
        <f ca="1"/>
        <v>0.2207237327597793</v>
      </c>
      <c r="B15" s="156">
        <f ca="1"/>
        <v>-0.64020698275333565</v>
      </c>
      <c r="C15" s="156">
        <f ca="1"/>
        <v>0.43345741241011337</v>
      </c>
      <c r="D15" s="156">
        <f ca="1"/>
        <v>1.593892609224135</v>
      </c>
      <c r="E15"/>
      <c r="F15" s="156">
        <f ca="1"/>
        <v>0.87784953691218215</v>
      </c>
      <c r="G15" s="156" t="b">
        <f ca="1"/>
        <v>0</v>
      </c>
      <c r="H15" s="156">
        <f ca="1"/>
        <v>0.48200696441676372</v>
      </c>
      <c r="I15" s="156" t="b">
        <f ca="1"/>
        <v>1</v>
      </c>
      <c r="J15"/>
      <c r="K15" s="156">
        <f ca="1"/>
        <v>0.93376796806886886</v>
      </c>
      <c r="L15" s="156">
        <f ca="1"/>
        <v>2</v>
      </c>
      <c r="M15" s="156">
        <f ca="1"/>
        <v>0.87761993517397952</v>
      </c>
      <c r="N15" s="156">
        <f ca="1"/>
        <v>1</v>
      </c>
      <c r="P15" s="30">
        <v>1.5</v>
      </c>
      <c r="Q15" s="30">
        <v>2</v>
      </c>
      <c r="R15"/>
      <c r="S15" s="156">
        <v>2</v>
      </c>
      <c r="T15" s="156">
        <v>3</v>
      </c>
      <c r="U15" s="156">
        <f ca="1"/>
        <v>0.5685361784590286</v>
      </c>
      <c r="V15" s="156">
        <f ca="1"/>
        <v>4.5</v>
      </c>
      <c r="W15" s="156">
        <f ca="1"/>
        <v>0.99426573633523141</v>
      </c>
      <c r="X15" s="156">
        <f ca="1"/>
        <v>6.5</v>
      </c>
      <c r="Z15" s="156">
        <f ca="1"/>
        <v>0.30841139241357407</v>
      </c>
      <c r="AA15" s="156">
        <f ca="1"/>
        <v>0.23021345317774045</v>
      </c>
      <c r="AB15" s="156">
        <f ca="1"/>
        <v>0.30841139241357407</v>
      </c>
      <c r="AC15" s="156">
        <f ca="1"/>
        <v>-0.48565954266102906</v>
      </c>
      <c r="AD15" s="156">
        <f ca="1"/>
        <v>0.29390569384731102</v>
      </c>
      <c r="AE15" s="156">
        <f ca="1"/>
        <v>1.0512807849130965</v>
      </c>
    </row>
    <row r="16" spans="1:31" x14ac:dyDescent="0.2">
      <c r="A16" s="156">
        <f ca="1"/>
        <v>0.44260304208177947</v>
      </c>
      <c r="B16" s="156">
        <f ca="1"/>
        <v>0.52125203877459603</v>
      </c>
      <c r="C16" s="156">
        <f ca="1"/>
        <v>0.73501952324593423</v>
      </c>
      <c r="D16" s="156">
        <f ca="1"/>
        <v>1.231068351361412</v>
      </c>
      <c r="E16"/>
      <c r="F16" s="156">
        <f ca="1"/>
        <v>0.64405092393317465</v>
      </c>
      <c r="G16" s="156" t="b">
        <f ca="1"/>
        <v>0</v>
      </c>
      <c r="H16" s="156">
        <f ca="1"/>
        <v>0.88902323237263103</v>
      </c>
      <c r="I16" s="156" t="b">
        <f ca="1"/>
        <v>0</v>
      </c>
      <c r="J16"/>
      <c r="K16" s="156">
        <f ca="1"/>
        <v>0.22018627730516949</v>
      </c>
      <c r="L16" s="156">
        <f ca="1"/>
        <v>1.25</v>
      </c>
      <c r="M16" s="156">
        <f ca="1"/>
        <v>0.60382327457442386</v>
      </c>
      <c r="N16" s="156">
        <f ca="1"/>
        <v>1.5</v>
      </c>
      <c r="P16" s="30">
        <v>2.5</v>
      </c>
      <c r="Q16" s="30">
        <v>1</v>
      </c>
      <c r="R16"/>
      <c r="S16" s="156">
        <v>3</v>
      </c>
      <c r="T16" s="156">
        <v>4</v>
      </c>
      <c r="U16" s="156">
        <f ca="1"/>
        <v>2.2013967321400818E-2</v>
      </c>
      <c r="V16" s="156">
        <f ca="1"/>
        <v>0.5</v>
      </c>
      <c r="W16" s="156">
        <f ca="1"/>
        <v>0.10688512350951274</v>
      </c>
      <c r="X16" s="156">
        <f ca="1"/>
        <v>7.5</v>
      </c>
      <c r="Z16" s="156">
        <f ca="1"/>
        <v>0.2734555549330302</v>
      </c>
      <c r="AA16" s="156">
        <f ca="1"/>
        <v>0.78663838005963171</v>
      </c>
      <c r="AB16" s="156">
        <f ca="1"/>
        <v>0.78663838005963171</v>
      </c>
      <c r="AC16" s="156">
        <f ca="1"/>
        <v>1.8139662811961914</v>
      </c>
      <c r="AD16" s="156">
        <f ca="1"/>
        <v>0.51473846173865456</v>
      </c>
      <c r="AE16" s="156">
        <f ca="1"/>
        <v>-0.48565954266102906</v>
      </c>
    </row>
    <row r="17" spans="1:31" x14ac:dyDescent="0.2">
      <c r="A17" s="156">
        <f ca="1"/>
        <v>0.57820279227792892</v>
      </c>
      <c r="B17" s="156">
        <f ca="1"/>
        <v>1.231068351361412</v>
      </c>
      <c r="C17" s="156">
        <f ca="1"/>
        <v>0.33203923347915354</v>
      </c>
      <c r="D17" s="156"/>
      <c r="E17"/>
      <c r="F17" s="156">
        <f ca="1"/>
        <v>0.17398815537633672</v>
      </c>
      <c r="G17" s="156" t="b">
        <f ca="1"/>
        <v>1</v>
      </c>
      <c r="H17" s="156">
        <f ca="1"/>
        <v>0.40962696643138519</v>
      </c>
      <c r="I17" s="156"/>
      <c r="J17"/>
      <c r="K17" s="156">
        <f ca="1"/>
        <v>0.19083727740106493</v>
      </c>
      <c r="L17" s="156">
        <f ca="1"/>
        <v>1</v>
      </c>
      <c r="M17" s="156">
        <f ca="1"/>
        <v>0.39174012794482094</v>
      </c>
      <c r="N17" s="156"/>
      <c r="P17" s="30">
        <v>3.5</v>
      </c>
      <c r="Q17" s="30">
        <v>2</v>
      </c>
      <c r="R17"/>
      <c r="S17" s="156">
        <v>4</v>
      </c>
      <c r="T17" s="156">
        <v>6</v>
      </c>
      <c r="U17" s="156">
        <f ca="1"/>
        <v>0.90746810718253346</v>
      </c>
      <c r="V17" s="156">
        <f ca="1"/>
        <v>6.5</v>
      </c>
      <c r="W17" s="156">
        <f ca="1"/>
        <v>0.21345628590378696</v>
      </c>
      <c r="X17" s="156"/>
      <c r="Z17" s="156">
        <f ca="1"/>
        <v>0.50815060287191094</v>
      </c>
      <c r="AA17" s="156">
        <f ca="1"/>
        <v>0.42029085583382453</v>
      </c>
      <c r="AB17" s="156">
        <f ca="1"/>
        <v>0.50815060287191094</v>
      </c>
      <c r="AC17" s="156">
        <f ca="1"/>
        <v>0.47481625287645901</v>
      </c>
      <c r="AD17" s="156">
        <f ca="1"/>
        <v>0.57210044970464047</v>
      </c>
      <c r="AE17" s="156"/>
    </row>
    <row r="18" spans="1:31" x14ac:dyDescent="0.2">
      <c r="A18" s="156">
        <f ca="1"/>
        <v>0.78125877679781874</v>
      </c>
      <c r="B18" s="156">
        <f ca="1"/>
        <v>2.2939939833931926</v>
      </c>
      <c r="C18" s="156">
        <f ca="1"/>
        <v>0.11457968920795247</v>
      </c>
      <c r="D18" s="156"/>
      <c r="E18"/>
      <c r="F18" s="156">
        <f ca="1"/>
        <v>0.56817094954773473</v>
      </c>
      <c r="G18" s="156" t="b">
        <f ca="1"/>
        <v>0</v>
      </c>
      <c r="H18" s="156">
        <f ca="1"/>
        <v>0.63434891973180818</v>
      </c>
      <c r="I18" s="156"/>
      <c r="J18"/>
      <c r="K18" s="156">
        <f ca="1"/>
        <v>0.34674497771353519</v>
      </c>
      <c r="L18" s="156">
        <f ca="1"/>
        <v>1.5</v>
      </c>
      <c r="M18" s="156">
        <f ca="1"/>
        <v>0.58533522018765516</v>
      </c>
      <c r="N18" s="156"/>
      <c r="P18" s="30">
        <v>4.5</v>
      </c>
      <c r="Q18" s="30">
        <v>3</v>
      </c>
      <c r="R18"/>
      <c r="S18" s="156">
        <v>5</v>
      </c>
      <c r="T18" s="156">
        <v>9</v>
      </c>
      <c r="U18" s="156">
        <f ca="1"/>
        <v>0.21686715005275659</v>
      </c>
      <c r="V18" s="156">
        <f ca="1"/>
        <v>3.5</v>
      </c>
      <c r="W18" s="156">
        <f ca="1"/>
        <v>0.87929853882435283</v>
      </c>
      <c r="X18" s="156"/>
      <c r="Z18" s="156">
        <f ca="1"/>
        <v>5.3018548237260932E-2</v>
      </c>
      <c r="AA18" s="156">
        <f ca="1"/>
        <v>0.58189182757075075</v>
      </c>
      <c r="AB18" s="156">
        <f ca="1"/>
        <v>0.58189182757075075</v>
      </c>
      <c r="AC18" s="156">
        <f ca="1"/>
        <v>0.82941193438537519</v>
      </c>
      <c r="AD18" s="156">
        <f ca="1"/>
        <v>0.35144361425485848</v>
      </c>
      <c r="AE18" s="156"/>
    </row>
    <row r="19" spans="1:31" x14ac:dyDescent="0.2">
      <c r="A19" s="156"/>
      <c r="B19" s="156"/>
      <c r="C19" s="156"/>
      <c r="D19" s="156"/>
      <c r="E19"/>
      <c r="F19" s="156">
        <f ca="1"/>
        <v>4.4873488192906485E-2</v>
      </c>
      <c r="G19" s="156" t="b">
        <f ca="1"/>
        <v>1</v>
      </c>
      <c r="H19" s="156">
        <f ca="1"/>
        <v>0.4073281451464732</v>
      </c>
      <c r="I19" s="156"/>
      <c r="J19"/>
      <c r="K19" s="156"/>
      <c r="L19" s="156"/>
      <c r="M19" s="156"/>
      <c r="N19" s="156"/>
      <c r="P19" s="158">
        <v>5.5</v>
      </c>
      <c r="Q19" s="158">
        <v>2</v>
      </c>
      <c r="R19"/>
      <c r="S19" s="156">
        <v>6</v>
      </c>
      <c r="T19" s="156">
        <v>11</v>
      </c>
      <c r="U19" s="156">
        <f ca="1"/>
        <v>0.7670844008153439</v>
      </c>
      <c r="V19" s="156">
        <f ca="1"/>
        <v>5.5</v>
      </c>
      <c r="W19" s="156">
        <f ca="1"/>
        <v>0.45648346742333268</v>
      </c>
      <c r="X19" s="156"/>
      <c r="Z19" s="156">
        <f ca="1"/>
        <v>0.20166613311883852</v>
      </c>
      <c r="AA19" s="156">
        <f ca="1"/>
        <v>0.35027198773650725</v>
      </c>
      <c r="AB19" s="156">
        <f ca="1"/>
        <v>0.35027198773650725</v>
      </c>
      <c r="AC19" s="156">
        <f ca="1"/>
        <v>-0.28436662424903014</v>
      </c>
      <c r="AD19" s="156">
        <f ca="1"/>
        <v>0.57804377038274191</v>
      </c>
      <c r="AE19" s="156"/>
    </row>
    <row r="20" spans="1:31" x14ac:dyDescent="0.2">
      <c r="A20" s="156"/>
      <c r="B20" s="156"/>
      <c r="C20" s="156"/>
      <c r="D20" s="156"/>
      <c r="E20"/>
      <c r="F20" s="156"/>
      <c r="G20" s="156"/>
      <c r="H20" s="156"/>
      <c r="I20" s="156"/>
      <c r="J20"/>
      <c r="K20" s="156"/>
      <c r="L20" s="156"/>
      <c r="M20" s="156"/>
      <c r="N20" s="156"/>
      <c r="P20" s="158">
        <v>6.5</v>
      </c>
      <c r="Q20" s="158">
        <v>2</v>
      </c>
      <c r="R20"/>
      <c r="S20" s="156">
        <v>7</v>
      </c>
      <c r="T20" s="156">
        <v>13</v>
      </c>
      <c r="U20" s="156">
        <f ca="1"/>
        <v>0.56776124808783712</v>
      </c>
      <c r="V20" s="156">
        <f ca="1"/>
        <v>4.5</v>
      </c>
      <c r="W20" s="156">
        <f ca="1"/>
        <v>0.67815922444270837</v>
      </c>
      <c r="X20" s="156"/>
      <c r="Z20" s="156">
        <f ca="1"/>
        <v>0.14757063383269919</v>
      </c>
      <c r="AA20" s="156">
        <f ca="1"/>
        <v>0.62803136511620905</v>
      </c>
      <c r="AB20" s="156">
        <f ca="1"/>
        <v>0.62803136511620905</v>
      </c>
      <c r="AC20" s="156">
        <f ca="1"/>
        <v>1.0512807849130965</v>
      </c>
      <c r="AD20" s="156">
        <f ca="1"/>
        <v>7.0082608010203717E-2</v>
      </c>
      <c r="AE20" s="156"/>
    </row>
    <row r="21" spans="1:31" x14ac:dyDescent="0.2">
      <c r="A21" s="156"/>
      <c r="B21" s="156"/>
      <c r="C21" s="156"/>
      <c r="D21" s="156"/>
      <c r="E21"/>
      <c r="F21" s="156"/>
      <c r="G21" s="156"/>
      <c r="H21" s="156"/>
      <c r="I21" s="156"/>
      <c r="J21"/>
      <c r="K21" s="156"/>
      <c r="L21" s="156"/>
      <c r="M21" s="156"/>
      <c r="N21" s="156"/>
      <c r="P21" s="158">
        <v>7.5</v>
      </c>
      <c r="Q21" s="158">
        <v>1</v>
      </c>
      <c r="R21"/>
      <c r="S21" s="156">
        <v>8</v>
      </c>
      <c r="T21" s="156">
        <v>14</v>
      </c>
      <c r="U21" s="156">
        <f ca="1"/>
        <v>0.21160994157924384</v>
      </c>
      <c r="V21" s="156">
        <f ca="1"/>
        <v>2.5</v>
      </c>
      <c r="W21" s="156">
        <f ca="1"/>
        <v>0.90914298222247658</v>
      </c>
      <c r="X21" s="156"/>
      <c r="Z21" s="156">
        <f ca="1"/>
        <v>0.96026345138512714</v>
      </c>
      <c r="AA21" s="156">
        <f ca="1"/>
        <v>0.60755886309030083</v>
      </c>
      <c r="AB21" s="156">
        <f ca="1"/>
        <v>0.96026345138512714</v>
      </c>
      <c r="AC21" s="156">
        <f ca="1"/>
        <v>2.6488683423585533</v>
      </c>
      <c r="AD21" s="156">
        <f ca="1"/>
        <v>3.3459758079867452E-2</v>
      </c>
      <c r="AE21" s="156"/>
    </row>
    <row r="22" spans="1:31" x14ac:dyDescent="0.2">
      <c r="A22" s="156"/>
      <c r="B22" s="156"/>
      <c r="C22" s="156"/>
      <c r="D22" s="156"/>
      <c r="E22"/>
      <c r="F22" s="156"/>
      <c r="G22" s="156"/>
      <c r="H22" s="156"/>
      <c r="I22" s="156"/>
      <c r="J22"/>
      <c r="K22" s="156"/>
      <c r="L22" s="156"/>
      <c r="M22" s="156"/>
      <c r="N22" s="156"/>
      <c r="P22" s="158"/>
      <c r="Q22" s="158"/>
      <c r="R22"/>
      <c r="S22" s="156"/>
      <c r="T22" s="156"/>
      <c r="U22" s="156">
        <f ca="1"/>
        <v>0.91519112791484769</v>
      </c>
      <c r="V22" s="156">
        <f ca="1"/>
        <v>6.5</v>
      </c>
      <c r="W22" s="156">
        <f ca="1"/>
        <v>0.96430505758289353</v>
      </c>
      <c r="X22" s="156"/>
      <c r="Z22" s="156">
        <f ca="1"/>
        <v>0.18204002063865055</v>
      </c>
      <c r="AA22" s="156">
        <f ca="1"/>
        <v>0.43845882599917307</v>
      </c>
      <c r="AB22" s="156">
        <f ca="1"/>
        <v>0.43845882599917307</v>
      </c>
      <c r="AC22" s="156">
        <f ca="1"/>
        <v>0.1396929454363991</v>
      </c>
      <c r="AD22" s="156">
        <f ca="1"/>
        <v>0.54003441741065195</v>
      </c>
      <c r="AE22" s="156"/>
    </row>
    <row r="23" spans="1:31" x14ac:dyDescent="0.2">
      <c r="A23" s="156"/>
      <c r="B23" s="156"/>
      <c r="C23" s="156"/>
      <c r="D23" s="156"/>
      <c r="E23"/>
      <c r="F23" s="156"/>
      <c r="G23" s="156"/>
      <c r="H23" s="156"/>
      <c r="I23" s="156"/>
      <c r="J23"/>
      <c r="K23" s="156"/>
      <c r="L23" s="156"/>
      <c r="M23" s="156"/>
      <c r="N23" s="156"/>
      <c r="P23" s="158"/>
      <c r="Q23" s="158"/>
      <c r="R23"/>
      <c r="S23" s="156"/>
      <c r="T23" s="156"/>
      <c r="U23" s="156">
        <f ca="1"/>
        <v>0.59474781086187778</v>
      </c>
      <c r="V23" s="156">
        <f ca="1"/>
        <v>4.5</v>
      </c>
      <c r="W23" s="156">
        <f ca="1"/>
        <v>0.91351586029533616</v>
      </c>
      <c r="X23" s="156"/>
      <c r="Z23" s="156">
        <f ca="1"/>
        <v>0.76616031538486729</v>
      </c>
      <c r="AA23" s="156">
        <f ca="1"/>
        <v>0.25967994976548758</v>
      </c>
      <c r="AB23" s="156">
        <f ca="1"/>
        <v>0.76616031538486729</v>
      </c>
      <c r="AC23" s="156">
        <f ca="1"/>
        <v>1.7154944517820807</v>
      </c>
      <c r="AD23" s="156">
        <f ca="1"/>
        <v>0.47008084358378111</v>
      </c>
      <c r="AE23" s="156"/>
    </row>
    <row r="24" spans="1:31" x14ac:dyDescent="0.2">
      <c r="A24" s="156"/>
      <c r="B24" s="156"/>
      <c r="C24" s="156"/>
      <c r="D24" s="156"/>
      <c r="E24"/>
      <c r="F24" s="156"/>
      <c r="G24" s="156"/>
      <c r="H24" s="156"/>
      <c r="I24" s="156"/>
      <c r="J24"/>
      <c r="K24" s="156"/>
      <c r="L24" s="156"/>
      <c r="M24" s="156"/>
      <c r="N24" s="156"/>
      <c r="P24" s="158"/>
      <c r="Q24" s="158"/>
      <c r="R24"/>
      <c r="S24" s="156"/>
      <c r="T24" s="156"/>
      <c r="U24" s="156">
        <f ca="1"/>
        <v>0.83315220884573638</v>
      </c>
      <c r="V24" s="156">
        <f ca="1"/>
        <v>5.5</v>
      </c>
      <c r="W24" s="156">
        <f ca="1"/>
        <v>0.8260420163592026</v>
      </c>
      <c r="X24" s="156"/>
      <c r="Z24" s="156"/>
      <c r="AA24" s="156"/>
      <c r="AB24" s="156"/>
      <c r="AC24" s="156"/>
      <c r="AD24" s="156"/>
      <c r="AE24" s="156"/>
    </row>
    <row r="25" spans="1:31" x14ac:dyDescent="0.2">
      <c r="A25" s="156"/>
      <c r="B25" s="156"/>
      <c r="C25" s="156"/>
      <c r="D25" s="156"/>
      <c r="E25"/>
      <c r="F25" s="156"/>
      <c r="G25" s="156"/>
      <c r="H25" s="156"/>
      <c r="I25" s="156"/>
      <c r="J25"/>
      <c r="K25" s="156"/>
      <c r="L25" s="156"/>
      <c r="M25" s="156"/>
      <c r="N25" s="156"/>
      <c r="P25" s="158"/>
      <c r="Q25" s="158"/>
      <c r="R25"/>
      <c r="S25" s="156"/>
      <c r="T25" s="156"/>
      <c r="U25" s="156">
        <f ca="1"/>
        <v>0.39923497403388564</v>
      </c>
      <c r="V25" s="156">
        <f ca="1"/>
        <v>3.5</v>
      </c>
      <c r="W25" s="156">
        <f ca="1"/>
        <v>0.90101628039405179</v>
      </c>
      <c r="X25" s="156"/>
      <c r="Z25" s="156"/>
      <c r="AA25" s="156"/>
      <c r="AB25" s="156"/>
      <c r="AC25" s="156"/>
      <c r="AD25" s="156"/>
      <c r="AE25" s="156"/>
    </row>
    <row r="26" spans="1:31" x14ac:dyDescent="0.2">
      <c r="A26" s="156"/>
      <c r="B26" s="156"/>
      <c r="C26" s="156"/>
      <c r="D26" s="156"/>
      <c r="E26"/>
      <c r="F26" s="156"/>
      <c r="G26" s="156"/>
      <c r="H26" s="156"/>
      <c r="I26" s="156"/>
      <c r="J26"/>
      <c r="K26" s="156"/>
      <c r="L26" s="156"/>
      <c r="M26" s="156"/>
      <c r="N26" s="156"/>
      <c r="P26" s="158"/>
      <c r="Q26" s="158"/>
      <c r="R26"/>
      <c r="S26" s="156"/>
      <c r="T26" s="156"/>
      <c r="U26" s="156">
        <f ca="1"/>
        <v>0.91988319921575967</v>
      </c>
      <c r="V26" s="156">
        <f ca="1"/>
        <v>7.5</v>
      </c>
      <c r="W26" s="156">
        <f ca="1"/>
        <v>0.3155208909254168</v>
      </c>
      <c r="X26" s="156"/>
      <c r="Z26" s="156"/>
      <c r="AA26" s="156"/>
      <c r="AB26" s="156"/>
      <c r="AC26" s="156"/>
      <c r="AD26" s="156"/>
      <c r="AE26" s="156"/>
    </row>
    <row r="27" spans="1:31" x14ac:dyDescent="0.2">
      <c r="A27" s="156"/>
      <c r="B27" s="156"/>
      <c r="C27" s="156"/>
      <c r="D27" s="156"/>
      <c r="E27"/>
      <c r="F27" s="156"/>
      <c r="G27" s="156"/>
      <c r="H27" s="156"/>
      <c r="I27" s="156"/>
      <c r="J27"/>
      <c r="K27" s="156"/>
      <c r="L27" s="156"/>
      <c r="M27" s="156"/>
      <c r="N27" s="156"/>
      <c r="Q27" s="158"/>
      <c r="R27"/>
      <c r="S27" s="156"/>
      <c r="T27" s="156"/>
      <c r="U27" s="156">
        <f ca="1"/>
        <v>0.17936867230723008</v>
      </c>
      <c r="V27" s="156">
        <f ca="1"/>
        <v>1.5</v>
      </c>
      <c r="W27" s="156">
        <f ca="1"/>
        <v>0.52985241873684741</v>
      </c>
      <c r="X27" s="156"/>
      <c r="Z27" s="156"/>
      <c r="AA27" s="156"/>
      <c r="AB27" s="156"/>
      <c r="AC27" s="156"/>
      <c r="AD27" s="156"/>
      <c r="AE27" s="156"/>
    </row>
    <row r="28" spans="1:31" x14ac:dyDescent="0.2">
      <c r="A28" s="156"/>
      <c r="B28" s="156"/>
      <c r="C28" s="156"/>
      <c r="D28" s="156"/>
      <c r="E28"/>
      <c r="F28" s="156"/>
      <c r="G28" s="156"/>
      <c r="H28" s="156"/>
      <c r="I28" s="156"/>
      <c r="J28"/>
      <c r="K28" s="156"/>
      <c r="L28" s="156"/>
      <c r="M28" s="156"/>
      <c r="N28" s="156"/>
      <c r="P28" s="111"/>
      <c r="Q28" s="111"/>
      <c r="R28"/>
      <c r="S28" s="156"/>
      <c r="T28" s="156"/>
      <c r="U28" s="156"/>
      <c r="V28" s="156"/>
      <c r="W28" s="156"/>
      <c r="X28" s="156"/>
      <c r="Z28" s="156"/>
      <c r="AA28" s="156"/>
      <c r="AB28" s="156"/>
      <c r="AC28" s="156"/>
      <c r="AD28" s="156"/>
      <c r="AE28" s="156"/>
    </row>
    <row r="29" spans="1:31" x14ac:dyDescent="0.2">
      <c r="A29" s="156"/>
      <c r="B29" s="156"/>
      <c r="C29" s="156"/>
      <c r="D29" s="156"/>
      <c r="E29"/>
      <c r="F29" s="156"/>
      <c r="G29" s="156"/>
      <c r="H29" s="156"/>
      <c r="I29" s="156"/>
      <c r="J29"/>
      <c r="K29" s="156"/>
      <c r="L29" s="156"/>
      <c r="M29" s="156"/>
      <c r="N29" s="156"/>
      <c r="P29" s="111"/>
      <c r="Q29" s="111"/>
      <c r="R29"/>
      <c r="S29" s="156"/>
      <c r="T29" s="156"/>
      <c r="U29" s="156"/>
      <c r="V29" s="156"/>
      <c r="W29" s="156"/>
      <c r="X29" s="156"/>
      <c r="Z29" s="156"/>
      <c r="AA29" s="156"/>
      <c r="AB29" s="156"/>
      <c r="AC29" s="156"/>
      <c r="AD29" s="156"/>
      <c r="AE29" s="156"/>
    </row>
    <row r="30" spans="1:31" x14ac:dyDescent="0.2">
      <c r="A30" s="156"/>
      <c r="B30" s="156"/>
      <c r="C30" s="156"/>
      <c r="D30" s="156"/>
      <c r="E30"/>
      <c r="F30" s="156"/>
      <c r="G30" s="156"/>
      <c r="H30" s="156"/>
      <c r="I30" s="156"/>
      <c r="J30"/>
      <c r="K30" s="156"/>
      <c r="L30" s="156"/>
      <c r="M30" s="156"/>
      <c r="N30" s="156"/>
      <c r="P30" s="111"/>
      <c r="Q30" s="111"/>
      <c r="R30"/>
      <c r="S30" s="156"/>
      <c r="T30" s="156"/>
      <c r="U30" s="156"/>
      <c r="V30" s="156"/>
      <c r="W30" s="156"/>
      <c r="X30" s="156"/>
      <c r="Z30" s="156"/>
      <c r="AA30" s="156"/>
      <c r="AB30" s="156"/>
      <c r="AC30" s="156"/>
      <c r="AD30" s="156"/>
      <c r="AE30" s="156"/>
    </row>
    <row r="31" spans="1:31" x14ac:dyDescent="0.2">
      <c r="A31" s="156"/>
      <c r="B31" s="156"/>
      <c r="C31" s="156"/>
      <c r="D31" s="156"/>
      <c r="E31"/>
      <c r="F31" s="156"/>
      <c r="G31" s="156"/>
      <c r="H31" s="156"/>
      <c r="I31" s="156"/>
      <c r="J31"/>
      <c r="K31" s="156"/>
      <c r="L31" s="156"/>
      <c r="M31" s="156"/>
      <c r="N31" s="156"/>
      <c r="P31" s="111"/>
      <c r="Q31" s="111"/>
      <c r="R31"/>
      <c r="S31" s="156"/>
      <c r="T31" s="156"/>
      <c r="U31" s="156"/>
      <c r="V31" s="156"/>
      <c r="W31" s="156"/>
      <c r="X31" s="156"/>
      <c r="Z31" s="156"/>
      <c r="AA31" s="156"/>
      <c r="AB31" s="156"/>
      <c r="AC31" s="156"/>
      <c r="AD31" s="156"/>
      <c r="AE31" s="156"/>
    </row>
    <row r="32" spans="1:31" x14ac:dyDescent="0.2">
      <c r="A32" s="156"/>
      <c r="B32" s="156"/>
      <c r="C32" s="156"/>
      <c r="D32" s="156"/>
      <c r="E32"/>
      <c r="F32" s="156"/>
      <c r="G32" s="156"/>
      <c r="H32" s="156"/>
      <c r="I32" s="156"/>
      <c r="J32"/>
      <c r="K32" s="156"/>
      <c r="L32" s="156"/>
      <c r="M32" s="156"/>
      <c r="N32" s="156"/>
      <c r="P32" s="111"/>
      <c r="Q32" s="111"/>
      <c r="R32"/>
      <c r="S32" s="156"/>
      <c r="T32" s="156"/>
      <c r="U32" s="156"/>
      <c r="V32" s="156"/>
      <c r="W32" s="156"/>
      <c r="X32" s="156"/>
      <c r="Z32" s="156"/>
      <c r="AA32" s="156"/>
      <c r="AB32" s="156"/>
      <c r="AC32" s="156"/>
      <c r="AD32" s="156"/>
      <c r="AE32" s="156"/>
    </row>
    <row r="33" spans="1:31" x14ac:dyDescent="0.2">
      <c r="A33" s="156"/>
      <c r="B33" s="156"/>
      <c r="C33" s="156"/>
      <c r="D33" s="156"/>
      <c r="E33"/>
      <c r="F33" s="156"/>
      <c r="G33" s="156"/>
      <c r="H33" s="156"/>
      <c r="I33" s="156"/>
      <c r="J33"/>
      <c r="K33" s="156"/>
      <c r="L33" s="156"/>
      <c r="M33" s="156"/>
      <c r="N33" s="156"/>
      <c r="P33" s="111"/>
      <c r="Q33" s="111"/>
      <c r="R33"/>
      <c r="S33" s="156"/>
      <c r="T33" s="156"/>
      <c r="U33" s="156"/>
      <c r="V33" s="156"/>
      <c r="W33" s="156"/>
      <c r="X33" s="156"/>
      <c r="Z33" s="156"/>
      <c r="AA33" s="156"/>
      <c r="AB33" s="156"/>
      <c r="AC33" s="156"/>
      <c r="AD33" s="156"/>
      <c r="AE33" s="156"/>
    </row>
    <row r="34" spans="1:31" x14ac:dyDescent="0.2">
      <c r="A34" s="156"/>
      <c r="B34" s="156"/>
      <c r="C34" s="156"/>
      <c r="D34" s="156"/>
      <c r="E34"/>
      <c r="F34" s="156"/>
      <c r="G34" s="156"/>
      <c r="H34" s="156"/>
      <c r="I34" s="156"/>
      <c r="J34"/>
      <c r="K34" s="156"/>
      <c r="L34" s="156"/>
      <c r="M34" s="156"/>
      <c r="N34" s="156"/>
      <c r="P34" s="111"/>
      <c r="Q34" s="111"/>
      <c r="R34"/>
      <c r="S34" s="156"/>
      <c r="T34" s="156"/>
      <c r="U34" s="156"/>
      <c r="V34" s="156"/>
      <c r="W34" s="156"/>
      <c r="X34" s="156"/>
      <c r="Z34" s="156"/>
      <c r="AA34" s="156"/>
      <c r="AB34" s="156"/>
      <c r="AC34" s="156"/>
      <c r="AD34" s="156"/>
      <c r="AE34" s="156"/>
    </row>
    <row r="35" spans="1:31" x14ac:dyDescent="0.2">
      <c r="A35" s="156"/>
      <c r="B35" s="156"/>
      <c r="C35" s="156"/>
      <c r="D35" s="156"/>
      <c r="E35"/>
      <c r="F35" s="156"/>
      <c r="G35" s="156"/>
      <c r="H35" s="156"/>
      <c r="I35" s="156"/>
      <c r="J35"/>
      <c r="K35" s="156"/>
      <c r="L35" s="156"/>
      <c r="M35" s="156"/>
      <c r="N35" s="156"/>
      <c r="P35" s="111"/>
      <c r="Q35" s="111"/>
      <c r="R35"/>
      <c r="S35" s="156"/>
      <c r="T35" s="156"/>
      <c r="U35" s="156"/>
      <c r="V35" s="156"/>
      <c r="W35" s="156"/>
      <c r="X35" s="156"/>
      <c r="Z35" s="156"/>
      <c r="AA35" s="156"/>
      <c r="AB35" s="156"/>
      <c r="AC35" s="156"/>
      <c r="AD35" s="156"/>
      <c r="AE35" s="156"/>
    </row>
    <row r="36" spans="1:31" x14ac:dyDescent="0.2">
      <c r="A36" s="156"/>
      <c r="B36" s="156"/>
      <c r="C36" s="156"/>
      <c r="D36" s="156"/>
      <c r="E36"/>
      <c r="F36" s="156"/>
      <c r="G36" s="156"/>
      <c r="H36" s="156"/>
      <c r="I36" s="156"/>
      <c r="J36"/>
      <c r="K36" s="156"/>
      <c r="L36" s="156"/>
      <c r="M36" s="156"/>
      <c r="N36" s="156"/>
      <c r="P36" s="111"/>
      <c r="Q36" s="111"/>
      <c r="R36"/>
      <c r="S36" s="156"/>
      <c r="T36" s="156"/>
      <c r="U36" s="156"/>
      <c r="V36" s="156"/>
      <c r="W36" s="156"/>
      <c r="X36" s="156"/>
      <c r="Z36" s="156"/>
      <c r="AA36" s="156"/>
      <c r="AB36" s="156"/>
      <c r="AC36" s="156"/>
      <c r="AD36" s="156"/>
      <c r="AE36" s="156"/>
    </row>
    <row r="37" spans="1:31" x14ac:dyDescent="0.2">
      <c r="A37" s="156"/>
      <c r="B37" s="156"/>
      <c r="C37" s="156"/>
      <c r="D37" s="156"/>
      <c r="E37"/>
      <c r="F37" s="156"/>
      <c r="G37" s="156"/>
      <c r="H37" s="156"/>
      <c r="I37" s="156"/>
      <c r="J37"/>
      <c r="K37" s="156"/>
      <c r="L37" s="156"/>
      <c r="M37" s="156"/>
      <c r="N37" s="156"/>
      <c r="P37" s="111"/>
      <c r="Q37" s="111"/>
      <c r="S37" s="156"/>
      <c r="T37" s="156"/>
      <c r="U37" s="156"/>
      <c r="V37" s="156"/>
      <c r="W37" s="156"/>
      <c r="X37" s="156"/>
      <c r="Z37" s="156"/>
      <c r="AA37" s="156"/>
      <c r="AB37" s="156"/>
      <c r="AC37" s="156"/>
      <c r="AD37" s="156"/>
      <c r="AE37" s="156"/>
    </row>
    <row r="38" spans="1:31" x14ac:dyDescent="0.2">
      <c r="A38" s="156"/>
      <c r="B38" s="156"/>
      <c r="C38" s="156"/>
      <c r="D38" s="156"/>
      <c r="E38"/>
      <c r="F38" s="156"/>
      <c r="G38" s="156"/>
      <c r="H38" s="156"/>
      <c r="I38" s="156"/>
      <c r="J38"/>
      <c r="K38" s="156"/>
      <c r="L38" s="156"/>
      <c r="M38" s="156"/>
      <c r="N38" s="156"/>
      <c r="P38" s="111"/>
      <c r="Q38" s="111"/>
      <c r="S38" s="156"/>
      <c r="T38" s="156"/>
      <c r="U38" s="156"/>
      <c r="V38" s="156"/>
      <c r="W38" s="156"/>
      <c r="X38" s="156"/>
      <c r="Z38" s="156"/>
      <c r="AA38" s="156"/>
      <c r="AB38" s="156"/>
      <c r="AC38" s="156"/>
      <c r="AD38" s="156"/>
      <c r="AE38" s="156"/>
    </row>
    <row r="39" spans="1:31" x14ac:dyDescent="0.2">
      <c r="A39" s="156"/>
      <c r="B39" s="156"/>
      <c r="C39" s="156"/>
      <c r="D39" s="156"/>
      <c r="E39"/>
      <c r="F39" s="156"/>
      <c r="G39" s="156"/>
      <c r="H39" s="156"/>
      <c r="I39" s="156"/>
      <c r="J39"/>
      <c r="K39" s="156"/>
      <c r="L39" s="156"/>
      <c r="M39" s="156"/>
      <c r="N39" s="156"/>
      <c r="P39" s="111"/>
      <c r="Q39" s="111"/>
      <c r="S39" s="156"/>
      <c r="T39" s="156"/>
      <c r="U39" s="156"/>
      <c r="V39" s="156"/>
      <c r="W39" s="156"/>
      <c r="X39" s="156"/>
      <c r="Z39" s="156"/>
      <c r="AA39" s="156"/>
      <c r="AB39" s="156"/>
      <c r="AC39" s="156"/>
      <c r="AD39" s="156"/>
      <c r="AE39" s="156"/>
    </row>
    <row r="40" spans="1:31" x14ac:dyDescent="0.2">
      <c r="A40" s="156"/>
      <c r="B40" s="156"/>
      <c r="C40" s="156"/>
      <c r="D40" s="156"/>
      <c r="E40"/>
      <c r="F40" s="156"/>
      <c r="G40" s="156"/>
      <c r="H40" s="156"/>
      <c r="I40" s="156"/>
      <c r="J40"/>
      <c r="K40" s="156"/>
      <c r="L40" s="156"/>
      <c r="M40" s="156"/>
      <c r="N40" s="156"/>
      <c r="P40" s="111"/>
      <c r="Q40" s="111"/>
      <c r="S40" s="156"/>
      <c r="T40" s="156"/>
      <c r="U40" s="156"/>
      <c r="V40" s="156"/>
      <c r="W40" s="156"/>
      <c r="X40" s="156"/>
      <c r="Z40" s="156"/>
      <c r="AA40" s="156"/>
      <c r="AB40" s="156"/>
      <c r="AC40" s="156"/>
      <c r="AD40" s="156"/>
      <c r="AE40" s="156"/>
    </row>
    <row r="41" spans="1:31" x14ac:dyDescent="0.2">
      <c r="A41" s="156"/>
      <c r="B41" s="156"/>
      <c r="C41" s="156"/>
      <c r="D41" s="156"/>
      <c r="E41"/>
      <c r="F41" s="156"/>
      <c r="G41" s="156"/>
      <c r="H41" s="156"/>
      <c r="I41" s="156"/>
      <c r="J41"/>
      <c r="K41" s="156"/>
      <c r="L41" s="156"/>
      <c r="M41" s="156"/>
      <c r="N41" s="156"/>
      <c r="P41" s="111"/>
      <c r="Q41" s="111"/>
      <c r="S41" s="156"/>
      <c r="T41" s="156"/>
      <c r="U41" s="156"/>
      <c r="V41" s="156"/>
      <c r="W41" s="156"/>
      <c r="X41" s="156"/>
      <c r="Z41" s="156"/>
      <c r="AA41" s="156"/>
      <c r="AB41" s="156"/>
      <c r="AC41" s="156"/>
      <c r="AD41" s="156"/>
      <c r="AE41" s="156"/>
    </row>
    <row r="42" spans="1:31" x14ac:dyDescent="0.2">
      <c r="A42" s="156"/>
      <c r="B42" s="156"/>
      <c r="C42" s="156"/>
      <c r="D42" s="156"/>
      <c r="E42"/>
      <c r="F42" s="156"/>
      <c r="G42" s="156"/>
      <c r="H42" s="156"/>
      <c r="I42" s="156"/>
      <c r="J42"/>
      <c r="K42" s="156"/>
      <c r="L42" s="156"/>
      <c r="M42" s="156"/>
      <c r="N42" s="156"/>
      <c r="P42" s="111"/>
      <c r="Q42" s="111"/>
      <c r="S42" s="156"/>
      <c r="T42" s="156"/>
      <c r="U42" s="156"/>
      <c r="V42" s="156"/>
      <c r="W42" s="156"/>
      <c r="X42" s="156"/>
      <c r="Z42" s="156"/>
      <c r="AA42" s="156"/>
      <c r="AB42" s="156"/>
      <c r="AC42" s="156"/>
      <c r="AD42" s="156"/>
      <c r="AE42" s="156"/>
    </row>
    <row r="43" spans="1:31" x14ac:dyDescent="0.2">
      <c r="A43" s="156"/>
      <c r="B43" s="156"/>
      <c r="C43" s="156"/>
      <c r="D43" s="156"/>
      <c r="E43"/>
      <c r="F43" s="156"/>
      <c r="G43" s="156"/>
      <c r="H43" s="156"/>
      <c r="I43" s="156"/>
      <c r="J43"/>
      <c r="K43" s="156"/>
      <c r="L43" s="156"/>
      <c r="M43" s="156"/>
      <c r="N43" s="156"/>
      <c r="P43" s="111"/>
      <c r="Q43" s="111"/>
      <c r="S43" s="156"/>
      <c r="T43" s="156"/>
      <c r="U43" s="156"/>
      <c r="V43" s="156"/>
      <c r="W43" s="156"/>
      <c r="X43" s="156"/>
      <c r="Z43" s="156"/>
      <c r="AA43" s="156"/>
      <c r="AB43" s="156"/>
      <c r="AC43" s="156"/>
      <c r="AD43" s="156"/>
      <c r="AE43" s="156"/>
    </row>
  </sheetData>
  <phoneticPr fontId="15" type="noConversion"/>
  <dataValidations count="9">
    <dataValidation type="custom" allowBlank="1" showInputMessage="1" showErrorMessage="1" errorTitle="Vælg et tal" error="Indtast et tal." promptTitle="Vælg en standardafvigelse" prompt="Indtast et tal." sqref="B7 AA7" xr:uid="{1D71C439-7925-4931-AD66-F83A8A75B550}">
      <formula1>ISNUMBER(B7)</formula1>
    </dataValidation>
    <dataValidation type="custom" allowBlank="1" showInputMessage="1" showErrorMessage="1" errorTitle="Vælg et tal" error="Indtast et tal." promptTitle="Vælg et gennemsnit" prompt="Indtast et tal." sqref="B6 AA6" xr:uid="{EB341349-BABA-491C-8F3C-AEBB41E4FB58}">
      <formula1>ISNUMBER(B6)</formula1>
    </dataValidation>
    <dataValidation type="decimal" allowBlank="1" showInputMessage="1" showErrorMessage="1" errorTitle="Vælg en sandsynlighed" error="Indtast et procenttal mellem 0% og 100%." promptTitle="Vælg en sandsynlighed" prompt="Indtast et procenttal mellem 0% og 100%." sqref="G6" xr:uid="{AC15579F-AC3E-44B0-BB49-DBE30121A190}">
      <formula1>0</formula1>
      <formula2>1</formula2>
    </dataValidation>
    <dataValidation type="whole" operator="greaterThanOrEqual" allowBlank="1" showInputMessage="1" showErrorMessage="1" errorTitle="Vælg et naturligt antal" error="Indtast et heltal som er lig med eller større end 0." promptTitle="Vælg en frekvens" prompt="Indtast et heltal som er lig med eller større end 0." sqref="Q14:Q43" xr:uid="{FD64E20A-812A-4CD4-B44D-CE69EB2CFFD5}">
      <formula1>0</formula1>
    </dataValidation>
    <dataValidation type="custom" allowBlank="1" showInputMessage="1" showErrorMessage="1" errorTitle="Vælg et tal" error="Indtast et tal." promptTitle="Vælg et minimum" prompt="Indtast et tal." sqref="L6" xr:uid="{437EFE67-B984-47E6-AF99-8DB45932574C}">
      <formula1>ISNUMBER(L6)</formula1>
    </dataValidation>
    <dataValidation type="custom" allowBlank="1" showInputMessage="1" showErrorMessage="1" errorTitle="Vælg et tal" error="Indtast et tal." promptTitle="Vælg et maksimum" prompt="Indtast et tal." sqref="L7" xr:uid="{CF36BF4A-38FB-4DF4-AC2A-F9393D1DBFA1}">
      <formula1>ISNUMBER(L7)</formula1>
    </dataValidation>
    <dataValidation type="whole" operator="greaterThan" allowBlank="1" showInputMessage="1" showErrorMessage="1" errorTitle="Vælg et heltal" error="Indtast et heltal, der er større end 1." promptTitle="Vælg en populationsstørrelse" prompt="Indtast et heltal, der er større end 1." sqref="G8 B8 L8 AA8" xr:uid="{16EE1B2B-A9E1-4BA3-BF7D-A12D50316387}">
      <formula1>1</formula1>
    </dataValidation>
    <dataValidation type="whole" allowBlank="1" showInputMessage="1" showErrorMessage="1" errorTitle="Vælg et heltal" error="Indtast et heltal, der er større end 0 og mindre end populationsstørrelsen." promptTitle="Vælg en stikprøvestørrelse" prompt="Indtast et heltal, der er større end 0 og mindre end populationsstørrelsen." sqref="B9 L9 G9 Q7 AA9" xr:uid="{93F387D5-B40A-4156-ABD3-CADF4FF554D5}">
      <formula1>1</formula1>
      <formula2>B6</formula2>
    </dataValidation>
    <dataValidation type="custom" allowBlank="1" showInputMessage="1" showErrorMessage="1" errorTitle="Vælg skævhedens retning" error="Vælg Sand (positiv skævhed) eller Falsk (negativ skævhed)." promptTitle="Vælg skævhedens retning" prompt="Vælg Sand (positiv skævhed) eller Falsk (negativ skævhed)." sqref="AA10" xr:uid="{01DC8C7A-283D-48A4-A487-2D0ABAEB869C}">
      <formula1>ISLOGICAL(AA10)</formula1>
    </dataValidation>
  </dataValidations>
  <hyperlinks>
    <hyperlink ref="B1" location="V_Manual_DataGenerator" display="Gå til Manual i brug af Data generator arket               " xr:uid="{519893D9-260B-4087-B566-0016E39C4A96}"/>
  </hyperlinks>
  <pageMargins left="0.7" right="0.7" top="0.75" bottom="0.75" header="0.3" footer="0.3"/>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kument" ma:contentTypeID="0x01010030C11CFABFF98349BD7BFD4811820EAF" ma:contentTypeVersion="5" ma:contentTypeDescription="Opret et nyt dokument." ma:contentTypeScope="" ma:versionID="c492f6f430c3829265f02a6c04163758">
  <xsd:schema xmlns:xsd="http://www.w3.org/2001/XMLSchema" xmlns:xs="http://www.w3.org/2001/XMLSchema" xmlns:p="http://schemas.microsoft.com/office/2006/metadata/properties" xmlns:ns3="7096a9c3-13d0-44a4-a2f7-39c55b9e22c7" xmlns:ns4="ffe4fa7a-95c0-4837-89bf-7ba97c147df7" targetNamespace="http://schemas.microsoft.com/office/2006/metadata/properties" ma:root="true" ma:fieldsID="619340582a67895998d3c54a2923d467" ns3:_="" ns4:_="">
    <xsd:import namespace="7096a9c3-13d0-44a4-a2f7-39c55b9e22c7"/>
    <xsd:import namespace="ffe4fa7a-95c0-4837-89bf-7ba97c147df7"/>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096a9c3-13d0-44a4-a2f7-39c55b9e22c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fe4fa7a-95c0-4837-89bf-7ba97c147df7" elementFormDefault="qualified">
    <xsd:import namespace="http://schemas.microsoft.com/office/2006/documentManagement/types"/>
    <xsd:import namespace="http://schemas.microsoft.com/office/infopath/2007/PartnerControls"/>
    <xsd:element name="SharedWithUsers" ma:index="10" nillable="true" ma:displayName="Delt med"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Delt med detaljer" ma:internalName="SharedWithDetails" ma:readOnly="true">
      <xsd:simpleType>
        <xsd:restriction base="dms:Note">
          <xsd:maxLength value="255"/>
        </xsd:restriction>
      </xsd:simpleType>
    </xsd:element>
    <xsd:element name="SharingHintHash" ma:index="12" nillable="true" ma:displayName="Hashværdi for deling"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dhol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CFBC3DE-D1C0-45C7-BFCE-96CD4F9A3A30}">
  <ds:schemaRefs>
    <ds:schemaRef ds:uri="http://schemas.microsoft.com/DataMashup"/>
  </ds:schemaRefs>
</ds:datastoreItem>
</file>

<file path=customXml/itemProps2.xml><?xml version="1.0" encoding="utf-8"?>
<ds:datastoreItem xmlns:ds="http://schemas.openxmlformats.org/officeDocument/2006/customXml" ds:itemID="{DD1A4B8E-7370-43D7-87A4-76B8BFC80C03}">
  <ds:schemaRefs>
    <ds:schemaRef ds:uri="7096a9c3-13d0-44a4-a2f7-39c55b9e22c7"/>
    <ds:schemaRef ds:uri="http://schemas.microsoft.com/office/2006/metadata/properties"/>
    <ds:schemaRef ds:uri="http://www.w3.org/XML/1998/namespace"/>
    <ds:schemaRef ds:uri="http://schemas.microsoft.com/office/2006/documentManagement/types"/>
    <ds:schemaRef ds:uri="http://purl.org/dc/elements/1.1/"/>
    <ds:schemaRef ds:uri="http://schemas.openxmlformats.org/package/2006/metadata/core-properties"/>
    <ds:schemaRef ds:uri="ffe4fa7a-95c0-4837-89bf-7ba97c147df7"/>
    <ds:schemaRef ds:uri="http://schemas.microsoft.com/office/infopath/2007/PartnerControls"/>
    <ds:schemaRef ds:uri="http://purl.org/dc/dcmitype/"/>
    <ds:schemaRef ds:uri="http://purl.org/dc/terms/"/>
  </ds:schemaRefs>
</ds:datastoreItem>
</file>

<file path=customXml/itemProps3.xml><?xml version="1.0" encoding="utf-8"?>
<ds:datastoreItem xmlns:ds="http://schemas.openxmlformats.org/officeDocument/2006/customXml" ds:itemID="{67E941B9-A812-43B6-8E71-7AD0BE65C28A}">
  <ds:schemaRefs>
    <ds:schemaRef ds:uri="http://schemas.microsoft.com/sharepoint/v3/contenttype/forms"/>
  </ds:schemaRefs>
</ds:datastoreItem>
</file>

<file path=customXml/itemProps4.xml><?xml version="1.0" encoding="utf-8"?>
<ds:datastoreItem xmlns:ds="http://schemas.openxmlformats.org/officeDocument/2006/customXml" ds:itemID="{4A043E7E-7780-43FB-811A-ECD9D04175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096a9c3-13d0-44a4-a2f7-39c55b9e22c7"/>
    <ds:schemaRef ds:uri="ffe4fa7a-95c0-4837-89bf-7ba97c147d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67</vt:i4>
      </vt:variant>
    </vt:vector>
  </HeadingPairs>
  <TitlesOfParts>
    <vt:vector size="81" baseType="lpstr">
      <vt:lpstr>Velkommen</vt:lpstr>
      <vt:lpstr>Data</vt:lpstr>
      <vt:lpstr>DataBeregning</vt:lpstr>
      <vt:lpstr>Lister</vt:lpstr>
      <vt:lpstr>BeskrivendeStatistik</vt:lpstr>
      <vt:lpstr>Sandsynlighed</vt:lpstr>
      <vt:lpstr>Estimation</vt:lpstr>
      <vt:lpstr>Estimation Beregninger</vt:lpstr>
      <vt:lpstr>LineærRegression</vt:lpstr>
      <vt:lpstr>Lineær regression slicer</vt:lpstr>
      <vt:lpstr>Beregningsark</vt:lpstr>
      <vt:lpstr>ANOVA</vt:lpstr>
      <vt:lpstr>ANOVA slicer</vt:lpstr>
      <vt:lpstr>DataGenerator</vt:lpstr>
      <vt:lpstr>Beregningsmetode_liste</vt:lpstr>
      <vt:lpstr>DataHeaders</vt:lpstr>
      <vt:lpstr>E_a_aktiv</vt:lpstr>
      <vt:lpstr>E_g_aktiv</vt:lpstr>
      <vt:lpstr>E_i_aktiv</vt:lpstr>
      <vt:lpstr>E_k_aktiv</vt:lpstr>
      <vt:lpstr>E_s_aktiv</vt:lpstr>
      <vt:lpstr>Eu_a_a_x</vt:lpstr>
      <vt:lpstr>Eu_a_a_y</vt:lpstr>
      <vt:lpstr>Eu_a_h0_x</vt:lpstr>
      <vt:lpstr>Eu_a_h0_y</vt:lpstr>
      <vt:lpstr>Eu_a_konfidensniveau</vt:lpstr>
      <vt:lpstr>Eu_a_n_x</vt:lpstr>
      <vt:lpstr>Eu_a_n_y</vt:lpstr>
      <vt:lpstr>Eu_a_ønsket_fejlmargin</vt:lpstr>
      <vt:lpstr>Eu_a_t_x</vt:lpstr>
      <vt:lpstr>Eu_a_t_y</vt:lpstr>
      <vt:lpstr>Eu_g_g_x</vt:lpstr>
      <vt:lpstr>Eu_g_g_y</vt:lpstr>
      <vt:lpstr>Eu_g_h0_x</vt:lpstr>
      <vt:lpstr>Eu_g_h0_y</vt:lpstr>
      <vt:lpstr>Eu_g_konfidensniveau</vt:lpstr>
      <vt:lpstr>Eu_g_n_x</vt:lpstr>
      <vt:lpstr>Eu_g_n_y</vt:lpstr>
      <vt:lpstr>Eu_g_ønsket_fejlmargin</vt:lpstr>
      <vt:lpstr>Eu_g_s_population_x</vt:lpstr>
      <vt:lpstr>Eu_g_s_population_y</vt:lpstr>
      <vt:lpstr>Eu_g_s_x</vt:lpstr>
      <vt:lpstr>Eu_g_s_y</vt:lpstr>
      <vt:lpstr>Eu_g_t_x</vt:lpstr>
      <vt:lpstr>Eu_g_t_y</vt:lpstr>
      <vt:lpstr>Eu_i_h0_x</vt:lpstr>
      <vt:lpstr>Eu_i_h0_y</vt:lpstr>
      <vt:lpstr>Eu_i_i_x</vt:lpstr>
      <vt:lpstr>Eu_i_i_y</vt:lpstr>
      <vt:lpstr>Eu_i_konfidensniveau</vt:lpstr>
      <vt:lpstr>Eu_i_n_x</vt:lpstr>
      <vt:lpstr>Eu_i_n_y</vt:lpstr>
      <vt:lpstr>Eu_i_ønsket_fejlmargin</vt:lpstr>
      <vt:lpstr>Eu_i_t_x</vt:lpstr>
      <vt:lpstr>Eu_i_t_y</vt:lpstr>
      <vt:lpstr>Eu_k_antal_koefficienter</vt:lpstr>
      <vt:lpstr>Eu_k_h0</vt:lpstr>
      <vt:lpstr>Eu_k_k</vt:lpstr>
      <vt:lpstr>Eu_k_konfidensniveau</vt:lpstr>
      <vt:lpstr>Eu_k_n</vt:lpstr>
      <vt:lpstr>Eu_k_s</vt:lpstr>
      <vt:lpstr>Eu_k_t</vt:lpstr>
      <vt:lpstr>Eu_s_h0_x</vt:lpstr>
      <vt:lpstr>Eu_s_konfidensniveau</vt:lpstr>
      <vt:lpstr>Eu_s_n_x</vt:lpstr>
      <vt:lpstr>Eu_s_n_y</vt:lpstr>
      <vt:lpstr>Eu_s_s_x</vt:lpstr>
      <vt:lpstr>Eu_s_s_y</vt:lpstr>
      <vt:lpstr>Eu_s_t_x</vt:lpstr>
      <vt:lpstr>Eu_s_t_y</vt:lpstr>
      <vt:lpstr>Fordeling_liste</vt:lpstr>
      <vt:lpstr>HypoteseRetning_liste</vt:lpstr>
      <vt:lpstr>Hypotesetype_Liste</vt:lpstr>
      <vt:lpstr>Inkluderet_Liste</vt:lpstr>
      <vt:lpstr>SandFalsk_liste</vt:lpstr>
      <vt:lpstr>V_Manual_Beskrivende_Statistik</vt:lpstr>
      <vt:lpstr>V_Manual_Data</vt:lpstr>
      <vt:lpstr>V_Manual_DataGenerator</vt:lpstr>
      <vt:lpstr>V_Manual_Konfidens_og_Hypoteser</vt:lpstr>
      <vt:lpstr>V_Manual_Lineær_Regression</vt:lpstr>
      <vt:lpstr>V_Manual_Sandsynlighed</vt:lpstr>
    </vt:vector>
  </TitlesOfParts>
  <Company>EFIF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JBKstat</dc:title>
  <dc:creator>Jakob</dc:creator>
  <cp:lastModifiedBy>Jakob</cp:lastModifiedBy>
  <cp:lastPrinted>2019-08-09T07:03:21Z</cp:lastPrinted>
  <dcterms:created xsi:type="dcterms:W3CDTF">2018-12-03T09:30:39Z</dcterms:created>
  <dcterms:modified xsi:type="dcterms:W3CDTF">2021-02-02T12:41:58Z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0x01010030C11CFABFF98349BD7BFD4811820EAF</vt:lpwstr>
  </property>
</Properties>
</file>